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burchara0801\OneDrive - ARCADIS\Newave\Papers\Paper 1\Resubmission 2\Preparing for submission\"/>
    </mc:Choice>
  </mc:AlternateContent>
  <xr:revisionPtr revIDLastSave="0" documentId="13_ncr:1_{B9240CF6-1E6A-467C-B61B-BE0EB23AABAE}" xr6:coauthVersionLast="47" xr6:coauthVersionMax="47" xr10:uidLastSave="{00000000-0000-0000-0000-000000000000}"/>
  <bookViews>
    <workbookView xWindow="-110" yWindow="-110" windowWidth="19420" windowHeight="10300" xr2:uid="{00000000-000D-0000-FFFF-FFFF00000000}"/>
  </bookViews>
  <sheets>
    <sheet name="Dataset Summary Table" sheetId="17" r:id="rId1"/>
    <sheet name="Full List (classification)" sheetId="12" state="hidden" r:id="rId2"/>
    <sheet name="Full List (raw)" sheetId="1" state="hidden" r:id="rId3"/>
  </sheets>
  <definedNames>
    <definedName name="_xlnm._FilterDatabase" localSheetId="0" hidden="1">'Dataset Summary Table'!$A$1:$AD$98</definedName>
    <definedName name="_xlnm._FilterDatabase" localSheetId="1" hidden="1">'Full List (classification)'!$A$1:$CA$1946</definedName>
    <definedName name="_xlnm.Print_Area" localSheetId="0">'Dataset Summary Table'!$A$1:$AG$98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49" i="12" l="1"/>
  <c r="F1949" i="12" l="1"/>
  <c r="CA1937" i="12"/>
  <c r="CA1936" i="12"/>
  <c r="BM1936" i="12"/>
  <c r="CA1935" i="12"/>
  <c r="BM1935" i="12"/>
  <c r="CA1934" i="12"/>
  <c r="BM1934" i="12"/>
  <c r="CA1933" i="12"/>
  <c r="BM1933" i="12"/>
  <c r="CA1932" i="12"/>
  <c r="BM1932" i="12"/>
  <c r="CA1931" i="12"/>
  <c r="BM1931" i="12"/>
  <c r="CA1930" i="12"/>
  <c r="BM1930" i="12"/>
  <c r="CA1929" i="12"/>
  <c r="BM1929" i="12"/>
  <c r="CA1928" i="12"/>
  <c r="CA1927" i="12"/>
  <c r="BM1927" i="12"/>
  <c r="CA1926" i="12"/>
  <c r="BM1926" i="12"/>
  <c r="CA1925" i="12"/>
  <c r="BM1925" i="12"/>
  <c r="CA1924" i="12"/>
  <c r="CA1923" i="12"/>
  <c r="BM1923" i="12"/>
  <c r="CA1922" i="12"/>
  <c r="BM1922" i="12"/>
  <c r="CA1921" i="12"/>
  <c r="BM1921" i="12"/>
  <c r="CA1920" i="12"/>
  <c r="BM1920" i="12"/>
  <c r="CA1919" i="12"/>
  <c r="BM1919" i="12"/>
  <c r="CA1918" i="12"/>
  <c r="BM1918" i="12"/>
  <c r="CA1917" i="12"/>
  <c r="BM1917" i="12"/>
  <c r="CA838" i="12"/>
  <c r="BM838" i="12"/>
  <c r="CA1915" i="12"/>
  <c r="CA1939" i="12"/>
  <c r="BM1939" i="12"/>
  <c r="CA1913" i="12"/>
  <c r="BM1913" i="12"/>
  <c r="CA977" i="12"/>
  <c r="BM977" i="12"/>
  <c r="CA1560" i="12"/>
  <c r="CA1910" i="12"/>
  <c r="BM1910" i="12"/>
  <c r="CA1941" i="12"/>
  <c r="BM1941" i="12"/>
  <c r="CA1908" i="12"/>
  <c r="BM1908" i="12"/>
  <c r="CA1907" i="12"/>
  <c r="BM1907" i="12"/>
  <c r="CA1906" i="12"/>
  <c r="BM1906" i="12"/>
  <c r="CA1905" i="12"/>
  <c r="BM1905" i="12"/>
  <c r="CA1904" i="12"/>
  <c r="BM1904" i="12"/>
  <c r="CA1903" i="12"/>
  <c r="BM1903" i="12"/>
  <c r="CA1902" i="12"/>
  <c r="BM1902" i="12"/>
  <c r="CA1901" i="12"/>
  <c r="BM1901" i="12"/>
  <c r="CA1900" i="12"/>
  <c r="BM1900" i="12"/>
  <c r="CA1899" i="12"/>
  <c r="CA1898" i="12"/>
  <c r="BM1898" i="12"/>
  <c r="CA1897" i="12"/>
  <c r="BM1897" i="12"/>
  <c r="CA1896" i="12"/>
  <c r="BM1896" i="12"/>
  <c r="CA1895" i="12"/>
  <c r="BM1895" i="12"/>
  <c r="CA1894" i="12"/>
  <c r="BM1894" i="12"/>
  <c r="CA1893" i="12"/>
  <c r="BM1893" i="12"/>
  <c r="CA1892" i="12"/>
  <c r="BM1892" i="12"/>
  <c r="CA1891" i="12"/>
  <c r="BM1891" i="12"/>
  <c r="CA1890" i="12"/>
  <c r="BM1890" i="12"/>
  <c r="CA1889" i="12"/>
  <c r="BM1889" i="12"/>
  <c r="CA1888" i="12"/>
  <c r="CA1887" i="12"/>
  <c r="BM1887" i="12"/>
  <c r="CA1886" i="12"/>
  <c r="CA1885" i="12"/>
  <c r="BM1885" i="12"/>
  <c r="CA1884" i="12"/>
  <c r="BM1884" i="12"/>
  <c r="CA1883" i="12"/>
  <c r="BM1883" i="12"/>
  <c r="CA1882" i="12"/>
  <c r="BM1882" i="12"/>
  <c r="CA1881" i="12"/>
  <c r="BM1881" i="12"/>
  <c r="CA1880" i="12"/>
  <c r="BM1880" i="12"/>
  <c r="CA330" i="12"/>
  <c r="BM330" i="12"/>
  <c r="CA1878" i="12"/>
  <c r="CA1877" i="12"/>
  <c r="BM1877" i="12"/>
  <c r="CA1876" i="12"/>
  <c r="CA1875" i="12"/>
  <c r="BM1875" i="12"/>
  <c r="CA1874" i="12"/>
  <c r="BM1874" i="12"/>
  <c r="CA1873" i="12"/>
  <c r="BM1873" i="12"/>
  <c r="CA1872" i="12"/>
  <c r="BM1872" i="12"/>
  <c r="CA1871" i="12"/>
  <c r="BM1871" i="12"/>
  <c r="CA1870" i="12"/>
  <c r="BM1870" i="12"/>
  <c r="CA1869" i="12"/>
  <c r="BM1869" i="12"/>
  <c r="CA1868" i="12"/>
  <c r="BM1868" i="12"/>
  <c r="CA1867" i="12"/>
  <c r="BM1867" i="12"/>
  <c r="CA1866" i="12"/>
  <c r="BM1866" i="12"/>
  <c r="CA1865" i="12"/>
  <c r="BM1865" i="12"/>
  <c r="CA1864" i="12"/>
  <c r="BM1864" i="12"/>
  <c r="CA1743" i="12"/>
  <c r="BM1743" i="12"/>
  <c r="CA1862" i="12"/>
  <c r="BM1862" i="12"/>
  <c r="CA1861" i="12"/>
  <c r="BM1861" i="12"/>
  <c r="CA1860" i="12"/>
  <c r="CA1601" i="12"/>
  <c r="BM1601" i="12"/>
  <c r="CA1858" i="12"/>
  <c r="BM1858" i="12"/>
  <c r="CA1857" i="12"/>
  <c r="BM1857" i="12"/>
  <c r="CA1856" i="12"/>
  <c r="BM1856" i="12"/>
  <c r="CA1855" i="12"/>
  <c r="BM1855" i="12"/>
  <c r="CA1854" i="12"/>
  <c r="CA1853" i="12"/>
  <c r="BM1853" i="12"/>
  <c r="CA1852" i="12"/>
  <c r="BM1852" i="12"/>
  <c r="CA506" i="12"/>
  <c r="BM506" i="12"/>
  <c r="CA1850" i="12"/>
  <c r="BM1850" i="12"/>
  <c r="CA1849" i="12"/>
  <c r="BM1849" i="12"/>
  <c r="CA1848" i="12"/>
  <c r="BM1848" i="12"/>
  <c r="CA1847" i="12"/>
  <c r="BM1847" i="12"/>
  <c r="CA1846" i="12"/>
  <c r="CA1845" i="12"/>
  <c r="CA1844" i="12"/>
  <c r="BM1844" i="12"/>
  <c r="CA1843" i="12"/>
  <c r="BM1843" i="12"/>
  <c r="CA1842" i="12"/>
  <c r="BM1842" i="12"/>
  <c r="CA1841" i="12"/>
  <c r="BM1841" i="12"/>
  <c r="CA1840" i="12"/>
  <c r="BM1840" i="12"/>
  <c r="CA1839" i="12"/>
  <c r="BM1839" i="12"/>
  <c r="CA1838" i="12"/>
  <c r="BM1838" i="12"/>
  <c r="CA1837" i="12"/>
  <c r="BM1837" i="12"/>
  <c r="CA1836" i="12"/>
  <c r="BM1836" i="12"/>
  <c r="CA1835" i="12"/>
  <c r="BM1835" i="12"/>
  <c r="CA1834" i="12"/>
  <c r="BM1834" i="12"/>
  <c r="CA1833" i="12"/>
  <c r="BM1833" i="12"/>
  <c r="CA1832" i="12"/>
  <c r="BM1832" i="12"/>
  <c r="CA1831" i="12"/>
  <c r="BM1831" i="12"/>
  <c r="CA1830" i="12"/>
  <c r="BM1830" i="12"/>
  <c r="CA1829" i="12"/>
  <c r="BM1829" i="12"/>
  <c r="CA1828" i="12"/>
  <c r="CA1827" i="12"/>
  <c r="BM1827" i="12"/>
  <c r="CA1826" i="12"/>
  <c r="BM1826" i="12"/>
  <c r="CA1825" i="12"/>
  <c r="BM1825" i="12"/>
  <c r="CA1824" i="12"/>
  <c r="BM1824" i="12"/>
  <c r="CA1823" i="12"/>
  <c r="CA1822" i="12"/>
  <c r="BM1822" i="12"/>
  <c r="CA1821" i="12"/>
  <c r="BM1821" i="12"/>
  <c r="CA1820" i="12"/>
  <c r="BM1820" i="12"/>
  <c r="CA1819" i="12"/>
  <c r="BM1819" i="12"/>
  <c r="CA1818" i="12"/>
  <c r="BM1818" i="12"/>
  <c r="CA1817" i="12"/>
  <c r="BM1817" i="12"/>
  <c r="CA1816" i="12"/>
  <c r="BM1816" i="12"/>
  <c r="CA1815" i="12"/>
  <c r="BM1815" i="12"/>
  <c r="CA1814" i="12"/>
  <c r="BM1814" i="12"/>
  <c r="CA1153" i="12"/>
  <c r="BM1153" i="12"/>
  <c r="CA1812" i="12"/>
  <c r="BM1812" i="12"/>
  <c r="CA1811" i="12"/>
  <c r="BM1811" i="12"/>
  <c r="CA1810" i="12"/>
  <c r="BM1810" i="12"/>
  <c r="CA1809" i="12"/>
  <c r="CA1808" i="12"/>
  <c r="CA1807" i="12"/>
  <c r="BM1807" i="12"/>
  <c r="CA1806" i="12"/>
  <c r="BM1806" i="12"/>
  <c r="CA1805" i="12"/>
  <c r="BM1805" i="12"/>
  <c r="CA1804" i="12"/>
  <c r="BM1804" i="12"/>
  <c r="CA1803" i="12"/>
  <c r="BM1803" i="12"/>
  <c r="CA1802" i="12"/>
  <c r="BM1802" i="12"/>
  <c r="CA1801" i="12"/>
  <c r="BM1801" i="12"/>
  <c r="CA1800" i="12"/>
  <c r="BM1800" i="12"/>
  <c r="CA1799" i="12"/>
  <c r="BM1799" i="12"/>
  <c r="CA1798" i="12"/>
  <c r="BM1798" i="12"/>
  <c r="CA1797" i="12"/>
  <c r="BM1797" i="12"/>
  <c r="CA1796" i="12"/>
  <c r="BM1796" i="12"/>
  <c r="CA1795" i="12"/>
  <c r="BM1795" i="12"/>
  <c r="CA374" i="12"/>
  <c r="BM374" i="12"/>
  <c r="CA1793" i="12"/>
  <c r="BM1793" i="12"/>
  <c r="CA1792" i="12"/>
  <c r="BM1792" i="12"/>
  <c r="CA1791" i="12"/>
  <c r="BM1791" i="12"/>
  <c r="CA1790" i="12"/>
  <c r="CA1789" i="12"/>
  <c r="CA1788" i="12"/>
  <c r="BM1788" i="12"/>
  <c r="CA1787" i="12"/>
  <c r="BM1787" i="12"/>
  <c r="CA1786" i="12"/>
  <c r="BM1786" i="12"/>
  <c r="CA327" i="12"/>
  <c r="BM327" i="12"/>
  <c r="CA1784" i="12"/>
  <c r="BM1784" i="12"/>
  <c r="CA246" i="12"/>
  <c r="BM246" i="12"/>
  <c r="CA1782" i="12"/>
  <c r="BM1782" i="12"/>
  <c r="CA1781" i="12"/>
  <c r="CA1780" i="12"/>
  <c r="BM1780" i="12"/>
  <c r="CA1779" i="12"/>
  <c r="CA1778" i="12"/>
  <c r="BM1778" i="12"/>
  <c r="CA1916" i="12"/>
  <c r="BM1916" i="12"/>
  <c r="CA1776" i="12"/>
  <c r="BM1776" i="12"/>
  <c r="CA1775" i="12"/>
  <c r="BM1775" i="12"/>
  <c r="CA1588" i="12"/>
  <c r="BM1588" i="12"/>
  <c r="CA1773" i="12"/>
  <c r="BM1773" i="12"/>
  <c r="CA1772" i="12"/>
  <c r="BM1772" i="12"/>
  <c r="CA1771" i="12"/>
  <c r="BM1771" i="12"/>
  <c r="CA1770" i="12"/>
  <c r="CA1769" i="12"/>
  <c r="BM1769" i="12"/>
  <c r="CA1768" i="12"/>
  <c r="BM1768" i="12"/>
  <c r="CA1767" i="12"/>
  <c r="BM1767" i="12"/>
  <c r="CA1766" i="12"/>
  <c r="BM1766" i="12"/>
  <c r="CA1765" i="12"/>
  <c r="BM1765" i="12"/>
  <c r="CA1764" i="12"/>
  <c r="BM1764" i="12"/>
  <c r="CA1763" i="12"/>
  <c r="CA1762" i="12"/>
  <c r="BM1762" i="12"/>
  <c r="CA1761" i="12"/>
  <c r="BM1761" i="12"/>
  <c r="CA1760" i="12"/>
  <c r="BM1760" i="12"/>
  <c r="CA1759" i="12"/>
  <c r="BM1759" i="12"/>
  <c r="CA1758" i="12"/>
  <c r="BM1758" i="12"/>
  <c r="CA1757" i="12"/>
  <c r="BM1757" i="12"/>
  <c r="CA1756" i="12"/>
  <c r="BM1756" i="12"/>
  <c r="CA1755" i="12"/>
  <c r="CA1754" i="12"/>
  <c r="BM1754" i="12"/>
  <c r="CA1753" i="12"/>
  <c r="BM1753" i="12"/>
  <c r="CA1752" i="12"/>
  <c r="BM1752" i="12"/>
  <c r="CA1751" i="12"/>
  <c r="CA1750" i="12"/>
  <c r="CA1749" i="12"/>
  <c r="BM1749" i="12"/>
  <c r="CA1748" i="12"/>
  <c r="BM1748" i="12"/>
  <c r="CA1747" i="12"/>
  <c r="BM1747" i="12"/>
  <c r="CA1746" i="12"/>
  <c r="BM1746" i="12"/>
  <c r="CA1745" i="12"/>
  <c r="BM1745" i="12"/>
  <c r="CA1744" i="12"/>
  <c r="BM1744" i="12"/>
  <c r="CA1295" i="12"/>
  <c r="BM1295" i="12"/>
  <c r="CA1742" i="12"/>
  <c r="BM1742" i="12"/>
  <c r="CA1741" i="12"/>
  <c r="BM1741" i="12"/>
  <c r="CA1740" i="12"/>
  <c r="BM1740" i="12"/>
  <c r="CA1739" i="12"/>
  <c r="BM1739" i="12"/>
  <c r="CA1738" i="12"/>
  <c r="CA1737" i="12"/>
  <c r="BM1737" i="12"/>
  <c r="CA1736" i="12"/>
  <c r="CA1735" i="12"/>
  <c r="CA1734" i="12"/>
  <c r="BM1734" i="12"/>
  <c r="CA1733" i="12"/>
  <c r="BM1733" i="12"/>
  <c r="CA1732" i="12"/>
  <c r="BM1732" i="12"/>
  <c r="CA1731" i="12"/>
  <c r="CA1730" i="12"/>
  <c r="BM1730" i="12"/>
  <c r="CA1729" i="12"/>
  <c r="BM1729" i="12"/>
  <c r="CA1728" i="12"/>
  <c r="BM1728" i="12"/>
  <c r="CA1727" i="12"/>
  <c r="BM1727" i="12"/>
  <c r="CA1726" i="12"/>
  <c r="BM1726" i="12"/>
  <c r="CA1725" i="12"/>
  <c r="BM1725" i="12"/>
  <c r="CA1724" i="12"/>
  <c r="BM1724" i="12"/>
  <c r="CA1723" i="12"/>
  <c r="BM1723" i="12"/>
  <c r="CA1722" i="12"/>
  <c r="BM1722" i="12"/>
  <c r="CA1721" i="12"/>
  <c r="BM1721" i="12"/>
  <c r="CA1720" i="12"/>
  <c r="BM1720" i="12"/>
  <c r="CA1719" i="12"/>
  <c r="CA1718" i="12"/>
  <c r="CA1717" i="12"/>
  <c r="BM1717" i="12"/>
  <c r="CA1716" i="12"/>
  <c r="BM1716" i="12"/>
  <c r="CA1715" i="12"/>
  <c r="BM1715" i="12"/>
  <c r="CA1714" i="12"/>
  <c r="BM1714" i="12"/>
  <c r="CA1713" i="12"/>
  <c r="CA1712" i="12"/>
  <c r="BM1712" i="12"/>
  <c r="CA1711" i="12"/>
  <c r="BM1711" i="12"/>
  <c r="CA1710" i="12"/>
  <c r="BM1710" i="12"/>
  <c r="CA1709" i="12"/>
  <c r="BM1709" i="12"/>
  <c r="CA1708" i="12"/>
  <c r="BM1708" i="12"/>
  <c r="CA1707" i="12"/>
  <c r="CA1706" i="12"/>
  <c r="BM1706" i="12"/>
  <c r="CA1705" i="12"/>
  <c r="BM1705" i="12"/>
  <c r="CA1704" i="12"/>
  <c r="CA1703" i="12"/>
  <c r="CA1702" i="12"/>
  <c r="BM1702" i="12"/>
  <c r="CA1701" i="12"/>
  <c r="BM1701" i="12"/>
  <c r="CA342" i="12"/>
  <c r="BM342" i="12"/>
  <c r="CA1699" i="12"/>
  <c r="BM1699" i="12"/>
  <c r="CA1698" i="12"/>
  <c r="BM1698" i="12"/>
  <c r="CA1697" i="12"/>
  <c r="BM1697" i="12"/>
  <c r="CA1696" i="12"/>
  <c r="CA1695" i="12"/>
  <c r="CA1694" i="12"/>
  <c r="BM1694" i="12"/>
  <c r="CA1693" i="12"/>
  <c r="BM1693" i="12"/>
  <c r="CA1692" i="12"/>
  <c r="BM1692" i="12"/>
  <c r="CA1691" i="12"/>
  <c r="BM1691" i="12"/>
  <c r="CA1690" i="12"/>
  <c r="BM1690" i="12"/>
  <c r="CA1689" i="12"/>
  <c r="BM1689" i="12"/>
  <c r="CA1688" i="12"/>
  <c r="BM1688" i="12"/>
  <c r="CA1687" i="12"/>
  <c r="BM1687" i="12"/>
  <c r="CA1686" i="12"/>
  <c r="BM1686" i="12"/>
  <c r="CA1685" i="12"/>
  <c r="BM1685" i="12"/>
  <c r="CA1684" i="12"/>
  <c r="BM1684" i="12"/>
  <c r="CA1683" i="12"/>
  <c r="BM1683" i="12"/>
  <c r="CA1682" i="12"/>
  <c r="BM1682" i="12"/>
  <c r="CA1681" i="12"/>
  <c r="BM1681" i="12"/>
  <c r="CA1680" i="12"/>
  <c r="BM1680" i="12"/>
  <c r="CA1679" i="12"/>
  <c r="BM1679" i="12"/>
  <c r="CA1678" i="12"/>
  <c r="BM1678" i="12"/>
  <c r="CA1677" i="12"/>
  <c r="CA876" i="12"/>
  <c r="BM876" i="12"/>
  <c r="CA1675" i="12"/>
  <c r="BM1675" i="12"/>
  <c r="CA1674" i="12"/>
  <c r="BM1674" i="12"/>
  <c r="CA1673" i="12"/>
  <c r="BM1673" i="12"/>
  <c r="CA1672" i="12"/>
  <c r="BM1672" i="12"/>
  <c r="CA1671" i="12"/>
  <c r="BM1671" i="12"/>
  <c r="CA1670" i="12"/>
  <c r="BM1670" i="12"/>
  <c r="CA1669" i="12"/>
  <c r="CA1668" i="12"/>
  <c r="BM1668" i="12"/>
  <c r="CA1667" i="12"/>
  <c r="BM1667" i="12"/>
  <c r="CA1666" i="12"/>
  <c r="BM1666" i="12"/>
  <c r="CA1665" i="12"/>
  <c r="BM1665" i="12"/>
  <c r="CA1664" i="12"/>
  <c r="BM1664" i="12"/>
  <c r="CA1663" i="12"/>
  <c r="BM1663" i="12"/>
  <c r="CA1662" i="12"/>
  <c r="BM1662" i="12"/>
  <c r="CA1661" i="12"/>
  <c r="BM1661" i="12"/>
  <c r="CA301" i="12"/>
  <c r="BM301" i="12"/>
  <c r="CA1659" i="12"/>
  <c r="BM1659" i="12"/>
  <c r="CA1658" i="12"/>
  <c r="BM1658" i="12"/>
  <c r="CA1657" i="12"/>
  <c r="BM1657" i="12"/>
  <c r="CA1656" i="12"/>
  <c r="BM1656" i="12"/>
  <c r="CA1655" i="12"/>
  <c r="BM1655" i="12"/>
  <c r="CA1654" i="12"/>
  <c r="BM1654" i="12"/>
  <c r="CA1653" i="12"/>
  <c r="BM1653" i="12"/>
  <c r="CA1652" i="12"/>
  <c r="BM1652" i="12"/>
  <c r="CA1651" i="12"/>
  <c r="BM1651" i="12"/>
  <c r="CA1650" i="12"/>
  <c r="BM1650" i="12"/>
  <c r="CA1649" i="12"/>
  <c r="BM1649" i="12"/>
  <c r="CA1648" i="12"/>
  <c r="BM1648" i="12"/>
  <c r="CA1647" i="12"/>
  <c r="BM1647" i="12"/>
  <c r="CA1646" i="12"/>
  <c r="BM1646" i="12"/>
  <c r="CA1645" i="12"/>
  <c r="BM1645" i="12"/>
  <c r="CA1644" i="12"/>
  <c r="BM1644" i="12"/>
  <c r="CA1643" i="12"/>
  <c r="BM1643" i="12"/>
  <c r="CA1642" i="12"/>
  <c r="BM1642" i="12"/>
  <c r="CA1641" i="12"/>
  <c r="BM1641" i="12"/>
  <c r="CA1640" i="12"/>
  <c r="CA1639" i="12"/>
  <c r="BM1639" i="12"/>
  <c r="CA1638" i="12"/>
  <c r="BM1638" i="12"/>
  <c r="CA1637" i="12"/>
  <c r="BM1637" i="12"/>
  <c r="CA1636" i="12"/>
  <c r="BM1636" i="12"/>
  <c r="CA1635" i="12"/>
  <c r="BM1635" i="12"/>
  <c r="CA1634" i="12"/>
  <c r="BM1634" i="12"/>
  <c r="CA1633" i="12"/>
  <c r="BM1633" i="12"/>
  <c r="CA1632" i="12"/>
  <c r="BM1632" i="12"/>
  <c r="CA1631" i="12"/>
  <c r="BM1631" i="12"/>
  <c r="CA1630" i="12"/>
  <c r="BM1630" i="12"/>
  <c r="CA1629" i="12"/>
  <c r="BM1629" i="12"/>
  <c r="CA1628" i="12"/>
  <c r="BM1628" i="12"/>
  <c r="CA1627" i="12"/>
  <c r="BM1627" i="12"/>
  <c r="CA1626" i="12"/>
  <c r="BM1626" i="12"/>
  <c r="CA1625" i="12"/>
  <c r="BM1625" i="12"/>
  <c r="CA1624" i="12"/>
  <c r="BM1624" i="12"/>
  <c r="CA1623" i="12"/>
  <c r="BM1623" i="12"/>
  <c r="CA1622" i="12"/>
  <c r="BM1622" i="12"/>
  <c r="CA1621" i="12"/>
  <c r="BM1621" i="12"/>
  <c r="CA1620" i="12"/>
  <c r="BM1620" i="12"/>
  <c r="CA1619" i="12"/>
  <c r="BM1619" i="12"/>
  <c r="CA1618" i="12"/>
  <c r="BM1618" i="12"/>
  <c r="CA1617" i="12"/>
  <c r="BM1617" i="12"/>
  <c r="CA1616" i="12"/>
  <c r="BM1616" i="12"/>
  <c r="CA1615" i="12"/>
  <c r="BM1615" i="12"/>
  <c r="CA1614" i="12"/>
  <c r="BM1614" i="12"/>
  <c r="CA1613" i="12"/>
  <c r="BM1613" i="12"/>
  <c r="CA1612" i="12"/>
  <c r="BM1612" i="12"/>
  <c r="CA1611" i="12"/>
  <c r="BM1611" i="12"/>
  <c r="CA1610" i="12"/>
  <c r="BM1610" i="12"/>
  <c r="CA1609" i="12"/>
  <c r="BM1609" i="12"/>
  <c r="CA1608" i="12"/>
  <c r="BM1608" i="12"/>
  <c r="CA1607" i="12"/>
  <c r="BM1607" i="12"/>
  <c r="CA1606" i="12"/>
  <c r="BM1606" i="12"/>
  <c r="CA1605" i="12"/>
  <c r="BM1605" i="12"/>
  <c r="CA1604" i="12"/>
  <c r="BM1604" i="12"/>
  <c r="CA1603" i="12"/>
  <c r="BM1603" i="12"/>
  <c r="CA1602" i="12"/>
  <c r="BM1602" i="12"/>
  <c r="CA1863" i="12"/>
  <c r="BM1863" i="12"/>
  <c r="CA1600" i="12"/>
  <c r="BM1600" i="12"/>
  <c r="CA1599" i="12"/>
  <c r="BM1599" i="12"/>
  <c r="CA1598" i="12"/>
  <c r="CA1597" i="12"/>
  <c r="CA1596" i="12"/>
  <c r="CA1595" i="12"/>
  <c r="BM1595" i="12"/>
  <c r="CA1594" i="12"/>
  <c r="BM1594" i="12"/>
  <c r="CA1593" i="12"/>
  <c r="BM1593" i="12"/>
  <c r="CA1592" i="12"/>
  <c r="BM1592" i="12"/>
  <c r="CA1945" i="12"/>
  <c r="BM1945" i="12"/>
  <c r="CA1590" i="12"/>
  <c r="CA1589" i="12"/>
  <c r="BM1589" i="12"/>
  <c r="CA1275" i="12"/>
  <c r="BM1275" i="12"/>
  <c r="CA1587" i="12"/>
  <c r="BM1587" i="12"/>
  <c r="CA1586" i="12"/>
  <c r="BM1586" i="12"/>
  <c r="CA1585" i="12"/>
  <c r="BM1585" i="12"/>
  <c r="CA1584" i="12"/>
  <c r="CA1583" i="12"/>
  <c r="BM1583" i="12"/>
  <c r="CA1582" i="12"/>
  <c r="BM1582" i="12"/>
  <c r="CA1581" i="12"/>
  <c r="BM1581" i="12"/>
  <c r="CA1580" i="12"/>
  <c r="BM1580" i="12"/>
  <c r="CA1579" i="12"/>
  <c r="BM1579" i="12"/>
  <c r="CA1578" i="12"/>
  <c r="BM1578" i="12"/>
  <c r="CA1577" i="12"/>
  <c r="BM1577" i="12"/>
  <c r="CA1576" i="12"/>
  <c r="BM1576" i="12"/>
  <c r="CA1575" i="12"/>
  <c r="BM1575" i="12"/>
  <c r="CA1574" i="12"/>
  <c r="BM1574" i="12"/>
  <c r="CA1573" i="12"/>
  <c r="BM1573" i="12"/>
  <c r="CA1572" i="12"/>
  <c r="BM1572" i="12"/>
  <c r="CA1571" i="12"/>
  <c r="CA1570" i="12"/>
  <c r="CA1569" i="12"/>
  <c r="BM1569" i="12"/>
  <c r="CA1568" i="12"/>
  <c r="BM1568" i="12"/>
  <c r="CA1567" i="12"/>
  <c r="BM1567" i="12"/>
  <c r="CA1566" i="12"/>
  <c r="BM1566" i="12"/>
  <c r="CA1565" i="12"/>
  <c r="BM1565" i="12"/>
  <c r="CA1564" i="12"/>
  <c r="CA1563" i="12"/>
  <c r="BM1563" i="12"/>
  <c r="CA1562" i="12"/>
  <c r="BM1562" i="12"/>
  <c r="CA1561" i="12"/>
  <c r="BM1561" i="12"/>
  <c r="CA385" i="12"/>
  <c r="CA1559" i="12"/>
  <c r="BM1559" i="12"/>
  <c r="CA1558" i="12"/>
  <c r="BM1558" i="12"/>
  <c r="CA1557" i="12"/>
  <c r="BM1557" i="12"/>
  <c r="CA1556" i="12"/>
  <c r="BM1556" i="12"/>
  <c r="CA1555" i="12"/>
  <c r="BM1555" i="12"/>
  <c r="CA1554" i="12"/>
  <c r="BM1554" i="12"/>
  <c r="CA1553" i="12"/>
  <c r="BM1553" i="12"/>
  <c r="CA1552" i="12"/>
  <c r="CA1551" i="12"/>
  <c r="BM1551" i="12"/>
  <c r="CA925" i="12"/>
  <c r="BM925" i="12"/>
  <c r="CA1549" i="12"/>
  <c r="BM1549" i="12"/>
  <c r="CA1548" i="12"/>
  <c r="CA1547" i="12"/>
  <c r="BM1547" i="12"/>
  <c r="CA1546" i="12"/>
  <c r="BM1546" i="12"/>
  <c r="CA1545" i="12"/>
  <c r="BM1545" i="12"/>
  <c r="CA1544" i="12"/>
  <c r="BM1544" i="12"/>
  <c r="CA1543" i="12"/>
  <c r="BM1543" i="12"/>
  <c r="CA1542" i="12"/>
  <c r="BM1542" i="12"/>
  <c r="CA1541" i="12"/>
  <c r="BM1541" i="12"/>
  <c r="CA1540" i="12"/>
  <c r="CA1539" i="12"/>
  <c r="BM1539" i="12"/>
  <c r="CA251" i="12"/>
  <c r="BM251" i="12"/>
  <c r="CA1537" i="12"/>
  <c r="BM1537" i="12"/>
  <c r="CA1536" i="12"/>
  <c r="BM1536" i="12"/>
  <c r="CA1535" i="12"/>
  <c r="BM1535" i="12"/>
  <c r="CA1534" i="12"/>
  <c r="BM1534" i="12"/>
  <c r="CA1533" i="12"/>
  <c r="BM1533" i="12"/>
  <c r="CA1532" i="12"/>
  <c r="BM1532" i="12"/>
  <c r="CA1531" i="12"/>
  <c r="BM1531" i="12"/>
  <c r="CA1530" i="12"/>
  <c r="BM1530" i="12"/>
  <c r="CA1529" i="12"/>
  <c r="BM1529" i="12"/>
  <c r="CA1528" i="12"/>
  <c r="CA1527" i="12"/>
  <c r="BM1527" i="12"/>
  <c r="CA196" i="12"/>
  <c r="BM196" i="12"/>
  <c r="CA1525" i="12"/>
  <c r="BM1525" i="12"/>
  <c r="CA1524" i="12"/>
  <c r="BM1524" i="12"/>
  <c r="CA1523" i="12"/>
  <c r="CA1522" i="12"/>
  <c r="BM1522" i="12"/>
  <c r="CA1521" i="12"/>
  <c r="BM1521" i="12"/>
  <c r="CA1520" i="12"/>
  <c r="BM1520" i="12"/>
  <c r="CA1519" i="12"/>
  <c r="CA1518" i="12"/>
  <c r="CA1517" i="12"/>
  <c r="BM1517" i="12"/>
  <c r="CA1516" i="12"/>
  <c r="BM1516" i="12"/>
  <c r="CA1515" i="12"/>
  <c r="BM1515" i="12"/>
  <c r="CA1514" i="12"/>
  <c r="BM1514" i="12"/>
  <c r="CA1513" i="12"/>
  <c r="BM1513" i="12"/>
  <c r="CA1512" i="12"/>
  <c r="BM1512" i="12"/>
  <c r="CA1511" i="12"/>
  <c r="BM1511" i="12"/>
  <c r="CA1510" i="12"/>
  <c r="BM1510" i="12"/>
  <c r="CA1509" i="12"/>
  <c r="BM1509" i="12"/>
  <c r="CA1508" i="12"/>
  <c r="BM1508" i="12"/>
  <c r="CA1507" i="12"/>
  <c r="BM1507" i="12"/>
  <c r="CA1506" i="12"/>
  <c r="BM1506" i="12"/>
  <c r="CA1505" i="12"/>
  <c r="BM1505" i="12"/>
  <c r="CA1504" i="12"/>
  <c r="CA1503" i="12"/>
  <c r="BM1503" i="12"/>
  <c r="CA1502" i="12"/>
  <c r="BM1502" i="12"/>
  <c r="CA1501" i="12"/>
  <c r="BM1501" i="12"/>
  <c r="CA1500" i="12"/>
  <c r="BM1500" i="12"/>
  <c r="CA1499" i="12"/>
  <c r="BM1499" i="12"/>
  <c r="CA1498" i="12"/>
  <c r="BM1498" i="12"/>
  <c r="CA1497" i="12"/>
  <c r="BM1497" i="12"/>
  <c r="CA1496" i="12"/>
  <c r="BM1496" i="12"/>
  <c r="CA1495" i="12"/>
  <c r="BM1495" i="12"/>
  <c r="CA1494" i="12"/>
  <c r="BM1494" i="12"/>
  <c r="CA1493" i="12"/>
  <c r="BM1493" i="12"/>
  <c r="CA1492" i="12"/>
  <c r="BM1492" i="12"/>
  <c r="CA1491" i="12"/>
  <c r="BM1491" i="12"/>
  <c r="CA1490" i="12"/>
  <c r="BM1490" i="12"/>
  <c r="CA1489" i="12"/>
  <c r="BM1489" i="12"/>
  <c r="CA1488" i="12"/>
  <c r="CA1487" i="12"/>
  <c r="CA1486" i="12"/>
  <c r="BM1486" i="12"/>
  <c r="CA1485" i="12"/>
  <c r="BM1485" i="12"/>
  <c r="CA1484" i="12"/>
  <c r="BM1484" i="12"/>
  <c r="CA1483" i="12"/>
  <c r="BM1483" i="12"/>
  <c r="CA1482" i="12"/>
  <c r="BM1482" i="12"/>
  <c r="CA1481" i="12"/>
  <c r="BM1481" i="12"/>
  <c r="CA1480" i="12"/>
  <c r="BM1480" i="12"/>
  <c r="CA1479" i="12"/>
  <c r="BM1479" i="12"/>
  <c r="CA1478" i="12"/>
  <c r="BM1478" i="12"/>
  <c r="CA1477" i="12"/>
  <c r="CA1476" i="12"/>
  <c r="BM1476" i="12"/>
  <c r="CA1475" i="12"/>
  <c r="BM1475" i="12"/>
  <c r="CA1474" i="12"/>
  <c r="BM1474" i="12"/>
  <c r="CA1473" i="12"/>
  <c r="BM1473" i="12"/>
  <c r="CA1472" i="12"/>
  <c r="BM1472" i="12"/>
  <c r="CA1471" i="12"/>
  <c r="BM1471" i="12"/>
  <c r="CA1470" i="12"/>
  <c r="BM1470" i="12"/>
  <c r="CA1469" i="12"/>
  <c r="BM1469" i="12"/>
  <c r="CA1468" i="12"/>
  <c r="CA1467" i="12"/>
  <c r="BM1467" i="12"/>
  <c r="CA1466" i="12"/>
  <c r="BM1466" i="12"/>
  <c r="CA1465" i="12"/>
  <c r="BM1465" i="12"/>
  <c r="CA1464" i="12"/>
  <c r="BM1464" i="12"/>
  <c r="CA1463" i="12"/>
  <c r="BM1463" i="12"/>
  <c r="CA1462" i="12"/>
  <c r="BM1462" i="12"/>
  <c r="CA1461" i="12"/>
  <c r="BM1461" i="12"/>
  <c r="CA1460" i="12"/>
  <c r="BM1460" i="12"/>
  <c r="CA1459" i="12"/>
  <c r="BM1459" i="12"/>
  <c r="CA1458" i="12"/>
  <c r="BM1458" i="12"/>
  <c r="CA1457" i="12"/>
  <c r="BM1457" i="12"/>
  <c r="CA1456" i="12"/>
  <c r="BM1456" i="12"/>
  <c r="CA1455" i="12"/>
  <c r="CA1454" i="12"/>
  <c r="BM1454" i="12"/>
  <c r="CA1453" i="12"/>
  <c r="BM1453" i="12"/>
  <c r="CA1452" i="12"/>
  <c r="BM1452" i="12"/>
  <c r="CA1451" i="12"/>
  <c r="BM1451" i="12"/>
  <c r="CA1450" i="12"/>
  <c r="BM1450" i="12"/>
  <c r="CA1449" i="12"/>
  <c r="BM1449" i="12"/>
  <c r="CA1448" i="12"/>
  <c r="CA1447" i="12"/>
  <c r="BM1447" i="12"/>
  <c r="CA1446" i="12"/>
  <c r="BM1446" i="12"/>
  <c r="CA1445" i="12"/>
  <c r="CA1444" i="12"/>
  <c r="BM1444" i="12"/>
  <c r="CA1443" i="12"/>
  <c r="BM1443" i="12"/>
  <c r="CA1442" i="12"/>
  <c r="BM1442" i="12"/>
  <c r="CA1441" i="12"/>
  <c r="BM1441" i="12"/>
  <c r="CA1440" i="12"/>
  <c r="BM1440" i="12"/>
  <c r="CA1439" i="12"/>
  <c r="BM1439" i="12"/>
  <c r="CA1438" i="12"/>
  <c r="BM1438" i="12"/>
  <c r="CA1437" i="12"/>
  <c r="CA1436" i="12"/>
  <c r="CA1435" i="12"/>
  <c r="BM1435" i="12"/>
  <c r="CA1434" i="12"/>
  <c r="BM1434" i="12"/>
  <c r="CA1433" i="12"/>
  <c r="BM1433" i="12"/>
  <c r="CA1432" i="12"/>
  <c r="BM1432" i="12"/>
  <c r="CA1431" i="12"/>
  <c r="BM1431" i="12"/>
  <c r="CA1430" i="12"/>
  <c r="BM1430" i="12"/>
  <c r="CA1429" i="12"/>
  <c r="BM1429" i="12"/>
  <c r="CA1428" i="12"/>
  <c r="CA1427" i="12"/>
  <c r="BM1427" i="12"/>
  <c r="CA1426" i="12"/>
  <c r="BM1426" i="12"/>
  <c r="CA1425" i="12"/>
  <c r="BM1425" i="12"/>
  <c r="CA1424" i="12"/>
  <c r="CA1423" i="12"/>
  <c r="BM1423" i="12"/>
  <c r="CA1422" i="12"/>
  <c r="BM1422" i="12"/>
  <c r="CA1421" i="12"/>
  <c r="BM1421" i="12"/>
  <c r="CA1420" i="12"/>
  <c r="BM1420" i="12"/>
  <c r="CA1419" i="12"/>
  <c r="CA1418" i="12"/>
  <c r="BM1418" i="12"/>
  <c r="CA1417" i="12"/>
  <c r="BM1417" i="12"/>
  <c r="CA1416" i="12"/>
  <c r="BM1416" i="12"/>
  <c r="CA1415" i="12"/>
  <c r="BM1415" i="12"/>
  <c r="CA1414" i="12"/>
  <c r="CA1413" i="12"/>
  <c r="BM1413" i="12"/>
  <c r="CA1412" i="12"/>
  <c r="BM1412" i="12"/>
  <c r="CA1411" i="12"/>
  <c r="BM1411" i="12"/>
  <c r="CA1410" i="12"/>
  <c r="BM1410" i="12"/>
  <c r="CA1409" i="12"/>
  <c r="BM1409" i="12"/>
  <c r="CA1408" i="12"/>
  <c r="BM1408" i="12"/>
  <c r="CA1407" i="12"/>
  <c r="BM1407" i="12"/>
  <c r="CA1406" i="12"/>
  <c r="BM1406" i="12"/>
  <c r="CA1405" i="12"/>
  <c r="BM1405" i="12"/>
  <c r="CA1404" i="12"/>
  <c r="CA598" i="12"/>
  <c r="BM598" i="12"/>
  <c r="CA1402" i="12"/>
  <c r="BM1402" i="12"/>
  <c r="CA1401" i="12"/>
  <c r="BM1401" i="12"/>
  <c r="CA1400" i="12"/>
  <c r="BM1400" i="12"/>
  <c r="CA1399" i="12"/>
  <c r="BM1399" i="12"/>
  <c r="CA1398" i="12"/>
  <c r="BM1398" i="12"/>
  <c r="CA1397" i="12"/>
  <c r="BM1397" i="12"/>
  <c r="CA1396" i="12"/>
  <c r="BM1396" i="12"/>
  <c r="CA1395" i="12"/>
  <c r="BM1395" i="12"/>
  <c r="CA1394" i="12"/>
  <c r="BM1394" i="12"/>
  <c r="CA1393" i="12"/>
  <c r="CA1392" i="12"/>
  <c r="BM1392" i="12"/>
  <c r="CA1391" i="12"/>
  <c r="CA1390" i="12"/>
  <c r="BM1390" i="12"/>
  <c r="CA1389" i="12"/>
  <c r="BM1389" i="12"/>
  <c r="CA1388" i="12"/>
  <c r="BM1388" i="12"/>
  <c r="CA1387" i="12"/>
  <c r="BM1387" i="12"/>
  <c r="CA1386" i="12"/>
  <c r="BM1386" i="12"/>
  <c r="CA1385" i="12"/>
  <c r="BM1385" i="12"/>
  <c r="CA1384" i="12"/>
  <c r="BM1384" i="12"/>
  <c r="CA807" i="12"/>
  <c r="BM807" i="12"/>
  <c r="CA1382" i="12"/>
  <c r="BM1382" i="12"/>
  <c r="CA1381" i="12"/>
  <c r="BM1381" i="12"/>
  <c r="CA1380" i="12"/>
  <c r="BM1380" i="12"/>
  <c r="CA1260" i="12"/>
  <c r="BM1260" i="12"/>
  <c r="CA1378" i="12"/>
  <c r="CA1377" i="12"/>
  <c r="BM1377" i="12"/>
  <c r="CA1376" i="12"/>
  <c r="BM1376" i="12"/>
  <c r="CA1375" i="12"/>
  <c r="BM1375" i="12"/>
  <c r="CA1374" i="12"/>
  <c r="BM1374" i="12"/>
  <c r="CA1373" i="12"/>
  <c r="BM1373" i="12"/>
  <c r="CA1372" i="12"/>
  <c r="BM1372" i="12"/>
  <c r="CA1371" i="12"/>
  <c r="BM1371" i="12"/>
  <c r="CA1370" i="12"/>
  <c r="BM1370" i="12"/>
  <c r="CA1369" i="12"/>
  <c r="CA1368" i="12"/>
  <c r="BM1368" i="12"/>
  <c r="CA1367" i="12"/>
  <c r="BM1367" i="12"/>
  <c r="CA1366" i="12"/>
  <c r="CA1365" i="12"/>
  <c r="BM1365" i="12"/>
  <c r="CA1364" i="12"/>
  <c r="BM1364" i="12"/>
  <c r="CA1363" i="12"/>
  <c r="CA1362" i="12"/>
  <c r="BM1362" i="12"/>
  <c r="CA1361" i="12"/>
  <c r="CA1360" i="12"/>
  <c r="BM1360" i="12"/>
  <c r="CA1359" i="12"/>
  <c r="BM1359" i="12"/>
  <c r="CA1942" i="12"/>
  <c r="BM1942" i="12"/>
  <c r="CA1357" i="12"/>
  <c r="BM1357" i="12"/>
  <c r="CA1356" i="12"/>
  <c r="BM1356" i="12"/>
  <c r="CA1355" i="12"/>
  <c r="BM1355" i="12"/>
  <c r="CA1354" i="12"/>
  <c r="CA1353" i="12"/>
  <c r="BM1353" i="12"/>
  <c r="CA1352" i="12"/>
  <c r="CA1351" i="12"/>
  <c r="BM1351" i="12"/>
  <c r="CA1350" i="12"/>
  <c r="BM1350" i="12"/>
  <c r="CA1349" i="12"/>
  <c r="BM1349" i="12"/>
  <c r="CA1348" i="12"/>
  <c r="BM1348" i="12"/>
  <c r="CA1347" i="12"/>
  <c r="CA1346" i="12"/>
  <c r="BM1346" i="12"/>
  <c r="CA1345" i="12"/>
  <c r="BM1345" i="12"/>
  <c r="CA1344" i="12"/>
  <c r="BM1344" i="12"/>
  <c r="CA1343" i="12"/>
  <c r="BM1343" i="12"/>
  <c r="CA1342" i="12"/>
  <c r="BM1342" i="12"/>
  <c r="CA890" i="12"/>
  <c r="BM890" i="12"/>
  <c r="CA1340" i="12"/>
  <c r="BM1340" i="12"/>
  <c r="CA1339" i="12"/>
  <c r="BM1339" i="12"/>
  <c r="CA1338" i="12"/>
  <c r="BM1338" i="12"/>
  <c r="CA1337" i="12"/>
  <c r="CA1336" i="12"/>
  <c r="BM1336" i="12"/>
  <c r="CA1335" i="12"/>
  <c r="BM1335" i="12"/>
  <c r="CA1334" i="12"/>
  <c r="BM1334" i="12"/>
  <c r="CA1333" i="12"/>
  <c r="BM1333" i="12"/>
  <c r="CA1332" i="12"/>
  <c r="BM1332" i="12"/>
  <c r="CA1331" i="12"/>
  <c r="BM1331" i="12"/>
  <c r="CA1330" i="12"/>
  <c r="BM1330" i="12"/>
  <c r="CA1329" i="12"/>
  <c r="BM1329" i="12"/>
  <c r="CA1328" i="12"/>
  <c r="BM1328" i="12"/>
  <c r="CA1327" i="12"/>
  <c r="BM1327" i="12"/>
  <c r="CA1326" i="12"/>
  <c r="BM1326" i="12"/>
  <c r="CA1325" i="12"/>
  <c r="BM1325" i="12"/>
  <c r="CA1324" i="12"/>
  <c r="BM1324" i="12"/>
  <c r="CA1323" i="12"/>
  <c r="BM1323" i="12"/>
  <c r="CA1322" i="12"/>
  <c r="BM1322" i="12"/>
  <c r="CA1321" i="12"/>
  <c r="BM1321" i="12"/>
  <c r="CA1320" i="12"/>
  <c r="BM1320" i="12"/>
  <c r="CA1319" i="12"/>
  <c r="BM1319" i="12"/>
  <c r="CA1318" i="12"/>
  <c r="BM1318" i="12"/>
  <c r="CA1317" i="12"/>
  <c r="BM1317" i="12"/>
  <c r="CA1316" i="12"/>
  <c r="BM1316" i="12"/>
  <c r="CA1315" i="12"/>
  <c r="CA1314" i="12"/>
  <c r="BM1314" i="12"/>
  <c r="CA1313" i="12"/>
  <c r="BM1313" i="12"/>
  <c r="CA1312" i="12"/>
  <c r="BM1312" i="12"/>
  <c r="CA1311" i="12"/>
  <c r="BM1311" i="12"/>
  <c r="CA1310" i="12"/>
  <c r="CA1309" i="12"/>
  <c r="BM1309" i="12"/>
  <c r="CA1308" i="12"/>
  <c r="BM1308" i="12"/>
  <c r="CA1307" i="12"/>
  <c r="BM1307" i="12"/>
  <c r="CA1306" i="12"/>
  <c r="BM1306" i="12"/>
  <c r="CA1305" i="12"/>
  <c r="BM1305" i="12"/>
  <c r="CA1304" i="12"/>
  <c r="BM1304" i="12"/>
  <c r="CA1303" i="12"/>
  <c r="BM1303" i="12"/>
  <c r="CA1302" i="12"/>
  <c r="CA1301" i="12"/>
  <c r="BM1301" i="12"/>
  <c r="CA1300" i="12"/>
  <c r="BM1300" i="12"/>
  <c r="CA1299" i="12"/>
  <c r="BM1299" i="12"/>
  <c r="CA1298" i="12"/>
  <c r="BM1298" i="12"/>
  <c r="CA1297" i="12"/>
  <c r="BM1297" i="12"/>
  <c r="CA1296" i="12"/>
  <c r="BM1296" i="12"/>
  <c r="CA1794" i="12"/>
  <c r="BM1794" i="12"/>
  <c r="CA1294" i="12"/>
  <c r="BM1294" i="12"/>
  <c r="CA1293" i="12"/>
  <c r="BM1293" i="12"/>
  <c r="CA1292" i="12"/>
  <c r="BM1292" i="12"/>
  <c r="CA1291" i="12"/>
  <c r="CA1290" i="12"/>
  <c r="BM1290" i="12"/>
  <c r="CA1289" i="12"/>
  <c r="BM1289" i="12"/>
  <c r="CA1288" i="12"/>
  <c r="BM1288" i="12"/>
  <c r="CA1287" i="12"/>
  <c r="BM1287" i="12"/>
  <c r="CA1286" i="12"/>
  <c r="BM1286" i="12"/>
  <c r="CA1285" i="12"/>
  <c r="BM1285" i="12"/>
  <c r="CA1284" i="12"/>
  <c r="BM1284" i="12"/>
  <c r="CA1283" i="12"/>
  <c r="BM1283" i="12"/>
  <c r="CA1282" i="12"/>
  <c r="CA1281" i="12"/>
  <c r="BM1281" i="12"/>
  <c r="CA1280" i="12"/>
  <c r="BM1280" i="12"/>
  <c r="CA1279" i="12"/>
  <c r="BM1279" i="12"/>
  <c r="CA1278" i="12"/>
  <c r="BM1278" i="12"/>
  <c r="CA1277" i="12"/>
  <c r="BM1277" i="12"/>
  <c r="CA176" i="12"/>
  <c r="BM176" i="12"/>
  <c r="CA1538" i="12"/>
  <c r="BM1538" i="12"/>
  <c r="CA1274" i="12"/>
  <c r="BM1274" i="12"/>
  <c r="CA1273" i="12"/>
  <c r="BM1273" i="12"/>
  <c r="CA1272" i="12"/>
  <c r="CA1271" i="12"/>
  <c r="BM1271" i="12"/>
  <c r="CA1270" i="12"/>
  <c r="BM1270" i="12"/>
  <c r="CA1269" i="12"/>
  <c r="BM1269" i="12"/>
  <c r="CA1268" i="12"/>
  <c r="CA1267" i="12"/>
  <c r="BM1267" i="12"/>
  <c r="CA1266" i="12"/>
  <c r="BM1266" i="12"/>
  <c r="CA1265" i="12"/>
  <c r="BM1265" i="12"/>
  <c r="CA1264" i="12"/>
  <c r="BM1264" i="12"/>
  <c r="CA1263" i="12"/>
  <c r="BM1263" i="12"/>
  <c r="CA1262" i="12"/>
  <c r="CA1261" i="12"/>
  <c r="BM1261" i="12"/>
  <c r="CA387" i="12"/>
  <c r="BM387" i="12"/>
  <c r="CA1259" i="12"/>
  <c r="CA1258" i="12"/>
  <c r="BM1258" i="12"/>
  <c r="CA1257" i="12"/>
  <c r="BM1257" i="12"/>
  <c r="CA1256" i="12"/>
  <c r="BM1256" i="12"/>
  <c r="CA1255" i="12"/>
  <c r="BM1255" i="12"/>
  <c r="CA1254" i="12"/>
  <c r="BM1254" i="12"/>
  <c r="CA1253" i="12"/>
  <c r="BM1253" i="12"/>
  <c r="CA1550" i="12"/>
  <c r="BM1550" i="12"/>
  <c r="CA1251" i="12"/>
  <c r="BM1251" i="12"/>
  <c r="CA1250" i="12"/>
  <c r="BM1250" i="12"/>
  <c r="CA1249" i="12"/>
  <c r="BM1249" i="12"/>
  <c r="CA1248" i="12"/>
  <c r="BM1248" i="12"/>
  <c r="CA427" i="12"/>
  <c r="CA1246" i="12"/>
  <c r="BM1246" i="12"/>
  <c r="CA108" i="12"/>
  <c r="BM108" i="12"/>
  <c r="CA1244" i="12"/>
  <c r="BM1244" i="12"/>
  <c r="CA1243" i="12"/>
  <c r="BM1243" i="12"/>
  <c r="CA1242" i="12"/>
  <c r="CA1241" i="12"/>
  <c r="CA1240" i="12"/>
  <c r="BM1240" i="12"/>
  <c r="CA1239" i="12"/>
  <c r="BM1239" i="12"/>
  <c r="CA1238" i="12"/>
  <c r="BM1238" i="12"/>
  <c r="CA1237" i="12"/>
  <c r="BM1237" i="12"/>
  <c r="CA1236" i="12"/>
  <c r="BM1236" i="12"/>
  <c r="CA1235" i="12"/>
  <c r="BM1235" i="12"/>
  <c r="CA1234" i="12"/>
  <c r="CA1233" i="12"/>
  <c r="CA1232" i="12"/>
  <c r="BM1232" i="12"/>
  <c r="CA1231" i="12"/>
  <c r="BM1231" i="12"/>
  <c r="CA1230" i="12"/>
  <c r="BM1230" i="12"/>
  <c r="CA1229" i="12"/>
  <c r="BM1229" i="12"/>
  <c r="CA1228" i="12"/>
  <c r="BM1228" i="12"/>
  <c r="CA1227" i="12"/>
  <c r="BM1227" i="12"/>
  <c r="CA1226" i="12"/>
  <c r="BM1226" i="12"/>
  <c r="CA1225" i="12"/>
  <c r="BM1225" i="12"/>
  <c r="CA1224" i="12"/>
  <c r="BM1224" i="12"/>
  <c r="CA1223" i="12"/>
  <c r="BM1223" i="12"/>
  <c r="CA1222" i="12"/>
  <c r="BM1222" i="12"/>
  <c r="CA1221" i="12"/>
  <c r="BM1221" i="12"/>
  <c r="CA1220" i="12"/>
  <c r="BM1220" i="12"/>
  <c r="CA1219" i="12"/>
  <c r="BM1219" i="12"/>
  <c r="CA1218" i="12"/>
  <c r="BM1218" i="12"/>
  <c r="CA1217" i="12"/>
  <c r="BM1217" i="12"/>
  <c r="CA1216" i="12"/>
  <c r="BM1216" i="12"/>
  <c r="CA1215" i="12"/>
  <c r="BM1215" i="12"/>
  <c r="CA1214" i="12"/>
  <c r="BM1214" i="12"/>
  <c r="CA1379" i="12"/>
  <c r="CA1212" i="12"/>
  <c r="BM1212" i="12"/>
  <c r="CA1211" i="12"/>
  <c r="BM1211" i="12"/>
  <c r="CA1210" i="12"/>
  <c r="CA1209" i="12"/>
  <c r="BM1209" i="12"/>
  <c r="CA1208" i="12"/>
  <c r="BM1208" i="12"/>
  <c r="CA1207" i="12"/>
  <c r="BM1207" i="12"/>
  <c r="CA1206" i="12"/>
  <c r="BM1206" i="12"/>
  <c r="CA1205" i="12"/>
  <c r="BM1205" i="12"/>
  <c r="CA1204" i="12"/>
  <c r="BM1204" i="12"/>
  <c r="CA1203" i="12"/>
  <c r="BM1203" i="12"/>
  <c r="CA1202" i="12"/>
  <c r="BM1202" i="12"/>
  <c r="CA1201" i="12"/>
  <c r="CA1200" i="12"/>
  <c r="BM1200" i="12"/>
  <c r="CA1199" i="12"/>
  <c r="BM1199" i="12"/>
  <c r="CA1198" i="12"/>
  <c r="BM1198" i="12"/>
  <c r="CA1197" i="12"/>
  <c r="BM1197" i="12"/>
  <c r="CA1196" i="12"/>
  <c r="BM1196" i="12"/>
  <c r="CA1195" i="12"/>
  <c r="BM1195" i="12"/>
  <c r="CA1194" i="12"/>
  <c r="BM1194" i="12"/>
  <c r="CA1193" i="12"/>
  <c r="BM1193" i="12"/>
  <c r="CA1192" i="12"/>
  <c r="BM1192" i="12"/>
  <c r="CA1191" i="12"/>
  <c r="BM1191" i="12"/>
  <c r="CA1190" i="12"/>
  <c r="BM1190" i="12"/>
  <c r="CA1189" i="12"/>
  <c r="BM1189" i="12"/>
  <c r="CA1188" i="12"/>
  <c r="BM1188" i="12"/>
  <c r="CA1187" i="12"/>
  <c r="BM1187" i="12"/>
  <c r="CA1186" i="12"/>
  <c r="BM1186" i="12"/>
  <c r="CA1185" i="12"/>
  <c r="BM1185" i="12"/>
  <c r="CA1184" i="12"/>
  <c r="BM1184" i="12"/>
  <c r="CA1183" i="12"/>
  <c r="BM1183" i="12"/>
  <c r="CA1182" i="12"/>
  <c r="BM1182" i="12"/>
  <c r="CA1181" i="12"/>
  <c r="BM1181" i="12"/>
  <c r="CA1180" i="12"/>
  <c r="BM1180" i="12"/>
  <c r="CA1179" i="12"/>
  <c r="CA1178" i="12"/>
  <c r="BM1178" i="12"/>
  <c r="CA1177" i="12"/>
  <c r="BM1177" i="12"/>
  <c r="CA1176" i="12"/>
  <c r="BM1176" i="12"/>
  <c r="CA1175" i="12"/>
  <c r="BM1175" i="12"/>
  <c r="CA1174" i="12"/>
  <c r="BM1174" i="12"/>
  <c r="CA1173" i="12"/>
  <c r="BM1173" i="12"/>
  <c r="CA1172" i="12"/>
  <c r="BM1172" i="12"/>
  <c r="CA1171" i="12"/>
  <c r="BM1171" i="12"/>
  <c r="CA1170" i="12"/>
  <c r="CA1169" i="12"/>
  <c r="BM1169" i="12"/>
  <c r="CA1168" i="12"/>
  <c r="CA1167" i="12"/>
  <c r="BM1167" i="12"/>
  <c r="CA1166" i="12"/>
  <c r="BM1166" i="12"/>
  <c r="CA1165" i="12"/>
  <c r="BM1165" i="12"/>
  <c r="CA1164" i="12"/>
  <c r="BM1164" i="12"/>
  <c r="CA1163" i="12"/>
  <c r="BM1163" i="12"/>
  <c r="CA1162" i="12"/>
  <c r="BM1162" i="12"/>
  <c r="CA1161" i="12"/>
  <c r="BM1161" i="12"/>
  <c r="CA1160" i="12"/>
  <c r="BM1160" i="12"/>
  <c r="CA1159" i="12"/>
  <c r="BM1159" i="12"/>
  <c r="CA1158" i="12"/>
  <c r="BM1158" i="12"/>
  <c r="CA1157" i="12"/>
  <c r="BM1157" i="12"/>
  <c r="CA1156" i="12"/>
  <c r="BM1156" i="12"/>
  <c r="CA1155" i="12"/>
  <c r="BM1155" i="12"/>
  <c r="CA1154" i="12"/>
  <c r="BM1154" i="12"/>
  <c r="CA1777" i="12"/>
  <c r="CA1152" i="12"/>
  <c r="BM1152" i="12"/>
  <c r="CA1151" i="12"/>
  <c r="BM1151" i="12"/>
  <c r="CA1150" i="12"/>
  <c r="CA1149" i="12"/>
  <c r="CA1148" i="12"/>
  <c r="BM1148" i="12"/>
  <c r="CA1147" i="12"/>
  <c r="CA1146" i="12"/>
  <c r="BM1146" i="12"/>
  <c r="CA1145" i="12"/>
  <c r="BM1145" i="12"/>
  <c r="CA1144" i="12"/>
  <c r="BM1144" i="12"/>
  <c r="CA1143" i="12"/>
  <c r="CA1142" i="12"/>
  <c r="BM1142" i="12"/>
  <c r="CA1141" i="12"/>
  <c r="CA1140" i="12"/>
  <c r="BM1140" i="12"/>
  <c r="CA1139" i="12"/>
  <c r="BM1139" i="12"/>
  <c r="CA1138" i="12"/>
  <c r="BM1138" i="12"/>
  <c r="CA1137" i="12"/>
  <c r="BM1137" i="12"/>
  <c r="CA1136" i="12"/>
  <c r="BM1136" i="12"/>
  <c r="CA1135" i="12"/>
  <c r="BM1135" i="12"/>
  <c r="CA1134" i="12"/>
  <c r="BM1134" i="12"/>
  <c r="CA1133" i="12"/>
  <c r="BM1133" i="12"/>
  <c r="CA1132" i="12"/>
  <c r="BM1132" i="12"/>
  <c r="CA1131" i="12"/>
  <c r="BM1131" i="12"/>
  <c r="CA1130" i="12"/>
  <c r="BM1130" i="12"/>
  <c r="CA1129" i="12"/>
  <c r="BM1129" i="12"/>
  <c r="CA1128" i="12"/>
  <c r="CA1127" i="12"/>
  <c r="BM1127" i="12"/>
  <c r="CA1126" i="12"/>
  <c r="BM1126" i="12"/>
  <c r="CA1125" i="12"/>
  <c r="BM1125" i="12"/>
  <c r="CA1124" i="12"/>
  <c r="BM1124" i="12"/>
  <c r="CA1123" i="12"/>
  <c r="BM1123" i="12"/>
  <c r="CA1122" i="12"/>
  <c r="BM1122" i="12"/>
  <c r="CA1121" i="12"/>
  <c r="BM1121" i="12"/>
  <c r="CA1120" i="12"/>
  <c r="BM1120" i="12"/>
  <c r="CA1119" i="12"/>
  <c r="BM1119" i="12"/>
  <c r="CA1118" i="12"/>
  <c r="BM1118" i="12"/>
  <c r="CA1117" i="12"/>
  <c r="BM1117" i="12"/>
  <c r="CA1116" i="12"/>
  <c r="BM1116" i="12"/>
  <c r="CA1115" i="12"/>
  <c r="BM1115" i="12"/>
  <c r="CA1114" i="12"/>
  <c r="CA1113" i="12"/>
  <c r="CA1112" i="12"/>
  <c r="BM1112" i="12"/>
  <c r="CA1111" i="12"/>
  <c r="BM1111" i="12"/>
  <c r="CA1110" i="12"/>
  <c r="BM1110" i="12"/>
  <c r="CA1109" i="12"/>
  <c r="BM1109" i="12"/>
  <c r="CA1108" i="12"/>
  <c r="BM1108" i="12"/>
  <c r="CA1107" i="12"/>
  <c r="BM1107" i="12"/>
  <c r="CA1106" i="12"/>
  <c r="BM1106" i="12"/>
  <c r="CA1105" i="12"/>
  <c r="BM1105" i="12"/>
  <c r="CA1104" i="12"/>
  <c r="CA1103" i="12"/>
  <c r="BM1103" i="12"/>
  <c r="CA1102" i="12"/>
  <c r="BM1102" i="12"/>
  <c r="CA1101" i="12"/>
  <c r="BM1101" i="12"/>
  <c r="CA1100" i="12"/>
  <c r="BM1100" i="12"/>
  <c r="CA1099" i="12"/>
  <c r="BM1099" i="12"/>
  <c r="CA1098" i="12"/>
  <c r="BM1098" i="12"/>
  <c r="CA1097" i="12"/>
  <c r="BM1097" i="12"/>
  <c r="CA1096" i="12"/>
  <c r="BM1096" i="12"/>
  <c r="CA1095" i="12"/>
  <c r="BM1095" i="12"/>
  <c r="CA1094" i="12"/>
  <c r="BM1094" i="12"/>
  <c r="CA1093" i="12"/>
  <c r="BM1093" i="12"/>
  <c r="CA1092" i="12"/>
  <c r="BM1092" i="12"/>
  <c r="CA1091" i="12"/>
  <c r="BM1091" i="12"/>
  <c r="CA1943" i="12"/>
  <c r="BM1943" i="12"/>
  <c r="CA1089" i="12"/>
  <c r="BM1089" i="12"/>
  <c r="CA1088" i="12"/>
  <c r="BM1088" i="12"/>
  <c r="CA1087" i="12"/>
  <c r="BM1087" i="12"/>
  <c r="CA1086" i="12"/>
  <c r="BM1086" i="12"/>
  <c r="CA1085" i="12"/>
  <c r="BM1085" i="12"/>
  <c r="CA1084" i="12"/>
  <c r="BM1084" i="12"/>
  <c r="CA1083" i="12"/>
  <c r="BM1083" i="12"/>
  <c r="CA1082" i="12"/>
  <c r="BM1082" i="12"/>
  <c r="CA1081" i="12"/>
  <c r="BM1081" i="12"/>
  <c r="CA1080" i="12"/>
  <c r="BM1080" i="12"/>
  <c r="CA1079" i="12"/>
  <c r="BM1079" i="12"/>
  <c r="CA1078" i="12"/>
  <c r="BM1078" i="12"/>
  <c r="CA1077" i="12"/>
  <c r="BM1077" i="12"/>
  <c r="CA1076" i="12"/>
  <c r="BM1076" i="12"/>
  <c r="CA1075" i="12"/>
  <c r="BM1075" i="12"/>
  <c r="CA1074" i="12"/>
  <c r="BM1074" i="12"/>
  <c r="CA1073" i="12"/>
  <c r="CA1072" i="12"/>
  <c r="BM1072" i="12"/>
  <c r="CA1071" i="12"/>
  <c r="BM1071" i="12"/>
  <c r="CA1070" i="12"/>
  <c r="BM1070" i="12"/>
  <c r="CA1069" i="12"/>
  <c r="BM1069" i="12"/>
  <c r="CA1068" i="12"/>
  <c r="BM1068" i="12"/>
  <c r="CA1067" i="12"/>
  <c r="BM1067" i="12"/>
  <c r="CA1066" i="12"/>
  <c r="BM1066" i="12"/>
  <c r="CA1252" i="12"/>
  <c r="BM1252" i="12"/>
  <c r="CA1064" i="12"/>
  <c r="BM1064" i="12"/>
  <c r="CA1063" i="12"/>
  <c r="CA1062" i="12"/>
  <c r="BM1062" i="12"/>
  <c r="CA1061" i="12"/>
  <c r="BM1061" i="12"/>
  <c r="CA1060" i="12"/>
  <c r="BM1060" i="12"/>
  <c r="CA1059" i="12"/>
  <c r="BM1059" i="12"/>
  <c r="CA1058" i="12"/>
  <c r="BM1058" i="12"/>
  <c r="CA1057" i="12"/>
  <c r="BM1057" i="12"/>
  <c r="CA1056" i="12"/>
  <c r="BM1056" i="12"/>
  <c r="CA1055" i="12"/>
  <c r="BM1055" i="12"/>
  <c r="CA1054" i="12"/>
  <c r="BM1054" i="12"/>
  <c r="CA1053" i="12"/>
  <c r="BM1053" i="12"/>
  <c r="CA1052" i="12"/>
  <c r="BM1052" i="12"/>
  <c r="CA1051" i="12"/>
  <c r="CA1050" i="12"/>
  <c r="CA1049" i="12"/>
  <c r="BM1049" i="12"/>
  <c r="CA1048" i="12"/>
  <c r="BM1048" i="12"/>
  <c r="CA1047" i="12"/>
  <c r="BM1047" i="12"/>
  <c r="CA1046" i="12"/>
  <c r="BM1046" i="12"/>
  <c r="CA1045" i="12"/>
  <c r="BM1045" i="12"/>
  <c r="CA1044" i="12"/>
  <c r="BM1044" i="12"/>
  <c r="CA1043" i="12"/>
  <c r="BM1043" i="12"/>
  <c r="CA1042" i="12"/>
  <c r="BM1042" i="12"/>
  <c r="CA1041" i="12"/>
  <c r="BM1041" i="12"/>
  <c r="CA1040" i="12"/>
  <c r="BM1040" i="12"/>
  <c r="CA1039" i="12"/>
  <c r="BM1039" i="12"/>
  <c r="CA1038" i="12"/>
  <c r="BM1038" i="12"/>
  <c r="CA1037" i="12"/>
  <c r="BM1037" i="12"/>
  <c r="CA1036" i="12"/>
  <c r="BM1036" i="12"/>
  <c r="CA1035" i="12"/>
  <c r="BM1035" i="12"/>
  <c r="CA1034" i="12"/>
  <c r="CA1033" i="12"/>
  <c r="BM1033" i="12"/>
  <c r="CA1032" i="12"/>
  <c r="BM1032" i="12"/>
  <c r="CA1031" i="12"/>
  <c r="BM1031" i="12"/>
  <c r="CA1030" i="12"/>
  <c r="BM1030" i="12"/>
  <c r="CA1029" i="12"/>
  <c r="BM1029" i="12"/>
  <c r="CA1028" i="12"/>
  <c r="BM1028" i="12"/>
  <c r="CA1027" i="12"/>
  <c r="BM1027" i="12"/>
  <c r="CA1026" i="12"/>
  <c r="BM1026" i="12"/>
  <c r="CA1025" i="12"/>
  <c r="BM1025" i="12"/>
  <c r="CA1024" i="12"/>
  <c r="BM1024" i="12"/>
  <c r="CA1023" i="12"/>
  <c r="BM1023" i="12"/>
  <c r="CA1022" i="12"/>
  <c r="CA1021" i="12"/>
  <c r="BM1021" i="12"/>
  <c r="CA1020" i="12"/>
  <c r="CA1019" i="12"/>
  <c r="CA1018" i="12"/>
  <c r="BM1018" i="12"/>
  <c r="CA1017" i="12"/>
  <c r="BM1017" i="12"/>
  <c r="CA1016" i="12"/>
  <c r="BM1016" i="12"/>
  <c r="CA1015" i="12"/>
  <c r="BM1015" i="12"/>
  <c r="CA1014" i="12"/>
  <c r="BM1014" i="12"/>
  <c r="CA1013" i="12"/>
  <c r="BM1013" i="12"/>
  <c r="CA1012" i="12"/>
  <c r="BM1012" i="12"/>
  <c r="CA1011" i="12"/>
  <c r="BM1011" i="12"/>
  <c r="CA1010" i="12"/>
  <c r="CA1009" i="12"/>
  <c r="BM1009" i="12"/>
  <c r="CA1008" i="12"/>
  <c r="BM1008" i="12"/>
  <c r="CA1007" i="12"/>
  <c r="BM1007" i="12"/>
  <c r="CA1006" i="12"/>
  <c r="BM1006" i="12"/>
  <c r="CA1005" i="12"/>
  <c r="BM1005" i="12"/>
  <c r="CA1004" i="12"/>
  <c r="BM1004" i="12"/>
  <c r="CA1003" i="12"/>
  <c r="BM1003" i="12"/>
  <c r="CA1002" i="12"/>
  <c r="BM1002" i="12"/>
  <c r="CA1001" i="12"/>
  <c r="BM1001" i="12"/>
  <c r="CA1000" i="12"/>
  <c r="BM1000" i="12"/>
  <c r="CA999" i="12"/>
  <c r="BM999" i="12"/>
  <c r="CA998" i="12"/>
  <c r="BM998" i="12"/>
  <c r="CA997" i="12"/>
  <c r="BM997" i="12"/>
  <c r="CA996" i="12"/>
  <c r="BM996" i="12"/>
  <c r="CA995" i="12"/>
  <c r="BM995" i="12"/>
  <c r="CA994" i="12"/>
  <c r="BM994" i="12"/>
  <c r="CA993" i="12"/>
  <c r="BM993" i="12"/>
  <c r="CA992" i="12"/>
  <c r="BM992" i="12"/>
  <c r="CA991" i="12"/>
  <c r="CA990" i="12"/>
  <c r="BM990" i="12"/>
  <c r="CA989" i="12"/>
  <c r="BM989" i="12"/>
  <c r="CA988" i="12"/>
  <c r="BM988" i="12"/>
  <c r="CA987" i="12"/>
  <c r="CA986" i="12"/>
  <c r="BM986" i="12"/>
  <c r="CA985" i="12"/>
  <c r="BM985" i="12"/>
  <c r="CA984" i="12"/>
  <c r="BM984" i="12"/>
  <c r="CA983" i="12"/>
  <c r="BM983" i="12"/>
  <c r="CA982" i="12"/>
  <c r="BM982" i="12"/>
  <c r="CA981" i="12"/>
  <c r="BM981" i="12"/>
  <c r="CA980" i="12"/>
  <c r="BM980" i="12"/>
  <c r="CA979" i="12"/>
  <c r="BM979" i="12"/>
  <c r="CA978" i="12"/>
  <c r="BM978" i="12"/>
  <c r="CA913" i="12"/>
  <c r="BM913" i="12"/>
  <c r="CA976" i="12"/>
  <c r="CA975" i="12"/>
  <c r="BM975" i="12"/>
  <c r="CA974" i="12"/>
  <c r="BM974" i="12"/>
  <c r="CA973" i="12"/>
  <c r="BM973" i="12"/>
  <c r="CA972" i="12"/>
  <c r="BM972" i="12"/>
  <c r="CA971" i="12"/>
  <c r="BM971" i="12"/>
  <c r="CA970" i="12"/>
  <c r="BM970" i="12"/>
  <c r="CA969" i="12"/>
  <c r="BM969" i="12"/>
  <c r="CA968" i="12"/>
  <c r="BM968" i="12"/>
  <c r="CA967" i="12"/>
  <c r="BM967" i="12"/>
  <c r="CA966" i="12"/>
  <c r="BM966" i="12"/>
  <c r="CA965" i="12"/>
  <c r="BM965" i="12"/>
  <c r="CA964" i="12"/>
  <c r="BM964" i="12"/>
  <c r="CA963" i="12"/>
  <c r="CA962" i="12"/>
  <c r="CA961" i="12"/>
  <c r="CA960" i="12"/>
  <c r="BM960" i="12"/>
  <c r="CA959" i="12"/>
  <c r="BM959" i="12"/>
  <c r="CA958" i="12"/>
  <c r="BM958" i="12"/>
  <c r="CA957" i="12"/>
  <c r="BM957" i="12"/>
  <c r="CA956" i="12"/>
  <c r="CA955" i="12"/>
  <c r="BM955" i="12"/>
  <c r="CA954" i="12"/>
  <c r="BM954" i="12"/>
  <c r="CA953" i="12"/>
  <c r="BM953" i="12"/>
  <c r="CA952" i="12"/>
  <c r="BM952" i="12"/>
  <c r="CA951" i="12"/>
  <c r="CA950" i="12"/>
  <c r="BM950" i="12"/>
  <c r="CA949" i="12"/>
  <c r="BM949" i="12"/>
  <c r="CA948" i="12"/>
  <c r="BM948" i="12"/>
  <c r="CA947" i="12"/>
  <c r="BM947" i="12"/>
  <c r="CA946" i="12"/>
  <c r="BM946" i="12"/>
  <c r="CA945" i="12"/>
  <c r="CA944" i="12"/>
  <c r="BM944" i="12"/>
  <c r="CA943" i="12"/>
  <c r="CA942" i="12"/>
  <c r="BM942" i="12"/>
  <c r="CA941" i="12"/>
  <c r="BM941" i="12"/>
  <c r="CA940" i="12"/>
  <c r="BM940" i="12"/>
  <c r="CA939" i="12"/>
  <c r="BM939" i="12"/>
  <c r="CA938" i="12"/>
  <c r="BM938" i="12"/>
  <c r="CA937" i="12"/>
  <c r="BM937" i="12"/>
  <c r="CA936" i="12"/>
  <c r="BM936" i="12"/>
  <c r="CA935" i="12"/>
  <c r="BM935" i="12"/>
  <c r="CA934" i="12"/>
  <c r="BM934" i="12"/>
  <c r="CA933" i="12"/>
  <c r="BM933" i="12"/>
  <c r="CA932" i="12"/>
  <c r="BM932" i="12"/>
  <c r="CA931" i="12"/>
  <c r="BM931" i="12"/>
  <c r="CA930" i="12"/>
  <c r="BM930" i="12"/>
  <c r="CA929" i="12"/>
  <c r="BM929" i="12"/>
  <c r="CA928" i="12"/>
  <c r="BM928" i="12"/>
  <c r="CA927" i="12"/>
  <c r="BM927" i="12"/>
  <c r="CA926" i="12"/>
  <c r="BM926" i="12"/>
  <c r="CA1383" i="12"/>
  <c r="BM1383" i="12"/>
  <c r="CA924" i="12"/>
  <c r="BM924" i="12"/>
  <c r="CA923" i="12"/>
  <c r="BM923" i="12"/>
  <c r="CA922" i="12"/>
  <c r="CA921" i="12"/>
  <c r="BM921" i="12"/>
  <c r="CA920" i="12"/>
  <c r="BM920" i="12"/>
  <c r="CA919" i="12"/>
  <c r="BM919" i="12"/>
  <c r="CA918" i="12"/>
  <c r="BM918" i="12"/>
  <c r="CA917" i="12"/>
  <c r="BM917" i="12"/>
  <c r="CA916" i="12"/>
  <c r="BM916" i="12"/>
  <c r="CA915" i="12"/>
  <c r="BM915" i="12"/>
  <c r="CA914" i="12"/>
  <c r="BM914" i="12"/>
  <c r="CA644" i="12"/>
  <c r="BM644" i="12"/>
  <c r="CA912" i="12"/>
  <c r="BM912" i="12"/>
  <c r="CA911" i="12"/>
  <c r="BM911" i="12"/>
  <c r="CA910" i="12"/>
  <c r="BM910" i="12"/>
  <c r="CA909" i="12"/>
  <c r="BM909" i="12"/>
  <c r="CA1358" i="12"/>
  <c r="CA907" i="12"/>
  <c r="BM907" i="12"/>
  <c r="CA906" i="12"/>
  <c r="BM906" i="12"/>
  <c r="CA905" i="12"/>
  <c r="BM905" i="12"/>
  <c r="CA904" i="12"/>
  <c r="BM904" i="12"/>
  <c r="CA903" i="12"/>
  <c r="BM903" i="12"/>
  <c r="CA902" i="12"/>
  <c r="BM902" i="12"/>
  <c r="CA901" i="12"/>
  <c r="BM901" i="12"/>
  <c r="CA900" i="12"/>
  <c r="BM900" i="12"/>
  <c r="CA899" i="12"/>
  <c r="CA898" i="12"/>
  <c r="BM898" i="12"/>
  <c r="CA897" i="12"/>
  <c r="BM897" i="12"/>
  <c r="CA896" i="12"/>
  <c r="BM896" i="12"/>
  <c r="CA895" i="12"/>
  <c r="CA894" i="12"/>
  <c r="BM894" i="12"/>
  <c r="CA893" i="12"/>
  <c r="BM893" i="12"/>
  <c r="CA892" i="12"/>
  <c r="BM892" i="12"/>
  <c r="CA891" i="12"/>
  <c r="BM891" i="12"/>
  <c r="CA671" i="12"/>
  <c r="BM671" i="12"/>
  <c r="CA889" i="12"/>
  <c r="BM889" i="12"/>
  <c r="CA888" i="12"/>
  <c r="BM888" i="12"/>
  <c r="CA887" i="12"/>
  <c r="BM887" i="12"/>
  <c r="CA886" i="12"/>
  <c r="BM886" i="12"/>
  <c r="CA885" i="12"/>
  <c r="BM885" i="12"/>
  <c r="CA884" i="12"/>
  <c r="BM884" i="12"/>
  <c r="CA883" i="12"/>
  <c r="CA882" i="12"/>
  <c r="BM882" i="12"/>
  <c r="CA881" i="12"/>
  <c r="BM881" i="12"/>
  <c r="CA880" i="12"/>
  <c r="BM880" i="12"/>
  <c r="CA879" i="12"/>
  <c r="BM879" i="12"/>
  <c r="CA878" i="12"/>
  <c r="BM878" i="12"/>
  <c r="CA877" i="12"/>
  <c r="BM877" i="12"/>
  <c r="CA1879" i="12"/>
  <c r="BM1879" i="12"/>
  <c r="CA875" i="12"/>
  <c r="BM875" i="12"/>
  <c r="CA874" i="12"/>
  <c r="BM874" i="12"/>
  <c r="CA873" i="12"/>
  <c r="CA872" i="12"/>
  <c r="BM872" i="12"/>
  <c r="CA871" i="12"/>
  <c r="BM871" i="12"/>
  <c r="CA870" i="12"/>
  <c r="BM870" i="12"/>
  <c r="CA869" i="12"/>
  <c r="BM869" i="12"/>
  <c r="CA868" i="12"/>
  <c r="CA867" i="12"/>
  <c r="BM867" i="12"/>
  <c r="CA866" i="12"/>
  <c r="BM866" i="12"/>
  <c r="CA865" i="12"/>
  <c r="BM865" i="12"/>
  <c r="CA864" i="12"/>
  <c r="CA863" i="12"/>
  <c r="BM863" i="12"/>
  <c r="CA862" i="12"/>
  <c r="BM862" i="12"/>
  <c r="CA861" i="12"/>
  <c r="BM861" i="12"/>
  <c r="CA860" i="12"/>
  <c r="BM860" i="12"/>
  <c r="CA859" i="12"/>
  <c r="BM859" i="12"/>
  <c r="CA858" i="12"/>
  <c r="BM858" i="12"/>
  <c r="CA857" i="12"/>
  <c r="BM857" i="12"/>
  <c r="CA856" i="12"/>
  <c r="CA855" i="12"/>
  <c r="BM855" i="12"/>
  <c r="CA854" i="12"/>
  <c r="BM854" i="12"/>
  <c r="CA853" i="12"/>
  <c r="BM853" i="12"/>
  <c r="CA852" i="12"/>
  <c r="BM852" i="12"/>
  <c r="CA851" i="12"/>
  <c r="CA850" i="12"/>
  <c r="BM850" i="12"/>
  <c r="CA849" i="12"/>
  <c r="BM849" i="12"/>
  <c r="CA848" i="12"/>
  <c r="BM848" i="12"/>
  <c r="CA847" i="12"/>
  <c r="BM847" i="12"/>
  <c r="CA846" i="12"/>
  <c r="BM846" i="12"/>
  <c r="CA845" i="12"/>
  <c r="BM845" i="12"/>
  <c r="CA844" i="12"/>
  <c r="BM844" i="12"/>
  <c r="CA843" i="12"/>
  <c r="BM843" i="12"/>
  <c r="CA842" i="12"/>
  <c r="CA841" i="12"/>
  <c r="BM841" i="12"/>
  <c r="CA840" i="12"/>
  <c r="BM840" i="12"/>
  <c r="CA839" i="12"/>
  <c r="CA1940" i="12"/>
  <c r="BM1940" i="12"/>
  <c r="CA837" i="12"/>
  <c r="CA836" i="12"/>
  <c r="BM836" i="12"/>
  <c r="CA835" i="12"/>
  <c r="BM835" i="12"/>
  <c r="CA834" i="12"/>
  <c r="CA833" i="12"/>
  <c r="BM833" i="12"/>
  <c r="CA832" i="12"/>
  <c r="BM832" i="12"/>
  <c r="CA831" i="12"/>
  <c r="BM831" i="12"/>
  <c r="CA830" i="12"/>
  <c r="BM830" i="12"/>
  <c r="CA829" i="12"/>
  <c r="BM829" i="12"/>
  <c r="CA828" i="12"/>
  <c r="BM828" i="12"/>
  <c r="CA827" i="12"/>
  <c r="BM827" i="12"/>
  <c r="CA826" i="12"/>
  <c r="BM826" i="12"/>
  <c r="CA825" i="12"/>
  <c r="BM825" i="12"/>
  <c r="CA824" i="12"/>
  <c r="BM824" i="12"/>
  <c r="CA823" i="12"/>
  <c r="BM823" i="12"/>
  <c r="CA822" i="12"/>
  <c r="BM822" i="12"/>
  <c r="CA821" i="12"/>
  <c r="BM821" i="12"/>
  <c r="CA820" i="12"/>
  <c r="BM820" i="12"/>
  <c r="CA819" i="12"/>
  <c r="BM819" i="12"/>
  <c r="CA818" i="12"/>
  <c r="BM818" i="12"/>
  <c r="CA817" i="12"/>
  <c r="BM817" i="12"/>
  <c r="CA816" i="12"/>
  <c r="BM816" i="12"/>
  <c r="CA815" i="12"/>
  <c r="BM815" i="12"/>
  <c r="CA814" i="12"/>
  <c r="BM814" i="12"/>
  <c r="CA813" i="12"/>
  <c r="BM813" i="12"/>
  <c r="CA812" i="12"/>
  <c r="CA811" i="12"/>
  <c r="BM811" i="12"/>
  <c r="CA810" i="12"/>
  <c r="BM810" i="12"/>
  <c r="CA809" i="12"/>
  <c r="BM809" i="12"/>
  <c r="CA808" i="12"/>
  <c r="BM808" i="12"/>
  <c r="CA1946" i="12"/>
  <c r="BM1946" i="12"/>
  <c r="CA806" i="12"/>
  <c r="BM806" i="12"/>
  <c r="CA805" i="12"/>
  <c r="BM805" i="12"/>
  <c r="CA804" i="12"/>
  <c r="BM804" i="12"/>
  <c r="CA803" i="12"/>
  <c r="BM803" i="12"/>
  <c r="CA802" i="12"/>
  <c r="BM802" i="12"/>
  <c r="CA801" i="12"/>
  <c r="BM801" i="12"/>
  <c r="CA800" i="12"/>
  <c r="BM800" i="12"/>
  <c r="CA799" i="12"/>
  <c r="BM799" i="12"/>
  <c r="CA798" i="12"/>
  <c r="BM798" i="12"/>
  <c r="CA797" i="12"/>
  <c r="BM797" i="12"/>
  <c r="CA796" i="12"/>
  <c r="BM796" i="12"/>
  <c r="CA795" i="12"/>
  <c r="BM795" i="12"/>
  <c r="CA794" i="12"/>
  <c r="BM794" i="12"/>
  <c r="CA793" i="12"/>
  <c r="BM793" i="12"/>
  <c r="CA792" i="12"/>
  <c r="BM792" i="12"/>
  <c r="CA791" i="12"/>
  <c r="BM791" i="12"/>
  <c r="CA790" i="12"/>
  <c r="BM790" i="12"/>
  <c r="CA789" i="12"/>
  <c r="BM789" i="12"/>
  <c r="CA788" i="12"/>
  <c r="BM788" i="12"/>
  <c r="CA787" i="12"/>
  <c r="BM787" i="12"/>
  <c r="CA786" i="12"/>
  <c r="BM786" i="12"/>
  <c r="CA785" i="12"/>
  <c r="BM785" i="12"/>
  <c r="CA784" i="12"/>
  <c r="CA783" i="12"/>
  <c r="BM783" i="12"/>
  <c r="CA782" i="12"/>
  <c r="BM782" i="12"/>
  <c r="CA781" i="12"/>
  <c r="BM781" i="12"/>
  <c r="CA780" i="12"/>
  <c r="BM780" i="12"/>
  <c r="CA779" i="12"/>
  <c r="BM779" i="12"/>
  <c r="CA778" i="12"/>
  <c r="BM778" i="12"/>
  <c r="CA777" i="12"/>
  <c r="BM777" i="12"/>
  <c r="CA776" i="12"/>
  <c r="BM776" i="12"/>
  <c r="CA775" i="12"/>
  <c r="CA774" i="12"/>
  <c r="BM774" i="12"/>
  <c r="CA773" i="12"/>
  <c r="BM773" i="12"/>
  <c r="CA772" i="12"/>
  <c r="BM772" i="12"/>
  <c r="CA1245" i="12"/>
  <c r="BM1245" i="12"/>
  <c r="CA770" i="12"/>
  <c r="BM770" i="12"/>
  <c r="CA769" i="12"/>
  <c r="BM769" i="12"/>
  <c r="CA768" i="12"/>
  <c r="BM768" i="12"/>
  <c r="CA767" i="12"/>
  <c r="BM767" i="12"/>
  <c r="CA766" i="12"/>
  <c r="BM766" i="12"/>
  <c r="CA765" i="12"/>
  <c r="BM765" i="12"/>
  <c r="CA764" i="12"/>
  <c r="BM764" i="12"/>
  <c r="CA763" i="12"/>
  <c r="BM763" i="12"/>
  <c r="CA762" i="12"/>
  <c r="BM762" i="12"/>
  <c r="CA761" i="12"/>
  <c r="BM761" i="12"/>
  <c r="CA760" i="12"/>
  <c r="BM760" i="12"/>
  <c r="CA759" i="12"/>
  <c r="BM759" i="12"/>
  <c r="CA758" i="12"/>
  <c r="BM758" i="12"/>
  <c r="CA757" i="12"/>
  <c r="CA756" i="12"/>
  <c r="BM756" i="12"/>
  <c r="CA755" i="12"/>
  <c r="BM755" i="12"/>
  <c r="CA754" i="12"/>
  <c r="BM754" i="12"/>
  <c r="CA753" i="12"/>
  <c r="BM753" i="12"/>
  <c r="CA752" i="12"/>
  <c r="BM752" i="12"/>
  <c r="CA751" i="12"/>
  <c r="CA750" i="12"/>
  <c r="BM750" i="12"/>
  <c r="CA749" i="12"/>
  <c r="BM749" i="12"/>
  <c r="CA748" i="12"/>
  <c r="BM748" i="12"/>
  <c r="CA747" i="12"/>
  <c r="BM747" i="12"/>
  <c r="CA746" i="12"/>
  <c r="BM746" i="12"/>
  <c r="CA745" i="12"/>
  <c r="BM745" i="12"/>
  <c r="CA744" i="12"/>
  <c r="BM744" i="12"/>
  <c r="CA743" i="12"/>
  <c r="BM743" i="12"/>
  <c r="CA742" i="12"/>
  <c r="BM742" i="12"/>
  <c r="CA741" i="12"/>
  <c r="BM741" i="12"/>
  <c r="CA740" i="12"/>
  <c r="BM740" i="12"/>
  <c r="CA739" i="12"/>
  <c r="BM739" i="12"/>
  <c r="CA738" i="12"/>
  <c r="BM738" i="12"/>
  <c r="CA737" i="12"/>
  <c r="BM737" i="12"/>
  <c r="CA736" i="12"/>
  <c r="BM736" i="12"/>
  <c r="CA735" i="12"/>
  <c r="BM735" i="12"/>
  <c r="CA734" i="12"/>
  <c r="BM734" i="12"/>
  <c r="CA733" i="12"/>
  <c r="BM733" i="12"/>
  <c r="CA732" i="12"/>
  <c r="BM732" i="12"/>
  <c r="CA731" i="12"/>
  <c r="BM731" i="12"/>
  <c r="CA1914" i="12"/>
  <c r="BM1914" i="12"/>
  <c r="CA729" i="12"/>
  <c r="BM729" i="12"/>
  <c r="CA728" i="12"/>
  <c r="BM728" i="12"/>
  <c r="CA727" i="12"/>
  <c r="BM727" i="12"/>
  <c r="CA726" i="12"/>
  <c r="BM726" i="12"/>
  <c r="CA725" i="12"/>
  <c r="BM725" i="12"/>
  <c r="CA724" i="12"/>
  <c r="BM724" i="12"/>
  <c r="CA723" i="12"/>
  <c r="BM723" i="12"/>
  <c r="CA722" i="12"/>
  <c r="BM722" i="12"/>
  <c r="CA721" i="12"/>
  <c r="BM721" i="12"/>
  <c r="CA720" i="12"/>
  <c r="BM720" i="12"/>
  <c r="CA1247" i="12"/>
  <c r="BM1247" i="12"/>
  <c r="CA718" i="12"/>
  <c r="BM718" i="12"/>
  <c r="CA1591" i="12"/>
  <c r="BM1591" i="12"/>
  <c r="CA716" i="12"/>
  <c r="BM716" i="12"/>
  <c r="CA715" i="12"/>
  <c r="BM715" i="12"/>
  <c r="CA714" i="12"/>
  <c r="BM714" i="12"/>
  <c r="CA713" i="12"/>
  <c r="BM713" i="12"/>
  <c r="CA712" i="12"/>
  <c r="BM712" i="12"/>
  <c r="CA711" i="12"/>
  <c r="BM711" i="12"/>
  <c r="CA710" i="12"/>
  <c r="CA709" i="12"/>
  <c r="BM709" i="12"/>
  <c r="CA708" i="12"/>
  <c r="BM708" i="12"/>
  <c r="CA707" i="12"/>
  <c r="BM707" i="12"/>
  <c r="CA706" i="12"/>
  <c r="BM706" i="12"/>
  <c r="CA705" i="12"/>
  <c r="BM705" i="12"/>
  <c r="CA704" i="12"/>
  <c r="BM704" i="12"/>
  <c r="CA703" i="12"/>
  <c r="BM703" i="12"/>
  <c r="CA702" i="12"/>
  <c r="BM702" i="12"/>
  <c r="CA701" i="12"/>
  <c r="BM701" i="12"/>
  <c r="CA700" i="12"/>
  <c r="BM700" i="12"/>
  <c r="CA574" i="12"/>
  <c r="BM574" i="12"/>
  <c r="CA698" i="12"/>
  <c r="BM698" i="12"/>
  <c r="CA697" i="12"/>
  <c r="BM697" i="12"/>
  <c r="CA696" i="12"/>
  <c r="CA695" i="12"/>
  <c r="BM695" i="12"/>
  <c r="CA694" i="12"/>
  <c r="BM694" i="12"/>
  <c r="CA693" i="12"/>
  <c r="CA692" i="12"/>
  <c r="BM692" i="12"/>
  <c r="CA691" i="12"/>
  <c r="BM691" i="12"/>
  <c r="CA690" i="12"/>
  <c r="BM690" i="12"/>
  <c r="CA689" i="12"/>
  <c r="BM689" i="12"/>
  <c r="CA688" i="12"/>
  <c r="BM688" i="12"/>
  <c r="CA687" i="12"/>
  <c r="BM687" i="12"/>
  <c r="CA686" i="12"/>
  <c r="BM686" i="12"/>
  <c r="CA685" i="12"/>
  <c r="BM685" i="12"/>
  <c r="CA684" i="12"/>
  <c r="BM684" i="12"/>
  <c r="CA683" i="12"/>
  <c r="BM683" i="12"/>
  <c r="CA682" i="12"/>
  <c r="BM682" i="12"/>
  <c r="CA681" i="12"/>
  <c r="BM681" i="12"/>
  <c r="CA680" i="12"/>
  <c r="BM680" i="12"/>
  <c r="CA679" i="12"/>
  <c r="CA678" i="12"/>
  <c r="BM678" i="12"/>
  <c r="CA677" i="12"/>
  <c r="BM677" i="12"/>
  <c r="CA676" i="12"/>
  <c r="CA675" i="12"/>
  <c r="BM675" i="12"/>
  <c r="CA674" i="12"/>
  <c r="BM674" i="12"/>
  <c r="CA673" i="12"/>
  <c r="BM673" i="12"/>
  <c r="CA672" i="12"/>
  <c r="BM672" i="12"/>
  <c r="CA1912" i="12"/>
  <c r="BM1912" i="12"/>
  <c r="CA670" i="12"/>
  <c r="BM670" i="12"/>
  <c r="CA669" i="12"/>
  <c r="BM669" i="12"/>
  <c r="CA668" i="12"/>
  <c r="CA667" i="12"/>
  <c r="BM667" i="12"/>
  <c r="CA666" i="12"/>
  <c r="BM666" i="12"/>
  <c r="CA665" i="12"/>
  <c r="BM665" i="12"/>
  <c r="CA664" i="12"/>
  <c r="BM664" i="12"/>
  <c r="CA663" i="12"/>
  <c r="BM663" i="12"/>
  <c r="CA662" i="12"/>
  <c r="CA319" i="12"/>
  <c r="BM319" i="12"/>
  <c r="CA660" i="12"/>
  <c r="BM660" i="12"/>
  <c r="CA659" i="12"/>
  <c r="BM659" i="12"/>
  <c r="CA658" i="12"/>
  <c r="BM658" i="12"/>
  <c r="CA657" i="12"/>
  <c r="BM657" i="12"/>
  <c r="CA656" i="12"/>
  <c r="BM656" i="12"/>
  <c r="CA655" i="12"/>
  <c r="BM655" i="12"/>
  <c r="CA654" i="12"/>
  <c r="BM654" i="12"/>
  <c r="CA653" i="12"/>
  <c r="BM653" i="12"/>
  <c r="CA652" i="12"/>
  <c r="BM652" i="12"/>
  <c r="CA651" i="12"/>
  <c r="BM651" i="12"/>
  <c r="CA650" i="12"/>
  <c r="BM650" i="12"/>
  <c r="CA649" i="12"/>
  <c r="BM649" i="12"/>
  <c r="CA648" i="12"/>
  <c r="BM648" i="12"/>
  <c r="CA647" i="12"/>
  <c r="CA646" i="12"/>
  <c r="BM646" i="12"/>
  <c r="CA645" i="12"/>
  <c r="CA1774" i="12"/>
  <c r="BM1774" i="12"/>
  <c r="CA643" i="12"/>
  <c r="BM643" i="12"/>
  <c r="CA642" i="12"/>
  <c r="BM642" i="12"/>
  <c r="CA641" i="12"/>
  <c r="BM641" i="12"/>
  <c r="CA640" i="12"/>
  <c r="BM640" i="12"/>
  <c r="CA639" i="12"/>
  <c r="BM639" i="12"/>
  <c r="CA638" i="12"/>
  <c r="CA637" i="12"/>
  <c r="BM637" i="12"/>
  <c r="CA636" i="12"/>
  <c r="BM636" i="12"/>
  <c r="CA635" i="12"/>
  <c r="BM635" i="12"/>
  <c r="CA634" i="12"/>
  <c r="BM634" i="12"/>
  <c r="CA633" i="12"/>
  <c r="BM633" i="12"/>
  <c r="CA632" i="12"/>
  <c r="BM632" i="12"/>
  <c r="CA631" i="12"/>
  <c r="BM631" i="12"/>
  <c r="CA630" i="12"/>
  <c r="BM630" i="12"/>
  <c r="CA629" i="12"/>
  <c r="BM629" i="12"/>
  <c r="CA628" i="12"/>
  <c r="BM628" i="12"/>
  <c r="CA627" i="12"/>
  <c r="BM627" i="12"/>
  <c r="CA626" i="12"/>
  <c r="BM626" i="12"/>
  <c r="CA625" i="12"/>
  <c r="BM625" i="12"/>
  <c r="CA624" i="12"/>
  <c r="BM624" i="12"/>
  <c r="CA623" i="12"/>
  <c r="BM623" i="12"/>
  <c r="CA622" i="12"/>
  <c r="BM622" i="12"/>
  <c r="CA621" i="12"/>
  <c r="BM621" i="12"/>
  <c r="CA620" i="12"/>
  <c r="BM620" i="12"/>
  <c r="CA619" i="12"/>
  <c r="BM619" i="12"/>
  <c r="CA618" i="12"/>
  <c r="CA617" i="12"/>
  <c r="BM617" i="12"/>
  <c r="CA616" i="12"/>
  <c r="BM616" i="12"/>
  <c r="CA615" i="12"/>
  <c r="BM615" i="12"/>
  <c r="CA614" i="12"/>
  <c r="BM614" i="12"/>
  <c r="CA613" i="12"/>
  <c r="BM613" i="12"/>
  <c r="CA612" i="12"/>
  <c r="BM612" i="12"/>
  <c r="CA611" i="12"/>
  <c r="BM611" i="12"/>
  <c r="CA610" i="12"/>
  <c r="BM610" i="12"/>
  <c r="CA609" i="12"/>
  <c r="BM609" i="12"/>
  <c r="CA608" i="12"/>
  <c r="BM608" i="12"/>
  <c r="CA607" i="12"/>
  <c r="BM607" i="12"/>
  <c r="CA606" i="12"/>
  <c r="BM606" i="12"/>
  <c r="CA605" i="12"/>
  <c r="BM605" i="12"/>
  <c r="CA343" i="12"/>
  <c r="BM343" i="12"/>
  <c r="CA603" i="12"/>
  <c r="BM603" i="12"/>
  <c r="CA602" i="12"/>
  <c r="BM602" i="12"/>
  <c r="CA601" i="12"/>
  <c r="BM601" i="12"/>
  <c r="CA600" i="12"/>
  <c r="BM600" i="12"/>
  <c r="CA599" i="12"/>
  <c r="BM599" i="12"/>
  <c r="CA1859" i="12"/>
  <c r="BM1859" i="12"/>
  <c r="CA597" i="12"/>
  <c r="BM597" i="12"/>
  <c r="CA596" i="12"/>
  <c r="CA595" i="12"/>
  <c r="BM595" i="12"/>
  <c r="CA594" i="12"/>
  <c r="BM594" i="12"/>
  <c r="CA593" i="12"/>
  <c r="BM593" i="12"/>
  <c r="CA1276" i="12"/>
  <c r="CA591" i="12"/>
  <c r="BM591" i="12"/>
  <c r="CA590" i="12"/>
  <c r="BM590" i="12"/>
  <c r="CA589" i="12"/>
  <c r="BM589" i="12"/>
  <c r="CA588" i="12"/>
  <c r="BM588" i="12"/>
  <c r="CA587" i="12"/>
  <c r="BM587" i="12"/>
  <c r="CA586" i="12"/>
  <c r="BM586" i="12"/>
  <c r="CA585" i="12"/>
  <c r="BM585" i="12"/>
  <c r="CA584" i="12"/>
  <c r="BM584" i="12"/>
  <c r="CA583" i="12"/>
  <c r="BM583" i="12"/>
  <c r="CA582" i="12"/>
  <c r="BM582" i="12"/>
  <c r="CA581" i="12"/>
  <c r="BM581" i="12"/>
  <c r="CA580" i="12"/>
  <c r="BM580" i="12"/>
  <c r="CA579" i="12"/>
  <c r="BM579" i="12"/>
  <c r="CA578" i="12"/>
  <c r="BM578" i="12"/>
  <c r="CA577" i="12"/>
  <c r="BM577" i="12"/>
  <c r="CA576" i="12"/>
  <c r="BM576" i="12"/>
  <c r="CA575" i="12"/>
  <c r="BM575" i="12"/>
  <c r="CA556" i="12"/>
  <c r="BM556" i="12"/>
  <c r="CA573" i="12"/>
  <c r="BM573" i="12"/>
  <c r="CA572" i="12"/>
  <c r="BM572" i="12"/>
  <c r="CA571" i="12"/>
  <c r="BM571" i="12"/>
  <c r="CA570" i="12"/>
  <c r="BM570" i="12"/>
  <c r="CA569" i="12"/>
  <c r="BM569" i="12"/>
  <c r="CA568" i="12"/>
  <c r="BM568" i="12"/>
  <c r="CA567" i="12"/>
  <c r="BM567" i="12"/>
  <c r="CA566" i="12"/>
  <c r="BM566" i="12"/>
  <c r="CA565" i="12"/>
  <c r="BM565" i="12"/>
  <c r="CA564" i="12"/>
  <c r="CA563" i="12"/>
  <c r="BM563" i="12"/>
  <c r="CA562" i="12"/>
  <c r="BM562" i="12"/>
  <c r="CA561" i="12"/>
  <c r="BM561" i="12"/>
  <c r="CA560" i="12"/>
  <c r="BM560" i="12"/>
  <c r="CA559" i="12"/>
  <c r="CA558" i="12"/>
  <c r="CA557" i="12"/>
  <c r="BM557" i="12"/>
  <c r="CA1785" i="12"/>
  <c r="BM1785" i="12"/>
  <c r="CA555" i="12"/>
  <c r="BM555" i="12"/>
  <c r="CA554" i="12"/>
  <c r="BM554" i="12"/>
  <c r="CA553" i="12"/>
  <c r="CA552" i="12"/>
  <c r="BM552" i="12"/>
  <c r="CA551" i="12"/>
  <c r="BM551" i="12"/>
  <c r="CA550" i="12"/>
  <c r="BM550" i="12"/>
  <c r="CA549" i="12"/>
  <c r="BM549" i="12"/>
  <c r="CA548" i="12"/>
  <c r="BM548" i="12"/>
  <c r="CA547" i="12"/>
  <c r="BM547" i="12"/>
  <c r="CA546" i="12"/>
  <c r="BM546" i="12"/>
  <c r="CA545" i="12"/>
  <c r="BM545" i="12"/>
  <c r="CA544" i="12"/>
  <c r="BM544" i="12"/>
  <c r="CA543" i="12"/>
  <c r="BM543" i="12"/>
  <c r="CA542" i="12"/>
  <c r="CA541" i="12"/>
  <c r="BM541" i="12"/>
  <c r="CA540" i="12"/>
  <c r="BM540" i="12"/>
  <c r="CA539" i="12"/>
  <c r="BM539" i="12"/>
  <c r="CA538" i="12"/>
  <c r="CA537" i="12"/>
  <c r="BM537" i="12"/>
  <c r="CA536" i="12"/>
  <c r="BM536" i="12"/>
  <c r="CA535" i="12"/>
  <c r="BM535" i="12"/>
  <c r="CA534" i="12"/>
  <c r="BM534" i="12"/>
  <c r="CA533" i="12"/>
  <c r="BM533" i="12"/>
  <c r="CA532" i="12"/>
  <c r="BM532" i="12"/>
  <c r="CA531" i="12"/>
  <c r="CA530" i="12"/>
  <c r="BM530" i="12"/>
  <c r="CA529" i="12"/>
  <c r="BM529" i="12"/>
  <c r="CA528" i="12"/>
  <c r="BM528" i="12"/>
  <c r="CA1403" i="12"/>
  <c r="BM1403" i="12"/>
  <c r="CA526" i="12"/>
  <c r="BM526" i="12"/>
  <c r="CA525" i="12"/>
  <c r="BM525" i="12"/>
  <c r="CA524" i="12"/>
  <c r="BM524" i="12"/>
  <c r="CA523" i="12"/>
  <c r="BM523" i="12"/>
  <c r="CA522" i="12"/>
  <c r="BM522" i="12"/>
  <c r="CA521" i="12"/>
  <c r="BM521" i="12"/>
  <c r="CA520" i="12"/>
  <c r="CA519" i="12"/>
  <c r="BM519" i="12"/>
  <c r="CA518" i="12"/>
  <c r="BM518" i="12"/>
  <c r="CA517" i="12"/>
  <c r="BM517" i="12"/>
  <c r="CA516" i="12"/>
  <c r="CA515" i="12"/>
  <c r="BM515" i="12"/>
  <c r="CA514" i="12"/>
  <c r="BM514" i="12"/>
  <c r="CA513" i="12"/>
  <c r="CA512" i="12"/>
  <c r="BM512" i="12"/>
  <c r="CA511" i="12"/>
  <c r="BM511" i="12"/>
  <c r="CA510" i="12"/>
  <c r="BM510" i="12"/>
  <c r="CA509" i="12"/>
  <c r="BM509" i="12"/>
  <c r="CA508" i="12"/>
  <c r="BM508" i="12"/>
  <c r="CA507" i="12"/>
  <c r="BM507" i="12"/>
  <c r="CA717" i="12"/>
  <c r="BM717" i="12"/>
  <c r="CA505" i="12"/>
  <c r="BM505" i="12"/>
  <c r="CA504" i="12"/>
  <c r="BM504" i="12"/>
  <c r="CA503" i="12"/>
  <c r="BM503" i="12"/>
  <c r="CA502" i="12"/>
  <c r="BM502" i="12"/>
  <c r="CA501" i="12"/>
  <c r="BM501" i="12"/>
  <c r="CA500" i="12"/>
  <c r="BM500" i="12"/>
  <c r="CA499" i="12"/>
  <c r="CA498" i="12"/>
  <c r="BM498" i="12"/>
  <c r="CA497" i="12"/>
  <c r="BM497" i="12"/>
  <c r="CA496" i="12"/>
  <c r="BM496" i="12"/>
  <c r="CA495" i="12"/>
  <c r="BM495" i="12"/>
  <c r="CA494" i="12"/>
  <c r="BM494" i="12"/>
  <c r="CA493" i="12"/>
  <c r="BM493" i="12"/>
  <c r="CA492" i="12"/>
  <c r="BM492" i="12"/>
  <c r="CA491" i="12"/>
  <c r="CA490" i="12"/>
  <c r="BM490" i="12"/>
  <c r="CA489" i="12"/>
  <c r="BM489" i="12"/>
  <c r="CA488" i="12"/>
  <c r="BM488" i="12"/>
  <c r="CA487" i="12"/>
  <c r="CA486" i="12"/>
  <c r="CA485" i="12"/>
  <c r="BM485" i="12"/>
  <c r="CA484" i="12"/>
  <c r="CA483" i="12"/>
  <c r="CA482" i="12"/>
  <c r="CA481" i="12"/>
  <c r="BM481" i="12"/>
  <c r="CA480" i="12"/>
  <c r="BM480" i="12"/>
  <c r="CA479" i="12"/>
  <c r="BM479" i="12"/>
  <c r="CA478" i="12"/>
  <c r="BM478" i="12"/>
  <c r="CA477" i="12"/>
  <c r="BM477" i="12"/>
  <c r="CA476" i="12"/>
  <c r="BM476" i="12"/>
  <c r="CA475" i="12"/>
  <c r="BM475" i="12"/>
  <c r="CA474" i="12"/>
  <c r="BM474" i="12"/>
  <c r="CA473" i="12"/>
  <c r="BM473" i="12"/>
  <c r="CA472" i="12"/>
  <c r="BM472" i="12"/>
  <c r="CA471" i="12"/>
  <c r="BM471" i="12"/>
  <c r="CA470" i="12"/>
  <c r="BM470" i="12"/>
  <c r="CA469" i="12"/>
  <c r="BM469" i="12"/>
  <c r="CA468" i="12"/>
  <c r="BM468" i="12"/>
  <c r="CA467" i="12"/>
  <c r="BM467" i="12"/>
  <c r="CA466" i="12"/>
  <c r="BM466" i="12"/>
  <c r="CA465" i="12"/>
  <c r="BM465" i="12"/>
  <c r="CA464" i="12"/>
  <c r="BM464" i="12"/>
  <c r="CA463" i="12"/>
  <c r="CA462" i="12"/>
  <c r="BM462" i="12"/>
  <c r="CA461" i="12"/>
  <c r="BM461" i="12"/>
  <c r="CA460" i="12"/>
  <c r="BM460" i="12"/>
  <c r="CA459" i="12"/>
  <c r="BM459" i="12"/>
  <c r="CA458" i="12"/>
  <c r="BM458" i="12"/>
  <c r="CA457" i="12"/>
  <c r="BM457" i="12"/>
  <c r="CA456" i="12"/>
  <c r="BM456" i="12"/>
  <c r="CA455" i="12"/>
  <c r="CA454" i="12"/>
  <c r="BM454" i="12"/>
  <c r="CA453" i="12"/>
  <c r="BM453" i="12"/>
  <c r="CA452" i="12"/>
  <c r="BM452" i="12"/>
  <c r="CA451" i="12"/>
  <c r="BM451" i="12"/>
  <c r="CA450" i="12"/>
  <c r="BM450" i="12"/>
  <c r="CA449" i="12"/>
  <c r="BM449" i="12"/>
  <c r="CA448" i="12"/>
  <c r="BM448" i="12"/>
  <c r="CA447" i="12"/>
  <c r="BM447" i="12"/>
  <c r="CA446" i="12"/>
  <c r="BM446" i="12"/>
  <c r="CA445" i="12"/>
  <c r="BM445" i="12"/>
  <c r="CA444" i="12"/>
  <c r="BM444" i="12"/>
  <c r="CA443" i="12"/>
  <c r="BM443" i="12"/>
  <c r="CA442" i="12"/>
  <c r="BM442" i="12"/>
  <c r="CA441" i="12"/>
  <c r="BM441" i="12"/>
  <c r="CA440" i="12"/>
  <c r="BM440" i="12"/>
  <c r="CA439" i="12"/>
  <c r="BM439" i="12"/>
  <c r="CA438" i="12"/>
  <c r="BM438" i="12"/>
  <c r="CA437" i="12"/>
  <c r="BM437" i="12"/>
  <c r="CA436" i="12"/>
  <c r="BM436" i="12"/>
  <c r="CA435" i="12"/>
  <c r="CA434" i="12"/>
  <c r="BM434" i="12"/>
  <c r="CA433" i="12"/>
  <c r="CA432" i="12"/>
  <c r="BM432" i="12"/>
  <c r="CA431" i="12"/>
  <c r="BM431" i="12"/>
  <c r="CA430" i="12"/>
  <c r="BM430" i="12"/>
  <c r="CA429" i="12"/>
  <c r="BM429" i="12"/>
  <c r="CA428" i="12"/>
  <c r="BM428" i="12"/>
  <c r="CA359" i="12"/>
  <c r="BM359" i="12"/>
  <c r="CA426" i="12"/>
  <c r="BM426" i="12"/>
  <c r="CA425" i="12"/>
  <c r="BM425" i="12"/>
  <c r="CA424" i="12"/>
  <c r="CA423" i="12"/>
  <c r="CA422" i="12"/>
  <c r="BM422" i="12"/>
  <c r="CA421" i="12"/>
  <c r="BM421" i="12"/>
  <c r="CA420" i="12"/>
  <c r="BM420" i="12"/>
  <c r="CA419" i="12"/>
  <c r="BM419" i="12"/>
  <c r="CA418" i="12"/>
  <c r="BM418" i="12"/>
  <c r="CA417" i="12"/>
  <c r="BM417" i="12"/>
  <c r="CA416" i="12"/>
  <c r="BM416" i="12"/>
  <c r="CA415" i="12"/>
  <c r="BM415" i="12"/>
  <c r="CA414" i="12"/>
  <c r="BM414" i="12"/>
  <c r="CA413" i="12"/>
  <c r="BM413" i="12"/>
  <c r="CA412" i="12"/>
  <c r="BM412" i="12"/>
  <c r="CA411" i="12"/>
  <c r="CA410" i="12"/>
  <c r="CA409" i="12"/>
  <c r="BM409" i="12"/>
  <c r="CA408" i="12"/>
  <c r="BM408" i="12"/>
  <c r="CA407" i="12"/>
  <c r="BM407" i="12"/>
  <c r="CA406" i="12"/>
  <c r="BM406" i="12"/>
  <c r="CA405" i="12"/>
  <c r="BM405" i="12"/>
  <c r="CA404" i="12"/>
  <c r="BM404" i="12"/>
  <c r="CA403" i="12"/>
  <c r="BM403" i="12"/>
  <c r="CA1213" i="12"/>
  <c r="BM1213" i="12"/>
  <c r="CA401" i="12"/>
  <c r="BM401" i="12"/>
  <c r="CA400" i="12"/>
  <c r="BM400" i="12"/>
  <c r="CA399" i="12"/>
  <c r="BM399" i="12"/>
  <c r="CA398" i="12"/>
  <c r="BM398" i="12"/>
  <c r="CA397" i="12"/>
  <c r="BM397" i="12"/>
  <c r="CA1909" i="12"/>
  <c r="CA395" i="12"/>
  <c r="BM395" i="12"/>
  <c r="CA394" i="12"/>
  <c r="BM394" i="12"/>
  <c r="CA393" i="12"/>
  <c r="BM393" i="12"/>
  <c r="CA392" i="12"/>
  <c r="BM392" i="12"/>
  <c r="CA391" i="12"/>
  <c r="BM391" i="12"/>
  <c r="CA390" i="12"/>
  <c r="BM390" i="12"/>
  <c r="CA389" i="12"/>
  <c r="CA388" i="12"/>
  <c r="BM388" i="12"/>
  <c r="CA280" i="12"/>
  <c r="BM280" i="12"/>
  <c r="CA386" i="12"/>
  <c r="BM386" i="12"/>
  <c r="CA730" i="12"/>
  <c r="BM730" i="12"/>
  <c r="CA384" i="12"/>
  <c r="BM384" i="12"/>
  <c r="CA383" i="12"/>
  <c r="BM383" i="12"/>
  <c r="CA382" i="12"/>
  <c r="BM382" i="12"/>
  <c r="CA381" i="12"/>
  <c r="BM381" i="12"/>
  <c r="CA380" i="12"/>
  <c r="BM380" i="12"/>
  <c r="CA379" i="12"/>
  <c r="BM379" i="12"/>
  <c r="CA378" i="12"/>
  <c r="BM378" i="12"/>
  <c r="CA377" i="12"/>
  <c r="BM377" i="12"/>
  <c r="CA376" i="12"/>
  <c r="BM376" i="12"/>
  <c r="CA375" i="12"/>
  <c r="CA1660" i="12"/>
  <c r="BM1660" i="12"/>
  <c r="CA373" i="12"/>
  <c r="BM373" i="12"/>
  <c r="CA372" i="12"/>
  <c r="CA371" i="12"/>
  <c r="BM371" i="12"/>
  <c r="CA370" i="12"/>
  <c r="BM370" i="12"/>
  <c r="CA369" i="12"/>
  <c r="BM369" i="12"/>
  <c r="CA368" i="12"/>
  <c r="BM368" i="12"/>
  <c r="CA367" i="12"/>
  <c r="BM367" i="12"/>
  <c r="CA366" i="12"/>
  <c r="BM366" i="12"/>
  <c r="CA365" i="12"/>
  <c r="BM365" i="12"/>
  <c r="CA364" i="12"/>
  <c r="BM364" i="12"/>
  <c r="CA363" i="12"/>
  <c r="BM363" i="12"/>
  <c r="CA908" i="12"/>
  <c r="BM908" i="12"/>
  <c r="CA361" i="12"/>
  <c r="BM361" i="12"/>
  <c r="CA360" i="12"/>
  <c r="BM360" i="12"/>
  <c r="CA1526" i="12"/>
  <c r="BM1526" i="12"/>
  <c r="CA358" i="12"/>
  <c r="BM358" i="12"/>
  <c r="CA357" i="12"/>
  <c r="BM357" i="12"/>
  <c r="CA356" i="12"/>
  <c r="BM356" i="12"/>
  <c r="CA355" i="12"/>
  <c r="BM355" i="12"/>
  <c r="CA354" i="12"/>
  <c r="BM354" i="12"/>
  <c r="CA353" i="12"/>
  <c r="BM353" i="12"/>
  <c r="CA352" i="12"/>
  <c r="BM352" i="12"/>
  <c r="CA351" i="12"/>
  <c r="BM351" i="12"/>
  <c r="CA350" i="12"/>
  <c r="BM350" i="12"/>
  <c r="CA349" i="12"/>
  <c r="BM349" i="12"/>
  <c r="CA348" i="12"/>
  <c r="BM348" i="12"/>
  <c r="CA347" i="12"/>
  <c r="BM347" i="12"/>
  <c r="CA346" i="12"/>
  <c r="BM346" i="12"/>
  <c r="CA345" i="12"/>
  <c r="BM345" i="12"/>
  <c r="CA344" i="12"/>
  <c r="BM344" i="12"/>
  <c r="CA527" i="12"/>
  <c r="BM527" i="12"/>
  <c r="CA1700" i="12"/>
  <c r="BM1700" i="12"/>
  <c r="CA341" i="12"/>
  <c r="BM341" i="12"/>
  <c r="CA340" i="12"/>
  <c r="BM340" i="12"/>
  <c r="CA339" i="12"/>
  <c r="BM339" i="12"/>
  <c r="CA338" i="12"/>
  <c r="BM338" i="12"/>
  <c r="CA337" i="12"/>
  <c r="BM337" i="12"/>
  <c r="CA336" i="12"/>
  <c r="BM336" i="12"/>
  <c r="CA335" i="12"/>
  <c r="BM335" i="12"/>
  <c r="CA334" i="12"/>
  <c r="BM334" i="12"/>
  <c r="CA333" i="12"/>
  <c r="BM333" i="12"/>
  <c r="CA332" i="12"/>
  <c r="BM332" i="12"/>
  <c r="CA331" i="12"/>
  <c r="BM331" i="12"/>
  <c r="CA1090" i="12"/>
  <c r="BM1090" i="12"/>
  <c r="CA329" i="12"/>
  <c r="BM329" i="12"/>
  <c r="CA328" i="12"/>
  <c r="BM328" i="12"/>
  <c r="CA396" i="12"/>
  <c r="BM396" i="12"/>
  <c r="CA326" i="12"/>
  <c r="BM326" i="12"/>
  <c r="CA325" i="12"/>
  <c r="BM325" i="12"/>
  <c r="CA324" i="12"/>
  <c r="BM324" i="12"/>
  <c r="CA323" i="12"/>
  <c r="BM323" i="12"/>
  <c r="CA322" i="12"/>
  <c r="BM322" i="12"/>
  <c r="CA321" i="12"/>
  <c r="BM321" i="12"/>
  <c r="CA320" i="12"/>
  <c r="BM320" i="12"/>
  <c r="CA604" i="12"/>
  <c r="BM604" i="12"/>
  <c r="CA318" i="12"/>
  <c r="BM318" i="12"/>
  <c r="CA317" i="12"/>
  <c r="BM317" i="12"/>
  <c r="CA316" i="12"/>
  <c r="BM316" i="12"/>
  <c r="CA315" i="12"/>
  <c r="CA314" i="12"/>
  <c r="BM314" i="12"/>
  <c r="CA313" i="12"/>
  <c r="CA312" i="12"/>
  <c r="BM312" i="12"/>
  <c r="CA311" i="12"/>
  <c r="BM311" i="12"/>
  <c r="CA310" i="12"/>
  <c r="BM310" i="12"/>
  <c r="CA309" i="12"/>
  <c r="BM309" i="12"/>
  <c r="CA308" i="12"/>
  <c r="BM308" i="12"/>
  <c r="CA307" i="12"/>
  <c r="CA306" i="12"/>
  <c r="BM306" i="12"/>
  <c r="CA305" i="12"/>
  <c r="BM305" i="12"/>
  <c r="CA304" i="12"/>
  <c r="CA303" i="12"/>
  <c r="BM303" i="12"/>
  <c r="CA302" i="12"/>
  <c r="BM302" i="12"/>
  <c r="CA771" i="12"/>
  <c r="BM771" i="12"/>
  <c r="CA300" i="12"/>
  <c r="BM300" i="12"/>
  <c r="CA299" i="12"/>
  <c r="BM299" i="12"/>
  <c r="CA298" i="12"/>
  <c r="BM298" i="12"/>
  <c r="CA297" i="12"/>
  <c r="BM297" i="12"/>
  <c r="CA296" i="12"/>
  <c r="BM296" i="12"/>
  <c r="CA295" i="12"/>
  <c r="BM295" i="12"/>
  <c r="CA294" i="12"/>
  <c r="BM294" i="12"/>
  <c r="CA293" i="12"/>
  <c r="BM293" i="12"/>
  <c r="CA292" i="12"/>
  <c r="CA291" i="12"/>
  <c r="BM291" i="12"/>
  <c r="CA290" i="12"/>
  <c r="BM290" i="12"/>
  <c r="CA289" i="12"/>
  <c r="BM289" i="12"/>
  <c r="CA288" i="12"/>
  <c r="CA287" i="12"/>
  <c r="CA286" i="12"/>
  <c r="BM286" i="12"/>
  <c r="CA285" i="12"/>
  <c r="BM285" i="12"/>
  <c r="CA284" i="12"/>
  <c r="BM284" i="12"/>
  <c r="CA283" i="12"/>
  <c r="BM283" i="12"/>
  <c r="CA282" i="12"/>
  <c r="BM282" i="12"/>
  <c r="CA281" i="12"/>
  <c r="BM281" i="12"/>
  <c r="CA719" i="12"/>
  <c r="BM719" i="12"/>
  <c r="CA279" i="12"/>
  <c r="BM279" i="12"/>
  <c r="CA278" i="12"/>
  <c r="CA277" i="12"/>
  <c r="BM277" i="12"/>
  <c r="CA276" i="12"/>
  <c r="BM276" i="12"/>
  <c r="CA275" i="12"/>
  <c r="BM275" i="12"/>
  <c r="CA274" i="12"/>
  <c r="BM274" i="12"/>
  <c r="CA273" i="12"/>
  <c r="BM273" i="12"/>
  <c r="CA272" i="12"/>
  <c r="BM272" i="12"/>
  <c r="CA271" i="12"/>
  <c r="BM271" i="12"/>
  <c r="CA270" i="12"/>
  <c r="BM270" i="12"/>
  <c r="CA269" i="12"/>
  <c r="BM269" i="12"/>
  <c r="CA268" i="12"/>
  <c r="BM268" i="12"/>
  <c r="CA267" i="12"/>
  <c r="BM267" i="12"/>
  <c r="CA266" i="12"/>
  <c r="BM266" i="12"/>
  <c r="CA265" i="12"/>
  <c r="BM265" i="12"/>
  <c r="CA264" i="12"/>
  <c r="BM264" i="12"/>
  <c r="CA263" i="12"/>
  <c r="BM263" i="12"/>
  <c r="CA262" i="12"/>
  <c r="CA261" i="12"/>
  <c r="BM261" i="12"/>
  <c r="CA260" i="12"/>
  <c r="BM260" i="12"/>
  <c r="CA259" i="12"/>
  <c r="BM259" i="12"/>
  <c r="CA258" i="12"/>
  <c r="BM258" i="12"/>
  <c r="CA257" i="12"/>
  <c r="BM257" i="12"/>
  <c r="CA256" i="12"/>
  <c r="BM256" i="12"/>
  <c r="CA255" i="12"/>
  <c r="BM255" i="12"/>
  <c r="CA254" i="12"/>
  <c r="BM254" i="12"/>
  <c r="CA253" i="12"/>
  <c r="BM253" i="12"/>
  <c r="CA252" i="12"/>
  <c r="BM252" i="12"/>
  <c r="CA699" i="12"/>
  <c r="BM699" i="12"/>
  <c r="CA250" i="12"/>
  <c r="BM250" i="12"/>
  <c r="CA249" i="12"/>
  <c r="CA248" i="12"/>
  <c r="BM248" i="12"/>
  <c r="CA247" i="12"/>
  <c r="BM247" i="12"/>
  <c r="CA402" i="12"/>
  <c r="BM402" i="12"/>
  <c r="CA245" i="12"/>
  <c r="BM245" i="12"/>
  <c r="CA244" i="12"/>
  <c r="BM244" i="12"/>
  <c r="CA243" i="12"/>
  <c r="BM243" i="12"/>
  <c r="CA242" i="12"/>
  <c r="BM242" i="12"/>
  <c r="CA241" i="12"/>
  <c r="BM241" i="12"/>
  <c r="CA240" i="12"/>
  <c r="BM240" i="12"/>
  <c r="CA239" i="12"/>
  <c r="BM239" i="12"/>
  <c r="CA238" i="12"/>
  <c r="BM238" i="12"/>
  <c r="CA237" i="12"/>
  <c r="BM237" i="12"/>
  <c r="CA236" i="12"/>
  <c r="BM236" i="12"/>
  <c r="CA235" i="12"/>
  <c r="BM235" i="12"/>
  <c r="CA234" i="12"/>
  <c r="CA233" i="12"/>
  <c r="BM233" i="12"/>
  <c r="CA232" i="12"/>
  <c r="BM232" i="12"/>
  <c r="CA231" i="12"/>
  <c r="BM231" i="12"/>
  <c r="CA230" i="12"/>
  <c r="BM230" i="12"/>
  <c r="CA229" i="12"/>
  <c r="BM229" i="12"/>
  <c r="CA228" i="12"/>
  <c r="BM228" i="12"/>
  <c r="CA227" i="12"/>
  <c r="BM227" i="12"/>
  <c r="CA226" i="12"/>
  <c r="BM226" i="12"/>
  <c r="CA225" i="12"/>
  <c r="BM225" i="12"/>
  <c r="CA224" i="12"/>
  <c r="BM224" i="12"/>
  <c r="CA223" i="12"/>
  <c r="BM223" i="12"/>
  <c r="CA222" i="12"/>
  <c r="CA221" i="12"/>
  <c r="BM221" i="12"/>
  <c r="CA220" i="12"/>
  <c r="BM220" i="12"/>
  <c r="CA219" i="12"/>
  <c r="BM219" i="12"/>
  <c r="CA218" i="12"/>
  <c r="BM218" i="12"/>
  <c r="CA217" i="12"/>
  <c r="BM217" i="12"/>
  <c r="CA216" i="12"/>
  <c r="BM216" i="12"/>
  <c r="CA215" i="12"/>
  <c r="BM215" i="12"/>
  <c r="CA214" i="12"/>
  <c r="BM214" i="12"/>
  <c r="CA213" i="12"/>
  <c r="BM213" i="12"/>
  <c r="CA212" i="12"/>
  <c r="BM212" i="12"/>
  <c r="CA211" i="12"/>
  <c r="BM211" i="12"/>
  <c r="CA210" i="12"/>
  <c r="BM210" i="12"/>
  <c r="CA209" i="12"/>
  <c r="BM209" i="12"/>
  <c r="CA208" i="12"/>
  <c r="BM208" i="12"/>
  <c r="CA207" i="12"/>
  <c r="BM207" i="12"/>
  <c r="CA206" i="12"/>
  <c r="BM206" i="12"/>
  <c r="CA205" i="12"/>
  <c r="BM205" i="12"/>
  <c r="CA204" i="12"/>
  <c r="BM204" i="12"/>
  <c r="CA203" i="12"/>
  <c r="BM203" i="12"/>
  <c r="CA202" i="12"/>
  <c r="BM202" i="12"/>
  <c r="CA201" i="12"/>
  <c r="BM201" i="12"/>
  <c r="CA200" i="12"/>
  <c r="BM200" i="12"/>
  <c r="CA199" i="12"/>
  <c r="BM199" i="12"/>
  <c r="CA198" i="12"/>
  <c r="BM198" i="12"/>
  <c r="CA197" i="12"/>
  <c r="BM197" i="12"/>
  <c r="CA1783" i="12"/>
  <c r="BM1783" i="12"/>
  <c r="CA195" i="12"/>
  <c r="BM195" i="12"/>
  <c r="CA194" i="12"/>
  <c r="BM194" i="12"/>
  <c r="CA193" i="12"/>
  <c r="BM193" i="12"/>
  <c r="CA192" i="12"/>
  <c r="BM192" i="12"/>
  <c r="CA191" i="12"/>
  <c r="BM191" i="12"/>
  <c r="CA190" i="12"/>
  <c r="BM190" i="12"/>
  <c r="CA189" i="12"/>
  <c r="BM189" i="12"/>
  <c r="CA188" i="12"/>
  <c r="BM188" i="12"/>
  <c r="CA187" i="12"/>
  <c r="BM187" i="12"/>
  <c r="CA186" i="12"/>
  <c r="BM186" i="12"/>
  <c r="CA185" i="12"/>
  <c r="BM185" i="12"/>
  <c r="CA184" i="12"/>
  <c r="BM184" i="12"/>
  <c r="CA183" i="12"/>
  <c r="BM183" i="12"/>
  <c r="CA182" i="12"/>
  <c r="BM182" i="12"/>
  <c r="CA181" i="12"/>
  <c r="BM181" i="12"/>
  <c r="CA180" i="12"/>
  <c r="BM180" i="12"/>
  <c r="CA179" i="12"/>
  <c r="BM179" i="12"/>
  <c r="CA178" i="12"/>
  <c r="BM178" i="12"/>
  <c r="CA177" i="12"/>
  <c r="BM177" i="12"/>
  <c r="CA1944" i="12"/>
  <c r="BM1944" i="12"/>
  <c r="CA175" i="12"/>
  <c r="BM175" i="12"/>
  <c r="CA174" i="12"/>
  <c r="BM174" i="12"/>
  <c r="CA173" i="12"/>
  <c r="BM173" i="12"/>
  <c r="CA172" i="12"/>
  <c r="BM172" i="12"/>
  <c r="CA171" i="12"/>
  <c r="BM171" i="12"/>
  <c r="CA170" i="12"/>
  <c r="BM170" i="12"/>
  <c r="CA169" i="12"/>
  <c r="CA168" i="12"/>
  <c r="CA167" i="12"/>
  <c r="BM167" i="12"/>
  <c r="CA166" i="12"/>
  <c r="CA165" i="12"/>
  <c r="BM165" i="12"/>
  <c r="CA164" i="12"/>
  <c r="BM164" i="12"/>
  <c r="CA163" i="12"/>
  <c r="BM163" i="12"/>
  <c r="CA162" i="12"/>
  <c r="BM162" i="12"/>
  <c r="CA161" i="12"/>
  <c r="BM161" i="12"/>
  <c r="CA160" i="12"/>
  <c r="BM160" i="12"/>
  <c r="CA159" i="12"/>
  <c r="BM159" i="12"/>
  <c r="CA158" i="12"/>
  <c r="BM158" i="12"/>
  <c r="CA157" i="12"/>
  <c r="BM157" i="12"/>
  <c r="CA156" i="12"/>
  <c r="BM156" i="12"/>
  <c r="CA155" i="12"/>
  <c r="BM155" i="12"/>
  <c r="CA154" i="12"/>
  <c r="BM154" i="12"/>
  <c r="CA153" i="12"/>
  <c r="BM153" i="12"/>
  <c r="CA152" i="12"/>
  <c r="BM152" i="12"/>
  <c r="CA151" i="12"/>
  <c r="BM151" i="12"/>
  <c r="CA150" i="12"/>
  <c r="BM150" i="12"/>
  <c r="CA149" i="12"/>
  <c r="BM149" i="12"/>
  <c r="CA148" i="12"/>
  <c r="BM148" i="12"/>
  <c r="CA147" i="12"/>
  <c r="CA146" i="12"/>
  <c r="BM146" i="12"/>
  <c r="CA145" i="12"/>
  <c r="BM145" i="12"/>
  <c r="CA144" i="12"/>
  <c r="BM144" i="12"/>
  <c r="CA143" i="12"/>
  <c r="BM143" i="12"/>
  <c r="CA142" i="12"/>
  <c r="CA141" i="12"/>
  <c r="BM141" i="12"/>
  <c r="CA140" i="12"/>
  <c r="BM140" i="12"/>
  <c r="CA139" i="12"/>
  <c r="BM139" i="12"/>
  <c r="CA138" i="12"/>
  <c r="BM138" i="12"/>
  <c r="CA137" i="12"/>
  <c r="BM137" i="12"/>
  <c r="CA136" i="12"/>
  <c r="BM136" i="12"/>
  <c r="CA135" i="12"/>
  <c r="BM135" i="12"/>
  <c r="CA134" i="12"/>
  <c r="BM134" i="12"/>
  <c r="CA133" i="12"/>
  <c r="BM133" i="12"/>
  <c r="CA132" i="12"/>
  <c r="BM132" i="12"/>
  <c r="CA131" i="12"/>
  <c r="BM131" i="12"/>
  <c r="CA130" i="12"/>
  <c r="BM130" i="12"/>
  <c r="CA129" i="12"/>
  <c r="CA128" i="12"/>
  <c r="BM128" i="12"/>
  <c r="CA127" i="12"/>
  <c r="BM127" i="12"/>
  <c r="CA126" i="12"/>
  <c r="BM126" i="12"/>
  <c r="CA125" i="12"/>
  <c r="BM125" i="12"/>
  <c r="CA124" i="12"/>
  <c r="BM124" i="12"/>
  <c r="CA123" i="12"/>
  <c r="BM123" i="12"/>
  <c r="CA122" i="12"/>
  <c r="BM122" i="12"/>
  <c r="CA121" i="12"/>
  <c r="BM121" i="12"/>
  <c r="CA120" i="12"/>
  <c r="BM120" i="12"/>
  <c r="CA119" i="12"/>
  <c r="BM119" i="12"/>
  <c r="CA118" i="12"/>
  <c r="BM118" i="12"/>
  <c r="CA117" i="12"/>
  <c r="BM117" i="12"/>
  <c r="CA116" i="12"/>
  <c r="CA115" i="12"/>
  <c r="BM115" i="12"/>
  <c r="CA114" i="12"/>
  <c r="BM114" i="12"/>
  <c r="CA113" i="12"/>
  <c r="BM113" i="12"/>
  <c r="CA112" i="12"/>
  <c r="BM112" i="12"/>
  <c r="CA111" i="12"/>
  <c r="BM111" i="12"/>
  <c r="CA110" i="12"/>
  <c r="BM110" i="12"/>
  <c r="CA109" i="12"/>
  <c r="BM109" i="12"/>
  <c r="CA1911" i="12"/>
  <c r="BM1911" i="12"/>
  <c r="CA107" i="12"/>
  <c r="BM107" i="12"/>
  <c r="CA106" i="12"/>
  <c r="CA105" i="12"/>
  <c r="BM105" i="12"/>
  <c r="CA104" i="12"/>
  <c r="BM104" i="12"/>
  <c r="CA103" i="12"/>
  <c r="BM103" i="12"/>
  <c r="CA102" i="12"/>
  <c r="BM102" i="12"/>
  <c r="CA101" i="12"/>
  <c r="BM101" i="12"/>
  <c r="CA100" i="12"/>
  <c r="CA99" i="12"/>
  <c r="CA98" i="12"/>
  <c r="BM98" i="12"/>
  <c r="CA97" i="12"/>
  <c r="BM97" i="12"/>
  <c r="CA96" i="12"/>
  <c r="BM96" i="12"/>
  <c r="CA95" i="12"/>
  <c r="BM95" i="12"/>
  <c r="CA94" i="12"/>
  <c r="BM94" i="12"/>
  <c r="CA93" i="12"/>
  <c r="BM93" i="12"/>
  <c r="CA92" i="12"/>
  <c r="BM92" i="12"/>
  <c r="CA91" i="12"/>
  <c r="BM91" i="12"/>
  <c r="CA90" i="12"/>
  <c r="CA89" i="12"/>
  <c r="BM89" i="12"/>
  <c r="CA88" i="12"/>
  <c r="BM88" i="12"/>
  <c r="CA87" i="12"/>
  <c r="BM87" i="12"/>
  <c r="CA86" i="12"/>
  <c r="BM86" i="12"/>
  <c r="CA85" i="12"/>
  <c r="CA84" i="12"/>
  <c r="BM84" i="12"/>
  <c r="CA83" i="12"/>
  <c r="BM83" i="12"/>
  <c r="CA82" i="12"/>
  <c r="BM82" i="12"/>
  <c r="CA81" i="12"/>
  <c r="BM81" i="12"/>
  <c r="CA80" i="12"/>
  <c r="BM80" i="12"/>
  <c r="CA79" i="12"/>
  <c r="BM79" i="12"/>
  <c r="CA78" i="12"/>
  <c r="BM78" i="12"/>
  <c r="CA77" i="12"/>
  <c r="CA76" i="12"/>
  <c r="BM76" i="12"/>
  <c r="CA75" i="12"/>
  <c r="BM75" i="12"/>
  <c r="CA74" i="12"/>
  <c r="BM74" i="12"/>
  <c r="CA73" i="12"/>
  <c r="BM73" i="12"/>
  <c r="CA72" i="12"/>
  <c r="BM72" i="12"/>
  <c r="CA71" i="12"/>
  <c r="CA70" i="12"/>
  <c r="BM70" i="12"/>
  <c r="CA69" i="12"/>
  <c r="BM69" i="12"/>
  <c r="CA68" i="12"/>
  <c r="BM68" i="12"/>
  <c r="CA67" i="12"/>
  <c r="BM67" i="12"/>
  <c r="CA66" i="12"/>
  <c r="BM66" i="12"/>
  <c r="CA65" i="12"/>
  <c r="CA64" i="12"/>
  <c r="BM64" i="12"/>
  <c r="CA63" i="12"/>
  <c r="BM63" i="12"/>
  <c r="CA62" i="12"/>
  <c r="BM62" i="12"/>
  <c r="CA61" i="12"/>
  <c r="BM61" i="12"/>
  <c r="CA60" i="12"/>
  <c r="BM60" i="12"/>
  <c r="CA59" i="12"/>
  <c r="BM59" i="12"/>
  <c r="CA58" i="12"/>
  <c r="BM58" i="12"/>
  <c r="CA57" i="12"/>
  <c r="BM57" i="12"/>
  <c r="CA56" i="12"/>
  <c r="BM56" i="12"/>
  <c r="CA55" i="12"/>
  <c r="BM55" i="12"/>
  <c r="CA54" i="12"/>
  <c r="BM54" i="12"/>
  <c r="CA53" i="12"/>
  <c r="BM53" i="12"/>
  <c r="CA52" i="12"/>
  <c r="BM52" i="12"/>
  <c r="CA51" i="12"/>
  <c r="BM51" i="12"/>
  <c r="CA50" i="12"/>
  <c r="BM50" i="12"/>
  <c r="CA49" i="12"/>
  <c r="BM49" i="12"/>
  <c r="CA48" i="12"/>
  <c r="BM48" i="12"/>
  <c r="CA47" i="12"/>
  <c r="BM47" i="12"/>
  <c r="CA46" i="12"/>
  <c r="BM46" i="12"/>
  <c r="CA45" i="12"/>
  <c r="BM45" i="12"/>
  <c r="CA44" i="12"/>
  <c r="BM44" i="12"/>
  <c r="CA43" i="12"/>
  <c r="BM43" i="12"/>
  <c r="CA42" i="12"/>
  <c r="BM42" i="12"/>
  <c r="CA41" i="12"/>
  <c r="BM41" i="12"/>
  <c r="CA40" i="12"/>
  <c r="BM40" i="12"/>
  <c r="CA39" i="12"/>
  <c r="BM39" i="12"/>
  <c r="CA38" i="12"/>
  <c r="BM38" i="12"/>
  <c r="CA37" i="12"/>
  <c r="BM37" i="12"/>
  <c r="CA36" i="12"/>
  <c r="BM36" i="12"/>
  <c r="CA35" i="12"/>
  <c r="BM35" i="12"/>
  <c r="CA34" i="12"/>
  <c r="BM34" i="12"/>
  <c r="CA33" i="12"/>
  <c r="BM33" i="12"/>
  <c r="CA32" i="12"/>
  <c r="BM32" i="12"/>
  <c r="CA31" i="12"/>
  <c r="BM31" i="12"/>
  <c r="CA30" i="12"/>
  <c r="BM30" i="12"/>
  <c r="CA29" i="12"/>
  <c r="BM29" i="12"/>
  <c r="CA28" i="12"/>
  <c r="BM28" i="12"/>
  <c r="CA27" i="12"/>
  <c r="BM27" i="12"/>
  <c r="CA26" i="12"/>
  <c r="BM26" i="12"/>
  <c r="CA25" i="12"/>
  <c r="BM25" i="12"/>
  <c r="CA24" i="12"/>
  <c r="BM24" i="12"/>
  <c r="CA23" i="12"/>
  <c r="BM23" i="12"/>
  <c r="CA22" i="12"/>
  <c r="BM22" i="12"/>
  <c r="CA21" i="12"/>
  <c r="CA20" i="12"/>
  <c r="BM20" i="12"/>
  <c r="CA19" i="12"/>
  <c r="BM19" i="12"/>
  <c r="CA18" i="12"/>
  <c r="BM18" i="12"/>
  <c r="CA17" i="12"/>
  <c r="BM17" i="12"/>
  <c r="CA16" i="12"/>
  <c r="BM16" i="12"/>
  <c r="CA15" i="12"/>
  <c r="BM15" i="12"/>
  <c r="CA14" i="12"/>
  <c r="BM14" i="12"/>
  <c r="CA13" i="12"/>
  <c r="BM13" i="12"/>
  <c r="CA12" i="12"/>
  <c r="BM12" i="12"/>
  <c r="CA11" i="12"/>
  <c r="BM11" i="12"/>
  <c r="CA10" i="12"/>
  <c r="CA9" i="12"/>
  <c r="BM9" i="12"/>
  <c r="CA8" i="12"/>
  <c r="BM8" i="12"/>
  <c r="CA7" i="12"/>
  <c r="BM7" i="12"/>
  <c r="CA6" i="12"/>
  <c r="BM6" i="12"/>
  <c r="CA5" i="12"/>
  <c r="BM5" i="12"/>
  <c r="CA4" i="12"/>
  <c r="BM4" i="12"/>
  <c r="CA3" i="12"/>
  <c r="CA2" i="12"/>
  <c r="D1938" i="1"/>
  <c r="E1938" i="1"/>
  <c r="BK114" i="1"/>
  <c r="BY1809" i="1"/>
  <c r="BK456" i="1"/>
  <c r="BY456" i="1"/>
  <c r="BY775" i="1"/>
  <c r="BY898" i="1"/>
  <c r="BK898" i="1"/>
  <c r="BY611" i="1"/>
  <c r="BK611" i="1"/>
  <c r="BY1741" i="1"/>
  <c r="BK1741" i="1"/>
  <c r="BY784" i="1"/>
  <c r="BY793" i="1"/>
  <c r="BK793" i="1"/>
  <c r="BY457" i="1"/>
  <c r="BK457" i="1"/>
  <c r="BY961" i="1"/>
  <c r="BY1599" i="1"/>
  <c r="BK1599" i="1"/>
  <c r="BY1889" i="1"/>
  <c r="BK1889" i="1"/>
  <c r="BY432" i="1"/>
  <c r="BK432" i="1"/>
  <c r="BY1426" i="1"/>
  <c r="BK1426" i="1"/>
  <c r="BY1597" i="1"/>
  <c r="BY1705" i="1"/>
  <c r="BK1705" i="1"/>
  <c r="BY1203" i="1"/>
  <c r="BK1203" i="1"/>
  <c r="BY321" i="1"/>
  <c r="BK321" i="1"/>
  <c r="BY125" i="1"/>
  <c r="BK125" i="1"/>
  <c r="BY536" i="1"/>
  <c r="BK536" i="1"/>
  <c r="BY1256" i="1"/>
  <c r="BK1256" i="1"/>
  <c r="BY1363" i="1"/>
  <c r="BY1292" i="1"/>
  <c r="BK1292" i="1"/>
  <c r="BY1403" i="1"/>
  <c r="BK1403" i="1"/>
  <c r="BY287" i="1"/>
  <c r="BY1349" i="1"/>
  <c r="BK1349" i="1"/>
  <c r="BY757" i="1"/>
  <c r="BY589" i="1"/>
  <c r="BK589" i="1"/>
  <c r="BY1425" i="1"/>
  <c r="BK1425" i="1"/>
  <c r="BY1387" i="1"/>
  <c r="BK1387" i="1"/>
  <c r="BY1305" i="1"/>
  <c r="BK1305" i="1"/>
  <c r="BY1234" i="1"/>
  <c r="BY1685" i="1"/>
  <c r="BK1685" i="1"/>
  <c r="BY1552" i="1"/>
  <c r="BY939" i="1"/>
  <c r="BK939" i="1"/>
  <c r="BY614" i="1"/>
  <c r="BK614" i="1"/>
  <c r="BY847" i="1"/>
  <c r="BK847" i="1"/>
  <c r="BY1895" i="1"/>
  <c r="BK1895" i="1"/>
  <c r="BY941" i="1"/>
  <c r="BK941" i="1"/>
  <c r="BY1260" i="1"/>
  <c r="BK1260" i="1"/>
  <c r="BY1303" i="1"/>
  <c r="BK1303" i="1"/>
  <c r="BY401" i="1"/>
  <c r="BK401" i="1"/>
  <c r="BY482" i="1"/>
  <c r="BY1014" i="1"/>
  <c r="BK1014" i="1"/>
  <c r="BY381" i="1"/>
  <c r="BK381" i="1"/>
  <c r="BY1056" i="1"/>
  <c r="BK1056" i="1"/>
  <c r="BY1315" i="1"/>
  <c r="BY318" i="1"/>
  <c r="BK318" i="1"/>
  <c r="BY1670" i="1"/>
  <c r="BK1670" i="1"/>
  <c r="BY1549" i="1"/>
  <c r="BK1549" i="1"/>
  <c r="BY1071" i="1"/>
  <c r="BK1071" i="1"/>
  <c r="BY592" i="1"/>
  <c r="BY1569" i="1"/>
  <c r="BK1569" i="1"/>
  <c r="BY1361" i="1"/>
  <c r="BY1664" i="1"/>
  <c r="BK1664" i="1"/>
  <c r="BY1150" i="1"/>
  <c r="BY520" i="1"/>
  <c r="BY899" i="1"/>
  <c r="BY505" i="1"/>
  <c r="BK505" i="1"/>
  <c r="BY809" i="1"/>
  <c r="BK809" i="1"/>
  <c r="BY735" i="1"/>
  <c r="BK735" i="1"/>
  <c r="BY1143" i="1"/>
  <c r="BY1329" i="1"/>
  <c r="BK1329" i="1"/>
  <c r="BY1846" i="1"/>
  <c r="BY1043" i="1"/>
  <c r="BK1043" i="1"/>
  <c r="BY676" i="1"/>
  <c r="BY1845" i="1"/>
  <c r="BY854" i="1"/>
  <c r="BK854" i="1"/>
  <c r="BY828" i="1"/>
  <c r="BK828" i="1"/>
  <c r="BY947" i="1"/>
  <c r="BK947" i="1"/>
  <c r="BY516" i="1"/>
  <c r="BY1395" i="1"/>
  <c r="BK1395" i="1"/>
  <c r="BY1413" i="1"/>
  <c r="BK1413" i="1"/>
  <c r="BY590" i="1"/>
  <c r="BK590" i="1"/>
  <c r="BY247" i="1"/>
  <c r="BK247" i="1"/>
  <c r="BY795" i="1"/>
  <c r="BK795" i="1"/>
  <c r="BY1453" i="1"/>
  <c r="BK1453" i="1"/>
  <c r="BY1547" i="1"/>
  <c r="BK1547" i="1"/>
  <c r="BY118" i="1"/>
  <c r="BK118" i="1"/>
  <c r="BY1703" i="1"/>
  <c r="BY1161" i="1"/>
  <c r="BK1161" i="1"/>
  <c r="BY897" i="1"/>
  <c r="BK897" i="1"/>
  <c r="BY1320" i="1"/>
  <c r="BK1320" i="1"/>
  <c r="BY1448" i="1"/>
  <c r="BY21" i="1"/>
  <c r="BY472" i="1"/>
  <c r="BK472" i="1"/>
  <c r="BY1391" i="1"/>
  <c r="BY542" i="1"/>
  <c r="BY1555" i="1"/>
  <c r="BK1555" i="1"/>
  <c r="BY1337" i="1"/>
  <c r="BY1020" i="1"/>
  <c r="BY1444" i="1"/>
  <c r="BK1444" i="1"/>
  <c r="BY265" i="1"/>
  <c r="BK265" i="1"/>
  <c r="BY1746" i="1"/>
  <c r="BK1746" i="1"/>
  <c r="BY1356" i="1"/>
  <c r="BK1356" i="1"/>
  <c r="BY348" i="1"/>
  <c r="BK348" i="1"/>
  <c r="BY911" i="1"/>
  <c r="BK911" i="1"/>
  <c r="BY116" i="1"/>
  <c r="BY1428" i="1"/>
  <c r="BY1906" i="1"/>
  <c r="BK1906" i="1"/>
  <c r="BY475" i="1"/>
  <c r="BK475" i="1"/>
  <c r="BY1580" i="1"/>
  <c r="BK1580" i="1"/>
  <c r="BY1577" i="1"/>
  <c r="BK1577" i="1"/>
  <c r="BY1540" i="1"/>
  <c r="BY210" i="1"/>
  <c r="BK210" i="1"/>
  <c r="BY871" i="1"/>
  <c r="BK871" i="1"/>
  <c r="BY1455" i="1"/>
  <c r="BY1514" i="1"/>
  <c r="BK1514" i="1"/>
  <c r="BY922" i="1"/>
  <c r="BY1277" i="1"/>
  <c r="BK1277" i="1"/>
  <c r="BY1160" i="1"/>
  <c r="BK1160" i="1"/>
  <c r="BY1899" i="1"/>
  <c r="BY675" i="1"/>
  <c r="BK675" i="1"/>
  <c r="BY1156" i="1"/>
  <c r="BK1156" i="1"/>
  <c r="BY1702" i="1"/>
  <c r="BK1702" i="1"/>
  <c r="BY1125" i="1"/>
  <c r="BK1125" i="1"/>
  <c r="BY391" i="1"/>
  <c r="BK391" i="1"/>
  <c r="BY134" i="1"/>
  <c r="BK134" i="1"/>
  <c r="BY976" i="1"/>
  <c r="BY72" i="1"/>
  <c r="BK72" i="1"/>
  <c r="BY715" i="1"/>
  <c r="BK715" i="1"/>
  <c r="BY77" i="1"/>
  <c r="BY288" i="1"/>
  <c r="BY1779" i="1"/>
  <c r="BY1530" i="1"/>
  <c r="BK1530" i="1"/>
  <c r="BY964" i="1"/>
  <c r="BK964" i="1"/>
  <c r="BY1869" i="1"/>
  <c r="BK1869" i="1"/>
  <c r="BY1257" i="1"/>
  <c r="BK1257" i="1"/>
  <c r="BY1445" i="1"/>
  <c r="BY532" i="1"/>
  <c r="BK532" i="1"/>
  <c r="BY888" i="1"/>
  <c r="BK888" i="1"/>
  <c r="BY1075" i="1"/>
  <c r="BK1075" i="1"/>
  <c r="BY1286" i="1"/>
  <c r="BK1286" i="1"/>
  <c r="BY531" i="1"/>
  <c r="BY294" i="1"/>
  <c r="BK294" i="1"/>
  <c r="BY533" i="1"/>
  <c r="BK533" i="1"/>
  <c r="BY172" i="1"/>
  <c r="BK172" i="1"/>
  <c r="BY398" i="1"/>
  <c r="BK398" i="1"/>
  <c r="BY1388" i="1"/>
  <c r="BK1388" i="1"/>
  <c r="BY1290" i="1"/>
  <c r="BK1290" i="1"/>
  <c r="BY458" i="1"/>
  <c r="BK458" i="1"/>
  <c r="BY720" i="1"/>
  <c r="BK720" i="1"/>
  <c r="BY364" i="1"/>
  <c r="BK364" i="1"/>
  <c r="BY1617" i="1"/>
  <c r="BK1617" i="1"/>
  <c r="BY1030" i="1"/>
  <c r="BK1030" i="1"/>
  <c r="BY455" i="1"/>
  <c r="BY1795" i="1"/>
  <c r="BK1795" i="1"/>
  <c r="BY647" i="1"/>
  <c r="BY1171" i="1"/>
  <c r="BK1171" i="1"/>
  <c r="BY1538" i="1"/>
  <c r="BK1538" i="1"/>
  <c r="BY1354" i="1"/>
  <c r="BY658" i="1"/>
  <c r="BK658" i="1"/>
  <c r="BY127" i="1"/>
  <c r="BK127" i="1"/>
  <c r="BY62" i="1"/>
  <c r="BK62" i="1"/>
  <c r="BY753" i="1"/>
  <c r="BK753" i="1"/>
  <c r="BY699" i="1"/>
  <c r="BK699" i="1"/>
  <c r="BY1218" i="1"/>
  <c r="BK1218" i="1"/>
  <c r="BY787" i="1"/>
  <c r="BK787" i="1"/>
  <c r="BY90" i="1"/>
  <c r="BY103" i="1"/>
  <c r="BK103" i="1"/>
  <c r="BY260" i="1"/>
  <c r="BK260" i="1"/>
  <c r="BY874" i="1"/>
  <c r="BK874" i="1"/>
  <c r="BY1842" i="1"/>
  <c r="BK1842" i="1"/>
  <c r="BY1326" i="1"/>
  <c r="BK1326" i="1"/>
  <c r="BY130" i="1"/>
  <c r="BK130" i="1"/>
  <c r="BY1708" i="1"/>
  <c r="BK1708" i="1"/>
  <c r="BY510" i="1"/>
  <c r="BK510" i="1"/>
  <c r="BY15" i="1"/>
  <c r="BK15" i="1"/>
  <c r="BY1211" i="1"/>
  <c r="BK1211" i="1"/>
  <c r="BY1340" i="1"/>
  <c r="BK1340" i="1"/>
  <c r="BY1788" i="1"/>
  <c r="BK1788" i="1"/>
  <c r="BY1196" i="1"/>
  <c r="BK1196" i="1"/>
  <c r="BY73" i="1"/>
  <c r="BK73" i="1"/>
  <c r="BY1595" i="1"/>
  <c r="BK1595" i="1"/>
  <c r="BY355" i="1"/>
  <c r="BK355" i="1"/>
  <c r="BY1587" i="1"/>
  <c r="BK1587" i="1"/>
  <c r="BY469" i="1"/>
  <c r="BK469" i="1"/>
  <c r="BY1834" i="1"/>
  <c r="BK1834" i="1"/>
  <c r="BY1233" i="1"/>
  <c r="BY1720" i="1"/>
  <c r="BK1720" i="1"/>
  <c r="BY1504" i="1"/>
  <c r="BY968" i="1"/>
  <c r="BK968" i="1"/>
  <c r="BY1576" i="1"/>
  <c r="BK1576" i="1"/>
  <c r="BY410" i="1"/>
  <c r="BY1419" i="1"/>
  <c r="BY1074" i="1"/>
  <c r="BK1074" i="1"/>
  <c r="BY1693" i="1"/>
  <c r="BK1693" i="1"/>
  <c r="BY57" i="1"/>
  <c r="BK57" i="1"/>
  <c r="BY69" i="1"/>
  <c r="BK69" i="1"/>
  <c r="BY190" i="1"/>
  <c r="BK190" i="1"/>
  <c r="BY693" i="1"/>
  <c r="BY1176" i="1"/>
  <c r="BK1176" i="1"/>
  <c r="BY1534" i="1"/>
  <c r="BK1534" i="1"/>
  <c r="BY1666" i="1"/>
  <c r="BK1666" i="1"/>
  <c r="BY315" i="1"/>
  <c r="BY1255" i="1"/>
  <c r="BK1255" i="1"/>
  <c r="BY954" i="1"/>
  <c r="BK954" i="1"/>
  <c r="BY1328" i="1"/>
  <c r="BK1328" i="1"/>
  <c r="BY1768" i="1"/>
  <c r="BK1768" i="1"/>
  <c r="BY28" i="1"/>
  <c r="BK28" i="1"/>
  <c r="BY1805" i="1"/>
  <c r="BK1805" i="1"/>
  <c r="BY1754" i="1"/>
  <c r="BK1754" i="1"/>
  <c r="BY1135" i="1"/>
  <c r="BK1135" i="1"/>
  <c r="BY1669" i="1"/>
  <c r="BY1352" i="1"/>
  <c r="BY1850" i="1"/>
  <c r="BK1850" i="1"/>
  <c r="BY335" i="1"/>
  <c r="BK335" i="1"/>
  <c r="BY564" i="1"/>
  <c r="BY575" i="1"/>
  <c r="BK575" i="1"/>
  <c r="BY1335" i="1"/>
  <c r="BK1335" i="1"/>
  <c r="BY569" i="1"/>
  <c r="BK569" i="1"/>
  <c r="BY943" i="1"/>
  <c r="BY1254" i="1"/>
  <c r="BK1254" i="1"/>
  <c r="BY777" i="1"/>
  <c r="BK777" i="1"/>
  <c r="BY863" i="1"/>
  <c r="BK863" i="1"/>
  <c r="BY279" i="1"/>
  <c r="BK279" i="1"/>
  <c r="BY400" i="1"/>
  <c r="BK400" i="1"/>
  <c r="BY1804" i="1"/>
  <c r="BK1804" i="1"/>
  <c r="BY1694" i="1"/>
  <c r="BK1694" i="1"/>
  <c r="BY1339" i="1"/>
  <c r="BK1339" i="1"/>
  <c r="BY1931" i="1"/>
  <c r="BK1931" i="1"/>
  <c r="BY1844" i="1"/>
  <c r="BK1844" i="1"/>
  <c r="BY1456" i="1"/>
  <c r="BK1456" i="1"/>
  <c r="BY1701" i="1"/>
  <c r="BK1701" i="1"/>
  <c r="BY284" i="1"/>
  <c r="BK284" i="1"/>
  <c r="BY1925" i="1"/>
  <c r="BK1925" i="1"/>
  <c r="BY554" i="1"/>
  <c r="BK554" i="1"/>
  <c r="BY1113" i="1"/>
  <c r="BY1334" i="1"/>
  <c r="BK1334" i="1"/>
  <c r="BY882" i="1"/>
  <c r="BK882" i="1"/>
  <c r="BY411" i="1"/>
  <c r="BY1096" i="1"/>
  <c r="BK1096" i="1"/>
  <c r="BY1690" i="1"/>
  <c r="BK1690" i="1"/>
  <c r="BY1316" i="1"/>
  <c r="BK1316" i="1"/>
  <c r="BY1551" i="1"/>
  <c r="BK1551" i="1"/>
  <c r="BY1364" i="1"/>
  <c r="BK1364" i="1"/>
  <c r="BY1750" i="1"/>
  <c r="BY1017" i="1"/>
  <c r="BK1017" i="1"/>
  <c r="BY228" i="1"/>
  <c r="BK228" i="1"/>
  <c r="BY175" i="1"/>
  <c r="BK175" i="1"/>
  <c r="BY310" i="1"/>
  <c r="BK310" i="1"/>
  <c r="BY1812" i="1"/>
  <c r="BK1812" i="1"/>
  <c r="BY618" i="1"/>
  <c r="BY891" i="1"/>
  <c r="BK891" i="1"/>
  <c r="BY1633" i="1"/>
  <c r="BK1633" i="1"/>
  <c r="BY1860" i="1"/>
  <c r="BY1025" i="1"/>
  <c r="BK1025" i="1"/>
  <c r="BY1170" i="1"/>
  <c r="BY409" i="1"/>
  <c r="BK409" i="1"/>
  <c r="BY344" i="1"/>
  <c r="BK344" i="1"/>
  <c r="BY1110" i="1"/>
  <c r="BK1110" i="1"/>
  <c r="BY120" i="1"/>
  <c r="BK120" i="1"/>
  <c r="BY1561" i="1"/>
  <c r="BK1561" i="1"/>
  <c r="BY1921" i="1"/>
  <c r="BK1921" i="1"/>
  <c r="BY1858" i="1"/>
  <c r="BK1858" i="1"/>
  <c r="BY422" i="1"/>
  <c r="BK422" i="1"/>
  <c r="BY1324" i="1"/>
  <c r="BK1324" i="1"/>
  <c r="BY211" i="1"/>
  <c r="BK211" i="1"/>
  <c r="BY856" i="1"/>
  <c r="BY1913" i="1"/>
  <c r="BK1913" i="1"/>
  <c r="BY259" i="1"/>
  <c r="BK259" i="1"/>
  <c r="BY1541" i="1"/>
  <c r="BK1541" i="1"/>
  <c r="BY30" i="1"/>
  <c r="BK30" i="1"/>
  <c r="BY1689" i="1"/>
  <c r="BK1689" i="1"/>
  <c r="BY236" i="1"/>
  <c r="BK236" i="1"/>
  <c r="BY764" i="1"/>
  <c r="BK764" i="1"/>
  <c r="BY1054" i="1"/>
  <c r="BK1054" i="1"/>
  <c r="BY1049" i="1"/>
  <c r="BK1049" i="1"/>
  <c r="BY1333" i="1"/>
  <c r="BK1333" i="1"/>
  <c r="BY591" i="1"/>
  <c r="BK591" i="1"/>
  <c r="BY113" i="1"/>
  <c r="BK113" i="1"/>
  <c r="BY1389" i="1"/>
  <c r="BK1389" i="1"/>
  <c r="BY1028" i="1"/>
  <c r="BK1028" i="1"/>
  <c r="BY766" i="1"/>
  <c r="BK766" i="1"/>
  <c r="BY570" i="1"/>
  <c r="BK570" i="1"/>
  <c r="BY123" i="1"/>
  <c r="BK123" i="1"/>
  <c r="BY1865" i="1"/>
  <c r="BK1865" i="1"/>
  <c r="BY1775" i="1"/>
  <c r="BK1775" i="1"/>
  <c r="BY412" i="1"/>
  <c r="BK412" i="1"/>
  <c r="BY397" i="1"/>
  <c r="BK397" i="1"/>
  <c r="BY1527" i="1"/>
  <c r="BK1527" i="1"/>
  <c r="BY142" i="1"/>
  <c r="BY728" i="1"/>
  <c r="BK728" i="1"/>
  <c r="BY1769" i="1"/>
  <c r="BK1769" i="1"/>
  <c r="BY1581" i="1"/>
  <c r="BK1581" i="1"/>
  <c r="BY238" i="1"/>
  <c r="BK238" i="1"/>
  <c r="BY938" i="1"/>
  <c r="BK938" i="1"/>
  <c r="BY417" i="1"/>
  <c r="BK417" i="1"/>
  <c r="BY203" i="1"/>
  <c r="BK203" i="1"/>
  <c r="BY141" i="1"/>
  <c r="BK141" i="1"/>
  <c r="BY825" i="1"/>
  <c r="BK825" i="1"/>
  <c r="BY1232" i="1"/>
  <c r="BK1232" i="1"/>
  <c r="BY815" i="1"/>
  <c r="BK815" i="1"/>
  <c r="BY1037" i="1"/>
  <c r="BK1037" i="1"/>
  <c r="BY811" i="1"/>
  <c r="BK811" i="1"/>
  <c r="BY1890" i="1"/>
  <c r="BK1890" i="1"/>
  <c r="BY1730" i="1"/>
  <c r="BK1730" i="1"/>
  <c r="BY451" i="1"/>
  <c r="BK451" i="1"/>
  <c r="BY240" i="1"/>
  <c r="BK240" i="1"/>
  <c r="BY1089" i="1"/>
  <c r="BK1089" i="1"/>
  <c r="BY1929" i="1"/>
  <c r="BK1929" i="1"/>
  <c r="BY488" i="1"/>
  <c r="BK488" i="1"/>
  <c r="BY1047" i="1"/>
  <c r="BK1047" i="1"/>
  <c r="BY1638" i="1"/>
  <c r="BK1638" i="1"/>
  <c r="BY507" i="1"/>
  <c r="BK507" i="1"/>
  <c r="BY119" i="1"/>
  <c r="BK119" i="1"/>
  <c r="BY1719" i="1"/>
  <c r="BY649" i="1"/>
  <c r="BK649" i="1"/>
  <c r="BY1752" i="1"/>
  <c r="BK1752" i="1"/>
  <c r="BY1010" i="1"/>
  <c r="BY334" i="1"/>
  <c r="BK334" i="1"/>
  <c r="BY483" i="1"/>
  <c r="BY1826" i="1"/>
  <c r="BK1826" i="1"/>
  <c r="BY992" i="1"/>
  <c r="BK992" i="1"/>
  <c r="BY1474" i="1"/>
  <c r="BK1474" i="1"/>
  <c r="BY1717" i="1"/>
  <c r="BK1717" i="1"/>
  <c r="BY357" i="1"/>
  <c r="BK357" i="1"/>
  <c r="BY519" i="1"/>
  <c r="BK519" i="1"/>
  <c r="BY1282" i="1"/>
  <c r="BY1197" i="1"/>
  <c r="BK1197" i="1"/>
  <c r="BY549" i="1"/>
  <c r="BK549" i="1"/>
  <c r="BY1656" i="1"/>
  <c r="BK1656" i="1"/>
  <c r="BY949" i="1"/>
  <c r="BK949" i="1"/>
  <c r="BY951" i="1"/>
  <c r="BY1244" i="1"/>
  <c r="BK1244" i="1"/>
  <c r="BY1336" i="1"/>
  <c r="BK1336" i="1"/>
  <c r="BY540" i="1"/>
  <c r="BK540" i="1"/>
  <c r="BY1122" i="1"/>
  <c r="BK1122" i="1"/>
  <c r="BY1134" i="1"/>
  <c r="BK1134" i="1"/>
  <c r="BY1298" i="1"/>
  <c r="BK1298" i="1"/>
  <c r="BY1615" i="1"/>
  <c r="BK1615" i="1"/>
  <c r="BY1686" i="1"/>
  <c r="BK1686" i="1"/>
  <c r="BY1264" i="1"/>
  <c r="BK1264" i="1"/>
  <c r="BY1270" i="1"/>
  <c r="BK1270" i="1"/>
  <c r="BY1069" i="1"/>
  <c r="BK1069" i="1"/>
  <c r="BY1291" i="1"/>
  <c r="BY413" i="1"/>
  <c r="BK413" i="1"/>
  <c r="BY1385" i="1"/>
  <c r="BK1385" i="1"/>
  <c r="BY1225" i="1"/>
  <c r="BK1225" i="1"/>
  <c r="BY158" i="1"/>
  <c r="BK158" i="1"/>
  <c r="BY1213" i="1"/>
  <c r="BY1289" i="1"/>
  <c r="BK1289" i="1"/>
  <c r="BY1749" i="1"/>
  <c r="BK1749" i="1"/>
  <c r="BY32" i="1"/>
  <c r="BK32" i="1"/>
  <c r="BY585" i="1"/>
  <c r="BK585" i="1"/>
  <c r="BY1891" i="1"/>
  <c r="BK1891" i="1"/>
  <c r="BY117" i="1"/>
  <c r="BK117" i="1"/>
  <c r="BY307" i="1"/>
  <c r="BY1078" i="1"/>
  <c r="BK1078" i="1"/>
  <c r="BY666" i="1"/>
  <c r="BK666" i="1"/>
  <c r="BY464" i="1"/>
  <c r="BK464" i="1"/>
  <c r="BY840" i="1"/>
  <c r="BK840" i="1"/>
  <c r="BY1262" i="1"/>
  <c r="BY1933" i="1"/>
  <c r="BK1933" i="1"/>
  <c r="BY752" i="1"/>
  <c r="BK752" i="1"/>
  <c r="BY1266" i="1"/>
  <c r="BK1266" i="1"/>
  <c r="BY181" i="1"/>
  <c r="BK181" i="1"/>
  <c r="BY1420" i="1"/>
  <c r="BK1420" i="1"/>
  <c r="BY931" i="1"/>
  <c r="BK931" i="1"/>
  <c r="BY1396" i="1"/>
  <c r="BK1396" i="1"/>
  <c r="BY1658" i="1"/>
  <c r="BK1658" i="1"/>
  <c r="BY1013" i="1"/>
  <c r="BK1013" i="1"/>
  <c r="BY1052" i="1"/>
  <c r="BK1052" i="1"/>
  <c r="BY249" i="1"/>
  <c r="BY1472" i="1"/>
  <c r="BK1472" i="1"/>
  <c r="BY1353" i="1"/>
  <c r="BK1353" i="1"/>
  <c r="BY1018" i="1"/>
  <c r="BK1018" i="1"/>
  <c r="BY35" i="1"/>
  <c r="BK35" i="1"/>
  <c r="BY433" i="1"/>
  <c r="BY1699" i="1"/>
  <c r="BK1699" i="1"/>
  <c r="BY19" i="1"/>
  <c r="BK19" i="1"/>
  <c r="BY602" i="1"/>
  <c r="BK602" i="1"/>
  <c r="BY1362" i="1"/>
  <c r="BK1362" i="1"/>
  <c r="BY1410" i="1"/>
  <c r="BK1410" i="1"/>
  <c r="BY133" i="1"/>
  <c r="BK133" i="1"/>
  <c r="BY1619" i="1"/>
  <c r="BK1619" i="1"/>
  <c r="BY1114" i="1"/>
  <c r="BY886" i="1"/>
  <c r="BK886" i="1"/>
  <c r="BY404" i="1"/>
  <c r="BK404" i="1"/>
  <c r="BY115" i="1"/>
  <c r="BK115" i="1"/>
  <c r="BY1567" i="1"/>
  <c r="BK1567" i="1"/>
  <c r="BY1102" i="1"/>
  <c r="BK1102" i="1"/>
  <c r="BY304" i="1"/>
  <c r="BY985" i="1"/>
  <c r="BK985" i="1"/>
  <c r="BY747" i="1"/>
  <c r="BK747" i="1"/>
  <c r="BY1116" i="1"/>
  <c r="BK1116" i="1"/>
  <c r="BY627" i="1"/>
  <c r="BK627" i="1"/>
  <c r="BY559" i="1"/>
  <c r="BY1118" i="1"/>
  <c r="BK1118" i="1"/>
  <c r="BY1462" i="1"/>
  <c r="BK1462" i="1"/>
  <c r="BY1502" i="1"/>
  <c r="BK1502" i="1"/>
  <c r="BY1424" i="1"/>
  <c r="BY1486" i="1"/>
  <c r="BK1486" i="1"/>
  <c r="BY511" i="1"/>
  <c r="BK511" i="1"/>
  <c r="BY435" i="1"/>
  <c r="BY1099" i="1"/>
  <c r="BK1099" i="1"/>
  <c r="BY1620" i="1"/>
  <c r="BK1620" i="1"/>
  <c r="BY1910" i="1"/>
  <c r="BK1910" i="1"/>
  <c r="BY772" i="1"/>
  <c r="BK772" i="1"/>
  <c r="BY1172" i="1"/>
  <c r="BK1172" i="1"/>
  <c r="BY734" i="1"/>
  <c r="BK734" i="1"/>
  <c r="BY308" i="1"/>
  <c r="BK308" i="1"/>
  <c r="BY628" i="1"/>
  <c r="BK628" i="1"/>
  <c r="BY1417" i="1"/>
  <c r="BK1417" i="1"/>
  <c r="BY794" i="1"/>
  <c r="BK794" i="1"/>
  <c r="BY1924" i="1"/>
  <c r="BY99" i="1"/>
  <c r="BY948" i="1"/>
  <c r="BK948" i="1"/>
  <c r="BY351" i="1"/>
  <c r="BK351" i="1"/>
  <c r="BY436" i="1"/>
  <c r="BK436" i="1"/>
  <c r="BY1591" i="1"/>
  <c r="BK1591" i="1"/>
  <c r="BY538" i="1"/>
  <c r="BY1524" i="1"/>
  <c r="BK1524" i="1"/>
  <c r="BY1032" i="1"/>
  <c r="BK1032" i="1"/>
  <c r="BY81" i="1"/>
  <c r="BK81" i="1"/>
  <c r="BY1400" i="1"/>
  <c r="BK1400" i="1"/>
  <c r="BY1493" i="1"/>
  <c r="BK1493" i="1"/>
  <c r="BY263" i="1"/>
  <c r="BK263" i="1"/>
  <c r="BY994" i="1"/>
  <c r="BK994" i="1"/>
  <c r="BY792" i="1"/>
  <c r="BK792" i="1"/>
  <c r="BY1318" i="1"/>
  <c r="BK1318" i="1"/>
  <c r="BY340" i="1"/>
  <c r="BK340" i="1"/>
  <c r="BY593" i="1"/>
  <c r="BK593" i="1"/>
  <c r="BY650" i="1"/>
  <c r="BK650" i="1"/>
  <c r="BY392" i="1"/>
  <c r="BK392" i="1"/>
  <c r="BY754" i="1"/>
  <c r="BK754" i="1"/>
  <c r="BY1818" i="1"/>
  <c r="BK1818" i="1"/>
  <c r="BY106" i="1"/>
  <c r="BY1646" i="1"/>
  <c r="BK1646" i="1"/>
  <c r="BY499" i="1"/>
  <c r="BY1301" i="1"/>
  <c r="BK1301" i="1"/>
  <c r="BY1657" i="1"/>
  <c r="BK1657" i="1"/>
  <c r="BY765" i="1"/>
  <c r="BK765" i="1"/>
  <c r="BY423" i="1"/>
  <c r="BY233" i="1"/>
  <c r="BK233" i="1"/>
  <c r="BY541" i="1"/>
  <c r="BK541" i="1"/>
  <c r="BY924" i="1"/>
  <c r="BK924" i="1"/>
  <c r="BY1584" i="1"/>
  <c r="BY1790" i="1"/>
  <c r="BY1930" i="1"/>
  <c r="BK1930" i="1"/>
  <c r="BY1281" i="1"/>
  <c r="BK1281" i="1"/>
  <c r="BY741" i="1"/>
  <c r="BK741" i="1"/>
  <c r="BY1097" i="1"/>
  <c r="BK1097" i="1"/>
  <c r="BY1623" i="1"/>
  <c r="BK1623" i="1"/>
  <c r="BY1169" i="1"/>
  <c r="BK1169" i="1"/>
  <c r="BY473" i="1"/>
  <c r="BK473" i="1"/>
  <c r="BY1026" i="1"/>
  <c r="BK1026" i="1"/>
  <c r="BY936" i="1"/>
  <c r="BK936" i="1"/>
  <c r="BY188" i="1"/>
  <c r="BK188" i="1"/>
  <c r="BY576" i="1"/>
  <c r="BK576" i="1"/>
  <c r="BY1729" i="1"/>
  <c r="BK1729" i="1"/>
  <c r="BY1272" i="1"/>
  <c r="BY1902" i="1"/>
  <c r="BK1902" i="1"/>
  <c r="BY1162" i="1"/>
  <c r="BK1162" i="1"/>
  <c r="BY1731" i="1"/>
  <c r="BY1308" i="1"/>
  <c r="BK1308" i="1"/>
  <c r="BY138" i="1"/>
  <c r="BK138" i="1"/>
  <c r="BY1077" i="1"/>
  <c r="BK1077" i="1"/>
  <c r="BY808" i="1"/>
  <c r="BK808" i="1"/>
  <c r="BY1711" i="1"/>
  <c r="BK1711" i="1"/>
  <c r="BY1594" i="1"/>
  <c r="BK1594" i="1"/>
  <c r="BY379" i="1"/>
  <c r="BK379" i="1"/>
  <c r="BY489" i="1"/>
  <c r="BK489" i="1"/>
  <c r="BY1381" i="1"/>
  <c r="BK1381" i="1"/>
  <c r="BY880" i="1"/>
  <c r="BK880" i="1"/>
  <c r="BY1915" i="1"/>
  <c r="BY1831" i="1"/>
  <c r="BK1831" i="1"/>
  <c r="BY724" i="1"/>
  <c r="BK724" i="1"/>
  <c r="BY586" i="1"/>
  <c r="BK586" i="1"/>
  <c r="BY1000" i="1"/>
  <c r="BK1000" i="1"/>
  <c r="BY403" i="1"/>
  <c r="BK403" i="1"/>
  <c r="BY1647" i="1"/>
  <c r="BK1647" i="1"/>
  <c r="BY725" i="1"/>
  <c r="BK725" i="1"/>
  <c r="BY388" i="1"/>
  <c r="BK388" i="1"/>
  <c r="BY1210" i="1"/>
  <c r="BY1810" i="1"/>
  <c r="BK1810" i="1"/>
  <c r="BY153" i="1"/>
  <c r="BK153" i="1"/>
  <c r="BY402" i="1"/>
  <c r="BK402" i="1"/>
  <c r="BY63" i="1"/>
  <c r="BK63" i="1"/>
  <c r="BY553" i="1"/>
  <c r="BY1934" i="1"/>
  <c r="BK1934" i="1"/>
  <c r="BY895" i="1"/>
  <c r="BY1229" i="1"/>
  <c r="BK1229" i="1"/>
  <c r="BY109" i="1"/>
  <c r="BK109" i="1"/>
  <c r="BY222" i="1"/>
  <c r="BY908" i="1"/>
  <c r="BY1621" i="1"/>
  <c r="BK1621" i="1"/>
  <c r="BY1848" i="1"/>
  <c r="BK1848" i="1"/>
  <c r="BY1088" i="1"/>
  <c r="BK1088" i="1"/>
  <c r="BY1853" i="1"/>
  <c r="BK1853" i="1"/>
  <c r="BY313" i="1"/>
  <c r="BY1583" i="1"/>
  <c r="BK1583" i="1"/>
  <c r="BY1618" i="1"/>
  <c r="BK1618" i="1"/>
  <c r="BY582" i="1"/>
  <c r="BK582" i="1"/>
  <c r="BY205" i="1"/>
  <c r="BK205" i="1"/>
  <c r="BY1148" i="1"/>
  <c r="BK1148" i="1"/>
  <c r="BY853" i="1"/>
  <c r="BK853" i="1"/>
  <c r="BY876" i="1"/>
  <c r="BK876" i="1"/>
  <c r="BY1830" i="1"/>
  <c r="BK1830" i="1"/>
  <c r="BY1265" i="1"/>
  <c r="BK1265" i="1"/>
  <c r="BY742" i="1"/>
  <c r="BK742" i="1"/>
  <c r="BY1780" i="1"/>
  <c r="BK1780" i="1"/>
  <c r="BY1773" i="1"/>
  <c r="BK1773" i="1"/>
  <c r="BY1480" i="1"/>
  <c r="BK1480" i="1"/>
  <c r="BY13" i="1"/>
  <c r="BK13" i="1"/>
  <c r="BY1808" i="1"/>
  <c r="BY1707" i="1"/>
  <c r="BY958" i="1"/>
  <c r="BK958" i="1"/>
  <c r="BY1721" i="1"/>
  <c r="BK1721" i="1"/>
  <c r="BY1715" i="1"/>
  <c r="BK1715" i="1"/>
  <c r="BY1881" i="1"/>
  <c r="BK1881" i="1"/>
  <c r="BY383" i="1"/>
  <c r="BK383" i="1"/>
  <c r="BY1147" i="1"/>
  <c r="BY154" i="1"/>
  <c r="BK154" i="1"/>
  <c r="BY1201" i="1"/>
  <c r="BY165" i="1"/>
  <c r="BK165" i="1"/>
  <c r="BY1673" i="1"/>
  <c r="BK1673" i="1"/>
  <c r="BY102" i="1"/>
  <c r="BK102" i="1"/>
  <c r="BY1003" i="1"/>
  <c r="BK1003" i="1"/>
  <c r="BY1168" i="1"/>
  <c r="BY629" i="1"/>
  <c r="BK629" i="1"/>
  <c r="BY1622" i="1"/>
  <c r="BK1622" i="1"/>
  <c r="BY1556" i="1"/>
  <c r="BK1556" i="1"/>
  <c r="BY712" i="1"/>
  <c r="BK712" i="1"/>
  <c r="BY152" i="1"/>
  <c r="BK152" i="1"/>
  <c r="BY1510" i="1"/>
  <c r="BK1510" i="1"/>
  <c r="BY274" i="1"/>
  <c r="BK274" i="1"/>
  <c r="BY654" i="1"/>
  <c r="BK654" i="1"/>
  <c r="BY1206" i="1"/>
  <c r="BK1206" i="1"/>
  <c r="BY169" i="1"/>
  <c r="BY909" i="1"/>
  <c r="BK909" i="1"/>
  <c r="BY1786" i="1"/>
  <c r="BK1786" i="1"/>
  <c r="BY1409" i="1"/>
  <c r="BK1409" i="1"/>
  <c r="BY1422" i="1"/>
  <c r="BK1422" i="1"/>
  <c r="BY438" i="1"/>
  <c r="BK438" i="1"/>
  <c r="BY1607" i="1"/>
  <c r="BK1607" i="1"/>
  <c r="BY83" i="1"/>
  <c r="BK83" i="1"/>
  <c r="BY1068" i="1"/>
  <c r="BK1068" i="1"/>
  <c r="BY1614" i="1"/>
  <c r="BK1614" i="1"/>
  <c r="BY370" i="1"/>
  <c r="BK370" i="1"/>
  <c r="BY835" i="1"/>
  <c r="BK835" i="1"/>
  <c r="BY12" i="1"/>
  <c r="BK12" i="1"/>
  <c r="BY328" i="1"/>
  <c r="BK328" i="1"/>
  <c r="BY1627" i="1"/>
  <c r="BK1627" i="1"/>
  <c r="BY1611" i="1"/>
  <c r="BK1611" i="1"/>
  <c r="BY48" i="1"/>
  <c r="BK48" i="1"/>
  <c r="BY1310" i="1"/>
  <c r="BY1268" i="1"/>
  <c r="BY870" i="1"/>
  <c r="BK870" i="1"/>
  <c r="BY1188" i="1"/>
  <c r="BK1188" i="1"/>
  <c r="BY76" i="1"/>
  <c r="BK76" i="1"/>
  <c r="BY732" i="1"/>
  <c r="BK732" i="1"/>
  <c r="BY331" i="1"/>
  <c r="BK331" i="1"/>
  <c r="BY1828" i="1"/>
  <c r="BY1001" i="1"/>
  <c r="BK1001" i="1"/>
  <c r="BY646" i="1"/>
  <c r="BK646" i="1"/>
  <c r="BY1571" i="1"/>
  <c r="BY872" i="1"/>
  <c r="BK872" i="1"/>
  <c r="BY1492" i="1"/>
  <c r="BK1492" i="1"/>
  <c r="BY121" i="1"/>
  <c r="BK121" i="1"/>
  <c r="BY1857" i="1"/>
  <c r="BK1857" i="1"/>
  <c r="BY1682" i="1"/>
  <c r="BK1682" i="1"/>
  <c r="BY425" i="1"/>
  <c r="BK425" i="1"/>
  <c r="BY661" i="1"/>
  <c r="BK661" i="1"/>
  <c r="BY168" i="1"/>
  <c r="BY269" i="1"/>
  <c r="BK269" i="1"/>
  <c r="BY484" i="1"/>
  <c r="BY990" i="1"/>
  <c r="BK990" i="1"/>
  <c r="BY902" i="1"/>
  <c r="BK902" i="1"/>
  <c r="BY1612" i="1"/>
  <c r="BK1612" i="1"/>
  <c r="BY852" i="1"/>
  <c r="BK852" i="1"/>
  <c r="BY1044" i="1"/>
  <c r="BK1044" i="1"/>
  <c r="BY855" i="1"/>
  <c r="BK855" i="1"/>
  <c r="BY1378" i="1"/>
  <c r="BY1649" i="1"/>
  <c r="BK1649" i="1"/>
  <c r="BY770" i="1"/>
  <c r="BK770" i="1"/>
  <c r="BY147" i="1"/>
  <c r="BY561" i="1"/>
  <c r="BK561" i="1"/>
  <c r="BY962" i="1"/>
  <c r="BY1704" i="1"/>
  <c r="BY1761" i="1"/>
  <c r="BK1761" i="1"/>
  <c r="BY1338" i="1"/>
  <c r="BK1338" i="1"/>
  <c r="BY1539" i="1"/>
  <c r="BK1539" i="1"/>
  <c r="BY1366" i="1"/>
  <c r="BY408" i="1"/>
  <c r="BK408" i="1"/>
  <c r="BY1870" i="1"/>
  <c r="BK1870" i="1"/>
  <c r="BY1341" i="1"/>
  <c r="BK1341" i="1"/>
  <c r="BY696" i="1"/>
  <c r="BY973" i="1"/>
  <c r="BK973" i="1"/>
  <c r="BY1241" i="1"/>
  <c r="BY767" i="1"/>
  <c r="BK767" i="1"/>
  <c r="BY299" i="1"/>
  <c r="BK299" i="1"/>
  <c r="BY1488" i="1"/>
  <c r="BY1064" i="1"/>
  <c r="BK1064" i="1"/>
  <c r="BY47" i="1"/>
  <c r="BK47" i="1"/>
  <c r="BY881" i="1"/>
  <c r="BK881" i="1"/>
  <c r="BY782" i="1"/>
  <c r="BK782" i="1"/>
  <c r="BY303" i="1"/>
  <c r="BK303" i="1"/>
  <c r="BY182" i="1"/>
  <c r="BK182" i="1"/>
  <c r="BY80" i="1"/>
  <c r="BK80" i="1"/>
  <c r="BY1590" i="1"/>
  <c r="BY638" i="1"/>
  <c r="BY459" i="1"/>
  <c r="BK459" i="1"/>
  <c r="BY1648" i="1"/>
  <c r="BK1648" i="1"/>
  <c r="BY85" i="1"/>
  <c r="BY824" i="1"/>
  <c r="BK824" i="1"/>
  <c r="BY711" i="1"/>
  <c r="BK711" i="1"/>
  <c r="BY781" i="1"/>
  <c r="BK781" i="1"/>
  <c r="BY256" i="1"/>
  <c r="BK256" i="1"/>
  <c r="BY84" i="1"/>
  <c r="BK84" i="1"/>
  <c r="BY1559" i="1"/>
  <c r="BK1559" i="1"/>
  <c r="BY1223" i="1"/>
  <c r="BK1223" i="1"/>
  <c r="BY1905" i="1"/>
  <c r="BK1905" i="1"/>
  <c r="BY1593" i="1"/>
  <c r="BK1593" i="1"/>
  <c r="BY365" i="1"/>
  <c r="BK365" i="1"/>
  <c r="BY662" i="1"/>
  <c r="BY1247" i="1"/>
  <c r="BY1713" i="1"/>
  <c r="BY1696" i="1"/>
  <c r="BY1570" i="1"/>
  <c r="BY157" i="1"/>
  <c r="BK157" i="1"/>
  <c r="BY1090" i="1"/>
  <c r="BK1090" i="1"/>
  <c r="BY1695" i="1"/>
  <c r="BY1605" i="1"/>
  <c r="BK1605" i="1"/>
  <c r="BY1816" i="1"/>
  <c r="BK1816" i="1"/>
  <c r="BY1655" i="1"/>
  <c r="BK1655" i="1"/>
  <c r="BY1194" i="1"/>
  <c r="BK1194" i="1"/>
  <c r="BY261" i="1"/>
  <c r="BK261" i="1"/>
  <c r="BY1737" i="1"/>
  <c r="BK1737" i="1"/>
  <c r="BY1123" i="1"/>
  <c r="BK1123" i="1"/>
  <c r="BY1935" i="1"/>
  <c r="BK1935" i="1"/>
  <c r="BY341" i="1"/>
  <c r="BK341" i="1"/>
  <c r="BY651" i="1"/>
  <c r="BK651" i="1"/>
  <c r="BY180" i="1"/>
  <c r="BK180" i="1"/>
  <c r="BY1759" i="1"/>
  <c r="BK1759" i="1"/>
  <c r="BY1864" i="1"/>
  <c r="BK1864" i="1"/>
  <c r="BY940" i="1"/>
  <c r="BK940" i="1"/>
  <c r="BY1155" i="1"/>
  <c r="BK1155" i="1"/>
  <c r="BY387" i="1"/>
  <c r="BK387" i="1"/>
  <c r="BY1259" i="1"/>
  <c r="BY492" i="1"/>
  <c r="BK492" i="1"/>
  <c r="BY20" i="1"/>
  <c r="BK20" i="1"/>
  <c r="BY884" i="1"/>
  <c r="BK884" i="1"/>
  <c r="BY1700" i="1"/>
  <c r="BK1700" i="1"/>
  <c r="BY1438" i="1"/>
  <c r="BK1438" i="1"/>
  <c r="BY869" i="1"/>
  <c r="BK869" i="1"/>
  <c r="BY1375" i="1"/>
  <c r="BK1375" i="1"/>
  <c r="BY1182" i="1"/>
  <c r="BK1182" i="1"/>
  <c r="BY868" i="1"/>
  <c r="BY179" i="1"/>
  <c r="BK179" i="1"/>
  <c r="BY1714" i="1"/>
  <c r="BK1714" i="1"/>
  <c r="BY3" i="1"/>
  <c r="BY467" i="1"/>
  <c r="BK467" i="1"/>
  <c r="BY1128" i="1"/>
  <c r="BY1367" i="1"/>
  <c r="BK1367" i="1"/>
  <c r="BY1829" i="1"/>
  <c r="BK1829" i="1"/>
  <c r="BY1799" i="1"/>
  <c r="BK1799" i="1"/>
  <c r="BY799" i="1"/>
  <c r="BK799" i="1"/>
  <c r="BY1283" i="1"/>
  <c r="BK1283" i="1"/>
  <c r="BY783" i="1"/>
  <c r="BK783" i="1"/>
  <c r="BY1481" i="1"/>
  <c r="BK1481" i="1"/>
  <c r="BY709" i="1"/>
  <c r="BK709" i="1"/>
  <c r="BY1457" i="1"/>
  <c r="BK1457" i="1"/>
  <c r="BY774" i="1"/>
  <c r="BK774" i="1"/>
  <c r="BY1677" i="1"/>
  <c r="BY292" i="1"/>
  <c r="BY648" i="1"/>
  <c r="BK648" i="1"/>
  <c r="BY807" i="1"/>
  <c r="BK807" i="1"/>
  <c r="BY1442" i="1"/>
  <c r="BK1442" i="1"/>
  <c r="BY1630" i="1"/>
  <c r="BK1630" i="1"/>
  <c r="BY1756" i="1"/>
  <c r="BK1756" i="1"/>
  <c r="BY1518" i="1"/>
  <c r="BY251" i="1"/>
  <c r="BK251" i="1"/>
  <c r="BY490" i="1"/>
  <c r="BK490" i="1"/>
  <c r="BY1728" i="1"/>
  <c r="BK1728" i="1"/>
  <c r="BY1683" i="1"/>
  <c r="BK1683" i="1"/>
  <c r="BY729" i="1"/>
  <c r="BK729" i="1"/>
  <c r="BY1345" i="1"/>
  <c r="BK1345" i="1"/>
  <c r="BY295" i="1"/>
  <c r="BK295" i="1"/>
  <c r="BY1050" i="1"/>
  <c r="BY1347" i="1"/>
  <c r="BY668" i="1"/>
  <c r="BY1130" i="1"/>
  <c r="BK1130" i="1"/>
  <c r="BY1302" i="1"/>
  <c r="BY1755" i="1"/>
  <c r="BY1640" i="1"/>
  <c r="BY1022" i="1"/>
  <c r="BY1751" i="1"/>
  <c r="BY1519" i="1"/>
  <c r="BY234" i="1"/>
  <c r="BY1718" i="1"/>
  <c r="BY1073" i="1"/>
  <c r="BY1668" i="1"/>
  <c r="BK1668" i="1"/>
  <c r="BY189" i="1"/>
  <c r="BK189" i="1"/>
  <c r="BY812" i="1"/>
  <c r="BY986" i="1"/>
  <c r="BK986" i="1"/>
  <c r="BY718" i="1"/>
  <c r="BK718" i="1"/>
  <c r="BY1179" i="1"/>
  <c r="BY1217" i="1"/>
  <c r="BK1217" i="1"/>
  <c r="BY358" i="1"/>
  <c r="BK358" i="1"/>
  <c r="BY293" i="1"/>
  <c r="BK293" i="1"/>
  <c r="BY92" i="1"/>
  <c r="BK92" i="1"/>
  <c r="BY530" i="1"/>
  <c r="BK530" i="1"/>
  <c r="BY462" i="1"/>
  <c r="BK462" i="1"/>
  <c r="BY1680" i="1"/>
  <c r="BK1680" i="1"/>
  <c r="BY563" i="1"/>
  <c r="BK563" i="1"/>
  <c r="BY1242" i="1"/>
  <c r="BY1093" i="1"/>
  <c r="BK1093" i="1"/>
  <c r="BY819" i="1"/>
  <c r="BK819" i="1"/>
  <c r="BY1928" i="1"/>
  <c r="BY1016" i="1"/>
  <c r="BK1016" i="1"/>
  <c r="BY1159" i="1"/>
  <c r="BK1159" i="1"/>
  <c r="BY539" i="1"/>
  <c r="BK539" i="1"/>
  <c r="BY146" i="1"/>
  <c r="BK146" i="1"/>
  <c r="BY1038" i="1"/>
  <c r="BK1038" i="1"/>
  <c r="BY1558" i="1"/>
  <c r="BK1558" i="1"/>
  <c r="BY1184" i="1"/>
  <c r="BK1184" i="1"/>
  <c r="BY762" i="1"/>
  <c r="BK762" i="1"/>
  <c r="BY1546" i="1"/>
  <c r="BK1546" i="1"/>
  <c r="BY645" i="1"/>
  <c r="BY496" i="1"/>
  <c r="BK496" i="1"/>
  <c r="BY1544" i="1"/>
  <c r="BK1544" i="1"/>
  <c r="BY565" i="1"/>
  <c r="BK565" i="1"/>
  <c r="BY1369" i="1"/>
  <c r="BY1854" i="1"/>
  <c r="BY1887" i="1"/>
  <c r="BK1887" i="1"/>
  <c r="BY377" i="1"/>
  <c r="BK377" i="1"/>
  <c r="BY1782" i="1"/>
  <c r="BK1782" i="1"/>
  <c r="BY1311" i="1"/>
  <c r="BK1311" i="1"/>
  <c r="BY522" i="1"/>
  <c r="BK522" i="1"/>
  <c r="BY1878" i="1"/>
  <c r="BY1404" i="1"/>
  <c r="BY156" i="1"/>
  <c r="BK156" i="1"/>
  <c r="BY1158" i="1"/>
  <c r="BK1158" i="1"/>
  <c r="BY1205" i="1"/>
  <c r="BK1205" i="1"/>
  <c r="BY548" i="1"/>
  <c r="BK548" i="1"/>
  <c r="BY114" i="1"/>
  <c r="BY983" i="1"/>
  <c r="BK983" i="1"/>
  <c r="BY1525" i="1"/>
  <c r="BK1525" i="1"/>
  <c r="BY1770" i="1"/>
  <c r="BY716" i="1"/>
  <c r="BK716" i="1"/>
  <c r="BY803" i="1"/>
  <c r="BK803" i="1"/>
  <c r="BY1635" i="1"/>
  <c r="BK1635" i="1"/>
  <c r="BY229" i="1"/>
  <c r="BK229" i="1"/>
  <c r="BY1497" i="1"/>
  <c r="BK1497" i="1"/>
  <c r="BY2" i="1"/>
  <c r="BY1137" i="1"/>
  <c r="BK1137" i="1"/>
  <c r="BY1166" i="1"/>
  <c r="BK1166" i="1"/>
  <c r="BY289" i="1"/>
  <c r="BK289" i="1"/>
  <c r="BY1797" i="1"/>
  <c r="BK1797" i="1"/>
  <c r="BY285" i="1"/>
  <c r="BK285" i="1"/>
  <c r="BY186" i="1"/>
  <c r="BK186" i="1"/>
  <c r="BY579" i="1"/>
  <c r="BK579" i="1"/>
  <c r="BY485" i="1"/>
  <c r="BK485" i="1"/>
  <c r="BY1616" i="1"/>
  <c r="BK1616" i="1"/>
  <c r="BY960" i="1"/>
  <c r="BK960" i="1"/>
  <c r="BY945" i="1"/>
  <c r="BY978" i="1"/>
  <c r="BK978" i="1"/>
  <c r="BY139" i="1"/>
  <c r="BK139" i="1"/>
  <c r="BY1121" i="1"/>
  <c r="BK1121" i="1"/>
  <c r="BY1415" i="1"/>
  <c r="BK1415" i="1"/>
  <c r="BY1416" i="1"/>
  <c r="BK1416" i="1"/>
  <c r="BY23" i="1"/>
  <c r="BK23" i="1"/>
  <c r="BY1070" i="1"/>
  <c r="BK1070" i="1"/>
  <c r="BY1516" i="1"/>
  <c r="BK1516" i="1"/>
  <c r="BY975" i="1"/>
  <c r="BK975" i="1"/>
  <c r="BY1312" i="1"/>
  <c r="BK1312" i="1"/>
  <c r="BY1451" i="1"/>
  <c r="BK1451" i="1"/>
  <c r="BY1430" i="1"/>
  <c r="BK1430" i="1"/>
  <c r="BY252" i="1"/>
  <c r="BK252" i="1"/>
  <c r="BY498" i="1"/>
  <c r="BK498" i="1"/>
  <c r="BY599" i="1"/>
  <c r="BK599" i="1"/>
  <c r="BY245" i="1"/>
  <c r="BK245" i="1"/>
  <c r="BY580" i="1"/>
  <c r="BK580" i="1"/>
  <c r="BY1916" i="1"/>
  <c r="BK1916" i="1"/>
  <c r="BY1144" i="1"/>
  <c r="BK1144" i="1"/>
  <c r="BY1058" i="1"/>
  <c r="BK1058" i="1"/>
  <c r="BY337" i="1"/>
  <c r="BK337" i="1"/>
  <c r="BY1107" i="1"/>
  <c r="BK1107" i="1"/>
  <c r="BY101" i="1"/>
  <c r="BK101" i="1"/>
  <c r="BY1796" i="1"/>
  <c r="BK1796" i="1"/>
  <c r="BY686" i="1"/>
  <c r="BK686" i="1"/>
  <c r="BY1436" i="1"/>
  <c r="BY466" i="1"/>
  <c r="BK466" i="1"/>
  <c r="BY1735" i="1"/>
  <c r="BY424" i="1"/>
  <c r="BY257" i="1"/>
  <c r="BK257" i="1"/>
  <c r="BY722" i="1"/>
  <c r="BK722" i="1"/>
  <c r="BY262" i="1"/>
  <c r="BY1766" i="1"/>
  <c r="BK1766" i="1"/>
  <c r="BY1411" i="1"/>
  <c r="BK1411" i="1"/>
  <c r="BY132" i="1"/>
  <c r="BK132" i="1"/>
  <c r="BY406" i="1"/>
  <c r="BK406" i="1"/>
  <c r="BY1879" i="1"/>
  <c r="BK1879" i="1"/>
  <c r="BY1250" i="1"/>
  <c r="BK1250" i="1"/>
  <c r="BY1019" i="1"/>
  <c r="BY1431" i="1"/>
  <c r="BK1431" i="1"/>
  <c r="BY1738" i="1"/>
  <c r="BY1793" i="1"/>
  <c r="BK1793" i="1"/>
  <c r="BY987" i="1"/>
  <c r="BY1520" i="1"/>
  <c r="BK1520" i="1"/>
  <c r="BY1923" i="1"/>
  <c r="BK1923" i="1"/>
  <c r="BY1406" i="1"/>
  <c r="BK1406" i="1"/>
  <c r="BY551" i="1"/>
  <c r="BK551" i="1"/>
  <c r="BY698" i="1"/>
  <c r="BK698" i="1"/>
  <c r="BY324" i="1"/>
  <c r="BK324" i="1"/>
  <c r="BY258" i="1"/>
  <c r="BK258" i="1"/>
  <c r="BY486" i="1"/>
  <c r="BY665" i="1"/>
  <c r="BK665" i="1"/>
  <c r="BY300" i="1"/>
  <c r="BK300" i="1"/>
  <c r="BY615" i="1"/>
  <c r="BK615" i="1"/>
  <c r="BY790" i="1"/>
  <c r="BK790" i="1"/>
  <c r="BY566" i="1"/>
  <c r="BK566" i="1"/>
  <c r="BY578" i="1"/>
  <c r="BK578" i="1"/>
  <c r="BY1691" i="1"/>
  <c r="BK1691" i="1"/>
  <c r="BY952" i="1"/>
  <c r="BK952" i="1"/>
  <c r="BY1173" i="1"/>
  <c r="BK1173" i="1"/>
  <c r="BY421" i="1"/>
  <c r="BK421" i="1"/>
  <c r="BY1271" i="1"/>
  <c r="BK1271" i="1"/>
  <c r="BY1748" i="1"/>
  <c r="BK1748" i="1"/>
  <c r="BY823" i="1"/>
  <c r="BK823" i="1"/>
  <c r="BY1912" i="1"/>
  <c r="BK1912" i="1"/>
  <c r="BY1521" i="1"/>
  <c r="BK1521" i="1"/>
  <c r="BY145" i="1"/>
  <c r="BK145" i="1"/>
  <c r="BY714" i="1"/>
  <c r="BK714" i="1"/>
  <c r="BY111" i="1"/>
  <c r="BK111" i="1"/>
  <c r="BY1545" i="1"/>
  <c r="BK1545" i="1"/>
  <c r="BY1507" i="1"/>
  <c r="BK1507" i="1"/>
  <c r="BY356" i="1"/>
  <c r="BK356" i="1"/>
  <c r="BY74" i="1"/>
  <c r="BK74" i="1"/>
  <c r="BY644" i="1"/>
  <c r="BK644" i="1"/>
  <c r="BY603" i="1"/>
  <c r="BK603" i="1"/>
  <c r="BY428" i="1"/>
  <c r="BK428" i="1"/>
  <c r="BY55" i="1"/>
  <c r="BK55" i="1"/>
  <c r="BY283" i="1"/>
  <c r="BK283" i="1"/>
  <c r="BY967" i="1"/>
  <c r="BK967" i="1"/>
  <c r="BY1687" i="1"/>
  <c r="BK1687" i="1"/>
  <c r="BY192" i="1"/>
  <c r="BK192" i="1"/>
  <c r="BY1208" i="1"/>
  <c r="BK1208" i="1"/>
  <c r="BY281" i="1"/>
  <c r="BK281" i="1"/>
  <c r="BY1566" i="1"/>
  <c r="BK1566" i="1"/>
  <c r="BY921" i="1"/>
  <c r="BK921" i="1"/>
  <c r="BY1399" i="1"/>
  <c r="BK1399" i="1"/>
  <c r="BY1377" i="1"/>
  <c r="BK1377" i="1"/>
  <c r="BY1564" i="1"/>
  <c r="BY1153" i="1"/>
  <c r="BY980" i="1"/>
  <c r="BK980" i="1"/>
  <c r="BY798" i="1"/>
  <c r="BK798" i="1"/>
  <c r="BY16" i="1"/>
  <c r="BK16" i="1"/>
  <c r="BY1653" i="1"/>
  <c r="BK1653" i="1"/>
  <c r="BY1124" i="1"/>
  <c r="BK1124" i="1"/>
  <c r="BY1091" i="1"/>
  <c r="BK1091" i="1"/>
  <c r="BY652" i="1"/>
  <c r="BK652" i="1"/>
  <c r="BY1785" i="1"/>
  <c r="BK1785" i="1"/>
  <c r="BY1736" i="1"/>
  <c r="BY1883" i="1"/>
  <c r="BK1883" i="1"/>
  <c r="BY919" i="1"/>
  <c r="BK919" i="1"/>
  <c r="BY471" i="1"/>
  <c r="BK471" i="1"/>
  <c r="BY1553" i="1"/>
  <c r="BK1553" i="1"/>
  <c r="BY934" i="1"/>
  <c r="BK934" i="1"/>
  <c r="BY264" i="1"/>
  <c r="BK264" i="1"/>
  <c r="BY1789" i="1"/>
  <c r="BY1109" i="1"/>
  <c r="BK1109" i="1"/>
  <c r="BY1470" i="1"/>
  <c r="BK1470" i="1"/>
  <c r="BY1051" i="1"/>
  <c r="BY1742" i="1"/>
  <c r="BK1742" i="1"/>
  <c r="BY1763" i="1"/>
  <c r="BY746" i="1"/>
  <c r="BK746" i="1"/>
  <c r="BY1072" i="1"/>
  <c r="BK1072" i="1"/>
  <c r="BY1450" i="1"/>
  <c r="BK1450" i="1"/>
  <c r="BY305" i="1"/>
  <c r="BK305" i="1"/>
  <c r="BY218" i="1"/>
  <c r="BK218" i="1"/>
  <c r="BY672" i="1"/>
  <c r="BK672" i="1"/>
  <c r="BY386" i="1"/>
  <c r="BK386" i="1"/>
  <c r="BY171" i="1"/>
  <c r="BK171" i="1"/>
  <c r="BY1033" i="1"/>
  <c r="BK1033" i="1"/>
  <c r="BY1637" i="1"/>
  <c r="BK1637" i="1"/>
  <c r="BY813" i="1"/>
  <c r="BK813" i="1"/>
  <c r="BY821" i="1"/>
  <c r="BK821" i="1"/>
  <c r="BY904" i="1"/>
  <c r="BK904" i="1"/>
  <c r="BY523" i="1"/>
  <c r="BK523" i="1"/>
  <c r="BY1792" i="1"/>
  <c r="BK1792" i="1"/>
  <c r="BY368" i="1"/>
  <c r="BK368" i="1"/>
  <c r="BY1562" i="1"/>
  <c r="BK1562" i="1"/>
  <c r="BY266" i="1"/>
  <c r="BK266" i="1"/>
  <c r="BY1522" i="1"/>
  <c r="BK1522" i="1"/>
  <c r="BY834" i="1"/>
  <c r="BY953" i="1"/>
  <c r="BK953" i="1"/>
  <c r="BY1193" i="1"/>
  <c r="BK1193" i="1"/>
  <c r="BY87" i="1"/>
  <c r="BK87" i="1"/>
  <c r="BY1063" i="1"/>
  <c r="BY1740" i="1"/>
  <c r="BK1740" i="1"/>
  <c r="BY805" i="1"/>
  <c r="BK805" i="1"/>
  <c r="BY1414" i="1"/>
  <c r="BY694" i="1"/>
  <c r="BK694" i="1"/>
  <c r="BY427" i="1"/>
  <c r="BK427" i="1"/>
  <c r="BY706" i="1"/>
  <c r="BK706" i="1"/>
  <c r="BY1937" i="1"/>
  <c r="BY726" i="1"/>
  <c r="BK726" i="1"/>
  <c r="BY1709" i="1"/>
  <c r="BK1709" i="1"/>
  <c r="BY750" i="1"/>
  <c r="BK750" i="1"/>
  <c r="BY1901" i="1"/>
  <c r="BK1901" i="1"/>
  <c r="BY796" i="1"/>
  <c r="BK796" i="1"/>
  <c r="BY1661" i="1"/>
  <c r="BK1661" i="1"/>
  <c r="BY1313" i="1"/>
  <c r="BK1313" i="1"/>
  <c r="BY1575" i="1"/>
  <c r="BK1575" i="1"/>
  <c r="BY1872" i="1"/>
  <c r="BK1872" i="1"/>
  <c r="BY584" i="1"/>
  <c r="BK584" i="1"/>
  <c r="BY685" i="1"/>
  <c r="BK685" i="1"/>
  <c r="BY446" i="1"/>
  <c r="BK446" i="1"/>
  <c r="BY476" i="1"/>
  <c r="BK476" i="1"/>
  <c r="BY41" i="1"/>
  <c r="BK41" i="1"/>
  <c r="BY1441" i="1"/>
  <c r="BK1441" i="1"/>
  <c r="BY276" i="1"/>
  <c r="BK276" i="1"/>
  <c r="BY1243" i="1"/>
  <c r="BK1243" i="1"/>
  <c r="BY1868" i="1"/>
  <c r="BK1868" i="1"/>
  <c r="BY1221" i="1"/>
  <c r="BK1221" i="1"/>
  <c r="BY1215" i="1"/>
  <c r="BK1215" i="1"/>
  <c r="BY241" i="1"/>
  <c r="BK241" i="1"/>
  <c r="BY1495" i="1"/>
  <c r="BK1495" i="1"/>
  <c r="BY237" i="1"/>
  <c r="BK237" i="1"/>
  <c r="BY859" i="1"/>
  <c r="BK859" i="1"/>
  <c r="BY1866" i="1"/>
  <c r="BK1866" i="1"/>
  <c r="BY1926" i="1"/>
  <c r="BK1926" i="1"/>
  <c r="BY890" i="1"/>
  <c r="BK890" i="1"/>
  <c r="BY1307" i="1"/>
  <c r="BK1307" i="1"/>
  <c r="BY846" i="1"/>
  <c r="BK846" i="1"/>
  <c r="BY1535" i="1"/>
  <c r="BK1535" i="1"/>
  <c r="BY1461" i="1"/>
  <c r="BK1461" i="1"/>
  <c r="BY1212" i="1"/>
  <c r="BK1212" i="1"/>
  <c r="BY1511" i="1"/>
  <c r="BK1511" i="1"/>
  <c r="BY1065" i="1"/>
  <c r="BK1065" i="1"/>
  <c r="BY1427" i="1"/>
  <c r="BK1427" i="1"/>
  <c r="BY202" i="1"/>
  <c r="BK202" i="1"/>
  <c r="BY393" i="1"/>
  <c r="BK393" i="1"/>
  <c r="BY66" i="1"/>
  <c r="BK66" i="1"/>
  <c r="BY1295" i="1"/>
  <c r="BK1295" i="1"/>
  <c r="BY453" i="1"/>
  <c r="BK453" i="1"/>
  <c r="BY441" i="1"/>
  <c r="BK441" i="1"/>
  <c r="BY619" i="1"/>
  <c r="BK619" i="1"/>
  <c r="BY1876" i="1"/>
  <c r="BY1323" i="1"/>
  <c r="BK1323" i="1"/>
  <c r="BY745" i="1"/>
  <c r="BK745" i="1"/>
  <c r="BY376" i="1"/>
  <c r="BK376" i="1"/>
  <c r="BY896" i="1"/>
  <c r="BK896" i="1"/>
  <c r="BY31" i="1"/>
  <c r="BK31" i="1"/>
  <c r="BY1573" i="1"/>
  <c r="BK1573" i="1"/>
  <c r="BY1238" i="1"/>
  <c r="BK1238" i="1"/>
  <c r="BY849" i="1"/>
  <c r="BK849" i="1"/>
  <c r="BY394" i="1"/>
  <c r="BK394" i="1"/>
  <c r="BY604" i="1"/>
  <c r="BK604" i="1"/>
  <c r="BY1393" i="1"/>
  <c r="BY148" i="1"/>
  <c r="BK148" i="1"/>
  <c r="BY1219" i="1"/>
  <c r="BK1219" i="1"/>
  <c r="BY878" i="1"/>
  <c r="BK878" i="1"/>
  <c r="BY176" i="1"/>
  <c r="BK176" i="1"/>
  <c r="BY1379" i="1"/>
  <c r="BK1379" i="1"/>
  <c r="BY1139" i="1"/>
  <c r="BK1139" i="1"/>
  <c r="BY39" i="1"/>
  <c r="BK39" i="1"/>
  <c r="BY1903" i="1"/>
  <c r="BK1903" i="1"/>
  <c r="BY68" i="1"/>
  <c r="BK68" i="1"/>
  <c r="BY889" i="1"/>
  <c r="BK889" i="1"/>
  <c r="BY1087" i="1"/>
  <c r="BK1087" i="1"/>
  <c r="BY703" i="1"/>
  <c r="BK703" i="1"/>
  <c r="BY719" i="1"/>
  <c r="BK719" i="1"/>
  <c r="BY4" i="1"/>
  <c r="BK4" i="1"/>
  <c r="BY178" i="1"/>
  <c r="BK178" i="1"/>
  <c r="BY71" i="1"/>
  <c r="BY955" i="1"/>
  <c r="BK955" i="1"/>
  <c r="BY839" i="1"/>
  <c r="BY1862" i="1"/>
  <c r="BK1862" i="1"/>
  <c r="BY1880" i="1"/>
  <c r="BK1880" i="1"/>
  <c r="BY1183" i="1"/>
  <c r="BK1183" i="1"/>
  <c r="BY1314" i="1"/>
  <c r="BK1314" i="1"/>
  <c r="BY56" i="1"/>
  <c r="BK56" i="1"/>
  <c r="BY1216" i="1"/>
  <c r="BK1216" i="1"/>
  <c r="BY595" i="1"/>
  <c r="BK595" i="1"/>
  <c r="BY1784" i="1"/>
  <c r="BK1784" i="1"/>
  <c r="BY361" i="1"/>
  <c r="BK361" i="1"/>
  <c r="BY187" i="1"/>
  <c r="BK187" i="1"/>
  <c r="BY1496" i="1"/>
  <c r="BK1496" i="1"/>
  <c r="BY306" i="1"/>
  <c r="BK306" i="1"/>
  <c r="BY1060" i="1"/>
  <c r="BK1060" i="1"/>
  <c r="BY447" i="1"/>
  <c r="BK447" i="1"/>
  <c r="BY850" i="1"/>
  <c r="BK850" i="1"/>
  <c r="BY744" i="1"/>
  <c r="BK744" i="1"/>
  <c r="BY65" i="1"/>
  <c r="BY1191" i="1"/>
  <c r="BK1191" i="1"/>
  <c r="BY848" i="1"/>
  <c r="BK848" i="1"/>
  <c r="BY822" i="1"/>
  <c r="BK822" i="1"/>
  <c r="BY1055" i="1"/>
  <c r="BK1055" i="1"/>
  <c r="BY110" i="1"/>
  <c r="BK110" i="1"/>
  <c r="BY1628" i="1"/>
  <c r="BK1628" i="1"/>
  <c r="BY380" i="1"/>
  <c r="BK380" i="1"/>
  <c r="BY320" i="1"/>
  <c r="BK320" i="1"/>
  <c r="BY1596" i="1"/>
  <c r="BY674" i="1"/>
  <c r="BK674" i="1"/>
  <c r="BY384" i="1"/>
  <c r="BK384" i="1"/>
  <c r="BY963" i="1"/>
  <c r="BY789" i="1"/>
  <c r="BK789" i="1"/>
  <c r="BY60" i="1"/>
  <c r="BK60" i="1"/>
  <c r="BY18" i="1"/>
  <c r="BK18" i="1"/>
  <c r="BY326" i="1"/>
  <c r="BK326" i="1"/>
  <c r="BY1106" i="1"/>
  <c r="BK1106" i="1"/>
  <c r="BY1248" i="1"/>
  <c r="BK1248" i="1"/>
  <c r="BY1531" i="1"/>
  <c r="BK1531" i="1"/>
  <c r="BY345" i="1"/>
  <c r="BK345" i="1"/>
  <c r="BY250" i="1"/>
  <c r="BK250" i="1"/>
  <c r="BY1652" i="1"/>
  <c r="BK1652" i="1"/>
  <c r="BY667" i="1"/>
  <c r="BK667" i="1"/>
  <c r="BY1429" i="1"/>
  <c r="BK1429" i="1"/>
  <c r="BY1368" i="1"/>
  <c r="BK1368" i="1"/>
  <c r="BY838" i="1"/>
  <c r="BK838" i="1"/>
  <c r="BY1245" i="1"/>
  <c r="BK1245" i="1"/>
  <c r="BY440" i="1"/>
  <c r="BK440" i="1"/>
  <c r="BY1681" i="1"/>
  <c r="BK1681" i="1"/>
  <c r="BY513" i="1"/>
  <c r="BY1513" i="1"/>
  <c r="BK1513" i="1"/>
  <c r="BY1900" i="1"/>
  <c r="BK1900" i="1"/>
  <c r="BY480" i="1"/>
  <c r="BK480" i="1"/>
  <c r="BY150" i="1"/>
  <c r="BK150" i="1"/>
  <c r="BY761" i="1"/>
  <c r="BK761" i="1"/>
  <c r="BY1288" i="1"/>
  <c r="BK1288" i="1"/>
  <c r="BY1757" i="1"/>
  <c r="BK1757" i="1"/>
  <c r="BY1284" i="1"/>
  <c r="BK1284" i="1"/>
  <c r="BY272" i="1"/>
  <c r="BK272" i="1"/>
  <c r="BY851" i="1"/>
  <c r="BY86" i="1"/>
  <c r="BK86" i="1"/>
  <c r="BY296" i="1"/>
  <c r="BK296" i="1"/>
  <c r="BY915" i="1"/>
  <c r="BK915" i="1"/>
  <c r="BY606" i="1"/>
  <c r="BK606" i="1"/>
  <c r="BY277" i="1"/>
  <c r="BK277" i="1"/>
  <c r="BY1297" i="1"/>
  <c r="BK1297" i="1"/>
  <c r="BY643" i="1"/>
  <c r="BK643" i="1"/>
  <c r="BY434" i="1"/>
  <c r="BK434" i="1"/>
  <c r="BY353" i="1"/>
  <c r="BK353" i="1"/>
  <c r="BY1743" i="1"/>
  <c r="BK1743" i="1"/>
  <c r="BY928" i="1"/>
  <c r="BK928" i="1"/>
  <c r="BY1840" i="1"/>
  <c r="BK1840" i="1"/>
  <c r="BY184" i="1"/>
  <c r="BK184" i="1"/>
  <c r="BY1920" i="1"/>
  <c r="BK1920" i="1"/>
  <c r="BY1360" i="1"/>
  <c r="BK1360" i="1"/>
  <c r="BY1251" i="1"/>
  <c r="BK1251" i="1"/>
  <c r="BY537" i="1"/>
  <c r="BK537" i="1"/>
  <c r="BY1042" i="1"/>
  <c r="BK1042" i="1"/>
  <c r="BY17" i="1"/>
  <c r="BK17" i="1"/>
  <c r="BY1317" i="1"/>
  <c r="BK1317" i="1"/>
  <c r="BY574" i="1"/>
  <c r="BK574" i="1"/>
  <c r="BY1500" i="1"/>
  <c r="BK1500" i="1"/>
  <c r="BY756" i="1"/>
  <c r="BK756" i="1"/>
  <c r="BY1824" i="1"/>
  <c r="BK1824" i="1"/>
  <c r="BY161" i="1"/>
  <c r="BK161" i="1"/>
  <c r="BY557" i="1"/>
  <c r="BK557" i="1"/>
  <c r="BY1479" i="1"/>
  <c r="BK1479" i="1"/>
  <c r="BY1346" i="1"/>
  <c r="BK1346" i="1"/>
  <c r="BY1325" i="1"/>
  <c r="BK1325" i="1"/>
  <c r="BY1405" i="1"/>
  <c r="BK1405" i="1"/>
  <c r="BY704" i="1"/>
  <c r="BK704" i="1"/>
  <c r="BY1490" i="1"/>
  <c r="BK1490" i="1"/>
  <c r="BY349" i="1"/>
  <c r="BK349" i="1"/>
  <c r="BY1898" i="1"/>
  <c r="BK1898" i="1"/>
  <c r="BY374" i="1"/>
  <c r="BK374" i="1"/>
  <c r="BY1586" i="1"/>
  <c r="BK1586" i="1"/>
  <c r="BY1119" i="1"/>
  <c r="BK1119" i="1"/>
  <c r="BY1092" i="1"/>
  <c r="BK1092" i="1"/>
  <c r="BY59" i="1"/>
  <c r="BK59" i="1"/>
  <c r="BY214" i="1"/>
  <c r="BK214" i="1"/>
  <c r="BY1151" i="1"/>
  <c r="BK1151" i="1"/>
  <c r="BY633" i="1"/>
  <c r="BK633" i="1"/>
  <c r="BY857" i="1"/>
  <c r="BK857" i="1"/>
  <c r="BY1236" i="1"/>
  <c r="BK1236" i="1"/>
  <c r="BY768" i="1"/>
  <c r="BK768" i="1"/>
  <c r="BY697" i="1"/>
  <c r="BK697" i="1"/>
  <c r="BY474" i="1"/>
  <c r="BK474" i="1"/>
  <c r="BY470" i="1"/>
  <c r="BK470" i="1"/>
  <c r="BY1604" i="1"/>
  <c r="BK1604" i="1"/>
  <c r="BY894" i="1"/>
  <c r="BK894" i="1"/>
  <c r="BY842" i="1"/>
  <c r="BY253" i="1"/>
  <c r="BK253" i="1"/>
  <c r="BY927" i="1"/>
  <c r="BK927" i="1"/>
  <c r="BY255" i="1"/>
  <c r="BK255" i="1"/>
  <c r="BY1083" i="1"/>
  <c r="BK1083" i="1"/>
  <c r="BY1814" i="1"/>
  <c r="BK1814" i="1"/>
  <c r="BY468" i="1"/>
  <c r="BK468" i="1"/>
  <c r="BY278" i="1"/>
  <c r="BY918" i="1"/>
  <c r="BK918" i="1"/>
  <c r="BY1568" i="1"/>
  <c r="BK1568" i="1"/>
  <c r="BY1062" i="1"/>
  <c r="BK1062" i="1"/>
  <c r="BY359" i="1"/>
  <c r="BK359" i="1"/>
  <c r="BY395" i="1"/>
  <c r="BK395" i="1"/>
  <c r="BY1392" i="1"/>
  <c r="BK1392" i="1"/>
  <c r="BY713" i="1"/>
  <c r="BK713" i="1"/>
  <c r="BY997" i="1"/>
  <c r="BK997" i="1"/>
  <c r="BY1833" i="1"/>
  <c r="BK1833" i="1"/>
  <c r="BY817" i="1"/>
  <c r="BK817" i="1"/>
  <c r="BY1192" i="1"/>
  <c r="BK1192" i="1"/>
  <c r="BY174" i="1"/>
  <c r="BK174" i="1"/>
  <c r="BY786" i="1"/>
  <c r="BK786" i="1"/>
  <c r="BY1506" i="1"/>
  <c r="BK1506" i="1"/>
  <c r="BY70" i="1"/>
  <c r="BK70" i="1"/>
  <c r="BY982" i="1"/>
  <c r="BK982" i="1"/>
  <c r="BY1467" i="1"/>
  <c r="BK1467" i="1"/>
  <c r="BY1299" i="1"/>
  <c r="BK1299" i="1"/>
  <c r="BY191" i="1"/>
  <c r="BK191" i="1"/>
  <c r="BY378" i="1"/>
  <c r="BK378" i="1"/>
  <c r="BY689" i="1"/>
  <c r="BK689" i="1"/>
  <c r="BY518" i="1"/>
  <c r="BK518" i="1"/>
  <c r="BY731" i="1"/>
  <c r="BK731" i="1"/>
  <c r="BY1873" i="1"/>
  <c r="BK1873" i="1"/>
  <c r="BY1781" i="1"/>
  <c r="BY1882" i="1"/>
  <c r="BK1882" i="1"/>
  <c r="BY1136" i="1"/>
  <c r="BK1136" i="1"/>
  <c r="BY1762" i="1"/>
  <c r="BK1762" i="1"/>
  <c r="BY1688" i="1"/>
  <c r="BK1688" i="1"/>
  <c r="BY1494" i="1"/>
  <c r="BK1494" i="1"/>
  <c r="BY1103" i="1"/>
  <c r="BK1103" i="1"/>
  <c r="BY248" i="1"/>
  <c r="BK248" i="1"/>
  <c r="BY160" i="1"/>
  <c r="BK160" i="1"/>
  <c r="BY1321" i="1"/>
  <c r="BK1321" i="1"/>
  <c r="BY1463" i="1"/>
  <c r="BK1463" i="1"/>
  <c r="BY636" i="1"/>
  <c r="BK636" i="1"/>
  <c r="BY550" i="1"/>
  <c r="BK550" i="1"/>
  <c r="BY632" i="1"/>
  <c r="BK632" i="1"/>
  <c r="BY1131" i="1"/>
  <c r="BK1131" i="1"/>
  <c r="BY1263" i="1"/>
  <c r="BK1263" i="1"/>
  <c r="BY1435" i="1"/>
  <c r="BK1435" i="1"/>
  <c r="BY806" i="1"/>
  <c r="BK806" i="1"/>
  <c r="BY494" i="1"/>
  <c r="BK494" i="1"/>
  <c r="BY1477" i="1"/>
  <c r="BY1560" i="1"/>
  <c r="BY677" i="1"/>
  <c r="BK677" i="1"/>
  <c r="BY399" i="1"/>
  <c r="BK399" i="1"/>
  <c r="BY923" i="1"/>
  <c r="BK923" i="1"/>
  <c r="BY558" i="1"/>
  <c r="BY1468" i="1"/>
  <c r="BY1141" i="1"/>
  <c r="BY78" i="1"/>
  <c r="BK78" i="1"/>
  <c r="BY173" i="1"/>
  <c r="BK173" i="1"/>
  <c r="BY1774" i="1"/>
  <c r="BK1774" i="1"/>
  <c r="BY723" i="1"/>
  <c r="BK723" i="1"/>
  <c r="BY721" i="1"/>
  <c r="BK721" i="1"/>
  <c r="BY1475" i="1"/>
  <c r="BK1475" i="1"/>
  <c r="BY1133" i="1"/>
  <c r="BK1133" i="1"/>
  <c r="BY873" i="1"/>
  <c r="BY845" i="1"/>
  <c r="BK845" i="1"/>
  <c r="BY382" i="1"/>
  <c r="BK382" i="1"/>
  <c r="BY267" i="1"/>
  <c r="BK267" i="1"/>
  <c r="BY901" i="1"/>
  <c r="BK901" i="1"/>
  <c r="BY1803" i="1"/>
  <c r="BK1803" i="1"/>
  <c r="BY215" i="1"/>
  <c r="BK215" i="1"/>
  <c r="BY1045" i="1"/>
  <c r="BK1045" i="1"/>
  <c r="BY1771" i="1"/>
  <c r="BK1771" i="1"/>
  <c r="BY75" i="1"/>
  <c r="BK75" i="1"/>
  <c r="BY1654" i="1"/>
  <c r="BK1654" i="1"/>
  <c r="BY204" i="1"/>
  <c r="BK204" i="1"/>
  <c r="BY573" i="1"/>
  <c r="BK573" i="1"/>
  <c r="BY1224" i="1"/>
  <c r="BK1224" i="1"/>
  <c r="BY1048" i="1"/>
  <c r="BK1048" i="1"/>
  <c r="BY143" i="1"/>
  <c r="BK143" i="1"/>
  <c r="BY1675" i="1"/>
  <c r="BK1675" i="1"/>
  <c r="BY50" i="1"/>
  <c r="BK50" i="1"/>
  <c r="BY155" i="1"/>
  <c r="BK155" i="1"/>
  <c r="BY1823" i="1"/>
  <c r="BY1178" i="1"/>
  <c r="BK1178" i="1"/>
  <c r="BY1008" i="1"/>
  <c r="BK1008" i="1"/>
  <c r="BY1554" i="1"/>
  <c r="BK1554" i="1"/>
  <c r="BY1758" i="1"/>
  <c r="BK1758" i="1"/>
  <c r="BY1744" i="1"/>
  <c r="BK1744" i="1"/>
  <c r="BY556" i="1"/>
  <c r="BK556" i="1"/>
  <c r="BY454" i="1"/>
  <c r="BK454" i="1"/>
  <c r="BY254" i="1"/>
  <c r="BK254" i="1"/>
  <c r="BY970" i="1"/>
  <c r="BK970" i="1"/>
  <c r="BY802" i="1"/>
  <c r="BK802" i="1"/>
  <c r="BY1330" i="1"/>
  <c r="BK1330" i="1"/>
  <c r="BY771" i="1"/>
  <c r="BK771" i="1"/>
  <c r="BY1665" i="1"/>
  <c r="BK1665" i="1"/>
  <c r="BY1875" i="1"/>
  <c r="BK1875" i="1"/>
  <c r="BY197" i="1"/>
  <c r="BK197" i="1"/>
  <c r="BY1449" i="1"/>
  <c r="BK1449" i="1"/>
  <c r="BY678" i="1"/>
  <c r="BK678" i="1"/>
  <c r="BY1602" i="1"/>
  <c r="BK1602" i="1"/>
  <c r="BY444" i="1"/>
  <c r="BK444" i="1"/>
  <c r="BY97" i="1"/>
  <c r="BK97" i="1"/>
  <c r="BY24" i="1"/>
  <c r="BK24" i="1"/>
  <c r="BY914" i="1"/>
  <c r="BK914" i="1"/>
  <c r="BY282" i="1"/>
  <c r="BK282" i="1"/>
  <c r="BY1776" i="1"/>
  <c r="BK1776" i="1"/>
  <c r="BY1936" i="1"/>
  <c r="BK1936" i="1"/>
  <c r="BY1357" i="1"/>
  <c r="BK1357" i="1"/>
  <c r="BY144" i="1"/>
  <c r="BK144" i="1"/>
  <c r="BY912" i="1"/>
  <c r="BK912" i="1"/>
  <c r="BY635" i="1"/>
  <c r="BK635" i="1"/>
  <c r="BY769" i="1"/>
  <c r="BK769" i="1"/>
  <c r="BY1598" i="1"/>
  <c r="BY1671" i="1"/>
  <c r="BK1671" i="1"/>
  <c r="BY290" i="1"/>
  <c r="BK290" i="1"/>
  <c r="BY1764" i="1"/>
  <c r="BK1764" i="1"/>
  <c r="BY1839" i="1"/>
  <c r="BK1839" i="1"/>
  <c r="BY867" i="1"/>
  <c r="BK867" i="1"/>
  <c r="BY159" i="1"/>
  <c r="BK159" i="1"/>
  <c r="BY1376" i="1"/>
  <c r="BK1376" i="1"/>
  <c r="BY640" i="1"/>
  <c r="BK640" i="1"/>
  <c r="BY363" i="1"/>
  <c r="BK363" i="1"/>
  <c r="BY969" i="1"/>
  <c r="BK969" i="1"/>
  <c r="BY1466" i="1"/>
  <c r="BK1466" i="1"/>
  <c r="BY1508" i="1"/>
  <c r="BK1508" i="1"/>
  <c r="BY1117" i="1"/>
  <c r="BK1117" i="1"/>
  <c r="BY1489" i="1"/>
  <c r="BK1489" i="1"/>
  <c r="BY375" i="1"/>
  <c r="BY998" i="1"/>
  <c r="BK998" i="1"/>
  <c r="BY291" i="1"/>
  <c r="BK291" i="1"/>
  <c r="BY1639" i="1"/>
  <c r="BK1639" i="1"/>
  <c r="BY199" i="1"/>
  <c r="BK199" i="1"/>
  <c r="BY1634" i="1"/>
  <c r="BK1634" i="1"/>
  <c r="BY108" i="1"/>
  <c r="BK108" i="1"/>
  <c r="BY1747" i="1"/>
  <c r="BK1747" i="1"/>
  <c r="BY1698" i="1"/>
  <c r="BK1698" i="1"/>
  <c r="BY437" i="1"/>
  <c r="BK437" i="1"/>
  <c r="BY1851" i="1"/>
  <c r="BK1851" i="1"/>
  <c r="BY1199" i="1"/>
  <c r="BK1199" i="1"/>
  <c r="BY1884" i="1"/>
  <c r="BK1884" i="1"/>
  <c r="BY1886" i="1"/>
  <c r="BY42" i="1"/>
  <c r="BK42" i="1"/>
  <c r="BY1180" i="1"/>
  <c r="BK1180" i="1"/>
  <c r="BY669" i="1"/>
  <c r="BK669" i="1"/>
  <c r="BY227" i="1"/>
  <c r="BK227" i="1"/>
  <c r="BY730" i="1"/>
  <c r="BK730" i="1"/>
  <c r="BY1710" i="1"/>
  <c r="BK1710" i="1"/>
  <c r="BY1469" i="1"/>
  <c r="BK1469" i="1"/>
  <c r="BY641" i="1"/>
  <c r="BK641" i="1"/>
  <c r="BY1537" i="1"/>
  <c r="BK1537" i="1"/>
  <c r="BY1267" i="1"/>
  <c r="BK1267" i="1"/>
  <c r="BY1765" i="1"/>
  <c r="BK1765" i="1"/>
  <c r="BY1006" i="1"/>
  <c r="BK1006" i="1"/>
  <c r="BY1061" i="1"/>
  <c r="BK1061" i="1"/>
  <c r="BY1723" i="1"/>
  <c r="BK1723" i="1"/>
  <c r="BY136" i="1"/>
  <c r="BK136" i="1"/>
  <c r="BY1447" i="1"/>
  <c r="BK1447" i="1"/>
  <c r="BY1031" i="1"/>
  <c r="BK1031" i="1"/>
  <c r="BY1606" i="1"/>
  <c r="BK1606" i="1"/>
  <c r="BY149" i="1"/>
  <c r="BK149" i="1"/>
  <c r="BY329" i="1"/>
  <c r="BK329" i="1"/>
  <c r="BY956" i="1"/>
  <c r="BY1365" i="1"/>
  <c r="BK1365" i="1"/>
  <c r="BY1579" i="1"/>
  <c r="BK1579" i="1"/>
  <c r="BY1798" i="1"/>
  <c r="BK1798" i="1"/>
  <c r="BY760" i="1"/>
  <c r="BK760" i="1"/>
  <c r="BY740" i="1"/>
  <c r="BK740" i="1"/>
  <c r="BY1767" i="1"/>
  <c r="BK1767" i="1"/>
  <c r="BY688" i="1"/>
  <c r="BK688" i="1"/>
  <c r="BY1841" i="1"/>
  <c r="BK1841" i="1"/>
  <c r="BY497" i="1"/>
  <c r="BK497" i="1"/>
  <c r="BY581" i="1"/>
  <c r="BK581" i="1"/>
  <c r="BY1202" i="1"/>
  <c r="BK1202" i="1"/>
  <c r="BY1716" i="1"/>
  <c r="BK1716" i="1"/>
  <c r="BY1908" i="1"/>
  <c r="BK1908" i="1"/>
  <c r="BY708" i="1"/>
  <c r="BK708" i="1"/>
  <c r="BY445" i="1"/>
  <c r="BK445" i="1"/>
  <c r="BY415" i="1"/>
  <c r="BK415" i="1"/>
  <c r="BY1672" i="1"/>
  <c r="BK1672" i="1"/>
  <c r="BY631" i="1"/>
  <c r="BK631" i="1"/>
  <c r="BY1249" i="1"/>
  <c r="BK1249" i="1"/>
  <c r="BY195" i="1"/>
  <c r="BK195" i="1"/>
  <c r="BY43" i="1"/>
  <c r="BK43" i="1"/>
  <c r="BY935" i="1"/>
  <c r="BK935" i="1"/>
  <c r="BY131" i="1"/>
  <c r="BK131" i="1"/>
  <c r="BY1454" i="1"/>
  <c r="BK1454" i="1"/>
  <c r="BY596" i="1"/>
  <c r="BY758" i="1"/>
  <c r="BK758" i="1"/>
  <c r="BY1856" i="1"/>
  <c r="BK1856" i="1"/>
  <c r="BY1306" i="1"/>
  <c r="BK1306" i="1"/>
  <c r="BY583" i="1"/>
  <c r="BK583" i="1"/>
  <c r="BY1662" i="1"/>
  <c r="BK1662" i="1"/>
  <c r="BY1660" i="1"/>
  <c r="BK1660" i="1"/>
  <c r="BY1095" i="1"/>
  <c r="BK1095" i="1"/>
  <c r="BY800" i="1"/>
  <c r="BK800" i="1"/>
  <c r="BY864" i="1"/>
  <c r="BY196" i="1"/>
  <c r="BK196" i="1"/>
  <c r="BY705" i="1"/>
  <c r="BK705" i="1"/>
  <c r="BY352" i="1"/>
  <c r="BK352" i="1"/>
  <c r="BY1012" i="1"/>
  <c r="BK1012" i="1"/>
  <c r="BY420" i="1"/>
  <c r="BK420" i="1"/>
  <c r="BY1274" i="1"/>
  <c r="BK1274" i="1"/>
  <c r="BY1610" i="1"/>
  <c r="BK1610" i="1"/>
  <c r="BY325" i="1"/>
  <c r="BK325" i="1"/>
  <c r="BY1120" i="1"/>
  <c r="BK1120" i="1"/>
  <c r="BY1852" i="1"/>
  <c r="BK1852" i="1"/>
  <c r="BY865" i="1"/>
  <c r="BK865" i="1"/>
  <c r="BY1209" i="1"/>
  <c r="BK1209" i="1"/>
  <c r="BY369" i="1"/>
  <c r="BK369" i="1"/>
  <c r="BY906" i="1"/>
  <c r="BK906" i="1"/>
  <c r="BY301" i="1"/>
  <c r="BK301" i="1"/>
  <c r="BY655" i="1"/>
  <c r="BK655" i="1"/>
  <c r="BY687" i="1"/>
  <c r="BK687" i="1"/>
  <c r="BY622" i="1"/>
  <c r="BK622" i="1"/>
  <c r="BY1296" i="1"/>
  <c r="BK1296" i="1"/>
  <c r="BY841" i="1"/>
  <c r="BK841" i="1"/>
  <c r="BY1226" i="1"/>
  <c r="BK1226" i="1"/>
  <c r="BY1499" i="1"/>
  <c r="BK1499" i="1"/>
  <c r="BY1002" i="1"/>
  <c r="BK1002" i="1"/>
  <c r="BY1239" i="1"/>
  <c r="BK1239" i="1"/>
  <c r="BY779" i="1"/>
  <c r="BK779" i="1"/>
  <c r="BY33" i="1"/>
  <c r="BK33" i="1"/>
  <c r="BY1163" i="1"/>
  <c r="BK1163" i="1"/>
  <c r="BY1253" i="1"/>
  <c r="BK1253" i="1"/>
  <c r="BY1280" i="1"/>
  <c r="BK1280" i="1"/>
  <c r="BY679" i="1"/>
  <c r="BY597" i="1"/>
  <c r="BK597" i="1"/>
  <c r="BY1585" i="1"/>
  <c r="BK1585" i="1"/>
  <c r="BY543" i="1"/>
  <c r="BK543" i="1"/>
  <c r="BY207" i="1"/>
  <c r="BK207" i="1"/>
  <c r="BY1112" i="1"/>
  <c r="BK1112" i="1"/>
  <c r="BY311" i="1"/>
  <c r="BK311" i="1"/>
  <c r="BY1386" i="1"/>
  <c r="BK1386" i="1"/>
  <c r="BY1927" i="1"/>
  <c r="BK1927" i="1"/>
  <c r="BY733" i="1"/>
  <c r="BK733" i="1"/>
  <c r="BY1861" i="1"/>
  <c r="BK1861" i="1"/>
  <c r="BY670" i="1"/>
  <c r="BK670" i="1"/>
  <c r="BY613" i="1"/>
  <c r="BK613" i="1"/>
  <c r="BY1760" i="1"/>
  <c r="BK1760" i="1"/>
  <c r="BY1397" i="1"/>
  <c r="BK1397" i="1"/>
  <c r="BY100" i="1"/>
  <c r="BY1626" i="1"/>
  <c r="BK1626" i="1"/>
  <c r="BY26" i="1"/>
  <c r="BK26" i="1"/>
  <c r="BY1548" i="1"/>
  <c r="BY1523" i="1"/>
  <c r="BY562" i="1"/>
  <c r="BK562" i="1"/>
  <c r="BY29" i="1"/>
  <c r="BK29" i="1"/>
  <c r="BY124" i="1"/>
  <c r="BK124" i="1"/>
  <c r="BY503" i="1"/>
  <c r="BK503" i="1"/>
  <c r="BY1398" i="1"/>
  <c r="BK1398" i="1"/>
  <c r="BY1041" i="1"/>
  <c r="BK1041" i="1"/>
  <c r="BY389" i="1"/>
  <c r="BY122" i="1"/>
  <c r="BK122" i="1"/>
  <c r="BY232" i="1"/>
  <c r="BK232" i="1"/>
  <c r="BY10" i="1"/>
  <c r="BY1434" i="1"/>
  <c r="BK1434" i="1"/>
  <c r="BY338" i="1"/>
  <c r="BK338" i="1"/>
  <c r="BY1509" i="1"/>
  <c r="BK1509" i="1"/>
  <c r="BY314" i="1"/>
  <c r="BK314" i="1"/>
  <c r="BY166" i="1"/>
  <c r="BY1371" i="1"/>
  <c r="BK1371" i="1"/>
  <c r="BY1904" i="1"/>
  <c r="BK1904" i="1"/>
  <c r="BY1515" i="1"/>
  <c r="BK1515" i="1"/>
  <c r="BY1185" i="1"/>
  <c r="BK1185" i="1"/>
  <c r="BY552" i="1"/>
  <c r="BK552" i="1"/>
  <c r="BY95" i="1"/>
  <c r="BK95" i="1"/>
  <c r="BY1932" i="1"/>
  <c r="BK1932" i="1"/>
  <c r="BY1373" i="1"/>
  <c r="BK1373" i="1"/>
  <c r="BY587" i="1"/>
  <c r="BK587" i="1"/>
  <c r="BY691" i="1"/>
  <c r="BK691" i="1"/>
  <c r="BY1358" i="1"/>
  <c r="BK1358" i="1"/>
  <c r="BY1919" i="1"/>
  <c r="BK1919" i="1"/>
  <c r="BY1722" i="1"/>
  <c r="BK1722" i="1"/>
  <c r="BY500" i="1"/>
  <c r="BK500" i="1"/>
  <c r="BY1817" i="1"/>
  <c r="BK1817" i="1"/>
  <c r="BY342" i="1"/>
  <c r="BK342" i="1"/>
  <c r="BY1382" i="1"/>
  <c r="BK1382" i="1"/>
  <c r="BY460" i="1"/>
  <c r="BK460" i="1"/>
  <c r="BY1111" i="1"/>
  <c r="BK1111" i="1"/>
  <c r="BY525" i="1"/>
  <c r="BK525" i="1"/>
  <c r="BY246" i="1"/>
  <c r="BK246" i="1"/>
  <c r="BY1802" i="1"/>
  <c r="BK1802" i="1"/>
  <c r="BY312" i="1"/>
  <c r="BK312" i="1"/>
  <c r="BY89" i="1"/>
  <c r="BK89" i="1"/>
  <c r="BY1706" i="1"/>
  <c r="BK1706" i="1"/>
  <c r="BY1458" i="1"/>
  <c r="BK1458" i="1"/>
  <c r="BY5" i="1"/>
  <c r="BK5" i="1"/>
  <c r="BY1240" i="1"/>
  <c r="BK1240" i="1"/>
  <c r="BY512" i="1"/>
  <c r="BK512" i="1"/>
  <c r="BY546" i="1"/>
  <c r="BK546" i="1"/>
  <c r="BY270" i="1"/>
  <c r="BK270" i="1"/>
  <c r="BY49" i="1"/>
  <c r="BK49" i="1"/>
  <c r="BY1079" i="1"/>
  <c r="BK1079" i="1"/>
  <c r="BY1725" i="1"/>
  <c r="BK1725" i="1"/>
  <c r="BY1300" i="1"/>
  <c r="BK1300" i="1"/>
  <c r="BY555" i="1"/>
  <c r="BK555" i="1"/>
  <c r="BY1684" i="1"/>
  <c r="BK1684" i="1"/>
  <c r="BY1726" i="1"/>
  <c r="BK1726" i="1"/>
  <c r="BY332" i="1"/>
  <c r="BK332" i="1"/>
  <c r="BY1674" i="1"/>
  <c r="BK1674" i="1"/>
  <c r="BY1035" i="1"/>
  <c r="BK1035" i="1"/>
  <c r="BY1692" i="1"/>
  <c r="BK1692" i="1"/>
  <c r="BY946" i="1"/>
  <c r="BK946" i="1"/>
  <c r="BY1067" i="1"/>
  <c r="BK1067" i="1"/>
  <c r="BY151" i="1"/>
  <c r="BK151" i="1"/>
  <c r="BY560" i="1"/>
  <c r="BK560" i="1"/>
  <c r="BY317" i="1"/>
  <c r="BK317" i="1"/>
  <c r="BY950" i="1"/>
  <c r="BK950" i="1"/>
  <c r="BY977" i="1"/>
  <c r="BK977" i="1"/>
  <c r="BY624" i="1"/>
  <c r="BK624" i="1"/>
  <c r="BY875" i="1"/>
  <c r="BK875" i="1"/>
  <c r="BY991" i="1"/>
  <c r="BY971" i="1"/>
  <c r="BK971" i="1"/>
  <c r="BY920" i="1"/>
  <c r="BK920" i="1"/>
  <c r="BY1526" i="1"/>
  <c r="BK1526" i="1"/>
  <c r="BY544" i="1"/>
  <c r="BK544" i="1"/>
  <c r="BY547" i="1"/>
  <c r="BK547" i="1"/>
  <c r="BY1859" i="1"/>
  <c r="BK1859" i="1"/>
  <c r="BY1855" i="1"/>
  <c r="BK1855" i="1"/>
  <c r="BY1059" i="1"/>
  <c r="BK1059" i="1"/>
  <c r="BY1094" i="1"/>
  <c r="BK1094" i="1"/>
  <c r="BY625" i="1"/>
  <c r="BK625" i="1"/>
  <c r="BY773" i="1"/>
  <c r="BK773" i="1"/>
  <c r="BY1727" i="1"/>
  <c r="BK1727" i="1"/>
  <c r="BY653" i="1"/>
  <c r="BK653" i="1"/>
  <c r="BY1801" i="1"/>
  <c r="BK1801" i="1"/>
  <c r="BY572" i="1"/>
  <c r="BK572" i="1"/>
  <c r="BY877" i="1"/>
  <c r="BK877" i="1"/>
  <c r="BY1200" i="1"/>
  <c r="BK1200" i="1"/>
  <c r="BY1276" i="1"/>
  <c r="BK1276" i="1"/>
  <c r="BY683" i="1"/>
  <c r="BK683" i="1"/>
  <c r="BY61" i="1"/>
  <c r="BK61" i="1"/>
  <c r="BY885" i="1"/>
  <c r="BK885" i="1"/>
  <c r="BY1574" i="1"/>
  <c r="BK1574" i="1"/>
  <c r="BY1132" i="1"/>
  <c r="BK1132" i="1"/>
  <c r="BY347" i="1"/>
  <c r="BK347" i="1"/>
  <c r="BY7" i="1"/>
  <c r="BK7" i="1"/>
  <c r="BY1432" i="1"/>
  <c r="BK1432" i="1"/>
  <c r="BY1476" i="1"/>
  <c r="BK1476" i="1"/>
  <c r="BY663" i="1"/>
  <c r="BK663" i="1"/>
  <c r="BY1822" i="1"/>
  <c r="BK1822" i="1"/>
  <c r="BY1279" i="1"/>
  <c r="BK1279" i="1"/>
  <c r="BY105" i="1"/>
  <c r="BK105" i="1"/>
  <c r="BY1565" i="1"/>
  <c r="BK1565" i="1"/>
  <c r="BY778" i="1"/>
  <c r="BK778" i="1"/>
  <c r="BY1874" i="1"/>
  <c r="BK1874" i="1"/>
  <c r="BY1024" i="1"/>
  <c r="BK1024" i="1"/>
  <c r="BY91" i="1"/>
  <c r="BK91" i="1"/>
  <c r="BY1322" i="1"/>
  <c r="BK1322" i="1"/>
  <c r="BY534" i="1"/>
  <c r="BK534" i="1"/>
  <c r="BY860" i="1"/>
  <c r="BK860" i="1"/>
  <c r="BY360" i="1"/>
  <c r="BK360" i="1"/>
  <c r="BY495" i="1"/>
  <c r="BK495" i="1"/>
  <c r="BY478" i="1"/>
  <c r="BK478" i="1"/>
  <c r="BY588" i="1"/>
  <c r="BK588" i="1"/>
  <c r="BY58" i="1"/>
  <c r="BK58" i="1"/>
  <c r="BY748" i="1"/>
  <c r="BK748" i="1"/>
  <c r="BY527" i="1"/>
  <c r="BK527" i="1"/>
  <c r="BY571" i="1"/>
  <c r="BK571" i="1"/>
  <c r="BY1825" i="1"/>
  <c r="BK1825" i="1"/>
  <c r="BY385" i="1"/>
  <c r="BK385" i="1"/>
  <c r="BY1009" i="1"/>
  <c r="BK1009" i="1"/>
  <c r="BY617" i="1"/>
  <c r="BK617" i="1"/>
  <c r="BY1080" i="1"/>
  <c r="BK1080" i="1"/>
  <c r="BY879" i="1"/>
  <c r="BK879" i="1"/>
  <c r="BY816" i="1"/>
  <c r="BK816" i="1"/>
  <c r="BY892" i="1"/>
  <c r="BK892" i="1"/>
  <c r="BY1023" i="1"/>
  <c r="BK1023" i="1"/>
  <c r="BY465" i="1"/>
  <c r="BK465" i="1"/>
  <c r="BY273" i="1"/>
  <c r="BK273" i="1"/>
  <c r="BY1533" i="1"/>
  <c r="BK1533" i="1"/>
  <c r="BY1343" i="1"/>
  <c r="BK1343" i="1"/>
  <c r="BY1351" i="1"/>
  <c r="BK1351" i="1"/>
  <c r="BY612" i="1"/>
  <c r="BK612" i="1"/>
  <c r="BY609" i="1"/>
  <c r="BK609" i="1"/>
  <c r="BY439" i="1"/>
  <c r="BK439" i="1"/>
  <c r="BY226" i="1"/>
  <c r="BK226" i="1"/>
  <c r="BY804" i="1"/>
  <c r="BK804" i="1"/>
  <c r="BY1418" i="1"/>
  <c r="BK1418" i="1"/>
  <c r="BY993" i="1"/>
  <c r="BK993" i="1"/>
  <c r="BY93" i="1"/>
  <c r="BK93" i="1"/>
  <c r="BY883" i="1"/>
  <c r="BY598" i="1"/>
  <c r="BK598" i="1"/>
  <c r="BY1885" i="1"/>
  <c r="BK1885" i="1"/>
  <c r="BY1195" i="1"/>
  <c r="BK1195" i="1"/>
  <c r="BY1532" i="1"/>
  <c r="BK1532" i="1"/>
  <c r="BY1867" i="1"/>
  <c r="BK1867" i="1"/>
  <c r="BY727" i="1"/>
  <c r="BK727" i="1"/>
  <c r="BY509" i="1"/>
  <c r="BK509" i="1"/>
  <c r="BY755" i="1"/>
  <c r="BK755" i="1"/>
  <c r="BY1820" i="1"/>
  <c r="BK1820" i="1"/>
  <c r="BY206" i="1"/>
  <c r="BK206" i="1"/>
  <c r="BY230" i="1"/>
  <c r="BK230" i="1"/>
  <c r="BY502" i="1"/>
  <c r="BK502" i="1"/>
  <c r="BY1198" i="1"/>
  <c r="BK1198" i="1"/>
  <c r="BY373" i="1"/>
  <c r="BK373" i="1"/>
  <c r="BY1084" i="1"/>
  <c r="BK1084" i="1"/>
  <c r="BY759" i="1"/>
  <c r="BK759" i="1"/>
  <c r="BY736" i="1"/>
  <c r="BK736" i="1"/>
  <c r="BY1772" i="1"/>
  <c r="BK1772" i="1"/>
  <c r="BY1154" i="1"/>
  <c r="BK1154" i="1"/>
  <c r="BY82" i="1"/>
  <c r="BK82" i="1"/>
  <c r="BY737" i="1"/>
  <c r="BK737" i="1"/>
  <c r="BY1471" i="1"/>
  <c r="BK1471" i="1"/>
  <c r="BY396" i="1"/>
  <c r="BY487" i="1"/>
  <c r="BY673" i="1"/>
  <c r="BK673" i="1"/>
  <c r="BY1732" i="1"/>
  <c r="BK1732" i="1"/>
  <c r="BY514" i="1"/>
  <c r="BK514" i="1"/>
  <c r="BY51" i="1"/>
  <c r="BK51" i="1"/>
  <c r="BY407" i="1"/>
  <c r="BK407" i="1"/>
  <c r="BY999" i="1"/>
  <c r="BK999" i="1"/>
  <c r="BY104" i="1"/>
  <c r="BK104" i="1"/>
  <c r="BY463" i="1"/>
  <c r="BY1753" i="1"/>
  <c r="BK1753" i="1"/>
  <c r="BY959" i="1"/>
  <c r="BK959" i="1"/>
  <c r="BY1021" i="1"/>
  <c r="BK1021" i="1"/>
  <c r="BY1127" i="1"/>
  <c r="BK1127" i="1"/>
  <c r="BY1543" i="1"/>
  <c r="BK1543" i="1"/>
  <c r="BY1384" i="1"/>
  <c r="BK1384" i="1"/>
  <c r="BY1412" i="1"/>
  <c r="BK1412" i="1"/>
  <c r="BY319" i="1"/>
  <c r="BK319" i="1"/>
  <c r="BY776" i="1"/>
  <c r="BK776" i="1"/>
  <c r="BY1800" i="1"/>
  <c r="BK1800" i="1"/>
  <c r="BY135" i="1"/>
  <c r="BK135" i="1"/>
  <c r="BY6" i="1"/>
  <c r="BK6" i="1"/>
  <c r="BY1837" i="1"/>
  <c r="BK1837" i="1"/>
  <c r="BY893" i="1"/>
  <c r="BK893" i="1"/>
  <c r="BY221" i="1"/>
  <c r="BK221" i="1"/>
  <c r="BY656" i="1"/>
  <c r="BK656" i="1"/>
  <c r="BY1231" i="1"/>
  <c r="BK1231" i="1"/>
  <c r="BY630" i="1"/>
  <c r="BK630" i="1"/>
  <c r="BY235" i="1"/>
  <c r="BK235" i="1"/>
  <c r="BY1676" i="1"/>
  <c r="BK1676" i="1"/>
  <c r="BY1794" i="1"/>
  <c r="BK1794" i="1"/>
  <c r="BY1843" i="1"/>
  <c r="BK1843" i="1"/>
  <c r="BY1783" i="1"/>
  <c r="BK1783" i="1"/>
  <c r="BY1129" i="1"/>
  <c r="BK1129" i="1"/>
  <c r="BY930" i="1"/>
  <c r="BK930" i="1"/>
  <c r="BY448" i="1"/>
  <c r="BK448" i="1"/>
  <c r="BY316" i="1"/>
  <c r="BK316" i="1"/>
  <c r="BY1787" i="1"/>
  <c r="BK1787" i="1"/>
  <c r="BY1557" i="1"/>
  <c r="BK1557" i="1"/>
  <c r="BY461" i="1"/>
  <c r="BK461" i="1"/>
  <c r="BY1641" i="1"/>
  <c r="BK1641" i="1"/>
  <c r="BY1246" i="1"/>
  <c r="BK1246" i="1"/>
  <c r="BY309" i="1"/>
  <c r="BK309" i="1"/>
  <c r="BY702" i="1"/>
  <c r="BK702" i="1"/>
  <c r="BY1588" i="1"/>
  <c r="BK1588" i="1"/>
  <c r="BY1778" i="1"/>
  <c r="BK1778" i="1"/>
  <c r="BY1847" i="1"/>
  <c r="BK1847" i="1"/>
  <c r="BY866" i="1"/>
  <c r="BK866" i="1"/>
  <c r="BY1815" i="1"/>
  <c r="BK1815" i="1"/>
  <c r="BY1152" i="1"/>
  <c r="BK1152" i="1"/>
  <c r="BY38" i="1"/>
  <c r="BK38" i="1"/>
  <c r="BY1832" i="1"/>
  <c r="BK1832" i="1"/>
  <c r="BY700" i="1"/>
  <c r="BK700" i="1"/>
  <c r="BY1663" i="1"/>
  <c r="BK1663" i="1"/>
  <c r="BY298" i="1"/>
  <c r="BK298" i="1"/>
  <c r="BY22" i="1"/>
  <c r="BK22" i="1"/>
  <c r="BY271" i="1"/>
  <c r="BK271" i="1"/>
  <c r="BY1498" i="1"/>
  <c r="BK1498" i="1"/>
  <c r="BY1636" i="1"/>
  <c r="BK1636" i="1"/>
  <c r="BY1896" i="1"/>
  <c r="BK1896" i="1"/>
  <c r="BY216" i="1"/>
  <c r="BK216" i="1"/>
  <c r="BY1542" i="1"/>
  <c r="BK1542" i="1"/>
  <c r="BY600" i="1"/>
  <c r="BK600" i="1"/>
  <c r="BY54" i="1"/>
  <c r="BK54" i="1"/>
  <c r="BY79" i="1"/>
  <c r="BK79" i="1"/>
  <c r="BY1603" i="1"/>
  <c r="BK1603" i="1"/>
  <c r="BY1922" i="1"/>
  <c r="BK1922" i="1"/>
  <c r="BY1177" i="1"/>
  <c r="BK1177" i="1"/>
  <c r="BY826" i="1"/>
  <c r="BK826" i="1"/>
  <c r="BY371" i="1"/>
  <c r="BK371" i="1"/>
  <c r="BY966" i="1"/>
  <c r="BK966" i="1"/>
  <c r="BY1007" i="1"/>
  <c r="BK1007" i="1"/>
  <c r="BY1005" i="1"/>
  <c r="BK1005" i="1"/>
  <c r="BY1849" i="1"/>
  <c r="BK1849" i="1"/>
  <c r="BY1909" i="1"/>
  <c r="BK1909" i="1"/>
  <c r="BY843" i="1"/>
  <c r="BK843" i="1"/>
  <c r="BY208" i="1"/>
  <c r="BK208" i="1"/>
  <c r="BY1145" i="1"/>
  <c r="BK1145" i="1"/>
  <c r="BY861" i="1"/>
  <c r="BK861" i="1"/>
  <c r="BY1433" i="1"/>
  <c r="BK1433" i="1"/>
  <c r="BY493" i="1"/>
  <c r="BK493" i="1"/>
  <c r="BY217" i="1"/>
  <c r="BK217" i="1"/>
  <c r="BY608" i="1"/>
  <c r="BK608" i="1"/>
  <c r="BY1115" i="1"/>
  <c r="BK1115" i="1"/>
  <c r="BY327" i="1"/>
  <c r="BK327" i="1"/>
  <c r="BY1484" i="1"/>
  <c r="BK1484" i="1"/>
  <c r="BY126" i="1"/>
  <c r="BK126" i="1"/>
  <c r="BY1108" i="1"/>
  <c r="BK1108" i="1"/>
  <c r="BY1294" i="1"/>
  <c r="BK1294" i="1"/>
  <c r="BY1227" i="1"/>
  <c r="BK1227" i="1"/>
  <c r="BY1252" i="1"/>
  <c r="BK1252" i="1"/>
  <c r="BY1085" i="1"/>
  <c r="BK1085" i="1"/>
  <c r="BY98" i="1"/>
  <c r="BK98" i="1"/>
  <c r="BY508" i="1"/>
  <c r="BK508" i="1"/>
  <c r="BY1667" i="1"/>
  <c r="BK1667" i="1"/>
  <c r="BY209" i="1"/>
  <c r="BK209" i="1"/>
  <c r="BY1036" i="1"/>
  <c r="BK1036" i="1"/>
  <c r="BY526" i="1"/>
  <c r="BK526" i="1"/>
  <c r="BY1791" i="1"/>
  <c r="BK1791" i="1"/>
  <c r="BY333" i="1"/>
  <c r="BK333" i="1"/>
  <c r="BY1819" i="1"/>
  <c r="BK1819" i="1"/>
  <c r="BY827" i="1"/>
  <c r="BK827" i="1"/>
  <c r="BY1897" i="1"/>
  <c r="BK1897" i="1"/>
  <c r="BY965" i="1"/>
  <c r="BK965" i="1"/>
  <c r="BY623" i="1"/>
  <c r="BK623" i="1"/>
  <c r="BY223" i="1"/>
  <c r="BK223" i="1"/>
  <c r="BY1319" i="1"/>
  <c r="BK1319" i="1"/>
  <c r="BY1164" i="1"/>
  <c r="BK1164" i="1"/>
  <c r="BY659" i="1"/>
  <c r="BK659" i="1"/>
  <c r="BY350" i="1"/>
  <c r="BK350" i="1"/>
  <c r="BY1423" i="1"/>
  <c r="BK1423" i="1"/>
  <c r="BY1039" i="1"/>
  <c r="BK1039" i="1"/>
  <c r="BY1350" i="1"/>
  <c r="BK1350" i="1"/>
  <c r="BY1138" i="1"/>
  <c r="BK1138" i="1"/>
  <c r="BY431" i="1"/>
  <c r="BK431" i="1"/>
  <c r="BY1220" i="1"/>
  <c r="BK1220" i="1"/>
  <c r="BY220" i="1"/>
  <c r="BK220" i="1"/>
  <c r="BY183" i="1"/>
  <c r="BK183" i="1"/>
  <c r="BY900" i="1"/>
  <c r="BK900" i="1"/>
  <c r="BY1167" i="1"/>
  <c r="BK1167" i="1"/>
  <c r="BY414" i="1"/>
  <c r="BK414" i="1"/>
  <c r="BY213" i="1"/>
  <c r="BK213" i="1"/>
  <c r="BY833" i="1"/>
  <c r="BK833" i="1"/>
  <c r="BY1273" i="1"/>
  <c r="BK1273" i="1"/>
  <c r="BY1146" i="1"/>
  <c r="BK1146" i="1"/>
  <c r="BY1285" i="1"/>
  <c r="BK1285" i="1"/>
  <c r="BY1733" i="1"/>
  <c r="BK1733" i="1"/>
  <c r="BY1174" i="1"/>
  <c r="BK1174" i="1"/>
  <c r="BY601" i="1"/>
  <c r="BK601" i="1"/>
  <c r="BY657" i="1"/>
  <c r="BK657" i="1"/>
  <c r="BY449" i="1"/>
  <c r="BK449" i="1"/>
  <c r="BY25" i="1"/>
  <c r="BK25" i="1"/>
  <c r="BY1613" i="1"/>
  <c r="BK1613" i="1"/>
  <c r="BY1600" i="1"/>
  <c r="BK1600" i="1"/>
  <c r="BY1877" i="1"/>
  <c r="BK1877" i="1"/>
  <c r="BY64" i="1"/>
  <c r="BK64" i="1"/>
  <c r="BY1076" i="1"/>
  <c r="BK1076" i="1"/>
  <c r="BY366" i="1"/>
  <c r="BK366" i="1"/>
  <c r="BY529" i="1"/>
  <c r="BK529" i="1"/>
  <c r="BY1011" i="1"/>
  <c r="BK1011" i="1"/>
  <c r="BY1204" i="1"/>
  <c r="BK1204" i="1"/>
  <c r="BY477" i="1"/>
  <c r="BK477" i="1"/>
  <c r="BY690" i="1"/>
  <c r="BK690" i="1"/>
  <c r="BY929" i="1"/>
  <c r="BK929" i="1"/>
  <c r="BY1592" i="1"/>
  <c r="BK1592" i="1"/>
  <c r="BY1601" i="1"/>
  <c r="BK1601" i="1"/>
  <c r="BY1836" i="1"/>
  <c r="BK1836" i="1"/>
  <c r="BY1482" i="1"/>
  <c r="BK1482" i="1"/>
  <c r="BY957" i="1"/>
  <c r="BK957" i="1"/>
  <c r="BY481" i="1"/>
  <c r="BK481" i="1"/>
  <c r="BY610" i="1"/>
  <c r="BK610" i="1"/>
  <c r="BY1046" i="1"/>
  <c r="BK1046" i="1"/>
  <c r="BY346" i="1"/>
  <c r="BK346" i="1"/>
  <c r="BY1893" i="1"/>
  <c r="BK1893" i="1"/>
  <c r="BY780" i="1"/>
  <c r="BK780" i="1"/>
  <c r="BY225" i="1"/>
  <c r="BK225" i="1"/>
  <c r="BY844" i="1"/>
  <c r="BK844" i="1"/>
  <c r="BY1269" i="1"/>
  <c r="BK1269" i="1"/>
  <c r="BY660" i="1"/>
  <c r="BK660" i="1"/>
  <c r="BY1278" i="1"/>
  <c r="BK1278" i="1"/>
  <c r="BY1186" i="1"/>
  <c r="BK1186" i="1"/>
  <c r="BY1917" i="1"/>
  <c r="BK1917" i="1"/>
  <c r="BY1275" i="1"/>
  <c r="BK1275" i="1"/>
  <c r="BY1838" i="1"/>
  <c r="BK1838" i="1"/>
  <c r="BY1237" i="1"/>
  <c r="BK1237" i="1"/>
  <c r="BY607" i="1"/>
  <c r="BK607" i="1"/>
  <c r="BY810" i="1"/>
  <c r="BK810" i="1"/>
  <c r="BY37" i="1"/>
  <c r="BK37" i="1"/>
  <c r="BY372" i="1"/>
  <c r="BY479" i="1"/>
  <c r="BK479" i="1"/>
  <c r="BY785" i="1"/>
  <c r="BK785" i="1"/>
  <c r="BY1487" i="1"/>
  <c r="BY1374" i="1"/>
  <c r="BK1374" i="1"/>
  <c r="BY616" i="1"/>
  <c r="BK616" i="1"/>
  <c r="BY1165" i="1"/>
  <c r="BK1165" i="1"/>
  <c r="BY1437" i="1"/>
  <c r="BY491" i="1"/>
  <c r="BY1443" i="1"/>
  <c r="BK1443" i="1"/>
  <c r="BY231" i="1"/>
  <c r="BK231" i="1"/>
  <c r="BY1261" i="1"/>
  <c r="BK1261" i="1"/>
  <c r="BY932" i="1"/>
  <c r="BK932" i="1"/>
  <c r="BY664" i="1"/>
  <c r="BK664" i="1"/>
  <c r="BY1004" i="1"/>
  <c r="BK1004" i="1"/>
  <c r="BY167" i="1"/>
  <c r="BK167" i="1"/>
  <c r="BY239" i="1"/>
  <c r="BK239" i="1"/>
  <c r="BY684" i="1"/>
  <c r="BK684" i="1"/>
  <c r="BY620" i="1"/>
  <c r="BK620" i="1"/>
  <c r="BY1081" i="1"/>
  <c r="BK1081" i="1"/>
  <c r="BY128" i="1"/>
  <c r="BK128" i="1"/>
  <c r="BY1907" i="1"/>
  <c r="BK1907" i="1"/>
  <c r="BY701" i="1"/>
  <c r="BK701" i="1"/>
  <c r="BY275" i="1"/>
  <c r="BK275" i="1"/>
  <c r="BY1465" i="1"/>
  <c r="BK1465" i="1"/>
  <c r="BY418" i="1"/>
  <c r="BK418" i="1"/>
  <c r="BY9" i="1"/>
  <c r="BK9" i="1"/>
  <c r="BY1029" i="1"/>
  <c r="BK1029" i="1"/>
  <c r="BY1098" i="1"/>
  <c r="BK1098" i="1"/>
  <c r="BY913" i="1"/>
  <c r="BK913" i="1"/>
  <c r="BY1625" i="1"/>
  <c r="BK1625" i="1"/>
  <c r="BY1888" i="1"/>
  <c r="BY832" i="1"/>
  <c r="BK832" i="1"/>
  <c r="BY1528" i="1"/>
  <c r="BY1359" i="1"/>
  <c r="BK1359" i="1"/>
  <c r="BY1293" i="1"/>
  <c r="BK1293" i="1"/>
  <c r="BY739" i="1"/>
  <c r="BK739" i="1"/>
  <c r="BY1157" i="1"/>
  <c r="BK1157" i="1"/>
  <c r="BY626" i="1"/>
  <c r="BK626" i="1"/>
  <c r="BY137" i="1"/>
  <c r="BK137" i="1"/>
  <c r="BY1140" i="1"/>
  <c r="BK1140" i="1"/>
  <c r="BY862" i="1"/>
  <c r="BK862" i="1"/>
  <c r="BY1189" i="1"/>
  <c r="BK1189" i="1"/>
  <c r="BY1394" i="1"/>
  <c r="BK1394" i="1"/>
  <c r="BY791" i="1"/>
  <c r="BK791" i="1"/>
  <c r="BY831" i="1"/>
  <c r="BK831" i="1"/>
  <c r="BY1082" i="1"/>
  <c r="BK1082" i="1"/>
  <c r="BY1550" i="1"/>
  <c r="BK1550" i="1"/>
  <c r="BY797" i="1"/>
  <c r="BK797" i="1"/>
  <c r="BY1235" i="1"/>
  <c r="BK1235" i="1"/>
  <c r="BY362" i="1"/>
  <c r="BK362" i="1"/>
  <c r="BY224" i="1"/>
  <c r="BK224" i="1"/>
  <c r="BY710" i="1"/>
  <c r="BY268" i="1"/>
  <c r="BK268" i="1"/>
  <c r="BY1589" i="1"/>
  <c r="BK1589" i="1"/>
  <c r="BY1572" i="1"/>
  <c r="BK1572" i="1"/>
  <c r="BY107" i="1"/>
  <c r="BK107" i="1"/>
  <c r="BY450" i="1"/>
  <c r="BK450" i="1"/>
  <c r="BY1914" i="1"/>
  <c r="BK1914" i="1"/>
  <c r="BY34" i="1"/>
  <c r="BK34" i="1"/>
  <c r="BY1304" i="1"/>
  <c r="BK1304" i="1"/>
  <c r="BY695" i="1"/>
  <c r="BK695" i="1"/>
  <c r="BY1651" i="1"/>
  <c r="BK1651" i="1"/>
  <c r="BY707" i="1"/>
  <c r="BK707" i="1"/>
  <c r="BY1485" i="1"/>
  <c r="BK1485" i="1"/>
  <c r="BY917" i="1"/>
  <c r="BK917" i="1"/>
  <c r="BY763" i="1"/>
  <c r="BK763" i="1"/>
  <c r="BY1331" i="1"/>
  <c r="BK1331" i="1"/>
  <c r="BY219" i="1"/>
  <c r="BK219" i="1"/>
  <c r="BY907" i="1"/>
  <c r="BK907" i="1"/>
  <c r="BY14" i="1"/>
  <c r="BK14" i="1"/>
  <c r="BY988" i="1"/>
  <c r="BK988" i="1"/>
  <c r="BY1835" i="1"/>
  <c r="BK1835" i="1"/>
  <c r="BY837" i="1"/>
  <c r="BY671" i="1"/>
  <c r="BK671" i="1"/>
  <c r="BY639" i="1"/>
  <c r="BK639" i="1"/>
  <c r="BY1015" i="1"/>
  <c r="BK1015" i="1"/>
  <c r="BY818" i="1"/>
  <c r="BK818" i="1"/>
  <c r="BY829" i="1"/>
  <c r="BK829" i="1"/>
  <c r="BY1440" i="1"/>
  <c r="BK1440" i="1"/>
  <c r="BY642" i="1"/>
  <c r="BK642" i="1"/>
  <c r="BY1643" i="1"/>
  <c r="BK1643" i="1"/>
  <c r="BY1057" i="1"/>
  <c r="BK1057" i="1"/>
  <c r="BY201" i="1"/>
  <c r="BK201" i="1"/>
  <c r="BY11" i="1"/>
  <c r="BK11" i="1"/>
  <c r="BY1501" i="1"/>
  <c r="BK1501" i="1"/>
  <c r="BY1464" i="1"/>
  <c r="BK1464" i="1"/>
  <c r="BY925" i="1"/>
  <c r="BK925" i="1"/>
  <c r="BY524" i="1"/>
  <c r="BK524" i="1"/>
  <c r="BY1332" i="1"/>
  <c r="BK1332" i="1"/>
  <c r="BY1892" i="1"/>
  <c r="BK1892" i="1"/>
  <c r="BY1421" i="1"/>
  <c r="BK1421" i="1"/>
  <c r="BY1383" i="1"/>
  <c r="BK1383" i="1"/>
  <c r="BY67" i="1"/>
  <c r="BK67" i="1"/>
  <c r="BY1632" i="1"/>
  <c r="BK1632" i="1"/>
  <c r="BY1402" i="1"/>
  <c r="BK1402" i="1"/>
  <c r="BY749" i="1"/>
  <c r="BK749" i="1"/>
  <c r="BY129" i="1"/>
  <c r="BY1478" i="1"/>
  <c r="BK1478" i="1"/>
  <c r="BY1175" i="1"/>
  <c r="BK1175" i="1"/>
  <c r="BY1149" i="1"/>
  <c r="BY830" i="1"/>
  <c r="BK830" i="1"/>
  <c r="BY1679" i="1"/>
  <c r="BK1679" i="1"/>
  <c r="BY1777" i="1"/>
  <c r="BK1777" i="1"/>
  <c r="BY426" i="1"/>
  <c r="BK426" i="1"/>
  <c r="BY336" i="1"/>
  <c r="BK336" i="1"/>
  <c r="BY788" i="1"/>
  <c r="BK788" i="1"/>
  <c r="BY1529" i="1"/>
  <c r="BK1529" i="1"/>
  <c r="BY1650" i="1"/>
  <c r="BK1650" i="1"/>
  <c r="BY96" i="1"/>
  <c r="BK96" i="1"/>
  <c r="BY814" i="1"/>
  <c r="BK814" i="1"/>
  <c r="BY244" i="1"/>
  <c r="BK244" i="1"/>
  <c r="BY8" i="1"/>
  <c r="BK8" i="1"/>
  <c r="BY1142" i="1"/>
  <c r="BK1142" i="1"/>
  <c r="BY1287" i="1"/>
  <c r="BK1287" i="1"/>
  <c r="BY1230" i="1"/>
  <c r="BK1230" i="1"/>
  <c r="BY995" i="1"/>
  <c r="BK995" i="1"/>
  <c r="BY1027" i="1"/>
  <c r="BK1027" i="1"/>
  <c r="BY1871" i="1"/>
  <c r="BK1871" i="1"/>
  <c r="BY1066" i="1"/>
  <c r="BK1066" i="1"/>
  <c r="BY1372" i="1"/>
  <c r="BK1372" i="1"/>
  <c r="BY443" i="1"/>
  <c r="BK443" i="1"/>
  <c r="BY1207" i="1"/>
  <c r="BK1207" i="1"/>
  <c r="BY243" i="1"/>
  <c r="BK243" i="1"/>
  <c r="BY1407" i="1"/>
  <c r="BK1407" i="1"/>
  <c r="BY1827" i="1"/>
  <c r="BK1827" i="1"/>
  <c r="BY801" i="1"/>
  <c r="BK801" i="1"/>
  <c r="BY1894" i="1"/>
  <c r="BK1894" i="1"/>
  <c r="BY45" i="1"/>
  <c r="BK45" i="1"/>
  <c r="BY416" i="1"/>
  <c r="BK416" i="1"/>
  <c r="BY194" i="1"/>
  <c r="BK194" i="1"/>
  <c r="BY323" i="1"/>
  <c r="BK323" i="1"/>
  <c r="BY302" i="1"/>
  <c r="BK302" i="1"/>
  <c r="BY979" i="1"/>
  <c r="BK979" i="1"/>
  <c r="BY1344" i="1"/>
  <c r="BK1344" i="1"/>
  <c r="BY1327" i="1"/>
  <c r="BK1327" i="1"/>
  <c r="BY1807" i="1"/>
  <c r="BK1807" i="1"/>
  <c r="BY1503" i="1"/>
  <c r="BK1503" i="1"/>
  <c r="BY1390" i="1"/>
  <c r="BK1390" i="1"/>
  <c r="BY1563" i="1"/>
  <c r="BK1563" i="1"/>
  <c r="BY1380" i="1"/>
  <c r="BK1380" i="1"/>
  <c r="BY521" i="1"/>
  <c r="BK521" i="1"/>
  <c r="BY193" i="1"/>
  <c r="BK193" i="1"/>
  <c r="BY681" i="1"/>
  <c r="BK681" i="1"/>
  <c r="BY1659" i="1"/>
  <c r="BK1659" i="1"/>
  <c r="BY1459" i="1"/>
  <c r="BK1459" i="1"/>
  <c r="BY942" i="1"/>
  <c r="BK942" i="1"/>
  <c r="BY567" i="1"/>
  <c r="BK567" i="1"/>
  <c r="BY1101" i="1"/>
  <c r="BK1101" i="1"/>
  <c r="BY112" i="1"/>
  <c r="BK112" i="1"/>
  <c r="BY1712" i="1"/>
  <c r="BK1712" i="1"/>
  <c r="BY44" i="1"/>
  <c r="BK44" i="1"/>
  <c r="BY634" i="1"/>
  <c r="BK634" i="1"/>
  <c r="BY163" i="1"/>
  <c r="BK163" i="1"/>
  <c r="BY836" i="1"/>
  <c r="BK836" i="1"/>
  <c r="BY717" i="1"/>
  <c r="BK717" i="1"/>
  <c r="BY680" i="1"/>
  <c r="BK680" i="1"/>
  <c r="BY1446" i="1"/>
  <c r="BK1446" i="1"/>
  <c r="BY504" i="1"/>
  <c r="BK504" i="1"/>
  <c r="BY1739" i="1"/>
  <c r="BK1739" i="1"/>
  <c r="BY1258" i="1"/>
  <c r="BK1258" i="1"/>
  <c r="BY1214" i="1"/>
  <c r="BK1214" i="1"/>
  <c r="BY637" i="1"/>
  <c r="BK637" i="1"/>
  <c r="BY1644" i="1"/>
  <c r="BK1644" i="1"/>
  <c r="BY1512" i="1"/>
  <c r="BK1512" i="1"/>
  <c r="BY36" i="1"/>
  <c r="BK36" i="1"/>
  <c r="BY46" i="1"/>
  <c r="BK46" i="1"/>
  <c r="BY1806" i="1"/>
  <c r="BK1806" i="1"/>
  <c r="BY1105" i="1"/>
  <c r="BK1105" i="1"/>
  <c r="BY1505" i="1"/>
  <c r="BK1505" i="1"/>
  <c r="BY1734" i="1"/>
  <c r="BK1734" i="1"/>
  <c r="BY1483" i="1"/>
  <c r="BK1483" i="1"/>
  <c r="BY743" i="1"/>
  <c r="BK743" i="1"/>
  <c r="BY568" i="1"/>
  <c r="BK568" i="1"/>
  <c r="BY140" i="1"/>
  <c r="BK140" i="1"/>
  <c r="BY1473" i="1"/>
  <c r="BK1473" i="1"/>
  <c r="BY1348" i="1"/>
  <c r="BK1348" i="1"/>
  <c r="BY989" i="1"/>
  <c r="BK989" i="1"/>
  <c r="BY170" i="1"/>
  <c r="BK170" i="1"/>
  <c r="BY621" i="1"/>
  <c r="BK621" i="1"/>
  <c r="BY577" i="1"/>
  <c r="BK577" i="1"/>
  <c r="BY1104" i="1"/>
  <c r="BY1053" i="1"/>
  <c r="BK1053" i="1"/>
  <c r="BY1187" i="1"/>
  <c r="BK1187" i="1"/>
  <c r="BY442" i="1"/>
  <c r="BK442" i="1"/>
  <c r="BY1040" i="1"/>
  <c r="BK1040" i="1"/>
  <c r="BY692" i="1"/>
  <c r="BK692" i="1"/>
  <c r="BY1863" i="1"/>
  <c r="BK1863" i="1"/>
  <c r="BY286" i="1"/>
  <c r="BK286" i="1"/>
  <c r="BY185" i="1"/>
  <c r="BK185" i="1"/>
  <c r="BY354" i="1"/>
  <c r="BK354" i="1"/>
  <c r="BY1100" i="1"/>
  <c r="BK1100" i="1"/>
  <c r="BY858" i="1"/>
  <c r="BK858" i="1"/>
  <c r="BY972" i="1"/>
  <c r="BK972" i="1"/>
  <c r="BY903" i="1"/>
  <c r="BK903" i="1"/>
  <c r="BY1034" i="1"/>
  <c r="BY1813" i="1"/>
  <c r="BK1813" i="1"/>
  <c r="BY1645" i="1"/>
  <c r="BK1645" i="1"/>
  <c r="BY1517" i="1"/>
  <c r="BK1517" i="1"/>
  <c r="BY1811" i="1"/>
  <c r="BK1811" i="1"/>
  <c r="BY738" i="1"/>
  <c r="BK738" i="1"/>
  <c r="BY242" i="1"/>
  <c r="BK242" i="1"/>
  <c r="BY594" i="1"/>
  <c r="BK594" i="1"/>
  <c r="BY1678" i="1"/>
  <c r="BK1678" i="1"/>
  <c r="BY751" i="1"/>
  <c r="BY996" i="1"/>
  <c r="BK996" i="1"/>
  <c r="BY1126" i="1"/>
  <c r="BK1126" i="1"/>
  <c r="BY198" i="1"/>
  <c r="BK198" i="1"/>
  <c r="BY1222" i="1"/>
  <c r="BK1222" i="1"/>
  <c r="BY1181" i="1"/>
  <c r="BK1181" i="1"/>
  <c r="BY515" i="1"/>
  <c r="BK515" i="1"/>
  <c r="BY1911" i="1"/>
  <c r="BY52" i="1"/>
  <c r="BK52" i="1"/>
  <c r="BY933" i="1"/>
  <c r="BK933" i="1"/>
  <c r="BY162" i="1"/>
  <c r="BK162" i="1"/>
  <c r="BY1642" i="1"/>
  <c r="BK1642" i="1"/>
  <c r="BY1408" i="1"/>
  <c r="BK1408" i="1"/>
  <c r="BY1536" i="1"/>
  <c r="BK1536" i="1"/>
  <c r="BY1190" i="1"/>
  <c r="BK1190" i="1"/>
  <c r="BY926" i="1"/>
  <c r="BK926" i="1"/>
  <c r="BY981" i="1"/>
  <c r="BK981" i="1"/>
  <c r="BY1460" i="1"/>
  <c r="BK1460" i="1"/>
  <c r="BY905" i="1"/>
  <c r="BK905" i="1"/>
  <c r="BY682" i="1"/>
  <c r="BK682" i="1"/>
  <c r="BY605" i="1"/>
  <c r="BK605" i="1"/>
  <c r="BY40" i="1"/>
  <c r="BK40" i="1"/>
  <c r="BY390" i="1"/>
  <c r="BK390" i="1"/>
  <c r="BY535" i="1"/>
  <c r="BK535" i="1"/>
  <c r="BY944" i="1"/>
  <c r="BK944" i="1"/>
  <c r="BY1724" i="1"/>
  <c r="BK1724" i="1"/>
  <c r="BY974" i="1"/>
  <c r="BK974" i="1"/>
  <c r="BY164" i="1"/>
  <c r="BK164" i="1"/>
  <c r="BY339" i="1"/>
  <c r="BK339" i="1"/>
  <c r="BY1491" i="1"/>
  <c r="BK1491" i="1"/>
  <c r="BY88" i="1"/>
  <c r="BK88" i="1"/>
  <c r="BY419" i="1"/>
  <c r="BK419" i="1"/>
  <c r="BY405" i="1"/>
  <c r="BK405" i="1"/>
  <c r="BY501" i="1"/>
  <c r="BK501" i="1"/>
  <c r="BY322" i="1"/>
  <c r="BK322" i="1"/>
  <c r="BY1086" i="1"/>
  <c r="BK1086" i="1"/>
  <c r="BY1918" i="1"/>
  <c r="BK1918" i="1"/>
  <c r="BY1452" i="1"/>
  <c r="BK1452" i="1"/>
  <c r="BY887" i="1"/>
  <c r="BK887" i="1"/>
  <c r="BY1697" i="1"/>
  <c r="BK1697" i="1"/>
  <c r="BY528" i="1"/>
  <c r="BK528" i="1"/>
  <c r="BY1401" i="1"/>
  <c r="BK1401" i="1"/>
  <c r="BY1608" i="1"/>
  <c r="BK1608" i="1"/>
  <c r="BY820" i="1"/>
  <c r="BK820" i="1"/>
  <c r="BY1228" i="1"/>
  <c r="BK1228" i="1"/>
  <c r="BY1821" i="1"/>
  <c r="BK1821" i="1"/>
  <c r="BY1309" i="1"/>
  <c r="BK1309" i="1"/>
  <c r="BY1745" i="1"/>
  <c r="BK1745" i="1"/>
  <c r="BY506" i="1"/>
  <c r="BK506" i="1"/>
  <c r="BY1370" i="1"/>
  <c r="BK1370" i="1"/>
  <c r="BY429" i="1"/>
  <c r="BK429" i="1"/>
  <c r="BY280" i="1"/>
  <c r="BK280" i="1"/>
  <c r="BY517" i="1"/>
  <c r="BK517" i="1"/>
  <c r="BY916" i="1"/>
  <c r="BK916" i="1"/>
  <c r="BY910" i="1"/>
  <c r="BK910" i="1"/>
  <c r="BY1629" i="1"/>
  <c r="BK1629" i="1"/>
  <c r="BY330" i="1"/>
  <c r="BK330" i="1"/>
  <c r="BY343" i="1"/>
  <c r="BK343" i="1"/>
  <c r="BY27" i="1"/>
  <c r="BK27" i="1"/>
  <c r="BY1439" i="1"/>
  <c r="BK1439" i="1"/>
  <c r="BY212" i="1"/>
  <c r="BK212" i="1"/>
  <c r="BY1624" i="1"/>
  <c r="BK1624" i="1"/>
  <c r="BY1582" i="1"/>
  <c r="BK1582" i="1"/>
  <c r="BY937" i="1"/>
  <c r="BK937" i="1"/>
  <c r="BY1355" i="1"/>
  <c r="BK1355" i="1"/>
  <c r="BY1342" i="1"/>
  <c r="BK1342" i="1"/>
  <c r="BY53" i="1"/>
  <c r="BK53" i="1"/>
  <c r="BY984" i="1"/>
  <c r="BK984" i="1"/>
  <c r="BY177" i="1"/>
  <c r="BK177" i="1"/>
  <c r="BY94" i="1"/>
  <c r="BK94" i="1"/>
  <c r="BY1578" i="1"/>
  <c r="BK1578" i="1"/>
  <c r="BY200" i="1"/>
  <c r="BK200" i="1"/>
  <c r="BY367" i="1"/>
  <c r="BK367" i="1"/>
  <c r="BY430" i="1"/>
  <c r="BK430" i="1"/>
  <c r="BY1631" i="1"/>
  <c r="BK1631" i="1"/>
  <c r="BY452" i="1"/>
  <c r="BK452" i="1"/>
  <c r="BY297" i="1"/>
  <c r="BK297" i="1"/>
  <c r="BY1609" i="1"/>
  <c r="BK1609" i="1"/>
  <c r="BY545" i="1"/>
  <c r="BK545" i="1"/>
</calcChain>
</file>

<file path=xl/sharedStrings.xml><?xml version="1.0" encoding="utf-8"?>
<sst xmlns="http://schemas.openxmlformats.org/spreadsheetml/2006/main" count="240930" uniqueCount="33302">
  <si>
    <t>Publication Type</t>
  </si>
  <si>
    <t>Authors</t>
  </si>
  <si>
    <t>Book Authors</t>
  </si>
  <si>
    <t>Book Editors</t>
  </si>
  <si>
    <t>Book Group Authors</t>
  </si>
  <si>
    <t>Author Full Names</t>
  </si>
  <si>
    <t>Book Author Full Names</t>
  </si>
  <si>
    <t>Group Authors</t>
  </si>
  <si>
    <t>Article Title</t>
  </si>
  <si>
    <t>Source Title</t>
  </si>
  <si>
    <t>Book Series Title</t>
  </si>
  <si>
    <t>Book Series Subtitle</t>
  </si>
  <si>
    <t>Language</t>
  </si>
  <si>
    <t>Document Type</t>
  </si>
  <si>
    <t>Conference Title</t>
  </si>
  <si>
    <t>Conference Date</t>
  </si>
  <si>
    <t>Conference Location</t>
  </si>
  <si>
    <t>Conference Sponsor</t>
  </si>
  <si>
    <t>Conference Host</t>
  </si>
  <si>
    <t>Author Keywords</t>
  </si>
  <si>
    <t>Keywords Plus</t>
  </si>
  <si>
    <t>Abstract</t>
  </si>
  <si>
    <t>Addresses</t>
  </si>
  <si>
    <t>Reprint Addresses</t>
  </si>
  <si>
    <t>Email Addresses</t>
  </si>
  <si>
    <t>Researcher Ids</t>
  </si>
  <si>
    <t>ORCIDs</t>
  </si>
  <si>
    <t>Funding Orgs</t>
  </si>
  <si>
    <t>Funding Text</t>
  </si>
  <si>
    <t>Cited References</t>
  </si>
  <si>
    <t>Cited Reference Count</t>
  </si>
  <si>
    <t>Times Cited, WoS Core</t>
  </si>
  <si>
    <t>Times Cited, All Databases</t>
  </si>
  <si>
    <t>180 Day Usage Count</t>
  </si>
  <si>
    <t>Since 2013 Usage Count</t>
  </si>
  <si>
    <t>Publisher</t>
  </si>
  <si>
    <t>Publisher City</t>
  </si>
  <si>
    <t>Publisher Address</t>
  </si>
  <si>
    <t>ISSN</t>
  </si>
  <si>
    <t>eISSN</t>
  </si>
  <si>
    <t>ISBN</t>
  </si>
  <si>
    <t>Journal Abbreviation</t>
  </si>
  <si>
    <t>Journal ISO Abbreviation</t>
  </si>
  <si>
    <t>Publication Date</t>
  </si>
  <si>
    <t>Publication Year</t>
  </si>
  <si>
    <t>Volume</t>
  </si>
  <si>
    <t>Issue</t>
  </si>
  <si>
    <t>Part Number</t>
  </si>
  <si>
    <t>Supplement</t>
  </si>
  <si>
    <t>Special Issue</t>
  </si>
  <si>
    <t>Meeting Abstract</t>
  </si>
  <si>
    <t>Start Page</t>
  </si>
  <si>
    <t>End Page</t>
  </si>
  <si>
    <t>Article Number</t>
  </si>
  <si>
    <t>DOI</t>
  </si>
  <si>
    <t>Book DOI</t>
  </si>
  <si>
    <t>Early Access Date</t>
  </si>
  <si>
    <t>Number of Pages</t>
  </si>
  <si>
    <t>WoS Categories</t>
  </si>
  <si>
    <t>Research Areas</t>
  </si>
  <si>
    <t>IDS Number</t>
  </si>
  <si>
    <t>UT (Unique WOS ID)</t>
  </si>
  <si>
    <t>Pubmed Id</t>
  </si>
  <si>
    <t>Open Access Designations</t>
  </si>
  <si>
    <t>Highly Cited Status</t>
  </si>
  <si>
    <t>Hot Paper Status</t>
  </si>
  <si>
    <t>Date of Export</t>
  </si>
  <si>
    <t>J</t>
  </si>
  <si>
    <t>Somma, P</t>
  </si>
  <si>
    <t/>
  </si>
  <si>
    <t>Somma, Paola</t>
  </si>
  <si>
    <t>RWANDA'S URBANIZATION POLICY:- A CRITICAL READING</t>
  </si>
  <si>
    <t>OPEN HOUSE INTERNATIONAL</t>
  </si>
  <si>
    <t>If ever Africa had disappeared, it has now reappeared on the maps of investors seeking for land and resources. The entire continent seems to have become attractive for international financial institutions, which intensify their recommendations to single national Governments in order for them to further remove obstacles and make Africa an ever better place to do business. Rwanda represents an emblematic example of the rapidity and size of transformations Africa is faced with, which touch every sector, from the land ownership model to the modes of land use, from the distribution of population, to the construction of infrastructure. It is a fertile country, with a good water supply and two crop seasons, and is almost entirely cultivated. The majority of the inhabitants work the land, and subside thanks to agriculture. Today, however, the Government's goal, synthetically expressed in the slogan that defines the future of Rwanda as Africa's Singapore (Vesperini, 2010), is the modernization of agriculture, and the reduction of its weight in favour of a service economy. The most visible effects of this approach are the expulsion from the countryside of a huge number of families which lose any type of sustainment, and the grouping of many small plots in large territorial extensions which are often given for long term use to multinational agribusiness corporations. The transformation of agriculture is accompanied by the redistribution of population, traditionally settled in scattered patterns across the whole country. The massive migration from the countryside is explicitly sought by Government, whose target is to reach, by 2020, a 35% urbanization rate up from today's 18%. The three issues, total and unconditional opening to foreign investment, population resettlement and transformation of the agricultural activities, which are the pillars of the development programs initiated by Government and international advisors, are producing dramatic changes on the physical and built environment, and affect the living conditions of the weakest groups (White, Borras, Hall, Scoones, Walford, 2012). The paper proposes a reflection on themes which have general relevance, but which also need to be locally grounded. Of particular importance are urbanization, the relationship between towns and countryside, and the relationship between social and economic structure and territorial planning. In 2012 the author took part as consultant to the drafting of the Urbanization sector strategic plan 2012-2017. The views expressed here are personal and do not in any way represent the Government or Institutions' point of view.</t>
  </si>
  <si>
    <t>0168-2601</t>
  </si>
  <si>
    <t>DEC</t>
  </si>
  <si>
    <t>WOS:000373433800002</t>
  </si>
  <si>
    <t>Shaikh, FA; Odhano, N; Kaliannan, S</t>
  </si>
  <si>
    <t>Shaikh, Fazal Ali; Odhano, Nasurullah; Kaliannan, Suaathi</t>
  </si>
  <si>
    <t>Performance and Management of Cost in the Construction Industry</t>
  </si>
  <si>
    <t>CIVIL ENGINEERING JOURNAL-TEHRAN</t>
  </si>
  <si>
    <t>In the arena of cost baselines and project budgets, the construction industry is always famed and controversial. Owing to the paucity of funds or maladministration at various levels, there is 90 percent of project delay is fully stranded. While being a major contributor to a country's Gross Domestic Product, its sufficient potentiality has never been tapped. Maybe this dismaying climate is created by the cold-hearted, reckless and unscrupulous attitudes of construction industry stakeholders. The main objectives of this research is to determine the genesis of exceeded budget/cost in construction projects that affect cost management and to suggest appropriate measures to harness the construction industry's full potential. The key drivers that have positive or negative repercussions on the cost aspect of the projects are the administration, pundits and consumers or holders. For assessing the most common causative factors of exceeded cost in construction projects, the authors organized interactive discussions with construction industry pundits, designers, architects, schematic experts, and manufacturers. Moreover, the incumbent concerns in the construction industry were analyzed and examined to examine important factors. To underscore the key motives that drive the projects, directly and indirectly, a questionnaire was dispensed between the participants on the analysis in the cost of undergoing projects. Results of the study are the key interpretations which were drawn from this research paper are fraud, weak political engrossment, poor site management, hampering of site deployment, consultants inflexible approach, gold plating, faulty safety and healthcare management system. To remove these hurdles, I have recommended appropriate guidelines for preventing, reducing or mitigating the effects of these factors.</t>
  </si>
  <si>
    <t>2676-6957</t>
  </si>
  <si>
    <t>2476-3055</t>
  </si>
  <si>
    <t>JUL</t>
  </si>
  <si>
    <t>10.28991/cej-2020-03091554</t>
  </si>
  <si>
    <t>WOS:000558693300013</t>
  </si>
  <si>
    <t>Bouteligier, S</t>
  </si>
  <si>
    <t>Bouteligier, Sofie</t>
  </si>
  <si>
    <t>Exploring the agency of global environmental consultancy firms in earth system governance</t>
  </si>
  <si>
    <t>INTERNATIONAL ENVIRONMENTAL AGREEMENTS-POLITICS LAW AND ECONOMICS</t>
  </si>
  <si>
    <t>In contemporary global environmental governance, private companies are both recipients of as well as contributors to the development and spread of environmental practices, norms, standards, and legislation. One sector that seems to be of particular significance is the environmental consultancy industry. It assists public and private actors in developing environmental solutions and ensuring implementation and compliance by providing particular knowledge, management, and assessment skills. However, little attention has been paid to the environmental authority and agency of companies active in this field. This exploratory study on global environmental consultancy firms is guided by the basic research questions on agency in earth system governance: What is agency? How do actors acquire authority and become agents? How can we evaluate the effects these agents generate?</t>
  </si>
  <si>
    <t>1567-9764</t>
  </si>
  <si>
    <t>1573-1553</t>
  </si>
  <si>
    <t>MAR</t>
  </si>
  <si>
    <t>10.1007/s10784-011-9149-7</t>
  </si>
  <si>
    <t>WOS:000293788900004</t>
  </si>
  <si>
    <t>Jorgensen, LF; Refsgaard, JC; Hojberg, AL</t>
  </si>
  <si>
    <t>Jorgensen, L. F.; Refsgaard, J. C.; Hojberg, A. L.</t>
  </si>
  <si>
    <t>Joint use of monitoring and modelling</t>
  </si>
  <si>
    <t>WATER SCIENCE AND TECHNOLOGY</t>
  </si>
  <si>
    <t>There is much to gain in joining monitoring and modelling efforts, especially in the present process of implementing the European Water Framework Directive. Nevertheless, it is rare to see forces combined in these two disciplines. To bring the monitoring and the modelling communities together, a number of workshops have been arranged with discussions on benefits and constraints in joint use of monitoring and modelling. The workshops have been attended by scientists, water managers, policy makers as well as stakeholders and consultants. Emphasis has been put on data availability and accessibility, remote sensing and data assimilation techniques, monitoring programmes and modelling support to the design or optimisation of these as well as potential benefits of using supporting modelling tools in the process of designing Programmes of Measures by impact assessment etc. The way models can support in extrapolation in time and space, in data analysis, in process understanding (conceptual models), in accessing correct interaction between pressures and impacts etc. have also been elaborated. Although practitioners have been open-minded to the presented ideas, they are somewhat reluctant towards how to implement this in their daily work. This paper presents some experiences from the workshops.</t>
  </si>
  <si>
    <t>0273-1223</t>
  </si>
  <si>
    <t>1996-9732</t>
  </si>
  <si>
    <t>10.2166/wst.2007.596</t>
  </si>
  <si>
    <t>WOS:000253383200003</t>
  </si>
  <si>
    <t>Weber, LJ; Muste, M; Bradley, AA; Amado, AA; Demir, I; Drake, CW; Krajewski, WF; Loeser, TJ; Politano, MS; Shea, BR; Thomas, NW</t>
  </si>
  <si>
    <t>Weber, Larry J.; Muste, Marian; Bradley, A. Allen; Amado, Antonio Arenas; Demir, Ibrahim; Drake, Chad W.; Krajewski, Witold F.; Loeser, Tony J.; Politano, Marcela S.; Shea, Breanna R.; Thomas, Nicholas W.</t>
  </si>
  <si>
    <t>The Iowa Watersheds Project: Iowa's prototype for engaging communities and professionals in watershed hazard mitigation</t>
  </si>
  <si>
    <t>INTERNATIONAL JOURNAL OF RIVER BASIN MANAGEMENT</t>
  </si>
  <si>
    <t>After more than a century of intensive changes in the state's agricultural watersheds, repeated record floods motivated Iowa to innovate in its flood recovery and disaster mitigation efforts following the 2008 floods. The state created the Iowa Flood Center (IFC) and authorized the creation of Watershed Management Authorities. With enhanced funding from the federal government for disaster recovery, the groups collaborated in four watersheds as part of the Iowa Watersheds Project. The Watershed Management Authorities brought together governmental organizations and local stakeholders, developed watershed plans, defined potential flood and nutrient reduction projects, identified willing landowners for project locations in one subwatershed, and hired consultants to design and build the projects. The IFC coordinated efforts across the four watershed areas, provided hydrologic assessments for each, carried out monitoring and modelling to evaluate the performance of all the constructed projects, and developed water resources information systems to support ongoing activities. The Iowa Watersheds Project adopted a watershed systems approach, and the resulting synergy between engaged communities and technical professionals demonstrates avenues for implementing elements of an Integrated Water Resources Management framework in a highly decentralized setting.</t>
  </si>
  <si>
    <t>Muste, Marian/A-9768-2009; Demir, Ibrahim/F-1273-2011</t>
  </si>
  <si>
    <t>1571-5124</t>
  </si>
  <si>
    <t>1814-2060</t>
  </si>
  <si>
    <t>SI</t>
  </si>
  <si>
    <t>10.1080/15715124.2017.1387127</t>
  </si>
  <si>
    <t>WOS:000438352100007</t>
  </si>
  <si>
    <t>Lup, A; Miron, L</t>
  </si>
  <si>
    <t>Lup, Aurel; Miron, Liliana</t>
  </si>
  <si>
    <t>MANAGEMENT OF THE IRRIGATION SYSTEMS IN ROMANIA BETWEEN 1990-2014. STUDIES, PROJECTS, STRATEGIES</t>
  </si>
  <si>
    <t>SCIENTIFIC PAPERS-SERIES MANAGEMENT ECONOMIC ENGINEERING IN AGRICULTURE AND RURAL DEVELOPMENT</t>
  </si>
  <si>
    <t>At the end of 1989, over 3 of 5.5 million ha were fitted with irrigation systems, namely more than 1/3 of the Romanian cropland. At that date, Romania was third in Europe after Spain (3.3 million ha) and Italy (3.14 million ha), countries with larger croplands, over 2.2 times and 20% more, respectively, but with less precipitation. At international level, Romania was on twelve place in terms of irrigated surface per capita. Annually, over 100 thousand ha were upgraded for irrigation, but many systems were left unfinished, the water transport canals unlined, lacking water measurement devices or drainage and water recirculation systems. The exploitation of the irrigation systems was also deficient, both in hydrotechnical and agrophytotechnical terms. Thus, the technical and economical parameters were not accomplished. Given these conditions, studies were initiated starting with 1990 to rehabilitate and also continue such projects of land reclamation left at various stages of execution. According to the report of a governmental commission, at the end of 1989, over 750 investment works valued at approximately 25 billion lei were in progress. In the field of irrigation, the first systems studied starting with 1990 were: Carasu, Galatui and Pietroiu with a total surface of over 300 thousand ha. Between 1992 and 1994, a joint RomanianBritish team studied 100 irrigation systems and reached the conclusion that 1200-1500 thousand ha can be irrigated in Romania in conditions of economical efficiency. Also in 1994, a Japanese company studied the irrigable perimeter in south Moldavia and an American company explored the market for high-productivity irrigation equipment. (The author of this article collaborated as consultant in all these studies.) In time, there were other commissions that analyzed the irrigation situation in Romania. A greater project was finalized in 2011 by a Dutch company, found economically viable irrigation systems or parts of irrigation systems summed up to a total surface of over 800 thousand ha, a surface recommended to be included in the investment plan for the next period.</t>
  </si>
  <si>
    <t>2284-7995</t>
  </si>
  <si>
    <t>2285-3952</t>
  </si>
  <si>
    <t>WOS:000422185000033</t>
  </si>
  <si>
    <t>Kumaran, M; Anand, PR; Kumar, JA; Ravisankar, T; Paul, J; Vasagam, KPK; Vimala, DD; Raja, KA</t>
  </si>
  <si>
    <t>Kumaran, M.; Anand, P. R.; Kumar, J. Ashok; Ravisankar, T.; Paul, Johnson; Vasagam, K. P. Kumaraguru; Vimala, D. Deboral; Raja, K. Ananda</t>
  </si>
  <si>
    <t>Is Pacific white shrimp (Penaeus vannamei) farming in India is technically efficient? - A comprehensive study</t>
  </si>
  <si>
    <t>AQUACULTURE</t>
  </si>
  <si>
    <t>Technical efficiency (TE) measures the ability of the farmer to obtain maximum outputs from a given combination of inputs. Stochastic frontier production function analysis (SFA) was employed to assess the technical efficiencies of Pacific white shrimp (Penaeus (Litopenaeus) vannamei) farming in India. The findings of this comprehensive study shown that the mean technical efficiency of P. vannamei farms in the country was 0.9013, indicating that the farms achieved 90% of the maximum possible output from a given set of inputs. Maximum likelihood estimates of production function indicated that shrimp stocking density, feed quantity and its management, access to technical consultancy, adoption of zero water exchange, cropping intensity and duration of the culture were the major determinants of TE. The ANOVA and student 't' analyses have shown significant differences in the TE of P. vannamei farming across salinity of culture systems (p &lt; 0.05), geographical distribution of farms (p &lt; 0.01), sources of rearing water (p &lt; 0.05), nature of pond bottom (lined and earthen ponds) (p &lt; 0.01), stocking methods (p &lt; 0.01) and cropping intensity (p &lt; 0.01). It is suggested that the aquaculture extension agencies need to educate the farmers on selection of quality seed, adopting suitable stocking densities, optimization of inputs, energy use and better management practices to sustain the technical efficiencies. It is important to refine the farming practices of P. vannamei farming in tune with the scale and systems of operation being adopted. Ensuring disease free seed supply, cost effective feed and provision of electricity to aquaculture farms in the rates applicable to agriculture farms and promoting energy efficient automatic feed dispensers, aerators, generators, and popularising HDPE (high-density polyethylene) lining of ponds bottom would aid in sustaining the efficiencies of production systems and sustainability of P. vannamei farming in India. Statement of relevance: Pacific white shrimp (Penaeus vannamei) has been farmed extensively in the coastal states of India. It is imperative to optimize usage of critical inputs and technology in P. vannamei shrimp farming to enhance the efficiency and profitability of production systems. Assessing the technical efficiency (TE) of the production systems points out the aspects to be paid attention by the farmers to optimize the inputs usage and enhance the profitability and sustainability of shrimp farming. Therefore, this study is timely and would aid in providing technical and policy inputs for the aquaculture researchers and planners for sustaining the shrimp farming in India. (C) 2016 Elsevier B.V. All rights reserved.</t>
  </si>
  <si>
    <t>Ravisankar, Thiagarajan/AAY-2917-2020</t>
  </si>
  <si>
    <t>0044-8486</t>
  </si>
  <si>
    <t>1873-5622</t>
  </si>
  <si>
    <t>FEB 1</t>
  </si>
  <si>
    <t>10.1016/j.aquaculture.2016.10.019</t>
  </si>
  <si>
    <t>WOS:000390735200035</t>
  </si>
  <si>
    <t>Pedersen, JS; Wilkinson, A</t>
  </si>
  <si>
    <t>Pedersen, John Storm; Wilkinson, Adrian</t>
  </si>
  <si>
    <t>The digital society and provision of welfare services</t>
  </si>
  <si>
    <t>INTERNATIONAL JOURNAL OF SOCIOLOGY AND SOCIAL POLICY</t>
  </si>
  <si>
    <t>Purpose The purpose of this paper is to: first, explain why a new model of the provision of welfare services to citizens arises from the digital society; second explore some core elements of the competition between the new model of the provision of welfare services and the classic ideal model of the professionals' provision of welfare services; third, suggest why it is most likely that the two models of the provision of services are combined into a symbiotic co-evolution scenario; and fourth, examine why and how this symbiotic co-evolution scenario results in new participatory spaces for the main actors associated with the provision of welfare services. Design/methodology/approach The review of the literature examines how the new model for the provision of welfare services facilitated by big data challenges the traditional professional model for the provision of welfare services. The authors use the Danish case to illustrate a number of themes related to this looking at the hospital sector as an example. Findings The proposition is that a symbiotic co-evolution scenario will emerge. A mix of the classic ideal model and practice of the service professionals' provision of services and the digital society's model of the provision of services is the most likely scenario in the years to come. Furthermore, Data-driven management (DDM) as an integrated key element in a symbiotic co-evolution creates (opens up) participatory environments and spaces for the main actors and agents associated with the provision of welfare services to the citizens. Research limitations/implications DDM's impact on the provision of welfare services is still being realised and worked out, and more empirical research is needed before it is possible to point at the most likely scenario. However, according to the authors' analytical framework, the institutional logics perspective, as presented in Section 2, a symbiotic co-evolution is most likely such that DDM will constitute a new logic within the provision of welfare services on the basis of which citizens as end-users could be provided with welfare services, but it is not likely that the new logic of DDM can displace the classic service professionals' model of the provision of welfare services. Therefore, the new logic of DDM will be combined with and integrated into the existing logics within service provision, such as the Weberian bureaucracy, the Street-Level Bureaucracy, the New Public Governance and the Market. In spite of this, DDM can successfully be promoted by international management consulting firms, as a management concept which can remedy all the problems of the classic service professionals' model of the provision of welfare services to citizens. Practical implications As a consequence of this, new relationships among professionals, data analytics, (middle) managers and citizens will be created regarding the provision of welfare services. Considering the new participatory environments and spaces and the new relationships among the classic service professionals, the data analytics, the (middle) managers and the citizens as end-users, the provision of welfare services may become an arena for negotiation of a new future model of the provision of welfare services to citizens. Originality/value The digital society has emerged from and developed further via: digitising, online information in almost real time, algorithms, data-informed decision-making processes, DDM and, ultimately, big data. The authors expect to see further digitising, more sophisticated algorithms and more big data. The authors suggest that a new model of the provision of welfare services to citizens will emerge from the development of the digital society. The authors also suggest that this new model will compete with the classic model of the provision of welfare services.</t>
  </si>
  <si>
    <t>Wilkinson, Adrian J/B-5048-2008</t>
  </si>
  <si>
    <t>Wilkinson, Adrian J/0000-0001-7231-2861; Pedersen, John Storm/0000-0002-6257-921X</t>
  </si>
  <si>
    <t>0144-333X</t>
  </si>
  <si>
    <t>1758-6720</t>
  </si>
  <si>
    <t>3-4</t>
  </si>
  <si>
    <t>10.1108/IJSSP-05-2017-0062</t>
  </si>
  <si>
    <t>WOS:000426881100002</t>
  </si>
  <si>
    <t>Batool, A; Abbas, F</t>
  </si>
  <si>
    <t>Batool, Aysha; Abbas, Faisal</t>
  </si>
  <si>
    <t>Reasons for delay in selected hydro-power projects in Khyber Pakhtunkhwa (KPK), Pakistan</t>
  </si>
  <si>
    <t>RENEWABLE &amp; SUSTAINABLE ENERGY REVIEWS</t>
  </si>
  <si>
    <t>This paper aims at exploring reasons for delays in Hydro-Power projects completed in last 5 years in Pakistan. Hydro power projects at Allai Khwar, Duber Khwar and Khan Khwar, Khyber Pukhtunkhwa, Pakistan were initiated by Water and Power Development Authority (WAPDA) in 2003 and completed with an average time over-run of 200% and incurred 2.5 times more cost than originally estimated. Study of project documents, interviews from experts highlighted the critical reasons for these costly delays. These reasons were rated and ranked by all three parties of hydro power projects i.e. Client, consultant and contractor on Relative Frequency Index, Relative Severity Index and Independent Relative Importance Index through questionnaire survey. Most of the respondents agreed that lack of political will, delay in civil work, delays in release of funds by the Government, bad Law and order situation, project start without proper site investigation and poor project time management are the leading reasons behind delays of these Hydro Power projects. These results would be helpful for policy makers and implementing agencies in better planning and mitigating the delay effects in future projects.</t>
  </si>
  <si>
    <t>Abbas, Faisal/0000-0002-9312-5659; Abbas, Faisal/0000-0002-9312-5659</t>
  </si>
  <si>
    <t>1364-0321</t>
  </si>
  <si>
    <t>JUN</t>
  </si>
  <si>
    <t>10.1016/j.rser.2017.01.040</t>
  </si>
  <si>
    <t>WOS:000401204700017</t>
  </si>
  <si>
    <t>Saleth, RM</t>
  </si>
  <si>
    <t>Irrigation privatisation in India - Options, issues and experiences</t>
  </si>
  <si>
    <t>ECONOMIC AND POLITICAL WEEKLY</t>
  </si>
  <si>
    <t>Conceiving 'private sector' broadly to include not only the corporate sector but also the consultancy and contracting firms, water users' associations, non-governmental organisations, and the general public, this paper evaluates the options far prompting private sector participation in canal irrigation management, discusses the major issues involved in actualising such options, recounts some recent initiatives on irrigation privatisation, and outlines the thrust and focus of strategy for promoting irrigation privatisation in India.</t>
  </si>
  <si>
    <t>0012-9976</t>
  </si>
  <si>
    <t>2349-8846</t>
  </si>
  <si>
    <t>JUN 26</t>
  </si>
  <si>
    <t>A86</t>
  </si>
  <si>
    <t>A92</t>
  </si>
  <si>
    <t>WOS:000081660100016</t>
  </si>
  <si>
    <t>Haumer, W; Gebert, G; Reichelt, A; Schulke, J; El-Dawi, K</t>
  </si>
  <si>
    <t>Haumer, Wolfram; Gebert, Gregor; Reichelt, Andreas; Schuelke, Jens; El-Dawi, Khalid</t>
  </si>
  <si>
    <t>The Al Mak Nimir Bridge over the Blue Nil river</t>
  </si>
  <si>
    <t>STAHLBAU</t>
  </si>
  <si>
    <t>The Al Mak Nimir Bridge is situated in the center of the Sudanese capital Khartoum. The bridge links the both cities Khartoum and Khartoum North over the Blue Nile river, which is about 450 m wide at this location. The bridge with a total length of 642,5 m and a width of 22 m has been built in only two years by a Turkish contractor and has been opened for traffic in October 2007 Essential parts of the design has been undertaken by the German Consultant Schussler-Plan on behalf of the government of Khartoum State. The structure is designed as a continuous composite bridge with regular spans of 50 m and a cable-stayed main span of 80 m. For the cables strands has been used which are guided over a saddle at the pylon. A particular challenge for the execution of the bridge was the high water of the Nile which effects an increase of the water level by about 7 m. Thus for the assembling of the 3400 tons steel deck the incremental launching method has been implemented first time in Sudan. The paper describes from the consultants view the static, constructive and architectural specifics of the design and gives an insight in the construction process which had to be executed under difficult boundary conditions.</t>
  </si>
  <si>
    <t>0038-9145</t>
  </si>
  <si>
    <t>10.1002/stab.200810017</t>
  </si>
  <si>
    <t>WOS:000255402500001</t>
  </si>
  <si>
    <t>Vikolainen, V; Bressers, H; Lulofs, K</t>
  </si>
  <si>
    <t>Vikolainen, Vera; Bressers, Hans; Lulofs, Kris</t>
  </si>
  <si>
    <t>A Shift Toward Building with Nature in the Dredging and Port Development Industries: Managerial Implications for Projects in or Near Natura 2000 Areas</t>
  </si>
  <si>
    <t>ENVIRONMENTAL MANAGEMENT</t>
  </si>
  <si>
    <t>Building with Nature is a new approach to designing water infrastructure, one that seeks to realize socioeconomic project goals in harmony with the environment. The Dutch dredging industry is promoting its application in the Netherlands, but similar concepts are emerging internationally. The Working with Nature concept has been developed under the auspices of the World Association for Waterborne Transport Infrastructure, Engineering with Nature by the US Army Corps of Engineers, and Flanders Bays 2100 by a group of Belgian dredging companies and international consultants. The research discussed in this article focuses on the feasibility of implementing the Building with Nature approach in the context of EU Natura 2000 governance. The initial expectation of the industry was that Natura 2000 regulations would obstruct innovative Building with Nature attempts. The empirical evidence points to a shift toward Building with Nature have taken place on the governance and project levels, and the goals of Natura 2000 and Building with Nature converging in practice. Using specific project-level variables identified by researchers, guidance for project development in Natura 2000 areas was proposed. We conclude by discussing the implications of the research results for the dredging industry dealing with Natura 2000 regulations in Europe and similar overarching nature regulations elsewhere.</t>
  </si>
  <si>
    <t>0364-152X</t>
  </si>
  <si>
    <t>1432-1009</t>
  </si>
  <si>
    <t>10.1007/s00267-014-0285-z</t>
  </si>
  <si>
    <t>WOS:000337285900002</t>
  </si>
  <si>
    <t>Brunn, B; Nitschke, A; Schramm, T</t>
  </si>
  <si>
    <t>Brunn, Benjamin; Nitschke, Andreas; Schramm, Thomas</t>
  </si>
  <si>
    <t>New Indian Research Station at Larsemann Hills, Antarctica</t>
  </si>
  <si>
    <t>STRUCTURAL ENGINEERING INTERNATIONAL</t>
  </si>
  <si>
    <t>Apart from technical issues the first challenge of this extraordinary project was the integration of all involved parties: the Indian client, the Norwegian and German construction companies, and the authors as the German general planners and site supervisors who were the head of a team with two sub-consultants for architecture and building services. The second challenge was the location: Antarctica. Boundary conditions, usually taken from codes of practice, must be determined by investigation, engineering judgement and statistics, for example, wind loads, snow, ice and rock conditions. All materials needed to be suitable for Antarctica, which means, resistant to low temperatures, high ultra violet (UV) radiation, air salinity and abrasive ice particles during extreme wind conditions. The third challenge centred around logistical planning. All the materials had to fit into 20 ft International Standards Organisation (ISO) containers for easy transport; however, the containers were also required to be light enough for helicopter transport, since ice conditions made it impossible for the vessel to reach the site on time. The time frame for construction during the Antarctic summer was short. Therefore, construction had to start prior to the arrival of the vessel. All the boundary conditions are reflected in the building and its type of construction; the form and materials are suited for the location, climate and logistics. The research station is located on a small peninsula of Larsemann Hills. The three-storey containerised building, 52 m long and 30 m wide, can accommodate up to 47 people and contains laboratories, a garage, a workshop, living and office areas, a cinema, a fitness room, a library, dining hall and lounge with a view of the Antarctic Ocean. The Indian government initiated this state-of-the-art project, which was successfully completed through the cooperation of international participants whose passion, faith and respect for each other and nature ruled over regulations and standards.</t>
  </si>
  <si>
    <t>1016-8664</t>
  </si>
  <si>
    <t>FEB</t>
  </si>
  <si>
    <t>10.2749/101686613X13439149157353</t>
  </si>
  <si>
    <t>WOS:000314382200008</t>
  </si>
  <si>
    <t>Matin, DM</t>
  </si>
  <si>
    <t>Matin, Danial Mirzai</t>
  </si>
  <si>
    <t>Identifying The Effective Factors for Cost Overrun and Time Delay in Water Construction Projects</t>
  </si>
  <si>
    <t>ENGINEERING TECHNOLOGY &amp; APPLIED SCIENCE RESEARCH</t>
  </si>
  <si>
    <t>Water construction projects in Iran frequently face problems which cause cost overrun and time delay, the two most common issues in construction projects in general. The objective of this survey is to identify and quantify these problems and thus help in avoiding them. This survey represents a collection of the most significant problems found in the literature, classified into 11 groups according to their source. The questionnaire form used contains 84 questions which were answered by random engineers who work in water construction projects. The Relative Importance Weight (RIW) method is used to weight the importance of each one of the 84 problems. The focus of this survey is on overall top ten issues which are: bureaucracy in bidding method, inflation, economical condition of the government, not enough information gathered and surveys done before design, monthly payment difficulties, material cost changes, law changes by the government, financial difficulties, mode of financing and payment for completed work and changes made by the owner. A section for each of these issues provides additional information about them. In the full text of this survey the same weighting method is used to classify the main groups, and the results show that issues related to the groups of government, owner and consultant has the most significant impact. The last part of this survey describes the point of view of the engineers who took part in this survey and the recommendations they made.</t>
  </si>
  <si>
    <t>2241-4487</t>
  </si>
  <si>
    <t>1792-8036</t>
  </si>
  <si>
    <t>AUG</t>
  </si>
  <si>
    <t>WOS:000384881200005</t>
  </si>
  <si>
    <t>Kalbarczyk, A; Rao, A; Mahendradhata, Y; Majumdar, P; Decker, E; Anwar, HB; Akinyemi, OO; Rahimi, AO; Kayembe, P; Alonge, OO</t>
  </si>
  <si>
    <t>Kalbarczyk, Anna; Rao, Aditi; Mahendradhata, Yodi; Majumdar, Piyusha; Decker, Ellie; Anwar, Humayra Binte; Akinyemi, Oluwaseun O.; Rahimi, Ahmad Omid; Kayembe, Patrick; Alonge, Olakunle O.</t>
  </si>
  <si>
    <t>Evaluating the process of partnership and research in global health: reflections from the STRIPE project</t>
  </si>
  <si>
    <t>BMC PUBLIC HEALTH</t>
  </si>
  <si>
    <t>Background Thoughtful and equitable engagement with international partners is key to successful research. STRIPE, a consortium of 8 academic and research institutions across the globe whose objective is to map, synthesize, and disseminate lessons learned from polio eradication, conducted a process evaluation of this partnership during the project's first year which focused on knowledge mapping activities. Methods The STRIPE consortium is led by Johns Hopkins University (JHU) in partnership with 6 universities and 1 research consultancy organization in polio free, at-risk, and endemic countries. In December 2018 JHU team members submitted written reflections on their experiences (n = 9). We held calls with each consortium member to solicit additional feedback (n = 7). To establish the partnership evaluation criteria we conducted preliminary analyses based on Blackstock's framework evaluating participatory research. In April 2019, an in-person consortium meeting was held; one member from each institution was asked to join a process evaluation working group. This group reviewed the preliminary criteria, adding, subtracting, and combining as needed; the final evaluation criteria were applied to STRIPE's research process and partnership and illustrative examples were provided. Results Twelve evaluation criteria were defined and applied by each member of the consortium to their experience in the project. These includedaccess to resources,expectation setting,organizational context,external context,quality of information,relationship building,transparency,motivation,scheduling,adaptation,communication and engagement, andcapacity building. For each criteria members of the working group reflected on general and context-specific challenges and potential strategies to overcome them. Teams suggested providing more time for recruitment, training, reflection, pre-testing. and financing to alleviate resource constraints. Given the large scope of the project, competing priorities, and shifting demands the working group also suggested a minimum of one full-time project coordinator in each setting to manage resources. Conclusion Successful management of multi-country, multicentered implementation research requires comprehensive communication tools (which to our knowledge do not exist yet or are not readily available), expectation setting, and institutional support. Capacity building activities that address human resource needs for both individuals and their institutions should be incorporated into early project planning.</t>
  </si>
  <si>
    <t>1471-2458</t>
  </si>
  <si>
    <t>AUG 12</t>
  </si>
  <si>
    <t>10.1186/s12889-020-08591-y</t>
  </si>
  <si>
    <t>WOS:000562780600003</t>
  </si>
  <si>
    <t>Bar-El, R; Schwartz, D</t>
  </si>
  <si>
    <t>Bar-El, Raphael; Schwartz, Dafna</t>
  </si>
  <si>
    <t>Regional development as a policy for growth with equity: The State of Ceara (Brazil) as a model</t>
  </si>
  <si>
    <t>PROGRESS IN PLANNING</t>
  </si>
  <si>
    <t>Countries in the less developed world attempt to achieve economic growth by adopting macro economic policies that fit their specific conditions. However, even when economic growth is achieved, its influence on the alleviation of poverty is not always satisfactory, and its contribution to the reduction of inequality can be insignificant or sometimes even negative. For many decades, efforts have been made to explain this phenomenon, with research focusing on the unbalanced basic characteristic of economic growth. While some researchers argue that a balancing effect occurs at a later phase ('trickle-down' effect, Kuznets U curve), others suggest policies of public intervention for the diminution of inequality: adoption of compensatory measures (through transfer payments), sponsoring projects oriented towards specific population groups or sectors in need (such as agricultural development projects, support to the rural population, etc.), or supporting urbanization outside the metropolis. In most cases, the free market has not actually led to a diffusion of economic growth to other places or sectors, and policy measures have not initiated any dynamic processes for the long-term solution of problems of poverty and inequality. Using the case of the State of Ceara in Brazil, we show that the persistent coexistence of inequality with economic growth may be a result of a market failure in the development process. This failure is a consequence of incoherence between macro economic processes (diminution of the weight of agriculture in the economy) and demographic and social spatial processes (inappropriate urbanization and incompatible human and physical infrastructures, mostly in non-metropolitan regions). Consequently, the required policy should be a comprehensive one, in an appropriately synchronized process, which includes urban spatial restructuring together with the solution of failures of regional and local production factors. In our study, we identify this incoherence and derive necessary measures to overcome it. This differs from past practices in a few important aspects. First, our approach is not exclusively sectorally-focused, such as rural development, nor is it pro-poor policy or urban development. Instead, it is a comprehensive approach, combining various dimensions of development. Second, it is oriented to the solution of market failures: public intervention should not necessarily focus directly on poor populations, but rather on changing conditions that could provide such populations with new opportunities, implying that not every rural place or agricultural activity, or every demographic group, should necessarily be supported directly. A policy approach is derived from this diagnosis, expressed by public support of the adaptation of demographic and economic changes in regions outside the metropolis to the macro economic changes. Policy guidelines are elaborated at the local, regional and national levels, and some specific initial policy measures are in a pilot phase of implementation. Based on the identification of main market failures, the first policy guideline is the support for regional spatial restructuring and strengthening of a few identified secondary and tertiary urban centers, as a basis for the changing economic opportunities. The second guideline is the support of the development of new non-farm activities in those regions, in economic sectors with growth potential. Policy measures include reach-out consultancy to remote small and medium scale enterprises, and support for technological development. The third policy guideline is the increase of rural productivity through public investment in education, infrastructures, regional organization and agricultural development policy. Such measures, some of which have already been adopted and partly implemented by the government of Ceara in the last few years, are apparently leading to a better urbanization process, leaving fewer excesses of labor force in the rural area and creating agglomeration economies at the regional level, which subsequently increase productivity and decrease poverty and inequality.</t>
  </si>
  <si>
    <t>BAR-EL, RAPHAEL/AAC-6755-2021</t>
  </si>
  <si>
    <t>0305-9006</t>
  </si>
  <si>
    <t>+</t>
  </si>
  <si>
    <t>10.1016/j.progress.2006.03.004</t>
  </si>
  <si>
    <t>WOS:000238237200001</t>
  </si>
  <si>
    <t>VALLANCE, BC; PRITCHARD, RG; HARGESHEIMER, EE; SEIDNER, RT</t>
  </si>
  <si>
    <t>CONSIDERATION OF DAF RETROFIT TO A LARGE CONVENTIONAL WATER-TREATMENT PLANT</t>
  </si>
  <si>
    <t>International Specialised Conference on Flotation Processes in Water and Sludge Treatment</t>
  </si>
  <si>
    <t>APR 26-28, 1994</t>
  </si>
  <si>
    <t>ORLANDO, FL</t>
  </si>
  <si>
    <t>Recent historical trends have shown a deterioration of raw water quality feeding the 60 year old Glenmore WTP. This deterioration has manifested itself in a chronic increase in nutrient loads and consequent chlorine demand. The plant's existing pre-treatment and sedimentation facilities have had difficulty in handling flash turbidity spikes. Lack of contact time for post chlorination has created a reliance on high pre-chlorination practice to ensure a safe distribution system disinfectant residual. These trends, together with the regulatory authority's tightening of compliance standards and enforcement policies, plus growing public expectations for consistently high quality drinking water, pointed towards a need for a comprehensive assessment of the plant. The City of Calgary, with its Engineering Consultant, embarked on a programme to review the existing plant facilities; identify alternatives with potential for addressing known concerns; and pilot both conventional and advanced treatment processes side by side, to establish relative and definitive performance data. This paper addresses the piloting aspect of the study programme, and in particular, the rationale for piloting dissolved air flotation (DAF). Conceptual development, design and construction of the pilot plant are all discussed. The conceptual development was based on the needs and design constraints imposed by the existing plant, such as hydraulic profile. The approach to design was predicated by a desire for a pilot plant that would provide not only guidance for the plant upgrade, but also a working tool for future studies, process monitoring and optimization. The construction and commissioning was planned with a view to having the pilot plant operational in time for spring run-off. Some of the operational experiences with the pilot plant are discussed. These included modifications to the DAF baffle weir; the collection, display, manipulation and graphing of data from online monitors; filter performance following DAF pre-treatment, and the establishment of a successful set of operating conditions.</t>
  </si>
  <si>
    <t>10.1016/0273-1223(95)00208-5</t>
  </si>
  <si>
    <t>WOS:A1995RF87200009</t>
  </si>
  <si>
    <t>Raine, GA</t>
  </si>
  <si>
    <t>ROV weld inspection with a mid-size ROV and an ACFM array</t>
  </si>
  <si>
    <t>INSIGHT</t>
  </si>
  <si>
    <t>Technical Software Consultants Ltd have been producing Alternating Current Field Measurement (ACFM) weld inspection systems to be used with Remote Operated Vehicles (ROVs) since 1993, The first ROV inspection tool was built for Norske Shell and this system was produced so that it could be applied by a range of manipulators and ROV combinations. The initial system had two compliant array probes but rigid probes were constructed so that they could be applied to the inspection of tight geometries. These were used for weld inspection in the North North Sea in 1995. The same array was used in various trials with a number of ROV and manipulator combinations. One thing that was common to all of this work was that the ROVs were all work-class ROVs. In the Southern Basin of the North Sea there are about 300 structures, of which the majority are located in shallow water depths compared to the Northern Sector Only recently have ROVs been used in their inspection programmes, mainly for visual inspection and for flooded member inspection, weld inspection being left to divers who are brought into the programme when required, depending on the operating company's policy. TSC have a software programme which can model the access of ROV/Manipulator combinations. This model illustrated that mid-size ROVs would be able to inspect these structures, One ROV inspection company has had a front-end system including manipulator and sticky feet produced which can be deployed by a mid-size ROV. This ROV can also deploy an ACFM array weld inspection system. Thus a system has been produced that should be able to be used for the inspection of offshore structures located in shallow water depths and for structures which have proven difficult for access by large work-class ROVs.</t>
  </si>
  <si>
    <t>1354-2575</t>
  </si>
  <si>
    <t>WOS:A1997XD47700028</t>
  </si>
  <si>
    <t>Yang, RR; Ma, SWY; Kueh, CSW</t>
  </si>
  <si>
    <t>An assessment of toxic substances pollution in the Hong Kong marine environment</t>
  </si>
  <si>
    <t>HUMAN AND ECOLOGICAL RISK ASSESSMENT</t>
  </si>
  <si>
    <t>International Conference on Environmental and Public Health Management</t>
  </si>
  <si>
    <t>NOV 17-19, 2004</t>
  </si>
  <si>
    <t>Hong Kong Baptist Univ, Kowloon, PEOPLES R CHINA</t>
  </si>
  <si>
    <t>Hong Kong Baptist Univ</t>
  </si>
  <si>
    <t>The Environmental Protection Department (EPD) of the Hong Kong Special Administrative Region Government (HKSARG) commissioned a consultancy study in 1999 to better understand the potential Sources, fates, and existing pollution state of toxic substances in Hong Kong's marine environment. A desk-top survey and assessment was first performed on a comprehensive initial list of 556 toxic substances. A Preliminary Priority Toxic Substances List (PPTSL) of 135 chemicals was established, consisting of heavy metals, inorganic compounds, organo-metallic compounds, and trace organics. A territory-wide baseline field sampling and laboratory analysis exercise was then undertaken during 2001-2002 to determine the level of these PPTSL chemicals in the potential pollution sources (effluent discharges, stormwater discharges, air deposition) and the receiving marine environment (water, sediment, biota). A draft Priority Toxic Substances List (PTSL) was developed, taking into account chemicals detected in the local marine environment and those listed under the Stockholm Convention, the Rotterdam Convention, and the International Maritime Organization's Harmful Antifouling System Convention. The draft PTSL chemicals were subject to ecological and incremental human health risk assessments. Based on the risk assessment results, 17 Chemicals of Potential Concern (COPC) for Hong Kong's marine environment were identified, most of which were heavy metals in the sediment. The study findings suggest that Hong Kong's marine environment is not widely polluted with chemicals present at concentrations of toxicological concern. Although a number of potentially problematic pollutants (COPC) were identified, they are confined to a few hot spots and are unlikely to pose a territory wide risk. Based on the study recommendations, the EPD initiated in 2004 a toxic substances monitoring program to keep the COPC in the marine environment under close surveillance.</t>
  </si>
  <si>
    <t>1080-7039</t>
  </si>
  <si>
    <t>1549-7860</t>
  </si>
  <si>
    <t>APR</t>
  </si>
  <si>
    <t>10.1080/10807030500536850</t>
  </si>
  <si>
    <t>WOS:000237022500013</t>
  </si>
  <si>
    <t>Smith, M; Nguyen, G; Wieczerak, T; Wolde, B; Lal, P; Munsell, J</t>
  </si>
  <si>
    <t>Smith, Meghann; Gia Nguyen; Wieczerak, Taylor; Wolde, Bernabas; Lal, Pankaj; Munsell, John</t>
  </si>
  <si>
    <t>Stakeholders' Perceptions of Geographical Criteria for Loblolly Pine Management for Bioenergy Production in Virginia</t>
  </si>
  <si>
    <t>FORESTS</t>
  </si>
  <si>
    <t>This study analyzed the perceptions of four stakeholder groups (forest landowners, private forest consultants, forest management researchers or educators, and federal or state agency foresters), regarding their management practices and preferred geographic growing conditions of loblolly pine in Virginia by combining AHP (analytical hierarchy process) and regression modeling. By ranking the importance of different geographical conditions for managing loblolly pine, we aimed to identify ways to support loblolly growth as a potential feedstock for biofuel generation. We achieved this through collecting survey responses from 43 stakeholders during the 2019 Virginia Forestry Summit. The results showed that the landowner, researcher/educator, and federal/state agency stakeholder groups all indicated that proximity to a mill was the most important criteria, whereas the consultant stakeholder group indicated that proximity to a road was the most important criteria. All the stakeholder groups indicated that distance from protected land was the least important criteria, followed by proximity to a water body and flat land. The regression model revealed that acres of land managed and loblolly rotation age were correlated to the weight given to the distance to a mill criterion, where increased acreage and increased rotation age were associated with an increased prioritization of proximity to a mill. Distance from protected land, the lowest-ranking criteria, was shown to have an association with the level of experience with loblolly, where more experience was associated with a lower prioritization of proximity from protected land. A contingency analysis of the self-identified level of experience with loblolly in each stakeholder group revealed that federal/state agency foresters had the most experience, followed by consultants, landowners, and researchers/educators. The research supports the importance of understanding the variation of perceptions between and within stakeholder groups in order to develop the necessary infrastructural and policy support for the sustainable development of bioenergy.</t>
  </si>
  <si>
    <t>1999-4907</t>
  </si>
  <si>
    <t>SEP</t>
  </si>
  <si>
    <t>10.3390/f10090801</t>
  </si>
  <si>
    <t>WOS:000487978700016</t>
  </si>
  <si>
    <t>Magasin, M; Gehlen, FL</t>
  </si>
  <si>
    <t>Case study - Unwise decisions and unanticipated consequences</t>
  </si>
  <si>
    <t>SLOAN MANAGEMENT REVIEW</t>
  </si>
  <si>
    <t>In this case study, the authors examine the unwise business decisions of a once highly profitable ordnance manufacturer in tight of psychological research about how people make decisions and process information. Their analysis provides insight into what could easily happen to many executives manufacturing jobs, the firm had little involvement with the middle-class suburban community that gradually surrounded its facilities. It deliberately chose to remain as inconspicuous as possible, an arguably valid approach given the dangers of designing and producing explosives. Managers did not question the policy of ignoring the community and were totally unprepared when controversy arose. By the 1970s, nearby homeowners began to complain to the firm and to government agencies about air quality and noise pollution. Finally,: disgruntled employees - lacking any formal grievance procedure and fearing for their own health - reported the firm's alleged misuse of recycled waste-water and its illegal transportation and dumping of toxic: waste. Eventually an interagency task force and the county sheriff's department searched extensively throughout the company's facilities. The firm violated the law by illegally storing barrels of hazardous waste material. To contain the damage caused by,the investigation's disruption of business and by negative publicity, the firm took several actions, including hiring outside consultants. Some actions were:successful; most were not. Although the firm eventually incurred heavy expenditures in-corrective measures and fines, officials also held three managers personally liable even though they had inherited the problems from their predecessors. In a 1996 SMR article, Messick and Bazerman identified three types of interrelated theories that executives apply when making decisions - theories about the world,- theories about other people, and theories about ourselves. Using these concepts' as a theoretical framework to analyze six decisions made by firm managers, Magasin and Gehlen conclude that most negative outcomes illustrated in this case study were avoidable. Noting that particular psychological tendencies are generally associated with weakness in thinking and poor decision making,they offer fourteen ti ps far actively managing companies that adeptly sidestep the moral minefields of today's business world.</t>
  </si>
  <si>
    <t>0019-848X</t>
  </si>
  <si>
    <t>FAL</t>
  </si>
  <si>
    <t>WOS:000083401100016</t>
  </si>
  <si>
    <t>Felson, AJ; Oldfield, EE; Bradford, MA</t>
  </si>
  <si>
    <t>Felson, Alexander J.; Oldfield, Emily E.; Bradford, Mark A.</t>
  </si>
  <si>
    <t>Involving Ecologists in Shaping Large-Scale Green Infrastructure Projects</t>
  </si>
  <si>
    <t>BIOSCIENCE</t>
  </si>
  <si>
    <t>Cities are implementing green infrastructure projects to provide ecosystem services such as storm water mitigation. The efficacy of these projects at providing services is rarely evaluated. Embedding research into project design provides a mechanism for both evaluation and development of the ecological knowledge needed to improve infrastructure for services provision. Ecologists must navigate the politics, economics, and social constraints of working in cities. Additional skills and practices are needed to develop new relationships and improve credibility, to define project roles, to identify new funding, and to integrate multidisciplinary knowledge. We examine a large-scale green infrastructure project that integrates hypothesis-driven experimental research and baseline monitoring with park design, implementation, and maintenance. Drawing on this case study, we recommend strategies to facilitate the inclusion of research ecologists in green infrastructure projects by enhancing the professional certification process, establishing research ecologists as consultants, and integrating ecology and design in graduate programs.</t>
  </si>
  <si>
    <t>Bradford, Mark A/G-3850-2012</t>
  </si>
  <si>
    <t>Bradford, Mark A/0000-0002-2022-8331</t>
  </si>
  <si>
    <t>0006-3568</t>
  </si>
  <si>
    <t>1525-3244</t>
  </si>
  <si>
    <t>NOV</t>
  </si>
  <si>
    <t>10.1525/bio.2013.63.11.7</t>
  </si>
  <si>
    <t>WOS:000327417700007</t>
  </si>
  <si>
    <t>Watts, G</t>
  </si>
  <si>
    <t>Watts, Glenn</t>
  </si>
  <si>
    <t>Hydrology with impact: how does hydrological science inform decision-makers?</t>
  </si>
  <si>
    <t>HYDROLOGY RESEARCH</t>
  </si>
  <si>
    <t>12th National Symposium of the British-Hydrological-Society (BHS)</t>
  </si>
  <si>
    <t>SEP, 2014</t>
  </si>
  <si>
    <t>Univ Birmingham, Birmingham, ENGLAND</t>
  </si>
  <si>
    <t>British Hydrol Soc</t>
  </si>
  <si>
    <t>Univ Birmingham</t>
  </si>
  <si>
    <t>Water plays a central part in many aspects of life, and good hydrological science is needed to inform many decisions that affect human health and livelihoods. Hydrological scientists are aware of the importance of their work, and make great efforts to develop relevant research and advice. Decision-makers want to use the best science in their decisions, but rarely read academic papers or attend conferences. This gap is often filled either by organisations that aim to bridge the science to policy gap (boundary organisations) or hydrological consultants. Academic hydrologists can aid the efficient transfer of knowledge to practitioners in these organisations by writing review papers, participating in professional conferences and engaging practitioners in their work. Researchers should also try to anticipate future evidence requirements and prepare research that will meet these. Faced with hydrological problems, decision-makers should continue to seek the right professional advice, and hydrological scientists should respect the expertise of decision-makers in making decisions.</t>
  </si>
  <si>
    <t>0029-1277</t>
  </si>
  <si>
    <t>2224-7955</t>
  </si>
  <si>
    <t>10.2166/nh.2015.044</t>
  </si>
  <si>
    <t>WOS:000378540900002</t>
  </si>
  <si>
    <t>Ahmed, M; Mubarik, MS; Shahbaz, M</t>
  </si>
  <si>
    <t>Ahmed, Mushtaq; Mubarik, Muhammad Shujaat; Shahbaz, Muhammad</t>
  </si>
  <si>
    <t>Factors affecting the outcome of corporate sustainability policy: a review paper</t>
  </si>
  <si>
    <t>ENVIRONMENTAL SCIENCE AND POLLUTION RESEARCH</t>
  </si>
  <si>
    <t>Despite having a focus on sustainability policy planning, failures occur during the implementation process. The gap between policy and its implementation causes failures of the sustainability policy. Against this backdrop, the primary objective of the present study is to explore the factors that create hurdles in the implementation of corporate sustainability policy in letters and spirits. The study adopts a systematic literature review (SLR) approach and reviews all the possible studies from 1950 to 2019 published by six major publishing houses. These studies were found using selected keywords. The findings of SLR reveal governance, education, and SMEs as frequently appearing words while exploring corporate sustainability. The stakeholder theory and the institutional theory appear as the most cited theories in the sustainability literature. The grassroots approach, environmental impact assessment, integrated sustainability assessment, evidence-based practice approach, systematic approach, economical instrument policy approach, and consultant services approach appear as the most relevant approaches used for policymaking in corporate sustainability. The SLR findings reveal five significant factors that influence corporate sustainability policy implementation and can cause the gap between policy and its implementation. These factors are government institutions (including macro and meso-institutions), internal and external stakeholders, management, organizational barriers, and normative references.</t>
  </si>
  <si>
    <t>Mubarik, Muhammad Shujaat/AAF-5693-2019</t>
  </si>
  <si>
    <t>0944-1344</t>
  </si>
  <si>
    <t>1614-7499</t>
  </si>
  <si>
    <t>10.1007/s11356-020-12143-7</t>
  </si>
  <si>
    <t>JAN 2021</t>
  </si>
  <si>
    <t>WOS:000605128700004</t>
  </si>
  <si>
    <t>Zaidan, E; Abulibdeh, A</t>
  </si>
  <si>
    <t>Zaidan, Esmat; Abulibdeh, Ammar</t>
  </si>
  <si>
    <t>Master Planning and the Evolving Urban Model in the Gulf Cities: Principles, Policies, and Practices for the Transition to Sustainable Urbanism</t>
  </si>
  <si>
    <t>PLANNING PRACTICE AND RESEARCH</t>
  </si>
  <si>
    <t>The significant predicament of sustainable urbanism in contemporary cities of the Gulf region is being addressed by developing policies designed to make cities safe, inclusive, resilient and sustainable. By examining the accessible planning documents, and based on the analysis of the ongoing world-class developments and megaprojects within the Gulf cities, particularly in Doha and Dubai, we argue that there is an inconsistency between the master-planning phase, usually conducted by western consultants, and the economic, political, socio-cultural, and environmental dynamics of the Gulf. Our analysis revealed insensitivity to the local, economic and socio-cultural patterns of the Arab Gulf countries and a governmental lack of capacity of national planners that may erode the opportunities to implement sustainable urbanism. It is suggested that, although globalization and modernization may have brought some benefits to the Gulf cities such as improvement in living standards and changes in society and lifestyles, yet an innovative master planning that merges land use and strategic planning based on building national capacities, and a holistic understanding of the social, cultural and oil-dominated economies and community engagement, is essential to deliver sustainable urbanism in the region. Recommendations for moving towards more capable, participatory and sustainable planning system are suggested in the paper.</t>
  </si>
  <si>
    <t>Zaidan, Esmat/0000-0001-7813-3362; Abulibdeh, Ammar/0000-0002-0899-3655</t>
  </si>
  <si>
    <t>0269-7459</t>
  </si>
  <si>
    <t>1360-0583</t>
  </si>
  <si>
    <t>10.1080/02697459.2020.1829278</t>
  </si>
  <si>
    <t>OCT 2020</t>
  </si>
  <si>
    <t>WOS:000581891500001</t>
  </si>
  <si>
    <t>Garg, R; Chhikara, R; Singh, R; Agrawal, G; Talwar, V; Mehra, V</t>
  </si>
  <si>
    <t>Garg, Ruchi; Chhikara, Ritu; Singh, Ramendra; Agrawal, Gautam; Talwar, Vishal; Mehra, Vedant</t>
  </si>
  <si>
    <t>A qualitative study to understand the factors affecting the adoption of glass fiber-reinforced gypsum (GFRG) as a sustainable building technology: insights from Indian construction industry</t>
  </si>
  <si>
    <t>CONSTRUCTION INNOVATION-ENGLAND</t>
  </si>
  <si>
    <t>Purpose This paper aims to assess the factors favoring the adoption of the challenges faced and support mechanism, which will lead to the proliferation of glass fiber-reinforced gypsum (GFRG) technology in India. Design/methodology/approach Semi-structured interviews with 35 experts, including construction developers, architects, contractors, government officials and design consultants, were conducted. This qualitative data was analyzed using thematic analysis and matrix analysis. Findings GFRG-based buildings produce much less carbon footprints as compared to traditional ones and can be safely recommended as a promising, environmentally sensitive technology of the future. The major drivers in its adoption are its efficient construction capability, energy and soil conservation and significant waste reduction. Some of the challenges in implementation are long planning time, lack of skilled labor, lack of awareness about green building technologies and myopic perception of high cost incurred in green building adoption in people's minds. Practical implications This study establishes that the construction industry has the potential to contribute toward creating a sustainable and green planet. It does so by evaluating and then positively positioning GFRG as an environmentally friendly building system. Originality/value The harmful effects of continuous environmental manipulation by humans leading to its degradation is a critical discussion agenda for most nations of the world. The issue has been taken up seriously by developing countries, and now, developing countries are also becoming sensitised to it. Several policies toward the attainment of this goal have been formulated and are being implemented by government and private bodies. Although some authors have studied the issues and challenges related to the adoption of green buildings, their attempts mostly focused on developed countries. Moreover, research that investigated the evaluation of the GFRG building system as a successful green technology of the future is inadequate.</t>
  </si>
  <si>
    <t>1471-4175</t>
  </si>
  <si>
    <t>1477-0857</t>
  </si>
  <si>
    <t>10.1108/CI-12-2019-0153</t>
  </si>
  <si>
    <t>WOS:000574593100001</t>
  </si>
  <si>
    <t>Babatunde, SO; Ekundayo, D; Udcaja, C; Abubakar, UO</t>
  </si>
  <si>
    <t>Babatunde, Solomon Olusola; Ekundayo, Damilola; Udcaja, Chika; Abubakar, Uthman Olawande</t>
  </si>
  <si>
    <t>Stakeholder perceptions of drivers for, and barriers to, the incorporation of sustainability in PPP infrastructure projects in Nigeria</t>
  </si>
  <si>
    <t>Purpose - Although several studies have been undertaken on sustainability within infrastructure projects, limited attention has paid to the drivers for, and the barriers to, the incorporation of sustainability in public-private paitneiship (PPP) infrastructure projects through empirical study, particularly in Nigeria. Therefore, this study aims to identify and examine the drivers that promote sustainability in Nigerian PPP infrastructure projects and assess the barriers to the full integration of sustainability practices into current Nigerian PPP infrastructure projects. Design/methodology/approach - Primary data were collected using a questionnaire survey. The questionnaire survey was targeted on four different stakeholders' organizations. They were public sector authorities, concessionaires, consultants and banks already undertaking PPP infrastructure projects in Lagos State, Nigeria. The obtained data were analyzed using frequency, percentage, mean score, standard deviation and the Kruskal-Wallis test. Findings - The study identified 17 drivers that promote the incorporation of sustainability in PPP infrastructure projects. The analysis of the total ranking of the drivers in Nigeria revealed the top five ranked drivers to be: consideration of long-term performance; contractual arrangements; incentives for new market penetration; award criteria; and selection criteria, respectively. The study further identified 11 barriers to sustainability integration in PPP infrastructure projects and the top five ranked barriers in Nigeria are as follows: comprehensive sustainability procurement guidelines; no enabling environment; education needs; uncertain economic environment; and a lack of clear government policy, respectively. The results of the Kruskal-Wallis test conducted on both the 17 identified drivers for, and the 11 barriers to, the incorporation of sustainability in Nigerian PPP infrastructure projects revealed that there is no significant statistical difference in both rankings from the perceptions of the aforementioned four different respondents' groups. Research limitations/implications - The study provides empirical insights on the knowledge and awareness of drivers which could lead to a greater uptake in sustainability measures by the stakeholders in Nigerian PPP projects; it also identified barriers to overcome. Originality/value - The importance of the incorporation of sustainability in public procurement cannot be over-emphasized. it is anticipated that the study will be of great value to PPP stakeholders involved in sustainability decision-making processes when delivering sustainable PPP projects.</t>
  </si>
  <si>
    <t>2633-9838</t>
  </si>
  <si>
    <t>10.1108/OHI-05-2020-0037</t>
  </si>
  <si>
    <t>WOS:000603391500002</t>
  </si>
  <si>
    <t>Lam, TYM</t>
  </si>
  <si>
    <t>Lam, Terence Y. M.</t>
  </si>
  <si>
    <t>A sustainable procurement approach for selection of construction consultants in property and facilities management</t>
  </si>
  <si>
    <t>FACILITIES</t>
  </si>
  <si>
    <t>Purpose Outsourcing architectural and engineering services is a trend for public-sector construction projects. This study aims to examine what tender selection criteria should be considered when assessing the performance outcomes of consultants in relation to sustainable design, construction and management of buildings within the context of property and facilities management of existing building portfolios. Design/methodology/approach Combined qualitative-quantitative methods are adopted to examine the causal relationship between sustainable performance outcomes and influencing factors, using primary data collected from the estate offices of the UK universities, which form a unique public sector. The performance factors identified form the basis of selection criteria. Findings The qualitative multiple-case interviews identify economic, environmental, social and functional sustainability measures as the attributes of performance outcome. The quantitative hierarchical regression analysis generalises that sustainable performance outcomes can be significantly influenced by task and contextual performance factors. Originality/value The sustainable procurement approach developed by this research benefits property and facilities management, as well as construction disciplines within the wider public sector, thus contributing to the government construction policy on promoting sustainability to the built environment.</t>
  </si>
  <si>
    <t>0263-2772</t>
  </si>
  <si>
    <t>1758-7131</t>
  </si>
  <si>
    <t>1-2</t>
  </si>
  <si>
    <t>10.1108/F-12-2018-0147</t>
  </si>
  <si>
    <t>WOS:000507569100001</t>
  </si>
  <si>
    <t>Opoku, DGJ; Agyekum, K; Ayarkwa, J</t>
  </si>
  <si>
    <t>Opoku, De-Graft Joe; Agyekum, Kofi; Ayarkwa, Joshua</t>
  </si>
  <si>
    <t>Drivers of environmental sustainability of construction projects: a thematic analysis of verbatim comments from built environment consultants</t>
  </si>
  <si>
    <t>INTERNATIONAL JOURNAL OF CONSTRUCTION MANAGEMENT</t>
  </si>
  <si>
    <t>Lack of deliberations on the environment regarding its designing, utilization, development as well as effective management of the natural environment has led to its pollution. This leaves a lot to be desired especially in most developing countries which are now embracing environmental sustainability. This paper examines the drivers of environmental sustainability of construction projects. A qualitative study using semi-structured interviews was conducted with purposively selected built environment consultants in Ghana within a case study (The Kumasi City Mall project). Thematic template analysis revealed designer?s own philosophy, request by clients, incentives for green designs, policies and regulation, and competitive advantage as the drivers of environmental sustainability of construction projects. Furthermore, the results disclosed specific governmental role and social network utilization as drivers of environmental sustainability of construction projects. The outputs of this study offer strategies which are significant to the construction industry in embracing environmental sustainability. Further, the findings contribute to knowledge on achieving the sustainable development agenda.</t>
  </si>
  <si>
    <t>1562-3599</t>
  </si>
  <si>
    <t>2331-2327</t>
  </si>
  <si>
    <t>10.1080/15623599.2019.1678865</t>
  </si>
  <si>
    <t>OCT 2019</t>
  </si>
  <si>
    <t>WOS:000491386100001</t>
  </si>
  <si>
    <t>Rodorff, V; Siegmund-Schultze, M; Guschal, M; Holz, S; Koppel, J</t>
  </si>
  <si>
    <t>Rodorff, Verena; Siegmund-Schultze, Marianna; Guschal, Maike; Hoelz, Sonja; Koeppel, Johann</t>
  </si>
  <si>
    <t>Good Governance: A Framework for Implementing Sustainable Land Management, Applied to an Agricultural Case in Northeast-Brazil</t>
  </si>
  <si>
    <t>SUSTAINABILITY</t>
  </si>
  <si>
    <t>Land management needs to cope with persistent environmental and societal changes. This requires functional governance systems. The purpose of this research is to develop a good governance framework for the implementation of sustainable land management. Good governance theory is extensive, although its operationalization remains difficult. We derived a set of good governance attributes from the literature: (i) the functionality of the regulatory framework, (ii) the legitimacy and accountability of the actors, (iii) the fairness and transparency of the decision-making processes, and (iv) quality control and adaptiveness. These constitute a framework which, supported by guiding questions, facilitates the evaluation of governance attributes to assess sustainable land management practices. We applied the scheme to a case study in Northeast Brazil regarding sustainable land management where biological pest control is considered to be a biodiversity-related ecosystem service. Since its adoption often falls short of expectations, we scrutinized its governance system. First, experts answered our guiding questions, and second, we involved local stakeholders in the discussion of good governance attributes through the participatory approach of constellation analysis. Trust in agricultural consultants and issues of the practical application of pest control turned out to be crucial. The workshop participants requested a model farm to build more trust and experience. There was considerable demand for policy at the national planning level to formulate and monitor the content of the agricultural advisory program. Our conceptualized framework of good governance questions provides systematization for planning and steering the implementation of sustainable land management practices.</t>
  </si>
  <si>
    <t>2071-1050</t>
  </si>
  <si>
    <t>10.3390/su11164303</t>
  </si>
  <si>
    <t>WOS:000484472500048</t>
  </si>
  <si>
    <t>Aronczyk, M; Espinoza, MI</t>
  </si>
  <si>
    <t>Aronczyk, Melissa; Espinoza, Maria, I</t>
  </si>
  <si>
    <t>Sustainable communication: green PR and the export of corporate environmentalism, 1989-1997</t>
  </si>
  <si>
    <t>ENVIRONMENTAL SOCIOLOGY</t>
  </si>
  <si>
    <t>This article evaluates the role of public relations (PR) consultants as influential actors in the politics of environmental governance. It examines the historical case of EnviroComm, a network of environmental PR firms that sought to define and manage the communication of environmental issues during the consolidation of the European Single Market in the early 1990s. The article presents EnviroComm as an epistemic community, drawing on in-depth interviews and archival research to show how its members engaged in information sharing, capacity building, and rule setting around environmental management. The network developed and successfully promoted environmental standards, practices and disclosure processes among public and private sector clients throughout Europe, the United States, and Mexico during a critical time period in international environmental governance. By diffusing its core principles of sustainable communication as best practices, EnviroComm helped not only to diffuse an American variant of corporate environmentalism as an alternative to public policy but also to cement environmental communication as a field in its own right. More than an intermediary, it acted as a cultural producer in the realm of environmental governance.</t>
  </si>
  <si>
    <t>Espinoza, Maria Isabel/0000-0003-1817-2233</t>
  </si>
  <si>
    <t>2325-1042</t>
  </si>
  <si>
    <t>JUL 3</t>
  </si>
  <si>
    <t>10.1080/23251042.2018.1564455</t>
  </si>
  <si>
    <t>WOS:000473520900008</t>
  </si>
  <si>
    <t>Mak, TMW; Yu, IKM; Wang, L; Hsu, SC; Tsang, DCW; Li, CN; Yeung, TLY; Zhang, R; Poon, CS</t>
  </si>
  <si>
    <t>Mak, Tiffany M. W.; Yu, Iris K. M.; Wang, Lei; Hsu, Shu-Chien; Tsang, Daniel C. W.; Li, C. N.; Yeung, Tiffany L. Y.; Zhang, Rong; Poon, Chi Sun</t>
  </si>
  <si>
    <t>Extended theory of planned behaviour for promoting construction waste recycling in Hong Kong</t>
  </si>
  <si>
    <t>WASTE MANAGEMENT</t>
  </si>
  <si>
    <t>Changing individual's recycling attitude and behaviour is of utmost importance in achieving sustainable construction and demolition (C&amp;D) waste management, yet it has often been underachieved. To understand the motivations for recycling, this study identifies and prioritizes the key factors that affect C&amp;D waste recycling behaviour of various stakeholders in Hong Kong (i.e., representatives from construction-waste-related organizations, environmental consultants and contractors, and government engineers) in a quantitative manner using statistical tools. Different from traditional C&amp;D waste behavioural determinants studies, this paper utilizes an integrated analytical method through semi structured interviews and survey questionnaire on the basis of Theory of Planned Behaviour (TPB). Qualitative thematic analysis and quantitative frequency analysis were performed to analyse responses from semi-structured interviews and questionnaires, followed by correlation analysis to quantify the relationships between factors. Results indicated that four key factors: (i) regulatory compliance, (ii) economic incentives, (iii) accreditation scheme, and (iv) logistics and management incentives directly influenced recycling behaviour of individuals. Regulatory compliance was the most determining factor for consultants, contractors, experts, and government officials, whereas economic incentives were of great concern to the public. Under the factor of economic incentives, strong positive relationships were identified between disposal costs and collection and sorting costs, thus increasing waste disposal charging fee may promote recycling behaviour. In comparison, accreditation scheme deserved better recognition to facilitate a closed-loop material flow in the construction industry. These findings help to devise more effective and stakeholder-oriented policy tools to raise awareness and encourage behavioural change towards C&amp;D waste recycling, and assist policy makers to establish regulations and practices for sustainable resource management. (C) 2018 Elsevier Ltd. All rights reserved.</t>
  </si>
  <si>
    <t>0956-053X</t>
  </si>
  <si>
    <t>JAN</t>
  </si>
  <si>
    <t>10.1016/j.wasman.2018.11.016</t>
  </si>
  <si>
    <t>WOS:000454371400018</t>
  </si>
  <si>
    <t>Shen, WX; Tang, WZ; Siripanan, A; Lei, Z; Duffield, CF; Hui, FKP</t>
  </si>
  <si>
    <t>Shen, Wenxin; Tang, Wenzhe; Siripanan, Atthaset; Lei, Zhen; Duffield, Colin F.; Hui, Felix Kin Peng</t>
  </si>
  <si>
    <t>Understanding the Green Technical Capabilities and Barriers to Green Buildings in Developing Countries: A Case Study of Thailand</t>
  </si>
  <si>
    <t>Green buildings (GB) have been globally adopted for sustainable development by enhancing the resource efficiency, reducing the operation cost, and improving the building environment for users. However, little research has systematically explored the key issues of GB in developing countries. This study has revealed the green technical capabilities and barriers to GB in Thailand from the perspectives of consultants, architects, and engineers, using a questionnaire survey and a case study. The results show experience in meeting the combined requirements of the Leadership in Energy and Environmental Design (LEED) and the green building rating system that Thailand developed in 2010, Thailand's Rating of Energy and Environmental Sustainability (TREES), and skilled in energy systems to be the top two most important green technical capabilities. Barriers to GB mainly arise from financial pressure, technical limitations, and inadequate promotion. Lack of motivations from owners and high initial cost are ranked as the top two barriers to green building. The results collectively reveal that market demand and technological advancement are fundamental drivers for the GB industry, and the government, economic conditions, education, and corporate social responsibility are the other stimuli for the industry. The findings can help project participants adopt appropriate strategies to boost GB in emerging markets in developing countries. Future policies should focus on increasing market demand, encouraging green technology innovation, and reducing the cost of development and construction of GB.</t>
  </si>
  <si>
    <t>Duffield, Colin F/0000-0001-6497-7759; Hui, Felix Kin Peng/0000-0002-4800-9130</t>
  </si>
  <si>
    <t>OCT</t>
  </si>
  <si>
    <t>10.3390/su10103585</t>
  </si>
  <si>
    <t>WOS:000448559400227</t>
  </si>
  <si>
    <t>Agbesi, K; Fugar, FD; Adjei-Kumi, T</t>
  </si>
  <si>
    <t>Agbesi, Kwaku; Fugar, Frank D.; Adjei-Kumi, Theophilus</t>
  </si>
  <si>
    <t>Modelling the adoption of sustainable procurement in construction organisations</t>
  </si>
  <si>
    <t>BUILT ENVIRONMENT PROJECT AND ASSET MANAGEMENT</t>
  </si>
  <si>
    <t>Purpose The adoption of sustainable procurement in construction clients' organisation remains a difficult concept. Current research of sustainable procurement adoption studies fails to focus on a multi-stage adoption process. The purpose of this paper is to develop an organisational adoption model in a multi-stage process for the adoption of sustainable procurement in construction. Design/methodology/approach The paper developed an organisational adoption model. The model was tested against data obtained from survey administered to 193 respondents of central and local government institutions with a response rate of 63.7 per cent. Structural equation modelling using the partial least squares was employed to determine and confirm the factor structure of the model, and to measure the relationships between the model constructs. Findings An organisational adoption model is developed, tested and is robust to aid the adoption decision process of sustainable procurement within construction organisations. Research limitations/implications The study is limited in scope affecting generalisation of the results. Future study should expand the scope to include consultants, contractors and suppliers. Practical implications The adoption model will assist policy makers and top managers to understand the adoption decision process and prioritise on the technological, organisational and environmental factors that significantly affect sustainable adoption decision process within construction organisations. Originality/value This study appears to be among the first to empirically develop an organisational adoption model to aid the adoption of sustainable procurement in construction.</t>
  </si>
  <si>
    <t>Fugar, Frank/AAU-6920-2020</t>
  </si>
  <si>
    <t>2044-124X</t>
  </si>
  <si>
    <t>2044-1258</t>
  </si>
  <si>
    <t>10.1108/BEPAM-10-2017-0108</t>
  </si>
  <si>
    <t>WOS:000448529600003</t>
  </si>
  <si>
    <t>Asante, J; Kissi, E; Badu, E</t>
  </si>
  <si>
    <t>Asante, Joseph; Kissi, Ernest; Badu, Edward</t>
  </si>
  <si>
    <t>Factorial analysis of capacity-building needs of small- and medium-scale building contractors in developing countries: Ghana as a case study</t>
  </si>
  <si>
    <t>BENCHMARKING-AN INTERNATIONAL JOURNAL</t>
  </si>
  <si>
    <t>Purpose The needs assessment is the heart of any capacity-building strategy since it determines the design of any intervention, and also helps to prioritise the allocation of resources. Whereas there is a considerable amount of literature on the challenges faced by small- and medium-scale building contractors (SMBCs), very little is known about the needs (support) required by SMBCs. But given the critical role played by SMBCs in the construction industry demands, an understanding of how this sector can be assisted is required. The purpose of this paper is to contribute to the literature relative to capacity building of SMBCs by exploring and examining the needs with the objective to extend the understanding on how to promote and sustain SMBCs to continue their infrastructural delivery at the local and rural areas in Ghana. Design/methodology/approach A questionnaire with five-point Likert scale is administered to 416 respondents, including local government authorities, consultants, first-class contractors and SMBCs using simple random and purposive sampling techniques. Data generated from the survey are analysed using mean score ranking and principal component analysis, thus enabling the findings of the study to be examined under six thematic areas. Findings The SMCs needs identified include anti-corruption measures, job accessibility, technical and technological assistance, favourable fiscal policy, business development support and financial assistance. The findings of the study bring to the attention of policy makers the critical areas that required support by the assistance of SMBCs. In the interim, the study recommends the extension of business advisory services to the SMBCs by National Board of Small-Scale Industries, whilst in the long term, the government must create the necessary business operating environment to promote SMBCs pertaining to the industrial sector of the economy. The SMBCs must also factor the needs into their business operations that can be addressed from within. Originality/value The study suggests the need of SMBCs in building a robust construction industry in developing countries.</t>
  </si>
  <si>
    <t>Ernest, Kissi/Q-5566-2019; KISSI, ERNEST/AAS-1494-2020</t>
  </si>
  <si>
    <t>KISSI, ERNEST/0000-0002-1975-3382</t>
  </si>
  <si>
    <t>1463-5771</t>
  </si>
  <si>
    <t>1758-4094</t>
  </si>
  <si>
    <t>10.1108/BIJ-07-2016-0117</t>
  </si>
  <si>
    <t>WOS:000426531000018</t>
  </si>
  <si>
    <t>Mok, KY; Shen, GQ; Yang, R</t>
  </si>
  <si>
    <t>Mok, Ka Yan; Shen, Geoffrey Qiping; Yang, Rebecca</t>
  </si>
  <si>
    <t>Stakeholder complexity in large scale green building projects: A holistic analysis towards a better understanding</t>
  </si>
  <si>
    <t>ENGINEERING CONSTRUCTION AND ARCHITECTURAL MANAGEMENT</t>
  </si>
  <si>
    <t>Purpose In response to the world's rising awareness on sustainability, industry players and policymakers are devoting great efforts to bolster green building developments. Every green building project (GBP) involves numerous stakeholders and potentially incompatible concerns. Despite the associated environmental, economic and social benefits, GBP developments have often confronted managerial barriers which are actually emerged from stakeholders - the actual key determinants of a project. Holistically analyzing the complexity of stakeholders in GBPs is, therefore, crucial to improving GBP management and achieving greater sustainability for all involved. The purpose of this paper is to analyze stakeholder complexity in large GBPs using a holistic framework which integrates both empirical and rationalistic analytical perspectives. Design/methodology/approach The complexity of stakeholders in GBPs can be considered from three aspects - identifying stakeholders, assessing stakeholder interactions and analyzing stakeholder concerns. The proposed stakeholder analysis framework uses both empirical methods (e.g. interviews and surveys) and rationalistic methods (e.g. chain referral sampling and social network analysis) to analyze GBP stakeholder complexity. Case study of a lab-enabled commercial GBP in Hong Kong was undertaken to illustrate the framework. Findings The framework enables a holistic, objective and effective stakeholder analysis; leading GBP leaders toward a complete understanding of project stakeholder complexity. The case study findings bring managerial insights to GBP leaders on the general SNA-related stakeholder dynamics and the important stakeholder concerns, of large Hong Kong GBPs. The findings diagnose general connectivity structures of GBP stakeholders, identify influential and peripheral actors in GBP information exchange, and suggest clues to improve their dynamics. In addition, ten key stakeholder concerns were identified, including comprehensive governmental standards and procedures, clear sustainability goals at the outset, effective stakeholder engagement, adequate design flexibility, and a can-do attitude of contractors and consultants - which are all vital for successful GBP development. The underlying reasons of these concerns and recommendations to addressing them were also discussed. Originality/value Many existing GBP stakeholder studies appear to use a single analytical perspective to assess project stakeholder complexity, but this may not gain a full understanding. The holistic stakeholder analysis framework used herein combines empiricism and rationalism. It helps to bring GBP leaders and implementers toward a more informed project decision making, a more thorough understanding of stakeholder complexity, as well as a more effective engagement of stakeholders.</t>
  </si>
  <si>
    <t>0969-9988</t>
  </si>
  <si>
    <t>1365-232X</t>
  </si>
  <si>
    <t>10.1108/ECAM-09-2016-0205</t>
  </si>
  <si>
    <t>WOS:000447885000003</t>
  </si>
  <si>
    <t>Spiegel, SJ</t>
  </si>
  <si>
    <t>Spiegel, Samuel J.</t>
  </si>
  <si>
    <t>EIAs, power and political ecology: Situating resource struggles and the techno-politics of small-scale mining</t>
  </si>
  <si>
    <t>GEOFORUM</t>
  </si>
  <si>
    <t>Academics across disciplines are increasingly employing political ecology lenses to unpack conflicts related to resource extraction. Yet, an area that remains under-researched and under-theorised is how environmental impact assessments (EIAs) are embedded in politics and imagined as sites of power relations. Drawing on long-term fieldwork in Zimbabwe engaging small-scale gold miners, EIA consultants and government officials, this article examines the changing social significance of EIAs during and after a nationwide police operation that was framed by authorities as targeting non-compliance with environmental policy, illegal mining and illicit trading. Among other articulations of dissent, small-scale miners associations protested that EIA enforcement rhetoric served unjustly as a rationale for halting livelihoods and extracting rent from miners in times of economic difficulty. The article challenges EIA narratives that focus narrowly on risk management or governance failure, exploring technocratic obfuscations and how enforcement rhetoric was perceived in relation to criminalisation and coercion, expert environmental consultancy cultures and adapted legacies of colonial practice in contemporary dynamics of rule. Heavy-handed policing under the banner of enforcing order impinged on livelihoods and had counterproductive effects in addressing environmental problems, while complying with expensive EIA report-producing requirements was far beyond the means of most small-scale miners. The article rethinks how technical EIA rhetoric becomes entangled in spaces of contentious politics, the perils of looldng only at particular scales of relations to the exclusion of others, and what it means to re-engage Donald Moore's notion of shifting alignments and contingent constellations of power. Suggesting future directions in political ecology theorising in relation to extractive sectors, it calls for careful attention to the situated politics of EIAs situated in time and space, amid varying relations of power and how multiple hegemonic practices are conceptualised and challenged.</t>
  </si>
  <si>
    <t>0016-7185</t>
  </si>
  <si>
    <t>1872-9398</t>
  </si>
  <si>
    <t>10.1016/j.geoforum.2017.10.010</t>
  </si>
  <si>
    <t>WOS:000418213900009</t>
  </si>
  <si>
    <t>Plant, R; Boydell, S; Prior, J; Chong, J; Lederwasch, A</t>
  </si>
  <si>
    <t>Plant, Roel; Boydell, Spike; Prior, Jason; Chong, Joanne; Lederwasch, Aleta</t>
  </si>
  <si>
    <t>From liability to opportunity: An institutional approach towards value-based land remediation</t>
  </si>
  <si>
    <t>ENVIRONMENT AND PLANNING C-POLITICS AND SPACE</t>
  </si>
  <si>
    <t>The remediation of contaminated sites impacts on stakeholders in potentially beneficial ways, yet stakeholder dialogue has historically been focussed on costs, risk, liability, stigma, and other negatives. Shedding light on stakeholders' remediation values can help reform remediation policy towards more positive outcomes of site clean-up. We adopt institutional theory to elicit plural motivations and cognitive assumptions as embedded in stakeholders' expressions of remediation values, objectives, and outcomes. We explore in four case studies with varying size, complexity, cultural diversity, and geographical location (three in Australia, one in Fiji) how remediation values operate within remediation decisions. Our findings suggest that more than economic costs, liability, and risks are at play in decision-making on contaminated land. Our research confirmed that different socio-ethical, environmental and sustainability values are evaluated differently by different types of actors (site owners, regulators, auditors, residents, local government, consultants). We found that remediation values often shift in the course of a remediation decision-making process, suggesting learning and improved understanding. Remediation policy that better facilitates and aligns stakeholders' articulations of initial and emergent outcomes sought from site clean-up is likely to enhance both economic and social value outcomes of remediation. Further research is needed on how remediation policy could better incorporate remediation value dynamics in stakeholder consultation and engagement.</t>
  </si>
  <si>
    <t>Prior, Jason/Q-6258-2018</t>
  </si>
  <si>
    <t>2399-6544</t>
  </si>
  <si>
    <t>2399-6552</t>
  </si>
  <si>
    <t>10.1177/0263774X16646772</t>
  </si>
  <si>
    <t>WOS:000400015600001</t>
  </si>
  <si>
    <t>Karlsson, NPE; Halila, F; Mattsson, M; Hoveskog, M</t>
  </si>
  <si>
    <t>Karlsson, Niklas P. E.; Halila, Fawzi; Mattsson, Marie; Hoveskog, Maya</t>
  </si>
  <si>
    <t>Success factors for agricultural biogas production in Sweden: A case study of business model innovation</t>
  </si>
  <si>
    <t>JOURNAL OF CLEANER PRODUCTION</t>
  </si>
  <si>
    <t>As government officials, policymakers, and the general public increasingly express their concern about global warming caused by greenhouse gas emissions, scientists search for alternative sources of vehicle fuel and electric power. One sustainable energy source that shows considerable promise is biogas produced from organic waste. For various reasons, biogas plants in Sweden struggle with profitability. This is especially true for agricultural biogas plants. Suggestions on how to deal with this problem include the use of business model innovation (BMI) to develop agricultural networks and to implement new strategies for arranging, producing, and marketing farm-produced biogas. This qualitative study, influenced by grounded theory, identifies and examines the success factors in an agricultural network in which biogas is produced at four farms in Sweden with distribution by pipeline to a refinery for purification and conversion to vehicle fuel. Fourteen interviews were conducted with various individuals in this network: farmers, a local politician, municipal employees, and external consultants. Of the six success factors identified in the network for farm-produced biogas, the long-term perspective on profitability was found most important. The six factors were used to create a conceptual business model framework for such networks that adds new value propositions while retaining the original value propositions. We propose that long-term government subsidies and other incentives can make farm-produced biogas profitable, not only in social and environmental terms but also in economic terms. Our main conclusion is that BMI can be used to create public-private networks that invest in farm-based biogas production. Such investments can stimulate rural development and provide new business possibilities for SMEs in the agricultural sector. This study also shows that BMI that takes a long-term perspective can result in high value environmental and social benefits as well as financial profitability. (C) 2016 Elsevier Ltd. All rights reserved.</t>
  </si>
  <si>
    <t>Hoveskog, Maya/J-8644-2015</t>
  </si>
  <si>
    <t>Hoveskog, Maya/0000-0002-5849-1442; Karlsson, Niklas P.E./0000-0003-3068-5269</t>
  </si>
  <si>
    <t>0959-6526</t>
  </si>
  <si>
    <t>1879-1786</t>
  </si>
  <si>
    <t>JAN 20</t>
  </si>
  <si>
    <t>10.1016/j.jclepro.2016.10.178</t>
  </si>
  <si>
    <t>WOS:000391516300048</t>
  </si>
  <si>
    <t>Alwan, Z; Jones, P; Holgate, P</t>
  </si>
  <si>
    <t>Alwan, Zaid; Jones, Paul; Holgate, Peter</t>
  </si>
  <si>
    <t>Strategic sustainable development in the UK construction industry, through the framework for strategic sustainable development, using Building Information Modelling</t>
  </si>
  <si>
    <t>The UK Government has set out ambitious plans for all new domestic and commercial buildings to be zero carbon rated by 2016 and 2020 respectively. These are some of the most progressive environmental targets for the built environment in the western world. However, there are also other sustainability issues that need to be addressed by the UK construction industry, particularly negative impacts from the generation of waste. Currently, 100 million tonnes of construction waste, including 13 million tonnes of unused materials, is generated each year, with only 20% currently capable of being recycled. The majority of this waste ends up in landfill, contributing to further pollution of the biosphere. The literature suggests that these negative impacts result from a variety of causes, including ineffective leadership, ingrained cultures, outdated technologies and poor logistics. There are a number of innovative projects within the UK, particularly at a local level, that pose the question as to whether bottom up approaches may be more successful than top down policies, as set by national and local government. This paper presents a case study demonstrating the former approach within the construction industry. Research and consultancy has been undertaken collaboratively between industry, academia and professional practice in the production of 15 individually designed sustainable dwellings in the North East of England. This project has employed Building Information Modelling (BIM) as a new collaborative working platform, aligned to the Modern Method of Construction (MMC). By situating this inquiry within an authentic case study it has highlighted ineffective strategies, policies and leadership, which have prevented full exploitation of the potential of BIM and MMC towards sustainable production. This inquiry supports the integration of the Framework for Sustainable Strategic Development (FSSD) into construction procurement, as a method for implementing bottom up leadership in a value driven project. (C) 2016 Elsevier Ltd. All rights reserved.</t>
  </si>
  <si>
    <t>alwan, zaid/AAC-4100-2019</t>
  </si>
  <si>
    <t>Holgate, Peter/0000-0001-8577-3675</t>
  </si>
  <si>
    <t>JAN 1</t>
  </si>
  <si>
    <t>10.1016/j.jclepro.2015.12.085</t>
  </si>
  <si>
    <t>WOS:000388775100032</t>
  </si>
  <si>
    <t>Toppinen, A; D'Amato, D; Lahtinen, K; Rekola, M; Wan, M; Cai, D; Wen, Z</t>
  </si>
  <si>
    <t>Toppinen, A.; D'Amato, D.; Lahtinen, K.; Rekola, M.; Wan, M.; Cai, D.; Wen, Z.</t>
  </si>
  <si>
    <t>Forest ecosystem services, corporate sustainability and local livelihoods in industrial plantations of China: building conceptual awareness on the interlinkages</t>
  </si>
  <si>
    <t>INTERNATIONAL FORESTRY REVIEW</t>
  </si>
  <si>
    <t>The concept of ecosystem services is emerging within the global environmental and development discourses as a leading contemporary narrative, together with related strategies, agendas, tools and practices. In addition to its role in public policy, this concept has implications for the private sector as well. Little knowledge exists, however, on the linkages between the private sector and ecosystem services, especially from the viewpoint of company stakeholder groups and/or ecosystem services beneficiaries. In this paper, we compared managers', experts' and village leaders' perceptions of plantation forestry in case of China. We observed a fairly high level of similarity between the opinions of managers and village leaders in comparison to those of managers and experts (i.e., policy advisors, local authorities, industry associations and consultants and non-governmental organizations). This could mean that managers and village leaders who, sharing local contextual knowledge, have more common ground than, for instance, managers and experts who share similar technical expertise. The overall observed differences in stakeholder perceptions open up possibilities to discuss the potential and limits of the ecosystem services narrative in legitimizing corporate sustainability strategy, and in deepening corporate sustainability agendas and practices in the context of an emerging economy such as China.</t>
  </si>
  <si>
    <t>D'Amato, Dalia/AAJ-6538-2020</t>
  </si>
  <si>
    <t>D'Amato, Dalia/0000-0002-3992-7263; Toppinen, Anne/0000-0003-0910-1505; Lahtinen, Katja/0000-0001-6260-5062</t>
  </si>
  <si>
    <t>1465-5489</t>
  </si>
  <si>
    <t>2053-7778</t>
  </si>
  <si>
    <t>WOS:000427716200013</t>
  </si>
  <si>
    <t>Tassicker, N; Rahnamayiezekavat, P; Sutrisna, M</t>
  </si>
  <si>
    <t>Tassicker, Nicole; Rahnamayiezekavat, Payam; Sutrisna, Monty</t>
  </si>
  <si>
    <t>An Insight into the Commercial Viability of Green Roofs in Australia</t>
  </si>
  <si>
    <t>Construction industries around the world have, in recent history, become increasingly concerned with the sustainability of building practices. Inherently, the development of the built environment results in partial or complete destruction of the natural environment. Advanced European and North American countries have turned to green roofs as a means of sustainable development. Australia, on the other hand, has yet to fully realize the potential of green roof technology. In the first case, an extensive review of green roof literature was undertaken to establish the dominant perspectives and over-riding themes within the established body of international literature. The collection of primary data took the form of qualitative, semi-structured interviews with a range of construction practitioners and green roof experts; landscape architects, consultants and academics. The information gained from the interviews facilitated the primary aim of the paper; to critically analyse the state-of-practice in the Australian green roof industry. Green roofs, despite their proven sustainability benefits and their international success, have experienced a relatively sluggish uptake in the Australian construction industry. With this being said, the Australian green roof industry is considered to have promising potential for the future; should there be legislative changes made in its favour or greater education within the industry. To advance the local industry, it was found that government authorities are required to adapt policy settings to better encourage the use of green roofs, whilst industry bodies are required to host better, more targeted educational programs.</t>
  </si>
  <si>
    <t>10.3390/su8070603</t>
  </si>
  <si>
    <t>WOS:000380760400014</t>
  </si>
  <si>
    <t>Drayson, K; Wood, G; Thompson, S</t>
  </si>
  <si>
    <t>Drayson, Katherine; Wood, Graham; Thompson, Stewart</t>
  </si>
  <si>
    <t>Assessing the quality of the ecological component of English Environmental Statements</t>
  </si>
  <si>
    <t>JOURNAL OF ENVIRONMENTAL MANAGEMENT</t>
  </si>
  <si>
    <t>Environmental Impact Assessment (EIA) is a key tool to help ensure sustainable built development in more than 200 countries worldwide. Ecology is frequently a component of EIA and early reviews of Ecological Impact Assessment (EcIA) chapters identified scope for improvement at almost every stage of the EcIA process, regardless of country. However, there have been no reviews of UK EcIA chapters since 2000, despite important changes in biodiversity and planning legislation, policy and guidance. In addition, no UK EcIA chapter reviews have attempted to assign a grade or score to EcIA chapters (as has been done for reviews of US, Finnish and Indian EcIA chapters). Furthermore, no EcIA chapter reviews have attempted to use a scoring system to identify which variables determine EcIA chapter information content, beyond straightforward comparisons of EcIA chapters before and after the introduction of guidelines. A variant of the Biodiversity Assessment Index (BAD was used to assign scores between zero and one to EcIA chapters based on a series of 47 questions drawn from EU legislation and professional guidance. 112 EcIA chapters for proposed developments that were subsequently granted planning permission in England were assessed. The mean BAI score was less than 0.5, indicating the presence of considerable information gaps in the majority of EcIA chapters. Of 13 predictor variables identified as having the potential to affect EcIA chapter quality, 10 were identified as significantly related to the BAI scores. A backward stepwise Generalized Linear Model identified the use of professional guidance, the ecological consultancy type and the length of the EcIA chapter as having the greatest combined explanatory power. As a result, several recommendations are made to help improve future EcIA chapter content, including formal EcIA chapter review, publicising the professional guidance to consultants, the provision of training and the introduction of an accreditation scheme for consultants involved in EcIA This approach could be replicated in other countries that conduct EIA. Context-dependent EcIA chapter review criteria (as in this paper) would help to identify targeted recommendations for improvement. Alternatively, a global set of review criteria could highlight areas of best practice that could then be exported to other countries. Crown Copyright (C) 2015 Published by Elsevier Ltd. All rights reserved.</t>
  </si>
  <si>
    <t>0301-4797</t>
  </si>
  <si>
    <t>1095-8630</t>
  </si>
  <si>
    <t>SEP 1</t>
  </si>
  <si>
    <t>10.1016/j.jenvman.2015.06.022</t>
  </si>
  <si>
    <t>WOS:000358973300024</t>
  </si>
  <si>
    <t>Miro, A; Perrotta, K; Evans, H; Kishchuk, NA; Gram, C; Stanwick, RS; Swinkels, HM</t>
  </si>
  <si>
    <t>Miro, Alice; Perrotta, Kim; Evans, Heather; Kishchuk, Natalie A.; Gram, Claire; Stanwick, Richard S.; Swinkels, Helena M.</t>
  </si>
  <si>
    <t>Building the capacity of health authorities to influence land use and transportation planning: Lessons learned from the Healthy Canada by Design CLASP Project in British Columbia</t>
  </si>
  <si>
    <t>CANADIAN JOURNAL OF PUBLIC HEALTH-REVUE CANADIENNE DE SANTE PUBLIQUE</t>
  </si>
  <si>
    <t>OBJECTIVES: The main objective of the Healthy Canada by Design CLASP Initiative in British Columbia (BC) was to develop, implement and evaluate a capacity-building project for health authorities. The desired outcomes of the project were as follows: 1) increased capacity of the participating health authorities to productively engage in land use and transportation planning processes; 2) new and sustained relationships or collaborations among the participating health authorities and among health authorities, local governments and other built environment stakeholders; and 3) indication of health authority influence and/or application of health evidence and tools in land use and transportation plans and policies. PARTICIPANTS: This project was designed to enhance the capacity of three regional health authorities, namely Fraser Health, Island Health and Vancouver Coastal Health, and their staff. These were considered the project's participants. SETTINGS: The BC regions served by the three health authorities cover the urban, suburban and rural spectrum across relatively large and diverse geographic areas. The populations have broad ranges in socio-economic status, demographic profiles and cultural and political backgrounds. INTERVENTION: The Initiative provided the three health authorities with a consultant who had several years of experience working on land use and transportation planning. The consultant conducted situational assessments to understand the baseline knowledge and skill gaps, assets and objectives for built environment work for each of the participating health authorities. On the basis of this information, the consultant developed customized capacity-building work plans for each of the health authorities and assisted them with implementation. Capacity-building activities were as follows: researching health and built environment strategies, policies and evidence; transferring health evidence and promising policies and practices from other jurisdictions to local planning contexts; providing training and support with regard to health and the built environment to health authority staff; bringing together public health staff with local planners for networking; and participating in land use planning processes. OUTCOMES: The project helped to expand the capacity of participating health authorities to influence land use and transportation planning decisions by increasing the content and process expertise of public health staff. The project informed structural changes within health authorities, such as staffing reallocations to advance built environment work after the project. Health authorities also forged new relationships within and across sectors, which facilitated knowledge exchange and access of the public health sector to opportunities to influence built environment decisions. By the end of the project, there was emerging evidence of a health presence in land use policy documents. CONCLUSIONS: The project helped to prioritize, accelerate and formalize the participating health authorities' involvement in land use and transportation planning processes. In the long term, this is expected to lead to health policies and programs that consider the built environment, and to built environment policies and practices that integrate population health goals, thereby reducing the risk of chronic diseases.</t>
  </si>
  <si>
    <t>0008-4263</t>
  </si>
  <si>
    <t>1920-7476</t>
  </si>
  <si>
    <t>ES40</t>
  </si>
  <si>
    <t>ES49</t>
  </si>
  <si>
    <t>10.17269/cjph.106.4566</t>
  </si>
  <si>
    <t>WOS:000353227400009</t>
  </si>
  <si>
    <t>Mouzughi, Y; Bryde, D; Al-Shaer, M</t>
  </si>
  <si>
    <t>Mouzughi, Yusra; Bryde, David; Al-Shaer, Maher</t>
  </si>
  <si>
    <t>The Role of Real Estate in Sustainable Development in Developing Countries: The Case of the Kingdom of Bahrain</t>
  </si>
  <si>
    <t>The construction of real estate has the potential to advance sustainability in terms of meeting economic and social criteria-the Business Case and the Societal Case. This is a crucial aspect in the stated visions and plans in many developing countries. Hence, it is important to understand how real estate can best contribute. Semi-structured interviews with a number of decision-makers involved in the real estate sector in the Kingdom of Bahrain were undertaken to explore perceptions of how the sector could best contribute to sustainable development. The decision-makers came from government bodies, investment banks, real estate developers, investors, constructors, project consultants and auditors. The interviews highlight the importance of having a stated vision and strategy which is highly visible and shared by all stakeholders. In the case of Bahrain this is Vision 2030 and the National Economic Strategy. It is important to ensure that any plans that are put in place to achieve the vision/strategy are adaptable to reflect changes in the external environment. The decision-makers identified three areas of focus in terms of the content of policy in order to meet the economic and social-related sustainability criteria as set out in Vision 2030 and the National Economic Strategy. These are: infrastructure, affordable housing and tourism/leisure. Within these three areas, that of infrastructure is also the key enabler for developments in the other two areas to be realized. In terms of a method of governance, the use of public-private-partnerships (PPPs) was identified as being highly appropriate. Such partnerships are not only useful to leverage private sector investment into specific development projects but also to ensure that such development harnesses innovative and efficient methods.</t>
  </si>
  <si>
    <t>Bryde, David/0000-0003-1779-9691</t>
  </si>
  <si>
    <t>10.3390/su6041709</t>
  </si>
  <si>
    <t>WOS:000334921800005</t>
  </si>
  <si>
    <t>Foo, KY</t>
  </si>
  <si>
    <t>Foo, K. Y.</t>
  </si>
  <si>
    <t>A vision on the role of environmental higher education contributing to the sustainable development in Malaysia</t>
  </si>
  <si>
    <t>Higher education is a unique intellectual contributor to society's efforts to achieve sustainability, through the practices of skills, consultancies, trainings, and exchange of knowledge. University researchers are the first alarms to alert the environmental challenges, and assist to spearhead a multidisciplinary of technical solutions. Malaysia, endowed with its rich natural resources and diversity recognizes the need to adopt a sound developmental framework to transform the country's educational landscape into a high quality and excellent level. This policy forms the core strategies in moving Malaysia of meeting the needs of human resource development, and creates a pool of highly competent knowledgeable workers. In parallel to this development, both government and non-governmental organizations (NGOs) continue to advocate national efforts to address environmental program for incorporating the sustainability of environmental literacy and conservation of ecosystems. The plan espouses the vision of building a strong and resilient, vibrant and competitive socio-economic development, for the maintenance of sound environmental conditions. The impetus to develop Education for Sustainable Development is accompanied by the integration of environmental protection rules, and boosted by the implementation of Environmental Impact Assessment (EIA). With the aforementioned, the present work describes the historical evolution of environmental higher education in Malaysia. The fragmented policies, central government's roles, and the concept of green campus are elucidated. Besides, the research breakthroughs and joint co-operations as an implementation arm for the promotion of public education and green technology are outlined. (C) 2013 Published by Elsevier Ltd.</t>
  </si>
  <si>
    <t>Foo, Keng Yuen/L-2962-2017</t>
  </si>
  <si>
    <t>Foo, Keng Yuen/0000-0002-8196-7250</t>
  </si>
  <si>
    <t>DEC 15</t>
  </si>
  <si>
    <t>10.1016/j.jclepro.2013.05.014</t>
  </si>
  <si>
    <t>WOS:000327676600002</t>
  </si>
  <si>
    <t>Pernetta, JC; Jiang, YH</t>
  </si>
  <si>
    <t>Pernetta, John C.; Jiang, Yihang</t>
  </si>
  <si>
    <t>Managing multi-lateral, intergovernmental projects and programmes: the case of the UNEP/GEF South China Sea project</t>
  </si>
  <si>
    <t>OCEAN &amp; COASTAL MANAGEMENT</t>
  </si>
  <si>
    <t>The management of comprehensive and extensive, multi-lateral and multi-national programmes and projects in the field of coastal and ocean management poses numerous organisational problems encompassing co-ordination between: the actions of individual participating countries at the regional level; the national level actions of institutions from different sectors; and actions that are designed to address issues as diverse as: biological diversity conservation and sustainable use; fisheries management; maritime transport; and the control of land based pollution. Most large multi-lateral projects focus on sound scientific knowledge and information, and pay less attention to the design of a management structure that will ensure coherence and co-ordination of the interventions once the programme or project is under implementation. The project entitled Reversing Environmental Degradation Trends in the South China Sea and Gulf of Thailand was complex since it addressed three priority areas of concern namely the loss and degradation of coastal habitats, over-exploitation of fisheries in the Gulf of Thailand, and land-based pollution. It is suggested that the success of the management framework reflects the following key design elements: The framework permitted and encouraged both horizontal (inter-country) and vertical (intra-country) interactions and networking between individuals at all levels of project implementation and execution; Inclusion of a body (the Regional Scientific and Technical Committee) that served as a forum for reconciling both sectorial and national interests and priorities; The clear separation between discussions of scientific and technical matters from discussions dealing with policy and principles at both the national and regional levels; The framework facilitated the incorporation of sound scientific and technical advice and information into politically based decision-making; The use of regional experts and consultants from the participating countries fostered ownership of the activities and outputs; Restriction of the membership of the Project Steering Committee to government representatives only, and exclusion of observers from regional and international agencies and institutions other than UNEP; and, The framework allowed for adaptive management and was not a rigid unchanging structure. (C) 2012 Elsevier Ltd. All rights reserved.</t>
  </si>
  <si>
    <t>0964-5691</t>
  </si>
  <si>
    <t>1873-524X</t>
  </si>
  <si>
    <t>B</t>
  </si>
  <si>
    <t>10.1016/j.ocecoaman.2012.10.012</t>
  </si>
  <si>
    <t>WOS:000330080400004</t>
  </si>
  <si>
    <t>Ben Bonham, M</t>
  </si>
  <si>
    <t>Ben Bonham, Mary</t>
  </si>
  <si>
    <t>Leading by example: new professionalism and the government client</t>
  </si>
  <si>
    <t>BUILDING RESEARCH AND INFORMATION</t>
  </si>
  <si>
    <t>The capacity of government client bodies to lead other industry actors in the creation of a more sustainable built environment is assessed. A framework is introduced that records the legislation, guiding principles and policies influencing government clients towards new professional practices embracing dynamic interactions between people, process and technology. The framework is used to analyse case studies related to two US government client organizations: the General Services Administration (GSA) and the National Renewable Energy Laboratory (NREL). The study finds that GSA and NREL are actively seeking innovation and influencing their consultants, contractors and other US government agencies through their policies and programmes, notably by piloting new professional practices associated with integrated project delivery and open communication. The initiatives and their effectiveness are further studied in a broader, international context of emerging best professional practices. Government clients are key agents for leading and motivating change, particularly through capacity-building in other professional services firms and contractors. Government clients can further expand their sphere of positive influence specifically in the assessment and integration of emerging technologies and in the extension of professional service contracts related to building performance and occupant engagement.</t>
  </si>
  <si>
    <t>Bonham, Mary Ben/0000-0002-9849-6846</t>
  </si>
  <si>
    <t>0961-3218</t>
  </si>
  <si>
    <t>10.1080/09613218.2013.743251</t>
  </si>
  <si>
    <t>WOS:000312593300007</t>
  </si>
  <si>
    <t>Horvat, J; Pavkovic, M</t>
  </si>
  <si>
    <t>Horvat, Jesenko; Pavkovic, Marina</t>
  </si>
  <si>
    <t>PHYSICAL PLANNING AND PROGRAMMING AGENDA MAPPING AND PROGRAMMING SPATIAL POTENTIALS AS A BASIS FOR INTEGRAL DEVELOPMENT</t>
  </si>
  <si>
    <t>PROSTOR</t>
  </si>
  <si>
    <t>Cities are no longer what they used to be. They are Changing, growing, and contracting. In Croatia plans are adapted to pragmatic requirements at a pace that depends on the individuals and their wishes and ideas supported by the government. The time left for checking up the results is often too limited. Therefore the planning decisions are arbitrary while planning process itself is reduced to a custom-made production of plans. Palliative planning decisions thus pose a threat to code changes. The code is not only jeopardized in a historic city but also in cities which have recently managed to build that code. The code, however, is not just a physical, spatial and perceptive category. It is also a cultural category whose protection is entrusted to all who are involved in planning. Economic heritage as a non-material form of heritage encompasses a vast array of forms of traditional production which may be deeply rooted in a local environment. Even if the heritage perishes, as this may be the case in transition processes, or loses its material form, it still remains in the memory of space as a form of economic heritage the brand of a place. This becomes particularly important in the context of an increasing space consumption trend which, due to a tendency to serve the individuals' own interests as well as a lack of proper space strategy, achieves a short-term economic growth but brings about a long-term social deficit. Initial investment effect is not followed by strategic development results whereas a badly-planned intervention in space remains an unfortunate intrusion into the social community thus hindering long-term development. As far as economic development is concerned, physical plans have not been paralleled by the expected economic results in the last twenty years of Croatian history. The cause lies partly in an insufficient coordination between physical planning and development programing and partly in monopolizing the decision-making process regarding physical planning by the political establishment invoking the will of the electorate to entrust them with the upcoming four-year mandate. The recognition of one's own development potential is a key factor behind the success of any environment. Spatial potential of an area in terms of its geographical location or its cultural and historic heritage may theoretically provide the same or similar development basis. Yet the achieved level of development in some areas can show considerable differences. This is the result of a different attitude to space use, i.e. a particular program which has made the development resources fully functional. Successful environments manage to recognize and activate those spatial resources which contribute to the competitiveness and productivity of local economy. Others tend to copy development strategies and at the same time fulfill their economic needs by stereotype measures. Thus the result is precisely the opposite since the documents which only formally provide universal measures across the board aggravate the condition further by pushing the commissioner into an activity which might possibly result in an unwise investment. If the activities centered around physical planning and development programming build up a quality network, they will provide a basis for an integral development followed by dynamic processes which come to the fore in an innovation-friendly environment as a basis for innovation-based sustainability. Spatial potentials are refreshed in the light of the recognized traditional resources which make a particular environment stand out among the others. The realization of common development goals implies the application of interdisciplinary knowledge and skills in a joined effort to solve problems and respond to challenges which the traditional disciplines are largely unable to cope with individually. It is recommended therefore to encourage an on-site cooperation in order to identify the character of the space, take into consideration its potential and turn it into development advantages and possibilities. Such a cooperation model promotes a paradigm which enriches the physical planning practice of research and planning with a programmatic dimension with the aim to respond to complex urban challenges of modern time brought about by social, global, economic and ecological changes. An interdisciplinary cooperation requires an active on-site research team as well as the participation of the space users linking the academic, professional and general public in order to get a clear insight into the needs of the inhabitants and their aspirations with the aim to create an inspirational environment. It should provide a clear and stimulating long-term vision of development which will serve for the selection of development projects and measures supported by the citizens and the local government. A method of mapping and programming space functions is applied with the aim to form a basis for an integral development. The model obtained by the application of this method is a platform physical planning and programming agenda which defines the procedures and produces the results of interdisciplinary research. It has been practically tested on the analyses entitled Mapping and programming economic and tourist facilities in Otocac and Buje. The analyses have been publicly presented as a first stage in the preparation of the platform for the codification of development, i.e. physical planning. The procedure was going on in two stages, each characterized by a few elements. The first stage was concerned with the analysis of the situation as well as some possibilities and limitations. All interested public bodies (the local government, citizens, potential investors) have been involved as consultants in order to provide information and consider needs and wishes. In the second stage priorities were suggested and possible solutions proposed. Further implementation of the accepted physical planning solutions and recommendations is within the competence of the local government which through a selection of measures and resources work out a plan with the aim to transform the proposed solutions into actual physical plans, projects and interventions through a legislative process. Physical planning and programming agenda is therefore a plan of spatial and programmatic functions, measures and activities aimed at achieving development goals. As such, it compensates for the lack of a strategic physical planning document and presents a synthesis of the development goals and planning principles centered primarily around those spatial and economic qualities which define a unique identity of a place, city or area.</t>
  </si>
  <si>
    <t>1330-0652</t>
  </si>
  <si>
    <t>1333-9117</t>
  </si>
  <si>
    <t>WOS:000329532900008</t>
  </si>
  <si>
    <t>Ulutas, F; Alkaya, E; Bogurcu, M; Demirer, GN</t>
  </si>
  <si>
    <t>Ulutas, Ferda; Alkaya, Emrah; Bogurcu, Merve; Demirer, Goksel N.</t>
  </si>
  <si>
    <t>The national capacity assessment on cleaner (sustainable) production in Turkey</t>
  </si>
  <si>
    <t>SUSTAINABLE CITIES AND SOCIETY</t>
  </si>
  <si>
    <t>Cleaner (sustainable) production is addressed in various legal documents including legislations, policy plans and government incentives in Turkey. However if the factors such as population, level of development, industrial activities and regional policy targets of the country are taken into consideration, the level and extent of cleaner (sustainable) production activities are not at the desired level. So as to overcome this deficiency, the Ministry of Environment and Forestry supported the project Determination of the Framework Conditions and Research-Development Needs for the Dissemination of Cleaner (Sustainable) Production Applications in Turkey which was carried out in 2009 by Technology Development Foundation of Turkey (TTGV) and Prof. Dr. Goksel N. Demirer, as the consultant. This paper summarizes one of the outcomes of this project, namely national capacity assessment on cleaner (sustainable) production. In this study, an assessment of cleaner (sustainable) production oriented activities/capacities of the related institutions/organizations in Turkey is presented. The objective is to determine the background for future activities as well as informing related stakeholders about the national capacity on the subject. This assessment is based on questionnaires carried out among related institutions/organizations and a workshop conducted. (C) 2012 Elsevier B.V. All rights reserved.</t>
  </si>
  <si>
    <t>Demirer, Goksel/ABC-6440-2020</t>
  </si>
  <si>
    <t>Demirer, Goksel/0000-0001-6030-2041</t>
  </si>
  <si>
    <t>2210-6707</t>
  </si>
  <si>
    <t>2210-6715</t>
  </si>
  <si>
    <t>10.1016/j.scs.2012.05.006</t>
  </si>
  <si>
    <t>WOS:000209554000007</t>
  </si>
  <si>
    <t>Conley, JM; Williams, CA</t>
  </si>
  <si>
    <t>Conley, John M.; Williams, Cynthia A.</t>
  </si>
  <si>
    <t>Global Banks as Global Sustainability Regulators?: The Equator Principles</t>
  </si>
  <si>
    <t>LAW &amp; POLICY</t>
  </si>
  <si>
    <t>Banks might now seem odd candidates for the role of global sustainability regulator. Nonetheless, in limited areas of their operation, where global banks kept risk on their balance sheets and were financially exposed to many types of risk often otherwise treated as externalities,banks began to enact policies to encourage what they construe as sustainablebanking. A small number of these banks have started to extend these principles of responsible action more broadly, across many of their business lines, as conditions of lending to their corporate clients. To this extent, it is possible to talk about (some) global banks as global sustainability regulators. The law of unintended consequencesas used in the legal literature almost always refers to the unintended negative consequences of a regulation or policy. In this article, however, we discuss a potentially positive unintended consequence of the deregulatory and privatization trend of the 1980s and 1990s that was fueled by neoliberal political commitments: some private banks have taken a leadership role in regulating development. Specifically, these banks are enacting policies that attempt to mitigate the potentially negative social and environmental consequences of infrastructure development in politically unstable or environmentally fragile landscapes. The vehicle for doing this is a voluntary agreement called the Equator Principles (EPs). The article describes and analyzes the EPs and reports the initial results from an interview-based study of the various EPs stakeholders, including bankers, government officials, lawyers, consultants, and critics from nongovernmental organizations. We address-from the perspective of these stakeholders-such questions as why the participating banks decided to join the EPs, what effects, if any, the EPs are having on development practice, and whether the EPs will ultimately prove to be more than a public relations exercise.</t>
  </si>
  <si>
    <t>0265-8240</t>
  </si>
  <si>
    <t>1467-9930</t>
  </si>
  <si>
    <t>10.1111/j.1467-9930.2011.00348.x</t>
  </si>
  <si>
    <t>WOS:000295057300005</t>
  </si>
  <si>
    <t>Horrocks, I</t>
  </si>
  <si>
    <t>Horrocks, Ivan</t>
  </si>
  <si>
    <t>INFORMATION COMMUNICATION &amp; SOCIETY</t>
  </si>
  <si>
    <t>This paper argues that as e-government has increasingly come to dominate the policy agenda for the delivery of public services it has simultaneously acted as a fundamental mechanism for increasing the power and influence of 'experts': i.e. the IT consultancy industry and its supporters within government and public services. The result is the emergence of a power loop in which consultants occupy influential positions in government and public policy circles and then act as powerful agents in promoting the development of both e-government 'solutions' and the technology and expertise these require to 'deliver' the promised outcomes. This creates further opportunities for shaping and controlling e-government policy and for more 'experts' to enter the e-government environment, thus increasing the power and influence of the 'consultocracy'. The loop is thus self-perpetuating and, more importantly, enduring, due to the ideological and cultural environment that surrounds and underpins it. The paper concludes by arguing that while it was, and remains, the case that there are legitimate reasons why the consultancy industry has a role in government and public services, the extent of the power and influence of the industry and its supporters in the e-government policy domain, and over the technological capability on which e-government depends, poses significant questions as to whose interests the industry best serves. Furthermore, whether this is detrimental to the development of best value/cost effective systems to deliver public services, and whether the basis and extent of these relations undermines the credibility and legitimacy of the policy process, and thus of democratic governance generally, remains an open question.</t>
  </si>
  <si>
    <t>Horrocks, Ivan/0000-0002-0139-3702</t>
  </si>
  <si>
    <t>1369-118X</t>
  </si>
  <si>
    <t>10.1080/13691180802109030</t>
  </si>
  <si>
    <t>WOS:000207870700005</t>
  </si>
  <si>
    <t>Bamiro, OA</t>
  </si>
  <si>
    <t>Bamiro, O. A.</t>
  </si>
  <si>
    <t>A framework for the strategic design of science and technology policy for African development</t>
  </si>
  <si>
    <t>AFRICAN DEVELOPMENT REVIEW-REVUE AFRICAINE DE DEVELOPPEMENT</t>
  </si>
  <si>
    <t>African Economic Conference (AEC)</t>
  </si>
  <si>
    <t>NOV 22-24, 2006</t>
  </si>
  <si>
    <t>Tunis, TUNISIA</t>
  </si>
  <si>
    <t>The key role of science and technology and the ways in which it can be developed and deployed to achieve the identified goals of development in Africa are articulated in this paper. Notable projects, programmes, declarations etc. addressing issues of development of Africa are: the Millennium Development Goals (MDGs), aimed at poverty reduction over a stipulated period of time with globally defined measurable indicators of progress; the World Summit on Sustainable Development (WSSD); the Blair Commission Report for Africa; and the New Partnership for African Development (NEPAD) targeted at repositioning Africa in the world economy. During the WSSD Summit process, the Johannesburg Plan of Implementation (JPOI) identified the three pillars of sustainable development as the economic, environmental and social pillars, and emphasized the fact that 'science and technology must be placed at the heart of policies to promote sustainable development'. It is shown in this paper that many of the means of implementation of the various development initiatives are not related only to science and technology, but, in reality, to science, engineering, technology and innovation (SETI). SETI is elaborated upon in order to gain a practical insight into the nature of each element. This sets the stage for the identification of two categories of technological capabilities that a country must seek to develop: (1) the firm/enterprise- level technological capability (FLTC) based on the technology of the firm, comprising six elements of capabilities that African firms and enterprises must seek to develop in varying degrees to meet the challenges in the local and global market place; and (2) the national level technological capability (NLTC) which defines the environment within which firms and enterprises operate, and has as its elements the capital goods manufacturing capability, the educational and training infrastructure for the production of the requisite technological manpower, the technomanagerial consultancy service capability to handle project packaging, the R&amp; D capability for innovative development of products and processes, the financial infrastructure, and the S&amp; T information infrastructure leveraging on the existing information and communication technology (ICT) infrastructure in the country. African governments are expected to evolve policies and programmes to develop the various elements of the NLTC while encouraging firms/enterprises to acquire requisite FLTC for their operations. It is noted that these capabilities increase or diminish over time depending on the activities of firms/enterprises and governments in response to changing environments both locally and in the international technology markets. The paper concludes with the introduction of the concept of a national system of innovation (NSI) as a useful framework for SETI policy formulation since it makes explicit the many different kinds of inputs that are necessary to produce an economy that is innovative and hence competitive in today's increasingly globalized markets. It is noted that the first NEPAD Ministerial Conference on Science and Technology adopted the NSI framework and directed the NEPAD Secretariat to initiate activities that would generate an African Innovation Outlook (AIO), that is, a comprehensive profile or survey of the innovation landscape. Although several developed and developing countries in the world have carried out reviews of their national innovation systems towards evolving concrete and focused plans of implementation to achieve identified national developments objectives, only South Africa has so far carried out such a review in Africa. The lessons from the reviews carried out in South Africa and Pakistan are presented to accentuate the need for African countries to undertake such exercise as a way to develop integrated and productive SETI policies.</t>
  </si>
  <si>
    <t>1017-6772</t>
  </si>
  <si>
    <t>1467-8268</t>
  </si>
  <si>
    <t>10.1111/j.1467-8268.2007.00152.x</t>
  </si>
  <si>
    <t>WOS:000250402100009</t>
  </si>
  <si>
    <t>Vogtlander, JG; Bijma, A; Brezet, HC</t>
  </si>
  <si>
    <t>Communicating the eco-efficiency of products and services by means of the eco-costs/value model</t>
  </si>
  <si>
    <t>At the Delft University of Technology, a new model has been developed to describe the sustainability of products, the `EVR model'. This model comprises two concepts: the `virtual eco-costs' as a LCA-based single indicator for environmental impact the EVR (Eco-costs/Value Ratio) as an indicator for eco-efficiency In this publication, an experiment is described to test whether the EVR model leads to a good understanding of the eco-efficiency, of a product-service combination. In this experiment three separate groups of 8-11 people were asked to rank four alternative solutions of a product-service system (the after sales service and the maintenance service of an induction plate cooker) both in terms of sustainability and of general preference. The three respective groups were: customers (among whom representatives of consumer organizations) business representatives from the manufacturing company of the induction plate cookers governmental representatives (employees of the Dutch ministries of environmental affairs and economic affairs, and of the Dutch provinces as well as consultants involved in governmental policies), all experts in the field of sustainability The basic idea was to ask each group to rank the four alternatives after three levels of information input: Level 1: basic explanation of the four alternatives. Some major features and characteristics such as price were given, but no environmental data. Level 2: on explanation of an LCA of the four alternatives, given in nine impact classes and the Eco-indicator 95. Level 3: an explanation of the EVR model and the EVR data of the four alternatives. Each time the group was asked to rank the proposed alternatives in terms of expected environmental performance and of `best choice in general' (`Which system would you have bought in a real life situation?'). From the experiments it can be concluded that: The concept of eco-costs was accepted by the majority of the non-experts: they based their ranking on it. and they preferred it rather than direct LCA output or the damage based eco-indicator 95 data. The environmental experts in the governmental group did not directly accept the concept of eco-costs model (they wanted in depth information first); they tended to stick to their existing knowledge of LCA data and the Eco-indicator 95. 'Overall' preferences of the customers and business representatives were primarily ranked on the `perceived value'/costs ratio of the product-service combination; the sustainability of the product-service combination played a secondary role. (C) 2001 Elsevier Science Ltd. All rights reserved.</t>
  </si>
  <si>
    <t>PII S0959-6526(01)00013-0</t>
  </si>
  <si>
    <t>10.1016/S0959-6526(01)00013-0</t>
  </si>
  <si>
    <t>WOS:000174290000008</t>
  </si>
  <si>
    <t>Saunders, R; Stephens, A</t>
  </si>
  <si>
    <t>Mount stirling: Political and environmental convergence for sustainable development</t>
  </si>
  <si>
    <t>ENVIRONMENTAL IMPACT ASSESSMENT REVIEW</t>
  </si>
  <si>
    <t>The paper briefly reports the environmental impact assessment (EIA) process undertaken in 1994-1996 into the future of Mount Stirling in Victoria, Australia, which was targeted for development as an integrated ski resort. The EIA process was preceded by extreme controversy about the proposed use of the mountain for downhill skiing and the use of a legal injunction to stall the proposed development. It represents a rare example where government used the EIA process to find the best overall solution to a public policy issue. A consultative committee (including interest groups and community representatives) was involved in scoping the environmental impact statement (EIS), writing the study brief; selecting a consultant, and guiding the preparation of the EIS. A framework for evaluating alternatives based on sustainable development principles was developed during preparation of the EIS. A number of alternatives, ranging from no development to a comprehensive ski resort and village, were generated; and natural, social and economic data were integrated in the analysis of alternatives. An independent panel was appointed to hear submissions on all alternatives and to recommend the best solution to government. The case study reinforced two key premises. First, it underscored the value of undertaking a strategic assessment that incorporated a wide range of alternatives, and integrated technical, environmental, social and economic information in the EIS and decision-making process. Second, it demonstrates that environmental dispute resolution can be achieved through a focus on the requirements of distributive, procedural, and relational justice. (C) 1999 Elsevier Science Inc.</t>
  </si>
  <si>
    <t>0195-9255</t>
  </si>
  <si>
    <t>1873-6432</t>
  </si>
  <si>
    <t>MAY</t>
  </si>
  <si>
    <t>10.1016/S0195-9255(99)00006-2</t>
  </si>
  <si>
    <t>WOS:000080788100007</t>
  </si>
  <si>
    <t>Hall, MH; Morriss, SD; Kuiper, D</t>
  </si>
  <si>
    <t>Privatization of agricultural extension in New Zealand: Implications for the environment and sustainable agriculture</t>
  </si>
  <si>
    <t>JOURNAL OF SUSTAINABLE AGRICULTURE</t>
  </si>
  <si>
    <t>Government intervention has been an integral part of agricultural policy in most industrialized countries throughout the last half of the twentieth century. Unfortunately, many of the agricultural problems (e.g., market instability, low returns on capital, falling farm incomes, farm failures) that government interventions were intended to correct are still problems today. The combined effects of these policy failures of the past and the General Agreement on Tariffs and Trade (GATT) are stimulating countries around the world to begin dismantling their agricultural intervention programs. Movement toward more market economies also frequently includes eliminating or reducing governmental educational and incentive programs including those designed to encourage the adoption of sustainable environmental practices by farmers. Our objectives, therefore, are to explore the potential environmental consequences of dismantling governmental agricultural intervention in extension by taking a close look at New Zealand's experiences. At the time New Zealand began restructuring its agricultural assistance programs, education and extension programs concerned with environmental management on farms, were few and in their infancy. Consequently, it is difficult to assess the effect, if any, that commercialization of New Zealand's extension service had on environmental programming, or for that matter the environment. More recently, environmental-educational programs are being conducted via new and alternative vehicles. These have included government contracts with private farm consultants. In addition, early indications were that environmentally unsustainable activities, e.g., development of environmentally sensitive land for pastoral farming, has declined due largely to the removal of subsidies which encouraged these practices. However, in some other cases, on-farm activities that have the potential to adversely affect the environment have begun to increase again. This time, however, it is in response to market rather than subsidies signals. Not all experiences from the New Zealand situation are applicable to other countries contemplating or initiating reductions in government intervention into agriculture. However, several experiences from the current privatization initiatives provide insight into making the transition with less threat to the environment.</t>
  </si>
  <si>
    <t>1044-0046</t>
  </si>
  <si>
    <t>1540-7578</t>
  </si>
  <si>
    <t>10.1300/J064v14n01_06</t>
  </si>
  <si>
    <t>WOS:000082060300005</t>
  </si>
  <si>
    <t>Hall, MH; Kuiper, D</t>
  </si>
  <si>
    <t>Commercialization and privatization of agricultural extension: The New Zealand experience</t>
  </si>
  <si>
    <t>JOURNAL OF PRODUCTION AGRICULTURE</t>
  </si>
  <si>
    <t>The U.S. Cooperative Extension System (USCES) fates some serious challenges. Its relevancy and necessity are under continuous scrutiny as the number of farmers and the political power of the agricultural vote diminishes. These challenges provide an excellent opportunity to explore alternative sources of funding for the USCES and methods of technology transfer to farmers. Our objectives were to review the process and results of commercialization (the transition to user-paid consultancy) and privatization (the transition from government to privately owened) of New Zealand's agricultural extension service. Full commercialization of the New Zealand extension service took nearly 9 yr (1986 to 1994) and 3 yr (1992 to 1995) of negotiating before it was sold to a private company. During the commercialization process, the market for paid advisors increased and many of them left the public extension service to become private agricultural consultants. Many farmers were initially unwilling to pay for consultancy services. On the other hand, implementation of advice and adoption of new technologies has been greater among farmers when advice and technology are purchased than when they are provided free. Since the commercialization of publicly funded extension, farmer cooperatives and commodity boards have begun to provide free or low cost services to transfer information to farmers. Educational models and goals, and client-advisor relationships have also changed as a result of user-pays. The commercialization and privatization of publicly funded agricultural extension is a relatively new process and its affect on the long-term sustainability of agriculture within a country are uncertain. Consequently, additional in-depth investigation into the process and its long-term consequences on agricultural productivity, profitability, and social well-being should be completed before initiating such a plan in the USA.</t>
  </si>
  <si>
    <t>0890-8524</t>
  </si>
  <si>
    <t>JAN-MAR</t>
  </si>
  <si>
    <t>10.2134/jpa1998.0135</t>
  </si>
  <si>
    <t>WOS:000072681800018</t>
  </si>
  <si>
    <t>Kalaitzake, M</t>
  </si>
  <si>
    <t>Kalaitzake, Manolis</t>
  </si>
  <si>
    <t>Accounting for success: The Big Four as allies of finance in post crisis regulatory reform</t>
  </si>
  <si>
    <t>BUSINESS AND POLITICS</t>
  </si>
  <si>
    <t>This paper argues that the Big Four accountancy firms-Price water house Coopers, Deloitte, Ernst &amp; Young, KPMG-operate as key political allies of the financial sector within financial regulatory battles. Leveraging the theoretical notion of actor plurality within the policymaking process, I demonstrate how, in the case of the European Union Financial Transaction Tax (FTT) initiative, accountancy professionals offered crucial support for the financial sector. They did so by disseminating key oppositional claims against the FTT proposal, developing tax mitigation and relocation strategies, preparing negative impact assessments, and advising on lobbying tactics. This allied stance of the Big Four is primarily a consequence of the ways in which their commercial priorities have been fundamentally transformed by the provision of consultancy services within the modern global economy. Moreover, the paper shows how accountancy experts are deeply embedded within a network of professional relationships that fosters substantive policy alignment between the Big Four and prominent financial lobbying groups. By highlighting the overlooked role of the major accountancy firms within post crisis regulatory reform, the study illuminates the unequal power relations that permeate financialized societies and contributes to a deeper understanding of how financial preferences continue to prevail within the policymaking process.</t>
  </si>
  <si>
    <t>Kalaitzake, Manolis/0000-0002-3616-2373</t>
  </si>
  <si>
    <t>1469-3569</t>
  </si>
  <si>
    <t>10.1017/bap.2019.6</t>
  </si>
  <si>
    <t>WOS:000513003000001</t>
  </si>
  <si>
    <t>ROBINSON, KJ; RAGAN, RM</t>
  </si>
  <si>
    <t>GEOGRAPHIC INFORMATION-SYSTEM BASED NONPOINT POLLUTION MODELING</t>
  </si>
  <si>
    <t>WATER RESOURCES BULLETIN</t>
  </si>
  <si>
    <t>The reauthorization of the Clean Water Act reemphasizes the need for regional scale monitoring and management of nonpoint pollution loads. The magnitude of the task will require that local governments and their consultants integrate information systems and modeling if they are to manage the massive data sets and conduct the array of simulations that will be needed to support the decision making processes. Interfacing geographic information systems (GIS) and nonpoint pollution modeling is a logical approach. The objective of the present study was to use the 37,000-acre area defined by the Kensington Quadrangle sheet in Montgomery County, Maryland, to show that GIS-supported nonpoint pollution modeling is practical and economically attractive. The purpose of the GIS is to estimate the spatial distribution of nonpoint nitrogen, phosphorous, zinc, lead, BOD, and sediment using a model developed by the Northern Virginia Planning District Commission. The system allows the user to change land. uses in subareas to simulate the consequences of additional development or alternate management strategies. The tests show that in-house development of this type of special purpose GIS is a practical alternative to vendor supplied systems and that the required databases can be developed quite reasonably.</t>
  </si>
  <si>
    <t>0043-1370</t>
  </si>
  <si>
    <t>NOV-DEC</t>
  </si>
  <si>
    <t>WOS:A1993MW60300017</t>
  </si>
  <si>
    <t>Schor, EL; Billingsley, MM; Golden, AL; McMillan, JA; Meloy, LD; Pendarvis, BC; Coleman, WL; Wertlieb, D; Milazzo, C</t>
  </si>
  <si>
    <t>Report of the task force on the family</t>
  </si>
  <si>
    <t>PEDIATRICS</t>
  </si>
  <si>
    <t>The practice of pediatrics is unique among medical specialties in many ways, among which is the nearly certain presence of a parent when health care services are provided for the patient. Regardless of whether parents or other family members are physically present, their influence is pervasive. Families are the most central and enduring influence in children's lives. Parents are also central in pediatric care. The health and well- being of children are inextricably linked to their parents' physical, emotional and social health, social circumstances, and child- rearing practices. The rising incidence of behavior problems among children attests to some families' inability to cope with the increasing stresses they are experiencing and their need for assistance. When a family's distress finds its voice in a child's symptoms, pediatricians are often parents' first source for help. There is enormous diversity among families - diversity in the composition of families, in their ethnic and racial heritage, in their religious and spiritual orientation, in how they communicate, in the time they spend together, in their commitment to individual family members, in their connections to their community, in their experiences, and in their ability to adapt to stress. Within families, individuals are different from one another as well. Pediatricians are especially sensitive to differences among children - in their temperaments and personalities, in their innate and learned abilities, and in how they view themselves and respond to the world around them. It is remarkable and a testament to the effort of parents and to the resilience of children that most families function well and most children succeed in life. Family life in the United States has been subjected to extensive scrutiny and frequent commentary, yet even when those activities have been informed by research, they tend to be influenced by personal experience within families and by individual and cultural beliefs about how society and family life ought to be. The process of formulating recommendations for pediatric practice, public policy, professional education, and research requires reaching consensus on some core values and principles about family life and family functioning as they affect children, knowing that some philosophic disagreements will remain unresolved. The growing multicultural character of the country will likely heighten awareness of our diversity. Many characteristics of families have changed during the past 3 to 5 decades. Families without children younger than 18 years have increased substantially, and they are now the majority. The average age at marriage has increased, and a greater proportion of births is occurring to women older than 30 years. Between 1970 and 2000, the proportion of children in 2- parent families decreased from 85% to 69%, and more than one quarter ( 26%) of all children live with a single parent, usually their mother. Most of this change reflects a dramatic increase in the rate of births to unmarried women that went from 5.3% in 1960 to 33.2% in 2000. Another factor in this change is a slowly decreasing but still high divorce rate that is roughly double what it was in the mid- 1950s. Family income is strongly related to children's health, and the financial resources that families have available are closely tied to changes in family structure. Family income in real dollars has trended up for many decades, but the benefits have not been shared equally. For example, the median income of families with married parents has increased by 146% since 1970, but female- headed households have experienced a growth of 131%. More striking is that in 2000, the median income of female-headed households was only 47% of that of married-couple families and only 65% of that of families with 2 married parents in which the wife was not employed. Not surprising, the proportion of children who live in poverty is approximately 5 times greater for female-headed families than for married- couple families. The composition of children's families and the time parents have for their children affect child rearing. Consequent to the increase in female- headed households, rising economic and personal need, and increased opportunities for women, the proportion of mothers who are in the workforce has climbed steadily over the past several decades. Currently, approximately two thirds of all mothers with children younger than 18 years are employed. Most families with young children depend on child care, and most child care is not of good quality. Reliance on child care involves longer days for children and families, the stress imposed by schedules and created by transitions, exposure to infections, and considerable cost. An increasing number and proportion of parents are also devoting time previously available to their children to the care of their own parents. The so- called  sandwich generation of parents is being pulled in multiple directions. The amount and use of family time also has changed with a lengthening workday, including the amount of commuting time necessary to travel between work and home, and with the intrusion of television and computers into family life. In public opinion polls, most parents report that they believe it is more difficult to be a parent now than it used to be; people seem to feel more isolated, social and media pressures on and enticements of their children seem greater, and the world seems to be a more dangerous place. Social and public policy has not kept up with these changes, leaving families stretched for time and stressed to cope and meet their responsibilities. What can and what should pediatrics do to help families raise healthy and well- adjusted children? How can individual pediatricians better support families? Family Pediatrics The American Academy of Pediatrics ( AAP) Board of Directors appointed the Task Force on the Family to help guide the development of public policy and recommend how to assist pediatricians to promote well- functioning families ( see Appendix). The magnitude of the assigned work required task force members to learn a great deal from research and researchers in the fields of social and behavioral sciences. A review of some critical literature was completed by a consultant to the task force and accompanies this report. That review identified a convergence of pediatrics and research on families by other disciplines. The task force found that a great deal is known about family functioning and family circumstances that affect children. With this knowledge, it is possible to provide pediatric care in a way that promotes successful families and good outcomes for children. The task force refers to that type of care as  family- oriented care or  family pediatrics and strongly endorses policies and practices that promote the adoption of this 2- generational approach as a hallmark of pediatrics. During the past decade, family advocates have successfully promoted family- centered care,  the philosophies, principles and practices that put the family at the heart or center of services; the family as the driving force. Most pediatricians report that they involve families in the decision making regarding the health care of their child and make an effort to understand the needs of the family as well as the child. Family pediatrics, like family- centered care, requires an active, productive partnership between the pediatrician and the family. But family pediatrics extends the responsibilities of the pediatrician to include screening, assessment, and referral of parents for physical, emotional, or social problems or health risk behaviors that can adversely affect the health and emotional or social well- being of their child. Family Context of Child Health The power and importance of families to children arises out of the extended duration for which children are dependent on adults to meet their basic needs. Children's needs for which only a family can provide include social support, socialization, and coping and life skills. Their self- esteem grows from being cared for, loved, and valued and feeling that they are part of a social unit that shares values, communicates openly, and provides companionship. Families transmit and interpret values to their children and often serve as children's connection to the larger world, especially during the early years of life. Although schools provide formal education, families teach children how to get along in the world. Often, efforts to discuss families and make recommendations regarding practice or policy stumble over disagreements about the definition of a family. The task force recognized the diversity of families and chose not to operate from the position of a fixed definition. Rather, the task force, which was to address pediatrics, decided to frame its deliberations and recommendations around the functions of families and how various aspects of the family context influence child rearing and child health. One model of family functioning that implicitly guided the task force is the family stress model ( Fig 1). Stress of various sorts ( eg, financial or health problems, lack of social support, unhappiness at work, unfortunate life events) can cause parents emotional distress and cause couples conflict and difficulty with their relationship. These responses to stress then disrupt parenting and the interactions between parent and child and can lead to short- term or lasting poor outcomes. The earlier these events transpire and the longer that the disruption lasts, the worse the outcomes for children. The task force favors efforts to encourage and support marriage yet recognizes that every family constellation can produce good outcomes for children and that none is certain to yield bad ones. Unequivocally, children do best when they are living with 2 mutually committed and loving parents who respect and support one another, who have adequate social and financial resources, and who are actively engaged in the upbringing of their children. Conclusions From its discussions with family experts, its review of research literature, and its own intensive discussions, the task force was able to draw about the American family a limited number of conclusions that are relevant to pediatrics. Two overriding conclusions were apparent. First, children's outcomes - their physical and emotional health and their cognitive and social functioning - are strongly influenced by how well their families function. Second, there is much that practicing pediatricians can do to help nurture and support families and, thus, promote optimal family functioning and children's outcomes. Other conclusions were organized into 4 categories: 1) family function and structure, 2) family circumstances, 3) pediatric practice, and 4) policy. Within the first category, there are conclusions about the effect of family structure, values, beliefs, roles, and relationships on child rearing and child outcomes. The second category, family circumstances, summarizes information on the emotional climate within and outside the home that can promote or impede children's healthy development. Third, to provide appropriate care for children, pediatricians must expand their practices to encompass the assessment of family relationships, health, and behaviors. They must have the skills and comfort to inquire and learn about individual families, address family issues realistically, and link families to support groups and community resources. Pediatricians' ability to practice family pediatrics is influenced by training, personal experience and orientation, the work environment, and professional relationships. Finally, there is a need to develop policies that support reimbursement of pediatricians for services for families; that acknowledge the importance of marriage, parenting, and families for children; and that set clear expectations for parents while providing opportunities for them to obtain desired support. Recommendations The task force intended that its recommendations follow logically from the conclusions it was able to draw. The scope of family issues that were reviewed and discussed was very wide; consequently, in some cases, the conclusions are broad and the associated recommendations are numerous. The 80 recommendations also were organized into 4 categories to facilitate their consideration by individual physicians and various bodies within the pediatric profession. The first category, education, offers suggestions on family content for resident training and for continuing education for practitioners. It also contains some guidance on priority topics that should be addressed by parent education materials published by the AAP. The second category, policy and advocacy, suggests public policy positions that would support families and promote good child outcomes. It also addresses reimbursement policies, including diagnostic and procedure coding, which could enable pediatricians to practice family pediatrics. Some suggestions for internal AAP policies that would highlight the importance of a family orientation for the organization also are provided. Finally, opportunities are identified for the AAP to promote local and national policies and activities that support and strengthen families through its chapters and its relationships with other professional organizations. The third and most extensive category comprises recommendations about pediatric practice. This category includes suggestions for how pediatricians can modify their practice behaviors to promote good family functioning and effective parenting. Included are recommendations for how pediatricians can help strengthen parental partnerships in different family types, screen for family circumstances that put children at risk, and help create family- friendly practice environments. For additional guidance, some characteristics of a family- friendly pediatrician are listed in the final table of the report. The final category makes recommendations for research that the AAP should encourage or undertake to better enable pediatricians to provide family- oriented care. Areas for research include the mechanics, content, and effectiveness of family- oriented pediatrics practice; public policies and programs that promote family functioning and family- oriented care; and progress toward adopting the principles and content of family pediatrics among health care organizations, insurers, and AAP members. Taken as a whole, the recommendations provide a comprehensive plan for the AAP and pediatricians to assist families to function well and meet the needs of their children. The scope of work that is required is extensive and touches on nearly every aspect of the work done by the organization. It also requires modifications in pediatric practices to accommodate changes in the characteristics and circumstances of families that are served. Next Steps to Ensure Implementation The task force report is only the first step in what needs to be an ongoing process to ensure that children's health care is effectively provided in the context of their families. Attention to families should become integrated into the work of the AAP. This report should be reviewed and discussed by AAP staff, committees, sections, and members to determine which recommendations apply to their work and to plan strategies for their implementation. A single entity needs to take ongoing responsibility for monitoring and promoting activities related to the task force's recommendations. These responsibilities should be assigned with high priority to a standing committee of the AAP.</t>
  </si>
  <si>
    <t>0031-4005</t>
  </si>
  <si>
    <t>1098-4275</t>
  </si>
  <si>
    <t>S</t>
  </si>
  <si>
    <t>WOS:000183696300002</t>
  </si>
  <si>
    <t>Bartke, S; Boekhold, AE; Brils, J; Grimski, D; Ferber, U; Gorgon, J; Guerin, V; Makeschin, F; Maring, L; Nathanail, CP; Villeneuve, J; Zeyer, J; Schroter-Schlaack, C</t>
  </si>
  <si>
    <t>Bartke, Stephan; Boekhold, Alexandra E.; Brils, Jos; Grimski, Detlef; Ferber, Uwe; Gorgon, Justyna; Guerin, Valerie; Makeschin, Franz; Maring, Linda; Nathanail, C. Paul; Villeneuve, Jacques; Zeyer, Josef; Schroeter-Schlaack, Christoph</t>
  </si>
  <si>
    <t>Soil and land use research in Europe: Lessons learned from INSPIRATION bottom-up strategic research agenda setting</t>
  </si>
  <si>
    <t>SCIENCE OF THE TOTAL ENVIRONMENT</t>
  </si>
  <si>
    <t>We introduce the INSPIRATION bottom-up approach for the development of a strategic research agenda for spatial planning, land use and soil-sediment-water-system management in Europe. Research and innovation needs were identified by more than 500 European funders, endusers, scientists, policy makers, public administrators and consultants. We report both on the concept and on the implementation of the bottom-up approach, provide a critique of the process and draw key lessons for the development of research agendas in the future. Based on identified strengths and weaknesses we identified as key opportunities and threats 1) a high ranking and attentiveness for the research topics on the political agenda, in press and media or in public awareness, 2) availability of funding for research, 3) the resources available for creating the agenda itself, 4) the role of the sponsor of the agenda development, and 5) the continuity of stakeholder engagement as bases for identification of windows of opportunity, creating ownership for the agenda and facilitating its implementation. Our derived key recommendations are 1) a clear definition of the area for which the agenda is to be developed and for the targeted user, 2) a conceptual model to structure the agenda, 3) making clear the expected roles, tasks, input formats regarding the involvement and communication with the stakeholders and project partners, 4) a sufficient number of iterations and checks of the agenda with stakeholders to insure completeness, relevance and creation of co-ownership for the agenda, and 5) from the beginning prepare the infrastructure for the network to implement the agenda. (c) 2017 Elsevier B.V. All rights reserved.</t>
  </si>
  <si>
    <t>0048-9697</t>
  </si>
  <si>
    <t>1879-1026</t>
  </si>
  <si>
    <t>MAY 1</t>
  </si>
  <si>
    <t>10.1016/j.scitotenv.2017.11.335</t>
  </si>
  <si>
    <t>WOS:000426349000137</t>
  </si>
  <si>
    <t>Ak, M; Yanmaz, AM; Kentel, E</t>
  </si>
  <si>
    <t>Ak, M.; Yanmaz, A. M.; Kentel, E.</t>
  </si>
  <si>
    <t>A comparative study on energy income estimation: A case study in Turkey</t>
  </si>
  <si>
    <t>Hydropower is the main domestic energy resource of Turkey. The total gross and the economically feasible hydropower potentials of Turkey are estimated as 433 TWh/yr and 127 TWh/yr, respectively, by the General Directorate of State Hydraulic Works (DSI) of the Ministry of Forestry and Water Affairs.(1) Approximately 35% of the economically feasible hydropower potential is currently being utilized. The government accelerated the development of the unused potential by enabling the private sector to build and operate hydroelectric power plants. The primary goal of a feasibility study is the determination of the best installed capacity through economic analysis, which is based on evaluation of energy incomes and investment costs associated with alternative installed capacities. Generally, it is relatively easy to realistically estimate the investment costs. On the other hand, energy income estimation is not a straight forward process; a number of different methods which result in different income estimates are being used in Turkey. The General Directorate of Renewable Energy (YEGM) of the Ministry and Natural Resources and 1351 recommend similar methods for energy income estimation based on firm and secondary energy generations. However, suggested unit prices for firm and secondary energy generations by DSI and YEGM are quite different, which results in different energy income estimations. Apart from these two methods, consultancy firms, unlike DSI and YEGM, use a single unit price for energy without making any distinction between firm and secondary energies. In all three methods fixed energy prices are used. Nevertheless these approaches do not represent the current situation in Turkey, since the electricity market allows development of hourly electricity prices. In this study, a new energy income estimation method which utilizes hourly electricity prices, called the Variable Price Method is developed. Results of these four methods are compared for a case study, namely Altiparmak Hydroelectric Power Plant. (C) 2014 Elsevier Ltd. All rights reserved.</t>
  </si>
  <si>
    <t>10.1016/j.rser.2014.07.012</t>
  </si>
  <si>
    <t>WOS:000341676100054</t>
  </si>
  <si>
    <t>Corwin, DL; Scudiero, E</t>
  </si>
  <si>
    <t>Sparks, DL</t>
  </si>
  <si>
    <t>Corwin, D. L.; Scudiero, E.</t>
  </si>
  <si>
    <t>Review of soil salinity assessment for agriculture across multiple scales using proximal and/or remote sensors</t>
  </si>
  <si>
    <t>ADVANCES IN AGRONOMY, VOL 158</t>
  </si>
  <si>
    <t>Advances in Agronomy</t>
  </si>
  <si>
    <t>Mapping and monitoring soil spatial variability is particularly problematic for temporally and spatially dynamic properties such as soil salinity. The tools necessary to address this classic problem only reached maturity within the past 2 decades to enable field- to regional-scale salinity assessment of the root zone, including GPS, GIS, geophysical techniques involving proximal and remote sensors, and a greater understanding of apparent soil electrical conductivity (ECa) and multi- and hyper-spectral imagery. The concurrent development and application of these tools have made it possible to map soil salinity across multiple scales, which back in the 1980s was prohibitively expensive and impractical even at field scale. The combination of ECa-directed soil sampling and remote imagery has played a key role in mapping and monitoring soil salinity at large spatial extents with accuracy sufficient for applications ranging from field-scale site-specific management to statewide water allocation management to control salinity within irrigation districts. The objective of this paper is: (i) to present a review of the geophysical and remote imagery techniques used to assess soil salinity variability within the root zone from field to regional scales; (ii) to elucidate gaps in our knowledge and understanding of mapping soil salinity; and (iii) to synthesize existing knowledge to give new insight into the direction soil salinity mapping is heading to benefit policy makers, land resource managers, producers, agriculture consultants, extension specialists, and resource conservation field staff. The review covers the need and justification for mapping and monitoring salinity, basic concepts of soil salinity and its measurement, past geophysical and remote imagery research critical to salinity assessment, current approaches for mapping salinity at different scales, milestones in multi-scale salinity assessment, and future direction of field- to regional-scale salinity assessment.</t>
  </si>
  <si>
    <t>0065-2113</t>
  </si>
  <si>
    <t>978-0-12-817413-5; 978-0-12-817412-8</t>
  </si>
  <si>
    <t>10.1016/bs.agron.2019.07.001</t>
  </si>
  <si>
    <t>WOS:000516525800002</t>
  </si>
  <si>
    <t>Hilkens, A; Reid, JI; Klerkx, L; Gray, DI</t>
  </si>
  <si>
    <t>Hilkens, Aniek; Reid, Janet I.; Klerkx, Laurens; Gray, David I.</t>
  </si>
  <si>
    <t>Money talk: How relations between farmers and advisors around financial management are shaped</t>
  </si>
  <si>
    <t>JOURNAL OF RURAL STUDIES</t>
  </si>
  <si>
    <t>The nature of interactions between farmers and advisors is the focus of a growing body of research. While many studies explore the potential role of advisors in facilitating farmers' practice change in practices related to agricultural production such as soil, water, pest and animal health management, studies that specifically investigate how advisors support farmers with financial management (FM) are limited. The contribution this paper makes is to identify who farmers' FM advisors are and to shed light on how fanner-advisor interactions about FM are shaped. Semi-structured interviews with both farmers and a range of advisors (bankers, accountants, farm management consultants, specialist financial advisors and industry funded advisors) were conducted. The main findings are that farm financial information and FM are considered to be sensitive topics and being good at FM is not central to farmers' identity (relative to e.g. production management). Due to the sensitivity and taboo around the topic and the low level of interest in FM, most farmers do not actively seek to acquire financial advice. Farmers most openly discuss FM with their banker and accountant and some seek advice from farm management consultants. Advice seeking from other advisors was limited. Theoretical implications are that FM as a topic of advice introduces unique dynamics to interactions between farmer and advisor, which highlights the importance of better consideration of taboo and sensitive topics in advisory interactions. Furthermore, the findings on how the bankers' authority impacts on the advisory relationship with farmers indicated that issues of power in view of such authoritative advisory relationships need to be better considered. To enhance effective provisioning on FM advice, policy could focus on improving the match between demand and supply, and help create awareness about the importance of discussing FM to reduce the sensitivity of the topic.</t>
  </si>
  <si>
    <t>0743-0167</t>
  </si>
  <si>
    <t>10.1016/j.jrurstud.2018.09.002</t>
  </si>
  <si>
    <t>WOS:000448097500009</t>
  </si>
  <si>
    <t>STURROCK, RF</t>
  </si>
  <si>
    <t>HARMONIZATION OF RESEARCH AND CONTROL IN SCHISTOSOMIASIS</t>
  </si>
  <si>
    <t>MEMORIAS DO INSTITUTO OSWALDO CRUZ</t>
  </si>
  <si>
    <t>3RD INTERNATIONAL SYMP ON SCHISTOSOMIASIS / 3RD NATIONAL MEETING ON SCHISTOSOMIASIS</t>
  </si>
  <si>
    <t>OCT 20-25, 1991</t>
  </si>
  <si>
    <t>RECIFE, BRAZIL</t>
  </si>
  <si>
    <t>FUNDACAO OSWALDO CRUZ, CTR PESQUISAS AGGEU MAGALHAES</t>
  </si>
  <si>
    <t>I have been employed by several different organizations during over 30 years working on schistosomiasis, the majority spent in endemic areas of the Caribbean, South America, Africa and the Western Pacific. Much of the work is best classified as applied research but sometimes it strayed to the extremes of either public health control programmes or pure research. Over this period, there have been several significant research developments that have altered our whole approach to control. Ideally, research and control should complement each other but, in reality, they sometimes have conflicting objectives. Public health workers understandably wish to provide immediate, short-term protection to the communities in their care, but research workers may, within ethical limits, reasonably want to observe untreated communities for extended periods in order to understand the underlying processes of transmission, disease pathogenesis and immunity to help develop more effective control measures. An example of this situation has occurred recently in Senegal where water development projects seem to have favoured the introduction and spred of Schistosoma mansoni in the Senegal River Basin. I have been asked to be the scientific consultant to the newly formed ESPOIR programme, linking European research organizations and the Senegal Ministry of Health, to reconcile the conflicting aims of public health workers, wishing to use whatever funds can be obtained for an immediate chemotherapy to try to eliminate the focus, at present confined to the vicinity of a relatively small, commercially run sugar irrigation scheme; and research workers who see a rare chance to study the development of immune mechanisms in a adults in a community not previously exposed to the infection. This information could prove invaluable in understanding the development of immunity and the pathogenesis of disease, leading eventually to the development of vaccines to revolutionise the future approach to schistosomiasis control. Some of our pro,posed solutions will be described in which, without denying such treatment as infected people may ethically require and politically demand, we will attempt to allow the research workers to gather the data they need.</t>
  </si>
  <si>
    <t>0074-0276</t>
  </si>
  <si>
    <t>10.1590/S0074-02761992000800006</t>
  </si>
  <si>
    <t>WOS:A1992LB15000007</t>
  </si>
  <si>
    <t>Sospeter, NG; Rwelamila, PMD; Gimbi, J</t>
  </si>
  <si>
    <t>Sospeter, Nyamagere Gladys; Rwelamila, Pantaleo M. D.; Gimbi, Joaqium</t>
  </si>
  <si>
    <t>Project management challenges for post-disaster reconstruction projects in Angola: a public sector perspective</t>
  </si>
  <si>
    <t>INTERNATIONAL JOURNAL OF MANAGING PROJECTS IN BUSINESS</t>
  </si>
  <si>
    <t>Purpose Despite the extensive research on post-disaster reconstruction projects (PDRP), there is a paucity of studies that examine critical challenges for the project practices in post-war-developing countries, particularly, Africa. The purpose of this research is to investigate the key project management challenges impacting the post-disaster reconstruction projects (PDRP) during the construction and planning stages in Angola, with an aim to fill the knowledge gap. Design/methodology/approach The primary data was collected from 130 project management practitioners working with planning, provincial government organisations including consultants, and contractors within the Angolan public sectors organisations. Response data was subjected to descriptive statistics, mean scores, and inferential statistics (One samplet-tests) and Kendall's concordance. Findings The descriptive and empirical analysis demonstrated a disparity of the ranking of the 21challenges affecting the PDRP among the groups; with statistically significant differences amongst the 10 challenges. Based on the overall sample, 6 out of 10 critical challenges are between (24-25) levels of agreement close to the mean. The results of the mean score ranking indicate that working with poor or restricted access to location, project culture that fits the needs of local people; improving the capacity of local government, minimizing the negative effects of local people and relocation issues by establishing property rights during the reconstruction project were the five critical challenges to managing PDRP whereas improving information and communication processes, securing adequate resources (material and machinery), dealing with rising costs of materials and labour were considered to be the least critical. Research limitations/implications The study was restricted to one province and Country (out of 18) namely, Luanda, Angola. Therefore, the findings may not be generalized to public sector organisations operating in different countries with different contexts, political settings and disaster complexities. Practical implications The establishment of challenges in PDRPs helps the key stakeholders by providing the foundation to project teams to address the challenges during planning and construction stages, and thus improving project delivery in the future. Understanding the uniqueness of PDRPs and interdependency of project management from the implementing organization is of particular value for the managers of future projects and other decision-makers, especially in the emerging countries. Moreover, the findings could be used to reflect on the need to formulate policies appropriate to post disaster environments, which among other issues could address building policies, which could include land ownership regulations and procedures together with property rights. Originality/value This study contributes to the body of knowledge on the subject within a previously unexplored post-war context with a focus on public organizations perspective. The study provides insights on the challenges affecting the post-disaster reconstruction across the Angolan public sector.</t>
  </si>
  <si>
    <t>1753-8378</t>
  </si>
  <si>
    <t>1753-8386</t>
  </si>
  <si>
    <t>10.1108/IJMPB-03-2020-0087</t>
  </si>
  <si>
    <t>SEP 2020</t>
  </si>
  <si>
    <t>WOS:000568048500001</t>
  </si>
  <si>
    <t>Sospeter, NG; Rwetamila, PD; Gimbi, J</t>
  </si>
  <si>
    <t>Sospeter, Nyamagere Gladys; Rwetamila, Pantaleo Daniel; Gimbi, Joaquim</t>
  </si>
  <si>
    <t>Critical success factors for managing post-disaster reconstruction projects: the case of Angola</t>
  </si>
  <si>
    <t>CONSTRUCTION ECONOMICS AND BUILDING</t>
  </si>
  <si>
    <t>Although some studies have been carried out on project management of typical construction projects, little work has been done on what makes Post-Disaster Reconstruction Projects (PDRPs) successful. This paper analyses the Critical Success Factors (CSFs) for implementation of PDRPs in Angola. The paper adopted a survey and interviews. Data was collected from project participants within the ministry of planning, provincial government office of planning and local government in Angola. A questionnaire with closed questions was completed by 130 survey respondents. Semi-structured interviews were conducted with 7 practitioners selected through purposive sampling. The findings indicate that adequate funding, effective planning, competent project managers, good communication, the active involvement of stakeholders, good written contract, political stability, less bureaucracy in the reconstruction process, economic stability and sufficient resources are the CSFs. The findings further revealed that, there are no differences in the responses between the groups especially between managers and consultants and between contractors and consultants. The findings strongly suggest that CSFs are key resources and skills that determine the successful implementation of a project in terms of its direction and benefits and proposes that stakeholders and project managers should consider these factors for best practices when managing PDRPs. Since PDR is context specific, countries with the same economic status, environment and post-disaster event may benefit from the results. Hence, the study offers new insights to gain an understanding of the CSFs that contribute to best PDR practices.</t>
  </si>
  <si>
    <t>1835-6354</t>
  </si>
  <si>
    <t>1837-9133</t>
  </si>
  <si>
    <t>10.5130/AJCEB.v20i3.7298</t>
  </si>
  <si>
    <t>WOS:000570761200003</t>
  </si>
  <si>
    <t>Cherry, MJ</t>
  </si>
  <si>
    <t>Cherry, Mark J.</t>
  </si>
  <si>
    <t>Clinical and Organizational Ethics: Challenges to Methodology and Practice</t>
  </si>
  <si>
    <t>HEC FORUM</t>
  </si>
  <si>
    <t>The day-to-day work of clinical ethics consultants and healthcare ethics committees can easily become overly routine. Too much routine, however, comes with a risk that morally important practices will be reduced to mere bureaucratic formalities, while practitioners become desensitized to ethically significant distinctions between cases. Clinical ethics consultation and organizational ethics must be set within the broader social and cultural context of the healthcare environment. This practice requires looking beyond mere legal compliance and the routinely false assumption that there are unambiguous ethical norms that easily govern clinical ethics and hospital policy formation. Together the essays in this issue ofHEC Forumchallenge readers to rethink taken-for-granted assumptions regarding patient care, physician obligation, clinical ethics consultation, and organizational ethics.</t>
  </si>
  <si>
    <t>0956-2737</t>
  </si>
  <si>
    <t>1572-8498</t>
  </si>
  <si>
    <t>10.1007/s10730-020-09422-8</t>
  </si>
  <si>
    <t>JUL 2020</t>
  </si>
  <si>
    <t>WOS:000554339500001</t>
  </si>
  <si>
    <t>Kassem, MA; Khoiry, MA; Hamzah, N</t>
  </si>
  <si>
    <t>Kassem, Mukhtar A.; Khoiry, Muhamad Azry; Hamzah, Noraini</t>
  </si>
  <si>
    <t>Theoretical review on critical risk factors in oil and gas construction projects in Yemen</t>
  </si>
  <si>
    <t>Purpose The oil and gas construction projects are affected negatively by the drop in oil price in recent years. Thus, most engineering, procurement and construction (EPC) companies are opting to optimize the project mainly to mitigate the source of risks in construction to achieve the project expectation. Risk factors cause a threat to the project objectives regarding time, cost and quality. It is additionally a vital component in deviating from the client's expectation of productivity, safety and standards. This research aims to investigate the causes of risk in the oil and gas construction projects in Yemen. Design/methodology/approach A comprehensive literature review from various sources including books, conference proceedings, the Internet project management journals and oil and gas industry journals was conducted to achieve the objectives of this study. This initial work was predicated strictly on a literature review and the judgments of experts to develop the risk factor framework for the oil and gas construction projects in Yemen. Findings The authors found a few studies related to risk factors in oil and gas construction projects and shared a similar view about general construction projects. However, only a fraction of the factors accepted have included the variances of other studies on a regional basis or specific countries, such as the Yemen situation, due to the differences between the general construction industry and oil and gas industry. Moreover, the factors of these attributes were still accepted due to their applicability to the oil and gas industry, and no significant variances existed between countries. Research has indicated that 51 critical factors cause risks in the oil and gas construction projects in Yemen. Such risk factors can be divided into two major groups: (1) internal risk factors, including seven critical sources of risks, namely client, contractor, consultant, feasibility study and design, tendering and contract, resources and material supply and project management; and (2) external risk factors, including six sources of critical risk factors, namely national economic, political risk, local people, environment and safety, security risk and force-majeure-related risk factors. A risk factor framework was developed to identify the critical risk factors in the oil and gas construction projects in Yemen. Research limitations/implications This research was limited to the oil and gas construction projects. Practical implications Practically, this study highlights the risk factors that cause a negative effect on the success of oil and gas construction projects in Yemen. The identification of these factors is the first step in the risk management process to develop strategic responses for risks and enhance the chances of project success. Social implications The identification of risks factors that cause the failure of construction projects helps develop response strategies for these risks, thereby increasing the chances of project success reflected in the oil and gas sector, which is a main tributary of the national economy in developing countries. Originality/value This research is the pioneer for future investigations into this vital economic sector. Given the lack of resources and studies in the field of construction projects for the Yemeni oil and gas sector, the Yemeni government, oil companies and researchers in this field are expected to benefit from the results of this study. The critical risk factors specific to the oil and gas construction projects in Yemen should be further investigated with focus only on Yemen and its oil and gas industry players.</t>
  </si>
  <si>
    <t>A.Kassem, Mukhtar/B-7406-2019</t>
  </si>
  <si>
    <t>A.Kassem, Mukhtar/0000-0003-2466-8438</t>
  </si>
  <si>
    <t>10.1108/ECAM-03-2019-0123</t>
  </si>
  <si>
    <t>WOS:000556922600001</t>
  </si>
  <si>
    <t>Maroun, W; Prinsloo, A</t>
  </si>
  <si>
    <t>Maroun, Warren; Prinsloo, Andre</t>
  </si>
  <si>
    <t>Drivers of combined assurance in a sustainable development context: Evidence from integrated reports</t>
  </si>
  <si>
    <t>BUSINESS STRATEGY AND THE ENVIRONMENT</t>
  </si>
  <si>
    <t>External assurance engagements performed by auditors and consultants to test sections of organisations' sustainability and integrated reports have become commonplace and are examined in detail by the prior research. Less often considered is how different types of internal and external sources of assurance form part of a combined assurance model that organisations rely on to ensure the integrity of information used for internal decision making and reporting to stakeholders. As a result, this paper offers an important contribution to the academic literature by providing one of the first reviews to deal specifically with the operation of combined assurance. The research considers if firm size and profitability, industry membership and select governance features are associated with the use of more sophisticated combined assurance models for ensuring relevant and reliable integrated reporting. Multiple regression, complemented by supplementary analysis, reveals that larger firms that are more profitable and members of environmentally and socially sensitive industries are not necessarily using extensive combined assurance models. These organisations rely on robust assurance methodologies, but the coverage of their combined assurance models is restricted. Similarly, board experience is substituting for the use of complex assurance methodologies. Board size and independence are only associated with a stronger commitment to implementing codes of best practice dealing with combined assurance but not with the coverage of the assurance models or the assurance methodologies being applied. The results may be indicative of the fact that internal controls and systems required to support integrated thinking and reporting are still in a developmental stage, making it difficult for them to be the subject of any formal verification by internal or external assurance providers.</t>
  </si>
  <si>
    <t>Maroun, Warren/AAA-7338-2021</t>
  </si>
  <si>
    <t>Maroun, Warren/0000-0001-7448-1220</t>
  </si>
  <si>
    <t>0964-4733</t>
  </si>
  <si>
    <t>1099-0836</t>
  </si>
  <si>
    <t>10.1002/bse.2606</t>
  </si>
  <si>
    <t>WOS:000553016900001</t>
  </si>
  <si>
    <t>Ehgartner, U</t>
  </si>
  <si>
    <t>Ehgartner, Ulrike</t>
  </si>
  <si>
    <t>The discursive framework of sustainability in UK food policy: the marginalised environmental dimension</t>
  </si>
  <si>
    <t>JOURNAL OF ENVIRONMENTAL POLICY &amp; PLANNING</t>
  </si>
  <si>
    <t>In the context of food policy, sustainability functions as a normative principle but also constitutes a highly contested arena. The study presented in this paper establishes how discursive dynamics amongst professionals involved in matters of food distribution, retail, consumption and waste lead to food policy themes being framed as issues of sustainability. Analysing varied UK-based data (trade magazine articles, policy documents and interviews with retail, non-profit and consultancy representatives), three interpretative frames of sustainability are identified: consumer sovereignty, economic rationality and stewardship. Focusing on three themes of food sustainability - organic consumption, protein diversity and waste reduction - it is shown how these interpretative frames constitute the discursive framework relevant to food policy. Based on these findings, it is shown how in the analysed debates environmental concerns are sidelined.</t>
  </si>
  <si>
    <t>Ehgartner, Ulrike/0000-0003-3346-5720</t>
  </si>
  <si>
    <t>1523-908X</t>
  </si>
  <si>
    <t>1522-7200</t>
  </si>
  <si>
    <t>10.1080/1523908X.2020.1768832</t>
  </si>
  <si>
    <t>MAY 2020</t>
  </si>
  <si>
    <t>WOS:000541296200001</t>
  </si>
  <si>
    <t>Zorpas, AA</t>
  </si>
  <si>
    <t>Zorpas, Antonis A.</t>
  </si>
  <si>
    <t>Strategy development in the framework of waste management</t>
  </si>
  <si>
    <t>Taking into account the declaration from the Treaty of Rome (back in 1957), on environmental protection the harmonization of environmental legislations and uniformity in the fight against certain forms of aid, so that technical barriers to the free circulation of goods would not arise due to different national links, there is a need to develop Strategy(ies) in the Framework of Waste Management in order to reach the targets on 2050. Those Strategies aim to increase quality of life and change the way that citizens react in the great debates. Those Strategies should reduce the impact of several processes on the environment through product, processes, and corporate policies using green applicable sustainable resources and environmental management systems (such as ISO 14001, EMAS) as well as a number of activities (prevention, reduced, reused etc) measuring at the same time the impact on society. This paper provides a holistic approach processing how to develop, implement, monitor and improve a strategy (even an existing one) in the framework of waste management at a local level and or at a central level. The proposed methodology could be a useful tool for any policy makers, consultants, engineers, urban planners, academics etc., in order to develop and apply strategy related with household and/or food waste prevention, material reuse, waste reduce (i.e plastics, food, recyclables etc)., in the framework of household solid waste management and beyond. Moreover, the adoption of Strategy(ies) also aims to protect and enhance the Union's natural capital and to turn the Union into a resource-efficient, green, and competitive low-carbon economy in the nearest future taking into acount also the European Green Deal stategy. (C) 2020 Elsevier B.V. All rights reserved.</t>
  </si>
  <si>
    <t>Zorpas, Antonis/AAJ-1495-2020</t>
  </si>
  <si>
    <t>Zorpas, Antonis/0000-0002-8154-5656</t>
  </si>
  <si>
    <t>MAY 10</t>
  </si>
  <si>
    <t>10.1016/j.scitotenv.2020.137088</t>
  </si>
  <si>
    <t>WOS:000519987300132</t>
  </si>
  <si>
    <t>Antonson, H; Levin, L</t>
  </si>
  <si>
    <t>Antonson, Hans; Levin, Lena</t>
  </si>
  <si>
    <t>A crack in the Swedish welfare facade? A review of assessing social impacts in transport infrastructure planning</t>
  </si>
  <si>
    <t>A comparison of social impact categorisation in strategic planning across European Union Member States shows that Sweden neither categorises nor breaks down categories of social impact in areas such as transport infrastructure development. This is surprising because Sweden is known as a country concerned about social issues and having a high standard of welfare. This article accordingly studies how social issues are handled during transport infrastructure planning. An analysis of different source materials will answer four research questions: 1) To what extent are social impacts integrated into environmental impact assessment (EIA) reports? 2) Are social impacts sufficiently integrated and/or does this treatment simply amount to 'good practice'? 3) Can any trend be detected over time in terms of addressing social issues in impact assessments? 4) What key measures could increase the influence of social impact issues on transport infrastructure planning practice? The study involved a content analysis of six EIA handbooks and EIA statements (EISs) for 18 large transport infrastructure projects. The concepts searched for in these documents largely apply to issues of vulnerability, health, social problems, perceived safety, and alienation. Our data were interpreted through the theoretical lens of institutional interplay. We found that though social aspects are not new considerations in EIA research, they are included in only a small proportion of the 18 Swedish EISs, mostly in connection with health and accessibility. We believe that this does not suffice. We also found that the more recent documents allotted less space to social issues. It is unlikely that most individuals in the organisations that order EISs, or the consultancies that write them, are unaware of the broader interpretation of 'human beings' which includes social aspects. Based on increasing interest in social issues in planning and due to the lack of national goals and guidelines in this area, some municipalities and consultants have begun to create their own methods of measuring and assessing social impacts. This has resulted in multiple local-level practitioners who want to develop social issues within impact assessment, and possibly also to introduce a social impact assessment framework, but with no management or coordination among them. The conclusion is that in the absence of a government initiative to clarify how social impacts can be addressed in transport infrastructure planning, there is a need for an external network for organisations involved in transport infrastructure EISs.</t>
  </si>
  <si>
    <t>10.1016/j.progress.2018.11.001</t>
  </si>
  <si>
    <t>WOS:000536783500001</t>
  </si>
  <si>
    <t>Canitez, F</t>
  </si>
  <si>
    <t>Canitez, Fatih</t>
  </si>
  <si>
    <t>Transferring sustainable urban mobility policies: An institutional perspective</t>
  </si>
  <si>
    <t>TRANSPORT POLICY</t>
  </si>
  <si>
    <t>This study develops an institutional framework for the transfer of the sustainable urban mobility policies from developed to developing institutional settings. Drawing on new institutional economics approach, the study investigates the institutional structure of the urban mobility field with a view to propose a policy transfer framework. The framework is then used in transferring sustainable urban mobility policies from London to Istanbul. On its way to establish a more sustainable urban mobility system, the city of Istanbul, which is the economic capital of Turkey, grapples with many urban mobility problems such as rapid motorization, chronic traffic congestion, air and noise pollution and a fragmented governance structure. London's recent Mayor's Transport Strategy published in March, 2018 which sets out a comprehensive set of policies aiming towards a more sustainable urban mobility is used as a benchmark document for transferring policies to Istanbul. The policy transfer study, commissioned by the local transport authority of Istanbul, is undertaken by a team of experts, consultants and academics which include the author of this study as well. The transfer process is carried out by translating policies into the institutional structure of the policy borrowing city, namely Istanbul. The fragmentation in the policy and governance levels in Istanbul, acting as a major barrier for direct transfer, is addressed by the proposed institutional policy transfer framework. Overall, the study aims to open up new avenues for an institutionally-informed transport policy research. More specifically, the study provides novel conceptual tools for the analysis of the policy transfer studies involving disparate institutional settings.</t>
  </si>
  <si>
    <t>0967-070X</t>
  </si>
  <si>
    <t>1879-310X</t>
  </si>
  <si>
    <t>10.1016/j.tranpol.2020.02.005</t>
  </si>
  <si>
    <t>WOS:000527367800001</t>
  </si>
  <si>
    <t>Addy, M; Adinyira, E; Danku, JC; Dadzoe, F</t>
  </si>
  <si>
    <t>Addy, Michael; Adinyira, Emmanuel; Danku, James Cofie; Dadzoe, Florence</t>
  </si>
  <si>
    <t>Impediments to the development of the green building market in sub-Saharan Africa: the case of Ghana</t>
  </si>
  <si>
    <t>SMART AND SUSTAINABLE BUILT ENVIRONMENT</t>
  </si>
  <si>
    <t>Purpose Developing countries in sub-Saharan Africa are faced with significant challenges as the economies continue to emerge. There is a huge infrastructural demand and various efforts to step up supply. Whilst stepping up the supply, the environmental concerns of these supplies require a lot of attention. With the need to reduce the environmental impact of buildings whilst promoting a green infrastructure, various studies have explored the obstacles to green building technology adoption. This study explores the impediments to the development of the green building market in sub-Saharan Africa. Design/methodology/approach Using building consultants as the unit of analysis, this study explores the impediments using a structured survey questionnaire. The study area is Ghana, an emerging country in sub-Saharan Africa. Findings Key impediments to the development of the market is lack of awareness, lack of education and lack of fiscal incentives. The analysis shows that all the variables identified are significant in impeding the growth of the market. The results suggest that within the domain of developing countries, environmental issues may not be of immediate concern as economic issues take centre stage. For sustainability of the environment, it is unequivocal that dissemination of knowledge to key stakeholders be done. Practical implications Academic institutions and professional bodies have a pivotal role to play in raising awareness of green buildings. Governmental support such as various structures should be put in place to build up the local capacity of firms not only to compete with foreign counterparts but also to ensure innovative delivery of green buildings. Originality/value The paper presents contextual realities on the green market restrictions within developing countries in sub-Saharan Africa through a deeper understanding of market barriers and recommends pathways for stakeholders.</t>
  </si>
  <si>
    <t>DANKU, JAMES COFIE/0000-0001-6179-8982; Addy, Michael/0000-0002-9554-2624</t>
  </si>
  <si>
    <t>2046-6099</t>
  </si>
  <si>
    <t>2046-6102</t>
  </si>
  <si>
    <t>10.1108/SASBE-12-2019-0170</t>
  </si>
  <si>
    <t>APR 2020</t>
  </si>
  <si>
    <t>WOS:000529551500001</t>
  </si>
  <si>
    <t>Lahrech, A; Juusola, K; AlAnsaari, ME</t>
  </si>
  <si>
    <t>Lahrech, Abdelmounaim; Juusola, Katariina; AlAnsaari, Mohamed Eisa</t>
  </si>
  <si>
    <t>Toward more rigorous country brand assessments: the modified country brand strength index</t>
  </si>
  <si>
    <t>INTERNATIONAL MARKETING REVIEW</t>
  </si>
  <si>
    <t>Purpose This study focuses on country branding indices. The main purpose of this study is to build an objective country brand strength index using secondary data. The new index, the Modified Country Brand Strength Index (MCBSI), builds on Fetscherin's (2010) Country Brand Strength Index (CBSI) but uses more rigorous methods and design to create a complementary index to be used together with the survey-based Anholt-GfK Nation Brands Index (NBI). The MCBSI also utilized human development, which is an important dimension of country brands not captured by CBSI. Design/methodology/approach The MCBSI addresses three significant limitations of the CBSI by using an alternative methodology in constructing the index: specifically, it uses weights for the dimensions, longitudinal data, and relative values by dividing each factor by its cross-country maximum. Findings Our index ranks 131 countries based on the strength of their country brand. A stronger correlation was found between the MCBSI and NBI than between the CBSI and NBI. Practical implications Our contribution has strong implications for both policymakers and academic researchers as it provides a tool for assessing the strength of country brands through accurate but less costly data compared to primary data collected by consultancies for country brand strength indices. The MCBSI informs country brand managers regarding how well their country brand performs across a range of critical dimensions, including export, tourism, foreign direct investments, immigration, government environment and human development. Originality/value This study contributes to the emerging academic literature on country brand indices. Currently, there is a lack of objective measurement instruments for assessing country brands. The MCBSI is designed for this purpose to complement the NBI by measuring country brands with objective secondary data. Viewed together, the NBI and our index overcome the obvious shortcomings inherent in each method by providing objective, factual data on country brand equity while providing insight into how people socially construct and evaluate nation brands.</t>
  </si>
  <si>
    <t>0265-1335</t>
  </si>
  <si>
    <t>1758-6763</t>
  </si>
  <si>
    <t>APR 14</t>
  </si>
  <si>
    <t>10.1108/IMR-06-2019-0152</t>
  </si>
  <si>
    <t>WOS:000529318600001</t>
  </si>
  <si>
    <t>Ibbetson, A; Symonds, P; Hutchinson, E</t>
  </si>
  <si>
    <t>Ibbetson, Andrew; Symonds, Phil; Hutchinson, Emma</t>
  </si>
  <si>
    <t>Data to support small area health impact modelling of air pollution in the United Kingdom</t>
  </si>
  <si>
    <t>DATA IN BRIEF</t>
  </si>
  <si>
    <t>The data presented in this article were used to estimate the impacts of air pollution policies on population health and health inequalities within a spatial microsimulation model, MicroEnv [1]. They provide a basis for comparison with similar models and allow researchers to integrate additional model components without duplication of effort. Relative risk estimates for the association between air pollution and rates of ischaemic heart disease (IHD) incidence, IHD case fatality and all-cause mortality were taken from a review of the epidemiological literature and meta-analyses [2]. Modelled small area air pollution data (PM2.5) for Greater London, UK were obtained from an environmental consultancy. All other data were collected from open source Governmental or Non-Government Organisation (NGO) data repositories. These include all-cause mortality rates; IHD incidence, prevalence and mortality rates; general fertility rates; small area socio-economic deprivation data; and relative risk estimates for the association between deprivation and all-cause mortality. (C) 2020 The Authors. Published by Elsevier Inc.</t>
  </si>
  <si>
    <t>2352-3409</t>
  </si>
  <si>
    <t>10.1016/j.dib.2020.105148</t>
  </si>
  <si>
    <t>WOS:000529894500001</t>
  </si>
  <si>
    <t>Riisgaard, LONE; Lund-Thomsen, P; Coe, NM</t>
  </si>
  <si>
    <t>Riisgaard, Lone; Lund-Thomsen, Peter; Coe, Neil M.</t>
  </si>
  <si>
    <t>Multistakeholder initiatives in global production networks: naturalizing specific understandings of sustainability through the Better Cotton Initiative</t>
  </si>
  <si>
    <t>GLOBAL NETWORKS-A JOURNAL OF TRANSNATIONAL AFFAIRS</t>
  </si>
  <si>
    <t>In recent years, various academics, consultants, companies and NGOs have advocated a move towards more cooperative approaches to private sustainability standards to address the widely identified shortcomings of the compliance paradigm. However, is it possible to address these limitations by moving towards stakeholder inclusion and capacity building while at the same time catering to the demands of lead firms supplying the mainstream market? In this article, we analyse how the Better Cotton Initiative (BCI) seeks to do just that, in the process identifying three key tensions and competing policy concerns with which standard-setters have had to grapple - (a) stakeholder inclusion vs process-control/efficiency; (b) stringency of the standard vs scale of production; and (c) capacity building vs auditing. Combining theoretical considerations about governance in global production networks (GPNs) with a convention theory perspective, we explore these inherent tensions and show that due to pre-existing power relations in the cotton GPN, it is hard to develop more cooperative approaches because market and industrial values tend to win out despite efforts to follow current best practice on sustainability standard-setting.</t>
  </si>
  <si>
    <t>1470-2266</t>
  </si>
  <si>
    <t>1471-0374</t>
  </si>
  <si>
    <t>10.1111/glob.12251</t>
  </si>
  <si>
    <t>WOS:000518846500001</t>
  </si>
  <si>
    <t>Wang, NN; Ma, MX; Liu, YF</t>
  </si>
  <si>
    <t>Wang, Nannan; Ma, Minxun; Liu, Yunfei</t>
  </si>
  <si>
    <t>The Whole Lifecycle Management Efficiency of the Public Sector in PPP Infrastructure Projects</t>
  </si>
  <si>
    <t>The management role of the public sector in public-private partnership PPP infrastructure projects has been extensively expanded to the whole lifecycle rather than in the traditional infrastructure projects. The performance of the public sector in a PPP is the key for the PPP to achieve sustainability; however, there is a lack of research on the whole lifecycle management efficiency of the public sector in a PPP. This research aims to examine the governance role of the public sector in PPP projects, and therefore evaluate their whole lifecycle management efficiency. An evaluation framework is developed through the lens of governmentality to evaluate the performance of the public sector. Multiple case studies on PPP infrastructure projects in China have identified loopholes during the whole lifecycle of a PPP at the local governmental level. On the basis of the findings of case studies, a conceptual model is proposed to demonstrate ways for the public sector to improve efficiency through integrated governance of PPP projects. The research findings benefit both the central government in terms of evaluation and decision making and the local government by improving their efficiency in PPP infrastructure projects for the purpose of achieving sustainability. According to the findings, policy strategies are provided for the central government on how to further regulate the PPP market and address the loopholes, including further standardizing regulations and instruction, providing unified quantitative calculation or measurement tools, training, and education for the public sector to integrate whole lifecycle project management, and quality control of consultancy for the PPP infrastructure projects.</t>
  </si>
  <si>
    <t>10.3390/su12073049</t>
  </si>
  <si>
    <t>WOS:000531558100474</t>
  </si>
  <si>
    <t>Khan, M; Chaudhry, MN; Ahmad, SR; Saif, S; Mehmood, A</t>
  </si>
  <si>
    <t>Khan, Mehreen; Chaudhry, Muhammad Nawaz; Ahmad, Sajid Rashid; Saif, Samia; Mehmood, Asim</t>
  </si>
  <si>
    <t>Performance of EIA authority and effectiveness of EIA system in Pakistan</t>
  </si>
  <si>
    <t>Environmental Impact Assessment (EIA) agencies worldwide face multiple challenges that compromise their performance and in turn EIA procedural effectiveness. The current study aimed to evaluate the performance of the Environmental Protection Agency (EPA) of Punjab, Pakistan and the problems it faces whilst implementing EIA and ensuring EIA effectiveness. Semi-structured interviews were used to collect data for the study. EPA performance and procedural effectiveness were evaluated using the formal and informal roles of EPA and EIA good practices respectively. They were also linked to regulatory framework, capacities of actors and contextual factors. Study found that EPA and EIA system performance is weak. Consequently, procedural effectiveness is compromised. The main causes include limited capacities of EPA, consultants and proponents; lack of political will; political interference and outdated regulations. A strong political will of the government is required to enhance the capacity of EPA and other actors in terms of motivation or the will to and means or the ability to. Measures taken by international EIA agencies to improve performance and effectiveness have also been discussed. Based on this study, lessons can be learnt by not only EPA Punjab but also other agencies in Pakistan and international agencies facing similar challenges.</t>
  </si>
  <si>
    <t>Khan, Mehreen/AAL-6753-2020; Ahmad, Sajid/ABH-1971-2020</t>
  </si>
  <si>
    <t>10.1016/j.eiar.2019.106357</t>
  </si>
  <si>
    <t>WOS:000515213600011</t>
  </si>
  <si>
    <t>Liu, X; Tian, GD; Fathollahi-Fard, AM; Mojtahedi, M</t>
  </si>
  <si>
    <t>Liu, Xu; Tian, Guangdong; Fathollahi-Fard, Amir Mohammad; Mojtahedi, Mohammad</t>
  </si>
  <si>
    <t>Evaluation of ship's green degree using a novel hybrid approach combining group fuzzy entropy and cloud technique for the order of preference by similarity to the ideal solution theory</t>
  </si>
  <si>
    <t>CLEAN TECHNOLOGIES AND ENVIRONMENTAL POLICY</t>
  </si>
  <si>
    <t>The pollution and emission caused by the manufacturing, operation, and scrapping of marine ships have considerable impact on the environment. Therefore, it is essential to develop an effective and efficient approach toward evaluating the environmental impact of ships. This study uses the green degree of ships concept to evaluate different alternatives. Because environmental evaluation involves several criteria, the problem can be formulated as a traditional multi-criteria decision-making (MCDM) model. In this regard, the main innovation of this study is the development of an improved MCDM model using a novel hybrid method, namely the group fuzzy entropy and cloud technique for order of preference by similarity to ideal solution theory. The developed model calculates the criteria weight and rank based on the selected criteria and alternatives. Finally, a criteria system is developed to evaluate several classical alternatives, and various sensitivity analyses were carried out to validate the robustness of the proposed methodology. The results revealed that the model and criteria system can provide several quantitative and qualitative indicators for governmental policy-makers and agencies, environmental consultants, and environmental service organizations. Graphic abstract</t>
  </si>
  <si>
    <t>Fathollahi-Fard, Amir Mohammad/AAS-7520-2020; Liu, Xu/A-1780-2019</t>
  </si>
  <si>
    <t>Fathollahi-Fard, Amir Mohammad/0000-0002-5939-9795; Liu, Xu/0000-0002-1327-7952</t>
  </si>
  <si>
    <t>1618-954X</t>
  </si>
  <si>
    <t>1618-9558</t>
  </si>
  <si>
    <t>10.1007/s10098-019-01798-7</t>
  </si>
  <si>
    <t>WOS:000519114000014</t>
  </si>
  <si>
    <t>Aryal, S; Maraseni, T; Qu, JS; de Bruyn, LL; Dhakal, YR; Zeng, JJ</t>
  </si>
  <si>
    <t>Aryal, Suman; Maraseni, Tek; Qu, Jianshang; de Bruyn, Lisa Lobry; Dhakal, Yub Raj; Zeng, Jingjing</t>
  </si>
  <si>
    <t>Key steps in environmental impact assessment: a comparative study of China, Queensland State of Australia and Nepal</t>
  </si>
  <si>
    <t>ENVIRONMENTAL MONITORING AND ASSESSMENT</t>
  </si>
  <si>
    <t>Environmental impact assessment (EIA) has evolved as an environmental management and sustainability tool. Despite common principles shared by EIA globally, there are considerable variations in EIA processes across countries. In this paper, we reviewed and compared EIA processes of China, Queensland State of Australia and Nepal considering five key steps (selection of consultants, report preparation, public participation, report review and approval, and monitoring and evaluations) of EIA. Our review indicated that the EIA is well recognised in legal instruments in all state and countries under consideration and there are both similarities and differences in key steps of EIA. Monitoring of EIA recommendations and the integration of feedbacks from the past and current practices are important in improving EIA processes. This study also found that there are elements for possible improvement in existing EIA processes by each state and country introducing the best practices from others' EIA system. Some of the practices that Nepal can follow from the EIA processes of Queensland and China are licensing and accreditation of individuals and firms to conduct EIA, establishment of separate monitoring unit within regulating department, development of clear guidelines for approvals and monitoring, and the use of independent third-party auditing in EIA monitoring. The findings of this paper are useful in revising and improving EIA policies, practices and processes in the selected state, countries and elsewhere.</t>
  </si>
  <si>
    <t>0167-6369</t>
  </si>
  <si>
    <t>1573-2959</t>
  </si>
  <si>
    <t>JAN 24</t>
  </si>
  <si>
    <t>10.1007/s10661-020-8098-4</t>
  </si>
  <si>
    <t>WOS:000513948000003</t>
  </si>
  <si>
    <t>Diamond, P</t>
  </si>
  <si>
    <t>Diamond, Patrick</t>
  </si>
  <si>
    <t>Externalization and politicization in policy advisory systems: a case study of contestable policy-making 2010-2015</t>
  </si>
  <si>
    <t>PUBLIC MONEY &amp; MANAGEMENT</t>
  </si>
  <si>
    <t>IMPACT Those policy-makers and practitioners who have contact with civil servants and government ministers need to better understand the more fluid and unpredictable policy environment that is emerging at various tiers of UK governance, shaped by a multiplicity of actors sitting within, and outside, the formal boundaries of the state. The diverse ecology of policy-making institutions includes think-tanks, research institutes, non-governmental organizations, charities, community groups, management consultancies, and professional services companies, all of whom are involved in directly providing policy advice to ministers. The 'monopoly' over policy-making traditionally enjoyed by the civil service is eroding, with important implications for the work of policy-makers and public managers who have to negotiate the more fractious system of Whitehall bureaucracy. A subtle but perceptible shift is occurring whereby elected politicians and their advisers are gaining greater control over the policy-making processes of the UK state. This paper contends that since 2010 in the UK, there has been an unprecedented attempt to disrupt the traditional civil service 'monopoly' over policy advice, outsourcing policy-making to actors beyond the central state. The author argues that the policy-making processes of Whitehall and Westminster governance are being radically overhauled. In many Anglophone countries, ministers have sought to reduce their structural dependence on the permanent civil service. In so doing, ministers sought to gain political control over the machinery of policy-making. These efforts to restructure the permanent bureaucracy have had unintended consequences, however. The policy process in the UK state has become more fragmented, as policy-making and implementation have increasingly diverged.</t>
  </si>
  <si>
    <t>0954-0962</t>
  </si>
  <si>
    <t>1467-9302</t>
  </si>
  <si>
    <t>JAN 2</t>
  </si>
  <si>
    <t>10.1080/09540962.2019.1583890</t>
  </si>
  <si>
    <t>WOS:000499753800009</t>
  </si>
  <si>
    <t>Al Amri, T; Marey-Perez, M</t>
  </si>
  <si>
    <t>Al Amri, Tariq; Marey-Perez, Manuel</t>
  </si>
  <si>
    <t>Towards a sustainable construction industry: Delays and cost overrun causes in construction projects of Oman</t>
  </si>
  <si>
    <t>JOURNAL OF PROJECT MANAGEMENT</t>
  </si>
  <si>
    <t>Every nation in the globe endeavours to achieve sustainable growth in its various industries. The construction industry has an enormous contribution to the economy primarily for the developed nations experiencing urgent demands to develop and expand their infrastructure. While this expansion is taking place through projects, it is essential to find the factors affecting completion of project premium. This paper investigates the main time delay and cost overrun causes in construction projects within Oman related to clients, contractors, and consultants. Through a comprehensive literature review, reasons for delays and cost overrun are determined and a survey targeting 100 project managers was conducted to indicate top causes among them. The findings may help the government develop better policy and construction firms to modify criteria procedures to avoid such drawbacks. (C) 2020 by the authors; licensee Growing Science, Canada.</t>
  </si>
  <si>
    <t>2371-8366</t>
  </si>
  <si>
    <t>2371-8374</t>
  </si>
  <si>
    <t>10.5267/j.jpm.2020.1.001</t>
  </si>
  <si>
    <t>WOS:000541376300002</t>
  </si>
  <si>
    <t>Waxin, MF; Knuteson, SL; Bartholomew, A</t>
  </si>
  <si>
    <t>Waxin, Marie-France; Knuteson, Sandra L.; Bartholomew, Aaron</t>
  </si>
  <si>
    <t>Outcomes and Key Factors of Success for ISO 14001 Certification: Evidence from an Emerging Arab Gulf Country</t>
  </si>
  <si>
    <t>The objectives of this research were: (1) To examine the outcomes and key factors of success (KFS) related to ISO 14001 certification, (2) to compare and contrast these in private organizations (PRIVOs) and public organizations (PUBOs), and (3) in the under-explored context of an Arab Gulf country with an emerging economy: The United Arab Emirates. We used an exploratory, qualitative research approach, based on semi-structured interviews with the environmental managers of 14 UAE organizations from the private and public sector. The five major outcomes of ISO 14001 certification were improved: (1) Environmental performance, (2) organizational reputation and relationships with stakeholders, (3) organizational efficiency, (4) environmental management (EM) practices, and (5) environmental awareness. These outcomes were shared by PRIVOs and PUBOs, although improved resource management, improved relations with stakeholders, and improved EM practices were more common in PUBOs, and improved organizational efficiency was more common in PRIVOs. The six KFS for implementation were: (1) Senior management's support, (2) employees' awareness, involvement and competence, (3) government initiatives and commitment, (4) sufficient organizational resources, (5) adoption of a continuous, integrative, and collaborative approach, and (6) the use of external consultants. These KFS were shared by PRIVOs and PUBOs, although government initiatives and commitment were more common in PUBOs, and sufficient resources were more common in PRIVOs. Our study contributes to a better understanding of environmental management system implementation in emerging countries in general, and in Arab Gulf countries particularly. Our study has implications for business leaders, policy makers, EMS professionals, and educators in the UAE and other emerging countries.</t>
  </si>
  <si>
    <t>Waxin, Marie-France/0000-0002-0660-5452</t>
  </si>
  <si>
    <t>10.3390/su12010258</t>
  </si>
  <si>
    <t>WOS:000521955600258</t>
  </si>
  <si>
    <t>Chi, PC; Bulage, P; Ostby, G</t>
  </si>
  <si>
    <t>Chi, Primus Che; Bulage, Patience; Ostby, Gudrun</t>
  </si>
  <si>
    <t>Equity in aid allocation and distribution: A qualitative study of key stakeholders in Northern Uganda</t>
  </si>
  <si>
    <t>PLOS ONE</t>
  </si>
  <si>
    <t>The Sustainable Development Goals have spurred a growing interest in and focus on equitable development. In theory, donors can play an important role in promoting equity within a country by providing services, influencing government policies and incorporating equity into decision-making. However, we know little about whether this actually happens on the ground. We conduct what we believe is the first study to explore the extent to which equity is prioritised in the allocation and distribution of aid, based on in-depth interviews with government officials, bilateral and international donors, and implementing partners operating in Northern Uganda. We find that a broad category of people are perceived to be marginalised/vulnerable, with a substantial segment largely untargeted by major donor programmes. Various stakeholders employ a wide range of strategies to identify the most vulnerable individuals and groups, including the use of available data and statistics, consultation and engagement with relevant stakeholders, and undertaking primary data collection. The strategies used to incorporate equity in aid allocation and distribution include: targeting the regions of Northern Uganda and Karamoja in particular, targeting both refugees and host populations in refugee-hosting districts, prioritising the critically vulnerable in any aid distribution process, and using specific tools and consultants to ensure that major equity issues are addressed in proposals. Challenges undermining the process include poor understanding of the concept of equity among some implementing partners, lack of comprehensively disaggregated data, corruption, and political interference in choice of aid location from government officials and donors.</t>
  </si>
  <si>
    <t>Chi, Primus Che/0000-0002-2727-2693</t>
  </si>
  <si>
    <t>1932-6203</t>
  </si>
  <si>
    <t>DEC 16</t>
  </si>
  <si>
    <t>e0226612</t>
  </si>
  <si>
    <t>10.1371/journal.pone.0226612</t>
  </si>
  <si>
    <t>WOS:000534236300047</t>
  </si>
  <si>
    <t>Ghumare, PN; Chauhan, KA; Yadav, SKM</t>
  </si>
  <si>
    <t>Ghumare, Pavan Namdeo; Chauhan, Krupesh A.; Yadav, Sanjay Kumar M.</t>
  </si>
  <si>
    <t>Housing attributes affecting buyers in India Analysis of perceptions in the context of EWS/LIG consumers view</t>
  </si>
  <si>
    <t>INTERNATIONAL JOURNAL OF HOUSING MARKETS AND ANALYSIS</t>
  </si>
  <si>
    <t>Purpose The purpose of this paper is to provide affordable housing to low- and middle-income groups. The gravity of India's housing affordability problem has led us to study and analyse the attributes hindering affordable housing for economically weaker section (EWS) and low-income group (LIG). The attributes such as viable parameters, economic parameters, location and communication, regulatory, source of finance, construction, services and infrastructure parameters affect the supply and demand of affordable housing in Indian urban areas for EWS and LIG with an annual household income below 2 lakhs. Design/methodology/approach The judgement sampling is used amongst housing and planning professionals working in five different sectors, including local authorities, housing developers, housing sectors, town planning and property/affordable housing consultant. The Analytical hierarchy process method of multi-criteria decision-making was used to analyse the data collected. Findings A detailed analysis of the data collected reveals that a viable parameter is the most governing attribute in the supply and demand process of developing affordable housing. Major reforms can be implemented at various levels of housing development in the urban area that can help in reducing the affordability gap for EWS/LIG. The suggested approach will be helpful for developers, urban planners and decision makers while designing an affordable housing project. Originality/value The model being proposed in this paper seeks for a proficient allotment of policies and assets, to some extent, by remedying the current market distortions and different inconsistencies that negatively influence the incentive structure of the affordable housing section in India. This paper offers a plan for a housing procedure that is applicable to all measurements of housing poverty and the groups that sustain it. In this way, the current study is, to a greater extent, a facilitator, and not an immediate solution of affordable housing.</t>
  </si>
  <si>
    <t>1753-8270</t>
  </si>
  <si>
    <t>1753-8289</t>
  </si>
  <si>
    <t>NOV 17</t>
  </si>
  <si>
    <t>10.1108/IJHMA-08-2019-0081</t>
  </si>
  <si>
    <t>NOV 2019</t>
  </si>
  <si>
    <t>WOS:000511978800001</t>
  </si>
  <si>
    <t>Salim, HK; Stewart, RA; Sahin, O; Dudley, M</t>
  </si>
  <si>
    <t>Salim, Hengky K.; Stewart, Rodney A.; Sahin, Oz; Dudley, Michael</t>
  </si>
  <si>
    <t>End-of-life management of solar photovoltaic and battery energy storage systems: A stakeholder survey in Australia</t>
  </si>
  <si>
    <t>RESOURCES CONSERVATION AND RECYCLING</t>
  </si>
  <si>
    <t>In this study, a preliminary list of drivers, barriers, and enablers to end-of-life management of photovoltaic panels and battery energy storage systems obtained from a systematic literature review was firstly evaluated and then expanded through an iterative expert review process. Subsequently, a questionnaire survey was administered in Australia to elicit stakeholder perceptions on each driver, barrier, and enabler factor. A total of 57 complete responses was obtained. A two-step cluster analysis was performed to compare the perceived drivers, barriers, and enablers between four stakeholder categories including research/education institutions, product stewardship arrangement (PSA) parties, governments, and consultants. Findings indicated that there is a high degree of agreement among stakeholders on various drivers, barriers, and enablers; however, some factors exhibited differences. It appeared that all stakeholders were driven to address triple bottom line issues, however, research/education institutions put more emphasis on the economic and environmental drivers. Stakeholders reported the lack of profitability, unavailability of regulations and incentives, as well as a lack of awareness of safe disposal options, as being the most significant barriers. Only government respondents recognised the current lack of on-shore recycling infrastructures as a critical barrier. Introducing a product stewardship scheme, implementing business models for collection, economic incentives, as well as developing recycling technologies and infrastructures were regarded as the most important enablers. Policy and practice implications and recommendations were also discussed in this study.</t>
  </si>
  <si>
    <t>0921-3449</t>
  </si>
  <si>
    <t>1879-0658</t>
  </si>
  <si>
    <t>10.1016/j.resconrec.2019.104444</t>
  </si>
  <si>
    <t>WOS:000488141000033</t>
  </si>
  <si>
    <t>Alattyih, W; Haider, H; Boussabaine, H</t>
  </si>
  <si>
    <t>Alattyih, Wael; Haider, Husnain; Boussabaine, Halim</t>
  </si>
  <si>
    <t>Development of Value Creation Drivers for Sustainable Design of Green Buildings in Saudi Arabia</t>
  </si>
  <si>
    <t>The sustainability of green buildings has been widely recognized around the world in the recent past. Evaluating the investment on such buildings, with higher complexity than the conventional buildings, involves multiple and diverse stakeholders, such as consultants, contractors, general public, governmental institutions, etc. The selection of useful value creation drivers is a difficult task while accommodating the opinion of a group of stakeholders with varying perceptions and experiences regarding the value creation in green building design and the associated costs. In this research, a framework is proposed to develop a set of the most important value creation drivers (VCDs) for green buildings. Five primary VCDs were developed to cover the financial, functional, operational, environmental, and management aspects of a green building. Ninety-eight (98) performance value drivers (PVDs) were identified through the literature for assessing the performance of these value creation drivers. The identified PVDs were evaluated through a hand-delivered questionnaire survey, followed by detailed statistical analysis of the collected data while using Statistical Package for Social Sciences (SPSS) and Microsoft Excel software. Factor analyses were performed to eliminate the PVDs with least importance based on the responses obtained from 89 experienced managers (45%), engineers (38%), and architects (17%) working in the field of value management of construction industry in Saudi Arabia. Finally, 51 most important PVDs were grouped into two clusters for each value creation driver; for instance, control and planning clusters to assess the performance of management's VCD. The final outcome of the research in the form of five top level VCDs, 10 clusters, and 51 PVDs will facilitate the designers for enhancing the performance efficiency and value from investment for green buildings in Saudi Arabia, Gulf, and elsewhere.</t>
  </si>
  <si>
    <t>OCT 2</t>
  </si>
  <si>
    <t>10.3390/su11205867</t>
  </si>
  <si>
    <t>WOS:000498398900323</t>
  </si>
  <si>
    <t>Liu, R; Greene, R; Li, XJ; Wang, T; Lu, MH; Xu, YH</t>
  </si>
  <si>
    <t>Liu, Ran; Greene, Richard; Li, Xiaojuan; Wang, Tao; Lu, Minghua; Xu, Yanhua</t>
  </si>
  <si>
    <t>Comparing Geoinformation and Geography Students' Spatial Thinking Skills with a Human-Geography Pedagogical Approach in a Chinese Context</t>
  </si>
  <si>
    <t>We conducted a standardized spatial thinking ability test (STAT) to examine the spatial thinking abilities of a group of Chinese undergraduates with a focus on their spatial reasoning, which is a very important component of critical spatial thinking. The college subject of human geography in China is often geared toward the preparation of students for government consultancy and policy-making tasks, known as the tasks leading disciplines (renwu dai xueke), where the pedagogies are problem-solving based and sustainability centered. Geographic Information Systems (GIS) has become the universal tool for problem solving in geography and other areas, thus human geography in this situation gives us a context to test and investigate whether and to what extent GIS implementation is able to improve undergraduate spatial thinking levels. Our comparative analysis reported the marginally significant difference of STAT test scores between GIS application (geoinformation group) and its control group (geography group without GIS training). It was also found that the Chinese students performed the spatial reasoning better in this test than American participants as reported in prior study, displaying their higher spatial cognition in terms of problem solving and Boolean logics. Futhermore, a strong negative correlation was reported between STAT test scores and final exam rank. It is possible that the higher geography education in a context of China may not fully embrace the spatial thinking capacity as the strategic goal. The results can help us to better understand the Oriental and Western gaps in higher geography education. Policy suggestions are given in the conclusion.</t>
  </si>
  <si>
    <t>10.3390/su11205573</t>
  </si>
  <si>
    <t>WOS:000498398900030</t>
  </si>
  <si>
    <t>Montemayor, GD</t>
  </si>
  <si>
    <t>Montemayor, Gabriel Diaz</t>
  </si>
  <si>
    <t>Recovering Subsidized Housing Developments in Northern Mexico: The Critical Role of Public Space in Community Building in the Context of a Crime and Violence Crisis</t>
  </si>
  <si>
    <t>Mexico has subsidized and built millions of low-income homes and thousands of subdivisions in the period of 2000-2012. These occupied and expanded urban peripheries far away from work, learn, service, commerce, and recreational amenity centers. These communities had no chance to offer a high quality of life. They were rapidly abandoned and deteriorated physically and socially. Amid the still ongoing crime and violence, inhabitants experienced a loss of trust in their neighbors, a deep sense of insecurity, and consequently reduced public life and activity to a minimum. This article describes and reflects on a project implemented in two neighborhoods of two northern Mexico cities, with the objective of mitigating crime and violence, while recovering public spaces in these communities. The project implemented a hybridized methodology, including Crime Prevention Through Environmental Design (CPTED), attention to Youth at Risk, and the prevention of Gender Based Violence. All these were integrated transversally with a community participation approach incorporated throughout the project actions. This article reflects on the successes and failures of this pilot project, as demonstrated by differentiated results between a neighborhood located in Chihuahua City and another in the municipality of Guadalupe, within Monterrey's Metro Area. The lessons learned, include the relevance of local political timing and interests, the importance of accurate and manageable geographic definitions for the areas of implementation, the role of NGOs, the importance of local educational institutions-in particular schools of architecture and the need for community oriented strategic consultants, to appropriately advise local governments in the implementation of projects of this nature. The article demonstrates the effort to make it accessible, and to anticipate the issues and opportunities as many Mexican, and other Latin American countries and cities engage in the spatial and social recovery of public spaces, neighborhoods, communities, and cities after years of high crime and violence.</t>
  </si>
  <si>
    <t>OCT 1</t>
  </si>
  <si>
    <t>10.3390/su11195473</t>
  </si>
  <si>
    <t>WOS:000493525500332</t>
  </si>
  <si>
    <t>Lau, LKP; Chow, PYO</t>
  </si>
  <si>
    <t>Lau, Leung Kwok Prudence; Chow, Pak Yin Ophios</t>
  </si>
  <si>
    <t>The Right to Landscape: Social Sustainability and the Conservation of the State Theatre, Hong Kong</t>
  </si>
  <si>
    <t>This study analyses research gaps and identifies potential new research topics concerning the adoption of social sustainability values when conserving historic buildings, with a focus on the State Theatre (the Theatre) in Hong Kong. Despite becoming a Grade 1 historic building in March 2017, the Theatre has since faced an uphill battle, sustained only through public participation and widespread pressure on heritage authorities. In the process, problems with local heritage policy and the bureaucratic procedures of technocratic administrative bodies have been brought to light. Based on in-depth interviews with members of the local community, stakeholders, non-governmental organisations and heritage consultants, and using government policies and media reports, this study unveils and analyses issues related to the conservation of the Theatre using a humanised anthropological approach. The results highlight the need for a more socially sustainable future for cultural capital by integrating the notion of the cultural landscape with heritage conservation in Hong Kong.</t>
  </si>
  <si>
    <t>Lau, Leung Kwok Prudence/0000-0003-4988-6714</t>
  </si>
  <si>
    <t>10.3390/su11154033</t>
  </si>
  <si>
    <t>WOS:000485230200038</t>
  </si>
  <si>
    <t>Affum-Osei, E; Asante, EA; Forkouh, SK; Aboagye, M; Antwi, CO</t>
  </si>
  <si>
    <t>Affum-Osei, Emmanuel; Asante, Eric Adom; Forkouh, Solomon Kwarteng; Aboagye, Michael; Antwi, Collins Opoku</t>
  </si>
  <si>
    <t>Unemployment trends and labour market entry in Ghana: job search methods perspective</t>
  </si>
  <si>
    <t>LABOR HISTORY</t>
  </si>
  <si>
    <t>Statistical information is critical for both government and the general public for monitoring, evaluation, and implementation of employment policies and programmes. This paper revisits the labour market trends between 2012 and 2016 and discusses the importance of job search methods for labour market entry in Ghana. We explored job search methods (Formal and Informal Methods) used by 235 participants from seven regions of Ghana. Results revealed that many of the participants highly relied on informal job search methods to secure jobs across all demographic variables. This has been the case in Ghana when unemployment continues to increase leading to a difficult labour market entry. Our findings, therefore, suggest that in such a restricted labour market, employment success is likely to be determined by 'whom you know'. The results offer practical recommendations for private and public employment consultancies, as well as policymakers to institute impactful intervention programmes for job seekers on the efficient ways of developing and sustaining meaningful social capital/networks to enhance their chances of finding employment.</t>
  </si>
  <si>
    <t>Antwi, Collins Opoku/L-2115-2019; Asante, Eric Adom/D-9484-2018</t>
  </si>
  <si>
    <t>0023-656X</t>
  </si>
  <si>
    <t>1469-9702</t>
  </si>
  <si>
    <t>NOV 2</t>
  </si>
  <si>
    <t>10.1080/0023656X.2019.1640356</t>
  </si>
  <si>
    <t>JUL 2019</t>
  </si>
  <si>
    <t>WOS:000476181100001</t>
  </si>
  <si>
    <t>Therivel, R</t>
  </si>
  <si>
    <t>Therivel, Riki</t>
  </si>
  <si>
    <t>Effectiveness of English local plan SA/SEAs</t>
  </si>
  <si>
    <t>IMPACT ASSESSMENT AND PROJECT APPRAISAL</t>
  </si>
  <si>
    <t>Fourteen years since the implementation of the European SEA Directive, the effectiveness of the English system of Local Plan sustainability appraisals/strategic environmental assessments (SA/SEAs) is analysed, based on 15 case studies, five interviews, and questionnaires of 11 planners. Substantively, SA/SEA leads to fine-tuning of plan policy wording and a more robust choice of development sites, but to only limited wider influence on the plan. Normatively, there seems to be a direct conflict between the requirement that Local Plans must provide enough housing for objectively assessed need', and environmental protection. From a pluralist perspective SA/SEA reports are very long, and although the statutory consultees often comment on them, the public do so only infrequently. It is in the transactive dimension that the largest changes have taken place: both consultants and planners have had to do more with less. This does not yet seem to have negatively affected the other effectiveness dimensions, but may not be sustainable over time.</t>
  </si>
  <si>
    <t>1461-5517</t>
  </si>
  <si>
    <t>1471-5465</t>
  </si>
  <si>
    <t>JUL 4</t>
  </si>
  <si>
    <t>10.1080/14615517.2019.1579989</t>
  </si>
  <si>
    <t>WOS:000476565900008</t>
  </si>
  <si>
    <t>Bilal, M; Iqbal, HMN</t>
  </si>
  <si>
    <t>Bilal, Muhammad; Iqbal, Hafiz M. N.</t>
  </si>
  <si>
    <t>An insight into toxicity and human-health-related adverse consequences of cosmeceuticals - A review</t>
  </si>
  <si>
    <t>In recent years, the use of cosmeceutical-based personal care and beauty products has ever increased, around the world. Currently, an increasing number of compounds are being assimilated in the formulation of cosmetic products as preservatives, fragrances, surfactants, etc. to intensify the performance, quality, value, and lifespan of cosmetics. Nevertheless, many of these chemical additives pose toxic effects to the human body, exhibiting health risks from a mild hypersensitivity to life-threatening anaphylaxis or lethal intoxication. Therefore, the indiscriminate application of cosmeceuticals has recently become a mounting issue confronting public health. The present review focuses on exposure to a large variety of toxic substances used in cosmetic formulations such as 1.4-clioxane formaldehyde, paraformaldehyde, benzalkonium chloride. imidazolidinyl urea. diazolidinyl urea, trace heavy metals, parabens derivatives, phthalates, isothiazolinone derivatives (methylchloroiso-thiazolinone, and methylisothiazolinone), methyldibromo glutaronitrile, and phenoxy-ethanol. The biological risks related to these substances that they can pose to human health in terms of cytotoxicity, genotoxicity, mutagenicity, neurotoxicity oestrogenicity or others are also discussed. Researchers from academia, consultancy firms, governmental organizations, and cosmetic companies should carry out further progress to keep updating the consumers regarding the dark-sides, and health-related harmful apprehensions of cosmetics. In addition, the industry-motivated initiatives to abate environmental impact through green, sustainable and eco-friendly product development grasp significant perspective. (C) 2019 Elsevier B.V. All rights reserved.</t>
  </si>
  <si>
    <t>JUN 20</t>
  </si>
  <si>
    <t>10.1016/j.scitotenv.2019.03.261</t>
  </si>
  <si>
    <t>WOS:000464681800055</t>
  </si>
  <si>
    <t>Kiernan, F</t>
  </si>
  <si>
    <t>Kiernan, Fiona</t>
  </si>
  <si>
    <t>Public policy failure in healthcare: The effect of salary reduction for new entrant consultants on recruitment in public hospitals</t>
  </si>
  <si>
    <t>ADMINISTRATION</t>
  </si>
  <si>
    <t>Policies fail or succeed for many reasons. These reasons include the decision-making process, which depends on the interplay of interests, as well as ideology and information. While bearing in mind that perception is often all-important in deciding if a policy is a success or failure, this paper examines the policy failure of the 2012 decision to reduce salaries for new entrant consultants in Irish public hospitals. This salary reduction resulted in difficulties recruiting and retaining hospital consultants in the public sector. Firstly, the timeline and context of the decision are explored, taking into account the financial crisis at the time. This leads on to an examination of why this decision was made. It appears likely that self-interest on the part of the Minister for Health was a factor, and that self-interest on the part of the medical unions prevented reasonable discourse. The ideology of austerity was a predominant theme of government budgets in 2012; however, this ideology was also influential in creating an environment that allowed blame for public sector pay to be focused predominantly at public hospital consultants. Finally, I find problems with the information used in decision-making for the policy. This is evident from the irrational beliefs held by policymakers on the likelihood of recruiting consultants with lower salaries.</t>
  </si>
  <si>
    <t>0001-8325</t>
  </si>
  <si>
    <t>2449-9471</t>
  </si>
  <si>
    <t>10.2478/admin-2019-0015</t>
  </si>
  <si>
    <t>WOS:000471188800005</t>
  </si>
  <si>
    <t>Rose, T; Manley, K; Widen, K</t>
  </si>
  <si>
    <t>Rose, Timothy; Manley, Karen; Widen, Kristian</t>
  </si>
  <si>
    <t>Do firm-level barriers to construction product innovation adoption vary according to position in the supply chain?</t>
  </si>
  <si>
    <t>Purpose The purpose of this study is to examine product innovation as a means of addressing infrastructure shortages in developed economies and to improve the sustainability of infrastructure. The obstacles to product innovation in the road industry are compared between different types of participants in the supply chain to provide guidelines for interventions to improve innovation rates. Design/methodology/approach This exploratory study uses descriptive data from a large scale survey of the Australian road industry. The three top-rated product innovation obstacles for the following four types of participants are examined: contractors, consultants, suppliers and clients. Findings The four groups were found to disagree about the relative importance of the obstacles. Contractors and suppliers ranked restrictive price-only tender assessment used by clients as their number one obstacle, while consultants thought there was too much emphasis by the clients on direct costs compared with whole-of-life costs. On the other hand, clients felt suppliers do not do enough thorough testing prior to proposing a new product and disagreed with suppliers about who should carry the risk of new product failure. Practical implications Results suggest there is a need for government clients to carefully consider the differing perspectives across the supply chain when developing strategies to encourage the adoption of mutually-beneficial innovative products on their construction projects. Inclusive focus groups examining the drivers, configuration and benefits of collaborative procurement systems are recommended to reduce innovation obstacles. Social implications Society relies on urban infrastructure for daily living and the current study contributes to stretching infrastructure investment dollars and reducing the environmental impact of infrastructure provision. Originality/value No previous study has compared the perception of product innovation obstacles across different road industry supply chain partners. This is a significant gap, as differences in opinions across the supply chain need to be understood to develop the shared expectations and the improved relationships required to improve product innovation rates. Product innovation is important because it has been shown to improve efficiency (potentially addressing the road investment gap) and reduce deleterious environmental impacts.</t>
  </si>
  <si>
    <t>APR 17</t>
  </si>
  <si>
    <t>10.1108/CI-11-2017-0090</t>
  </si>
  <si>
    <t>WOS:000464744000005</t>
  </si>
  <si>
    <t>Drivers and challenges for implementing ISO 14001 environmental management systems in an emerging Gulf Arab country</t>
  </si>
  <si>
    <t>Worldwide, ISO 14001 certification for organizations has become the norm, but the Arab world accounts for an insignificant portion of all the certified organizations. There is a dearth of research on environmental management systems (EMS) in Arab and emerging countries and in public organizations. The objectives of this research are to: (1) examine the key drivers and challenges related to implementation of ISO 14001 certified EMS in the United Arab Emirates, an emerging Arab country and (2) compare and contrast these drivers and challenges between private and public organizations. We adopt an explorative, qualitative methodology, using semi-structured interviews with environmental managers in 11 organizations (6 private and 5 public) from different industrial sectors. Drivers of EMS certification were mostly similar between private and public organizations, with some differences. Compliance with regulations and standards, and increasing environmental performance were the main drivers for ISO 14001 certification in both private and public organizations. Commitment to sustainability was more important for public organizations. Cost reduction, competitors, leadership commitment and customers' demands were shared drivers, but more stressed by private organizations. Local community and employees' pressures were reported by private organizations only. The challenges to ISO 14001 implementation were similar for private and public organizations. They were: a lack of qualified human resources, practical challenges associated with implementation, a lack of regulations, a lack of support from management, and high costs. Our findings have implications for managers, academics, consultants, and policy makers in the UAE and other emerging markets.</t>
  </si>
  <si>
    <t>Bartholomew, Aaron/0000-0003-3154-1515</t>
  </si>
  <si>
    <t>10.1007/s00267-017-0958-5</t>
  </si>
  <si>
    <t>WOS:000466724900008</t>
  </si>
  <si>
    <t>Kopack, RA</t>
  </si>
  <si>
    <t>Kopack, Robert A.</t>
  </si>
  <si>
    <t>Rocket Wastelands in Kazakhstan: Scientific Authoritarianism and the Baikonur Cosmodrome</t>
  </si>
  <si>
    <t>ANNALS OF THE AMERICAN ASSOCIATION OF GEOGRAPHERS</t>
  </si>
  <si>
    <t>In this article, I examine how the authoritarian control of scientific research with regard to the Russian space program and the Baikonur Cosmodrome sustains toxic geographies and an information void in Kazakhstan. Baikonur is the oldest, largest, and now busiest space complex in the world, operating continuously since the clandestine Soviet program began in 1957. After 1991, Baikonur became part of a global services industry. Since 2007, a string of violent explosions of Proton class rocket engines, littering designated fall zones in central Kazakhstan with toxic debris, have revealed public concern over the use of unsymmetrical dimethyl-hydrazine (heptyl) fuel. When activists' opposition to the use of Proton engines is not squelched as an irrational fear of the cosmos or cosmophobia, Russian and Kazakh authorities resort to censorship, intimidation, and imprisonment. Although located in Kazakhstan, Baikonur's launch facilities, the adjacent closed city of the same name, and rocket fall zones are administered by the Russian Federation through several post-Soviet techno-diplomatic leasing agreements. All environmental assessment or remediation related to Baikonur is channeled through the Russian Space Agency (RosCosmos), rendering access, publishing, and independent scientific research outside of public scrutiny. Based on twenty months of field research and key interviews with Russian space industry actors, Kazakh state officials, environmental groups, environmental consultants, and local citizens, I examine how the post-Soviet privatization of Baikonur and a legally binding lease agreement facilitate the emergence of authoritarian forms of environmental governance that normalize pollution and block activist interventions.</t>
  </si>
  <si>
    <t>2469-4452</t>
  </si>
  <si>
    <t>2469-4460</t>
  </si>
  <si>
    <t>MAR 4</t>
  </si>
  <si>
    <t>10.1080/24694452.2018.1507817</t>
  </si>
  <si>
    <t>WOS:000461894800023</t>
  </si>
  <si>
    <t>Borders, AL; Lester, DH</t>
  </si>
  <si>
    <t>Borders, Aberdeen Leila; Lester, Deborah H.</t>
  </si>
  <si>
    <t>Sustainability by design: why firms and institutions do it</t>
  </si>
  <si>
    <t>JOURNAL OF GLOBAL SCHOLARS OF MARKETING SCIENCE</t>
  </si>
  <si>
    <t>This special issue of the Journal of Global Scholars of Marketing Science addresses the influence that sustainability efforts have on the marketing, sales, and social media facets of our society. Articles in this special issue focus on direct contributions that businesses and educational institutions employ in their sustainability efforts. Sustainability has enjoyed the accolades of becoming the driving energy toward prosperity among business professionals, government organizations and management consultants since the beginning of the millennium. The concept of sustainability has undergone a variety of renditions and held various monikers for over three decades, while politicians, corporations, and the general public debate the issues and solutions endlessly. Given the multitude of stakeholders, value is the primary question surrounding sustainability. What value will sustainability provide to the company, the government, and the individual? All principals have concerns about meeting this need for their constituents. Sustainability and the process of learning about sustainability involve applied learning. Accomplishing sustainability applied learning occurs by developing value for each of the markets and moving beyond recycle, reuse, and reduce toward re-programming, re-processing, re-thinking, and re-engineering as we offer in this special issue.</t>
  </si>
  <si>
    <t>Borders, Aberdeen/G-9054-2015</t>
  </si>
  <si>
    <t>Borders, Aberdeen/0000-0002-5311-2300</t>
  </si>
  <si>
    <t>2163-9159</t>
  </si>
  <si>
    <t>2163-9167</t>
  </si>
  <si>
    <t>10.1080/21639159.2018.1552533</t>
  </si>
  <si>
    <t>WOS:000455851500001</t>
  </si>
  <si>
    <t>Azcoaga, FF</t>
  </si>
  <si>
    <t>Azcoaga, Fernando Fantova</t>
  </si>
  <si>
    <t>Agents in the transformation of social services</t>
  </si>
  <si>
    <t>CUADERNOS DE TRABAJO SOCIAL</t>
  </si>
  <si>
    <t>The author is an independent consultant in the economic sector and in public social services policy in Spain and in contact with the processes and products of various actors of the practical and knowledge networks involved or interested in this area of professional activity and social life. This article seeks to qualitatively describe and critically analyse the time of change that social services in Spain are experiencing in terms of sectoral and intersectoral dynamics, in order to explore the trends and opportunities for technological and social innovation and, within this framework, the potential and preferable role and approach (from their perspective) of the various public, third sector and private actors. Finally, a proposal is made for personalised, preventive, community, integrated, ecological, interdisciplinary and knowledge-based social services that are guaranteed as universal rights. The guarantors would be proactive and intelligent public authorities that recognise the historical role and added value of social initiative in the sector and know how to regulate and incorporate the role of commercial entities that contribute to economic, social and environmental sustainability in the territory.</t>
  </si>
  <si>
    <t>0214-0314</t>
  </si>
  <si>
    <t>1988-8295</t>
  </si>
  <si>
    <t>10.5209/cuts.58801</t>
  </si>
  <si>
    <t>WOS:000480516600013</t>
  </si>
  <si>
    <t>Gold, JR; Pendlebury, J</t>
  </si>
  <si>
    <t>Gold, John R.; Pendlebury, John</t>
  </si>
  <si>
    <t>The 'spirit of living continuity'? Revisiting the urban vision, methodologies and influence of the Studies in Conservation</t>
  </si>
  <si>
    <t>TOWN PLANNING REVIEW</t>
  </si>
  <si>
    <t>The late 1960s witnessed sustained debate about the prevailing direction of policy towards the existing built environment. Against that background, an initiative launched in 1966 saw small teams of consultants commissioned to prepare analytic and advisory reports on Bath, Chester, Chichester and York. Their reports were belatedly published between February and May 1969. They were intended not just to provide specific information about four cathedral cities but also collectively to act as pilot studies able to indicate more generally the options available to policymakers. In this paper, we make use of oral testimony, archive sources and contemporary commentaries to identify the origins and purpose of this initiative, discuss the intrinsic visions offered for the different cities, and comment on the methodologies proposed for achieving conservation. The final section provides historiographic commentary on the significance of the Studies in Conservation half a century after their publication.</t>
  </si>
  <si>
    <t>0041-0020</t>
  </si>
  <si>
    <t>1478-341X</t>
  </si>
  <si>
    <t>10.3828/tpr.2019.4</t>
  </si>
  <si>
    <t>WOS:000456174100003</t>
  </si>
  <si>
    <t>Gugg, G</t>
  </si>
  <si>
    <t>Gugg, Giovanni</t>
  </si>
  <si>
    <t>Beyond the volcanic risk. To defuse the announced disaster of Vesuvius</t>
  </si>
  <si>
    <t>AIMS GEOSCIENCES</t>
  </si>
  <si>
    <t>The anthropology of risks and disasters has been characterized in recent years by a strong focus on aspects of contemporary life, also developing a lively interdisciplinary vocation. The subject of these studies is multifaceted and complex, because during an emergency, or its future planning, there are political and legal discussions that can involve a multitude of actors, including lawyers, consultants, groups formed to represent victims or residents, social movements, businessmen, politicians, public officials and journalists. These figures contribute to the social construction of disaster, or risk, so anthropology can help to untangle these relationships. Similar dynamics are observable even before a disaster, as in the case of my contribution: Vesuvius has not erupted in 75 years and volcanologists say that it will remain dormant for a long time, however since 1995 a planning of the future volcanic eruption has been initiated that has changed the relationship of residents with the territory, as well as with time. On the one hand, in the same year, the creation of the Vesuvius National Park, within a layout concentric to the red zone, further regulated the use and attendance of the territory; on the other hand, with the emergency planning, the future catastrophe has been transformed: it is no longer a hypothetical eventuality but, in a sense, it is officially announced. In other words, the scenarios of the future have begun to influence the present time: they produce norms, establish behaviors, determine relationships, and become reality. The Vesuvius Emergency Plan and the Evacuation Plan are governmental devices, or non-human social actors that, in addition to producing a regulated space and time, determine the daily practices of the residents and their conception of the situation in which they live. This has helped to model various social elaborations of risk, which I discuss in my contribution, underlining how there are associations and communities that do not ignore the risk, nor have a fatalistic attitude, but are active to rebuild a more equitable and sustainable relationship between humans and the ecosystem. Through the ethnographic approach, the need emerged to overcome the emergency logic and to induce public institutions to work also on risk mitigation, i.e. by fostering democratic participation, requalifying cities, taking action to eliminate social vulnerability; in other words, the inhabitants of the Vesuvian area are not indifferent to the threat of the volcano, but they have a different and differentiated approach that questions some simplifications on the prevention society, the risk culture and a certain way of understanding development.</t>
  </si>
  <si>
    <t>2471-2132</t>
  </si>
  <si>
    <t>10.3934/geosci.2019.3.480</t>
  </si>
  <si>
    <t>WOS:000484690300006</t>
  </si>
  <si>
    <t>Lumumba-Kasongo, T</t>
  </si>
  <si>
    <t>Lumumba-Kasongo, Tukumbi</t>
  </si>
  <si>
    <t>China-Kenya Relations with a Focus on the Maritime Silk Road Initiative (MSRI) within a Perspective of Broad China-Africa Relations</t>
  </si>
  <si>
    <t>AFRICAN AND ASIAN STUDIES</t>
  </si>
  <si>
    <t>My article is a critical reflection on China-Kenya Relations with the focus on the Chinese MSRI link with Kenya. Since Kenya gained its nominal political independence in 1963 from Great Britain, it has been involved in complex foreign relations with China. Currently, they enjoy solid bilateral relations, despite some domestic priority shifts and ideological differences among their leaders. From Jomo Kenyatta to Daniel Amp Moi, Mwai Kibaki and Uhuru Kenyatta, Kenya-China relations have been growing. The Forum on China Africa Cooperation. Within FOCAC, a collective, pragmatic consultancy and dialogue scheme was established. There have been more than 80 Chinese development projects in Kenya, ranging from the provision of grants to the building of infrastructures and concessional loans. This essay reflects, using the geopolitics critique of neo-realism supported by historical structuralism and multipolarity paradigms, potential gains of the MSRI within Kenya vision of 2030 (Ruwaza ya Kenya). What and how would Kenya gain from this initiative, beyond the existing relations? What kind of partnership will develop out of MS RI, which can support African regional needs, exigencies of practices of democracy and those of sustainable development, and environmental parameters? I propose a multipolar perspective as a new theoretical ground to address the above questions.</t>
  </si>
  <si>
    <t>1569-2094</t>
  </si>
  <si>
    <t>1569-2108</t>
  </si>
  <si>
    <t>10.1163/15692108-12341428</t>
  </si>
  <si>
    <t>WOS:000497198700002</t>
  </si>
  <si>
    <t>Efthymiou, M; Papatheodorou, A</t>
  </si>
  <si>
    <t>Efthymiou, Marina; Papatheodorou, Andreas</t>
  </si>
  <si>
    <t>Environmental considerations in the Single European Sky: A Delphi approach</t>
  </si>
  <si>
    <t>TRANSPORTATION RESEARCH PART A-POLICY AND PRACTICE</t>
  </si>
  <si>
    <t>This paper uses a Delphi approach to analyse policy issues related to the environmental aspects of the Single European Sky (SES). SES aims to organize the airspace uniformly, with air traffic control areas based on operational efficiency rather than national borders. One of the main aspects of SES is performance evaluation in four areas namely cost efficiency, capacity, safety and environment. This paper focuses on the latter using a two-round Delphi approach. The sample consists of thirty experts from airlines, Air Navigation Service Providers (ANSPs), Civil Aviation Authorities, Individual experts/consultant/academics, Governmental institutions, EUROCONTROL and the International Air Transport Association (IATA). The Delphi analysis is also supported qualitatively by five interviews with senior experts from the European Commission, EUROCONTROL and IATA. Among others, delays in implementation and the slow progress of the policy scheme are highlighted. Policy recommendations are also provided in the paper to effectively deal with the identified problems.</t>
  </si>
  <si>
    <t>Efthymiou, Marina/0000-0001-8611-5973; Papatheodorou, Andreas/0000-0001-9484-7517</t>
  </si>
  <si>
    <t>0965-8564</t>
  </si>
  <si>
    <t>10.1016/j.tra.2018.09.024</t>
  </si>
  <si>
    <t>WOS:000452941000038</t>
  </si>
  <si>
    <t>McKenzie, S; Parkinson, H; Mangold, J; Burrows, M; Ahmed, S; Menalled, F</t>
  </si>
  <si>
    <t>McKenzie, Sean; Parkinson, Hilary; Mangold, Jane; Burrows, Mary; Ahmed, Selena; Menalled, Fabian</t>
  </si>
  <si>
    <t>Perceptions, Experiences, and Priorities Supporting Agroecosystem Management Decisions Differ among Agricultural Producers, Consultants, and Researchers</t>
  </si>
  <si>
    <t>The sustainability of agriculture depends as much on the natural resources required for production as it does on the stakeholders that manage those resources. It is thus essential to understand the variables that influence the decision-making process of agricultural stakeholders to design educational programs, interventions, and policies geared towards their specific needs, a required step to enhance agricultural sustainability. This study employed a survey of multiple-choice and open-ended questions to examine the perceptions, experiences, and priorities that influence management decisions of agricultural stakeholders across Montana, United States. A total of 272 respondents completed a survey, representing five distinct agricultural stakeholder groups: 103 (34.9%) conventional producers, 78 (28.7%) consultants, 37 (13.6%) researchers, 33 (12.1%) organic grain producers, and 21 (7.7%) organic vegetable producers. The results revealed that, while stakeholder groups have distinct perceptions, experiences, and priorities, there were similarities across groups (pseudo-F = 22.92, p = 0.001). Specifically, organic vegetable and organic small-grain producers showed similar responses that were, in turn, divergent from those of conventional producers, researchers, and crop consultants. Conventional small-grain producers and researchers showed overlapping response patterns, while crop consultants formed an isolated group. Six clusters resulting from the classification of the multiple-choice response dataset associated with specific agricultural professions (chi(2) = 549.72, p = 0.001). The classification of open-ended questions that assessed agronomic challenges and research needs resulted in six distinctive clusters, with specific associations between clusters and agricultural stakeholder groups (chi(2) = 164.41, p = 0.001). These results reinforce the need for agricultural education and programs that address unique and shared experiences, priorities, and concerns of multiple stakeholder groups. This study endorses the call for a paradigm shift from the traditional top-down agricultural extension model to one that accounts for participants' socio-ecological contexts to facilitate the adoption of sustainable agricultural systems that support environmental and human wellbeing.</t>
  </si>
  <si>
    <t>10.3390/su10114096</t>
  </si>
  <si>
    <t>WOS:000451531700270</t>
  </si>
  <si>
    <t>Pediaditi, K; Banias, G; Sartzetakis, E; Lampridi, M</t>
  </si>
  <si>
    <t>Pediaditi, Kalliope; Banias, Georgios; Sartzetakis, Eftychios; Lampridi, Maria</t>
  </si>
  <si>
    <t>Greece's reformed EIA system: Evaluating its implementation and potential</t>
  </si>
  <si>
    <t>The Memorandum of Understanding (MoU) signed by the Greek government and the troika in 2010 contained numerous austerity policies and requirements for administrative reforms, among which is that of the national Environmental Impact Assessment (EIA) system. Complying with this requirement, Law4014/2011 was passed, aiming at reducing bureaucracy and increasing the country's appeal to investors whilst ensuring environmental protection. The present paper provides the first systematic, multi-scale and multidimensional evaluation of the effectiveness of the new EIA system. The evaluation is based firstly on the results of a Pan-Hellenic survey, involving key EIA consultants and authorities; secondly, on additional, in-depth interviews with EIA specialists, National-Ministry and Regional EIA Authorities; and thirdly, on the content review of 105 Environmental Impact statements. The results highlight the persistence of serious problems despite the reform of the Hellenic EIA System. The data reveal a significant discrepancy between what is set out in law and the actual practice. Although Law 4014/2011 contains progressive and innovative elements (such as adopting a life cycle approach to the EIA process, and mandating the development and use of a central Electronic Environmental Registry (e-ER) to manage and publish results of the EIA process), the recorded failure to implement them in practice results in a non-transparent and ineffective EIA system. Recommendations for improvement are proposed as well as areas for further research.</t>
  </si>
  <si>
    <t>10.1016/j.eiar.2018.07.007</t>
  </si>
  <si>
    <t>WOS:000447480100009</t>
  </si>
  <si>
    <t>Landauer, M; Komendantova, N</t>
  </si>
  <si>
    <t>Landauer, Mia; Komendantova, Nadejda</t>
  </si>
  <si>
    <t>Participatory environmental governance of infrastructure projects affecting reindeer husbandry in the Arctic</t>
  </si>
  <si>
    <t>Several infrastructure projects are under development or already operational across the Arctic region. Often the deployment of such projects creates benefits at the national, regional, or global scales. However, local communities can experience negative impacts due to the requirements for extensive land areas, which cause pressure on traditional land use. Public participation in environmental planning such as Environmental Impact Assessment (EIA) enables local communities to provide feedback on the environmental, social, and economic challenges of infrastructure projects. Ideally, participation can improve the means of social learning for all involved parties and help to co-develop sustainable solutions. The subject of our research is reindeer herders' participation in EIA procedures of mines and wind farms in Finland because these types of projects affect reindeer husbandry. We study empirically how stakeholders involved in the EIAs perceive the participation of reindeer herders in the planning and implementation of infrastructure projects, and how these differ from the perceptions of the reindeer herders who are affected by the infrastructure projects. Our qualitative data is based on in-depth semi-structured interviews (N = 31) with members of the industry sector, consultants, governmental authorities, and representatives of local communities; in this study, the reindeer herders. The results show that herders' level of participation in the EIAs and the benefits and challenges of participation are perceived differently. Furthermore, the regulatory framework does not adequately ensure that the developer carries social and environmental responsibilities throughout the infrastructure project's lifetime, and that regular communication with herders will also be maintained after the EIAs. Herded expertise should be used throughout the project lifetime. For example, more attention should be paid to both negotiating possible options for compensation and monitoring mechanisms when the infrastructure projects are pre-screened for the EIAs, as well as to co-designing the different project alternatives with herders for the EIAs.</t>
  </si>
  <si>
    <t>10.1016/j.jenvman.2018.06.049</t>
  </si>
  <si>
    <t>WOS:000442057500036</t>
  </si>
  <si>
    <t>Luengo-Valderrey, MJ</t>
  </si>
  <si>
    <t>Jesus Luengo-Valderrey, Maria</t>
  </si>
  <si>
    <t>Impact of the Triple Helix and the Difficulties to Innovate in the Innovation Aims: Spain, 2007-2013</t>
  </si>
  <si>
    <t>REVISTA DE ESTUDIOS REGIONALES</t>
  </si>
  <si>
    <t>Surviving in a global world and in constant transformation requires, in large measure, to generate new knowledge and innovation capacity from it. In this sense, the application of information systems impels in a large degree both the diffusion of knowledge and innovation. In fact, the best ideas for innovation arise from the interaction between the company's specific capabilities and external knowledge. This theory is driven by the Triple Helix model proposed by Leydesdorff and Etzkowitz, promoting bilateral relations between the industry, university and government axes, to expand knowledge in society and economy. For this, it facilitates formal and informal interactions between public and private economic agents, and tries to reduce the barriers to innovation that act as factors that hinder this process. These barriers are accentuated in economic crisis environments and make necessary for interactions for innovation to be more numerous and deep. This paper attempts to reveal the evolution and causal relationships of innovation activities in pre-post economic crisis, as well as the Triple Helix model and perception about the difficulties to innovate, considering the size of the company. The study focuses on the Spanish case during the period 2007-2013 and on the responses to the Survey on Innovation carried out by the National Statistics Institute for those years. It is estimated that the contributions of this article to the literature are mainly four: to provide an analytical understanding of the organizations' innovation activities in terms of their relationship with Triple Helix axes and the barriers to innovation; Provide an empirical investigation of the quantitative impact of the information received from different actors of the Triple Helix axes and the perceived difficulties to innovate in innovation activities; Offer a differentiated view by size of company (this last point allows to understand the quantitative impact in the SMEs, on the one hand, and the big companies, on the other hand, besides the global behaviour, of the causal relations raised); Finally, to provide an overview of the evolution of the indicators and their quantitative impact from a period prior to the economic crisis (2007) to the period when we begin to get out of financial crisis (2013). It is, therefore, a study with explanatory purpose, because it collects and structures the importance that companies give to the axes of the Triple Helix and the aspects of innovation addressed. The methodology used to carry it out is purely quantitative and statistical in nature. So, a univariate descriptive analysis shows the evolution of the variables on the importance of: information received from Triple Helix axes, factors that hinder innovation, and innovation activities. Then, through a multivariate analysis using SEM methodology (structural equations), a causal model is presented to know the degree of incidence of Triple Helix and the factors that hinder innovation in the prioritization of innovation activities and their evolution. The results obtained from the analysis companies position regarding the importance given to the information received from the internal agents and the Triple Helix offers divergent tendencies by size of company. While the tendency of SMEs is to give more importance to information received from external agents, large companies increase the importance given to internal information. As for the results obtained in each of the axes, there are several tendencies both by axis and in the agents, that compose them. If we focus on industry axis all companies tend to down-play the information received from suppliers and competitors, while that granted to customers is almost maintained for SMEs and increase in large companies. The university axis offers interesting percentage increases, especially when it comes to large companies. This behaviour is also seen in the government axis, although with different trends. Thus, the relevance granted to this information by large companies shows a continuous and significant growth, but the importance given to this information by SMEs, (although the result for 2013 is positive) is decreasing. Concerning perceived difficulties to innovate, these perceptions are strongly affected by the macroeconomic factor of the economic and financial crisis, and they suffer a significant increase in their importance when it comes to hampering innovation activities in the groups analysed. This is not the case with microeconomic factors, such as the high cost of innovation, knowledge and the role of marketing, which are becoming less important while the factor to find cooperation associates acquire more importance. The results obtained provide relevant information on the level of importance of the Triple Helix axes and the difficulties encountered in innovating in the prioritization of activities for innovation, since obtaining a greater knowledge of the strength of the interactions and of the factors that really hinder innovation, offers the possibility of designing strategies to combat them and improve innovation activities. As the main conclusion, Spanish companies, especially SMEs, are becoming aware of the importance of belonging to collaboration-cooperation networks involving university and government agents. In this way, they benefit from the positive synergies that, in terms of innovation, arise from the interactions between the three axes. Continuing with this group, even though the most important information for all companies is still received from the agents of the industry axis, this has been losing importance in favour of the university axis. But this change of trend towards the university axis is not enough, since the incidence of information from the Triple Helix in the prioritization of objectives is very low, and the predisposition to innovate in products/services and to drastically reduce costs (especially labour ones) as an effective solution to deal with an unfavourable environment is still holded. The situation in the collective of large companies does not differ significantly from the previous one, although in this case, the importance given to the information coming from the agents of the university axis and from the government axis gains more ground. In addition, there is a notable, positive and significant impact of the information obtained from the Triple Helix in the innovation objectives. However, Spanish companies keep positions more typical of the Industrial Society than the Knowledge Society, and focus their innovations on products / services, forgetting areas as important today as the design, distribution and the organization itself. This is because they focus on reducing costs, to palliate their difficulties of access to finance and the lack of support, factors that are perceived as the most important barriers to innovation. Despite all this, the situation is gradually changing, as an increasing number of them attaches great importance to the information received by other external agents when establishing their innovation activities. This shows that more and more managers / leaders of companies opt for the path of people-centred management that focuses their efforts on the needs of their groups of interest, including society. This awareness entails an increase in interaction with the three axes of the Triple Helix. The result of the analysis shows that the change is still small and companies must integrate cooperation in their vision as an essential element for their good progress and include in their road map membership to associations that can facilitate both to make themselves heard by the government and to know the opportunities that this offers. In turn, the government must establish spaces, organizations... that favour access to innovation policies and alternative sources of funding to all companies, especially SMEs, since the latter is still considered the difficulty par excellence at the time of innovation. Above all, the different public agencies / institutions must make a great effort to ensure that SMEs lose their fear and suspicions of everything that may come from them, to facilitate access to information and provide them with alternative financing lines. A response to both needs is the creation and monitoring of sectoral or thematic groupings, which will oversee integrating the three axes of Triple Helix and of engaging them, promoting the transmission and generation of knowledge that becomes innovation in partner organizations. They will include suppliers of materials and services, financial institutions, companies from related sectors, distributors, specialized consultants, technology centres, universities and higher education institutions, business or professional associations. These groups have proven to be successful in various Regional Spaces, as manifested by any of the existing ones in the Basque Country. All this opens a large field of future research in regard to the evolution and revision of the prescriptive measures implemented and their effect.</t>
  </si>
  <si>
    <t>0213-7585</t>
  </si>
  <si>
    <t>SEP-DEC</t>
  </si>
  <si>
    <t>WOS:000483175100008</t>
  </si>
  <si>
    <t>Johnston, SF</t>
  </si>
  <si>
    <t>Johnston, Sean F.</t>
  </si>
  <si>
    <t>Alvin Weinberg and the Promotion of the Technological Fix</t>
  </si>
  <si>
    <t>TECHNOLOGY AND CULTURE</t>
  </si>
  <si>
    <t>The term technological fix, coined by technologist/administrator Alvin Weinberg in 1965, vaunted engineering innovation as a generic tool for circumventing problems commonly conceived as social, political, or cultural. A longtime Director of Oak Ridge National Laboratory, government consultant, and essayist, Weinberg also popularized the term big science to describe national goals and the competitive funding environment after the Second World War. Big science reoriented towards technological fixes, he argued, could provide a new Apollo project to address social problems of the future. His ideas-most recently echoed in solutionism-have channeled confidence and controversy ever since. This article traces the genesis and promotion of the concept by Weinberg and his contemporaries. It argues that, through the concept, the marginal politics and technological confidences of interwar scientists and technocrats were repositioned as mainstream notions closer to the heart of big science policy.</t>
  </si>
  <si>
    <t>Johnston, Sean F./A-2431-2010</t>
  </si>
  <si>
    <t>Johnston, Sean F./0000-0001-6156-9768</t>
  </si>
  <si>
    <t>0040-165X</t>
  </si>
  <si>
    <t>1097-3729</t>
  </si>
  <si>
    <t>10.1353/tech.2018.0061</t>
  </si>
  <si>
    <t>WOS:000445099900004</t>
  </si>
  <si>
    <t>Sheard, S</t>
  </si>
  <si>
    <t>Sheard, Sally</t>
  </si>
  <si>
    <t>Space, place and (waiting) time: reflections on health policy and politics</t>
  </si>
  <si>
    <t>HEALTH ECONOMICS POLICY AND LAW</t>
  </si>
  <si>
    <t>Health systems have repeatedly addressed concerns about efficiency and equity by employing trans-national comparisons to draw out the strengths and weaknesses of specific policy initiatives. This paper demonstrates the potential for explicit historical analysis of waiting times for hospital treatment to add value to spatial comparative methodologies. Waiting times and the size of the lists of waiting patients have become key operational indicators. In the United Kingdom, as National Health Service (NHS) financial pressures intensified from the 1970s, waiting times have become a topic for regular public and political debate. Various explanations for waiting times include the following: hospital consultants manipulate NHS waiting lists to maintain their private practice; there is under-investment in the NHS; and available (and adequate) resources are being used inefficiently. Other countries have also experienced ongoing tensions between the public and private delivery of universal health care in which national and trans-national comparisons of waiting times have been regularly used. The paper discusses the development of key UK policies, and provides a limited Canadian comparative perspective, to explore wider issues, including whether 'waiting crises' were consciously used by policymakers, especially those brought into government to implement new economic and managerial strategies, to diminish the autonomy and authority of the medical professional in the hospital environment.</t>
  </si>
  <si>
    <t>Sheard, Sally/0000-0001-8116-9120</t>
  </si>
  <si>
    <t>1744-1331</t>
  </si>
  <si>
    <t>1744-134X</t>
  </si>
  <si>
    <t>10.1017/S1744133117000366</t>
  </si>
  <si>
    <t>WOS:000456146400002</t>
  </si>
  <si>
    <t>Lashari, JH; Bhutto, A; Abro, QMM; Memon, ZA; Naqvi, IB</t>
  </si>
  <si>
    <t>Lashari, Jagul Huma; Bhutto, Arabella; Abro, Qazi Muhammad Moinnuddin; Memon, Zahid Ali; Naqvi, Iffat Batool</t>
  </si>
  <si>
    <t>Examining Knowledge Transfer Channels for Development of Environment Sector in Sindh</t>
  </si>
  <si>
    <t>MEHRAN UNIVERSITY RESEARCH JOURNAL OF ENGINEERING AND TECHNOLOGY</t>
  </si>
  <si>
    <t>It is well understood that the creation and applications of new knowledge is the primary factor that drives economic growth. Aim of this research is to examine the KTCs (Knowledge Transfer Channels) in the universities of Sindh, Pakistan leading towards the scientific and technological development of environment sector. This research identified 29 KTCs from literature those were examined, making exploratory interviews with PhD faculty members of universities offering degrees in field of environment. The identified 29 KTCs are grouped together into 7 groups based on their characteristics. KTC-1: Publications (2-variables); KTC-2: Networking (4-variables); KTC-3: Mobility of Researchers (6-variables); KTC-4: Joint Research (5-variables); KTC-5: Intellectual Property with (2-variables); KTC-6: Co-operations (6-variables); KTC-7: Institutional Infrastructure (3-variables). Findings shows, relevancy of KTCs in terms of their role towards the utilization of knowledge capital towards development by means of professional publications from KTC-1, participation of industry staff in conferences and workshops from KTC-2, students working as trainees in the industry and outflow of graduates at M.Phil. level from KTC-3, consultancy of university staff members in the industry from KTC-4, research work in co-operation with research institutes and with consultants from KTC-6 and sharing of physical infrastructure from KTC-7 also shows their impact towards the utilization of knowledge capital for development of environment sector. None of Variable from KTC-5 related to intellectual property rights shows their impact towards utilization of knowledge capital. This research contributes empirical results of KTCs in universities, with policy implications for future knowledge transfer, which can contribute in the development of society.</t>
  </si>
  <si>
    <t>0254-7821</t>
  </si>
  <si>
    <t>2413-7219</t>
  </si>
  <si>
    <t>10.22581/muet1982.1802.17</t>
  </si>
  <si>
    <t>WOS:000430487400017</t>
  </si>
  <si>
    <t>Martek, I; Hosseini, MR; Shrestha, A; Zavadskas, EK; Seaton, S</t>
  </si>
  <si>
    <t>Martek, Igor; Hosseini, M. Reza; Shrestha, Asheem; Zavadskas, Edmundas Kazimieras; Seaton, Stewart</t>
  </si>
  <si>
    <t>The Sustainability Narrative in Contemporary Architecture: Falling Short of Building a Sustainable Future</t>
  </si>
  <si>
    <t>Sustainability has emerged, arguably, as the premiere mission of contemporary architecture. Green assessment tools abound, consultancy services flourish, buildings are marketed on the basis of sustainability performance, and government, media, and corporations seem preoccupied with assessing the quality of the built environment through a green lens. Yet for all the effort, and indeed for all the progress made, fundamental issues resistant to the structural change that is essential for genuine sustainability remain. This paper reviews the state of play of sustainability across the urban landscape. It considers the road travelled so far, and points out some of the major challenges that lie ahead.</t>
  </si>
  <si>
    <t>10.3390/su10040981</t>
  </si>
  <si>
    <t>WOS:000435188000085</t>
  </si>
  <si>
    <t>Anbarasan, P; Sushil</t>
  </si>
  <si>
    <t>Anbarasan, Periyasami; Sushil</t>
  </si>
  <si>
    <t>Stakeholder Engagement in Sustainable Enterprise: Evolving a Conceptual Framework, and a Case Study of ITC</t>
  </si>
  <si>
    <t>An intensive debate has been occurring among academics, consultants and corporate executives, resulting in many definitions of a more humane, more ethical and more transparent manner of conducting business. They have created, supported or criticized related concepts such as sustainable development, corporate citizenship, sustainable entrepreneurship, the triple bottom line, business ethics and corporate social responsibility (Van Marrewijk, ). In the midst of LPG (liberalization, privatization and globalization), with market expansion occurring and the customer base needing to be widened for long-term profitability, can enterprise opt for sustainability through the stakeholder approach? Interestingly, the ITC (Imperial Tobacco Company) is a firm committed to the core values of sustainable development in agrobusiness and in other activities, which has made the corporation well known for its stand on sustainability. Hence, this study begins with a brief literature review on sustainable enterprise and an introduction to familiarize the reader with the case organization, to examine what has made the ITC remain a stalwart in sustainable development and to identify the factors that drive the ITC's vision of sustainability. Based on the identified factors, total interpretive structural modeling (TISM) has been used to evolve a framework of sustainable enterprises on the star model (Sushil, ), which explains the customer and the government as driving factors for sustainability along with the triple bottom line. To validate our study, data on surrogate measures of some of the variables have been taken from the annual reports of the ITC and the validation is performed using linear regression analysis. Finally, the future research scope and limitations of the study are discussed. Copyright (c) 2017 John Wiley &amp; Sons, Ltd and ERP Environment</t>
  </si>
  <si>
    <t>10.1002/bse.1999</t>
  </si>
  <si>
    <t>WOS:000426762900002</t>
  </si>
  <si>
    <t>Lin, YC; Chen, CL; Chen, WH</t>
  </si>
  <si>
    <t>Lin, Yao-Chin; Chen, Chun-Liang; Chen, Wei-Hung</t>
  </si>
  <si>
    <t>The Study on the Sustainable Patterns of Grassroots Innovations in the Clusters of Micro-Enterprises</t>
  </si>
  <si>
    <t>EUROPEAN JOURNAL OF SUSTAINABLE DEVELOPMENT</t>
  </si>
  <si>
    <t>The purpose of this study is to find out different patterns of grassroots innovation under the circumstances of clustering and sustainable development of Micro-enterprises (MIEs). The research object is the clustering of MIEs in Taiwan. This study collects data through interviews, secondary data, observation and expert meeting etc. This study found four patterns promote the sustainable development of grassroots innovation. 1. Pattern I is ability high and trigger high, is defined as Sustainable Development. 2. Pattern II is ability high and trigger low, is defined as Ability-oriented. 3. Pattern III is ability low and trigger low, is defined as Newborn. 4. Pattern IV is ability low and trigger high, is defined as Leader-oriented. Moreover, the study identifies practical implications and proposes suggestions for future research. This study also provides clear guidance on government policies, clustering companies, counseling consultants, and the four patterns to promote sustainability.</t>
  </si>
  <si>
    <t>2239-5938</t>
  </si>
  <si>
    <t>2239-6101</t>
  </si>
  <si>
    <t>10.14207/ejsd.2018.v7n4p507</t>
  </si>
  <si>
    <t>WOS:000446113700049</t>
  </si>
  <si>
    <t>Yi, L; Li, ZP; Yang, L; Liu, J; Packianather, M</t>
  </si>
  <si>
    <t>Yi, Lan; Li, Zhaopeng; Yang, Li; Liu, Jie; Packianather, Michael</t>
  </si>
  <si>
    <t>Evaluation on the development degree of China's seven pilot carbon markets</t>
  </si>
  <si>
    <t>CHINESE JOURNAL OF POPULATION RESOURCES AND ENVIRONMENT</t>
  </si>
  <si>
    <t>China is preparing to establish a nationwide carbon market in 2017, and in order to facilitate this goal, seven pilot carbon markets have been under study for the past few years. This paper summarizes the operation experience and challenges of the seven pilot carbon markets in China. It has been widely accepted that the essence of a carbon market is to solve environmental problems through market mechanisms, with environmental benefit being the fundamental purpose, market mechanism being the key measure, and policies and regulations being an important guarantee for an orderly carbon market. Therefore, this paper constructs an evaluation index system composed of 34 detailed sub-indexes in three dimensions, such as environmental constraint force, market resource allocation ability, and supporting policies and facility completeness. Through analyzing the operation data from 2013 to 2016, the weights of the sub-indexes are obtained. In addition, the study obtains experts' opinions from over 10 carbon permits exchanges, consultancy firms and research institutions in China, and conducts a comprehensive evaluation on the development degree of the seven pilot carbon markets. Results show that the pilot carbon markets that include private SMEs as the covered entities for emissions control present relatively higher environmental constraint force. But too many covered entities could increase the difficulty of market performance management, while the pilots that include high energy-consuming state-owned enterprises as the entities for emissions control demonstrate a phenomenon of high market compliance rate with low trading volume. The resource allocation capability of China's carbon market has not been effectively brought into play, and low degree of market participation has become an important constraint factor for market development. Due to the lack of laws and regulations at the national macro-level, the legally binding force of the pilot markets construction is obviously insufficient, and the supporting policies are lacking foresights. Generally, the development of China's pilot carbon markets is still in such a fragmented state as in the aspects of environment, market and policy development, and the market operation has not yet achieved the purpose of solving environmental problems through market mechanisms. Accordingly, policy recommendations pointed out by this study are that tightening the allowance of free quota and progressively increasing the auction proportion, improving legal construction, increasing the services and products of carbon finance and standardizing the order of market transactions, enhancing capacity building of local governments and promoting the participation willingness and capability of emissions control entities, will be necessary.</t>
  </si>
  <si>
    <t>1004-2857</t>
  </si>
  <si>
    <t>2325-4262</t>
  </si>
  <si>
    <t>10.1080/10042857.2018.1433809</t>
  </si>
  <si>
    <t>WOS:000437273300003</t>
  </si>
  <si>
    <t>Yousuf, MU; Siddiqui, M; Rehman, NU</t>
  </si>
  <si>
    <t>Yousuf, Muhammad Uzair; Siddiqui, Mubashir; Rehman, Naveed Ur</t>
  </si>
  <si>
    <t>Solar energy potential estimation by calculating sun illumination hours and sky view factor on building rooftops using digital elevation model</t>
  </si>
  <si>
    <t>JOURNAL OF RENEWABLE AND SUSTAINABLE ENERGY</t>
  </si>
  <si>
    <t>The detailed and precise estimation of solar energy is a major requirement for solar applications on building roof tops. These estimations help in sustainable development, energy policy making, and renewable energy consumption. In this paper, a methodology was devised to estimate the solar radiation components. This methodology is easily accessible using a simple measuring tape to form a digital elevation model with a cell size of 1 x 1 sq. ft. Liu and Jordan's model [Liu and Jordan, The interrelationship and characteristic distribution of direct, diffuse and total solar radiation, Sol. Energy. 4(3), 1-19 (1960)] was modified for the urban environment and programmed in MATLAB to estimate solar potential. To validate the developed algorithm and modified model, the roof-top area of the postgraduate laboratories of the Mechanical Engineering Department (NED University) was selected as a case study. Measurements were carried out on different days, which showed good agreement with the proposed work. Within the study area, the maximum sunshine hours is 3285 annually, while the site selected has at least 1502 sunshine hours irrespective of elevations. Similarly, the sky view factor has a maximum value of 1 exposed to open plain and a minimum value of 0.4143. Radiation maps were generated for the installation of solar applications. The results showed that the average beam radiation was 4.908 kWh/m(2), with May and December having the maximum and minimum beam intensities of 6.679 kWh/m(2) and 3.815 kWh/m(2), respectively. Similarly, the average diffuse radiation was 2.289 kWh/m(2), with maximum and minimum values, occurring in July and October, of 3.611 kWh/m(2) and 1.299 kWh/m(2), respectively. This work will help energy consultants and households in determining the solar energy potential of the existing flat rooftops and for future construction, thereby cutting energy bills and producing long-term monetary incentives from generating their own energy. Published by AIP Publishing.</t>
  </si>
  <si>
    <t>Yousuf, Muhammad Uzair/I-8300-2019</t>
  </si>
  <si>
    <t>Yousuf, Muhammad Uzair/0000-0003-2177-6804; Rehman, Naveed/0000-0001-8511-1479</t>
  </si>
  <si>
    <t>1941-7012</t>
  </si>
  <si>
    <t>10.1063/1.4997888</t>
  </si>
  <si>
    <t>WOS:000426032800028</t>
  </si>
  <si>
    <t>Rebelo, EM</t>
  </si>
  <si>
    <t>Rebelo, Emilia Malcata</t>
  </si>
  <si>
    <t>Land betterment capture revisited: A methodology for territorial plans</t>
  </si>
  <si>
    <t>LAND USE POLICY</t>
  </si>
  <si>
    <t>The main goal of this article consists in the proposal of a developer obligations' instrument aimed at capturing land betterments that result from planning decisions and from the implementation of territorial plans, reassigning them to public infrastructure, equipment and social purposes. It consists in charging for extra development rights beyond average municipal urban built-up areas. It is founded on a research and consultancy work for the Portuguese Territory Department (a governmental organism) within the scope of the revision of the Land Planning Act and complementary legislation, namely the new Juridical Regime of Urbanization and Edification, and the new Juridical Regime of Territorial Management Instruments. Thus herein are presented the assumptions, methodology, outcomes and conclusions of this work. It is applied - as a case study - to the Detail Plan of Avenue Pope John XXIII, in Fatima (in the Municipality of Ourem, Portugal), but its application is generalizable to other municipalities, and it potentially strengthens their financial status. Considering the current widespread crisis, and taking advantage from the experience of homologous value capture instruments in other countries, the proposed instrument is intended to contribute to strengthen municipal finance. It faces more clearly and objectively the funding of territorial planning and urban development. It further aims at developing understandable, quantifiable and user-friendly decision-support instruments, and at reassigning the betterments engendered by public planning decisions on behalf of communities. This concept and methodology supports the consolidation of the objectives of the new Portuguese Land and Planning Act. It indeed fosters the integration of territorial policies, strengthens effectiveness in plan execution, supports the economic and financial sustainability of urban development operations, and promotes equity as well as social and territorial cohesion.</t>
  </si>
  <si>
    <t>0264-8377</t>
  </si>
  <si>
    <t>1873-5754</t>
  </si>
  <si>
    <t>10.1016/j.landusepol.2017.08.015</t>
  </si>
  <si>
    <t>WOS:000414881200039</t>
  </si>
  <si>
    <t>Kulshrestha, S; Puri, P</t>
  </si>
  <si>
    <t>Kulshrestha, Shobha; Puri, Parul</t>
  </si>
  <si>
    <t>Tows Analysis for Strategic Choice of Business Opportunity and Sustainable Growth of Small Businesses</t>
  </si>
  <si>
    <t>PACIFIC BUSINESS REVIEW INTERNATIONAL</t>
  </si>
  <si>
    <t>For every entrepreneur, it is very important to have the foresight and quality of sensing right opportunity. It is an important entrepreneurial function which calls for the ability and eagerness to perceive and receive the curious signals, sieve and process them for arriving at a final decision in favor of an 'enterprise'. Thus, a correct business opportunity is the feasible economic idea which can be implemented to create an enterprise, earn profit, and leads to sustainable growth. This requires careful study and investigation of the inter-relationship between entrepreneur, environment and the enterprise through which the best business opportunity is identified. Typically, SWOT analysis is being done by prospective entrepreneurs for the screening of best business idea/opportunity which is followed by Project report formulation, Appraisal and Resourcing. Despite the fact that entrepreneurs and professionals perform very mindful and prudent SWOT analysis for opportunity sensing, a major of Small businesses fail and shut down in their initial years only. in 2016, more than 1000 startups shut down their operations in India. More than half of these were founded in the Indian startup ecosystem's takeoff period between 2013 and 2014. According to reports, these sizeable numbers of startups were ventures with very promising ideas and no shortage of funds. This is the rough estimate of failed enterprises which were registered or incorporated and started by trained personnel, however no official data is available for unregistered small and micro enterprises and the last year has seen tremendous increase in the number of enterprises shutting down their operations due to some or various reasons. According to Forbes, most of them failed as they started for wrong reasons, improper planning, poor management and leadership, failure to market, lack of differentiation, etc. This grabs the attention of experts, consultants, entrepreneurs, bankers, policy makers, etc to analyze the reasons behind such failures as they lead to huge waste of resources of society. They need to reevaluate the very first of step of starting an enterprise i.e. selection of the project. While selection, instead of merely focusing on maximizing Strengths of entrepreneur and Opportunities available in environment, these days it's equally important to minimize threats posed by environment and weaknesses of entrepreneur in order to have sustainable growth of business and preventing a startup from death. Therefore, this paper will focus on TOWS analysis which is Threat, Opportunity, Weakness and Strength analysis matrix which helps to select not the best but a better business opportunity and strategy formulation for minimizing the impact of threats and weakness on enterprise and maximizing strengths and opportunities, helping in clear mentioning of the Aspirations (preferred future/what an organization desires to be known for) and Results (measurable) which is crucial to decide whether an enterprise will have sustainable growth or shut down in future.</t>
  </si>
  <si>
    <t>0974-438X</t>
  </si>
  <si>
    <t>WOS:000430113200016</t>
  </si>
  <si>
    <t>Fairlie, K; Burns, T; Kebede, S</t>
  </si>
  <si>
    <t>Fairlie, Kate; Burns, Tony; Kebede, Solomon</t>
  </si>
  <si>
    <t>Implementing Land Administration Solutions in Ethiopia</t>
  </si>
  <si>
    <t>GIM INTERNATIONAL-THE WORLDWIDE MAGAZINE FOR GEOMATICS</t>
  </si>
  <si>
    <t>The government of Ethiopia has demonstrated clear political will to advance the urban land rights agendas, but has struggled to sustain successful pilots. In a recent Technical Assistance project, a World Bank team including consultants from Land Equity International worked closely with the Ministry of Urban Development and Housing to evaluate the urban cadastral context.</t>
  </si>
  <si>
    <t>1566-9076</t>
  </si>
  <si>
    <t>WOS:000416483400006</t>
  </si>
  <si>
    <t>Yapicioglu, B; Mogbo, ON; Yitmen, I</t>
  </si>
  <si>
    <t>Yapicioglu, Balkiz; Mogbo, Onyebuchi Nwabueze; Yitmen, Ibrahim</t>
  </si>
  <si>
    <t>Innovative Strategies for Transport Policies in Infrastructure Development: Nigerian Stakeholders' Perspective</t>
  </si>
  <si>
    <t>INTERNATIONAL JOURNAL OF CIVIL ENGINEERING</t>
  </si>
  <si>
    <t>There are challenges and opportunities of deploying policies for transport infrastructure improvement in developing countries. Transport infrastructural development remains a major tool for achieving the aspirations of the newly introduced economic principles of the Federal Government of Nigeria. This study investigates the impact of innovative strategic approaches for improved transport policy and how the strategies are well incorporated to solve the problems faced in the infrastructure sector to enhance improved economic growth. The research involves a questionnaire survey conducted to key stakeholders in Nigerian six states. The study was focused on the stakeholders selected from the public entities, private clients, consultants, and contractors operating within the Nigerian construction sector. Based on the empirical data, the specific ways in which innovative strategies for transport policies affect infrastructure development contributing to sustainable economic growth have been shown. The findings contribute to the fields of innovative strategies for transport policies in infrastructure development by linking various aspects of innovative strategies for transport policies and infrastructure development and their interrelationships to sustainable economic development from stakeholders' perspective. The results show that variables of innovative strategies in transportation and transportation infrastructure improvement have different roles and significant positive impact on sustainable economic development.</t>
  </si>
  <si>
    <t>Yapicioglu, Belkis/O-9849-2017</t>
  </si>
  <si>
    <t>Yapicioglu, Belkis/0000-0003-4970-7632</t>
  </si>
  <si>
    <t>1735-0522</t>
  </si>
  <si>
    <t>2383-3874</t>
  </si>
  <si>
    <t>5A</t>
  </si>
  <si>
    <t>10.1007/s40999-017-0172-0</t>
  </si>
  <si>
    <t>WOS:000405549800004</t>
  </si>
  <si>
    <t>Hornsby, C; Ripa, M; Vassillo, C; Ulgiati, S</t>
  </si>
  <si>
    <t>Hornsby, C.; Ripa, M.; Vassillo, C.; Ulgiati, S.</t>
  </si>
  <si>
    <t>A roadmap towards integrated assessment and participatory strategies in support of decision-making processes. The case of urban waste management</t>
  </si>
  <si>
    <t>This study outlines the work carried out on Naples (Italy) as an example of a solid waste management case study that is used to test and validate a much broader strategy, namely the need for appropriate participatory and scientifically sound decision making processes summarised in a Roadmap. The aim of the Roadmap is to support appropriate decision, based on good stakeholder consultancy. The aim being to lead to better and more integrated waste management solutions, which help EU countries to fulfil the legislative requirements at the national level and also lead to the prevention of acceptance conflicts at the local level. Results arise from research carried out in the frame of an European project, where the viability of a demo plant to produce biomass fuel is evaluated in terms of technical feasibility, socio-economic benefits and environmental care to provide better decisions for appropriate waste management process. The innovative waste management technology produces a high quality biogenic refuse recovered biomass fuel (RRBF) from the MSW. The city of Naples, characterized by heated conflicts around waste management policies, was chosen as a case study to assess the application of both the technology and the decision-making roadmap. Further research work will then be made using Naples a reference case study for additional cross-cultural assessments in other EU countries. Identification and linkages in a 9-step tool kit has been made. The first analyses of stakeholder responses indicate that the respondents trust the potentially good performance of the proposed new technology however further tool kit assessment steps must be adopted to evaluate responses and final decision taken. A large number of stakeholders were in favor of the new presented technology, and consider that this solution is the most likely to solve the waste management in Naples (69% replied yes, 29% maybe, and 2% are not convinced at all). Providing a suitable, well-tailored technical solution is of paramount importance as a the starting point, but other factors/assessment tools need to be used in order to really solve the problems of meeting EU requirements on landfill if we are to present sustainable solutions that may be accepted by the stakeholders. (C) 2016 Elsevier Ltd. All rights reserved.</t>
  </si>
  <si>
    <t>Ulgiati, Sergio/ABE-9420-2020; Ripa, Maddalena/H-6128-2018</t>
  </si>
  <si>
    <t>Ulgiati, Sergio/0000-0001-6159-4947; Ripa, Maddalena/0000-0002-2720-0585</t>
  </si>
  <si>
    <t>10.1016/j.jclepro.2016.06.189</t>
  </si>
  <si>
    <t>WOS:000391897300015</t>
  </si>
  <si>
    <t>Hsieh, YH; Chen, WT</t>
  </si>
  <si>
    <t>Hsieh, Yen-Hao; Chen, Wei-Ting</t>
  </si>
  <si>
    <t>Measuring the value variation of a service system: a Markov-switching model estimation</t>
  </si>
  <si>
    <t>JOURNAL OF BUSINESS &amp; INDUSTRIAL MARKETING</t>
  </si>
  <si>
    <t>Purpose - The purpose of this study is to create a value variation measurement model to define the relationship among various roles in resource management within a service system; and divide value creation into two states (i.e. cocreation and codestruction) and use them as crucial indicators for value variation by adopting the service-dominant logic and using the Markov switching model. Design/methodology/approach - This study proposed that variations in value are similar to changes in economy because both are abstract, indefinable and not easy to identify. Therefore, this study used the Markov switching model to define the state of value through value cocreation and codestruction; analyze value variations in a service system; and provide a numerical evaluation method by using the concept of probability to depict state transitions. In addition, open data from the Kaohsiung City Government's 1999 call center were collected to address the aforementioned research objectives. The 1999 call center (service provider) offers citizens (customers) efficient consultant services to help them solve problems regarding the city government's affairs or policies. Thus, this call center can be considered a complex service system. Findings - This study revealed that the call center can utilize the analysis results of the Markov switching model on answer rates to predict service quality patterns. In addition, most first call resolution rates occurred under State 1 (value cocreation). To address problems caused by accidental or rare events, the call center should formulate policies to increase people and technical resources and improve service system effectiveness. Originality/value - Enterprises currently focus on catering to customers' needs and offering services through comprehensive service procedures to sustainably generate multiple values for customers, helping them to create values. Previous studies have mostly focused on analyzing the values of a service system and have failed to extensively explore actual value variations. Thus, the value variation measurement model proposed in the present study was able to analyze value variations of a set of call center data and illustrate value variations by using state transitions.</t>
  </si>
  <si>
    <t>0885-8624</t>
  </si>
  <si>
    <t>2052-1189</t>
  </si>
  <si>
    <t>10.1108/JBIM-11-2016-0263</t>
  </si>
  <si>
    <t>WOS:000414029700012</t>
  </si>
  <si>
    <t>Yazdani, A; Hilbrecht, M; Imbeau, D; Bigelow, P; Neumann, WP; Pagell, M; Wells, R</t>
  </si>
  <si>
    <t>Yazdani, Amin; Hilbrecht, Margo; Imbeau, Daniel; Bigelow, Philip; Neumann, W. Patrick; Pagell, Mark; Wells, Richard</t>
  </si>
  <si>
    <t>Key Informants' Perspectives: Management Commitment, Training, and Worker Participation in the Prevention of Musculoskeletal Disorders</t>
  </si>
  <si>
    <t>IISE TRANSACTIONS ON OCCUPATIONAL ERGONOMICS &amp; HUMAN FACTORS</t>
  </si>
  <si>
    <t>OCCUPATIONAL APPLICATIONS To implement effective musculoskeletal disorder (MSD) prevention programs in organizations, there needs to be commitment from top and middle management, ongoing worker participation, and effective training and education. This study addresses practical solutions for the successful execution of these elements with businesses and organizations in mind. The specific structures, concerns, and unique operating environments of organizations are considered to put together practical advice by experts in the field. Conclusions of the study reveal best practices, essential components, and ideas to improve and employ these elements to improve current MSD prevention strategies in the workplace. TECHNICAL ABSTRACT Background: Prevention of MSD in the workplace presents many challenges. There are high costs to the organization, worker, and society associated with these occupational injuries. Therefore, it is important to identify which methods and approaches companies should use to successfully tackle this issue. Purpose: This study sought to determine which elements-in relation to management commitment, worker participation, and training-are effective for successful MSD prevention. Methods: Twenty-three key informants, including consultants, managers, researchers, union representatives, and policy makers, all experienced in health and safety and MSD prevention, were consulted using a structured interview format. Data were analyzed based on a thematic analysis approach. Results: Information was gathered for the definition of management commitment, its importance, methods for improvement, and examples of good practices to achieve management support. Key informants also discussed the importance of worker participation for effective MSD prevention, success stories, and how to encourage effective and sustainable participation. Lastly, informants shared insights into optimal training programs, methods, and contents. Results of the interviews with key informants revealed that crucial aspects of effective MSD prevention programs are training and education of managers and workers on MSD prevention, commitment from top and middle management, and worker participation in the early stages on plans and interventions. It was emphasized that a common, consistent language needs to be used throughout any programs, research, training, and organization-wide initiatives. Promoting the business case for MSD prevention was also recommended to gain management buy-in. Conclusions: Results of this study suggest that integrating MSD prevention activities into key elements of a broader management framework can positively and effectively influence the success of MSD prevention initiatives.</t>
  </si>
  <si>
    <t>Hilbrecht, Margo/0000-0002-7615-7595</t>
  </si>
  <si>
    <t>2472-5838</t>
  </si>
  <si>
    <t>2472-5846</t>
  </si>
  <si>
    <t>10.1080/24725838.2017.1386142</t>
  </si>
  <si>
    <t>WOS:000442411900005</t>
  </si>
  <si>
    <t>Reinikainen, J; Sorvari, J; Tikkanen, S</t>
  </si>
  <si>
    <t>Reinikainen, Jussi; Sorvari, Jaana; Tikkanen, Sarianne</t>
  </si>
  <si>
    <t>Finnish policy approach and measures for the promotion of sustainability in contaminated land management</t>
  </si>
  <si>
    <t>The importance of sustainability considerations in contaminated land management (CLM) is highlighted in policy frameworks all around the world. It means that while the reduction of risks to human health and the environment remains the main goal of CLM, a variety of other environmental factors as well as economic and social aspects have an increasing role in decision making. The success of finding the right balance between these considerations and incorporating them in the risk management approach defines the overall sustainability of the outcome. Although the concept and principles of sustainable CLM are already widely accepted, they have not been fully realized in national procedures. According to several studies this often results from the lack of explicit policy measures. A sound policy framework in conjunction with functional policy instruments is therefore a prerequisite for the attainment of sustainable practices. In Finland, the environmental administration along with other key stakeholder groups, including regional authorities, landowners, consultants, industries, research institutes and academia, has developed a national strategy and associated policy measures in order to promote sustainable CLM. (C) 2016 Elsevier Ltd. All rights reserved.</t>
  </si>
  <si>
    <t>10.1016/j.jenvman.2016.08.046</t>
  </si>
  <si>
    <t>WOS:000388547300012</t>
  </si>
  <si>
    <t>Vongvisouk, T; Lestrelin, G; Castella, JC; Mertz, O; Broegaard, RB; Thongmanivong, S</t>
  </si>
  <si>
    <t>Vongvisouk, Thoumthone m; Lestrelin, Guillaume; Castella, Jean-Christophe; Mertz, Ole; Broegaard, Rikke Brandt; Thongmanivong, Sithong</t>
  </si>
  <si>
    <t>REDD plus on hold: Lessons from an emerging institutional setup in Laos</t>
  </si>
  <si>
    <t>ASIA PACIFIC VIEWPOINT</t>
  </si>
  <si>
    <t>The prospects of receiving funding for REDD+ have set many developing countries on a pathway of policy reforms to integrate REDD+ in national legislation. Progress has been slow partly due to the lengthy international negotiations on REDD+ but also because the policy reforms have not been backed by sufficient commitment to make REDD+ implementation feasible. To contribute to a better understanding of why policy and institutional reforms have not been successful in taking REDD+ implementation further, we analyse the institutional landscape of the forestry and environmental sectors in Laos as a case in point. We interviewed stakeholders from national to village levels and found that REDD+ has been effectively on hold in Laos. This is because of recent institutional transformations, rapid staff turnover and limited implementation capacity of government agencies at the national and sub-national levels all of which have led to a heavy reliance on international support and external consultants. The result is that Laos may not be ready to benefit from the international agreement on REDD+. The situation in Laos provides a compelling example of how difficult REDD+ implementation has proven to be in countries where institution building is still in process.</t>
  </si>
  <si>
    <t>1360-7456</t>
  </si>
  <si>
    <t>1467-8373</t>
  </si>
  <si>
    <t>10.1111/apv.12134</t>
  </si>
  <si>
    <t>WOS:000393066800009</t>
  </si>
  <si>
    <t>Jasinski, D; Meredith, J; Kirwan, K</t>
  </si>
  <si>
    <t>Jasinski, Dominik; Meredith, James; Kirwan, Kerry</t>
  </si>
  <si>
    <t>A comprehensive framework for automotive sustainability assessment</t>
  </si>
  <si>
    <t>Business efficiency, stakeholder pressure and the need for legislative compliance compel the automotive sector to design and manufacture fuel-efficient, low-impact, environmentally responsible and sustainable vehicles. Managing and responding to these multiple and sometimes conflicting interests requires the measurement of economic, environmental and societal performance. Although a number of automotive sustainability measures are mentioned within the literature, there is no single and unique approach for the complete and integrated sustainability assessment of vehicles. This study has developed a comprehensive automotive sustainability assessment framework by selecting a set of sustainability assessment criteria from the literature and refining these through an interview study with 24 automotive experts from academia, car manufacturers, consultancies and non-governmental organisations. Based on this approach, 26 midpoint and 9 end-point environmental, resource, social and economic impact categories have been identified for the construction of a framework for automotive sustainability assessment. The proposed framework can be used as a decision-supporting tool at the early stages of the vehicle development process. It allows source and sustainability issues to be identified throughout the entire vehicle life cycle and provides the means to sharpen analysis and discussion around these issues. The framework can also serve as a design structure for a wide range of sustainability assessment methods and tools (e.g. multi-criteria decision adding or sustainability accounting methods). It serves as guidance on what needs to be measured in an integrated sustainability assessment of vehicles and leaves the choice of what to include in the decision-making process to the discretion of individual companies. (C) 2016 The Authors. Published by Elsevier Ltd.</t>
  </si>
  <si>
    <t>NOV 1</t>
  </si>
  <si>
    <t>10.1016/j.jclepro.2016.07.027</t>
  </si>
  <si>
    <t>WOS:000382792900089</t>
  </si>
  <si>
    <t>Yamahaki, C; Frynas, JG</t>
  </si>
  <si>
    <t>Yamahaki, Camila; Frynas, Jedrzej George</t>
  </si>
  <si>
    <t>Institutional Determinants of Private Shareholder Engagement in Brazil and South Africa: The Role of Regulation</t>
  </si>
  <si>
    <t>CORPORATE GOVERNANCE-AN INTERNATIONAL REVIEW</t>
  </si>
  <si>
    <t>Manuscript type: Empirical Research Question/Issue: This study investigates to what extent regulation encourages private shareholder engagement attitudes and behavior (including behind-the-scenes consultations, letters, meetings, and ongoing dialogues) of pension funds and asset managers with listed investee companies on environmental, social, and corporate governance (ESG) issues in Brazil and South Africa. Research Findings/Insights: Drawing on 44 in-depth semi-structured interviews with pension fund representatives, asset managers, and other investment players, the findings suggest that legislation provides limited direct encouragement to private engagement behavior. However, legislation encourages attitudes toward Responsible Investment by enhancing investor understanding of Responsible Investment, increasing the interest of pension funds and asset consultants in the Responsible Investment practices of asset managers, and reducing the fear of pension funds to violate their fiduciary duties, thereby promoting an enabling environment for ESG engagement. Theoretical/Academic Implications: This article adds to the literature on comparative corporate governance and shareholder engagement. To the best of our knowledge, this is first study that specifically analyzes how regulation affects private shareholder engagement behavior in emerging markets, providing empirical support for the institutional perspective. The findings also suggest that the sophistication of the legislation on ESG issues in Brazil and South Africa is more typical of developed countries, indicating the need for a more fine-grained analysis of emerging markets in corporate governance studies. Practitioner/Policy Implications: This study draws investors' attention to the importance of understanding the national legal environment of the companies with which they engage and offers insights to governments interested in fostering ESG engagement practices.</t>
  </si>
  <si>
    <t>Yamahaki, Camila/A-6447-2019</t>
  </si>
  <si>
    <t>0964-8410</t>
  </si>
  <si>
    <t>1467-8683</t>
  </si>
  <si>
    <t>10.1111/corg.12166</t>
  </si>
  <si>
    <t>WOS:000388441700004</t>
  </si>
  <si>
    <t>Cheadle, A; Cromp, D; Krieger, JW; Chan, N; McNees, M; Ross-Viles, S; Kellogg, R; Rahimian, A; MacDougall, E</t>
  </si>
  <si>
    <t>Cheadle, Allen; Cromp, DeAnn; Krieger, James W.; Chan, Nadine; McNees, Molly; Ross-Viles, Sarah; Kellogg, Ryan; Rahimian, Afsaneh; MacDougall, Erin</t>
  </si>
  <si>
    <t>Promoting Policy, Systems, and Environment Change to Prevent Chronic Disease: Lessons Learned From the King County Communities Putting Prevention to Work Initiative</t>
  </si>
  <si>
    <t>JOURNAL OF PUBLIC HEALTH MANAGEMENT AND PRACTICE</t>
  </si>
  <si>
    <t>Context: Initiatives that convene community stakeholders to implement policy, systems, environment, and infrastructure (PSEI) change have become a standard approach for promoting community health. Objective: To assess the PSEI changes brought about by the King County, Washington, Communities Putting Prevention to Work initiative and describe how initiative structures and processes contributed to making changes. Design: The impact evaluation used a logic model design, linking PSEI changes to longer-term behavioral impacts in healthy eating active living and tobacco use and exposure. Qualitative methods, including stakeholder interviews and surveys, were used to identify initiative success factors. Setting: Communities Putting Prevention to Work activities occurred throughout King County, with a focus on 7 low-income communities in South Seattle/King County. Participants: The focus communities had a combined population of 652 000, or 35% of the county total, with lower incomes and higher rates of physical inactivity, tobacco use, poor diet, and chronic disease. Intervention: Twenty-four PSEI strategies were pursued by organizations in sectors including schools, local governments, and community organizations, supported by the public health department. There were 17 healthy eating active living strategies (eg, enhancements to school menus, city planning policies) and 7 tobacco strategies (eg, smoke-free policies in schools, housing, and hospitals). Main Outcome Measure: PSEI changes made and numbers of residents reached. Results: Twenty-two of the 24 strategies achieved significant progress toward implementing PSEI changes. The most common success factor was a dyad consisting of a dedicated technical assistance provider-either an outside consultant or public health department staff-working closely with a champion from the participating organizations to bring about PSEI changes. Conclusions: An initiative structure that creates and supports external consultant/internal organizational champion dyads in key community sectors offers a promising approach that may be adopted by similar community health efforts in the future.</t>
  </si>
  <si>
    <t>1078-4659</t>
  </si>
  <si>
    <t>1550-5022</t>
  </si>
  <si>
    <t>JUL-AUG</t>
  </si>
  <si>
    <t>10.1097/PHH.0000000000000313</t>
  </si>
  <si>
    <t>WOS:000380833100009</t>
  </si>
  <si>
    <t>Devries, KM; Naker, D; Monteath-van Dok, A; Milligan, C; Shirley, A</t>
  </si>
  <si>
    <t>Devries, Karen M.; Naker, Dipak; Monteath-van Dok, Adrienne; Milligan, Claire; Shirley, Alice</t>
  </si>
  <si>
    <t>Collecting data on violence against children and young people: need for a universal standard</t>
  </si>
  <si>
    <t>INTERNATIONAL HEALTH</t>
  </si>
  <si>
    <t>Preventing and responding to violence against children is an aim of the new Sustainable Development Goals. Numerous agencies are now collecting data from children about violence, including academics, non-governmental organisations, government agencies, consultants and others. Data are necessary to ensure appropriate prevention and response, but there is a real risk of harm to children if ethical standards are not adhered to. There are additional complexities in settings where child protection systems are not well developed. We propose specific suggestions for good practice, based on our past experience and policies, and call for all agencies to adhere to high ethical standards.</t>
  </si>
  <si>
    <t>Devries, Karen/K-1083-2016</t>
  </si>
  <si>
    <t>Devries, Karen/0000-0001-8935-2181</t>
  </si>
  <si>
    <t>1876-3413</t>
  </si>
  <si>
    <t>1876-3405</t>
  </si>
  <si>
    <t>10.1093/inthealth/ihw009</t>
  </si>
  <si>
    <t>WOS:000376660900003</t>
  </si>
  <si>
    <t>Muller, B</t>
  </si>
  <si>
    <t>Mueller, Bernhard</t>
  </si>
  <si>
    <t>Policy gaps: future challenges for research</t>
  </si>
  <si>
    <t>This commentary considers the Building Research &amp; Information special issue (volume 43/4) entitled 'Closing the Policy Gaps: From Formulation to Outcomes'. Although the call for papers received an international response, the special issue has a focus on cases of policy-making and outcomes in the UK. A critical review is presented addressing several questions for the international research, consultancy and policy-making communities. What can these international communities learn from the presented examples? How do variations in governance regimes and structures influence policy formulation and outcomes, particularly the reduction in policy 'gaps'? What future steps could be taken to produce more internationally oriented comparative research on policy-making and implementation regarding the built environment and urban-regional development? How can evidence and analysis be used to build theory? Do the research and consultancy communities need to improve their policy literacy? What lessons can the research community, in particular, learn from this process in advising on policy formation and implementation processes?</t>
  </si>
  <si>
    <t>1466-4321</t>
  </si>
  <si>
    <t>APR 2</t>
  </si>
  <si>
    <t>10.1080/09613218.2015.1089061</t>
  </si>
  <si>
    <t>WOS:000371008600009</t>
  </si>
  <si>
    <t>Fraser-Arnott, M</t>
  </si>
  <si>
    <t>Fraser-Arnott, Melissa</t>
  </si>
  <si>
    <t>The value of the MLS or MLIS degree Transferable skills identified by LIS graduates in non-library roles</t>
  </si>
  <si>
    <t>BOTTOM LINE</t>
  </si>
  <si>
    <t>Purpose - The purpose of this paper is to examine the competencies, skills and knowledge obtained through a master's degree in library and information science (LIS) and to identify those competencies that are most valued by graduates who obtained employment in non-library roles. These observations will contribute to an understanding of the transferability of LIS education which will assist LIS professionals and educators to frame LIS competencies in a way that appeals to employers outside of library settings who may not have any knowledge of LIS education or practice. Design/methodology/approach - The grounded theory methodology was used with data collection taking the form of semi-structured interviews. Interviews were between 30 and 90 min in length and included career narratives, as well as responses to particular questions about different aspects of professional identity. Participants included graduates of master's level LIS programs employed in a variety of positions including information managers, policy analysts, human resources specialists, marketers, vendors, taxonomists, search engine designers and information consultants. The participants were employed in sectors including government, information technology, aerospace, oil and gas and retail/online sales in both Canada and the USA. Findings - The participants in this study found that their LIS education was valuable to their success in a number of non-library roles. Although the specific career paths of participants were each unique and the different roles they occupied required different combinations of skills, a list of key transferable LIS competencies could be identified. These included a focus on client service, the ability to identify need, and the ability to search for information and navigate databases. In addition, several participants observed that their coursework and opportunities to participate in internships, co-operative positions or work placements prepared them for such workplace conditions as deadlines and fast-paced environments. Originality/value - This study involved a population of LIS graduates whose experiences have not been extensively examined in the past. This article helps to fill a gap in the understanding of the professional experiences of LIS graduates who pursue roles outside of libraries. In addition, the semi-structured interview technique allowed for deeper understanding of participants' perceptions of which of their competencies, skills and knowledge were valuable to employees. This information was gained through answers to specific skills-focused questions intended to identify which competencies developed during their LIS education assisted them most in their careers, as well as larger career narratives. This study will have implications for library practitioners and educators. It will provide insights into valued skills for those who are designing or implementing LIS education programs, as well as LIS graduates who are seeking to market their skills to employers across industry sectors.</t>
  </si>
  <si>
    <t>Fraser, Melissa/AAN-9987-2020</t>
  </si>
  <si>
    <t>0888-045X</t>
  </si>
  <si>
    <t>2054-1724</t>
  </si>
  <si>
    <t>10.1108/BL-03-2016-0015</t>
  </si>
  <si>
    <t>WOS:000385983100002</t>
  </si>
  <si>
    <t>Low, SP; Gao, S; Teo, LLG</t>
  </si>
  <si>
    <t>Low, Sui Pheng; Gao, Shang; Teo, Ling Ling Grace</t>
  </si>
  <si>
    <t>Gap analysis of green features in condominiums between potential homeowners and real estate agents A pilot study in Singapore</t>
  </si>
  <si>
    <t>Purpose - The building sector is one of the main contributors to carbon dioxide emissions in Singapore. Over 90 per cent of life-cycle carbon emissions are due to the operations phase of buildings, and 90 to 98 per cent of the building cost is associated with operation, maintenance and personnel costs. Hence, occupants have a major role in achieving environmental sustainability objectives. This study aims to understand the awareness level of potential homeowners and real estate agents concerning environmental sustainability issues in the built environment, to identify the types of green features required by potential homeowners and to understand real estate agents' perceptions of the types of green features required by the homeowners in a green condominium. Design/methodology/approach - The features of the Green Mark (GM)- awarded buildings, as well as the benefits derived by homeowners were identified from the literature. A survey of a group of potential homeowners and real estate agents was carried out in Singapore to analyse the gap, if any, between the potential homeowners' needs and expectations and real estate agents' perceptions of these needs and expectations with respect to the green features in the homes. Findings - The results indicate that potential homeowners are more aware of environmental sustainability issues in the built environment than are real estate agents; potential homeowners seem to be more supportive of environmentally sustainable development than the real estate agents are aware of, despite the fact that the price of the apartment remains an important deciding factor; and potential homeowners are more concerned about the ease of maintaining green homes and paying greater attention to green features in the areas most heavily promoted by the government. However, green features do not constitute the main considerations of potential homeowners when making the decision to buy a green home. Research limitations/implications - To close the gaps identified in the analysis, recommendations are suggested, including having public education and awareness campaigns to emphasize the long-term energy savings of green homes, conducting GM courses for real estate agents and involving real estate agents in the developers' project consultancy team. Originality/value - As there has been no prior research in this area, this study serves to provide fresh perspectives on how developers can better select the types of green features to be included in the green homes, so as to meet the potential homeowners' needs and expectations and, at the same time, balance mandatory GM requirements with such demands. Choosing the right type of green features to incorporate in a residential development for homeowners to utilize increases the owners' satisfaction level and allows them to reap the intended benefits of green features.</t>
  </si>
  <si>
    <t>Gao, Shang/0000-0002-4161-5592</t>
  </si>
  <si>
    <t>11-12</t>
  </si>
  <si>
    <t>10.1108/F-02-2014-0012</t>
  </si>
  <si>
    <t>WOS:000409184700002</t>
  </si>
  <si>
    <t>Kovacs, EK</t>
  </si>
  <si>
    <t>Kovacs, Eszter Krasznai</t>
  </si>
  <si>
    <t>Surveillance and state-making through EU agricultural policy in Hungary</t>
  </si>
  <si>
    <t>This paper explores how the implementation of the EU's Common Agricultural Policy (CAP) and agri-environment measures in particular have been used to increase state oversight into rural affairs and land use in Hungary. The governmentalities of the agricultural sector through Europeanisation include stringent inspections and controls as part and parcel of accountability drives around the disbursement of subsidies. Agricultural surveillance mechanisms and processes are recounted here as holistic, perpetual and immediate, composed of the remote, administrative, as well as embodied physical encounters. Through ethnographic engagement with the Hungarian state's interactions with its farmers during inspections, the forms and consequences of neoliberal governmentality are given life in a post-socialist context. I elucidate the numerous subjectivities involved in these encounters, and how bureaucratic and administrative requirements underlie the rise of private consultants, where social capital and informal networks are of great importance for the successful navigation of the agricultural system. On the part of farmers, subsidies' accountability systems were lived as unjust, giving rise to speculation around the 'real' intended purposes of agri-environment legislation, which in turn undermines the expert authority of the state and heightens skepticism towards the European 'project'. (C) 2015 Elsevier Ltd. All rights reserved.</t>
  </si>
  <si>
    <t>10.1016/j.geoforum.2015.06.020</t>
  </si>
  <si>
    <t>WOS:000359887800017</t>
  </si>
  <si>
    <t>Chima, CC; Homedes, N</t>
  </si>
  <si>
    <t>Chima, Charles Chikodili; Homedes, Nuria</t>
  </si>
  <si>
    <t>Impact of global health governance on country health systems: the case of HIV initiatives in Nigeria</t>
  </si>
  <si>
    <t>JOURNAL OF GLOBAL HEALTH</t>
  </si>
  <si>
    <t>Background Three global health initiatives (GHIs) - the US President's Emergency Plan for AIDS Relief, the Global Fund to Fight AIDS, Tuberculosis and Malaria, and the World Bank Multi-Country HIV/AIDS Program - finance most HIV services in Nigeria. Critics assert that GHIs burden fragile health systems in resource-poor countries and that health system limitations in these countries constrain the achievement of the objectives of GHIs. This study analyzed interactions between HIV GHIs and the Nigerian Health System and explored how the impact of the GHIs could be optimized. Methods A country case study was conducted using qualitative methods, including: semi-structured interviews, direct observation, and archival review. Semi-structured interviews were held with key informants selected to reach a broad range of stakeholders including policymakers, program managers, service providers, representatives of donor agencies and their implementing partners; the WHO country office in Nigeria; independent consultants; and civil society organizations involved in HIV work. The fieldwork was conducted between June and August 2013. Findings HIV GHIs have had a mixed impact on the health system. They have enhanced availability of and access to HIV services, improved quality of services, and strengthened health information systems and the role of non-state actors in health care. On the negative end, HIV donor funding has increased dependency on foreign aid, widened disparities in access to HIV services, done little to address the sustainability of the services, crowded out non-HIV health services, and led to the development of a parallel supply management system. They have also not invested significantly in the production of new health workers and have not addressed maldistribution problems, but have rather contributed to internal brain drain by luring health workers from the public sector to non-governmental organizations and have increased workload for existing health workers. There is poor policy direction, strategic planning and coordination, and regulation of externally-financed HIV programs by the government and this poses a great limitation to the optimal use of HIV-specific foreign aid in Nigeria. Conclusions A few reforms are necessary to improve the strengthening effect of GHIs and to minimize their negative and unintended consequences. This will require stronger leadership from the Nigerian government with regards to better coordination of externally-financed health programs. Also, donors need to play a greater role in addressing the negative consequences of foreign aid. The findings highlight important unintended consequences and system-wide impacts that get little attention in traditional program evaluation</t>
  </si>
  <si>
    <t>2047-2978</t>
  </si>
  <si>
    <t>2047-2986</t>
  </si>
  <si>
    <t>10.7189/jogh.05.010407</t>
  </si>
  <si>
    <t>WOS:000370619100012</t>
  </si>
  <si>
    <t>Dong, RC; Li, T; Li, YL; Jiang, TQ; Li, SY; Yan, Y; Li, Q</t>
  </si>
  <si>
    <t>Dong, Rencai; Li, Ting; Li, Yuliang; Jiang, Tianqi; Li, Siyuan; Yan, Yan; Li, Qing</t>
  </si>
  <si>
    <t>Data issue considerations for the monitoring and evaluation of natural resources and the environment - a case study of Shangri-La County, Yunnan Province, China</t>
  </si>
  <si>
    <t>INTERNATIONAL JOURNAL OF SUSTAINABLE DEVELOPMENT AND WORLD ECOLOGY</t>
  </si>
  <si>
    <t>The county-governed administrative area considered in this study is a unit with wide distributed basic geographical characteristics in China. In addition, the area is the basic organizer and manager of the monitoring and evaluation (M&amp;E) system of the natural resources and environment (NRE) of China. To enhance the reliability and sustainability of the M&amp;E system subjected to the NRE, the researchers should focus on the data sources and emphasize the data qualities that are of concern to various stakeholders. In this paper, an in-depth metadata analysis, based on the M&amp;E indicator system of the NRE, is composed of two approaches and a typical practical case: (1) metadata tracking approach - generate the core parameters of each indicator, such as the publisher, the creator, the coverage, the update cycle and type; (2) questionnaire survey approach - invite some scholars, consultants and citizens to evaluate the feasibility and the accessibility of the data sources of the 22 preset M&amp;E indicators and (3) practical case - acquire the data sources of the dynamic monitoring of NRE in Shangri-La County, Yunnan Province, China, including a backward economy and imperfect statistical systems. The goal of this research is to explore the basic status of M&amp;E data of one vast county-governed area in China, with the hope to improve the stability of the M&amp;E system of the NRE at the county level.</t>
  </si>
  <si>
    <t>1350-4509</t>
  </si>
  <si>
    <t>1745-2627</t>
  </si>
  <si>
    <t>10.1080/13504509.2014.923541</t>
  </si>
  <si>
    <t>WOS:000349899100012</t>
  </si>
  <si>
    <t>Peters, GF; Romi, AM</t>
  </si>
  <si>
    <t>Peters, Gary F.; Romi, Andrea M.</t>
  </si>
  <si>
    <t>The Association between Sustainability Governance Characteristics and the Assurance of Corporate Sustainability Reports</t>
  </si>
  <si>
    <t>AUDITING-A JOURNAL OF PRACTICE &amp; THEORY</t>
  </si>
  <si>
    <t>This study provides evidence on whether sustainability-oriented corporate governance mechanisms impact the voluntary assurance of corporate sustainability reports. Specifically, we consider the presence and characteristics of environmental committees on the Board of Directors and a Chief Sustainability Officer (CSO) among the management team. When examining assurance services, we make a distinction between those services performed by professional accountants, consultants, and internal auditors. We find that the presence of a CSO is positively associated with corporate sustainability report assurance services, and this association increases when the CSO has sustainability expertise. Supporting the position that some firms establish sustainability-related governance merely to conform to socially desired behavior, we find that only those environmental committees containing directors with related expertise influence the likelihood of adopting sustainability assurance. Presently, environmental committees with greater expertise appear to prefer the higher-quality assurance services of professional accounting firms. Expert CSOs, on the other hand, prefer assurance services from their peers with sustainability expertise, as evidenced by their choice to employ consultants. When analyzing firms' environmental contextual characteristics, we find that firms employing a CSO and exhibiting poor environmental performance, relative to other firms in their industry, prefer to report sustainability results without assurance. While we do find that larger firms in the U.S. are significantly less likely to employ assurance, this result decreases over time. Further, we provide initial evidence that the value-relevance of sustainability assurance is increasing with time.</t>
  </si>
  <si>
    <t>ARIAS, ANA/L-9659-2019</t>
  </si>
  <si>
    <t>0278-0380</t>
  </si>
  <si>
    <t>1558-7991</t>
  </si>
  <si>
    <t>10.2308/ajpt-50849</t>
  </si>
  <si>
    <t>WOS:000349803700008</t>
  </si>
  <si>
    <t>Chanthy, S; Grunbuhel, CM</t>
  </si>
  <si>
    <t>Chanthy, Sam; Gruenbuehel, Clemens M.</t>
  </si>
  <si>
    <t>Critical challenges to consultants in pursuing quality of Environmental and Social Impact Assessments (ESIA) in Cambodia</t>
  </si>
  <si>
    <t>The challenges faced by consultants in improving ESIA quality in Cambodia are discussed in this paper. Despite progress since its introduction in 1996, ESIA practice and the role of stakeholders in Cambodia remain inconsistent, resulting in assessment reports that show significant gaps in critical information. Based on interviews, observations and report reviews, the role of the consultant is found to be vital. Certain shortcomings need to be addressed: consultancy roles are legislatively mandated; there is undue political influence; the socio-economic and environmental databases and amount of time for assessment are restricted; there is limited expertise among hired assessors; financial constraints; and a lack of serious regard by project proponents for ESIA and its consultants. Resolving these issues would greatly improve the potential contribution consultants toward good practice in ESIA.</t>
  </si>
  <si>
    <t>10.1080/14615517.2015.1049488</t>
  </si>
  <si>
    <t>WOS:000368669300006</t>
  </si>
  <si>
    <t>de Beer, F; du Toit, DH</t>
  </si>
  <si>
    <t>de Beer, Frank; du Toit, Daniel Hercules</t>
  </si>
  <si>
    <t>HUMAN RESOURCES MANAGERS AS CUSTODIANS OF THE KING III CODE</t>
  </si>
  <si>
    <t>SOUTH AFRICAN JOURNAL OF ECONOMIC AND MANAGEMENT SCIENCES</t>
  </si>
  <si>
    <t>The objective of this research was to perform an exploratory study on the knowledge and understanding of the King III code among Human Resources (HR) managers in South African companies. The King III code is a comprehensive international corporate governance regime which addresses the financial, social, ethical and environmental practices of organisations. HR management plays a role in managing corporate governance by using the King III code as a guideline. The main research questions were: Does HR management know, understand, apply, and have the ability to use the King III code in terms of ethical decision-making? What role does HR management play in corporate governance? A random sample of available HR managers, senior HR consultants and HR directors was taken and semi-structured interviews were conducted. The results indicated that the respondents had no in-depth knowledge of the King III code. They did not fully understand the King III code and its implications nor did they use it to ensure ethical management. The themes most emphasised by the participants were: culture, reward and remuneration, policies and procedures and performance management. The participants emphasised the importance of these items and HR's role in managing them.</t>
  </si>
  <si>
    <t>2222-3436</t>
  </si>
  <si>
    <t>WOS:000356041500005</t>
  </si>
  <si>
    <t>Schuler, RS</t>
  </si>
  <si>
    <t>Schuler, Randall S.</t>
  </si>
  <si>
    <t>The 5-C framework for managing talent</t>
  </si>
  <si>
    <t>ORGANIZATIONAL DYNAMICS</t>
  </si>
  <si>
    <t>What do Novartis, GE, Roche, Costco, Haier, IKEA, Google, Haier, Ford, Tata, Starbucks, LG, Siemens, PEG, Huawei, DuPont, Unilever, Apple, Disney, 3M, Johnson a Johnson, IBM, ABB, Toyota, Roche, Amazon, Ritz Carlton, Southwest Airlines, Wipro, Nestle, Shell, Panasonic, and Facebook have in common? The answer is that they all take very seriously the concept and practice of managing their people as valuable human capital, as talent, as a high value corporate asset. They link this talent to the leadership, values, company culture, strategies and the external environment of their companies. They use analytical tools and techniques that are understood and supported by everyone, all for the explicit purposes of being excellent, flexible and adaptable to serve the current and longer term interests of all their stakeholders. Not only has talent management become seen as totally necessary for organizational sustainability and competitive advantage, it has become one of the most widely discussed topics in management by academics, consultants, senior executives and managers for almost twenty years under the label of talent management or global talent management. Because the conditions that have given rise to this phenomenon are only accelerating, without question it is very likely this will continue. Managing talent or practicing talent management (TM) or global talent management (GTM) extremely well is not a choice for companies but a mandate for companies that want to succeed and excel. To manage talent well requires managers to make choices, many choices indeed because there is no one best way or one best set of policies and practices. This article is about those choices and offering a framework for thinking about and acting upon those possible choices. It reflects the experiences of the companies listed above and many others who have been working at managing talent as systematically and continuously as possible. These experiences are cataloged throughout our discussion.</t>
  </si>
  <si>
    <t>0090-2616</t>
  </si>
  <si>
    <t>1873-3530</t>
  </si>
  <si>
    <t>10.1016/j.orgdyn.2014.11.006</t>
  </si>
  <si>
    <t>WOS:000351193600006</t>
  </si>
  <si>
    <t>van Hoof, B; Thiell, M</t>
  </si>
  <si>
    <t>van Hoof, Bart; Thiell, Marcus</t>
  </si>
  <si>
    <t>Anchor company contribution to cleaner production dissemination: experience from a Mexican sustainable supply programme</t>
  </si>
  <si>
    <t>Sustainable supply chain approaches consider the role of anchor companies in disseminating environmental improvements among their suppliers. This study analyses the relations between stimuli for anchor companies to contribute to cleaner production dissemination and their actual contribution in terms of programme results, following a stimulus response approach. Empirical evidence drawn from the Mexican Sustainable Supply Programme pilot featured data from 14 anchor companies and 177 small and medium-sized suppliers. Findings reveal the importance of supply chain structures and the integration of anchor companies in environmental initiatives to disseminate cleaner production among enterprises in emerging markets. Drivers leading anchor companies to participate in initiatives such as the Mexican Sustainable Supply Programme include theory-supported factors, e.g., improving supplier performance, cost reductions, environmental leadership, and improved reputation. These drivers do not coincide with perceived participation benefits and collaborative approaches in project design might cause this shift in importance from dominating hard self-centred drivers towards soft partner-centred benefits. Moreover, anchor company learning contributes to dissemination of cleaner production practices among suppliers. Anchor company managers should be aware of cleaner production dissemination benefits, and approach sustainable supply initiatives pro-actively as part of their competitive strategy. Policy makers, consultants and services providers seeking improved environmental performance of small and medium-sized enterprises should consider the integrated framework for cleaner production dissemination as a scalable approach for effective diffusion. Differential cleaner production dissemination performance of anchor companies suggests further research on the dynamic capabilities that influence cognitive and behavioural processes in cleaner production dissemination under a stimulus-organism-response model. (C) 2014 Elsevier Ltd. All rights reserved.</t>
  </si>
  <si>
    <t>10.1016/j.jclepro.2014.08.021</t>
  </si>
  <si>
    <t>WOS:000347501000027</t>
  </si>
  <si>
    <t>Thompson, S; Kent, J; Lyons, C</t>
  </si>
  <si>
    <t>Thompson, Susan; Kent, Jennifer; Lyons, Claudine</t>
  </si>
  <si>
    <t>Building partnerships for healthy environments: research, leadership and education</t>
  </si>
  <si>
    <t>HEALTH PROMOTION JOURNAL OF AUSTRALIA</t>
  </si>
  <si>
    <t>As populations across the globe face an increasing health burden from rising rates of obesity, diabetes and other lifestyle-related diseases, health professionals are collaborating with urban planners to influence city design that supports healthy ways of living.This paper details the establishment and operation of an innovative, interdisciplinary collaboration that brings together urban planning and health. Situated in a built environment faculty at one of Australia's most prestigious universities, the Healthy Built Environments Program (HBEP) partners planning academics, a health non-government organisation, local councils and private planning consultants in a state government health department funded consortium. The HBEP focuses on three strategic areas: research, workforce development and education, and leadership and advocacy. Interdisciplinary research includes a comprehensive literature review that establishes Australian-based evidence to support the development, prioritisation and implementation of healthy built environment policies and practices. Another ongoing study examines the design features, social interventions and locational qualities that positively benefit human health. Formal courses, workshops, public lectures and e-learning develop professional capacity, as well as skills in interdisciplinary practice to support productive collaborations between health professionals and planners. The third area involves working with government and non-government agencies, and the private sector and the community, to advocate closer links between health and the built environment. Our paper presents an overview ofthe HBEP's major achievements. We conclude with a critical review of the challenges, revealing lessons in bringing health and planning closer together to create health-supportive cities for the 21st century.</t>
  </si>
  <si>
    <t>Kent, Jennifer Lee/AAS-9035-2020</t>
  </si>
  <si>
    <t>Kent, Jennifer Lee/0000-0002-3051-7698; Thompson, Susan/0000-0001-9689-1490</t>
  </si>
  <si>
    <t>1036-1073</t>
  </si>
  <si>
    <t>2201-1617</t>
  </si>
  <si>
    <t>10.1071/HE14039</t>
  </si>
  <si>
    <t>WOS:000346892500010</t>
  </si>
  <si>
    <t>Holmes, J</t>
  </si>
  <si>
    <t>Holmes, John</t>
  </si>
  <si>
    <t>Explorations in Australian Legal Geography: The Evolution of Lease Tenures as Policy Instruments</t>
  </si>
  <si>
    <t>GEOGRAPHICAL RESEARCH</t>
  </si>
  <si>
    <t>In their programmatic statement towards an Australian perspective on legal geography, Bartel etal. acknowledge that it is perhaps in the institution of property and the regulation of land use that law has its most obvious overlap with geography...in a settler society such as Australia'. Given this statement, it is surprising that the seven co-authors fail to acknowledge the formidable contributions already made by Australian geographers within a highly relevant, substantial research agenda, namely the evolution of lease tenures as policy instruments in shaping rural land settlement and rural society. The earliest contributions on lease tenures were made by an eminent group of historical geographers enquiring into the evolution of a distinctive, adaptable portfolio of Australian land tenures and other resource rights in response to the challenges of frontier squatter settlement and the subsequent policy agenda in pursuit of closer settlement. Their successors have focused on the contemporary relevance of lease tenures as potentially adaptable instruments towards sustainability and coexistence. Geographers have also acted as consultants, policy advisers, advocates, and expert witnesses through consultancy reports, discussion papers, newspaper articles, and news reports. There is a strong case to be made that, together with Aboriginal land rights and native title, these two research agendas have provided the most substantial and coherent scholarly contributions to Australian legal geography. This deficiency in the review of Australian research may well be an outcome from a comparable deficiency in theorising property rights within the subdiscipline internationally. If Australian legal geography is to fulfil its potential, greater recognition needs to be given to foundational Australian contributions to this subdiscipline and to property rights theory in the matter of natural resources, notably land.</t>
  </si>
  <si>
    <t>1745-5863</t>
  </si>
  <si>
    <t>1745-5871</t>
  </si>
  <si>
    <t>10.1111/1745-5871.12083</t>
  </si>
  <si>
    <t>WOS:000344522100008</t>
  </si>
  <si>
    <t>Jarkas, AM; Mubarak, SA; Kadri, CY</t>
  </si>
  <si>
    <t>Jarkas, Abdulaziz M.; Mubarak, Saleh A.; Kadri, Charles Y.</t>
  </si>
  <si>
    <t>Critical Factors Determining Bid/No Bid Decisions of Contractors in Qatar</t>
  </si>
  <si>
    <t>JOURNAL OF MANAGEMENT IN ENGINEERING</t>
  </si>
  <si>
    <t>To bid or not to bid for construction projects is a crucial strategic decision for contractors' sustainability in the industry. The high complexity and uncertainty associated with such a decision-making process, which involves several multitudes and reflection of numerous internal and external determinants, necessitate further exploration of the prominent factors underpinning contractors' decisions. Following the announcement of awarding the Federation Internationale de Football Association (FIFA) 2022 World Cup hosting rights to the State of Qatar on December 2, 2010, the State is pledging to spend tens of billions of dollars on hundreds of new projects. Thus, the objective of this case study is to identify, explore, and rank the relative importance of the critical factors determining contractors' decisions to bid or not bid for local construction projects. To achieve this objective, a structured questionnaire survey comprising 43 factors that were shortlisted based on relevant previous investigations on bidding practices in the construction industry, and the input of local industry experts and professionals, was distributed to a statistically representative sample of contractors. Using the Relative Importance Index technique, the following critical factors are identified: (1) previous experience with the employer, (2) need for work, (3) current workload, (4) previous experience in similar projects, (5) size of project, (6) identity and reputation of the employer in the industry, (7) financial stability of the employer, (8) availability of other projects, (9) promptness of the employer in the payment process, and (10) tender documents quality level. The outcomes reported in this study can be used to provide employers, consultants, contractors, and policymakers, guidance for focusing, acting upon, and controlling the cardinal factors perceived to impact contractors' bidding behaviors in an environment on the brink of undergoing an unprecedented boom in demand for faster delivery and lower cost of constructed facilities. (C) 2014 American Society of Civil Engineers.</t>
  </si>
  <si>
    <t>0742-597X</t>
  </si>
  <si>
    <t>1943-5479</t>
  </si>
  <si>
    <t>10.1061/(ASCE)ME.1943-5479.0000223</t>
  </si>
  <si>
    <t>WOS:000346131500010</t>
  </si>
  <si>
    <t>Hou, DY; Al-Tabbaa, A</t>
  </si>
  <si>
    <t>Hou, Deyi; Al-Tabbaa, Abir</t>
  </si>
  <si>
    <t>Sustainability: A new imperative in contaminated land remediation</t>
  </si>
  <si>
    <t>ENVIRONMENTAL SCIENCE &amp; POLICY</t>
  </si>
  <si>
    <t>Land is not only a critical component of the earth's life support system, but also a precious resource and an important factor of production in economic systems. However, historical industrial operations have resulted in large areas of contaminated land that are only slowly being remediated. In recent years, sustainability has drawn increasing attention in the environmental remediation field. In Europe, there has been a movement towards sustainable land management; and in the US, there is an urge for green remediation. Based on a questionnaire survey and a review of existing theories and empirical evidence, this paper suggests the expanding emphasis on sustainable remediation is driven by three general factors: (1) increased recognition of secondary environmental impacts (e.g., life-cycle greenhouse gas emissions, air pollution, energy consumption, and waste production) from remediation operations, (2) stakeholders' demand for economically sustainable brownfield remediation and green practices, and (3) institutional pressures (e.g., social norm and public policy) that promote sustainable practices (e.g., renewable energy, green building, and waste recycling). This paper further argues that the rise of the sustainable remediation concept represents a critical intervention point from where the remediation field will be reshaped and new norms and standards will be established for practitioners to follow in future years. This paper presents a holistic view of sustainability considerations in remediation, and an integrated framework for sustainability assessment and decision making. The paper concludes that sustainability is becoming a new imperative in the environmental remediation field, with important implications for regulators, liability owners, consultants, contractors, and technology vendors. (c) 2014 Elsevier Ltd. All rights reserved.</t>
  </si>
  <si>
    <t>Hou, Deyi/B-1030-2016</t>
  </si>
  <si>
    <t>Hou, Deyi/0000-0002-0511-5806</t>
  </si>
  <si>
    <t>1462-9011</t>
  </si>
  <si>
    <t>1873-6416</t>
  </si>
  <si>
    <t>10.1016/j.envsci.2014.02.003</t>
  </si>
  <si>
    <t>WOS:000336948800003</t>
  </si>
  <si>
    <t>Wallace, K; Roberts, B</t>
  </si>
  <si>
    <t>Wallace, Karen; Roberts, Bayard</t>
  </si>
  <si>
    <t>An Exploration of the Alcohol Policy Environment in Post-Conflict Countries</t>
  </si>
  <si>
    <t>ALCOHOL AND ALCOHOLISM</t>
  </si>
  <si>
    <t>Aims: Populations in countries emerging from armed conflict may have elevated levels of harmful alcohol use due to risk factors such as trauma exposure, increased daily stressors, elevated levels of mental health disorders, urbanization, and weak alcohol control policies and institutions. This study explores the challenges and opportunities for strengthening alcohol control policies in post-conflict countries. Methods: Exploratory qualitative approach: experts (from United Nations agencies, non-governmental organizations, academic institutions and independent consultants) selected on the basis of their experience were interviewed. Thematic analysis identified key emergent themes. Results: Perceived challenges to addressing harmful alcohol use in post-conflict countries included: lack of priority and recognition among key actors; limited resources and capacity, including in policy enforcement; and the role of the alcohol industry. Perceived opportunities included: increasing recognition of the harmful health and social effects of alcohol globally; sharing information, experience, and expertise to more effectively strengthen alcohol control policies; and collecting better data to advocate and inform stronger alcohol policies. Conclusion: This exploratory study provides a starting point to better understand the alcohol policy environment in post-conflict settings but considerably more research is required.</t>
  </si>
  <si>
    <t>0735-0414</t>
  </si>
  <si>
    <t>1464-3502</t>
  </si>
  <si>
    <t>MAY-JUN</t>
  </si>
  <si>
    <t>10.1093/alcalc/agt142</t>
  </si>
  <si>
    <t>WOS:000335331100019</t>
  </si>
  <si>
    <t>Roufechaei, KM; Abu Bakar, A; Tabassi, AA</t>
  </si>
  <si>
    <t>Roufechaei, Kamand M.; Abu Bakar, Abu Hassan; Tabassi, Amin Akhavan</t>
  </si>
  <si>
    <t>Energy-efficient design for sustainable housing development</t>
  </si>
  <si>
    <t>The housing industry has been accused of causing environmental problems ranging from excessive consumption energy consumption to pollution of the surrounding environment. Research on the impact of energy efficiency parameters in minimizing consumption to achieve sustainable housing development is already underway. This study investigates the potential link between energy efficiency parameters and three dimensions of sustainable housing development (environmental, social and economic), in particular Esfahan, Iran. The research is based on a collection of literature from research questionnaires and surveys and was initially conducted by sending 130 survey questionnaires to certain nominated consultant firms in Esfahan. After a two-month period, 41.5% of the survey was returned and deemed usable. The analysis methods were mainly descriptive with a regression analysis and a co-relational study was employed as the type of investigation. Assessment of the energy-efficiency parameters in the design phase of housing projects revealed that there was a strong correlation between the three dimensions of sustainability in housing development practices. The study also provides some recommendations for both government and construction companies to increase their participation in sustainable housing development progress, particularly in energy-efficient design, in the country. (C) 2013 Elsevier Ltd. All rights reserved.</t>
  </si>
  <si>
    <t>Abu Bakar, Abu Hassan/C-1030-2011</t>
  </si>
  <si>
    <t>Akhavan Tabassi, Amin/0000-0002-2347-7894</t>
  </si>
  <si>
    <t>FEB 15</t>
  </si>
  <si>
    <t>10.1016/j.jclepro.2013.09.015</t>
  </si>
  <si>
    <t>WOS:000332433200039</t>
  </si>
  <si>
    <t>Ariztia, T; Kleine, D; Brightwell, MDSL; Agloni, N; Afonso, R; Bartholo, R</t>
  </si>
  <si>
    <t>Ariztia, Tomas; Kleine, Dorothea; Brightwell, Maria das Gracas S. L.; Agloni, Nurjk; Afonso, Rita; Bartholo, Roberto</t>
  </si>
  <si>
    <t>Ethical consumption in Brazil and Chile: institutional contexts and development trajectories</t>
  </si>
  <si>
    <t>This paper presents the first findings of an ongoing multi-national research project between universities in Brazil, Chile and the UK funded by the UK Economic and Social Science Research Council (ESRC) and the Department for International Development (DFID). The Choices project seeks to analyse contextual understandings and practices of ethical consumption in Chile and Brazil. In a further step, it explores how ethical consumption and public procurement can be associated and used to foster sustainable development. The paper presents the outcomes of the first stage of the project, an extensive literature review considering the developing trends towards ethical, sustainable, responsible and conscious consumption in both countries. Chile and Brazil are former developing countries, and although they both now have growing ethical consumption movements, we argue that these are shaped by the specificities of each country's political, economic and institutional trajectories. In one case, Chile, ethical consumption has arisen from market forces, with lead actors being companies, consultancies and citizen and consumer organizations. Brazil, on the other hand, provides also a very interesting case for studying how ethical consumption is embedded in another Latin American context: it has a larger state sector and a domestic market size to give the state, and thus the consecutive centre-left governments, great regulatory power, since it can control firms' access to this market. Both cases showed the increasing role of corporate social responsibility discourses and practices interfacing with concepts of ethical consumption. As a consequence, the paper identifies a risk of firstly, greenwash and whitewash by large companies and secondly, of having small producers struggling to market their products. (C) 2013 Published by Elsevier Ltd.</t>
  </si>
  <si>
    <t>Ariztia, Tomas/0000-0001-5806-3328</t>
  </si>
  <si>
    <t>JAN 15</t>
  </si>
  <si>
    <t>10.1016/j.jclepro.2013.04.040</t>
  </si>
  <si>
    <t>WOS:000328527300009</t>
  </si>
  <si>
    <t>Labodova, A; Lapcik, V; Kodymova, J; Turjak, J; Pivko, M</t>
  </si>
  <si>
    <t>Labodova, A.; Lapcik, V.; Kodymova, J.; Turjak, J.; Pivko, M.</t>
  </si>
  <si>
    <t>Sustainability teaching at VSB - Technical University of Ostrava</t>
  </si>
  <si>
    <t>This paper deals with the evolution of teaching, supporting sustainability at VSB - Technical University of Ostrava, Czech Republic (VSB-TUO). The University is a technical and economic institution of higher education, the principal task of which is the provision of higher education based on free and internationally oriented research. In former Czechoslovakia, as one of the socialist countries, environmental protection was not at the top of the agenda. After democratic changes in 1989 the University started to develop a number of environmental study courses, which were consequently followed by preventative and proactive tools for building of the more sustainable development pathways. The text also describes active international cooperation of VSB - TOO within Baltic University Programme as an example of very successful sustainability education in Central and Eastern Europe. The next part is devoted to the comparison of employability of our students versus four comparable Czech public universities. Summary shows the important role of universities in general and underlines the importance of VSB TOO for regional sustainable development. New orientation of industry in currently highly polluted region must definitely head towards less material and energy intensive, highly innovative production with a strong environmental accent. The students from all our environmentally oriented study branches get a significant deal of sustainability-supporting tools and practices, which can be then implemented in their work in industry, local government administration or consultancy services and, of course, last but not least in their private lives. (C) 2013 Elsevier Ltd. All rights reserved.</t>
  </si>
  <si>
    <t>Kodymova, Jana/0000-0002-2583-8745</t>
  </si>
  <si>
    <t>10.1016/j.jclepro.2013.03.019</t>
  </si>
  <si>
    <t>WOS:000328314400015</t>
  </si>
  <si>
    <t>Shortall, OK</t>
  </si>
  <si>
    <t>Shortall, O. K.</t>
  </si>
  <si>
    <t>Marginal land for energy crops: Exploring definitions and embedded assumptions</t>
  </si>
  <si>
    <t>ENERGY POLICY</t>
  </si>
  <si>
    <t>The idea of using less productive or marginal land for energy crops is promoted as a way to overcome the previous land use controversies faced by biofuels. It is argued that marginal land use would not compete with food production, is widely available and would incur fewer environmental impacts. This term is notoriously vague however, as are the details of how marginal land use for energy crops would work in practice. This paper explores definitions of the term marginal land in academic, consultancy, NGO, government and industry documents in the UK. It identifies three separate definitions of the term: land unsuitable for food production; ambiguous lower quality land; and economically marginal land. It probes these definitions further by exploring the technical, normative and political assumptions embedded within them. It finds that the first two definitions are normatively motivated: this land should be used to overcome controversies and the latter definition is predictive: this land is likely to be used. It is important that the different advantages, disadvantages and implications of the definitions are spelled out so definitions are not conflated to create unrealistic expectations about the role of marginal land in overcoming biofuels land use controversies. (C) 2013 Elsevier Ltd. All rights reserved.</t>
  </si>
  <si>
    <t>0301-4215</t>
  </si>
  <si>
    <t>1873-6777</t>
  </si>
  <si>
    <t>10.1016/j.enpol.2013.07.048</t>
  </si>
  <si>
    <t>WOS:000326770300004</t>
  </si>
  <si>
    <t>Enriquez, LA</t>
  </si>
  <si>
    <t>Alvarez Enriquez, Lucia</t>
  </si>
  <si>
    <t>Interculturality: Inclusion and Exclusion in the Policy of Diversity Management in Barcelona</t>
  </si>
  <si>
    <t>REVISTA DEL CLAD REFORMA Y DEMOCRACIA</t>
  </si>
  <si>
    <t>This text is about the operation of the policy of interculturality which currently exists in the City of Barcelona, Spain. It is presented the institutional proposal of the intercultural model of the Catalan municipality, which represents with any doubt, one of the most advanced proposals of attention to the problematic of the diversity management of the multicultural societies in the contemporary world. It is exposed the strategies used to carry out the process of social inclusion of the immigrant population. To evaluate the model, the voices of the different actors are recovered, such as: public officials, scholars, consultants, members of the social and civil organizations. Through a thorough exploration of this phenomenon, it is possible to observe territorial, social and institutional importance of the intercultural model as well as the leading proposal concerning the building of a plural citizenry which through inclusion hopes to form community, but paying attention to the diversity. At the same time are highlighted the exact limits involved in the intercultural model, as the lack of political rights; and other concurrent factors, like the economic crisis. Secondly, it is noted a strong limitation due to the coexistence, in the operation of this policy, of two institutional regulations: at the municipal and state levels, which do not coincide in the orientation of that policy and sometimes its application is contradictory within the urban reality. The state scope responds to the hegemonic immigration policy of the European Union which is harassing and tends to exclude, whereas in the municipal scope in Barcelona, it exercises a policy oriented to the inclusion. Finally, seine challenges to put into practice this policy are mentioned. For example, the economic dependency to carry it out and the political willingness of the government officials to overcome the limits presented by the model itself and those imposed by the political and economic environment.</t>
  </si>
  <si>
    <t>1315-2378</t>
  </si>
  <si>
    <t>WOS:000331339400005</t>
  </si>
  <si>
    <t>Wilhelm-Rechmann, A; Cowling, RM</t>
  </si>
  <si>
    <t>Wilhelm-Rechmann, Angelika; Cowling, Richard M.</t>
  </si>
  <si>
    <t>Local land-use planning and the role of conservation: An example analysing opportunities</t>
  </si>
  <si>
    <t>SOUTH AFRICAN JOURNAL OF SCIENCE</t>
  </si>
  <si>
    <t>South Africa is the world's third most biodiverse country. The system of protected areas, however, does not capture its biodiversity comprehensively. Local land-use planning processes, and the integration of spatial conservation assessments in these processes, have been proposed as an effective approach to conserving biodiversity outside of protected areas. However, an understanding of the day-to-day processes in local government and the role conservation does or could play, is lacking. We used social marketing, a strategic and analytic approach to influence people's behavioural choices, to investigate why biodiversity conservation maps have failed to provide the biodiversity protection envisaged and how land-use planners could be persuaded to use the maps effectively. We interviewed 24 officials in six Eastern Cape coastal municipalities. We found that in large municipalities the maps were used by environmental units, whereas in intermediate and small municipalities they were used primarily by the consultants that prepare municipal planning documents. The land-use planning system was not fully functional, because of a lack of capacity and importance accorded to the issue. We could not identify any benefits that land-use planners might perceive in using the maps that directly related to conservation. We found that the younger generation of officials showed less sensitivity to biodiversity concerns. Furthermore, we found the relationship to the political hierarchy to be pivotal. For conservation to succeed, new approaches for example engaging with the land-use planning domain to include conservation assessments will be necessary. Including political actors in the processes is crucial.</t>
  </si>
  <si>
    <t>0038-2353</t>
  </si>
  <si>
    <t>1996-7489</t>
  </si>
  <si>
    <t>MAR-APR</t>
  </si>
  <si>
    <t>10.1590/sajs.2013/20120026</t>
  </si>
  <si>
    <t>WOS:000323295300010</t>
  </si>
  <si>
    <t>McDonald, NC; Pearce, JM</t>
  </si>
  <si>
    <t>McDonald, Nicole C.; Pearce, Joshua M.</t>
  </si>
  <si>
    <t>Renewable Energy Policies and Programs in Nunavut: Perspectives from the Federal and Territorial Governments</t>
  </si>
  <si>
    <t>ARCTIC</t>
  </si>
  <si>
    <t>Nunavut, the youngest Canadian territory, has developed a complete dependence on diesel-generated electricity over the last 50 years, which has led to environmental and economic stress on the territory. However, renewable energy technologies (RETs) could provide substantial electricity to communities, thereby reducing the use of diesel fuel. This study explored the perspectives of government policy-makers, northern energy consultants, and NGOs in order to understand the current status of renewable energy policy and development in Nunavut. Challenges identified included capacity gaps within the communities and government, bureaucratic barriers, barriers to financing RET projects, technological uncertainty, and development and infrastructure challenges. Opportunities explored include future RET funding options, strong renewable resources, increased community engagement through partnerships, and increased education opportunities. Respondents also discussed anticipated short- and long-term actions of each department. We recommend the establishment of a clear point of contact within the federal government: a group that would oversee all renewable energy policy and development in Nunavut. The group would also assess the full economic life cycle of renewable electricity to compare its true cost to that of unsubsidized, diesel-generated electricity.</t>
  </si>
  <si>
    <t>0004-0843</t>
  </si>
  <si>
    <t>WOS:000313598700010</t>
  </si>
  <si>
    <t>Papargyropoulou, E; Padfield, R; Harrison, O; Preece, C</t>
  </si>
  <si>
    <t>Papargyropoulou, E.; Padfield, R.; Harrison, O.; Preece, C.</t>
  </si>
  <si>
    <t>The rise of sustainability services for the built environment in Malaysia</t>
  </si>
  <si>
    <t>In the past two decades, the growth of the global sustainability agenda has led to the conception of a new business market, most commonly referred to as 'sustainability services for the built environment'. For developing countries, the emergence of this market represents an opportunity to meet sustainability goals by improving access to skills necessary for improved performance in the design, construction and operation of buildings. Set against global trends in policy and market growth, this paper examines the rise of sustainability services in Malaysia - a developing country with a relatively young, undeveloped market with potential to benefit from market growth. Drawing on first hand experiences of consultants offering sustainability services in Malaysia, the current status of the market and the key barriers are discussed. The paper explores the business opportunities this emerging market has to offer to the Malaysian built environment sector and concludes with the potential it presents to contribute to the country's aspirations for sustainable development. (C) 2012 Elsevier B.V. All rights reserved.</t>
  </si>
  <si>
    <t>Papargyropoulou, Effie/L-2211-2013; Padfield, Rory/G-5969-2012</t>
  </si>
  <si>
    <t>Papargyropoulou, Effie/0000-0002-8152-3211; Padfield, Rory/0000-0002-1659-6932</t>
  </si>
  <si>
    <t>10.1016/j.scs.2012.05.008</t>
  </si>
  <si>
    <t>WOS:000209554000009</t>
  </si>
  <si>
    <t>du Toit, PH; de Boer, AL; Bothma, T; Scheepers, D</t>
  </si>
  <si>
    <t>du Toit, Pieter H.; de Boer, Ann-Louise; Bothma, Theo; Scheepers, Detken</t>
  </si>
  <si>
    <t>Multidisciplinary collaboration: A necessity for education innovation</t>
  </si>
  <si>
    <t>TYDSKRIF VIR GEESTESWETENSKAPPE</t>
  </si>
  <si>
    <t>Multidisciplinary collaboration: A necessity for education innovation The operational context of the research reported in this paper is teaching a module on Information Literacy at university level. The specific foci's is on the array of learning style preferences of the academic staff responsible for offering the module and of academic and professional staff responsible for curriculum innovation. The learning style profile data set is used as point of departure for professional development activities. Continuing professional development of academic staff at universities has become an imperative in South Africa. This is inter alia a consequence of the new education dispensation that emphasises the importance of higher education and training that has recently resulted in the South African government appointing a minister of higher education and training for the first time. This imperative is underscored by several initiatives taken by higher education institutions in the country. The University of Pretoria is no exception: Professional development of academic staff is increasingly being highlighted in policy documents, in the welcoming speech of the newly appointed Principal, strategic initiatives in this regard by the office of the Vice-principal responsible for undergraduate studies, the Department for Education Innovation that takes responsibility for academic staff development and the Division for Higher Education in the Faculty of Education that offers a formal higher education qualification. The curriculum innovation process reported is an integral part of the professional development of all involved. The Department of Information Science, Faculty of Engineering and Built Environment at the University of Pretoria is responsible for offering a semester module on Information Literacy to all first year students across all faculties annually The module is presented to more than 8000 students. A textbook, Navigating Information Literacy: Your information society survival toolkit, written by subject specialists from the Department is used as learning material for the module. Although the module has an acceptable pass rate, the scholarly application of the applicable skills linked to the subject content and learning outcomes is limited and in some cases lacking in subsequent academic years of study. In their endeavour to empower students to develop as lifelong learners the Department introduced a collaborative project. It is entitled Facilitating Whole Brain Information Literacy: A multidisciplinary research project. At the same time, to empower all staff involved, the Department embarked on a research project that covers aspects such as professional development of staff which forms the focus of this paper The professional development of academic staff is one of the sub-projects. The overarching project consists of the following sub-projects: Professional development of academic staff Information literacy across the curriculum Education innovation Leadership and management in higher education Community engagement These sub-projects are closely integrated and confirm the multidisciplinary nature of the project. The multidisciplinary team consists of information science specialists, librarians, instructional designers, educational consultants and staff development professionals. They were invited to participate in a collaborative process to enhance the curriculum, and to design and develop teaching and learning material. The learning material has been developed as a lecturer's toolkit that aims at enhancing information literacy skills across the curriculum and instilling a culture of applied information literacy within the learners. The overarching research project commenced with a baseline study. It entailed a quantitative approach to determining the learning style preferences of a cohort of first year students, the lecturers and other professional staff involved. For this purpose the Herrmann Brain Dominance Instrument (HBDI) (Herrmann 1996) was used. The baseline study, presented at different conferences highlighted the fact that students have different thinking and learning preferences. Therefore, a teaching methodology embracing the notion of one style fits all is not effective. It was decided that Herrmann's Whole Brain principles would be applied to all aspects of the project, including multidisciplinary collaboration and cooperation in the context of curriculum innovation. The academic programme under discussion is currently put under a scholarly lens as an investigation from within the Department. An internal locus of control viewpoint is taken when it conies to quality assurance. A scholarly and action research-driven approach is taken. As epistemological underpinning and impetus for education innovation, whole brain learning forms the crux. As research paradigm and process for professional learning action research is promoted. Action research is considered most applicable when it comes to professional development and practitioner research. This paper briefly links the baseline data of the two groups of lecturers and the group of students as background to the discourse on multidisciplinary collaboration below. The curriculum innovation group consists of an array of staff members. So-called professionals include an education consultant, designers of learning material and an information specialist from the library. Two groups of lecturers are implied. A group of senior academics are responsible for developing the academic programme under discussion. The offering of the programme is the responsibility of a group of 16 assistant lecturers. A summary of the research findings highlights the fact that it is clear that the team effort, as discussed in the article, can only be a success if the team consists of members from different disciplines scholars with the subject knowledge needed for offering the module in question, namely information science and other scholars in the field of curriculum development, higher education and instructional design. For this reason the term multidisciplinary team is used in the title and throughout the text. The success of the collaboration depends on the important condition that each team member is given the opportunity to contribute to the process from the perspective of his/her own preferred mode of thinking. Learning processes that present themselves during the curriculum development process are used as opportunities for professional growth. Each team member is offered the opportunity to reflect on his/her practice that forms part of a constructivist approach to the professional learning process that enriches the curriculum development discourse.</t>
  </si>
  <si>
    <t>0041-4751</t>
  </si>
  <si>
    <t>WOS:000305445800007</t>
  </si>
  <si>
    <t>Determination of the framework conditions and research-development needs for the dissemination of cleaner (sustainable) production applications in Turkey</t>
  </si>
  <si>
    <t>The term cleaner production has been used in policy and strategy documents of top agencies/institutions on science, technology and development in Turkey for over 10 years. However, cleaner production is not sufficiently understood and applied, except in terms of energy efficiency. To overcome this deficiency, the Ministry of Environment and Forestry supported a project Determination of the Framework Conditions and ResearchDevelopment Needs for the Dissemination of Cleaner (Sustainable) Production Applications in Turkey, which was carried out in 2009 by the Technology Development Foundation of Turkey (TTGV) with Goksel Demirer as consultant. The objective was to determine national capacity, assess Turkish regulations in terms of cleaner (sustainable) production (C(S)P) and compare it with related European Union (EU) regulations, report existing incentive mechanisms, perform a sectoral analysis to determine high-priority sectors for C(S)P implementation, determine the research and development and other needs and provide recommendations. The project used a participatory approach. Sixty-six and thirty-seven stakeholder institutions contributed to the determination of existing institutional capacity and sectoral priorities regarding C(S)P, respectively, through questionnaires. Moreover, 125 participants from 62 stakeholder institutions participated in the project workshop in which the draft report of the project was finalised with feedback from the participants. This paper communicates the main outcomes of the project.</t>
  </si>
  <si>
    <t>10.1080/13504509.2011.606550</t>
  </si>
  <si>
    <t>WOS:000304476300002</t>
  </si>
  <si>
    <t>Currie, G; Delbosc, A; Forbes, P</t>
  </si>
  <si>
    <t>Currie, Graham; Delbosc, Alexa; Forbes, Pauline</t>
  </si>
  <si>
    <t>World Transit Research Trends in Need, Supply, and Use</t>
  </si>
  <si>
    <t>TRANSPORTATION RESEARCH RECORD</t>
  </si>
  <si>
    <t>Transit research is explored with the aim of understanding areas covered, research trends, research uses, and how research provision matches needs. The method involves an empirical analysis of the content, use, and users of the World Transit Research Clearinghouse website (http://www.worldtransitresearch.info). Results indicate that the Transportation Research Record is the academic journal that publishes the most transit research, but only 14% of its papers are on transit. Transport Policy is the second-largest source, but papers on transit make up 58% of its publications. Most research papers on transit concern bus, rail, or mass transit. In the past decade, the most significant change in publications by transit mode is that the segment on bus rapid transit research has grown, although it still accounts for a small share of overall content. Consumption of research content by mode is highest for bus rapid transit, followed by light rail or tram, then by bicycle or pedestrian. A comparison of research supply and research consumption suggests that research papers concerning (in order) sustainability, urban density, and ridership growth have the highest readership but represent a small share of research content in the field. User surveys had a low response rate but the responses received suggest that professionals including government policy makers, consultants, and academics are the major research users. The most common use of transit research is to be kept informed; however, research also is cited as evidence, notably by academics. A modest but significant share of professionals use transit research for transit policy, service development, or both. Opportunities for future research are identified.</t>
  </si>
  <si>
    <t>Currie, Graham/0000-0001-7190-7548; Delbosc, Alexa/0000-0001-8744-3469</t>
  </si>
  <si>
    <t>0361-1981</t>
  </si>
  <si>
    <t>2169-4052</t>
  </si>
  <si>
    <t>10.3141/2276-01</t>
  </si>
  <si>
    <t>WOS:000314427000002</t>
  </si>
  <si>
    <t>Fagan, A</t>
  </si>
  <si>
    <t>Fagan, Adam</t>
  </si>
  <si>
    <t>Building environmental governance in Bosnia-Herzegovina: Europeanisation and transnational assistance in the context of limited statehood</t>
  </si>
  <si>
    <t>ENVIRONMENT AND PLANNING C-GOVERNMENT AND POLICY</t>
  </si>
  <si>
    <t>With this paper I seek to identify the conditions under which a shift occurs from hierarchical decision making towards new modes of environmental governance in a case of weak statehood (Bosnia-Herzegovina), where an external agency (the EU) exerts significant influence alongside foreign consultants and international financial institutions (the European Bank for Reconstruction and Development-EBRD). The Environmental Impact Assessments (EIAs) undertaken as part of the development of the trans-European road network across the country are used here as case studies for examining emerging patterns of environmental governance in a state under the shadow of EU conditionality. The data suggest that whilst over a period of time the adoption of new EU-compliant formal procedures and frameworks (eg, EIA laws) does seem to be generating new modes of governance interaction and citizen involvement, the impact is contingent upon the critical didactic role played by (in this case) the EBRD in making the formal procedures effective and in building knowledge capacity within the state administration. Thus, a simple correlation between EU conditionality and substantive political change cannot be assumed, particularly where state agencies possess limited policy knowledge and nonstate actors (environmental NGOs) lack mobilisation capacity.</t>
  </si>
  <si>
    <t>0263-774X</t>
  </si>
  <si>
    <t>1472-3425</t>
  </si>
  <si>
    <t>10.1068/c11251</t>
  </si>
  <si>
    <t>WOS:000308474200006</t>
  </si>
  <si>
    <t>Landim, SNT; Sanchez, LE</t>
  </si>
  <si>
    <t>Landim, Stephanie N. T.; Sanchez, Luis E.</t>
  </si>
  <si>
    <t>The contents and scope of environmental impact statements: how do they evolve over time?</t>
  </si>
  <si>
    <t>It can be expected that, over a long time span, both the contents and the scope of environmental impact statements (EISs) will evolve to incorporate new issues and new analytical approaches. A diachronic review was conducted of a sample of EISs produced by one consultancy in Brazil, specializing in mining and quarrying. Nine EISs prepared in the period 1987-2010 were selected, covering different minerals and locations. Content analysis showed that the scope of the EISs has widened and the content has deepened over time, particularly in terms of level of detail and issues dealt with in baseline studies, while impact analysis has evolved to incorporate some quantitative predictions and mitigation measures have become structured along a consistent framework, as compared with a simple list of loose commitments that appeared in the first EISs. Interviews conducted with both regulators and consultants suggest that the main driver of change has been new legislation, followed by better regulation and administrative control exerted by the environmental agencies and improved consultants' capacity, while proponents' policies had little influence on the observed evolution. If EISs are to evolve further in order to incorporate new analytical approaches and become less descriptive, the initiative should come mainly from regulators.</t>
  </si>
  <si>
    <t>10.1080/14615517.2012.746828</t>
  </si>
  <si>
    <t>WOS:000495582100001</t>
  </si>
  <si>
    <t>Conyon, M; Judge, WQ; Useem, M</t>
  </si>
  <si>
    <t>Conyon, Martin; Judge, William Q.; Useem, Michael</t>
  </si>
  <si>
    <t>Corporate Governance and the 2008-09 Financial Crisis</t>
  </si>
  <si>
    <t>The financial crisis of the late 2000s resulted in enormous costs to the economies of many countries and the fortunes of millions of families, and it challenged a host of our conceptions and theories of corporate governance. The governing boards of many financial-services firms seemed unable to prevent the risky and ill-fated decisions that jeopardized their firms, devastated their investors, and helped precipitate a financial meltdown that morphed into global recession. Company boards were also directly responsible through their compensation committees and consultant advisors for a sharp rise in executive compensation during the 2000s that may have contributed to undue short-term risk-taking among the financial-service companies that helped spark the recession. The macroeconomic environment also changed. Historically low interest rates, and the development of new ways of financing mortgage products led to an irrationally exuberant mind-set of lending and borrowing in the housing market. The quality of some loans was questionable, but home asset prices continued to increase - until they collapsed in 2008. The boom and bust in the housing market was an important contributor - one of many including inadequate corporate governance - to the perfect financial storm of 2008-09. From a conference with 87 papers on the role of corporate governance in precipitating or exacerbating the financial crisis, and from five articles by governance researchers and three articles by prominent governance participant-observers included in this special issue, it is evident that governance played a contributing role. An article by Muller-Kahle and Lewellyn finds that directors of sub-prime lenders compared with other lenders served on a larger number of other company boards, presumably allowing then less time to monitor the sub-prime lender's risky practices, and they served for fewer years on the sub-prime lender's board, suggesting that they were less experienced in evaluating the financial risks of the sub-prime markets. A second article by Grove, Patelli, Victoravich, and Xu report that the higher the levels of debt held by banks, a policy presumably monitored and approved by directors, the lower bank financial and operating performance during the financial crisis. A third article by Yeh, Liu, and Chung finds that director independence on the auditing and risk management committees affected risk taking behaviors and subsequent performance. In the pursuit of productive avenues for reform, a fourth article Pirson and Turnbull argue for a network of boards representing multiple constituencies, convened through a stakeholder congress, that would bring more sources of information to the attention of more actors who could make more effective use of the information in guiding company risk management. A fifth article by Nicholson, Kiel, and Kiel-Chisholm argue for the re-establishment of professional restraints and creation of a new set of more responsible social norms within the financial sector to avoid the next financial meltdown. Three well-informed participant observers corroborate these findings and direct special attention to both company and country governance issues at they help foster the financial meltdown. Berglof finds that the absence of both micro and macro protections against excessive and systemic risk may have opened the way for the perfect storm. Feinberg concludes that distortions from economically-rational pay practices - ultimately the responsibility of the board - may have contributed to the financial crisis as executives sought to optimize their pay in ways that were not optimal for the firm nor its investors, customers, or lenders. Johnson places some of the blame for the crisis indirectly on the governance door step - directors who hired and monitored the bankers at center of the crisis had helped foster a culture of short-term greed and narrow self-interest that became toxic when it became systemic and no longer limited to a few aberrant players. Taken together, the five articles and three commentaries in this issue point to the importance and interplay of both micro and macro governance factors in contributing to the financial crisis of 2008-09 - and to the importance of reforming those factors to help avert another financial crisis in the future.</t>
  </si>
  <si>
    <t>10.1111/j.1467-8683.2011.00879.x</t>
  </si>
  <si>
    <t>WOS:000296489800001</t>
  </si>
  <si>
    <t>Chien, SS; Ho, B</t>
  </si>
  <si>
    <t>Chien, Shiuh-Shen; Ho, Bing</t>
  </si>
  <si>
    <t>Globalization and the local government learning process in post-Mao China: a transnational perspective</t>
  </si>
  <si>
    <t>Since the 1970s, China has changed from a centrally planned economy to a more open and globalized one. Within this context we ask how, under what circumstances and through what means are local governments able to make policy innovations in upgrading the business environment within their jurisdictions. Theoretically, it is possible to learn policy innovations from the past, from neighbours and from aboard. Leading development regions, like the Yangtze River Delta, are unlikely to learn from either their domestic neighbours or their past communist history. Therefore, they must learn from the experiences of other countries. We argue that this transnational learning process occurs through three different but interrelated mechanisms. These are (1) the personal networks of local officials interacting with foreign investors who are familiar with international business standards of global production networks; (2) institutional alliances in which local officials interact with foreign governments that have co-invested in development zones and joint interests; and (3) hegemonic discourse, wherein local officials interact with foreign consultants who have essential development knowledge. We examine this contention by analysing three empirical cases of local governments in the Yangtze River Delta - Kunshan, which demonstrates the personal network learning mechanism; Suzhou, demonstrating institutional alliance learning; and Shanghai, which exemplifies learning through hegemonic discourse.</t>
  </si>
  <si>
    <t>CHIEN, SHIUHSHEN/0000-0001-6250-0850</t>
  </si>
  <si>
    <t>10.1111/j.1471-0374.2011.00328.x</t>
  </si>
  <si>
    <t>WOS:000291221400003</t>
  </si>
  <si>
    <t>Wesselink, A; Hoppe, R</t>
  </si>
  <si>
    <t>Wesselink, Anna; Hoppe, Rob</t>
  </si>
  <si>
    <t>If Post-Normal Science is the Solution, What is the Problem?: The Politics of Activist Environmental Science</t>
  </si>
  <si>
    <t>SCIENCE TECHNOLOGY &amp; HUMAN VALUES</t>
  </si>
  <si>
    <t>Post-normal science (PNS) is presented by its proponents as a new way of doing science that deals with uncertainties, value diversity or antagonism, and high decision stakes and urgency, with the ultimate goal of remedying the pathologies of the global industrial system for which, according to Funtowicz and Ravetz, existing science forms the basis. The authors critically examine whether PNS can fulfill this claim in the light of empirical and theoretical work on politics and policy making. The authors credit PNS as an innovative frontrunner in raising important issues regarding the limited problem-solving capacity of normal science'' and professional consultancy.'' Yet, the authors notice that PNS lacks important considerations about the governance of problems and aspects of participatory and deliberative democracy. PNS in effect implies that methodological ratiocination'' would prevail over political deliberation and democratic interaction and that merely changing scientific input in public policy making would have the power to change its outcomes. This scientistic hubris can be traced back to PNS's origin in concerned scientists' activism, which in effect accessed the political arena through the scientific entrance. The authors conclude that the art of politics needs to come back into the discussion on environmental problems if societal change is to occur.</t>
  </si>
  <si>
    <t>Wesselink, Anna J/L-1791-2013</t>
  </si>
  <si>
    <t>Wesselink, Anna J/0000-0003-1120-3359</t>
  </si>
  <si>
    <t>0162-2439</t>
  </si>
  <si>
    <t>1552-8251</t>
  </si>
  <si>
    <t>10.1177/0162243910385786</t>
  </si>
  <si>
    <t>WOS:000289206600005</t>
  </si>
  <si>
    <t>Srinivasan, V</t>
  </si>
  <si>
    <t>Srinivasan, Vasanthi</t>
  </si>
  <si>
    <t>Business Ethics in the South and South East Asia</t>
  </si>
  <si>
    <t>JOURNAL OF BUSINESS ETHICS</t>
  </si>
  <si>
    <t>This article attempts to understand the state of teaching, training and research in business ethics in the South and South East Asian region. The countries surveyed are Bangladesh, Bhutan, Cambodia, India, Laos, Malaysia, Myanmar, Nepal, Pakistan, Sri Lanka, Thailand and Vietnam. The diversity across countries in the region is high in terms of economic development, political structuring and human development. The degree of privatization and globalization is varied across countries since each of them is in a different phase of transition. In an earlier survey on Business Ethics, published in 1997, India was the only country from this region that was represented. In the current survey, 12 countries from the South and South East Asia are represented. While Business Ethics in academia is widely present, Corporate Social Responsibility, Governance and Sustainability though relatively new appear to be growing rapidly. Business Ethics courses tend to focus on functional ethics, managerial ethics and implementing codes of ethical conduct. Across the 12 countries, Business Ethics is taught either as an elective or a core course in most institutions. Training emphasis across countries is varied. While training institutions in India appear to be high, the presence of multinational consultants in Thailand, Malaysia, Bangladesh and Sri Lanka is significant. The research focus across countries in the region is weak. The high convergence on the top issues in Business Ethics, across respondents in different countries, is worthy of mention.</t>
  </si>
  <si>
    <t>0167-4544</t>
  </si>
  <si>
    <t>1573-0697</t>
  </si>
  <si>
    <t>10.1007/s10551-012-1264-z</t>
  </si>
  <si>
    <t>WOS:000208734300008</t>
  </si>
  <si>
    <t>Ryder, N</t>
  </si>
  <si>
    <t>Ryder, Norman</t>
  </si>
  <si>
    <t>Norman Ryder on the Sociology of Fertility Reduction</t>
  </si>
  <si>
    <t>POPULATION AND DEVELOPMENT REVIEW</t>
  </si>
  <si>
    <t>In the early post-World War II decades rapid population growth in poor countries was widely seen as harming prospects for economic and social development. The immediate trigger for that growth-declining mortality-was a welcome trend, leaving the other driver, sustained high fertility, as the main plausible target for policy intervention. In the spirit of the prevailing thinking on how government action could lead to faster development, policies aimed at reducing fertility were focused on providing services to individual couples through family planning programs. Outright dissent or at least pervasive unease among social scientists concerning the effectiveness of that approach is well reflected in the economic and sociological literature of that time. An especially articulate discussion of the conditions necessary for the reduction of fertility as seen from a social science standpoint was offered in an informal paper by Norman Ryder, one of the leading American sociologists of the period. The paper was originally prepared for oral presentation at the April 1974 meeting of the Population Association of America in New York. A revised version was issued in 1976 as paper no. 37 in the series Papers of the East-West Population Institute (Honolulu). It appeared under the title Some sociological suggestions concerning the reduction of fertility in developing countries. It is reproduced below in full. Ryder's argument reflects the fundamental perception that the most important variables affecting fertility are systemic in nature. Fertility norms are instilled in individuals by society, and to ensure reproduction under conditions of economic backwardness these norms have traditionally emphasized the primacy of the family, the obligation of children to their parents, and rigidly segregated sex roles. Fundamental shifts in the organization of human society are necessary to alter reproductive behavior. The delivery of family planning services and the manipulation of the economic context of decisions on childbearing play only auxiliary and supportive roles in bringing about lower fertility. Modernization, and fertility reduction as an indispensable component of it, require comprehensive institutional reconstitution. Norman B. Ryder, a professor emeritus of sociology at Princeton University, died on 30 June 2010 at the age of 86. He was born in Hamilton, Ontario in 1923. After earning a bachelor's and a master's degree in political economy at McMaster University and at the University of Toronto, he studied at Princeton, obtaining his Ph.D. in sociology in 1951. He held appointments at Toronto and at the University of Wisconsin (where he founded the Center for Demography and Ecology), returning to Princeton in 1971 as professor of sociology. He retired in 1989. Among his many professional contributions he is perhaps best known for his pioneering emphasis on the birth cohort as a unit in the analysis of social change. His article on the subject in the December 1965 American Sociological Review is seen as a classic. In formal demography, his work on the relationship between period and cohort fertility was fundamental to the understanding of tempo distortions in fertility rates, reflected, for example, in the ultra-low period fertility rates registered in many countries over recent decades. He collaborated with Princeton sociologist Charles F Westoff to co-found and co-direct the US National Fertility Studies conducted in 1965, 1970, and 1975. Their results were published in two major books, Reproduction in the United States, 1965 (1971) and The Contraceptive Revolution (1977). These studies were also influential in the design of the later World Fertility Survey of the International Statistical Institute, conducted in some 40 developing countries from 1972 to 1984. (Ryder was a consultant to this project, though he was by no means uncritical of it-as seen in his review of its summary volume in the June 1986 issue of PDR.)</t>
  </si>
  <si>
    <t>0098-7921</t>
  </si>
  <si>
    <t>WOS:000281561100008</t>
  </si>
  <si>
    <t>Pennington, DW; Chomkhamsri, K; Pant, R; Wolf, MA; Bidoglio, G; Kogler, K; Misiga, P; Sponar, M; Lorz, B; Sonnemann, G; Masoni, P; Wang, HT; Ling, L; Castanho, C; Soon, CS; Fieschi, M; Filareto, A; Hauschild, M</t>
  </si>
  <si>
    <t>Pennington, David W.; Chomkhamsri, Kirana; Pant, Rana; Wolf, Marc-Andree; Bidoglio, Giovanni; Koegler, Klaus; Misiga, Pavel; Sponar, Michel; Lorz, Bettina; Sonnemann, Guido; Masoni, Paolo; Wang, Hongtao; Ling, Lin; Castanho, Carla; Soon, Chen Sau; Fieschi, Maurizio; Filareto, Assunta; Hauschild, Michael</t>
  </si>
  <si>
    <t>ILCD Handbook Public Consultation Workshop</t>
  </si>
  <si>
    <t>INTERNATIONAL JOURNAL OF LIFE CYCLE ASSESSMENT</t>
  </si>
  <si>
    <t>The European Commission is supporting the development of the International Reference Life Cycle Data System (ILCD). This consists primarily of the ILCD Handbook and the ILCD Data Network. This paper gives an insight into the scientific positions of business, governments, consultants, academics, and others that were expressed at this public consultation workshop. The workshop focused on four of the topics of the main guidance documents of the ILCD Handbook: (1) general guidance on life cycle assessment (LCA); (2) guidance for generic and average life cycle inventory (LCI) data sets; (3) requirements for environmental impact assessment methods, models and indicators for LCA; and (4) review schemes for LCA. This consultation workshop was attended by more than 120 participants during the 4 days of the workshop. Representatives came from 23 countries, from both within and outside the European Union. Approximately half of the participants were from business associations or individual companies. Another 20% were governmental representatives. Others came predominantly from consultancies and academia. This public consultation workshop provided valuable inputs into the overall ILCD Handbook developments as well as for further development. This paper focuses on some of the main scientific issues that were raised.</t>
  </si>
  <si>
    <t>Hauschild, Michael Z/0000-0002-8331-7390; Sonnemann, Guido/0000-0003-2581-1910; Masoni, Paolo/0000-0003-3929-1143</t>
  </si>
  <si>
    <t>0948-3349</t>
  </si>
  <si>
    <t>1614-7502</t>
  </si>
  <si>
    <t>10.1007/s11367-009-0149-6</t>
  </si>
  <si>
    <t>WOS:000275161900001</t>
  </si>
  <si>
    <t>Macve, R; Chen, XL</t>
  </si>
  <si>
    <t>Macve, Richard; Chen, Xiaoli</t>
  </si>
  <si>
    <t>The equator principles: a success for voluntary codes?</t>
  </si>
  <si>
    <t>ACCOUNTING AUDITING &amp; ACCOUNTABILITY JOURNAL</t>
  </si>
  <si>
    <t>Purpose - The equator principles constitute an international voluntary code developed by banks to encourage consideration of environmental and social issues in project financing. Such codes can flexibly bridge the gap between individual companies' sustainability initiatives and mandatory, legal regulation. However, concerns continue to be expressed that the equator principles reporting of banks is not fully satisfactory, so the aim of this paper is to investigate both the nature of the success and the shortcomings of equator principles reporting. Design/methodology/approach - The paper is based on academic literature on motivations for corporate social responsibility and various publications by non-government organisations and professional accounting and legal organisations, together with analysis of the disclosures made by Barclays and HSBC. In addition, access was gained for semi-structured interviews with some senior executives/consultants. Findings - While the voluntary equator principles initiative has been remarkably successful in matching banks' strategic motivation, the environmental benefit may primarily be a by-product of the risk management processes of banks, consistent with enlightened shareholder theory. This does not mean the environmental benefits may not be real but, without more detailed project-level disclosure and a standardised performance evaluation system, it is difficult to measure the extent to which the equator principles have had a positive effect on the environment. Research limitations/implications - Further research is needed to gauge how the equator principles impact front-line decision making. There could usefully be further standardisation of equator principles reporting formats, with more detail about project-level implementation. With respect to reports of external assurers, it remains an open question as to whether these should be made compulsory, subject to further specification of the independence and competence standards. Originality/value - The study helps to illuminate the effectiveness of a voluntary code such as the equator principles in the social construction of how enlightened shareholder theory is to be interpreted and implemented. It makes an initial response to recent calls by Bebbington et al. and Adams for further empirical corporate social responsibility research and more direct engagement with organisations.</t>
  </si>
  <si>
    <t>Macve, Richard H/A-4190-2013; Bui, Binh/AAX-2439-2020</t>
  </si>
  <si>
    <t>Bui, Binh/0000-0001-5215-8879; Macve, Richard/0000-0002-0023-948X</t>
  </si>
  <si>
    <t>0951-3574</t>
  </si>
  <si>
    <t>1758-4205</t>
  </si>
  <si>
    <t>10.1108/09513571011080171</t>
  </si>
  <si>
    <t>WOS:000208574300005</t>
  </si>
  <si>
    <t>Ghobadian, B; Najafi, G; Rahimi, H; Yusaf, TF</t>
  </si>
  <si>
    <t>Ghobadian, Barat; Najafi, G.; Rahimi, Hadi; Yusaf, T. F.</t>
  </si>
  <si>
    <t>Future of renewable energies in Iran</t>
  </si>
  <si>
    <t>The activities in field of renewable energy in Iran are focused on scientific and research aspects, and research part is aimed at reduction of capital required for exploitation of related resources. The second step is to work research results into scientific dimension of this field for practical means, i.e. establishing electricity power plants. Due to recent advancements in wind energy, many investors in the country have become interested in investing in this type of energy. At the moment, projects assuming 130 MW of wind power plants are underway, of which, 25 MW is operational. Based on the planning in the 4th Socioeconomic and Cultural Development Plan (2005-2010), private sector is expected to have a share of at least 270 MW in renewable energies. However, it is the goverment's duty to take the first step for investment in biomass and solar power plants; private sector may then play its part once the infrastructures to this end are laid out. At the moment, a 250 kW plant is under construction in Shiraz and two more geothermal units with 5 and 50 MW capacities will follow. Moreover, two biomass and solar energy plants, standing at 10 and 17 MW, respectively, are of other upcoming projects. The project of Iran's renewable energy, aims to accelerate the sustainable development of wind energy through investment and removal of barriers. This preparatory project is funded by the global environment facility (GEF) and will provide for a number of international and national consultant missions and studies. Once the studies are concluded, a project to develop 25 MW of wind energy in the Manjil region of Gilan will be prepared. It will be consistent with the national development frameworks and objectives and form part of 100 MW of wind-powered energy, which is expected to be developed under the government's third 5-year national development plan (started 21 March 2000). (c) 2007 Elsevier Ltd All rights reserved.</t>
  </si>
  <si>
    <t>10.1016/j.rser.2007.11.010</t>
  </si>
  <si>
    <t>WOS:000263691900017</t>
  </si>
  <si>
    <t>Brown, HS; de Jong, M; Levy, DL</t>
  </si>
  <si>
    <t>Brown, Halina Szejnwald; de Jong, Martin; Levy, David L.</t>
  </si>
  <si>
    <t>Building institutions based on information disclosure: lessons from GRI's sustainability reporting</t>
  </si>
  <si>
    <t>Global Reporting Initiative (GRI) is the best-known framework for voluntary reporting of environmental and social performance by business worldwide. Using extensive empirical data, including interviews and documentary analysis, we examine GRI's organizational field and conclude that since its modest beginnings in 1999 GRI has been by several measures a successful institutionalization project. But the institutional logic of this new entity, as an instrument for corporate sustainability management, leaves out one of the central elements of the initial vision for GRI: as a mobilizing agent for many societal actors. This emergent logic reflects GRI's dominant constituency - large global companies and financial institutions and international business management consultancies - and not the less active civil society organizations and organized labor. We attribute these developments to factors such as building GRI within the existing institutional structures; the highly inclusive multistakeholder process: and the underdeveloped base of information users. From the institutional theory perspective, this case shows how the process of institutionalization is deeply affected by initial strategies of the founders, and how it reproduces existing power relations. From the governance perspective, this case leads us to question the power of commodified information to mobilize civil society and to strengthen governance based on partnerships. (C) 2009 Elsevier Ltd. All rights reserved.</t>
  </si>
  <si>
    <t>de Jong, Martin/E-8002-2013</t>
  </si>
  <si>
    <t>10.1016/j.jclepro.2008.12.009</t>
  </si>
  <si>
    <t>WOS:000264330600001</t>
  </si>
  <si>
    <t>Kinsey, CP; Hansen, SJ; Franklin, G</t>
  </si>
  <si>
    <t>Kinsey, Christopher Paul; Hansen, Stig Jarle; Franklin, George</t>
  </si>
  <si>
    <t>The impact of private security companies on Somalia's governance networks</t>
  </si>
  <si>
    <t>CAMBRIDGE REVIEW OF INTERNATIONAL AFFAIRS</t>
  </si>
  <si>
    <t>The article discusses the use of private security contractors to support coastguard forces in the Somali substate entities of Puntland and Somaliland. Neither of these entities is sufficiently robust to raise and maintain an effective maritime security force without external assistance, hence they have had recourse to the private sector for training, logistical and operational support and high-level consultancy with respect to their coastguards. The article makes some general observations about the international private security industry and Somali politics in order to provide a context for the three case studies. The case studies, each of which covers the engagement of one security contractor in support of a coastguard, assess the roles played by the contractors, making particular reference to sustainability and influence on governance networks. The analysis establishes a matrix of security company typologies and potential roles and then uses this matrix to suggest which types of company might be best employed for which functions. The article has current pertinence, as two of the three case studies concern efforts by substate entities to hire private security to enhance anti-piracy capability.</t>
  </si>
  <si>
    <t>Kinsey, Christopher/0000-0002-6819-4767</t>
  </si>
  <si>
    <t>0955-7571</t>
  </si>
  <si>
    <t>1474-449X</t>
  </si>
  <si>
    <t>10.1080/09557570802683888</t>
  </si>
  <si>
    <t>WOS:000265877800010</t>
  </si>
  <si>
    <t>Miller, KK; Weston, MA</t>
  </si>
  <si>
    <t>Miller, Kelly K.; Weston, Michael A.</t>
  </si>
  <si>
    <t>Towards a set of priorities for bird conservation and research in Australia: the perceptions of ornithologists</t>
  </si>
  <si>
    <t>EMU-AUSTRAL ORNITHOLOGY</t>
  </si>
  <si>
    <t>Australian delegates at the Australasian Ornithological Conference (2007) were surveyed by questionnaire to determine their perceived research and conservation priorities for Australian birds (n = 134). Respondents were honours or postgraduate students (37.4%), academics (26.2%), wildlife managers (6.5%), land managers (6.5%), environmental consultants (5.6%), independent wildlife researchers (5.6%) or had 'other' occupations not relevant to birds or their management (12.1%). Respondents rated their priorities on a predetermined set of issues, and were invited to add additional priorities. 'Conservation of threatened species' was considered the highest priority, followed by 'Conservation of birds and biodiversity in general', 'Monitoring', 'Management' and 'Working with communities'. 'Animal welfare/rights' was regarded as comparatively less important. Eight of 11 conservation strategies were regarded as of high importance, these included habitat protection and rehabilitation, threat abatement, research, advocacy and education. This study documents the view of the ornithological community with respect to priority issues facing birds and could potentially feed into government and other policies aimed at conserving and understanding Australia's birds.</t>
  </si>
  <si>
    <t>Miller, Kelly K/C-9320-2009</t>
  </si>
  <si>
    <t>Miller, Kelly K/0000-0003-4360-6232; Weston, Michael/0000-0002-8717-0410</t>
  </si>
  <si>
    <t>0158-4197</t>
  </si>
  <si>
    <t>1448-5540</t>
  </si>
  <si>
    <t>10.1071/MU08054</t>
  </si>
  <si>
    <t>WOS:000263984000008</t>
  </si>
  <si>
    <t>Betteridge, K; Schnug, E; Haneklaus, S</t>
  </si>
  <si>
    <t>Betteridge, Keith; Schnug, Ewald; Haneklaus, Silvia</t>
  </si>
  <si>
    <t>Will site specific nutrient management live up to expectation?</t>
  </si>
  <si>
    <t>LANDBAUFORSCHUNG VOLKENRODE</t>
  </si>
  <si>
    <t>Sustainable farming systems require soil fertility status to be maintained at a level that supports satisfactory plant growth while minimising nutrient loss to the environment. Because soils within farmed landscapes are heterogeneous, the amount of nutrients required to support optimal plant growth will differ in relation to soil type, the soil's nutrient status, the crop's growth potential within the various landscape zones, and time of nutrient application in relation to plant growth stage. Fertiliser application rates could also possibly be determined politically by environmental regulation. Site Specific Nutrient Management (SSNM) is a major component of Precision Agriculture and relates to the differential management of soil nutrients between landscape zones. Specialist advisers in SSNM may be needed to interpret crop yield data in relation to status of the farm's other resources and to help farmers formulate their farm's fertiliser plan. Cost of describing resource status and lack of specialist consultants are identified as significant impediments to uptake of SSNM technologies. SSNM is likely to be widely implemented only where subsidies are paid or where regulations and quality assurance schemes demand environmental standards are met. Examples are presented of successful use of SSNM on intensive cropping farms and low-input grazed pastures. Suggestions are offered as to how SSNM technologies must evolve to deliver their potential for improved productive, economic, environmental and social outcomes in advanced and developing countries.</t>
  </si>
  <si>
    <t>0458-6859</t>
  </si>
  <si>
    <t>WOS:000262624200005</t>
  </si>
  <si>
    <t>Pratt, CB; Adamolekun, W</t>
  </si>
  <si>
    <t>Pratt, Cornelius B.; Adamolekun, Wole</t>
  </si>
  <si>
    <t>The People's Republic of China and FAPRA: Catalysts for Theory Building in Africa's Public Relations</t>
  </si>
  <si>
    <t>JOURNAL OF PUBLIC RELATIONS RESEARCH</t>
  </si>
  <si>
    <t>Africa is experiencing an unusually high economic interest from the People's Republic of China, whose government has invested billions of dollars in schools, clinics, roads, railways, factories, and oil wells on the continent; has canceled more than $1.36 billion in debts owed to it by 33 African nations; and has pledged to provide Africa with $5 billion in preferential loans and credits through 2009. Its top party officials traverse the continent, seeking to develop business relationships and to reinforce others. While such efforts help place Africa on the cusp of significant economic growth, they also boost the programs and activities of the Nairobi, Kenya-based Federation of African Public Relations Associations (FAPRA), an umbrella body of all national public relations associations in Africa and a consultant to African governments and to the African Union. FAPRA has launched a 5-year action plan to improve the stature and social relevance of the public relations practice, largely through enhancing its efforts to professionalize it. Both China and FAPRA are, in essence, collaborating to create environments conducive to enhancing the practice in Africa, and to laying a foundation for an expansive view of public relations research-one that questions grand narratives, defines concepts, challenges orthodoxies, measures variables, and determines program outcomes or effects. And researchers and practitioners work together in creative ways to improve the practice. This article argues that questions and concepts are, in themselves, opportunities for a much-needed theory building in Africa's public relations. It, therefore, outlines 4 propositions as a template for such theory building, based on a 4-concept research agenda: culture, good governance and rule of law, economic freedom, and FAPRA's integrated programs and activities outlined in its 5-year action plan. The return of China ... to global economic prominence in the twenty-first century is likely to reshape global politics and society. The overwhelming dominance of the West, which lasted half a millennium, is probably passe. We should view these developments not only with awe, but with anticipation. (Sachs, 2005, p. 187) We want to work in partnership with the international community, but we believe that it must be a partnership based on mutual respect and mutual accountability. (Former Namibian Prime Minister Geingob, 2006, p. 56)</t>
  </si>
  <si>
    <t>1062-726X</t>
  </si>
  <si>
    <t>1532-754X</t>
  </si>
  <si>
    <t>10.1080/10627260701727002</t>
  </si>
  <si>
    <t>WOS:000260804800002</t>
  </si>
  <si>
    <t>Alnaser, NW; Flanagan, R</t>
  </si>
  <si>
    <t>Alnaser, N. W.; Flanagan, R.</t>
  </si>
  <si>
    <t>The need of sustainable buildings construction in the Kingdom of Bahrain</t>
  </si>
  <si>
    <t>BUILDING AND ENVIRONMENT</t>
  </si>
  <si>
    <t>This thesis is aimed to initiate implementing sustainable building construction in the kingdom of Bahrain, i.e. Building-Integration PhotoVoltaic (BIPV) or Wind Energy (BIWE). It highlights the main constrains that discourage such modern concept in building and construction. Three groups have been questioned using a questionnaire. These are the policy and decision makers, the leading consultants and the contractors. The main constrains of the dissemination of BIVP and BIWE, according to the policy and decision makers, are: lack of knowledge and awareness of the public in sustainable technology, low cost of electricity, low cost of gas and oil and difficulty in applying local environmental taxes. The consultants had attributed the constrains to ignorance of life cycle cost of PV and Wind turbines systems, lack of education and knowledge in sustainable design, political system, shortage of markets importing sustainable technologies and client worries in profitability and pay-back period. The contractors are found to be very enthusiastic and ready to take over any sustainable building project and prefer to have a construction manger to coordinate between the design and contracting team. Design and Build is found the favorable procurement method in Bahrain for conducting BIPV or BIWE projects. (c) 2005 Published by Elsevier Ltd.</t>
  </si>
  <si>
    <t>0360-1323</t>
  </si>
  <si>
    <t>1873-684X</t>
  </si>
  <si>
    <t>10.1016/j.buildenv.2005.08.032</t>
  </si>
  <si>
    <t>WOS:000241590600050</t>
  </si>
  <si>
    <t>Dixon, T</t>
  </si>
  <si>
    <t>Dixon, Timothy</t>
  </si>
  <si>
    <t>The property development industry and sustainable urban brownfield regeneration in England: An analysis of case studies in Thames Gateway and Greater Manchester</t>
  </si>
  <si>
    <t>URBAN STUDIES</t>
  </si>
  <si>
    <t>The property development industry is a key actor in UK brownfield regeneration projects. UK policy has attempted to interlink 'sustainable development' and 'sustainable brownfield' policy agendas, which have found an additional focus through the UK government's 'Sustainable Communities Plan', part of a growing international emphasis on sustainable development. This paper examines the emergence of these agendas and related policies, and the role of the property development industry in the regeneration of six differing brownfield sites, based in Thames Gateway and Greater Manchester. Using a conceptual framework, the paper investigates aspects of the sustainability of these projects and highlights key lessons from them for both the UK and overseas. The research is based on structured interviews with a variety of stakeholders, including developers, planners, consultants and community representatives to highlight emerging best practice and related policy implications.</t>
  </si>
  <si>
    <t>0042-0980</t>
  </si>
  <si>
    <t>10.1080/00420980701540887</t>
  </si>
  <si>
    <t>WOS:000250780000006</t>
  </si>
  <si>
    <t>Quendler, E; Boxberger, J</t>
  </si>
  <si>
    <t>Quendler, Elisabeth; Boxberger, Josef</t>
  </si>
  <si>
    <t>Proposals to an efficient knowledge transfer in agricultural extension services in Bavaria</t>
  </si>
  <si>
    <t>AGRARTECHNISCHE FORSCHUNG-AGRICULTURAL ENGINEERING RESEARCH</t>
  </si>
  <si>
    <t>Farmers need established and new knowledge of engineering matters to solve technical problems and manage investments on their farms. This requirement is complicated by public budget consolidation, the current flood of information and the prolongation of working life, which increase the knowledge needed by each farmer, as well as the importance of lifelong learning through further training and extension work. Recent budget restrictions mean that. in future the Bavarian government aims to be involved only in providing those goods and services which the private sector is not willing to provide, such as advice on matters relating to public interest (animal welfare, environmental protection, sustainability). Compensatory measures are necessary to avoid disadvantages in this connection, especially those attributable to delayed take-up of new technologies that lead to technical progress in Farming, related national economic concerns, and knowledge transfer. To determine effective measures it is important to differentiate between knowledge transfer activities related to public concerns and commercial operation interests, as the Bavarian Ministry of Agriculture and Forestry has done, offering a good basis for building up cooperation between state and private advisory services. In view of the lack of relevant private-sector advisory services in the field of agricultural engineering, it is necessary to include further criteria to guarantee effective and undisturbed transfer of knowledge between manufacturers, consultants and farmers. Such criteria include the limited number of public consultants, the farm-related level of investment to sustain farm livelihoods, key competences of Bavarian farms, the advice requirements of the majority of farms and the possibilities of labour-sharing cooperation between public and private advisory services. The public-sector consultants already have to act as supra-regional multipliers, as knowledge engineers, who support public and private consultants from other disciplines in operating with complementary knowledge of engineering matters on farms. The overall aim in reorganisation must be to offer objective advice, especially on capital-intensive matters which are mainly irreversible, and to deliver the knowledge required to farmers efficiently as well as in time to strengthen their capacity for survival and hence the national economy as well.</t>
  </si>
  <si>
    <t>0948-7298</t>
  </si>
  <si>
    <t>WOS:000254705000004</t>
  </si>
  <si>
    <t>Shaw, J; Hunter, C; Gray, D</t>
  </si>
  <si>
    <t>Shaw, Jon; Hunter, Colin; Gray, David</t>
  </si>
  <si>
    <t>Disintegrated transport policy: the multimodal studies process in England</t>
  </si>
  <si>
    <t>As part of a broader effort to promote more sustainable or 'integrated' transport, the United Kingdom Labour government commissioned a series of multimodal studies designed to seek genuinely multimodal solutions to traffic congestion problems in England. Consultants undertaking the studies were instructed to presume against new roads unless all other options were clearly impractical. We build upon previous work to assess the extent to which the outcome of the multimodal study process is consistent with the government's original intentions, as specified in relevant policy documentation. Our findings are that, although the process led to substantial achievements in some areas, its main outcome has been the approval of a host of new road schemes and-apart from some potentially significant public transport investment in the West Midlands-very little else. Viewed in the context of other developments since Labour came to power in 1997, such an outcome, would appear to indicate the further disintegration of the party's much-vaunted 'integrated' transport policy.</t>
  </si>
  <si>
    <t>Gray, David/0000-0001-7770-0089</t>
  </si>
  <si>
    <t>10.1068/c0567</t>
  </si>
  <si>
    <t>WOS:000240160300006</t>
  </si>
  <si>
    <t>Haalboom, B; Elliott, SJ; Eyles, J; Muggah, H</t>
  </si>
  <si>
    <t>Haalboom, Bethany; Elliott, Susan J.; Eyles, John; Muggah, Henry</t>
  </si>
  <si>
    <t>The risk society at work in the Sydney 'Tar Ponds'</t>
  </si>
  <si>
    <t>CANADIAN GEOGRAPHER-GEOGRAPHE CANADIEN</t>
  </si>
  <si>
    <t>This paper explores the implications of environmental contamination on the perceived health impacts, effects on daily life and coping mechanisms of residents living near the Tar Ponds in Sydney, Nova Scotia. The site contains over 700,000 tonnes of contaminated sediments and is considered one of the most contaminated commercial-industrial sites in Canada [Canadian British Consultants Limited (CBCL) and Conestoga Rovers and Associates (CRA) 7999 Phase 1 Site Assessment: Muggah Creek Watershed, Sydney, Nova Scotia]. Resident fears regarding perceived health risks, as well as other concerns related to property values and the viability of the local economy have been reinforced by distrust of government and of science. These concerns have been sustained by clean-up delays. In response, many residents have engaged in forms of activism as a prominent form of coping, while several residents have kept well-informed and sought social support. These findings indicate that the process of remediation and site clean-up must be sensitive to local context.</t>
  </si>
  <si>
    <t>0008-3658</t>
  </si>
  <si>
    <t>1541-0064</t>
  </si>
  <si>
    <t>SUM</t>
  </si>
  <si>
    <t>10.1111/j.0008-3658.2006.00137.x</t>
  </si>
  <si>
    <t>WOS:000239391700007</t>
  </si>
  <si>
    <t>Bialous, SA; Mochizuki-Kobayashi, Y; Stillman, F</t>
  </si>
  <si>
    <t>Bialous, Stella Aguinaga; Mochizuki-Kobayashi, Yumiko; Stillman, Frances</t>
  </si>
  <si>
    <t>Courtesy and the challenges of implementing smoke-free policies in Japan</t>
  </si>
  <si>
    <t>NICOTINE &amp; TOBACCO RESEARCH</t>
  </si>
  <si>
    <t>For decades, the tobacco companies have developed a worldwide campaign to oppose the creation of smoke-free environments. Public health efforts to promote clean indoor air have been uneven throughout the world, and in few places have such efforts faced as many challenges as in Japan. The Japanese market is dominated by Japan Tobacco, which is partly owned by the government, and Philip Morris International is also present in Japan. Japan Tobacco and Philip Morris International have developed campaigns promoting courtesy and tolerance that, until recently, seem to have resonated well with the public. The companies also have supported research promoting ventilation and have funded consultants to act as experts in the area of second-hand smoke exposure. Japan is a critical country to study, partly because of the strength of Japan Tobacco in the country and the growth of Japan Tobacco International in Southeast Asia and the rest of the world, and partly because of Japan's ratification of the World Health Organization Framework Convention on Tobacco Control. This paper uses tobacco industry documents to provide an overview of the tobacco industry's scientific and political efforts to stifle the development of clean indoor measures in Japan. Learning past industry strategies may assist policymakers and advocates in the development of future public health activities.</t>
  </si>
  <si>
    <t>1462-2203</t>
  </si>
  <si>
    <t>1469-994X</t>
  </si>
  <si>
    <t>10.1080/14622200600576297</t>
  </si>
  <si>
    <t>WOS:000237628700006</t>
  </si>
  <si>
    <t>Pierce, SM; Cowling, RM; Knight, AT; Lombard, AT; Rouget, M; Wolf, T</t>
  </si>
  <si>
    <t>Systematic conservation planning products for land-use planning: Interpretation for implementation</t>
  </si>
  <si>
    <t>BIOLOGICAL CONSERVATION</t>
  </si>
  <si>
    <t>There is an obvious need to incorporate biodiversity concerns into the policies and practices of sectors that operate outside protected areas, especially given the widespread devolution of power to local (municipal) authorities regarding land-use decision-making. Consequently, it is essential that we develop systematic (target-driven) conservation planning products that are both user-friendly and user-useful for local government officials, their consultants and the elected decision makers. Here, we describe a systematic conservation planning assessment for South Africa's Subtropical Thicket Biome that considered implementation opportunities and constraints from the outset by developing - with stakeholders - products (maps and guidelines) that could be readily used for local government land-use planning. The assessment, with concomitant stakeholder input, developed (i) Megaconservancy Networks, which are large-scale conservation corridors of multiple ownership that achieve targets principally for biodiversity processes; (ii) conservation status categories (critically endangered, endangered, vulnerable, currently not vulnerable) for all biodiversity features, identified on the basis of available extant habitat to achieve conservation targets, and (iii) a conservation priority map which integrates (i) and (ii). This map was further interpreted for municipal-level decision-makers by way of corresponding guidelines for land-use in each of the conservation status categories. To improve general awareness of the value of biodiversity and its services, a handbook was compiled, which also introduced new and impending environmental legislation. Within 18 months of the production of these products, evidence of the effective integration, or mainstrearning, of the map and its guidelines into land-use planning has been encouraging. However. more effort on increasing awareness of the value of biodiversity and its services among many stakeholder groups is still required. Nonetheless, our approach of planning for implementation by considering the needs and obligations of end users has already yielded positive outcomes. We conclude by providing suggestions for further improving our approach. (c) 2005 Elsevier Ltd. All rights reserved.</t>
  </si>
  <si>
    <t>0006-3207</t>
  </si>
  <si>
    <t>1873-2917</t>
  </si>
  <si>
    <t>10.1016/j.biocon.2005.04.019</t>
  </si>
  <si>
    <t>WOS:000230447100004</t>
  </si>
  <si>
    <t>Ribeiro, G; Srisuwan, A</t>
  </si>
  <si>
    <t>Urban development discourses, environmental management and public participation: the case of the Mae Kha canal in Chiang Mai, Thailand</t>
  </si>
  <si>
    <t>ENVIRONMENT AND URBANIZATION</t>
  </si>
  <si>
    <t>This paper discusses issues of political influence and Power struggles in connection with environmental projects, in the context of a low-income settlement in the city of Chiang Mai in northern Thailand. This low-income settlement has been included in the interventions of four different projects/programmes in the last five years: a community-driven initiative implemented with the support of a public organization and an NGO; the Chiang Mai 30-year master plan designed by architectural consultants to Chiang Mai municipality; a project undertaken by the Department of Town Planning within Chiang Mai provincial government, following an initiative by the prime minister, Mr Taksin Shinawatra; anti an historic preservation project being implemented by the National Department of Fine Arts.</t>
  </si>
  <si>
    <t>0956-2478</t>
  </si>
  <si>
    <t>1746-0301</t>
  </si>
  <si>
    <t>10.1177/095624780501700116</t>
  </si>
  <si>
    <t>WOS:000229459800010</t>
  </si>
  <si>
    <t>Lages, C; Lages, LF</t>
  </si>
  <si>
    <t>Lages, Carmen; Lages, Luis Filipe</t>
  </si>
  <si>
    <t>Antecedents of managerial public relations: a structural model examination</t>
  </si>
  <si>
    <t>EUROPEAN JOURNAL OF MARKETING</t>
  </si>
  <si>
    <t>Purpose - This paper identifies key forces influencing the degree of managerial public relations (MPR), i.e. the practice of public relations (PR) as a strategic tool. Design/methodology/approach - Using survey data of nearly 300 PR consultants from English firms, the authors propose a conceptual framework of MPR and test it through structural equation modeling (SEM). Findings - Findings reveal that research expenditure and importance given to qualifications are key antecedents of MPR. Surprisingly, while the direct effect of the perceived quality of PR graduates on the practice of MPR is non-significant, the indirect effect through research expenditure is highly significant and negative. Research limitations/implications - Future research is encouraged to identify key drivers of MPR by investigating clients' perceptions on this topic. Such an approach would bring interesting guidelines for improving the agency-client relationship as well as consultancies' performance. Research is also encouraged to investigate not only MPR antecedents, but also MPR outcomes. Practical implications - From a practitioner perspective, a better comprehension of MPR might promote the understanding of PR as a strategic tool, the understanding of the client's problem from a strategic standpoint, the inclusion of research and evaluation in the PR process, and incursion in long-term policies. Originality/value - Following the principle of strategy-environment co-alignment, this paper shows that the practice of PR is a result of a strategic response by consultants to the interplay of internal and external forces over their consultancy firm.</t>
  </si>
  <si>
    <t>Lages, Luis F./AAA-4402-2021; Lages, Luis/B-5874-2009</t>
  </si>
  <si>
    <t>Lages, Luis F./0000-0001-9693-848X; Lages, Luis/0000-0001-9693-848X; Lages, Carmen/0000-0002-7791-1457</t>
  </si>
  <si>
    <t>0309-0566</t>
  </si>
  <si>
    <t>1758-7123</t>
  </si>
  <si>
    <t>10.1108/03090560510572043</t>
  </si>
  <si>
    <t>WOS:000209058800007</t>
  </si>
  <si>
    <t>Broberg, O; Hermund, I</t>
  </si>
  <si>
    <t>The OHS consultant as a 'political reflective navigator' in technological change processes</t>
  </si>
  <si>
    <t>INTERNATIONAL JOURNAL OF INDUSTRIAL ERGONOMICS</t>
  </si>
  <si>
    <t>The occupational health service (OHS) in Denmark is rarely involved as adviser when technological changes take place in client enterprises. To support OHS efforts in this area, the work practice of OHS consultants has been studied in four cases of technological change. Traditionally, the role of OHS consultants is placed on the line between an expert and a process consultant. Based on evidence from the cases and on the concepts of actor-network theory on technological development, we suggest a supplementary third role, that of the 'political reflective navigator', where the OHS consultant is an 'actor' who pursues a work environment agenda in a complex network in which other actors pursue other agendas such as productivity, economics, quality, etc. The consultant is political in the sense of pursuing a work environment agenda; the consultant is reflective in the sense of being able to switch between different roles and mobilize different types of knowledge depending on the context; the consultant is a navigator in the sense of knowing how to navigate in the complex organization surrounding the technological change process. The competencies of a political reflective navigator are outlined with the aim of revising the training necessary for OHS consultants. Relevance to industry In order to integrate ergonomics or work environment aspects into technological change processes, companies are involving internal or external OHS consultants. Hence, it is important for both industry and OHS units to gain a better understanding of the opportunities and constraints of OHS consultancy in this area. (C) 2003 Elsevier B.V. All rights reserved.</t>
  </si>
  <si>
    <t>Broberg, Ole/0000-0002-9511-9439</t>
  </si>
  <si>
    <t>0169-8141</t>
  </si>
  <si>
    <t>1872-8219</t>
  </si>
  <si>
    <t>10.1016/j.ergon.2003.10.005</t>
  </si>
  <si>
    <t>WOS:000220162200003</t>
  </si>
  <si>
    <t>Nilsson, R</t>
  </si>
  <si>
    <t>Control of chemicals in Sweden: an example of misuse of the precautionary principle</t>
  </si>
  <si>
    <t>ECOTOXICOLOGY AND ENVIRONMENTAL SAFETY</t>
  </si>
  <si>
    <t>With a background in biochemistry and radiation biology, I started to get involved in the control of chemicals area by battling the use of alkyl-mercury compounds in Swedish agriculture during the years 1964-1965 (C.-G. Rosen, H. Ackefors, and R. Nilsson, 1966, Seed dressing compounds based on organic mercury-economic aspects and health hazards, Svensk Kemisk Tidskrift 78, 8-19), and subsequently I acted as the sole technical advisor to the plaintiffs for the thalidomide children in Sweden for 4 years, ending in a 100 million US dollar (present value) settlement with the producers in 1969 (H. Sjostrom and R. Nilsson, 199 1, Thalidomide and the Power of the Drug Companies, Penguin, London, Feltrinelli, Milano, Iwanami Shoten, Tokyo Fisher Verlag, Berlin). I joined the Swedish EPA in 1974 and became head of the toxicological unit of the Products Control Division, where I was instrumental inter alia in pushing through regulations on reductions of lead in gasoline as well as the first general restrictions in world on the use of cadmium (R. Nilsson, 1989, Cadmium-an Analysis of Swedish Regulatory Experience, Report to the OECD Chemicals Group and Management Committee, January 1989). Since 1986 responsibility for control of chemicals was largely taken over from the Swedish EPA by the newly created National Chemicals Inspectorate (KEMI), an agency that employs me in the capacity of toxicologist. In between, I have been working for the OECD Chemicals Program as well as for WHO (IPCS) in various capacities and as a consultant in risk assessment for the US chemical industry under the Superfund Program. I was also associated with the Ministries of Environment of the governments of Iran and India. With respect to the latter,part of my recommendations were incorporated in the new Indian laws and regulations on chemicals that were issued subsequent to the Bhopal disaster (R. Nilsson, 1988, Procedures and Safeguards for Notification and Handling of Hazardous Chemicals in India, Report to WHO South-East Asia Region, SEA/EH/391, April 1988). As a consequence of a decreasing role for science in regulatory affairs, and a corresponding increasing influence from politics, for the past 8 years I have devoted myself mainly to research-oriented activities in my capacity as adjunct professor of molecular toxicology and risk assessment at the Stockholm University. In international collaboration, my projects have been supported by the Directorate General for Science, Research and Development of the Commission of the European Communities, the US Chemical Manufacturers' Association, the Coulston Foundation (Alamogordo, State of New Mexico), L'Oreal, Merck Co., and in the past to a limited extent also by my own agency, the National Swedish Chemicals Inspectorate. However, my position as member of the executive board for the International Society of Regulatory Toxicology and Pharmacology in the United States, which I held for 5 years, as well as my role as technical advisor in products liability litigation, reflects my continued interest in the politics of chemical risk. In this context my critical comments with respect to the current regulatory policy for control of chemicals have caused considerable concern within the Swedish regulatory establishment (R. Nilsson, M. Tasheva, and B. Jaeger, 1993. Why different regulatory decisions when the scientific information base is similar? I. Human risk assessment, Regul Toxicol. Pharmacol. 17, 292-332; R. Nilsson, 1994, Problems in the regulation of carcinogenic chemicals in an international perspective. III. Critical assessment of regulatory approaches. Rev. Int. Contain. Ambiental, Mexico City, 10, 99-199; R. Nilsson, 1998, Integrating Sweden into the European Union: Problems concerning chemicals control. In the Politics of Chemical Risk - Scenarios for a Regulatory Future, R. Bal and Halffman, Eds, pp. 159-171, Kluwer Academic, Dordrecht). (C) 2003 Published by Elsevier Inc.</t>
  </si>
  <si>
    <t>0147-6513</t>
  </si>
  <si>
    <t>10.1016/S0147-6513(02)00154-9</t>
  </si>
  <si>
    <t>WOS:000189036000001</t>
  </si>
  <si>
    <t>Floater, GJ</t>
  </si>
  <si>
    <t>A risk model for predicting the effects of lake-side development on wildfowl populations</t>
  </si>
  <si>
    <t>The lack of quantitative analysis and general scientific rigour in environmental impact assessment (EIA) is well documented. While reasons for this may include political and economic factors, the lack of high-level statistical knowledge and skills in environmental consultancies probably contributes to the problem, particularly with regard to ecological studies. This paper develops a simple model for wintering wildfowl populations that predicts different levels of risk from lake-side development. The aim was to create a model that could be used easily and quickly by consultants, is readily understandable for developers and various groups associated with the planning process, with explicit assumptions that can be criticised, and predictions that can be tested with post-development audits. The model is used in a case study. The basic parameters of the model are (i) average wildfowl abundance on lakes before development, (ii) maximum potential density of wildfowl across lakes (K-max) before development, and (iii) reduction in lake area suitable for wildfowl after development. The model includes abundance-area relationships that are useful for highlighting the importance of particular lakes at a site. In the case study, abundance-area relationships focused attention on two lakes with thick charophyte beds which supported higher than expected numbers of pochard and coot given their size. As well as being robust (confidence limits are calculated), the model's predictions are quantitative and testable, making it possible to compare the predictions with on-going post-development monitoring of wildfowl population levels. The predictions rely on the effectiveness of path screening, and post-development monitoring can suggest where screening should be strengthened if the model's predictions are not met. Similarly, if other assumptions in the model are not met by the development, appropriate action can be implemented. (C) 2002 Elsevier Science Ltd. All rights reserved.</t>
  </si>
  <si>
    <t>10.1006/jema.2002.0586</t>
  </si>
  <si>
    <t>WOS:000178984800008</t>
  </si>
  <si>
    <t>Silove, D</t>
  </si>
  <si>
    <t>The asylum debacle in Australia: a challenge for psychiatry</t>
  </si>
  <si>
    <t>AUSTRALIAN AND NEW ZEALAND JOURNAL OF PSYCHIATRY</t>
  </si>
  <si>
    <t>Objective: To examine the mental health consequences of contemporary Australian policies pertaining to asylum seekers and to consider the possible roles of psychiatrists in responding to this issue. Methods: Historical and political factors driving policy are considered. The results of Aus-tralian studies examining the mental health of asylum seekers are reviewed. Results: Available research shows high rates of trauma, posttraumatic stress disorder (PTSD) and depression in asylum seekers. The conditions of the postmigration environment influence outcomes. Psychiatrists working with other agencies continue to advocate for this group. Important roles include the provision of clinical services, undertaking and disseminating research, acting as expert witnesses and consultants, and writing reports for refugee applicants. Conclusions: Complex political motivations steer asylum policy. Psychiatric formulations are important in considering the impact of contemporary policy, but a wider ecological model is needed to understand acts of desperation displayed by asylum seekers, particularly those in long-term detention. Sustained effort will be needed to alter a policy of exclusion that has become entrenched.</t>
  </si>
  <si>
    <t>0004-8674</t>
  </si>
  <si>
    <t>10.1046/j.1440-1614.2002.01036.x</t>
  </si>
  <si>
    <t>WOS:000176169700002</t>
  </si>
  <si>
    <t>Amazigo, UV; Brieger, WR; Katabarwa, M; Akogun, O; Ntep, M; Boatin, B; N'Doyo, J; Noma, M; Seketeli, A</t>
  </si>
  <si>
    <t>The challenges of community-directed treatment with ivermectin (CDTI) within the African Programme for Onchocerciasis Control (APOC)</t>
  </si>
  <si>
    <t>ANNALS OF TROPICAL MEDICINE AND PARASITOLOGY</t>
  </si>
  <si>
    <t>The principal strategy adopted by the African Programme for Onchocerciasis Control (APOC), for the control of onchocerciasis in the 19 countries of Africa that now fall within the programme's remit, is that of community-directed treatment with ivermectin (CDTI). Halfway through its 12-year mandate, APOC has gathered enough information on the main challenges to guide its activities in Phase 2. An analysis of reports and other documents, emanating from consultants, scientists, monitors and national and project-level implementers, indicates that there are three broad categories of challenge: managerial; technical; and socio-political. Under these three categories, this review identifies the most pertinent concerns that APOC must address, during Phase 2, to enhance the prospects of establishing sustainable systems for ivermectin distribution. The major challenges include: (1) maintaining timely drug-collection mechanisms; (2) integrating CDTI with existing primary-healthcare services; (3) strengthening local health infrastructure; (4) achieving and maintaining an optimal treatment coverage; (5) establishing and up-scaling community self-monitoring; (6) designing and implementing operations research locally; (7) ensuring the adequacy of community-directed distributors; (8) increasing the involvement of local non-governmental develop organizations in the programme; (9) achieving financial sustainability; (10) implementing equitable cost-recovery systems; and (11) engaging in effective advocacy. The implications of the challenges and suggestions about how they are being (or could be) addressed are also highlighted in this brief review, which should be of value to other programmes and agencies that may be contemplating the adoption of this unique strategy.</t>
  </si>
  <si>
    <t>Akogun, Oladele/O-3005-2019</t>
  </si>
  <si>
    <t>0003-4983</t>
  </si>
  <si>
    <t>1364-8594</t>
  </si>
  <si>
    <t>10.1179/000349802125000646</t>
  </si>
  <si>
    <t>WOS:000175180800005</t>
  </si>
  <si>
    <t>Peled, A</t>
  </si>
  <si>
    <t>Outsourcing and political power: Bureaucrats consultants, vendors and public information technology</t>
  </si>
  <si>
    <t>PUBLIC PERSONNEL MANAGEMENT</t>
  </si>
  <si>
    <t>The rapidly growing governmental IT outsourcing trend raises different questions: Who, Inside bureaucracy, governs computer systems after outsourcing? Which actors gain or lose political clout when the government begins to aggressively outsource Its IT operations? How does IT outsourcing change the relationships among bureaucrats, consultants, and vendors? The article highlights the Increasingly Important and behind-the-scones role the consultant plays as an Intermediary between the MIS bureaucrat and technological vendors. IT consultants exert an enormous amount of political power because they are the glue binding together all the actors Involved In producing and maintaining public information technology. Regrettably, this now consultant-centered environment Is responsible for the degradation of the organizational and technological skills of MIS bureaucrats and also Impairs the feedback Information flow between bureaucrats and vendors regarding the status of public computer projects. Therefore, the article suggests that the unchecked power of IT consultants hinders the ability of bureaucrats to be accountable for the systems they manage.</t>
  </si>
  <si>
    <t>0091-0260</t>
  </si>
  <si>
    <t>1945-7421</t>
  </si>
  <si>
    <t>WIN</t>
  </si>
  <si>
    <t>10.1177/009102600103000406</t>
  </si>
  <si>
    <t>WOS:000173739400006</t>
  </si>
  <si>
    <t>Remmen, A</t>
  </si>
  <si>
    <t>Greening of Danish industry - Changes in concepts and policies</t>
  </si>
  <si>
    <t>TECHNOLOGY ANALYSIS &amp; STRATEGIC MANAGEMENT</t>
  </si>
  <si>
    <t>Cleaner technology and pollution prevention have been cornerstones in the Danish environmental policy since the late 1980's. They have become an integral part of the multifaceted process of the 'greening of industry' involving changes in production, products and in the environmental strategies of companies, as well as in governmental regulation and policies. Companies, industrial associations, consultants and different governmental bodies have established new relations and networks to support the greening process and gradually innovations as well as economic and environmental issues in new ways. Based on several evaluations of Danish governmental support schemes for the introduction of cleaner technology and environmental management, this article will outline the major changes in the discourse on pollution prevention and in the policy instruments applied.</t>
  </si>
  <si>
    <t>0953-7325</t>
  </si>
  <si>
    <t>10.1080/09537320120040446</t>
  </si>
  <si>
    <t>WOS:000167708600005</t>
  </si>
  <si>
    <t>Krueger, NF; Reilly, MD; Carsrud, AL</t>
  </si>
  <si>
    <t>Competing models of entrepreneurial intentions</t>
  </si>
  <si>
    <t>JOURNAL OF BUSINESS VENTURING</t>
  </si>
  <si>
    <t>Why are intentions interesting to those who care about new venture formation? Entrepreneurship is a way of thinking, away of thinking that emphasizes opportunities over threats. The opportunity identification process is clearly an intentional process, and, therefore, entrepreneurial intentions clearly merit our attention. Equally important, they offer a means to better explain-and predict-entrepreneurship. We don't start a business as a reflex, do we? We may respond to the conditions around us, such as an intriguing market niche, by starting a new venture. Yet, we think about it first; we process the cues from the environment around us and set about constructing the perceived opportunity into a viable business proposition. In the psychological literature, intentions have proven the best predictor of planned behavior particularly when that behavior is rare, hard to observe, or involves unpredictable rime lags New businesses emerge over time and involve considerable planning. Thus, entrepreneurship is exactly the type of planned behavior (Bird 1988; Katz and Gartner 1988) for which intention models are ideally suited. If intention models prove useful in understanding business venture formation intentions, they offer a coherent, parsimonious, highly-generalizable, and robust theoretical framework for understanding and prediction. Empirically, we have learned that situational (Sor example, employment status or informational cues) or individual (for example, demographic characteristics or personality traits) variables are poor predictors. That is, predicting entrepreneurial activities by modeling only situational or personal factors usually resulted in disappointingly small explanatory power and even smaller predictive validity. Intentions models offer us a significant opportunity to increase our ability to understand and predict entrepreneurial activity. The current study compares two intention-based models in terms of their ability to predict entrepreneurial intentions: Ajzen's theory of planned behavior (TPB) and Shapero's model of the entrepreneurial event (SEE). Ajzen argues that intentions in general depend on perceptions of personal attractiveness, social norms. and feasibility. Shapero argues that entrepreneurial intentions depend on perceptions of personal desirability feasibility, and propensity to act. We employed a competing models approach, comparing regression analyses results for the two models. We tested for overall statistical fit and how well the results supported each component of the models. The sample consisted of strident subjects facing imminent career decisions. Results offered strong statistical support for both models. (1) Intentions are the single best predictor of any planned behavior, including entrepreneurship. Understanding the antecedents of intentions increases our understanding of the intended behavior. Attitudes influence behavior by their impact on intentions. Intentions and attitudes depend on the situation and person. Accordingly, intentions models will predict behavior better than either individual (for example, personality) or situational (for example, employment status) variables. Predictive power is critical to better post hoc explanations of entrepreneurial behavior; intentions models provide superior predictive validity. (2) Personal and situational variables typically have an indirect influence on entrepreneurship through influencing key attitudes and general motivation to act For instance role models will affect entrepreneurial intentions only if they change attitudes and beliefs such as perceived self-efficacy Intention-based models describe how exogenous influences (for example, perceptions of resource availability) change intentions and, ultimately, venture creation. (3) The versatility and robustness of intention models support the broader rise of comprehensive, theory-driven, testable process models in entrepreneurship ;research (MacMillan and Katz 1992). intentional behavior helps explain and model why many entrepreneurs decide to start a business long before they scan for opportunities. Understanding intentions helps researchers and theoreticians to understand related phenomena. These include: what triggers opportunity scanning the sources of ideas for a business venture, and how the venture ultimately becomes a reality. Intention models can describe how entrepreneurial training molds intentions in subsequent venture creation (for example, how does training in business plan writing change attitudes and intentions?). Past research has extensively explored aspects of new venture plans once writ ten. Intentionality argues instead that we study the planning process itself for determinants of venturing behavior We can apply intentions models to other strategic decisions such as the decision to grow or exit a business. Researchers can model the intentions of critical stakeholders in the venture, such as venture capitalists' intentions toward investing inn given company. Finally management researchers can explore the overlaps between venture formation intentions and venture opportunity identification. Entrepreneurs themselves (and those who reach and train them) should benefit from a better understanding of their own motives. The lens provided by intentions affords them the opportunity to understand why they made certain choices in their vision of the new venture. Intentions-based models pro vide practical insight to any planned behavior. This allows Its to better encourage the identification of personally-viable, personally-credible opportunities. Teachers, consultants, advisors, and entrepreneurs should benefit from a better general understanding of how intentions are formed, as well as a specific understanding of how founders' beliefs, perceptions, and motives coalesce into the intent to start a business. This understanding offers sizable diagnostic power, thus entrepreneurship educators can use this model to better understand the motivations and intentions of students and trainees and to help students and trainees understand their own motivations and intentions. Carefully targeted training becomes possible. For example, ethnic and gender differences in career choice are largely explained by self-efficacy differences. Applied work in psychology and sociology tells us that we already know how to remediate self-efficacy differences. Raising entrepreneurial efficacies will raise perceptions of venture feasibility, thus increasing the perception of opportunity. Economic and community development hinges not on chasing smokestacks, but on growing new businesses. To encourage economic development in the form of new enterprises we must first increase perceptions of feasibility and desirability. Policy initiatives Ir ill increase business formations if those initiatives positively influence attitudes and thus influence intentions. The growing trends of downsizing and outsourcing make this more than a sterile academic exercise. Even if we successfully increase the quantity and quality of potential entrepreneurs, we must also promote such perceptions among critical stakeholders including suppliers, financiers, neighbors, government officials, and the larger community. The findings of this study argue that promoting entrepreneurial intentions by promoting public perceptions of feasibility and desirability is nor just desirable; promoting entrepreneurial intentions is also thoroughly feasible. (C) 2000 Elsevier Science Inc.</t>
  </si>
  <si>
    <t>0883-9026</t>
  </si>
  <si>
    <t>SEP-NOV</t>
  </si>
  <si>
    <t>5-6</t>
  </si>
  <si>
    <t>10.1016/S0883-9026(98)00033-0</t>
  </si>
  <si>
    <t>WOS:000088703200003</t>
  </si>
  <si>
    <t>Wander, MM; Drinkwater, LE</t>
  </si>
  <si>
    <t>Fostering soil stewardship through soil quality assessment</t>
  </si>
  <si>
    <t>APPLIED SOIL ECOLOGY</t>
  </si>
  <si>
    <t>Conference on Soil Health: Managing the Biological Component of Soil Quality</t>
  </si>
  <si>
    <t>NOV 10, 1998</t>
  </si>
  <si>
    <t>LAS VEGAS, NV</t>
  </si>
  <si>
    <t>Soil quality is not a purchased technology; instead, it is a concept that can be used in making land management decisions. Researchers have generally agreed upon the soil properties that determine soils' capacity to function and have emphasized that soil quality must be understood in context. Soil quality research has included the following: (1) soil management research, where the effects of management on soil properties and dependent processes are assessed; (2) measurement development for soil quality assessment to be carried out by the farmers themselves, by advisors, or consultants and (3) systems assessments, that consider the physical and cultural contexts that impact soil quality decision-making. Because stewards of the land ultimately determine whether soil quality is improved, maintained, or diminished, many research projects in the US have included the active participation of fanners in efforts to develop the soil quality concept. More effort has been spent on soil management and on the development and testing of farmer oriented measurements than on system assessments. There is growing consensus that the development of soil quality assessments to be used by farmers to solve problems within individual fields will be challenging. Organic matter and organic matter-dependent properties are the most promising indicators for use in a soil quality assessment where the information will be used in management decisions. Unfortunately, the successful development of on-farm measures may not be sufficient to guarantee that soil quality is maintained because there is a mismatch in the temporal and physical scales over which soil quality and farm security are achieved. Educational materials that highlight soil contributions to farm, landscape and global functioning coupled with dialoguing between practitioners, scientists, and policy-makers can communicate the importance of soil quality to sustainability. Successful soil quality efforts will relate soil properties to soil function in a way that fosters stewardship among individuals and builds public support for polices that promote soil management to ensure agriculture, industry, and the natural environment are sustained. Strategies and priorities are expected to vary according to audience, land-use constraints and the intended scale of application (C) 2000 Elsevier Science B.V. All rights reserved.</t>
  </si>
  <si>
    <t>Drinkwater, Laurie/0000-0002-0746-6765</t>
  </si>
  <si>
    <t>0929-1393</t>
  </si>
  <si>
    <t>1873-0272</t>
  </si>
  <si>
    <t>10.1016/S0929-1393(00)00072-X</t>
  </si>
  <si>
    <t>WOS:000088655500007</t>
  </si>
  <si>
    <t>Pugh, J; Potter, RB</t>
  </si>
  <si>
    <t>Rolling back the state and physical development planning: The case of Barbados</t>
  </si>
  <si>
    <t>SINGAPORE JOURNAL OF TROPICAL GEOGRAPHY</t>
  </si>
  <si>
    <t>The focus of this paper is the recent preparation of the Third National Physical Development Plan for Barbados. Interestingly, this blueprint for the future development of the country was prepared by Canadian consultants, under the auspices of Inter-American Development Bank funding, and thereby ostensibly represents the rolling back of the State in the context of physical development planning. The paper briefly examines the origins of town and country planning in Barbados and the wider Caribbean before critiquing the Third Plan produced in 1998. Emphasis is placed on salient issues such as operationalising sustainable development, the involvement of local stakeholders, the role of Environmental Impact Assessments (EIA) in the planning process, and the production of Community Plans. Throughout, it is shown that whilst the State appears to have been rolled back, government has retained its strong-hold over the course of physical development planning, principally by tactics which have served to minimise the degree to which members of the public and non-governmental organisations (NGOs) have been able to participate.</t>
  </si>
  <si>
    <t>0129-7619</t>
  </si>
  <si>
    <t>10.1111/1467-9493.00074</t>
  </si>
  <si>
    <t>WOS:000088974100005</t>
  </si>
  <si>
    <t>Malyon, BE; Stewart, TJ</t>
  </si>
  <si>
    <t>Haimes, YY; Steuer, RE</t>
  </si>
  <si>
    <t>Soft-OR and multi-criteria decision analysis for group decision support: A case study in fisheries management.</t>
  </si>
  <si>
    <t>RESEARCH AND PRACTICE IN MULTIPLE CRITERIA DECISION MAKING</t>
  </si>
  <si>
    <t>LECTURE NOTES IN ECONOMICS AND MATHEMATICAL SYSTEMS</t>
  </si>
  <si>
    <t>14th International Conference on Multiple Criteria Decision Making (MCDM)</t>
  </si>
  <si>
    <t>JUN 08-12, 1998</t>
  </si>
  <si>
    <t>CHARLOTTESVILLE, VIRGINIA</t>
  </si>
  <si>
    <t>As in most fisheries world-wide, the South African rock lobster fishery is fraught with complexities and conflict. In addition to ensuring the sustainability of fishing resources, decision-makers are increasingly also required to weigh up the political, economic and social aspects of fisheries in a transparent and participative way. This is a particularly difficult task in light of the uncertainty surrounding biomass estimates and projections of future resource productivity. Fisheries management decisions typically impact upon numerous stakeholder groups, and there is a powerful lobby for less bureaucracy, and more stakeholder participation in fisheries management. The South African situation is unique in that fisheries management policy has been significantly influenced by the government's Reconstruction and Development Programme (RDP), aimed at rectifying the wrongs of the apartheid past. This research was carried out at a time of great change and transition, when a new fisheries policy for the country was being formulated and negotiated. As consultants, our task was to structure the messy problems facing the scientific working group upon whose recommendations management decisions are taken. Fishing company directors, government officials, scientists, labour union representatives and informal fishermen were involved in the planning process. A soft-OR method called SODA, as well as multi-criteria decision analysis (MCDA), were used to provide group decision support to this diverse group of stakeholders.</t>
  </si>
  <si>
    <t>Stewart, Theodor J/E-8192-2013</t>
  </si>
  <si>
    <t>Stewart, Theodor J/0000-0002-2107-5955</t>
  </si>
  <si>
    <t>0075-8442</t>
  </si>
  <si>
    <t>3-540-67266-4</t>
  </si>
  <si>
    <t>WOS:000089141200039</t>
  </si>
  <si>
    <t>Smallwood, KS; Beyea, J; Morrison, ML</t>
  </si>
  <si>
    <t>Using the best scientific data for endangered species conservation</t>
  </si>
  <si>
    <t>The Endangered Species Act calls for the use of the best scientific data in conserving threatened or endangered species and the ecosystems upon which they depend. The language of this act and other environmental laws and relevant judicial rulings also require assessments based on modern scientific standards that are routinely applied in ecological research. Particularly for the Endangered Species Act, take decisions should be made only after the supporting documents provide: (1) designation of critical habitat based on use and availability methods; (2) risk assessment(s) for proposed take and other project impacts; (3) ecosystem assessment by trained ecosystem ecologists; (4) a description of an adaptive management program involving more than post hoc adjustments to problems in mitigation design; (5) a description of the proposed scientific monitoring along with thresholds for application of adaptive management; (6) uncertainty analysis along with estimates of species' abundance and project impacts; (7) nonselective, academic-quality referencing of data. methods, and theory supporting the conclusions; and (8) reviews of the assessment by independent scientists. These standards have been rarely applied to assessments of environmental take, due to lack of incentives for cooperation among academic scientists, environmental consultants, and the government regulatory agencies. Particularly important is requiring the type of independent review used by academic scientists. Such review would help ensure that take decisions are based on use of the appropriate scientific standards, thereby qualifying the supporting data as scientific and the best available. no matter how limited the data. Until these standards are applied prior to political trade-off and pragmatism, the environmental laws will continue to have little bearing on conservation.</t>
  </si>
  <si>
    <t>Beyea, Jan/E-6505-2016</t>
  </si>
  <si>
    <t>Beyea, Jan/0000-0002-0547-880X</t>
  </si>
  <si>
    <t>10.1007/s002679900244</t>
  </si>
  <si>
    <t>WOS:000082891900001</t>
  </si>
  <si>
    <t>Sundel, M</t>
  </si>
  <si>
    <t>A social systems approach to improve mental health collaboration and ethnic relations in Cyprus</t>
  </si>
  <si>
    <t>SYSTEMS RESEARCH AND BEHAVIORAL SCIENCE</t>
  </si>
  <si>
    <t>Systems scientists can play an important role in analyzing ethnic tensions and designing innovative approaches to sustaining peaceful relationships between groups with a history of inter-ethnic violence. A social systems approach was applied in a feasibility study sponsored by the United Nations High Commissioner for Refugees. The purpose of the humanitarian project was to improve ethnic relations and collaboration between Greek and Turkish Cypriots in Cyprus, and to determine the feasibility of establishing a bicommunal mental health unit. The project consultants conducted a mental health needs assessment of both communities and analyzed information from multiple sources and different perspectives. A follow-up workshop with a bicommunal team was held in the USA to facilitate development of the mental health unit. The study provided useful knowledge on systems-oriented action research to improve ethnic relations in a complex social and political environment. Copyright (C) 1999 John Wiley &amp; Sons, Ltd.</t>
  </si>
  <si>
    <t>1092-7026</t>
  </si>
  <si>
    <t>SEP-OCT</t>
  </si>
  <si>
    <t>WOS:000082886600006</t>
  </si>
  <si>
    <t>Nitkin, D; Brooks, LJ</t>
  </si>
  <si>
    <t>Sustainability auditing and reporting: The Canadian experience</t>
  </si>
  <si>
    <t>International Conference on Social and Ethical, Accounting, Auditing and Reporting</t>
  </si>
  <si>
    <t>SEP, 1997</t>
  </si>
  <si>
    <t>NIJENRODE UNIV, BREUKELEN, NETHERLANDS</t>
  </si>
  <si>
    <t>NIJENRODE UNIV</t>
  </si>
  <si>
    <t>This paper reviews the experience of 174 of Canada's largest 1500 public and private sector corporations which have begun to incorporate sustainable development management and reporting as part of their operations. Answers are provided to three main questions: Why have they implemented this initiative! What progress has been made in terms of sustainability audit practice - frequency, focus, organization of the audit team -, internal communication, and external reporting! And where has, and will the leadership for the sustainability audit movement come from as why? Sustainable development auditing and reporting in Canada is voluntary. Practice varies from an elementary level to a sophisticated integrated assessment of social, environmental, labour, sourcing and trading, and governance issues. The depth of practice and experience in this area depends on several factors, including: corporate commitment, the degree of public perception of sector-wide environmental issues, exposure to legal liability, and the extent of dialogue and transparency associated with the auditing process. Differences of opinion about accounting and auditing standards as well as whether all, or parts of, audits should be independent are explored. The sources of data used for this paper include the EthicScan Corporate 1500 DataBase, The Corporate Ethics Monitor,(1) various reports prepared by EthicScan Canada, and the consultancies of both authors.</t>
  </si>
  <si>
    <t>10.1023/A:1006044130990</t>
  </si>
  <si>
    <t>WOS:000076350700010</t>
  </si>
  <si>
    <t>Courtney, R</t>
  </si>
  <si>
    <t>Building research establishment - past, present and future - BRE's changing roles over time, the developments leading to its private status and BRE's future plans</t>
  </si>
  <si>
    <t>The history of the changing status and research remits of the Building Research Establishment over 76 years is described as a dynamic response to changing government policies, industry needs and funding arrangements. The recent government decision to change BRE's status to a private sector body is briefly described, The move into the private sector and the creation of the Foundation for the Built Environment has created the opportunity to modify the existing organizational structure of BRE and identify emerging research, products, services and consultancy functions for the future.</t>
  </si>
  <si>
    <t>10.1080/096132197370264</t>
  </si>
  <si>
    <t>WOS:A1997YC57100007</t>
  </si>
  <si>
    <t>McCaffrey, DP; Faerman, SR; Hart, DW</t>
  </si>
  <si>
    <t>The appeal and difficulties of participative systems</t>
  </si>
  <si>
    <t>ORGANIZATION SCIENCE</t>
  </si>
  <si>
    <t>One can identify compelling reasons for private and public organizations to embrace participative systems. Scholars and organizational consultants maintain that organizations need such systems to prosper in an increasingly competitive and turbulent world, and that such changes are now taking place. Yet, participative techniques have diffused minimally. Why is there such a discrepancy between the endorsements and adoption of participative methods, despite the strong arguments for them and their intuitive appeal? This paper maintains that barriers to participative systems are embedded in social, economic, and political principles deeply valued in their own right. Writings on participative systems treat these barriers as difficult problems that can be overcome through patient, well-designed behavioral and organizational interventions. In contrast, we suggest that the structures and attitudes impeding participative systems are usually valued more highly than the prospective gains from the systems, and that, in the future, true participative systems will have difficulty sustaining themselves in an organizational landscape that continues to favor systems of centralized control. Similar impediments operating in areas as different as management and government regulation suggest basic processes that rise above specific contexts. The paper draws on two pertinent but heretofore disconnected scholarly literatures-the literatures on cooperation and on collaboration-to analyze the experiences with participative systems in management and regulatory policy. Four themes-prior dispositions toward cooperation, social and political organization, the nature of purposes, issues, and values, and leadership capacity and style-are critical to understanding each area. Generally, participative systems bump into problems of collective action: dispositions against cooperating with prior adversaries, the costs of collaboration in complex social and political systems, the difficulties of engaging deep conflicts, and leadership incentives favoring control that develop in this context. These conditions repeatedly undermine incipient, fragile participative systems. The study of participation would benefit from closer attention to how social, economic, and political structures constrain or facilitate such systems, and more extensive links among the various literatures on the subject.</t>
  </si>
  <si>
    <t>1047-7039</t>
  </si>
  <si>
    <t>10.1287/orsc.6.6.603</t>
  </si>
  <si>
    <t>WOS:A1995TR17700001</t>
  </si>
  <si>
    <t>LYNN, FM; BUSENBERG, GJ</t>
  </si>
  <si>
    <t>CITIZEN ADVISORY COMMITTEES AND ENVIRONMENTAL-POLICY - WHAT WE KNOW, WHATS LEFT TO DISCOVER</t>
  </si>
  <si>
    <t>RISK ANALYSIS</t>
  </si>
  <si>
    <t>Citizen Advisory Committees (CACs) are being used in increasing numbers to provide public input into environmental policy and management decisions. While there is a large body of literature consisting of guidelines for establishing and running CACs, the body of literature of empirical evaluations of CACs is markedly smaller. Fourteen empirical studies of CACs involved in environmental policy decisions (spanning the period from 1976 to 1994) are reviewed here, including case studies, large-scale surveys, and consultant reports. For each study consideration is given to the methods of study, the issues considered by the CACs, the organizations advised, the definitions of success used in the study, and the suggested factors contributing to the success, or lack of success, experienced by the CACs. The review shows that the influence of CACs on policy outcomes have varied from case to case, with some accomplishing little and others having significant policy impacts. The increased use of CACs by government and industry presents an excellent opportunity for academics and practitioners to strengthen their understanding of the internal processes and capabilities of CACs through comparative evaluation research.</t>
  </si>
  <si>
    <t>0272-4332</t>
  </si>
  <si>
    <t>10.1111/j.1539-6924.1995.tb00309.x</t>
  </si>
  <si>
    <t>WOS:A1995RE09100008</t>
  </si>
  <si>
    <t>ZALOM, FG</t>
  </si>
  <si>
    <t>REORGANIZING TO FACILITATE THE DEVELOPMENT AND USE OF INTEGRATED PEST-MANAGEMENT</t>
  </si>
  <si>
    <t>AGRICULTURE ECOSYSTEMS &amp; ENVIRONMENT</t>
  </si>
  <si>
    <t>INTERNATIONAL CONF ON AGRICULTURE AND THE ENVIRONMENT</t>
  </si>
  <si>
    <t>NOV 11-14, 1991</t>
  </si>
  <si>
    <t>COLUMBUS, OH</t>
  </si>
  <si>
    <t>Integrated pest management (IPM) is the systems approach to reducing pest damage to tolerable levels using biological controls, cultural controls, genetically resistant hosts, and, when appropriate, chemical controls, especially those which are selective and do not contribute to environmental contamination and human health problems. Basic elements of an IPM program include research and extension to produce a body of information on farming practices and pest biology, a program for monitoring pests, natural enemies and crop status throughout the season, control action thresholds, IPM tactics for pest control, and crop consultants to apply the program. IPM programs are far from being universally adopted, even when available and validated. Important constraints to IPM use have been categorized as technical, financial, educational, institutional and social issues. Many of these factors are not mutually exclusive. In many instances, the basic biology of pests, beneficial organisms, and their interaction in agricultural ecosystems is not understood. IPM researchers should be aware of the ultimate use of their work. Risk is probably the most important financial obstacle to IPM adoption by growers. Availability of funding is also a limitation of IPM research. User education is a key element in successful implementation of complex technologies such as IPM. When comprehensive and well-organized programs have been attempted, the level of adoption has often been high and the amount of pesticide use demonstrably reduced. Such programs have helped to accelerate the development of the private pest management industry which provides information services to growers on crop production and pesticide use. Institutional constraints are extremely important, and their structures may actually hinder IPM development and use. The development and use of IPM could be enhanced through institutional reorganization. Better analysis of the impact of regulations and farm policy on pesticide use should be instituted so that such government efforts do not actually increase pesticide use. Private sector incentives for developing and marketing biological controls and biological pesticides should be made. Development of the private pest management industry should be encouraged, possibly linking the issue to stronger controls on the purchase and use of pesticides. Better marketing of IPM should be both studied and encouraged.</t>
  </si>
  <si>
    <t>0167-8809</t>
  </si>
  <si>
    <t>1-4</t>
  </si>
  <si>
    <t>10.1016/0167-8809(93)90028-N</t>
  </si>
  <si>
    <t>WOS:A1993LZ67900020</t>
  </si>
  <si>
    <t>BARKE, RP; JENKINSSMITH, HC</t>
  </si>
  <si>
    <t>POLITICS AND SCIENTIFIC EXPERTISE - SCIENTISTS, RISK PERCEPTION, AND NUCLEAR WASTE POLICY</t>
  </si>
  <si>
    <t>To study the homogeneity and influences on scientists' perspectives of environmental risks, we have examined similarities and differences in risk perceptions, particularly regarding nuclear wastes, and policy preferences among 1011 scientists and engineers. We found significant differences (p&lt;0.05) in the patterns of beliefs among scientists from different fields of research. In contrast to physicists, chemists, and engineers, life scientists tend to: (a) perceive the greatest risks from nuclear energy and nuclear waste management; (b) perceive higher levels of overall environmental risk; (c) strongly oppose imposing risks on unconsenting individuals; and (d) prefer stronger requirements for environmental management. On some issues related to priorities among public problems and calls for government action, there are significant variations among life scientists or physical scientists. We also found that-independently of field of research-perceptions of risk and its correlates are significantly associated with the type of institution in which the scientist is employed. Scientists in universities or state and local governments tend to see the risks of nuclear energy and wastes as greater than scientists who work as business consultants, for federal organizations, or for private research laboratories. Significant differences also are found in priority given to environmental risks, the perceived proximity of environmental disaster, willingness to impose risks on an unconsenting population, and the necessity of accepting risks and sacrifices.</t>
  </si>
  <si>
    <t>Jenkins-Smith, Hank/0000-0002-5204-2726</t>
  </si>
  <si>
    <t>10.1111/j.1539-6924.1993.tb00743.x</t>
  </si>
  <si>
    <t>WOS:A1993LX89200008</t>
  </si>
  <si>
    <t>HORBERRY, J; LEMARCHANT, M</t>
  </si>
  <si>
    <t>THE ROLE OF INSTITUTIONAL STRENGTHENING IN INTERNATIONAL ENVIRONMENTAL CONSULTING</t>
  </si>
  <si>
    <t>PUBLIC ADMINISTRATION AND DEVELOPMENT</t>
  </si>
  <si>
    <t>This article aims to describe, with the aid of a number of case studies, the role consultants are playing in bringing improved environmental management to fruition in developing countries. In spite of environmental considerations entering the political agenda in the early 1970s, global environmental deterioration continues. Donor agencies have thus recently greatly accelerated their assistance in this area, but are themselves not equipped to deal with many of the problems and issues and so have hired consultants to undertake aspects of the work programme. Typically consultants are undertaking sector studies, pollution control, environmental improvement studies, and project and programme assessment, and are seen as being primarily responsible for technical aspects. It has become clear that unless technical recommendations are firmly tied into institutional and management structures, the goal of long-term sustainability of projects will not be realized. Whilst the need for institutional strengthening in this respect is widely recognized, it often fails to materialize as a consequence of internal resistances. Furthermore, environmental goals are still often seen as secondary and contradictory to economic development goals, and are therefore not taken adequately seriously. The article includes four case studies, which illustrate the kinds of measures which are currently considered to be necessary to ensure the implementation of sustainable development programmes and projects.</t>
  </si>
  <si>
    <t>0271-2075</t>
  </si>
  <si>
    <t>10.1002/pad.4230110407</t>
  </si>
  <si>
    <t>WOS:A1991GB61500006</t>
  </si>
  <si>
    <t>Sterbova, M; Vybostok, J; Salka, J</t>
  </si>
  <si>
    <t>Sterbova, Martina; Vybostok, Jozef; Salka, Jaroslav</t>
  </si>
  <si>
    <t>A classification of eco-innovators: Insights from the Slovak forestry service sector</t>
  </si>
  <si>
    <t>FOREST POLICY AND ECONOMICS</t>
  </si>
  <si>
    <t>In the current economy, considerable attention is being paid towards the environmental aspect of carrying out activities in the forest. Therefore, eco-innovation implementation can be considered as a basic and crucial condition for the success and competitiveness of businesses. The aim of this study was to identify and classify the different types of eco-innovators in the Slovak forestry service sector according to their innovative behaviour, with emphasis on the contractors' environmental awareness. At the same time, the study focused on a better understanding of the factors influencing implementation of eco-innovations in the Slovak forestry service sector. Methodologically, it is based on the analysis of quantitative data collected through a questionnaire method from a representative sample of 204 contractors. To analyse the data, the statistical program R was used. Subsequently, based on factors influencing innovation behaviour and eco-innovation implementation, two basic categories: (1) eco-adopters and (2) non eco-adopters, as well as eight subcategories of eco-adopters, were identified and characterised. The most important factors affecting eco-innovation implementation are associated with availability of financial sources and information about innovations, forestry consultancy, cooperation with other actors, as well as laws and regulations. However, one of the most important aspect is the environmental awareness of the company. Eco-adopters with stronger environmental awareness invest more in eco-innovations. On the other hand, there are passive (non) eco-adopters that need to gain necessary knowledge and be pushed to eco-innovation implementation from the outside environment. In conclusion, the study outlines possible policy recommendations for improving the eco-innovation activities within the Slovak forestry service sector.</t>
  </si>
  <si>
    <t>1389-9341</t>
  </si>
  <si>
    <t>1872-7050</t>
  </si>
  <si>
    <t>10.1016/j.forpol.2020.102356</t>
  </si>
  <si>
    <t>WOS:000607033300012</t>
  </si>
  <si>
    <t>Otter, V; Beer, L</t>
  </si>
  <si>
    <t>Otter, Verena; Beer, Lara</t>
  </si>
  <si>
    <t>Alley cropping systems as Ecological Focus Areas: A PLS-analysis of German farmers' acceptance behaviour</t>
  </si>
  <si>
    <t>Greening, which was introduced during the last reform of the Common Agricultural Policy, targets the enhancement of ecological sustainability in European agriculture. Due to its association with such sustainability gains, growing agricultural wood, either as short rotation coppices or as agroforestry systems using for example the alley cropping system method, is one option to fulfil the Greening requirement of providing Ecological Focus Areas. However, agricultural wood in general or as an Ecological Focus Area is still of only minor relevance in most European countries. Particularly in Germany, where farmers are nowadays increasingly confronted with a conflict between the goals of realising their own profits and meeting societies' sustainability expectations, alley cropping systems are grown on a few field trials only. Reasons can likely be found in national specificities of political support for alley cropping systems as Ecological Focus Areas and in psycho-economic determinants of farmers' acceptance; an under-researched topic so far. To close this research gap, this study aims at identifying determinants of farmers' acceptance of alley cropping systems as Ecological Focus Areas. The conceptual framework developed is based on the Technology Acceptance Model 2. Survey data from 238 German farmers were collected and analysed by means of Partial-Least-Squares estimation. The results show that farmers' experience with alley cropping systems as Ecological Focus Areas is rather low but they generally consider agricultural wood as useful in fulfilling Greening requirements. The intention to grow is explained by 44% of the model and actual growing behaviour by 48%. The perceived cost-usefulness-ratio, stakeholder influences and expected image effects are identified as the main drivers of farmers' acceptance of alley cropping systems as Ecological Focus Areas. Based on these results, important implications are derived, to address to politicians, agricultural consultants, chambers of agriculture or farmers' associations. (C) 2020 Elsevier Ltd. All rights reserved.</t>
  </si>
  <si>
    <t>Otter, Verena/AAC-5237-2020</t>
  </si>
  <si>
    <t>10.1016/j.jclepro.2020.123702</t>
  </si>
  <si>
    <t>WOS:000605181700008</t>
  </si>
  <si>
    <t>Kazemi, A; Kim, ES; Kazemi, MH</t>
  </si>
  <si>
    <t>Kazemi, Aliyeh; Kim, Eun-Seok; Kazemi, Mohammad-Hossein</t>
  </si>
  <si>
    <t>Identifying and prioritizing delay factors in Iran's oil construction projects</t>
  </si>
  <si>
    <t>INTERNATIONAL JOURNAL OF ENERGY SECTOR MANAGEMENT</t>
  </si>
  <si>
    <t>Purpose Successful implementation of construction projects is one of the crucial factors for the economic development of every country. The main part of the countries' capital is allocated to civil and infrastructure projects annually, most of which are accomplished with delay. Construction projects are often criticized for overrunning time and budgets. Analyzing the factors causing delay is essential for omitting them and timely implementation of these projects. Due to the importance of oil projects, this study aims to investigate and analyze the factors causing a delay in Iran's oil construction projects. Design/methodology/approach In this research, after a broad literature review, using the fuzzy Delphi method, a total of 75 delay factors were identified under 11 major categories of owner, contractor, consultant, equipment, labor, materials, design, contract and contractual relations, laws and regulations, environmental factors, and managerial factors. Then, by using the best-worst method, the factors were prioritized. Findings The results showed that sanction, governmental management systems, weak project management by the contractor, technical and managerial weaknesses of the consultant, financial problems and delay in payment by the owner, low efficiency of the equipment, low productivity of the workforce, changes in laws and regulations, inappropriate organizational structure linking to the project, changes in the design, and changes in the price of materials are the most crucial factors causing a delay in Iran's oil construction projects. Research limitations/implications These findings are expected to have significant contributions to Iran's oil construction industry in controlling the time overruns in construction contracts. Originality/value The main contribution of this study is to develop a comprehensive framework in which, causes of delay in Iran's oil construction projects are addressed and prioritized.</t>
  </si>
  <si>
    <t>1750-6220</t>
  </si>
  <si>
    <t>1750-6239</t>
  </si>
  <si>
    <t>10.1108/IJESM-04-2020-0006</t>
  </si>
  <si>
    <t>DEC 2020</t>
  </si>
  <si>
    <t>WOS:000596614700001</t>
  </si>
  <si>
    <t>Kabir, MR</t>
  </si>
  <si>
    <t>Kabir, Mohammad Rokibul</t>
  </si>
  <si>
    <t>Behavioural intention to adopt blockchain for a transparent and effective taxing system</t>
  </si>
  <si>
    <t>JOURNAL OF GLOBAL OPERATIONS AND STRATEGIC SOURCING</t>
  </si>
  <si>
    <t>Purpose The purpose of this research is to assess the tax stakeholders' intention towards the adoption of blockchain technology (BT) for a transparent and effective taxing system in Bangladesh. It examines the factors influencing the behavioural intention of the users to adopt BT with a blended model built on the technology acceptance model (TAM) and self-determination theory (SDT). This research develops a prescriptive model to demonstrate how the stakeholders are interested in adopting BT for the taxing system. Design/methodology/approach Data were obtained through a structured questionnaire from the stakeholders of the taxing system, including tax policymakers, tax commissioners, tax officers, lawyers, tax consultants and the taxpayers. Statistical analyses were performed using partial least square-structural equation modelling. Findings Results reveal that out of the two primary TAM antecedents known as usefulness (PU) and ease of use (PEU), PU has a significant influence on the BT adoption intention. The only cognitive variable called autonomous motivation picked from SDT has a positive and significant impact on BT adoption for tax purpose as well. Finally, trust is found to be another important determinant for explaining stakeholders' intention to adopt BT for an efficient taxing system where transparency can be ensured. Research limitations/implications The proposed model does not include any moderator though there might be a moderating effect in this regard. The variation described in the behavioural intention to adopt BT by the predictors is half of the total possible variations. Hence, the inclusion of variables such as social influence and controlled motivation could be interesting. Practical implications This study is expected to provide valuable insights into policymaking for tax administrations to enhance the tax collection net and maintain transparency and efficiency in the taxing system. Social implications This research has social consequences for a recently graduated developing economy such as Bangladesh, where transparency and efficiency are a matter of question. Because BT adoption can assure a convenient and favourable environment for the taxpayers upholding the principles of taxation, it can play a significant role by ensuring social justice and equity through a transparent and effective taxing system. Originality/value This research is among the first few studies to address the issue of implementing a modern technology such as BT for an efficient taxing system from a developing country perspective. Furthermore, it combined TAM and SDT to propose a hybrid model for explaining behavioural intention to adopt an emerging technology such as blockchain, which is a new phenomenon.</t>
  </si>
  <si>
    <t>2398-5364</t>
  </si>
  <si>
    <t>10.1108/JGOSS-08-2020-0050</t>
  </si>
  <si>
    <t>WOS:000597867800001</t>
  </si>
  <si>
    <t>Alade, K; Windapo, AO</t>
  </si>
  <si>
    <t>Alade, Kehinde; Windapo, Abimbola Olukemi</t>
  </si>
  <si>
    <t>Developing effective 4IR leadership framework for construction organisations</t>
  </si>
  <si>
    <t>Purpose Globally, the business organisations are experiencing a transformation due to the Fourth Industrial Revolution (4IR). The need for an effective 4IR leadership has placed new demands on organisations to develop and select leaders to effectively lead the organisations in the 4IR era. Hence, it becomes important to understand the attributes for an effective 4IR leadership. This study examines the relationships between leadership styles, leadership traits, leadership intelligence and effective 4IR leadership to empirically validate the effective 4IR leadership framework that was conceptualised. The hypothesised relationships from the framework were tested using a survey of 416 senior construction executives across the nine provinces of South Africa. Design/methodology/approach To achieve the study objectives, an online survey was sent to construction firms across the nine provinces of South Africa. Construction, for the purpose of this study comprised building and civil engineering firms listed on the construction industry development board (cidb) register of contractors in South Africa. The target group was the upper echelon executives, i.e. Chairman, CEOs, managing directors and chief operating officers, and the survey was directed to contact e-mail of the study samples. The professional service providers (architects, consultants and surveyors) were not part of the survey sample. The database of the organisational leaders was obtained from the cidb. The online survey was created on the 23rd of August 2019 and closed on the 23rd of April 2020, thereby making the duration of the survey eight months. The total number of respondents at the time of closure of the survey was four hundred and sixteen (416). Structural equation modeling (SEM) was used for the analysis of the results. Findings This study validates the effective 4IR leadership framework as proposed by Alade and Windapo (2019) by empirically examining relationships between leadership styles, leadership traits, leadership intelligence and effective 4IR leadership. The findings from this study have shown that effective 4IR leadership is positively associated with leadership styles, leadership traits and leadership intelligence. Hence, an effective 4IR leader must spread the knowledge and understanding of the 4IR opportunities and threats in the organisations. The leader must ensure that the executives in the construction organisation become change conversant and ensure that the employees acquire 4IR skills. Multiple leadership intelligence is essential to effective 4IR leadership. These multiple intelligence are the ability to adapt knowledge and skills to different situations, ability to handle interpersonal relationships judiciously, a high level of understanding, ability to process and analyse information and ability to utilise knowledge from many disciplinary boundaries. Research limitations/implications This study is focused on construction business organisations in South Africa. As such, similar studies on 4IR leadership effectiveness can be carried out in other countries and across other organisations. Future studies should also consider using a case study approach specifically focused on organisations with high implementations of 4IR technologies. Interacting with the leaders of such organisations and their employees will give a broader perspective in understanding the reasons of their effectiveness. Practical implications The leadership of construction organisations must partner with the academia, industry players and team members in their efforts to implement 4IR in their organisations. Also, the existence of a positive association between leadership traits and effective 4IR leadership implies that to ensure a 4IR-driven work process in construction organisations, the leadership must embrace disruption and quickly respond to change. Further, it can be concluded from the findings of this study that appropriate leadership styles are required for effective 4IR leadership. The appropriate leadership style for effective 4IR leadership requires the leadership of construction organisations to delegate some of the 4IR function. The 4IR function must be performed based on the challenges that are associated with 4IR. The positive correlation between leadership intelligence and leadership styles makes it possible to conclude that the competencies of leadership of construction organisations in a 4IR-driven change depend on the level of leadership intelligence of the executives of construction organisations. It is evident that 4IR will change the business environment; hence, leadership intelligence is required to adapt construction organisations to the change dynamics. This study has provided information on what 4IR leadership entails in construction organisations. The study has contributed a framework for ensuring effective and smooth flow 4IR implementation in construction organisations through a purposeful leadership that combines leadership styles, leadership traits and leadership intelligence. Social implications This research will be useful to government agencies and board members of construction organisations, in appointing leaders to see the construction industry and organisations perform better in the 4IR era. Young individuals who are also aspiring to take on leadership role in the industry will benefit from this study. Originality/value This study is a new and original research that seeks to investigate the need for an effective 4IR leadership in construction business organisations. Construction as an industry is usually criticised for her slow response to change. Since leadership is required to drive the change agenda, this study examines the relationships between leadership styles, leadership traits, leadership intelligence and effective 4IR leadership to empirically validate the effective 4IR leadership framework that was conceptualised.</t>
  </si>
  <si>
    <t>10.1108/ECAM-07-2020-0576</t>
  </si>
  <si>
    <t>NOV 2020</t>
  </si>
  <si>
    <t>WOS:000592792900001</t>
  </si>
  <si>
    <t>Thoradeniya, P; Ferreira, A; Lee, J; Tan, R</t>
  </si>
  <si>
    <t>Thoradeniya, Prabanga; Ferreira, Aldonio; Lee, Janet; Tan, Rebecca</t>
  </si>
  <si>
    <t>The diffusion of sustainability key performance indicators in a developing country context</t>
  </si>
  <si>
    <t>Purpose Drawing upon Abrahamson's (1991) typology of innovation diffusion, this study aims to investigate the factors underpinning diffusion of sustainability key performance indicators (SKPIs) in a developing country. Design/methodology/approach A qualitative study was conducted in Sri Lanka involving semi-structured interviews with managers, as users of SKPIs (demand-side), and both consultants and academics, as agents in diffusion process (supply-side). Findings Diffusion of SKPIs was found to be driven by efficient-choice considerations, with fashion motives intertwined with these. The diffusion was influenced by developing country context issues relating to market competition, education, government and culture. It was somewhat surprising that market forces played a key role to the extent they did. Minimal stakeholder pressure was found to undermine the diffusion process, contrasting with developed countries in which key stakeholders act as catalysts. The developing country context appears to slow down the pace, rather than alter the pattern, of diffusion of SKPIs. Research limitations/implications This study is limited by its focus on SKPI adopters, which does not permit to draw insights regarding motivations of non-adopters. Originality/value This study draws upon Abrahamson's typology to explore the diffusion of SKPIs in the poorly understood developing country context. The findings provide insights into driving forces behind diffusion of SKPIs, suggesting the developing country context creates stickiness that influences pace rather than the pattern of diffusion of SKPIs.</t>
  </si>
  <si>
    <t>10.1108/AAAJ-07-2019-4106</t>
  </si>
  <si>
    <t>WOS:000590878100001</t>
  </si>
  <si>
    <t>Perks, C; Mudd, G</t>
  </si>
  <si>
    <t>Perks, Cameron; Mudd, Gavin</t>
  </si>
  <si>
    <t>A detailed assessment of global Zr and Ti production</t>
  </si>
  <si>
    <t>MINERAL ECONOMICS</t>
  </si>
  <si>
    <t>Titanium and zirconium are vital and often irreplaceable components of modern infrastructure and technology. As international trade routes are challenged, and consumers are increasingly aware of sustainable mining practices, it has become imperative to accurately understand where these minerals are sourced from and in what qualities and quantities. Despite investigation by various government groups, consultants, and scholars, there remain significant differences in global production assessments for titanium and zirconium minerals, particularly for ilmenite and titania slag. This paper investigates this by collating and analyzing publicly available historical data on a country and company basis, providing an analysis of production trends over time, commenting on emerging trends and their relevance to sustainable mining. To provide a complete picture of titanium and zirconium production, this paper also provides evidence of declining titanium and zirconium grades in heavy mineral sand mines. Despite there being some examples to the contrary, the majority of production data and reserve data from existing mines show that these deposits are experiencing declining grades. Overall, there remains a need for improvement in reporting of these minerals to facilitate a modern understanding of the sustainability of the sector.</t>
  </si>
  <si>
    <t>Perks, Cameron/0000-0002-0726-6034</t>
  </si>
  <si>
    <t>2191-2203</t>
  </si>
  <si>
    <t>2191-2211</t>
  </si>
  <si>
    <t>10.1007/s13563-020-00240-5</t>
  </si>
  <si>
    <t>WOS:000573438900001</t>
  </si>
  <si>
    <t>Arcuri, N; De Ruggiero, M; Salvo, F; Zinno, R</t>
  </si>
  <si>
    <t>Arcuri, Natale; De Ruggiero, Manuela; Salvo, Francesca; Zinno, Raffaele</t>
  </si>
  <si>
    <t>Automated Valuation Methods through the Cost Approach in a BIM and GIS Integration Framework for Smart City Appraisals</t>
  </si>
  <si>
    <t>The principle behind sustainable city movements is represented by the idea of good living, which is the possibility of having solutions and services that allow citizens to live in an easy, simple, and enjoyable way. Policies for urban quality play a central role in the slow cities manifesto, often suggesting the use of Information and Communication Technologies (ITC) in the development of interactive services for citizens. Among these, an interesting possibility is to offer citizens digital real estate consultancy services through the implementation of automated evaluation methods. An automated appraisal action-which is already complex in itself owing to the need to collect data in a consistent, standardized, but also differentiated way so as to require the adoption of real estate due diligence-collides on the operational level with the concrete difficulty of acquiring necessary data, much more so since the reference market is dark, atypical, and viscous. These operational difficulties are deepened by the epistemological nature of the appraisal discipline itself, which bases its methodology on the forecast postulate, recalling the need to objectify as much as possible the evaluation from the perspective of an intersubjective sharing argument. These circumstances have led, on the one hand, to the definition of internationally accepted uniform evaluation rules (IVS, 2017) and, on the other, to the testing of automated valuation methods aimed at returning computer-based appraisals (AVM). Starting from the awareness that real estate valuation refers essentially to information and georeferences, this paper aims to demonstrate how real estate appraisal analysis can be further improved through information technology (IT), directing real estate valuation towards objectivity in compliance with international valuation standards. Particularly, the paper intends to show the potential of combining geographic information systems (GISs) and building information models (BIMs) in automated valuation methods through the depreciated reproduction cost. The paper also proposes a BIM-GIS semi-automatic prototype based on the depreciated reconstruction cost through an experimentation in Rende (Italy).</t>
  </si>
  <si>
    <t>10.3390/su12187546</t>
  </si>
  <si>
    <t>WOS:000584314400001</t>
  </si>
  <si>
    <t>Gadeka, DD; Esena, RK</t>
  </si>
  <si>
    <t>Gadeka, Dominic Dormenyo; Esena, Reuben K.</t>
  </si>
  <si>
    <t>Barriers to Quality Care in Medical Imaging at a Teaching Hospital in Ghana: Staff Perspective</t>
  </si>
  <si>
    <t>JOURNAL OF MEDICAL IMAGING AND RADIATION SCIENCES</t>
  </si>
  <si>
    <t>Background: The goal of quality care is to ensure that the health care services provided to individuals and patient populations improve desired health outcomes. However, as medical imaging services increase in Ghana, empirical evidence show a low level of care. Despite this, there exists no study in the public domain on the barriers to quality care. This study, therefore, sought to identify barriers to quality care in medical imaging at a teaching hospital to provide evidence that will enable optimization of care and in improving the overall medical imaging care delivery system. Methods: This research was a descriptive, cross-sectional study using a mixed method approach based on the dimensions of quality of care of medical imaging services from medical imaging professionals' perspective: capacity and sustainability, timeliness, safety, equity, patient-centeredness, effective communication, and appropriateness of examination. Quantitative method: A 5-point Likert scale questionnaire was used. The study population included all medical imaging professionals (n = 47) at the imaging department of the hospital. However, a total of 36 agreed to participate in the study. Data were analyzed using Stata Version 13. Descriptive analyses were carried out. Qualitative methods: Purposive sampling strategy was applied to recruit 12 management team members and key staff with vast experience in medical imaging for the study. Data collection was done using a reflective in-depth interview guide. Data were analyzed using thematic analysis. Quantitative results: The quantitative findings show more than half of the respondents (n = 23, 63.9%) currently play supervisory roles, 10 (27.8%) work more than 40 hours a week, a minority group (n = 7, 19.4%) examine more than 100 patients per week, and 21 (58.5%) reported quality improvement programs are not carried out. Overall, half (50.0%) of the respondents are unaware of the availability of standard operating procedures, 28 (77.7%) reported imaging machines are not always functional, 34 (94.5%) reported lack of adherence to equipment servicing practices, and 27 (75%) agreed that broken-down equipment are left for more than 3 months before being fixed. In addition, 26 respondents (80.5%) reported staff number is inadequate compared with the workload, whereas only 11 (30.6%) stated supervision by management is adequate. Furthermore, 12 respondents (33.4%) reported management seem interested in quality of care only after adverse event, only 5 (38.5%) of the radiologists stated they are able to meet image reporting deadlines for clients, and only 8 (22.2%) of the respondents reported the availability of means of communicating results to referring clinicians aside the normal report. Qualitative results: The qualitative findings show a lack of commitment to equipment servicing, frequent nonfunctionality of imaging machines, and an undue delay in repairs of broken-down machines. In addition, there exists inadequate human resource, inadequate supervision, a lack of quality improvement programs, and educational advancement opportunities for staff. The findings further show inadequacy of hospital gowns for patients, a lack of equity, and a poor organizational culture. In addition, the study identified a lack of means of communicating urgent imaging findings and a lack of promptness and timeliness to care from the consultant radiologists. Conclusion: The low level of care of medical imaging services observed in Ghana is reflected in the large number of barriers to quality care identified in this study. Most barriers identified are in the capacity and sustainability, timeliness, and effective communication dimensions of quality of care. The findings have important implications for policy makers. Improvement in these areas will enable optimization of care and in improving the overall medical imaging care delivery system.</t>
  </si>
  <si>
    <t>1939-8654</t>
  </si>
  <si>
    <t>10.1016/j.jmir.2020.05.002</t>
  </si>
  <si>
    <t>WOS:000576693700002</t>
  </si>
  <si>
    <t>Mohammadi, Z; Hoes, PJ; Hensen, JLM</t>
  </si>
  <si>
    <t>Mohammadi, Zahra; Hoes, Pieter Jan; Hensen, Jan L. M.</t>
  </si>
  <si>
    <t>Simulation-based design optimization of houses with low grid dependency</t>
  </si>
  <si>
    <t>RENEWABLE ENERGY</t>
  </si>
  <si>
    <t>There is a significant growth in the utilization of renewable energy in the built environment. Due to the intermittent nature of most renewable energy sources, energy mismatch problems between on-site generation and demand both in hourly and seasonal levels is unavoidable. In addition, energy-pricing policies are leading to less or no Photovoltaic (PV) feed-in-tariffs in the near future and/or even providing incentives to uphold self-consumption. Therefore, it is essential to enhance the building designs in a way to improve the utilization of on-site generated energy and to decrease the dependency on the nearby energy grid. In this study, performance optimization of various residential building designs is carried out considering future policy scenarios. The objective is to minimize the dependency on the nearby energy grid and to maximize the self-consumption. To achieve this, a performance-based design support approach is proposed. A simulation framework is presented to conduct the performance assessment. The developed design support approach is demonstrated using a Dutch house that needs to be renovated considering homeowner as the primary decision-maker. The proposed approach can be used by designers and consultants in the design phase of a building to aid decision-makers in identifying future-proof building designs with low grid dependency. (C) 2020 The Authors. Published by Elsevier Ltd.</t>
  </si>
  <si>
    <t>Hensen, Jan LM/J-6100-2013; Hoes, Pieter-Jan/AAO-4139-2020</t>
  </si>
  <si>
    <t>Hensen, Jan LM/0000-0002-7528-4234; Hoes, Pieter-Jan/0000-0002-8092-8751</t>
  </si>
  <si>
    <t>0960-1481</t>
  </si>
  <si>
    <t>10.1016/j.renene.2020.04.157</t>
  </si>
  <si>
    <t>WOS:000541747100098</t>
  </si>
  <si>
    <t>Kuknor, S; Bhattacharya, S</t>
  </si>
  <si>
    <t>Kuknor, Sunaina; Bhattacharya, Shubhasheesh</t>
  </si>
  <si>
    <t>Exploring organizational inclusion and inclusive leadership in Indian companies</t>
  </si>
  <si>
    <t>EUROPEAN BUSINESS REVIEW</t>
  </si>
  <si>
    <t>Purpose This paper aims to explore how practitioners and policymakers of inclusion perceive inclusion at workplace and define the role and behavior of leaders in fostering inclusion and struggles associated with acceptance and implementation of inclusion initiatives at the workplace. Design/methodology/approach In total, 20 in-depth semi-structured interviews were taken from diversity and inclusion leads, inclusion consultants and human resources experts. Each interview was transcribed and a technique of inductive content analysis was used. Broad themes and several new items emerged that define organizational inclusion and inclusive leadership. Findings The paper provides insights on how inclusion is perceived differently by each individual and even though organizations have policies in place, getting them into practice is yet to be accomplished. The paper finds key leadership behaviors to be practiced to foster and sustain inclusion in the workplace. Struggles and outcomes of inclusion are also discussed in the paper. Practical implications The study will facilitate creating awareness in practitioners and academicians who think inclusion is mostly concerned with disabled learners, which is misleading. The paper will help the concerned stakeholders to formulate inclusion policies to encourage healthy employee relations and better the organizational outcomes. Originality/value India is known to have a rich diverse culture. The paper explores with empirical evidence how this diversity can be leveraged through inclusion to benefit the organization. It adds to the existing body of knowledge on how inclusion and role of a leader are experienced by the employer and employee in Indian companies which is a niche area of research.</t>
  </si>
  <si>
    <t>0955-534X</t>
  </si>
  <si>
    <t>1758-7107</t>
  </si>
  <si>
    <t>10.1108/EBR-04-2020-0089</t>
  </si>
  <si>
    <t>AUG 2020</t>
  </si>
  <si>
    <t>WOS:000566119200001</t>
  </si>
  <si>
    <t>Hoare, E; Thorp, A; Bartholomeusz-Raymond, N; McCoy, A; Butler, H; Berk, M</t>
  </si>
  <si>
    <t>Hoare, Erin; Thorp, Andrew; Bartholomeusz-Raymond, Nadine; McCoy, Alicia; Butler, Helen; Berk, Michael</t>
  </si>
  <si>
    <t>Be You: A national education initiative to support the mental health of Australian children and young people</t>
  </si>
  <si>
    <t>Early learning services and schools provide unique settings for mental health promotion and early intervention due to the potential for population-level dosage and reach in terms of reducing multiple risk factors and enabling protective factors among young people. Educators play a key role in supporting children and young people's experiences of, and access to mental health promotion opportunities, and hold unparalleled opportunity in terms of creating mental health-promoting learning environments. In 2018, the Australian National Mental Health in Education Initiative, Be You, was launched. Be You is a multi-million-dollar Australian government-supported initiative, freely available to all 24,000 early learning services, primary and secondary schools throughout Australia. The potential for subsequent population reach is proposed to potentially exceed that of any mental health promotion initiative for children and young people previously observed in Australia. Be You aims to foster mentally healthy learning communities across Australia through building capacity among educators to embed mental health promotion strategies. The Initiative was developed based on a review and integration of previous national mental health promotion frameworks, with an overall alignment to existing state and territory education, social and emotional well-being frameworks, and the Australian Curriculum. In delivering facilitated support from specialised consultants to early learning services and schools participating in the initiative, Be You draws on professional learning principles designed to build capacity in educators and educational systems relating to mental health promotion. It uses an updated, multi-module online platform providing interactive, evidence-based resources. This paper presents the Be You framework, describes the evidence sources used to inform the underlying principles and objectives, discusses the specific components that form the initiative, details the professional learning modules and content, and discusses potential implications for population mental health and prevention efforts.</t>
  </si>
  <si>
    <t>Berk, Michael/M-7891-2013</t>
  </si>
  <si>
    <t>1440-1614</t>
  </si>
  <si>
    <t>10.1177/0004867420946840</t>
  </si>
  <si>
    <t>WOS:000560194700001</t>
  </si>
  <si>
    <t>Dhiab, H; Labarthe, P; Laurent, C</t>
  </si>
  <si>
    <t>Dhiab, H.; Labarthe, P.; Laurent, C.</t>
  </si>
  <si>
    <t>How the performance rationales of organisations providing farm advice explain persistent difficulties in addressing societal goals in agriculture</t>
  </si>
  <si>
    <t>FOOD POLICY</t>
  </si>
  <si>
    <t>This article posits that an economic analysis of the full diversity of organisations providing agricultural advice is needed to explore how societal issues related to environment and occupational health are addressed in the provision of such advice. Our theoretical framework draws on existing research in institutional economics applied to services, in particular to Knowledge Intensive Business Services (KIBS). The methodology is based on a case study, the French seed potato supply chain. The results consider all the KIBS suppliers that deliver advice to farmers in the supply chain. They demonstrate the importance of organisations (linked to upstream and downstream industries) that are often neglected in studies on the pluralism of farm advisory services. Four main types of KIBS are described: client-owned advisory organisations; integrated services where service are developed primarily to accompany a commercial activity; consultancy firms; and parastatals. Each of them design both front-office and back-office service activities, according to their own profitability objectives. The analysis of the performance rationale of these different types of KIBS organisations provides an in-depth understanding of their economic strategies and the reasons why they address - or ignore - the possible adverse effects of their activity on occupational health and the environment. In such a context, public policy seems necessary to frame collective action and integrate environment and human health issues into farm advice. The conditions of efficiency of such interventions are discussed.</t>
  </si>
  <si>
    <t>LABARTHE, Pierre/0000-0003-2684-6779</t>
  </si>
  <si>
    <t>0306-9192</t>
  </si>
  <si>
    <t>1873-5657</t>
  </si>
  <si>
    <t>10.1016/j.foodpol.2020.101914</t>
  </si>
  <si>
    <t>WOS:000568776900007</t>
  </si>
  <si>
    <t>Shtrepi, L; Prato, A</t>
  </si>
  <si>
    <t>Shtrepi, Louena; Prato, Andrea</t>
  </si>
  <si>
    <t>Towards a sustainable approach for sound absorption assessment of building materials: Validation of small-scale reverberation room measurements</t>
  </si>
  <si>
    <t>APPLIED ACOUSTICS</t>
  </si>
  <si>
    <t>The research and development phase of sound absorptive building materials by designers, engineers, acoustic consultants and architects need tools for fast, inexpensive preliminary comparison tests on products or acoustic systems. The existing methods exhibit some drawbacks: the impedance tube (IT) is not suitable for 3D systems, while the full-scale reverberation room (FSRR) requires test samples of large dimensions. To overcome these limitations, this work aims to explore the capabilities of small-scale reverberation rooms (SSRR) of about 3 m(3) located at Politecnico di Torino in evaluating the random-incidence sound absorption coefficient. In order to define the range of application and reliability of the method, the considered factors are the sample area and its orientation on the room floor. Four different materials have been tested by applying IT, FSRR and SSRR. The absorption coefficients data obtained with SSRR are compatible with the FSRR benchmarking in the 400-5000 Hz frequency range for three porous materials, and in the range 1000-5000 Hz for the thin rigid material. Therefore, the SSRR can be considered as a reliable alternative for the sound absorption characterization in these ranges for this kind of materials, leading to several benefits. Among them, samples with reduced size can be evaluated with a cheaper equipment in a short time, increasing the overall economical sustainability of the measurement process; in turn, this can encourage designers and architects to perform acoustical measurements since the very early research and development phase, leading to an overall reduction of design costs and improved product quality. (C) 2020 Elsevier Ltd. All rights reserved.</t>
  </si>
  <si>
    <t>Prato, Andrea/N-2242-2016</t>
  </si>
  <si>
    <t>0003-682X</t>
  </si>
  <si>
    <t>1872-910X</t>
  </si>
  <si>
    <t>10.1016/j.apacoust.2020.107304</t>
  </si>
  <si>
    <t>WOS:000530083100034</t>
  </si>
  <si>
    <t>Moriarty, KJ</t>
  </si>
  <si>
    <t>Moriarty, Kieran John</t>
  </si>
  <si>
    <t>Alcohol care teams: where are we now?</t>
  </si>
  <si>
    <t>FRONTLINE GASTROENTEROLOGY</t>
  </si>
  <si>
    <t>Alcohol consumption affects the risks of approximately 230 three-digit disease and injury codes in the International Statistical Classification of Diseases and Related Health Problems-10th Revision. The United Nations Sustainable Development Goals comprise 17 challenging goals with 169 targets, which the 193 Member States aim to achieve by 2030. Action to reduce the harmful use of alcohol, especially addressing global health inequalities, will contribute to achieving many of the health-related goals and targets. Alcohol care teams, mainly developed in acute UK hospitals, reduce acute hospital admissions, readmissions and mortality, improve the quality and efficiency of alcohol care, and have 11 key evidence-based, cost-effective and aspirational components. A clinician-led, multidisciplinary team, with integrated alcohol treatment pathways across primary, secondary and community care, coordinated alcohol policies for emergency departments and acute medical units, a 7-day alcohol specialist nurse service, addiction and liaison psychiatry services, an alcohol assertive outreach team, and consultant hepatologists and gastroenterologists with liver disease expertise facilitate collaborative, multidisciplinary, person-centred care. Quality metrics, national indicators, audit, workforce planning, training and accreditation support research and education of the public and healthcare professionals. Hospitals should collaborate with local authorities, public health, clinical commissioning groups, patients and key stakeholders to develop and disseminate cost-effective prevention and treatment strategies. Globally, alcohol care teams can support the achievement of the United Nations Sustainable Development Goals, and should be advocated and implemented through the WHO global alcohol strategy. This requires collaborative care planning by key stakeholders, a skilled workforce, targeted financial resources and dedicated political commitment.</t>
  </si>
  <si>
    <t>2041-4137</t>
  </si>
  <si>
    <t>2041-4145</t>
  </si>
  <si>
    <t>10.1136/flgastro-2019-101241</t>
  </si>
  <si>
    <t>WOS:000542943900008</t>
  </si>
  <si>
    <t>Gorleku, PN; Edzie, EK; Dzefi-Tettey, K; Setorglo, J; Piersson, AD; Ocansey, S; Morny, EKA; Armah, CDG</t>
  </si>
  <si>
    <t>Gorleku, Philip N.; Edzie, Emmanuel K.; Dzefi-Tettey, Klenam; Setorglo, Jacob; Piersson, Albert D.; Ocansey, Stephen; Morny, Enyam K. A.; Armah, Celso D. G.</t>
  </si>
  <si>
    <t>Computed tomography estimation of the prevalence of neuro-ophthalmic injuries in head trauma patients seen in a tertiary health facility in Ghana</t>
  </si>
  <si>
    <t>HELIYON</t>
  </si>
  <si>
    <t>Introduction: Prevalence of traumatic brain injury (TBI) is extremely high and potentially associated with severe incapacitating consequences. Literature reports that 90% of road traf fic deaths and injuries including TBI occur in low and middle -income countries including Ghana. Computed Tomography (CT) scan is the imaging modality of choice for the initial assessment of the extent of head injury. Some Neuro-ophthalmic injuries (NOI) may sometimes be ambiguous and indistinct although a serious injury with potential damaging consequences. Data on the prevalence of NOI post trauma is non-existent in Ghana to inform policy. The onus therefore lies on the Radiologist who will review the head CT scan to be very meticulous not to miss any NOI if present. We therefore decided to diligently review a large cross-sectional retrospective post trauma head CT scans for occurrence of NOI. Objective: To determine the incidence of NOI secondary to head trauma and the possible loss of vision thereof in a retrospective study using patients' head CT scan data from a tertiary hospital's CT centre in Cape Coast, Ghana. Method: All head CT scans secondary to trauma for the period January 2016 to December 2018, were retrieved and carefully analysed. A total number of 1043 of head CT scan images were analyzed by Consultant Radiologists. Results: Results showed out of 1043 CT scans reviewed, 742 (71,1%) were males and 301 (28.9%) were females. A total of 609 (58.4%) out of the 1043 patients sustained NOIs of various anatomical types. More Males 398 (65.4%) sustained NOI than females 211 (34.6%). The incidence of NOI was more among the youth as majority 167 (27.4%) of the patients were within the 18 -29 years followed by 30 -39 years bracket of 148 (24.3%). Fourteen anatomical types of NOI were elicited and further analysis revealed, intra-ocular foreign body to be the highest 107 (17.6%) cases, orbital floor fractures injury was 92 (15.1%) cases, with globe rupture injury and intraocular hemorrhage recording 79 (13.0%) cases each. Optic nerve injury was the least revealing 7 (1.1%) cases. There was a relationship between the gender of patient and the propensity to sustain NOI as males were more disposed to NOI than females. Road traf fic accident (RTA) was the main pervasive cause of TBI and this accounted for 71.9% of all cases, followed by fall from height 24%, and the least cause of TBI was ascribed to gunshot injury of 0.33%. Conclusion: Prevalence of NOI is high. Urgent measures must therefore be implemented to reduce the RTA menace in general and to mitigate the associated NOI and possible loss of vision thereof.</t>
  </si>
  <si>
    <t>EDZIE, EMMANUEL KOBINA MESI/ABD-1211-2020</t>
  </si>
  <si>
    <t>2405-8440</t>
  </si>
  <si>
    <t>e04200</t>
  </si>
  <si>
    <t>10.1016/j.heliyon.2020.e04200</t>
  </si>
  <si>
    <t>WOS:000545793800017</t>
  </si>
  <si>
    <t>Paschoalin, JA; Bezerra, CMD; Dias, AJG</t>
  </si>
  <si>
    <t>Paschoalin Filho, Joao Alexandre; Bezerra, Claudia Maria da Silva; Guerner Dias, Antonio Jose</t>
  </si>
  <si>
    <t>Environmental indicators proposal for construction solid waste management plans assessment</t>
  </si>
  <si>
    <t>MANAGEMENT OF ENVIRONMENTAL QUALITY</t>
  </si>
  <si>
    <t>Purpose The civil construction industry has vital importance to Brazil's economy. However, this sector is also responsible for the environmental impacts. Governments have been taking measures aiming to mitigate these impacts. Among these, the elaboration and implementation of civil construction solid waste management plans can be highlighted. However, these plans still lack standardizations and tools for their evaluation. Environmental indicators proposal for construction solid waste management plans assessment is presented to verify the adhesion of these to environmental laws, technical standards and green building certification systems recommendations. Design/methodology/approach The construction solid waste management plans of three construction works were evaluated by the proposed indicators to verify the procedures related, generating, in the end, a scale between 0 and 5. After that, plans were compared with each other. Findings The proposed indicators have made possible the evaluation of the environmental practices performed for three different construction works. By the proposed indicators, the environmental practices were compared to technical standards and legislation suggested procedures. Practical implications As a contribution, the evaluation proposal presented may help the construction industry as well as the public authority to evaluate the construction solid waste management plans currently elaborated, so that these can offer a quality improvement and more effective environmental measures. Originality/value Methodologies that guide the evaluation of construction solid waste management plans can be beneficial for the construction companies, which can improve the quality of the plans elaborated internally and verify the effectiveness of the plans elaborated by specialized consultancies. In general, most of the construction solid waste management plans are prepared with the purpose of only complying with the legislation, more specifically of the National Council for the Environment, Resolution 307/2002.</t>
  </si>
  <si>
    <t>1477-7835</t>
  </si>
  <si>
    <t>1758-6119</t>
  </si>
  <si>
    <t>OCT 14</t>
  </si>
  <si>
    <t>10.1108/MEQ-07-2019-0153</t>
  </si>
  <si>
    <t>WOS:000535724700001</t>
  </si>
  <si>
    <t>Olisah, C; Adams, JB</t>
  </si>
  <si>
    <t>Olisah, Chijioke; Adams, Janine B.</t>
  </si>
  <si>
    <t>Systematic mapping of organophosphate contaminant (OPC) research trends between 1990 and 2018</t>
  </si>
  <si>
    <t>ENVIRONMENTAL GEOCHEMISTRY AND HEALTH</t>
  </si>
  <si>
    <t>Since the addition of polybrominated diphenyls and organochlorine pesticides (OCPs) to the world banned list, toxic organophosphate contaminants (OPCs) such as organophosphate flame retardants and organophosphate pesticides have been, respectively, used as substitutes. These chemicals are reported to be more toxic than their halogenated counterparts. It is rare to find a study that focuses on visualising the publication trends of these chemical classes. In this study, we employed a bibliometric model to systematically map research activities between 1990 and 2018 using OPC articles retrieved from the WoS and Scopus databases. A total of 1090 articles were retrieved from the hybrid databases with an article/author and author/article ratio of 0.33 and 3.02, respectively. Articles on OPC studies were positively correlated with the number of years (r(2) = 0.96; y = 0.23x(2) - 3.82x + 27.90) suggesting an increase in the number of articles on this subject in future. The USA ranked first in terms of articles (n = 245) and citations (n = 12,922) followed by China and India (203 and 89 articles, respectively). Articles from China and the USA had strong collaboration with other countries. Research priorities and top author keywords included pesticides (n = 112), organophosphate (n = 83) and acetylcholinesterase (n = 60) and were also well represented in keywords-plus. Developed countries had higher outputs compared to developing countries. It was observed that from our thematic literature classifications, human toxicity, ecotoxicological impacts, and environmental monitoring of OPCs were of greater importance to scholars, thus indicating the direction of future research. Futuristic studies need to foster partnership with policymakers, journalists, consultants, farmers, artisans and community workers on OPC research. This will not only enhance scientific communication and community engagement but will also increase the awareness of these pollutants to the general public.</t>
  </si>
  <si>
    <t>Adams, Janine Barbara/AAA-9865-2021</t>
  </si>
  <si>
    <t>Adams, Janine Barbara/0000-0001-7204-123X; Olisah, Chijioke/0000-0002-7714-3056</t>
  </si>
  <si>
    <t>0269-4042</t>
  </si>
  <si>
    <t>1573-2983</t>
  </si>
  <si>
    <t>10.1007/s10653-020-00594-3</t>
  </si>
  <si>
    <t>WOS:000534446400001</t>
  </si>
  <si>
    <t>Lassou, PJC; Hopper, T; Soobaroyen, T</t>
  </si>
  <si>
    <t>Lassou, Philippe J. C.; Hopper, Trevor; Soobaroyen, Teerooven</t>
  </si>
  <si>
    <t>Financial controls to control corruption in an African country: Insider experts within an enabling environment</t>
  </si>
  <si>
    <t>FINANCIAL ACCOUNTABILITY &amp; MANAGEMENT</t>
  </si>
  <si>
    <t>This study analyses an implementation of a government accounting reform in Benin directed at redressing fraudulent and corrupt practices. Although reforms to improve public administration and to mitigate corruption in Africa often have disappointing outcomes, our case study involving systems for payment of supplier invoices, payroll matters, and debt certificates had encouraging findings. The systems reduced inefficiencies and corrupt practices. An enabling environment (its main elements being emancipatory space, empowered participation, and ethical leadership) encouraged the deeper involvement of committed, expert, and ethical local civil servants in establishing effective financial controls. In the context of anticorruption reforms, this illustrates that public sector organizations in Africa should not invariably be regarded as monolithic bureaucratic top-down entities, staffed by civil servants who are either passive bystanders, purely self-interested players, or insufficiently expert, and hence in need for more training, and of imported, expensive, accounting systems implemented by foreign consultants. In contrast, the paper argues that, within a suitable environment, granting indigenous experts enough latitude to enact incremental yet substantive accounting changes at the local level may be more effective.</t>
  </si>
  <si>
    <t>0267-4424</t>
  </si>
  <si>
    <t>1468-0408</t>
  </si>
  <si>
    <t>10.1111/faam.12240</t>
  </si>
  <si>
    <t>WOS:000525960100001</t>
  </si>
  <si>
    <t>Diaz, DA; Rees, CJ</t>
  </si>
  <si>
    <t>Diaz, Daniel A.; Rees, Christopher J.</t>
  </si>
  <si>
    <t>Checks and balances? Leadership configurations and governance practices of NGOs in Chile</t>
  </si>
  <si>
    <t>EMPLOYEE RELATIONS</t>
  </si>
  <si>
    <t>Purpose The emergence of Governance practices in the non-governmental organisation (NGO) sector has become associated with increasingly high levels of organisational complexity. In the light of an expanding civil society sector in Chile and the emergence of formalised governance practices, this paper explores the construction of the Executive Director role in Chilean NGOs with reference to organisational functions, organisational dynamics, and external influences. Design/methodology/approach Grounded theory is used to explore qualitative data derived from a set of N = 39 interviews conducted in Chile These interviews involve NGO founders, funders, Executive Directors, scholars, consultants, and team members. Findings The findings reveal the pivotal role played by Executive Directors in conducting organisational activities which, in other types of organisations, are often distributed across various organisational functions. The data also highlight complex dynamics involving overt compliance with external regulatory requirements, uncertainties about financial sustainability, the recruitment of Executive Board members, the exercise of power by Executive Directors, and the influence of founders in leadership configurations. Research limitations/implications - The implications of the study are discussed in relation to the governance and accountability of NGOs, the nature of the Executive Director role, the purpose of Executive Boards in the NGO sector, and the recruitment and training of Board members. It is noted that the study was conducted in the NGO sector in Chile; further research is necessary to establish the generalisability of the findings to other contexts. Originality/value This paper addresses the shortage of organisational research on NGOs. It contributes by offering analytical perspectives on organisational processes of Leadership and Governance. This paper highlights the relationship between, and interdependency of, those processes.</t>
  </si>
  <si>
    <t>0142-5455</t>
  </si>
  <si>
    <t>1758-7069</t>
  </si>
  <si>
    <t>AUG 3</t>
  </si>
  <si>
    <t>10.1108/ER-08-2019-0327</t>
  </si>
  <si>
    <t>WOS:000522864100001</t>
  </si>
  <si>
    <t>Kanters, J</t>
  </si>
  <si>
    <t>Kanters, Jouri</t>
  </si>
  <si>
    <t>Circular Building Design: An Analysis of Barriers and Drivers for a Circular Building Sector</t>
  </si>
  <si>
    <t>BUILDINGS</t>
  </si>
  <si>
    <t>Circular building design could significantly reduce the environmental impact of buildings and the pressure on natural resources. However, most buildings today are not designed according to the principles of the circular economy. Most literature has focused on either methods for quantifying the lifecycle analysis of buildings and materials, or on innovative circular building materials, but not much is known about the design process of circular buildings and how architects are dealing with translating the principles of the circular economy to the building sector. A series of semi-structured interviews with architects and consultants that have engaged in circular building design has been conducted to identify the barriers and drivers of the transformation towards a circular building sector. Interviews were analysed using qualitative coding analysis. The conservativeness of the building industry, the lack of political priority and the dependency throughout the building industry were found to be the main barriers, while a supportive client with a well-defined assignment and idea was considered to be the main driver. The contribution of this paper to key actors in the building sector is to identify the main barriers and drivers for a circular building sector.</t>
  </si>
  <si>
    <t>2075-5309</t>
  </si>
  <si>
    <t>10.3390/buildings10040077</t>
  </si>
  <si>
    <t>WOS:000533888400013</t>
  </si>
  <si>
    <t>Ballard, R; Harrison, P</t>
  </si>
  <si>
    <t>Ballard, Richard; Harrison, Philip</t>
  </si>
  <si>
    <t>Transnational urbanism interrupted: A Chinese developer's attempts to secure approval to build the 'New York of Africa' at Modderfontein, Johannesburg</t>
  </si>
  <si>
    <t>ENVIRONMENT AND PLANNING A-ECONOMY AND SPACE</t>
  </si>
  <si>
    <t>This article examines how developers attempt to move into new settings, and how such attempts sometimes fail. Unlike long-standing developers, who are in various ways 'embedded' (Henneberry and Parris, 2013), newcomers have to overcome their lack of familiarity with the context of their intended project. Using the case of a proposed megaproject at Modderfontein in Johannesburg, we examine how a Chinese developer worked to articulate with the Johannesburg planning environment. It produced an extensive network by deploying its staff to Johannesburg, hiring local professional staff, winning the favour of provincial politicians and hiring consultants in the UK in order to help close a deal with planners responsible for approval. Sophisticated efforts to pitch the project to municipal planners using win-win narratives failed to satisfy the planners' material concerns that the project would break up urban space, would be financially exclusionary and could undermine economies elsewhere in the city. The developer ultimately withdrew as a result of delays in approval combined with a financial crisis it faced in its home context. The article considers the interplay between the transnational networks that emerge around megaprojects; the communicative space of project negotiations that is characterised by different cultures of planning; and the political economic context that allows - or interrupts - transnational development.</t>
  </si>
  <si>
    <t>Ballard, Richard/0000-0001-6244-6946; Harrison, Philip/0000-0003-3038-858X</t>
  </si>
  <si>
    <t>0308-518X</t>
  </si>
  <si>
    <t>1472-3409</t>
  </si>
  <si>
    <t>10.1177/0308518X19853277</t>
  </si>
  <si>
    <t>WOS:000511255600010</t>
  </si>
  <si>
    <t>Zhou, RY; Tang, P</t>
  </si>
  <si>
    <t>Zhou, Ruoying; Tang, Puay</t>
  </si>
  <si>
    <t>The role of university Knowledge Transfer Offices: Not just commercialize research outputs!</t>
  </si>
  <si>
    <t>TECHNOVATION</t>
  </si>
  <si>
    <t>While there is a prevailing rich body of studies on the role of university knowledge transfer office (KTO) in the commercialization process as part of the Third Mission, research on its role in community engagement activities is relatively neglected, even as funding agencies and policy makers conceive these as instrumental to sustaining social and economic development. This article focuses on the role of university KTO in supporting, facilitating or undertaking Third Mission community engagement activities. Drawing on data from the annual Higher Education Business and Community Interaction survey for the years 2007-2012, this paper empirically explores the relationship between a range of Third Mission activities by university KTO and performance of three key business-community services provision of consultancy, provision of continuous professional development courses (CPD), and leasing of facilities and equipment (FE). It emerges that the routines of developing strategic plan and creating spin-off are positively associated with all types of community knowledge transfer (CKT) activities. Further, the routines of establishing partnerships with local and regional bodies, and licensing are positively related to CPD and FE, respectively. The article is concluded with implications for theory, practice, policy, and suggestions for future research.</t>
  </si>
  <si>
    <t>0166-4972</t>
  </si>
  <si>
    <t>1879-2383</t>
  </si>
  <si>
    <t>FEB-MAR</t>
  </si>
  <si>
    <t>90-91</t>
  </si>
  <si>
    <t>10.1016/j.technovation.2019.102100</t>
  </si>
  <si>
    <t>WOS:000521513000004</t>
  </si>
  <si>
    <t>Adhami, M; Sadeghi, SH; Duttmann, R; Sheikhmohammady, M</t>
  </si>
  <si>
    <t>Adhami, Maryam; Sadeghi, Seyed Hamidreza; Duttmann, Rainer; Sheikhmohammady, Majid</t>
  </si>
  <si>
    <t>Best soil comanagement practices for two watersheds in Germany and Iran using game theory-based approaches</t>
  </si>
  <si>
    <t>Collaborative management is increasingly applied to indicate environmental and socio-economic negotiations in every corner of the world. The engagement of multiple stakeholders accompanying experience, science, and economy probing skills is expected to unravel such issues. However, the collaborative approaches to manage existing issues at watershed scale have not been adequately applied. Therefore, the present study has exemplified the establishment of a comanagement framework for the soil management for two case studies i.e., Schleswig-Holstein State of Germany and Galazchai Watershed of Iran using a stakeholder oriented approach applying game theory based methods. Due to management perspectives, different stakeholder groups were involved to investigate effective soil conservation practices. Farmers, consultants, and service providing companies in Germany and residents, policy making institutions and executive organizations in Iran were detected as key stakeholders. The Condorcet and Fallback bargaining methods were used to diagnosis agreement point. Based upon the results, the developed case study in Germany demonstrated close relation among farmers and consultants (53%) in contrast with service providing companies. The same situation was observed among residents and policy makers in Iran. Besides, the tendency to implement mechanical practices among farmers in Iran was about 60% (149 of 243), however, in Germany 86% of farmers prefer to use managerial practices. (C) 2019 Elsevier B.V. All rights reserved.</t>
  </si>
  <si>
    <t>10.1016/j.scitotenv.2019.134265</t>
  </si>
  <si>
    <t>WOS:000500580700084</t>
  </si>
  <si>
    <t>Amaral, B</t>
  </si>
  <si>
    <t>Amaral, Bernardo</t>
  </si>
  <si>
    <t>FROM THE CRITIQUE OF THE BUILDING SITE TO SELF MANAGEMENT: SERGIO FERRO, USINA AND SELF MANAGED MUTIROES IN SAO PAULO, BRAZIL</t>
  </si>
  <si>
    <t>FINISTERRA-REVISTA PORTUGUESA DE GEOGRAFIA</t>
  </si>
  <si>
    <t>The concepts of collective worker and critique of the building site developed by the Brazilian architect and theorist Sergio Ferro, are crucial to understand the practice of architectural collectives that started emerging in the 1990s with the purpose of providing technical guidance to right-to-land and right to housing grassroots movements in the region of Sao Paulo. One of such cases is Usina - Centro de Trabalhos para o Ambiente Habitado (Work Centre for the Inhabited Environment) (Usina CTAH), founded in 1990, gatherer of an extensive experience in technical consultancy to social movements organized as self-managed building teams, usually called mutinies. This paper aims to analyse Usina's work and methodologies of design, decision and negotiation processes in the light of Sergio Ferro's concepts, in order to better understand the importance of work in terms of redefining architectural practice as a political, social and economic agency.</t>
  </si>
  <si>
    <t>0430-5027</t>
  </si>
  <si>
    <t>2182-2905</t>
  </si>
  <si>
    <t>10.18055/Finis19631</t>
  </si>
  <si>
    <t>WOS:000560790500009</t>
  </si>
  <si>
    <t>Amazeen, MA</t>
  </si>
  <si>
    <t>Amazeen, Michelle A.</t>
  </si>
  <si>
    <t>Journalistic interventions: The structural factors affecting the global emergence of fact-checking</t>
  </si>
  <si>
    <t>JOURNALISM</t>
  </si>
  <si>
    <t>Since the emergence of in the United States in 2003, fact-checking interventions have expanded both domestically and globally. The Duke Reporter's Lab identified nearly 100 active initiatives around the world in 2016. Building off of previous exploratory work by Amazeen, this research utilizes the framework of critical juncture theory to examine why fact-checking interventions are spreading globally at this point in time. Seen as a professional reform movement in the journalistic community, historical research on reform movements suggests several possible factors influencing the emergence of fact-checking such as a decline in journalism, easy access to technology for the masses, and socio-political strife. This study offers empirical support that fact-checking may be understood as a democracy-building tool that emerges where democratic institutions are perceived to be weak or are under threat and examines similarities between the growth of fact-checking interventions and previous consumer reform movements. As politics increasingly adopts strategies orchestrated by marketing and advertising consultants and agencies - exemplified in the Brexit referendum - political fact-checking may benefit from examining the path of consumer reform movements. For, before fact-checking can be effective at informing individuals, it must first establish itself within a structural environment.</t>
  </si>
  <si>
    <t>1464-8849</t>
  </si>
  <si>
    <t>1741-3001</t>
  </si>
  <si>
    <t>10.1177/1464884917730217</t>
  </si>
  <si>
    <t>WOS:000506236000006</t>
  </si>
  <si>
    <t>Dvoryadkina, EB; Belousova, EA</t>
  </si>
  <si>
    <t>Dvoryadkina, Elena B.; Belousova, Elizaveta A.</t>
  </si>
  <si>
    <t>Mechanism for controlling spatial economic development of municipal districts: Findings from the post-NPM trends</t>
  </si>
  <si>
    <t>UPRAVLENETS-THE MANAGER</t>
  </si>
  <si>
    <t>Several decades have seen negative trends in spatial economic development of rural municipalities not only in Russia, but in the majority of developed countries. Such a situation is due to the concomitant transformation of the settlement system during the change of socio-economic development stages and requires searching for the relevant management methods and mechanisms. The paper focuses on designing a mechanism for controlling spatial economic development of a rural municipality considering the case of Russia's municipal districts and allowing for the condition of the economic space outside cities and changes in the regional governance paradigm. Spatial economics and regional governance paradigm constitute the methodological basis of the research. The methods include systematisation, functional and comparative analysis, deduction, elements of the regulatory impact assessment. The research allows concluding that it is beneficial for the regional government to take into account the values and methods of the post-new public management (post-NPM) and to incorporate them into management of municipalities' spatial economic development. The most important characteristics of such management include focus on social problems (specific for the territory and related to its identity), their priority over economic growth; long-term strategic thinking given there is an objective to embrace interests of the inhabitants; centralized collection of various timely objective information about citizens' needs with the aim of sustainable development of a region; participatory approach in the sphere of interaction between citizens and local authorities; networking between government authorities, business, inhabitants and consultancy infrastructure. The study of the strategic framework of spatial economic development reveals that at national level the principal role of municipalities is to reinforce the settlement system. In line with the findings of the research, the authors build a concept and a mechanism for implementation of a municipal programme that understands the regional governance paradigm changes and trends in spatial development of rural municipalities.</t>
  </si>
  <si>
    <t>2218-5003</t>
  </si>
  <si>
    <t>10.29141/2218-5003-2020-11-3-1</t>
  </si>
  <si>
    <t>WOS:000546559400001</t>
  </si>
  <si>
    <t>Pena, BG; Da Costa, L; Araujo, CR; Da Silva, CAF</t>
  </si>
  <si>
    <t>Pena, Bianca Gama; Da Costa, Lamartine; Araujo, Carla Rocha; Da Silva, Carlos A. Figueiredo</t>
  </si>
  <si>
    <t>From the legacy to the heritage of the 1984 Olympic Games: LA84 Foundation pathways</t>
  </si>
  <si>
    <t>JOURNAL OF HUMAN SPORT AND EXERCISE</t>
  </si>
  <si>
    <t>This study aims to analyse the management of the LA 84 Foundation, from the perspective of the 1984 OG heritage in order to confirm in practice Chappelet's (2015) theoretical proposal and the triple Helix perspective. To this end, the following goals: (1) detect which entities are present in the current management of the LA84 Foundation; (2) verify how LA84 manages, and funds or establishes partnerships in order to preserve its heritage and the interrelationships between the three agents of HT (private companies, universities, and government). Respondents were from sectors, namely VP of Programs and Scholarships, VP of Operations and Finance, VP of Development and Partnerships and the Consultant - former CEO of the Foundation, addressed in two categories: (a) Entities present in the management and activities performed and (b) Financial management and Fundraising and partnerships. Results. the Foundation's focus on three HT actors Universities, Companies and the Government. Entities interact to complement their roles and responsibilities in order to keep the foundation financially self-sustaining. Conclusions: (i) the Triple Helix model presents itself as a resource for the development of sustainability strategies in the management projects of the LA84 Foundation aiming at the continuity in the preservation of legacies since it has in its management the involvement of (ii) the model of having a non-profit entity - a foundation in this case - to bring together diverse entities in management and purposes is a positive strategy for the proper management of legacies and futures heritages from the organization of mega sports events.</t>
  </si>
  <si>
    <t>1988-5202</t>
  </si>
  <si>
    <t>10.14198/jhse.2020.154.14</t>
  </si>
  <si>
    <t>WOS:000595736100014</t>
  </si>
  <si>
    <t>Popescu, S; Santa, R; Teleaba, F; Ilesan, H</t>
  </si>
  <si>
    <t>Popescu, Sorin; Santa, Roxana; Teleaba, Florian; Ilesan, Hannelore</t>
  </si>
  <si>
    <t>A structured framework for identifying risks sources related to human resources in a 4.0 working environment perspective</t>
  </si>
  <si>
    <t>HUMAN SYSTEMS MANAGEMENT</t>
  </si>
  <si>
    <t>BACKGROUND: Research is focused on companies that offshored their production and operate in the international business environment, in the current globalized world placed generically under the 4.0 index, inspired by the fourth industrial revolution. OBJECTIVE: The paper aims to draw up a structured and multilayered framework for identifying sources of risks related to the work environment and to the human resources management in this context. METHODS: An extended analysis of information in the literature and on the web is conducted to define the mentioned conceptual structure and to identify domains, processes, and actions that should be considered hosting such risks. First filtered by the authors based on their experience as consultants and managers in international projects, results are then validated by successive feedbacks from their peers. RESULTS: Two levels of the framework are detailed, the first correlating globalization and 4.0 development stage challenges, identifying the risk sources within a matrix detailing on one dimension technological progress, governmental &amp; legal issues, cultural patterns, and on the other, domains sensitive to risks regarding the human resource, such as work performance, working skills, working ethics &amp; discipline, and working models, environment &amp; tools. The second level focuses on the sources of risks arise due to a company's digital transformation with regard to the choice of the working models configuration, employees' recruitment &amp; hiring, training, working planning, organization &amp; control, and setting up working regulations. CONCLUSIONS: The results are intended to provide support for easier and more comprehensive identification of work and human resources related risks in the mentioned context.</t>
  </si>
  <si>
    <t>Popescu, Sorin C/D-5981-2015</t>
  </si>
  <si>
    <t>0167-2533</t>
  </si>
  <si>
    <t>1875-8703</t>
  </si>
  <si>
    <t>10.3233/HSM-201034</t>
  </si>
  <si>
    <t>WOS:000592803300004</t>
  </si>
  <si>
    <t>Watson, V</t>
  </si>
  <si>
    <t>Watson, Vanessa</t>
  </si>
  <si>
    <t>Digital Visualisation as a New Driver of Urban Change in Africa</t>
  </si>
  <si>
    <t>URBAN PLANNING</t>
  </si>
  <si>
    <t>Cities in Sub-Saharan Africa are growing faster than in any other part of the world, driven by expanding informal settlement (usually on the urban periphery) and the real-estate sector aiming for up-market property development. The continent currently has the highest real-estate value growth potential in the world. Much up-market property development is currently taking the form of new 'cities'-sometimes a redevelopment of an entire city (e.g., Kigali), sometimes a new city on an urban edge (e.g., Eko-Atlantic, Lagos) and sometimes a new satellite city (e.g., Tatu City, Nairobi). These projects are driven by international property development companies often in collaboration with governments and sometimes with local planning and property partners. All manifest as plans in a new way: as graphics on the websites of international consultants. Most involve no public participation and attempt to by-pass planning laws and processes. Producing these new plans (as computer generated images) are a new set of professionals: architects, planners, visualisers, advertising executives and project managers, working together in offices in global capitals of the world. Their aim is commercial. Planning in these projects is no longer shaped by the materiality of the city and attempts to achieve socio-spatial justice and sustainability. Rather planning is shaped by the circulation of graphics through a network of software programmes and marketing professionals. This article will situate Africa's new cities in theorisation of urban development and the role of urban planning through digital visualization.</t>
  </si>
  <si>
    <t>Watson, Vanessa/Q-6765-2017</t>
  </si>
  <si>
    <t>Watson, Vanessa/0000-0001-9965-6891</t>
  </si>
  <si>
    <t>2183-7635</t>
  </si>
  <si>
    <t>10.17645/up.v5i2.2989</t>
  </si>
  <si>
    <t>WOS:000546245900004</t>
  </si>
  <si>
    <t>Vesa, J; Karimo, A</t>
  </si>
  <si>
    <t>Vesa, Juho; Karimo, Aasa</t>
  </si>
  <si>
    <t>Buying media-savviness? Interest groups as clients of public affairs consultants</t>
  </si>
  <si>
    <t>INTEREST GROUPS &amp; ADVOCACY</t>
  </si>
  <si>
    <t>Public relations agencies are on the rise, and studies have shown that also membership-based interest groups use their services. These agencies employ public affairs consultants who help their clients influence public policy, and their use may have important consequences for interest group systems. As we know little about why interest groups use public affairs consultants and what kind of groups use them the most, we surveyed nationwide interest groups in Finland. We argue that groups use consultants especially when they face challenges with their advocacy strategies. The results show that the more important media strategies are in their advocacy work, the more groups use public affairs consultants. Business groups are more likely to use public affairs consultants than other kinds of groups. When groups' resources are held constant, more recently established groups use more money on consultants than older groups. We conclude that consultant use may deepen existing biases in interest group politics by strengthening the business groups' position. The results also imply that media strategies have become especially challenging for groups in the current complex media environment.</t>
  </si>
  <si>
    <t>2047-7414</t>
  </si>
  <si>
    <t>2047-7422</t>
  </si>
  <si>
    <t>10.1057/s41309-019-00064-x</t>
  </si>
  <si>
    <t>WOS:000502160800003</t>
  </si>
  <si>
    <t>Warrington, C</t>
  </si>
  <si>
    <t>Warrington, Claire</t>
  </si>
  <si>
    <t>Repeated Police Mental Health Act Detentions in England and Wales: Trauma and Recurrent Suicidality</t>
  </si>
  <si>
    <t>INTERNATIONAL JOURNAL OF ENVIRONMENTAL RESEARCH AND PUBLIC HEALTH</t>
  </si>
  <si>
    <t>Most police Mental Health Act (Section 136) detentions in England and Wales relate to suicide prevention. Despite attempts to reduce detention rates, numbers have risen almost continually. Although Section 136 has been subject to much academic and public policy scrutiny, the topic of individuals being detained on multiple occasions remains under-researched and thus poorly understood. A mixed methods study combined six in-depth interviews with people who had experienced numerous suicidal crises and police intervention, with detailed police and mental health records. A national police survey provided wider context. Consultants with lived experience of complex mental health problems jointly analysed interviews. Repeated detention is a nationally recognised issue. In South East England, it almost exclusively relates to suicide or self-harm and accounts for a third of all detentions. Females are detained with the highest frequencies. The qualitative accounts revealed complex histories of unresolved trauma that had catastrophically damaged interviewee's relational foundations, rendering them disenfranchised from services and consigned to relying on police intervention in repeated suicidal crises. A model is proposed that offers a way to conceptualise the phenomenon of repeated detention, highlighting that long-term solutions to sustain change are imperative, as reactive-only responses can perpetuate crisis cycles.</t>
  </si>
  <si>
    <t>Warrington, Claire/0000-0003-3891-4812</t>
  </si>
  <si>
    <t>1660-4601</t>
  </si>
  <si>
    <t>10.3390/ijerph16234786</t>
  </si>
  <si>
    <t>WOS:000507275700033</t>
  </si>
  <si>
    <t>Saah, D; Tenneson, K; Matin, M; Uddin, K; Cutter, P; Poortinga, A; Nguyen, QH; Patterson, M; Johnson, G; Markert, K; Flores, A; Anderson, E; Weigel, A; Ellenberg, WL; Bhargava, R; Aekakkararungroj, A; Bhandari, B; Khanal, N; Housman, IW; Potapov, P; Tyukavina, A; Maus, P; Ganz, D; Clinton, N; Chishtie, F</t>
  </si>
  <si>
    <t>Saah, David; Tenneson, Karis; Matin, Mir; Uddin, Kabir; Cutter, Peter; Poortinga, Ate; Nguyen, Quyen H.; Patterson, Matthew; Johnson, Gary; Markert, Kel; Flores, Africa; Anderson, Eric; Weigel, Amanda; Ellenberg, Walter L.; Bhargava, Radhika; Aekakkararungroj, Aekkapol; Bhandari, Biplov; Khanal, Nishanta; Housman, Ian W.; Potapov, Peter; Tyukavina, Alexandra; Maus, Paul; Ganz, David; Clinton, Nicholas; Chishtie, Farrukh</t>
  </si>
  <si>
    <t>Land Cover Mapping in Data Scarce Environments: Challenges and Opportunities</t>
  </si>
  <si>
    <t>FRONTIERS IN ENVIRONMENTAL SCIENCE</t>
  </si>
  <si>
    <t>Land cover maps are a critical component to make informed policy, development, planning, and resource management decisions. However, technical, capacity, and institutional challenges inhibit the creation of consistent and relevant land cover maps for use in developing regions. Many developing regions lack coordinated capacity, infrastructure, and technologies to produce a robust land cover monitoring system that meets land management needs. Local capacity may be replaced by external consultants or methods which lack long-term sustainability. In this study, we characterize and respond to the key land cover mapping gaps and challenges encountered in the Lower Mekong (LMR) and Hindu Kush-Himalaya (HKH) region through a needs assessment exercise and a collaborative system design. Needs were assessed using multiple approaches, including focus groups, user engagement workshops, and online surveys. Efforts to understand existing limitations and stakeholder needs resulted in a co-developed and modular land cover monitoring system which utilizes state-of-the-art cloud computing and machine learning which leverages freely available Earth observations. This approach meets the needs of diverse actors and is a model for transnational cooperation.</t>
  </si>
  <si>
    <t>2296-665X</t>
  </si>
  <si>
    <t>NOV 5</t>
  </si>
  <si>
    <t>10.3389/fenvs.2019.00150</t>
  </si>
  <si>
    <t>WOS:000535832200001</t>
  </si>
  <si>
    <t>Mengesha, AK; Mansberger, R; Damyanovic, D; Stoeglehner, G</t>
  </si>
  <si>
    <t>Mengesha, Ayelech Kidie; Mansberger, Reinfried; Damyanovic, Doris; Stoeglehner, Gernot</t>
  </si>
  <si>
    <t>Impact of Land Certification on Sustainable Land Use Practices: Case of Gozamin District, Ethiopia</t>
  </si>
  <si>
    <t>Agroforestry is attracting considerable attention in Ethiopia because of its potential for sustainable land use practices. As land tenure insecurity is a major limiting factor for sustainable land use practices in Ethiopia and developing countries in general, the Ethiopian government launched a rural land certification program to secure land tenure. There are limited empirical studies about the impacts of land certification on sustainable land use practices. To fill this knowledge gap, this study was outlined for an area in the Ethiopian Gozamen district. It investigates the impact of land certification on sustainable land use practices and is focused on factors affecting tree plantation based on a household survey, key informant interviews, focus group discussions, and field observations. The results of the study showed that the majority of the respondents practiced sustainable land use practices after their land was certified. Therefore, land certification has a great contribution on sustainable land use practices. In addition, age, consultancy, land size, education, and nurseries proved as significant factors for tree plantation. As access to land is a basic socio-economic precondition for sustainable agriculture and forestry in developing countries, tenure security is a key pathway for the development of the poor and it contributes essentially to achieve sustainable development goals.</t>
  </si>
  <si>
    <t>Mansberger, Reinfried/0000-0002-1336-8045; Stoeglehner, Gernot/0000-0003-2613-1079</t>
  </si>
  <si>
    <t>10.3390/su11205551</t>
  </si>
  <si>
    <t>WOS:000498398900008</t>
  </si>
  <si>
    <t>Zhang, YQ; Wang, H; Gao, WJ; Wang, F; Zhou, N; Kammen, DM; Ying, XY</t>
  </si>
  <si>
    <t>Zhang, Yinqi; Wang, He; Gao, Weijun; Wang, Fan; Zhou, Nan; Kammen, Daniel M.; Ying, Xiaoyu</t>
  </si>
  <si>
    <t>A Survey of the Status and Challenges of Green Building Development in Various Countries</t>
  </si>
  <si>
    <t>Since the energy crisis in the 1960s, crucial research and activities were spurred to improve energy efficiency and decrease environmental pollution. To deal with the various problems the construction industry are facing, the concept of green buildings (GBs) has been gradually shaped and put forward all over the world, and green building rating systems (GBRSs) have been developed. The concept of GBs covers a wide range of elements, and its definition is constantly updated as the construction industry develops. This paper compares the development of backgrounds and statuses of green building development in various countries. It also presents an overview of the green building development situation within these countries, summarizing two influences for GB development: one external and the other internal. External factors include GB development policy support, economic benefits, and certification schemes. Internal factors are the development and application of GB technology, the level of building management, and how users interact with the GB technology. Currently, 49 worldwide green building standards and application have been sorted out, including 18 standard expert appraisal systems. Moreover, it discusses the research results and lessons learned from green building projects in different countries and summarizes their achievements and challenges. To correctly understand and use green building technology, it is essential to improve the policy and incentive system, improve the professional quality and technical ability of employees and accredited consultants, constantly develop and update the evaluation system, strengthen technological innovation, and integrate design and management. This paper aims to draw a clear roadmap for national standard development, policy formulation, and construction design companies, provide solutions to remove the obstacles, and suggest research direction for future studies.</t>
  </si>
  <si>
    <t>Gao, Weijun/AAH-5061-2020</t>
  </si>
  <si>
    <t>Gao, Weijun/0000-0003-0299-3686; Zhang, Yinqi/0000-0002-2920-0765; Wang, Fan/0000-0003-0020-1470</t>
  </si>
  <si>
    <t>10.3390/su11195385</t>
  </si>
  <si>
    <t>WOS:000493525500244</t>
  </si>
  <si>
    <t>Grant, R; Oteng-Ababio, M; Sivilien, J</t>
  </si>
  <si>
    <t>Grant, Richard; Oteng-Ababio, Martin; Sivilien, Jessy</t>
  </si>
  <si>
    <t>Greater Accra's new urban extension at Ningo-Prampram: urban promise or urban peril?</t>
  </si>
  <si>
    <t>INTERNATIONAL PLANNING STUDIES</t>
  </si>
  <si>
    <t>New private property investments in Africa's cities are on the rise, often manifested as comprehensively planned urban extensions. Greater Accra has several competing city projects under development, potentially launching new city-making trajectories and competitive struggles among rival projects. This article assesses the rationale and early evolution of Ghana's largest, most ambitious project the Ningo-Prampram Urban Extension, aiming to accommodate 1.5 million people. Supported by UN-Habitat, international consultants, government, and local Chiefs, the constellation of actors supports a public-private partnership to engage in urban entrepreneurialism, underpinned by sustainable development features and promising increased global connectivity. However, this project raises socio-spatial contradictions with regard to how affordable housing, an airport city and other developments can augment Accra's development. Global economy articulation as well as intra-city connectivity is promised but at its peril it amplifies sprawl so that the Accra City Region evolves into a string of beads along the Trans-West African Highway.</t>
  </si>
  <si>
    <t>1356-3475</t>
  </si>
  <si>
    <t>1469-9265</t>
  </si>
  <si>
    <t>10.1080/13563475.2019.1664896</t>
  </si>
  <si>
    <t>SEP 2019</t>
  </si>
  <si>
    <t>WOS:000490554600001</t>
  </si>
  <si>
    <t>Gluszak, M; Gawlik, R; Zieba, M</t>
  </si>
  <si>
    <t>Gluszak, Michal; Gawlik, Remigiusz; Zieba, Malgorzata</t>
  </si>
  <si>
    <t>Smart and Green Buildings Features in the Decision-Making Hierarchy of Office Space Tenants: An Analytic Hierarchy Process Study</t>
  </si>
  <si>
    <t>ADMINISTRATIVE SCIENCES</t>
  </si>
  <si>
    <t>In the paper, we investigate the role of smart building or green building innovations on the Polish real estate market using the Analytic Hierarchy Process (AHP) method on the group of experts (consultants, managers, brokers) that are active on the office market in Krakow (study area). The findings point towards the highest relevance of the localisation factor, but also at the relatively low importance of the features of a sustainable building: building automation and information technology systems, as well as energy efficiency or certification. The findings suggest that despite the growing interest in sustainability and technological advancement amongst office market participants in Krakow, the relative importance of smart and green building features in their decision-making processes is relatively low. The study has some interesting practical implications. The knowledge regarding the relative importance of decision criteria can be valuable for developers and investors because the anticipation of tenants' expectations is directly linked with return on investment and innovation premiums.</t>
  </si>
  <si>
    <t>Gluszak, Michal/J-1919-2014; Gawlik, Remigiusz/B-4745-2018</t>
  </si>
  <si>
    <t>Gluszak, Michal/0000-0001-7614-229X; Gawlik, Remigiusz/0000-0003-3934-2131</t>
  </si>
  <si>
    <t>2076-3387</t>
  </si>
  <si>
    <t>10.3390/admsci9030052</t>
  </si>
  <si>
    <t>WOS:000487987200020</t>
  </si>
  <si>
    <t>Norbury, M; Shaw, D; Jones, P</t>
  </si>
  <si>
    <t>Norbury, Michael; Shaw, David; Jones, Peter</t>
  </si>
  <si>
    <t>Combining hydraulic modelling with partnership working: towards practical natural flood management</t>
  </si>
  <si>
    <t>PROCEEDINGS OF THE INSTITUTION OF CIVIL ENGINEERS-ENGINEERING SUSTAINABILITY</t>
  </si>
  <si>
    <t>The UK government's Future Flooding Inquiry called for more integrative methods to respond to flood risk management challenges. The 25-year plan for the environment, A Green Future (published by the UK Department for Environment, Food and Rural Affairs in 2018), has reiterated the requirement for integrated catchment management. There is growing acceptance that natural flood management (NFM) can complement traditional urban flood defence schemes. This paper examines the outcomes of a knowledge transfer partnership (KTP) between Waterco Consultants and the University of Liverpool which explores some of the challenges of implementing what appear to be relative simple NFM measures. Through a multidisciplinary partnership, the KTP project explored multiple delivery challenges. Using case study evidence from north-west England, the paper demonstrates the need for combining partnership working with more traditional hydraulic modelling approaches that can predict the potential flood risk reduction benefits of multiple NFM features, combined with the need to design structurally resilient interventions, so that appropriate permits can be approved. One of the key findings is that while NFM can contribute to flood risk alleviation, with multiple socio-environmental benefits, NFM can only be part of a more holistic approach. Primary evidence for hard and soft engineering measures, combined with use of automated attenuation management, could provide opportunities for more significant integrated flood risk benefits.</t>
  </si>
  <si>
    <t>Shaw, David P/G-5194-2016</t>
  </si>
  <si>
    <t>1478-4629</t>
  </si>
  <si>
    <t>1751-7680</t>
  </si>
  <si>
    <t>10.1680/jensu.17.00025</t>
  </si>
  <si>
    <t>WOS:000485796600006</t>
  </si>
  <si>
    <t>Yang, Y; Chan, APC; Darko, A; Gao, R; Zahoor, H</t>
  </si>
  <si>
    <t>Yang, Yang; Chan, Albert Ping Chuen; Darko, Amos; Gao, Ran; Zahoor, Hafiz</t>
  </si>
  <si>
    <t>Factors affecting structural steelwork adoption from a project lifecycle perspective: The case of Hong Kong</t>
  </si>
  <si>
    <t>The use of structural steelwork (SS) for buildings continues to grow worldwide owing to its sustainability benefits. However, the market share of SS in the building sector of Hong Kong greatly lags behind other markets. This paper focuses on providing a comprehensive understanding of the issues that greatly drive or inhibit SS adoption in Hong Kong from a project lifecycle perspective. The methodology encompasses both qualitative and quantitative approaches. Semi-structured interviews were conducted with 28 professionals from developer, structural engineering consultant, main contractor, steel specialist contractor, and steel stockholder companies. The results identified 12 driving factors and 25 barriers affecting SS adoption in Hong Kong. A questionnaire survey with 118 practitioners was carried out to identify the most important driving factors and barriers. The results revealed that increased speed of construction and must-have requirements were the two most important driving factors; while shortage of skilled labor, shortage of supervisors working directly under main contractors, high construction costs, shortage of experienced designers and draughtsmen, and lack of education, training, and design experience on structural steelwork were the five most critical barriers. This may imply that education and training are needed to improve knowledge and skills of professionals and workers, and thus to ensure an adequate supply of manpower. The findings of this study not only contribute to the existing body of knowledge on SS practices but also provide valuable references for helping practitioners and policymakers to promote sustainable construction methods within the building sector. (C) 2019 Elsevier Ltd. All rights reserved.</t>
  </si>
  <si>
    <t>10.1016/j.jclepro.2019.05.123</t>
  </si>
  <si>
    <t>WOS:000474676300056</t>
  </si>
  <si>
    <t>Soraa, RA; Fyhn, H; Solli, J</t>
  </si>
  <si>
    <t>Soraa, Roger Andre; Fyhn, Hakon; Solli, Joran</t>
  </si>
  <si>
    <t>Energy consultants calculating sustainability for residential buildings</t>
  </si>
  <si>
    <t>Purpose This paper aims to investigate the role of a particular energy calculator in enhancing the energy efficiency of existing homes by asking how this calculator was developed and how it is domesticated by craftspeople working as energy consultants. Design/methodology/approach The study is based on qualitative interviews with users and producers of the energy calculator (n = 22), as well as participation in energy consultation training. Findings The paper finds that, in the energy calculator, there is a striking lack of connection between the domestication and script because of lack of energy consultants' involvement in the design and implementation process. Practical implications - The enrolment of energy consultants as energy calculator users earlier in and throughout the design process could be valuable in making the transition to an energy-efficient and environmentally friendly building sector. Social implications - The paper argues for recognition of the role of energy consultants, especially craftspeople, as participants in the design process for tools of governance. This is a call to acknowledge the value of particular skills and experiences possessed by craftspeople doing home consultation. Originality/value By understanding the intricate developer-user synchronicity in tools developed for upgrading the building sector, energy mitigation can be made more effective.</t>
  </si>
  <si>
    <t>Soraa, Roger Andre/0000-0001-6800-0558</t>
  </si>
  <si>
    <t>AUG 5</t>
  </si>
  <si>
    <t>10.1108/F-02-2017-0014</t>
  </si>
  <si>
    <t>WOS:000475370600009</t>
  </si>
  <si>
    <t>Ke, YJ; Ling, FYY; Ning, Y; Zhang, Z</t>
  </si>
  <si>
    <t>Ke, Yongjian; Ling, Florence Y. Y.; Ning, Yan; Zhang, Zhe</t>
  </si>
  <si>
    <t>Managing relationships in large public projects: comparative study of China and Singapore</t>
  </si>
  <si>
    <t>Purpose One of the solutions to manage large public projects that are complex and difficult to manage is through relationship management. Although formal and relational approaches have been adopted in managing relationships, it is widely recognized that participants from developed and developing economies have different mindsets toward these two approaches. The purpose of this paper is hence to elucidate the more effective practices for managers to manage relationships in large public projects that are in countries of different sizes and stages of development. Design/methodology/approach A structured questionnaire survey was conducted. Multiple stakeholders involved in public construction projects in Singapore and China that include public sector clients and consultants, private sector contractors and conszultants, were approached for data collection to provide information on one of their completed large public project. Findings Both Singapore and China primarily adopt contractual governance by making rational decisions, pursuing profit and using the contract to guard against trouble. Participants in Singapore are more deeply committed and work more collaboratively than their counterparts in China. Project partners in China build stronger relationships, which may be due to the importance of guanxi to conduct business activities there. Originality/value The comparative study provides managers with different sets of governance practices to adopt to improve the relationships with public clients in large public projects under different environments. In large public projects in developed countries, participants should rely more on relational practices that show commitment and teamwork, while those in developing countries participate in activities that build up their social networks.</t>
  </si>
  <si>
    <t>Ke, Yongjian/C-6071-2014</t>
  </si>
  <si>
    <t>Ke, Yongjian/0000-0003-3426-703X</t>
  </si>
  <si>
    <t>JUL 15</t>
  </si>
  <si>
    <t>10.1108/BEPAM-10-2018-0128</t>
  </si>
  <si>
    <t>WOS:000479232000002</t>
  </si>
  <si>
    <t>Musil, M; Smutny, M</t>
  </si>
  <si>
    <t>Musil, Michal; Smutny, Martin</t>
  </si>
  <si>
    <t>Effectiveness of strategic environmental assessment in the Czech Republic</t>
  </si>
  <si>
    <t>The widespread application of SEA over the last 15years in the Czech Republic has allowed for a gradual accommodation of SEA procedural steps into the standard bureaucratic routine of public authorities. In this paper, we discuss results of a small-scale survey among Czech SEA practitioners focusing on issues related to the effectiveness and efficiency of the SEA. The results suggest a moderate progress driven primarily by the accumulation of practical experience among both SEA consultants and the planners, and there is certainly no shortage of examples where SEA positively affected a plan. On the other hand, continuation of many negative general environmental trends (e.g. excessive conversion of virgin land for development, continuation of environmentally harmful agriculture and forestry policies, etc.) seem to conform the notion that the SEA, as currently practiced, in the Czech Republic fails to deliver to its full potential.</t>
  </si>
  <si>
    <t>10.1080/14615517.2019.1578482</t>
  </si>
  <si>
    <t>WOS:000476565900003</t>
  </si>
  <si>
    <t>Dabner, J</t>
  </si>
  <si>
    <t>Dabner, Justin</t>
  </si>
  <si>
    <t>Joint Crediting Mechanism in Practice</t>
  </si>
  <si>
    <t>ENVIRONMENTAL AND PLANNING LAW JOURNAL</t>
  </si>
  <si>
    <t>The Japanese government has developed the Joint Crediting Mechanism (JCM) in response to the inadequacies of the Kyoto Protocol's Clean Development Mechanism. In a previous article in this journal the author outlined the features of the JCM. This article draws on interviews with officials, consultants and corporations to assess the practical application of the JCM. It concludes that, to best achieve its environmental mandate, JCM offset credits need to be of value. Furthermore, the JCM's diplomatic and commercial objectives are substantially achieved by the complementary funding program for JCM projects. Better alinement of the two programs could enhance their environmental effectiveness. The introduction of an emissions trading scheme in Australia (or extension of the Safeguard Mechanism) would likely provide a market for carbon offsets. Given that the current Australian offset scheme is solely domestic focused a case could be made to also introduce, at that time, a JCM type scheme that awarded offset credits to Australian entities engaged in foreign joint ventures achieving low-cost emissions reductions.</t>
  </si>
  <si>
    <t>0813-300X</t>
  </si>
  <si>
    <t>WOS:000483889900001</t>
  </si>
  <si>
    <t>Lacanna, G; Wagenaa, C; Avermaete, T; Swami, V</t>
  </si>
  <si>
    <t>Lacanna, Giuseppe; Wagenaa, Cor; Avermaete, Tom; Swami, Viren</t>
  </si>
  <si>
    <t>Evaluating the Psychosocial Impact of Indoor Public Spaces in Complex Healthcare Settings</t>
  </si>
  <si>
    <t>HERD-HEALTH ENVIRONMENTS RESEARCH &amp; DESIGN JOURNAL</t>
  </si>
  <si>
    <t>Objective: This article describes an approach to a metrics-based evaluation of public space in hospitals using cross-disciplinary qualitative and quantitative analyses. The method, Indoor Public Space Measurement (IPSM), is well suited to researchers and designers who intend to evaluate user-centered spatial solutions in hospitals and similar facilities. Background: Healthcare is transiting toward a value-based policy at all levels. Choosing the right set of qualitative and quantitative analyses to support value-based design solutions is not always an easy journey for healthcare design consultants. This article seeks to pull together the key analyses to evaluate the impact of the hospital indoor public space on the psychosocial well-being of the hospital users. Method: A step-by step guide to performing key analyses to evaluate the impact of hospital indoor public space environment on the users' psychosocial well-being is provided. A case study from the authors' research is utilized to illustrate the application of the method. Results: Interpolating the results of all the analyses, the reader can identify where in the layout most of interactions among users occur, identify their typology and evaluate the contribution to the general psychosocial well-being, and know which group of users is more exposed to a specific typology of interaction. Conclusions: The IPSM method can help design consultants to measure the impact of the built environment of hospital public space on its occupants' psychosocial well-being: factual knowledge about the users' behavioral response with respect to wayfinding and social interaction. The application of the method is not limited to healthcare settings only.</t>
  </si>
  <si>
    <t>1937-5867</t>
  </si>
  <si>
    <t>2167-5112</t>
  </si>
  <si>
    <t>10.1177/1937586718812439</t>
  </si>
  <si>
    <t>WOS:000475784900002</t>
  </si>
  <si>
    <t>Store-Valen, M; Buser, M</t>
  </si>
  <si>
    <t>Store-Valen, Marit; Buser, Martine</t>
  </si>
  <si>
    <t>Implementing sustainable facility management Challenges and barriers encountered by Scandinavian FM practitioners</t>
  </si>
  <si>
    <t>Purpose The development of sustainable facilities management (FM) practices requires active and integrated engagement of the FM organization. Building on a three-year research project (2015-2018) within Nordic Built that aims to strengthen FM competencies in the Scandinavian countries, this paper aims to list and document the challenges and barriers of implementing sustainability as identified by the Scandinavian FM practitioners who took part in this research. Design/methodology/approach The paper builds on the understanding gained from using an interpretive sociological approach and uses qualitative mixed methods to collect data from four workshops, group sessions and expert group discussions with a mix of representatives including owners, property managers, facilities managers, consultants, teachers and academics. Four case studies were completed of refurbishment projects implementing sustainable solutions; these encompassed in-depth interviews with the stakeholders, site visits, observations of meetings and gathering project documentation. The data were complemented by a systematic literature review on a selection of topics focusing on articles referring directly to FM, the sustainability of FM, ends-user and stakeholder involvement, energy performance and sustainability. The challenges and barriers identified in practice were compared to those found in the literature. Findings The concept of sustainability, and its different dimensions and implications, seems to be well understood now by the practitioners who participated in this study, who claimed they were able to provide the required solutions. What seems to be lacking, though, is the possibility of convincing the end-users, who are expected to operate and maintain the facilities, to act according to the standards that these solutions require. It appears to be easier to focus on the technical aspects than on the end-users' behaviors. The practitioners reported a shortage of social competencies and tools to deal with the situation, and despite an increasing awareness of smart technology, they lacked solutions to engage the end-users in optimizing the facilities. Besides, not all FM companies were well equipped to face the challenges imposed by the sustainable agenda; the small and medium enterprises in particular seemed to be struggling to implement the different dimensions of sustainability. Originality/value This paper provides an update on the level of the development of sustainable FM in the three Scandinavian countries. This is highly relevant for Scandinavian practitioners, but the authors consider this relevant for international practitioners, researchers, academics and teachers and developers as well. Practitioners and researchers are invited to join in these efforts to explore how to find practical frameworks, tools, policies and instruments and new services that will improve sustainable FM practices.</t>
  </si>
  <si>
    <t>JUL 1</t>
  </si>
  <si>
    <t>9-10</t>
  </si>
  <si>
    <t>10.1108/F-01-2018-0013</t>
  </si>
  <si>
    <t>WOS:000479217200003</t>
  </si>
  <si>
    <t>Marco, CA; Geiderman, JM; Schears, RM; Derse, AR</t>
  </si>
  <si>
    <t>Marco, Catherine A.; Geiderman, Joel M.; Schears, Raquel M.; Derse, Arthur R.</t>
  </si>
  <si>
    <t>Emergency Medicine in the #MeToo Era</t>
  </si>
  <si>
    <t>ACADEMIC EMERGENCY MEDICINE</t>
  </si>
  <si>
    <t>Sexual harassment is a serious threat to a safe and productive workplace. The emergency department (ED) environment poses unique threats, including stress, time constraints, working in close physical proximity, and frequent personal contacts with staff, colleagues, consultants, and difficult patients. Sexual harassment must be recognized and addressed in individual cases, in policy and in law, to protect staff members and patients. This article addresses the scope of the problem of sexual harassment known to date. It describes the ED environment and culture and why they may be conducive to harassment or abusive behavior. The authors examine relationships among staff, legal and regulatory issues, and strategies for prevention and remediation of inappropriate behavior. The article ends with a call for future research.</t>
  </si>
  <si>
    <t>1069-6563</t>
  </si>
  <si>
    <t>1553-2712</t>
  </si>
  <si>
    <t>10.1111/acem.13814</t>
  </si>
  <si>
    <t>JUN 2019</t>
  </si>
  <si>
    <t>WOS:000476267100001</t>
  </si>
  <si>
    <t>Sharpe, R; Barling, D</t>
  </si>
  <si>
    <t>Sharpe, Rosalind; Barling, David</t>
  </si>
  <si>
    <t>'The right thing to do': ethical motives in the interpretation of social sustainability in the UK's conventional food supply</t>
  </si>
  <si>
    <t>AGRICULTURE AND HUMAN VALUES</t>
  </si>
  <si>
    <t>Symposium on Ethics and Sustainable Agri-Food Governance / 27th Annual Congress of the European-Society-for-Rural-Sociology (ESRS)</t>
  </si>
  <si>
    <t>JUL 24-27, 2017</t>
  </si>
  <si>
    <t>Krakow, POLAND</t>
  </si>
  <si>
    <t>European Soc Rural Sociol</t>
  </si>
  <si>
    <t>This paper explores the role of ethics and responsibility as drivers of a transition to a more sustainable agri-food system, by drawing on an investigation of the governance of social sustainability in the UK's conventional food supply. The paper investigates how and why various non-state actors in the conventional food supply construe certain social obligations as being part of the remit of the food supply; whether ethics plays a motivating role; and the extent to which their activities are linked to sustainability. The paper uses data collected via two surveys of diverse entities in the conventional food supply, the first a survey of public-facing websites, the second a series of in-depth interviews. The entities ranged from primary producers, manufacturers and food service operators to consultancies, standard-setting organisations and advocacy groups. The study finds that actors view a variety of socially focused or socially beneficial activities as legitimate governance concerns for the conventional food supply, and that ethics plays a role in motivating or justifying these activities. However, the activities are inconsistently associated with sustainability, a finding that may undermine the use of sustainability programmes as tools for driving ethical agendas. Moreover, the dominant business framing of the conventional food supply means that ethical considerations are often expressed in terms of more instrumental priorities. Social sustainability or responsibility actions can be justified on moral grounds as the right thing to do' but usually have to be backed up in more pragmatic terms as a way of doing well by doing good'.</t>
  </si>
  <si>
    <t>Sharpe, Rosalind/0000-0003-4897-697X</t>
  </si>
  <si>
    <t>0889-048X</t>
  </si>
  <si>
    <t>1572-8366</t>
  </si>
  <si>
    <t>10.1007/s10460-019-09924-3</t>
  </si>
  <si>
    <t>WOS:000467900000014</t>
  </si>
  <si>
    <t>Pogoda, B; Brown, J; Hancock, B; Preston, J; Pouvreau, S; Kamermans, P; Sanderson, W; von Nordheim, H</t>
  </si>
  <si>
    <t>Pogoda, Bernadette; Brown, Janet; Hancock, Boze; Preston, Joanne; Pouvreau, Stephane; Kamermans, Pauline; Sanderson, William; von Nordheim, Henning</t>
  </si>
  <si>
    <t>The Native Oyster Restoration Alliance (NORA) and the Berlin Oyster Recommendation: bringing back a key ecosystem engineer by developing and supporting best practice in Europe</t>
  </si>
  <si>
    <t>AQUATIC LIVING RESOURCES</t>
  </si>
  <si>
    <t>Efforts to restore the native oyster Ostrea edulis and its associated habitats are gaining momentum across Europe. Several projects are currently running or being planned. To maximize the success of these, it is crucial to draw on existing knowledge and experience in order to design, plan and implement restoration activities in a sustainable and constructive approach. For the development of best practice recommendations and to promote multidimensional knowledge and technology exchange, the Native Oyster Restoration Alliance (NORA) was formed by partners from science, technology, nature conservation, consultancies, commercial producers and policy-makers. The NORA network will enhance scientific and practical progress in flat oyster restoration, such as in project planning and permitting, seed oyster production, disease management and monitoring. It also focuses on joint funding opportunities and the potential development of national and international regulatory frameworks. The main motivation behind NORA is to facilitate the restoration of native oyster habitat within its historic biogeographic range in the North Sea and other European seas along with the associated ecosystem services; services such as enhancing biodiversity, including enhanced fish stocks, nutrient cycling and sediment stabilization. NORA members agreed on a set of joint recommendations and strongly advise that any restoration measure should respect and apply these recommendations: The Berlin Oyster Recommendation is presented here. It will help guide the development of the field by developing and applying best practice accordingly. NORA also aims to combine the outreach activities of local projects for improved community support and awareness and to provide educational material to increase knowledge of the key ecological role of this species and increase awareness among regulators, permit providers and stakeholders. A synthesis of O. edulis restoration efforts in Europe is provided and underlines the general significance in the field.</t>
  </si>
  <si>
    <t>Pogoda, Bernadette/Q-6351-2016</t>
  </si>
  <si>
    <t>0990-7440</t>
  </si>
  <si>
    <t>1765-2952</t>
  </si>
  <si>
    <t>MAY 30</t>
  </si>
  <si>
    <t>10.1051/alr/2019012</t>
  </si>
  <si>
    <t>WOS:000469825200001</t>
  </si>
  <si>
    <t>Byrne, JP; Power, R; Kiersey, R; Varley, J; Doherty, CP; Saris, AJ; Lambert, V; Fitzsimons, M</t>
  </si>
  <si>
    <t>Byrne, John-Paul; Power, Robert; Kiersey, Rachel; Varley, Jarlath; Doherty, Colin P.; Saris, A. Jamie; Lambert, Veronica; Fitzsimons, Mary</t>
  </si>
  <si>
    <t>The rhetoric and reality of integrated patient-centered care for healthcare providers: An ethnographic exploration of epilepsy care in Ireland</t>
  </si>
  <si>
    <t>EPILEPSY &amp; BEHAVIOR</t>
  </si>
  <si>
    <t>In line with healthcare reform across the world, the National Clinical Programme for Epilepsy (NCPE) in Ireland describes a model that aims to achieve holistic integrated person (patient)-centered care (PCC). While generally welcomed by stakeholders, the steps required to realize the NCPE ambition and the preparedness of those involved to make the journey are not clear. This study explored the perceptions of healthcare providers in the Irish epilepsy care ecosystem to understand their level of readiness to realize the benefits of an integrated PCC model. Ethnographic fieldwork including observations of different clinical settings across three regions in Ireland and one-to-one interviews with consultant epileptologists (n = 3), epilepsy specialist nurses (n = 5), general practitioners (n = 4), and senior healthcare managers (n = 3) were conducted. While there is a person-centered ambiance and a disposition toward advancing integrated PCC, there are limits to the readiness of the epilepsy care environment to fully meet the aspirations of healthcare reform. These are the following: underdeveloped healthcare partnerships:, poor care coordination:, unintended consequences of innovation:, and tension between pace and productivity. In the journey from policy to practice, the following multiple tensions collide: policy aims to improve services for all patients while simultaneously individualizing care: demands for productivity limit the time and space required to engage in incremental and iterative improvement initiatives. Understanding these tensions is an essential first step on the pathway to integrated PCC implementation. (C) 2019 Elsevier Inc. All rights reserved.</t>
  </si>
  <si>
    <t>Byrne, John-Paul/R-5918-2019; Kiersey, Rachel/C-4447-2018</t>
  </si>
  <si>
    <t>1525-5050</t>
  </si>
  <si>
    <t>1525-5069</t>
  </si>
  <si>
    <t>10.1016/j.yebeh.2019.02.011</t>
  </si>
  <si>
    <t>WOS:000467913700015</t>
  </si>
  <si>
    <t>Lamson-Hall, P; Angel, S; DeGroot, D; Martin, R; Tafesse, T</t>
  </si>
  <si>
    <t>Lamson-Hall, Patrick; Angel, Shlomo; DeGroot, David; Martin, Richard; Tafesse, Tsigereda</t>
  </si>
  <si>
    <t>A new plan for African cities: The Ethiopia Urban Expansion Initiative</t>
  </si>
  <si>
    <t>Recent research indicates that a simplified approach to urban planning in Sub-Saharan African cities can address the challenges of rapid urban growth. Current plans focus too heavily on the existing area of the city and offer unrealistic agendas for future urban growth, such as densification, containment and high-rise development; plans that are often too complicated and too costly to be deployed in a developing-world context. In response, New York University and the Government of Ethiopia have created a programme to deploy a simple methodology called Making Room for Urban Expansion in 18 Ethiopian cities that are experiencing rapid growth. The programme is called the Ethiopia Urban Expansion Initiative. The Initiative set aside a number of standard planning objectives and instead focused only on expanding city boundaries to include adequate land for expansion, designing and protecting a network of arterial roads spaced approximately 1 km apart, and identifying and protecting environmentally sensitive open spaces. These efforts focused on areas that had not yet been occupied by development. This article reports on the preliminary results from the four Ethiopian cities participating in the Initiative that began in 2013. The results from the first four participating cities show that simple plans can lead to the creation of new arterial roads, increasing access to peripheral land and potentially bringing the available land supply in line with projected growth. These activities can be done at the local level and implemented with limited support from consultants and from the regional and national government, and it requires minimal public investment.</t>
  </si>
  <si>
    <t>1360-063X</t>
  </si>
  <si>
    <t>10.1177/0042098018757601</t>
  </si>
  <si>
    <t>WOS:000463031800010</t>
  </si>
  <si>
    <t>Lee, JY; Chang, CH</t>
  </si>
  <si>
    <t>Lee, Jun-Yen; Chang, Ching-Hsing</t>
  </si>
  <si>
    <t>Efforts toward Creating a Sustainable Business Model: An Empirical Investigation of Small-Scale Certified Forestry Firms in Taiwan</t>
  </si>
  <si>
    <t>Forest certification plays a notable role in promoting sustainability. This certification shows that forestland holders have adopted innovative practices toward realizing sustainable business models. Relatively little analysis has been devoted to identifying the efforts of transforming a conventional business model into a sustainable version through the application of forest certification. This paper examines the elements of a sustainable business model: value proposition, value creation and delivery, and value capture in certified forestland holders' business operations. Empirical results have confirmed that certification signifies a successful sustainability transformation within adopting firms. However, these small organizations struggle with obtaining know-how regarding sustainable forest management. There needs to be adequate external support, such as government consultants or academic researchers, in order to successfully adopt third-party forest certification. However, while practicing sustainable forest management activities will not guarantee premium prices, the certification has, in some rare cases, helped to develop a new niche market. Good communication with stakeholders has improved firms' relationships with local residents, but more channels of communication are still needed to activate green consumers.</t>
  </si>
  <si>
    <t>10.3390/su11092523</t>
  </si>
  <si>
    <t>WOS:000469518700071</t>
  </si>
  <si>
    <t>Zhang, CC; Xiao, CW; Liu, HL</t>
  </si>
  <si>
    <t>Zhang, Chuchu; Xiao, Chaowei; Liu, Helin</t>
  </si>
  <si>
    <t>Spatial Big Data Analysis of Political Risks along the Belt and Road</t>
  </si>
  <si>
    <t>As many regions along the Belt and Road have long been struggling with terrorist attacks, crimes, wars, and corruption, political risks pose important challenges for infrastructure projects and transnational investment. The objective of the article is to contribute to the identification of different types of political risks along the Silk Road Economic Belt and 21st Century Maritime Silk Road, and the visualization of their micro-level spatial distribution based on the Global Database of Events, Language, and Tone (GDELT) datasets from October 2013 to May 2018. By adopting the bivariate Moran's I model to compare the distribution of political risks along the Belt and Road and that of the Chinese Belt and Road Initiative (BRI) investment and construction projects based on data from the China Global Investment Tracker (CGIT), the article also generates an overall political risk profile for Chinese BRI projects. Our findings show that a particularly high percentage of Chinese BRI projects are distributed in regions with high political risks. This research has important implications for the discussion and study of the BRI. First, by combining geographic spatial statistical analysis and political science conceptual frameworks, we point out the necessity to query the BRI from interdisciplinary perspectives grounded in empirical research. Second, the research delivers to researchers, academics, practitioners, consultants and policy makers interested in the BRI the latest insights into the risks and challenges along the Belt and Road. Third, it advocates policies and strategies conducive to identifying, assessing and mitigating political risks in investment along the Belt and Road and to strengthening the sustainable development of the BRI.</t>
  </si>
  <si>
    <t>Liu, Helin/0000-0002-1837-8381</t>
  </si>
  <si>
    <t>10.3390/su11082216</t>
  </si>
  <si>
    <t>WOS:000467752200029</t>
  </si>
  <si>
    <t>Titanium, zirconium resources and production: A state of the art literature review</t>
  </si>
  <si>
    <t>ORE GEOLOGY REVIEWS</t>
  </si>
  <si>
    <t>Recent zircon supply disruptions and the increasing demand for TiO2 in pigments has focused attention on the adequacy of known and anticipated resources, and the ability of current suppliers to meet future demand. Additionally, there is now a greater focus on the environmental impact of sulfate- and chloride-route pigment production, especially in China. These methods require different types of titanium feedstocks, each having different levels of availability. Despite investigation by various government groups, consultants, and scholars, there remain significant discrepancies in both production and resource assessments. The few publically available studies do not take into account these complexities. Here we review the public sources for information on zirconium and titanium production and resources using Australia as a case study, factors affecting resource availability, the complexity of titanium and zirconium feedstocks, their suitability for end-uses, their commercial properties, supply drivers. We also provide a thorough history of the titanium and zirconium industry, an overview of deposit geology &amp; ilmenite alteration terminology, logistics, mining and processing techniques, as well as an examination of each of the major co-products of titanium and zirconium extraction.</t>
  </si>
  <si>
    <t>Perks, Cameron/AAU-6088-2020</t>
  </si>
  <si>
    <t>0169-1368</t>
  </si>
  <si>
    <t>1872-7360</t>
  </si>
  <si>
    <t>10.1016/j.oregeorev.2019.02.025</t>
  </si>
  <si>
    <t>WOS:000470194300039</t>
  </si>
  <si>
    <t>Moore, K</t>
  </si>
  <si>
    <t>Moore, Katherine</t>
  </si>
  <si>
    <t>The quest for sustainable employment: Challenges faced by young people during the job-search process</t>
  </si>
  <si>
    <t>AUSTRALIAN JOURNAL OF SOCIAL ISSUES</t>
  </si>
  <si>
    <t>Young people who are unable to find and sustain employment are at risk for long-term social and economic exclusion. Active labour market policies (ALMPs) addressing the problem of youth unemployment have focused on building the employability skills of young job seekers to expand their employment opportunities. Yet research exploring how young people navigate the job-search process is limited. Drawing on interviews with young Australian job seekers and their employment consultants, this article addresses the questions of how young people navigate entry into employment through the job-search process and what challenges they face. The study revealed three common frustrations experienced by the young people during their job-search: employers' expectations of relevant work experience in the young person's preferred occupation, being required to apply for jobs not aligned with their career aspirations, and the impact of personal factors on their ability to confidently present themselves to prospective employers. The findings highlight the need for ALMPs and employers to facilitate positive employability support mechanisms that will build a stable platform from which young people can build a trajectory towards sustainable employment to reduce long-term youth unemployment.</t>
  </si>
  <si>
    <t>Moore, Katherine/AAC-5113-2019</t>
  </si>
  <si>
    <t>Moore, Katherine/0000-0003-4176-9927</t>
  </si>
  <si>
    <t>0157-6321</t>
  </si>
  <si>
    <t>1839-4655</t>
  </si>
  <si>
    <t>10.1002/ajs4.60</t>
  </si>
  <si>
    <t>WOS:000462204400006</t>
  </si>
  <si>
    <t>Vincent, S; Pagan, V</t>
  </si>
  <si>
    <t>Vincent, Steve; Pagan, Victoria</t>
  </si>
  <si>
    <t>Entrepreneurial agency and field relations: A Realist Bourdieusian Analysis</t>
  </si>
  <si>
    <t>HUMAN RELATIONS</t>
  </si>
  <si>
    <t>This article addresses the problem of understanding and assessing how entrepreneurial and self-employed workers engage with economic fields as they pursue their interests. It considers the differing experiences of entrepreneurial workers by developing a transferable approach to studying the relations between their environments, practices and values. The approach developed combines Bourdieusian and critical realist scholarship to explore qualitative data about the networking practices of 25 self-employed and entrepreneurial human resource consultants who competed in a conurbation in the North of England. We argue that the form of analysis that develops, which we call Realist Bourdieusian Analysis, reveals more about the causal properties of the social formations entrepreneurial workers navigate than analyses that are limited within each lexicon. Arguably, combining Bourdieusian analysis and critical realism enriches our understanding of the constituent parts of economic fields, the resources entrepreneurial workers access through them, and agents' relations, experiences and reflexive struggles. This novel approach, we argue, facilitates deeper appreciation of these workers' experiences and more insightful critique of existing supports to entrepreneurship, as well as the possibility of prescribing policy supports that might enable workers within the field studied. The analysis concludes by highlighting the practical, theoretical and methodological contributions of this research.</t>
  </si>
  <si>
    <t>0018-7267</t>
  </si>
  <si>
    <t>1741-282X</t>
  </si>
  <si>
    <t>10.1177/0018726718767952</t>
  </si>
  <si>
    <t>WOS:000456399400002</t>
  </si>
  <si>
    <t>Almasan, RE; Ionescu, EV; Iliescu, MG; Oprea, C; Iliescu, DM; Nenciu, MI; Golumbeanu, M</t>
  </si>
  <si>
    <t>Almasan, R. E.; Ionescu, E. V.; Iliescua, M. G.; Oprea, C.; Iliescu, D. M.; Nenciu, M. I.; Golumbeanu, M.</t>
  </si>
  <si>
    <t>TECHIRGHIOL LAKE IN THE CONTEXT OF THE INTEGRATED DEVELOPMENT OF HEALTH TOURISM</t>
  </si>
  <si>
    <t>JOURNAL OF ENVIRONMENTAL PROTECTION AND ECOLOGY</t>
  </si>
  <si>
    <t>The tourism destination management of the Techirghiol area involves many processes regarding the usage of natural resources from the lake Techirghiol for therapeutic purposes and should be a major concern of the local and central public administration, upon the long-term management of the Romanian natural heritage. With one of the richest and oldest historical balneal bases in Romania, Balneal and Rehabilitation Sanatorium of Techirghiol is preoccupied with the development of the methods and means of ensuring the preservation and sustainable use of its natural heritage, such as the sapropelic mud of Techirghiol. Techirghiol Lake was declared protected area by means of Government decision (G.D.) 1266/2000, and, in 2006 also as Ramsar site (Convention on Wet Areas) by means of G.D. 1586/2006, and in 2007 Area of Special Aqui-Fauna Special Protection (SPA), thus being part of the European network of protected areas Natura 2000. One of the management projects of the specialists from the research nucleus of Balneal and Rehabilitation Sanatorium of Techirghiol involves the development of an integrated special catalog for guideline balneal treatments and touristic consultancy services both for Romanian and foreign tourists, adapted to the specific individual needs, including social tourism which is representative in this area. The Balneal and Rehabilitation Sanatorium of Techirghiol offers many spa and medical balneal treatments during the entire year, with obvious peak in middle summer, with a big development in this moment of wellness treatments using natural factors from lake resources, as a priority of the local management to improve all aspects of patient well-being.</t>
  </si>
  <si>
    <t>1311-5065</t>
  </si>
  <si>
    <t>WOS:000463406800023</t>
  </si>
  <si>
    <t>Kongmanee, C; Satsue, P; Phitthayaphinant, P</t>
  </si>
  <si>
    <t>Kongmanee, Chaiya; Satsue, Palakorn; Phitthayaphinant, Purawich</t>
  </si>
  <si>
    <t>Factors Affecting Achievement and Impacts of Research Projects in Project Package of Para-Rubber Industry Development</t>
  </si>
  <si>
    <t>APPLIED ECONOMICS JOURNAL</t>
  </si>
  <si>
    <t>This article aims to analyze factors affecting the achievement of research projects in the project package of para-rubber industry development, and to investigate the impacts of those research projects. The data were collected using structured questionnaires from 101 research project leaders; in addition, in-depth interviews were used with the key informants of the 15 research projects using purposive selection. Descriptive statistics, ordered probit regression and manifest content analysis were used for data analysis. The results showed a moderate level of overall achievement of the research projects. The statistically significant factors affecting the achievement of the research projects were general research experience of the research project leaders, research grant, remuneration for the research project leaders, interaction with external research networks, utilization of facilities of the host organization, and the environment of the host organization affecting the efficiency and achievement of the research projects. Impacts of the research projects consist of 3 parts: (1) impacts on the researchers, i.e., increased skills and ability to conduct research, enhanced research management and teaching skills, being invited as a keynote speaker and consultant as well as employing of the research outputs for a higher academic position, (2) impacts on the graduates participating in the research projects, i.e., spending less time to get a job after graduation, comparatively high remuneration as well as becoming specialized, and (3) impacts on the third party utilizing research outputs. The results are useful for the Thailand Research Fund (TRF), other research grant associations and educational institutions to formulate appropriate policy for further research supports.</t>
  </si>
  <si>
    <t>2586-9124</t>
  </si>
  <si>
    <t>2586-9132</t>
  </si>
  <si>
    <t>WOS:000598881800001</t>
  </si>
  <si>
    <t>Thorn, S; Hobbs, RJ; Valentine, LE</t>
  </si>
  <si>
    <t>Thorn, Sian; Hobbs, Richard J.; Valentine, Leonie E.</t>
  </si>
  <si>
    <t>Effectiveness of biodiversity offsets: An assessment of a controversial offset in Perth, Western Australia</t>
  </si>
  <si>
    <t>Environmental offsets are used increasingly as a conservation tool to balance demands of development and environment but there is little evidence that offsets are effective. Our study assessed the effectiveness of the offset package developed for the Roe Highway Extension, in Western Australia, for Carnaby's black cockatoo, red-tailed black cockatoo and southern brown bandicoot. Black cockatoos were accounted for in the offset requirements, while Southern brown bandicoots were accounted for in the mitigation requirements of the approval but not the offset requirements. The development was cancelled after partial clearing and has not been completed. Pre-development consultant surveys were examined in relation to the offset requirements. Fieldwork was conducted at the offset sites to ground-truth habitat qualities where possible. The offset package was then compared to the principles of Australian Commonwealth and State offset policies. We found the offset package did not completely satisfy Commonwealth or State offset requirements, showed inconsistencies with the policies and produced net loss of environmental value. The offset sites provided 64% of the black cockatoo habitat required by the Commonwealth offset requirements, and were of a lower quality. Similarly, undergrowth vegetation (&lt; 1 m; used by southern brown bandicoots) varied between the development and offset sites, indicating the offset proposal approval criteria 'similar or better quality' was not met. Like for like is not always required by offset legislation, but it was required in the approval criteria for this development project. The offset sites had previously been deemed unfit for development by the EPA, resulting in little additionality, a fundamental factor in ensuring true gains to compensate for the loss. To improve the suitability of offsets as a conservation tool we strongly encourage a checking process to confirm ecological outcomes of an offset, a contingency plan for if the offset doesn't provide sufficient ecological outcomes, greater consideration of requirements of species affected and stricter adherence to the wider principles of offsets. The use of biodiversity offsets is nearly inevitable given current development policies and processes; however, the application of offsets can be substantially improved to reduce further net loss of environmental value.</t>
  </si>
  <si>
    <t>Valentine, Leonie Ellen/G-9963-2012; Hobbs, Richard J/F-5883-2010</t>
  </si>
  <si>
    <t>10.1016/j.biocon.2018.10.021</t>
  </si>
  <si>
    <t>WOS:000452815200032</t>
  </si>
  <si>
    <t>Ali, Z; Zhu, FW; Hussain, S</t>
  </si>
  <si>
    <t>Ali, Zaigham; Zhu, Fangwei; Hussain, Shahid</t>
  </si>
  <si>
    <t>Identification and Assessment of Uncertainty Factors that Influence the Transaction Cost in Public Sector Construction Projects in Pakistan</t>
  </si>
  <si>
    <t>Like other kinds of projects, construction projects are exposed to uncertainty, which plays a critical role in determining the transaction cost (TC). This study explores the uncertainty factors that are associated with construction projects that substantially influence the TC. To obtain the opinions of construction professionals, a survey questionnaire was developed after identifying 30 relevant causes of uncertainty from the literature. A survey of 216 professionals was conducted in Pakistan, and the relative importance index (RII) was used to prioritize the significant uncertainty factors that escalate the TC. Based on the responses from various construction professionals, this study determined that the most significant uncertainty factors that influence TC are: competitive tendering, incomplete design and specifications, late payments, conflict management, delayed possession of sites, force majeure, and work acceleration. This study also compared and analyzed the views of project managers and consultants and found that uncertainty from internal sources has a more significant influence on TC than that from external sources. The political and environmental groups do not contribute much escalating the TC. However, uncertainties that arise from the commercial, project site, and technical groups are more of an influence on TC. This research helps practitioners and professionals to adopt integrative systems in most uncertain situations proactively to find opportunities in volatile markets to reduce the impact of uncertainty on the total project cost.</t>
  </si>
  <si>
    <t>10.3390/buildings8110157</t>
  </si>
  <si>
    <t>WOS:000451306700011</t>
  </si>
  <si>
    <t>Dibo, APA; Noble, BF; Sanchez, LE</t>
  </si>
  <si>
    <t>Alves Dibo, Ana Paula; Noble, Bram F.; Sanchez, Luis Enrique</t>
  </si>
  <si>
    <t>Perspectives on Driving Changes in Project-based Cumulative Effects Assessment for Biodiversity: Lessons from the Canadian Experience</t>
  </si>
  <si>
    <t>Cumulative effects assessment (CEA), as a required practice for the environmental assessment (EA) of projects in many countries, faces several practical challenges, especially related to biodiversity. Drawing on the perspectives and experiences of Canadian EA practitioners, this paper explores options or drivers of change for improving project-based assessment to better tackle cumulative effects on biodiversity. An on-line survey was conducted with 40 professionals from the private sector, government departments/agencies, universities, and non-governmental organizations, examining the current challenges and opportunities regarding: CEA process for biodiversity; responsibilities for undertaking CEA tasks; resources to support and promote good CEA practice. In terms of process, there is shared understanding on: (i) the need of EA terms of reference to provide specific directions on CEA; (ii) CEA should capture both human and natural drivers of cumulative change; (iii) spatial boundaries for CEA should be based on ecological boundaries. There are dissenting views about: (i) whether CEA should consider all valued components (VCs) potentially affected by a project or only those for which residual effects are predicted; and (ii) delimitation of future temporal limits. In terms of responsibilities, participants agreed that project proponents should retain a central role in conducting CEA, but government agencies should lead the collection/provision of information about other projects in the study area and baseline VC conditions. Information and knowledge management resources could be also applied in the context of governmental agencies and consultancy firms to support CEA for biodiversity.</t>
  </si>
  <si>
    <t>10.1007/s00267-018-1086-6</t>
  </si>
  <si>
    <t>WOS:000449306600009</t>
  </si>
  <si>
    <t>An, Y; Rogers, J; Kingsley, G; Matisoff, DC; Mistur, E; Ashuri, B</t>
  </si>
  <si>
    <t>An, Yehyun; Rogers, Juan; Kingsley, Gordon; Matisoff, Daniel C.; Mistur, Evan; Ashuri, Baabak</t>
  </si>
  <si>
    <t>Influence of Task Complexity in Shaping Environmental Review and Engineering Design Durations</t>
  </si>
  <si>
    <t>Timely completion of environmental reviews for transportation projects has been highlighted as a sore point for performance management by public agencies and industry alike. However, despite its importance, few academic studies investigate project-level performance during the environmental review and engineering design or examine which factors influence it significantly. In this study, we observed 560 transportation projects that the Georgia Department of Transportation completed from 2011 to 2015. We modeled distinct processes for three National Environmental Policy Act document typesprogrammatic categorical exclusion, categorical exclusion, and environmental assessmentand investigated detailed durations for environmental review activities associated with regulatory agency relation management, consultant relation management, and internal project management. Adopting task complexity theories, we then examined the influence of four dimensions of task complexity on project performance, measured by the overall durations of the environmental review and engineering design. By investigating performance empirically, this study contributes to methodological advancement and theory development in studies on environmental review. This research contributes to the body of knowledge through the creation of task complexity models to empirically examine the effects of different dimensions of task complexity on environmental review and engineering design durations.</t>
  </si>
  <si>
    <t>Ashuri, Baabak/AAJ-2030-2020</t>
  </si>
  <si>
    <t>Ashuri, Baabak/0000-0002-4320-1035; Matisoff, Daniel/0000-0003-4575-5282</t>
  </si>
  <si>
    <t>10.1061/(ASCE)ME.1943-5479.0000649</t>
  </si>
  <si>
    <t>WOS:000444385500016</t>
  </si>
  <si>
    <t>Khan, M; Chaudhary, MN; Ahmad, SR; Saif, S; Mehmood, A</t>
  </si>
  <si>
    <t>Khan, Mehreen X.; Chaudhary, Muhammad Nawaz; Ahmad, Sajid Rashid; Saif, Samia; Mehmood, Asim</t>
  </si>
  <si>
    <t>Challenges to EIA consultants whilst dealing with stakeholders in Punjab, Pakistan</t>
  </si>
  <si>
    <t>Consultants play a pivotal role in the Environmental Impact Assessment (EIA) process because they are the ones who carry out assessments, deal with multiple stakeholders and thus face the most pressure. Considering the ineffectiveness of the EIA process, the current study attempts to identify the challenges faced by consultants in Punjab whilst dealing with stakeholders. Participant observation, professional practice and unstructured interviews were employed as data collection methods. Key challenges identified include the lack of equal treatment, insufficient capability of Environmental Protection Agency (EPA) and consultants, and the lack of awareness on the parts of the proponents and the public. Legislations accompanied with procedural controls exist in Punjab regarding EIA but the implementation is weak. A strong political will is necessary for implementation of EIA rules and regulation, awareness of the proponents and the public and capacity building of EPA. Registration and accreditation can help bring competent consultants in the field who can improve the process.</t>
  </si>
  <si>
    <t>Ahmad, Sajid/ABH-1971-2020; Khan, Mehreen/AAL-6753-2020</t>
  </si>
  <si>
    <t>10.1016/j.eiar.2018.09.001</t>
  </si>
  <si>
    <t>WOS:000447480100018</t>
  </si>
  <si>
    <t>Ontiveros, LS; Munro, PG; Zurita, MDM</t>
  </si>
  <si>
    <t>Silva Ontiveros, Letizia; Munro, Paul G.; Melo Zurita, Maria de Lourdes</t>
  </si>
  <si>
    <t>Proyectos de Muerte: Energy justice conflicts on Mexico's unconventional gas frontier</t>
  </si>
  <si>
    <t>EXTRACTIVE INDUSTRIES AND SOCIETY-AN INTERNATIONAL JOURNAL</t>
  </si>
  <si>
    <t>In 2013, Mexico's energy law was fundamentally changed, facilitating increased private and foreign investment into the Mexican energy industry. As a part of this energy reform, the Mexican Government has also started to promote unconventional gas extraction across the north-east of Mexico, including a private sector tendered process that commenced in early 2018. These changes have been met with opposition from rural social movements, looking to defend their territory and livelihoods against megaprojects. As a part of these initiatives, unconventional gas projects have been dubbed as being part of Los Proyectos de Muerte, a term coined by rural activists to critique the environmental and social impacts of gas pipelines, large-scale extraction projects, and hydroelectric dam megaprojects across Mexico. Death (Muerte) referring to impacts on: human health, the more-than-human, and the cosmological worlds of different rural communities. In this paper, we critically examine the notion of unconventional gas expansion in Mexico as being Proyectos de Muerte. focusing on justice concerns that have emerged. To inform this analysis, we draw upon interviews with organisations associated with unconventional gas developments and communities potentially affected by these projects, as well as private consultants, advocates and activists.</t>
  </si>
  <si>
    <t>Munro, Paul/AAJ-5532-2020</t>
  </si>
  <si>
    <t>2214-790X</t>
  </si>
  <si>
    <t>2214-7918</t>
  </si>
  <si>
    <t>10.1016/j.exis.2018.06.010</t>
  </si>
  <si>
    <t>WOS:000450354300008</t>
  </si>
  <si>
    <t>Walsh, KA; Sinnott, C; Fleming, A; Mc Sharry, J; Byrne, S; Browne, J; Timmons, S</t>
  </si>
  <si>
    <t>Walsh, Kieran A.; Sinnott, Carol; Fleming, Aoife; Mc Sharry, Jenny; Byrne, Stephen; Browne, John; Timmons, Suzanne</t>
  </si>
  <si>
    <t>Exploring Antipsychotic Prescribing Behaviors for Nursing Home Residents With Dementia: A Qualitative Study</t>
  </si>
  <si>
    <t>JOURNAL OF THE AMERICAN MEDICAL DIRECTORS ASSOCIATION</t>
  </si>
  <si>
    <t>Objectives: Caution is advised when prescribing antipsychotics to people with dementia. This study explored the determinants of appropriate, evidence-based antipsychotic prescribing behaviors for nursing home residents with dementia, with a view to informing future quality improvement efforts and behavior change interventions. Design: Semistructured qualitative interviews based on the Theoretical Domains Framework (TDF). Setting and Participants: A purposive sample of 27 participants from 4 nursing homes, involved in the care of nursing home residents with dementia (8 nurses, 5 general practitioners, 5 healthcare assistants, 3 family members, 2 pharmacists, 2 consultant geriatricians, and 2 consultant psychiatrists of old age) in a Southern region of Ireland. Measures: Using framework analysis, the predominant TDF domains and determinants influencing these behaviors were identified, and explanatory themes developed. Results: Nine predominant TDF domains were identified as influencing appropriate antipsychotic prescribing behaviors. Participants' effort to achieve a fine balance between the risks and benefits of anti-psychotics was identified as the cross-cutting theme that underpinned many of the behavioral determinants. On one hand, neither healthcare workers nor family members wanted to see residents oversedated and without a quality of life. Conversely, the reality of needing to protect staff, family members, and residents from potentially dangerous behavioral symptoms, in a resource-poor environment, was emphasized. The implementation of best-practice guidelines was illustrated through 3 explanatory themes (human suffering; the interface between resident and nursing home; and power and knowledge: complex stakeholder dynamics), which conceptualize how different nursing homes strike this fine balance. Conclusions: Implementing evidence-based antipsychotic prescribing practices for nursing home residents with dementia remains a significant challenge. Greater policy and institutional support is required to help stakeholders strike that fine balance and ultimately make better prescribing decisions. This study has generated a deeper understanding of this complex issue and will inform the development of an evidence-based intervention. (C) 2018 AMDA - The Society for Post-Acute and Long-Term Care Medicine.</t>
  </si>
  <si>
    <t>Walsh, Kieran A/H-9729-2019</t>
  </si>
  <si>
    <t>1525-8610</t>
  </si>
  <si>
    <t>1538-9375</t>
  </si>
  <si>
    <t>10.1016/j.jamda.2018.07.004</t>
  </si>
  <si>
    <t>WOS:000448423900005</t>
  </si>
  <si>
    <t>Curtis, J; McCoy, D; Aravena, C</t>
  </si>
  <si>
    <t>Curtis, John; McCoy, Daire; Aravena, Claudia</t>
  </si>
  <si>
    <t>Heating system upgrades: The role of knowledge, socio-demographics, building attributes and energy infrastructure</t>
  </si>
  <si>
    <t>In the context of moving to a low-carbon economy there is wide interest among policymakers to improve knowledge of decisions surrounding residential heating systems. This research examines four aspects of decision-making with respect to heating system upgrades: home-owner decisions on whether to upgrade, decisions on fuel choice, fuel switching patterns, and an examination of the reasons why home-owners make these decisions. Among the key findings are that proximity to energy infrastructure, e.g. gas network, is an important determinant of residential heating systems upgrades, including fuel choice. With one exception no clear trend emerges on the likelihood of a broad range of socio-demographic variables, including age, income, and working status on home-owner decisions. A cohort of home-owners defined across a few socio-demographic characteristics, including mortgage holders, are predisposed to investing in a heating system upgrade compared to their peers but for reasons unknown do not invest. We also find that environmental concerns, across a number of dimensions, are not an important determining factor in either the decision to upgrade or the subsequent choice of heating system. Information on heating system alternatives is critical for good decision-making but we find that home-owners do not always rely on independent energy consultants for guidance.</t>
  </si>
  <si>
    <t>Curtis, John/Q-8539-2018</t>
  </si>
  <si>
    <t>Curtis, John/0000-0002-6957-5684</t>
  </si>
  <si>
    <t>10.1016/j.enpol.2018.05.036</t>
  </si>
  <si>
    <t>WOS:000440123300018</t>
  </si>
  <si>
    <t>Echeverri, C; Le Roy, J; Worku, B; Venteyoger, P</t>
  </si>
  <si>
    <t>Echeverri, C.; Le Roy, J.; Worku, B.; Venteyoger, P.</t>
  </si>
  <si>
    <t>Mental health capacity building in refugee primary health care settings in Sub-Saharan Africa: impact, challenges and gaps</t>
  </si>
  <si>
    <t>GLOBAL MENTAL HEALTH</t>
  </si>
  <si>
    <t>Background.In 2015, the United Nations High Commissioner for Refugees started a process of mental health capacity building in refugee primary health care settings in seven countries in Sub-Saharan Africa, ultimately aiming to decrease the treatment gap of mental, neurological and substance use (MNS) conditions in these operations. In 2015 and 2016, a specialized non-governmental organization, the War Trauma Foundation, trained 619 staff with the mental health gap action programme (mhGAP) Humanitarian Intervention Guide (HIG), a tool designed to guide clinical decision making in humanitarian settings.Methods.This paper describes the results of a process evaluation of a real-life implementation project by an external consultant, one and a half years after starting the programme.Results.The mhGAP-HIG capacity building efforts had various effects contributing to the integration of mental health in refugee primary health care. Facility-and community-based staff reported strengthened capacities to deliver mental health and psychosocial support interventions as well as changes in their attitude towards people suffering from MNS conditions. Service delivery and collaboration amongst different intervention levels improved. The scarcity of specialized staff in these settings was a major barrier, hindering the setting-up of supervision mechanisms.Conclusion.Mental health training of non-specialized staff in complex humanitarian settings is feasible and can lead to increased competency of providers. However, capacity building is a process' and not an event' and mhGAP trainings are only one element in a spectrum of activities aimed at integrating mental health into general health care. Regular supervision and continuing on-the-job training are in fact critical to ensure sustainability.</t>
  </si>
  <si>
    <t>Ventevogel, Peter/D-5831-2015</t>
  </si>
  <si>
    <t>Ventevogel, Peter/0000-0002-3567-8861</t>
  </si>
  <si>
    <t>2054-4251</t>
  </si>
  <si>
    <t>AUG 28</t>
  </si>
  <si>
    <t>e28</t>
  </si>
  <si>
    <t>10.1017/gmh.2018.19</t>
  </si>
  <si>
    <t>WOS:000442853400001</t>
  </si>
  <si>
    <t>Bossink, B</t>
  </si>
  <si>
    <t>Bossink, Bart</t>
  </si>
  <si>
    <t>The influence of knowledge flow on sustainable innovation in a project-based industry: From demonstration to limited adoption of eco-innovations</t>
  </si>
  <si>
    <t>The effect of the flow of knowledge on sustainable innovation in project-based firms in project-based industries is the subject of in-depth research in this paper. It studies the simultaneous functioning and effects of knowledge flow mechanisms on sustainable innovation in project-based firms in project based industries; industries like the construction-, film-, game-, consultancy-, and IT-industry. To this end, a retrospective case study, covering 20 years (1989-2008) of sustainable innovation in the Dutch house-building industry, is conducted. This study finds that bundles of knowledge flow mechanisms stimulate both sustainable innovation creation by small networks of innovative firms that cooperate in demonstration projects, as well as stimulates a limited adoption of some of these created sustainable innovations by networks of larger incumbent firms outside these demonstration projects. Based on this finding the paper proposes a model and related propositions. To scholars it can serve as a basis for future research that further explores and tests the effect of the flow of knowledge on the eco-innovativeness of industries that heavily rely on projects. The findings can also be of benefit for policy and business practitioners in and around project-based industries. To them it can provide a route for getting sustainable innovations applied on a larger scale, from demonstration projects to regular projects. (C) 2018 Elsevier Ltd. All rights reserved.</t>
  </si>
  <si>
    <t>AUG 20</t>
  </si>
  <si>
    <t>10.1016/j.jclepro.2018.05.063</t>
  </si>
  <si>
    <t>WOS:000437997200020</t>
  </si>
  <si>
    <t>Salmani, N; Rassouli, M; Mandegari, Z; Bagheri, I; Tafti, BF</t>
  </si>
  <si>
    <t>Salmani, Naiire; Rassouli, Maryam; Mandegari, Zahra; Bagheri, Imaneh; Tafti, Bahareh Fallah</t>
  </si>
  <si>
    <t>Palliative Care in Neonatal Intensive Care Units: Challenges and Solutions</t>
  </si>
  <si>
    <t>IRANIAN JOURNAL OF NEONATOLOGY</t>
  </si>
  <si>
    <t>Palliative care is a series of actions aiming to offer support to parents and their infants in order to improve their quality of life. Despite optimal outcomes, the provision of palliative care for infants and achieving these outcomes may be hardly feasible. The present study aimed to investigate the barriers to palliative care and gain insight into the solutions. Accordingly, the obstacles were identified and classified into three categories of parent-related barriers (parental request for continuing treatment, cultural background, and religious beliefs), barriers concerning healthcare providers (attitude toward palliative care, death, and life values, religious beliefs, knowledge and skills in palliative care, and ethical distress), and barriers within the healthcare system (unclear policies regarding the implementation of palliative care, inadequate support from caretakers, lack of educational programs, insufficient personnel, unprepared environment, lack of technological requirements, and lack of access to consultants). Each category was discussed, and relevant solutions were provided.</t>
  </si>
  <si>
    <t>2251-7510</t>
  </si>
  <si>
    <t>2322-2158</t>
  </si>
  <si>
    <t>10.22038/ijn.2018.25521.1337</t>
  </si>
  <si>
    <t>WOS:000433920500005</t>
  </si>
  <si>
    <t>Seifert, C</t>
  </si>
  <si>
    <t>Seifert, Christin</t>
  </si>
  <si>
    <t>The Barriers for Voluntary Environmental Management Systems-The Case of EMAS in Hospitals</t>
  </si>
  <si>
    <t>The adoption of formal environmental management systems (EMS) according to EMAS (Eco-Management and Audit Scheme) represents a voluntary approach that aims to increase corporate environmental performance. Though EMAS can offer several advantages for organizations, registration numbers are falling. In the hospital sector, the dissemination of EMAS is low. The question arises as to what hinders hospitals when planning, implementing, and maintaining such voluntary environmental management initiatives. The results from interviews with environmental managers in EMAS registered hospitals reveal problems such as high initial effort for creation of the required documents, or lacking knowledge and staff awareness. The barriers are presented in a model synthesizing the problems chronologically on the organizational, group, and individual level. The challenges for the adoption of EMAS as a voluntary environmental management approach in hospitals are discussed. This paper contributes by creating an understanding of the barriers organizations might face when implementing an EMS. Thus, measures to actively manage and overcome barriers can be developed by organizations, consultants, reviewers, policy makers, and researchers.</t>
  </si>
  <si>
    <t>Seifert, Christin/0000-0003-4296-5786</t>
  </si>
  <si>
    <t>10.3390/su10051420</t>
  </si>
  <si>
    <t>WOS:000435587100116</t>
  </si>
  <si>
    <t>Yan, XY; Lin, HY; Clarke, A</t>
  </si>
  <si>
    <t>Yan, Xinya; Lin, Haiying; Clarke, Amelia</t>
  </si>
  <si>
    <t>Cross-Sector Social Partnerships for Social Change: The Roles of Non-Governmental Organizations</t>
  </si>
  <si>
    <t>Complex social and environmental issues call for broader collaboration across different sectors so as to instigate transformative social change. While previous scholars have emphasized the role of non-governmental organizations (NGOs) in facilitating social change, they have not provided a nuanced assessment of NGOs' different roles. We use the Poverty and Employment Precarity in Southern Ontario (PEPSO) research partnership as a study case and explore NGO partners' different roles in a large cross-sector social partnership (CSSP). By interviewing 12 NGO partners and 4 non-NGO partners involved in the PEPSO research partnership, our research results show that NGOs primarily have 10 roles in a CSSP. They include enabling roles such as consultant, capacity builder, analyst, and funder; coordinating roles such as broker and communicator; and facilitating roles such as initiator, leader, advocate, and monitor. These roles allow NGOs to fulfil their duties to make substantial contributions to a CSSP.</t>
  </si>
  <si>
    <t>10.3390/su10020558</t>
  </si>
  <si>
    <t>WOS:000425943100281</t>
  </si>
  <si>
    <t>Robin, E; Brill, F</t>
  </si>
  <si>
    <t>Robin, Enora; Brill, Frances</t>
  </si>
  <si>
    <t>The global politics of an urban age: creating 'cities for all' in the age of financialisation</t>
  </si>
  <si>
    <t>PALGRAVE COMMUNICATIONS</t>
  </si>
  <si>
    <t>Our globalised and increasingly urban world demands an understanding of how ideas about how to build cities travel to become embedded in places. In this context, private actors operating across borders such as investors, real estate developers, international consultants, global construction companies and engineering firms appear as key agents of change in cities. However, real estate developers' interactions with local stakeholders and their role in territorialising global financial strategies have been relatively under-explored in urban studies and global discussions about our 'urban future', especially within discussions on the implementation of the New Urban Agenda (NUA). This paper aims to initiate future research on this topic, providing some preliminary reflections on the role of developers as key transfer agents in the global movement of capital and its anchoring in places through the transformation of the urban built environment. In this way, we hope to offer some clarity on the transnational movement of financial capital to new places and markets, asking how real estate developers contribute to the dissemination of a global capitalist logic across cities, and what challenges this poses to the implementation of the NUA? To do so, the piece brings together insights from policy mobility literature and recent work on the financialisation of urban developments with the aim of critically assessing whether and how some of the key objectives of the NUA can be achieved in a context characterised by heavy involvement by real estate actors in city-making.</t>
  </si>
  <si>
    <t>2055-1045</t>
  </si>
  <si>
    <t>JAN 9</t>
  </si>
  <si>
    <t>10.1057/s41599-017-0056-6</t>
  </si>
  <si>
    <t>WOS:000440810600003</t>
  </si>
  <si>
    <t>Boztepe Taskiran, H</t>
  </si>
  <si>
    <t>Boztepe Taskiran, Hatun</t>
  </si>
  <si>
    <t>Key Issues in Turkish Public Relations Practitioners' Perception of the Profession: Relational Paradigm, Dialogic Public Relations, Symmetrical Public Relations, Corporate Social Responsibility, and Corporate Sustainability</t>
  </si>
  <si>
    <t>CONNECTIST-ISTANBUL UNIVERSITY JOURNAL OF COMMUNICATION SCIENCES</t>
  </si>
  <si>
    <t>From the critical approach public relations is evaluated as a whole series of strategies and practices that only benefits corporations and ignores mutual benefit and public welfare. In contrast, frequently used and investigated public relations concepts, such as symmetric public relations, dialogical public relations theory, relational paradigm, corporate social responsibility, and corporate sustainability, can answer the criticisms against the discipline. In light of this information, it can be said that there are two different perspectives in public relations literature towards outcomes of public relations. This study is designed to determine whether the argument that public relations is a management function that only benefits corporations is supported by Turkish public relations professionals. Also it is aimed to determine whether Turkish public relations professionals ignore public welfare. This study also presents how contemporary and ethical public relations strategies and practices that center on creating, maintaining, and reinforcing positive relationships between corporations and target audiences function in practice. Within the scope of this study, a research has been carried out with the participation of 107 Turkish public relations practitioners who are in charge of forming and practicing public relations strategies at public institutions, private enterprises, and non-governmental organizations or as freelance consultants. A questionnaire form has been designed and participants have been asked to answer questions which aim to determine the professional perceptions of public relations practitioners. The findings have demonstrated that Turkish public relations practitioners perceive their profession as a whole series of strategies and practices that serves the mutual benefit of corporations and target audiences.</t>
  </si>
  <si>
    <t>2636-8943</t>
  </si>
  <si>
    <t>10.26650/CONNECTIST2018-0023</t>
  </si>
  <si>
    <t>WOS:000454564200002</t>
  </si>
  <si>
    <t>Eze, SC; Chinedu-Eze, VC</t>
  </si>
  <si>
    <t>Eze, Sunday Chinedu; Chinedu-Eze, Vera Chinwedu</t>
  </si>
  <si>
    <t>Strategic roles of actors in emerging information communication technology (EICT) adoption in SMEs: Actor network theory analysis</t>
  </si>
  <si>
    <t>Purpose The purpose of this paper is to examine how small and medium enterprises (SMEs) are involved in emerging information and communication technology (EICT) adoption by concentrating on the adoption process and the role played by various actors in the process. Information and communication technology (ICT) adoption research, especially in SMEs, has moved from a simple adopters' participation process to involving diverse actors that continually interact and influence the process. SMEs need to constantly interact with various human and non-human actors to keep up with the EICT adoption. However, this has proved difficult. Design/methodology/approach This study adopted a qualitative method to examine the dynamic process of EICT adoption in service SMEs in the UK, and deployed both unstructured and semi-structured interviews in two separate rounds with 26 participants drawn from Crunch Online Database and Luton Business Directory. The participants include managers, customers, government agencies, SMEs consultants and information technology (IT) vendors, with the help of purposeful random sampling. Findings The study develops a framework informed by actor network theory (ANT) concepts and found that using ANT to examine the process of adoption helps to unveil the recursive nature of the process and the roles of actors which vary from one stage to another. The finding reveals that adoption of EICT is not straightforward; rather, it is evolutionary and dynamic, and small business managers' play an important role in the process amidst other actors influence. The framework supports businesses of all types. Although ICT applications are influenced by diverse actors including IT experts, customers and vendors, the decision of SME managers regularly shape the values and beliefs of other actors if adequate information are conveyed by the numerous actors. Therefore, adoption of EICT is embraced faster by organizations, especially small businesses, if diverse actors are committed in conveying the right information to the key actors, thereby helping them to make adequate decision, and streamline their business processes. Research limitations/implications This study is limited by its focus and other factors. Studying the opinions of small service UK SMEs limits the power of generalizing the identified causal relationships; therefore, extended measures are required on accounts of environmental, cultural, geographical and sectorial differences. While some errors seemed unavoidable when measures appear subjective and prone to common error biases, the study advised on recognizing the overriding influence of the roles at each stage of the adoption process to be proactive in committing resources. Originality/value This work is of value to practitioners and academics, as it provides further insight into ICT adoption framework by showing how the diverse actors guarantee EICT adoption in small service(s) businesses. This is relevant given that SMEs have limited knowledge of new ICT and understanding diverse actors and their roles in the adoption process would enhance their knowledge of the analysts in the context of new technology adoption and to cope with EICT continually amidst of the roles of actors in the adoption process. The framework serves as an analytical instrument in explaining ICT adoption process and its outcomes characterized by conflicting views.</t>
  </si>
  <si>
    <t>10.1108/BL-09-2017-0029</t>
  </si>
  <si>
    <t>WOS:000435558000002</t>
  </si>
  <si>
    <t>Kaur, J; Sidhu, R; Awasthi, A; Chauhan, S; Goyal, S</t>
  </si>
  <si>
    <t>Kaur, Jasneet; Sidhu, Ramneet; Awasthi, Anjali; Chauhan, Satyaveer; Goyal, Suresh</t>
  </si>
  <si>
    <t>A DEMATEL based approach for investigating barriers in green supply chain management in Canadian manufacturing firms</t>
  </si>
  <si>
    <t>INTERNATIONAL JOURNAL OF PRODUCTION RESEARCH</t>
  </si>
  <si>
    <t>Green supply chain management (GSCM) involves consideration of environmental impacts of all the processes involved in a typical supply chain to minimise their negative consequences. In this paper, we present a DEMATEL-based approach for investigating barriers in GSCM in Canadian context. Seven manufacturing firms from electronic goods sector are involved. The results of our study yield three main categories of barriers. These barriers are knowledge-related (lack of awareness of the environmental impacts on business, lack of training courses/consultancy/institutions to train, monitor/mentor progress specific to each industry, lack of technical expertise and difficulty in identifying environmental opportunities), commitment-related (lack of corporate social responsibility) and product design-related (complexity of design to reuse/recycle used products). The proposed study is one of the first few to be conducted in the Canadian context for green supply chain barrier analysis for electronic goods sector. Secondly, the barriers are investigated through causality and prominence relations which can help decision-makers, policy planners and managers of organisations in addressing those critical few for making green supply chain practices a success.</t>
  </si>
  <si>
    <t>0020-7543</t>
  </si>
  <si>
    <t>1366-588X</t>
  </si>
  <si>
    <t>10.1080/00207543.2017.1395522</t>
  </si>
  <si>
    <t>WOS:000428859200019</t>
  </si>
  <si>
    <t>Noshad, K; Awasthi, A</t>
  </si>
  <si>
    <t>Noshad, Khosrow; Awasthi, Anjali</t>
  </si>
  <si>
    <t>Investigating critical criteria for supplier quality</t>
  </si>
  <si>
    <t>INTERNATIONAL JOURNAL OF MANAGEMENT SCIENCE AND ENGINEERING MANAGEMENT</t>
  </si>
  <si>
    <t>Identifying critical criteria for supplier quality development is vital for improving the performance of suppliers. In this paper, we determine critical criteria for supplier quality development based on review of literature and discussion with supplier quality experts from industry. The criticality of the criteria is determined based on: (a) Kano's model (must haves, satisfiers, dissatisfiers); (b) Hill's manufacturing strategy (order winners and order qualifiers); and (c) criteria weights. The results of the study yield the following as the must-be and order winning elements for supplier quality evaluation: price; delivery performance; service; environment; health and safety; ISO 9000; European Foundation for Quality Management; quality management policy; understanding of customer requirements; supplier product quality; process control; quality inspection programs; process for handling complaints; and a system for corrective action. For supplier quality development, the must-haves and order winning elements are: honoring outstanding suppliers; involving suppliers early in product and process development; and sending instructors and technical consultants to the supplier's site. The proposed results have strong practical applicability and can be used by decision makers for supplier performance evaluation, setting targets for performance improvement, resource allocation for supplier quality development, and designing necessary operations for improving the performance of their suppliers.</t>
  </si>
  <si>
    <t>1750-9653</t>
  </si>
  <si>
    <t>1750-9661</t>
  </si>
  <si>
    <t>10.1080/17509653.2017.1387821</t>
  </si>
  <si>
    <t>WOS:000435610900007</t>
  </si>
  <si>
    <t>Olanrewaju, A; Tan, SY</t>
  </si>
  <si>
    <t>Olanrewaju, AbdulLateef; Tan, Seong Yeow</t>
  </si>
  <si>
    <t>An exploration into design criteria for affordable housing in Malaysia</t>
  </si>
  <si>
    <t>JOURNAL OF ENGINEERING DESIGN AND TECHNOLOGY</t>
  </si>
  <si>
    <t>Purpose The establishment of design criteria is an important activity in the initial phase of housing development. A lack of adequate information regarding design criteria will result in poor satisfaction of homebuyers, pre-occupancy obsolescence, high maintenance costs, property overhang and the abandonment of houses. In Malaysia, many of these consequences are prevalent. However, while information on homeowners' requirements is inconclusive, paper aims to investigate the criteria upon which design teams/developers base their decisions in the design of affordable housing. Design/methodology/approach The present research conducted a cross-sectional survey questionnaire comprising 25 design criteria administered to 200 stakeholders in the housing industry. The design criteria were determined through a weighted mean. The associations between the criteria were analysed through a principal component analysis. Findings The results found that safety and security of home occupants and property, maintenance costs, noise and nuisance minimisation, extent of future modifications and waste disposal were the five major design criteria. Factor analysis narrowed down the 25 criteria to six factors, which explained 77 per cent of the total variance. The six underlying factors named of significance were operating costs, sustainability, comfort, neighbourhood, transportation and spatial. The findings also indicated that the design teams/developers paid little attention to a few critical design criteria. Research limitations/implications Future studies should involve a large sample size and increase the design criteria. Practical implications The study is important for improving homebuyers' satisfactions because it provides information design team and developers decision-making factors. Originality/value This study is the first to address design criteria of affordable housing in Malaysia and elsewhere. This research provides fresh information on design management of affordable housing. The findings will be useful to policymakers, urban planners, place managers, design consultants and developers.</t>
  </si>
  <si>
    <t>Olanrewaju, AbdulLateef/T-1830-2017</t>
  </si>
  <si>
    <t>Olanrewaju, AbdulLateef/0000-0003-0541-3552</t>
  </si>
  <si>
    <t>1726-0531</t>
  </si>
  <si>
    <t>10.1108/JEDT-12-2017-0125</t>
  </si>
  <si>
    <t>WOS:000437162600002</t>
  </si>
  <si>
    <t>Ormazabal, M; Viles, E; Santos, J; Jaca, C</t>
  </si>
  <si>
    <t>Ormazabal, Marta; Viles, Elisabeth; Santos, Javier; Jaca, Carmen</t>
  </si>
  <si>
    <t>An overview of environmental management in the Spanish food sector: a survey study</t>
  </si>
  <si>
    <t>Purpose - Environmental management (EM) is becoming increasingly important in all types of organizations. The food industry represents the top industrial sector of the Spanish economy; however, there is still little knowledge about how it is managed environmentally. The purpose of this paper is to present a descriptive analysis of the Spanish food sector. Design/methodology/approach - This study undertook a descriptive analysis based on probabilistic sampling surveys from food companies in Spain. The survey was sent out to 900 companies obtaining 128 answers. Findings - The results of this study show that companies with an EM standard tend to have a more developed system and a greater presence of EM tools and actions. Moreover, statistical differences were identified among the characteristics of companies and various factors that affect the evolution of their EM. Originality/value - There are no studies that reveal a clear picture of the status of EM in the Spanish food industry. This study presents a clear starting point that might help policy makers, consultants, researchers and other parties to set new improvement routes so companies do not get stuck in their progress toward environmental excellence.</t>
  </si>
  <si>
    <t>10.1108/MEQ-10-2016-0072</t>
  </si>
  <si>
    <t>WOS:000418357300004</t>
  </si>
  <si>
    <t>Padmanabhan, G; Katti, D; Khan, E; Peloubet, F; Leelaruban, N</t>
  </si>
  <si>
    <t>Padmanabhan, G.; Katti, Dinesh; Khan, Eakalak; Peloubet, Francis; Leelaruban, Navaratnam</t>
  </si>
  <si>
    <t>A Unique Civil Engineering Capstone Design Course</t>
  </si>
  <si>
    <t>INTERNATIONAL JOURNAL OF ENGINEERING PEDAGOGY</t>
  </si>
  <si>
    <t>The North Dakota State University, USA, capstone course was developed as a unique model in response to the effort of the Accreditation Board of Engineering and Technology, USA, to streamline and improve design instruction in the curriculum and has steadily evolved to keep pace with the ever-changing technology and the expectations of the profession and the society we serve. A capstone design course by definition should be a design experience for students in the final year before graduation integrating all major design concepts they have learned up until then in the program. Carefully chosen real world projects with design content in all sub-disciplines of civil engineering are assigned in this team-taught course. Faculty and practicing professionals make presentations on design process; project management; leadership in an engineering environment; and public policy; global perspectives in engineering; and professional career and licensure. Practicing professionals also critique the final student presentations. Students work in teams with number of faculty serving as technical consultants, and a faculty mentor for each team to provide nontechnical guidance and direction. The course requires students to demonstrate mastery of the curriculum and to work with others in a team environment. Course assessment includes evaluation of the final design, presentations, written technical reports, project design schedule, a project design journal, and reaction papers.</t>
  </si>
  <si>
    <t>Katti, Dinesh/A-5440-2010</t>
  </si>
  <si>
    <t>Katti, Dinesh/0000-0001-9866-2683</t>
  </si>
  <si>
    <t>2192-4880</t>
  </si>
  <si>
    <t>10.3991/ijep.v8i1.7667</t>
  </si>
  <si>
    <t>WOS:000428715300005</t>
  </si>
  <si>
    <t>Rodwell, JS</t>
  </si>
  <si>
    <t>Rodwell, John S.</t>
  </si>
  <si>
    <t>The UK National Vegetation Classification</t>
  </si>
  <si>
    <t>PHYTOCOENOLOGIA</t>
  </si>
  <si>
    <t>The UK National Vegetation Classification (hereafter UK NVC) was a state-funded survey of the vegetation types of all natural, semi-natural and major artificial habitats in England, Scotland and Wales. Floristic data (vascular plants, bryophytes and macrolichens) were available from over 33,000 georeferenced plots in 80% of the 10 km x 10 km National Grid from the 1960s-1980 and were analyzed using multivariate techniques, the resulting groups being interpreted in relation to climatic regions, soil types and biotic influences. Five published volumes of British Plant Communities comprise modular accounts of 293 plant communities with details of floristics and structure, habitat relations, zonation and succession and distribution, together with constancy tables and maps. Text and software keys help identify the vegetation types, a manual for using the classification is available as hard copy and online and an extensive training programme disseminated survey skills and guidance for applying the classification. The UK NVC quickly became the standard framework for vegetation description among all statutory agencies, NGOs, industry, consultancies and academics and, though it was commissioned as just a tool for inventory and mapping of vegetation resources and a framework for ecological research, it has found multifarious applications for environmental impact assessment, monitoring, landscape design, interpretation and education. Subsequent survey has identified gaps in geographic and ecological coverage and yielded many compatible new data. The UK NVC provides the interpretive frame for implementing European nature protection policies in the UK and it is compatible with wider phytosociological frames for European vegetation.</t>
  </si>
  <si>
    <t>0340-269X</t>
  </si>
  <si>
    <t>10.1127/phyto/2017/0179</t>
  </si>
  <si>
    <t>WOS:000431268500004</t>
  </si>
  <si>
    <t>Gutierrez, MAR; Jurado, DMB; Caiza, CSM</t>
  </si>
  <si>
    <t>Rojo Gutierrez, Marco Antonio; Bonilla Jurado, Diego Mauricio; Masaquiza Caiza, Carlos Santiago</t>
  </si>
  <si>
    <t>THE DEVELOPMENT OF NEW PRODUCTS AND THEIR IMPACT ON PRODUCTION: CASE STUDY BH CONSULTORES</t>
  </si>
  <si>
    <t>REVISTA UNIVERSIDAD Y SOCIEDAD</t>
  </si>
  <si>
    <t>Companies seek to be competitive and base their competitiveness on sustainable elements related to efficiency and productivity. In the consultancy sector improvements are constantly being made in this direction, it is about innovating to offer a better alternative in the market that turns out to be very competitive. The company BH CONSULTORES focuses on serving clients seeking comprehensive advice in undergraduate and graduate projects. Currently this company has introduced new products that have impacted both the production and the input-output ratio. A reduction in costs in terms of personnel and an increase in market share is emerging as a policy that will make BH's performance more efficient. The behavior of the products offered by BH is statistically analyzed and an efficiency index is created that shows that it is possible to operate with 150% efficiency, if the best practices are emulated. Each of the policies implemented internally, but with a strategy and goals achievable by 2020, are set out in the conclusions at the end of the document.</t>
  </si>
  <si>
    <t>2218-3620</t>
  </si>
  <si>
    <t>JAN-APR</t>
  </si>
  <si>
    <t>WOS:000437894000019</t>
  </si>
  <si>
    <t>Simon, JP</t>
  </si>
  <si>
    <t>Simon, Jean Paul</t>
  </si>
  <si>
    <t>Triggering the emergence of digital ecosystems: the role of mobile and video games in emerging economies</t>
  </si>
  <si>
    <t>DIGITAL POLICY REGULATION AND GOVERNANCE</t>
  </si>
  <si>
    <t>Purpose This paper aims to shed some light on the role of video games within the media industry and IT sector, on its contribution to the production and distribution of digital content in emerging economies. It offers a case study on the role of mobile devices as a factor of transformation and shows how under changing socio-economic conditions, the transformations enabled the creation of digital ecosystems and innovative business models. Design/methodology/approach The paper is based on desk research, a review of literature and trade press and comments from experts and industry players. Findings The paper argues that as the internet is going mobile, driven by data - mostly video - the new mobile platforms are becoming the key for the distribution of content and mobile games. Whether it is the history of browser games in China, mobile games in India or PC games in Russia, each national gaming industry has required a unique strategy for making money, building on some prominent cultural factors and adapting to the local economic conditions. The paper reveals that video games are now clearly a vital part of digital content production in these countries, while stressing upon the role of public policies. Research limitations/implications The paper relies mostly on industry and consultancy data, as in such a fast-changing environment official data even when accessible are in most cases too old to remain relevant to identify the trends and the fast changing stakes. This calls for some caution about the data. Therefore, the data used should be treated as just signals of potential trends, sufficient to provide an appropriate overview of the evolution of the global mobile ecosystem. Practical implications This paper shows that the video games industry can serve as a pivot for the ICT industry. Besides, this prompts upstream and downstream industries of the entire digital entertainment market to thrive. Social implications The paper shows that companies from emerging markets companies have been betting on a combination of factors: the development of the economies, the growth of the mobile market, emerging middle-classes and young customers. It provides a growth model that appears to be close to a regular industrial growth model. Originality/value Although there is a growing academic literature on the video games industry, few research have been devoted to specific issues of emerging economies and to the role of video games within the media industry and IT sector.</t>
  </si>
  <si>
    <t>2398-5038</t>
  </si>
  <si>
    <t>2398-5046</t>
  </si>
  <si>
    <t>10.1108/DPRG-03-2018-0008</t>
  </si>
  <si>
    <t>WOS:000448322800005</t>
  </si>
  <si>
    <t>Anderson, J; Kuehl, RA; Drury, SAM; Tschetter, L; Schwaegerl, M; Yoder, J; Gullickson, H; Lamp, J; Bachman, C; Hildreth, M</t>
  </si>
  <si>
    <t>Anderson, Jenn; Kuehl, Rebecca A.; Drury, Sara A. Mehltretter; Tschetter, Lois; Schwaegerl, Mary; Yoder, Julia; Gullickson, Heidi; Lamp, Jamison; Bachman, Charlotte; Hildreth, Marilyn</t>
  </si>
  <si>
    <t>Brookings supports breastfeeding: using public deliberation as a community-engaged approach to dissemination of research</t>
  </si>
  <si>
    <t>TRANSLATIONAL BEHAVIORAL MEDICINE</t>
  </si>
  <si>
    <t>Empirical evidence demonstrates myriad benefits of breastfeeding for mother and child, along with benefits to businesses that support breastfeeding. Federal and state legislation requires workplace support for pumping and provides protections for public breastfeeding. Yet, many are unaware of these laws, and thus, support systems remain underdeveloped. We used a community-based approach to spread awareness about the evidence-based benefits of breastfeeding and breastfeeding support. We worked to improve breastfeeding support at the local hospital, among local employers, and throughout the broader community. Our coalition representing the hospital, the chamber of commerce, the university, and local lactation consultants used a public deliberation model for dissemination. We held focus groups, hosted a public conversation, spoke to local organizations, and promoted these efforts through local media. The hospital achieved Baby-Friendly status and opened a Baby Cafe. Breastfeeding support in the community improved through policies, designated pumping spaces, and sign-age that supports public breastfeeding at local businesses. Community awareness of the benefits of breastfeeding and breastfeeding support increased; the breastfeeding support coalition remains active. The public deliberation process for dissemination engaged the community with evidence-based promotion of breastfeeding support, increased agency, and produced sustainable results tailored to the community's unique needs.</t>
  </si>
  <si>
    <t>1869-6716</t>
  </si>
  <si>
    <t>1613-9860</t>
  </si>
  <si>
    <t>10.1007/s13142-017-0480-6</t>
  </si>
  <si>
    <t>WOS:000418894100015</t>
  </si>
  <si>
    <t>Kruger, H</t>
  </si>
  <si>
    <t>Kruger, Heleen</t>
  </si>
  <si>
    <t>Helping local industries help themselves in a multi-level biosecurity world - Dealing with the impact of horticultural pests in the trade arena</t>
  </si>
  <si>
    <t>NJAS-WAGENINGEN JOURNAL OF LIFE SCIENCES</t>
  </si>
  <si>
    <t>In many countries the biosecurity system is under financial strain resulting in an on-going push for shared responsibility and greater industry self-reliance. This occurs in an increasing globalised, multi-level trade context. It raises the question of how the broader support system for local industries can be improved to help industries help themselves. This work relates to systems approaches as a phytosanitary measure in horticulture trade to address pest concerns. Specifically, it investigates how to create an enabling environment for local Australian horticulture industries to pursue systems approaches involving area-wide management (AWM) of Queensland Fruit Fly (QFly). A functional-structural analysis is applied to identify issues that prevent local industries pursuing systems approaches and to suggest ways forward. Primary data is derived from semi-structured interviews with representatives from three levels of government, industry bodies, consultancies and other key groups, complemented by a grower survey in three case study regions. Systems approaches involving AWM comprise a complex domain as it is situated across multiple levels from the local to the international; it involves various dimensions and many rationally-bounded actors. Key blocking mechanisms to local progress include a lack of clear change pathways for local industries; low connectivity between local industries and the innovation system; currently feasibility signals for systems approaches including AWM are weak; and systems approaches are problematic. Ways forward include supporting and initiating innovation platforms, offering domestic and international market access training; and minimising transaction costs to industry.</t>
  </si>
  <si>
    <t>1573-5214</t>
  </si>
  <si>
    <t>2212-1307</t>
  </si>
  <si>
    <t>10.1016/j.njas.2017.11.001</t>
  </si>
  <si>
    <t>WOS:000440877400001</t>
  </si>
  <si>
    <t>Delahais, T; Toulemonde, J</t>
  </si>
  <si>
    <t>Delahais, Thomas; Toulemonde, Jacques</t>
  </si>
  <si>
    <t>Making rigorous causal claims in a real-life context: Has research contributed to sustainable forest management?</t>
  </si>
  <si>
    <t>EVALUATION</t>
  </si>
  <si>
    <t>This article reflects on an evaluation commissioned by the Centre for International Forestry Research, an international research centre working on tropical forests. In the Congo basin, it took from 10 to 20 years for research works to influence the sustainability of forest management through a complex web of interactions between timber companies, national governments, international organizations, development agencies, NGOs, and consultancies. By applying the contribution analysis approach, the evaluation was able to trace several causal pathways which percolated through this web of interactions and resulted in a number of contributions always indirect and marginal but sometimes necessary. The article discusses how contribution claims were inferred from evidence, what the underlying logic of causal arguments was, how some contributions could be qualified as necessary ones, and how far the evaluation went on the way to generalization. The discussion bridges contribution analysis with process tracing and realist evaluation.</t>
  </si>
  <si>
    <t>Delahais, Thomas/0000-0002-0991-5085</t>
  </si>
  <si>
    <t>1356-3890</t>
  </si>
  <si>
    <t>1461-7153</t>
  </si>
  <si>
    <t>10.1177/1356389017733211</t>
  </si>
  <si>
    <t>WOS:000413156700002</t>
  </si>
  <si>
    <t>Mills, RW; Kalaf-Hughes, N</t>
  </si>
  <si>
    <t>Mills, Russell W.; Kalaf-Hughes, Nicole</t>
  </si>
  <si>
    <t>The importance of markets, politics, and community support: An analysis of the Small Community Air Service Development Program</t>
  </si>
  <si>
    <t>JOURNAL OF AIR TRANSPORT MANAGEMENT</t>
  </si>
  <si>
    <t>Across the U.S., smaller communities face a challenging environment for attracting and retaining commercial air service as a result of airline industry changes. Increasingly, airports and communities in smaller markets are developing air service development programs (ASIPs) to provide incentives to reduce the financial risk to airlines while also marketing the new service to the community. A key source of funds for many of community-based incentive programs is the Small Community Air Service Development Program (SCASDP), which is a discretionary grant program operated by the Department of Transportation that provides funding to communities to supplement their own ASIPs. Despite the growing importance of this tool used by many communities, we know little about the factors that drive the allocation of SCASDP grants by the DOT. Using an analysis of 164 applications to the SCASDP program between 2011 and 2013, we assess the effect of market, political, and economic factors on the DDT's allocation of grants. Our findings suggest the DOT largely relies on the criteria in its published guidelines to allocate SCASDP grants. Specifically, the agency is more likely to approve applications for SCASDP grants when the community has the support of members of Congress who represent the community and the support of businesses and citizens through local match contributions. We also find the DOT allocates grants to communities with letters of support from air carriers and prior experience, either through multiple applications in the past or through an experience air service development consultant, with the application process. (C) 2017 Elsevier Ltd. All rights reserved.</t>
  </si>
  <si>
    <t>0969-6997</t>
  </si>
  <si>
    <t>1873-2089</t>
  </si>
  <si>
    <t>10.1016/j.jairtraman.2017.09.012</t>
  </si>
  <si>
    <t>WOS:000414885600013</t>
  </si>
  <si>
    <t>Pimenta, DN; Struchiner, M; Monteiro, S</t>
  </si>
  <si>
    <t>Pimenta, Denise Nacif; Struchiner, Miriam; Monteiro, Simone</t>
  </si>
  <si>
    <t>The trajectory of Virginia Schall: integration of Health, Education, Science and Literature</t>
  </si>
  <si>
    <t>CIENCIA &amp; SAUDE COLETIVA</t>
  </si>
  <si>
    <t>This article presents Virginia Schall's professional career, interrupted very early. It highlights her major role in the integration of the fields of Health, Education and Scientific Dissemination in Brazil. The contextualization of her academic and literary production as a researcher at the Oswaldo Cruz Foundation, demonstrates Virginia's contribution in strengthening the institution and in the teaching of dozens of researchers and students. With a strong inter- and multidisciplinary approach, she was a pioneer in the field of Health Education, Science Education, and Science Dissemination. Virginia participated in the implementation of two post graduate courses and regularly worked as consultant for CNPq, CAPES, SVS/MS and the Ministry of Education, consolidating national policies in these areas. Besides being the author of several children's books and educational resources about health, environment and science, Virginia conceived the Life Museum at Fiocruz-RJ, as a space for integrating science, culture, and society, with focus on science, health, and technology information and education. She was also a poet, member of the Women's Academy of Letters in Minas Gerais, and produced diverse and award-winning poetry and prose literary pieces.</t>
  </si>
  <si>
    <t>1413-8123</t>
  </si>
  <si>
    <t>1678-4561</t>
  </si>
  <si>
    <t>10.1590/1413-812320172210.33932016</t>
  </si>
  <si>
    <t>WOS:000413653300031</t>
  </si>
  <si>
    <t>Ghoronh, H; Tabaian, SK; Bushehri, AR; Ghorbani, S</t>
  </si>
  <si>
    <t>Ghoronh, Hassan; Tabaian, Seyed Kamel; Bushehri, Ali Reza; Ghorbani, Saeed</t>
  </si>
  <si>
    <t>Identifying and Prioritizing Policy Tools to Support New Technology-Based Firms' Cooperation With Public Industries in Iran, a Futures Studies Approach</t>
  </si>
  <si>
    <t>JOURNAL OF FUTURES STUDIES</t>
  </si>
  <si>
    <t>This paper tries to investigate the policy tools supporting New Technology-Based Firms (NTBFs). Given this aim, after reviewing background research regarding policy tools in Iran and other countries, the policy tools applied in other countries are compared with those applied in Iran and the gap between probable and preferred future situations was investigated in the framework of financial, administrative, information and regulatory policy tools by using paired T-Test and descriptive survey. The components of preferred policy tools are ranked by Freedman test. Research findings indicate that the widest and the narrowest gaps are in financial and information policy tools. The most preferred policy tools include joint ventures, joint R&amp;D, issuing or buying stocks, companies' guarantees to receive aids, networking, grants, loans, incubators' development, creating a proper legal environment, training (managerial/technical) for companies, HR development, awards and bonuses, tax incentives, tax exemptions and consultancy service provision for the companies.</t>
  </si>
  <si>
    <t>1027-6084</t>
  </si>
  <si>
    <t>10.6531/JFS.2017.22(1).A57</t>
  </si>
  <si>
    <t>WOS:000419143900004</t>
  </si>
  <si>
    <t>Kern, P; Tague, DB</t>
  </si>
  <si>
    <t>Kern, Petra; Tague, Daniel B.</t>
  </si>
  <si>
    <t>Music Therapy Practice Status and Trends Worldwide: An International Survey Study</t>
  </si>
  <si>
    <t>JOURNAL OF MUSIC THERAPY</t>
  </si>
  <si>
    <t>Background: The field of music therapy is growing worldwide. While there is a wealth of country-specific information available, only a few have databased workforce censuses. Currently, little to no descriptive data exists about the global development of the profession. Objectives: The purpose of this study was to obtain descriptive data about current demographics, practice status, and clinical trends to inform worldwide advocacy efforts, training needs, and the sustainable development of the field. Method: Music therapists (N = 2,495) who were professional members of organizations affiliated with the World Federation of Music Therapy (WFMT) served as a sample for this international cross-sectional survey study. A 30-item online questionnaire was designed, pilot tested by key partners, and translated into seven languages. Researchers and key partners distributed the online survey through e-mail invitations and social media announcements. Results: Professional music therapists worldwide are well-educated, mature professionals with adequate work experience, who are confident in providing high-quality services primarily in mental health, school, and geriatric settings. Due to ongoing challenges related to recognition and government regulation of the field as an evidence-based and well-funded healthcare profession, most individuals work part-time music therapy jobs and feel underpaid. Yet, many music therapists have a positive outlook on the field's future. Conclusions: Continued research and advocacy efforts, as well as collaborations with lobbyists, business consultants, and credentialing/licensure experts to develop progressive strategies, will be crucial for global development and sustainability of the field.</t>
  </si>
  <si>
    <t>0022-2917</t>
  </si>
  <si>
    <t>2053-7395</t>
  </si>
  <si>
    <t>10.1093/jmt/thx011</t>
  </si>
  <si>
    <t>WOS:000414366500001</t>
  </si>
  <si>
    <t>Burger, J; Gochfeld, M; Zappalorti, RT; DeVito, E; Jeitner, C; Pittfield, T; Schneider, D; McCort, M</t>
  </si>
  <si>
    <t>Burger, Joanna; Gochfeld, Michael; Zappalorti, Robert T.; DeVito, Emile; Jeitner, Christian; Pittfield, Taryn; Schneider, David; McCort, Matt</t>
  </si>
  <si>
    <t>Stakeholder contributions to conservation of threatened Northern Pine Snakes (Pituophis melanoleucus, Daudin, 1803) in the New Jersey Pine Barrens as a case study</t>
  </si>
  <si>
    <t>AMPHIBIAN &amp; REPTILE CONSERVATION</t>
  </si>
  <si>
    <t>The successful management and protection of endangered or threatened species generally falls to state agencies. This paper suggests that while governmental agencies provide the legal, regulatory, and management framework for snake conservation, it is often the universities, conservation organizations, consultants, and concerned citizens that conduct the research needed for conservation efforts. Identification of all the relevant stakeholders and their contributions is important for determining how to manage the threats and enhance population viability. Managing the efforts of volunteers is hampered by the need to protect the locations of sensitive nesting and hibernation habitat, while encouraging protection of the species overall. In this paper we provide a template of the stakeholder categories that are often involved in research, management, and conservation, and describe the types of agencies, organizations and people within each category and their major contributions, using research with Pine Snakes (Pituophis melanoleucus). This suite of stakeholders has been successfully involved with Pine Snake research for over 30 years, and helped with examining key environmental and habitat needs. The contributions are synergistic and additive, lending continuity of stakeholder involvement. We also suggest several stakeholder involvement actions that can be useful to a range of conservationists.</t>
  </si>
  <si>
    <t>1083-446X</t>
  </si>
  <si>
    <t>WOS:000412706300003</t>
  </si>
  <si>
    <t>Opara, M; Elloumi, F; Okafor, O; Warsame, H</t>
  </si>
  <si>
    <t>Opara, Michael; Elloumi, Fathi; Okafor, Oliver; Warsame, Hussein</t>
  </si>
  <si>
    <t>Effects of the institutional environment on public-private partnership (P3) projects: Evidence from Canada</t>
  </si>
  <si>
    <t>ACCOUNTING FORUM</t>
  </si>
  <si>
    <t>The purpose of this paper is to understand the effects of the institutional environment on project outcomes in order to contribute to the accumulating accounting literature on P3s. Based on an empirical study of Alberta's institutional environment, using Edmonton's Anthony Henday Highway P3 projects, we analyze how the: a) political environment enables or disenables P3 outcomes; b) policy/business environment impacts project development and implementation; and c) organizational capacity affects P3 outcomes and vice versa. Adopting a neo-institutionalism perspective and a case study approach, we investigate the effects of the institutional environment on P3 project outcomes. This research is based on 35 semi-structured interviews of public sector executive managers, political actors, senior industry executives, project consultants/advisors, labour union, media specialists, community advocates and public policy analysts in the P3 industry who participated in Alberta's P3 projects from 2004 to 2016. We find that the institutional environment has significant influence on project performance, and program permanence/continuity. Our study suggests that P3 enabling environments present: 1) relevant P3 policy measures and committed political support by field actors; 2) a path-dependent response to project outcomes; and 3) institutional environment elements that are mutually re-enforcing with synergistic effects. In effect, we document that a strong political leadership support for P3s, a favourable policy environment, and effective organizational capacity are pre-requisite factors for the successful implementation of P3s. Given the unsettled debate about various methodological approaches to value for money (VfM) determination for assessing P3s, we are unsure whether our findings are partly influenced by inconsistent accounting standards for P3s across jurisdictions. Our study highlights critical P3 enabling attributes that would be beneficial to accounting researchers interested in institutional environment studies and co-operative arrangements, accountants, public sector policy managers, regulators, and private sector partners saddled with the task of developing and implementing P3 projects in various institutional and/or contextual settings. (C) 2017 Elsevier Ltd. All rights reserved.</t>
  </si>
  <si>
    <t>Opara, Michael/AAN-9139-2020</t>
  </si>
  <si>
    <t>Opara, Michael/0000-0001-7441-7026</t>
  </si>
  <si>
    <t>0155-9982</t>
  </si>
  <si>
    <t>1467-6303</t>
  </si>
  <si>
    <t>10.1016/j.accfor.2017.01.002</t>
  </si>
  <si>
    <t>WOS:000403269500002</t>
  </si>
  <si>
    <t>Stubbs, P; Vidovic, D</t>
  </si>
  <si>
    <t>Stubbs, Paul; Vidovic, Davorka</t>
  </si>
  <si>
    <t>SOCIAL ENTERPRISE IN TRANSITION: A CASE STUDY OF ACT GROUP</t>
  </si>
  <si>
    <t>DRUSTVENA ISTRAZIVANJA</t>
  </si>
  <si>
    <t>Contextualising the lived practices of social enterprises overcomes crude binaries between the idealised views of such ventures as 'heroic' and those which see them as the reproduction of neo-liberal hegemony. When translated into 'transition' contexts in the 'semi-periphery', there is a need for case studies of social enterprises which address the micro-level of lived social practices, exploring the ways in which particular initiatives steer a path, however contradictory and paradoxical, towards an autonomous space for action, even in the face of an inconsistent and unsupportive operating environment. Based on a 'bending and blending' approach, making a virtue out of the fact that researchers on social enterprises inevitably are also enrolled as policy consultants, advisors, advocates, and practitioners, this paper uses qualitative methods to explore the work of ACT Group, a consortium of social enterprises from Cakovec, Croatia. The text explores the hybrid nature of the Group's organisational topography and leadership styles, the complex relationship between informal and formal practices, and the unexpected synergies between charismatic leadership and collective decision-making.</t>
  </si>
  <si>
    <t>Kuo, Aircraft/T-5262-2017; Vidovic, Davorka/AAX-5765-2020; Stubbs, Paul/I-9372-2019</t>
  </si>
  <si>
    <t>1330-0288</t>
  </si>
  <si>
    <t>10.5559/di.26.2.01</t>
  </si>
  <si>
    <t>WOS:000405183500001</t>
  </si>
  <si>
    <t>Esa, MR; Halog, A; Rigamonti, L</t>
  </si>
  <si>
    <t>Esa, Mohd Reza; Halog, Anthony; Rigamonti, Lucia</t>
  </si>
  <si>
    <t>Strategies for minimizing construction and demolition wastes in Malaysia</t>
  </si>
  <si>
    <t>Increasing environmental awareness has contributed to the shift of mindset among the Malaysian construction industry stakeholders. The Malaysian government has put an effort to prioritize the importance of managing construction and demolition (C&amp;D) wastes to mitigate environmental impacts, but the recycling rate is still as low as 15%. This study was conducted to identify key principles and strategies in developing an integrated management of C&amp;D waste via survey questionnaire sent to government agencies, developers, consultants and contractors. The final version of the survey involved 52 questions and it was sent to 480 construction actors. The results reveal that it is crucial that the process of managing the generation of C&amp;D waste starts at the planning and designing stage so that the volume of generated waste could be decreased during the construction cycle. Suitable strategies for each stage of the construction cycle have been identified: among others, waste management plan and construction methods in the planning and designing stage: awareness and awards and regulations enhancement during procurement phase: and effective management during the stages of construction and demolition. A causal-loop diagram (CLD) for managing C&amp;D waste was developed according to the findings. (C) 2016 Elsevier B.V. All rights reserved.</t>
  </si>
  <si>
    <t>Halog, Anthony Basco/I-6718-2012; rigamonti, lucia/E-3943-2016</t>
  </si>
  <si>
    <t>Halog, Anthony Basco/0000-0002-0404-0670; rigamonti, lucia/0000-0001-5468-9577</t>
  </si>
  <si>
    <t>10.1016/j.resconrec.2016.12.014</t>
  </si>
  <si>
    <t>WOS:000395616300020</t>
  </si>
  <si>
    <t>Bouchard, S; Dumoulin, S; Robillard, G; Guitard, T; Klinger, E; Forget, H; Loranger, C; Roucaut, FX</t>
  </si>
  <si>
    <t>Bouchard, Stephane; Dumoulin, Stephanie; Robillard, Genevieve; Guitard, Tanya; Klinger, Evelyne; Forget, Helene; Loranger, Claudie; Roucaut, Francois Xavier</t>
  </si>
  <si>
    <t>Virtual reality compared with in vivo exposure in the treatment of social anxiety disorder: a three-arm randomised controlled trial</t>
  </si>
  <si>
    <t>BRITISH JOURNAL OF PSYCHIATRY</t>
  </si>
  <si>
    <t>Background People with social anxiety disorder (SAD) fear social interactions and may be reluctant to seek treatments involving exposure to social situations. Social exposure conducted in virtual reality (VR), embedded in individual cognitive-behavioural therapy (CBT), could be an answer. Aims To show that conducting VR exposure in CBT for SAD is effective and is more practical for therapists than conducting exposure in vivo. Method Participants were randomly assigned to either VR exposure (n = 17), in vivo exposure (n = 22) or waiting list (n = 20). Participants in the active arms received individual CBT for 14 weekly sessions and outcome was assessed with questionnaires and a behaviour avoidance test. (Trial registration number ISRCTN99747069.) Results Improvements were found on the primary (Liebowitz Social Anxiety Scale) and all five secondary outcome measures in both CBT groups compared with the waiting list. Conducting exposure in VR was more effective at post-treatment than in vivo on the primary outcome measure and on one secondary measure. Improvements were maintained at the 6-month follow-up. VR was significantly more practical for therapists than in vivo exposure. Conclusions Using VR can be advantageous over standard CBT as a potential solution for treatment avoidance and as an efficient, cost-effective and practical medium of exposure. Declaration of interest S.B. and G.R. are consultants to and own equity in Cliniques et Developpement In Virtuo, which develops virtual environments; however, Cliniques et Developpement In Virtuo did not create the virtual environments used in this study. The terms of these arrangements were reviewed and approved by Universite ' du Quebec en Outaouais, in accordance with its policy on conflicts of interest. Copyright and usage (C) The Royal College of Psychiatrists 2017.</t>
  </si>
  <si>
    <t>0007-1250</t>
  </si>
  <si>
    <t>1472-1465</t>
  </si>
  <si>
    <t>10.1192/bjp.bp.116.184234</t>
  </si>
  <si>
    <t>WOS:000398055000008</t>
  </si>
  <si>
    <t>Burger, J; Gochfeld, M; Niles, L; Tsipoura, N; Mizrahi, D; Dey, A; Jeitner, C; Pittfield, T</t>
  </si>
  <si>
    <t>Burger, Joanna; Gochfeld, Michael; Niles, Larry; Tsipoura, Nellie; Mizrahi, David; Dey, Amanda; Jeitner, Christian; Pittfield, Taryn</t>
  </si>
  <si>
    <t>Stakeholder contributions to assessment, monitoring, and conservation of threatened species: black skimmer and red knot as case studies</t>
  </si>
  <si>
    <t>Stakeholder contributions to conservation projects often occur during the problem formulation stage, yet the role of stakeholders throughout the process is seldom considered. We examine the diversity of state and federal agencies, conservation organizations, other non-governmental organizations, environmental justice communities, consultants, industry, and the general public in the conservation of red knot (Calidris canutus rufa) and black skimmer (Rynchops niger) in New Jersey. We suggest that (1) governmental agencies provide the legal, regulatory, and management framework, but it is often the universities, conservation organizations, consultants, and the public that conduct the research and perform activities that lead to increased research and conservation efforts; (2) departments within agencies may have conflicting mandates, making it difficult to resolve differences in actions; (3) there is often conflict among and within state agencies and conservation organizations about roles and priorities; and (4) the role of the public is critical to ongoing research and conservation efforts. Identification of all the relevant stakeholders is necessary to recognizing competing claims, identifying the threats, deciding how to manage the threats, and enhancing population viability. Conflicts occur even within an agency when one department oversees science and protection of populations and another oversees and fosters an industry (aquaculture or fisheries, or permits for off-road vehicles). Conflicts also occur between resource agencies, industry, and conservation organizations. Recognizing the different stakeholders and their mandates, and encouraging participation in the process, leads to a better understanding of the threats, risks, and possible solutions when conflicts arise. Tracking stakeholder viewpoints and actions can lead to increased involvement and conflict resolution.</t>
  </si>
  <si>
    <t>10.1007/s10661-016-5731-3</t>
  </si>
  <si>
    <t>WOS:000393645800015</t>
  </si>
  <si>
    <t>Kulkarni, S; Harsoor, SS; Chandrasekar, M; Bhaskar, SB; Bapat, J; Ramdas, EK; Valecha, UK; Pradhan, AS; Swami, AC</t>
  </si>
  <si>
    <t>Kulkarni, Satish; Harsoor, S. S.; Chandrasekar, M.; Bhaskar, S. Bala; Bapat, Jitendra; Ramdas, Edakeparavan Keloth; Valecha, Umesh Kumar; Pradhan, Amol Shashikumar; Swami, Adarsh Chandra</t>
  </si>
  <si>
    <t>Consensus statement on anaesthesia for day care surgeries</t>
  </si>
  <si>
    <t>INDIAN JOURNAL OF ANAESTHESIA</t>
  </si>
  <si>
    <t>The primary aim of day-care surgery units is to allow for early recovery of the patients so that they can return to their familiar 'home' environment; the management hence should be focused towards achieving these ends. The benefits could include a possible reduction in the risk of thromboembolism and hospital-acquired infections. Furthermore, day-care surgery is believed to reduce the average unit cost of treatment by up to 70% as compared to inpatient surgery. With more than 20% of the world's disease burden, India only has 6% of the world's hospital beds. Hence, there is an immense opportunity for expansion in day-care surgery in India to ensure faster and safer, cost-effective patient turnover. For this to happen, there is a need of change in the mindset of all concerned clinicians, surgeons, anaesthesiologists and even the patients. A group of nine senior consultants from various parts of India, a mix of private and government anaesthesiologists, assembled in Mumbai and deliberated and discussed on the various aspects of day-care surgery. They formulated a consensus statement, the first of its kind in the Indian scenario, which can act as a guidance and tool for day-care anaesthesia in India. The statements are derived from the available published evidence in peer-reviewed literature including guidelines of several bodies such as the American Society of Anesthesiologists, British Association of Day Surgery and International Association of Ambulatory Surgery. The authors also offer interpretive comments wherever such evidence is inadequate or contradictory.</t>
  </si>
  <si>
    <t>0019-5049</t>
  </si>
  <si>
    <t>0976-2817</t>
  </si>
  <si>
    <t>10.4103/ija.IJA_659_16</t>
  </si>
  <si>
    <t>WOS:000395857500003</t>
  </si>
  <si>
    <t>Bayir, A; Ozdemir, S; Gulsecen, S</t>
  </si>
  <si>
    <t>Bayir, Ali; Ozdemir, Sebnem; Gulsecen, Sevinc</t>
  </si>
  <si>
    <t>Determination of Voting Tendencies in Turkey through Data Mining Algorithms</t>
  </si>
  <si>
    <t>INTERNATIONAL JOURNAL OF E-ADOPTION</t>
  </si>
  <si>
    <t>Political elections can be defined as systems that contain political tendencies and voters' perceptions and preferences. The outputs of those systems are formed by specific attributes of individuals such as age, gender, occupancy, educational status, socio-economic status, religious belief, etc. Those attributes can create a data set, which contains hidden information and undiscovered patterns that can be revealed by using data mining methods and techniques. The main purpose of this study is to define voting tendencies in politics by using some of data mining methods. According to that purpose, the survey results, which were prepared and applied before 2011 elections of Turkey by KONDA Research and Consultancy Company, were used as raw data set. After Preprocessing of data, models were generated via data mining algorithms, such as Gini, C4.5 Decision Tree, Naive Bayes and Random Forest. Because of increasing popularity and flexibility in analyzing process, R language and Rstudio environment were used.</t>
  </si>
  <si>
    <t>Ozdemir, Sebnem/AAP-7345-2020; , Sevinc/AAD-2974-2020</t>
  </si>
  <si>
    <t xml:space="preserve">Ozdemir, Sebnem/0000-0001-6668-6285; </t>
  </si>
  <si>
    <t>1937-9633</t>
  </si>
  <si>
    <t>1937-9641</t>
  </si>
  <si>
    <t>JAN-JUN</t>
  </si>
  <si>
    <t>10.4018/IJEA.2017010105</t>
  </si>
  <si>
    <t>WOS:000413727600006</t>
  </si>
  <si>
    <t>Bernes, C; Bullock, JM; Jakobsson, S; Rundlof, M; Verheyen, K; Lindborg, R</t>
  </si>
  <si>
    <t>Bernes, Claes; Bullock, James M.; Jakobsson, Simon; Rundlof, Maj; Verheyen, Kris; Lindborg, Regina</t>
  </si>
  <si>
    <t>How are biodiversity and dispersal of species affected by the management of roadsides? A systematic map</t>
  </si>
  <si>
    <t>ENVIRONMENTAL EVIDENCE</t>
  </si>
  <si>
    <t>Background: In many parts of the world, roadsides are regularly managed for traffic-safety reasons. Hence, there are similarities between roadsides and certain other managed habitats, such as wooded pastures and mown or grazed grasslands. These habitats have declined rapidly in Europe during the last century. For many species historically associated with them, roadsides may function as new primary habitats or as dispersal corridors in fragmented landscapes. Current recommendations for roadside management to promote conservation values are largely based on studies of plants in semi-natural grasslands, although such areas often differ from roadsides in terms of environmental conditions and disturbance regimes. Moreover, roadsides provide habitat not only for plants but also for many insects. For these reasons, stakeholders in Sweden have emphasised the need for more targeted management recommendations, based on actual studies of roadside biodiversity. Methods: This systematic map provides an overview of the available evidence on how biodiversity is affected by various forms of roadside management, and how such management influences the dispersal of species along roads or roadsides. We searched for literature using 13 online publication databases, 4 search engines, 36 specialist websites and 5 literature reviews. Search terms were developed in English, Danish, Dutch, French, German, Norwegian, Spanish and Swedish. Identified articles were screened for relevance using criteria set out in a protocol. No geographical restrictions were applied, and all species and groups of organisms were considered. Descriptions of included studies are available in an Excel file, and also in an interactive GIS application that can be accessed at an external website. Results: Our searches identified more than 7000 articles. The 207 articles included after screening described 301 individual studies considered to be relevant. More than two-thirds of these studies were conducted in North America, with most of the rest performed in Europe. More than half of the studies were published in grey literature such as reports from agencies or consultants. The interventions most commonly studied were herbicide use, sowing and mowing, followed by soil amendments such as mulching and fertiliser additions. The outcomes most frequently reported were effects of interventions on the abundance or species richness of herbs/forbs, graminoids and woody plants. Effects on insects and birds were reported in 6 and 3% of the studies, respectively. Conclusions: This systematic map is based on a comprehensive and systematic screening of all available literature on the effects of roadside management on biodiversity and dispersal of species. As such it should be of value to a range of actors, including managers and policymakers. The map provides a key to finding concrete guidance for conservation- and restoration-oriented roadside management from published research. However, the map also highlights important knowledge gaps: little data was found for some geographical regions, research is heavily biased taxonomically towards plants, and no study was found on how species dispersal was affected by roadside management. The map could therefore be a source of inspiration for new research.</t>
  </si>
  <si>
    <t>2047-2382</t>
  </si>
  <si>
    <t>10.1186/s13750-017-0103-1</t>
  </si>
  <si>
    <t>WOS:000449407900024</t>
  </si>
  <si>
    <t>Cunningham, I</t>
  </si>
  <si>
    <t>Cunningham, Ian</t>
  </si>
  <si>
    <t>Personalisation, austerity and the HR function in the UK voluntary sector</t>
  </si>
  <si>
    <t>INTERNATIONAL JOURNAL OF HUMAN RESOURCE MANAGEMENT</t>
  </si>
  <si>
    <t>Using the customer-orientated bureaucracy (COB) construct, this qualitative study investigates changes to the Human Resource (HR) function's status in eight Scottish voluntary organisations delivering public services at a time of contradictory government calls for greater customer service (personalisation) and cost control (austerity). HR attempts to build and sustain social orders that encourage worker commitment to customer service, leading to business facing and business partner' strategic roles in areas of recruitment and skills. The study, however, challenges the ability of unitarist business partner' HR roles to resolve emerging organisational tensions concerning industrial relations, worker concerns over their own security, lack of opportunities to up-skill and service quality. It further questions whether the HR function can be strategic in this and other COB contexts as it can be powerless to resolve workplace tensions because its own status is undermined by budget cuts by government and it faces challenges to its expertise from internal and external actors such as consultants and customers.</t>
  </si>
  <si>
    <t>0958-5192</t>
  </si>
  <si>
    <t>1466-4399</t>
  </si>
  <si>
    <t>10.1080/09585192.2015.1136670</t>
  </si>
  <si>
    <t>WOS:000402641300006</t>
  </si>
  <si>
    <t>Foley, MM; Mease, LA; Martone, RG; Prahler, EE; Morrison, TH; Murray, CC; Wojcik, D</t>
  </si>
  <si>
    <t>Foley, Melissa M.; Mease, Lindley A.; Martone, Rebecca G.; Prahler, Erin E.; Morrison, Tiffany H.; Murray, Cathryn Clarke; Wojcik, Deborah</t>
  </si>
  <si>
    <t>The challenges and opportunities in cumulative effects assessment</t>
  </si>
  <si>
    <t>The cumulative effects of increasing human use of the ocean and coastal zone have contributed to a rapid decline in ocean and coastal resources. As a result, scientists are investigating how multiple, overlapping stressors accumulate in the environment and impact ecosystems. These investigations are the foundation for the development of new tools that account for and predict cumulative effects in order to more adequately prevent or mitigate negative effects. Despite scientific advances, legal requirements, and management guidance, those who conduct assessments including resource managers, agency staff, and consultants continue to struggle to thoroughly evaluate cumulative effects, particularly as part of the environmental assessment process. Even though 45 years have passed since the United States National Environmental Policy Act was enacted, which set a precedent for environmental assessment around the world, defining impacts, baseline, scale, and significance are still major challenges associated with assessing cumulative effects. In addition, we know little about how practitioners tackle these challenges or how assessment aligns with current scientific recommendations. To shed more light on these challenges and gaps, we-undertook a comparative study on how cumulative effects assessment (CEA) is conducted by practitioners operating under some of the most well-developed environmental laws around the globe: California, USA; British Columbia, Canada; Queensland, Australia; and New Zealand. We found that practitioners used a broad and varied, definition of impact for CEA, which led to differences in how baseline, scale, and significance were determined. We also found that practice and science are not closely aligned and, as such, we highlight opportunities for managers, policy makers, practitioners, and scientists to improve environmental assessment. Published by Elsevier Inc.</t>
  </si>
  <si>
    <t>Morrison, Tiffany/D-4460-2012</t>
  </si>
  <si>
    <t>Morrison, Tiffany/0000-0001-5433-037X</t>
  </si>
  <si>
    <t>10.1016/j.eiar.2016.06.008</t>
  </si>
  <si>
    <t>WOS:000390628900012</t>
  </si>
  <si>
    <t>Kumaraswamy, M; Mahesh, G; Mahalingam, A; Loganathan, S; Kalidindi, SN</t>
  </si>
  <si>
    <t>Kumaraswamy, Mohan; Mahesh, Gangadhar; Mahalingam, Ashwin; Loganathan, Santhosh; Kalidindi, Satyanarayana N.</t>
  </si>
  <si>
    <t>Developing a clients' charter and construction project KPIs to direct and drive industry improvements</t>
  </si>
  <si>
    <t>Purpose - The purpose of this paper is to present a case, with live examples from a construction industry development initiative in India, for developing a proactive construction clients charter; and a core set of key performance indicators (KPIs), as basic tools for facilitating the expectations of this special issue in securing clients' organisational objectives and project aspirations throughout construction project lifecycles apart from empowering construction industry improvements in general. Design/methodology/approach - Having identified 19 critical issues in the Indian construction industry at two construction clients-academia roundtables, two of the action teams formed to address specific issue sets, separately developed a relevant construction clients charter and useful KPIs, respectively, through a combination of literature reviews and brainstorming conference calls, along with iterative drafts of, and feedback on interim outputs. Validation of working papers presented at a Consolidation Roundtable of construction clients and their consultants, elicited further suggestions for fine tuning of final outputs. Findings - The charter was formulated in structured steps, including identifying priorities under four categories: overall, expectations from supply chains, by supply chains and by end users. The six sub-heads of the charter are on procurement, design, innovation and technology, project execution, human resource development and worker welfare, and quality, safety and sustainability. The suggested KPIs for building clients in India enable organisations to choose: from three different groups (i.e. design phase, construction phase, or business outcomes), and at three different levels (i.e. project/organisation level, benchmarking club level, or industry level). Originality/value - There is no known overarching Construction Clients' Charter at present. Some project KPI sets are available elsewhere. However, those developed in India, while focusing on project performance, also connect to organisational performance and business outcomes. Furthermore, KPIs are provided to separately probe client, consultant and contractor performance. Significantly, the charter and KPIs are outcomes from an industryled self-improvement initiative launched with building construction clients at the forefront, rather than a top-down imposition from government. Furthermore, while prioritising client aspirations, they also address common supply chain and end-user concerns, which may also be interpreted as a longer-term win-win-win client's aspiration.</t>
  </si>
  <si>
    <t>10.1108/BEPAM-02-2017-0013</t>
  </si>
  <si>
    <t>WOS:000406712800003</t>
  </si>
  <si>
    <t>Luo, ZW; Gunasekaran, A; Dubey, R; Childe, SJ; Papadopoulos, T</t>
  </si>
  <si>
    <t>Luo, Zongwei; Gunasekaran, Angappa; Dubey, Rameshwar; Childe, Stephen J.; Papadopoulos, Thanos</t>
  </si>
  <si>
    <t>Antecedents of low carbon emissions supply chains</t>
  </si>
  <si>
    <t>INTERNATIONAL JOURNAL OF CLIMATE CHANGE STRATEGIES AND MANAGEMENT</t>
  </si>
  <si>
    <t>Purpose - A low-carbon economy is the pressing need of the hour. Despite several efforts taken by the government and large corporations, there is still research to be conducted exploring the role of top management commitment in translating external pressures into responses that help to build low-carbon emissions in supply chains. Design/methodology/approach - The authors have grounded their framework in institutional theory, agency theory and contingency theory. On the basis of existing literature, four hypotheses were drawn. To test these hypotheses, a questionnaire was developed and pre-tested. Finally, statistical analyses were performed to test the research hypotheses using 176 samples gathered using a pre-tested questionnaire following Dillman's (2007) total design testmethod. Findings - The results suggest that coercive pressures and mimetic pressures under the mediating effect of top management commitment have a significant influence on organizational response to low-carbon emissions. The authors further note that supply base complexity has moderating effects on the link between top management commitment and organizational response towards low-carbon emissions. Originality/value - This study offers valuable insights to those managers and environmental consultants who view supply base complexity as a limitation. However, the results indicate that supply base complexity may help to enhance the effectiveness of the top management commitment on organizational response towards low-carbon emissions.</t>
  </si>
  <si>
    <t>1756-8692</t>
  </si>
  <si>
    <t>1756-8706</t>
  </si>
  <si>
    <t>10.1108/IJCCSM-09-2016-0142</t>
  </si>
  <si>
    <t>WOS:000408830700009</t>
  </si>
  <si>
    <t>Mullen, M</t>
  </si>
  <si>
    <t>Mullen, Molly</t>
  </si>
  <si>
    <t>The 'diverse economies' of applied theatre</t>
  </si>
  <si>
    <t>APPLIED THEATRE RESEARCH</t>
  </si>
  <si>
    <t>Some of the perennial tensions in applied theatre arise from the ways in which practice is funded or financed. They include the immediate material pressures and pragmatic dilemmas faced by theatre makers on the ground and the struggle to secure the resources needed to produce and sustain work or to negotiate the dynamics and demands of particular funding relationships. In the applied theatre literature, there are many examples of groups and organizations that have compromised their political, pedagogic, artistic or ethical principles to make their work economically viable. There are also ongoing debates about the nature of the relationship between applied theatre and the local, national and global economic conditions in which it is produced. These debates examine the extent to which economic conditions shape the forms and intentions of socially committed theatre movements over time. This article takes a practice-based approach, drawing on fieldwork conducted in 2012 with three applied theatre companies: Applied Theatre Consultants Ltd in New Zealand; C&amp;T in the UK; and FM Theatre Power in Hong Kong. This multi-sited organizational ethnography generates critical insights into the ways in which these companies bring social and artistic values to bear on business models and financial relationships. Analysis of the companies' practice takes seriously the aim of J.K. Gibson-Graham's (2006) diverse economies project: to imagine and create spaces of economic possibility. Organizational, management and economic processes can be insidious technologies by which capitalist/neo-liberal ideologies infiltrate socially committed theatre and performance. But they can also be critically informed practices, involving considerable ethical consideration, creativity and care.</t>
  </si>
  <si>
    <t>2049-3010</t>
  </si>
  <si>
    <t>2049-3029</t>
  </si>
  <si>
    <t>10.1386/atr.5.1.7_1</t>
  </si>
  <si>
    <t>WOS:000408612700002</t>
  </si>
  <si>
    <t>Parker, G; Lynn, T; Wargent, M</t>
  </si>
  <si>
    <t>Parker, Gavin; Lynn, Tessa; Wargent, Matthew</t>
  </si>
  <si>
    <t>Contestation and conservatism in neighbourhood planning in England: reconciling agonism and collaboration?</t>
  </si>
  <si>
    <t>PLANNING THEORY &amp; PRACTICE</t>
  </si>
  <si>
    <t>Neighbourhood planning was formally enabled as a statutory part of the English planning system under the Localism Act 2011. This element of formal planning has generated significant interest as it actively requires local communities to lead on producing a Neighbourhood Development Plan (NDP) and is widely recognised as formalising co-produced planning. The paper reflects on research undertaken with a sample of neighbourhoods active in producing a neighbourhood plan, and develops a critical discussion about the experience of those participants. The findings highlight that existing power relations, national priorities, the framing of neighbourhood planning regulations, local political tensions and local resource constraints affect the emerging practices of neighbourhood planners in England. Many groups have adopted conservative positions or are finding their NDPs are being limited by consultants, local authorities or examiners, often concerned with how the NDPs will fare in the contested environment of planning and development in neo-liberal times. While some have contended that neighbourhood planning can form part of a progressive localism and there is some hope for such participatory spaces, our view is that innovation is being constrained if not entirely suppressed. We conclude that reform to neighbourhood planning is needed if it is to realise the ambitions of inclusive, empowered and responsible planning at the very local scale.</t>
  </si>
  <si>
    <t>Wargent, Matthew/AAG-2393-2021</t>
  </si>
  <si>
    <t>Wargent, Matthew/0000-0002-1448-9383</t>
  </si>
  <si>
    <t>1464-9357</t>
  </si>
  <si>
    <t>1470-000X</t>
  </si>
  <si>
    <t>10.1080/14649357.2017.1316514</t>
  </si>
  <si>
    <t>WOS:000418328700008</t>
  </si>
  <si>
    <t>Paro, PEP; Gerolamo, MC</t>
  </si>
  <si>
    <t>Pereira Paro, Pedro Ernesto; Gerolamo, Mateus Cecilio</t>
  </si>
  <si>
    <t>Organizational culture for lean programs</t>
  </si>
  <si>
    <t>JOURNAL OF ORGANIZATIONAL CHANGE MANAGEMENT</t>
  </si>
  <si>
    <t>Purpose - Recent studies suggest that the implementation of Lean will only be successful when aligned with organizational culture (OC). The purpose of this paper is to understand an Ideal Lean Culture (ILC) in the Brazilian context. Design/methodology/approach - This diagnosis is based on the Competing Values Framework, and it is the result of a survey with 51 experts in charge of implementation of Lean programs in organizations operating in different industry segments in Brazil. Findings - The results show that an ILC for Brazilian organizations seems to have the dominant profile of the hierarchy culture, thus characterizing a highly structured and formal place, with rules and procedures governing the behavior of people. Research limitations/implications - Some limitations of this study include: although a survey has been applied, the research cannot be classified as a quantitative study; it brings the opinion of a limited number of Brazilian experts about lean programs; both the sample size could be increased and the nationality of respondents could be expanded for future research. Practical implications - It is proposed that an organization (or an area of the organization) that wants to be successful in its lean journey must, first, measure its OC and then promote a cultural profile aligned with the results presented in this paper. By doing so, it is expected that this lean journey should have a higher probability of long-term success and sustainability of lean practices, concepts and philosophy. Originality/value - In the last two decades much has been written about the importance of OC in the success of lean programs. However, very few studies has mapped and measured an ILC in a way that allows researchers, consultants and managers to evaluate if an OC is close to or distant from an ILC.</t>
  </si>
  <si>
    <t>Gerolamo, Mateus/G-7182-2012</t>
  </si>
  <si>
    <t>Gerolamo, Mateus/0000-0002-6535-0904</t>
  </si>
  <si>
    <t>0953-4814</t>
  </si>
  <si>
    <t>1758-7816</t>
  </si>
  <si>
    <t>10.1108/JOCM-02-2016-0039</t>
  </si>
  <si>
    <t>WOS:000404844800008</t>
  </si>
  <si>
    <t>Porto, FGR; Melo, GP</t>
  </si>
  <si>
    <t>Rebougas Porto, Francisco Gilson, Jr.; Melo, Gabriela Pereira</t>
  </si>
  <si>
    <t>CAPACITY BUILDING AND PROFESSIONAL IDENTITY: THE PROFESSIONAL OF COMUNICATION AT THE LEGESLATIVE CHAMBER OF TOCANTINS STATE</t>
  </si>
  <si>
    <t>HUMANIDADES &amp; INOVACAO</t>
  </si>
  <si>
    <t>The communication professional is responsible for performing certain functions in a communication consultancy. When it comes to advising a public person, in this case, a political agent, the functions do not diverge, but a holistic knowledge is necessary before the area and objectives sought. The image of a person is worked out and the citizen's responsibility to disclose the facts of society's interest is fortified. This research understands the professional involved in this environment, specifically crowded in the Legislative Assembly of Tocantins and the structure that involves it. It is the relation of the communicating subject with the medium that composes his identity.</t>
  </si>
  <si>
    <t>2358-8322</t>
  </si>
  <si>
    <t>WOS:000412494400008</t>
  </si>
  <si>
    <t>Sanchez, LE; Mitchell, R</t>
  </si>
  <si>
    <t>Sanchez, Luis E.; Mitchell, Ross</t>
  </si>
  <si>
    <t>Conceptualizing impact assessment as a learning process</t>
  </si>
  <si>
    <t>This paper explores how project developers and their consultants, government regulators and stakeholders can learn from the impact assessment (IA) process, thus potentially improving its effectiveness and enhancing project sustainability. Despite the benefits that learning can bring to an organization, failure to learn appears commonplace both within the IA process and, once approved, subsequent industrial development. To nurture organizational learning through IA, enabling structures that foster information sharing and interpretation and enhance organizational memory are needed. In this paper learning outcomes are grouped into three categories: acquisition of knowledge and skills, developing new behaviors and developing sustainability-oriented norms and values. Means to achieve such outcomes include education and training, experiential learning, learning through public participation (social learning) and a 'learning organization approach'. Societal expectations increasingly demand not only projects that 'pass' the review criteria of regulators, financiers and the community, but IA processes capable of delivering sustainable outcomes that include learning and sharing of knowledge. It is proposed that learning be treated as a purposeful- not as an accidental- outcome of IA, and facilitated by adopting a 'learning organization approach' coupled with best practice such as early stakeholder engagement. (C) 2016 Elsevier Inc. All rights reserved.</t>
  </si>
  <si>
    <t>10.1016/j.eiar.2016.06.001</t>
  </si>
  <si>
    <t>WOS:000390628900019</t>
  </si>
  <si>
    <t>Sieleunou, I; Turcotte-Tremblay, AM; Yumo, HA; Kouokam, E; Fotso, JCT; Tamga, DM; Ridde, V</t>
  </si>
  <si>
    <t>Sieleunou, Isidore; Turcotte-Tremblay, Anne-Marie; Yumo, Habakkuk Azinyui; Kouokam, Estelle; Fotso, Jean-Claude Taptue; Tamga, Denise Magne; Ridde, Valery</t>
  </si>
  <si>
    <t>Transferring the Purchasing Role from International to National Organizations During the Scale-Up Phase of Performance-Based Financing in Cameroon</t>
  </si>
  <si>
    <t>HEALTH SYSTEMS &amp; REFORM</t>
  </si>
  <si>
    <t>The World Bank and the government of Cameroon launched a performance-based financing (PBF) program in Cameroon in 2011. To ensure its rapid implementation, the performance purchasing role was sub-contracted to a consultancy firm and a nongovernmental organization, both international. However, since the early stage, it was agreed upon that this role would later be transferred to a national entity. This explanatory case study aims at analyzing the process of this transfer using Dolowitz and Marsh's framework. We performed a document review and interviews with various stakeholders (n = 33) and then conducted thematic analysis of interview recordings. Sustainability, ownership, and integration of the PBF intervention into the health system emerged as the main reasons for the transfer. The different aspects of transfer from international entities to a national body consisted of (1) the decision-making power, (2) the soft elements (e.g., ideas, expertise), and (3) the hard elements (e.g., computers, vehicles). Factors facilitating the transfer included the fact that it was planned from the start and the modification of the legal status of the national organization that became responsible for strategic purchasing. Other factors hindered the transfer, such as the lack of a legal act clarifying the conditions of the transfer and the lack of posttransition support agreements. The Cameroonian experience suggests that key components of a successful transfer of PBF functions from international to national organizations may include clear guidelines, co-ownership and planning of the transition by all parties, and posttransition support to new actors.</t>
  </si>
  <si>
    <t>2328-8604</t>
  </si>
  <si>
    <t>2328-8620</t>
  </si>
  <si>
    <t>10.1080/23288604.2017.1291218</t>
  </si>
  <si>
    <t>WOS:000445292200004</t>
  </si>
  <si>
    <t>Yap, JBH; Goh, SV</t>
  </si>
  <si>
    <t>Yap, Jeffrey Boon Hui; Goh, Seh Vian</t>
  </si>
  <si>
    <t>Determining the potential and requirements of transit-oriented development (TOD) The case of Malaysia</t>
  </si>
  <si>
    <t>PROPERTY MANAGEMENT</t>
  </si>
  <si>
    <t>Purpose - The purpose of this paper is to explore the potential of transit-oriented development (TOD), the perceptions of buyers and the establishment of the comfortable walking distance. The literature indicates the requirement of TOD with increasing population in major cities. Design/methodology/approach - In this study, exploratory sequential mixed methods research approach was adopted. Semi-structured interviews were conducted followed by questionnaire survey. The respondents were categorised based on their generation cohorts to further understand their acuities on TOD. Findings - The key consideration factors when buying houses in the TOD area are as follows: amenities related to jobs and family for Baby Boomers; time saving for Generation Y; and location for Generation X, i.e. house should be conveniently located in relation to working place, school, etc. Communities in Malaysia are willing to walk for five to ten minutes (approximately 400 to 800 m). Research limitations/implications - Future studies can be enlarged to include other major cities in Malaysia and draw comparisons with neighbouring ASEAN countries. Practical implications - This paper provides insights to property developers, consultants and government agencies for product development. Ultimately, TOD is the innovative sustainable solution for high-density urban planning and development. Social implications - TOD is a sustainable development concept that encourages the use of public transportation system in order to reduce private motor vehicles usage. Originality/value - This paper emphasises the potential of TOD, explores the perceptions of different generation cohorts in relation to TOD and establishes the comfortable walking distance for Malaysian communities. It also highlights the key factors of conveniences for TOD.</t>
  </si>
  <si>
    <t>Yap, Jeffrey Boon Hui/0000-0003-4332-0031</t>
  </si>
  <si>
    <t>0263-7472</t>
  </si>
  <si>
    <t>1758-731X</t>
  </si>
  <si>
    <t>10.1108/PM-06-2016-0030</t>
  </si>
  <si>
    <t>WOS:000408199000004</t>
  </si>
  <si>
    <t>King, TF</t>
  </si>
  <si>
    <t>King, Thomas F.</t>
  </si>
  <si>
    <t>Eliminating Contract Document Conflicts with Environmental Impact Assessment: An Example from the U.S. Department of Veterans Affairs</t>
  </si>
  <si>
    <t>ENVIRONMENTAL PRACTICE</t>
  </si>
  <si>
    <t>Government agencies, environmental consultants, and the public alike are frustrated by poor the coordination between agency planning and environmental impact assessment (EIA). Contracts for project design, construction, and management too often fail to provide for EIA, or to accommodate its results. A systematic review of standard contract documents and guidelines used by one major U.S. government agency revealed that they seldom took into account the need for EIA or provided for integrating the results of EIA into planning. Correcting these deficiencies was not very difficult. Other agencies may be well advised to undertake similar reviews.</t>
  </si>
  <si>
    <t>1466-0466</t>
  </si>
  <si>
    <t>1466-0474</t>
  </si>
  <si>
    <t>10.1017/S1466046616000478</t>
  </si>
  <si>
    <t>WOS:000388731200008</t>
  </si>
  <si>
    <t>Lee, W</t>
  </si>
  <si>
    <t>Lee, Wonhyung</t>
  </si>
  <si>
    <t>Struggles to form business improvement districts (BIDs) in Los Angeles</t>
  </si>
  <si>
    <t>Autonomous efforts to improve local business environments have become an increasingly important impetus for economic development. Business improvement districts (BIDs), as one of such autonomous organisations, have clearly demonstrated benefits for promoting commercial areas over the last two decades. When BIDs spread over a city, however, not every commercial district succeeds in establishing BIDs despite some initial efforts. This research examines the types of challenges that these neighbourhoods experience in order to form BIDs. This study is based on census data analyses and in-depth interviews with city employees, BID consultants, executive directors of BIDs and community stakeholders in Los Angeles. The results show that the areas with unsuccessful attempts of BID formation in Los Angeles are relatively low-income immigrant neighbourhoods. Some of these neighbourhoods have struggled with disengaged property owners, spatial conflicts among diverse ethnic groups, immigrants' skepticism towards government and the chronic presence of informal economic activities. These findings suggest that some disadvantaged neighbourhoods are not adequately informed or organised to form BIDs. Public officials and community workers can support these neighbourhoods by providing direct assistance for the development of collective vision and action among community stakeholders.</t>
  </si>
  <si>
    <t>10.1177/0042098015613206</t>
  </si>
  <si>
    <t>WOS:000387499700004</t>
  </si>
  <si>
    <t>Lim, SAH; Antony, J</t>
  </si>
  <si>
    <t>Lim, Sarina Abdul Halim; Antony, Jiju</t>
  </si>
  <si>
    <t>Statistical process control readiness in the food industry: Development of a self-assessment tool</t>
  </si>
  <si>
    <t>TRENDS IN FOOD SCIENCE &amp; TECHNOLOGY</t>
  </si>
  <si>
    <t>Background: The increasing pressure from the customers, governmental regulations and fierce market competition forced food companies to pursue powerful quality improvement technique. Although Statistical Process Control is widely known for its effectiveness in process control, many food companies faced difficulties to adopt such technique, where being in the state of not ready has always been the reason. There has been a debate about the importance of deciding the state of readiness of a company to initiate their CI techniques such as SPC towards the successful implementation and sustainability of such technique. Scope and approach: This paper emphasises the importance of SPC readiness towards its implementation in the food industry and determines its factors. The SPC readiness factors were identified based on the current literature review and complemented with a three-round Delphi study involving the SPC experts (academics, industry and consultants). Key findings and conclusion: The SPC readiness factors identified are top management support, sense of urgency, measurement system, employees involvement and organisational culture readiness. The developed conceptual self-assessment readiness tool enables food practitioners to identify the current state of organisational readiness and facilitate the companies to plan strategic changes and preparation activities for the adoption of SPC in their businesses. (C) 2016 Elsevier Ltd. All rights reserved.</t>
  </si>
  <si>
    <t>lim, sarina abdul halim/R-4301-2019</t>
  </si>
  <si>
    <t>lim, sarina abdul halim/0000-0003-3526-712X</t>
  </si>
  <si>
    <t>0924-2244</t>
  </si>
  <si>
    <t>10.1016/j.tifs.2016.10.025</t>
  </si>
  <si>
    <t>WOS:000390728000011</t>
  </si>
  <si>
    <t>Hodgson, RLP; Khan, IA; Haynes, R; Arnold, J</t>
  </si>
  <si>
    <t>Hodgson, Robert L. P.; Khan, Iftekhar A.; Haynes, Ruth; Arnold, John</t>
  </si>
  <si>
    <t>Rapid structural assessment of garment factories in Bangladesh</t>
  </si>
  <si>
    <t>PROCEEDINGS OF THE INSTITUTION OF CIVIL ENGINEERS-FORENSIC ENGINEERING</t>
  </si>
  <si>
    <t>Bangladesh is the world's second biggest exporter of garments, producing a range of clothes for all the major designer labels. The collapse of the Rana Plaza building in Savar in April 2013 highlights the lack of building control that had accompanied the very rapid growth of this industry since the early 1990s and initiated a widespread assessment of the structural integrity of hundreds of similar buildings. Medway Consultancy Services (UK) Ltd undertook assessments of some 200 factories between May 2013 and December 2015 for two major buying groups. Each factory building was inspected visually to confirm that it had been built according to available plans and that the resulting structure was fit for purpose. Additional investigations, including ground investigations and exposure of footings, were undertaken in a small number of cases. This paper describes the process for prioritising assessments and the systematic approach adopted for rapid categorisation of structures. It discusses the outcomes and challenges faced when working in developing countries, particularly within a politically sensitive environment generated by global media attention.</t>
  </si>
  <si>
    <t>2043-9903</t>
  </si>
  <si>
    <t>2043-9911</t>
  </si>
  <si>
    <t>UNSP 1600008</t>
  </si>
  <si>
    <t>10.1680/jfoen.16.00008</t>
  </si>
  <si>
    <t>WOS:000385653500004</t>
  </si>
  <si>
    <t>Bayon, Y; Bohner, M; Eglin, D; Procter, P; Richards, RG; Weber, J; Zeugolis, DI</t>
  </si>
  <si>
    <t>Bayon, Y.; Bohner, M.; Eglin, D.; Procter, P.; Richards, R. G.; Weber, J.; Zeugolis, D. I.</t>
  </si>
  <si>
    <t>Innovating in the medical device industry - challenges &amp; opportunities ESB 2015 translational research symposium</t>
  </si>
  <si>
    <t>JOURNAL OF MATERIALS SCIENCE-MATERIALS IN MEDICINE</t>
  </si>
  <si>
    <t>The European Society for Biomaterials 2015 Translational Research Symposium focused on 'Innovating in the Medical Device Industry - Challenges &amp; Opportunities' from different perspectives, i.e., from a non-profit research organisation to a syndicate of small and medium-sized companies and large companies. Lecturers from regulatory consultants, industry and research institutions described the innovation process and regulatory processes (e.g., 510K, PMA, combination product) towards market approval. The aim of the present article is to summarise and explain the main statements made during the symposium, in terms of challenges and opportunities for medical device industries, in a constantly changing customer and regulatory environment. Innovation and new product development in the medical device industry have largely been technology driven in the last decades but always to solve clinical needs. Advancements have been often rapid and significant. Today's biomaterial implants have reached high standards; consequently, the state of art treatment generally supports acceptable return to daily activities and quality of life. Nonetheless, today's product development occurs in a complex healthcare environment, with multiple stakeholders involved. Each of these stakeholders can have different and sometimes conflicting requirements and expectations. While technological innovation to solve current clinical needs may still be the driving force behind new product development, in many cases it is not sufficient to reach the clinic. Innovation in the medical device industry can take many forms. From an entrepreneurship perspective, it does not require inventing something completely new; it can simply involve applying an existing idea in a new way or to a new situation. Innovation includes (i) rapid cadence of market release of new devices or services; (ii) scientific communication on a company's latest products with key opinion leaders support; (iii) clinical education of care providers; (iv) skilled communication channels; and (v) brand equity or the value of the brand name. Those are the five pillars of success in medical devices business. Innovation is greatly influenced by the patients, the care providers, the physicians, the payers, the policymakers and the producers who can all influence real-world healthcare decision-making. Putting on the market innovative products also depends on the fulfillment of regulatory requirements (which vary from continent to continent and even between countries), which are difficult but are in place to attempt to guarantee the safety and efficacy of any market approved products. This is a crucial bottleneck in time and cost for a biomaterial-based device and therapy. This topic was specifically addressed at the European Society for Biomaterials 2015 in Krakow, where the Translational Research Symposium focused on 'Innovating in the Medical Device Industry - Challenges &amp; Opportunities' from different perspectives. This was from a non-profit translational research organisation to a syndicate of small and medium-sized companies (SMEs) and large companies. Lecturers from regulatory consultants, industry and research institutions described the innovation process and regulatory processes (e.g., 510K, Pre-market approval [PMA], combination product) towards market approval. The customer and the constantly changing regulatory environment represented both innovation challenges and opportunities for medical device industries.</t>
  </si>
  <si>
    <t>Procter, Philip/N-4714-2019; Bohner, Marc/F-3828-2011</t>
  </si>
  <si>
    <t>Bohner, Marc/0000-0002-5079-3286; zeugolis, dimitrios/0000-0002-7599-5191</t>
  </si>
  <si>
    <t>0957-4530</t>
  </si>
  <si>
    <t>1573-4838</t>
  </si>
  <si>
    <t>10.1007/s10856-016-5759-5</t>
  </si>
  <si>
    <t>WOS:000382694800009</t>
  </si>
  <si>
    <t>Martin, G; Moraine, M; Ryschawy, J; Magne, MA; Asai, M; Sarthou, JP; Duru, M; Therond, O</t>
  </si>
  <si>
    <t>Martin, Guillaume; Moraine, Marc; Ryschawy, Julie; Magne, Marie-Angelina; Asai, Masayasu; Sarthou, Jean-Pierre; Duru, Michel; Therond, Olivier</t>
  </si>
  <si>
    <t>Crop-livestock integration beyond the farm level: a review</t>
  </si>
  <si>
    <t>AGRONOMY FOR SUSTAINABLE DEVELOPMENT</t>
  </si>
  <si>
    <t>Paradoxically, the number of crop-livestock farms is declining across Europe, despite the fact that crop-livestock farms are theoretically optimal to improve the sustainability of agriculture. To solve this issue, crop-livestock integration may be organized beyond the farm level. For instance, local groups of farmers can negotiate land-use allocation patterns and exchange materials such as manure, grain, and straw. Development of such a collective agricultural system raises questions, rarely documented in the literature, about how to integrate crops and livestock among farms, and the consequences, impacts, and conditions of integrating them. Here, we review the different forms of crop-livestock integration beyond the farm level, their potential benefits, and the features of decision support systems (DSS) needed for the integration process. We identify three forms of crop-livestock integration beyond the farm level: local coexistence, complementarity, and synergy, each with increasingly stronger temporal, spatial, and organizational coordination among farms. We claim that the forms of integration implemented define the nature, area, and spatial configuration of crops, grasslands, and animals in farms and landscapes. In turn, these configurations influence the provision of ecosystem services. For instance, we show that the synergy form of integration promotes soil fertility, erosion control, and field-level biological regulation services through organizational coordination among farmers and spatiotemporal integration between crops, grasslands, and animals. We found that social benefits of the synergy form of integration include collective empowerment of farmers. We claim that design of the complementarity and synergy forms of crop-livestock integration can best be supported by collective participatory workshops involving farmers, agricultural consultants, and researchers. In these workshops, spatialized simulation modeling of crop-livestock integration among farms is the basis for achieving the upscaling process involved in integrating beyond the farm level. Facilitators of these workshops have to pay attention to the consequences on governance and equity issues within farmers groups.</t>
  </si>
  <si>
    <t>1774-0746</t>
  </si>
  <si>
    <t>1773-0155</t>
  </si>
  <si>
    <t>10.1007/s13593-016-0390-x</t>
  </si>
  <si>
    <t>WOS:000384735600013</t>
  </si>
  <si>
    <t>McCormack, PA</t>
  </si>
  <si>
    <t>McCormack, Patricia A.</t>
  </si>
  <si>
    <t>ENVIRONMENTAL REVIEWS AND CASE STUDIES: Doing Credible Cultural Assessment: Applied Social Science</t>
  </si>
  <si>
    <t>This article is about socio-cultural expertise and knowledge in the context of environmental hearings in Alberta, Canada, to determine whether or not new oil sands projects should be approved. It identifies serious problems with cultural assessments about potential impacts on Aboriginal peoples done by consultants for oil sands hearings in Alberta and proposes that consultants doing cultural assessments should have qualifications equivalent to those of expert witnesses for the courts. It also raises the concern that the review panel members who preside over such hearings and their staffs may also lack expertise in socio-cultural matters concerning Aboriginal people. Both gaps impact directly on the recommendations made by review panels to the governments that make final decisions. Environmental Practice 18: 148-165 (2016)</t>
  </si>
  <si>
    <t>10.1017/S1466046616000259</t>
  </si>
  <si>
    <t>WOS:000382976500004</t>
  </si>
  <si>
    <t>Moore, KR</t>
  </si>
  <si>
    <t>Moore, Kristen R.</t>
  </si>
  <si>
    <t>Public Engagement in Environmental Impact Studies: A Case Study of Professional Communication in Transportation Planning</t>
  </si>
  <si>
    <t>IEEE TRANSACTIONS ON PROFESSIONAL COMMUNICATION</t>
  </si>
  <si>
    <t>Background: Environmental impact studies often enlist professional communicators to develop and implement public engagement plans and processes. However, few detailed reports of these public engagement plans exist in either scholarly venues or government reports. This case reviews one public engagement project in transportation planning as implemented by one professional communications firm. Research questions: 1) What communication and engagement strategies do the consultants employ in their public engagement process? 2) How do professional communicators design engagement for diverse citizen groups? Situating the case: A number of cases have revealed the ways professional and technical communicators integrate participatory or user-centered design strategies in public engagement projects. These cases suggest that professional and technical communicators are uniquely positioned to develop ethical and effective public engagement plans for environmental impact studies. Professional and technical communicators are further prepared for this work because of their knowledge about theories of intercultural communication and rhetorical theories of delivery. Methodology: This case was studied over the course of 1.5 years using qualitative research methods, including observations, interviews, and textual analysis. About the case: This case reviews the work of one particular public engagement firm, VTC Communications, as they planned and implemented public engagement in one environmental impact study. This environmental impact study team was tasked with determining the best way to accommodate the increase in rail traffic the city anticipated with the development of the high-speed rail. The public's input was needed to fulfill environmental impact statement (EIS) requirements and to fully understand the community concerns regarding the increased traffic, noise, vibrations, and family/business displacements. VTC Communications was hired to conduct this portion of the environmental impact study, and their work included the development of a range of deliverables and events. Conclusions: This case provides an overview of the process of developing public engagement plans, the deliverables designed, as well as the key goals that guided the development of public engagement. My case suggests that effective public engagement can address intercultural concerns by developing projects that are adaptable, multimodal, and dialogic.</t>
  </si>
  <si>
    <t>0361-1434</t>
  </si>
  <si>
    <t>1558-1500</t>
  </si>
  <si>
    <t>10.1109/TPC.2016.2583278</t>
  </si>
  <si>
    <t>WOS:000383891400005</t>
  </si>
  <si>
    <t>Siano, A; Conte, F; Amabile, S; Vollero, A; Piciocchi, P</t>
  </si>
  <si>
    <t>Siano, Alfonso; Conte, Francesca; Amabile, Sara; Vollero, Agostino; Piciocchi, Paolo</t>
  </si>
  <si>
    <t>Communicating Sustainability: An Operational Model for Evaluating Corporate Websites</t>
  </si>
  <si>
    <t>The interest in corporate sustainability has increased rapidly in recent years and has encouraged organizations to adopt appropriate digital communication strategies, in which the corporate website plays a key role. Despite this growing attention in both the academic and business communities, models for the analysis and evaluation of online sustainability communication have not been developed to date. This paper aims to develop an operational model to identify and assess the requirements of sustainability communication in corporate websites. It has been developed from a literature review on corporate sustainability and digital communication and the analysis of the websites of the organizations included in the Global CSR RepTrak 2015 by the Reputation Institute. The model identifies the core dimensions of online sustainability communication (orientation, structure, ergonomics, contentOSEC), sub-dimensions, such as stakeholder engagement and governance tools, communication principles, and measurable items (e.g., presence of the materiality matrix, interactive graphs). A pilot study on the websites of the energy and utilities companies included in the Dow Jones Sustainability World Index 2015 confirms the applicability of the OSEC framework. Thus, the model can provide managers and digital communication consultants with an operational tool that is useful for developing an industry ranking and assessing the best practices. The model can also help practitioners to identify corrective actions in the critical areas of digital sustainability communication and avoid greenwashing.</t>
  </si>
  <si>
    <t>Vollero, Agostino/B-2338-2012; Conte, francesca/AAD-5754-2020</t>
  </si>
  <si>
    <t>Vollero, Agostino/0000-0003-0282-1761; Conte, Francesca/0000-0001-6822-1502</t>
  </si>
  <si>
    <t>10.3390/su8090950</t>
  </si>
  <si>
    <t>WOS:000385529400119</t>
  </si>
  <si>
    <t>Chastin, SFM; De Craemer, M; Lien, N; Bernaards, C; Buck, C; Oppert, JM; Nazare, JA; Lakerveld, J; O'Donoghue, G; Holdsworth, M; Owen, N; Brug, J; Cardon, G</t>
  </si>
  <si>
    <t>Chastin, Sebastien F. M.; De Craemer, Marieke; Lien, Nanna; Bernaards, Claire; Buck, Christoph; Oppert, Jean-Michel; Nazare, Julie-Anne; Lakerveld, Jeroen; O'Donoghue, Grainne; Holdsworth, Michelle; Owen, Neville; Brug, Johannes; Cardon, Greet</t>
  </si>
  <si>
    <t>DEDIPAC Consortium; Expert Working Grp Consensus Panel</t>
  </si>
  <si>
    <t>The SOS-framework (Systems of Sedentary behaviours): an international transdisciplinary consensus framework for the study of determinants, research priorities and policy on sedentary behaviour across the life course: a DEDIPAC-study</t>
  </si>
  <si>
    <t>INTERNATIONAL JOURNAL OF BEHAVIORAL NUTRITION AND PHYSICAL ACTIVITY</t>
  </si>
  <si>
    <t>Background: Ecological models are currently the most used approaches to classify and conceptualise determinants of sedentary behaviour, but these approaches are limited in their ability to capture the complexity of and interplay between determinants. The aim of the project described here was to develop a transdisciplinary dynamic framework, grounded in a system-based approach, for research on determinants of sedentary behaviour across the life span and intervention and policy planning and evaluation. Methods: A comprehensive concept mapping approach was used to develop the Systems Of Sedentary behaviours (SOS) framework, involving four main phases: (1) preparation, (2) generation of statements, (3) structuring (sorting and ranking), and (4) analysis and interpretation. The first two phases were undertaken between December 2013 and February 2015 by the DEDIPAC KH team (DEterminants of DIet and Physical Activity Knowledge Hub). The last two phases were completed during a two-day consensus meeting in June 2015. Results: During the first phase, 550 factors regarding sedentary behaviour were listed across three age groups (i.e., youths, adults and older adults), which were reduced to a final list of 190 life course factors in phase 2 used during the consensus meeting. In total, 69 international delegates, seven invited experts and one concept mapping consultant attended the consensus meeting. The final framework obtained during that meeting consisted of six clusters of determinants: Physical Health and Wellbeing (71 % consensus), Social and Cultural Context (59 % consensus), Built and Natural Environment (65 % consensus), Psychology and Behaviour (80 % consensus), Politics and Economics (78 % consensus), and Institutional and Home Settings (78 % consensus). Conducting studies on Institutional Settings was ranked as the first research priority. The view that this framework captures a system-based map of determinants of sedentary behaviour was expressed by 89 % of the participants. Conclusion: Through an international transdisciplinary consensus process, the SOS framework was developed for the determinants of sedentary behaviour through the life course. Investigating the influence of Institutional and Home Settings was deemed to be the most important area of research to focus on at present and potentially the most modifiable. The SOS framework can be used as an important tool to prioritise future research and to develop policies to reduce sedentary time.</t>
  </si>
  <si>
    <t>1479-5868</t>
  </si>
  <si>
    <t>10.1186/s12966-016-0409-3</t>
  </si>
  <si>
    <t>WOS:000379823500002</t>
  </si>
  <si>
    <t>Blanco, CA; Chiaravalle, W; Dalla-Rizza, M; Farias, JR; Garcia-Degano, MF; Gastaminza, G; Mota-Sanchez, D; Murua, MG; Omoto, C; Pieralisi, BK; Rodriguez, J; Rodriguez-Maciel, JC; Teran-Santofimio, H; Teran-Vargas, AP; Valencia, SJ; Willink, E</t>
  </si>
  <si>
    <t>Blanco, C. A.; Chiaravalle, W.; Dalla-Rizza, M.; Farias, J. R.; Garcia-Degano, M. F.; Gastaminza, G.; Mota-Sanchez, D.; Murua, M. G.; Omoto, C.; Pieralisi, B. K.; Rodriguez, J.; Rodriguez-Maciel, J. C.; Teran-Santofimio, H.; Teran-Vargas, A. P.; Valencia, S. J.; Willink, E.</t>
  </si>
  <si>
    <t>Current situation of pests targeted by Bt crops in Latin America</t>
  </si>
  <si>
    <t>CURRENT OPINION IN INSECT SCIENCE</t>
  </si>
  <si>
    <t>Transgenic crops producing Bacillus thuringiensis- (Bt) insecticidal proteins (Bt crops) have provided useful pest management tools to growers for the past 20 years. Planting Bt crops has reduced the use of synthetic insecticides on cotton, maize and soybean fields in 11 countries throughout Latin America. One of the threats that could jeopardize the sustainability of Bt crops is the development of resistance by targeted pests. Governments of many countries require vigilance in measuring changes in Bt-susceptibility in order to proactively implement corrective measures before Bt resistance is widespread, thus prolonging the usefulness of Bt crops.A pragmatic approach to obtain information on the effectiveness of Bt-crops is directly asking growers, crop consultants and academics about Bt-resistance problems in agricultural fields, first-hand information that not necessarily relies on susceptibility screens performed in laboratories. This type of information is presented in this report.Problematic pests of cotton and soybeans in five Latin American countries currently are effectively controlled by Bt crops. Growers that plant conventional (non-Bt) cotton or soybeans have to spray synthetic insecticides against multiple pests that otherwise are controlled by these Bt crops. A similar situation has been observed in six Latin American countries where Bt maize is planted. No synthetic insecticide applications are used to control corn pests because they are controlled by Bt maize, with the exception of Spodoptera frugiperda. While this insect in some countries is still effectively controlled by Bt maize, in others resistance has evolved and necessitates supplemental insecticide applications and/or the use of Bt maize cultivars that express multiple Bt proteins. Partial control of S. frugiperda in certain countries is due to its natural tolerance to the Bt bacterium. Of the 31 pests targeted and controlled by Bt crops in Latin America, only S. frugiperda has shown tolerance to certain Bt proteins in growers' fields, the most reliable indication of the status of Bt-susceptibility in most of the American continent.</t>
  </si>
  <si>
    <t>2214-5745</t>
  </si>
  <si>
    <t>2214-5753</t>
  </si>
  <si>
    <t>10.1016/j.cois.2016.04.012</t>
  </si>
  <si>
    <t>WOS:000378671000020</t>
  </si>
  <si>
    <t>Oukem-Boyer, OOM; Munung, NS; Tangwa, GB</t>
  </si>
  <si>
    <t>Oukem-Boyer, Odile Ouwe Missi; Munung, Nchangwi Syntia; Tangwa, Godfrey B.</t>
  </si>
  <si>
    <t>Small is beautiful: demystifying and simplifying standard operating procedures: a model from the ethics review and consultancy committee of the Cameroon Bioethics Initiative</t>
  </si>
  <si>
    <t>BMC MEDICAL ETHICS</t>
  </si>
  <si>
    <t>Background: Research ethics review is a critical aspect of the research governance framework for human subjects research. This usually requires that research protocols be submitted to a research ethics committee (REC) for review and approval. This has led to very rapid developments in the domain of research ethics, as RECs proliferate all over the globe in rhyme with the explosion in human subjects research. The work of RECs has increasingly become elaborate, complex, and in many cases urgent, necessitating supporting rules and procedures of operation. Guidelines for elaborating standard operating procedures (SOPs) for the functioning of RECs have also been proposed. The SOPs of well-placed and well-resourced RECs have tended to pay much attention to details, resulting, as a consequence, in generally long, elaborate, intricate and complex SOPs; a model that can hardly be replicated by other committees, equally under ethics review pressures, but working under much more constraining conditions in resource-destitute environments. Methods: In this paper, we looked at the content and length of SOPs from African RECs and compared them to the World Health Organization (WHO)'s guidelines as the gold standard. We also looked at the SOPs from the Ethics Review and Consultancy Committee (ERCC) of the Cameroon Bioethics Initiative that we elaborated in a simplified way in 2013, and compared them to the WHO's guidelines and to the other SOPs. Results: Sixteen SOPs from 14 African countries were collected from various sources. Their average length was of 30 pages. By comparison to the guidance of the WHO, only six of them were found acceptable with more than 70 % of the criteria from the gold standard that were fully described. Among those six, two of them were very long and detailed (65 and 102 pages), while the four remaining SOPs ranged from 16 to 24 pages. The ERCC SOPs are seven pages long but maintain all that is of essence for the rigorous, efficient and timely review of protocols. Conclusions: We are convinced that, because of their brevity, simplicity, clarity and user-friendliness, the ERCC SOPs recommend themselves as a model template to, at least, committees similarly situated and/or circumstanced as the ERCC of the Cameroon Bioethics Initiative is. In fact, brevity, clarity, simplicity and user-friendliness are recognized values. Whatever is brief and clear is better than what is not and saves time. What is simple and user-friendly is better than what is not even though the two have the same aims because it saves both time and mental energy. And if this be true in general, it is even truer of the context and its peculiar constraints that we are addressing.</t>
  </si>
  <si>
    <t>1472-6939</t>
  </si>
  <si>
    <t>MAY 13</t>
  </si>
  <si>
    <t>10.1186/s12910-016-0110-8</t>
  </si>
  <si>
    <t>WOS:000376361000001</t>
  </si>
  <si>
    <t>Kim, S; Kim, JN</t>
  </si>
  <si>
    <t>Kim, Soojin; Kim, Jeong-Nam</t>
  </si>
  <si>
    <t>Bridge or buffer: two ideas of effective corporate governance and public engagement</t>
  </si>
  <si>
    <t>JOURNAL OF PUBLIC AFFAIRS</t>
  </si>
  <si>
    <t>This study identifies organizational factors that influence corporatate governance and formulation of public relations strategies for public enagement. This study explores intertwined relationships between public relations strategies and organizational factors. A total of 22 qualitative interviews were conducted with a diverse pool of communication consultants. Results show that the two public relations strategies, bridging and buffering, are frequently observed and linked with key factors such as size, organizational culture, environment specificity, and strategic orientation. Implications for future public relations and corporate governance research are discussed. Copyright (c) 2015 John Wiley &amp; Sons, Ltd.</t>
  </si>
  <si>
    <t>1472-3891</t>
  </si>
  <si>
    <t>1479-1854</t>
  </si>
  <si>
    <t>10.1002/pa.1555</t>
  </si>
  <si>
    <t>WOS:000375857900003</t>
  </si>
  <si>
    <t>Slattery, J</t>
  </si>
  <si>
    <t>Slattery, Jacob</t>
  </si>
  <si>
    <t>Miranda Cuckson, Yarn</t>
  </si>
  <si>
    <t>TEMPO</t>
  </si>
  <si>
    <t>National Sawdust opened in October 2015, and behind its brick facade in Brooklyn a promising venue for new music was unveiled, overseen by composers, creators and visionaries. Splotched in haphazard polygons and neon tubes, the modest space offers an intimate environment for a new generation of artists to showcase their work. The venue's name comes from the sawdust factory that once occupied the century-old building at 80 North 6th street, and which its governing non-profit organisation raised over $16 million to bring to life. The building was designed by Bureau V architects and the acoustic consultants from Arup, who made some critical decisions, such as placing the building on over 1,000 metal springs to absorb the shock from the subway trains running nearby. Advised by a board whose members include Philip Glass, Renee Fleming and Laurie Anderson, composer and entrepreneur Paola Prestini helms the organisation.</t>
  </si>
  <si>
    <t>0040-2982</t>
  </si>
  <si>
    <t>1478-2286</t>
  </si>
  <si>
    <t>10.1017/S0040298215001102</t>
  </si>
  <si>
    <t>WOS:000374242100010</t>
  </si>
  <si>
    <t>Awwad, R; El Souki, O; Jabbour, M</t>
  </si>
  <si>
    <t>Awwad, Rita; El Souki, Omar; Jabbour, Melanie</t>
  </si>
  <si>
    <t>Construction safety practices and challenges in a Middle Eastern developing country</t>
  </si>
  <si>
    <t>SAFETY SCIENCE</t>
  </si>
  <si>
    <t>The construction industry remains one of the most dangerous industries in the world accounting for a high percentage of work-related injuries and fatalities despite the establishment and implementation of safety programs in several developed countries. In developing countries where safety and health programs are still at their infancy or lack proper implementation, the situation is more critical. Lebanon, a small developing country in the Middle East region, has been witnessing a substantial growth in its construction market. However, achieving a safe work environment has been an ongoing challenge. This study aims at assessing current safety practices in the Lebanese construction industry through conducting one-to-one interviews with the different parties concerned including contractors, consultants, owners, insurance companies and governmental authorities. The study revealed the existence of construction labor safety law but the absence of its enforcement, the initiation of safety programs but the lack of any monitoring or follow-up, and a lack of safety education and commitment from all parties involved. The paper concludes with highlighting potential venues for enhancing safety awareness and adoption in Lebanon, which may be of insight to other developing countries in the region. (C) 2015 Elsevier Ltd. All rights reserved.</t>
  </si>
  <si>
    <t>Awwad, Rita/AAJ-3205-2020</t>
  </si>
  <si>
    <t>Awwad, Rita/0000-0001-9963-0202</t>
  </si>
  <si>
    <t>0925-7535</t>
  </si>
  <si>
    <t>1879-1042</t>
  </si>
  <si>
    <t>10.1016/j.ssci.2015.10.016</t>
  </si>
  <si>
    <t>WOS:000369211100001</t>
  </si>
  <si>
    <t>Penis, E; Woodcock, J; Sica, G; Sharp, C; Moorhouse, AT; Waddington, DC</t>
  </si>
  <si>
    <t>Penis, Eulalia; Woodcock, James; Sica, Gennaro; Sharp, Calum; Moorhouse, Andy T.; Waddington, David C.</t>
  </si>
  <si>
    <t>Guidance for new policy developments on railway noise and vibration</t>
  </si>
  <si>
    <t>Noise and vibration are two of the main problems associated with railways in residential areas. To ensure quality of life and well-being of inhabitants living in the vicinity of railway paths, it is important to evaluate, understand, control and regulate railway noise and vibration. Much attention has been focused on the impact of noise from railway traffic but the consideration of railway-induced vibration has often been neglected. This paper aims to provide policy guidance based on results obtained from the analyses of relationships estimated from ordinal logit models between human response, railway noise exposure and railway vibration exposure. This was achieved using data from case studies comprised of face-to-face interviews (N=931), internal vibration measurements (N=755), and noise calculations (N=688) collected within the study Human Response to Vibration in Residential Environments by the University of Salford, UK. Firstly, the implications of neglecting vibration in railway noise policies are investigated. The findings suggest that it is important to account for railway induced vibrations in future noise and transport policies, as neglecting vibrations results in an underestimation of people highly annoyed by noise. Secondly, implications of neglecting different types of railway sources are presented. It was found that the impact of noise and vibration form maintenance operations should be better understood and should be taken into account when assessing the environmental impact of railways in residential' environments. Finally, factors that were found to influence railway vibration annoyance are presented and expressed as weightings. The data shows that factors specific to a particular residential area should also be taken into account in future vibration policies as the literature shows that attitudinal, socio-demographic and situational factors have a large influence on vibration annoyance responses. This work will be of interest to researchers and environmental' health practitioners involved in the assessment of vibration complaints, as well as to policy makers, planners and consultants involved in the design of buildings and railways. (C) 2016 Elsevier Ltd. All rights reserved.</t>
  </si>
  <si>
    <t>10.1016/j.tra.2016.01.004</t>
  </si>
  <si>
    <t>WOS:000372942100006</t>
  </si>
  <si>
    <t>Jabarullah, NH</t>
  </si>
  <si>
    <t>Jabarullah, Noor H.</t>
  </si>
  <si>
    <t>The controversy of biofuel versus fossil fuel</t>
  </si>
  <si>
    <t>INTERNATIONAL JOURNAL OF ADVANCED AND APPLIED SCIENCES</t>
  </si>
  <si>
    <t>Over the past few decades a fossil fuel usage continues to increase researchers and government laboratories have been continuously investigating on converting biomass to fuel, but with little fund given. Now, as the comparative fuel price changes, the biofuel seems to be appealing to different sectors. Swarms of consultant, media and investors are buzzing around alternative fuel technology, but many questions on the controversial issues still remain puzzling. This paper explores on the comprehensive differences and impact between biofuel and fossil fuel from the environmental, economy and energy aspects. (c) 2016 IASE Publisher. All rights reserved.</t>
  </si>
  <si>
    <t>2313-626X</t>
  </si>
  <si>
    <t>2313-3724</t>
  </si>
  <si>
    <t>WOS:000376168700003</t>
  </si>
  <si>
    <t>Omach, P</t>
  </si>
  <si>
    <t>Omach, Paul</t>
  </si>
  <si>
    <t>Civil Society Organizations and Local-Level Peacebuilding in Northern Uganda</t>
  </si>
  <si>
    <t>JOURNAL OF ASIAN AND AFRICAN STUDIES</t>
  </si>
  <si>
    <t>This paper examines the contribution of civil society, notably religious and faith-based groups, traditional institutions, non-governmental organizations (NGOs), human rights groups, and community-based self-help groups, in promoting local-level peacebuilding in northern Uganda. Civil society groups in northern Uganda provided alternative narratives of the conflict, exposed brutalities against civilians, and ideas of peacebuilding. They lobbied, facilitated negotiations, engaged in building cultures of peace, promoted reconciliation, sustained livelihoods at the local level, and influenced outside peacebuilding interventions. However, the national context constrained their activities. This article is based on research and consultancy materials, personal observation, official and unofficial documents from the government, international organizations, intergovernmental agencies, and NGOs, newspaper reports, and scholarly publications.</t>
  </si>
  <si>
    <t>0021-9096</t>
  </si>
  <si>
    <t>1745-2538</t>
  </si>
  <si>
    <t>10.1177/0021909614552916</t>
  </si>
  <si>
    <t>WOS:000369672800006</t>
  </si>
  <si>
    <t>Ardley, B; Moss, P; Taylor, N</t>
  </si>
  <si>
    <t>Ardley, Barry; Moss, Philip; Taylor, Nick</t>
  </si>
  <si>
    <t>Strategies Snarks and stories: SME owner manager perceptions of business advisers</t>
  </si>
  <si>
    <t>JOURNAL OF RESEARCH IN MARKETING AND ENTREPRENEURSHIP</t>
  </si>
  <si>
    <t>Purpose - This paper aims to examine the perceptions of small business entrepreneurs regarding the efficacy of external business advisers in delivering sustainable strategic and operational guidance. Design/methodology/approach - The research is interpretivist, exploring the narratives of small and medium-sized enterprise (SME) owner/managers in manufacturing. Five in-depth interviews were carried out, revealing a range of decision stories about the use of external business advisers. Findings - While there was some scepticism towards the use of advisers in certain situations, the research revealed that levels of trust, relationship building and the credibility of the consultant are substantial factors in determining whether the engagement is successful. Research limitations/implications - As a small-scale study, it would be worthwhile to examine the perceptions of additional entrepreneurs to business advisers to compare research findings. Practical implications - Policy regarding advice to small businesses should be framed in terms of the local context of the firm and its owner, rather than on broad and generalisable systems of business knowledge. Time and effort is required to build a sustainable relationship between advisers and owners, and it is recommended that particular attention be paid to the process. Social implications - The research suggests that potentially, industrial policy regarding current delivery of small business advice requires readjustments towards more of a relationship focus. Originality/value - Little established research appears to exist in relation to the tendency or otherwise, for SME decision makers to pursue and use external advice. This paper helps to fill an important gap in the literature while offering some significant and nuanced insights into the perceptions of SME owner managers.</t>
  </si>
  <si>
    <t>1471-5201</t>
  </si>
  <si>
    <t>1471-521X</t>
  </si>
  <si>
    <t>10.1108/JRME-07-2015-0037</t>
  </si>
  <si>
    <t>WOS:000392185100004</t>
  </si>
  <si>
    <t>Browning, CS</t>
  </si>
  <si>
    <t>Browning, Christopher S.</t>
  </si>
  <si>
    <t>Nation branding and development: poverty panacea or business as usual?</t>
  </si>
  <si>
    <t>JOURNAL OF INTERNATIONAL RELATIONS AND DEVELOPMENT</t>
  </si>
  <si>
    <t>According to nation branding consultants, problems of underdevelopment and global inequality are, to a significant extent, a product of the negative images peddled by charities and the broader development industry. While such images secure donations, it is argued they deter more sustainable investments. In contrast, consultants argue that concerted nation-branding strategies offer much better solutions to problems of underdevelopment. This article subjects such claims to critical examination and argues that while the diagnosis of the problem may have some merit, the solution offered is more problematic. This is because nation-branding practices are inherently status quo oriented and reflective of a neoliberal understanding of the nature of (under)development. Moreover, nation branding also entails a troubling commodification of identity and culture as well as unsettling implications in respect of extant understandings of 'good governance'. Finally, the article suggests that the dichotomy drawn between aid and nation branding cannot be upheld; rather, it is a device used to legitimise a market for the services of nation-branding consultants.</t>
  </si>
  <si>
    <t>1408-6980</t>
  </si>
  <si>
    <t>1581-1980</t>
  </si>
  <si>
    <t>10.1057/jird.2014.14</t>
  </si>
  <si>
    <t>WOS:000367635000003</t>
  </si>
  <si>
    <t>Cervone, HF</t>
  </si>
  <si>
    <t>Cervone, H. Frank</t>
  </si>
  <si>
    <t>Organizational considerations initiating a big data and analytics implementation</t>
  </si>
  <si>
    <t>DIGITAL LIBRARY PERSPECTIVES</t>
  </si>
  <si>
    <t>Purpose - Organizations are beginning to realize the potential benefits of big data and harnessing all of the data they are creating. However, a major impediment for many organizations is understanding where to start in big data and analytics implementation. In many respects, starting a successful implementation is not much different from any other project managed within the organization. The major stumbling block is knowing what questions to ask to get things going. This paper aims to help libraries and information organizations that are considering big data and analytics implementation to begin their journey by following a checklist of eight aspects to be considered in the development of a big data and analytics strategy. Design/methodology/approach - The eight aspects to consider in big data and analytics implementation were developed using a combination of existing project management common knowledge, consultant recommendations and real-life experiences. Findings - Organizations considering big data and analytics implementation need to explore aspects related to the data they have, what organizational problems they are trying to solve, how data governance will work in the new environment, as well as how they will define success in terms of their implementation. These are in addition to the technical issues one would normally expect in a systems implementation. Originality/value - While there have been many articles written about the implementation of big data and analytics in organizations, most of these focus on technical issues rather than managerial and organizational concerns. In addition, none of these other articles have been from the perspective of library and information science. In this article, the focus is specifically on how information professionals may approach this problem.</t>
  </si>
  <si>
    <t>Cervone, H Frank/S-2119-2016</t>
  </si>
  <si>
    <t>Cervone, H Frank/0000-0002-5756-8866</t>
  </si>
  <si>
    <t>2059-5816</t>
  </si>
  <si>
    <t>2054-1694</t>
  </si>
  <si>
    <t>10.1108/DLP-05-2016-0013</t>
  </si>
  <si>
    <t>WOS:000410922100002</t>
  </si>
  <si>
    <t>Cochrane, SKJ; Andersen, JH; Berg, T; Blanchet, H; Borja, A; Carstensen, J; Elliott, M; Hummel, H; Niquil, N; Renaud, PE</t>
  </si>
  <si>
    <t>Cochrane, Sabine K. J.; Andersen, Jesper H.; Berg, Torsten; Blanchet, Hugues; Borja, Angel; Carstensen, Jacob; Elliott, Michael; Hummel, Herman; Niquil, Nathalie; Renaud, Paul E.</t>
  </si>
  <si>
    <t>What Is Marine Biodiversity? Towards Common Concepts and Their Implications for Assessing Biodiversity Status</t>
  </si>
  <si>
    <t>FRONTIERS IN MARINE SCIENCE</t>
  </si>
  <si>
    <t>Biodiversity' is one of the most common keywords used in environmental sciences, spanning from research to management, nature conservation, and consultancy. Despite this, our understanding of the underlying concepts varies greatly, between and within disciplines as well as among the scientists themselves. Biodiversity can refer to descriptions or assessments of the status and condition of all or selected groups of organisms, from the genetic variability, to the species, populations, communities, and ecosystems. However, a concept of biodiversity also must encompass understanding the interactions and functions on all levels from individuals up to the whole ecosystem, including changes related to natural and anthropogenic environmental pressures. While biodiversity as such is an abstract and relative concept rooted in the spatial domain, it is central to most international, European, and national governance initiatives aimed at protecting the marine environment. These rely on status assessments of biodiversity which typically require numerical targets and specific reference values, to allow comparison in space and/or time, often in association with some external structuring factors such as physical and biogeochemical conditions. Given that our ability to apply and interpret such assessments requires a solid conceptual understanding of marine biodiversity, here we define this and show how the abstract concept can and needs to be interpreted and subsequently applied in biodiversity assessments.</t>
  </si>
  <si>
    <t>2296-7745</t>
  </si>
  <si>
    <t>10.3389/fmars.2016.00248</t>
  </si>
  <si>
    <t>WOS:000457358000244</t>
  </si>
  <si>
    <t>Gambo, N; Said, I; Ismail, R</t>
  </si>
  <si>
    <t>Gambo, Nuru; Said, Ilias; Ismail, Radzi</t>
  </si>
  <si>
    <t>Comparing the levels of performance of small scale local government contractors in Northern Nigeria with international practice</t>
  </si>
  <si>
    <t>Purpose - The purpose of this paper is to compare the performance levels of small scale local government contractors (SSLGCs) in northern part of Nigeria with international practice. Previous studies focused attention primarily on benchmarking the performance of contractors, but were mostly conceptual rather than from empirical findings. This continuous to pose a challenge to the sustainable development of the construction industry, particularly, in developing countries like Nigeria. There is therefore a need to identify, assess and compare performance practice levels of small scale contractors. Design/methodology/approach - The performance of each contractor was evaluated using a five-point Likert scale used in obtaining mean performance levels in respect to three classes of performance practices. A questionnaire survey was administered to major parties in the industry; clients, contractors and consultants who were selected by using a proportionate stratified random sampling technique. The contractors' performance was compared by using ANOVA with post hoc. Findings - The results indicated that the SSLGCs in Nigeria were average performers and there were effects and differences among the various contractors' levels of performance with international practice. Research limitations/implications - The study is limited to SSLGCs in northern part of Nigeria. Practical implications - The study provided the criteria for evaluation of SSLGCs' performance in Nigeria and other developing countries that faced similar problems. Social implications - The study created bases for self-evaluation and competition among small scale contractors in Nigeria for the enhancement of productivity particularly in rural areas and general national development. Originality/value - This study emanated from the governmental reports and past researches in the area of performance management on the persistence of the poor performance of small scale contractors in construction industry.</t>
  </si>
  <si>
    <t>ismail, radzi/0000-0002-7097-5802</t>
  </si>
  <si>
    <t>10.1108/ECAM-12-2014-0155</t>
  </si>
  <si>
    <t>WOS:000386793100003</t>
  </si>
  <si>
    <t>Hendriksen, B; Weimer, J; McKenzie, M</t>
  </si>
  <si>
    <t>Hendriksen, Bernd; Weimer, Jeroen; McKenzie, Mark</t>
  </si>
  <si>
    <t>Approaches to quantify value from business to society Case studies of KPMG's true value methodology</t>
  </si>
  <si>
    <t>SUSTAINABILITY ACCOUNTING MANAGEMENT AND POLICY JOURNAL</t>
  </si>
  <si>
    <t>Purpose - This paper aims to present an approach to quantify in financial terms the value that companies create and reduce for society, based on the KPMG true value methodology. This methodology was developed to quantify the socio-economic and environmental value created and reduced by businesses in a format that can easily be understood and used by business leaders to affect key business decisions based on quantitative data. The paper looks at the business drivers for the development of the methodology and the implications and initial results for companies adopting it. Design/methodology/approach - Following a brief introduction of the methodology, and the factors leading up to its development, this paper will present three recent cases of companies that have applied the methodology, their motivation for using it and what some of the initial results have been. The authors led the development of the KPMG true value methodology and have been involved in the application of the methodology across various sectors and companies. Other consultants involved in the implementation of the methodology within the companies in the case studies (below) were also interviewed for this paper. Findings - The three cases above represent very different companies from various sectors. Although the approach and implementation of the KPMG true value methodology was similar across all three companies, the results, application of the results and subsequent benefits to the company in question were divergent. To date, only a handful of corporations have measured and publicly disclosed their societal value creation, but momentum is building, and, in this age of internalization, more and more companies will likely follow suit. Corporations that choose a methodology and apply it in a consistent fashion can only stand to benefit from the insights the experience brings. Research limitations/implications - This paper provides insight into the KPMG true value methodology and how it has been applied within several large companies from different sectors. Because of confidentiality issues, the companies have been anonymised, and some specific quantitative data have been omitted. This paper does not look in detail at how indicators are calculated, because of space limitations. Given the fact that the methodology has only relatively recently been introduced, long-term results are not yet available. As the methodology further develops over time, there will be considerable opportunities for academic research around the methodology, for example, looking at how the creation of value for society relates to shareholder value or environmental, social and governance performance over time. Practical implications - This paper provides examples of how companies have integrated socio-economic and non-financial metrics with standard financial metrics and some of the implications this can have on corporate decision-making processes. Originality/value - The KPMG true value methodology was introduced in 2014 with the publication of the 2014 KPMG report A New Vision of Value: Connecting corporate and societal value creation (available on-line). This paper is one of the first publications in an academic journal on this topic. In writing this paper, the authors do not assume that readers have previous knowledge of the methodology, and, as such, have borrowed extensively from A New Vision of Value in explaining the methodology. This paper, however, goes on to highlight and reflect on the experiences of some of the first companies from different sectors to use the methodology since its launch more than two years prior.</t>
  </si>
  <si>
    <t>2040-8021</t>
  </si>
  <si>
    <t>2040-803X</t>
  </si>
  <si>
    <t>10.1108/SAMPJ-07-2015-0062</t>
  </si>
  <si>
    <t>WOS:000390771300001</t>
  </si>
  <si>
    <t>A performance outcome framework for appraising construction consultants in the university sector</t>
  </si>
  <si>
    <t>JOURNAL OF FACILITIES MANAGEMENT</t>
  </si>
  <si>
    <t>Purpose - The UK Government construction strategy has a clear objective to maximise potential and value for construction and infrastructure projects. The purpose of this paper was to develop a performance outcome framework for the public-sector university client to identify the criteria for value against which construction consultants' performance will be appraised for selection and monitoring purposes in outsourcing. Design/methodology/approach - Multiple-case study method was used to examine the performance requirements of construction consultants, using three state universities having similar contexts in terms of organisation objectives and requirements on projects funded by the government. Findings - Within the public-sector university environment, five performance outcomes are identified: time, cost, quality, innovations and working relationship with the client. These areas form a conceptual framework for measuring the performance of construction consultants. Research limitations/implications - The performance outcome framework developed should be regarded as conceptual. University clients may have different organisation objectives and hence requirements for performance outcomes, which may further vary according to specific project situations. The framework should be adapted accordingly. Practical implications - University clients and their professional advisors should specify the performance requirements under those five areas in tender documents for selection purposes and subsequently use them as key performance indicators to monitoring the consultant performance. Construction consultants should address these requirements in the tender proposals to add value to the project. Originality value - There is a need to investigate what performance outcomes are required by the public-sector construction client. Based on the results of this research, frameworks and guidelines can be further developed for use by other public sectors, thus benefitting the wider public sector as a whole.</t>
  </si>
  <si>
    <t>1472-5967</t>
  </si>
  <si>
    <t>1741-0983</t>
  </si>
  <si>
    <t>10.1108/JFM-05-2015-0017</t>
  </si>
  <si>
    <t>WOS:000379807600003</t>
  </si>
  <si>
    <t>Martin, L</t>
  </si>
  <si>
    <t>Martin, Lawrence</t>
  </si>
  <si>
    <t>Incorporating values into sustainability decision-making</t>
  </si>
  <si>
    <t>This paper explores rigorous methods to transparently incorporate values in sustainability decision-making. Empirical, normative and other decision-making methods are discussed using a conceptual architecture borrowed from the Aristotelian ideas of Episteme, Techne and Phronesis. The application and limits to positivist reasoning for decision-making is explored through discussions of wicked and tame problems (where the introduction of values is discussed), the analytic-deliberative framework (that characterizes most assessment methods), and post normal science. An example examining air quality regulation and enforcement is used to explore concepts. Recognizing the continuum of quantitative to qualitative decision-making calculus, and how to apply it constructively to decision-making is an area of needed inquiry for scientists, policy-makers, consultants and corporate leaders concerned about helping to effect the transition to more sustainable societal patterns. This necessitates researchers and decision makers acknowledge that sustainability preferences are driven by values. This author concludes that decision-making methods that provide a transparent means to value outcomes and to integrate disparate information and perceptions (and values) have been demonstrated to be the most useful in settings with a variety of stakeholders that value different outcomes. Such conditions are typical in natural resource and sustainability problems where trade-offs are often necessary. Published by Elsevier Ltd.</t>
  </si>
  <si>
    <t>Martin, Lawrence/0000-0001-5797-4146</t>
  </si>
  <si>
    <t>OCT 15</t>
  </si>
  <si>
    <t>10.1016/j.jclepro.2015.04.014</t>
  </si>
  <si>
    <t>WOS:000359959200012</t>
  </si>
  <si>
    <t>Ash, D; Suetani, S; Nair, J; Halpin, M</t>
  </si>
  <si>
    <t>Ash, David; Suetani, Shuichi; Nair, Jayakrishnan; Halpin, Matthew</t>
  </si>
  <si>
    <t>Recovery-based services in a psychiatric intensive care unit - the consumer perspective</t>
  </si>
  <si>
    <t>AUSTRALASIAN PSYCHIATRY</t>
  </si>
  <si>
    <t>Objective: To describe the implementation of recovery-based practice into a psychiatric intensive care unit, and report change in seclusion rates over the period when these changes were introduced (2011-2013). Method: Recovery-based practices including collaborative care, safety care plans, a comfort room, and debriefing after coercive interventions were introduced. A carer consultant was employed. A restraint and seclusion review committee, chaired by a peer worker, was established. A consumer exit interview was introduced and these data were collected, reviewed by staff and the peer worker and used to improve the ward environment. Rates of seclusion were measured during the period when recovery-based practices were introduced. Results: Consumer feedback indicated that positive aspects of the psychiatric intensive care unit included approachable, helpful staff and completion of a safety care plan. Negative aspects included lack of involvement in decisions about admission and about medications, the non-smoking policy, and being placed in seclusion or restraint. There was a significant reduction in the number of consumers secluded and the total number of seclusions. Conclusions: Recovery principles can be successfully introduced in a psychiatric intensive care unit environment. Introduction of recovery based practice was associated with a reduction in seclusion.</t>
  </si>
  <si>
    <t>1039-8562</t>
  </si>
  <si>
    <t>1440-1665</t>
  </si>
  <si>
    <t>10.1177/1039856215593397</t>
  </si>
  <si>
    <t>WOS:000361906700014</t>
  </si>
  <si>
    <t>Fagan, A; Sircar, I</t>
  </si>
  <si>
    <t>Fagan, Adam; Sircar, Indraneel</t>
  </si>
  <si>
    <t>Europeanisation and multi-level environmental governance in a post-conflict context: the gradual development of environmental impact assessment processes in Bosnia-Herzegovina</t>
  </si>
  <si>
    <t>The post-conflict case of Bosnia-Herzegovina provides a challenging case for the approaches employed by the European Union to bolster state and non-state actor capacities related to environmental governance in post-socialist states. This article examines four major consultative environmental impact assessment processes in Bosnia-Herzegovina in order to identify factors that either enable or impede the development of multi-level environmental governance at the state and sub-state entity levels. Larger environmental non-governmental organisations provide scientific opinions and smaller organisations lack capacity to participate at all. The complex configuration of state institutions, compounded by inadequate staffing and funding, creates impediments for effective governmental hierarchy during environmental impact assessments. However, international financial institutions and technical consultants involved in environmental impact assessments have taken a pivotal tutelage role to familiarise local stakeholders with best practice, which has led to some improvements in multi-level environmental governance during environmental impact assessments in Bosnia-Herzegovina, though the impact is dependent on staff retention in Bosnian public bodies.</t>
  </si>
  <si>
    <t>10.1177/0263774X15605898</t>
  </si>
  <si>
    <t>WOS:000364537900003</t>
  </si>
  <si>
    <t>Andrianabela, S; Hariharan, R; Ford, HL; Chamberlain, MA</t>
  </si>
  <si>
    <t>Andrianabela, Sonia; Hariharan, Ram; Ford, Helen L.; Chamberlain, M. Anne</t>
  </si>
  <si>
    <t>A REHABILITATION TRAINING PARTNERSHIP IN MADAGASCAR</t>
  </si>
  <si>
    <t>JOURNAL OF REHABILITATION MEDICINE</t>
  </si>
  <si>
    <t>We describe here the development of a mid-level training programme for doctors in Madagascar to direct regional and national rehabilitation services. Eight doctors enrolled and all gained their diplomas and have gone on to form the Association of Physical and Rehabilitation Medicine of Madagascar, which is leading further training and service developments. The course was specific to Madagascar's needs, and was devised according to the vision of the senior rehabilitation specialist in the Ministry of Health in Madagascar with support from the University of Antananarivo. The syllabus was developed with a senior Rehabilitation Medicine consultant responsible for setting up a comprehensive range of services and teaching in a University teaching hospital in the UK. Major barriers to success include the economic and political situation in Madagascar, which worsened steadily over the period of the training, the lack of resources for health, rehabilitation and rehabilitation workshops, and the withdrawal of aid. The sustainability of the training and the improved services that have been initiated will be evaluated, but these will be influenced by the situation of the country. It is hoped that this description of a highly practical training using modern teaching methods will be of use in other low-resource countries. Much of the teaching input was given by clinicians from a UK teaching hospital, and this resource will continue to be needed.</t>
  </si>
  <si>
    <t>1650-1977</t>
  </si>
  <si>
    <t>1651-2081</t>
  </si>
  <si>
    <t>10.2340/16501977-1997</t>
  </si>
  <si>
    <t>WOS:000361420600003</t>
  </si>
  <si>
    <t>Guo, BHW; Yiu, TW; Gonzalez, VA</t>
  </si>
  <si>
    <t>Guo, Brian H. W.; Yiu, Tak Wing; Gonzalez, Vicente A.</t>
  </si>
  <si>
    <t>Identifying behaviour patterns of construction safety using system archetypes</t>
  </si>
  <si>
    <t>ACCIDENT ANALYSIS AND PREVENTION</t>
  </si>
  <si>
    <t>Construction safety management involves complex issues (e.g., different trades, multi-organizational project structure, constantly changing work environment, and transient workforce). Systems thinking is widely considered as an effective approach to understanding and managing the complexity. This paper aims to better understand dynamic complexity of construction safety management by exploring archetypes of construction safety. To achieve this, this paper adopted the ground theory method (GTM) and 22 interviews were conducted with participants in various positions (government safety inspector, client, health and safety manager, safety consultant, safety auditor, and safety researcher). Eight archetypes were emerged from the collected data: (1) safety regulations, (2) incentive programs, (3) procurement and safety, (4) safety management in small businesses (5) production and safety, (6) workers' conflicting goals, (7) blame on workers, and (8) reactive and proactive learning. These archetypes capture the interactions between a wide range of factors within various hierarchical levels and subsystems. As a free-standing tool, they advance the understanding of dynamic complexity of construction safety management and provide systemic insights into dealing with the complexity. They also can facilitate system dynamics modelling of construction safety process. (C) 2015 Elsevier Ltd. All rights reserved.</t>
  </si>
  <si>
    <t>Yiu, A/Prof. Tak Wing/A-3334-2009</t>
  </si>
  <si>
    <t>Yiu, A/Prof. Tak Wing/0000-0002-8466-7130; Gonzalez, Vicente/0000-0003-3408-3863; Guo, Hongwei/0000-0002-1475-4618</t>
  </si>
  <si>
    <t>0001-4575</t>
  </si>
  <si>
    <t>1879-2057</t>
  </si>
  <si>
    <t>10.1016/j.aap.2015.04.008</t>
  </si>
  <si>
    <t>WOS:000356116200014</t>
  </si>
  <si>
    <t>Rapoport, E</t>
  </si>
  <si>
    <t>Rapoport, Elizabeth</t>
  </si>
  <si>
    <t>Sustainable urbanism in the age of Photoshop: images, experiences and the role of learning through inhabiting the international travels of a planning model</t>
  </si>
  <si>
    <t>Learning is one of the critical processes in enabling the international mobility of urban planning and policy ideas. A particularly effective form of learning in this context is an immersive, sensory approach we can describe as inhabiting'. This article illustrates the role that inhabiting plays in facilitating the mobility of the planning model of sustainable urbanism. To do so, it draws on research carried out in the industry of international private sector architects, planners and engineering consultants, sometimes called the Global Intelligence Corps (GIC). In the article, I illustrate how the GIC use inhabiting, drawing on visual media and personal experience to encourage their clients to incorporate sustainable urban planning and design proposals into large urban development projects. These explorations demonstrate the value of research methodologies that focus on the everyday practices and social interactions through which people mobilize ideas.</t>
  </si>
  <si>
    <t>10.1111/glob.12080</t>
  </si>
  <si>
    <t>WOS:000356006500003</t>
  </si>
  <si>
    <t>Smith, J</t>
  </si>
  <si>
    <t>Smith, Jeff</t>
  </si>
  <si>
    <t>Passion or Dollars?: How Mobilization Can Spoil the Mother's Milk of Politics</t>
  </si>
  <si>
    <t>POLITICAL RESEARCH QUARTERLY</t>
  </si>
  <si>
    <t>Evidence regarding the influence of campaign donations and lobbying efforts on legislative behavior is mixed. Much researchnot to mention conventional wisdomsuggests that well-funded interest groups exploit their resource advantage by making campaign contributions and deploying lobbyists to gain informational advantages and influence legislation. Using contribution data, information about interest group support for legislation, and a rare data setconstituent contacts to six state legislative officesthis paper examines how interest group donations and constituent activism influence outcomes. Although the amount of money contributed by groups supporting or opposing a bill did not affect its prospects, constituent contacts had a substantial impact. Political expenditures by business firms appear primarily to sustain an entrenched class of lobbyists and consultants.</t>
  </si>
  <si>
    <t>1065-9129</t>
  </si>
  <si>
    <t>1938-274X</t>
  </si>
  <si>
    <t>10.1177/1065912915578920</t>
  </si>
  <si>
    <t>WOS:000354862500004</t>
  </si>
  <si>
    <t>Juma, C; Sundsmo, A; Maket, B; Powell, R; Aluoch, G</t>
  </si>
  <si>
    <t>Juma, Charles; Sundsmo, Aaron; Maket, Boniface; Powell, Richard; Aluoch, Gilbert</t>
  </si>
  <si>
    <t>Using information communication technologies to increase the institutional capacity of local health organisations in Africa: a case study of the Kenya Civil Society Portal for Health</t>
  </si>
  <si>
    <t>PAN AFRICAN MEDICAL JOURNAL</t>
  </si>
  <si>
    <t>Introduction: achieving the healthcare components of the United Nations' Millennium Development Goals is significantly premised on effective service delivery by civil society organisations (CSOs). However, many CSOs across Africalack the necessary capacity to perform this role robustly. This paper reports on an evaluation of the use, and perceived impact, of aknowledge management tool upon institutional strengthening among CSOs working in Kenya's health sector. Methods: three methods were used: analytics data; user satisfaction surveys; and a furtherkey informant survey. Results: satisfaction with the portal was consistently high, with 9 9 % finding the quality and relevance of the content very good or good for institutional strengthening standards, governance, and planning and resource mobilisation. Critical facilitators to the success of knowledge management for CSO institutional strengthening were identified as people/culture (developed resources and organisational narratives) and technology (easily accessible, enabling information exchange, tools/resources available, access to consultants/partners). Critical barriers were identified as people/culture (database limitations, materials limitations, and lack of active users), and process (limited access, limited interactions, and limited approval process). Conclusion: this pilot study demonstrated the perceived utility of a web-based knowledge management portal among developing nations' CSOs, with widespread satisfaction across multiple domains, which increased over time. Providing increased opportunities for collective mutual learning, promoting a culture of data use for decision making, and encouraging all health organisations to be learning institutions should be a priority for those interested in promoting sustainable long-term solutions for Africa.</t>
  </si>
  <si>
    <t>1937-8688</t>
  </si>
  <si>
    <t>MAY 8</t>
  </si>
  <si>
    <t>10.11604/pamj.2015.21.23.5130</t>
  </si>
  <si>
    <t>WOS:000376715200006</t>
  </si>
  <si>
    <t>Pippel, G</t>
  </si>
  <si>
    <t>Pippel, Gunnar</t>
  </si>
  <si>
    <t>R&amp;D COLLABORATION FOR ENVIRONMENTAL INNOVATION</t>
  </si>
  <si>
    <t>INTERNATIONAL JOURNAL OF INNOVATION MANAGEMENT</t>
  </si>
  <si>
    <t>The literature on the impact of R&amp;D collaboration on innovation performance of firms suggests that R&amp;D collaboration is not always beneficial. Therefore, a more detailed analysis of the effects of R&amp;D collaboration is necessary. This paper investigates the relevance of R&amp;D collaboration with different partner types on a firm's environmental innovation performance. Thereby, product related and process related environmental innovations are distinguished. Firm-level data from 2337 German firms are used in the regression analysis. The results suggest that R&amp;D collaboration with suppliers, customers, universities, governmental research institutes, consultants, and other firms within the same corporate group is positively associated to a firm's process related environmental innovation performance. R&amp;D collaboration with customers, suppliers, other firms within the same corporate group and consultants is positively associated with the development of environmental friendly products.</t>
  </si>
  <si>
    <t>1363-9196</t>
  </si>
  <si>
    <t>1757-5877</t>
  </si>
  <si>
    <t>UNSP 1550004</t>
  </si>
  <si>
    <t>10.1142/S1363919615500048</t>
  </si>
  <si>
    <t>WOS:000216510100004</t>
  </si>
  <si>
    <t>Donnelly, R</t>
  </si>
  <si>
    <t>Donnelly, Rory</t>
  </si>
  <si>
    <t>Gender, careers and flexibility in consultancies in the UK and the USA: a multi-level relational analysis</t>
  </si>
  <si>
    <t>Management consultants are a core group of knowledge workers, and interest in their work and the organisational environment in which they operate has intensified. However, the role of policies at a national and organisational level in influencing gender regimes in this field of work remains unclear. This paper examines the organisation of careers and flexibility from the perspective of management consultants from the UK and US offices of two case study firms. The findings cast light on the role of macro- and meso-level policies together with the characteristics of the occupation and its client-focus in gendering careers and flexibility. These outcomes point to the need for the structures and policies supporting women and flexible working in these types of firms to be modified accordingly, particularly given that these firms make recommendations to clients nationally and internationally.</t>
  </si>
  <si>
    <t>10.1080/09585192.2014.934889</t>
  </si>
  <si>
    <t>WOS:000345132700005</t>
  </si>
  <si>
    <t>Higgins, D; Moore, T</t>
  </si>
  <si>
    <t>Higgins, David; Moore, Trivess</t>
  </si>
  <si>
    <t>What gives to keep that price point? High-density residential developments</t>
  </si>
  <si>
    <t>PACIFIC RIM PROPERTY RESEARCH JOURNAL</t>
  </si>
  <si>
    <t>High-density living is now widely accepted in the built environment. At the apartment entry price-point, space and place appear to be the key considerations, with limited attention to a building's social, physical and environmental features. To examine this, the researchers interviewed leading Melbourne property developers and consultants to identify the challenges of incorporating innovation relative to governance, design, and construction and building operations into the competitive high-density property development market. Responses demonstrate that post-occupancy analysis can be a tool to better inform property stakeholders. When presented to prospective purchasers, this information could shift the key consideration from an entry price point to the features of a well-designed apartment and so redirect the current 'minimalist' approach adopted by some new property development entrants to improving occupier living experience and ongoing maintenance costs.</t>
  </si>
  <si>
    <t>Moore, Trivess/K-3691-2013</t>
  </si>
  <si>
    <t>Moore, Trivess/0000-0002-2576-6921</t>
  </si>
  <si>
    <t>1444-5921</t>
  </si>
  <si>
    <t>2201-6716</t>
  </si>
  <si>
    <t>10.1080/14445921.2015.1026133</t>
  </si>
  <si>
    <t>WOS:000354261900003</t>
  </si>
  <si>
    <t>Bailey, K; Grossardt, T; Ripy, J</t>
  </si>
  <si>
    <t>Bailey, Keiron; Grossardt, Ted; Ripy, John</t>
  </si>
  <si>
    <t>High-Performance Public Involvement Frameworks, Performance Measures, and Data</t>
  </si>
  <si>
    <t>In the light of social and political currents calling for increased accountability for public processes and discussions between federal officials about the performance of the public involvement process, this paper examines public involvement in transportation and develops frameworks for identifying suitable approaches and evaluating outcomes. The aims of this paper are to (a) foster analytic, evidence-driven discussion between public involvement professionals, project managers, consultants, and other members of the transportation community about process quality metrics and (b) propose strategies for increasing performance of such processes by developing multidimensional process evaluation frameworks for public involvement design and outcomes. A significant Anistein gap is identified in the quality of public involvement in transportation. A critical overview of current practice that draws on the literature on public involvement and participation is presented. Using a soft systems approach, the authors frame participation methods in distributive domain and define outcome performance criteria. The authors examine the literature on process performance in environmental management and other participation research and propose four process performance metrics for public involvement: quality, inclusion, clarity, and efficiency. Objective data from projects in structured public involvement are presented. These data illustrate that processes that satisfy these metrics will help to close the Arnstein gap by identifying stronger methodologies for involving large groups of citizens with diverse values, delivering objectively high stakeholder-evaluated process quality, and integrating these valuations into effective decision support systems for project managers and engineers. However, this improvement will require a philosophical shift to a higher level on the Arnstein ladder.</t>
  </si>
  <si>
    <t>10.3141/2499-07</t>
  </si>
  <si>
    <t>WOS:000365144400008</t>
  </si>
  <si>
    <t>Eadie, R; Browne, M; Odeyinka, H; McKeown, C; McNiff, S</t>
  </si>
  <si>
    <t>Eadie, Robert; Browne, Mike; Odeyinka, Henry; McKeown, Clare; McNiff, Sean</t>
  </si>
  <si>
    <t>A survey of current status of and perceived changes required for BIM adoption in the UK</t>
  </si>
  <si>
    <t>Purpose - Construction organisations are mandated to use Building Information Modelling (BIM) for Government projects from 2016. The purpose of this paper is to investigate the current status of the management aspects of BIM. Design/methodology/approach - Following a telephone sift, a web-based questionnaire was conducted with UK construction BIM experts with 92 responses. Findings - This research demonstrates a paradigm shift in construction as operations were deemed more important than the technical aspects of BIM Adoption. Respondents agree with enforced Level 2 BIM, demonstrating client demand is a significant driver on uptake. BIM use will substantially increase in the next five years. Ranking of the importance of current BIM standards indicated BS1192 was most used but almost a third adopted individual standards producing fragmentation. BIM's effect on consultant fees indicated the need for structural change. Practical implications - Front end design via BIM models and clash detection outweighed the use for facilities management indicating industry were meeting the target but not exploiting BIM to its full potential. Design and build and framework arrangements were the most common BIM procurement routes. Fragmentation of standards use creates a future interoperability problem between BIM systems. Social implications - Design team structure changes are supported with the adoption of a separate BIM manager being popular. Analysis of industry-wide model hosting characteristics indicated individual disciplines managed their own models meaning without an additional target for Level 3 BIM the single model environment is unlikely to be widely adopted. Originality/value - BIM fee structure and procurement are investigated for the first time</t>
  </si>
  <si>
    <t>Odeyinka, Henry/AAR-8903-2020</t>
  </si>
  <si>
    <t>Eadie, Robert/0000-0003-4188-0481</t>
  </si>
  <si>
    <t>10.1108/BEPAM-07-2013-0023</t>
  </si>
  <si>
    <t>WOS:000359444700001</t>
  </si>
  <si>
    <t>Habek, P; Wolniak, R</t>
  </si>
  <si>
    <t>Habek, Patrycja; Wolniak, Radoslaw</t>
  </si>
  <si>
    <t>Factors Influencing the Development of CSR Reporting Practices: Experts' versus Preparers' Points of View</t>
  </si>
  <si>
    <t>INZINERINE EKONOMIKA-ENGINEERING ECONOMICS</t>
  </si>
  <si>
    <t>Reporting of corporate social responsibility (CSR) is nowadays becoming an important and rapidly growing phenomenon in the world. The current increase in the number of companies reporting on CSR data is caused by many different factors, including stakeholder pressures, the economic crisis, growing awareness of sustainability issues as well as the appearance of more and more new reporting requirements initiated by national governments and stock exchanges. Despite the growing popularity of CSR reporting, it is still only a small percentage of companies that decide to regularly disclose their data on CSR activities. Therefore, the question is raised as to what factors influence the development of CSR reporting practices. The paper presents the results of the research, which aimed to answer the above question, highlighting especially the role of government in the process. The study was carried out using two web-based surveys. The questionnaires were distributed to respondents from different European Union member states. The first group of respondents consisted of specialists, consultants, researchers and academics specializing in the field of CSR reporting - 'experts' - and the second group consisted of CSR managers, employees involved in developing CSR reports - 'preparers'. The results suggest that report 'preparers' and external 'experts' have different views on some aspects, e.g., reasons to issue a CSR report. The survey also shows that there is a need for the greater participation of government in the development of sustainability reporting practices.</t>
  </si>
  <si>
    <t>1392-2785</t>
  </si>
  <si>
    <t>2029-5839</t>
  </si>
  <si>
    <t>10.5755/j01.ee.26.5.7690</t>
  </si>
  <si>
    <t>WOS:000368523300010</t>
  </si>
  <si>
    <t>Ke, QL; Sieracki, K</t>
  </si>
  <si>
    <t>Ke, Qiulin; Sieracki, Karen</t>
  </si>
  <si>
    <t>Market maturity: China commercial real estate market</t>
  </si>
  <si>
    <t>JOURNAL OF PROPERTY INVESTMENT &amp; FINANCE</t>
  </si>
  <si>
    <t>Purpose - The purpose of this paper is to explore the evolutionary path to market maturity that China property market has taken over the last few decades. The focus is on the commercial real estate markets in Beijing and Shanghai. It will help international investors understand the market environment, risk and market activity process. Design/methodology/approach - In this research, the authors apply the market maturity framework and its key determinants based on previous work undertaken by Keogh and D'Arcy (1994) and Chin et al. (2006) for the analysis of Chinese commercial property market. Particular focus is on Beijing and Shanghai. The questionnaire is designed to obtain fair and objective views from international property consultancy firms active in Beijing and Shanghai markets. There are not many of these international property consultancies. The reason why this type of business was selected was to insure that the business had an understanding of China's place in the global commercial real estate market as this market matures from its emerging market status. Findings - The findings reveal that the respondents felt the commercial property markets in Shanghai and Beijing were now moderately mature. However, issues such as poorer level of standard market information, development instability, low transparency of the legal system, high taxes and high government invention still existed in China's commercial property market, therefore hindering its progress towards greater market maturity. Research limitations/implications - The small same size of the survey is the major limitation of the research. Practical implications -International investors and analysts can benefit from the research findings through a better understanding of the behaviour and trends in this unique market which will be reflected in their decision-making process. Originality/value - An explorative approach was used due to the lack of data to examine the perception of China's commercial property market's evolution and maturity. The findings can then be placed in the context of other Southeast Asian cities. The evolutionary process of China's property market is rarely examined in previous studies of China property market due to the lack of data and transparency.</t>
  </si>
  <si>
    <t>1463-578X</t>
  </si>
  <si>
    <t>1470-2002</t>
  </si>
  <si>
    <t>10.1108/JPIF-08-2013-0047</t>
  </si>
  <si>
    <t>WOS:000373185100002</t>
  </si>
  <si>
    <t>Looser, S; Wehrmeyer, W</t>
  </si>
  <si>
    <t>Looser, Stephanie; Wehrmeyer, Walter</t>
  </si>
  <si>
    <t>Stakeholder mapping of CSR in Switzerland</t>
  </si>
  <si>
    <t>SOCIAL RESPONSIBILITY JOURNAL</t>
  </si>
  <si>
    <t>Purpose - This paper aims to investigate, using stakeholder map methodology, showing power, urgency, legitimacy and concerns of different actors, the current state of corporate social responsibility (CSR) in Switzerland. Previous research on CSR in Europe has made few attempts to identify stakeholders and their contribution to this topic. Design/methodology/approach - To derive this map, publicly available documents were explored, augmented by 27 interviews with key stakeholders (consumers, media, government, trade unions, non-profit organisations [NPOs], banks, certifiers and consultants) and management of different companies (multinational enterprises [MNEs], small- and medium-sized enterprises [SMEs] and large national companies). Using MAXQDA, the quantified codes given for power, legitimacy and urgency were triangulated between self-reporting, external assessments and statements from publicly available documents and subsequently transferred into stakeholder priorities or, in other words, into positions in the map. Further, the codes given in the interviews for different CSR interests and the results from the document analysis were linked between stakeholders. The identified concerns and priorities were quantitatively analysed in regard to centrality and salience using VennMaker. Findings - The paper identified SMEs, MNEs and cooperating NPOs as being the most significant stakeholders, in that order. CSR is, therefore, not driven primarily by regulators, market pressure or customers. Further network parameters substantiated the importance of SMEs while following an unconventionally informal and idiosyncratic CSR approach. Hence, insights into these ethics-driven, unformalised business models that pursue broader responsibility based on trust, traditional values, regional anchors and the willingness to give something back were formed. Examples of this strong CSR habit include democratic decisions and abolished hierarchies, handshake instead of formal contracts and transparency in all respects (e.g. performance indicators, salaries and bonuses). Research limitations/implications - In total, 27 interviews as primary data that supplements publicly available documents are clearly only indicative. Practical implications - The research found an innovative, vibrant and practical CSR model that is emerging for reasons other than conventional CSR agendas that are supposed to evolve. In fact, the stakeholder map and the CSR practices may point at a very different role businesses have adopted in Switzerland. Such models offer a useful, heuristic evaluation of the contribution of formal management systems (e.g. as could be found in MNEs) in comparison to the unformalised SME business conduct. . Originality/value - A rarely reported and astonishing feature of many of the very radical SME practices found in this study is that their link to commercial strategies was, in most cases, not seen. However, SMEs are neither the poor relative nor the abridged version of CSR, but are manifesting CSR as a Swiss set of values that fits the societal culture and the visionary goals of SME owners/managers and governs how a sustainably responsible company should behave. Hence, as a new stance and argument within CSR-related research, this paper concludes that informal does not mean weak. This paper covers a myriad of management fields, e.g. CSR as strategic tool in business ethics; stakeholder and network management; decision-making; and further theoretical frameworks, such as transaction cost and social capital theory. In other words, this research closes scientific gaps by at once applying quantitative as well as qualitative methods and by merging, for the first time, network methodology with CSR and stakeholder research.</t>
  </si>
  <si>
    <t>1747-1117</t>
  </si>
  <si>
    <t>1758-857X</t>
  </si>
  <si>
    <t>10.1108/SRJ-06-2014-0071</t>
  </si>
  <si>
    <t>WOS:000212543800010</t>
  </si>
  <si>
    <t>Musa, MM; Bin Amirudin, R; Sofield, T; Musa, MA</t>
  </si>
  <si>
    <t>Musa, Mohammed Mukhtar; Bin Amirudin, Roslan; Sofield, Trevor; Musa, Mohammed Aminu</t>
  </si>
  <si>
    <t>Influence of External Environmental Factors on the Success of Public Housing Projects in Developing Countries</t>
  </si>
  <si>
    <t>External environmental factors, which include political environment, economic environment and social environment, affect the success of public housing projects in developing countries. The purpose of this paper is to establish the effect of these factors on public housing project success using structural equation modelling (SEM) techniques. The study was conducted in Nigeria by means of interviews, a pilot study and a main survey. Five hundred and fifty (550) questionnaires were administered to construction professionals who work as developers, consultants or contractors and those working in public housing agencies. Two hundred and seventy-six (276) questionnaires were returned completed. The data collected were analysed by means of SEM. The results reveal that (i) the economics factor significantly affects public housing project success, (ii) the social factor significantly affects public housing project success, and (iii) the political factor significantly affects public housing project success. The study developed a comprehensive model that can assist housing policy makers, consultants, developers, contractors and other stakeholders in the planning and development of public housing programmes.</t>
  </si>
  <si>
    <t>10.5130/AJCEB.v15i4.4514</t>
  </si>
  <si>
    <t>WOS:000369176800003</t>
  </si>
  <si>
    <t>Opoku, A; Cruickshank, H; Ahmed, V</t>
  </si>
  <si>
    <t>Opoku, Alex; Cruickshank, Heather; Ahmed, Vian</t>
  </si>
  <si>
    <t>Organizational leadership role in the delivery of sustainable construction projects in UK</t>
  </si>
  <si>
    <t>Purpose - Sustainable construction project delivery should be supported by committed and inspirational leadership, with a clear understanding of the sustainability challenge. Construction organizations need intra-organizational leadership that provides the collective vision, strategy and direction towards the shared common goal of a sustainable future. The purpose of this paper is to examine the role of intra-organizational leadership within UK construction organizations charged with the promotion of sustainability practices. Design/methodology/approach - The study adopts a mixed method approach with qualitative data collected through semi-structured interview with 15 leaders, followed by an industry-wide survey of 200 intra-organizational leaders in contractor and consultant organizations in the UK construction industry. Findings - The analysis of the data revealed that, the most important role of intra-organizational leadership in promoting sustainable construction practices is to formulate policies, implement procedures and disseminate best practices throughout the organization. Originality/value - Nothing has been written on intra-organizational leadership role in promoting sustainability practices in the construction industry. Although leadership and sustainability has been widely covered as separate issues this study provides the empirical evidence of the link between leadership and sustainability in construction.</t>
  </si>
  <si>
    <t>Opoku, Alex/H-9180-2018</t>
  </si>
  <si>
    <t>Opoku, Alex/0000-0002-5973-512X</t>
  </si>
  <si>
    <t>10.1108/BEPAM-12-2013-0074</t>
  </si>
  <si>
    <t>WOS:000359445300002</t>
  </si>
  <si>
    <t>Paula, JL; Henrique, ALS</t>
  </si>
  <si>
    <t>Paula, J. L.; Henrique, A. L. S.</t>
  </si>
  <si>
    <t>YOUTH AND INTEGRATED HIGH SCHOOL: FOR A POSSIBLE DIALOGUE BETWEEN THE ENVIRONMENTAL EDUCATION AND VOCATIONAL EDUCATION</t>
  </si>
  <si>
    <t>HOLOS</t>
  </si>
  <si>
    <t>This article deals with the relationship between environmental management, public policy and professional education. Based on the question: How public policies interfere in the environmental management process and to what extent this relationship is reflected in education today? We aim to identify the impact in education, the interference of public policies in the environmental management process. Thus, we performed a brief literature on this theme, conceptualizing it and contextualizing it, and analyze content / assigned responses to a questionnaire applied to a Ecologist, Environmental Consultant. As a reference authors use as Azevedo (2011), BRAZIL (2007), Cavalcanti (1997), GUTIERREZ and PRADO (2008), Lanna (1995), LEFF (2010), Loureiro (2008), among others, as well as some laws regulatory of the theme. At the end of the study, we identified that public policies related to environmental area are configured as an environmental management tool, while the education (including vocational), is another strategic tool for environmental management. We therefore conclude that education, public and environmental management policies are closely connected.</t>
  </si>
  <si>
    <t>1518-1634</t>
  </si>
  <si>
    <t>1807-1600</t>
  </si>
  <si>
    <t>WOS:000369095800008</t>
  </si>
  <si>
    <t>Schjonning, P; van den Akker, JJH; Keller, T; Greve, MH; Lamande, M; Simojoki, A; Stettler, M; Arvidsson, J; Breuning-Madsen, H</t>
  </si>
  <si>
    <t>Schjonning, Per; van den Akker, Jan J. H.; Keller, Thomas; Greve, Mogens H.; Lamande, Mathieu; Simojoki, Asko; Stettler, Matthias; Arvidsson, Johan; Breuning-Madsen, Henrik</t>
  </si>
  <si>
    <t>Driver-Pressure-State-Impact-Response (DPSIR) Analysis and Risk Assessment for Soil Compaction-A European Perspective</t>
  </si>
  <si>
    <t>ADVANCES IN AGRONOMY, VOL 133</t>
  </si>
  <si>
    <t>Compaction of subsoil is a hidden but persistent damage that impairs a range of soil functions and ecosystem services. We analyzed the soil compaction issue in the Driver-Pressure-State-Impact-Response (DPSIR) context. The driving force (DPSIR-D) is the farmers' efforts to sustain economic viability. This entails a steady increase in the size and weight of the agricultural machinery (DPSIR-P) exerting the specific pressures on the soil system. Simulations using historical data for agricultural machinery show significant increases in the mechanical stresses exerted on the soil profile during the last five decades. Surveys and comparative measurements (DPSIR-S) in the literature indicate that much of the European subsoil is compacted to critical levels for cropping. This calls for changes in agricultural management (DPSIR-R). Mechanical stresses impact the soil (DPSIR-I) by reducing the volume, dimensions, and interconnections of soil pores. Subsequent impacts on ecosystem services (subtle DPSIR-I aspects) include a decrease in crop production, an impaired soil filtering of pollutants, and the risk of higher greenhouse gas emissions. The natural ability of compacted subsoil to recover is poor. We highlight the need to expand the DPSIR concept to include a risk assessment methodology to identify sustainable management systems. Risk assessment involves the evaluation of the mechanistic cause-effect chain of the compaction process. Measured data as well as modeling indicate that contemporary tires are not able to carry the loads frequently inflicted on wet soil without exerting critical stresses on deep subsoil layers. We suggest the use of online modeling tools that combine existing knowledge. Such tools may also create maps of vulnerable areas from the field to the continent scale. Groups of stakeholders including researchers, farmers and their consultants, and policy-makers need to identify sustainable traffic systems that secure both presently focused ecosystem services as well as nonuse soil values (the bequest for future generations).</t>
  </si>
  <si>
    <t>978-0-12-803050-9; 978-0-12-803052-3</t>
  </si>
  <si>
    <t>10.1016/bs.agron.2015.06.001</t>
  </si>
  <si>
    <t>WOS:000363330000006</t>
  </si>
  <si>
    <t>Serazio, M</t>
  </si>
  <si>
    <t>Serazio, Michael</t>
  </si>
  <si>
    <t>Managing the Digital News Cyclone: Power, Participation, and Political Production Strategies</t>
  </si>
  <si>
    <t>INTERNATIONAL JOURNAL OF COMMUNICATION</t>
  </si>
  <si>
    <t>This research investigates the perspectives and practices of political consultants dealing with the information abundance, speed, and participatory culture of today's communication environment. Drawing upon in-depth interviews with 38 elite operatives, this article illuminates their roles in and strategies for managing news cycles, designing campaign output, and utilizing social media opportunities. It charts their thinking and demonstrates how they have adapted and evolved in their designs on communication power as older media logics persist and inform their tactics for political production in newer media spaces.</t>
  </si>
  <si>
    <t>1932-8036</t>
  </si>
  <si>
    <t>WOS:000361977300083</t>
  </si>
  <si>
    <t>Yazdanfar, D; Ohman, P</t>
  </si>
  <si>
    <t>Yazdanfar, Darush; Ohman, Peter</t>
  </si>
  <si>
    <t>The growth-profitability nexus among Swedish SMEs</t>
  </si>
  <si>
    <t>INTERNATIONAL JOURNAL OF MANAGERIAL FINANCE</t>
  </si>
  <si>
    <t>Purpose - The purpose of this paper is to examine the growth-profitability nexus among small-and medium-sized enterprises (SMEs). Design/methodology/approach - The data comprise 106,884 observations covering 26,721 Swedish SMEs in six industry sectors over the 2008-2011 period. The data were analysed using several statistical techniques, including two-stage least squares regression, fixed-effects and random regressions, and bootstrapped quantile regression. Findings - Consistent with the hypotheses derived from the resource-based approach, the results indicate that current profitability significantly and positively affects firm growth. The firm-level control variable size significantly and positively affects firm growth, though firm age significantly and negatively affects growth. Firm industry affiliation also affects firm growth. Research limitations/implications - Since SME performance is commonly equated with access to knowledge, consultancy services or business training programmes sponsored by governmental organizations can help SMEs improve their management skills and thereby their performance. Moreover, adopting advanced financial management practices can improve the use of financial resources, leading to higher profitability and thereby sustainable growth. This implies that managers should change their strategy from growth now, profitability later to profitable growth now. Originality/value - Unlike most previous studies, this study employs several multivariate methods to analyse a comprehensive, cross-sectoral sample comprising non-financial, independent, and active SMEs in several industries. This study focuses explicitly on SMEs, which play a fundamental role in the Swedish economy.</t>
  </si>
  <si>
    <t>Ohman, Peter/0000-0001-5731-0489</t>
  </si>
  <si>
    <t>1743-9132</t>
  </si>
  <si>
    <t>1758-6569</t>
  </si>
  <si>
    <t>10.1108/IJMF-01-2015-0005</t>
  </si>
  <si>
    <t>WOS:000212467800008</t>
  </si>
  <si>
    <t>Yang, QY; Jiang, ZC; Yuan, DX; Ma, ZL; Xie, YQ</t>
  </si>
  <si>
    <t>Yang, Qiyong; Jiang, Zhongcheng; Yuan, Daoxian; Ma, Zulu; Xie, Yunqiu</t>
  </si>
  <si>
    <t>Temporal and spatial changes of karst rocky desertification in ecological reconstruction region of Southwest China</t>
  </si>
  <si>
    <t>ENVIRONMENTAL EARTH SCIENCES</t>
  </si>
  <si>
    <t>Karst rocky desertification (KRD), as a process of soil degradation, is a limiting factor on enhancing the life condition of people in Southwest China. Fortunately, Chinese governments at different levels had taken it seriously, and the 'Green for Grain' program was initiated to treat and protect the fragile environment. In order to assess the dynamic change of KRD and improve the treatment of it in the future, Pingguo County, one of the 'one hundred typical counties for karst rocky desertification control in China,' was chosen as the study area. The results indicated that the evolution process of KRD landforms in the county might be divided into two phases: degradation phase (1994-2001) and ecological reconstruction phase (2001-2009). In the degradation phase, the area of non-KRD landform decreased from 1,132.02 km(2) in 1994 to 1,056.42 km(2) in 2001. In this phase, the area of non-KRD landform lost 5.51 % to KRD landforms, which mainly transferred to slight KRD landform with an area of 35.55 km(2) counting for 3.14 %. In another hand, the area of non-KRD gained 27.85 km(2), mainly from the slight KRD landform. As a result the area of non-KRD was reduced, meaning that the evolution of KRD became serious. In this phrase, the dynamic change degree of the slight KRD landform was the minimum, and the area of it was the largest among the three KRD landforms. Therefore, transition of slight KRD landform was the main transition type in this phase. The area of slight KRD landforms increased 38.77 km(2) in the county, which mostly took place in the middle and southwest karst regions. In ecological reconstruction phase, the area of non-KRD landform increased to 1,091.90 km(2) in 2009. In this phase, non-KRD landform gained an area of 22.82 km(2) and lost an area of 26.73 km(2), major of which from or to the slight KRD landform. Therefore, the area of non-KRD landform was increased, implying that the evolution of KRD became alleviated. In this phase, transition of slight KRD landform was also the dominant transition type. The decreased area of slight KRD landform was the largest among severe, moderate and slight KRD cases in the southwest karst region, where the ecological reconstruction projects were initiated. The efficient degrees of KRD landforms in southwest karst region were the largest in the four karst regions in this county. This study results may provide a consultant for rocky desertification control and ecological restoration in the future.</t>
  </si>
  <si>
    <t>1866-6280</t>
  </si>
  <si>
    <t>1866-6299</t>
  </si>
  <si>
    <t>10.1007/s12665-014-3348-9</t>
  </si>
  <si>
    <t>WOS:000344737300024</t>
  </si>
  <si>
    <t>Hasheela, I; Schneider, GIC; Ellmies, R; Haidula, A; Leonard, R; Ndalulilwa, K; Shigwana, O; Walmsley, B</t>
  </si>
  <si>
    <t>Hasheela, I.; Schneider, G. I. C.; Ellmies, R.; Haidula, A.; Leonard, R.; Ndalulilwa, K.; Shigwana, O.; Walmsley, B.</t>
  </si>
  <si>
    <t>Risk assessment methodology for shut-down and abandoned mine sites in Namibia</t>
  </si>
  <si>
    <t>JOURNAL OF GEOCHEMICAL EXPLORATION</t>
  </si>
  <si>
    <t>Mining has a long history in Namibia. Legacies of old operations are evident in numerous shut-down and abandoned mines, posing severe to moderate environmental and health risks. It is the responsibility of the government to deal with these risks, firstly by assessing their magnitudes, and then deciding on those that need the most urgent attention. The Geological Survey of Namibia, in cooperation with its partner, the German Federal Institute for Geosciences and Natural Resources (BGR), and their consultant the Southern African Institute for Environmental Assessment (SAIEA) developed a Risk Assessment Manual for shut-down and abandoned mines, which takes the environmental conditions prevailing in Namibia into consideration. This manual provides a useful tool for the scientific and practical evaluation of the risks. It can be further developed and customized for adoption in other countries. In this article, we present the methodology adopted in the manual. (c) 2014 Elsevier By. All rights reserved.</t>
  </si>
  <si>
    <t>0375-6742</t>
  </si>
  <si>
    <t>1879-1689</t>
  </si>
  <si>
    <t>C</t>
  </si>
  <si>
    <t>10.1016/j.gexplo.2014.05.009</t>
  </si>
  <si>
    <t>WOS:000342247800018</t>
  </si>
  <si>
    <t>Leonard, L</t>
  </si>
  <si>
    <t>Leonard, Llewellyn</t>
  </si>
  <si>
    <t>Participatory Democracy Against Industrial Risks: Environmental Justice in Durban, South Africa</t>
  </si>
  <si>
    <t>POLITIKON</t>
  </si>
  <si>
    <t>Under Apartheid, marginalised groups had limited power to influence decisions contributing to environmental injustices. Democracy witnessed civil society as 'inclusive' to engage in formal decision-making. This paper examines the ability of the state and industry to effectively implement formal participatory decision-making spaces, including the ability of civil society to engage in these spaces. This paper presents viewpoints from stakeholders in Durban to examine engagement amongst civil society, the state and industry for participatory democracy. Investigations reveal that tokenistic participatory processes by provincial/local government and industry during development processes, government use of industrial consultants for decision-making, and fragmentation between some local community groups due to acquisition of industrial funding has not effectively included marginalised citizen's into participatory processes to inform decisions. Despite a democratic transition, participatory democracy for environmental justice is limited. This paper suggests that government and industry need to engage proactively with civil society before decisions are made on development processes, rather than as an afterthought. It is also suggested that consultants used during development processes be chosen in consensus between civil society, industry and government. Community coherence against industrial risks will also be better achieved if industrial funding was administered through a community fund with an appropriate monitoring system of how funds are used.</t>
  </si>
  <si>
    <t>Leonard, Llewellyn/ABF-7476-2020; Leonard, Llewellyn/M-9518-2018</t>
  </si>
  <si>
    <t>Leonard, Llewellyn/0000-0002-6279-0373; Leonard, Llewellyn/0000-0002-6279-0373</t>
  </si>
  <si>
    <t>0258-9346</t>
  </si>
  <si>
    <t>1470-1014</t>
  </si>
  <si>
    <t>10.1080/02589346.2014.905263</t>
  </si>
  <si>
    <t>WOS:000340275600008</t>
  </si>
  <si>
    <t>The New Media Designs of Political Consultants: Campaign Production in a Fragmented Era</t>
  </si>
  <si>
    <t>JOURNAL OF COMMUNICATION</t>
  </si>
  <si>
    <t>Newmedia technologies have been lauded for their potential in de-monopolizing gatekeeper power and rejuvenating democracy. This research inquires into how those changes in the media environment are affecting (and being affected by) consultants involved in the production of political communication. Drawing on dozens of in-depth interviews with these elite operatives, this study highlights how strategies are developed, practices are executed, and messages are encoded given increasing fragmentation and narrowcasting. It examines these consultants' roles in managing the news agenda and political discourse by expanding partisan spaces online for content creation and narrowcasting more nuanced, flexible messages to targeted niches. This study concludes with consideration given to how these efforts might hinder certain public sphere ideals.</t>
  </si>
  <si>
    <t>0021-9916</t>
  </si>
  <si>
    <t>1460-2466</t>
  </si>
  <si>
    <t>10.1111/jcom.12078</t>
  </si>
  <si>
    <t>WOS:000340540900009</t>
  </si>
  <si>
    <t>Lamb, V</t>
  </si>
  <si>
    <t>Lamb, Vanessa</t>
  </si>
  <si>
    <t>Where is the border? Villagers, environmental consultants and the 'work' of the Thai-Burma border</t>
  </si>
  <si>
    <t>POLITICAL GEOGRAPHY</t>
  </si>
  <si>
    <t>This article examines how Thai Burma border residents are enrolled and engaged in remaking the political border through their knowledge practices and performances, or their own borderwork. Border residents do not perform this work alone, but in connection with other actors including environmental consultants. In order to highlight this co-production of the political border, I bring together border studies scholarship that see borders as process and performance with work in science studies that has highlighted the way that knowledge and order are co-produced. The importance of this approach is that it facilitates an understanding of the multifaceted and contradictory work to remake the border by multiple actors, a way to study borders from the bottom up that illustrates how the border is continually enacted. While this article puts forth the notion that the border represents an important site and process of struggle and negotiation in which marginalized communities invest, it also questions the assumption that because residents are engaged in remaking the border, the border is necessarily more 'democratic'. The discussion and empirical data presented in this article also speak to broader debates in political geography about how borders are remade through practice and performance. (C) 2014 Elsevier Ltd. All rights reserved.</t>
  </si>
  <si>
    <t>0962-6298</t>
  </si>
  <si>
    <t>1873-5096</t>
  </si>
  <si>
    <t>10.1016/j.polgeo.2014.02.001</t>
  </si>
  <si>
    <t>WOS:000335806000001</t>
  </si>
  <si>
    <t>Amon, B; Winiwarter, W; Anderl, M; Baumgarten, A; Dersch, G; Guggenberger, T; Hasenauer, H; Kantelhardt, J; Kasper, M; Kitzler, B; Moser, T; Potzelsberger, E; Prosenbauer, M; Schaller, L; Schrock, A; Sigmund, E; Zechmeister-Boltenstern, S; Zethner, G</t>
  </si>
  <si>
    <t>Amon, Barbara; Winiwarter, Wilfried; Anderl, Michael; Baumgarten, Andreas; Dersch, Georg; Guggenberger, Thomas; Hasenauer, Hubert; Kantelhardt, Jochen; Kasper, Martina; Kitzler, Barbara; Moser, Tobias; Poetzelsberger, Elisabeth; Prosenbauer, Manfred; Schaller, Lena; Schroeck, Andrea; Sigmund, Elisabeth; Zechmeister-Boltenstern, Sophie; Zethner, Gerhard</t>
  </si>
  <si>
    <t>Farming for a Better Climate (FarmClim) Design of an Inter- and Transdisciplinary Research Project Aiming to Address the Science-Policy Gap</t>
  </si>
  <si>
    <t>GAIA-ECOLOGICAL PERSPECTIVES FOR SCIENCE AND SOCIETY</t>
  </si>
  <si>
    <t>FarmClim aims at contributing to a more considerate use of nitrogen in Austrian agriculture. The transdisciplinary research project attempts to tackle the science-policy gap by using a participatory approach, that is, stakeholders influence the research process as much as the scientists strive for the implementation of their ideas. This paper describes the project design and communication processes. Full integration of practice partners adds to the complexity of the project's structure, but brings considerable benefits right from the outset. Taking advantage of the existing institutional setting of FarmClim partners, we expect to maintain expert consultancy beyond the lifetime of the project, helping agriculture to meet the challenges of environmental and economic performance of a producing agriculture.</t>
  </si>
  <si>
    <t>0940-5550</t>
  </si>
  <si>
    <t>10.14512/gaia.23.2.9</t>
  </si>
  <si>
    <t>WOS:000336561700008</t>
  </si>
  <si>
    <t>Ha, BTT; Frizen, S; Thi, LM; Duong, DTT; Duc, DM</t>
  </si>
  <si>
    <t>Ha, Bui T. T.; Frizen, Scott; Thi, Le M.; Duong, Doan T. T.; Duc, Duong M.</t>
  </si>
  <si>
    <t>Policy processes underpinning universal health insurance in Vietnam</t>
  </si>
  <si>
    <t>Background: In almost 30 years since economic reforms or 'renovation' (Doimoi) were launched, Vietnam has achieved remarkably good health results, in many cases matching those in much higher income countries. This study explores the contribution made by Universal Health Insurance (UHI) policies, focusing on the past 15 years. We conducted a mixed method study to describe and assess the policy process relating to health insurance, from agenda setting through implementation and evaluation. Design: The qualitative research methods implemented in this study were 30 in-depth interviews, 4 focus group discussions, expert consultancy, and 420 secondary data review. The data were analyzed by NVivo 7.0. Results: Health insurance in Vietnam was introduced in 1992 and has been elaborated over a 20-year time frame. These processes relate to moving from a contingent to a gradually expanded target population, expanding the scope of the benefit package, and reducing the financial contribution from the insured. The target groups expanded to include 66.8% of the population by 2012. We characterized the policy process relating to UHI as incremental with a learning-by-doing approach, with an emphasis on increasing coverage rather than ensuring a basic service package and financial protection. There was limited involvement of civil society organizations and users in all policy processes. Intertwined political economy factors influenced the policy processes. Conclusions: Incremental policy processes, characterized by a learning-by-doing approach, is appropriate for countries attempting to introduce new health institutions, such as health insurance in Vietnam. Vietnam should continue to mobilize resources in sustainable and viable ways to support the target groups. The country should also adopt a multi-pronged approach to achieving universal access to health services, beyond health insurance.</t>
  </si>
  <si>
    <t>1654-9880</t>
  </si>
  <si>
    <t>10.3402/gha.v7.24928</t>
  </si>
  <si>
    <t>WOS:000348787300006</t>
  </si>
  <si>
    <t>Bocarejo, JP; Velasquez, JM; Galarza, DC</t>
  </si>
  <si>
    <t>Pablo Bocarejo, Juan; Miguel Velasquez, Juan; Carolina Galarza, Diana</t>
  </si>
  <si>
    <t>Challenges of Implementing a la Mode Transport Projects Case Studies of Bus Rapid Transit and Cable Cars in Colombia</t>
  </si>
  <si>
    <t>Politicians, consultants, and researchers often look at successful transport and urban transformation projects in cities in developing countries and assume that these may be an appropriate solution for similar cities. In reality, customizing such projects for a city-specific context is a difficult challenge that does not always end well, for example, because of poor technical and financial capacity of transport institutions, scarce information on travel demand behavior during the planning stage, private companies operating routes with a certain degree of informality, and poor political commitment. The authors reviewed the experience of implementing bus rapid transit systems in five cities in Colombia that followed the steps of the successful Transmilenio in Bogota. Most projects had cost overruns and lower demand and therefore performed worse than expected in ex-post assessments. Competition from traditional and private transport and institutional capacity at the local level were key problems to be addressed. The authors also reviewed the experience of cable cars, the new A la mode project, which was promoted in a number of developing cities such as Cali and Soacha after the success of the Metrocable in Medellin. Cable cars could contribute to equity in cities, but these contributions would be extremely limited if the project did not inject the urban environment with complementary investments. Transferring successful transportation projects to new areas or to other cities is an important, difficult challenge. Key success factors must be considered to implement transport solutions successfully in different contexts.</t>
  </si>
  <si>
    <t>Bocarejo, Juan Pablo/0000-0003-3806-2189</t>
  </si>
  <si>
    <t>10.3141/2451-15</t>
  </si>
  <si>
    <t>WOS:000348967500015</t>
  </si>
  <si>
    <t>Reichelt, R</t>
  </si>
  <si>
    <t>Reichelt, Raymond</t>
  </si>
  <si>
    <t>Legal and Ethical Responsibilities of Geoscientists in Environmental Geology</t>
  </si>
  <si>
    <t>GEOSCIENCE CANADA</t>
  </si>
  <si>
    <t>Professional geoscientists, including those practicing environmental geoscience, have definite and definable legal and ethical responsibilities. These obligations apply to environmental geoscientists working as consultants, academics, regulators or environmental. managers. Environmental geoscientists are obliged to be aware of and obey all federal, provincial and municipal laws and regulations applying to professional geoscientists. As well as the provincial engineering and geoscience acts, a variety of additional guidelines and professional standards apply to the professional geoscientist. These include criminal, labour, and business law as well as environmental acts and regulations. Governments, professional associations and private standards agencies, such as the Canadian Standards Association and the American Society for Testing and Materials, have also issued relevant guidelines and standards.</t>
  </si>
  <si>
    <t>0315-0941</t>
  </si>
  <si>
    <t>WOS:000333849900001</t>
  </si>
  <si>
    <t>Sellar, C</t>
  </si>
  <si>
    <t>Sellar, Christian</t>
  </si>
  <si>
    <t>Building a Transnational Fusion Bureaucracy? A Study of State Officials and Opinion Leaders in Rousse (Bulgaria) and Transcarpathia (Ukraine)</t>
  </si>
  <si>
    <t>GEOPOLITICS</t>
  </si>
  <si>
    <t>This paper compares how officials in Rousse, Bulgaria, and Transcarpathia, Ukraine, interact with 'foreigners': officials from agencies of the European Union (EU), other member states, and foreign consultants. The goals are: a) to compare the extent to which officials in the two communities participate in transnational networks of European bureaucracies, the so-called 'transnational fusion bureaucracy'; b) to assess the ways in which the bottom-up actions of those officials relate to the broad, top-down policy goals of the EU; and c) to analyse the effects of those interactions on the business environments of the two communities. As a result of comparing the two regions, this paper argues that similar processes of integration in the transnational fusion bureaucracy occur in the internal periphery of the European Union (Rousse) and in areas outside the EU borders (Transcarpathia). In doing so, it questions the extent to which both regions participate in an emerging 'transnational fusion bureaucracy' emphasising difference in intensity of the considered processes, as well as the different responses by the two bureaucracies to inputs and opportunities provided by the EU.</t>
  </si>
  <si>
    <t>1465-0045</t>
  </si>
  <si>
    <t>1557-3028</t>
  </si>
  <si>
    <t>10.1080/14650045.2014.883381</t>
  </si>
  <si>
    <t>WOS:000342293500004</t>
  </si>
  <si>
    <t>Gudmundsson, H; Sorensen, CH</t>
  </si>
  <si>
    <t>Gudmundsson, Henrik; Sorensen, Claus Hedegaard</t>
  </si>
  <si>
    <t>Some use-Little influence? On the roles of indicators in European sustainable transport policy</t>
  </si>
  <si>
    <t>ECOLOGICAL INDICATORS</t>
  </si>
  <si>
    <t>The paper focuses on the use and influence of indicators in European sustainable transport policy from a 'knowledge utilization' research point of view. The starting point is the contrast between the widely held idea that indicators are important tools for sustainable transport policy making, versus 'knowledge utilization' oriented research, which has often demonstrated that formal technical knowledge is used much less, or at least differently, than expected in policy and decision making. The paper looks at two cases of indicators applied for strategic policy making within the sustainable transport agenda. The first case concerns indicators tracking the fulfillment of national transport policy objectives in Sweden. The case explores the use and influence of an annual monitoring and evaluation report produced for this purpose, within a general 'Management-by-Objectives' regime. The second case deals with indicators applied for the Mid-Term Review of the European Commission's transport policy White Paper 'Time to Decide' (issued in 2001). The focus in this case is on a particular indicator based study conducted in 2005 by a group of consultants in close collaboration with European Commission staff. It is found that several indicators in both cases are actually used in policy processes, with evidence of use found in documents as well as interviews. However, 'use' does not automatically mean 'influence' on policies or processes in more than a superficial manner. Indicators seem to play a very limited direct instrumental role, while some signs of symbolic, conceptual and process roles are found. In the EU case we identify what is called a rationalization role of indicators, meaning that indicators inform and help to rationalize a change in the position towards key objectives. Several factors that characterize the indicators, the users, and policy context are found to contribute to understand the type of use and influence observed in both cases. (C) 2012 Elsevier Ltd. All rights reserved,</t>
  </si>
  <si>
    <t>Sorensen, Claus Hedegaard/0000-0003-1346-8094</t>
  </si>
  <si>
    <t>1470-160X</t>
  </si>
  <si>
    <t>1872-7034</t>
  </si>
  <si>
    <t>10.1016/j.ecolind.2012.08.015</t>
  </si>
  <si>
    <t>WOS:000325386800006</t>
  </si>
  <si>
    <t>Liu, YS; Wang, LC; Zhao, L; Ahlstrom, D</t>
  </si>
  <si>
    <t>Liu, Yunshi; Wang, Linda C.; Zhao, Li; Ahlstrom, David</t>
  </si>
  <si>
    <t>Board turnover in Taiwan's public firms: An empirical study</t>
  </si>
  <si>
    <t>ASIA PACIFIC JOURNAL OF MANAGEMENT</t>
  </si>
  <si>
    <t>Using a data set of 220 Taiwanese public firms with 2,200 observations over a ten-year period representing Taiwan's economic takeoff period in the late 1990s, as well as six follow-up interviews conducted with top managers several years hence, this research examines the propensity of an important change variable for firms: the turnover of boards of directors. Specifically, it examines the relationship between board turnover and the organization's environment, firm performance, and the largest shareholder's control during a key period of economic transition and growth for Taiwan. The results show that substantial changes in board composition, though still not especially common in Taiwan, do occur, even in closely held companies. Turnover in the board is negatively related to the largest shareholder's control power as well as firm performance. Board changes however, are not related to the environmental munificence and dynamism. These results are rather consistent with related research on firms in ethnic Chinese communities which suggests that top management and board turnover while not common, does sometimes occur, and more recent institutional and industrial change in Taiwan is likely encouraging further governance reform. This has implications for important facets of firm governance and change, as well as expanding our knowledge about firms domiciled in an ethnic Chinese community, particularly during times of economic transition and growth. Follow-up interviews with four top managers from our sample, along with one consultant and one government official in Taiwan provided additional confirmation and clarification of our results.</t>
  </si>
  <si>
    <t>Ahlstrom, David/0000-0001-9752-1248; WANG, Linda/0000-0001-7181-1335</t>
  </si>
  <si>
    <t>0217-4561</t>
  </si>
  <si>
    <t>1572-9958</t>
  </si>
  <si>
    <t>10.1007/s10490-013-9363-7</t>
  </si>
  <si>
    <t>WOS:000326735000005</t>
  </si>
  <si>
    <t>Peters, R; Naicker, V</t>
  </si>
  <si>
    <t>Peters, R.; Naicker, V.</t>
  </si>
  <si>
    <t>Small medium micro enterprise business goals and government support: A South African case study</t>
  </si>
  <si>
    <t>SOUTH AFRICAN JOURNAL OF BUSINESS MANAGEMENT</t>
  </si>
  <si>
    <t>Small and medium-scale enterprises (SMMEs) form the majority of the enterprises in the South African economy. The South African government has identified the SMME sector as one of the potential enablers to achieve its objectives of improving job creation opportunities, reducing poverty and creating a more equitable distribution of wealth. The aim of this article was to provide a perspective on the success government support initiatives has had on the SMME sector. To achieve this, the study sought to analyse the perceived strengths and weaknesses of government's national strategy and its institutions tasked with creating an enabling environment for the sector. The study employed a survey research design methodology in which mixed methods were used. The national business strategy employed by government was critically analysed. Empirical data was collected from 282 respondents in order to answer the research question. The results show that the government's approach has favoured 'supply-side interventions' including, providing access to training, credit, mentoring and information to 'existing and new business. Furthermore, this study has identified the lack of awareness as the primary reason for the under-delivery of the government support initiatives in SMME development. Respondents indicated that they frequently made use of the services of business consultants and external specialists from which they perceived added more value to their respective businesses.</t>
  </si>
  <si>
    <t>2078-5585</t>
  </si>
  <si>
    <t>2078-5976</t>
  </si>
  <si>
    <t>WOS:000341170600002</t>
  </si>
  <si>
    <t>Parsons, C; Grabulosa, EM; Pili, E; Floor, GH; Roman-Ross, G; Charlet, L</t>
  </si>
  <si>
    <t>Parsons, Chris; Margui Grabulosa, Eva; Pili, Eric; Floor, Geerke H.; Roman-Ross, Gabriela; Charlet, Laurent</t>
  </si>
  <si>
    <t>Quantification of trace arsenic in soils by field-portable X-ray fluorescence spectrometry: Considerations for sample preparation and measurement conditions</t>
  </si>
  <si>
    <t>JOURNAL OF HAZARDOUS MATERIALS</t>
  </si>
  <si>
    <t>Recent technological improvements have led to the widespread adoption of field portable energy dispersive X-ray fluorescence (FP-XRF) by governmental agencies, environmental consultancies and research institutions. FP-XRF units often include analysis modes specifically designed for the quantification of trace elements in soils. Using these modes, X-ray tube based FP-XRF units can offer almost point and shoot ease of use and results comparable to those of laboratory based instruments. Nevertheless, FP-XRF analysis is sensitive to spectral interferences as well as physical and chemical matrix effects which can result in decreased precision and accuracy. In this study, an X-ray tube-based FP-XRF analyser was used to determine trace (low ppm) concentrations of As in a floodplain soil. The effect of different sample preparation and analysis conditions on precision and accuracy were systematically evaluated. We propose strategies to minimise sources of error and maximise data precision and accuracy, achieving in situ limits of detection and precision of 6.8 ppm and 14.4%RSD, respectively for arsenic. We demonstrate that soil moisture, even in relatively dry soils, dramatically affects analytical performance with a signal loss of 37% recorded for arsenic at 20 wt% soil moisture relative to dry soil. We also highlight the importance of the use of certified reference materials and independent measurement methods to ensure accurate correction of field values. (C) 2012 Elsevier B.V. All rights reserved.</t>
  </si>
  <si>
    <t>0304-3894</t>
  </si>
  <si>
    <t>1873-3336</t>
  </si>
  <si>
    <t>NOV 15</t>
  </si>
  <si>
    <t>10.1016/j.jhazmat.2012.07.001</t>
  </si>
  <si>
    <t>WOS:000329595500145</t>
  </si>
  <si>
    <t>Coslovsky, S</t>
  </si>
  <si>
    <t>Coslovsky, Salo</t>
  </si>
  <si>
    <t>Enforcing Food Quality and Safety Standards in Brazil: The Case of COBRACANA</t>
  </si>
  <si>
    <t>ANNALS OF THE AMERICAN ACADEMY OF POLITICAL AND SOCIAL SCIENCE</t>
  </si>
  <si>
    <t>In numerous product lines, globalization of production has been accompanied by increasingly austere product quality and safety regulations. These regulations are particularly stringent in the food and beverage sectors and put enormous strain on producers from developing nations. This article examines a cooperative of sugarcane, sugar, and ethanol producers from Brazil that, when confronted with the challenge of new regulations, adopted three policies that encouraged its members to upgrade quality and safety standards, enabling them to compete successfully in a demanding business environment. I argue that the co-op's success was due to (1) a new cost accounting methodology that monetized some of the differences in product quality, attenuating tensions among members; (2) a low-cost, high-powered system of regulatory incentives that empowered middle managers vis-a-vis top executives within regulated firms; and (3) external auditors who acted not as police officers or consultants but as conduits, reestablishing information flows and helping to create a business atmosphere conducive to productive change.</t>
  </si>
  <si>
    <t>0002-7162</t>
  </si>
  <si>
    <t>1552-3349</t>
  </si>
  <si>
    <t>10.1177/0002716213486468</t>
  </si>
  <si>
    <t>WOS:000326238800007</t>
  </si>
  <si>
    <t>Moore, RE</t>
  </si>
  <si>
    <t>Moore, Rebekah E.</t>
  </si>
  <si>
    <t>'My music, my freedom(?): the troubled pursuit of musical and intellectual independence on the Internet in Indonesia'</t>
  </si>
  <si>
    <t>ASIAN JOURNAL OF COMMUNICATION</t>
  </si>
  <si>
    <t>In Indonesia, the Internet has reshaped music industry praxis, particularly artist marketing and promotion. It is also a primary resource for artistic inspiration, providing musicians and producers with unprecedented access to recording artists worldwide. Finally, for the nation's top musicians, the Internet can lead to national and even international recognition, by means independent of - and even superior to - the production, distribution, or promotional support Indonesia's major record labels can provide. Answering Lysloff's call that examinations of digital media should consider how and why they are meaningful,this qualitative analysis examines the Internet practices consultants believe have radically reshaped Indonesia's national music industry and advanced its global impact. Particularly among the nation's self-described non-mainstream or independent music professionals, the Internet has revolutionized professional and social communication. Furthermore, through online intellectual critique, individual contributors also debate artistic ideals, as well as broader social and political problems. The Internet, thus, circumscribes a network of musically and socially likeminded individuals who engage in thoughtful debate about the arts and society in a presumably safe and egalitarian environment. There are limits to the Internet's equanimity and its users' abilities to secure artistic and intellectual independence; however, spatial proximity to the music industry's epicenter in Jakarta, rhetorical dexterity in Internet correspondence, and Internet legislation all pose particular challenges to the democratization of Indonesia's independent music industry network and the professional and social relationships that happen through its channels.</t>
  </si>
  <si>
    <t>0129-2986</t>
  </si>
  <si>
    <t>1742-0911</t>
  </si>
  <si>
    <t>AUG 1</t>
  </si>
  <si>
    <t>10.1080/01292986.2013.804105</t>
  </si>
  <si>
    <t>WOS:000326307200003</t>
  </si>
  <si>
    <t>Hamilton, T</t>
  </si>
  <si>
    <t>Hamilton, Trina</t>
  </si>
  <si>
    <t>Beyond Market Signals: Negotiating Marketplace Politics and Corporate Responsibilities</t>
  </si>
  <si>
    <t>ECONOMIC GEOGRAPHY</t>
  </si>
  <si>
    <t>In the face of stiff resistance to their legislative efforts in national and multilateral arenas, nongovernmental organizations, unions, and others are engaging in marketplace politics to press their social and environmental concerns. While important criticisms of market-based regulation abound, recent research has suggested that this form of politics is not restricted to simple market signals or a singular market logic, so the question of what drives corporate responsiveness remains. Drawing on a statistical analysis of a large data set of marketplace campaigns and in-depth interviews with campaign proponents, consultants, and targeted executives, this article proposes a relational framework for understanding marketplace politics, situating campaign strategies in relation to targeted firms' brand vulnerabilities and corporate social responsibility (CSR) absorptive capacity, on the one hand, and parallel actions of key intermediariesincluding investment advisory firms and pioneering competitorson the other hand. I argue that it is influential minorities of consumers, investors, and intermediariesoften in dialogue with targeted executiveswho create change, rather than majority, arm's length market movements. Overall, this research enhances the multiplicity of recent case studies by identifying common opportunities and barriers for marketplace politics and contributes to the burgeoning literature within economic geography that is redrawing the boundaries of corporate CSR decision making and capacity building.</t>
  </si>
  <si>
    <t>0013-0095</t>
  </si>
  <si>
    <t>1944-8287</t>
  </si>
  <si>
    <t>10.1111/ecge.12005</t>
  </si>
  <si>
    <t>WOS:000320780000004</t>
  </si>
  <si>
    <t>Siemiatycki, M</t>
  </si>
  <si>
    <t>Siemiatycki, Matti</t>
  </si>
  <si>
    <t>The Global Production of Transportation Public-Private Partnerships</t>
  </si>
  <si>
    <t>INTERNATIONAL JOURNAL OF URBAN AND REGIONAL RESEARCH</t>
  </si>
  <si>
    <t>Around the world, public-private partnerships have become increasingly popular to deliver large-scale transportation infrastructure projects such as roads, bridges, railways, subways, seaports and airports. The aim of this article is to provide a framework to understand the global geography of projects built through this market-driven procurement model, which have been predominantly concentrated in a small number of developed countries and emerging markets. As is shown, within many countries, a governance and regulatory environment has been established that supports public-private partnerships over other alternative procurement approaches. Nevertheless, the production of public-private partnerships worldwide has been dominated by a relatively small number of highly globalized construction contractors, engineering firms, financiers, accountancies and consultants from developed countries, who have focused their activities in a narrow set of regions. The article concludes by reflecting on the implications of the high level of industry concentration, and emerging trends showing greater involvement from firms from developing countries.</t>
  </si>
  <si>
    <t>0309-1317</t>
  </si>
  <si>
    <t>1468-2427</t>
  </si>
  <si>
    <t>10.1111/j.1468-2427.2012.01126.x</t>
  </si>
  <si>
    <t>WOS:000320725500008</t>
  </si>
  <si>
    <t>Costas, J; Karreman, D</t>
  </si>
  <si>
    <t>Costas, Jana; Karreman, Dan</t>
  </si>
  <si>
    <t>Conscience as control - managing employees through CSR</t>
  </si>
  <si>
    <t>ORGANIZATION</t>
  </si>
  <si>
    <t>Corporate social responsibility has become an important topic for both academics and practitioners. CSR typically stands for corporate responses to ethical, environmental and social issues. Whilst extant research has predominately focused on CSR in relation to external stakeholders and taking a macro-institutional and/or functionalist perspective, we provide a critical engagement with the interactions between CSR, employees and management control within organizations. Qualitative data gathered at two management consultancy firms demonstrate how CSR discourses and practices serve to construct an idealized image of a socially, ecologically and ethically responsible corporate self. In this way, CSR works as a form of aspirational control that ties employees' aspirational identities and ethical conscience to the organization. The article discusses the implications of CSR concerning cynical distancing, ethical sealing and the space for politics and critique in corporations.</t>
  </si>
  <si>
    <t>1350-5084</t>
  </si>
  <si>
    <t>10.1177/1350508413478584</t>
  </si>
  <si>
    <t>WOS:000317620400004</t>
  </si>
  <si>
    <t>Lee, SL; Tinsley, H; Chau, J; Lai, HK; Thach, TQ; Ip, P; Chow, CB; Hedley, AJ</t>
  </si>
  <si>
    <t>Lee, S. L.; Tinsley, H.; Chau, J.; Lai, H. K.; Thach, T. Q.; Ip, P.; Chow, C. B.; Hedley, A. J.</t>
  </si>
  <si>
    <t>Review of Outdoor Air Pollution and Child Health in Hong Kong</t>
  </si>
  <si>
    <t>HONG KONG JOURNAL OF PAEDIATRICS</t>
  </si>
  <si>
    <t>Our Air Quality Objectives (AQO) for seven air pollutants were established in 1987 under the Air Pollution Control Ordinance but have not been revised. Air pollution in Hong Kong has been continuously worsening and remains incompatible with acceptable standards of health protection for children. Although the government initiated a consultancy for AQO in 2007, revisions to the AQO will not be implemented for at least two more years, in 2014. Furthermore, the government does not accept that Hong Kong's AQO should follow the World Health Organization guidelines set in 2006, despite the high level of local and international evidence that poor quality air is detrimental to individual and population health and that the proposed new AQO will fail to provide adequate protection. We present a synopsis of the susceptibility of children to environmental pollution, international and local evidence of adverse health effects on children and call for support from paediatricians in urging the government to take actionable steps for the achievement of cleaner air to protect our child health.</t>
  </si>
  <si>
    <t>1013-9923</t>
  </si>
  <si>
    <t>WOS:000323802700003</t>
  </si>
  <si>
    <t>Ernstson, H; Sorlin, S</t>
  </si>
  <si>
    <t>Ernstson, Henrik; Sorlin, Sverker</t>
  </si>
  <si>
    <t>Ecosystem services as technology of globalization: On articulating values in urban nature</t>
  </si>
  <si>
    <t>ECOLOGICAL ECONOMICS</t>
  </si>
  <si>
    <t>The paper demonstrates how ecosystem services can be viewed and studied as a social practice of value articulation. With this follows that when ecosystem services appear as objects of calculated value in decision-making they are already tainted by the social and cannot be viewed as merely reflecting an objective biophysical reality. Using urban case studies of place-based struggles in Stockholm and Cape Town, we demonstrate how values are relationally constructed through social practice. The same analysis is applied on ecosystem services. Of special interest is the TEEB Manual that uses a consultancy report on the economic evaluation of Cape Town's 'natural assets' to describe a step-by-step method to catalog, quantify and price certain aspects of urban nature. The Manual strives to turn the ecosystem services approach into a transportable method, capable of objectively measuring the values of urban nature everywhere, in all cities in the world. With its gesture of being universal and objective, the article suggests that the ecosystem services approach is a technology of globalization that de-historicizes and de-ecologizes debates on urbanized ecologies, effectively silencing other and often marginalized ways of knowing and valuing. The paper inscribes ecosystem services as social practice, as part of historical process, and as inherently political. A call is made for critical ethnographies of how ecosystem services and urban sustainability indicators are put into use to change local decision-making while manufacturing global expertise. (C) 2012 Elsevier B.V. All rights reserved.</t>
  </si>
  <si>
    <t>Ernstson, Henrik/0000-0002-6415-4821</t>
  </si>
  <si>
    <t>0921-8009</t>
  </si>
  <si>
    <t>1873-6106</t>
  </si>
  <si>
    <t>10.1016/j.ecolecon.2012.09.012</t>
  </si>
  <si>
    <t>WOS:000317803500033</t>
  </si>
  <si>
    <t>Zucaro, A; Fiorentino, G; Zamagni, A; Bargigli, S; Masoni, P; Moreno, A; Ulgiati, S</t>
  </si>
  <si>
    <t>Zucaro, Amalia; Fiorentino, Gabriella; Zamagni, Alessandra; Bargigli, Silvia; Masoni, Paolo; Moreno, Angelo; Ulgiati, Sergio</t>
  </si>
  <si>
    <t>How can life cycle assessment foster environmentally sound fuel cell production and use?</t>
  </si>
  <si>
    <t>INTERNATIONAL JOURNAL OF HYDROGEN ENERGY</t>
  </si>
  <si>
    <t>Successful market penetration of Fuel Cell (FC) technologies requires increased research and technological efforts towards improved efficiency, durability, costs and environmental performance according to accepted standards. Life Cycle Assessment (LCA) can help understand to what extent FCs are environmentally sound, to what extent they can be improved and what steps and components require attention. A guidance manual for LCA application to FC technologies, processes and systems, compliant with the International Reference Life Cycle Data System (ILCD), was developed within the European Union-funded Fuel Cell-Hydrogen Guide (FC-Hy Guide) Consortium. The purpose was to provide entrepreneurs, consultants and experts with a specific guidance tool for use in policy context and decision-making. This paper presents the application of the FC-Hy Guide scheme to Molten Carbonate Fuel Cells (MCFC), with focus on the following aspects: (1) data quality; (2) information needed; (3) background and foreground data; (4) FC stack and balance of system; (5) improvement potential; (6) sensitivity of results and data uncertainty. Copyright (C) 2012, Hydrogen Energy Publications, LLC. Published by Elsevier Ltd. All rights reserved.</t>
  </si>
  <si>
    <t>fiorentino, gabriella/F-5499-2019; Ulgiati, Sergio/ABE-9420-2020</t>
  </si>
  <si>
    <t>0360-3199</t>
  </si>
  <si>
    <t>JAN 11</t>
  </si>
  <si>
    <t>10.1016/j.ijhydene.2012.09.066</t>
  </si>
  <si>
    <t>WOS:000315001500052</t>
  </si>
  <si>
    <t>Elsila, A; Kallunki, JP; Nilsson, H; Sahlstrom, P</t>
  </si>
  <si>
    <t>Elsila, Anna; Kallunki, Juha-Pekka; Nilsson, Henrik; Sahlstrom, Petri</t>
  </si>
  <si>
    <t>CEO Personal Wealth, Equity Incentives and Firm Performance</t>
  </si>
  <si>
    <t>Manuscript Type Empirical Research Question/Issue In this paper, we explore the determinants and performance effects of a novel measure of executive incentives, that is, the elasticity of a CEO's total wealth to firm performance, computed as a CEO's ownership value relative to her total wealth. Research Findings/Insights Using unique data on the total personal wealth of the CEOs of listed Swedish firms, we find that while CEOs typically own only a very small fraction of the shares of their firms, this ownership often constitutes a significant part of their total wealth. We also find that a CEO's total wealth elasticity is negatively associated with firm size and a CEO's age is positively associated with a firm risk environment. As for the effect on firm performance, we find that higher CEO's equity incentives enhance future accounting firm performance, when we estimate panel data regressions by taking into account the dynamic nature of endogeneity between a CEO's incentives and firm performance. However, we do not find any evidence that a CEO's equity incentives to be related to future stock returns. Theoretical/Academic Implications Our analysis suggests that executives' incentives when measured as price-performance elasticity are economically more significant than has been often argued in the literature. Moreover, due to several advantages of price-performance elasticity over traditionally used fractional ownership and dollar-at-stake measures, the inferences drawn from this study with respect to determinants and performance implications of a CEO's incentives may be superior to those from prior studies. The result on the relation between firm size and a CEO's incentives is especially interesting, because, unlike fractional ownership, the elasticity of a CEO's total wealth to firm performance is not spuriously related to firm size. With respect to the relation between incentives and subsequent firm performance, our results are consistent with the view that higher CEO's incentives, measured as price-performance elasticity, enhance firm accounting performance. Overall, future studies should consider price-performance elasticity as an alternative measure of executive incentives in addressing various research questions. Practitioner/Policy Implications The evidence in this paper suggests that executive incentives calculated relative to their non-firm wealth are economically more meaningful if compared to the traditionally used measures. As such, compensation consultants and boards of directors can consider this alternative measure when designing executive compensation plans and determining an appropriate level of ownership, when the information on executive non-firm wealth is available.</t>
  </si>
  <si>
    <t>10.1111/corg.12001</t>
  </si>
  <si>
    <t>WOS:000312995200004</t>
  </si>
  <si>
    <t>Lawhon, M</t>
  </si>
  <si>
    <t>Lawhon, Mary</t>
  </si>
  <si>
    <t>Dumping ground or country-in-transition? Discourses of e-waste in South Africa</t>
  </si>
  <si>
    <t>Electronic waste (e-waste) has become a point of interest for social and technical scientists, activists, and policy makers. In South Africa researchers, consultants, and industry have worked together to develop plans for modernizing the e-waste industry while, at the same time, a group of activists connected to the global environmental justice movement is concerned with the illegal import of e-waste into South Africa. In this paper I show how the discourses of ecological modernization and environmental justice have been mobilized by these two different groups. The discourses have contrasting evaluations of the role of technology, relationship with the state, and the role of political economy which shape interactions between the discourses and discourse coalitions. Despite these differences, productive engagements exist. I suggest that understanding these differences can improve this engagement and contribute to more successful e-waste policy and management in the South African context and more widely.</t>
  </si>
  <si>
    <t>10.1068/c1254</t>
  </si>
  <si>
    <t>WOS:000323038200009</t>
  </si>
  <si>
    <t>Campagna, M; Craglia, M</t>
  </si>
  <si>
    <t>Campagna, Michele; Craglia, Massimo</t>
  </si>
  <si>
    <t>The socioeconomic impact of the spatial data infrastructure of Lombardy</t>
  </si>
  <si>
    <t>ENVIRONMENT AND PLANNING B-PLANNING &amp; DESIGN</t>
  </si>
  <si>
    <t>In this paper we present the findings of a study undertaken by the Joint Research Centre of the European Commission in collaboration with the regional authority of Lombardy, in northern Italy, on the socioeconomic impact of the spatial data infrastructure (SDI) of that region. The study took place in 2009 and focused primarily on assessing the benefits of the SDI to the organisations outside public administration, that is, developers and consultants involved in planning, design, and impact assessment. We report the results of two surveys undertaken in 2009. The first addressed consultants involved in the preparation of environmental impact assessments and strategic environmental assessments, and found significant economic and policy benefits resulting from the use of the regional SDI. The second survey focused on professionals involved in planning and design (architects, engineers, planners) and found a much more varied landscape characterised by lack of awareness and skill in taking advantage of the new infrastructure of analytical tools. The results of this study demonstrate that the maturity reached by some of the existing SDIs now makes it possible to evaluate tangible benefits, and act as an incentive to analyse further how SDIs are producing positive externalities. The knowledge gained by monitoring the impacts of on-going SDI initiatives can be used to justify investments ex post, and inform further SDI development and wider positive impacts.</t>
  </si>
  <si>
    <t>Campagna, Michele/0000-0001-7489-7330</t>
  </si>
  <si>
    <t>0265-8135</t>
  </si>
  <si>
    <t>1472-3417</t>
  </si>
  <si>
    <t>10.1068/b38006</t>
  </si>
  <si>
    <t>WOS:000313231500009</t>
  </si>
  <si>
    <t>Monroe-DeVita, M; Morse, G; Bond, GR</t>
  </si>
  <si>
    <t>Monroe-DeVita, Maria; Morse, Gary; Bond, Gary R.</t>
  </si>
  <si>
    <t>Program Fidelity and Beyond: Multiple Strategies and Criteria for Ensuring Quality of Assertive Community Treatment</t>
  </si>
  <si>
    <t>PSYCHIATRIC SERVICES</t>
  </si>
  <si>
    <t>Objective: In most public mental health systems, assertive community treatment (ACT) is a key service for people with severe mental illness. Although considerable research supports the effectiveness of ACT as an evidence-based practice, other research indicates a failure to adequately implement or sustain ACT, resulting in a diminishing quality of services over time. There have been relatively few attempts to develop and test strategies for implementing new ACT teams and for ensuring their operational and service quality over time. The authors provide a heuristic model for administrators and providers seeking to implement and sustain high-quality ACT programs. Methods: The authors conducted a selected review of literature about implementation and sustainability of ACT published between January 2000 and May 2011. The review was supplemented by the authors' experiences as researchers, administrators, trainers and consultants, and practitioners. Results: A total of 57 articles were found by searches in PsycINFO and Pub Med. The authors propose four major approaches for assessing and ensuring the quality of ACT programs policy and administrative, training and consultation, team operational, and program evaluation and identify strategies for achieving the goals in each category. Conclusions: Although a scarcity of rigorous research makes firm conclusions difficult, the authors conclude that no single strategy is sufficient for ensuring adequate ACT implementation and services of consistently good quality. Rather, it is useful to implement a blend of policy and administrative, training and consultation, team operational, and program evaluation strategies. Additional rigorous research on implementing and sustaining the quality of ACT and other evidence-based practices is needed. (Psychiatric Services 63:743-750, 2012; doi: 10.1176/appi.ps.201100015)</t>
  </si>
  <si>
    <t>1075-2730</t>
  </si>
  <si>
    <t>1557-9700</t>
  </si>
  <si>
    <t>10.1176/appi.ps.201100015</t>
  </si>
  <si>
    <t>WOS:000307204600003</t>
  </si>
  <si>
    <t>Steffen, C; Debellut, F; Gessner, BD; Kasolo, FC; Yahaya, AA; Ayebazibwe, N; Bassong, O; Cardoso, Y; Kebede, S; Manoncourt, S; Vandemaele, KA; Mounts, AW</t>
  </si>
  <si>
    <t>Steffen, C.; Debellut, F.; Gessner, B. D.; Kasolo, F. C.; Yahaya, A. A.; Ayebazibwe, N.; Bassong, O.; Cardoso, Y.; Kebede, S.; Manoncourt, S.; Vandemaele, K. A.; Mounts, A. W.</t>
  </si>
  <si>
    <t>Improving influenza surveillance in sub-Saharan Africa</t>
  </si>
  <si>
    <t>BULLETIN OF THE WORLD HEALTH ORGANIZATION</t>
  </si>
  <si>
    <t>Problem Little is known about the burden of influenza in sub-Saharan Africa. Routine influenza surveillance is key to getting a better understanding of the impact of acute respiratory infections on sub-Saharan African populations. Approach A project known as Strengthening Influenza Sentinel Surveillance in Africa (SISA) was launched in Angola, Cameroon, Ghana, Nigeria, Rwanda, Senegal, Sierra Leone and Zambia to help improve influenza sentinel surveillance, including both epidemiological and virological data collection, and to develop routine national, regional and international reporting mechanisms. These countries received technical support through remote supervision and onsite visits. Consultants worked closely With health ministries, the World Health Organization, national influenza laboratories and other stakeholders involved in influenza surveillance Local setting Influenza surveillance systems in the target countries were in different stages of development when SISA was launched. Senegal, for instance, had conducted virological surveillance for years, whereas Sierra Leone had no surveillance activity at all. Relevant changes Working documents such as national surveillance protocols and procedures were developed or updated and training for sentinel site staff and data managers was organized. Lessons learnt Targeted support to countries can help them strengthen national influenza surveillance, but long-term sustainability can only be achieved with external funding and strong national government leadership.</t>
  </si>
  <si>
    <t>0042-9686</t>
  </si>
  <si>
    <t>1564-0604</t>
  </si>
  <si>
    <t>10.2471/BLT.11.098244</t>
  </si>
  <si>
    <t>WOS:000303273100021</t>
  </si>
  <si>
    <t>Rodriguez-Anton, JM; Alonso-Almeida, MD; Celemin, MS; Rubio, L</t>
  </si>
  <si>
    <t>Miguel Rodriguez-Anton, Jose; del Mar Alonso-Almeida, Maria; Soledad Celemin, Maria; Rubio, Luis</t>
  </si>
  <si>
    <t>Use of different sustainability management systems in the hospitality industry. The case of Spanish hotels</t>
  </si>
  <si>
    <t>The focus of this study is to analyze the existence of Management Systems in the hospitality industry in Spain. This will be undertaken from the point of view of the organizational context especially as far as environmental management is concerned considering also its scope, implementation sequence and possible integration of different MSs. In order to study the aforementioned aspects, information from 294 hotels was used. The findings reveal differences with regard to previous research regarding other geographical areas and industries for adoption patterns and for integration of the management systems. Thus, this study contributes to a better understanding of the specific needs of the hotel industry for hotel management, consultancy firms, auditing firms and policy makers. (C) 2011 Elsevier Ltd. All rights reserved.</t>
  </si>
  <si>
    <t>10.1016/j.jclepro.2011.09.024</t>
  </si>
  <si>
    <t>WOS:000298218000009</t>
  </si>
  <si>
    <t>Fairhead, J; Leach, M; Scoones, I</t>
  </si>
  <si>
    <t>Fairhead, James; Leach, Melissa; Scoones, Ian</t>
  </si>
  <si>
    <t>Green Grabbing: a new appropriation of nature?</t>
  </si>
  <si>
    <t>JOURNAL OF PEASANT STUDIES</t>
  </si>
  <si>
    <t>Across the world, 'green grabbing' - the appropriation of land and resources for environmental ends - is an emerging process of deep and growing significance. The vigorous debate on 'land grabbing' already highlights instances where 'green' credentials are called upon to justify appropriations of land for food or fuel - as where large tracts of land are acquired not just for 'more efficient farming' or 'food security', but also to 'alleviate pressure on forests'. In other cases, however, environmental green agendas are the core drivers and goals of grabs - whether linked to biodiversity conservation, biocarbon sequestration, biofuels, ecosystem services, ecotourism or 'offsets' related to any and all of these. In some cases these involve the wholesale alienation of land, and in others the restructuring of rules and authority in the access, use and management of resources that may have profoundly alienating effects. Green grabbing builds on well-known histories of colonial and neo-colonial resource alienation in the name of the environment - whether for parks, forest reserves or to halt assumed destructive local practices. Yet it involves novel forms of valuation, commodification and markets for pieces and aspects of nature, and an extraordinary new range of actors and alliances - as pension funds and venture capitalists, commodity traders and consultants, GIS service providers and business entrepreneurs, ecotourism companies and the military, green activists and anxious consumers among others find once-unlikely common interests. This collection draws new theorisation together with cases from African, Asian and Latin American settings, and links critical studies of nature with critical agrarian studies, to ask: To what extent and in what ways do 'green grabs' constitute new forms of appropriation of nature? How and when do circulations of green capital become manifest in actual appropriations on the ground - through what political and discursive dynamics? What are the implications for ecologies, landscapes and livelihoods? And who is gaining and who is losing - how are agrarian social relations, rights and authority being restructured, and in whose interests?</t>
  </si>
  <si>
    <t>0306-6150</t>
  </si>
  <si>
    <t>1743-9361</t>
  </si>
  <si>
    <t>10.1080/03066150.2012.671770</t>
  </si>
  <si>
    <t>WOS:000303232300001</t>
  </si>
  <si>
    <t>Manap, NB; Voulvoulis, N; Zulkifli, NB</t>
  </si>
  <si>
    <t>Manap, Norpadzlihatun B.; Voulvoulis, Nikolaos; Zulkifli, Norzima B.</t>
  </si>
  <si>
    <t>The application of Driving force-Pressure-State-Impact-Response (DPSIR) in Malaysia's dredging industry</t>
  </si>
  <si>
    <t>JOURNAL OF FOOD AGRICULTURE &amp; ENVIRONMENT</t>
  </si>
  <si>
    <t>Dredging is an important commercial activity that takes place for different or multiple objectives, ranging from the deepening of channels for navigation purposes to the extraction of sediments for construction material. Despite having frequent application, dredging can have significant impacts to the environment and often triggers public disputes. It is therefore crucial to establish the reasons for dredging and its environmental impacts and be able to convey them in a simplest form in order to decide on necessary actions. Using Malaysia as a case study, this study aimed to investigate the issues faced by the Malaysia's dredging industry in order to establish which are the barriers and opportunities in managing the impacts of dredging. Face to face interview sessions with members of upper and middle management posts were held to identify issues of importance to Malaysia's dredging stakeholders. Port administrator, manufacturing company, a representative of Government of Malaysia, dredging contractors, the environmentalist and a head of a village were interviewed in 2008. It was found that high cost, the difficulty of assessing the impacts to the environment and the lack of management tools were the main barriers to reducing the impacts of Malaysia's dredging for most stakeholders. In addition, a set of questionnaire were distributed through an online survey. Fifty participants including marine ecologists, registered chemists, professional and chartered engineers, environmental consultants, university professors and environmental analysts responded. Analysis of the results suggests that an efficient environmental management tools and systems in practice would be necessary to strengthen the environmental legislation for dredging in Malaysia. A Driving force-Pressure-State-Impact-Response (DPSIR) Framework proposed for use by the Malaysia's dredging industry is presented. Based on this framework, the possibility of using Integrated Environmental Management (IEM) as a decision support tool is discussed.</t>
  </si>
  <si>
    <t>Voulvoulis, Nikolaos/C-9246-2012; Manap, Norpadzlihatun/J-7789-2017</t>
  </si>
  <si>
    <t>Voulvoulis, Nikolaos/0000-0001-9703-3703; Manap, Norpadzlihatun/0000-0001-5212-5321</t>
  </si>
  <si>
    <t>1459-0255</t>
  </si>
  <si>
    <t>1459-0263</t>
  </si>
  <si>
    <t>WOS:000300924300085</t>
  </si>
  <si>
    <t>Weitkamp, E; Longhurst, J</t>
  </si>
  <si>
    <t>Weitkamp, Emma; Longhurst, James</t>
  </si>
  <si>
    <t>Mediating consultation: insights from private sector consultants involved in air quality consultations</t>
  </si>
  <si>
    <t>JOURNAL OF ENVIRONMENTAL PLANNING AND MANAGEMENT</t>
  </si>
  <si>
    <t>Environmental consultants act as intermediaries between clients (public and private sector) and stakeholders (both statutory and non-statutory), presenting information and arguments on behalf of clients to stakeholders and gathering stakeholders' views. This research explores environmental consultants' perceptions of the processes of consultation about air quality issues with a view to analysing their role in the process and the tensions they face. The study used a mixed-methods approach: a survey of 150 environmental consultants, two focus groups and three in-depth semi-structured interviews. The results show that consultants are conservative in their choice of consultation methods, choosing approaches that minimise the risk to clients' desired outcomes. Resource and time constraints further limit the scope of many consultations. Consultants typically make little effort to evaluate the consultation process, relying on outcome measures (such as a successful planning application) and process measures (numbers attending meetings) rather than considering the outcome in relation to participants. However, environmental consultants were aware of issues such as raising the expectations of participants and the need to be transparent about the extent to which participants can influence decisions. Given the widespread use of environmental consultants to manage the consultation process, the research raises questions about the purpose of consultation (is it to improve outcomes, to comply with regulations or to build consensus?).</t>
  </si>
  <si>
    <t>Longhurst, James W S/M-9025-2018</t>
  </si>
  <si>
    <t>0964-0568</t>
  </si>
  <si>
    <t>10.1080/09640568.2011.583064</t>
  </si>
  <si>
    <t>WOS:000302021600007</t>
  </si>
  <si>
    <t>Dakwale, VA; Ralegaonkar, RV; Mandavgane, S</t>
  </si>
  <si>
    <t>Dakwale, Vaidehi A.; Ralegaonkar, Rahul V.; Mandavgane, Sachin</t>
  </si>
  <si>
    <t>Improving environmental performance of building through increased energy efficiency: A review</t>
  </si>
  <si>
    <t>Buildings are major consumers of energy throughout their life cycle. Generation of energy primarily depends on conventional sources, which is the basic cause of environmental pollution. To improve environmental performance of building it is essential to involve all parameters which control its energy efficiency. Present paper identifies various parameters, viz. regulatory and voluntary policies, rating systems to assess energy efficiency, selection of energy efficient processes and materials through life cycle analysis and simulation and shifting to low embodied energy materials. A close control over each stage of development of a building is essential in the process of improvement in energy efficiency and reduction in carbon emission. In the following review construction of a building is divided in planning phase, designing phase, execution phase and operating phase. Policy makers, architects, structural designers, energy managers, construction managers and consultants must be involved in the development of a building for improving its overall environmental performance. (C) 2011 Elsevier B.V. All rights reserved.</t>
  </si>
  <si>
    <t>10.1016/j.scs.2011.07.007</t>
  </si>
  <si>
    <t>WOS:000209553500003</t>
  </si>
  <si>
    <t>Henderson, KE; Grode, GM; Middleton, AE; Kenney, EL; Falbe, J; Schwartz, MB</t>
  </si>
  <si>
    <t>Henderson, Kathryn E.; Grode, Gabrielle M.; Middleton, Ann E.; Kenney, Erica L.; Falbe, Jennifer; Schwartz, Marlene B.</t>
  </si>
  <si>
    <t>Validity of a Measure to Assess the Child-Care Nutrition and Physical Activity Environment</t>
  </si>
  <si>
    <t>JOURNAL OF THE AMERICAN DIETETIC ASSOCIATION</t>
  </si>
  <si>
    <t>Background Licensed child-care centers represent an opportunity to positively influence children's health behaviors. Valid and easy-to-use measures of the child-care environment are needed to assess the influence of environmental change on health. Objective To develop and validate a self-administered survey to assess the nutrition and physical activity environment of child-care centers, and to identify domains that may be evaluated adequately through self-report. Design A survey was developed to assess four areas related to nutrition and physical activity: center policies, practices related to the social environment, physical environment, and nutrition quality. Development involved review of the literature, existing measures, and regulations/standards as well as collaboration with a working group. The survey was pilot tested and feedback was sought from expert consultants. It was administered statewide and validated against a menu rating tool, interviews with a center director, and a direct observation tool that was developed for this study. Participants/setting Participating sites were drawn from Child and Adult Care Food Program-participating licensed Connecticut child-care centers serving 13 or more children aged 3 to 5 years. Survey responses from 146 center directors were included, as were 62 center menus, and director interviews and observational data from 33 sites. Primary outcomes/statistical analyses Criterion validity of the survey was assessed through percent agreement with mirroring items in the additional measures. Healthy and unhealthy food scores were calculated for menu and survey tools, and Pearson correlations were computed. Results Percent agreement with criterion outcomes ranged from 39% to 97%, with 61% of items achieving agreement &gt;= 80%. Agreement was highest for nutrition and policy domains, and lowest for physical activity and barriers to promoting health. Correlations between food scores across measures were moderate. Conclusions The self-report survey demonstrated adequate criterion validity. We make recommendations for improving validity of low-agreement items and for the use of more labor-intensive evaluation procedures for domains not adequately assessed through self-report. J Am Diet Assoc. 2011;111:1306-1313.</t>
  </si>
  <si>
    <t>0002-8223</t>
  </si>
  <si>
    <t>10.1016/j.jada.2011.06.011</t>
  </si>
  <si>
    <t>WOS:000294748700006</t>
  </si>
  <si>
    <t>Klein, H; Hill, MP; Zachariades, C; Zimmermann, HG</t>
  </si>
  <si>
    <t>Klein, H.; Hill, M. P.; Zachariades, C.; Zimmermann, H. G.</t>
  </si>
  <si>
    <t>Regulation and risk assessment for importations and releases of biological control agents against invasive alien plants in South Africa</t>
  </si>
  <si>
    <t>AFRICAN ENTOMOLOGY</t>
  </si>
  <si>
    <t>The importation and release of biological control agents against invasive alien plants in South Africa are subject to regulation by the Department of Agriculture, Forestry and Fisheries (DAFF), under its Agricultural Pests Act, and by the Department of Environmental Affairs, (DEA), initially under its Environment Conservation Act, subsequently under the National Environmental Management Act and eventually, as soon as the relevant regulations have been developed, under the National Environmental Management: Biodiversity Act. Peer review, both within South Africa, and with colleagues in other countries, has helped to ensure the integrity of the science and practice of weed biological control in South Africa. This paper traces the development of the regulatory system from the first weed biological control project in 1913, through a dispensation when importations and releases were authoriied by DAFF only to a dual regulatory system involving two government departments. Inappropriate legislation, lack of knowledge about biological control amongst the relevant authorities and the costs of employing compulsory private consultants are some of the reasons for significant delays that have become a feature in the authorization of biological control agent releases. These delays have set back several control programmes. Holding agents in quarantine while awaiting decisions ties up expensive space and staff time and increases the risk of losing colonies through accidents or decreased genetic vigour. It seems likely that changes in legislation within DEA will streamline the regulatory process in the near future.</t>
  </si>
  <si>
    <t>Hill, Martin/G-9423-2017; Klein, Hildegard/G-2801-2013</t>
  </si>
  <si>
    <t>Hill, Martin/0000-0003-0579-5298; Klein, Hildegard/0000-0003-0584-7529</t>
  </si>
  <si>
    <t>1021-3589</t>
  </si>
  <si>
    <t>10.4001/003.019.0215</t>
  </si>
  <si>
    <t>WOS:000296416500026</t>
  </si>
  <si>
    <t>Betsill, M; Pattberg, P; Dellas, E</t>
  </si>
  <si>
    <t>Betsill, Michele; Pattberg, Philipp; Dellas, Eleni</t>
  </si>
  <si>
    <t>Untitled</t>
  </si>
  <si>
    <t>This special issue addresses the analytical problem of agency in earth system governance, an analytical problem that begins with the assumption that the credibility, stability, adaptiveness, and inclusiveness of earth system governance is affected by a wide range of actors, including national governments and their bureaucracies as well as the growing population of non-state actors such as environmental organizations, expert networks, and corporations. The articles included in this special issue engage with questions of agency in earth system governance from several different theoretical perspectives, complemented by unique empirical cases and/or methodological approaches. Along the way, the authors confront some of the conceptual challenges associated with the study of agency and advance our understanding of this important governance challenge.</t>
  </si>
  <si>
    <t>Betsill, Michele/ABD-5548-2020; Pattberg, Philipp/J-4141-2012</t>
  </si>
  <si>
    <t>Betsill, Michele/0000-0001-7090-904X; Pattberg, Philipp/0000-0003-1136-7791</t>
  </si>
  <si>
    <t>10.1007/s10784-011-9146-x</t>
  </si>
  <si>
    <t>WOS:000293788900001</t>
  </si>
  <si>
    <t>Dellas, E; Pattberg, P; Betsill, M</t>
  </si>
  <si>
    <t>Dellas, Eleni; Pattberg, Philipp; Betsill, Michele</t>
  </si>
  <si>
    <t>Agency in earth system governance: refining a research agenda</t>
  </si>
  <si>
    <t>In the face of global environmental change, a key question for the social sciences is how to organize the co-evolution of societies and their natural environment. In this context, a new long-term research program, the Earth System Governance Project, proposes several key issues to be examined: architecture, agency, adaptiveness, accountability, and allocation and access. The contributions to this special issue have focused on the analytical problem of agency. For example, they have examined newly emerging or understudied agents of global environmental governance, or offered a fresh assessment of agency in the context of existing governance mechanisms such as the Clean Development Mechanism. This concluding article outlines several insights provided by the contributions to this special issue regarding four key questions underlying the study of agency in global environmental governance. First, they call attention to the ingredients or processes that characterize agency in the first place and thus distinguish actors from agents. Secondly, the authors highlight the differences among agents and how they interact with each other. Thirdly, they point toward variation in the ways that agents may acquire authority. Finally, the contributions to this special issue suggest that there may be several approaches to evaluating agency, with different consequences. Thus, taken together, the contributions to this special issue provide a starting point for broadening our understanding of agency in earth system governance.</t>
  </si>
  <si>
    <t>10.1007/s10784-011-9147-9</t>
  </si>
  <si>
    <t>WOS:000293788900006</t>
  </si>
  <si>
    <t>Melnikas, B</t>
  </si>
  <si>
    <t>Melnikas, Borisas</t>
  </si>
  <si>
    <t>Knowledge Economy: Synergy Effects, Interinstitutional Interaction and Internationalization Processes</t>
  </si>
  <si>
    <t>Various aspects of the synergy effects, the new tendencies of the processes of creating knowledge based society and the knowledge economy, as well as institutional interaction and the processes of internationalization of scientific and technological progress are described in the article. The main idea is that the creation and development processes of the knowledge based society and knowledge economy may be attributed to the category of synergy effects oriented processes, therefore, all general phenomena and characteristics of synergy effects oriented processes in general, are absolutely typical for the creation and development of the knowledge based society and knowledge economy. The institutional interaction and the processes of the internationalization of scientific and technological progress could be described as the typical synergy effects oriented processes. The institutional interaction and the processes of the internationalization of the scientific and technological progress analyzed in the general context of the creating of knowledge based society and knowledge economy. The new definitions of the knowledge based society and knowledge economy are described. The main principles of creating the knowledge based society and knowledge economy are presented. Creating and modernization of the knowledge based society and knowledge economy are very complicated processes, oriented to the formation of the new quality of society and qualitatively new lifestyle, these processes may be described as twice as complicated, because they win distinction by orientations to the pursuit of new quality in two aspects: - the knowledge based society and knowledge economy, compared to traditional society and economy, are in all cases described as qualitatively new; - creating and development of the knowledge based society and knowledge economy takes place under the conditions of the global changes, which means that qualitative changes take place in all global space, the essence of those changes is the creation and spread of the knowledge based society and knowledge economy. A special attention is given to the conclusion that in the environment of the knowledge based society creation and generating knowledge economy and development, the provisions for effective institutional interaction and for complex cultural, mental, social, economic and technological interaction in the context of internationalization processes The following general conclusions are made: - the processes of creating knowledge based society and generating knowledge economy and its further development should be understood as the undivided unity; - the processes of creating knowledge based society and generating knowledge economy and its further development should be perceived as relevant to all spheres of life - meaning social, economic and political life, culture, advancement of science and technologies, interaction with nature in general and environment in particular; - the processes of creating knowledge based society and generating knowledge economy and its further development should be comprehended as the ones providing economic preconditions for the modernization of the society and refinement of its life in accordance with the standards, norms and values of knowledge based society; - the processes of creating knowledge based society and knowledge economy and further development should be interpreted as a multi-dimensional and extremely complex and uninterrupted process which manifests itself in cyclical changes and leaps towards higher quality standards; - the complex approach towards knowledge based society and knowledge economy creation and further development should be implemented in all stages of scientific research, studies and practical activities, including the prioritizing various programmes on multi-and cross-disciplinary research and studies, as well as strategic solutions of the complex character in various stages of regional development, planning and designing of economic and technological leaps. - the processes of creating knowledge based society and knowledge economy and further development should be analyzed and assessed in the context of the priorities of synergy effects oriented processes, including - processes of institutional interaction and internationalization of the scientific and technological progress. This article provides exhaustive exploration of the possibilities to improve the institutional interaction, including - interoperability among different systems operating in the overall scientific and technological progress, in addition, it discloses principles of mutual interoperability among the organizations operating in scientific research, training, studies, consultancy and business development and other entities, as well as trends for the development are highlighted here. The main focus is put on the internationalization processes and state policies in science and technology. The processes of creating knowledge based society and knowledge economy and further development should be analyzed and assessed in the context of processes of globalization and internationalization, as well as processes of global transformations.</t>
  </si>
  <si>
    <t>10.5755/j01.ee.22.4.712</t>
  </si>
  <si>
    <t>WOS:000300570000004</t>
  </si>
  <si>
    <t>Rudel, TK; O'Neill, K; Gottlieb, P; McDermott, M; Hatfield, C</t>
  </si>
  <si>
    <t>Rudel, Thomas K.; O'Neill, Karen; Gottlieb, Paul; McDermott, Melanie; Hatfield, Colleen</t>
  </si>
  <si>
    <t>From Middle to Upper Class Sprawl? Land Use Controls and Changing Patterns of Real Estate Development in Northern New Jersey</t>
  </si>
  <si>
    <t>ANNALS OF THE ASSOCIATION OF AMERICAN GEOGRAPHERS</t>
  </si>
  <si>
    <t>During the past twenty-five years the land use controls that shape residential real estate development in the United States have changed in potentially significant ways. From the 1950s to the 1980s, land use laws promoted middle-class sprawl by reserving extensive tracts of land for the construction of moderately priced, single-family homes on lots of less than one acre. More recently, suburbs have adopted land use controls that promote upper class sprawl by reserving large areas for the construction of small numbers of expensive homes on spacious lots. This regulatory shift can be explained in several ways: a homevoter hypothesis that derives the new controls from the economic interests of suburban homeowners and a regional spillover hypothesis that attributes the adoption of new controls to desires by planning commissioners, consultants, and nongovernmental organizations to do as other communities are doing. We assess these explanations through a case study of changing land use controls in the suburban New Jersey Highlands west of New York City. Between 1975 and 2002 the region saw large increases in preserved open space, a doubling of the required minimum lot area for houses, increases in the real price of housing, declines in the number of newly constructed homes, and a shift in residential real estate development toward the urban core. Multivariate analyses of the changes in land use controls support the regional spillover hypothesis. The implications of this dynamic for conservation policies, environmental injustices, and greenhouse gas emissions are briefly explored.</t>
  </si>
  <si>
    <t>O'Neill, Karen/0000-0003-1946-6903</t>
  </si>
  <si>
    <t>0004-5608</t>
  </si>
  <si>
    <t>1467-8306</t>
  </si>
  <si>
    <t>PII 935710123</t>
  </si>
  <si>
    <t>10.1080/00045608.2011.560062</t>
  </si>
  <si>
    <t>WOS:000290034200008</t>
  </si>
  <si>
    <t>Stefanescu, SL; Steriu, S; Dumitrascu, M</t>
  </si>
  <si>
    <t>Stefanescu, Sorin Liviu; Steriu, Simona; Dumitrascu, Monica</t>
  </si>
  <si>
    <t>TRAINING CENTERS NETWORK FOR AGRICULTURAL ADVICE IN ROMANIA</t>
  </si>
  <si>
    <t>ROMANIAN AGRICULTURAL RESEARCH</t>
  </si>
  <si>
    <t>Looking to develop the national institutional capacity for implementing the new requirements and to improve the flow of information on EU standards related to production, a joint World Bank and Romanian Ministry of Agriculture and Rural Development Project successfully set up Training and Information Centers in the main regions in Romania, as knowledge resource bases for improvement and updating the professional capacity of the research, extension and food safety specialists. Positive effects at farmer level are expected to appear towards the end of the Project, due to receiving up-to date information/advice from the agricultural consultants, better technologies available from the research institutes and improved practices regarding food safety. A strategy document has been developed, aiming to back up the sustainable development of the Centers. The document recommended that the training programs should be addressed in the future also to other target groups. Training and Information Centers would continue to meet the training needs with further expected Governmental employed trainings, applications on EU funded projects as well as training to private sector on fee basis.</t>
  </si>
  <si>
    <t>1222-4227</t>
  </si>
  <si>
    <t>WOS:000297668900038</t>
  </si>
  <si>
    <t>Vladimirov, Z</t>
  </si>
  <si>
    <t>Vladimirov, Zhelyu</t>
  </si>
  <si>
    <t>Implementation of food safety management system in Bulgaria</t>
  </si>
  <si>
    <t>BRITISH FOOD JOURNAL</t>
  </si>
  <si>
    <t>Purpose - The purpose of this paper is to analyse the factors for the implementation of the efficient food quality and safety management system in the food industry and the food retail sector in Bulgaria. Design/methodology/approach - Through the standardised questionnaire 422 companies have been studied: 326 from four food sub sectors (meat, diary, fruit and vegetable cans, and bread products), and 96 food retailers. The fieldwork was accomplished in the period June-October 2007, the first year of the Bulgarian membership in the EU. Findings - The findings revealed that the main factors for the adoption of the efficient food safety and quality management system were related to the company's information capacity and the information environment; firm's belonging to food producers or retailers; overall company development; place of residence; expected benefits; improvement of the working conditions; customers satisfaction; capacity of consultants; frequency of inspections; size; and environment protection. This implementation is hindered by some infrastructural difficulties and perceived negative effects of the official control. Research limitations/implications - The research is limited only to four food sub sectors, and to a small sample of food retailers. Practical implications - Some recommendations were drawn, mainly concerning the improvement of the information environment and the creation of special politics on quality issues for small firms. Originality/value - This was a first attempt to investigate the food safety and quality problems in the food industry and food retail sectors in Bulgaria after the country membership in the EU.</t>
  </si>
  <si>
    <t>Vladimirov, Zhelyu Dechev/J-5895-2016</t>
  </si>
  <si>
    <t>Vladimirov, Zhelyu Dechev/0000-0002-0435-6827</t>
  </si>
  <si>
    <t>0007-070X</t>
  </si>
  <si>
    <t>1758-4108</t>
  </si>
  <si>
    <t>10.1108/00070701111097330</t>
  </si>
  <si>
    <t>WOS:000288614900004</t>
  </si>
  <si>
    <t>Ogundiran, TO; Adebamowo, CA</t>
  </si>
  <si>
    <t>Ogundiran, Temidayo O.; Adebamowo, Clement A.</t>
  </si>
  <si>
    <t>Surgeons' opinions and practice of informed consent in Nigeria</t>
  </si>
  <si>
    <t>JOURNAL OF MEDICAL ETHICS</t>
  </si>
  <si>
    <t>Background Informed consent is perhaps more relevant to surgical specialties than to other clinical disciplines. Fundamental to this concept is the provision of relevant information for the patient to make an informed choice about a surgical intervention. The opinions of surgeons in Nigeria about informed consent in their practice were surveyed. Methods A cross-sectional survey of surgeons in Nigeria was undertaken in 2004/5 using self-administered semistructured questionnaires. Results There were 102 respondents, 85.3% of whom were men and 58.8% were aged 31-40 years. 43.1% were consultants and 54.0% were surgical trainees. 27.4% were in surgical subspecialties, 26.5% in general surgery and 21.6% were obstetricians and gynaecologists. 54.9% agreed that sufficient information is not provided to patients while obtaining their consent for surgical procedures. They listed medicolegal reasons (70.6%), informing patients about benefits, risks and alternatives (64.7%) and hospital policy (50.0%) as some reasons for obtaining consent for surgical procedures. When patients decline to give consent for surgery, 84.3% of them thought that poor communication between surgeons and patients may be contributory. They identified taking a course in bioethics during surgical training and compulsory communication skills course as some ways to improve communication between surgeons and patients. Conclusion Most Nigerian surgeons seemed to have a good knowledge of the informed consent requirements and process but fall short in practice. There is a need to improve the surgeon-patient relationship in line with modern exigencies to provide interactive environments for fruitful patient communication and involvement.</t>
  </si>
  <si>
    <t>Adebamowo, Clement/C-8778-2011</t>
  </si>
  <si>
    <t>Adebamowo, Clement/0000-0002-6571-2880</t>
  </si>
  <si>
    <t>0306-6800</t>
  </si>
  <si>
    <t>10.1136/jme.2010.037440</t>
  </si>
  <si>
    <t>WOS:000285190000005</t>
  </si>
  <si>
    <t>Young, R; Noble, J; Mahon, A; Maxted, M; Grant, J; Sibbald, B</t>
  </si>
  <si>
    <t>Young, Ruth; Noble, Jenny; Mahon, Ann; Maxted, Mairead; Grant, Janet; Sibbald, Bonnie</t>
  </si>
  <si>
    <t>Evaluation of international recruitment of health professionals in England</t>
  </si>
  <si>
    <t>JOURNAL OF HEALTH SERVICES RESEARCH &amp; POLICY</t>
  </si>
  <si>
    <t>Objectives: To explore whether a period of intensive international recruitment by the English National Health Service (NHS) achieved its objectives of boosting workforce numbers and to set this against the wider costs, longer-term challenges and questions arising. Methods: A postal survey of all pre-2006 NHS providers, Strategic Health Authorities and Deans of Postgraduate Medical Education obtained information on 284 (45%) organizations (142 completed questionnaires). Eight subsequent case studies (74 interviews) covered medical consultant, general practitioner, nurse, midwife and allied health professional recruitment. Results: Most respondents had undertaken or facilitated international recruitment between 2001 and 2006 and believed that it had enabled them to address immediate staff shortages. Views on longer-term implications, such as recruit retention, were more equivocal. Most organizations had made only a limited value-for-money assessment, balancing direct expenditure on overseas recruitment against savings on temporary staff. Other short and long-term transaction and opportunity costs arose from pressures on existing staff, time spent on induction/pastoral support, and human resource management and workforce planning challenges. Though recognized, these extensive 'hidden costs' for NHS organizations were harder to assess as were the implications for source countries and migrant staff. Conclusions: The main achievement of the intensive international recruitment period from a UK viewpoint was that such a major undertaking was seen through without major disruption to NHS services. The wider costs and challenges meant, however, that large-scale international recruitment was not sustainable as a solution to workforce shortages. Should such approaches be attempted in future, a clearer upfront appraisal of all the potential costs and implications will be vital. Journal of Health Services Research &amp; Policy Vol 15 No 4, 2010: 195-203 (C) The Royal Society of Medicine Press Ltd 2010</t>
  </si>
  <si>
    <t>1355-8196</t>
  </si>
  <si>
    <t>1758-1060</t>
  </si>
  <si>
    <t>10.1258/jhsrp.2010.009068</t>
  </si>
  <si>
    <t>WOS:000283755900002</t>
  </si>
  <si>
    <t>Meyer, JL; Frumhoff, PC; Hamburg, SP; de la Rosa, C</t>
  </si>
  <si>
    <t>Meyer, Judy L.; Frumhoff, Peter C.; Hamburg, Steven P.; de la Rosa, Carlos</t>
  </si>
  <si>
    <t>Above the din but in the fray: environmental scientists as effective advocates</t>
  </si>
  <si>
    <t>FRONTIERS IN ECOLOGY AND THE ENVIRONMENT</t>
  </si>
  <si>
    <t>Environmental policies and actions can be improved when environmental scientists engage in science-based advocacy, by calling attention to relevant scientific information and ensuring that policies and their implementation are consistent with the best available science. There are many models for scientist-advocates within and outside of advocacy organizations, and the roles they play may vary, depending on career stage. Here, we discuss the challenges and rewards for scientific staff in science-based advocacy organizations, as well as for an academic working with an advocacy organization, as a consultant, collaborator, or member of an advisory board. We identify some best practices for science-based advocacy and encourage the environmental science community to recognize the importance of the scientist-advocate's role in strengthening environmental policy.</t>
  </si>
  <si>
    <t>1540-9295</t>
  </si>
  <si>
    <t>1540-9309</t>
  </si>
  <si>
    <t>10.1890/090143</t>
  </si>
  <si>
    <t>WOS:000280871100004</t>
  </si>
  <si>
    <t>Frankenberg, G</t>
  </si>
  <si>
    <t>Frankenberg, Guenter</t>
  </si>
  <si>
    <t>Constitutional transfer: The IKEA theory revisited</t>
  </si>
  <si>
    <t>ICON-INTERNATIONAL JOURNAL OF CONSTITUTIONAL LAW</t>
  </si>
  <si>
    <t>Text books and articles on comparative constitutional law, regardless of their focus or methodological orientation, suggest that constitutions all over the world, at least most of them, come in the form of a single written document that deals with rights and principles, values and duties, organizational provisions, and one or the other type of judicial review. One might infer that most constitutional items that are part and parcel of the theoretical study and practices of constitution making have been standardized; they appear to circulate like marketable goods among the participants of the transnational disciplinary discourse and framers-the constitutional elites, experts, and consultants. One may assume, therefore, that constitutions, though always entangled in a specific local context and informed by its particular political and socioeconomic power constellations and historical traditions, have undergone a process of globalization. In this article I want to discuss how such globalization of mindsets and texts comes about. Therefore, I reintroduce the IKEA theory so as to reconstruct how constitutional ideas and norms, institutions and arguments, are transferred from local contexts to what I call the global constitution and from there to a host environment. The concept of constitutional transfer requires a brief discussion of the (im) possibility of legal transplants and of the risks and side-effects of such transfer.</t>
  </si>
  <si>
    <t>1474-2640</t>
  </si>
  <si>
    <t>1474-2659</t>
  </si>
  <si>
    <t>10.1093/icon/moq023</t>
  </si>
  <si>
    <t>WOS:000289732400017</t>
  </si>
  <si>
    <t>Heinrich, AB</t>
  </si>
  <si>
    <t>Heinrich, Almut Beate</t>
  </si>
  <si>
    <t>International reference life cycle data system handbook</t>
  </si>
  <si>
    <t>To achieve more sustainable production and consumption patterns, it is mandatory to consider the environmental implications of the whole supply chain of products, both goods and services, their use and waste management, i.e. their entire life cycle from cradle to grave. The International Reference Life Cycle Data System (ILCD) Handbook provides governments and businesses with a basis for assuring quality and consistency of life cycle data, methods and assessments.</t>
  </si>
  <si>
    <t>10.1007/s11367-010-0183-4</t>
  </si>
  <si>
    <t>WOS:000278898800010</t>
  </si>
  <si>
    <t>Palm, J</t>
  </si>
  <si>
    <t>Palm, Jenny</t>
  </si>
  <si>
    <t>The public-private divide in household behavior: How far into home can energy guidance reach?</t>
  </si>
  <si>
    <t>Environmental problems in the energy system often originate from everyday activities and choices. Everyday activities in the home are part of the private sphere that can be contested in relation to energy policies. This article discusses the public-private divide in energy policies and how Swedish municipal energy consultants understand the divide. By analyzing the actions of energy consultants and their efforts to influence households, as well as how households perceive this guidance, I will discuss the public-private discourse in relation to energy policy and how this discourse can be a restriction for the energy consultants to reach their full potential. The consultants found it problematic to discuss behavioral issues because they did not know how to relate to people's everyday life activities without intruding on private and personal matters. For the households tailored information and feedback was not perceived as the consultant trespassing in the private sphere. Instead, the householders highlight the possibilities of such mapping. Lessoned learned from Sweden is that state subsidies to local energy consultants is a good way to reach households, but that they need to develop their methods and use more tailored information. (C) 2010 Elsevier Ltd. All rights reserved.</t>
  </si>
  <si>
    <t>Palm, Jenny/F-2411-2014</t>
  </si>
  <si>
    <t>Palm, Jenny/0000-0001-7694-7397</t>
  </si>
  <si>
    <t>10.1016/j.enpol.2010.01.018</t>
  </si>
  <si>
    <t>WOS:000278055700036</t>
  </si>
  <si>
    <t>Chuang-Stein, C; Bain, R; Branson, M; Burton, C; Hoseyni, C; Rockhold, F; Ruberg, S; Zhang, J</t>
  </si>
  <si>
    <t>Chuang-Stein, Christy; Bain, Ray; Branson, Michael; Burton, Catherine; Hoseyni, Cyrus; Rockhold, Frank; Ruberg, Stephen; Zhang, Ji</t>
  </si>
  <si>
    <t>Statisticians in the Pharmaceutical Industry: The 21st Century</t>
  </si>
  <si>
    <t>STATISTICS IN BIOPHARMACEUTICAL RESEARCH</t>
  </si>
  <si>
    <t>Pharmaceutical statisticians have come a long way during the past 50 years in supporting product discovery, development, manufacturing, and commercialization. Statisticians are either equal partners or are consultants in all areas of pharmaceutical research and development. While statistics is enjoying a greater role in the current environment, our industry is facing unprecedented challenges. The number of approved new molecular entities has decreased in recent years. The public is expecting medicines that are more effective and have fewer side effects. Many of our customers are demanding greater data disclosure, greater transparency, and higher standards of evidence. At the same time, public trust in our industry and regulators is at its lowest point since the 1970s. To face this unfavorable external environment and to take advantage of the rapidly emerging information to drive innovations, many companies have joined forces to form collaborative partnerships. The collaborations cover not only scientific pursuits, but also operational efficiency. In this article, we discuss the changing landscape of the 21st century. More importantly, we discuss what statisticians should do to rise to the challenges and take advantage of the opportunities in an environment where openness is a major consideration that will govern many public and private decisions.</t>
  </si>
  <si>
    <t>Rockhold, Frank W./C-7078-2019</t>
  </si>
  <si>
    <t>Rockhold, Frank W./0000-0003-3732-4765</t>
  </si>
  <si>
    <t>1946-6315</t>
  </si>
  <si>
    <t>10.1198/sbr.2009.0036</t>
  </si>
  <si>
    <t>WOS:000292680300002</t>
  </si>
  <si>
    <t>Pandit, JJ</t>
  </si>
  <si>
    <t>Pandit, Jaideep J.</t>
  </si>
  <si>
    <t>Future opportunities and challenges in academic anesthesia in the United Kingdom: a model for maintaining the scientific edge</t>
  </si>
  <si>
    <t>CURRENT OPINION IN ANESTHESIOLOGY</t>
  </si>
  <si>
    <t>Purpose of review This review outlines the methodology of a major report into academic strategy recently undertaken by the Royal College of Anaesthetists in the United Kingdom. Analyzing the factors that made the report's conclusions robust and workable provides lessons for other countries or healthcare systems faced with similar problems in academic anesthesia. Recent findings The main themes covered by this review include: organization of healthcare and university systems, medical postgraduate training, and funding of research. In the UK, there exists a dual process: clinical service delivery and postgraduate clinical training [which are both the province of the National Health Service (NHS)], and research and undergraduate education (which are both the province of universities). Both NHS and universities are sponsored by the UK government. 'Professors' or 'heads of academic department' in the UK have no automatic responsibility over the activities of the majority of anesthetic consultants in their own hospitals. Anesthesia in the UK has never been a specific unit of assessment in the research granting process, such that anesthetic departments have received little external grant support compared with many other departments such as medicine or cardiology. As a result, anesthetic departments across the UK have either become entrenched as small departments or they have vanished through mergers. Summary The review's main conclusions are: the creation of a central National Institute for Academic Anaesthesia to coordinate and implement academic strategy and funding; engaging with national pathways for the training of future academics; and suggestions for the future role for anesthetic specialist societies in academic strategy. These initiatives can radically transform the research environment in a positive way.</t>
  </si>
  <si>
    <t>0952-7907</t>
  </si>
  <si>
    <t>10.1097/ACO.0b013e328335db74</t>
  </si>
  <si>
    <t>WOS:000275817300007</t>
  </si>
  <si>
    <t>Adams, S; Stojkovic, SG; Leveson, SH</t>
  </si>
  <si>
    <t>Adams, Simon; Stojkovic, Stevan G.; Leveson, Stephen H.</t>
  </si>
  <si>
    <t>Needlestick injuries during surgical procedures: a multidisciplinary online study</t>
  </si>
  <si>
    <t>OCCUPATIONAL MEDICINE-OXFORD</t>
  </si>
  <si>
    <t>Aims To identify who sustains such injuries, under what circumstances and what actions are taken to minimize the risk and in response to intraoperative needlestick injuries. Methods A questionnaire was submitted via e-mail to all staff in a National Health Service trust who took part in operations. The results were checked against occupational health department (OHD) records. Results One hundred and thirty-six of 255 appropriate responders completed the questionnaire (53%). Fifteen of 31 consultants (48%), 12/36 junior doctors (33%), 0/39 midwives (0%) and 8/30 theatre staff (27%) reported having had at least one intraoperative needlestick injury over the past year. Awareness of local protocols was significantly worse in the junior doctor group. Ninety-three percent of consultants, 67% of junior doctors and 13% of theatre staff did not comply with local protocols. The length of time it takes to do so (48%) and a perceived low infection risk of the patient (78%) were the commonest reasons for this. Hand dominance, role during surgery and double gloving were not significant risk factors; however, rare use of a no-touch technique was. Comparison with OHD records suggested that a maximum of 16% of intraoperative needlestick injuries were dealt with in accordance to local policy. Conclusions Non-compliance with needlestick injury protocols is commonest among senior surgical staff. A revision of the protocol to reduce the time it takes to complete it may improve compliance.</t>
  </si>
  <si>
    <t>0962-7480</t>
  </si>
  <si>
    <t>1471-8405</t>
  </si>
  <si>
    <t>10.1093/occmed/kqp175</t>
  </si>
  <si>
    <t>WOS:000274781100011</t>
  </si>
  <si>
    <t>Adam, K; Gibson, E; Lyle, A; Strong, J</t>
  </si>
  <si>
    <t>Adam, Kerry; Gibson, Elizabeth; Lyle, Alexandra; Strong, Jenny</t>
  </si>
  <si>
    <t>Development of roles for occupational therapists and physiotherapists in work related practice: An Australian perspective</t>
  </si>
  <si>
    <t>WORK-A JOURNAL OF PREVENTION ASSESSMENT &amp; REHABILITATION</t>
  </si>
  <si>
    <t>Objective: This paper will explore the development of occupational therapists' and physiotherapists' roles in work related practice from an early focus on rehabilitation of injured workers, to one including prevention and health promotion. Methods: A review of international evidence identified the roles, tasks and employment paths for occupational therapists and physiotherapists in work related practice. The relationship between government regulation and therapists' access to the workplace was also examined. Results: Occupational therapists and physiotherapists hold valued positions in work related professional practice. Whilst initially their roles were based on injury management through occupational rehabilitation, both professions have demonstrated a clear vision of the importance of prevention of work related injury and disease. Social and workplace changes in the late 1970s in a number of western countries, commencing with the Robens' reforms in the United Kingdom, led to improved legislation and regulation for managing occupational health and safety. Conclusions: The approach of both disciplines to practice in this field reflects their individual professional education. However, some role overlaps exists in consultancy activities in the industrial environment. Implementation of modern OHS regulatory programs in other western countries, including Australia, has increased and broadened the opportunities for therapists, as governments, employers and insurers support early intervention to minimise the impact of workplace injuries and diseases.</t>
  </si>
  <si>
    <t>Strong, Jenny/F-1211-2010</t>
  </si>
  <si>
    <t>Strong, Jenny/0000-0002-9367-8755; Gibson, Elizabeth/0000-0001-7154-6439</t>
  </si>
  <si>
    <t>1051-9815</t>
  </si>
  <si>
    <t>1875-9270</t>
  </si>
  <si>
    <t>10.3233/WOR-2010-1028</t>
  </si>
  <si>
    <t>WOS:000280557400002</t>
  </si>
  <si>
    <t>Jooss, R; Geissler-Strobel, S; Trautner, J; Hermann, G; Kaule, G</t>
  </si>
  <si>
    <t>Jooss, Ruediger; Geissler-Strobel, Sabine; Trautner, Juergen; Hermann, Gabriel; Kaule, Giselher</t>
  </si>
  <si>
    <t>'Conservation responsibilities' of municipalities for target species Prioritizing conservation by assigning responsibilities to municipalities in Baden-Wuerttemberg, Germany</t>
  </si>
  <si>
    <t>LANDSCAPE AND URBAN PLANNING</t>
  </si>
  <si>
    <t>In the state of Baden-Wuerttemberg, Germany, an approach has been developed to identify areas of high priority for the conservation of fauna target species. it produces a spatial refinement of the governmental Target Species Concept leading to an assignment of 'conservation responsibilities' to the state's 1112 municipalities. The results are integrated in the 'Information System Target Species Concept Baden-Wuerttemberg', a web-based planning tool designed for the environmental administration and consultants. The developed approach consists of the following steps: (1) grouping of fauna target species into 25 habitat groups, (2) deriving potential habitats for these groups through knowledge-based habitat models, (3)delineating Potential Habitat Networks, (4) selecting priority areas using the indicators 'patch-size' and 'patch-connectivity', and (5) assigning 'conservation responsibilities' to those municipalities covering priority areas or parts of them. For the implementation of the indicator 'patch-connectivity' a new GIS-based method has been developed to delineate 'Potential Habitat Networks'. The approach was validated for several habitat-types using zoological field data. The analyses covered (1) the validity of the habitat models, (2) the suitability of the indicators to select priority areas, and (3) the spatial correspondence of municipalities with 'conservation responsibilities' and zoological 'biodiversity hotspots'. The results show an overall high plausibility which supports the consistency of the developed approach. Focussing conservation strategies on the derived priorities is considered a promising approach for a more efficient and standardized protection of biodiversity. (C) 2009 Elsevier B.V. All rights reserved.</t>
  </si>
  <si>
    <t>0169-2046</t>
  </si>
  <si>
    <t>1872-6062</t>
  </si>
  <si>
    <t>10.1016/j.landurbplan.2009.07.009</t>
  </si>
  <si>
    <t>WOS:000272370600008</t>
  </si>
  <si>
    <t>Weddle, PW; Welter, SC; Thomson, D</t>
  </si>
  <si>
    <t>Weddle, Patrick W.; Welter, Stephen C.; Thomson, Don</t>
  </si>
  <si>
    <t>History of IPM in California pears-50 years of pesticide use and the transition to biologically intensive IPM</t>
  </si>
  <si>
    <t>PEST MANAGEMENT SCIENCE</t>
  </si>
  <si>
    <t>During the 1960s, the California pear industry, on a per acre basis, was among the heaviest users of pesticides. Each season, multiple sprays of up to 14 active ingredients (chlorinated hydrocarbons, organophosphates and carbamates) were typically applied for control of insects and mites. The cost of control escalated while damage from arthropod pests increased owing to greater pest resistance and more pest resurgence. The pear industry suffered classic symptoms of the 'pesticide treadmill'. By the late 1960s, key pear industry leaders demanded action. Simultaneously, newly emerging concepts of IPM were being developed and funded. With public awareness and environmental activism on the rise in the wake of Rachel Carson's Silent Spring, the stage was set for change. This paper elucidates how pear growers, university researchers and extension agents, environmentalists, government regulators, private consultants, farm chemical suppliers and others contributed to the reduction in insecticide use in California pear orchards. Today, arthropod IPM in pears is characterized as relatively low input, biologically intensive and very successful. For example, in 2008 many pear growers only applied between three and five active ingredients (mainly organically certified) per season for control of arthropods. (C) 2009 Society of Chemical Industry</t>
  </si>
  <si>
    <t>1526-498X</t>
  </si>
  <si>
    <t>10.1002/ps.1865</t>
  </si>
  <si>
    <t>WOS:000271991200004</t>
  </si>
  <si>
    <t>Berner, F; Leisering, L; Buhr, P</t>
  </si>
  <si>
    <t>Berner, Frank; Leisering, Lutz; Buhr, Petra</t>
  </si>
  <si>
    <t>Inside a welfare market</t>
  </si>
  <si>
    <t>KOLNER ZEITSCHRIFT FUR SOZIOLOGIE UND SOZIALPSYCHOLOGIE</t>
  </si>
  <si>
    <t>The 2001 pension reform act (Riester reform) has recast old-age security in Germany by placing more emphasis on private provisions. The new policy draws on markets and competitive structures in social welfare, as done earlier in long-term care and in public utilities. In the social welfare sector in Germany, such privatisation mostly goes hand in hand with a far-reaching social regulation of markets. Old-age pensions are the most recent case in point. For the first time, financial markets figure as welfare markets. This is done in the politically most sensitive sector of the German welfare state, old-age security. In theoretical terms, we interpret the change as a structural transformation of German social capitalism. Empirically, we investigate the structure of the new welfare market and the attitudes of the providers, based on a survey of all providers of private pensions in Germany. The findings include: (1) Markets can produce the welfare good income security in old-age only by way of a complex arrangement of three markets - financial markets, pension markets and markets for financial consultancy services. (2) The pension reform of 2001 has given rise to a new welfare market: an old-age pension market as a distinct sub sector of the wider market for financial investment and saving. The pension market constitutes a new field of business, with new actors, new products and new arenas of competition. The new market is created and shaped by politics. (3) The new private pension market combines market principles with welfare state principles. The providers conceive of their business as contributing to social security, and they recognise that the state sustains and structures the market.</t>
  </si>
  <si>
    <t>0023-2653</t>
  </si>
  <si>
    <t>1861-891X</t>
  </si>
  <si>
    <t>10.1007/s11577-009-0042-0</t>
  </si>
  <si>
    <t>WOS:000265834300003</t>
  </si>
  <si>
    <t>Brown, RV</t>
  </si>
  <si>
    <t>Brown, Rex V.</t>
  </si>
  <si>
    <t>Working with Policy Makers on Their Choices: A Decision Analyst Reminisces</t>
  </si>
  <si>
    <t>DECISION ANALYSIS</t>
  </si>
  <si>
    <t>As a decision consultant and researcher, I discuss 40 years of working with policy makers on energy, environmental and foreign policy, defense, and other national issues, making heavy use of applied decision theory. I focus attention on decisions with significant human interest-where clients have sought not only to improve their own decisions, but also to justify them and to influence the decisions of others. I reflect on political, administrative, legal, and personal considerations involved.</t>
  </si>
  <si>
    <t>1545-8490</t>
  </si>
  <si>
    <t>1545-8504</t>
  </si>
  <si>
    <t>10.1287/deca.1080.0134</t>
  </si>
  <si>
    <t>WOS:000269942700003</t>
  </si>
  <si>
    <t>Mottershead, R; Davidson, P</t>
  </si>
  <si>
    <t>Mottershead, R.; Davidson, P.</t>
  </si>
  <si>
    <t>THE YANNARIE SOLAR PROJECT: DESIGN OF A SOLAR SALTFIELD IN WESTERN AUSTRALIA TO SAFEGUARD THE NATURAL ENVIRONMENT</t>
  </si>
  <si>
    <t>GLOBAL NEST JOURNAL</t>
  </si>
  <si>
    <t>The Northwest Coast of Western Australia is the location for a number of large solar saltfields. More than 10 million tonnes of high grade solar salt is exported annually from these saltfields; predominantly servicing the chloralkali industries of Northern and Southeast Asia. Straits Resources Limited is a mining company with operations in Australia and Indonesia. It has identified the solar salt industry as an opportunity to diversify its resource portfolio and build a longer-term position within the resource sector. Access has been approved by the Government of Western Australia to a large area in the eastern Exmouth Gulf region of Western Australia suitable for a solar saltfield with an ultimate capacity as high as 10 million tonnes per annum. All new resources projects in Australia must proceed through a rigorous environmental approval process at both the Federal (Commonwealth) and State Government levels. Straits commissioned a team of saltfield design, environmental and engineering consultants to design an economically viable saltfield that minimises impacts to the environment. There has been a series of iterative changes in its design based on feedback from environmental and cultural heritage studies. This has enabled the saltfield to be specifically located within a defined footprint to avoid sensitive areas such as mangroves, tidal creeks and algal mats. Comprehensive studies have been undertaken on the local marine and terrestrial flora and fauna (including migratory bird and marine fauna), together with surveys for cultural heritage, soils, hydrology and a sweep of other parameters including hydrodynamic modelling of the marine environment. A commercial trawling fishing industry operates in the waters of Exmouth Gulf that is also the permanent home or on the migratory path of a number of significant marine fauna, including whales, turtles, and dugongs. The project, known as the Yannarie Solar Project, is progressing through the environmental approval processes of the Australian Commonwealth and Western Australian Governments. The conclusion is that the technical findings of the suite of studies that examined the environmental aspects of the engineering requirements of the saltfield provide a sound basis for project approval. Assuming that approval is given, and the current schedule maintained, construction would commence in 2008 and shipments of salt in 2011.</t>
  </si>
  <si>
    <t>1790-7632</t>
  </si>
  <si>
    <t>WOS:000264461100002</t>
  </si>
  <si>
    <t>Briggs, BDJ; Hill, DA; Gillespie, R</t>
  </si>
  <si>
    <t>Briggs, Brian D. J.; Hill, David A.; Gillespie, Robert</t>
  </si>
  <si>
    <t>Habitat banking-how it could work in the UK</t>
  </si>
  <si>
    <t>JOURNAL FOR NATURE CONSERVATION</t>
  </si>
  <si>
    <t>The UK has until very recently been through a phase of significant development, in particular for housing and transport networks, but currently compensation for ecological impacts is often carried out poorly, if at all. Over the last 15 years support for habitat banking in environmental policy has grown rapidly, defined as the restoration, creation or enhancement of habitats for the purpose of providing similar resources through compensation for development impacts. It is an incredibly flexible tool, as demonstrated by the wide variety of situations in which it is applied, and it has already brought disparate parties together, including landowners, biologists, consultants, planners, and developers. A common concern with the concept relates to the risk and uncertainty surrounding the restoration of habitat functions after the original habitat has been lost. Other concerns relate to the regulation of habitat banks, and the calculation of compensation requirements such as what should be the ratio of new habitat or resource created to environmental impact caused. We address these and other issues and propose two models for habitat banking in the UK, which could also be adapted for use elsewhere in Europe. We highlight numerous potential advantages for biodiversity, human welfare, and the economy, and argue that the most effective way to address doubts surrounding the habitat banking concept would be through one or a number of pilot projects, which need to be implemented now. (C) 2009 Elsevier GmbH. All rights reserved.</t>
  </si>
  <si>
    <t>1617-1381</t>
  </si>
  <si>
    <t>10.1016/j.jnc.2008.12.006</t>
  </si>
  <si>
    <t>WOS:000266683900005</t>
  </si>
  <si>
    <t>Colloredo-Mansfeld, R; Antrosio, J</t>
  </si>
  <si>
    <t>Colloredo-Mansfeld, Rudi; Antrosio, Jason</t>
  </si>
  <si>
    <t>ECONOMIC CLUSTERS OR CULTURAL COMMONS? THE LIMITS OF COMPETITION-DRIVEN DEVELOPMENT IN THE ECUADORIAN ANDES</t>
  </si>
  <si>
    <t>LATIN AMERICAN RESEARCH REVIEW</t>
  </si>
  <si>
    <t>We examine here two Ecuadorian towns and the state's efforts to support their development through competitiveness initiatives. Neoliberal, economic globalization is often equated with the insecurities of market competition. However, economic policy makers do not foment competition as much as competitive advantage. Whereas competition requires individual know-how, competitive advantage Often involves cooperating to improve the underlying factors that help whole groups of firms. In Ecuador, policies have sought to engineer competitive advantage by creating industrial clusters. In our study, the town of Atuntaqui embraced the idea of clusters, uniting firms to work with international consultants and the Ministry of Industry, The economy has improved, but wealth shows signs of consolidation. The comparative case is a mechanized indigenous craft economy in Otavalo. Exploring how Otavalo's development has generated a set of shared resources anchored in a market plaza, we argue that its economy is best understood as a cultural commons. The experiences of both places have shown that economic development must take explicit measures to defend such commons if the gains of strategic cooperation are to be sustained in the long run.</t>
  </si>
  <si>
    <t>Antrosio, Jason/0000-0002-2962-3485</t>
  </si>
  <si>
    <t>0023-8791</t>
  </si>
  <si>
    <t>1542-4278</t>
  </si>
  <si>
    <t>WOS:000263479800007</t>
  </si>
  <si>
    <t>Karlsson, T; Honig, B</t>
  </si>
  <si>
    <t>Karlsson, Tomas; Honig, Benson</t>
  </si>
  <si>
    <t>Judging a business by its cover: An institutional perspective on new ventures and the business plan</t>
  </si>
  <si>
    <t>Business plans are widely spread among new businesses, and they are supported by various universities, governmental assistance agencies, management consultants and a wide array of literature. Business plans are often taken for granted as highly useful tools that should be frequently updated and used. This study is based on data from six companies and their environments, over five years, using several forms of data collection such as interviews, observations, and archival data. In contrast to previous studies, we found that initial conformity to business plan norms gradually and without exception lead to loose coupling. Entrepreneurs who wrote business plans never updated or rarely referred to their plans after writing them. (C) 2007 Elsevier Inc. All rights reserved.</t>
  </si>
  <si>
    <t>1873-2003</t>
  </si>
  <si>
    <t>10.1016/j.jbusvent.2007.10.003</t>
  </si>
  <si>
    <t>WOS:000263200000003</t>
  </si>
  <si>
    <t>Li, CE; Vazquez-Nuttall, E</t>
  </si>
  <si>
    <t>Li, Chieh; Vazquez-Nuttall, Ena</t>
  </si>
  <si>
    <t>School Consultants as Agents of Social Justice for Multicultural Children and Families</t>
  </si>
  <si>
    <t>JOURNAL OF EDUCATIONAL AND PSYCHOLOGICAL CONSULTATION</t>
  </si>
  <si>
    <t>This article discusses some of the social justice issues that multicultural students and families encounter that are directly relevant to school consultation practice. The issues include culturally fair education, fair expectations of the child from the family and school, fair assessment, evidence-based intervention, and evaluation of responsiveness to intervention for culturally/linguistically diverse (CLD) students. A case study is provided that illustrates how an ecological framework is useful in understanding the challenges multicultural children face and what consultants can do to promote social justice. Consultants are encouraged to (a) diligently increase their own multicultural competency; (b) actively consider the social, economic, environmental, political, and cultural contexts of consultation; (c) be mindful of school-specific social justice issues in consultation practice; (d) promote fair collaboration between the school and CLD families; and (e) advocate for just treatment for CLD children.</t>
  </si>
  <si>
    <t>1047-4412</t>
  </si>
  <si>
    <t>1532-768X</t>
  </si>
  <si>
    <t>PII 908922640</t>
  </si>
  <si>
    <t>10.1080/10474410802462769</t>
  </si>
  <si>
    <t>WOS:000263645800003</t>
  </si>
  <si>
    <t>Coccia, M; Rolfo, S</t>
  </si>
  <si>
    <t>Coccia, Mario; Rolfo, Secondo</t>
  </si>
  <si>
    <t>Strategic change of public research units in their scientific activity</t>
  </si>
  <si>
    <t>The current debate oil public sector research in modern economics has generated an increasing interest regarding the scientific activity of research units for external users. The purpose of this paper is to investigate the relationship between production of basic research and applied activity of public research units, focusing Italian case-study. The results show an increasing crowding-out effect between applied activity vs. basic research. This effect is due to cuts in research unit budgets and increased push by governments that have obliged the researchers to collaborate with firms and external institutions for getting funds more and more necessary to the economic survival of public research institutes. In addition, to cope with consequential environmental threats, Italian research organizations have been facing a strategic change. In fact, public research institutes now operate as research units market-oriented and researchers focus oil applied activity and consultancy, rather than basic research. This strategic change of public research institutions is also present in several countries such as Australia, Canada, France, Germany, Norway, and so on. Because of this worldwide tendency, there is the threat, in public research organizations, of less discovery-based research around longer term needs centred on public welfare that also affect, negatively, long-run economic growth. (C) 2008 Elsevier Ltd. All rights reserved.</t>
  </si>
  <si>
    <t>Coccia, Mario/F-9793-2015</t>
  </si>
  <si>
    <t>Coccia, Mario/0000-0003-1957-6731</t>
  </si>
  <si>
    <t>10.1016/j.technovation.2008.02.005</t>
  </si>
  <si>
    <t>WOS:000258707100002</t>
  </si>
  <si>
    <t>Robson, PJA; Jack, SL; Freel, MS</t>
  </si>
  <si>
    <t>Robson, Paul J. A.; Jack, Sarah L.; Freel, Mark S.</t>
  </si>
  <si>
    <t>Gender and the use of business advice: evidence from firms in the Scottish service sector</t>
  </si>
  <si>
    <t>29th Annual Conference of the Institute-for-Small-Business-and-Entrepreneurship</t>
  </si>
  <si>
    <t>OCT 31-NOV 02, 2006</t>
  </si>
  <si>
    <t>Cardiff, WALES</t>
  </si>
  <si>
    <t>Inst Small Business &amp; Entrepreneurship</t>
  </si>
  <si>
    <t>Within the UK the levels of female entrepreneurship are considerably lower than in many of its peer countries. As part of a strategy to remedy this apparent shortfall, and to improve the environment for existing female-owned businesses, the UK Department of Trade and Industry (DTI) launched a 'Strategic Framework for Women's Enterprise' in 2003. A central rationale for the development of this strategy is a belief in the inadequacies of current business-advice provision and limited access to informal and formal business networks, mentors, and business support for women. However, there appears to be little evidence, either in this paper or in the body of previous research, to support the view that, within the UK, government agencies need to shape business support to reflect the gender of the business user. Drawing upon a sample of 650 small service sector firms in Scotland, we report the findings of a detailed postal questionnaire concerned with exploring usage and satisfaction of a range of formal and informal sources of business advice amongst male and female business owners. Bivariate analysis shows that amongst formal sources women are more likely to use friends and relatives, the Small Business Gateway, and chambers of commerce but are less likely to use suppliers and consultants. However, multivariate analysis suggests that, within the service sector, neither use of external advice nor impact of advice-either formal or informal-is greatly influenced by gender. Rather, it was the characteristics of service sector firms, most notably the number of employees and exporting activity, that explained the use of external advice. Therefore, a nongendered view of business support by the DTI appears more appropriate within the service sector. Nevertheless, the data do indicate more frequent use of informal family-network contacts amongst women business owners.</t>
  </si>
  <si>
    <t>10.1068/c0663</t>
  </si>
  <si>
    <t>WOS:000255731600002</t>
  </si>
  <si>
    <t>Riley, BB; Rimmer, JH; Wang, E; Schiller, WJ</t>
  </si>
  <si>
    <t>Riley, Barth B.; Rimmer, James H.; Wang, Edward; Schiller, William J.</t>
  </si>
  <si>
    <t>A Conceptual Framework for Improving the Accessibility of Fitness and Recreation Facilities for People With Disabilities</t>
  </si>
  <si>
    <t>JOURNAL OF PHYSICAL ACTIVITY &amp; HEALTH</t>
  </si>
  <si>
    <t>Access to fitness and recreation facilities is an important issue for people with disabilities. Although policy and legislation have helped to remove various environmental barriers, there remain a substantial number of inaccessible features in fitness and recreation facilities. This article presents an approach for improving the accessibility of fitness and recreation environments that enables participation and input from members of the community, as well as persons with expertise in accessibility. Through a collaboration between facilities, persons with disabilities and accessibility consultants, the approach provides a process of incremental change through readily achievable barrier removal and by providing an information and educational resource concerning barrier removal, disability awareness, and economic and information resources. Technology is incorporated to facilitate accessibility assessment, interaction between various stakeholders, and the creation of an accessibility solutions database. Policy implications of this approach are discussed.</t>
  </si>
  <si>
    <t>1543-3080</t>
  </si>
  <si>
    <t>1543-5474</t>
  </si>
  <si>
    <t>10.1123/jpah.5.1.158</t>
  </si>
  <si>
    <t>WOS:000208015100013</t>
  </si>
  <si>
    <t>Wilkins, S; Brown, MA; Cuthbertson, AG</t>
  </si>
  <si>
    <t>Wilkins, Selwyn; Brown, Mike A.; Cuthbertson, Andrew G. S.</t>
  </si>
  <si>
    <t>The incidence of honey bee pests and diseases in England and Wales</t>
  </si>
  <si>
    <t>9th International Symposium of the ICP-BR-Bee-Protection-Group</t>
  </si>
  <si>
    <t>OCT 12-14, 2005</t>
  </si>
  <si>
    <t>York, ENGLAND</t>
  </si>
  <si>
    <t>The Central Science Laboratory (CSL) National Bee Unit (NBU) has been responsible for maintaining the Integrated Bee Health Programme in England and Wales since the early 1990s. The role of the Bee Health Programme is to protect the honey bee, a major pollinator of agricultural and horticultural crops and wild flora, and to provide up-to-date technical support to beekeepers. The Bee Health Programme is funded in England by the Department for Environment, Food and Rural Affairs (Defra) and in Wales by the Welsh Assembly Government (WAG). The work includes inspection of honey bee colonies, disease and pest diagnosis, development of contingency plans for emerging threats, minimising the risk of introduction of potentially serious exotic pests and diseases through importation by import risk analysis and related extension work and consultancy services to both government and industry. There is also an underpinning programme of research and development. @ Crown copyright 2007. Reproduced with the permission of Her Majesty's Stationery Office. Published by John Wiley &amp; Sons, Ltd.</t>
  </si>
  <si>
    <t>Cuthbertson, Andrew/0000-0003-1914-8796</t>
  </si>
  <si>
    <t>10.1002/ps.1461</t>
  </si>
  <si>
    <t>WOS:000250436000004</t>
  </si>
  <si>
    <t>Ameli, SM; Agnew, B; Potts, I</t>
  </si>
  <si>
    <t>Ameli, S. M.; Agnew, B.; Potts, I.</t>
  </si>
  <si>
    <t>Integrated distributed energy evaluation software (IDEAS) Simulation of a micro-turbine based CHP system</t>
  </si>
  <si>
    <t>APPLIED THERMAL ENGINEERING</t>
  </si>
  <si>
    <t>Heat Powered Cycles Conference</t>
  </si>
  <si>
    <t>OCT, 2004</t>
  </si>
  <si>
    <t>Larnica, CYPRUS</t>
  </si>
  <si>
    <t>IDEAS was defined in University of Newcastle upon Tyne in United Kingdom as a joint academic-industry project, in order to develop a comprehensive software package for designing, optimizing and monitoring of distributed energy systems based on microturbine, fuel cell and internal combustion engine driven systems using fossil fuels and renewables. The IDEAS idea shaped in pursue of a series of actual projects at Research Centre for Innovation and Design (RCID) to suggest the most energy consumption optimized and environmentally friendly distributed CHP system for some new residential complex as well as some academic PhD thesis at Mechanical and Systems engineering department to optimize the performance of gas turbine and micro-turbine driven CHP system for generating power, cooling and heating. Increasing number of CHP equipment suppliers and consultant engineering companies through UK and Europe and approved inspiring short-term and long-term policies of EU for implementing the CHP systems, fascinating successful experiences in some EU countries like Denmark in CHP implementation and lack of a comprehensive European based software package for designing and optimizing of these systems, all supported the idea of developing the IDEAS. IDEAS tends to be a complement to tens of small CHP systems related European software, each has been developed with limited data and a European version of similar powerful non-European (mostly American) software packages. To gain an overview of the difficulties, musts, domain of the package abilities, required financial, human resources and information and also for a better presentation of the idea to absorb supports from both academic and industry possible partners, a microturbine driven CHP system was designed for a 71 dwelling residential complex in north of England. This paper presents the works which have been done and yielded results about the requirements of developing IDEAS. (c) 2005 Elsevier Ltd. All rights reserved.</t>
  </si>
  <si>
    <t>1359-4311</t>
  </si>
  <si>
    <t>10.1016/j.applthermaleng.2005.07.019</t>
  </si>
  <si>
    <t>WOS:000247862800002</t>
  </si>
  <si>
    <t>Friedmann, H</t>
  </si>
  <si>
    <t>Friedmann, Harriet</t>
  </si>
  <si>
    <t>Scaling up: Bringing public institutions and food service corporations into the project for a local, sustainable food system in Ontario</t>
  </si>
  <si>
    <t>This paper reports on a relationship between the University of Toronto and a non-profit, non-governmental (third party) certifying organization called Local Flavour Plus (LFP). The University as of August 2006 requires its corporate caterers to use local and sustainable farm products for a small but increasing portion of meals for most of its 60,000 students. LFP is the certifying body, whose officers and consultants have strong relations of trust with sustainable farmers. It redefines standards and verification to create ladders for farmers, Aramark and Chartwells (the corporations that won the bid), and the University, to continuously raise standards of sustainability. After years of frustrated efforts, other Ontario institutions are expressing interest, opening the possibility that a virtuous circle could lead to rapid growth in local, sustainable supply chains. The paper examines the specificities of the LFP approach and of the Toronto and Canadian context. Individuals in LFP acquired crucial skills, insights, experience, resources, and relationships of trust over 20 years within the Toronto community of food practice, located in a supportive municipal, NGO and social movement context.</t>
  </si>
  <si>
    <t>10.1007/s10460-006-9040-2</t>
  </si>
  <si>
    <t>WOS:000248623300008</t>
  </si>
  <si>
    <t>Gullick, D; Cairns, R; Pearson-Kirk, D</t>
  </si>
  <si>
    <t>Gullick, D.; Cairns, R.; Pearson-Kirk, D.</t>
  </si>
  <si>
    <t>Application of partnering principles to a framework contract</t>
  </si>
  <si>
    <t>PROCEEDINGS OF THE INSTITUTION OF CIVIL ENGINEERS-MUNICIPAL ENGINEER</t>
  </si>
  <si>
    <t>Sir John Egan's report on Rethinking Construction advocated 'long term relationships based on clear measurement of performance and sustained improvements in quality and efficiency'. In 2001, Northern Ireland Roads Service embarked on a three-year framework to review the work carried out on their stock of post-tensioned bridges. The contract adopted a partnering approach embodying the key principles recommended by Egan. This paper outlines the significant lessons learned from a partnering approach between a consultant and a central government service provider. The partnership was built on an ethos of knowledge share and transfer; it developed long-term relationships that continued after the end of the original programme. It is an example of how a partnering approach to a single project acted as a catalyst for the further development of each organisation. One of the significant factors involved is the people, their personal and professional relationships and their willingness to innovate at all times. The partnering ethos led to innovation in terms of amending the payment mechanism under the contract as originally procured, leading to potential incentives and disincentives based on performance measured using key performance indicators as advocated by the Egan report.</t>
  </si>
  <si>
    <t>0965-0903</t>
  </si>
  <si>
    <t>10.1680/muen.2007.160.3.127</t>
  </si>
  <si>
    <t>WOS:000250301000003</t>
  </si>
  <si>
    <t>Merkel, G</t>
  </si>
  <si>
    <t>Merkel, Garry</t>
  </si>
  <si>
    <t>We are all connected: Globalization and community sustainability in the boreal forest, an Aboriginal perspective</t>
  </si>
  <si>
    <t>FORESTRY CHRONICLE</t>
  </si>
  <si>
    <t>This paper summarizes my personal perspective on the impacts of globalization on the sustainability of aboriginal communities. Globalization affects communities through changes to the land and the plants and animals it supports, the demographic profiles of the people increasingly through migration, their lifestyles, the persistence of their language and philosophy to living on the land, and their values. At the same time the people are learning to develop businesses, improve community services, and protect their interests through international recognition of their rights. Success in dealing with globalization will depend on the ability of the communities to develop a) appropriate systems of governance, b) mechanisms to accommodate their traditions in the context of contemporary culture, c) networks from the local to international levels, and most importantly d) their own capacities so that they no longer rely on the external expert/consultant The forest sector has a role to play in this process by developing a true partnership with the communities on whose land they hope to operate. This includes getting to know the people and their values, treating their knowledge with respect, and assisting them to develop their own capacities. Acting on the fact that we are all connected means that these partnerships will work to our mutual benefit. The distance we have to travel to make these changes may be as little as 6.</t>
  </si>
  <si>
    <t>0015-7546</t>
  </si>
  <si>
    <t>10.5558/tfc83362-3</t>
  </si>
  <si>
    <t>WOS:000247149800025</t>
  </si>
  <si>
    <t>Haller, SF; Gerrie, J</t>
  </si>
  <si>
    <t>Haller, Stephen F.; Gerrie, James</t>
  </si>
  <si>
    <t>The role of science in public policy: Higher reason, or reason for hire?</t>
  </si>
  <si>
    <t>JOURNAL OF AGRICULTURAL &amp; ENVIRONMENTAL ETHICS</t>
  </si>
  <si>
    <t>The traditional vision of the role science should play in policy making is of a two stage process of scientists first finding out the facts, and then policy makers making a decision about what to do about them. We argue that this two stage process is a fiction and that a distinction must be drawn between pure science and science in the service of public policy. When science is transferred into the policy realm, its claims to truth get undermined because we must abandon the open-ended nature of scientific inquiry. When we move from the sphere of science to the sphere of policy, we pick an arbitrary point in the open-ended scientific process, and ask our experts to give us the answer. The choice of the endpoint, however, must always be arbitrary and determined by non-scientific factors. Thus, the two stages in the model of first finding the facts, and then making a decision about what to do, cannot be clearly separated. The second stage clearly affects the first. This conclusion will have implications about existing scientific policy institutions. For example, we advocate that the environmental assessment process be radically overhauled, or perhaps even let go. It will be our position that ultimately a better model for the involvement of scientists in public policy debates is that of being participants in particular interest groups (hired guns), rather than as supposedly unbiased consultants to decision-makers.</t>
  </si>
  <si>
    <t>1187-7863</t>
  </si>
  <si>
    <t>1573-322X</t>
  </si>
  <si>
    <t>10.1007/s10806-006-9027-4</t>
  </si>
  <si>
    <t>WOS:000245269000002</t>
  </si>
  <si>
    <t>Rodriguez-Dowdell, N; Enriquez-Andrade, R; Cardenas-Torres, N</t>
  </si>
  <si>
    <t>Rodriguez-Dowdell, Natalie; Enriquez-Andrade, Roberto; Cardenas-Torres, Nirari</t>
  </si>
  <si>
    <t>Property rights-based management: Whale shark ecotourism in Bahia de los Angeles, Mexico</t>
  </si>
  <si>
    <t>FISHERIES RESEARCH</t>
  </si>
  <si>
    <t>1st International Whale Shark Conference</t>
  </si>
  <si>
    <t>MAY 09-12, 2005</t>
  </si>
  <si>
    <t>Perth, AUSTRALIA</t>
  </si>
  <si>
    <t>Predictable and long-term whale shark (Rhincodon typus) aggregations can be observed in few locations around the world. In some places where this occurs the use of the species through ecotourism has become an important economic activity. Bahia de los Angeles, Mexico is an important habitat for whale sharks for up to 7 months per year. Based on their presence, ecotourism activities with the species have become more popular among the local community in recent years. Whale sharks and their habitat represent an important form of natural capital with high potential to produce economic value; however this has not translated in an improvement of the local communities' quality of life due to several limitations that the activity, resource and users confront. The most evident threat is free access, carrying with it a potential loss of economic benefits due to resource saturation and when external groups use the resource or tourists observe the species without having to hire local tour operators. It is recognized that property right regimes are fundamental because they define the rights and obligations for the use of natural resources and the rules by which these fights and obligations are implemented. The present study recommends the implementation of a strategy for the sustainable management of whale sharks based on property rights; taking into account both the characteristics of the resource and the social context where it is used. Through the opinion of a consultant panel comprised of representatives from federal, state and municipal governments, as well as academics, non-governmental organizations and local users of the resource, three different options are analysed - free access; a limited number of permits for local users; a concession of the area in favour of the group of local users - by means of four qualitative criteria (efficiency, equity, transaction costs and acceptance) and a quantitative criterion (duration), using multicriteria analysis. The evaluation concludes that the scenario which is the most efficient, equitable, with lower transaction costs and more acceptable is a concession of the area in favour of the group of local users. (c) 2006 Elsevier B.V. All rights reserved.</t>
  </si>
  <si>
    <t>0165-7836</t>
  </si>
  <si>
    <t>1872-6763</t>
  </si>
  <si>
    <t>10.1016/j.fishres.2006.11.020</t>
  </si>
  <si>
    <t>WOS:000244822500017</t>
  </si>
  <si>
    <t>Martin, T</t>
  </si>
  <si>
    <t>Martin, Terri</t>
  </si>
  <si>
    <t>Muting the Voice of the Local in the Age of the Global: How Communication Practices Compromised Public Participation in India's Allain Dunhangan Environmental Impact Assessment</t>
  </si>
  <si>
    <t>ENVIRONMENTAL COMMUNICATION-A JOURNAL OF NATURE AND CULTURE</t>
  </si>
  <si>
    <t>Public participation is widely lauded as a way to make environmental decisions more democratic, to improve their quality, and to enhance their legitimacy. Scholars and citizens around the world repeatedly complain, however, that public participation frequently serves primarily as a pro forma exercise to defend predetermined decisions rather than as a meaningful opportunity for the affected public to influence decision-making. These critiques persist despite considerable research suggesting ways to improve the quality of public participation. This essay explores this problem by analyzing citizen involvement in the environmental impact assessment (EIA) processes for the Allain Duhangan hydropower project in northern India. It describes how meaningful public involvement was compromised-despite repeated objections by citizens and independent consultants-by four communication practices: (1) failing to provide adequate access to information; (2) predetermining EIA outcomes by controlling the definition of issues (definitional hegemony''); (3) privileging scientific/technical discourse; (4) utilizing consultative'' forms of communication that promote one-way flows of information rather than more interactive forms that encourage the joint construction of information and values. This study further argues that these practices persist because they serve as acts of power that privilege dominant actors and interests in the larger socio-political context. This analysis thus suggests that altering communication practices that compromise the quality of public participation may require attending to the interaction between communication practices, relations of power, and the larger socio-political context in which public participation takes place.</t>
  </si>
  <si>
    <t>1752-4032</t>
  </si>
  <si>
    <t>10.1080/17524030701642595</t>
  </si>
  <si>
    <t>WOS:000207484800004</t>
  </si>
  <si>
    <t>Ridley, AM</t>
  </si>
  <si>
    <t>Ridley, A. M.</t>
  </si>
  <si>
    <t>Preparing Australian broadacre agriculture for environmental scrutiny using Environmental Management Systems: implications for extension services</t>
  </si>
  <si>
    <t>AUSTRALIAN JOURNAL OF EXPERIMENTAL AGRICULTURE</t>
  </si>
  <si>
    <t>4th National Environmental Management Systems in Agriculture Conference</t>
  </si>
  <si>
    <t>OCT 17-20, 2005</t>
  </si>
  <si>
    <t>Dept Primary Ind Victoria, Beechworth, AUSTRALIA</t>
  </si>
  <si>
    <t>Dept Primary Ind Victoria</t>
  </si>
  <si>
    <t>Environmental Management Systems (EMS) have been trialled in the broadacre industries across Australia. This paper outlines the trends in extension service provision, comments on changes needed if environmental issues are to become higher priority and discusses institutional issues. For EMS in Australia to become a mainstream farm business management activity there needs to be sufficient private good outcomes for land managers to adopt them and sufficient public good outcomes for public money to be invested in their implementation. As there are few market drivers at present, extension and incentives are likely to be needed to facilitate their uptake. Evaluation of likely cost-effective public good outcomes is needed for continued public sector investment. Regardless of whether EMS or similar schemes are provided by the public or private sector, if they are to become mainstream there needs to be a move from the dominant extension models used by the public sector (group facilitation and empowerment) to a programmed learning approach. Building on a 'personalised consultant' model is recommended for land managers prepared to pay for information to maintain their competitive edge. For more 'traditional' land managers, partnerships with the public sector through Landcare networks and regional natural resource management bodies and rural resellers are more realistic. There is large need for formalised training of both public and private extension providers. The institutional arrangements and current alignment and supportiveness for EMS between state agencies, farmer organisations and regional natural resource management bodies is highly variable across the states, but currently appears strongest in Victoria, Queensland and Western Australia. Australian broadacre industries are globally exposed in being prepared to take on increased environmental scrutiny. It will take many years to reduce this risk given the large and dispersed nature of the broadacre industries. All players, especially governments, regional organisations, peak farmer and peak industry groups need to take a more proactive role in funding and implementing EMS or similar type schemes if they believe there are long-term benefits in doing so. The alternative is to wait for a crisis and be limited to taking a reactive approach to environmental accountability.</t>
  </si>
  <si>
    <t>0816-1089</t>
  </si>
  <si>
    <t>10.1071/EA06030</t>
  </si>
  <si>
    <t>WOS:000244118500014</t>
  </si>
  <si>
    <t>Sell, J; Koellner, T; Weber, O; Proctor, W; Pedroni, L; Scholz, RW</t>
  </si>
  <si>
    <t>Sell, Joachim; Koellner, Thomas; Weber, Olaf; Proctor, Wendy; Pedroni, Lucio; Scholz, Roland W.</t>
  </si>
  <si>
    <t>Ecosystem services from tropical forestry projects - The choice of international market actors</t>
  </si>
  <si>
    <t>Ecosystem services from tropical forestry draw increasing attention from the public and private sectors. However, the decision making of market actors involved in transactions concerning ecosystem services is not well known and described. The goal of this paper is to describe preferences of market actors for tropical forestry projects that provide ecosystem services. Preferences were elicited within an explorative questionnaire survey directed to market actors from Europe, Japan, Latin America, South East Asia and the USA. Participants represent 71 companies and organisations including banks, certifiers, consultants, governmental organizations, industrial companies and associations, non-governmental organizations (NGOs), and re-insurance companies. Preferences were elicited based on a set of 12 criteria that were established in a previous survey with the same market actor groups. In one approach for preference elicitation, we applied discriminant analysis based on the assessments of criteria performances and attractiveness of two hypothetical forestry projects. According to their criteria performance, we labelled the projects business opportunity and sustainability. The other approach was to let the participants weight the criteria directly without a given project context. The project business opportunity was significantly more attractive to participants than the project sustainability. This contradicted strongly the results of the direct weighting procedure, where criteria associated with the project sustainability received higher weights. We discuss this matter with regard to the phenomenon of framing effects. The discriminant model proved to be a useful method that allows the integration of a relatively large number of criteria that are necessary to cope with the complexity of decision problems related to tropical forestry. We critically compare our approach to choice experiments. In addition, we discuss implications of differences found between participants from tropical and non-tropical countries for the planning of market transactions for ecosystem services. (c) 2006 Elsevier B.V All rights reserved.</t>
  </si>
  <si>
    <t>Scholz, Roland W./0000-0003-2506-3254; Koellner, Thomas/0000-0001-5022-027X; Weber, Olaf/0000-0001-6602-0459</t>
  </si>
  <si>
    <t>10.1016/j.forpol.2006.02.001</t>
  </si>
  <si>
    <t>WOS:000244102000006</t>
  </si>
  <si>
    <t>Sulman, J; Kanee, M; Stewart, P; Savage, D</t>
  </si>
  <si>
    <t>Sulman, Joanne; Kanee, Marylin; Stewart, Paulette; Savage, Diane</t>
  </si>
  <si>
    <t>Does difference matter? Diversity and human rights in a hospital workplace</t>
  </si>
  <si>
    <t>SOCIAL WORK IN HEALTH CARE</t>
  </si>
  <si>
    <t>4th International Conference on Social Work in Health and Mental Health</t>
  </si>
  <si>
    <t>MAY 23-27, 2004</t>
  </si>
  <si>
    <t>Quebec City, CANADA</t>
  </si>
  <si>
    <t>The urban hospital workplace is a dynamic environment that mirrors the cultural and social diversity of the modern city. This paper explores the literature relating to diversity in the workplace and then describes an urban Canadian teaching hospital's comprehensive approach to the promotion of an equitable and inclusive diverse environment. With this goal, four years ago the hospital established an office of Diversity and Human Rights staffed by a social worker. The office provides education, training, policy development and complaints managennent. The administration also convened a hospital-wide committee to advise on the outcomes, and to plan a process for diversity and human rights organizational change. The committee worked with a social work research consultant to design a qualitative focus group study, currently ongoing, to explore the perspectives of hospital staff. The lessons learned from the process have the potential to increase overall cultural competency of staff that can translate into more sensitive work with patients.</t>
  </si>
  <si>
    <t>0098-1389</t>
  </si>
  <si>
    <t>1541-034X</t>
  </si>
  <si>
    <t>10.1300/J010v44n03_02</t>
  </si>
  <si>
    <t>WOS:000246995800002</t>
  </si>
  <si>
    <t>da Silva, CP</t>
  </si>
  <si>
    <t>da Silva, C. Pereira</t>
  </si>
  <si>
    <t>Landscape perception and coastal management: A methodology to encourage public participation</t>
  </si>
  <si>
    <t>JOURNAL OF COASTAL RESEARCH</t>
  </si>
  <si>
    <t>The increase in coastal tourism over the last 30 years has altered the quality and types of recreational activity that are both expected and required. Intensive usage, in some coastal areas, has been a principal cause of degradation, and in turn, of subsequent intervention to re-establish the human-environment equilibrium. This intervention is almost always reactive rather than proactive and was often poorly understood by those at whom it was directed. Traditional and negative planning that prohibits and restricts without indicating clear alternatives is always resented and often only unwillingly accepted by the target groups. In Portugal although public participation in the planning process has been increasing, it was often no more than a final-phase charade; a show of public consultation put on simply to 'rubberstamp' non-negotiable proposals put forward by consultants and politicians. Perception studies can help to alleviate some of these problems. By sounding out relevant groups such studies can establish how people live an area, perceive it, and what their expectations are. By understanding attitudes and being able to anticipate reactions, it becomes easier to make and implement sound management policies. Through the analyses of questionnaires with visitors to an exhibition held at Sines, Portugal, during the summer of 1998, this paper explores the perceptions of beach users, with a view to utilising an understanding of their behaviour and attitudes more closely in the planning process. It carefully considers how the ideas of beach users can be integrated into the broader process of Coastal Zone Management in the region.</t>
  </si>
  <si>
    <t>da Silva, Carlos Manuel Prudente Pereira/AAC-7840-2020</t>
  </si>
  <si>
    <t>0749-0208</t>
  </si>
  <si>
    <t>1551-5036</t>
  </si>
  <si>
    <t>WOS:000202961400063</t>
  </si>
  <si>
    <t>Goldberg, ME; Davis, RM; O'Keefe, AM</t>
  </si>
  <si>
    <t>Goldberg, Marvin E.; Davis, Ronald M.; O'Keefe, Anne Marie</t>
  </si>
  <si>
    <t>The role of tobacco advertising and promotion: themes employed in litigation by tobacco industry witnesses</t>
  </si>
  <si>
    <t>TOBACCO CONTROL</t>
  </si>
  <si>
    <t>Objectives: To identify key themes related to tobacco advertising and promotion in testimony provided by tobacco industry-affiliated witnesses in tobacco litigation, and to present countervailing evidence and arguments. Methods: Themes in industry testimony were identified by review of transcripts of testimony in the Tobacco Deposition and Trial Testimony Archive (http://tobaccodocuments.org/datta)from a sample of defence witnesses, including three academic expert witnesses, six senior executives of tobacco companies, and one industry advertising consultant. Counterarguments to the themes embodied in defence testimony were based on information from peer-reviewed literature, advertising trade publications, government reports, tobacco industry documents, and testimony provided by expert witnesses testifying for plaintiffs. Results: Five major themes employed by defence witnesses were identified: (1) tobacco advertising has a relatively weak share of voice'' in the marketing environment and is a weak force in affecting smoking behaviour; (2) tobacco advertising and promotion do not create new smokers, expand markets, or increase total tobacco consumption; (3) the tobacco industry does not target, study, or track youth smoking; (4) tobacco advertising and promotion do not cause smoking initiation by youth; and (5) tobacco companies and the industry adhere closely to relevant laws, regulations, and industry voluntary codes. Substantial evidence exists in rebuttal to these arguments. Conclusions: Tobacco industry-affiliated witnesses have marshalled many arguments to deny the adverse effects of tobacco marketing activities and to portray tobacco companies as responsible corporate citizens. Effective rebuttals to these arguments exist, and plaintiffs' attorneys have, with varying degrees of success, presented them to judges and juries.</t>
  </si>
  <si>
    <t>0964-4563</t>
  </si>
  <si>
    <t>1468-3318</t>
  </si>
  <si>
    <t>10.1136/tc.2006.017947</t>
  </si>
  <si>
    <t>WOS:000242339100008</t>
  </si>
  <si>
    <t>Franchi, M; Carrer, P; Kotzias, D; Rameckers, EMAL; Seppanen, O; van Bronswijk, JEMH; Viegi, G; Gilder, JA; Valovirta, E</t>
  </si>
  <si>
    <t>Franchi, M.; Carrer, P.; Kotzias, D.; Rameckers, E. M. A. L.; Seppanen, O.; van Bronswijk, J. E. M. H.; Viegi, G.; Gilder, J. A.; Valovirta, E.</t>
  </si>
  <si>
    <t>Working towards healthy air in dwellings in Europe</t>
  </si>
  <si>
    <t>ALLERGY</t>
  </si>
  <si>
    <t>Poor indoor air quality has been implicated in the increase in allergic and respiratory diseases seen in industrialized countries in recent decades. Although air pollution in the workplace is well studied, much less is known about the consequences of poor air quality in homes. In an attempt to halt or slow down the increase in allergic and respiratory diseases, the European Federation of Allergy and Airways Diseases Patients Associations (EFA) carried out the EU-funded project entitled 'Towards Healthy Air in Dwellings in Europe' (THADE). The aims were to: compile an overview of evidence-based data about exposure to indoor air pollution and its health effects, particularly in relation to allergies, asthma and other respiratory diseases such as chronic obstructive pulmonary disease; review cost-effective measures and technology to improve indoor air quality; review legislation and guidelines on indoor air pollution; produce maps of pollutants in dwellings; and recommend an integrated strategy that defines appropriate indoor air quality policies for implementation in Europe. This paper summarizes the information about air quality in dwellings and indoor environment-related diseases collected by expert consultants within the framework of THADE and terminates with recommendations for actions aimed at improving air quality in homes. The results of this project confirmed that air pollution in dwellings is a relevant health problem. It is a complex problem that must be addressed at European and international levels, and it involves the medical profession, scientific societies, patients' organizations, lawmakers, architects and the building industry. The complete THADE report is available at http://www.efanet.org/activities/documents/THADEReport.pdf.</t>
  </si>
  <si>
    <t>0105-4538</t>
  </si>
  <si>
    <t>1398-9995</t>
  </si>
  <si>
    <t>10.1111/j.1398-9995.2006.01106.x</t>
  </si>
  <si>
    <t>WOS:000238305000012</t>
  </si>
  <si>
    <t>Collins, P; Kakabadse, NK</t>
  </si>
  <si>
    <t>Collins, Paul; Kakabadse, Nada K.</t>
  </si>
  <si>
    <t>Perils of religion: Need for spirituality in the public sphere</t>
  </si>
  <si>
    <t>Conference on Ethics and Integrity of Govemance - A Trans-Atlantic Dialogue, New Developments and the Effects of Govemance</t>
  </si>
  <si>
    <t>JUN 02-05, 2005</t>
  </si>
  <si>
    <t>Leuven, BELGIUM</t>
  </si>
  <si>
    <t>On both sides of the Atlantic, there is increased professional concern over roles in international public sector management-whether those of the policy makers, administrators or consultants. Growing numbers across many sectors feel an unprecedented crisis of identity and integrity. In international development, institutions often find themselves subordinated to the military in ever increasing conflict situations (the 'development-security complex'). Locally, the global tendency is for public administration to be 're-engineered' on the basis of so-called 'market' values (the 'New Public Administration'). Private sector management models are, nevertheless, hardly exemplary. Corporate greed and scandals proliferate in a world featuring increasing poverty extremes, resurgence of old or advent in new diseases (e.g. HIV/Aids), environmental degradation and racism. This article takes, as its starting point, the fact that the workplace has become an insecure and alienating environment. In pursuing the relationship between spirituality and religion, the article next distinguishes between, the dogmatic, institutionalised and potentially dangerous characteristics of many religions and the more intuitively contemplative character of spirituality with its stress on awareness of self, impact on others and feeling of universal connectedness. Bearing in mind the often extremism as well as variety of religions (as distinct from spirituality), the second section examines the interrelationship between the two. A number of models are advanced concerning relationships between belief, belonging, salvation and ritual. It is argued that attention needs to be given to the inner side of religion, which requires individuals to embark on a spiritual journey through contemplation and reflection, rather than the more visible side of religion expressed in ritual. In sum, spiritual dialogue is offered as a way forward and as a mechanism for building spiritual community through engagement. The final part of the article focuses on a trans-Atlantic spiritual engagement initiative. Faith-based discussion groups have been formed amongst business executives and professionals in USA (the Woodstock Business Conference promoted out of Georgetown University) and more recently in the City of London at the St Paul's Cathedral Institute (the Paternoster Pilot Group). These aim to develop more meaningful work orientation: rediscovery of higher purpose and its relevance to restoration of ethical business and public service values, as well as better integration of personal and social domains. Copyright (c) 2006 John Wiley &amp; Sons, Ltd.</t>
  </si>
  <si>
    <t>Kakabadse, Nada/R-7481-2018</t>
  </si>
  <si>
    <t>Kakabadse, Nada/0000-0002-9517-8279</t>
  </si>
  <si>
    <t>1099-162X</t>
  </si>
  <si>
    <t>10.1002/pad.404</t>
  </si>
  <si>
    <t>WOS:000237725700003</t>
  </si>
  <si>
    <t>Higgs, G</t>
  </si>
  <si>
    <t>Integrating multi-criteria techniques with geographical information systems in waste facility location to enhance public participation</t>
  </si>
  <si>
    <t>WASTE MANAGEMENT &amp; RESEARCH</t>
  </si>
  <si>
    <t>Despite recent UK Government commitments' to encourage public participation in environmental decision making, those exercises conducted to date have been largely confined to 'traditional' modes of participation such as the dissemination of information and in encouraging feedback on proposals through, for example, questionnaires or surveys. It is the premise of this paper that participative approaches that use IT-based methods, based on combined geographical information systems (GIS) and multi-criteria evaluation techniques that Could involve the public in the decision-making process, have the potential to build consensus and reduce disputes and conflicts such as those arising from the siting of different types of waste facilities. The potential of these techniques are documented through a review of the existing literature in order to highlight the opportunities and challenges facing decision makers in increasing the involvement of the public at different stages of the waste facility management process. It is concluded that there are important lessons to be learned by researchers, consultants, managers and decision makers if barriers hindering the wider use Of Such techniques are to be overcome.</t>
  </si>
  <si>
    <t>0734-242X</t>
  </si>
  <si>
    <t>1096-3669</t>
  </si>
  <si>
    <t>10.1177/0734242X06063817</t>
  </si>
  <si>
    <t>WOS:000237023000002</t>
  </si>
  <si>
    <t>Tracy, BL; Krewski, D; Chen, J; Zielinski, JM; Brand, KP; Meyerhof, D</t>
  </si>
  <si>
    <t>Assessment and management of residential radon health risks: A report from the Health Canada Radon Workshop</t>
  </si>
  <si>
    <t>JOURNAL OF TOXICOLOGY AND ENVIRONMENTAL HEALTH-PART A-CURRENT ISSUES</t>
  </si>
  <si>
    <t>Epidemiologic studies of uranium miners and other underground miners have consistently shown miners exposed to high levels of radon to be at increased risk of lung cancer. More recently, concern has arisen about lung cancer risks among people exposed to lower levels of radon in homes. The current Canadian guideline for residential radon exposure was set in 7988 at 800 Bq/m(3). Because of the accumulation of a considerable body of new scientific evidence on radon lung cancer risks since that time, Health Canada sponsored a workshop to review the current state-of-the-science on radon health risks. The specific objectives of the workshop were (1) to collect and assess scientific information relevant to setting national radon policy in Canada, and (2) to gather information on social, political, and operational considerations in setting national policy. The workshop, held on 3-4 March 2004, was attended by 38 invited scientists, regulators, and other stakeholders from Canada and the United States. The presentations on the first day dealt primarily with scientific issues. The combined analysis of North American residential radon and lung cancer studies was reviewed. The analysis confirmed a small but detectable increase in lung cancer risk at residential exposure levels. Current estimates suggest that radon in homes is responsible for approximately 10% of all lung cancer deaths in Canada, making radon the second leading cause of lung cancer after tobacco smoking. This was followed by a perspective from an UNSCEAR (United Nations Scientific Committee on the Effects of Atomic Radiation) working group on radon. There were two presentations on occupational exposures to radon and two presentations considered the possibility of radon as a causative factor for cardiovascular disease and for cancer in other organs besides the lung. The possible contribution of environmental tobacco smoke to lung cancers in nonsmokers was also considered. Areas for future research were identified. The second day was devoted to policy and operational issues. The presentations began with a perspective from the U.S. Environmental Protection Agency, followed by a history of radon policy development in Canada. Subsequent presentations dealt with the cost-effectiveness of radon mitigation, Canadian building codes and radon, and a summary of radon standards from around the world. Provincial representatives and a private consultant were given opportunities to present their viewpoints. A number of strategies for reducing residential radon exposure in Canada were recognized, including testing and mitigation of existing homes (on either a widespread or targeted basis) and changing the building code to require that radon mitigation devices be installed at the time a new home is constructed. The various elements of a comprehensive national radon policy were set forth.</t>
  </si>
  <si>
    <t>1528-7394</t>
  </si>
  <si>
    <t>1087-2620</t>
  </si>
  <si>
    <t>APR 1</t>
  </si>
  <si>
    <t>7-8</t>
  </si>
  <si>
    <t>10.1080/15287390500261281</t>
  </si>
  <si>
    <t>WOS:000236605100011</t>
  </si>
  <si>
    <t>Barnoya, J; Glantz, SA</t>
  </si>
  <si>
    <t>The tobacco industry's worldwide ETS consultants project: European and Asian components</t>
  </si>
  <si>
    <t>EUROPEAN JOURNAL OF PUBLIC HEALTH</t>
  </si>
  <si>
    <t>Background: The tobacco industry has formed regional environmental tobacco smoke (ETS) consultants programs in order to generate controversy on the issue of secondhand smoke (SHS) in Europe, Asia and Latin America. Only those countries in which the industry foresaw SHS restrictions were included. This paper describes the European and Asian components of the tobacco industry's worldwide ETS consultants program. Methods: A systematic search was carried out of tobacco industry documents available on the Internet between October 2002 and February 2004. Results: Beginning in 1987, Philip Morris assembled an international ETS consultants program in collaboration with other tobacco companies based on their market shares in different regions of the world. The law firm Covington &amp; Burling contacted and hired consultants with a wide range of expertise, usually affiliated with an academic institution, in order to avoid direct contact with the industry. The objective of the program was to influence policy makers, media and the public by providing, through their consultants, 'accurate' (pro-industry) information concerning smoking regulations in public places and workplaces, indoor air quality and ventilation standards, and scientific claims regarding SHS. Consultants also conducted research related to SHS and organized and attended regional and international symposiums related to SHS without acknowledging industry funding. Conclusions: Despite evidence that the issue of smoke-free environments was close to emerging within the general public throughout the world in the late 1980s, the tobacco industry used its well-organized network of consultants to avoid SHS regulations in most of the world.</t>
  </si>
  <si>
    <t>Barnoya, Joaquin/0000-0002-1731-479X</t>
  </si>
  <si>
    <t>1101-1262</t>
  </si>
  <si>
    <t>10.1093/eurpub/cki044</t>
  </si>
  <si>
    <t>WOS:000235278300014</t>
  </si>
  <si>
    <t>Constantin, T; Pop, D; Stoica-Constantin, A</t>
  </si>
  <si>
    <t>Constantin, Ticu; Pop, Daniela; Stoica-Constantin, Ana</t>
  </si>
  <si>
    <t>Romanian managers and human resource management</t>
  </si>
  <si>
    <t>Purpose - The purpose of this paper is to describe the role of human resource management aim in Romania. Design/methodology/approach - The paper describes the latest changes and their reflections in research by analysing data collected from an inquiry amongst 558 company managers. The attitudes and facts in HRM are identified, taking into account the characteristics of the firm. Additionally, the HR problems encountered by the managers, the training and consultancy needs and experience of the firms, and the academic background of the experts, are identified. Finally, some trends in HRM politics are revealed. Findings - The outcomes sustain the conclusion that modem HRM in Romania registered an encouraging start after the communist period, but it is still facing important challenges. Originality/value - The paper offers a sketchy picture of the HRM situation in Romania.</t>
  </si>
  <si>
    <t>Constantin, Ticu/C-5696-2012</t>
  </si>
  <si>
    <t>Constantin, Ticu/0000-0003-2443-7250</t>
  </si>
  <si>
    <t>10.1108/09534810610708413</t>
  </si>
  <si>
    <t>WOS:000242523900009</t>
  </si>
  <si>
    <t>Foa, R; Howard, M</t>
  </si>
  <si>
    <t>Use of Monte Carlo simulation for the public sector - An evidence-based approach to scenario planning</t>
  </si>
  <si>
    <t>INTERNATIONAL JOURNAL OF MARKET RESEARCH</t>
  </si>
  <si>
    <t>This paper describes a statistical methodology that can be deployed in order to conduct evidence-based scenario planning. Scenario-planning techniques have recently become widespread in strategic consultancy, market research and government planning, but methodological vagueness often results in scenarios that are excessively arbitrary, implausible or non-specific in their outputs. By detailing the Monte Carlo process, via which a set of scenarios were constructed for the Department for Environment, Food and Rural Affairs (Defra), the authors argue that it is possible to take a non-linear, non-deterministic but empirically grounded approach to the formulation of strategic and contingency plans for the future. The process is explained in such a way that it can be adopted by industry practitioners, with key lessons detailed for future scenario-planning exercises.</t>
  </si>
  <si>
    <t>Foa, Roberto/0000-0001-8867-7566</t>
  </si>
  <si>
    <t>1470-7853</t>
  </si>
  <si>
    <t>WOS:000234947500004</t>
  </si>
  <si>
    <t>Balogun, J; Gleadle, P; Hailey, VH; Willmott, H</t>
  </si>
  <si>
    <t>Managing change across boundaries: Boundary-shaking practices</t>
  </si>
  <si>
    <t>BRITISH JOURNAL OF MANAGEMENT</t>
  </si>
  <si>
    <t>To date, boundary spanning has primarily been conceived of as an activity relating an organization to its environment, including other organizations with which it cooperates and competes. In contrast, this study focuses on the boundary spanning practices of individuals acting as change agents to implement boundary-shaking change initiatives across intra-organizational boundaries. These boundary-shaking individuals all work for blue-chip organizations in sectors as diverse as pharmaceuticals, consultancy and automotive. The change initiatives are equally diverse, including post-merger integration, exploitation of across-business synergies and implementing more integrative structures. Through our examination of boundary-shakers we are able to extend what we know about internal change agency and change agent skills and practices. Our starting point is that organizations are comprised of networks of people with a degree of common interest. Our research shows our research subjects to be active movers and shakers in these networks, using their knowledge of the organizational political context and the motivations of others to create new networks (or new meanings within old networks), which then enables them to pursue their change objectives.</t>
  </si>
  <si>
    <t>Balogun, Julia/0000-0003-2863-004X; Hope Hailey, Veronica/0000-0002-3247-3959</t>
  </si>
  <si>
    <t>1045-3172</t>
  </si>
  <si>
    <t>1467-8551</t>
  </si>
  <si>
    <t>10.1111/j.1467-8551.2005.00463.x</t>
  </si>
  <si>
    <t>WOS:000233516500001</t>
  </si>
  <si>
    <t>Thompson, JB</t>
  </si>
  <si>
    <t>The new visibility</t>
  </si>
  <si>
    <t>THEORY CULTURE &amp; SOCIETY</t>
  </si>
  <si>
    <t>This article examines the characteristics of a new form of visibility which has become a pervasive feature of the modem world and which is linked to the development of communication media. With the development of the media, the visibility of individuals, actions and events is severed from the sharing of a common locale: one no longer has to be present in the same spatial-temporal setting in order to see the other or to witness an action or event. The rise of this new form of mediated visibility has transformed the relations between visibility and power. Thanks to mediated visibility, political rulers are able to appear before their subjects in ways and on a scale that never existed previously. Skilful politicians exploit this to their advantage; with the help of their PR consultants and communications advisers, they seek to create and sustain a basis of support by managing their visibility in the mediated arena of modern politics. But mediated visibility is a double-edged sword: it also creates new risks for political leaders, who find themselves exposed to new kinds of dangers. Hence the visibility created by the media becomes the source of a new and distinctive kind of fragility. However much political leaders try to manage their visibility, they cannot completely control it: mediated visibility can slip out of their grasp and can, on occasion, work against them.</t>
  </si>
  <si>
    <t>0263-2764</t>
  </si>
  <si>
    <t>10.1177/0263276405059413</t>
  </si>
  <si>
    <t>WOS:000233907900003</t>
  </si>
  <si>
    <t>Tang, KC; Nutbeam, D; Kong, LZ; Wang, RT; Yan, J</t>
  </si>
  <si>
    <t>Building capacity for health promotion - a case study from China</t>
  </si>
  <si>
    <t>HEALTH PROMOTION INTERNATIONAL</t>
  </si>
  <si>
    <t>During the period 1997-2000 a technical assistance project to build capacity for community-based health promotion was implemented in seven cities and one province in China. The technical assistance project formed part of a much larger World Bank supported program to improve disease prevention capabilities in China, commonly known as Health VII. The technical assistance project was funded by the Australian Agency for International Development. It was designed to develop capacity within the Ministry of Health (MOH) and the cities and province in the management of community-based health promotion projects, as well as supporting institutional development and public health policy reform. There are some relatively unique features of this technical assistance which helped shape its implementation and impact. It sought to provide the Chinese MOH and the cities and province with an introduction to comprehensive health promotion strategies, in contrast to the more limited information, education and communication strategies. The project was provided on a continuing basis over 3 years through a single institution, rather than as a series of ad hoc consultancies by individuals. Teaching and learning processes were developmental, leading progressively to a greater degree of local Chinese input and management to ensure sustainability and maintenance of technical support for the project. Based on this experience, this paper presents a model for capacity building projects of this type. It describes the education, training and planning activities that were the key inputs to the project, as well as the limited available evidence on the impact of the project. It describes how the project evolved over time to meet the changing needs of the participants, specifically how the content of the project shifted from a risk-factor orientation to a settings-based focus, and the delivery of the project moved from an expert-led approach to a more participatory, problem based learning approach. In terms of impact, marked differences before and after the implementation of the training activities were identified in key areas for reform, in addition to the self reported positive change in knowledge, and a high level of participant satisfaction. Key lessons are summarized. Technical assistance projects of this kind benefit from continuity and a high level of coordination, the provision of culturally and linguistically appropriate teaching, and a clear understanding of the need to match workforce development with organizational/institutional development.</t>
  </si>
  <si>
    <t>Nutbeam, Don/0000-0001-6497-2827</t>
  </si>
  <si>
    <t>0957-4824</t>
  </si>
  <si>
    <t>10.1093/heapro/dai003</t>
  </si>
  <si>
    <t>WOS:000231693300010</t>
  </si>
  <si>
    <t>Balmford, A; Crane, P; Dobson, A; Green, RE; Mace, GM</t>
  </si>
  <si>
    <t>The 2010 challenge: Data availability, information needs and extraterrestrial insights</t>
  </si>
  <si>
    <t>PHILOSOPHICAL TRANSACTIONS OF THE ROYAL SOCIETY B-BIOLOGICAL SCIENCES</t>
  </si>
  <si>
    <t>Royal-Society Discussion Meeting on Beyond Extinction Rates - Monitoring Wild Nature for the 2010 Target</t>
  </si>
  <si>
    <t>JUL 19-20, 2004</t>
  </si>
  <si>
    <t>Royal Soc, London, ENGLAND</t>
  </si>
  <si>
    <t>Royal Soc</t>
  </si>
  <si>
    <t>At the 2002 Johannesburg World Summit on Sustainable Development, 190 countries endorsed a commitment to achieve, by 20 10, a significant reduction of the current rate of biodiversity loss at the global, regional and national levels. A wide range of approaches is available to the monitoring of progress towards this objective. The strengths and weaknesses of many of these approaches are considered, with special attention being given to the proposed and existing indicators described in the other papers in this issue. Recommendations are made about the development of indicators. Most existing and proposed indicators use data collected for other purposes, which may be unrepresentative. In the short term, much remains to be done in expanding the databases and improving the statistical techniques that underpin these indicators to minimize potential biases. In the longer term, indicators based on unrepresentative data should be replaced with equivalents based on carefully designed sampling programmes. Many proposed and existing indicators do not connect clearly with human welfare and they are unlikely to engage the interest of governments, businesses and the public until they do so. The extent to which the indicators already proposed by parties to the Convention on Biological Diversity are sufficient is explored by reference to the advice an imaginary scientific consultant from another planet might give. This exercise reveals that the range of taxa and biomes covered by existing indicators is incomplete compared with the knowledge we need to protect our interests. More fundamentally, our understanding of the mechanisms linking together the status of biodiversity, Earth system processes, human decisions and actions, and ecosystem services impacting human welfare is still too crude to allow us to infer reliably that actions taken to conserve biodiversity and protect ecosystem services are well chosen and effectively implemented. The involvement of social and Earth system scientists, as well as biologists, in collaborative research programmes to build and parameterize models of the Earth system to elucidate these mechanisms is a high priority.</t>
  </si>
  <si>
    <t>Mace, Georgina M/I-3072-2016</t>
  </si>
  <si>
    <t>0962-8436</t>
  </si>
  <si>
    <t>FEB 28</t>
  </si>
  <si>
    <t>10.1098/rstb.2004.1599</t>
  </si>
  <si>
    <t>WOS:000228214600001</t>
  </si>
  <si>
    <t>Heemskerk, M</t>
  </si>
  <si>
    <t>Collecting data in artisanal and small-scale mining communities: Measuring progress towards more sustainable livelihoods</t>
  </si>
  <si>
    <t>NATURAL RESOURCES FORUM</t>
  </si>
  <si>
    <t>This short note discusses methodological obstacles to the collection of microeconomic data in artisanal and small-scale mining communities. International donor organizations are supporting policy efforts that enhance the contribution to poverty alleviation of this mining subsector. The design and evaluation of such policy interventions require data on income, expenditure, investment, and savings in mining households and communities. These data are difficult to come by. Incomes are variable; migrants may work far from home; miners often work informally and sometimes illegally; mining populations and communities are heterogeneous and transient; and miners have many reasons to distort information. Legalization and organization of miners in cooperatives would facilitate documentation and research. These processes, however, are beyond the control of the typical policy consultant or donor organization. On their part, these parties can adopt an alternative model of research. This model involves the community in project development, data collection, and monitoring. It emphasizes continuity, cultural diversity, trust building and learning. The data thus collected should provide a firm basis for programmes that promote more sustainable livelihoods in artisanal and small-scale mining communities.</t>
  </si>
  <si>
    <t>0165-0203</t>
  </si>
  <si>
    <t>10.1111/j.1477-8947.2005.00114.x</t>
  </si>
  <si>
    <t>WOS:000227922600007</t>
  </si>
  <si>
    <t>Bek, D; Binns, T; Nel, E</t>
  </si>
  <si>
    <t>Regional development in South Africa's West Coast - 'Dividends on the process side'?</t>
  </si>
  <si>
    <t>TIJDSCHRIFT VOOR ECONOMISCHE EN SOCIALE GEOGRAFIE</t>
  </si>
  <si>
    <t>Academics, policy-makers and consultants have been increasingly focusing upon the 'region' as the crucible of economic development. This regionalist approach places institutions at the centre of the process of stimulating growth. Much debate has been ongoing in academic circles, particularly those inhabited by economic geographers, about the veracity of the regionalist approach and the explanatory power of the terminology associated with it. This paper analyses explicit efforts to engender regional economic development in the West Coast of South Africa. Our empirical evaluation indicates that policy actors have sought to upgrade the institutional infrastructure of the region and that some significant achievements are evident within this realm. However, these achievements are yet to be associated with sustained regional economic takeoff. The paper concludes by asking searching questions about the ability of the regionalist approach to deliver meaningful socio-economic transformation.</t>
  </si>
  <si>
    <t>Bek, David/0000-0003-1503-3609; Binns, Tony/0000-0003-1803-7218</t>
  </si>
  <si>
    <t>0040-747X</t>
  </si>
  <si>
    <t>10.1111/j.1467-9663.2005.00448.x</t>
  </si>
  <si>
    <t>WOS:000229154200003</t>
  </si>
  <si>
    <t>Yu, FLT</t>
  </si>
  <si>
    <t>Technological strategies and trajectories of Hong Kong's manufacturing firms</t>
  </si>
  <si>
    <t>INTERNATIONAL JOURNAL OF TECHNOLOGY MANAGEMENT</t>
  </si>
  <si>
    <t>Hong Kong's post-war catching up with economically advanced nations is well documented. Starting as a piece of 'barren rock', the island economy has emerged as the 'Mart of East Asia'. While there are numerous explanations for the success from neoclassical development economists, few studies have focused on the technological strategies and paths of Hong Kong's manufacturing firms, the chief economic actors. This paper attempts to interpret Hong Kong's economic success by examining its national innovation systems. More specifically, this paper investigates the technological catch-up paths taken up by Hong Kong's manufacturing firms. It will argue that manufacturing firms in Hong Kong in general took on imitative strategies. Their capability development routes are attributed partly to organisational learning and partly to Hong Kong's unique physical, political and cultural environments. Relying on three major imitative strategies, namely 'reverse value chain' strategy, 'reverse product life cycle' strategy and 'process capability specialist' strategy, manufacturing firms in Hong Kong were able to compete and survive in the global markets. Furthermore, by extending their competence in managerial and consultancy services, firms in Hong Kong evolved into regional coordinators.</t>
  </si>
  <si>
    <t>0267-5730</t>
  </si>
  <si>
    <t>1741-5276</t>
  </si>
  <si>
    <t>10.1504/IJTM.2005.006003</t>
  </si>
  <si>
    <t>WOS:000227397300003</t>
  </si>
  <si>
    <t>Alechnowicz, K; Chapman, S</t>
  </si>
  <si>
    <t>The Philippine tobacco industry: the strongest tobacco lobby in Asia</t>
  </si>
  <si>
    <t>Objective: To highlight revelations from internal tobacco industry documents about the conduct of the industry in the Philippines since the 1960s. Areas explored include political corruption, health, employment of consultants, resisting pack labelling, and marketing and advertising. Methods: Systematic keyword Minnesota depository website searches of tobacco industry internal documents made available through the Master Settlement Agreement. Results: The Philippines has long suffered a reputation for political corruption where collusion between state and business was based on the exchange of political donations for favourable economic policies. The tobacco industry was able to limit the effectiveness of proposed anti-tobacco legislation. A prominent scientist publicly repudiated links between active and passive smoking and disease. The placement of health warning labels was negotiated to benefit the industry, and the commercial environment allowed it to capitalise on their marketing freedoms to the fullest potential. Women, children, youth, and the poor have been targeted. Conclusion: The politically laissez faire Philippines presented tobacco companies with an environment ripe for exploitation. The Philippines has seen some of the world's most extreme and controversial forms of tobacco promotion flourish. Against international standards of progress, the Philippines is among the world's slowest nations to take tobacco control seriously.</t>
  </si>
  <si>
    <t>10.1136/tc.2004.009324</t>
  </si>
  <si>
    <t>WOS:000225734100011</t>
  </si>
  <si>
    <t>Assunta, M; Fields, N; Knight, J; Chapman, S</t>
  </si>
  <si>
    <t>Care and feeding: the Asian environmental tobacco smoke consultants programme</t>
  </si>
  <si>
    <t>Study objective: To review the tobacco industry's Asian environmental tobacco smoke (ETS) consultants programme, focusing on three key nations: China, Hong Kong, and Malaysia. Methods: Systematic keyword and opportunistic website searches of formerly private internal industry documents. Main results: The release of the 1986 US Surgeon General's report on second hand smoke provoked tobacco companies to prepare for a major threat to their industry. Asian programme activities included conducting national/international symposiums, consultant road shows and extensive lobbying and media activities. The industry exploited confounding factors said to be unique to Asian societies such as diet, culture and urban pollution to downplay the health risks of ETS. The industry consultants were said to be ...prepared to do the kinds of things they were recruited to do. Conclusions: The programme was successful in blurring the science on ETS and keeping the controversy alive both nationally and internationally. For the duration of the project, it also successfully dissuaded national policy makers from instituting comprehensive bans on smoking in public places.</t>
  </si>
  <si>
    <t>10.1136/tc.2003.005199</t>
  </si>
  <si>
    <t>WOS:000225734100002</t>
  </si>
  <si>
    <t>Jagsi, R; Surender, R</t>
  </si>
  <si>
    <t>Regulation of junior doctors' work hours: an analysis of British and American doctors' experiences and attitudes</t>
  </si>
  <si>
    <t>SOCIAL SCIENCE &amp; MEDICINE</t>
  </si>
  <si>
    <t>Regulations of junior doctors' work hours were first enacted in the United States (US) and United Kingdom (UK) over a decade ago, with the goals of improving patient care and doctors' well-being while maintaining a high quality of medical training. This study examines experiences and attitudes regarding the implementation of these regulations among physicians and surgeons at two teaching hospitals, one in South-East England, and the other in New England, US. This paper presents the findings of a survey questionnaire and a series of in-depth interviews administered to a sample of junior doctors and the consultants responsible for their supervision. The study finds that the different policy mechanisms employed in the two countries have had different degrees of success in reducing the work hours of junior doctors. The results also indicate, however, that even in settings in which hours have been reduced significantly, the regulations have only had limited effects on the quality of medical care, junior doctors' well-being, and the quality of medical education. A number of barriers to the success of the regulations in achieving their objectives are identified, and the relative merits of political action and professional self-regulation are discussed. This research suggests that recently enacted policies requiring further reductions in junior doctors' hours in both the US and UK may face similar barriers when implemented. Understanding the lessons that emerge from implementation of the original regulations is essential if future reforms are to succeed and a high-quality system of health care is to be sustained. (C) 2003 Elsevier Ltd. All rights reserved.</t>
  </si>
  <si>
    <t>Jagsi, Reshma/0000-0001-6562-1228</t>
  </si>
  <si>
    <t>0277-9536</t>
  </si>
  <si>
    <t>10.1016/j.socscimed.2003.08.016</t>
  </si>
  <si>
    <t>WOS:000220786100008</t>
  </si>
  <si>
    <t>Kurzinger, E</t>
  </si>
  <si>
    <t>Capacity building for profitable environmental management</t>
  </si>
  <si>
    <t>The P3U Programme of the German Agency for Technical Co-operation (GTZ) has since 1996 developed on behalf of the Gennan Ministry for Economic Co-operation and Development (BMZ) an integrated concept for the promotion of environmental management, suitable especially to small and medium sized businesses (SMEs): Profitable Environmental Management (PREMA(R)) is implemented by change agents in selected developing countries as well as in Germany as market-oriented consultancy services to SMEs. Experience shows that a considerable number of SMEs are interested in a systemic approach to improvements that is based in their core interest, profit, and allows for the realisation of a triple win: cost savings and a better environmental performance through the reduction of non-product output, as well as organisational development through structured learning processes. The resulting organisational and technical improvements in the production process of SMEs are based on changes in human behaviour as well as the management system and can lead to continuous improvements and eventually from the bottom-up to ISO certification. While SMEs easily undertook good housekeeping-type measures which show quick results with little investment, measures requiring larger investments and longer payback periods were only undertaken at a later stage of the process of economic-environmental-organisational change and under conditions of political and economic stability. Barriers regarding information, technology and finance may be overcome by the SMEs themselves by tapping the problem-solving capacities in the companies throughout a systematic change process. The widespread application of triple win measures makes production processes and management more profitable and more environmentally sound. (C) 2003 Elsevier Ltd. All rights reserved.</t>
  </si>
  <si>
    <t>10.1016/S0959-6526(03)00095-7</t>
  </si>
  <si>
    <t>WOS:000186789700007</t>
  </si>
  <si>
    <t>Todtling, F; Wanzenbock, H</t>
  </si>
  <si>
    <t>Regional differences in structural characteristics of start-ups</t>
  </si>
  <si>
    <t>ENTREPRENEURSHIP AND REGIONAL DEVELOPMENT</t>
  </si>
  <si>
    <t>In recent years new firm formation has become a major area of both research and policy. Yet, while regional differences in business start-up intensity, and their causes, have been the subject of various studies, few attempts have been made to investigate spatial variation in the structural features of start-ups. Theoretical considerations and the existing literature both suggest that agglomeration advantages and sectoral structure of regions figure prominently among the factors important in influencing start-up activity and characteristics. In the empirical analysis of start-ups in Austria we accordingly apply a regional typology based on these two factors. The data analysed were drawn from two similarly designed surveys relating to the years 1990 and 1997. It is shown that Austria displays marked regional differences in start-up activity, in terms of both intensity and characteristics. In line with the urban incubator hypothesis, tertiary centres - above all the Vienna region - displayed significantly above-average start-up rates, as well as more favourable structural characteristics of the new firms. Start-up activity in old industrial and in rural areas was substantially lower than average, structural features also being less positive there. Furthermore, the 1990 cohort displayed regional differences in business start-ups' survival period, although the Cox model indicated no significant direct influence of area type in this respect. In economic policy terms it can be concluded that, as well as a general improvement in the environment for start-tips, greater regional differentiation of financial, informational and consultancy support is desirable, since not only the conditions for new firm formation but also the intensity and characteristics of start-ups themselves vary considerably between regions.</t>
  </si>
  <si>
    <t>Todtling, Franz/0000-0003-1105-5149</t>
  </si>
  <si>
    <t>0898-5626</t>
  </si>
  <si>
    <t>OCT-DEC</t>
  </si>
  <si>
    <t>10.1080/0898562032000058923</t>
  </si>
  <si>
    <t>WOS:000186632000005</t>
  </si>
  <si>
    <t>Hill, HC</t>
  </si>
  <si>
    <t>Understanding implementation: Street-level bureaucrats' resources for reform</t>
  </si>
  <si>
    <t>JOURNAL OF PUBLIC ADMINISTRATION RESEARCH AND THEORY</t>
  </si>
  <si>
    <t>This article argues that policy as written often fails to teach implementers what they need to know to do policy. instead, it identifies a network of nonstate policy professionals-professional associations, academics, trainers, and consultants-who disseminate policy and its entailments to implementers, acting as nonstate resources for getting policy done. These implementation resources may interpret and publicize legislation, formulate and recommend the organizational or individual practices needed for implementation, or train implementers in the skills needed to do their jobs differently. By offering reasons for putting policy in place, they may also convince implementers, whose work environments are typically crowded with competing demands for action, to get policy done. This implementer learning perspective augments traditional theories of implementation by focusing on the effects of actor understanding-or misunderstanding-on policy outcomes. This article outlines the implementation literature, describing how such resources fill both theoretical and descriptive gaps in scholars' views of policy reforms. It provides evidence regarding the efficacy of implementation resources in one policy arena: community policing. Finally, it summarizes the importance of this project to implementation theory.</t>
  </si>
  <si>
    <t>1053-1858</t>
  </si>
  <si>
    <t>10.1093/jopart/mug024</t>
  </si>
  <si>
    <t>WOS:000186235800002</t>
  </si>
  <si>
    <t>Koeter, HBWM</t>
  </si>
  <si>
    <t>Mutual acceptance of data: harmonised test methods and quality assurance of data - the process explained</t>
  </si>
  <si>
    <t>TOXICOLOGY LETTERS</t>
  </si>
  <si>
    <t>40th Congress of the European-Societies-of-Toxicology</t>
  </si>
  <si>
    <t>SEP 15-18, 2002</t>
  </si>
  <si>
    <t>BUDAPEST, HUNGARY</t>
  </si>
  <si>
    <t>European Soc Toxicol</t>
  </si>
  <si>
    <t>An essential aspect of the OECD is that it should not be considered a supranational organisation, but rather a center for discussion where governments express their points of view, share their experiences and search for common ground. This implies that decisions are made by consensus instead of majority. Once the Council, which is the highest authority of the OECD, adopts a formal Decision, such a decision is binding on all Member countries. The OECD Guidelines for the Testing of Chemicals, which are considered the leading international standard for safety testing, form an integrated part of such a binding Council Decision. An even more important part of that same Council Decision is that on Mutual Acceptance of Data, where it states that: 'Data generated in the testing of chemicals in an OECD Member country in accordance with OECD Test Guidelines and OECD Principles of Good Laboratory Practice (GLP) shall be accepted in other Member countries for purposes of assessment and other use relating to the protection of man and the environment.' In the various steps of the process of Test Guideline development, the National Co-ordinators of the Test Guideline Programme play an important role. The initiative to start the development of a particular guideline can be taken by the OECD Secretariat, by one or more Member countries or, most importantly, by the scientific community itself. Proposals, received by the Secretariat are discussed at the yearly Meeting of the National Co-ordinators. During these meetings, priorities for future activities are set and the approach that should be followed in dealing with the selected activities is discussed. Quite often, so-called Detailed Review Papers (DRP's) form the basis of a new or updated Guideline. These DRP's, which are either prepared by a Member country or by a consultant appointed by the Secretariat, describe the current 'state of the art' in scientific progress and technical possibilities of a well-defined area of research. After completion, either an expert meeting or a commenting round will be organised. All Member countries will have sufficient possibilities to express their views. When the DRP is acceptable to the experts of all Member countries, the next step is to actually develop a Test Guideline. Similar to the procedure followed for the DRP, the Test Guideline proposal will be circulated for comment to all Member countries and should reach the desks of relevant experts, nominated by their National Co-ordinator. Frequently, in addition to the commenting rounds, Test Guideline proposals are discussed in special expert meetings. Once the experts reach consensus on a particular Test Guideline, the proposal is put forward to the Meeting of the National Co-ordinators for approval. Since each guideline will form an integrated part of the earlier mentioned Council Decision, each new guideline also needs formal adoption by the Council before it becomes effective. (C) 2003 Published by Elsevier Science Ireland Ltd.</t>
  </si>
  <si>
    <t>0378-4274</t>
  </si>
  <si>
    <t>1879-3169</t>
  </si>
  <si>
    <t>APR 11</t>
  </si>
  <si>
    <t>10.1016/S0378-4274(02)00491-5</t>
  </si>
  <si>
    <t>WOS:000182307900003</t>
  </si>
  <si>
    <t>Waxman, HA</t>
  </si>
  <si>
    <t>Tobacco industry statements in the US Department of Justice lawsuit</t>
  </si>
  <si>
    <t>Over the last half century, the tobacco industry has earned billions of dollars in profits by selling a deadly and addictive product while denying its harmfulness. As criticism of the industry has accelerated in recent years, and calls for product regulation have grown, tobacco companies have defended themselves by saying they are now responsible corporations that aim to communicate honestly about their products. A test of whether the industry has reformed is the truthfulness of company statements made under penalty of sanction in a court of law. At the request of Rep. Henry A Waxman, this report examines recently submitted filings by the five largest cigarette manufacturers in the civil suit brought by the United States Department of Justice (DOJ). The report assesses the truthfulness of company positions on three critical health issues: (1) the health effects of smoking; (2) the health effects of environmental tobacco smoke; and (3) the addictiveness of nicotine. The report also examines three companies' statements about previously controversial issues: Philip Morris's statements on control of nicotine, RJ Reynolds's statements on marketing to children, and British American Tobacco's statements on document destruction. The report finds that when forced to take legally binding positions, the tobacco industry still does not accept scientific consensus about the harms of their products. Despite overwhelming agreement among experts that cigarettes cause disease in smokers, that environmental tobacco smoke causes disease in nonsmokers, and that nicotine is addictive, the report finds: Four of five major tobacco companies still question whether smoking causes disease-That smoking causes lung cancer, heart disease, emphysema, and other diseases is universally accepted by medical and scientific authorities. Yet Lorillard, British American Tobacco, and Brown &amp; Williamson still qualified their statements on causation, and RJ Reynolds acknowledged only that smoking may contribute to causing...diseases in some individuals. All five major tobacco companies deny that environmental tobacco smoke causes disease in non-smokers-Medical and scientific organisations that have found that environmental tobacco smoke causes disease include the US Surgeon General, the World Health Organization, and the American Medical Association. Yet the five leading tobacco companies all indicated that they disagree. Three of these tobacco companies, Philip Morris, British American Tobacco, and Brown &amp; Williamson, admitted only that environmental tobacco smoke can be irritating or annoying to non-smokers. Four of five major tobacco companies fail to admit that nicotine is addictive-Medical and scientific authorities uniformly agree that nicotine is addictive. Yet Lorillard stated that after reasonable inquiry...the information known or readily obtainable by Lorillard is insufficient to enable Lorillard to further admit or deny that nicotine is addictive. Philip Morris, RJ Reynolds, and British American Tobacco dodged the question. The report also finds that individual tobacco companies are unwilling to take responsibility for well documented corporate behaviour. The report documents: Philip Morris continues to deny it has control over nicotine-in 1996, former company scientists explained in detail how the company used a multitude of methods with the goal of controlling the nicotine levels. Yet in its court filing, Philip Morris still denied it...controls' the nicotine content of its cigarette filler or the...nicotine yields of cigarette smoke. RJ Reynolds continues to deny it has marketed to children-Dozens of internal company documents show that RJ Reynolds planned to  [d]irect advertising appeal to the younger smokers as young as 14 years of age. Yet in its court filing, RJ Reynolds stated it is not aware that any of its marketing programs from 1954 to the present have targeted persons under the age of 18. British American Tobacco continues to deny document destruction-An Australian court has recently determined that a British American Tobacco subsidiary destroyed thousands of documents to defeat smoking and health lawsuits. Just last month, a former general counsel and consultant of British American Tobacco admitted under oath that one purpose of the company's document retention policy was to prevent documents from being used in litigation. Yet in its court filing, British American Tobacco denied it ever destroyed, caused to be destroyed, or [was] aware of the destruction of documents because the documents would have been adverse to [British American Tobacco] if they had been produced in discovery during smoking and health litigation.</t>
  </si>
  <si>
    <t>10.1136/tc.12.1.94</t>
  </si>
  <si>
    <t>WOS:000181443500025</t>
  </si>
  <si>
    <t>Henderson, AR; Morgan, C; Smith, B; Sorensen, HC; Barthelmie, RJ; Boesmans, B</t>
  </si>
  <si>
    <t>Offshore wind energy in Europe - A review of the state-of-the-art</t>
  </si>
  <si>
    <t>WIND ENERGY</t>
  </si>
  <si>
    <t>After several decades of theoretical developments, deskstudies, experimental wind turbines and prototype wind forms, the first large-scale commercial developments of offshore wind forms are now being built. To support and accelerate this development, the European Commission funded a project, 'Concerted Action on Offshore Wind Energy in Europe' (CA-OWEE), which aimed to gather, evaluate, synthesize and distribute knowledge on all aspects of offshore wind energy, including offshore technology, electrical integration, economics, environmental impacts and political aspects. The partners are from a wide range of fields and include developers, utilities, consultants, research institutes and universities. This article reports on the final conclusions of this project, with the complete report being available online at http://www.offshorewindenergy.org. Copyright (C) 2003 John Wiley Sons, Ltd.</t>
  </si>
  <si>
    <t>Barthelmie, Rebecca J/A-7693-2018</t>
  </si>
  <si>
    <t>Barthelmie, Rebecca J/0000-0003-0403-6046</t>
  </si>
  <si>
    <t>1095-4244</t>
  </si>
  <si>
    <t>1099-1824</t>
  </si>
  <si>
    <t>10.1002/we.82</t>
  </si>
  <si>
    <t>WOS:000186355700003</t>
  </si>
  <si>
    <t>Pitsilis, G</t>
  </si>
  <si>
    <t>Meersman, R; Tari, Z</t>
  </si>
  <si>
    <t>Choosing reputable resources in atomistic peer-to-peer environments</t>
  </si>
  <si>
    <t>ON THE MOVE TO MEANINGFUL INTERNET SYSTEMS 2003: OTM 2003 WORKSHOPS</t>
  </si>
  <si>
    <t>LECTURE NOTES IN COMPUTER SCIENCE</t>
  </si>
  <si>
    <t>OTM Confederated International Woprkshops HCT-SWWA/IPW/JTRES/WORM/WMS and WRSM 2003</t>
  </si>
  <si>
    <t>NOV 03-07, 2003</t>
  </si>
  <si>
    <t>CATANIA, ITALY</t>
  </si>
  <si>
    <t>Peer-to-Peer information sharing environments have gained recognition and popularity during the recent years. In spite of the useful characteristics they provide in the ways that the participants can collaborate, the issue of quality preservation in the shared material has not been addressed yet. The lack of appropriate mechanisms and policies to evaluate the participants has sown fears that the overall popularity of the services will be affected. The nature of atomistic p2p models, where survivability is based on the idea of self-organization into communities could be the basis of a solution to the quality problem build-up by the peers themselves. We consider that the deployment of an assessment scheme as a consultancy service based on a localized view of reputation could help the associated members of the peer-to-peer community in making their choices and thus in the provision of better services.</t>
  </si>
  <si>
    <t>0302-9743</t>
  </si>
  <si>
    <t>3-540-20494-6</t>
  </si>
  <si>
    <t>WOS:000188513300097</t>
  </si>
  <si>
    <t>Cooper, NJ; Barber, PC; Bray, MJ; Carter, DJ</t>
  </si>
  <si>
    <t>Shoreline management plans: a national review and engineering perspective</t>
  </si>
  <si>
    <t>PROCEEDINGS OF THE INSTITUTION OF CIVIL ENGINEERS-WATER AND MARITIME ENGINEERING</t>
  </si>
  <si>
    <t>Shoreline management plans were introduced by the Government in England and Wales in the early 1990s as a means of enabling large-scale and longer-term planning of risks to people and the developed and natural environments from coastal flooding and erosion. This paper presents results from a national review of the first-generation shoreline management plans, commissioned by the (then) Ministry of Agriculture, Fisheries and Food (MAFF), which critically assessed the methods used during their preparation and implementation and the type, detail and format of output generated. Particular focus is given in the paper to: (a) client-side project management and the procurement of consultants; (b) the nature of assessment of coastal defences; (c) the identification and adoption of strategic coastal defence options such as 'hold', 'retreat' or 'advance' the existing line of defence and 'do nothing, and (d) the levels of economic assessment contained within the Plans. The general strengths and weaknesses of shoreline management plans are presented, together with future recommendations that, when adopted, will enable the quality of shoreline management planning to continue to improve.</t>
  </si>
  <si>
    <t>Bray, Malcolm/0000-0002-5606-7461</t>
  </si>
  <si>
    <t>1472-4561</t>
  </si>
  <si>
    <t>WOS:000178803100008</t>
  </si>
  <si>
    <t>Yong, CT; Sien, CF; Razak, RHA</t>
  </si>
  <si>
    <t>Corporate governance of road construction in Brunei Darussalam</t>
  </si>
  <si>
    <t>PROCEEDINGS OF THE INSTITUTION OF CIVIL ENGINEERS-TRANSPORT</t>
  </si>
  <si>
    <t>Environmental Impact Assessment (EIA) is not mandatory before starting any major road construction or infrastructure development in Brunei Darussalam. Nevertheless, some variations of impact assessment have been conducted as part of the feasibility studies for many of these projects. Such an obligation would encourage most consultants to focus on the merits and problems of the physical state of the environment. Their clients would then be led to examine and adopt the various engineering solutions along with the financial implications as laid out by the consultants. Assessment and preparation for socio-economic changes are often sidelined. Planning for modern transportation cannot afford to ignore the whole spectrum of the environmental impact. The selection of a road or its network is more often influenced by the human landscape and the change in environmental quality than by factors related to landform, earthwork and slope stability. During the construction and operation stages, the impact generally consists of a mixture of positive and negative components. The latter can then be made worse by poor quality in design, construction and maintenance. This paper draws a conceptual approach to the development of good corporate governance for key organisations (clients, consultants, contractors and suppliers) amidst the existing economic landscape and construction practices. All relevant organisations should ideally embrace the concept of an integrated Health, Safety, Environmental and Quality (HSEQ) system to deliver good governance. This structural change will enable all 'key players' to deliver solutions that match the benefits derived from traditional forms of EIA and quality assurance (QA). The paper attempts to embed the two obligatory functions, namely the QA and the EIA, into the self-regulatory, responsible, and competitive culture found among clients, consultants, contractors and suppliers in the road industry in Brunei Darussalam.</t>
  </si>
  <si>
    <t>0965-092X</t>
  </si>
  <si>
    <t>WOS:000177581100003</t>
  </si>
  <si>
    <t>Nielsen, CS; Sausen, TM</t>
  </si>
  <si>
    <t>Transforming environmental monitoring into action plans: Lessons learned from a decade of RADARSAT-1 initiatives in Latin America</t>
  </si>
  <si>
    <t>CANADIAN JOURNAL OF REMOTE SENSING</t>
  </si>
  <si>
    <t>Over the past decade nations around the world have invested scarce resources in civilian radar remote sensing from space, through capital investments in satellites and data-acquisition programs, organizational support for training, technical assistance, and purchases of high-technology equipment and materials. This paper provides a retrospective on major collaborative initiatives that have taken place in Latin American related to RADARSAT-1 over this period and outlines challenges still to be faced if RADARSAT and other imaging radar systems are to reach their full potential to inform operational resource managers and policy-makers. The purpose of this paper is to assess RADARSAT-1 initiatives in Latin America in terms of accomplishments and lessons learned in three areas: (1) technology development, transfer, and exchange between Canadian and Latin American experts; (2) applications to natural resource monitoring and management through the involvement of operational users; and (3) incorporation into international and national policies for sustainable development. RADARSAT-1 achievements are measured in terms of long-term goals described in the EverGreen Plan, a 1989 proposal designed to build indigenous capabilities and encourage operational use and acceptance by political, economic, and business leaders. This assessment is based on the results of a survey of GlobeSAR-2 national coordinators and is set in the context of a review of RADARSAT-1 programs that have taken place in Latin America over the past decade. A thematic analysis of 278 papers presented at the IX Latin American Remote Sensing Symposium is included to highlight resource application areas in which RADARSAT-1 has proven most successful. The authors have played active roles in RADARSAT-1 initiatives during the past 10 years. Christine Nielsen was co-author of The EverGreen Plan, and served as a consultant to Radarsat International (RSI) in 1991, responsible for designing an international education strategy prior to the launch of RADARSAT-1. Tania Sausen is a leader in remote sensing training and education programs at INPE. Over the past ten years she has organized many seminars and training courses, primarily related to ERS. Sausen is President of Technical Commission VI - Education and Communication for the International Society of Photogrammetry and Remote Sensing.</t>
  </si>
  <si>
    <t>0703-8992</t>
  </si>
  <si>
    <t>10.5589/m02-021</t>
  </si>
  <si>
    <t>WOS:000175510300020</t>
  </si>
  <si>
    <t>Meyers, B</t>
  </si>
  <si>
    <t>The contract negotiation stage of a school-based, cross-cultural organizational consultation: A case study</t>
  </si>
  <si>
    <t>This article draws on organizational and cross-cultural consultation tenets, to analyze the contract negotiation of a school reform initiative by focusing on the contracting and cross-cultural issues that emerge at that stage. A case from one school presents illustrative examples generated and grounded by qualitative methodology using participant observation, semistructured interviews, extant records, and researcher logs. Themes related to contract negotiation that were derived from the analysis include conflicting expectations and beliefs; dissatisfactions with procedures and policies; lack of empowerment; pedagogical dissonance; and feelings of blame, inadequacy, and racism. This case highlights problems that can occur in school-based, cross-cultural organizational consultation when a rigid adherence to the content of consultation overshadows the consultation process. It is suggested that framing consultation as a coconstructed, participatory process that includes consensual contract negotiation may promote successful school reform. This is significant when the consultants and consultees do not share common cultural reference points. It is argued that consultants who value cultural reciprocity between themselves and consultees while being intentional in their use of process skills have the best potential to effect sustainable school-based change.</t>
  </si>
  <si>
    <t>10.1207/S1532768XJEPC1303_02</t>
  </si>
  <si>
    <t>WOS:000181818100001</t>
  </si>
  <si>
    <t>Brun, JP; Loiselle, CD</t>
  </si>
  <si>
    <t>The work of safety practitioners: Work context and activity profile</t>
  </si>
  <si>
    <t>RELATIONS INDUSTRIELLES-INDUSTRIAL RELATIONS</t>
  </si>
  <si>
    <t>In this article, the term front-line safety practitioners refers to the various company members who regularly and directly intervene in the workplace with respect to health and safety within organizations. This definition covers both employer and worker representatives, whether or not they have undergone training recognized by an occupational health and safety agency. (Work inspectors, specialized consultants and physicians are here excluded from the category of front-line safety practitioners.) Today's front-line safety practitioners working within companies must be adaptable because they face a constantly evolving work environment and increased complexity in their occupational health and safety work. We observe two concomitant phenomena within companies: an increase in the number of occupational health and safety interveners (foremen, engineers, managers, employees) and increased expertise in prevention. Although the safety practitioner presumably plays an essential role in this tension between generalization and specialization, little is known about its inherent functions and responsibilities. Based on the literature addressing safety practitioners' work, their activities and the work sites where they operate, we have identified three major spheres where the activities identified in prevention can be linked. Preventive initiatives can be directed toward the human, technical and organizational dimensions of work. Moreover, the scope of safety practitioners' activities spans different levels. Sometimes safety practitioners are directly involved in operational activities (e.g., risk inspection, correction of technical failures) whereas at other times they intervene on a much more strategic level (e.g., company policies, occupational health and safety management system). This article presents the results of a survey conducted among safety practitioners representing employers (n = 111) and safety practitioners representing employees (n = 134), with the objective of developing a better understanding of their respective roles and functions within the companies concerned. The analysis of these results provides a means by which to examine the work context of safety practitioners and highlight its main characteristics. The most significant conclusion that may be drawn from our study is that there is no one right way to conduct preventive interventions. On the contrary, a wide range of intervention strategies results from organizational conditions, interpersonal relations and the characteristic traits of safety practitioners themselves. Implementation of prevention measures is thus a complex issue that becomes incorporated into safety practitioners' relations with the various company members. Based on the responses of employer and worker safety practitioners, we are also able to conclude that intervention priorities are not perceived in the same way. Employer-appointed safety practitioners give priority to the individual and his or her work behaviour and methods. Worker-appointed safety practitioners, however, adopt a more union-oriented view, assigning top priority to having management take action and to administering operational policies in occupational health and safety. The findings also show that work is to an extent divided up between the employers' representatives, whose initiatives are primarily oriented toward the organizational level, and the employees' representatives, whose actions are focused on the technical level. Upon closer analysis, we note that nearly one out of two employer-appointed safety practitioners (48.6%) regularly intervenes at the organizational level. A trend can be observed whereby the safety practitioner emerges as a member whose role as coach, rather than solely as an agent of prevention, becomes increasingly significant. Among safety practitioners named by workers, the intervention profile that stands out (44.8% of cases) is the one termed technical/operational. As safety practitioners who operate in the field, they clearly possess and apply an expertise of their own, which most certainly enables them to conduct prevention interventions at the source of risks. Very few studies address what the work of safety practitioners actually entails. Our research provides a detailed portrait of the intervention practices and the roles of safety practitioners representing the employer and those representing workers.</t>
  </si>
  <si>
    <t>0034-379X</t>
  </si>
  <si>
    <t>10.7202/000144ar</t>
  </si>
  <si>
    <t>WOS:000168447400006</t>
  </si>
  <si>
    <t>DeHart-Davis, L; Bozeman, B</t>
  </si>
  <si>
    <t>Regulatory compliance and air quality permitting: Why do firms overcomply?</t>
  </si>
  <si>
    <t>Industry overcompliance with pollution standards has puzzled economists, leading to a variety of hypotheses about the objectives companies expect to achieve by doing so. This article examines the possibility of overcompliance with a different type of environmental regulation: the paperwork requirements for completing a federal Title V air operating permit application. We suggest that unique political circumstances set the stage for companies to overcomply with their Title V permit application requirements, including tremendous regulatory uncertainty, stiff penalties for intentional corporate noncompliance, and consultants who allegedly were eager to capitalize on both circumstances to sell their services. This regulatory context led us to hypothesize that corporate Title V overcompliance was driven by four factors: a complying organization's internal control processes and red tape; its permitting experience; the quality and quantity of contact with state regulators; and whether the company subcontracted its compliance-related activities. To test the influence of these factors, we analyzed survey data from more than five hundred companies in four states. The results indicate that, while internal red tape and permit inexperience were insignificant cost influences, both the increased contact with regulators and the use of consultants corresponded with higher Title V costs and, by extension, the probability of overcompliance. In contrast to expectations, the presence of regulated facilities in other states was associated with significantly higher Title V costs, perhaps due to inflationary effects of cross-state permit coordination. While caution is warranted in interpretation, the results spark the possibility that communicating extensively with regulators and subcontracting compliance tasks-particularly under conditions of regulatory uncertainty and high perceived noncompliance risks-may lead companies to overly expansive compliance with permit processes.</t>
  </si>
  <si>
    <t>10.1093/oxfordjournals.jpart.a003512</t>
  </si>
  <si>
    <t>WOS:000172135700003</t>
  </si>
  <si>
    <t>Brown, TP; Shuker, LK; Rushton, L; Warren, F; Stevens, J</t>
  </si>
  <si>
    <t>The possible effects on health, comfort and safety of aircraft cabin environments</t>
  </si>
  <si>
    <t>JOURNAL OF THE ROYAL SOCIETY FOR THE PROMOTION OF HEALTH</t>
  </si>
  <si>
    <t>A consultation was undertaken to investigate the views and concerns of stakeholders in the aircraft industry about the possible harmful effects on personal health, comfort and safety of aircraft cabin environments. Stakeholders were identified from a variety of sources including Government agencies, the Internet House of Lords inquiry, and suggestions of interviews. They represented: aircraft crews, aircraft constructors and engineers, government departments and authorities, holiday/flight companies, insurance companies, non-governmental organisations occupational health physicians, passenger representatives, and independent researchers and consultants. Eighty-seven were contracted of which 57 were interviewed over the telephone using a semi-structured questionnaire. Their concerns were transcribed into a standard format and analysed qualitatively. Key stakeholders along with Government officials, were invited to a workshop to discuss and prioritise the issues raised during the interviews. The main concerns expressed by the participants fell into five main areas; deep vein thrombosis, air quality, infection, cosmic radiation and jet lag and work patterns. In addition, a number of safety concerns were raised as well as comments on the provision of appropriate advice to passengers. It was generally felt that further research was required on each of these subjects, as well as an improvement in the quality, quantity and availability of information provided for passengers prior to boarding a flight.</t>
  </si>
  <si>
    <t>1466-4240</t>
  </si>
  <si>
    <t>10.1177/146642400112100315</t>
  </si>
  <si>
    <t>WOS:000173680700015</t>
  </si>
  <si>
    <t>Rose, M; Suffling, R</t>
  </si>
  <si>
    <t>Alternative dispute resolution and the protection of natural areas in Ontario, Canada</t>
  </si>
  <si>
    <t>In this paper we ask, Can alternative dispute resolution (ADR) settle land use disputes between developers and interest groups and still produce environmentally-sound decisions? We selected six Canadian environmental mediation/negotiation cases in Ontario, where proposed residential developments were perceived to threaten natural areas, and interviewed proponents, intervenors and consultants after ADR resolution. We measured success in protecting ecological integrity at each site through comparison with a hypothetical perfect case. Process and outcome criteria tested how each agreement had mitigated damage and maintained or enhanced ecological integrity. Five of six cases successfully met an arbitrary minimum of 50% of both process and outcome criteria. Cases involving the Ontario provincial government were more successful than those with private developers, and environmental groups relying on disinterested environmental principle were more successful than residents' associations that were hampered by others' perceptions of Not in My Backyard (NIMBY) syndrome. Participation by parties hostile to or unfamiliar with ADR hampered the process, and mediators were not perceived as critical to success. Thus, whether parties can solve environmental problems with ADR depends on their perspectives on environmental disputes, and stakeholders must share information openly and indicate their desire for consensus-based decisions. Finally, stakeholders must have access to current scientific information. Among its limitations, ADR is not guaranteed to resolve a dispute, nor can it succeed without voluntary participation by all parties. Third, ADR is effective only when all stakeholders feel that negotiation is useful. Finally, ADR is a reactionary, piecemeal process, and is therefore inefficient in protecting natural areas in a regional context. (C) 2001 Elsevier Science B.V. All rights reserved.</t>
  </si>
  <si>
    <t>10.1016/S0169-2046(01)00156-6</t>
  </si>
  <si>
    <t>WOS:000170987200001</t>
  </si>
  <si>
    <t>Arends, G; de Boer, E</t>
  </si>
  <si>
    <t>Tunnelling of infrastructure: from non-considered to ill considered - lessons from the Netherlands</t>
  </si>
  <si>
    <t>TUNNELLING AND UNDERGROUND SPACE TECHNOLOGY</t>
  </si>
  <si>
    <t>In The Netherlands, tunnels are in much (public) demand since approximately 1980. Infrastructure is less tolerated in the urban environment, especially when it is elevated above ground. Three different projects for which the authors acted as scientific consultants can serve to demonstrate how problematic it can be to neglect an underground option on the one hand and to make it dogmatic on the other. Existing infrastructure is often seen as both environmentally and commercially damaging, suppressing urban land values. Reconstruction is a difficult task, though, in spite of modern techniques. The Helmond case, where an elevated part of a main road separates the town centre and historical castle and blocks revitalisation of the area, is an adequate demonstration. The proposed replacement with a tunnel proved to be ill considered, i.e. both difficult and costly. Even worse: perhaps the town might do without the road after all! In developing new infrastructure, like, high speed train links, urban alignments are avoided because of public resistance. Yet these may prove to be acceptable if tunnelled, whereas an alignment in the rare open countryside is locally despised. This proved to be true in the case of the Amsterdam-Antwerp High-Speed Railway Line (HSL), for the passage of Dordrecht, south of Rotterdam. An urban underground solution was not considered in the government studies. A local proposal, which proved to be quite feasible, was rejected, mainly because it was presented late in the planning process. New types of infrastructure may be developed explicitly for underground use. Lorries are an ever-bigger problem in local distribution, both for the environment and congestion and for trade, dependent on these. Therefore, underground logistic systems (ULS) are proposed more frequently. Perhaps the best-studied one is the Schiphol Airport ULS, intended predominantly to connect air and rail terminals and the world's largest flower auction at Aalsmeer. It showed that the choice for an underground solution can be too dogmatic, not affordable and only partly necessary. Mixed solutions, partly underground, partly on the surface and partly elevated were quite feasible and economically more attractive. (C) 2001 Elsevier Science Ltd. All rights reserved.</t>
  </si>
  <si>
    <t>0886-7798</t>
  </si>
  <si>
    <t>10.1016/S0886-7798(01)00043-8</t>
  </si>
  <si>
    <t>WOS:000172642800011</t>
  </si>
  <si>
    <t>Eisenman, LT; Chamberlin, M</t>
  </si>
  <si>
    <t>Implementing self-determination activities - Lessons from schools</t>
  </si>
  <si>
    <t>REMEDIAL AND SPECIAL EDUCATION</t>
  </si>
  <si>
    <t>A statewide collaborative team of a university researcher, state department of education project staff, local school teachers and administrators and parent consultants examined how a variety of secondary schools implemented and assessed student self-determination activities. The purpose was to link research to practice by systematically engaging in observation and dialogue about factors affecting implementation and sustainability of self-determination activities within schools. We used multiple methods including participant observation, interviews, networking groups, and student assessments. to gather and evaluate information. Our analyses focused on generating lessons learned that had potential value for participants as well as a broader audience of practitioners, researchers, and policymakers, These lessons included the importance of engaging general educators in dialogue about the self-determination opportunities within the general curriculum.</t>
  </si>
  <si>
    <t>0741-9325</t>
  </si>
  <si>
    <t>10.1177/074193250102200302</t>
  </si>
  <si>
    <t>WOS:000168870000002</t>
  </si>
  <si>
    <t>Kusuda, T</t>
  </si>
  <si>
    <t>Building environment simulation before desk top computers in the USA through a personal memory</t>
  </si>
  <si>
    <t>ENERGY AND BUILDINGS</t>
  </si>
  <si>
    <t>6th International IBPSA Conference</t>
  </si>
  <si>
    <t>SEP 13-15, 1999</t>
  </si>
  <si>
    <t>KYOTO, JAPAN</t>
  </si>
  <si>
    <t>In the USA, full scale computer applications for HVAC related problems started in the early 1960s when the author was involved in the US government's projects to evaluate the thermal environment in fallout shelters by an hour by hour simulation of heat and moisture transfer processes between human occupants and the shelter's interior surfaces under a limited ventilation condition. General building energy simulations based on hour by hour calculations were started a few years later by the gas and electric industries. This led to the formation of the American Society of Heating, Refrigerating and Air-Conditioning Engineers (ASHRAE) Task Group on Energy Requirements to develop a comprehensive hourly energy performance simulation of buildings, as well as to the activities of automated procedure for engineering consultants (APEC) for cooling load calculations. These activities eventually developed into the formation of four international symposia (Gaithersburg, Banff, Paris, and Tokyo) on the use of computers for environmental engineering related to buildings, the forerunner of IBPSA. A considerable amount of effort went into the earlier thermal simulation programs to improve the physical and empirical modeling of air, moisture and heat transfer processes in and through a complex building structure under varying weather conditions and building use conditions. Parallel and equally comprehensive efforts were made to improve the simulations of HVAC systems and equipment, and the development of typical weather data. (C) 2001 Elsevier Science B.V. All rights reserved.</t>
  </si>
  <si>
    <t>0378-7788</t>
  </si>
  <si>
    <t>10.1016/S0378-7788(00)00111-0</t>
  </si>
  <si>
    <t>WOS:000167272000002</t>
  </si>
  <si>
    <t>Hyndman, D</t>
  </si>
  <si>
    <t>Academic responsibilities and representation of the Ok Tedi crisis in postcolonial Papua New Guinea</t>
  </si>
  <si>
    <t>CONTEMPORARY PACIFIC</t>
  </si>
  <si>
    <t>Since the start of the Ok Tedi mining project in Papua New Guinea in 1981, Broken Hill Proprietary has operated it. Weak environmental protection laws and a series of ecological disasters have endangered the greater Ok Tedi and Fly River socioecological region. A grassroots indigenous popular ecological resistance movement made an out-of-court settlement with the mining company in Melbourne in 1996. Early in 2000 the indigenous movement took Broken Hill Proprietary back to court in Melbourne to block the company's attempt to abandon the Ok Tedi mine. Research started with Wopkaimin subsistence ecology in the 1970s. Later the political ecology of the Ok Tedi crisis was evaluated, as was ecological change in social terms; both are illustrated through the politics of cultural and ecological representation. After the successful convergence of radical environmentalists and indigenous popular ecological resistance against the Ok Tedi mine, research shifted to liberation ecology to study the emancipatory potential of struggles and conflicts against environmental degradation. The responsibilities of academics conducting research in the Ok Tedi crisis are examined. The Ok Tedi crisis challenges the proposition that academics can act as honest brokers through mining companies to negotiate deals for local communities. Academics engaged by mining companies as consultants or employees must work according to managed science and circumscribed briefs. The approach of critical liberation ecology, which directs research to community empowerment, represents a freedom of critical inquiry only available in the academy.</t>
  </si>
  <si>
    <t>1043-898X</t>
  </si>
  <si>
    <t>SPR</t>
  </si>
  <si>
    <t>10.1353/cp.2001.0014</t>
  </si>
  <si>
    <t>WOS:000167486900002</t>
  </si>
  <si>
    <t>Smith, KA; Brewer, AJ; Crabb, J; Dauven, A</t>
  </si>
  <si>
    <t>A survey of the production and use of animal manures in England and Wales. II. Poultry manure</t>
  </si>
  <si>
    <t>SOIL USE AND MANAGEMENT</t>
  </si>
  <si>
    <t>A survey of manure management practice was undertaken in 1996, by postal questionnaire submitted to a stratified sample of egg and broiler producers in England and Wales. Out of a target of 500 laying hen and 500 broiler (chickens produced for meat) production units in the survey sample, 356 (36%) returned questionnaires. The survey provided information on amount and type of manure production, manure storage and land application strategies (timing, techniques and awareness of nutrient content). Within the survey, no attempt was made to differentiate between organic and conventional production systems. About 45% of manure production was estimated to come from layer holdings, 55% from broiler litter. It was estimated that 70% of the national manure production is litter-based and about 30% are droppings collected without litter. Sawdust/shavings are the most popular bedding material, with an average final depth of 100 mm for broilers and 140 mm on litter-based layer units. Commonly, storage is available within housing for at least the length of the cropping cycle (6 weeks in broiler production, or 12 months in deep pit laying houses); around 60% of poultry manure is stored for a period following removal from the house, most commonly for 3-6 months. Overall, autumn was the peak period for manure spreading, with over 40% of laying hen manure and 50% of broiler manure applied at that time. On grassland, spreading was reasonably evenly distributed throughout the year but autumn application was favoured for arable crops, especially before the establishment of cereals and root clops; overall, almost 50% of layer and broiler manure was applied in the autumn. In the survey, up to 10% of manures were claimed to be incorporated within a day of application and about 60% within a week of application, presumably because of concern about odour nuisance. Around 25% of poultry manure was applied by contractors. A high proportion of farmers (c. 40% with layers; c. 60% with broilers) exported manures from their holdings, the proportion removed amounting to almost 90% onm these farms. Although evidence elsewhere indicates that farmers make little allowance for manures in planning crop fertilizer inputs, the survey responses suggested that farmers do make an effort to allow for manures but that their confidence in the advice available to them is lacking, or they may have other technical reasons for not taking advantage of the manurial value. Information provided by the survey is of significant importance to policy makers (e.g. for the construction of environmental emissions inventories), researches, consultants and farmers.</t>
  </si>
  <si>
    <t>0266-0032</t>
  </si>
  <si>
    <t>WOS:000168473200007</t>
  </si>
  <si>
    <t>Davey, CL; Lowe, DJ; Duff, AR</t>
  </si>
  <si>
    <t>Generating opportunities for SMEs to develop partnerships and improve performance</t>
  </si>
  <si>
    <t>This research aimed to generate opportunities for UK construction companies, particularly contractors and consultancies with 50 to 150 employees to improve relationships with clients and to increase effectiveness through the exploitation of communication procedures and technologies. The research team used an action learning approach to work with managers from construction companies and housing associations to design and deliver support mechanisms, such as industry workshops, specific to the needs of SMEs. Analysis of the results showed how, as a result of interacting with other groups within a non-adversarial environment and benefiting from the process, partnering and performance improvement came to be seen as both desirable and possible. The trust and confidence generated from working together successfully also led construction SMEs to share good practice with others from the industry, including local competitors. The authors propose that SMEs should be treated as 'leaders' and 'full partners' within the programme for UK industry improvement being championed by Sir John Egan (1998), rather than simply recipients. It is also suggested that governments provide further support to ensure participation from small and micro firms.</t>
  </si>
  <si>
    <t>Lowe, David J/P-5055-2014</t>
  </si>
  <si>
    <t>Lowe, David J/0000-0002-9628-3521</t>
  </si>
  <si>
    <t>10.1080/09613210150208741</t>
  </si>
  <si>
    <t>WOS:000165965700001</t>
  </si>
  <si>
    <t>Eggers, DM; Villani, J; Andrews, R</t>
  </si>
  <si>
    <t>Third-party information providers and innovative environmental technology adoption</t>
  </si>
  <si>
    <t>AMERICAN BEHAVIORAL SCIENTIST</t>
  </si>
  <si>
    <t>This article explores the role of third-party information providers in assisting regulated facilities with environmental compliance technology choices. A key contribution is the finding that regulated facilities that rely more heavily on environmental consultants than in-house information sources choose conventional compliance options more frequently than facilities relying primarily on in-house information. Consultants also perceive environmental regulatory barriers to technology change as being significantly higher than regulated facilities do. Whereas consultants are primarily concerned with environmental regulatory barriers to technology adoption, facilities are primarily concerned with financial barriers. The findings suggest that the biases of consultants and their importance in shaping technology choice decisions should be considered in designing policies to promote environmental technology adoption.</t>
  </si>
  <si>
    <t>0002-7642</t>
  </si>
  <si>
    <t>10.1177/00027640021956206</t>
  </si>
  <si>
    <t>WOS:000167630600007</t>
  </si>
  <si>
    <t>Sterner, E</t>
  </si>
  <si>
    <t>Life-cycle costing and its use in the Swedish building sector</t>
  </si>
  <si>
    <t>The results from a survey examing the extent that Swedish clients in the building sector use life-cycle cost (LCC) estimations are reported. The limits and benefits from the client and user perspectives are also explored. The interest in using LCC approaches for economic evaluation of investment decisions is large. However, constraints exists at a number of levels: uncertainties related to the long term forecasts used, difficulties in achieving relevant input data and lack of experience in using LCC models, incentives for consultants and contractors. Nonetheless, the LCC perspective is proving to be most useful during the design phase where the possibilities of cost reductions related to operation and maintenance are large. LCC can provide motivation for environmental progressive building despite the sometime higher initial cost. The implication for expanding the use of LCC are considered for government, clients/developers, professionals.</t>
  </si>
  <si>
    <t>10.1080/096132100418537</t>
  </si>
  <si>
    <t>WOS:000089364500009</t>
  </si>
  <si>
    <t>Ahlkvist, JA; Fisher, G</t>
  </si>
  <si>
    <t>And the hits just keep on coming: Music programming standardization in commercial radio</t>
  </si>
  <si>
    <t>POETICS</t>
  </si>
  <si>
    <t>Despite much concern over the effects of deregulation and competition in the commercial radio industry, no studies have shown empirically how market characteristics, organizational policies, and programmer practices both promote and constrain music programming standardization in the United States. In this article we analyze playlists from a sample of radio stations to develop a measure of music programming standardization, and relate this variable to eight factors identified in the literature as promoting or limiting music programming standardization . Out findings indicate that large markets are the driving force behind music programming standardization, while station ownership is a secondary factor. The effects of these environmental factors on music programming are mediated by organizational policies and programmer practices: low programmer autonomy and the use of audience research and consultants encourage standardization, while an orientation toward new music and the local audience tend to counteract standardization. Based on these findings we argue that, despite increasing ownership consolidation in the commercial radio industry, music programming standardization will likely be confined to larger markets. We further suggest that concentration in the commercial music radio industry will enable small, specialist stations to survive and even multiply so that diversified programming will be available in all market areas. (c) 2000 Published by Elsevier Science B.V. All rights reserved.</t>
  </si>
  <si>
    <t>0304-422X</t>
  </si>
  <si>
    <t>10.1016/S0304-422X(00)00007-3</t>
  </si>
  <si>
    <t>WOS:000087951200001</t>
  </si>
  <si>
    <t>Winton, PJ</t>
  </si>
  <si>
    <t>Early childhood intervention personnel preparation: Backward mapping for future planning</t>
  </si>
  <si>
    <t>TOPICS IN EARLY CHILDHOOD SPECIAL EDUCATION</t>
  </si>
  <si>
    <t>he centerpiece of my vision for personnel preparation is a well paid, well-educated early childhood intervention workforce situated in learning communities whereby parents, practitioners, administrators, consultants, and university and community college faculty are mutually accountable for creating quality early environments for children. Personnel preparation is an ongoing part of the fabric of daily work. The driving force behind the content and specific personnel preparation activities is the basic question, What do we need to know and do to improve the outcomes for all young children? I suggest that currently we do not have the resources or the policies in place to support such a vision. I further suggest that grassroots public support for early childhood intervention could be achieved through the kind of learning communities envisioned in the opening vignette of this article. I suggest that there are three areas where changes are critical in order to create learning communities: (1) increasing collaboration among multiple partners at multiple levels; (2) attending to diversity issues; and (3) promoting family involvement in personnel preparation. Without a shared vision and commitment to early childhood intervention at the community level, we will continue to operate with a massive gap between what we know from research and how we practice. We know what constitutes an effective personnel preparation system, just like we know what makes an effective early childhood intervention program. The question is can that information be shared in ways that make the need for changes in policies and practices undeniable? It will take a nation of informed learning communities to make my vision a reality.</t>
  </si>
  <si>
    <t>0271-1214</t>
  </si>
  <si>
    <t>10.1177/027112140002000204</t>
  </si>
  <si>
    <t>WOS:000087963400005</t>
  </si>
  <si>
    <t>Kumar, V; Bhat, JSA</t>
  </si>
  <si>
    <t>Dynamics of managing technology in a growing economy - a national perspective: case of India</t>
  </si>
  <si>
    <t>The paper summarizes one of the on-going efforts at the national level to enhance technology management capabilities in the country. While technology management has been accorded considerable importance all along, the dynamics of economic and market environments has led to technology, and consequently its management, acquiring a far more significant role in recent times. While industry, research and academic organizations and other institutions are contributing to enhancing technology capabilities through various measures introduced by them from time to time, The Government has, on its part, initiated a number of activities for the development, utilization and transfer of technology. One significant step that has been taken is the spearheading of a specific Program, wholly devoted to the cause of Technology Management. The Department of Scientific &amp; Industrial Research in the Ministry of Science &amp; Technology is the nodal centre for this Program. An integrative framework covering knowledge enhancement, facilitation and training has been adopted by the Department to derive benefits both in the short as well as in the long term. Wide-ranging activities have been undertaken in close inter-action with industry. research organizations, technical/management institutes, consultants and others.</t>
  </si>
  <si>
    <t>10.1504/IJTM.2000.002847</t>
  </si>
  <si>
    <t>WOS:000087665300011</t>
  </si>
  <si>
    <t>Belanger, JR; Moore, CW</t>
  </si>
  <si>
    <t>The use and value of urban geology in Canada: A case study in the National Capital Region</t>
  </si>
  <si>
    <t>In response to a request to increase its activities in environmental geology and to collaborate with the provinces, the Geological Survey of Canada (GSC) initiated a project in 1993 to provide geoscience information for urban and regional planning and development in eastern Ontario and western Quebec. Prior to the launch of the project, representatives from various levels of government, private consultants, environmentalists. universities and the general public were invited to a forum to discuss the need for and usefulness of urban geological information. The participants confirmed the importance of urban geological information and supported a co-ordinating role for the GSC. Following this forum Natural Resources Canada's Audit and Evaluation Branch undertook an impact study that examined the usefulness and value of benefits of basic types of geoscience information in urban and regional planning and development. The evaluation study of the National Capital Region Project determined that geoscience documents are used extensively and provide an authoritative standard for work. They are particularly useful in preliminary project planning, geotechnical engineering for major facilities, environmental impact assessments, public safety planning, and as a multi-disciplinary research tool and field guide. The estimated value of benefits includes a 5%-20% reduction in the cost of civil/ environmental engineering design acid planning study work, and considerable monetary savings in derived or indirect benefits, amounting to annual savings of several million dollars. Recent technological advances increase the possible range of applications, especially for those who have traditionally been users of geological maps.</t>
  </si>
  <si>
    <t>WOS:000084431900003</t>
  </si>
  <si>
    <t>Richardson, NE; Thomas, JA; Lyche, DK; Romlein, J; Norton, GS; Dolecek, QE</t>
  </si>
  <si>
    <t>The philosophy of benchmark testing a standards-based picture archiving and communications system</t>
  </si>
  <si>
    <t>JOURNAL OF DIGITAL IMAGING</t>
  </si>
  <si>
    <t>The Department of Defense issued its requirements for a Digital Imaging Network-Picture Archiving and Communications System (DIN-PACS) in a Request for Proposals (RFP) to industry in January 1997, with subsequent contracts being awarded in November 1997 to the Agfa Division of Bayer and IBM Global Government Industry, The Government's technical evaluation process consisted of evaluating a written technical proposal as well as conducting a benchmark test of each proposed system at the vendor's test facility. The purpose of benchmark testing was to evaluate the performance of the fully integrated system in a simulated operational environment. The benchmark test procedures and test equipment were developed through a joint effort between the Government, academic institutions, and private consultants. Herein the authors discuss the resources required and the methods used to benchmark test a standards-based PACS. Copyright (C) 1999 by W.B. Saunders Company.</t>
  </si>
  <si>
    <t>0897-1889</t>
  </si>
  <si>
    <t>10.1007/BF03168847</t>
  </si>
  <si>
    <t>WOS:000080296500006</t>
  </si>
  <si>
    <t>Norton, GA; Adamson, D; Aitken, LG; Bilston, LJ; Foster, J; Frank, B; Harper, JK</t>
  </si>
  <si>
    <t>Facilitating IPM: The role of participatory workshops</t>
  </si>
  <si>
    <t>INTERNATIONAL JOURNAL OF PEST MANAGEMENT</t>
  </si>
  <si>
    <t>Successful, long-term implementation of Integrated Pest Management (IPM) requires the integration of key technical and management activities and the participation of a wide range of stakeholders including farmers, researchers, extension officers, crop consultants, government agencies, and industry. A key issue that needs urgent attention is how to achieve the high quality interaction between these different groups which is necessary for sustained IPM. Problem specification and planning workshops (PSPWs) provide one means of facilitating an integrated strategy for tackling complex pest management issues. Since 1992, the Cooperative Research Centre for Tropical Pest Management has facilitated over 20 PSPWs, focusing on different farming systems in Australia. This paper describes the philosophy, the process involved, and the impact that these PSPWs have had. It examines three specific cases to describe the relationship between plans and results and ways of improving impact. The results reinforce the major role that social scientists can play in providing mechanisms for collaborating with technical researchers and other partners to facilitate effective, participatory ventures in IPM.</t>
  </si>
  <si>
    <t>Adamson, David/A-5310-2011</t>
  </si>
  <si>
    <t>Adamson, David/0000-0003-1616-968X</t>
  </si>
  <si>
    <t>0967-0874</t>
  </si>
  <si>
    <t>APR-JUN</t>
  </si>
  <si>
    <t>10.1080/096708799227860</t>
  </si>
  <si>
    <t>WOS:000080024600002</t>
  </si>
  <si>
    <t>Kasarda, JD; Rondinelli, DA</t>
  </si>
  <si>
    <t>Innovative infrastructure for agile manufacturers</t>
  </si>
  <si>
    <t>To remain competitive, manufacturers increasingly need a support system of transportation; telecommunications, services, and knowledge centers. In the United States, some cities and government agencies are building individual components of a supporting infrastructure. But a strategic approach in which. public and private sectors cooperate to create a business environment that enhances manufacturing agility is needed. An example of such a system is the Global Transpark in North Carolina, which has fully integrated air, rail, highway, and sea transportation systems,as well as telecommunication and state-of-the-art electronic data interchange technologies to support manufacturers' logistical requirements. It contains the four elements that the authors say are necessary to agile manufacturers. 1. A seamless transportation network, with traffic management vehicle control and safety systems, electronic toll payment, and emergency management systems. The network integrates air, sea, and land transportation through materials handling systems that accommodate various industries. 2. Telecommunications networks that provide information on markets and orders, track and manage material Rows, and pool R&amp;D information. 3. Access to financial institutions, marketing and sales agents and consultants, legal services, exposition centers, and foreign trade zones. Agile manufacturers need commercial and service support, along with community amenities like good schools and cultural facilities. 4. A source of scientists, engineers, and managers. Such knowledge centers provide access to R&amp;D labs, colleges and universities, and a trained workforce. What is needed, according to Kasarda and Rondinelli, is a cooperative approach to create an environment that Gills all these requirements. Such an approach needs government and industry to work together to integrate infrastructure components.</t>
  </si>
  <si>
    <t>WOS:000071510000010</t>
  </si>
  <si>
    <t>Smyth, C; Dearden, P</t>
  </si>
  <si>
    <t>Attitudes of environmental management personnel involved in surface coal mine reclamation in Alberta and British Columbia, Canada</t>
  </si>
  <si>
    <t>APPLIED GEOGRAPHY</t>
  </si>
  <si>
    <t>Fundamental to significant improvements in the overall process of reclaiming high-elevation surface mine disturbances is an understanding of the role of the opinions and attitudes of the participants to the design of reclamation research and management programmes. An attitude/opinion survey employing the Total Design Method (TDM) was completed by 86 per cent of 116 potential respondents, including government regulators, seed and nursery stock suppliers, reclamation consultants and environmental and mining engineering personnel in private industry. Differences in attitudes were observed between occupational and experience subgroups of the population, A preoccupation with short-term economics was found, as well as a general lack of agreement on many technical issues for which there is consensus in the international literature, Cognitive oversimplification appears to be a problem within some of the occupational groups. (C) 1998 Elsevier Science Ltd. All rights reserved.</t>
  </si>
  <si>
    <t>0143-6228</t>
  </si>
  <si>
    <t>1873-7730</t>
  </si>
  <si>
    <t>10.1016/S0143-6228(98)00018-6</t>
  </si>
  <si>
    <t>WOS:000076692000005</t>
  </si>
  <si>
    <t>Armand, F</t>
  </si>
  <si>
    <t>Small hydropower in the context of French renewable energy policy</t>
  </si>
  <si>
    <t>HOUILLE BLANCHE-REVUE INTERNATIONALE DE L EAU</t>
  </si>
  <si>
    <t>Renewable Energy sources are available for a large development in the world. They are local sources, their technologies are mature and make no gas pollution. There is an important potential and only a little part of it is exploited. Referring to small hydro, 500 TWh are available and only 80 are harnessed. In France, there are 2500 professionals, and the turnover of consultants and industrials (excluding the sale of electricity) is about 400 M FFR. Within an international context where countries try to reduce pollution and the emission of greenhouse effect gases, the French government decided to relaunch energy savings and renewable energy sources. Regarding small hydro, it is planned to develop environment friendly operations : refurbishment, upgrading, environmental labels and also to lend a support to export.</t>
  </si>
  <si>
    <t>0018-6368</t>
  </si>
  <si>
    <t>WOS:000077533300005</t>
  </si>
  <si>
    <t>Khasnabis, S; Ellis, JT; Baig, MF</t>
  </si>
  <si>
    <t>Legal implications of automated highway systems</t>
  </si>
  <si>
    <t>TRANSPORTATION QUARTERLY</t>
  </si>
  <si>
    <t>Automated Highway Systems (AHS) is a long-term, futuristic concept for automatically controlling vehicles in special highway lanes to increase capacity and safety. In the AHS environment, vehicles will be guided on a high-speed corridor by a complex combination of roadway and communication devices, rather than by the driver, to maximize system efficiency. The National Automated Highway System Consortium, comprising a group of industries, consultants, and universities, was established by the U.S. Department of Transportation in 1994 to test the feasibility of AHS in the United States, While much of the technological basis for the design of AHS is in place, little research is reported in the literature to establish the legal framework within which such a system might operate. The purpose of this article is to make a preliminary assessment of the legal implications of AHS and to suggest possible means to overcome legal barriers that might impede AHS deployment in the United States. This article addresses issues associated with AHS use, It examines federal government and tort liability, sovereign immunity, products vs, services, and standards and protocols, Based on a comprehensive review of federal laws and sovereign immunity issues, conclusions and recommendations are presented.</t>
  </si>
  <si>
    <t>0278-9434</t>
  </si>
  <si>
    <t>WOS:000072452800010</t>
  </si>
  <si>
    <t>Grotz, R; Braun, B</t>
  </si>
  <si>
    <t>Territorial or trans-territorial networking: Spatial aspects of technology-oriented co-operation within the German mechanical engineering industry</t>
  </si>
  <si>
    <t>REGIONAL STUDIES</t>
  </si>
  <si>
    <t>This study examines the relevance and viability of innovation-oriented networks of small and medium sized enterprises (SMEs) in three differently structured industrial environments in Germany. It is mainly based on in-depth interviews in 155 SMEs of the mechanical engineering industry and with regional innovation consultants. Empirical results suggest that regional networks are hardly dominant features of the surveyed areas. Weak ties and innovation-oriented relationships are far less spatially restricted than generally assumed. In many cases, the access to interregional contact networks is much more important, especially for technology-intensive firms. Generally, technological change and competitiveness are pursued more through individual product-oriented firm strategies than through intensified regional networking. This has to be considered if network concepts are to be translated into regional economic policies.</t>
  </si>
  <si>
    <t>0034-3404</t>
  </si>
  <si>
    <t>1360-0591</t>
  </si>
  <si>
    <t>10.1080/00343409750131686</t>
  </si>
  <si>
    <t>WOS:A1997XV03000001</t>
  </si>
  <si>
    <t>Cherniss, C</t>
  </si>
  <si>
    <t>Teacher empowerment, consultation, and the creation of new programs in schools</t>
  </si>
  <si>
    <t>Meeting of the Society-for-Community-Research-and-Action</t>
  </si>
  <si>
    <t>CHICAGO, IL</t>
  </si>
  <si>
    <t>Soc Community Res &amp; Act</t>
  </si>
  <si>
    <t>In this article I discuss implications of empowerment theory, as developed by community psychologists, for consultants involved in the development of new programs in schools. I consider the nature of empowerment, including the distinction between psychological and political empowerment. Factors in the planning process and the organizational environment that influence empowerment are specified, including clear and meaningful roles, self-efficacy, self-determination, impact, political and socio-emotional support, access to strategic information and resources, inspiring and shared leadership, and a strengths-based work culture. I present data from a study of teachers showing how these factors contribute to greater openness to change, and I summarize two other studies that highlight dilemmas encountered in pursuing empowerment. I conclude with action guidelines for consultants who wish to increase teacher support for new programs.</t>
  </si>
  <si>
    <t>10.1207/s1532768xjepc0802_3</t>
  </si>
  <si>
    <t>WOS:A1997WZ39000003</t>
  </si>
  <si>
    <t>Lucas, OWR</t>
  </si>
  <si>
    <t>Aesthetic considerations in British forestry</t>
  </si>
  <si>
    <t>FORESTRY</t>
  </si>
  <si>
    <t>The paper 'Aesthetic Considerations in British Forestry' (Dallimore, 1927) is reviewed from a current perspective. The subsequent lack of attention to the appearance of afforestation led to widespread criticism and the Forestry Commission responded by the appointment of Sylvia Crowe as landscape consultant. The development of a visual response to the landscape in forest design was adopted by some foresters but others found a functional and silvicultural approach easier and this resulted in continued visual problems of shape and, more frequently, scale. The ecological, hydrological, archaeological and social demands on forest planning and design have followed those of landscape and have become part of an integrated approach. Policy continues to be more clearly prescribed about such matters with the development of guidelines, indicative strategies and forestry standards. The need for other environmental demands to be integrated with landscape considerations and not to its detriment is stressed especially as good landscape design is capable of inspiring strong public support for forestry.</t>
  </si>
  <si>
    <t>0015-752X</t>
  </si>
  <si>
    <t>10.1093/forestry/70.4.343</t>
  </si>
  <si>
    <t>WOS:A1997YG23200009</t>
  </si>
  <si>
    <t>Oliver, WLR; Narayan, G; Raj, M</t>
  </si>
  <si>
    <t>The pigmy hog Sus salvanius conservation programme: Background description and report on progress to end December 1996</t>
  </si>
  <si>
    <t>DODO-JOURNAL OF THE WILDLIFE PRESERVATION TRUSTS</t>
  </si>
  <si>
    <t>Nearly ten years after its conception, a recovery programme for the critically endangered pigmy hog Sus salvanius was formally approved, and an implementation plan agreed, by the signing of an International Conservation Management and Research Agreement (ICMRA) on 16 February 1995 at the Ministry of Environment and Forests, Government of India, in New Delhi. This Agreement, the first of its kind in India, was signed by senior representatives of the four collaborating parties: the Union Ministry of Environment and Forests, Government of India; the Assam State Forest Department, Government of Assam; the IUCN/SSC Pigs and Peccaries Specialist Group (PPSG); and the Jersey Wildlife Preservation Trust (JWPT). A successful funding application by the JWPT to the European Union also ensured the majority of funding support for the first three years. The Agreement is based around a Three-point Action Plan for the Conservation of the Pigmy Hog, which was drafted in April 1985 at the invitation of the Joint Secretary for Wildlife in the Union Ministry. The Action Plan was formulated by the PPSG, but based largely on the results of field research sponsored by JWPT and conducted in close collaboration with the Wildlife Division of the Assam Forest Department, some of whose officers were also instrumental in the formulation of the ICMRA. The history of these events is outlined, along with an account of the major activities and progress made since the signing of the Agreement. These activities have included: appointment and training of project staff and appointment of scientitic consultants; acquisition of project vehicle and other equipment; conduct of preliminary field surveys; selection and development of the Pigmy Hog Research and Breeding Centre at Basistha; capture of six (2.4) hogs as founders for the breeding programme, development of husbandry procedures and birth/rearing of the first 12 (6.6) hogs at Basistha; capture, radio-collaring, release and monitoring of a further four (3.1) hogs; initiation of behaviour, reproductive and life-history studies of captive hogs, and activity rhythms, ranging patterns and ecological studies of wild hogs; initiation and development of longer-term ecology and management studies of tall grasslands; and development of recommendations for the enhanced future protection and management of remnant hog populations and grasslands in Manas, Barnadi and other selected areas.</t>
  </si>
  <si>
    <t>0265-5640</t>
  </si>
  <si>
    <t>WOS:000075795700006</t>
  </si>
  <si>
    <t>Sobottka, A; Thriene, B</t>
  </si>
  <si>
    <t>Sanitation programmes for living spaces and health risks involved</t>
  </si>
  <si>
    <t>5th European Meeting of Environmental Hygiene</t>
  </si>
  <si>
    <t>JUN 27-29, 1995</t>
  </si>
  <si>
    <t>PRAGUE, CZECH REPUBLIC</t>
  </si>
  <si>
    <t>The former GDR had adopted a housing programme focusing on developing new residential high-rise building areas with district heating at the outskirts of the cities. Deterioration of residential buildings in the city centres was a result of this policy. Since 1990, energy saving measures have been implemented, including installation of new windows, provision of heat insulation and conversion of the old heating systems to non-polluting energy carriers. At the same time many people began to refurnish their homes. While pollution of the outside world could be reduced, considerable problems in the interior rooms emerged. On request of the Public Health Agencies, the Institute of Hygiene of Saxony-Anhalt renders administrative assistance providing environmental health consultancy services. The health disturbances observed occur in connection with the new tight windows and doors. The occupants participate in the problem by not airing their flats sufficiently in an attempt to save heating costs.</t>
  </si>
  <si>
    <t>1-3</t>
  </si>
  <si>
    <t>10.1016/0378-4274(96)03763-0</t>
  </si>
  <si>
    <t>WOS:A1996VR05900055</t>
  </si>
  <si>
    <t>Blore, I</t>
  </si>
  <si>
    <t>How useful to decision-makers is contingent valuation of the environment?</t>
  </si>
  <si>
    <t>Contingent valuation, as a method that attempts to estimate monetary values for public goods, excites passionate advocacy or resistance. This article summarizes and examines some of the criticisms of contingent valuation and concludes that its approach is essentially the same as any policy analytic method. It is argued that the language of contingent valuation needs radical reform for it to be readily accessible to practitioners, yet it does offer one escape from the lack of rigour of much of the environmental debate. Whatever the faults of contingent valuation methods, they do involve the public in a dialogue with 'experts'. Any means that gives voice to the public in an age of public policy-making by managers, consultants, professional politicians, large firms and interest group leaders is at least an antidote to environmental managerialism.</t>
  </si>
  <si>
    <t>10.1002/(SICI)1099-162X(199608)16:3&lt;215::AID-PAD877&gt;3.0.CO;2-D</t>
  </si>
  <si>
    <t>WOS:A1996VH17200002</t>
  </si>
  <si>
    <t>Li, TM</t>
  </si>
  <si>
    <t>Images of community: Discourse and strategy in property relations</t>
  </si>
  <si>
    <t>DEVELOPMENT AND CHANGE</t>
  </si>
  <si>
    <t>Seminar on Global transformations and Property Rights</t>
  </si>
  <si>
    <t>MIT, CAMBRIDGE, MA</t>
  </si>
  <si>
    <t>MIT</t>
  </si>
  <si>
    <t>This article argues that divergent images of community result not from inadequate knowledge or confusion of purpose, but from the location of discourse and action in the context of specific struggles and dilemmas. It supports the view that 'struggles over resources' are also 'struggles over meaning'. It demonstrates the ways in which contests over the distribution of property are articulated in terms of competing representations of community at a range of levels and sites. It suggests that, through the exercise of 'practical political economy', particular representations of community can be used strategically to strengthen the property claims of potentially disadvantaged groups. In the policy arena, advocates for 'community based resource management' have represented communities as sites of consensus and sustainability. Though idealized, such representations have provided a vocabulary with which to defend the rights of communities vis-a-vis states. Poor farmers, development planners, consultants and academics can also use representations of community strategically to achieve positive effects, or at least to mitigate negative ones. Most, but not all, of the illustrations in this article are drawn from Indonesia, with special reference to Central Sulawesi.</t>
  </si>
  <si>
    <t>Cuadros, Renzo/B-8684-2012</t>
  </si>
  <si>
    <t>Li, Tania/0000-0003-3360-8146</t>
  </si>
  <si>
    <t>0012-155X</t>
  </si>
  <si>
    <t>10.1111/j.1467-7660.1996.tb00601.x</t>
  </si>
  <si>
    <t>WOS:A1996VA07200005</t>
  </si>
  <si>
    <t>Buckley, R; Vogt, S</t>
  </si>
  <si>
    <t>Fact and emotion in environmental advertising by government, industry and community groups</t>
  </si>
  <si>
    <t>AMBIO</t>
  </si>
  <si>
    <t>During a 2-yr period, 5 major daily newspapers and 4 majors magazines in Australia contained 458 distinct advertisements with text or images related to the natural environment. The 32 ads placed by community groups had the highest factual content, but also the most emotional language. The reverse applies for the 328 industry ads, with the 98 government ads intermediated but more similar to industry's. Local and State government ads were more objective than those by the Commonwealth government organisations (QANGO). Some industry ads, notably those selling new environmental technologies or consultant expertise, ranked high on objectivity; but there was a large category, over a third of all industry ads, which used environmental references in text or images to sell completely unrelated products, and these were very low in objectivity.</t>
  </si>
  <si>
    <t>0044-7447</t>
  </si>
  <si>
    <t>WOS:A1996UQ53100015</t>
  </si>
  <si>
    <t>Austin, JT; Klimoski, RJ; Hunt, ST</t>
  </si>
  <si>
    <t>Dilemmatics in public sector assessment: A framework for developing and evaluating selection systems</t>
  </si>
  <si>
    <t>HUMAN PERFORMANCE</t>
  </si>
  <si>
    <t>Working from the premise that validity is necessary but not sufficient for effective long-term selection system operation, we propose a framework that recognizes multiple, often conflicting standards for evaluating public sector selection systems. Three clusters of standards that represent procedural justice-fairness, scientific-technical adequacy, and feasibility-utility are identified and discussed. Stakeholder groups that include political entities, management, labor unions, and system designers (internal and external consultants) often order these standards differently. When applied to a unionized environment, the framework suggests that optimizing all sets of standards may be a better strategy than maximizing any one set. Advice is presented for general and specific cases that may confront the researcher or practitioner.</t>
  </si>
  <si>
    <t>Austin, James T/I-2460-2012</t>
  </si>
  <si>
    <t>0895-9285</t>
  </si>
  <si>
    <t>10.1207/s15327043hup0903_1</t>
  </si>
  <si>
    <t>WOS:A1996UQ92900002</t>
  </si>
  <si>
    <t>Mahr, DL</t>
  </si>
  <si>
    <t>From researcher to farmer: The use of extension programs to transfer biological control technology in developed countries</t>
  </si>
  <si>
    <t>ENTOMOPHAGA</t>
  </si>
  <si>
    <t>International-Organization-for-Biological-Control/OILB Montpellier 1996 Conference on Technology Transfer in Biological Control - From Research to Practice</t>
  </si>
  <si>
    <t>MONTPELLIER, FRANCE</t>
  </si>
  <si>
    <t>Effective use of biological control by the pest manager requires knowledge of the biologies of the pests and natural enemies, and their interactions with their environment and agronomic practices. Manufacturers provide information for products such as microbial pesticides and entomophagous arthropods used in augmentative biological control. However, information about process-oriented methods such as classical (importation) biological control and conservation of natural enemies is not often available to the farmer. Governmental extension programs are one method for providing practical biological control information, but availability in developed countries varies considerably. Examples of transfer of biological control information are provided for New Zealand, Canada, and Australia. In the United States, the Extension Service, a branch of the U.S. Department of Agriculture, provides partial funding and coordination for pest management educational programs conducted at the national, regional, state and local levels. In a twelve-state region of the North Central United States, university extension and research entomologists have developed a coordinated program to educate county extension personnel, farmers, and private consultants about the use of biological controls in pest management. The derails of this model program are discussed. The paper concludes with a discussion of the educational constraints that must be overcome to successfully increase the adoption of biological control.</t>
  </si>
  <si>
    <t>0013-8959</t>
  </si>
  <si>
    <t>10.1007/BF02765792</t>
  </si>
  <si>
    <t>WOS:A1996XN47000007</t>
  </si>
  <si>
    <t>ORourke, D; Connelly, L; Koshland, CP</t>
  </si>
  <si>
    <t>Industrial ecology: A critical review</t>
  </si>
  <si>
    <t>INTERNATIONAL JOURNAL OF ENVIRONMENT AND POLLUTION</t>
  </si>
  <si>
    <t>Scientists, policy-makers, and the general public are becoming increasingly aware of environmental damage associated with the large and growing material through-put required in modern industrial society. One approach emerging in response to these concerns is called Industrial Ecology (IE). IE signals a shift from 'end-of-pipe' pollution control methods towards holistic strategies for prevention and planning of more environmentally sound industrial development. However, the broad umbrella of IE currently houses a diverse group of scholars, consultants, and environmentalists, who range in scope from those advocating incremental changes in existing systems, to some promoting a total transformation of industrial activity. This article presents a critical review of the existing US literature on IE. We introduce and critique IE's primary concepts, and analyse weaknesses and gaps in IE's conceptual framework. We also discuss the needs and potential for advancing if concepts and projects in the future.</t>
  </si>
  <si>
    <t>0957-4352</t>
  </si>
  <si>
    <t>2-3</t>
  </si>
  <si>
    <t>WOS:A1996UR96000001</t>
  </si>
  <si>
    <t>MUNENE, JC</t>
  </si>
  <si>
    <t>THE INSTITUTIONAL ENVIRONMENT AND MANAGERIAL INNOVATIONS - A QUALITATIVE STUDY OF SELECTED NIGERIAN FIRMS</t>
  </si>
  <si>
    <t>JOURNAL OF OCCUPATIONAL AND ORGANIZATIONAL PSYCHOLOGY</t>
  </si>
  <si>
    <t>This was an exploratory study in which we examined managerial innovations in Nigeria. We interviewed 60 managers in 30 private and public organizations selected on the basis of having innovated in the two years before the study. We found a total of 104 entrepreneurial (20 per cent), technological (40 per cent) and administrative (37 per cent) innovations. The entrepreneurial innovations were significantly less because the institutional environment was characterized by entry as well as exit barriers. These included dependency and isolation from Western technology, political patronage and a high level of moral hazard. These barriers made innovations a costly and expensive venture into which organizations entered reluctantly so that the bulk of innovations were of the type that consolidated existing ventures or prevented their demise. To ensure success and to minimize risks, consultants were often called to advise on targeted innovations. This increased the costs still further. To justify costs, innovations were often perceived as image maintaining.</t>
  </si>
  <si>
    <t>0963-1798</t>
  </si>
  <si>
    <t>10.1111/j.2044-8325.1995.tb00588.x</t>
  </si>
  <si>
    <t>WOS:A1995TJ57500002</t>
  </si>
  <si>
    <t>LOFSTEDT, RE; SJOSTEDT, G</t>
  </si>
  <si>
    <t>ENVIRONMENTAL AID TO EASTERN-EUROPE</t>
  </si>
  <si>
    <t>Over the past few years there has been a great deal of discussion concerning the problems relating to bilateral aid to Eastern Europe. This paper examines some of these issues in detail and offers possible solutions, using examples from three of the Nordic countries. Among the problems raised are how to choose between consultants from donor and local expertise in the preparation of aid projects, how to assess cost effectiveness of environmental aid when there are no clear goals or policies, and how much funding is needed for pre-feasibility studies in order to cope with project risks. The paper concludes with a discussion of proper criteria for assessments of effectiveness of environmental aid. A key question in this regard is whether aid projects should be donor or recipient driven.</t>
  </si>
  <si>
    <t>WOS:A1995TC11000009</t>
  </si>
  <si>
    <t>MORAWETZ, H</t>
  </si>
  <si>
    <t>MARK,HERMAN - LIFE AND ACCOMPLISHMENTS</t>
  </si>
  <si>
    <t>MACROMOLECULAR SYMPOSIA</t>
  </si>
  <si>
    <t>35th IUPAC International Symposium on Macromolecules (MACROAKRON 94)</t>
  </si>
  <si>
    <t>JUL 11-19, 1994</t>
  </si>
  <si>
    <t>UNIV AKRON, AKRON, OH</t>
  </si>
  <si>
    <t>Int Union Pure &amp; Appl Chem</t>
  </si>
  <si>
    <t>UNIV AKRON</t>
  </si>
  <si>
    <t>This short outline of Herman Mark's career covers his youth in Vienna, his activity in the army during World War I, his years at the Kaiser Wilhelm Institute in Berlin-Dahlem where he was mostly concerned with X-ray crystallography, his career as the director of a research laboratory of high molecular compounds of the IG Farben in Ludwigshafen, his years at the University of Vienna where he designed the first academic curriculum of polymer chemistry and his final years at the Polytechnic Institute of Brooklyn (now Polytechnic University) where he created the first American doctoral program in polymer science. His activity was crucial to the recognition of polymer chemistry as an important scientific discipline and to its international organization. He was equally at home in the academic environment, and as an industrial and government consultant. His crucial scientific contributions included the first crystal structure of a macromolecule, the first derivation of the mechanical property of a fiber from molecular parameters and the statistical theory of rubber elasticity.</t>
  </si>
  <si>
    <t>1022-1360</t>
  </si>
  <si>
    <t>10.1002/masy.199509801106</t>
  </si>
  <si>
    <t>WOS:A1995RZ12400080</t>
  </si>
  <si>
    <t>COHEN, N</t>
  </si>
  <si>
    <t>TECHNICAL ASSISTANCE FOR CITIZEN PARTICIPATION - A CASE-STUDY OF NEW-YORK-CITY ENVIRONMENTAL-PLANNING PROCESS</t>
  </si>
  <si>
    <t>AMERICAN REVIEW OF PUBLIC ADMINISTRATION</t>
  </si>
  <si>
    <t>Ensuring public participation in environmental decision making is advantageous to government officials and the general public. Technical assistance can make participation more effective by enabling citizens to understand complex technologies. This paper examines whether providing technical assistance has made a difference in New York City, where officials have funded consultants so that citizens can more effectively monitor the city's waste management and sludge disposal programs. While city-financed consultants have enabled citizen advisory groups to monitor environmental review and project design and to secure environmental improvements to proposed facilities, they have not helped to promote citizen acceptance of the technologies or their locations. The paper concludes with a brief discussion of alternative methods of providing technical assistance and suggests areas for further research.</t>
  </si>
  <si>
    <t>Cohen, Nevin/AAH-4872-2020</t>
  </si>
  <si>
    <t>Cohen, Nevin/0000-0003-4961-572X</t>
  </si>
  <si>
    <t>0275-0740</t>
  </si>
  <si>
    <t>10.1177/027507409502500202</t>
  </si>
  <si>
    <t>WOS:A1995RY11100002</t>
  </si>
  <si>
    <t>CAMPBELL, DM; BRADDICK, MR; STEWART, S</t>
  </si>
  <si>
    <t>PUBLIC-HEALTH MEDICINE ADVICE TO LOCAL-AUTHORITIES - DOES IT HAPPEN</t>
  </si>
  <si>
    <t>PUBLIC HEALTH</t>
  </si>
  <si>
    <t>The views of public health physicians on the extent and quality of their specialty's collaboration with local government in Scotland was ascertained by postal questionnaire. Responses were received from 84 out of 97 (85%) Consultants in Public Health Medicine (CPHMs) working in Scottish health boards. Those working in health boards were more likely than colleagues in university departments to consider their service department to be sufficiently aware of and involved in issues having a bearing on health but not directly related to provision of health services (48/70 vs 4/12, RR 2.1, 95% CI 1.1-3.8). Seventy CPHMs gave advice to local authorities. They were in contact with a median of two local authority departments (range 0-6); most commonly Social Work (38 CPHMs), Environmental Health (36), and Education (26). CPHMs participated in a median of one multi-disciplinary group (range 0-3); most commonly Health Promotion (16 CPHMs), Child Welfare (9), Emergency Planning (9). The majority, 42 of 67 (63%), valued this contact highly, only three considering it of doubtful utility. Difficulties with bringing an item to the attention of a local authority department were identified by six out of 56 (11%) CPHMs and 32/69 (46%) recorded problems in ensuring Public Health Medicine input to local authority committees. In most health boards (12/14) there were formal meetings between CPHMs and heads of local authority departments; in each these were supplemented by informal meetings. One Director of Public Health and eight other CPHMs reported neither formal nor informal contact with local authorities. Spontaneous comments from respondents indicated a desire to strengthen the links with local authority departments. The proposed reorganisation of local government provides an opportunity to redefine and strengthen Public Health Medicine input.</t>
  </si>
  <si>
    <t>0033-3506</t>
  </si>
  <si>
    <t>10.1016/S0033-3506(05)80066-6</t>
  </si>
  <si>
    <t>WOS:A1994PF87000002</t>
  </si>
  <si>
    <t>PROKOPY, RJ</t>
  </si>
  <si>
    <t>INTEGRATION IN ORCHARD PEST AND HABITAT MANAGEMENT - A REVIEW</t>
  </si>
  <si>
    <t>19th International Congress of Entomology</t>
  </si>
  <si>
    <t>JUN 27-JUL 04, 1992</t>
  </si>
  <si>
    <t>BEIJING, PEOPLES R CHINA</t>
  </si>
  <si>
    <t>Manipulating the composition of groundcover within orchards and vegetation adjacent to orchards might enhance biological control of orchard arthropod pests. It can also generate effects that may be counter-productive to the overall goals of integrated orchard pest management. Measuring progress toward achieving integration of orchard pest management practices can be viewed as analogous to climbing a step ladder. The first step (equivalent to first-level integrated pest management (IPM)) entails the use of ecologically sound multiple management tactics for a single class of pests (either arthropods, diseases, weeds or vertebrates). The second step (second-lever IPM) involves integration of multiple management practices across all classes of pests. The third step (third-revel IPM) calls for integration of combined pest management approaches with the entice system of crop production. The fourth and top step of the ladder (fourth-level IPM) envisions blending the concerns of all those having a vital interest in pest management: researchers, extension personnel, private consultants, industry, growers, processors and distributors, consumers, neighbors of growers, environmentalists and government regulatory agencies. The probability is high that manipulating orchard groundcover and surrounding vegetation will affect the outcome of strategies and tactics at each of these four levels of integration of pest management practices. Here, examples are given of potential merits and possible shortcomings of orchard habitat manipulation at each level of integration.</t>
  </si>
  <si>
    <t>10.1016/0167-8809(94)90120-1</t>
  </si>
  <si>
    <t>WOS:A1994PE88300002</t>
  </si>
  <si>
    <t>HOWELL, BJ</t>
  </si>
  <si>
    <t>WEIGHING THE RISKS AND REWARDS OF INVOLVEMENT IN CULTURAL CONSERVATION AND HERITAGE TOURISM</t>
  </si>
  <si>
    <t>HUMAN ORGANIZATION</t>
  </si>
  <si>
    <t>Many towns in the United States are embracing heritage tourism in order to stimulate economic growth and enhance quality of life, hoping to attract new business and industry. Communities seek anthropologists' services as consultants on heritage tourism development projects; however, critics within our discipline have voiced doubts about the intellectual and ethical integrity of such work. This paper reviews literature on sociocultural impacts of tourism, focusing on work that raises concerns about spurious cultural representations that result when the tourism industry or entrepreneurs within host societies appropriate heritage and commoditize it for tourist consumption. Critics accuse anthropologists and other specialists in cultural heritage conservation of staging inauthentic events and inventing spurious cultural traditions that undertermine rather than sustain the. vitality of genuine cultural expression. This critique is presented and challenged. Cultural heritage conservation projects in the United States, typically funded through state humanities council grants, require both citizen participation and scholarly involvement. The goals, organization, and role demands of such projects can be problematic for anthropologists and other cultural specialists. This discussion highlights the special difficulties encountered when projects are part of planning for cultural tourism and suggests modest changes in humanities council policy that would place cultural specialists in a more tenable position vis-a-vis citizen participants. Anthropologists who accept the challenges of this work experience issues of social interaction and cultural representation in a praxis that can both focus needed attention on the content and meaning of cultural representations in tourism planning and, at the same time, enrich our discipline.</t>
  </si>
  <si>
    <t>0018-7259</t>
  </si>
  <si>
    <t>10.17730/humo.53.2.l450153724976107</t>
  </si>
  <si>
    <t>WOS:A1994NN82600006</t>
  </si>
  <si>
    <t>GREENBERG, M; GOLDBERG, L</t>
  </si>
  <si>
    <t>ETHICAL CHALLENGES TO RISK SCIENTISTS - AN EXPLORATORY ANALYSIS OF SURVEY DATA</t>
  </si>
  <si>
    <t>Surveys of almost 1,500 members of three professional societies that do risk analysis (e.g. environmental economics, epidemiology, exposure assessment, industrial hygiene, toxicology) found that 3 in 10 respondents had observed a biased research design, 2 in 10 had observed plagiarism, and 1 in 10 observed data fabrication or falsification. Respondents with many years in risk analysis, business consultants, and industrial hygienists reported the greatest prevalence of misconduct. These respondents perceived poor science, economic implications of the research, and lack of training in ethics as causes of misconduct They supported the teaching of ethics but the vast majority did not support government auditing of their work.</t>
  </si>
  <si>
    <t>10.1177/016224399401900206</t>
  </si>
  <si>
    <t>WOS:A1994ND36700006</t>
  </si>
  <si>
    <t>Dougherty, ML</t>
  </si>
  <si>
    <t>Dougherty, Michael L.</t>
  </si>
  <si>
    <t>Boom times for technocrats? How environmental consulting companies shape mining governance</t>
  </si>
  <si>
    <t>Scholarship has begun to acknowledge the environmental impact assessment as a key phenomenon in the mineral production process, but little literature has paid attention to the environmental consulting companies that produce these studies. This paper, based on semi-structured interviews in Guatemala with environmental consultants, representatives of the mining industry, and state functionaries, develops an ethnographic portrait of these consulting firms and their workers. Mining companies and environmental consulting firms, I argue, are structurally dependent on one another. Beyond their surface role as independent technicians, environmental consultants serve as facilitators for mining firms, helping them navigate the state bureaucracy and streamline the approval of their production licenses. These consultants further serve the mining industry by absorbing risk that corresponds with miners. As mining expanded between 2002 and 2012, the environmental consulting industry experienced a corresponding spike. This upstream boom in environmental consulting drove down the price of impact assessments, diluted their quality and rendered their role in environmental governance largely symbolic. Their roles as mining boosters traps environmental consultants between competing motivations-the drive of their expertise and training to act as competent and transparent technicians-and the flush of boom times which produces an inverse relationship between competence and lucre.</t>
  </si>
  <si>
    <t>10.1016/j.exis.2019.01.007</t>
  </si>
  <si>
    <t>WOS:000466795300019</t>
  </si>
  <si>
    <t>Torabi, E; Dedekorkut-Howes, A; Howes, M</t>
  </si>
  <si>
    <t>Torabi, Elnaz; Dedekorkut-Howes, Aysin; Howes, Michael</t>
  </si>
  <si>
    <t>Adapting or maladapting: Building resilience to climate-related disasters in coastal cities</t>
  </si>
  <si>
    <t>CITIES</t>
  </si>
  <si>
    <t>Despite the increasing risks associated with climate-related hazards, urban development in many coastal cities continues to take place on low-lying, high-risk land. Resilience is a key concept in adaptation, however, in the context of cities it is a complex phenomenon influenced by a diverse range of factors. This paper explores how the key elements of urban resilience (agents, institutions, and systems) interact to determine the types of approaches cities take to build resilience in two Australian cities. It uses case study data including semi-structured interviews with a diverse group of stakeholders ranging from local and state government authorities, non government organisations, consulting firms, and researchers to the insurance industry. Findings indicate that the attitude of agents shapes the institutions and systems thus determining types of adaptation strategies in response to climate change. When the community's desire to live close to water couples with a lack of understanding or underestimation of the impacts, adaptation efforts are undermined. These findings call for a focus on the key role of agents for a transformational approach to building resilience that is based on shared learning.</t>
  </si>
  <si>
    <t>Dedekorkut-Howes, Aysin/V-5636-2018; Torabi, Elnaz/V-3585-2018; Torabi, Elnaz/AAA-3814-2020</t>
  </si>
  <si>
    <t>Dedekorkut-Howes, Aysin/0000-0002-3844-4796; Torabi, Elnaz/0000-0003-4578-8199; Torabi, Elnaz/0000-0003-4578-8199</t>
  </si>
  <si>
    <t>0264-2751</t>
  </si>
  <si>
    <t>1873-6084</t>
  </si>
  <si>
    <t>10.1016/j.cities.2017.09.008</t>
  </si>
  <si>
    <t>WOS:000419414700010</t>
  </si>
  <si>
    <t>Sorensen, KH; Lagesen, VA; Hojem, TSM</t>
  </si>
  <si>
    <t>Sorensen, Knut H.; Lagesen, Vivian Anette; Hojem, Thea Sofie Melhuus</t>
  </si>
  <si>
    <t>Articulations of mundane transition work among consulting engineers</t>
  </si>
  <si>
    <t>ENVIRONMENTAL INNOVATION AND SOCIETAL TRANSITIONS</t>
  </si>
  <si>
    <t>This paper analyses sustainability transition agency among consulting engineers, who exercise considerable influence in a wide spectrum of environmental decision-making through advice, calculations and design. They work in an ambiguous space of governmental requirements, environmental politics, cost considerations, and professional standards. Nevertheless, many consulting engineers engage with sustainability transitions in a mundane and modest way. To a varying degree, they combine four kinds of transition work: (1) sustainable technological problem solving, (2) persuasion work, (3) mediation work, and (4) institutional work. On this basis, we propose a model of sustainability transition agency where sustainable technological problem solving is the core activity as a precondition of necessary sociotechnical change. The three latter kinds of transition work may facilitate and support the core activity. The study also shows that environmental regulations, rules and standards are important to sustainability transition work among consulting engineers, guiding but also providing more space for such efforts.</t>
  </si>
  <si>
    <t>Sorensen, Knut H/A-4070-2013</t>
  </si>
  <si>
    <t>Sorensen, Knut H/0000-0003-0829-3496</t>
  </si>
  <si>
    <t>2210-4224</t>
  </si>
  <si>
    <t>2210-4232</t>
  </si>
  <si>
    <t>10.1016/j.eist.2018.02.003</t>
  </si>
  <si>
    <t>WOS:000442451900006</t>
  </si>
  <si>
    <t>Robbins, DM</t>
  </si>
  <si>
    <t>NEHA/CIEH sabbatical exchange program 1994 .1.</t>
  </si>
  <si>
    <t>JOURNAL OF ENVIRONMENTAL HEALTH</t>
  </si>
  <si>
    <t>Between the dates of September 1 and October 20, 1994, I had the opportunity of learning first hand about environmental health practices and regulations in England, Northern Ireland, Wales and Scotland through the National Environmental Health Association/Chartered Institute of Environmental Health sabbatical exchange program. My travels in excess of 4,700 miles took me to rural and city environmental health departments, central government offices, water companies, consulting firms, landfills, food processing plants, breweries, and many functioning wastewater systems throughout the United Kingdom. My study focused on water and wastewater management, including treatment and disposal issues as well as the regulatory framework of activities surrounding these issues. In addition to this primary focus, I also had the opportunity to study the environmental health officer's role in issues of housing, food sanitation, solid waste policy, underground storage tanks and soils remediation. I was most fortunate to have the experience of visiting two highly progressive and well run environmental health departments in Birmingham, England and Swansea, Wales. Birmingham has the distinction of being the largest environmental health office in all of Europe. Swansea, while not as large, appears to be a model of progressive environmental health management. The experience of working with and studying these distinctly different environmental health departments provided great insight into environmental issues and priorities in the United Kingdom.</t>
  </si>
  <si>
    <t>0022-0892</t>
  </si>
  <si>
    <t>WOS:A1995TT12000006</t>
  </si>
  <si>
    <t>Gambrill, M; Gilsdorf, RJ; Kotwal, N</t>
  </si>
  <si>
    <t>Gambrill, Martin; Gilsdorf, Rebecca J.; Kotwal, Nandita</t>
  </si>
  <si>
    <t>Citywide Inclusive Sanitation-Business as Unusual: Shifting the Paradigm by Shifting Minds</t>
  </si>
  <si>
    <t>As the world urbanizes, the challenges of urban sanitation increase, with urban population growth dramatically outpacing gains in sanitation access. Total global costs of inadequate sanitation are estimated at USD 260 billion annually, and reaching the SDG urban sanitation targets will require over USD 45 billion each year. 'Business as usual' in urban sanitation-where conventional sewerage and wastewater treatment are considered as the only solution-will not get us to universal safely managed sanitation. Citywide Inclusive Sanitation (CWIS) looks to shift the urban sanitation paradigm, aiming to ensure everyone has access to safely managed sanitation by promoting a range of solutions-both onsite and sewered, centralized or decentralized-tailored to the realities of the world's burgeoning cities. CWIS means focusing on service provision and its enabling environment, rather than on building infrastructure. This shift in paradigm to CWIS requires a shift in mindsets. Governments and development agencies increasingly recognize that historic approaches to urban sanitation have not always worked and new approaches, such as CWIS, are required. Consulting firms need to think differently, and not simply replicate approaches found in high-income countries. Engineering curricula should include the design and management of non-conventional systems and should explore opportunities for leapfrogging to solutions that take full account of the public health and environmental imperatives of urban sanitation. We should rethink the way sanitation infrastructure is funded and challenge approaches that subsidize sewers but not onsite sanitation, that do not embrace innovation and do not consider running costs. CWIS, or 'business as unusual', requires awareness raising and capacity building, the spreading around the world of successful experiences, and the development and use of tools and other resource materials to help better design and implement sustainable urban sanitation services for all. At the World Bank, we see that shifting mindsets toward CWIS principles can be achieved and that there is a growing appetite globally for embracing such principles. We see an important emerging global movement to engage on CWIS by governments and development partners, which provides an unprecedented opportunity to shift the urban sanitation paradigm in the pursuit of universal safely managed sanitation.</t>
  </si>
  <si>
    <t>FEB 11</t>
  </si>
  <si>
    <t>10.3389/fenvs.2019.00201</t>
  </si>
  <si>
    <t>WOS:000518967300001</t>
  </si>
  <si>
    <t>O'Connell, G</t>
  </si>
  <si>
    <t>O'Connell, Grainne</t>
  </si>
  <si>
    <t>Introduction: Framing 'Post-AIDS' and Global Health Discourses in 2015 and Beyond</t>
  </si>
  <si>
    <t>JOURNAL OF MEDICAL HUMANITIES</t>
  </si>
  <si>
    <t>This special issue, entitled Post-AIDS' and Global Health Discourses: Interdisciplinary Perspectives,' emerged from a one day Medical Humanities symposium at the Leeds Centre for Medical Humanities, at the University of Leeds, England, on February 27th 2015. This special issue focusses on the perceived deprioritising of HIV and AIDS in the Sustainable Development Goals, or SDGs, that were launched in 2015. The SDGs function as policy benchmarks for all entities within the United Nations system and they supersede the Millennium Development Goals, or MDGs, which expired in 2015. As the word millennium indicates, the MDGs were launched in 2000 and 2015 was designated as the benchmark year when the successes and shortcomings of the MDGs would be critically assessed. One key difference between the MDGs and the SDGs, which D'Ambruoso foregrounds (2013), is that the writing process underpinning the SDGs involved lengthy consultations, and feedback, with communities and health care practitioners around the world. By contrast, because the MDGs were mainly written by government officials, policy makers and health care practitioners without consulting wider communities, the processes underpinning the SDGs consultations are more inclusive than the MDGs. What is most critical about the SDGs for this special issue, however, is that they reflect a clear shift away from 'HIV exceptionalism' and towards what critics have described as 'post-AIDS' rhetoric, specifically when one compares the MDG health goal 6 and the SDG health goal 3.</t>
  </si>
  <si>
    <t>1041-3545</t>
  </si>
  <si>
    <t>1573-3645</t>
  </si>
  <si>
    <t>10.1007/s10912-017-9443-7</t>
  </si>
  <si>
    <t>WOS:000534793800001</t>
  </si>
  <si>
    <t>Soraa, RA</t>
  </si>
  <si>
    <t>Soraa, Roger Andre</t>
  </si>
  <si>
    <t>Crafting environmental policies into action: Energy consulting practices of craftspeople</t>
  </si>
  <si>
    <t>CRAFT RESEARCH</t>
  </si>
  <si>
    <t>This article discusses the emerging practices of craftspeople - particularly carpenters - in relation to policies of energy-efficient homes in the building sector. The Norwegian political goal of making buildings more sustainable and energy friendly by reducing 40 per cent of the energy used in the building sector provides new challenges for craftspeople who are tasked with effecting these changes. Based on qualitative interviews, this article explores how craftspeople working as 'energy consultants' form their new role as what I call 'green-collar workers'. The article explains how energy policies are translated into physical buildings by energy consultants. Four practices of craftspeople working as energy consultants are analysed - the practices of economizing, controlling, coordinating and selling. These practices are part of a complex sustainable transition that is taking place in the building sector. As craftspeople are the workers actually enacting energy policies in the building sector by working with energy mitigation hands on (whilst also building on their traditional crafts experience), it is necessary to understand their practices to further reduce energy use in buildings.</t>
  </si>
  <si>
    <t>2040-4689</t>
  </si>
  <si>
    <t>2040-4697</t>
  </si>
  <si>
    <t>10.1386/crre.9.2.255_1</t>
  </si>
  <si>
    <t>WOS:000449508800005</t>
  </si>
  <si>
    <t>Sorensen, C; Knudsen, P; Sorensen, P; Damgaard, T; Molgaard, MR; Jensen, J</t>
  </si>
  <si>
    <t>Sorensen, Carlo; Knudsen, Per; Sorensen, Per; Damgaard, Thomas; Molgaard, Mads R.; Jensen, Juergen</t>
  </si>
  <si>
    <t>Rethinking Coastal Community Approaches to Climate Change Impacts and Adaptation</t>
  </si>
  <si>
    <t>15th International Coastal Symposium (ICS)</t>
  </si>
  <si>
    <t>MAY 13-18, 2018</t>
  </si>
  <si>
    <t>Busan, SOUTH KOREA</t>
  </si>
  <si>
    <t>Low-lying coastal communities face almost insurmountable challenges from floods and climate change. Research work on adaptation and mitigation particularly emphasizes on cities and mega-cities as a natural consequence of their agglomeration of people and assets. Less focus is put on smaller coastal communities and their challenges, one of which is a lack of local expertise and knowledge. Adaptation to climate change is often a local governance level task, however. Co-work between municipal and national authorities, the utility company, research, business, consultants and citizens has resulted in a common framework to address and deal with water-related challenges in a Danish coastal community. From an assessment of combined impacts of climate change (i.e. sea level rise and storm surges, precipitation and cloudbursts and associated groundwater level responses) and stresses from degrading sewer systems and land subsidence, impact zones are mapped. The multi-player, end-user defined work transcends sectors and builds capacity by sharing data and knowledge. It mainstreams climate change issues into business, management, planning and early warning: the overall goal is an adaptation strategy unfolded from stakeholder involvement and responsibility, cost-effective decision making, climate-related asset management processes and a holistic livable cities approach to this highly vulnerable coastal community. The collaboration and common framework enable the actors to articulate need of information and establish feedback mechanisms between local level work and e.g. sea level research and climate services.</t>
  </si>
  <si>
    <t>10.2112/SI85-305.1</t>
  </si>
  <si>
    <t>WOS:000441173100305</t>
  </si>
  <si>
    <t>Bourblanc, M</t>
  </si>
  <si>
    <t>Bourblanc, Magalie</t>
  </si>
  <si>
    <t>State Transformation and Policy Networks: The Challenging Implementation of New Water Policy Paradigms in Post-Apartheid South Africa</t>
  </si>
  <si>
    <t>WATER ALTERNATIVES-AN INTERDISCIPLINARY JOURNAL ON WATER POLITICS AND DEVELOPMENT</t>
  </si>
  <si>
    <t>For many years, South Africa had represented a typical example of a hydrocracy. Following the democratic transition in South Africa, however, new policy paradigms emerged, supported by new political elites from the ANC. A reform of the water policy was one of the priorities of the new Government, but with little experience in water management, they largely relied on 'international best practices' in the water sector, although some of these international principles did not perfectly fit the South African water sector landscape. In parallel, a reform called 'transformation' took place across all public organisations with the aim of allowing public administrations to better reflect the racial components in South African society. As a result, civil engineers lost most of their power within the Department of Water Affairs and Sanitation (DWS). However, despite these changes, demand-side management has had difficulties in materializing on the ground. The paper aims at discussing the resilience of supply-side management within the Ministry, despite its new policy orientation. Using a policy network concept, the paper shows that the supply-side approach still prevails today, due to the outsourcing of most DWS tasks to consulting firms with whom DWS engineers have nourished a privileged relationship since the 1980s. The article uses the decision-making process around the Lesotho Highlands Water Project (LHWP) Phase 2 as an emblematic case study to illustrate such developments. This policy network, which has enjoyed so much influence over DWS policies and daily activities, is now being contested. As a consequence, we argue that the fate of the LHWP Phase 2 is ultimately linked to a competition between this policy network and a political one.</t>
  </si>
  <si>
    <t>1965-0175</t>
  </si>
  <si>
    <t>JUN 17</t>
  </si>
  <si>
    <t>WOS:000403232300007</t>
  </si>
  <si>
    <t>Soh, DSB; Martinov-Bennie, N</t>
  </si>
  <si>
    <t>Soh, Dominic S. B.; Martinov-Bennie, Nonna</t>
  </si>
  <si>
    <t>Internal auditors' perceptions of their role in environmental, social and governance assurance and consulting</t>
  </si>
  <si>
    <t>MANAGERIAL AUDITING JOURNAL</t>
  </si>
  <si>
    <t>Purpose - The purpose of this paper is to investigate the nature and extent of internal audit functions' (IAFs) involvement in environmental, social and governance assurance (ESG) and consulting in Australia. To identify emerging priorities, and the profession's capacity to respond to these, the paper also explores internal audit practitioners' perceptions of the current and future importance of these issues and the adequacy of their skills and expertise in meeting the challenges associated with their involvement in these areas. Design/methodology/approach - Data were collected from 100 Chief Audit Executives and internal audit service provider partners through a survey. Findings - Governance issues are a key area of focus for respondents' assurance and consulting efforts, followed by social and environmental issues, respectively. While governance issues are perceived to be of greatest current importance to IAFs, environmental issues are most commonly expected to increase in importance over the next five years, and are reported to be in greatest need of further development of IAFs' skills and expertise. Research limitations/implications - As the corporate landscape and expectations around transparency and accountability increase, the internal audit profession needs to address the current perceived skills gap in their ability to provide assurance and consulting on ESG issues to ensure their continued relevance and ability to meet stakeholders' needs and expectations in providing effective integrated assurance and in contributing to internal improvements. Originality/value - This paper provides initial empirical evidence of the nature and extent of internal audit's involvement in ESG assurance and consulting.</t>
  </si>
  <si>
    <t>Canestrari-Soh, Dominic/C-8156-2013</t>
  </si>
  <si>
    <t>Canestrari-Soh, Dominic/0000-0001-6755-1446; Martinov-Bennie, Nonna/0000-0003-4697-9261</t>
  </si>
  <si>
    <t>0268-6902</t>
  </si>
  <si>
    <t>1758-7735</t>
  </si>
  <si>
    <t>10.1108/MAJ-08-2014-1075</t>
  </si>
  <si>
    <t>WOS:000355702100005</t>
  </si>
  <si>
    <t>Li, HY; Fan, YB; Gong, ZN; Zhou, DM</t>
  </si>
  <si>
    <t>Li, Heying; Fan, Yunbao; Gong, Zhaoning; Zhou, Demin</t>
  </si>
  <si>
    <t>Water accessibility assessment of freshwater wetlands in the Yellow River Delta National Nature Reserve, China</t>
  </si>
  <si>
    <t>ECOHYDROLOGY &amp; HYDROBIOLOGY</t>
  </si>
  <si>
    <t>Water accessibility assessment (WAA) is very important to the ecological restoration of freshwater wetlands and water resources management due to an intensive human disturbance. This paper develops a quantitative methodology for WAA in the Yellow River Delta National Nature Reserve (YRDNNR), from which an assessment of water accessibility is made on the freshwater wetlands. The assessment uses a Water accessibility index (WAI) model by employing GIS network analysis and spatial statistical analysis. Five indicators for the model cover both natural and anthropogenic factors, including distance from freshwater resources, average elevation, road density, ditch density, and number of culverts at the grid scale. The values of the WAI model are between 0.26 and 0.82. The WAI has a significant and positive spatial autocorrelation. There are totally 12 freshwater marsh patches exist in the YRDNNR. The highest WAI value in the freshwater marsh patch occurs near the estuary area of the Yellow River, while the lowest WAI value lies farthest from the Yellow River. There are two freshwater restored wetlands that have lower WAI values, from which a scientific restoration strategy is presented to remove the paddy field, roads and other facilities between two wetlands and the Yellow River Course. The results of the WAI model have been validated by matching the ratio of water body area within patches and consulting with local administrators, which indicates a satisfied WAI assessment effectiveness. The proposed WAI can help administrators to guide wetland ecological restoration and to plan for freshwater resources management. (C) 2019 European Regional Centre for Ecohydrology of the Polish Academy of Sciences. Published by Elsevier B.V. All rights reserved.</t>
  </si>
  <si>
    <t>1642-3593</t>
  </si>
  <si>
    <t>2080-3397</t>
  </si>
  <si>
    <t>10.1016/j.ecohyd.2019.02.006</t>
  </si>
  <si>
    <t>WOS:000514187600003</t>
  </si>
  <si>
    <t>Azhoni, A; Goyal, MK</t>
  </si>
  <si>
    <t>Azhoni, Adani; Goyal, Manish Kumar</t>
  </si>
  <si>
    <t>Diagnosing climate change impacts and identifying adaptation strategies by involving key stakeholder organisations and farmers in Sikkim, India: Challenges and opportunities</t>
  </si>
  <si>
    <t>Narrowing the gap between research, policy making and implementing adaptation remains a challenge in many parts of the world where climate change is likely to severely impact water security. This research aims to narrow this gap by matching the adaptation strategies being framed by policy makers to that of the perspectives of development agencies, researchers and farmers in the Himalayan state of Sikkim in India. Our case study examined the perspectives of various stakeholders for climate change impacts, current adaptation strategies, knowledge gaps and adaptation barriers, particularly in the context of implementing the Sikkim State Action Plan on Climate Change through semi-structured interviews carried out with decision makers in the Sikkim State Government, researchers, consultants, local academia, development agencies and farmers. Using Stake-holders Network Analysis tools, this research unravels the complexities of perceiving climate change impacts, identifying strategies, and implementing adaptation. While farmers are less aware about the global phenomenon of climate change impacts for water security, their knowledge of the local conditions and their close interaction with the State Government Agriculture Department provides them opportunities. Although important steps are being initiated through the Sikkim State Action Plan on Climate Change it is yet to deliver effective means of adaptation implementation and hence, strengthening the networks of close coordination between the various implementing agencies will pay dividends. Knowledge gaps and the need for capacity building identified in this research, based on the understandings of key stakeholders are highly relevant to both the research community and for informing policy. (C) 2018 Elsevier B.V. All rights reserved.</t>
  </si>
  <si>
    <t>Azhoni, A./S-6803-2017</t>
  </si>
  <si>
    <t>JUN 1</t>
  </si>
  <si>
    <t>10.1016/j.scitotenv.2018.01.112</t>
  </si>
  <si>
    <t>WOS:000428194000047</t>
  </si>
  <si>
    <t>England, MI; Dougill, AJ; Stringer, LC; Vincent, KE; Pardoe, J; Kalaba, FK; Mkwambisi, DD; Namaganda, E; Afionis, S</t>
  </si>
  <si>
    <t>England, Matthew I.; Dougill, Andrew J.; Stringer, Lindsay C.; Vincent, Katharine E.; Pardoe, Joanna; Kalaba, Felix K.; Mkwambisi, David D.; Namaganda, Emilinah; Afionis, Stavros</t>
  </si>
  <si>
    <t>Climate change adaptation and cross-sectoral policy coherence in southern Africa</t>
  </si>
  <si>
    <t>REGIONAL ENVIRONMENTAL CHANGE</t>
  </si>
  <si>
    <t>To be effective, climate change adaptation needs to be mainstreamed across multiple sectors and greater policy coherence is essential. Using the cases of Malawi, Tanzania and Zambia, this paper investigates the extent of coherence in national policies across the water and agriculture sectors and to climate change adaptation goals outlined in national development plans. A two-pronged qualitative approach is applied using Qualitative Document Analysis of relevant policies and plans, combined with expert interviews from non-government actors in each country. Findings show that sector policies have differing degrees of coherence on climate change adaptation, currently being strongest in Zambia and weakest in Tanzania. We also identify that sectoral policies remain more coherent in addressing immediate-term disaster management issues of floods and droughts rather than longer-term strategies for climate adaptation. Coherence between sector and climate policies and strategies is strongest when the latter has been more recently developed. However to date, this has largely been achieved by repackaging of existing sectoral policy statements into climate policies drafted by external consultants to meet international reporting needs and not by the establishment of new connections between national sectoral planning processes. For more effective mainstreaming of climate change adaptation, governments need to actively embrace longer-term cross-sectoral planning through cross-Ministerial structures, such as initiated through Zambia's Interim Climate Change Secretariat, to foster greater policy coherence and integrated adaptation planning.</t>
  </si>
  <si>
    <t>1436-3798</t>
  </si>
  <si>
    <t>1436-378X</t>
  </si>
  <si>
    <t>10.1007/s10113-018-1283-0</t>
  </si>
  <si>
    <t>WOS:000445234600015</t>
  </si>
  <si>
    <t>Gibbs, MT</t>
  </si>
  <si>
    <t>Gibbs, Mark T.</t>
  </si>
  <si>
    <t>Why is coastal retreat so hard to implement? Understanding the political risk of coastal adaptation pathways</t>
  </si>
  <si>
    <t>Coastal climate adaptation, as a response to managing the increasing risk of inundation of coastal settlements and infrastructure, is a global challenge. As a result, there is a burgeoning body of studies recommending adaptation options, pathways and strategies generated by the research and increasingly private consulting sector. However, recent reviews of global adaptation performance repeatedly highlight a lack of implementation of many adaptation studies and plans. It is suggested here that one of the reasons why many coastal adaptation plans have not been applied is due to inadequate consideration of the political risk, underpinned by lack of consideration of potential allocation and distributional impacts of adaptation strategies. The work presented here identifies the political risk of the most common coastal adaptation pathways and approaches ('retreat', 'protect' and 'manage'). This work especially highlights the major political risk of pre-emptive planned retreat adaptation strategies, which may seem the most obvious adaptation approach from the perspective of minimising future risks to settlements and infrastructure. However, it carries the largest political risk and potential distributional impacts, which is likely to hinder the adoption of this adaptation strategy in the short term. (C) 2016 Elsevier Ltd. All rights reserved.</t>
  </si>
  <si>
    <t>Gibbs, Mark/0000-0002-9632-1567</t>
  </si>
  <si>
    <t>10.1016/j.ocecoaman.2016.06.002</t>
  </si>
  <si>
    <t>WOS:000381837700011</t>
  </si>
  <si>
    <t>Laeni, N; van den Brink, M; Arts, J</t>
  </si>
  <si>
    <t>Laeni, Naim; van den Brink, Margo; Arts, Jos</t>
  </si>
  <si>
    <t>Is Bangkok becoming more resilient to flooding? A framing analysis of Bangkok's flood resilience policy combining insights from both insiders and outsiders</t>
  </si>
  <si>
    <t>The rapidly urbanizing cities in Southeast Asia experience increasing flood impacts due to the consequences of climate change. In these cities, policy efforts to build flood resilience are gaining momentum. The aim of this paper is to understand and assess flood resilience policy development, particularly in cities in developing countries. Bangkok is one of the cities that participates in the 100 Resilient Cities Programme (100RC) - the international policy platform for building resilient cities. In 2017, the Bangkok Metropolitan Administration (BMA) launched the 'Bangkok Resilience Strategy' to translate the resilience concept to its urban context. A framing perspective is adopted to reconstruct the strategy, process and anticipated outcome of Bangkok's flood resilience policy. We studied data obtained from 'insiders' (involved policy makers, experts and consultants) and 'outsiders' (local communities, civil society organizations and news media). Findings indicate that the economic growth frame is prevailing in the development of Bangkok's flood resilience policy, prioritizing structural flood protection with little attention for flood adaptation measures and related social impacts among vulnerable communities. The role of local communities and civil society in the formulation of Bangkok's flood resilience policy is limited. This paper therefore recommends cities in developing countries and cities in the 100RC Programme to organize a more inclusive resilience building process for addressing social problems regarding urban poor communities along with increasing flood safety and protection.</t>
  </si>
  <si>
    <t>Arts, Jos/0000-0002-6896-3992; Laeni, Naim/0000-0003-1683-589X</t>
  </si>
  <si>
    <t>10.1016/j.cities.2019.02.002</t>
  </si>
  <si>
    <t>WOS:000471737900015</t>
  </si>
  <si>
    <t>Weinstein, L; Rumbach, A; Sinha, S</t>
  </si>
  <si>
    <t>Weinstein, Liza; Rumbach, Andrew; Sinha, Saumitra</t>
  </si>
  <si>
    <t>Resilient Growth: Fantasy Plans and Unplanned Developments in India's Flood-Prone Coastal Cities</t>
  </si>
  <si>
    <t>Academic and policy literatures on urban climate resilience tend to emphasize 'good planning' as the primary means for addressing the growing risk of flooding in Asia's coastal megacities. Cities have come to rely on disaster and climate resilience plans to future-proof their landscapes and protect vulnerable populations. Yet while data is collected, models are built and plans are drafted, environmentally destructive development practices continue unabated and often unchallenged. This article examines and seeks to explain the contradictions between a growing awareness of the risks of climate-induced flooding in resilience plans and the continuation of development practices widely acknowledged to exacerbate those risks. It analyzes these contradictions in the context of Mumbai and Kolkata, India's largest coastal cities, which are facing the severest threats from climate-induced flooding. Based on analyses of key resilience planning documents and both planned and unplanned developments in some of Mumbai's and Kolkata's most ecologically sensitive areas, our analysis reveals that resilience planning, promoted by the central government and international consultants, and presented in locally produced 'fantasy plans', fails to address the risks of climate-change-related flooding owing to tendencies to sidestep questions of politics, power and the distributional conflicts that shape urban development. We conclude that efforts to reduce urban flood risk would benefit from the research, methods and analytic concepts used to critically study cities, but significant gaps remain between these fields.</t>
  </si>
  <si>
    <t>Rumbach, Andrew/AAA-1827-2020</t>
  </si>
  <si>
    <t>Rumbach, Andrew/0000-0001-6780-4546</t>
  </si>
  <si>
    <t>10.1111/1468-2427.12743</t>
  </si>
  <si>
    <t>WOS:000459939600004</t>
  </si>
  <si>
    <t>Dai, GL; Xue, XY; Xu, K; Dong, L; Niu, C</t>
  </si>
  <si>
    <t>Dai, Gelian; Xue, Xiaoyuan; Xu, Ke; Dong, Lei; Niu, Chao</t>
  </si>
  <si>
    <t>A GIS-based method of risk assessment on no. 11 coal-floor water inrush from Ordovician limestone in Hancheng mining area, China</t>
  </si>
  <si>
    <t>ARABIAN JOURNAL OF GEOSCIENCES</t>
  </si>
  <si>
    <t>The no. 11 coal seam in the deep area of Hancheng mining area is mining in recent years, which is threatened by the water inrush from the Ordovician limestone aquifer. Coal-floor water inrush is governed by the water abundance of coal-floor aquifer, the water-resisting performance of coal-floor aquitard, and the pathway connecting the water source and the working face. To make an accuracy risk assessment of water inrush from the no. 11 coal seam floor, a GIS-based vulnerability index method (VIM) is adopted for its superior comprehensive consideration of more controlling factors, powerful spatial analysis, and intuitively display functions. This study firstly established an index system including the water pressure of the coal-floor aquifer, the unit water inflow, the thickness, the core recovery percentage, the thickness ratio of brittle rocks to ductile rocks, the thickness of effective aquitard, and the accumulated length of faults and folds, of which the former six indexes governed the water abundance of the coal-floor aquifer which was combined with the last two factors to determine the risk of coal-floor water inrush. Secondly, the thematic map of each controlling factor is established by GIS using the geological prospecting data, and the weight of each factor is determined by the analytic hierarchy process (AHP) after consulting the expert review panel. At last, a vulnerability index is obtained and used to assess the risk of coal-floor water inrush of the no. 11 coal seam. The risk of water inrush of the no. 11 coal seam of the study area was ranked to three zones: the southeastern shallow area in red color is the dangerous zone, the wide northwestern area in green color is the safe zone, and the transition area in yellow color is the moderate-risk zone. Compared with the actual water-inrush incidents, the risk assessment result was verified to achieve an accuracy of 82.35%, which is proved to be a dependable reference for the prevention and controlling of coal-floor water inrush of the no. 11 coal seam in Hancheng mining area.</t>
  </si>
  <si>
    <t>1866-7511</t>
  </si>
  <si>
    <t>1866-7538</t>
  </si>
  <si>
    <t>10.1007/s12517-018-4071-8</t>
  </si>
  <si>
    <t>WOS:000450990400004</t>
  </si>
  <si>
    <t>Lamers, LPM; Loeb, R; Antheunisse, AM; Miletto, M; Lucassen, ECHET; Boxman, AW; Smolders, AJP; Roelofs, JGM</t>
  </si>
  <si>
    <t>Lamers, L. P. M.; Loeb, R.; Antheunisse, A. M.; Miletto, M.; Lucassen, E. C. H. E. T.; Boxman, A. W.; Smolders, A. J. P.; Roelofs, J. G. M.</t>
  </si>
  <si>
    <t>Biogeochemical constraints on the ecological rehabilitation of wetland vegetation in river floodplains</t>
  </si>
  <si>
    <t>HYDROBIOLOGIA</t>
  </si>
  <si>
    <t>Symposium on Living Rivers - Trends and Challenges in Science and Management held in Honour of Piet Nienhuis</t>
  </si>
  <si>
    <t>OCT 31, 2003</t>
  </si>
  <si>
    <t>Radboud Univ Nijmegen, Nijmegen, NETHERLANDS</t>
  </si>
  <si>
    <t>Radboud Univ Nijmegen</t>
  </si>
  <si>
    <t>The European policy for river management during peak discharge periods is currently changing from exclusion strategies (reinforcement of dykes) to allowing a more natural situation by creating more floodplain space to reduce water levels during peak discharges. In addition, water retention and water storage areas have been created. The new measures are generally being combined with nature development strategies. Up till now, however, ecological targets of broadscale floodplain wetland restoration including sedge marshes, species-rich floodplain forests and carrs, riparian mesotrophic grasslands and other biodiverse riverine ecosystems, have hardly developed in these areas. Most studies on the conditions needed for sustainable ecological development of floodplains have focused on hydrological and geomorphological rather than biogeochemical issues (including nutrient availability and limitation). There are, however, large differences in the composition of river water and groundwater and in sediment quality between rivers in densely populated areas and those in more pristine areas, which serve as a reference. It is very likely that these factors, in combination with heavily altered hydrological regimes and the narrow areas confined between the dykes on both sides of the rivers, impose major constraints on sustainable ecological development of riverine areas. Another issue is that existing wetlands are generally considered to be very appropriate for water retention and conservation, although recent research has shown that this may pose a serious threat to their biodiversity. The present paper reviews the biogeochemical constraints on the combination of floodplain rehabilitation, water conservation and the conservation and development of wetlands. It is concluded that biogeochemical problems (mainly related to eutrophication) predominantly arise in less dynamic parts of the river system, to which the flood-pulse concept applies less. Sound knowledge of the biogeochemical processes involved will contribute to greater efficiency and a better prediction of the opportunities for restoration and development of riverine wetlands. This information can be directly applied in nature management, water management, policy-making and consultancy.</t>
  </si>
  <si>
    <t xml:space="preserve">Lamers, Leon P.M./0000-0003-3769-2154; </t>
  </si>
  <si>
    <t>0018-8158</t>
  </si>
  <si>
    <t>1573-5117</t>
  </si>
  <si>
    <t>10.1007/s10750-005-1912-8</t>
  </si>
  <si>
    <t>WOS:000237670600012</t>
  </si>
  <si>
    <t>Seegert, J; Berendonk, TU; Bernhofer, C; Blumensaat, F; Dombrowsky, I; Fuehner, C; Grundmann, J; Hagemann, N; Kalbacher, T; Kopinke, FD; Liedl, R; Leidel, M; Lorz, C; Makeschin, F; Markova, D; Niemann, S; Rostel, G; Schanze, J; Scheifhacken, N; Schuetze, N; Siebert, C; Stefan, C; Strehlitz, B; Teutsch, G; Weigelt, C; Weiss, H; Kolditz, O; Borchardt, D; Krebs, P</t>
  </si>
  <si>
    <t>Seegert, J.; Berendonk, T. U.; Bernhofer, C.; Blumensaat, F.; Dombrowsky, I.; Fuehner, C.; Grundmann, J.; Hagemann, N.; Kalbacher, T.; Kopinke, F. -D.; Liedl, R.; Leidel, M.; Lorz, C.; Makeschin, F.; Markova, D.; Niemann, S.; Roestel, G.; Schanze, J.; Scheifhacken, N.; Schuetze, N.; Siebert, C.; Stefan, C.; Strehlitz, B.; Teutsch, G.; Weigelt, C.; Weiss, H.; Kolditz, O.; Borchardt, D.; Krebs, P.</t>
  </si>
  <si>
    <t>Integrated water resources management under different hydrological, climatic and socio-economic conditions: results and lessons learned from a transdisciplinary IWRM project IWAS</t>
  </si>
  <si>
    <t>The International Water Research Alliance Saxony (IWAS) is addressing the global challenges concerning water quality in the areas of drinking water and sanitation, agricultural irrigation and the quality of surface and ground waters, as well as developing specific ecosystem-relevant services to be implemented on an exemplary basis in selected model regions. Locations (model regions) have been selected in Eastern Europe (R1), Central and Southeast Asia (R2 and R3), the Middle East (R4) and Latin America (R5) that are representative international regions with respect to climate, land use and demographic change (Ibisch et al., Helmholtz Centre for Environmental Research-UFZ, Department of Aquatic Ecosystem analysis and management, 2013). The causes of water problems and the relevant boundary conditions vary from region to region (Borchardt and Ibisch, Integrated water resources management in a changing world : lessons learnt and innovative perspectives, pp 225, 2013). Mongolia and Vietnam were selected model regions in the first IWAS phase; the research was transferred and continued in one of the cross-cutting projects in IWAS II (Vietnam -&gt; capacity development) or in the frame of related project activities in Central Asia (R2 Mongolia, Karthe et al., Environ Earth Sci, doi:10.1007/s12665-014-3789-1, 2014). The IWAS consortium exists on scientific institutions like the Technische Universitat Dresden and the Helmholtz Centre for Environmental Research-UFZ, Leipzig, as well as partners from industry like the Stadtentwasserung Dresden GmbH (SE-DD), DREBERIS-Dresden consulting for international strategies, and itwh-institute for technical-scientific Hydrology, Hanover. This thematic issue compiles the most important scientific results of the second phase of the IWAS project. The project itself and findings of the first phase were already introduced in a previous special issue by Kalbus et al. (Environ Earth Sci 65:1363-1366, 2012). Main results: The IWAS project is structured by the model regions (R) as well as by cross-cutting activities scenario analysis (Q1), technology development (Q2), governance (Q3) and capacity development (Q4).</t>
  </si>
  <si>
    <t>10.1007/s12665-014-3877-2</t>
  </si>
  <si>
    <t>WOS:000345407000002</t>
  </si>
  <si>
    <t>Pan, SM; Armitage, NP; van Ryneveld, MB</t>
  </si>
  <si>
    <t>Pan, S. M.; Armitage, N. P.; van Ryneveld, M. B.</t>
  </si>
  <si>
    <t>Sustainable and equitable sanitation in informal settlements of Cape Town: a common vision?</t>
  </si>
  <si>
    <t>WATER SA</t>
  </si>
  <si>
    <t>Water Institute of Southern Africa (WISA) Biennial Conference</t>
  </si>
  <si>
    <t>MAY 25-29, 2014</t>
  </si>
  <si>
    <t>Mbombela, SOUTH AFRICA</t>
  </si>
  <si>
    <t>Sustainability and equity are two desirable but ambiguous concepts often used to describe goals for sanitation services internationally and in South Africa. Both concepts are mentioned repeatedly in policy documents and government reports. There is, however, a gap between policy and implementation, and part of the problem lies in the challenge of reconciling the pressure to deliver immediate results with a long-term vision to strive towards sustainable and equitable sanitation services. Perspectives, priorities, and barriers to sustainability and equity in implementation, recognised amongst water and sanitation sector stakeholders in Cape Town, were analysed and compared with policy documents and municipal records. The research methods included a review of municipal and national sanitation policy documents and reports, and unstructured interviews with municipal officials, development NGO workers, sanitation consultants and entrepreneurs working in Cape Town municipality. In this paper, challenges to integrating sustainability and equity principles into various stages of sanitation service development are highlighted, and preliminary recommendations for addressing challenges are made, with an emphasis on stakeholder participation.</t>
  </si>
  <si>
    <t>0378-4738</t>
  </si>
  <si>
    <t>1816-7950</t>
  </si>
  <si>
    <t>10.4314/wsa.v41i2.07</t>
  </si>
  <si>
    <t>WOS:000355986500007</t>
  </si>
  <si>
    <t>Scott, TA; Carter, DP</t>
  </si>
  <si>
    <t>Scott, Tyler A.; Carter, David P.</t>
  </si>
  <si>
    <t>Collaborative governance or private policy making? When consultants matter more than participation in collaborative environmental planning</t>
  </si>
  <si>
    <t>The study of collaborative governance constitutes an established sub-literature within environmental policy and management scholarship. Among the lessons of this literature is that collaborative planning outputs are shaped by the mix of collaborative participants in question and the commitment participants exhibit towards joint planning efforts. This paper argues that a focus on the composition and commitment of collaborative participants ignores an increasingly prevalent actor in environmental planning - private sector contract consultants. We examine the relative influence of stakeholder attendance and the consulting firm providing support and facilitation in the case of integrated water resource management (IWRM) planning in the state of Georgia. Using attendance data derived from meeting minutes for ten concurrently operating regional IWRM councils, we document that neither the strength nor the commitment of collaborative efforts correlate with the content of planning outputs. Instead, the variation observed among regional plans can be largely explained by taking into account the consultant firms that were contracted to advise IWRM councils. Our discussion addresses the practical implications of relying on professional consultant services in environmental policy processes, and the theoretical imperative of incorporating consultant influence when explaining collaborative governance processes, outputs, and outcomes.</t>
  </si>
  <si>
    <t>Carter, David P/K-2248-2019</t>
  </si>
  <si>
    <t>Carter, David P/0000-0002-7636-7154</t>
  </si>
  <si>
    <t>10.1080/1523908X.2019.1566061</t>
  </si>
  <si>
    <t>WOS:000459159800003</t>
  </si>
  <si>
    <t>Sanchez, J</t>
  </si>
  <si>
    <t>Sanchez, Jeremie</t>
  </si>
  <si>
    <t>Urban development falling into the gutter: sanitation planning and 'anti-politics' in Myanmar</t>
  </si>
  <si>
    <t>THIRD WORLD QUARTERLY</t>
  </si>
  <si>
    <t>Urban development, and particularly the improvement of basic services delivery, is still approached in mostly technical terms by international development actors and municipalities of the Global South. Sanitation planning, for instance, remains the realm of engineers despite decades of evidence that conventional approaches focusing on infrastructure upgrading have failed to tackle socio-environmental challenges. Against this background, this paper explores sanitation planning in Mandalay, the second largest city of Myanmar. Here, the Asian Development Bank and a French consulting firm have seized the opportunity created by the country's recent opening to embark with the municipality on a multi-million dollar scheme: the Mandalay Urban Services Improvement Project (MUSIP). Drawing upon insights from critical development studies, the paper argues that the MUSIP can be interpreted as an 'anti-politics machine' that ignored local needs and proposed disputable solutions to local sanitation challenges. The paper further explores how this machine jeopardised urban development in Mandalay more generally, and was eventually challenged by the municipality. The paper concludes that the case is not unique and illustrates how urban development is today being reshaped throughout Myanmar, while it also shows the continued relevance of the 'anti-politics' framework to understand contemporary urban development assistance projects.</t>
  </si>
  <si>
    <t>Sanchez, Jeremie/0000-0002-7149-164X</t>
  </si>
  <si>
    <t>0143-6597</t>
  </si>
  <si>
    <t>1360-2241</t>
  </si>
  <si>
    <t>DEC 2</t>
  </si>
  <si>
    <t>10.1080/01436597.2019.1636641</t>
  </si>
  <si>
    <t>WOS:000476241400001</t>
  </si>
  <si>
    <t>Nastar, M; Isoke, J; Kulabako, R; Silvestri, G</t>
  </si>
  <si>
    <t>Nastar, Maryam; Isoke, Jennifer; Kulabako, Robinah; Silvestri, Giorgia</t>
  </si>
  <si>
    <t>A case for urban liveability from below: exploring the politics of water and land access for greater liveability in Kampala, Uganda</t>
  </si>
  <si>
    <t>LOCAL ENVIRONMENT</t>
  </si>
  <si>
    <t>Improving urban liveability and prosperity is commonly set as a priority in urban development plans and policy around the world. Several annual reports produced by international consulting firms, media, and global agencies rank the liveability of cities based on a set of indicators, to represent the quality of life in these cities. The higher is the ranking, the more liveable is the city. In this paper, we argue that such quantitative approaches to framing and addressing urban liveability challenges leave little room to reflect on people's experiences of this liveability, which cannot be expressed through numbers. To illustrate our argument, we draw on empirical evidence of urban liveability challenges in access to water and land in Kampala, the capital city of Uganda, ranked recently as the most liveable East African city by various global agencies and media outlets. By showing that increasing the number of water connections does not guarantee improved access to water and sanitation in the long run, first, we demonstrate how urban liveability challenges are tightly linked with land-title issues in the city. Second, we highlight the political game-playing between the central government, the opposition, the traditional leadership, and the slum dwellers in governance processes of service delivery. Finally, by arguing that urban liveability can be enhanced by broadening political participation in city development planning, we discuss some of the strategies that can be used by communities to make collective claims towards improving their quality of life and the environment.</t>
  </si>
  <si>
    <t>1354-9839</t>
  </si>
  <si>
    <t>1469-6711</t>
  </si>
  <si>
    <t>APR 3</t>
  </si>
  <si>
    <t>10.1080/13549839.2019.1572728</t>
  </si>
  <si>
    <t>WOS:000459718500004</t>
  </si>
  <si>
    <t>te Poele, S; Menkveld, W; Boom, J; van Bragt, W</t>
  </si>
  <si>
    <t>Effluent treatment by multi-media filtration, microfiltration and ultrafiltration: results of a pilot investigation at WWTP Hoek van Holland</t>
  </si>
  <si>
    <t>International Conference on Upgrading Wastewater Treatment</t>
  </si>
  <si>
    <t>SEP 30-OCT 01, 2004</t>
  </si>
  <si>
    <t>Amsterdam, NETHERLANDS</t>
  </si>
  <si>
    <t>Upgrading of wastewater treatment plant (WWTP) effluent as a part of the Dutch governmental policy to close the water cycle has increasing interest now. The Water Board Hoogheemraadschap van Delfland together with the project team of Witteveen + Bos Consulting Engineers, Delft University of Technology and Rossmark water treatment investigated the reuse possibilities of WWTP effluent in the region of Delfland. Therefore pilot research was carried out at WWTP Hoek van Holland applying different filtration techniques: multi-media filtration, micro- and ultrafiltration. The results show stable process performances of the different filtration techniques when proper pre-treatment was applied. For microfiltration the filtration characteristics were strongly influenced by particles which were not retained in the multi-media filter. For ultrafiltration the filtration characteristics were strongly influenced by organic components &lt; 0.2 mu m. The upgraded WWTP effluent could not be used directly as process water or for agriculture purposes, due to high concentrations of COD and salts in the WWTP effluent and filtrates. However WWTP effluent or floc filtrate could be applied directly as water for the washing of sea-sand.</t>
  </si>
  <si>
    <t>WOS:000232732600012</t>
  </si>
  <si>
    <t>Theesfeld, I; Schleyer, C</t>
  </si>
  <si>
    <t>Theesfeld, Insa; Schleyer, Christian</t>
  </si>
  <si>
    <t>Germany's Light Version of Integrated Water Resources Management</t>
  </si>
  <si>
    <t>ENVIRONMENTAL POLICY AND GOVERNANCE</t>
  </si>
  <si>
    <t>The design and implementation of the EU Water Framework Directive (WFD) in Germany has clearly been inspired by the Integrated Water Resources Management (IWRM) concept. The paper shows, however, that Germany's current river basin management follows a light version of IWRM, by only coordinating groundwater and surface water responsibilities rather than integrating various water related sectors. When assessing the current implementation of the WFD, Article 14 on participation is crucial. This is because the establishment of participatory forums involving stakeholders and the general public is directly related to the question of fit between the administrative and political boundaries of water management and the hydrogeological territory of a river basin. We argue that management concepts that simultaneously aim at integration and participation, such as IWRM, seem to pull in opposite directions. Based on document analysis, an extensive literature review and interviews with key informants, two cases of river basin management in Germany Ems and WarnowPeene empirically substantiate the argument that participation needs to be linked up effectively with the existing, democratically legitimized decision-making structures, which becomes more complicated the more decision-making power and responsibilities are integrated. Moreover, we found that most national, federal and regional state activities are still limited to simply informing and consulting people. The paper ends with recommendations on how to improve governance structures for water management while embracing Germany's approach of light IWRM. Copyright (c) 2013 John Wiley &amp; Sons, Ltd and ERP Environment.</t>
  </si>
  <si>
    <t>1756-932X</t>
  </si>
  <si>
    <t>1756-9338</t>
  </si>
  <si>
    <t>10.1002/eet.1602</t>
  </si>
  <si>
    <t>WOS:000318041300004</t>
  </si>
  <si>
    <t>Kimwaga, R; Nobert, J; Kongo, V; Ngwisa, M</t>
  </si>
  <si>
    <t>Kimwaga, Richard; Nobert, Joel; Kongo, Victor; Ngwisa, Mpembe</t>
  </si>
  <si>
    <t>Meeting the water and sanitation MDGs: a study of human resource development requirements in Tanzania</t>
  </si>
  <si>
    <t>WATER POLICY</t>
  </si>
  <si>
    <t>In the Tanzanian water and sanitation (WatSan) sector, the human resource (HR) requirements for meeting the Millennium Development Goal (MDG) targets have so far been relatively unknown. This study was therefore conducted with a focus on determining HR requirements in the public sector and parastatal institutions, in the private sector (private consultancy companies, individual contractors, etc.), and in non-governmental organizations and community-based organizations active in the broader water, sanitation and hygiene (WASH) sector. The competences assessed were: design and construction of new infrastructure, operation and maintenance (O&amp;M), community mobilization, sanitation, and hygiene promotion. The study found a greater HR shortage in rural areas than in urban areas. The smallest HR need is for social development professionals (estimated at 320 in the urban areas). In the water supply and sanitation sectors, the average number of water supply engineers that will be required to achieve MDGs is estimated at 3,864, compared to the sanitation sector, which will need 637 engineers. In terms of the demand for competences in the water supply sector, the highest need is for O&amp;M professionals (7,589) and the lowest for mobilization professionals (447). The study recommends increasing the HR supply in the WatSan sector through the following measures: increasing support for training institutions offering relevant courses in WatSan; focusing on skills required for asset management and O &amp; M; and giving specific attention to HR capacity development in small towns and rural areas.</t>
  </si>
  <si>
    <t>Nobert, Joel/ABE-7045-2020</t>
  </si>
  <si>
    <t>Nobert, Joel/0000-0002-6537-9950; Kongo, Victor/0000-0001-9062-7971</t>
  </si>
  <si>
    <t>1366-7017</t>
  </si>
  <si>
    <t>10.2166/wp.2013.012</t>
  </si>
  <si>
    <t>WOS:000331080900004</t>
  </si>
  <si>
    <t>Boyer, TH; Overdevest, C; Christiansen, L; Ishii, SKL</t>
  </si>
  <si>
    <t>Boyer, Treavor H.; Overdevest, Christine; Christiansen, Lisa; Ishii, Stephanie K. L.</t>
  </si>
  <si>
    <t>Expert stakeholder attitudes and support for alternative water sources in a groundwater depleted region</t>
  </si>
  <si>
    <t>The main objectives of this research were to quantify the risks/benefits and impacts of alternative water sources (AWSs) as perceived by expert stakeholders and to evaluate the overall support for multiple AWSs by expert stakeholders. The St. Johns River (SJR) basin, FL, USA was chosen as a case study for AWSs because it is a fresh groundwater depleted region and there are ongoing activities related to water supply planning. Expert stakeholders included federal, state, and local governments, public utilities, consulting engineering and industry, and environmental and social non-governmental organizations. AWSs under consideration in the SJR basin include surface water, desalination, water reclamation, and water conservation. A two-phase research approach was followed that focused on expert stakeholders. First, an elicitation study was used to identify salient beliefs about AWSs. Open-ended questions were asked about the risks/benefits of AWSs in terms of the three pillars of sustainability: ecological, economic, and human health impacts. Second, an online survey was constructed using beliefs identified during the elicitation study. The online survey was used to quantify attitudes toward and overall support for AWSs. The salient beliefs of expert stakeholders were dominated by the ecological pillar of sustainability. The support of expert stakeholders for AWSs, from least favorable to most favorable, was surface water withdrawals&lt;desalination&lt;water reclamation&lt;water conservation, and was shaped by attitudes. The results of this research provide an improved understanding of the beliefs and attitudes that influence decision-makers involved in water supply planning. (C) 2012 Elsevier B.V. All rights reserved.</t>
  </si>
  <si>
    <t>Boyer, Treavor/AAP-1102-2020</t>
  </si>
  <si>
    <t>Boyer, Treavor/0000-0003-0818-5604</t>
  </si>
  <si>
    <t>10.1016/j.scitotenv.2012.07.067</t>
  </si>
  <si>
    <t>WOS:000310941000029</t>
  </si>
  <si>
    <t>Sarvari, H; Cristofaro, M; Chan, DWM; Noor, NM; Amini, M</t>
  </si>
  <si>
    <t>Sarvari, Hadi; Cristofaro, Matteo; Chan, Daniel W. M.; Noor, Norhazilan Md.; Amini, Mohammadreza</t>
  </si>
  <si>
    <t>Completing abandoned public facility projects by the private sector: results of a Delphi survey in the Iranian Water and Wastewater Company</t>
  </si>
  <si>
    <t>Purpose Completion of abandoned public facility projects is one of the major concerns of governments struggling with budget issues. Various research studies have shown that this can only be solved with the help of the private sector. Therefore, this study aims to investigate the capacity of the private sector to complete abandoned public facility projects through the study of the Water and Wastewater Company in Iran. Design/methodology/approach The Delphi survey questionnaires, which were distributed to and responded by a panel of experts - i.e. three groups of employers of the Iranian Water and Wastewater Company, consulting agents and private sector stakeholders engaging with Water and Wastewater Company projects - identified 50 critical factors allowing the private sector to carry out abandoned facility projects. These have been categorized into four components: financial capacities, management competency, knowledge and expertise and resources and facilities. A descriptive survey method was used to determine and prioritize these factors. Findings The survey findings indicate that knowledge and expertise are the main important clusters of factors influencing the completion of abandoned public facility projects. The value of these results is essential in providing the sound basis for mutual trust between the private sector and the public sector for greater participation, thereby helping to complete abandoned public facility projects. Originality/value To the best of the authors' knowledge, this is the first study attempting to investigate the capacity of the private sector to complete abandoned public facility projects through an empirical analysis of factors influencing their completion.</t>
  </si>
  <si>
    <t>OCT 20</t>
  </si>
  <si>
    <t>10.1108/JFM-07-2020-0046</t>
  </si>
  <si>
    <t>WOS:000581022600005</t>
  </si>
  <si>
    <t>Dewan, C</t>
  </si>
  <si>
    <t>Dewan, Camelia</t>
  </si>
  <si>
    <t>'Climate Change as a Spice': Brokering Environmental Knowledge in Bangladesh's Development Industry</t>
  </si>
  <si>
    <t>ETHNOS</t>
  </si>
  <si>
    <t>This article examines whether the use of climate change as a 'spice' in order to attract donor funding may instead exacerbate existing environmental problems. The World Bank's latest adaptation project in coastal Bangladesh aims to create higher and wider embankments against rising sea levels. This disregards a long history of how embankments, by stopping beneficial monsoon inundations, result in dying rivers and damaging floods that devastate rural livelihoods. Bangladeshi 'development brokers' must therefore balance their roles as project employees supporting embankments as adaptation, and as locals knowledgeable about their harmful effects. The article shows how donors, NGOs, consultants and government bodies with different agendas, priorities and knowledge backgrounds 'translate' climate change to legitimise their activities. It contributes to debates about the politics of environmental knowledge production by arguing that development brokerage helps explain why some climate adaptation projects increase environmental vulnerability, while others address local needs.</t>
  </si>
  <si>
    <t>0014-1844</t>
  </si>
  <si>
    <t>1469-588X</t>
  </si>
  <si>
    <t>10.1080/00141844.2020.1788109</t>
  </si>
  <si>
    <t>JUN 2020</t>
  </si>
  <si>
    <t>WOS:000550029000001</t>
  </si>
  <si>
    <t>Doerr-MacEwen, NA; Haight, ME</t>
  </si>
  <si>
    <t>Doerr-MacEwen, Nora A.; Haight, Murray E.</t>
  </si>
  <si>
    <t>Expert stakeholders' views on the management of human pharmaceuticals in the environment</t>
  </si>
  <si>
    <t>Human pharmaceuticals are ubiquitous water contaminants that may have subtle detrimental effects on aquatic organisms, and possibly also on human health. The risks of pharmaceuticals, or pharmaceutically active compounds, remain poorly understood. Awareness of the presence of pharmaceuticals in the environment, coupled with evidence of effects such as fish feminization, however, suggest that precautionary management action to reduce the release of pharmaceuticals to the environment should be considered. The purpose of our study was to evaluate the scope of the issue and possible management strategies from the perspectives of expert stakeholders, drawn from government, academia, and the pharmaceutical and consulting industries, involved in scientific research or policy and management activity, from Canada, the United States, and Europe. Twenty-seven interviewees were asked about their views on management strategies such as pharmaceutical-return programs and incentives for the development of green'' pharmaceuticals. Interviewees generally believed that pharmaceuticals in the environment represented a concern for both human and ecosystem health, although they were more concerned about impacts on aquatic ecosystems. They believed that advanced wastewater treatment technology, education of medical professionals to reduce overprescription, pharmaceutical-return programs coupled with public education, and requirements for all municipalities to have a minimum of secondary wastewater treatment were the most effective management strategies to reduce the environmental impacts of pharmaceuticals. These strategies should be considered by governments interested in managing the risks of human pharmaceuticals in the environment. Combinations of management strategies will likely be most effective in mitigating the risks presented by pharmaceuticals.</t>
  </si>
  <si>
    <t>10.1007/s00267-005-0306-z</t>
  </si>
  <si>
    <t>WOS:000241104500012</t>
  </si>
  <si>
    <t>Gupta, A</t>
  </si>
  <si>
    <t>Gupta, Anil</t>
  </si>
  <si>
    <t>Clean development mechanism of Kyoto Protocol Contribution of India in climate change mitigation and expectations of Indian project proponents</t>
  </si>
  <si>
    <t>Purpose - This paper aims to review the developments in India with respect to clean development mechanism (CDM) of Kyoto Protocol to assess the achievements during first Kyoto Protocol period (2008-2012) in climate change mitigation and suggest measure for better participation during the second commitment period. The paper further makes an attempt to explore the experience, concerns and expectations of the Indian project proponents of green projects registered with CDM Executive Board. Design/methodology/approach - This paper employs two methods: informal interviews with executives of World Bank, Designated National Authority (DNA) of India for CDM, leading international CDM consulting firms and a questionnaire survey of Indian CDM projects proponents. Findings - During first commitment period valid up to December 31, 2012, India remained active participant in the CDM, the only mechanism of Kyoto Protocol where developing countries can participate and join in mitigation of climate change, through the development of green projects and thereby earning additional revenue in terms of carbon finance by sale of carbon credits. The study finds out that in the global CDM experience, India's role is striking with its second highest share both in terms of number of projects registered worldwide and in generation of Certified Emission Reductions (CERs). Originality/value - This paper provides several recommendations for strengthening the institutional frame work in India with respect to CDM as well as suggestions to policy makers for consideration while charting out future policies and programs addressing climate change mitigation and adaptation oriented towards better participation in climate change mitigation during the second commitment period of Kyoto Protocol.</t>
  </si>
  <si>
    <t>10.1108/IJCCSM-09-2012-0051</t>
  </si>
  <si>
    <t>WOS:000341786300002</t>
  </si>
  <si>
    <t>Sauchyn, DJ; St-Jacques, JM; Barrow, E; Nemeth, MW; MacDonald, RJ; Sheer, AMS; Sheer, DP</t>
  </si>
  <si>
    <t>Sauchyn, David J.; St-Jacques, Jeannine-Marie; Barrow, Elaine; Nemeth, Michael W.; MacDonald, Ryan J.; Sheer, A. Michael S.; Sheer, Daniel P.</t>
  </si>
  <si>
    <t>ADAPTIVE WATER RESOURCE PLANNING IN THE SOUTH SASKATCHEWAN RIVER BASIN: USE OF SCENARIOS OF HYDROCLIMATIC VARIABILITY AND EXTREMES</t>
  </si>
  <si>
    <t>JOURNAL OF THE AMERICAN WATER RESOURCES ASSOCIATION</t>
  </si>
  <si>
    <t>The South Saskatchewan River Basin is one of Canada's most threatened watersheds, with water supplies in most subbasins over-allocated. In 2013, stakeholders representing irrigation districts, the environment, and municipalities collaborated with researchers and consultants to explore opportunities to improve the resiliency of the management of the Oldman and South Saskatchewan River subbasins. Streamflow scenarios for 2025-2054 were constructed by the novel approach of regressing historical river flows against indices of large-scale ocean-atmosphere climate oscillations to derive statistical streamflow models, which were then run using projected climate indices from global climate models. The impacts of some of the most extreme scenarios were simulated using the hydrologic mass-balance model Operational Analysis and Simulation of Integrated Systems (OASIS). Based on stakeholder observations, the project participants proposed and evaluated potential risk management and adaption strategies, e.g., modifying existing infrastructure, building new infrastructure, changing operations to supplement environmental flows, reducing demand, and sharing supply. The OASIS model was applied interactively at live modeling sessions with stakeholders to explore practical adaptation strategies. Our results, which serve as recommendations for policy makers, showed that forecast-based rationing together with new expanded storage could dramatically reduce water shortages.</t>
  </si>
  <si>
    <t>1093-474X</t>
  </si>
  <si>
    <t>1752-1688</t>
  </si>
  <si>
    <t>10.1111/1752-1688.12378</t>
  </si>
  <si>
    <t>WOS:000369999100015</t>
  </si>
  <si>
    <t>Connell, RK; Willows, R; Harman, J; Merrett, S</t>
  </si>
  <si>
    <t>A framework for climate risk management applied to a UK waver resource problem</t>
  </si>
  <si>
    <t>WATER AND ENVIRONMENT JOURNAL</t>
  </si>
  <si>
    <t>Climate risk management is a new and evolving area and many decisions are likely to be affected by climate risks over the long-term. This paper presents a decision-making framework designed for managing climate alongside non-climate risk factors. The framework describes a process that should help identify and manage these risks. It can be used to help decision-makers answer questions. about whether adaptation is required, and, if so, which measures should be implemented. Adaptive management is recommended as a useful approach for dealing with climate and other uncertainties. This paper describes an application of the framework to a water resources case study Feedback from training workshops based on four different case studies suggests the framework provides at minimum a useful (post-hoc) decision analysis fool. Potential users, who include planners, consultants and policy-makers have been largely positive about the prospective utility of the framework.</t>
  </si>
  <si>
    <t>1747-6585</t>
  </si>
  <si>
    <t>1747-6593</t>
  </si>
  <si>
    <t>10.1111/j.1747-6593.2005.tb00573.x</t>
  </si>
  <si>
    <t>WOS:000234305100009</t>
  </si>
  <si>
    <t>Lin, WQ</t>
  </si>
  <si>
    <t>Lin, Weiqiang</t>
  </si>
  <si>
    <t>Aviation and Climate Change: Practising Green Governmentality across the North-South Divide</t>
  </si>
  <si>
    <t>This article seeks to re-understand climate change in terms of its constitutive state practices. Existing analyses tend to frame climate change as a security discourse, or as a manner of green governmentality normalising the uneven relations between the Global North and South, but seldom is the practical process realising climate change's logics delineated. Using aviation as an example, this article traces how climate change, as discourse, contingently takes shape through three episodes in aviation's environmental evolution: a) an initial period of conceptual experimentation and consolidation (1992-2005); b) a major policy break catalysed by the EU ETS that destabilised previous discursive formations (2005-2012); and c) diplomatic attempts to re-gain international consensus following the EU ETS's extension to aviation (2012-present). These practices will be charted across numerous spaces, including supra-national forums, national governments, technical bodies, consulting agencies, and political summits. By elucidating this geopolitical praxis across the North-South divide, I demonstrate how climate change cannot simply be reduced to a rationality in green governmentality, but must be understood as an outcome of strategic practices among differently positioned states.</t>
  </si>
  <si>
    <t>10.1080/14650045.2016.1210130</t>
  </si>
  <si>
    <t>WOS:000394440200008</t>
  </si>
  <si>
    <t>Rajabi, MM; Ataie-Ashtiani, B; Simmons, CT</t>
  </si>
  <si>
    <t>Rajabi, Mohammad Mandi; Ataie-Ashtiani, Behzad; Simmons, Craig T.</t>
  </si>
  <si>
    <t>Model-data interaction in groundwater studies: Review of methods, applications and future directions</t>
  </si>
  <si>
    <t>JOURNAL OF HYDROLOGY</t>
  </si>
  <si>
    <t>We define model-data interaction (MDI) as a two way process between models and data, in which on one hand data can serve the modeling purpose by supporting model discrimination, parameter refinement, uncertainty analysis, etc., and on the other hand models provide a tool for data fusion, interpretation, interpolation, etc. MDI has many applications in the realm of groundwater and has been the topic of extensive research in the groundwater community for the past several decades. This has led to the development of a multitude of increasingly sophisticated methods. The progress of data acquisition technologies and the evolution of models are continuously changing the landscape of groundwater MDI, creating new challenges and opportunities that must be properly understood and addressed. This paper aims to review, analyze and classify research on MDI in groundwater applications, and discusses several related aspects including: (1) basic theoretical concepts and classification of methods, (2) sources of uncertainty and how they are commonly addressed, (3) specific characteristics of groundwater models and data that affect the choice of methods, (4) how models and data can interact to provide added value in groundwater applications, (5) software and codes for MDI, and (6) key issues that will likely form future research directions. The review shows that there are many tools and techniques for groundwater MDI, and this diversity is needed to support different MDI objectives, assumptions, model and data types and computational constraints. The study identifies eight categories of applications for MDI in the groundwater literature, and highlights the growing gap between MDI practices in the research community and those in consulting, industry and government.</t>
  </si>
  <si>
    <t>0022-1694</t>
  </si>
  <si>
    <t>1879-2707</t>
  </si>
  <si>
    <t>10.1016/j.jhydrol.2018.09.053</t>
  </si>
  <si>
    <t>WOS:000454753900038</t>
  </si>
  <si>
    <t>Prinsen, GF; Becker, BPJ</t>
  </si>
  <si>
    <t>Prinsen, G. F.; Becker, B. P. J.</t>
  </si>
  <si>
    <t>APPLICATION OF SOBEK HYDRAULIC SURFACE WATER MODELS IN THE NETHERLANDS HYDROLOGICAL MODELLING INSTRUMENT</t>
  </si>
  <si>
    <t>IRRIGATION AND DRAINAGE</t>
  </si>
  <si>
    <t>The Netherlands is a low-lying country in the delta of the Rhine and Meuse rivers. Water management is a challenging task at times of high river discharges, but also during droughts, with salt intrusion being an important issue. When river discharges are low, several inlets in the western parts of the country cannot be used, because salinities exceed the standards. Climate change will increase the frequency of these problems. The Freshwater Policy study within the Dutch Delta Programme investigates how to deal with future freshwater supply and demand in the Netherlands. The Netherlands Hydrological modelling Instrument (NHI) has been developed in recent years by Deltares and Alterra in close cooperation with the Dutch Rijkswaterstaat-Waterdienst, the Netherlands Environmental Assessment Agency, water boards and consultants. NHI is a set of integrated models for surface water, the unsaturated zone and groundwater. Surface water and salt balances are obtained using a 0-dimensional water balance approach in combination with results of 1D-hydrodynamic SOBEK flow models. NHI is the central model used in the Dutch Delta Programme's Freshwater Policy study. We will introduce the principles of NHI, the surface water components and their interaction, and discuss the first results of the study. Copyright (C) 2011 John Wiley &amp; Sons, Ltd.</t>
  </si>
  <si>
    <t>Becker, Bernhard P. J./E-9114-2010</t>
  </si>
  <si>
    <t>1531-0353</t>
  </si>
  <si>
    <t>10.1002/ird.665</t>
  </si>
  <si>
    <t>WOS:000298343100006</t>
  </si>
  <si>
    <t>Joling, KJ; Windle, G; Droes, RM; Huisman, M; Hertogh, CMPM; Woods, RT</t>
  </si>
  <si>
    <t>Joling, Karlijn J.; Windle, Gill; Droes, Rose-Marie; Huisman, Martijn; Hertogh, Cees M. P. M.; Woods, Robert T.</t>
  </si>
  <si>
    <t>What are the essential features of resilience for informal caregivers of people living with dementia? A Delphi consensus examination</t>
  </si>
  <si>
    <t>AGING &amp; MENTAL HEALTH</t>
  </si>
  <si>
    <t>Objectives: Few studies have examined what might enable or prevent resilience in carers of people with dementia. Consequently, there are limited insights as to how it should be understood, defined and measured. This creates challenges for research, and also practice in terms of how it might best be promoted. This study aimed to address these limitations and add new insights, identifying the essential features of resilience in dementia caregiving.Methods: A Delphi consensus study was conducted, consulting a multi-disciplinary panel of informal caregivers and experts with relevant professional expertise. Panellists rated the relevance of various statements addressing essential components of resilience; adversity' and successful caregiving' on a 5-point Likert scale. Based on the median and Inter Quartile Range, the most relevant statements with moderate consensus were proposed in Round 2 in which panellists selected up to five statements in order of importance.Results: Moderate consensus was reached for all statements after two rounds. Patients' behavioural problems and feeling competent as a caregiver were selected by both caregivers and professionals as essential resilience features. Caregivers also emphasized the importance of social support, the quality of the relationship with their relative and enjoying spending time together. Professionals considered coping skills, experiencing positive aspects of caregiving, and a good quality of life of caregivers most relevant.Conclusion: The essential elements of resilience selected from multiple stakeholder perspectives can be used to select appropriate outcomes for intervention studies and give guidance to policy to support caregivers more effectively and better tailored to their needs.</t>
  </si>
  <si>
    <t>Huisman, Martijn/G-2873-2010</t>
  </si>
  <si>
    <t>Droes, Rose-Marie/0000-0002-4812-1229</t>
  </si>
  <si>
    <t>1360-7863</t>
  </si>
  <si>
    <t>1364-6915</t>
  </si>
  <si>
    <t>10.1080/13607863.2015.1124836</t>
  </si>
  <si>
    <t>WOS:000399880800007</t>
  </si>
  <si>
    <t>Scheuer, M</t>
  </si>
  <si>
    <t>The international competitiveness of German consulting engineering: Results of an international benchmarking study</t>
  </si>
  <si>
    <t>SERVICE INDUSTRIES JOURNAL</t>
  </si>
  <si>
    <t>11th Annual European Service Research Network RESER Conference</t>
  </si>
  <si>
    <t>GRENOBLE, FRANCE</t>
  </si>
  <si>
    <t>German consulting engineering firms currently face great difficulties in competing in globalised markets. They are comparatively small. This article asks what the reasons for this situation are and whether there are options for political assistance to help the trade - perhaps,Germany can learn from other countries - and describes the results of a benchmarking study which compares the situation of German firms with that of companies in the US, UK and France. The factors that may possibly be important for international competitiveness are analysed. The main result of the study is that the present weakness of German consulting engineering is caused by their lack of adaptation to the needs of the new globalised markets. German firms suffer now from the rather good and secure business opportunities which they have enjoyed during the phase of 'Aufbau Ost' in eastern Germany in the 1990s. They have somewhat missed the restructuring that became necessary. Hence, German consulting engineering has to do the bulk of restructuring itself in order to become competitive again.</t>
  </si>
  <si>
    <t>0264-2069</t>
  </si>
  <si>
    <t>10.1080/02642060412331300802</t>
  </si>
  <si>
    <t>WOS:000180842600007</t>
  </si>
  <si>
    <t>Carballo-Penela, A; Castroman-Diz, JL</t>
  </si>
  <si>
    <t>Carballo-Penela, Adolfo; Luis Castroman-Diz, Juan</t>
  </si>
  <si>
    <t>Environmental Policies for Sustainable Development: An Analysis of the Drivers of Proactive Environmental Strategies in the Service Sector</t>
  </si>
  <si>
    <t>This article examines the drivers of environmental proactivity in the service sector. Hypotheses were tested using multiple hierarchical regression analysis with data from a sample of 41 managers in Spanish environmental consulting companies. Results show statistically significant relationships between (1) managers' attitude towards sustainable development, (2) positive short-term firm performance and (3) the strategic attitude of environmental consulting firms and the adoption of proactive environmental strategies by the studied companies. This article is pioneering in the analysis of drivers of corporate proactive environmental strategies in the consultancy sector. The findings have practical implications for policy-makers, investors and other agents interested in a better management of the environment. Economic incentives such as subsidies to environmental training programmes for managers can induce changes in cognitive components of managers' attitudes. Education policies could also affect managers' attitudes towards the environment. Companies may also encourage attitude change by providing their managers with financial assistance to receive environmental training. External assistance to develop a strategic attitude could be an interesting policy to encourage voluntary environmental initiatives. Finally, fiscal deductions, tax breaks or subsidies to those companies interested in managing the environment can be effective incentives for those firms facing a weak short-term financial situation. Copyright (C) 2014 John Wiley &amp; Sons, Ltd and ERP Environment</t>
  </si>
  <si>
    <t>Carballo-Penela, Adolfo/C-9301-2018</t>
  </si>
  <si>
    <t>Carballo-Penela, Adolfo/0000-0002-3849-9949; Castroman Diz, Juan Luis/0000-0003-4654-0363</t>
  </si>
  <si>
    <t>10.1002/bse.1847</t>
  </si>
  <si>
    <t>WOS:000368298000009</t>
  </si>
  <si>
    <t>Oui, J</t>
  </si>
  <si>
    <t>Oui, Jeanne</t>
  </si>
  <si>
    <t>A CLIMATE REGULATION FOR EUROPEAN AGRICULTURE, BETWEEN TECHNOLOGICAL INNOVATION AND PUBLIC-PRIVATE PARTNERSHIPS</t>
  </si>
  <si>
    <t>REVUE D ANTHROPOLOGIE DES CONNAISSANCES</t>
  </si>
  <si>
    <t>This article examines a European public policy which tackles climate change in agriculture through a project launched in 2013 as part of the Lisbon Agenda, the Climate-Smart Agriculture (CSA) Booster. The concept of CSA, born in the context of international climate negotiations to guide public action in agriculture, has been reused and redefined at the European level. This circulation of the CSA has led to a new framing of the climate problem in terms of economic growth opportunities: climate change is understood as a challenge that could be handled by consulting markets and technological solutions. Here, regulation is being built by encouraging innovation - especially digital innovation - and free participation of private actors: businesses are seen as central to transform farming sector. However, the project encounters enrolment difficulties and internal controversies: these types of transformation stay at promises' stage.</t>
  </si>
  <si>
    <t>1760-5393</t>
  </si>
  <si>
    <t>WOS:000485756700013</t>
  </si>
  <si>
    <t>Galvis, LKS; Gaspar, AB; Navarro, RM; Vallejos-Romero, A</t>
  </si>
  <si>
    <t>Sanchez Galvis, Luz Karime; Boso Gaspar, Alex; Montalba Navarro, Rene; Vallejos-Romero, Arturo</t>
  </si>
  <si>
    <t>Water Governance and Emerging Challenges for Rigid Normative and Institutional Structures: an Analysis from the Chilean Case</t>
  </si>
  <si>
    <t>In recent years there has been a decrease in water availability mainly associated to climate change and a strong increase in the demand for this resource. As a consequence, the water sector is facing increasing pressures at the social, economic, environmental and political levels. This new scenario generates high levels of uncertainty that increase tensions over the access to water. The diverse valuations and uses given by the multiple stake-holders interested in this resource make traditional management and governance models based on the theory ofcommand and control inadequate. This paper theoretically analyzes different conceptions and models of water governance, their characteristics, levels and scales of operation, identifying potentials and limitations to face complex and dynamic contexts. At the empirical level the Chilean case is explored since there is a water market for this resource allocation. To develop the analytical framework on the concept of water governance, a compilation and selection (directed review of literature) of recent research on the subject was carried out by consulting scientific articles published in internationally recognized journals and with high impact in the area of social sciences, interdisciplinary and water resources. The results show that a rigid, centralized system with legislation that prioritizes private interests before public interests causes inequity in access to water and needs a change in its structure that allow it to face the new conditions of dynamic and complex systems. On the other hand, the concept of water governance must be addressed as a socio-ecological system and it is not pertinent to analyze the water system in isolation. The model of adaptive governance emerges as the most propitious to face changing conditions, although its implementation presents several challenges. Finally, some initiatives are shown at a local scale that are emerging in Chile and that stand out as an advance in the transition from a traditional governance model to an adaptive one.</t>
  </si>
  <si>
    <t>WOS:000455562200007</t>
  </si>
  <si>
    <t>Whittington, D; Davis, J; McClelland, E</t>
  </si>
  <si>
    <t>Implementing a demand-driven approach to community water supply planning: A case study of Lugazi, Uganda</t>
  </si>
  <si>
    <t>WATER INTERNATIONAL</t>
  </si>
  <si>
    <t>A new water supply and sanitation planning approach is now becoming accepted in many developing countries. This new approach holds that investment in the water and sanitation sector should be demand driven, i.e., that households should be provided with services they want and for which they are willing to pay. This paper shows how results from a rapid appraisal of household demand for improved water services were used to identify the appropriate water service level in Lugazi, Uganda. The authors argue that a demand-driven planning process requires flexibility on the part of engineering consultants, planners, and government officials to respond to the kind of unexpected findings that are likely to emerge from serious dialogue with project beneficiaries. Engineering consultants, government planners, and donors must be willing to tackle water supply problems with all open mind and to create different water scenarios for a community as a function of the community's own desires. At present, however, reference for most water supply planning jobs provide no incentive for this kind of creative problem solving. On the contrary, terms of reference typically penalize engineering and planning firms for using an adaptive, demand-driven approach. One pressing challenge is for water sector professionals, working for both donors and national governments, to craft terms of reference for water supply projects that reward practitioners for taking a demand-driven planning process seriously.</t>
  </si>
  <si>
    <t>0250-8060</t>
  </si>
  <si>
    <t>10.1080/02508069808686760</t>
  </si>
  <si>
    <t>WOS:000081523800004</t>
  </si>
  <si>
    <t>Hicks, J; Nair, P; Wilderom, CPM</t>
  </si>
  <si>
    <t>Hicks, Jeff; Nair, Padmakumar; Wilderom, Celeste P. M.</t>
  </si>
  <si>
    <t>What if We Shifted the Basis of Consulting from Knowledge to Knowing?</t>
  </si>
  <si>
    <t>MANAGEMENT LEARNING</t>
  </si>
  <si>
    <t>In this article, we argue that a focus on the debunking of consulting knowledge has led to a disconnect between the research and the practice of management consulting. A renewed focus on consulting practice, that is, the doing of consultancy itself, affords an opportunity for bringing clients, practitioners and researchers of consulting closer together. We sketch an outline of an alternative approach to consulting practice, based not on knowledge, but on knowing, the socially situated activity whereby knowledge is applied and created. Borrowing from the practice-based theories of organizational knowledge and knowing, we explore how key aspects of consulting practice-problem solving, participation and knowledge transfer-might be handled differently when we give primacy to practice. We discuss the viability of this alternative approach, and argue that despite established relations of power and politics, the dynamic and indeterminate nature of practice environments does afford some space for this and other alternative forms of consulting practice to take hold.</t>
  </si>
  <si>
    <t>1350-5076</t>
  </si>
  <si>
    <t>10.1177/1350507609104341</t>
  </si>
  <si>
    <t>WOS:000266876800005</t>
  </si>
  <si>
    <t>Blume, L</t>
  </si>
  <si>
    <t>Blume, Lorenz</t>
  </si>
  <si>
    <t>Local economic policies as determinants of the local business climate: Empirical results from a cross-section analysis among East German municipalities</t>
  </si>
  <si>
    <t>For the period after 1995, there is empirical evidence that differences in East German local economic policies explain a significant part of the variation in the local business climate. A cross-section analysis among 92 municipalities shows that successful economic policies consisted of a balanced mix of traditional instruments ( consulting, real estate management, investment in infrastructure) and modern, competition-oriented activities ( city marketing, new public management, regional cooperation and public - private partnerships). At the current level of intergovernmental competition among East German municipalities, there are no signs of a ruinous race in subsidies. Discriminating subsidies even have a negative effect on the business climate in cities that have implemented these.</t>
  </si>
  <si>
    <t>10.1080/00343400600725178</t>
  </si>
  <si>
    <t>WOS:000238606800003</t>
  </si>
  <si>
    <t>Reihlen, M; Nikolova, N</t>
  </si>
  <si>
    <t>Reihlen, Markus; Nikolova, Natalia</t>
  </si>
  <si>
    <t>Knowledge production in consulting teams</t>
  </si>
  <si>
    <t>SCANDINAVIAN JOURNAL OF MANAGEMENT</t>
  </si>
  <si>
    <t>The central thesis of this paper is that the production of knowledge in consulting teams can neither be understood as the result of an internal interaction between clients and consultants decoupled from the wider socio-political environment nor as externally determined by socially constructed industry recipes or management fashions detached from the cognitive uniqueness of the client consultant team. Instead, we argue that knowledge production in consulting teams is intrinsically linked to the institutional environment that not only provides resources such as funding, manpower, or legitimacy but also offers cognitive feedback through which knowledge production is influenced. By applying the theory of self-organization to the knowledge production in consulting teams, we explain how consulting teams are structured by the socio-cultural environment and are structuring this environment to continue their work. The consulting team's knowledge is shaped and influenced by cognitive feedback loops that involve external collective actors such as the client organization, practice groups of consulting firms, the academic/professional community, and the general public who essentially become co-producers of consulting knowledge. (C) 2010 Elsevier Ltd. All rights reserved.</t>
  </si>
  <si>
    <t>Nikolova, Natalia/AAJ-8815-2020</t>
  </si>
  <si>
    <t>Nikolova, Natalia/0000-0001-5916-3822</t>
  </si>
  <si>
    <t>0956-5221</t>
  </si>
  <si>
    <t>1873-3387</t>
  </si>
  <si>
    <t>10.1016/j.scaman.2010.05.004</t>
  </si>
  <si>
    <t>WOS:000282032000006</t>
  </si>
  <si>
    <t>Shearer, AW</t>
  </si>
  <si>
    <t>Whether the weather: comments on 'an abrupt climate change scenario and its implications for United States National Security'</t>
  </si>
  <si>
    <t>FUTURES</t>
  </si>
  <si>
    <t>In February 2004, the Department of Defense released 'An Abrupt Climate Change Scenario and Its Implications for United States National Security.' Written by Peter Schwartz and Doug Randall of consulting firm Global Business Network, the study outlined a possible future with climatic conditions similar to those 8200 years ago and speculated on implications related to the subsequent availability of food, water, and energy. As a result of media coverage about the report, which notably included misconceptions about the study's intents, the document may have become too politically controversial for defense planners to engage at the present time and it has apparently not been widely distributed within the administration's national security personnel. Regardless of the document's status within the Pentagon, it is of interest to many who are actively involved in discussions about the future. Broadly, as with any scenario-based undertaking, there are questions about how the vision of the future has been crafted and, subsequently, how it may best be used to inform a decision-making process. More narrowly, this particular scenario is also significant for on-going debates about the role of environmental factors in matters of national security. This paper distinguishes between natural events and human actions to consider some strengths and weaknesses of Schwartz and Randall's text. It also makes recommendations to improve future efforts to understand the relationships between climate change and national security. (c) 2004 Elsevier Ltd. All rights reserved.</t>
  </si>
  <si>
    <t>Shearer, Allan/A-8869-2009</t>
  </si>
  <si>
    <t>0016-3287</t>
  </si>
  <si>
    <t>10.1016/j.futures.2004.10.020</t>
  </si>
  <si>
    <t>WOS:000229883500001</t>
  </si>
  <si>
    <t>Grimberg, BI; Ahmed, S; Ellis, C; Miller, Z; Menalled, F</t>
  </si>
  <si>
    <t>Grimberg, Bruna Irene; Ahmed, Selena; Ellis, Colter; Miller, Zachariah; Menalled, Fabian</t>
  </si>
  <si>
    <t>Climate Change Perceptions and Observations of Agricultural Stakeholders in the Northern Great Plains</t>
  </si>
  <si>
    <t>This study explored whether Montana agricultural stakeholders' perceptions and observations of climate change vary according to four socio-ecological variables: income, political view, agricultural occupation, and production region. A survey including 27 questions was developed into five sections: (1) agricultural background information; (2) perceptions about climate change; (3) observed changes in climate-related variables; (4) adaptation practices and strategies; and (5) demographic information. The survey included Likert-scored responses and multiple-choice questions, and was completed by 452 participants, including conventional and organic farmers and ranchers, extension agents, crop consultants, and researchers. The results indicate that while a notable fraction of agricultural stakeholders are alarmed about climate change and optimistic about the human capacity to reduce climate change, the degree of concern and optimism significantly varies depending on the stakeholder's political views, production region, and agricultural occupation group. We found that observations of changes in climate, perceptions about climate change, and potential risks to agricultural production are driven mainly by political views. Both perceptions and observations drive the choice of adaptation and mitigation practices. It is thus essential to understand farmers' socio-ecological characteristics when designing agricultural outreach programs in order to reduce barriers for the adoption of climate-resilient agriculture.</t>
  </si>
  <si>
    <t>10.3390/su10051687</t>
  </si>
  <si>
    <t>WOS:000435587100383</t>
  </si>
  <si>
    <t>Palutikof, JP; Boulter, SL; Stadler, F; Vidaurre, ACP</t>
  </si>
  <si>
    <t>Palutikof, Jean P.; Boulter, Sarah L.; Stadler, Frank; Vidaurre, Ana C. Perez</t>
  </si>
  <si>
    <t>Tracking the progress of climate change adaptation: An Australian case study</t>
  </si>
  <si>
    <t>The last decade has seen strong global growth in the number of climate change adaptation projects. To understand whether adaptation is progressing and is successful, some form of longitudinal tracking is required. The six adaptation conferences organised by the National Climate Change Adaptation Research Facility between 2010 and 2018 provide a unique and novel opportunity to track adaptation progress in Australia. Each conference was accompanied by a call for abstracts for oral or poster presentation. The submitted abstracts form the basis of the analysis in this paper. We show that, over time, the balance of attendees shifted away from researchers and towards government employees, and the proportion of attendees submitting abstracts declined. The proportion of abstracts submitted by government employees and consultants has increased at more recent conferences. When abstract content is analysed, the results show that, over time, there has been a change in the focus of abstracts with respect to the sector, type and stage of adaptation. These trends indicate maturation of adaptation in Australia, but also suggest that lack of finance for research and action is having an impact. There is evidence that adaptation in Australia is moving from being largely planning based and towards implementation. This is encouraging, given that studies throughout the world have remarked on the barriers that exist in moving from planning to action.</t>
  </si>
  <si>
    <t>10.1016/j.envsci.2019.07.018</t>
  </si>
  <si>
    <t>WOS:000497600400016</t>
  </si>
  <si>
    <t>Kirby, N; Hartstone, M</t>
  </si>
  <si>
    <t>The Australian organisational psychologist: An update</t>
  </si>
  <si>
    <t>AUSTRALIAN PSYCHOLOGIST</t>
  </si>
  <si>
    <t>A survey of the current role of Australian organisational psychologists was carried out based on a previous survey conducted by Barkway and Kirby (1983). It was found that consulting with management, training, test interpretation, management development, and personnel counselling were still the core activities of organisational psychologists. However, there was evidence of new services such as managing conflict, establishing a creative climate or culture, counselling for retrenchment or redeployment, and job description specifications. Consulting had also replaced government as the most common form of employment. Educational qualifications had improved, but a more practical approach was seen as desirable in academic courses. An increase in the proportion of female organisational psychologists was also apparent. While there was generally greater optimism about employment prospects, some concern was expressed about the professional integrity of organisational psychology and, as in the previous survey, there was still concern about the need to improve the marketing of the services of organisational psychologists.</t>
  </si>
  <si>
    <t>0005-0067</t>
  </si>
  <si>
    <t>10.1080/00050069808257268</t>
  </si>
  <si>
    <t>WOS:000078728500015</t>
  </si>
  <si>
    <t>Dillon, P; Page, D; Vanderzalm, J; Toze, S; Simmons, C; Hose, G; Martin, R; Johnston, K; Higginson, S; Morris, R</t>
  </si>
  <si>
    <t>Dillon, Peter; Page, Declan; Vanderzalm, Joanne; Toze, Simon; Simmons, Craig; Hose, Grant; Martin, Russell; Johnston, Karen; Higginson, Simon; Morris, Ryan</t>
  </si>
  <si>
    <t>Lessons from 10 Years of Experience with Australia's Risk-Based Guidelines for Managed Aquifer Recharge</t>
  </si>
  <si>
    <t>WATER</t>
  </si>
  <si>
    <t>The Australian Managed Aquifer Recharge Guidelines, published in 2009, were the world's first Managed Aquifer Recharge (MAR) Guidelines based on risk-management principles that also underpin the World Health Organisation's Water Safety Plans. In 2015, a survey of Australian MAR project proponents, consultants and regulators revealed that in those states advancing MAR, the Guidelines were lauded for giving certainty on approval processes. They were also considered to be pragmatic to use, but there was feedback on onerous data requirements. The rate of uptake of MAR has varied widely among Australian state jurisdictions, for reasons that are not explained by the drivers for and feasibility of MAR. The states where MAR has progressed are those that have adopted the Guidelines into state regulations or policy. It was originally intended that these Guidelines would be revised after five to ten years, informed by experience of any hazards not considered in the guidelines, and by new scientific developments including advances in monitoring and control methods for risk management. As such revision has not yet occurred, this paper was prepared to give a precis of these Guidelines and review ten years of experience in their application and to identify issues and suggest improvements for consideration in their revision by Australian water regulators. This paper also discusses the factors affecting their potential international applicability, including the capabilities required for implementation, and we use India as an example for which an intermediate level water quality guideline for MAR was developed. This paper is intended to be useful information for regulators in other countries considering adopting or developing their own guidelines. Note that the purpose of these Guidelines is to protect human health and the environment. It is not a guide to how to site, design, build and operate a managed aquifer recharge project, for which there are many other sources of information.</t>
  </si>
  <si>
    <t>2073-4441</t>
  </si>
  <si>
    <t>10.3390/w12020537</t>
  </si>
  <si>
    <t>WOS:000519846500228</t>
  </si>
  <si>
    <t>Picketts, IM; Andrey, J; Matthews, L; Dery, SJ; Tighe, S</t>
  </si>
  <si>
    <t>Picketts, Ian M.; Andrey, Jean; Matthews, Lindsay; Dery, Stephen J.; Tighe, Susan</t>
  </si>
  <si>
    <t>Climate change adaptation strategies for transportation infrastructure in Prince George, Canada</t>
  </si>
  <si>
    <t>Transport infrastructure is particularly vulnerable to climate impacts as it is designed for long operational lives, and both episodic and seasonal conditions contribute to deterioration, disruption and unsafe incidents. There are some examples of adaptation in transportation design, but many communities do not have the capacity to incorporate climate change considerations into infrastructure planning and management. Researchers worked closely with the City of Prince George, in Central British Columbia, Canada, to build on existing work and explore how the City could plan, design, and maintain roads and other structures to account for climate change. A local steering committee was formed, and created and evaluated 23 potential research topics. Two focus areas were selected for further investigation and explored during a workshop with practitioners, researchers, consultants and other representatives. The workshop precipitated an investigation of projected impacts of climate change on road maintenance and road safety, and plans to explore alternative paving techniques. Outcomes of the case study provide insights regarding climate change and local transportation infrastructure, including: how researchers can engage with local experts to explore adaptation; issues local governments perceive as important; and barriers communities face as they attempt to address vulnerabilities.</t>
  </si>
  <si>
    <t>10.1007/s10113-015-0828-8</t>
  </si>
  <si>
    <t>WOS:000373310600016</t>
  </si>
  <si>
    <t>Ormerod, KJ; Scott, CA</t>
  </si>
  <si>
    <t>Ormerod, Kerri Jean; Scott, Christopher A.</t>
  </si>
  <si>
    <t>Drinking Wastewater: Public Trust in Potable Reuse</t>
  </si>
  <si>
    <t>In the coming decades, highly treated wastewater, known as reclaimed water, is slated to be a major element of municipal water supplies. In particular, planners propose supplementing drinking water with reclaimed water as a sustainable solution to the growing challenge of urban water scarcity. Public opposition is currently considered the primary barrier to implementing successful potable water reuse projects; nonetheless, public responses to reclaimed water are not well understood. Based on a survey of over 250 residents of Tucson, Arizona, this article assesses the relationship between trust in the professional institutions responsible for municipal water development and willingness to drink reclaimed water. Results demonstrate that public acceptance of potable reuse is contingent on trust in the authorities who influence design of sociotechnical systems for water supply and reuse-including water and wastewater utilities, regulators, consultants, academics, and elected local officials. Findings emphasize the highly interdependent social and political factors that inform personal decisions to support or reject potable reuse. The authors suggest that achieving greater acceptance of potable reuse will require bringing local and regional water policy in line with public values, as well as finding ways to incorporate these values into the planning process.</t>
  </si>
  <si>
    <t>Ormerod, Kerri Jean/AAE-2776-2020</t>
  </si>
  <si>
    <t>10.1177/0162243912444736</t>
  </si>
  <si>
    <t>WOS:000330314200003</t>
  </si>
  <si>
    <t>Kerr, D</t>
  </si>
  <si>
    <t>Kerr, Donald</t>
  </si>
  <si>
    <t>Municipal Water Project Managers: A Hard Road Gets Harder</t>
  </si>
  <si>
    <t>JOURNAL AMERICAN WATER WORKS ASSOCIATION</t>
  </si>
  <si>
    <t>Key Takeaways Hiring a consultant for a water project is a responsibility for which municipal officials are not always well trained and prepared. The skills and authority exercised by consultants have been compromised by limited training, certain business models, legislation, and a city's bottom line. Consulting engineers could benefit from adding political know-how to their toolbox of expertise.</t>
  </si>
  <si>
    <t>2164-4535</t>
  </si>
  <si>
    <t>1551-8833</t>
  </si>
  <si>
    <t>10.1002/awwa.1364</t>
  </si>
  <si>
    <t>WOS:000483801200010</t>
  </si>
  <si>
    <t>Atela, JO; Quinn, CH; Minang, PA</t>
  </si>
  <si>
    <t>Atela, Joanes O.; Quinn, Claire H.; Minang, Peter A.</t>
  </si>
  <si>
    <t>Are REDD projects pro-poor in their spatial targeting? Evidence from Kenya</t>
  </si>
  <si>
    <t>Reducing emissions from deforestation and forest degradation (REDD) is globally supported as a cost effective programme that could achieve global mitigation and spur pro-poor socioeconomic development. Various actors are now actively lobbying and disbursing REDD demonstration funds on the premise of spurring pro-poor carbon investments in less developed areas that were otherwise excluded from the Clean Development Mechanism. In practice, little is known as to whether the REDD projects are actually pro-poor in their spatial targeting. This paper focuses on Kenya to analyse the distribution of REDD projects across quantified subnational vulnerability indices. A vulnerability index map for Kenya was first developed from long-term socioeconomic (crop yields, literacy rates and poverty rates) and climate (rainfall) data drawn from the 47 counties of Kenya. The number and types of REDD projects were located on the vulnerability map. Correlation tests were performed and experts consulted to clarify the socioeconomic features of vulnerability that significantly influence spatial choices for the projects. Results show that most projects are located in low-vulnerability counties and are mainly developed and managed by international private and consulting companies. Correlation tests revealed that the low-vulnerability counties, hosting more projects, are endowed with humid forest resources at .728; p &lt; 0.01, land title deeds at .552; p &lt; 0.01 and better access to water at .475; p &lt; 0.01. Experts suggested that such conditions posit low transaction costs and higher carbon revenues for profit-seeking project developers that currently dominate the REDD demonstrations. Conversely, some project experiences indicate that medium to high-vulnerability areas e.g. dry-lands with mitigation potential, enable projects to have low opportunity costs and explicit livelihood impacts. By directing REDD funds to relatively vulnerable areas, projects and national REDD policies are likely to enhance synergies between mitigation and adaptation. More targeted field assessment of the interaction between projects and local socioeconomic conditions can be formulated from this study. (C) 2014 Elsevier Ltd. All rights reserved.</t>
  </si>
  <si>
    <t>Quinn, Claire/AAU-8184-2020</t>
  </si>
  <si>
    <t>Quinn, Claire/0000-0002-2085-0446</t>
  </si>
  <si>
    <t>10.1016/j.apgeog.2014.04.009</t>
  </si>
  <si>
    <t>WOS:000340224900002</t>
  </si>
  <si>
    <t>Lee, YJ</t>
  </si>
  <si>
    <t>Lee, Young-Jai</t>
  </si>
  <si>
    <t>Developing a Web-Based Platform to Share Disaster Risk Reduction Technology</t>
  </si>
  <si>
    <t>JOURNAL OF DISASTER RESEARCH</t>
  </si>
  <si>
    <t>This paper introduces a technology sharing platform for the global network on climate change adaptation (CCA) and disaster risk reduction (DRR). The platform defines a foundation that provides various products or services and its objective is to allow demanders, suppliers and experts to share DRR technology. The platform is divided into architecture and governance. The fundamental component of architecture relies on detailed technology information which includes structured technology such as technology, systems, tools, analytical models, and non-structured technology such as standards, codes, process, and consulting. The architecture also includes a case study of the application and evaluation for the DRR technology to determine its performance level. Finally, architecture will include a function that enables stakeholders to provide their opinions, experience, and judgements related to the case study. The primary function of the platform's governance is to exchange the opinions and prepare incentives for sharing information among demanders like the UN organizations and Asia-Pacific nations, as well as suppliers of private sectors and institutions. In addition, subject matter experts can provide input on DRR technology as gatekeepers and participate in the community by presenting their opinions to technology applications. The expert survey from multiple Asian-Pacific countries reached the conclusion that the even distribution of DRR technology through a web based platform among the countries is necessary. In addition, the case studies from technology in practice were deemed as more critical than the DRR technology content itself due to their practical applications.</t>
  </si>
  <si>
    <t>1881-2473</t>
  </si>
  <si>
    <t>1883-8030</t>
  </si>
  <si>
    <t>10.20965/jdr.2015.p0189</t>
  </si>
  <si>
    <t>WOS:000448814500002</t>
  </si>
  <si>
    <t>Douglas, I</t>
  </si>
  <si>
    <t>Douglas, Ian</t>
  </si>
  <si>
    <t>The challenge of urban poverty for the use of green infrastructure on floodplains and wetlands to reduce flood impacts in intertropical Africa</t>
  </si>
  <si>
    <t>The rapidly expanding urban population in intertropical African cities that lives in poverty in informal settlements poses major problems for urban health, safety and risk reduction. Such settlements often encroach on floodplains and wetlands, restricting the space available to convey and store flood waters Climate change and the expansion impermeable urban surfaces are contributing to increased magnitude and frequency of flooding. The use of green infrastructure in Africa to alleviate climate change impacts, including for sustainable urban drainage, is widely advocated. Many consider that urban agriculture can be part of such green infrastructure. However, although municipal plans often envisage removal of settlements from floodplains and do not encourage urban agriculture, efforts to bulldoze dwellings and move people from the settlements close to city centres are strongly resisted and can become politically contested. Improvements in urban drainage require participatory, multi-sectoral planning and implementation. In many African cities three different levels of action occur, frequently without considering interests at any other level: municipal drainage and floodplain clearance plans; international NGO and consultant led schemes; and community-based small scale actions for immediate relief and protection. Political allegiances cut across the three levels, showing that without holistic views across all scales of the political, social, economic and environmental aspects of these intertropical African cities, widespread use of floodplain and wetland green infrastructure for flood hazard reduction will be difficult to achieve. (C) 2016 Elsevier B.V. All rights reserved</t>
  </si>
  <si>
    <t>Douglas, Ian/AAP-4465-2020</t>
  </si>
  <si>
    <t>Douglas, Ian/0000-0002-2451-8133</t>
  </si>
  <si>
    <t>10.1016/j.landurbplan.2016.09.025</t>
  </si>
  <si>
    <t>WOS:000449896300028</t>
  </si>
  <si>
    <t>Feldman, DL</t>
  </si>
  <si>
    <t>Feldman, David L.</t>
  </si>
  <si>
    <t>The future of environmental networks-Governance and civil society in a global context</t>
  </si>
  <si>
    <t>Knowledge networks are a recent innovation in global environmental governance. They provide a means for local and regional initiatives aimed at averting, mitigating, or adapting to climate change and other trans-boundary problems to join together in a system that: permits sharing of experiences, diffuses policy innovation across national borders, and spans divergent disciplinary boundaries so as to better communicate science to local decision-makers. We consider the role currently played by networks and the possibility that, over time, their soft power characteristics - a reliance on value change and policy emulation - may eventually place them in a position to globally coordinate local and regional environmental policy innovations. If successful, their efforts might supplant the need for national action to address climate change, even if they do not replace the nation-state system whose environmental management efforts will continue to rely on hard power: the use, primarily, of economic incentives to induce policy change. ICLEI provides technical consulting, training, and information services to build capacity, share knowledge, and support local government in the implementation of sustainable development at the local level. Our basic premise is that locally designed initiatives can provide an effective and cost-efficient way to achieve local, national, and global sustainability objectives. - International Council of Local Environmental Initiatives - website, 2010 When California passed its global warming law two years ago, we were out there on an island, so we started forming partnerships everywhere we could. We teamed up with Great Britain, the Canadian provinces, and the Western and Northeastern states and with states like those of my co hosts - Illinois, Florida, Kansas, Wisconsin and more. And right here, for the first time, we have officials from China, India, Mexico, Brazil, and Indonesia and across the world in the same summit, working toward the same goal of reducing greenhouse gas emissions and growing green economies in our own backyards. - Governor Arnold Schwarzenegger. Global Climate Summit. Los Angeles, California. November 18, 2008. (C) 2012 Published by Elsevier Ltd.</t>
  </si>
  <si>
    <t>10.1016/j.futures.2012.07.007</t>
  </si>
  <si>
    <t>WOS:000311462100004</t>
  </si>
  <si>
    <t>Colucci, A</t>
  </si>
  <si>
    <t>Colucci, A.</t>
  </si>
  <si>
    <t>THE POTENTIAL OF PERIURBAN AREAS FOR THE RESILIENCE OF METROPOLITAN REGION</t>
  </si>
  <si>
    <t>TEMA-JOURNAL OF LAND USE MOBILITY AND ENVIRONMENT</t>
  </si>
  <si>
    <t>The paper aims to present as an organic structure the outcomes from various pieces of research and consulting activities developed over the last few years (2011-2015). Shared topics are: urban-rural partnerships, food planning, metropolitan polices and the territorial resilience of periurban areas. In the first part (the core of the paper) the paper underlines critical questions and establishes needs so as to move towards a new approach to development processes in periurban areas. The paper uses some key concepts to present the main outcomes: 1. Understanding complexity (multi-scales in space) and dynamics (multi-scales in time); 2. Identifying all the resources and opportunities; 3. Crosscutting and multi-issues. In the second part (in the final part) the paper proposes the Ecotone metaphor to support innovation in the approach to periurban areas. It is a zone of transition between adjacent ecological systems, having a set of characteristics uniquely defined by space and time scales and by the strength of the interactions between adjacent ecological systems (Hansen et al, 1992). In these terms, periurban areas may be assumed to be ecotonal zones of transition between urban and rural or natural systems. Using the concept of ecotonal buffer of transition to approach the periurban systems it is possible to connect main needs and critical questions underlined to a homogeneous framework and to emphasize on the strategic role that the periurban systems play for the future development of metropolitan regions oriented to a improvement of resilience of socio-ecosystems. In the final part the paper focuses on the governance of urban rural partnerships and research perspectives.</t>
  </si>
  <si>
    <t>Colucci, Angela/AAQ-2021-2020</t>
  </si>
  <si>
    <t>1970-9889</t>
  </si>
  <si>
    <t>1970-9870</t>
  </si>
  <si>
    <t>10.6092/1970-9870/3655</t>
  </si>
  <si>
    <t>WOS:000384506000007</t>
  </si>
  <si>
    <t>Loizia, P; Voukkali, I; Zorpas, AA; Pedreno, JN; Chatziparaskeva, G; Inglezakis, VJ; Vardopoulos, I; Doula, M</t>
  </si>
  <si>
    <t>Loizia, Pantelitsa; Voukkali, Irene; Zorpas, Antonis A.; Pedreno, Jose Navarro; Chatziparaskeva, Georgia; Inglezakis, Vassilis J.; Vardopoulos, Ioannis; Doula, Maria</t>
  </si>
  <si>
    <t>Measuring the level of environmental performance in insular areas, through key performed indicators, in the framework of waste strategy development</t>
  </si>
  <si>
    <t>To measure something that is not there, is not easy and at the same time not fully understandable and perceived by the citizens. Several elements (such as, waste production, waste management cost, social attitude and behaviour, etc.) interrupt and disturb any strategy in the framework of waste management. Additionally, through the European Green Deal (EGD), Europe is trying to achieve climate neutrality by 2050, taking into account the Circular Economy Strategy (CES) and the United Nations Sustainable Development Goals (UNSDGs). A Driving Force-Pressure-State-Impact-Response (DPSIR) breakdown was applied, to establish and organize key information's on the environmental performance (E.P) taking into consideration the existing pollution, reviewing the contemporary knowledge and existing implemented waste strategies on the driving forces, pressures, states and impacts. This paper includes several key performed indicators (KPIs), in order to evaluate the E.P of an area, through hybrid approach which cover among others, the waste compositional analysis, SWOT and PESTEL analysis, waste recycling and waste accumulation index, prevention activities, awareness activities etc. The results indicate that, the selected areas implement periodic measures, but they need to put more effort to boost their citizens to participate in any proposed waste strategy. Furthermore, the results are veiy valuable and helpful to policy makers, consultants, scientists, competent authorities, stakeholders etc., in order to design and promote synergies and activities (mainly in Local Authorities), to reach the proposed figures that EGD, proposed in relation with the CES as well as with the SDGs. (C) 2020 Elsevier B.V. All rights reserved.</t>
  </si>
  <si>
    <t>10.1016/j.scitotenv.2020.141974</t>
  </si>
  <si>
    <t>WOS:000588616700071</t>
  </si>
  <si>
    <t>Goldsmith, BL</t>
  </si>
  <si>
    <t>Goldsmith, Barbara L.</t>
  </si>
  <si>
    <t>Turbulent Times Inside and Outside the Consulting Room: The Politics of Polarization and Hate and the Illusion of the Therapist's Freedom from Impingement</t>
  </si>
  <si>
    <t>JOURNAL OF HUMANISTIC PSYCHOLOGY</t>
  </si>
  <si>
    <t>Today's toxic political climate has intruded into the therapeutic space. Both therapists and clients wonder about whether politics is an appropriate subject for therapy. Stronger treatment alliances were noted when clients perceived political similarity with their therapists. Inside the consulting room, polarizing political splits can occur and lead to impasses and alliance ruptures that can be difficult to bridge. Therapists, like their clients, can become overwhelmed, exhausted, and numb as they continue to listen, support, and contain political shock waves day after day. The ability to maintain empathy, think analytically and stay alert for enactments, can be difficult to sustain when politics enters the room. Various politically based countertransference reactions are addressed, and self-care and connection rather than retreat through detachment or dissociation is the desired goal.</t>
  </si>
  <si>
    <t>Goldsmith, Barbara/0000-0002-1752-1414</t>
  </si>
  <si>
    <t>0022-1678</t>
  </si>
  <si>
    <t>1552-650X</t>
  </si>
  <si>
    <t>10.1177/0022167820913358</t>
  </si>
  <si>
    <t>MAR 2020</t>
  </si>
  <si>
    <t>WOS:000523943700001</t>
  </si>
  <si>
    <t>Skouloudis, A; Evangelinos, K</t>
  </si>
  <si>
    <t>Skouloudis, Antonis; Evangelinos, Konstantinos</t>
  </si>
  <si>
    <t>Exogenously driven CSR: insights from the consultants' perspective</t>
  </si>
  <si>
    <t>BUSINESS ETHICS-A EUROPEAN REVIEW</t>
  </si>
  <si>
    <t>This paper offers insights into corporate social responsibility (CSR) consulting in Greece. It sheds light on perspectives of how socially responsible business conduct is shaped by consultancies in a national business environment where such an essential aspect of organizational commitment and behavior exhibits comparatively little resonance among companies and is primarily induced by supranational and international policy schemes as well as foreign competitors. Drawing from long interviews with consulting professionals, we explore key topics: the domestic CSR (consulting) industry's characteristics, issues pertaining to the engagement with clients, the endorsement of CSR standards and initiatives, along with the consultants' perspective on institutional dynamics and their prospects with respect to the future of CSR in Greece. In this context, we aim to indicate trends on CSR implementation, pressures exerted on consultants, and managerial attitudes towards corporate responsibility. Our findings illustrate an oligopolistically structured market that encourages consultancies to compete intensely, the consultants' limited capacity to influence the business behavior of their clients, with the latter to adopt a promotional communicative approach to CSR, as well as a lack of institutional coordination and mechanisms that will materially embed social responsibility in the strategic management of business.</t>
  </si>
  <si>
    <t>Skouloudis, Antonis/0000-0002-3363-6692; Skouloudis, Antonis/0000-0002-3363-6692</t>
  </si>
  <si>
    <t>0962-8770</t>
  </si>
  <si>
    <t>1467-8608</t>
  </si>
  <si>
    <t>10.1111/beer.12054</t>
  </si>
  <si>
    <t>WOS:000337675400003</t>
  </si>
  <si>
    <t>Gutierrez-Lopez, E; Gomez-Balandra, MA; Marquez-Bravo, L; Arreguin-Cortes, F</t>
  </si>
  <si>
    <t>Advances and perspectives of institutional capacity building in environmental impact and water quality</t>
  </si>
  <si>
    <t>INGENIERIA HIDRAULICA EN MEXICO</t>
  </si>
  <si>
    <t>As a result of the Symposium A Strategy for Water Sector Capacity Building organized by the United Nations Development Programme (UNDP) and the institute for Hydraulic and Environmental Engineering in Delft in 1991, it was recognized the need of focusing on three main priority areas to be strenghtened: human resources; capacity building, incluiding public participation, and the establishment of an adequate policy and legal framework. Supported by the UNDP the Mexican institute of Water Technology carried out the analysis of the Water Sector Capacity Building through a consulting process based on workshops with the participation of government officials, academics, and NGO's. This report summarizes the results obtained in two of the six workshops on the topics of Water Quality and Environmental Impact Assessment and includes related background in regard with policies, regulations, capacity building and human resources; presents constraints and suggested priority areas to be streghtened. Main results comprise the identification of actions to be taken, involved institutions and terms in which they have to be achieved.</t>
  </si>
  <si>
    <t>0186-4076</t>
  </si>
  <si>
    <t>WOS:000071654000007</t>
  </si>
  <si>
    <t>Mahdianpari, M; Salehi, B; Mohammadimanesh, F; Brisco, B; Homayouni, S; Gill, E; DeLancey, ER; Bourgeau-Chavez, L</t>
  </si>
  <si>
    <t>Mahdianpari, Masoud; Salehi, Bahram; Mohammadimanesh, Fariba; Brisco, Brian; Homayouni, Saeid; Gill, Eric; DeLancey, Evan R.; Bourgeau-Chavez, Laura</t>
  </si>
  <si>
    <t>Big Data for a Big Country: The First Generation of Canadian Wetland Inventory Map at a Spatial Resolution of 10-m Using Sentinel-1 and Sentinel-2 Data on the Google Earth Engine Cloud Computing Platform</t>
  </si>
  <si>
    <t>Detailed information on the spatial distribution of wetlands is crucial for sustainable management and resource assessment. Furthermore, regularly updated wetland inventories are of particular importance given that wetlands comprise a dynamic, rather than permanent, land condition. Accordingly, satellite-derived wetland maps are greatly beneficial, as they capture a synoptic and multi-temporal view of landscapes. Leveraging state-of-the-art remote sensing data and tools, this study produces a high-resolution 10-m wetland inventory map of Canada, covering an approximate area of one billion hectares, using multi-year, multi-source (Sentinel-1 and Sentinel-2) Earth Observation (EO) data on the Google Earth Engine (TM) cloud computing platform. The whole country is mapped using a large volume of reference samples using an object-based random forest classification scheme with an overall accuracy approaching 80% and individual accuracies varying from 74% to 84% in different provinces. This nationwide wetland inventory map illustrates that 19% of Canada's land area is covered by wetlands, most of which are peatlands dominate in the northern ecozones. Importantly, the resulting ever-demanding wetland inventory map of Canada provides unprecedented details on the extent, status, and spatial distribution of wetlands and thus, is useful for many stakeholders, including federal and provincial governments, municipalities, NGOs, and environmental consultants.</t>
  </si>
  <si>
    <t>1712-7971</t>
  </si>
  <si>
    <t>10.1080/07038992.2019.1711366</t>
  </si>
  <si>
    <t>WOS:000519147100001</t>
  </si>
  <si>
    <t>Starr, KE</t>
  </si>
  <si>
    <t>Starr, Karen E.</t>
  </si>
  <si>
    <t>Caught in the Crossfire: Political Intersections, Collisions, and Confrontations</t>
  </si>
  <si>
    <t>PSYCHOANALYSIS SELF AND CONTEXT</t>
  </si>
  <si>
    <t>In this paper, the author reflects on the reverberations of her intergenerational history of trauma and immigration that arose in response to the current political climate. She offers two clinical vignettes in which politics permeated the consulting room in ways that both collided with and contributed to her consideration of her own commitment to political engagement. The first involves a patient in a clandestine romantic relationship with a Muslim man, who asserts her plan to vote for Trump. The second is a college history professor who copes with his feelings of hopelessness and despair by teaching his students about the dangers of nationalism and xenophobia.</t>
  </si>
  <si>
    <t>2472-0038</t>
  </si>
  <si>
    <t>2472-0046</t>
  </si>
  <si>
    <t>10.1080/24720038.2018.1499306</t>
  </si>
  <si>
    <t>WOS:000456326500008</t>
  </si>
  <si>
    <t>Moomen, AW; Bertolotto, M; Lacroix, P; Jensen, D</t>
  </si>
  <si>
    <t>Moomen, Abdul-Wadood; Bertolotto, Michela; Lacroix, Pierre; Jensen, David</t>
  </si>
  <si>
    <t>Inadequate adaptation of geospatial information for sustainable mining towards agenda 2030 sustainable development goals</t>
  </si>
  <si>
    <t>For all the evolutionary ages of mineral resource development, there have not been concerns about sustainable mining until the 21st century. Thus, this paper explores the extent to which emerging geospatial technologies have been deliberately used in the mining industry activities to achieve the United Nations Agenda 2030 Sustainable Development Goals. Governments, the mining industry, Non-Governmental and International Organisations have various investments in geospatial programmes and technologies for Environmental and Social Impact Assessments and baseline studies to enhance the achievement of these goals. However, these efforts prove inadequate to link the social, environmental and economic baseline analysis of sustainable development goals. The observations in this paper, therefore, have been obtained largely from extensive literature review to gain a broad understanding of previous and current applications of emerging technologies in the field. The literature has been explored in two successive steps. First, the literature was broadly queried to find the most current works on sustainable mining for three decades (i.e. 1990 to 2019). Second, out of over 100 papers, reports, and books retrieved in the first step, a more specific search and analysis of existing academic and industry literature on the explicit applications of emerging geospatial technology for enhancing sustainable development in the mining sector was conducted. In spite of its ensemble of capabilities for multivariate analysis, analysis of the literature reveals that there is inadequate adaptation of emerging geospatial technologies, which can simultaneously measure and link generally acceptable social, economic and environmental costs and benefits of mining for sustainability considerations in a local setting. There is a dearth of literature that discuss this new approach in addressing sustainable mining. Findings of this paper shall, therefore, inform the scientific community, industry, Non-Governmental Organisations and consultants on emerging approaches to address salient issues of sustainable mining towards meeting the agenda 2030 SDGs. (C) 2019 Elsevier Ltd. All rights reserved.</t>
  </si>
  <si>
    <t>Moomen, Abdul-Wadood/X-8644-2019</t>
  </si>
  <si>
    <t>NOV 20</t>
  </si>
  <si>
    <t>10.1016/j.jclepro.2019.117954</t>
  </si>
  <si>
    <t>WOS:000487231200068</t>
  </si>
  <si>
    <t>Adeola, O; Gyimah, P; Appiah, KO; Lussier, RN</t>
  </si>
  <si>
    <t>Adeola, Ogechi; Gyimah, Prince; Appiah, Kingsley Opoku; Lussier, Robert N.</t>
  </si>
  <si>
    <t>Can critical success factors of small businesses in emerging markets advance UN Sustainable Development Goals?</t>
  </si>
  <si>
    <t>WORLD JOURNAL OF ENTREPRENEURSHIP MANAGEMENT AND SUSTAINABLE DEVELOPMENT</t>
  </si>
  <si>
    <t>Purpose - This study contributes to answering the question, can critical success factors of small businesses in emerging markets advance United Nation (UN) Sustainable Development Goals (SDGs)? Specifically, this study aims to explore the critical factors contributing to the success of small businesses and ultimately the UN SDGs in the emerging market of Nigeria. Design/methodology/approach - The design is survey research testing the Lussier success vs failure prediction model for small businesses in Nigeria. The methodology includes a logistic regression model to better understand and predict the factors that contribute to success or failure using a data set of 201 small businesses in Nigeria. Findings - The findings support the validity of the Lussier model (p = 0.000) in Nigeria as the model accurately predicted 84.4% of the small businesses as successful or failed with a high R-square value (R = 0.540). The most significant factors (t-values &lt; 0.05) that predict the success or failure of businesses support the findings that business owners that start with adequate capital, keep records and financial controls, use professional advice, have better product/service timing, and have parents who own businesses can increase the probability of success. Practical implications - The study provides a list of critical success factors contributing to the growth of small business in Nigeria, the largest economy in Africa. The findings can help entrepreneurs avoid failure and advance UN SDGs 1, 2, 8 and 10. Implications for current and future entrepreneurs, public agencies, consultants, educators, policymakers, suppliers and investors are discussed. Originality/value - This is the first study to determine the factors that contribute to the success or failure of small businesses in Nigeria using the Lussier model. It also discusses how to advance four of the UN sustainability goals. Results support the Lussier model's global validity that can be used in both emerging and developed markets, and it contributes to the development of theory.</t>
  </si>
  <si>
    <t>2042-5961</t>
  </si>
  <si>
    <t>2042-597X</t>
  </si>
  <si>
    <t>10.1108/WJEMSD-09-2019-0072</t>
  </si>
  <si>
    <t>WOS:000614020400001</t>
  </si>
  <si>
    <t>Smits, M; Middleton, C</t>
  </si>
  <si>
    <t>Smits, Mattijs; Middleton, Carl</t>
  </si>
  <si>
    <t>New Arenas of Engagement at the Water Governance-Climate Finance Nexus? An Analysis of the Boom and Bust of Hydropower CDM Projects in Vietnam</t>
  </si>
  <si>
    <t>This article explores whether new arenas of engagement for water governance have been created and utilised following the implementation of the Clean Development Mechanism (CDM) in large hydropower projects in Vietnam. Initial optimism for climate finance - in particular amongst Northern aid providers and private CDM consultants - resulted in a boom in registration of CDM hydropower projects in Vietnam. These plans, however, have since then busted. The article utilises a multi-scale and multi-place network governance analysis of the water governance-climate finance nexus, based on interviews with government officials, consultants, developers, NGOs, multilateral and international banks, and project-affected people at the Song Bung 2 and Song Bung 4 hydropower projects in Central Vietnam. Particular attention is paid to how the place-based nature of organisations shapes the ability of these actors to participate in decision-making. The article concludes that the CDM has had little impact on water governance in Vietnam at the project level in terms of carbon reduction (additionality) or attaining sustainable development objectives. Furthermore, whilst climate finance has the potential to open new, more transparent and more accountable arenas of water governance, current arenas of the water governance-climate finance nexus are 'rendered technical', and therefore often underutilised and inaccessible to civil society and project-affected people.</t>
  </si>
  <si>
    <t>Smits, Mattijs/0000-0003-4967-4439</t>
  </si>
  <si>
    <t>WOS:000209774800007</t>
  </si>
  <si>
    <t>Factors associated with internal audit's involvement in environmental and social assurance and consulting</t>
  </si>
  <si>
    <t>INTERNATIONAL JOURNAL OF AUDITING</t>
  </si>
  <si>
    <t>Despite evidence of internal audit's expanding role in sustainability matters, there is limited understanding of factors associated with the extent of internal audit's involvement in these areas. This study examines the impact of governance factors, internal audit function characteristics, and organizational sustainability practices on the extent of internal audit's involvement in environmental and social assurance and consulting. The results suggest that management support and external reporting of sustainability information are key factors associated with internal audit's involvement in environmental and social assurance and consulting activities. The results also indicate that the extent of internal audit's involvement in assurance and consulting are not necessarily driven by a homogeneous set of factors. Future research could take a more nuanced approach to investigating different aspects of internal audit's roles both within the sustainability context and more broadly.</t>
  </si>
  <si>
    <t>1090-6738</t>
  </si>
  <si>
    <t>1099-1123</t>
  </si>
  <si>
    <t>10.1111/ijau.12125</t>
  </si>
  <si>
    <t>WOS:000448847400007</t>
  </si>
  <si>
    <t>Hjerpe, M; Glaas, E; Fenton, P</t>
  </si>
  <si>
    <t>Hjerpe, Mattias; Glaas, Erik; Fenton, Paul</t>
  </si>
  <si>
    <t>The role of knowledge in climate transition and transformation literatures</t>
  </si>
  <si>
    <t>CURRENT OPINION IN ENVIRONMENTAL SUSTAINABILITY</t>
  </si>
  <si>
    <t>Rooted in different theories and focusing on different elements of the socio-ecological fabric, climate transitions and transformations are conceived to have various forms. Although these literatures recognize the significance of learning and boundary spanning, systematic reviews of the role of knowledge in climate transitions are lacking. We review how targets of transformation, functions, types, and intermediaries of knowledge are conceptualized in five types of literature. We highlight that knowledge has a role as: the motor of transition in Transition Management literature, a consultant supporting transition in Transformational Climate Adaptation literature, an emancipator of transition in Transform Political and Economic Systems literature, the beacon guiding transition in Social-Ecological Transformation literature, and an Ad Hoc Committee motivating transition in Grassroots Transitions literature.</t>
  </si>
  <si>
    <t>Fenton, Paul/0000-0001-9509-8271; Hjerpe, Mattias/0000-0002-5500-3300</t>
  </si>
  <si>
    <t>1877-3435</t>
  </si>
  <si>
    <t>1877-3443</t>
  </si>
  <si>
    <t>10.1016/j.cosust.2017.10.002</t>
  </si>
  <si>
    <t>WOS:000441091600007</t>
  </si>
  <si>
    <t>Kjeang, AE; Venkatesh, G; Stahl, M; Palm, J</t>
  </si>
  <si>
    <t>Kjeang, Are E.; Venkatesh, G.; Stahl, Magnus; Palm, Jenny</t>
  </si>
  <si>
    <t>Energy consulting services in the information age - literature review</t>
  </si>
  <si>
    <t>ENERGY SUSTAINABILITY AND SOCIETY</t>
  </si>
  <si>
    <t>The institution of energy consulting services is one of the several government instruments for improving the efficiency of energy usage in many European countries. Various forms of advice on energy issues are offered to households. In Sweden, there has been a drop in the number of households who avail of this service, even though it is offered independently, free of charge and easily accessible. Instead, Swedes have been increasingly seeking information on the Internet (websites, blogs and social media), which can be seen as both a challenge and an opportunity for the energy consulting service offered by Swedish municipalities. The aim of the literature study is to present an overview of current research in the area of energy consulting targeting households. This to identify central themes in the research front, identify knowledge gaps and discuss which challenges previous research emphasise for energy consulting services targeting households. The results show that research indicates that a measurement-feedback-communication strategy for households is necessary if one wishes to effect a change in consumer behaviour. Today, consumers expect more individualised information than before. Here, the three dimensions of sustainable development can be useful. Energy consulting is also better appreciated if it occurs in situ-at the customer's home. How it can and should be developed in an increasingly digitalised world is a topic we think is vital for future research. Also, with sustainable development becoming increasingly important in this century, an interdisciplinary approach to energy consulting is strongly recommended by the authors of this paper.</t>
  </si>
  <si>
    <t>2192-0567</t>
  </si>
  <si>
    <t>10.1186/s13705-017-0132-1</t>
  </si>
  <si>
    <t>WOS:000414332500001</t>
  </si>
  <si>
    <t>Benaglia, L; Udrisard, R; Bannwarth, A; Gibson, A; Been, F; Lai, FY; Esseiva, P; Delemont, O</t>
  </si>
  <si>
    <t>Benaglia, Lisa; Udrisard, Robin; Bannwarth, Anne; Gibson, Aline; Been, Frederic; Lai, Foon Yin; Esseiva, Pierre; Delemont, Olivier</t>
  </si>
  <si>
    <t>Testing wastewater from a music festival in Switzerland to assess illicit drug use</t>
  </si>
  <si>
    <t>FORENSIC SCIENCE INTERNATIONAL</t>
  </si>
  <si>
    <t>This article describes the application of a recently proposed framework for deploying wastewater -based epidemiology (WBE) to monitor illicit drug use within festivals (Benaglia et al., 2019). The festival under study was a week-long music festival in Switzerland (Swiss Festival) which attracted around 50,000 people daily. Wastewater sampling was performed during its 2014 and 2015 editions. As the Swiss Festival ?s wastewater is conveyed to the sewage treatment plant (STP) of the nearby city, to assess illicit drug use when there is no festival (i.e. the background consumption) wastewater sampling was also carried out during an off -festival week in 2015. During the 2014 and 2015 editions of the Swiss Festival, WBE highlighted that the most consumed illicit drugs were cannabis, MDMA, cocaine and amphetamine. Excluding cannabis, the means per capita loads of all illicit drugs were not statistically different between both editions of the Swiss Festival. The results were then compared to those of an Australian festival which had also been subject of a quantitatively assessed illicit drug use study (Lai et al., 2013). This comparison con firmed that MDMA is highly prevalent, as well as amphetamine, although to a lesser extent. Consumption of cocaine (in Switzerland) and methamphetamine (in Australia) is also high, but their use seems to be related to their availability (i.e. to the country where the festival takes place). Furthermore, it was observed that MDMA and amphetamine are more consumed during the festival compared to normal times, when there is no festival. This might suggest that their availability is increased and therefore, that a market for these substances potentially exists during the festival. This last hypothesis was assessed by consulting drug seizures made by the police during the 2015 Swiss Festival. Despite very limited data, police records suggested that most of the drugs were purchased at the festival, which supports the previous hypothesis. Results validate, on the one hand, WBE as a useful indicator to monitor illicit drug use within festivals and on the other hand, the suggested framework for deploying WBE in such environment. In addition, this study suggests the need for prevention and harm reduction measures targeted on MDMA and amphetamine during the Swiss Festival, such as drug checking laboratories. (c) 2020 Published by Elsevier B.V.</t>
  </si>
  <si>
    <t>0379-0738</t>
  </si>
  <si>
    <t>1872-6283</t>
  </si>
  <si>
    <t>10.1016/j.forsciint.2020.110148</t>
  </si>
  <si>
    <t>WOS:000544880700022</t>
  </si>
  <si>
    <t>Latief, Y; Berawi, MA; Koesalamwardi, AB; Riantini, LS; Petroceany, JS</t>
  </si>
  <si>
    <t>Latief, Yusuf; Berawi, Mohammed Ali; Koesalamwardi, Ario Bintang; Riantini, Leni Sagita; Petroceany, Jade Sjafrecia</t>
  </si>
  <si>
    <t>DEFINING DESIGN PARAMETERS FOR HOUSING DEVELOPMENT IN TROPICAL CLIMATES USING THE NEAR ZERO ENERGY HOUSE (nZEH) CONCEPT</t>
  </si>
  <si>
    <t>INTERNATIONAL JOURNAL OF TECHNOLOGY</t>
  </si>
  <si>
    <t>In an effort to support carbon footprint reduction in housing development, one approach is designing energy efficient housing. Issues such as cost efficiency and minimum environmental impact should be thoroughly considered when designing this type of housing. One of concepts found to be cost-effective and to increase the energy performance of a house is the near Zero Energy House (nZEH) concept. This concept enhances the use of natural resources, for example, sunlight exposure, climate conditions, and wind, that can minimize the use of fossil fuel energy. Housing in a tropical climate where sun exposure is year round, such as in Indonesia, can benefit from the nZEH concept. This research aimed to identify design parameters of nZEH and its best practices in tropical climates, including Indonesia. The identified design parameters will be used in the next step of the research, finding a combination of cost optimum design parameters. This study was conducted by consulting recognized experts, which included government, private sector, and academicia, who have expertise in the field of building design and energy. The results showed that the design parameters of nZEH in tropical areas include passive design, fenestration, indoor lighting arrangements, and the use of photovoltaic panels (PV).</t>
  </si>
  <si>
    <t>Berawi, Mohammed Ali/R-5707-2019</t>
  </si>
  <si>
    <t>2086-9614</t>
  </si>
  <si>
    <t>2087-2100</t>
  </si>
  <si>
    <t>10.14716/ijtech.v8i6.719</t>
  </si>
  <si>
    <t>WOS:000418737000018</t>
  </si>
  <si>
    <t>Jupner, R; Muller, U</t>
  </si>
  <si>
    <t>Juepner, Robert; Mueller, Uwe</t>
  </si>
  <si>
    <t>Who is doing what? Division of Labour in the Implementation Process of the EU Flood Risk Management Directive</t>
  </si>
  <si>
    <t>WASSERWIRTSCHAFT</t>
  </si>
  <si>
    <t>A number of stakeholders are involved in the implementation process of the EU Flood Risk Management Directive. In Germany, the Water Management Authority is leading this process and also determining the formal arrangement with regard to the contents. The burden sharing between the important stakeholders (Federal Government, State Governments, Municipalities, technical and scientific organisations, consulting agencies) that can be expected is described in this article.</t>
  </si>
  <si>
    <t>0043-0978</t>
  </si>
  <si>
    <t>2192-8762</t>
  </si>
  <si>
    <t>WOS:000284435800010</t>
  </si>
  <si>
    <t>Kolodny, R; Dulio, DA</t>
  </si>
  <si>
    <t>Political party adaptation in US congressional campaigns - Why political parties use coordinated expenditures to hire political consultants</t>
  </si>
  <si>
    <t>PARTY POLITICS</t>
  </si>
  <si>
    <t>We argue that political parties in the US have consciously opted to employ political consultants for their candidates' needs in order to help cultivate competitive national elections. Thus, consultant use by political parties does not signal party decline, but party adaptation. Further, the use of political consultants by the political parties is so complete that consultants can be considered employees of the political parties; not in the traditional sense of individuals on the payroll, but in the modern corporate sense of independent contractors who are hired to complete a defined project. We investigate how national political party committees spend the money they have allocated for individual candidates in congressional races using data from the 1998 and 2000 election cycles. We examine Federal Election Commission (FEC) records of payments political parties make via coordinated expenditures.</t>
  </si>
  <si>
    <t>Kolodny, Robin/0000-0001-6762-4094</t>
  </si>
  <si>
    <t>1354-0688</t>
  </si>
  <si>
    <t>10.1177/13540688030096004</t>
  </si>
  <si>
    <t>WOS:000186859700004</t>
  </si>
  <si>
    <t>Matos, MR; Baptista, JM</t>
  </si>
  <si>
    <t>Sustainable development strategies for the water supply and wastewater sectors</t>
  </si>
  <si>
    <t>JOURNAL OF WATER SERVICES RESEARCH AND TECHNOLOGY-AQUA</t>
  </si>
  <si>
    <t>This paper describes the main aspects and outputs of a major project, which was completed recently, and was aimed at producing the necessary tools to support a sustainable and integrated development for the water supply and wastewater sectors in Portugal, within the present context of political prominence, the availability of important financial resources and opening to the private sector. The major outputs and innovating contributions described in this paper, which address a wide range of users-including regulators, water utilities, consultants, contractors, manufactures, research and development organisations and universities-can be seen as guidance tools for a sustainable process of technology transfer and procedures for the alteration of behaviours. This project was developed within the philosophy and principles of the Portuguese Quality System, in which the final goal is to create conditions for the qualification and certification of all those interested in this process. The authors believe that the set of tools resulting from this project could significantly contribute to the quality which must be associated with such a large number of water supply and wastewater systems during the next few years, in order to ensure that we are working for excellence towards the achievement of those essential services.</t>
  </si>
  <si>
    <t>0003-7214</t>
  </si>
  <si>
    <t>WOS:000083211800002</t>
  </si>
  <si>
    <t>Costigane, B; Guthrie, P</t>
  </si>
  <si>
    <t>Costigane, Bonita; Guthrie, Peter</t>
  </si>
  <si>
    <t>Mired in the meaning: sustainability in consultancy</t>
  </si>
  <si>
    <t>This paper explores sustainability as it relates to the services, operations and management of engineering and design (E&amp;D) consulting firms, revealing how sustainability has been adopted by the engineering consulting industry as a key influence on its business. The motivations behind sustainability as a business priority for E&amp;D consulting do not appear to reflect a corporate belief or endorsement of sustainability principles, but rather a reflection of market, employee and government drivers. Through interview-based reporting, the implications of these motivations are the focus of this paper through an exploration of the meaning, understanding and operationalising of sustainability in engineering design, assessment of design and in-firm management and strategy.</t>
  </si>
  <si>
    <t>Guthrie, Peter/0000-0002-9523-3733</t>
  </si>
  <si>
    <t>10.1680/ensu.12.00006</t>
  </si>
  <si>
    <t>WOS:000343385200005</t>
  </si>
  <si>
    <t>Bustamante, N; Danoucaras, N; McIntyre, N; Diaz-Martinez, JC; Restrepo-Baena, OJ</t>
  </si>
  <si>
    <t>Bustamante, Natalia; Danoucaras, Natasha; McIntyre, Neil; Carlos Diaz-Martinez, Juan; Jaime Restrepo-Baena, Oscar</t>
  </si>
  <si>
    <t>Review of improving the water management for the informal gold mining in Colombia</t>
  </si>
  <si>
    <t>REVISTA FACULTAD DE INGENIERIA-UNIVERSIDAD DE ANTIOQUIA</t>
  </si>
  <si>
    <t>Colombia is one of the largest producers of gold in Latin America and it has recently increased its production, especially in the Departments of Antioquia, Choco, Bolivar and Cordoba, which in 2014 produced 90% of Colombia's gold. Most of this production comes from artisanal and Small-Scale Gold Mining (ASGM). Parallel with this boost in production, there is concern about the health of rivers, since many local mines discharge untreated waters and tailings directly to waterways. This situation has awakened awareness in the communities of Colombia. Water is essential to carry out daily activities and for their society and economy. This article review displays three current challenges in Colombia that have been identified with local government, universities, environmental authorities, consultants and mining industry. These challenges are: water pollution; aquifer protection; and changes in natural sedimentation in rivers. Based on previous work done in the region, this paper suggests new research directions to create opportunities for more sustainable practices. In particular, this paper identifies the opportunity to implement a series of practices to manage water and tailings at informal mining sites. The paper also highlights the importance of engaging communities, informal and formal miners, government and researchers in order to create consciousness of the importance of water in Colombia. This is an opportunity to create discussions that help miners to manage water and tailings, adapting these practices to their specific needs and through simple technologies.</t>
  </si>
  <si>
    <t>Baena, Oscar Jaime Restrepo/N-7698-2017</t>
  </si>
  <si>
    <t>0120-6230</t>
  </si>
  <si>
    <t>2422-2844</t>
  </si>
  <si>
    <t>10.17533/udea.redin.n79a16</t>
  </si>
  <si>
    <t>WOS:000417474000016</t>
  </si>
  <si>
    <t>Huh, T; Kim, HJ</t>
  </si>
  <si>
    <t>Huh, Taewook; Kim, Hyung-Ju</t>
  </si>
  <si>
    <t>Korean Experimentation of Knowledge and Technology Transfer to Address Climate Change in Developing Countries</t>
  </si>
  <si>
    <t>This paper explores two Korean cases of Knowledge and Technology Transfer (KTT) to address climate change in developing countries. The target technologies were carbon capture and utilization (CCU) in a project in Bantayan Island, Philippines, and waste-to-energy (WTE) technology in Santiago, Dominican Republic. These projects were conducted by the Republic of Korea's Green Technology Center. The study analyses the rationale of KTT (international environment and motives), its objects (technology types) and activities (informational contacts, research activities, consulting and education and training). It concludes that the KTT efforts of these two case studies can be characterized as uninformed transfer, given a lack of information on situational factors. In particular, these projects faced cooperation problems between national and local governments in the target countries due to different levels of commitment among different stakeholder groups. In conclusion, this study identifies the implications of an acceptability gap between national and local actors in renewable energy projects of KTT.</t>
  </si>
  <si>
    <t>10.3390/su10041263</t>
  </si>
  <si>
    <t>WOS:000435188000367</t>
  </si>
  <si>
    <t>Kipping, M</t>
  </si>
  <si>
    <t>American management consulting companies in Western Europe, 1920 to 1990: Products, reputation, and relationships</t>
  </si>
  <si>
    <t>BUSINESS HISTORY REVIEW</t>
  </si>
  <si>
    <t>Conference of the European-Business-History-Association</t>
  </si>
  <si>
    <t>AUG, 1996</t>
  </si>
  <si>
    <t>GOTHENBURG, SWEDEN</t>
  </si>
  <si>
    <t>European Business Hist Assoc</t>
  </si>
  <si>
    <t>This article surveys the expansion of American management consulting companies to Western Europe in the twentieth century It focuses on the way these consultancies built and sustained activities outside their home country A number of elements facilitated expansion abroad, including the creation of new and distinctive products, or approaches to management, and the use of domestic multinational clients as bridges to foreign countries. But to be successful in the long run, American consulting companies needed to create relationships with clients in the host country. In this respect, social and, sometimes, political contacts with the local elite, usually established through a few well-connected individuals, proved a crucial advantage.</t>
  </si>
  <si>
    <t>0007-6805</t>
  </si>
  <si>
    <t>10.2307/3116240</t>
  </si>
  <si>
    <t>WOS:000085409300002</t>
  </si>
  <si>
    <t>Hira, A</t>
  </si>
  <si>
    <t>Hira, Anil</t>
  </si>
  <si>
    <t>Renewable Energy in Central America: One Step Forward, One Step Back, and Another Tentative Step Forward Again</t>
  </si>
  <si>
    <t>LATIN AMERICAN POLICY</t>
  </si>
  <si>
    <t>We are at an historical crossroads. The latest IPCC report gives dire predictions about potential losses from climate change, ranging from high sea levels to deterioration of agricultural production. Although emissions are still concentrated in the North, the most-rapid growth of emissions is occurring in the South, suggesting the need for major changes in the trajectory of its economic development. Massive aid flows for climate-change mitigation and adaptation lack any clear framework. We begin the task by examining the evolution of Central American electricity systems, seeking to explain the exceptional ability of several countries wracked by conflict, weak institutions, and struggling economies to move toward renewable fuels. We use first-person interviews, government documents and websites, and consultant and expert reports to examine the largely unrecognized achievements. The necessity of finding alternative energy is not in question, but how these countries overcame the financial, technical, and policy challenges should be of great interest and could potentially provide valuable lessons for other countries.</t>
  </si>
  <si>
    <t>Hira, Anil/0000-0003-4831-284X</t>
  </si>
  <si>
    <t>2041-7365</t>
  </si>
  <si>
    <t>2041-7373</t>
  </si>
  <si>
    <t>10.1111/lamp.12103</t>
  </si>
  <si>
    <t>WOS:000391088500012</t>
  </si>
  <si>
    <t>Sokolow, S; Godwin, H; Cole, BL</t>
  </si>
  <si>
    <t>Sokolow, Sharona; Godwin, Hilary; Cole, Brian L.</t>
  </si>
  <si>
    <t>Perspectives on the future of recycled water in California: results from interviews with water management professionals</t>
  </si>
  <si>
    <t>Expanded use of recycled water has potential to improve the sustainability of water systems in areas with high water insecurity. Despite this, rates of recycled water use in California remain low. To identify barriers to expansion of recycled water use in California, we conducted open-ended interviews with a targeted sample of 12 stakeholders representing a range of viewpoints among individuals familiar with urban water management operations in California, including experts from government regulatory and public health agencies, wastewater suppliers, independent consultants, and engineers. Barriers identified by respondents related to regulations, infrastructure, funding, technology, health risks, and public perceptions. Respondents provided concrete suggestions for how to lower these barriers and insights into the roles that public health professionals could play in this effort. This work suggests that public health professionals can play a critical role in facilitating the expanded use of recycled water and improving water security and sustainability worldwide.</t>
  </si>
  <si>
    <t>1360-0559</t>
  </si>
  <si>
    <t>SEP 19</t>
  </si>
  <si>
    <t>10.1080/09640568.2018.1523051</t>
  </si>
  <si>
    <t>APR 2019</t>
  </si>
  <si>
    <t>WOS:000466008000001</t>
  </si>
  <si>
    <t>Meyer, R</t>
  </si>
  <si>
    <t>Meyer, Roswitha</t>
  </si>
  <si>
    <t>Management of waste from health care institutions</t>
  </si>
  <si>
    <t>CLEAN-SOIL AIR WATER</t>
  </si>
  <si>
    <t>Efficient health-care waste management is crucial for the prevention of the exposure of health care workers, patients, and the community to infections, toxic wastes and injuries as well as the protection of the environment, according to the World Health Organization. Health care waste is classified according to local governmental directives. These, as well as the disposal of the different waste streams vary extremely between different countries. This requires country specific solutions for disposal of health care wastes. Since 1989 the author participates in hospital waste management projects for the Gesellschaft fur Technische Zusammenarbeit (GTZ) and the Senior Expert Service (SES) in Brazil, Thailand, and Ghana. In 2003 she founded the consultancy Meyro-Consulting (wArw.meyro-consulting.de).</t>
  </si>
  <si>
    <t>1863-0650</t>
  </si>
  <si>
    <t>1863-0669</t>
  </si>
  <si>
    <t>10.1002/clen.200720021</t>
  </si>
  <si>
    <t>WOS:000251007000026</t>
  </si>
  <si>
    <t>Jiricka, A; Formayer, H; Schmidt, A; Voller, S; Leitner, M; Fischer, TB; Wachter, TF</t>
  </si>
  <si>
    <t>Jiricka, Alexandra; Formayer, Herbert; Schmidt, Anna; Voeller, Sonja; Leitner, Markus; Fischer, Thomas B.; Wachter, Thomas F.</t>
  </si>
  <si>
    <t>Consideration of climate change impacts and adaptation in EIA practice - Perspectives of actors in Austria and Germany</t>
  </si>
  <si>
    <t>Current political discussions and developments indicate the importance and urgency of incorporating climate change considerations into EIA processes. The recent revision of the EU Directive 2014/52/EU on Environmental Impact Assessment (EIA) requires changes in the EIA practice of the EU member states. This paper investigates the extent to which the Environmental Impact Assessment (EIA) can contribute to an early consideration of climate change consequences in planning processes. In particular the roles of different actors in order to incorporate climate change impacts and adaptation into project planning subject to EIA at the appropriate levels are a core topic. Semi-structured expert interviews were carried out with representatives of the main infrastructure companies and institutions responsible in these sectors in Austria, which have to carry out EIA regularly. In a second step expert interviews were conducted with EIA assessors and EIA authorities in Austria and Germany, in order to examine the extent to which climate-based changes are already considered in EIA processes. This paper aims to discuss the different perspectives in the current EIA practice with regard to integrating climate change impacts as well as barriers and solutions identified by the groups of actors involved, namely project developers, environmental competent authorities and consultants (EIA assessors/practitioners). The interviews show that different groups of actors consider the topic to different degrees. Downscaling of climate change scenarios is in this context both, a critical issue with regards to availability of data and costs. Furthermore, assistance for the interpretation of relevant impacts, to be deducted from climate change scenarios, on the specific environmental issues in the area is needed. The main barriers identified by the EIA experts therefore include a lack of data as well as general uncertainty as to how far climate change should be considered in the process without reliable data but in the presence of knowledge about possible consequences at an abstract level. A joint strategy on how to cope with uncertain prognoses about main impacts on environmental issues for areas without reliable data requires a discussion and cooperation between EIA consultants and environmental authorities. (C) 2015 Elsevier Inc. All rights reserved.</t>
  </si>
  <si>
    <t>10.1016/j.eiar.2015.11.010</t>
  </si>
  <si>
    <t>WOS:000372675400009</t>
  </si>
  <si>
    <t>Silva, RVG; Graterol, M; Kunath, I</t>
  </si>
  <si>
    <t>Graterol Silva, Rosemily Virginia; Graterol, Modesto; Kunath, Irene</t>
  </si>
  <si>
    <t>Strategic Planning for Operational Areas of Consulting Firms in the Hydrocarbon Sector</t>
  </si>
  <si>
    <t>REVISTA DE CIENCIAS SOCIALES</t>
  </si>
  <si>
    <t>This study analyzes the strategic planning process in operating areas of consulting firms in the hydrocarbon sector in the Maracaibo Municipality. The study was of the descriptive, non-experimental, transactional and field type. Data collection was carried out through a self-administered questionnaire (interviewee-interviewer). To determine the reliability of this instrument, a pilot test was performed, which showed a coefficient of 0.83 calculated using the Cronbach Alpha method. A census was applied to the twenty-one (21) consulting firms in the hydrocarbon sector located in the Maracaibo Municipality, State of Zulia. Results revealed that the consulting firms have been affected by constant changes in the political, social and economic environment, by the growth of technologies and the rise of market competitiveness. For that reason, managers have used strategic planning as a tool to prepare themselves for those changes, optimize the companies' welfare and minimize the impact of problems.</t>
  </si>
  <si>
    <t>1315-9518</t>
  </si>
  <si>
    <t>WOS:000305050500010</t>
  </si>
  <si>
    <t>Oldekop, JA; Fontana, LB; Grugel, J; Roughton, N; Adu-Ampong, EA; Bird, GK; Dorgan, A; Vera Espinoza, MA; Wallin, S; Hammett, D; Agbarakwe, E; Agrawal, A; Asylbekova, N; Azkoul, C; Bardsley, C; Bebbington, AJ; Carvalho, S; Chopra, D; Christopoulos, S; Crewe, E; Dop, MC; Fischer, J; Gerretsen, D; Glennie, J; Gois, W; Gondwe, M; Harrison, LA; Hujo, K; Keen, M; Laserna, R; Miggiano, L; Mistry, S; Morgan, RJ; Raftree, LL; Rhind, D; Rodrigues, T; Roschnik, S; Senkubuge, F; Thornton, I; Trace, S; Ore, T; Valdes, RM; Vira, B; Yeates, N; Sutherland, WJ</t>
  </si>
  <si>
    <t>Oldekop, Johan A.; Fontana, Lorenza B.; Grugel, Jean; Roughton, Nicole; Adu-Ampong, Emmanuel A.; Bird, Gemma K.; Dorgan, Alex; Vera Espinoza, Marcia A.; Wallin, Sara; Hammett, Daniel; Agbarakwe, Esther; Agrawal, Arun; Asylbekova, Nurgul; Azkoul, Clarissa; Bardsley, Craig; Bebbington, Anthony J.; Carvalho, Savio; Chopra, Deepta; Christopoulos, Stamatios; Crewe, Emma; Dop, Marie-Claude; Fischer, Joern; Gerretsen, Daan; Glennie, Jonathan; Gois, William; Gondwe, Mtinkheni; Harrison, Lizz A.; Hujo, Katja; Keen, Mark; Laserna, Roberto; Miggiano, Luca; Mistry, Sarah; Morgan, Rosemary J.; Raftree, Linda L.; Rhind, Duncan; Rodrigues, Thiago; Roschnik, Sonia; Senkubuge, Flavia; Thornton, Ian; Trace, Simon; Ore, Teresa; Valdes, Rene Mauricio; Vira, Bhaskar; Yeates, Nicola; Sutherland, William J.</t>
  </si>
  <si>
    <t>100 key research questions for the post-2015 development agenda</t>
  </si>
  <si>
    <t>DEVELOPMENT POLICY REVIEW</t>
  </si>
  <si>
    <t>The Sustainable Development Goals (SDGs) herald a new phase for international development. This article presents the results of a consultative exercise to collaboratively identify 100 research questions of critical importance for the post-2015 international development agenda. The final shortlist is grouped into nine thematic areas and was selected by 21 representatives of international and non-governmental organisations and consultancies, and 14 academics with diverse disciplinary expertise from an initial pool of 704 questions submitted by 110 organisations based in 34 countries. The shortlist includes questions addressing long-standing problems, new challenges and broader issues related to development policies, practices and institutions. Collectively, these questions are relevant for future development-related research priorities of governmental and non-governmental organisations worldwide and could act as focal points for transdisciplinary research collaborations.</t>
  </si>
  <si>
    <t>0950-6764</t>
  </si>
  <si>
    <t>1467-7679</t>
  </si>
  <si>
    <t>10.1111/dpr.12147</t>
  </si>
  <si>
    <t>WOS:000366450100003</t>
  </si>
  <si>
    <t>Hojem, TSM</t>
  </si>
  <si>
    <t>Hojem, Thea Sofie Melhuus</t>
  </si>
  <si>
    <t>Bridging two worlds? The troubled transfer of new environmental knowledge from science to consulting engineers</t>
  </si>
  <si>
    <t>ACTA SOCIOLOGICA</t>
  </si>
  <si>
    <t>Today, there is widespread political optimism regarding the role of scientific knowledge as a driving force for innovation and economic growth. Could this lead us to overestimate science's ability to provide innovation central to solving the challenges facing our society? This article is a study of the appropriation of science in knowledge intensive services: specifically, about how consulting engineers engage with new environmental knowledge. First, I investigate research communities' efforts with respect to transfer of new environmental knowledge to the consulting engineering industry. Second, I analyse consulting engineers' accounts of acquisition and use of scientific and other forms of new knowledge relevant to dealing with environmental issues. The article engages with the optimistic view by employing three theoretical perspectives, representing greater caution and highlighting different aspects of knowledge transfer and acquisition: Mode 2 theory, Latourian sociology of innovation and two-community theory. The ensuing empirical analysis challenges the optimistic views with regard to the role of new scientific knowledge for innovation; transfer efforts are limited and slow. Instead, the importance of indirect roads of transfer of scientific knowledge is emphasized, such as newly educated candidates and the development of regulations and codes. Another main finding is that consulting engineers' acquisition of new knowledge was guided mainly by pragmatic demand, generated through problem-solving in the context of application.</t>
  </si>
  <si>
    <t>0001-6993</t>
  </si>
  <si>
    <t>1502-3869</t>
  </si>
  <si>
    <t>10.1177/0001699312460252</t>
  </si>
  <si>
    <t>WOS:000310535800002</t>
  </si>
  <si>
    <t>REED, R; JOHNSON, RL</t>
  </si>
  <si>
    <t>DEVELOPING RATES WITH CITIZEN INVOLVEMENT</t>
  </si>
  <si>
    <t>The Marin Municipal Water District (MMWD) in Corte Madera experienced a particularly severe water shortage during California's six-year drought. Citizens were frustrated because the district rigidly limited consumption and repeatedly raised rates. As the drought was ending in 1992, MMWD assembled a citizen advisory committee to direct the district and a consulting firm in establishing a new rate structure. More than a cost-allocation exercise to meet financial needs, the planning process involved important policy issues that required public input. The marginal cost approach chosen meets revenue needs and addresses the problems of limited water supply and expensive source development to meet increased demand. Support for the rate structure is widespread because committee members, who represented most elements of the larger community, were able to reach broad consensus on most issues.</t>
  </si>
  <si>
    <t>WOS:A1994PK73900009</t>
  </si>
  <si>
    <t>Halunko, V; Ivanyshchuk, A; Popovych, T</t>
  </si>
  <si>
    <t>Halunko, Valentyn; Ivanyshchuk, Andriy; Popovych, Tereziia</t>
  </si>
  <si>
    <t>GLOBAL EXPERIENCE OF SOCIAL ENTREPRENEURSHIP DEVELOPMENT</t>
  </si>
  <si>
    <t>BALTIC JOURNAL OF ECONOMIC STUDIES</t>
  </si>
  <si>
    <t>The purpose of the article - to reveal features of the implementation of social entrepreneurship in the world. Methodology. The theoretical and methodological framework of scientific developments consists of the research of scientists of modern times who work on the solution to development issues of social entrepreneurship in countries of the world, research data of consulting institutes, own research results. In order to provide validity of research results, the following methods are used: generalization - in the critical analysis of the content of works of scientists on solving the problems of the development of social entrepreneurship; information-logical analysis - when studying data of international consulting institutes and associations; comparison - when comparing directions of the state support for the development of social entrepreneurship in different countries of the world; cause and effect relationship - for obtaining final conclusions. Results. This article reveals optimal conditions for developing social entrepreneurship in countries of the world. A portrait of a successful entrepreneur of the world is formed. The state of social entrepreneurship and the directions of its development in advanced countries of Europe, America, and Asia are analysed. Possibilities of adaptation of the global experience in the social entrepreneurship development for Ukraine are determined. Practical importance. Results of this research can be useful for the Ministry of Social Policy of Ukraine, the Ministry of Economic Development and Trade of Ukraine. Value/originality - there are clarified conditions and strategic measures on the development of social entrepreneurship in Ukraine. Further research should be aimed at the improvement of stimulating mechanisms for the social entrepreneurship development as a global tool for solving problems of the socio-economic development of countries of the world.</t>
  </si>
  <si>
    <t>T.P., Попович Терезія | Popovych Tereziia | Popovych/AAH-4454-2019</t>
  </si>
  <si>
    <t>2256-0742</t>
  </si>
  <si>
    <t>2256-0963</t>
  </si>
  <si>
    <t>10.30525/2256-0742/2018-4-1-62-67</t>
  </si>
  <si>
    <t>WOS:000437701000008</t>
  </si>
  <si>
    <t>Berberich, CW</t>
  </si>
  <si>
    <t>Navigating cyberspace: A roadmap to the Internet</t>
  </si>
  <si>
    <t>The internet is no longer just a specialized tool for academic research, and gaining access to it has been simplified by on-line service providers. These services offer special-interest discussion groups and large collections of data to their members. Increasingly, being on the internet means easy access to the World Wide Web, through which users can gain access to material from computers worldwide. AWWA has a presence on the Internet, as do other professional associations, state and federal government agencies, universities, manufacturers of supplies for the water industry, environmental groups, publications, and consulting firms. A five-page directory of web site addresses for these information sources is included in this article.</t>
  </si>
  <si>
    <t>0003-150X</t>
  </si>
  <si>
    <t>WOS:A1996TW06100009</t>
  </si>
  <si>
    <t>Leitner, H; Sheppard, E; Webber, S; Colven, E</t>
  </si>
  <si>
    <t>Leitner, Helga; Sheppard, Eric; Webber, Sophie; Colven, Emma</t>
  </si>
  <si>
    <t>Globalizing urban resilience</t>
  </si>
  <si>
    <t>URBAN GEOGRAPHY</t>
  </si>
  <si>
    <t>Urban resilience, a new urban development and governance agenda, is being rolled out from the top down by a network of public, private, non-profit sector actors forming a global urban resilience complex: producing norms that circulate globally, creating assessment tools rendering urban resilience technical and managerial, and commodifying urban resilience such that private sector involvement becomes integral to urban development planning and governance. The Rockefeller Foundation's 100 Resilience Cities Program is at the center of this complex, working with the World Bank, global consultants, NGOs, and private sector service providers to enroll cities, develop and circulate urban resilience assessment tools, and create a market catalyzed by the notion of a resilience dividend. Notwithstanding the claim of this program being open and inclusive, aspects of its initial operationalization in Jakarta suggest that urban resilience assessment tools preempt alternative understandings of urban resilience and marginalizing voices of the city's most vulnerable populations.</t>
  </si>
  <si>
    <t>0272-3638</t>
  </si>
  <si>
    <t>1938-2847</t>
  </si>
  <si>
    <t>10.1080/02723638.2018.1446870</t>
  </si>
  <si>
    <t>WOS:000445004400009</t>
  </si>
  <si>
    <t>Mayhew, DR</t>
  </si>
  <si>
    <t>Mayhew, David R.</t>
  </si>
  <si>
    <t>Congress as a Handler of Challenges: The Historical Record</t>
  </si>
  <si>
    <t>STUDIES IN AMERICAN POLITICAL DEVELOPMENT</t>
  </si>
  <si>
    <t>Can the U.S. Congress address major challenges? Can Congress govern? Questions like these keep getting asked. This article addresses them by consulting the record since 1789. Given the separation-of-powers structure of the American system, such questions cannot be addressed directly. They need to be deconstructed. The presidency needs to enter the discussion, too. Also, what is a major challenge? To identify such challenges, and to supply a way of seeing how and in what respects Congress, as well as in a background frame the U.S. system more broadly, has performed, I draw on comparative analysis. How has the United States participated in thirteen major impulses that have invested a comparable set of nations at various times since the late eighteenth century? These challenges range from launching a new nation through building a welfare state through dealing with climate change and debt/deficit problems today.</t>
  </si>
  <si>
    <t>0898-588X</t>
  </si>
  <si>
    <t>1469-8692</t>
  </si>
  <si>
    <t>10.1017/S0898588X15000061</t>
  </si>
  <si>
    <t>WOS:000365167100003</t>
  </si>
  <si>
    <t>ARNDT, S; WOOLSON, RF</t>
  </si>
  <si>
    <t>ESTABLISHING A BIOSTATISTICAL CORE UNIT IN A CLINICAL RESEARCH-CENTER</t>
  </si>
  <si>
    <t>AMERICAN STATISTICIAN</t>
  </si>
  <si>
    <t>We have recently had the rare opportunity to open the door on a Biostatistical Core Unit within a Mental Health Clinical Research Center specializing in the multidisciplinary inquiry of schizophrenia. Based on the literature, our previous consulting experience, and the experience of colleagues, we implemented policies and procedures that avoided common problems facing consulting organizations and maximized effective collaboration between researchers and statisticians. This is an example of the application of policies, which involved assigning high priority to education, making ourselves available for consultation and collaboration, and developing an environment that fostered concordant research.</t>
  </si>
  <si>
    <t>Arndt, Stephan/A-6976-2013</t>
  </si>
  <si>
    <t>Arndt, Stephan/0000-0003-0783-8204</t>
  </si>
  <si>
    <t>0003-1305</t>
  </si>
  <si>
    <t>10.2307/2685234</t>
  </si>
  <si>
    <t>WOS:A1991EU94800005</t>
  </si>
  <si>
    <t>Hacke, U; Muller, K; Dutschke, E</t>
  </si>
  <si>
    <t>Hacke, Ulrike; Mueller, Kornelia; Duetschke, Elisabeth</t>
  </si>
  <si>
    <t>Cohousing - social impacts and major implementation challenges</t>
  </si>
  <si>
    <t>This paper builds on outcomes of the TransNIK project which analysed sustainable innovations in the fields of energy, water and housing. The focus here is on innovative cohousing initiatives contributing to a supportive environment for seniors and families and providing social mixing and rent reduction in the long term. The case study of four multi-generation and two 50plus projects through document analysis, interviews, expert workshops and a survey has highlighted social benefits, economic and ecologic above-standard-solutions, but has also demonstrated that the implementation of such projects is full of preconditions. The implementation rate of cohousing projects shows little dynamics. Therefore, a systematic presentation of success factors, barriers and difficulties to transformation processes is given. However, cohousing projects are dependent on support, and there are indications that politics and sections of the housing industry are gradually becoming more open to these ideas. In addition, we are witnessing the slow growth of a consulting infrastructure.</t>
  </si>
  <si>
    <t>Dutschke, Elisabeth/0000-0003-1882-1934</t>
  </si>
  <si>
    <t>10.14512/gaia.28.S1.10</t>
  </si>
  <si>
    <t>WOS:000490813100010</t>
  </si>
  <si>
    <t>Huang, AC; Lee, TY; Lin, YC; Huang, CF; Shu, CM</t>
  </si>
  <si>
    <t>Huang, An-Chi; Lee, Tzong-Yeang; Lin, Yu-Chen; Huang, Chung-Fu; Shu, Chi-Min</t>
  </si>
  <si>
    <t>Factor Analysis and Estimation Model of Water Consumption of Government Institutions in Taiwan</t>
  </si>
  <si>
    <t>Models for adequately estimating water consumption in Taiwanese government institutions were developed to assist the government to more accurately predict and account for their water needs. A correlation coefficient matrix of associated factors was constructed based on records per unit of water consumption, describing the impact of various water consumption factors. To understand and quantify the effect of the impact factors, linear and nonlinear regression models, as well as an artificial neural network model were adopted. To account for data variability, the data used for modelling were either fully or partially adopted. For partial adoption, the quartile method was employed to remove any outliers. Analysis of the factors affecting water consumption revealed that the building floor area and number of personnel in an organization had the largest impact on estimated consumption, followed by the number of residential personnel. As the coefficient of variation for the green irrigated area and number of consulting personnel was low, the total area and the total number personnel of water consumption decreased the effectiveness of the model.</t>
  </si>
  <si>
    <t>10.3390/w9070492</t>
  </si>
  <si>
    <t>WOS:000406681700043</t>
  </si>
  <si>
    <t>Lipari, L</t>
  </si>
  <si>
    <t>Polling as ritual</t>
  </si>
  <si>
    <t>In contemporary U.S. politics, the practice of consulting the latest poll has become a ritual like consulting the oracle was to the ancient Greeks. In this essay I argue that polling is not just an instrumental means to manipulate or reflect public attitudes, but is also a cultural form that sustains and affirms deeply held founding mythologies about community, democracy, and vox populi. By appropriating and controlling the terms of dissent, polling ritual enables the national congregation to affirm its unity in spite of difference. Thus, what is constructed through polling ritual is social solidarity rather than public policy.</t>
  </si>
  <si>
    <t>10.1093/joc/49.1.83</t>
  </si>
  <si>
    <t>WOS:000078975500005</t>
  </si>
  <si>
    <t>Kularatne, RKA</t>
  </si>
  <si>
    <t>Kularatne, Ranil K. A.</t>
  </si>
  <si>
    <t>Suitability of the coastal waters of Sri Lanka for offshore sand mining: a case study on environmental considerations</t>
  </si>
  <si>
    <t>JOURNAL OF COASTAL CONSERVATION</t>
  </si>
  <si>
    <t>In Sri Lanka, the total demand for sand is about 12,000,000 m(3) per year with a demand growth projected to increase by 10 % every year. However, Sri Lanka's construction industry seems to face a shortage of sand if offshore sand mining is not promoted as a viable alternative and over-exploitation of river sand may lead to more significant damage to rivers (which is presently a serious issue). This article discusses the suitability or otherwise of the unexplored south-eastern, east and north-western offshore areas for exploration and mining works. This study was conducted by consulting several government organizations and universities dealing with coastal resources management, literature reviews and Key Informants' Interviews held with Fisher Folk Societies and Divers' Organizations in the study areas. The east and north-western offshore locations are not ideal considering the bathymetry (most locations in the east coast have water depths &gt; 20 m, hence mining is not commercially viable; in the north-western offshore areas depth is &lt; 15 m; mining is prohibited in Sri Lanka at depths a parts per thousand currency sign15 m and &lt; 2 km offshore) and the occurrence of critical habitats. In the south-eastern offshore areas the complex wave climate resulting in significant coastal/shoreline stability variations is a concern and the sea is very deep (&gt; 20 m beyond 2 km offshore). Therefore, by considering the views expressed by the Divers' Organizations and Fisher Folk societies it would be ideal to undertake exploration studies in the offshore areas in the north-eastern stretch.</t>
  </si>
  <si>
    <t>1400-0350</t>
  </si>
  <si>
    <t>1874-7841</t>
  </si>
  <si>
    <t>10.1007/s11852-014-0310-7</t>
  </si>
  <si>
    <t>WOS:000336739500008</t>
  </si>
  <si>
    <t>Piguet, P; Blunier, P; Lepage, ML; Mayer, MA; Ouzilou, O</t>
  </si>
  <si>
    <t>Piguet, Pascal; Blunier, Pascal; Lepage, M. Loic; Mayer, M. Alexis; Ouzilou, Olivier</t>
  </si>
  <si>
    <t>A new energy and natural resources investigation method: Geneva case studies</t>
  </si>
  <si>
    <t>The Praille-Acacias-Vernets suburb, located in Geneva, Switzerland, is today considered as an outworn city area (2.3 km(2)). It consists of parking lots, industries, businesses and marshalling yards. The Geneva Government decided to remodel this suburb to effectively allow for city growth while complying with the highest energy efficient and environmental standards in urban development. A masterplan was accepted in spring 2007. It did not take into account the various energy and natural resources of the area at that stage. BG Consulting Engineers was thus mandated to assess a set of resources related to energy and environment, such as geothermal power or roundwater. For this purpose, a new investigation method was tested. It integrated the Deep City approach (Swiss Federal Institute of Technology, Lausanne), which promotes the sustainable use of urban underground resources. The BG method consisted in (1) establishing a geodatabase regrouping all available data (Geographic Information System), (2) identifying, localising and quantifying the different resources and (3) identifying and discussing all synergies and conflicts that might arise during their exploitation. This third step constitutes a real improvement allowing for anticipated decision making, thus avoiding future compatibility issues. Results of this study consisted in lists and maps of (1) raw resources, (2) technical and economical opportunities and constraints of exploitation, and (3) practical synergies and conflicts of exploitation. In addition, further necessary studies were identified along with synthetic scopes of work. Results were convincing and highly considered by the Geneva Government. For example, geothermal power resources were localised along with possible exploitation technologies and quantified extractable power. Synergies like combined exploitation of geothermal power and groundwater were also identified while conflicts such as spatial occupation were localised and discussed. These examples, among many others, validate this BG innovative method integrating the Deep City concept. (C) 2011 Elsevier Ltd. All rights reserved.</t>
  </si>
  <si>
    <t>10.1016/j.cities.2011.06.002</t>
  </si>
  <si>
    <t>WOS:000296488100009</t>
  </si>
  <si>
    <t>Webb, J</t>
  </si>
  <si>
    <t>Webb, Janette</t>
  </si>
  <si>
    <t>Making climate change governable: the case of the UK climate change risk assessment and adaptation planning</t>
  </si>
  <si>
    <t>SCIENCE AND PUBLIC POLICY</t>
  </si>
  <si>
    <t>Risk assessment techniques are regarded as key devices for managing adaptation to climate change; this paper examines their use in the first UK Climate Change Risk Assessment. The conceptual framework is derived from the sociology of knowledge, which treats policy makers as co-producers of knowledge, in interaction with scientists and consultants. The paper considers the framing of the problem, the creation of metrics and their limits, and the validity and legitimacy of such tools in conditions of high uncertainty. While recognising the potential contribution of risk assessment to managing complexity and assessing priorities, it argues that over-reliance on such instruments may risk understating the potential for climate-related disasters, while unintentionally increasing the real risk of failure to act effectively to adapt to inevitable change. Reliance on socio-technical devices entails a top-down approach to policy, which limits engagement with the public in deliberation about social priorities and purposes. Consequently politicians and civil servants may focus on the 'wrong' variables, misunderstand the assumptions and values built in to risk assessments, misuse their outputs, and possibly fail to act on the precautionary principle.</t>
  </si>
  <si>
    <t>Webb, Janette/0000-0001-8295-346X</t>
  </si>
  <si>
    <t>0302-3427</t>
  </si>
  <si>
    <t>1471-5430</t>
  </si>
  <si>
    <t>10.3152/030234211X12924093660471</t>
  </si>
  <si>
    <t>WOS:000292125000003</t>
  </si>
  <si>
    <t>Fisher, WF</t>
  </si>
  <si>
    <t>Diverting water: Revisiting the Sardar Sarovar Project</t>
  </si>
  <si>
    <t>INTERNATIONAL JOURNAL OF WATER RESOURCES DEVELOPMENT</t>
  </si>
  <si>
    <t>This article considers lessons to be learned from the Sardar Sarovar Project (SSP). Despite persistent attempts to portray the SSP as a technical solution to a technical problem, it is clear that many aspects of the project-from the consideration of alternatives, through the evaluation of costs and benefits, to the persistent delays in consulting with affected peoples-have been highly politicized. Drawing upon our increased awareness of the politicized nature of water resource projects, this article stresses the importance of three key issue areas: the collection and distribution of information; project accountability; and participation by affected peoples.</t>
  </si>
  <si>
    <t>0790-0627</t>
  </si>
  <si>
    <t>10.1080/07900620120065093</t>
  </si>
  <si>
    <t>WOS:000174290600003</t>
  </si>
  <si>
    <t>Bergquist, AK; Soderholm, K</t>
  </si>
  <si>
    <t>Bergquist, Ann-Kristin; Soderholm, Kristina</t>
  </si>
  <si>
    <t>Green Innovation Systems in Swedish Industry, 1960-1989</t>
  </si>
  <si>
    <t>Organizational networks had a strong influence on the diffusion of green knowledge within the Swedish pulp-and-paper industry from the mid-1960s to the 1980s. The environmental adaptations made by this industrial sector were not merely the result of a corporate initiative or of the response by firms or industries to environmental regulation. An examination of the innovation-system approach that was used to further the industry's environmental goals reveals that the knowledge and technology development underpinning the project depended on a network of diverse actors. Within this network, the semi-governmental Institute for Water and Air Protection, working with a consulting company, was a critical generator and intermediary of knowledge. Thus, the success of the project was largely due to the Institute's balanced relations with government and industry.</t>
  </si>
  <si>
    <t>2044-768X</t>
  </si>
  <si>
    <t>10.1017/S0007680511001152</t>
  </si>
  <si>
    <t>WOS:000299666700002</t>
  </si>
  <si>
    <t>Mrayyan, B; Hamdi, MR</t>
  </si>
  <si>
    <t>Management approaches to integrated solid waste in industrialized zones in Jordan: A case of Zarqa City</t>
  </si>
  <si>
    <t>There is a need to recognize the difficulties experienced in managing waste and to understand the reasons for those difficulties, especially in developing countries such as Jordan. Zarqa is a Governorate located in central Jordan, which has 2874 registered industries, making up more than 52% of the total industries in the country. Zarqa Governorate suffers from serious solid waste problems. These problems arise from an absence of adequate policies, facilitating legislation, and an environmentally enthused public, which therefore have a negative impact on the environment and health. Solid waste generation in Zarqa Governorate has increased exponentially and has polluted natural resources and the environment. A significant change in municipal solid waste generation was evident between the years 1994 and 2000. The Zarqa Governorate generated 482 tons/day in 2002 with a per capita rate of 0.44 kg/cap-day [Consulting Engineers, 2002, Feasibility study for the treatment of industrial wastewater in Zarqa Governorate. A project funded by METAP and Zarqa Chamber of Industry. Unpublished report]. This manuscript assesses the current operational and management practices of solid waste in the Zarqa Governorate; and evaluates the associated issues of solid waste collection, storage, transport, disposal and recycling in developing countries. The lack of techniques, financial funds and awareness among public and private sectors form an obstacle for achieving a successful environmental program. Several options are proposed to address management goals. Although Jordan became the first country in the Middle East to adopt a national environmental strategy; waste disposal is still largely uncontrolled and large quantities of waste go uncollected. Ensuring proper management of solid wastes, enforcing regulations, and implementing proper environmental awareness programs that will enhance the public understanding and achieve greater efficiency, are the findings of this study. (c) 2005 Elsevier Ltd. All rights reserved.</t>
  </si>
  <si>
    <t>10.1016/j.wasman.2005.06.008</t>
  </si>
  <si>
    <t>WOS:000233962100012</t>
  </si>
  <si>
    <t>Meyer, B; Distelkamp, M; Wolter, MI</t>
  </si>
  <si>
    <t>Meyer, Bernd; Distelkamp, Martin; Wolter, Marc Ingo</t>
  </si>
  <si>
    <t>Material efficiency and economic-environmental sustainability. Results of simulations for Germany with the model PANTA RHEI</t>
  </si>
  <si>
    <t>Based on empirical evidence, the paper discusses the impact of a consulting and information program for the improvement of material productivity with regard to economic and environmental targets for Germany. The instrument used in the analysis is the integrated economic-environmental model PANTA RHEI, which is parameterized econometrically. The paper presents the model and shows in a baseline forecast that without policy changes, sustainability will be violated in both the economic and the environmental dimensions. This applies to the latter particularly with regard to land use and material consumption. The alternative simulation that introduces a consulting and information program for the improvement of material productivity yields a win-win result: growth rates of GDP and employment are rising, the public debt is reduced, and material consumption is much lower than in the baseline and remains at the actual level, which means that a decoupling of growth and material consumption is possible. (C) 2006 Elsevier B.V. All rights reserved.</t>
  </si>
  <si>
    <t>JUN 15</t>
  </si>
  <si>
    <t>10.1016/j.ecolecon.2006.10.017</t>
  </si>
  <si>
    <t>WOS:000247717200019</t>
  </si>
  <si>
    <t>Bell, E; Scott, TA</t>
  </si>
  <si>
    <t>Bell, Emily; Scott, Tyler A.</t>
  </si>
  <si>
    <t>Common institutional design, divergent results: A comparative case study of collaborative governance platforms for regional water planning</t>
  </si>
  <si>
    <t>Environmental governance challenges often span geographic and sectoral boundaries, requiring collaboration between diverse stakeholders and multilateral decision making. To facilitate such efforts, policymakers and public managers create and support platforms that provide a structured framework for promoting collaborative governance. As the collaborative platform model is often centrally initiated - e.g., when state or national actors create a system of local collaborative resource management platforms - cross-case comparison is particularly important for understanding how a common design leads to variance in procedures and outputs in local contexts. Many collaborative platforms leave a paper trail of documents such as meeting records and plans. This analysis compares 10 identically designed and simultaneously initiated regional water planning platforms in the State of Georgia. Drawing on 106 meeting reports, we apply topic modeling to these meeting documents to generate replicable and scalable measures of how participant actions and interest representation unfold over time. Specifically, we measure topical focus on water planning issues over time, and compare these process-phase measures between councils and against the content of the resulting plan developed by each planning council. While existing literature has focused on how institutional design features such as representation and decision-rules shape procedural outcomes and outputs, we observe considerable variation in procedural behavior and plan outputs despite the fact that all 10 platforms share a common design. The consulting firm selected to direct each local platform is shown to be associated with both the topical focus of each regions' planning discussion and the BMPs selected in regional plans. This comports with recent evidence pointing to the important - and largely overlooked - role that technical consultants play in environmental governance and regulatory processes.</t>
  </si>
  <si>
    <t>10.1016/j.envsci.2020.04.015</t>
  </si>
  <si>
    <t>WOS:000540245400008</t>
  </si>
  <si>
    <t>Kempf, A; Mumford, J; Levontin, P; Leach, A; Hoff, A; Hamon, KG; Bartelings, H; Vinther, M; Stabler, M; Poos, JJ; Smout, S; Frost, H; van den Burg, S; Ulrich, C; Rindorf, A</t>
  </si>
  <si>
    <t>Kempf, Alexander; Mumford, John; Levontin, Polina; Leach, Adrian; Hoff, Ayoe; Hamon, Katell G.; Bartelings, Heleen; Vinther, Morten; Staebler, Moritz; Poos, Jan Jaap; Smout, Sophie; Frost, Hans; van den Burg, Sander; Ulrich, Clara; Rindorf, Anna</t>
  </si>
  <si>
    <t>The MSY concept in a multi-objective fisheries environment - Lessons from the North Sea</t>
  </si>
  <si>
    <t>MARINE POLICY</t>
  </si>
  <si>
    <t>One of the most important goals in current fisheries management is to maintain or restore stocks above levels that can produce the maximum sustainable yield (MSY). However, it may not be feasible to achieve MSY simultaneously for multiple species because of trade-offs that result from interactions between species, mixed fisheries and the multiple objectives of stakeholders. The premise in this study is that MSY is a concept that needs adaptation, not wholesale replacement. The approach chosen to identify tradeoffs and stakeholder preferences involved a process of consulting and discussing options with stakeholders as well as scenario modelling with bio-economic and multi-species models. It is difficult to intuitively anticipate the consequences of complex trade-offs and it is also complicated to address them from a political point of view. However, scenario modelling showed that the current approach of treating each stock separately and ignoring trade-offs may result in unacceptable ecosystem, economic or social effects in North Sea fisheries. Setting F-MSY as a management target without any flexibility for compromises may lead to disappointment for some of the stakeholders. To treat FMSY no longer as a point estimate but rather as a Pretty Good Yield within sustainable ranges was seen as a promising way forward to avoid unacceptable outcomes when trying to fish all stocks simultaneously at FMSY. This study gives insights on how inclusive governance can help to reach consensus in difficult political processes, and how science can be used to make informed decisions inside a multi-dimensional trade-off space. (C) 2016 Elsevier Ltd. All rights reserved.</t>
  </si>
  <si>
    <t>0308-597X</t>
  </si>
  <si>
    <t>1872-9460</t>
  </si>
  <si>
    <t>10.1016/j.marpol.2016.04.012</t>
  </si>
  <si>
    <t>WOS:000377228800016</t>
  </si>
  <si>
    <t>Le Bars, M; Le Grusse, P; Albouchi, L; Poussin, JC</t>
  </si>
  <si>
    <t>Le Bars, Marjorie; Le Grusse, Philippe; Albouchi, Laassad; Poussin, Jean-Christophe</t>
  </si>
  <si>
    <t>A simulation game to prepare water governance: An experiment in Central Tunisia</t>
  </si>
  <si>
    <t>CAHIERS AGRICULTURES</t>
  </si>
  <si>
    <t>Until the 2000s, water resources in Tunisia were managed solely by official services without consulting water users. At the local scale, Commissariats Regionaux de Developpement Agricole (CRDA), representing the official services, managed water resources. Then, the Tunisian government decided to involve farmers in the local management of water resources by creating the Agricultural Development Association (GDA). At present, water resource management by the CRDA must take into account water demands from GDA farmer representatives, and farmers must become aware of water scarcity and resource sharing. How can the CRDA and GDA envisage cooperative water management? In this paper we present a simulation game requested by Kairouan CRDA agents for building cooperative management of the water resources in a typical small watershed of Central Tunisia. Our aim was to use this game to increase farmers' awareness of resource sharing, scarcity and overexploitation impacts, as well as CRDA agents' awareness of uses that determine the water demand. This game is based on a hydrological model of the watershed and an agroeconomical model of farming systems that use the water resources for irrigation. A simulation game was played with concerned farmers in the GDA but without CRDA agents because of tensions between the groups. This partial failure shows that participative approaches with game supports rely upon maintaining agent motivation throughout the process.</t>
  </si>
  <si>
    <t>Le Bars, Marjorie/J-7371-2016; Poussin, Jean-Christophe/F-3488-2016</t>
  </si>
  <si>
    <t>Le Bars, Marjorie/0000-0002-8553-5930; Poussin, Jean-Christophe/0000-0001-9491-509X</t>
  </si>
  <si>
    <t>1777-5949</t>
  </si>
  <si>
    <t>10.1684/agr.2010.0463</t>
  </si>
  <si>
    <t>WOS:000290230300016</t>
  </si>
  <si>
    <t>Solli, J</t>
  </si>
  <si>
    <t>Solli, Joran</t>
  </si>
  <si>
    <t>Navigating standards - constituting engineering practices - how do engineers in consulting environments deal with standards?</t>
  </si>
  <si>
    <t>ENGINEERING STUDIES</t>
  </si>
  <si>
    <t>Standards and regulations can play a central role in policies to achieve environmentally sound and energy-efficient buildings. This paper sets out to explore how consulting engineers relate to standards designed to impose sustainability in the construction of new buildings and in waste management. The paper addresses four cases of engineering practices. The first case describes practical skills and tools involved in what the engineers considered as normal' practices when performing energy calculations in the development of new buildings. The second and third cases deal with energy in new buildings as well, but address practices that supported or enabled the engineers to go beyond minimum standards. Case four explores a heat production project and more specifically, how the engineer deals with solving a problem related to calculating energy substitution. Together, the cases represent situations with quite different degrees of uncertainty as to how to relate to standards, from relative certainty represented in the first case to relative uncertainty in the last case. We shall look closer at the practices such situations entail and how they constitute different types of consulting engineering practices.</t>
  </si>
  <si>
    <t>1937-8629</t>
  </si>
  <si>
    <t>1940-8374</t>
  </si>
  <si>
    <t>DEC 1</t>
  </si>
  <si>
    <t>10.1080/19378629.2013.857674</t>
  </si>
  <si>
    <t>WOS:000329153500003</t>
  </si>
  <si>
    <t>Mukherjee, P; Sastry, S</t>
  </si>
  <si>
    <t>Mukherjee, Parameswari; Sastry, Shaunak</t>
  </si>
  <si>
    <t>Problem Definition and Community Participation in Environmental Health Interventions: An Exploratory Study of Groundwater Arsenic Remediation</t>
  </si>
  <si>
    <t>HEALTH COMMUNICATION</t>
  </si>
  <si>
    <t>Arsenic, a known carcinogen, naturally occurs in the groundwater in large parts of West Bengal, a state in eastern India. Communities that depend on groundwater face twice the lifetime mortality risk for cancers, cardiovascular diseases, and developmental disorders. This study, focused on arsenic-affected communities in the state of West Bengal, offers an initial exploration of how local stakeholders construct groundwater arsenic as a health problem. Arsenic remediation interventions involve a host of international, regional, and local stakeholders (public health departments, government engineers, community health workers, consultants, hydrologists, etc.). How an environmental health problem is constructed has implications for who is considered responsible, what causes it, and pertinently, how/whether affected communities participate in addressing the problem. Drawing from a culture-centered approach, this fieldwork-based study offers three distinct yet related problem construction discourses, viz. social/political, technical and personal, in how the problem of arsenic is construed locally, and how such discourses are related to a particular conceptualization of community participation in environmental health.</t>
  </si>
  <si>
    <t>1041-0236</t>
  </si>
  <si>
    <t>1532-7027</t>
  </si>
  <si>
    <t>10.1080/10410236.2020.1864891</t>
  </si>
  <si>
    <t>WOS:000600741900001</t>
  </si>
  <si>
    <t>Franzle, O</t>
  </si>
  <si>
    <t>Alexander von Humboldt's holistic world view and modern inter- and transdisciplinary ecological research</t>
  </si>
  <si>
    <t>NORTHEASTERN NATURALIST</t>
  </si>
  <si>
    <t>Symposium on the Beginning of Alexander Von Humboldts Five Year Pioneering Expedition in the American Tropics</t>
  </si>
  <si>
    <t>OCT 08-09, 1999</t>
  </si>
  <si>
    <t>BOSTON UNIV, BOSTON, MA</t>
  </si>
  <si>
    <t>BOSTON UNIV</t>
  </si>
  <si>
    <t>The complex subject-matter of the 21(st) century world presents an enormous challenge to a discipline-based scientific system. Transdisciplinarity is demanded; it goes beyond interdisciplinarity and focuses both on the relevance of research to the problem at hand and on the feasibility of conducting and implementing it. Problem areas in which different sectors of society and academia may make effective contributions to include new technologies like genetic engineering, biotechnologies, energy, mobility, and nutrition; the creation, organization, and distribution of welfare and resources; human health, age, urban and regional development, and North-South cooperation; new modes of learning, new social systems and decision-making processes; and environmental issues like climate, biodiversity, soil, water, air, recycling, and waste. Real-world problems determine the kind of action to be taken and not, or at least to a distinctly lesser degree, the competence or the instruments available at any given time. Transdisciplinary research adopts an integrative approach to identifying such problems and working towards solutions. Industry, business, public administration, non-governmental organizations, and consulting firms all possess know-how which may be as important to developing new solutions as the knowledge generated and collected by universities or other scientific institutions. Thus, transdisciplinarity is a vital means of appropriately confronting many of the challenges of the present century, It also promises better and quicker solutions at lower costs, since its value lies not only in its potential for efficiently solving real-world problems but also in its ability to identify such problems at an early stage. It is the purpose of the present contribution to show, by way of example, how Alexander von Humboldt, who received his education in a time when the modern clear-cut distinction of science and art did not yet exist, aimed at an inter- and transdisciplinary comprehension of his World, and how his ideas became implemented in the second half of the past century in the form of application-oriented long-term ecosystem research.</t>
  </si>
  <si>
    <t>1092-6194</t>
  </si>
  <si>
    <t>10.1656/1092-6194(2001)8[57:AVHHWV]2.0.CO;2</t>
  </si>
  <si>
    <t>WOS:000175117700008</t>
  </si>
  <si>
    <t>Mueller, NC; Braun, J; Bruns, J; Cernik, M; Rissing, P; Rickerby, D; Nowack, B</t>
  </si>
  <si>
    <t>Mueller, Nicole C.; Braun, Juergen; Bruns, Johannes; Cernik, Miroslav; Rissing, Peter; Rickerby, David; Nowack, Bernd</t>
  </si>
  <si>
    <t>Application of nanoscale zero valent iron (NZVI) for groundwater remediation in Europe</t>
  </si>
  <si>
    <t>Nanoscale zero valent iron (NZVI) is emerging as a new option for the treatment of contaminated soil and groundwater targeting mainly chlorinated organic contaminants (e.g., solvents, pesticides) and inorganic anions or metals. The purpose of this article is to give a short overview of the practical experience with NZVI applications in Europe and to present a comparison to the situation in the USA. Furthermore, the reasons for the difference in technology use are discussed. The results in this article are based on an extensive literature review and structured discussions in an expert workshop with experts from Europe and the USA. The evaluation of the experiences was based on a SWOT (strength, weakness, opportunity, threat) analysis. There are significant differences in the extent and type of technology used between NZVI applications in Europe and the USA. In Europe, only three full-scale remediations with NZVI have been carried out so far, while NZVI is an established treatment method in the USA. Bimetallic particles and emulsified NZVI, which are extensively used in the USA, have not yet been applied in Europe. Economic constraints and the precautionary attitude in Europe raise questions regarding whether NZVI is a cost-effective method for aquifer remediation. Challenges to the commercialization of NZVI include mainly non-technical aspects such as the possibility of a public backlash, the fact that the technology is largely unknown to consultants, governments and site owners as well as the lack of long-term experiences. Despite these concerns, the results of the current field applications with respect to contaminant reduction are promising, and no major adverse impacts on the environment have been reported so far. It is thus expected that these trials will contribute to promoting the technology in Europe.</t>
  </si>
  <si>
    <t>Miroslav, Cernik/0000-0002-7554-020X; Nowack, Bernd/0000-0002-5676-112X</t>
  </si>
  <si>
    <t>10.1007/s11356-011-0576-3</t>
  </si>
  <si>
    <t>WOS:000299330800024</t>
  </si>
  <si>
    <t>Reus, JAWA; Leendertse, PC</t>
  </si>
  <si>
    <t>The environmental yardstick for pesticides: a practical indicator used in the Netherlands</t>
  </si>
  <si>
    <t>CROP PROTECTION</t>
  </si>
  <si>
    <t>XIVth International Plant Protection Congress (IPPC)</t>
  </si>
  <si>
    <t>JUL 25-30, 1999</t>
  </si>
  <si>
    <t>JERUSALEM, ISRAEL</t>
  </si>
  <si>
    <t>The environmental yardstick for pesticides has been developed as a tool for farmers to select pesticides with the least environmental impact and to quantify the impact of their use at the crop/farm level, regional level and national level. For each pesticide the yardstick assigns environmental impact points for the risk to water organisms, the risk of groundwater contamination and the risk to soil organisms. It is presently used in the Netherlands as a management tool for farmers and technical consultants, as a tool for monitoring the environmental performance of farmers, as a tool for setting standards for ecolabels and as a policy evaluation tool. (C) 2000 Elsevier Science Ltd. All rights reserved.</t>
  </si>
  <si>
    <t>0261-2194</t>
  </si>
  <si>
    <t>8-10</t>
  </si>
  <si>
    <t>10.1016/S0261-2194(00)00084-3</t>
  </si>
  <si>
    <t>WOS:000165301100017</t>
  </si>
  <si>
    <t>Rodriguez-Lemus, C; Valencia-Perez, LR; Pena-Aguilar, JM</t>
  </si>
  <si>
    <t>Rodriguez-Lemus, Claudia; Rodrigo Valencia-Perez, Luis; Pena-Aguilar, Juan Manuel</t>
  </si>
  <si>
    <t>Information Technology Applications to Agricultural Value Chain for Protected Agriculture's Producers</t>
  </si>
  <si>
    <t>TECNOLOGIA EN MARCHA</t>
  </si>
  <si>
    <t>This paper shows the importance of Information Technology (IT) as a consulting tool for medium and small scale of protected agriculture's producers. The need to access Internet portals or mobile applications are established, because these technologies provide information about market prices, climate and plague alerts, research centers, financing, government support, input and output suppliers. services, customer requirements, success stories, etc., in this way they can make decisions that allow them to project their future productions and increase their level of competitiveness; to avoid as much as possible intermediaries and obtain better profits. In addition, investment in IT's will help to producers, to gather complete, reliable, real-time information from various sources, joined with a good use of these, the uncertainty will decrease in small-scale of protected agriculture's producers. Several portals consulted on Internet we will present, as well as mobile applications and text message systems for cell phones developed in different countries by public and private institutions; they show information of some link in the agricultural value chain, of interest to producers. Unfortunately, this information we founded in different media and the consultants must navigate between these media, which involves investing time in the consultation; also they must have knowledge in the use of these technologies, so that you can create a complete vision to help you make decisions according to the information obtained.</t>
  </si>
  <si>
    <t>0379-3982</t>
  </si>
  <si>
    <t>2215-3241</t>
  </si>
  <si>
    <t>10.18845/tm.v31i1.3507</t>
  </si>
  <si>
    <t>WOS:000437041100015</t>
  </si>
  <si>
    <t>L'Roe, AW; Allred, SB</t>
  </si>
  <si>
    <t>L'Roe, Andrew W.; Allred, Shorna Broussard</t>
  </si>
  <si>
    <t>Thriving or Surviving? Forester Responses to Private Forestland Parcelization in New York State</t>
  </si>
  <si>
    <t>SMALL-SCALE FORESTRY</t>
  </si>
  <si>
    <t>Consulting forester business practices are challenged by significant decreases in the sizes of private forest properties and the changes in landowner values that accompany forestland parcelization. Though researchers have discussed the potential ways entrepreneurial foresters could adapt to these new ownership patterns and landscape dynamics, actual responses by foresters working in parcelizing landscapes are largely undocumented. We conducted twenty in-depth interviews with foresters working in New York State to determine (1) how foresters have experienced parcelization of properties they work with, (2) what challenges are associated with forestry projects on decreasing property sizes, and (3) what kinds of changes foresters are making to adapt to decreasing property sizes. We found that foresters across the state observe decreasing sizes of forest properties and see values of forest owners shifting beyond timber production, although most do not consider these changes to be the most urgent challenges to sustainable forestry and profitable forest consulting. Professional foresters are reacting to parcelization in diverse ways; while some are trying entrepreneurial approaches to reach new clients or offer different services, others are primarily interested in maintaining their traditional practices and roles. These findings indicate that strictly relying on independent entrepreneurial responses by private foresters may not be sufficient to close the gap between the historical role of consulting foresters and the trajectory of modern forest parcels. Additional measures like specialized training and policy changes may also be required to address the management challenges associated with forestland parcelization.</t>
  </si>
  <si>
    <t>1873-7617</t>
  </si>
  <si>
    <t>10.1007/s11842-012-9216-0</t>
  </si>
  <si>
    <t>WOS:000324552000002</t>
  </si>
  <si>
    <t>Eccles, RG; Vollbracht, M</t>
  </si>
  <si>
    <t>Eccles, Robert G.; Vollbracht, Matthias</t>
  </si>
  <si>
    <t>Media reputation of the insurance industry: An urgent call for strategic communication management</t>
  </si>
  <si>
    <t>GENEVA PAPERS ON RISK AND INSURANCE-ISSUES AND PRACTICE</t>
  </si>
  <si>
    <t>The power of the media has become a parameter for business success in recent years, as media reality - the image of reality that is created by the media - has become a key factor influencing all of a company's stakeholders. These include customers, suppliers, employees, politicians, regulators and the general public. Based on a long-term analysis of German media coverage ( 1998 - 2006) and an international comparative analysis of media coverage in the U. K., France, Spain, Italy, Austria, the U. S. and Asia (2004/2005), the following article outlines the changing reputational risk environment regarding the insurance industry. This analysis shows why companies must take a proactive stance on corporate communications. This is confirmed by the experience of Media Tenor, an international media research and consulting institute and Perception Partners Inc., a consulting firm specializing in reputational risk.</t>
  </si>
  <si>
    <t>1018-5895</t>
  </si>
  <si>
    <t>10.1057/palgrave.gpp.2510086</t>
  </si>
  <si>
    <t>WOS:000241241500003</t>
  </si>
  <si>
    <t>Jaccard, M</t>
  </si>
  <si>
    <t>Jaccard, Mark</t>
  </si>
  <si>
    <t>Modeling Energy Use and Technological Change for Policy Makers: Campbell Watkins' Contribution as a Researcher-Practitioner</t>
  </si>
  <si>
    <t>ENERGY JOURNAL</t>
  </si>
  <si>
    <t>As an energy-economics modeler, who collaborated with academics while also consulting to government and industry, Campbell Watkins was especially interested in the empirical relationship between energy inputs and economic output. His skills were perfectly suited to this pressing research issue, which first emerged in the mid-1970s as the energy-capital substitution controversy. As his publication record shows, he worked with leading researchers in the development and econometric testing of dynamic specifications of this relationship. But he conducted this work always with a concern for how the research might be useful for immediate policy decisions. Today, the key policy question is the extent to which humanity can reduce its energy-related greenhouse gas emissions at reasonable cost. A new generation of hybrid, top-down/bottom-up models attempts to address the objectives Campbell listed in his widely circulated 1992 book chapter, particularly his point that technological change should not be treated as completely exogenous, but at least in part as a very long-run response to price changes and policies. But while current energy models are increasingly constructed to incorporate this feedback effect - notably those models used for simulating climate policies - the empirical estimation of their key parameters is still in its infancy. As Campbell noted in his characteristic dry humor, the scope for research remains undiminished. More hard-nosed researcher-practitioners like Campbell would certainly help.</t>
  </si>
  <si>
    <t>0195-6574</t>
  </si>
  <si>
    <t>WOS:000271390800004</t>
  </si>
  <si>
    <t>Hoggett, P</t>
  </si>
  <si>
    <t>Hoggett, Paul</t>
  </si>
  <si>
    <t>THE GRIP OF THE IDEAL</t>
  </si>
  <si>
    <t>BRITISH JOURNAL OF PSYCHOTHERAPY</t>
  </si>
  <si>
    <t>The ideal, an unrealizable state of perfection where reality does not apply, is a familiar phenomenon in the consulting room and in the wider society. Its grip is immensely powerful and it is connected to two significant negative emotions, shame and ressentiment (a particular form of grievance in which the grievance is nursed). This article examines whether these two different emotions arise from two different kinds of relation we take up to the ideal. Shame arising when we fail to be the ideal, ressentiment arising when we fail to have or possess the ideal. There are also good grounds for believing that each emotion is connected to a distinctive form of splitting, whilst shame seems to be governed by the law of all or nothing, ressentiment is governed by the law of right or wrong. Western civilization seems to be in thrall to the ideal, that is, to a place where there are no limitations to the possible and where time and loss do not apply. With the climate emergency deepening every month the question remains, when will we Moderns wake up to reality?</t>
  </si>
  <si>
    <t>0265-9883</t>
  </si>
  <si>
    <t>1752-0118</t>
  </si>
  <si>
    <t>10.1111/bjp.12546</t>
  </si>
  <si>
    <t>WOS:000531177400001</t>
  </si>
  <si>
    <t>Steduto, P; Hsiao, TC; Raes, D; Fereres, E</t>
  </si>
  <si>
    <t>Steduto, Pasquale; Hsiao, Theodore C.; Raes, Dirk; Fereres, Elias</t>
  </si>
  <si>
    <t>AquaCrop-The FAO Crop Model to Simulate Yield Response to Water: I. Concepts and Underlying Principles</t>
  </si>
  <si>
    <t>AGRONOMY JOURNAL</t>
  </si>
  <si>
    <t>Symposium on Yield Response to Water - Examination of the Role of Crop Models in Predicting Water Use Efficiency</t>
  </si>
  <si>
    <t>NOV 04-08, 2007</t>
  </si>
  <si>
    <t>New Orleans, LA</t>
  </si>
  <si>
    <t>This article introduces the FAO crop model AquaCrop. It simulates attainable yields of major herbaceous crops as a function of water consumption under rainfed, supplemental, deficit, and full irrigation conditions. The growth engine of AquaCrop is water-driven, in that transpiration is calculated first and translated into biomass using a conservative, crop-specific parameter: the biomass water productivity, normalized for atmospheric evaporative demand and air CO, concentration. The normalization is to make AquaCrop applicable to diverse locations and seasons. Simulations are performed on thermal time, but can be on calendar time, in daily time-steps. The model uses canopy ground cover instead of leaf area index (LAI) as the basis to calculate transpiration and to separate out soil evaporation from transpiration. Crop yield is calculated as the product of biomass and harvest index (HI). At the start of yield formation period, HI increases linearly with time after a lag phase, until near physiological maturity. Other than for the yield, there is no biomass partitioning into the various organs. Crop responses to water deficits are simulated with four modifiers that are functions of fractional available soil water modulated by evaporative demand, based on the differential sensitivity to water stress of four key plant processes: canopy expansion, stomatal control of transpiration, canopy senescence, and HI. The HI can be modified negatively or positively, depending on stress level, timing, and canopy duration. AquaCrop uses a relatively small number of parameters (explicit and mostly intuitive) and attempts to balance simplicity, accuracy, and robustness. The model is aimed mainly at practitioner-type end-users such as those working for extension services, consulting engineers, governmental agencies, nongovernmental organizations, and various kinds of farmers associations. It is also designed to fit the need of economists and policy specialists who use simple models for planning and scenario analysis.</t>
  </si>
  <si>
    <t>Fereres, Elias/R-4451-2019</t>
  </si>
  <si>
    <t>0002-1962</t>
  </si>
  <si>
    <t>1435-0645</t>
  </si>
  <si>
    <t>10.2134/agronj2008.0139s</t>
  </si>
  <si>
    <t>WOS:000265899200002</t>
  </si>
  <si>
    <t>Gainetdinova, EN; Zalyaev, RI</t>
  </si>
  <si>
    <t>Gainetdinova, Elvira N.; Zalyaev, Rustem I.</t>
  </si>
  <si>
    <t>CONFLICT MANAGEMENT AS AN ELEMENT OF ACTIVITY OF THE CONSULTING ORGANIZATION</t>
  </si>
  <si>
    <t>AD ALTA-JOURNAL OF INTERDISCIPLINARY RESEARCH</t>
  </si>
  <si>
    <t>The work is devoted to the study of the specifics of conflict management methods application by consulting organizations in the course of rendering professional services to small business entities. The relevance of the research topic is due to the fact that in the modern society the intellectual work product is becoming more and more important, what can be applied in solving production problems, topical management tasks and providing the foundations for the functioning of an organization At the same time, there are actively developed methods and procedures of effective management of various and negative, at first sight, social phenomena, such as conflict. One of the conducts for conflict management intellectual technologies is the consulting, which ensures the reproduction of qualitatively new services and products, and is the focus of practical knowledge and experience that are necessary for business and government structures. As practice of the interaction process between subjects in the business environment shows, a conflict is a socially organized process that is deliberately initiated by members of society to resolve any contradiction which complicates the implementation of the main interests. Thus, the conflict has the property of harmonizing the current social development. In view of this, the authors have carried out a comprehensive study of conflict management within the framework of implementation of consulting activities, the ultimate goal of which is to assist in identifying and overcoming negative aspects of the contradictions that have arisen, at the same time, designing and implementing a constructive scenario for the development of conflict situations among business entities.</t>
  </si>
  <si>
    <t>Zalyaev, Rustem/Y-9489-2018</t>
  </si>
  <si>
    <t>1804-7890</t>
  </si>
  <si>
    <t>WOS:000452964200068</t>
  </si>
  <si>
    <t>Huyghe, A; Knockaert, M</t>
  </si>
  <si>
    <t>Huyghe, Annelore; Knockaert, Mirjam</t>
  </si>
  <si>
    <t>The influence of organizational culture and climate on entrepreneurial intentions among research scientists</t>
  </si>
  <si>
    <t>JOURNAL OF TECHNOLOGY TRANSFER</t>
  </si>
  <si>
    <t>Over the past decades, universities have increasingly become involved in entrepreneurial activities. Despite efforts to embrace their 'third mission', universities still demonstrate great heterogeneity in terms of their involvement in academic entrepreneurship. This papers adopts an institutional perspective to understand how organizational characteristics affect research scientists' entrepreneurial intentions. Specifically, we study the impact of university culture and climate on entrepreneurial intentions, including intentions to spin off a company, to engage in patenting or licensing and to interact with industry through contract research or consulting. Using a sample of 437 research scientists from Swedish and German universities, our results reveal that the extent to which universities articulate entrepreneurship as a fundamental element of their mission fosters research scientists' intentions to engage in spin-off creation and intellectual property rights, but not industry-science interaction. Furthermore, the presence of university role models positively affects research scientists' propensity to engage in entrepreneurial activities, both directly and indirectly through entrepreneurial self-efficacy. Finally, research scientists working at universities which explicitly reward people for 'third mission' related output show higher levels of spin-off and patenting or licensing intentions. This study has implications for both academics and practitioners, including university managers and policy makers.</t>
  </si>
  <si>
    <t>Knockaert, Mirjam/0000-0002-7738-8838</t>
  </si>
  <si>
    <t>0892-9912</t>
  </si>
  <si>
    <t>1573-7047</t>
  </si>
  <si>
    <t>10.1007/s10961-014-9333-3</t>
  </si>
  <si>
    <t>WOS:000348192600007</t>
  </si>
  <si>
    <t>Vance, ED; Cozell, BH; Chappell, HN; Duzan, HW; Jacobson, MA; Johnson, JR; Rakestraw, JL</t>
  </si>
  <si>
    <t>Vance, Eric D.; Cozell, Ben H.; Chappell, H. Nick; Duzan, Howard W., Jr.; Jacobson, Marshall A.; Johnson, John R.; Rakestraw, James L.</t>
  </si>
  <si>
    <t>Enhancing Forest Technology: Research Priorities of the Southern Forest Sector</t>
  </si>
  <si>
    <t>SOUTHERN JOURNAL OF APPLIED FORESTRY</t>
  </si>
  <si>
    <t>The southern forest sector has undergone dramatic changes over the post decade, including shifts in land ownership (from integrated forest product companies to organizations with different objectives and time horizons) and losses of forestland to development. The ability to support sustainable biomass production for traditional and emerging markets is at risk because of a decline in industry research infrastructure and because of dilution of government agency and university forest productivity research with other priorities. To assess forest productivity research priorities, a survey was distributed to integrated forest products companies, real estate investment trusts, timber investment management organizations, and consulting organizations based in the South. Environmental services were a top priority for all organization types, cited as a high or very high priority by 74% of respondents, followed by forest management (64%), improving wood quality delivered to mills (57%), and biotechnology and tree improvement (39%). The highest priority individual research needs were to quantify the potential of managed forests to sequester carbon and sustain water quality and biodiversity and to update growth and yield models to account for changing stand, genetic, management, and environmental factors. Respondents rely mostly on university cooperatives and industrial research organizations for both basic and applied/technology transfer research.</t>
  </si>
  <si>
    <t>0148-4419</t>
  </si>
  <si>
    <t>10.1093/sjaf/34.1.38</t>
  </si>
  <si>
    <t>WOS:000275448700006</t>
  </si>
  <si>
    <t>Gonzalez, LML; Lizarraga, JMS; Aranguren, VD; Tabares, JLM</t>
  </si>
  <si>
    <t>Proposal for the use of renewable energy in the La Rioja autonomous community (LRAC) (Spain)</t>
  </si>
  <si>
    <t>Renewable energy represents, approximately, only 10% of the final energy consumption for the Autonomous Community of La Rioja. Nevertheless great use is made of it, with a series of exceptional benefits such as: the decrease in external energy dependence; the boost to local and regional component manufacturing industries; the promotion of regional engineering and consulting services specialized in the use of renewable energy; the development of R&amp;D: the decrease in impact from electricity production and transformation; the increase in the level of services for the rural population; the creation of employment; etc. [1], [2]. To reach these favorable effects a series of actions are necessary, among which we should highlight the following: the creation of an appropriate climate for the development of R &amp; D; training of technicians for the design, production and maintenance of equipment. motivation for setting up a new market; appropriate financing; fostering of appropriate technologies: practical demonstration of results; etc. With appropriate policies, the Autonomous Community of La Rioja could reach an approximate renewable energy use of more than 20% of final energy consumption over the next 11 years. (C) 2000 Published by Elsevier Science Ltd. All rights reserved.</t>
  </si>
  <si>
    <t>10.1016/S0960-1481(99)00111-1</t>
  </si>
  <si>
    <t>WOS:000085639700003</t>
  </si>
  <si>
    <t>Canibano, A</t>
  </si>
  <si>
    <t>Canibano, Almudena</t>
  </si>
  <si>
    <t>Workplace flexibility as a paradoxical phenomenon: Exploring employee experiences</t>
  </si>
  <si>
    <t>How do employees of dynamic consulting firms deal with their demanding professional environment, where they must be accessible, responsive and flexible seemingly around the clock? This case study of a large consulting firm explores employee experiences of flexible working through the lens of paradox. It finds that flexible working far exceeds the set of approved flexible work arrangements and practices enshrined in formal HR policies. Rather, individuals develop varied perceptions, expectations and ways of organizing flexible working, which emerge and evolve as they accumulate experience in a context where client-focused responsiveness is key. The article argues that flexible working is part of the deeper psychological contract between professional employees and the firm. This allows us to better understand how the paradoxical tensions that characterize workplace flexibility are experienced as evolving combinations of contributions and inducements. Employees manage these tensions in different ways, including vacillating between polar opposites and integrating contradictory elements, creating an overall mental picture of their flexible working experience.</t>
  </si>
  <si>
    <t>10.1177/0018726718769716</t>
  </si>
  <si>
    <t>WOS:000456399400012</t>
  </si>
  <si>
    <t>Sutherland, WJ; Armstrong-Brown, S; Armsworth, PR; Brereton, T; Brickland, J; Campbell, CD; Chamberlain, DE; Cooke, AI; Dulvy, NK; Dusic, NR; Fitton, M; Freckleton, RP; Godfray, HCJ; Grout, N; Harvey, HJ; Hedley, C; Hopkins, JJ; Kift, NB; Kirby, J; Kunin, WE; Macdonald, DW; Marker, B; Naura, M; Neale, AR; Oliver, T; Osborn, D; Pullin, AS; Shardlow, MEA; Showler, DA; Smith, PL; Smithers, RJ; Solandt, JL; Spencer, J; Spray, CJ; Thomas, CD; Thompson, J; Webb, SE; Yalden, DW; Watkinson, AR</t>
  </si>
  <si>
    <t>Sutherland, William J.; Armstrong-Brown, Susan; Armsworth, Paul R.; Brereton, Tom; Brickland, Jonathan; Campbell, Colin D.; Chamberlain, Daniel E.; Cooke, Andrew I.; Dulvy, Nicholas K.; Dusic, Nicholas R.; Fitton, Martin; Freckleton, Robert P.; Godfray, H. Charles J.; Grout, Nick; Harvey, H. John; Hedley, Colin; Hopkins, John J.; Kift, Neil B.; Kirby, Jeff; Kunin, William E.; Macdonald, David W.; Marker, Brian; Naura, Marc; Neale, Andrew R.; Oliver, Tom; Osborn, Dan; Pullin, Andrew S.; Shardlow, Matthew E. A.; Showler, David A.; Smith, Paul L.; Smithers, Richard J.; Solandt, Jean-Luc; Spencer, Jonathan; Spray, Chris J.; Thomas, Chris D.; Thompson, Jim; Webb, Sarah E.; Yalden, Derek W.; Watkinson, Andrew R.</t>
  </si>
  <si>
    <t>The identification of 100 ecological questions of high policy relevance in the UK</t>
  </si>
  <si>
    <t>JOURNAL OF APPLIED ECOLOGY</t>
  </si>
  <si>
    <t>1. Evidence-based policy requires researchers to provide the answers to ecological questions that are of interest to policy makers. To find out what those questions are in the UK, representatives from 28 organizations involved in policy, together with scientists from 10 academic institutions, were asked to generate a list of questions from their organizations. 2. During a 2-day workshop the initial list of 1003 questions generated from consulting at least 654 policy makers and academics was used as a basis for generating a short list of 100 questions of significant policy relevance. Short-listing was decided on the basis of the preferences of the representatives from the policy-led organizations. 3. The areas covered included most major issues of environmental concern in the UK, including agriculture, marine fisheries, climate change, ecosystem function and land management. 4. The most striking outcome was the preference for general questions rather than narrow ones. The reason is that policy is driven by broad issues rather than specific ones. In contrast, scientists are frequently best equipped to answer specific questions. This means that it may be necessary to extract the underpinning specific question before researchers can proceed. 5. Synthesis and applications. Greater communication between policy makers and scientists is required in order to ensure that applied ecologists are dealing with issues in a way that can feed into policy. It is particularly important that applied ecologists emphasize the generic value of their work wherever possible.</t>
  </si>
  <si>
    <t>0021-8901</t>
  </si>
  <si>
    <t>1365-2664</t>
  </si>
  <si>
    <t>10.1111/j.1365-2664.2006.01188.x</t>
  </si>
  <si>
    <t>WOS:000238487200002</t>
  </si>
  <si>
    <t>Howsawi, AA; Althageel, MF; Mohaideen, NK; Khan, MS; Alzahrani, AS; Alkhadir, MA; Alaqeel, SM; Alkathiri, MA; Hawsawi, RA</t>
  </si>
  <si>
    <t>Howsawi, Abdulaziz A.; Althageel, Mamdouh F.; Mohaideen, Noorulzaman K.; Khan, Mohammad S.; Alzahrani, Abdulaziz S.; Alkhadir, Mohamed A.; Alaqeel, Sulaiman M.; Alkathiri, Moath A.; Hawsawi, Rayan A.</t>
  </si>
  <si>
    <t>Application of the Kano model to determine quality attributes of patient's care at the primary healthcare centers of the Ministry of Health in Saudi Arabia, 2019</t>
  </si>
  <si>
    <t>JOURNAL OF FAMILY AND COMMUNITY MEDICINE</t>
  </si>
  <si>
    <t>BACKGROUND: Patient satisfaction is the ultimate goal in any healthcare system. Together with other traditional quality indicators, patient satisfaction must be addressed to improve the quality of health care. The strategic objectives of the Ministry of Health (MOH) formulated by the Saudi National Transformation Program are to improve the quality of healthcare services, expand privatization of governmental services, and create an attractive environment for both local and international investors. The objective of this study was to apply Kano model to determine quality attributes of patient care at primary healthcare centers in Saudi Arabia. MATERIALS AND METHODS: This cross-sectional study was conducted at primary healthcare centers (PHCs) under the MOH in Saudi Arabia between October 2018 and February 2019. Study included all Saudi adult patients aged 18 years or older attending the selected PHCs of MOH. Patients who had difficulty in comprehending were excluded. Data was collected by using a structured questionnaire based on the Kano model for the assessment of patients' expectations of the quality of care and provided services. Data was entered and analysed using SPSS. Chi-square test and t-test were used to test for statistical significance. RESULTS: The study included a total of 243 patients from 10 PHCs, 51% from consulting PHCs and 49% from nonconsulting PHCs. Response rate was 97.2%, and 44.9% respondents were males. Of the 18 attributes chosen for our study, 14 were one-dimensional, three belonged to the attractive type, and one was indifferent type. The top three one-dimensional attributes were friendliness and respectfulness of the clinic receptionist, friendliness and respectfulness of the nurses and laboratory staff, and care and attention of the doctor. CONCLUSION: The investors and policymakers need to turn their attention to assisting in the privatization of governmental services by creating a good climate for both local and international investors.</t>
  </si>
  <si>
    <t>2230-8229</t>
  </si>
  <si>
    <t>2229-340X</t>
  </si>
  <si>
    <t>10.4103/jfcm.JFCM_92_20</t>
  </si>
  <si>
    <t>WOS:000577092000004</t>
  </si>
  <si>
    <t>Vrahnakis, M; Nasiakou, S; Kazoglou, Y; Blanas, G</t>
  </si>
  <si>
    <t>Vrahnakis, Michael; Nasiakou, Stamatia; Kazoglou, Yannis; Blanas, George</t>
  </si>
  <si>
    <t>A conceptual business model for an agroforestry consulting company</t>
  </si>
  <si>
    <t>AGROFORESTRY SYSTEMS</t>
  </si>
  <si>
    <t>While socioeconomic and environmental benefits of agroforestry are widely appreciated in the tropics, they were almost neglected from the plans for agronomic development implemented up to early 2000 as set by major policy schemes within the EU. However, such benefits had supported the rural economies of the Mediterranean EU countries-Greece included-in the past. Nowadays several unorganized traditional agroforestry systems persist, rather as remnants, and occupy extensive areas in Greece. Given its recognizable paramount importance as a lever for rural development, the EU included agroforestry in the forthcoming programming period of the Common Agricultural Policy (CAP 2014-2020) as a greening, agro-environmental tool. While the institutional environment in Greece and the EU generally favours the initiation of agroforestry projects, farmers do not have such experience. The present paper sets as its major goals to set up and explore the major characteristics of a Business Model for an agroforestry consulting company (ACC) in Greece, by applying the Pillar/Blocks methodology of Alexander Osterwalder and his co-workers. Details on Customer Value Proposition, Customer Segmentation and Relationship, necessary Resources, Costs and Revenue streams are presented. Greening primary production, sequence of harvests, additional income, prospects for entrepreneurship, and transfer of EU provisions to the farmers are the main Value Propositions of the ACC. Dedicated personal assistance and co-creation are the relationship types expected to be developed with its customers. Key partners are local representatives, academic specialists and stakeholders, while key suppliers are tubex manufacturers, software providers and NGOs. Main revenue streams for the ACC are usage fees, subscription fees and advertising. The establishment of such a consulting company in a central location of the country, such as the region of Thessaly, where the agri-market environment appears promising, is expected to generate additional revenues for farmers that will introduce and/or maintain agroforestry systems and cause major improvements in an area with decreasing soil and water quality and deteriorating landscape values due to intensification of farming over the last decades.</t>
  </si>
  <si>
    <t>0167-4366</t>
  </si>
  <si>
    <t>1572-9680</t>
  </si>
  <si>
    <t>10.1007/s10457-015-9848-0</t>
  </si>
  <si>
    <t>WOS:000373298200003</t>
  </si>
  <si>
    <t>de Paula, N; Arditi, D; Melhado, S</t>
  </si>
  <si>
    <t>de Paula, Nathalia; Arditi, David; Melhado, Silvio</t>
  </si>
  <si>
    <t>Managing sustainability efforts in building design, construction, consulting, and facility management firms</t>
  </si>
  <si>
    <t>Purpose - The purpose of this paper is to investigate sustainability efforts in the managerial processes of design, consulting, construction, and facility management firms and to identify the differences between these parties. Design/methodology/approach - A questionnaire survey was administered to design, consulting, construction, and facility management firms in the USA to seek information about the state of sustainability efforts in these firms relative to strategic planning, marketing, business management, financial management, organizational structure, and people management. chi(2) tests were performed on the data collected to determine if statistically significant differences exist between the project participants relative to sustainability efforts. Findings - Sustainability efforts are related to a firm's strategic positioning, reputation and experience, and hiring/employment policies, while profit margins are not higher in sustainable projects compared to traditional projects. Statistically significant differences were detected in three of the six items investigated, indicating conflicting interests among the parties. Research limitations/implications - The study's limitation is that it is limited to sustainability efforts in the USA. Practical implications - It is concluded that sustainability demands have changed the nature of design, construction, and operation of buildings in ways that deserve special attention on the part of all parties involved. Originality/value - The firms that participate in building construction projects need to adopt management practices that accommodate sustainable building design, construction, and operation in order to remain competitive in a market where demand for environmental sustainability has grown significantly in recent years.</t>
  </si>
  <si>
    <t>10.1108/ECAM-07-2016-0165</t>
  </si>
  <si>
    <t>WOS:000415706200011</t>
  </si>
  <si>
    <t>Mutekanga, FP; Kessler, A; Leber, K; Visser, S</t>
  </si>
  <si>
    <t>Mutekanga, Fiona Proscovia; Kessler, Aad; Leber, Katia; Visser, Saskia</t>
  </si>
  <si>
    <t>The Use of Stakeholder Analysis in Integrated Watershed Management</t>
  </si>
  <si>
    <t>MOUNTAIN RESEARCH AND DEVELOPMENT</t>
  </si>
  <si>
    <t>In the Ngenge watershed, at Mt. Elgon in the eastern Ugandan highlands, agricultural practices cause serious soil erosion problems and subsequent decrease in soil and water quality. Attempts to manage soil erosion through policy interventions have not been successful, because existing policies and legislation for natural resource management are inadequate and often formulated without consulting local communities. In the Ngenge watershed, an integrated watershed management (IWM) program was initiated to foster sustainable land and water management solutions. Experience shows that successes in IWM programs depend on effective participation by all relevant groups of stakeholders. The present study investigates the usability of a stakeholder analysis (SA) and how it has to be linked with participatory problem identification and participatory formulation of action and work plans to build a base for effective IWM. The SA considered the following criteria: (1) stakeholders' commitment to implement IWM, (2) their power to influence policy-making and implementation processes, and (3) the expected impact of the IWM program on the stakeholders. The SA allowed identification of key groups of stakeholders who participated in workshops and jointly developed concrete action and work plans. These workshop outputs, together with the positive feedback of the stakeholders and the commitment of policy-makers to continue the process, are good indicators that SA is a useful means for supporting the development of IWM strategies.</t>
  </si>
  <si>
    <t>Kessler, Aad/B-6163-2014</t>
  </si>
  <si>
    <t>Kessler, Aad/0000-0002-0954-1896; Visser, Saskia/0000-0002-2654-3041</t>
  </si>
  <si>
    <t>0276-4741</t>
  </si>
  <si>
    <t>10.1659/MRD-JOURNAL-D-12-00031.1</t>
  </si>
  <si>
    <t>WOS:000319669300002</t>
  </si>
  <si>
    <t>McKinnon, A</t>
  </si>
  <si>
    <t>McKinnon, Alan</t>
  </si>
  <si>
    <t>The present and future land requirements of logistical activities</t>
  </si>
  <si>
    <t>The dominant logistical activities of storage, freight transport and materials handling require substantial amounts of land. It is estimated, for example, that in 2006 warehousing occupied around 23,500 ha in England and Wales. This paper examines the changing demand for land from the logistics sector. It begins by classifying logistics-related land uses and reviewing available statistics front government sources and property consultants, most of which apply to warehousing. Recent trends in warehouse development are discussed, particularly the centralisation of floorspace in a smaller number of larger distribution centres. Previous attempts to forecast the future land requirements of logistics have assumed a close correlation between warehouse floorspace and economic growth. This paper argues that this relationship is likely to be distorted by several factors over the next few decades. A model is presented which shows the interaction between a range of factors likely to influence future logistics land requirements. These include the off-shoring of manufacturing, the rebalancing of logistical cost trade-offs in ail era of higher oil prices and lower inventory costs, modal shift to rail and water, the growth of online retailing, advances in warehouse technology, the reconfiguration of the waste supply chain and the adaptation of logistical systems to the effects of climate change. The main section of the paper examines the possible effects of each of these factors on the amount of land that will be needed to support logistical activities, and its spatial distribution. (C) 2009 Queen's Printer and Controller of HMSO. Published by Elsevier Ltd. All rights reserved.</t>
  </si>
  <si>
    <t>McKinnon, Alan/R-6846-2019</t>
  </si>
  <si>
    <t>McKinnon, Alan/0000-0002-6480-7984</t>
  </si>
  <si>
    <t>S293</t>
  </si>
  <si>
    <t>S301</t>
  </si>
  <si>
    <t>10.1016/j.landusepol.2009.08.014</t>
  </si>
  <si>
    <t>WOS:000275223500032</t>
  </si>
  <si>
    <t>O'Hare, M</t>
  </si>
  <si>
    <t>O'Hare, Michael</t>
  </si>
  <si>
    <t>Environmental agencies' funding sources should follow their diverse business models</t>
  </si>
  <si>
    <t>POLICY STUDIES JOURNAL</t>
  </si>
  <si>
    <t>Environmental agencies provide a variety of regulatory, consulting, analysis, and other services that are typically funded by a mix of mechanisms including taxes, fees, contributions, and earmarked streams. Public deliberation in this area mostly attends to the levels of funding of these services, with inadequate attention to the relationship between means and funding adequacy, or between means and agency performance. The characteristic business models of such agencies provide useful guidance regarding appropriate funding mechanisms. In particular, five different such models are commonly found, each with strong analogies to other familiar kinds of enterprise: (i) Agriculture: the Wildlife Ranch; (ii) Habitat; (iii) Maintenance: the Park; (iv) Consulting, education, and permits: the Think Tank; (v) Risk Spreading: Insurance; and (vi) Enforcement: The Police. Each of these models has strong although not usually decisive implications for the type of funding mechanism best suited to it. Budget analysis and internal accounting that incorporates these models would improve agencies' practice and their claims on appropriate funding. The analysis uses the California Department of Fish and Game as an example.</t>
  </si>
  <si>
    <t>O'Hare, Michael/0000-0002-3288-9065</t>
  </si>
  <si>
    <t>0190-292X</t>
  </si>
  <si>
    <t>1541-0072</t>
  </si>
  <si>
    <t>10.1111/j.1541-0072.2006.00189.x</t>
  </si>
  <si>
    <t>WOS:000242866800004</t>
  </si>
  <si>
    <t>Stuvoy, K; Dale, B</t>
  </si>
  <si>
    <t>Stuvoy, Kirsti; Dale, Brigt</t>
  </si>
  <si>
    <t>The Arctic Council Health between Science and Politics</t>
  </si>
  <si>
    <t>OSTEUROPA</t>
  </si>
  <si>
    <t>The Arctic Council is the most important institution for governing beyond the nation-states in the far north. It makes no legally binding decisions, but it influences policy in the Arctic with the basic knowledge that its working groups provide. It is especially successful in monitoring the environment. However, in the field of health management, which the council has addressed in recent years, the limits of scientific political consulting can be seen. In the end, the council has to make political decisions in order to endure as an influential institution in the Arctic.</t>
  </si>
  <si>
    <t>Stuvoy, Kirsti/0000-0002-0727-1677</t>
  </si>
  <si>
    <t>0030-6428</t>
  </si>
  <si>
    <t>2509-3444</t>
  </si>
  <si>
    <t>WOS:000209059600022</t>
  </si>
  <si>
    <t>Lehmann, S; Head, P</t>
  </si>
  <si>
    <t>Lehmann, Steffen; Head, Peter</t>
  </si>
  <si>
    <t>CONVERSATION WITH THE ENGINEER: BEYOND GREEN BUILDINGS-ENTERING THE ECOLOGICAL AGE</t>
  </si>
  <si>
    <t>JOURNAL OF GREEN BUILDING</t>
  </si>
  <si>
    <t>Arup, the global design, engineering, and business consultancy, is the creative force behind many of the world's most innovative and sustainable buildings and transport and civil engineering projects. Founded over 60 years ago, Arup has operated in China for more than three decades, and almost a quarter of their worldwide staff of 9,000 is based in Hong Kong and China. Arup was initially commissioned by the Shanghai Industrial Investment Corporation in 2006 to put forward concept proposals for a new sustainable city: Wanzhuang Eco-City, located in Hebei Province. Plans for the 80 sq km site are now being guided by a Development Strategy, the Preliminary Control Plan and Sustainability Design Guidelines. British engineer Peter Head has been a director at Arup since 2004 and is based in London. He is chairman of global planning and leads the company's planning and integrated urbanism business, which includes development planning, economics and policy, integrated urbanism, transport and environmental consulting and sustainable development. In his early career, Peter worked at the forefront of steel bridge technology, and in 1998 he was awarded an OBE for his services to bridge engineering. He is also chairman of the Steel Construction Institute. Peter was appointed a Commissioner on the London Sustainable Development Commission in 2002, representing the construction sector. There, he was a member of the group that drafted the Sustainable Development Framework for London, which led an initiative to create a voluntary code of practice for sustainable planning, design, and construction of London's built environment. For the last decade or so, Peter has been dedicated to overthrowing the notion that urbanization is inevitably the fast track to environmental collapse. Specifically, he is fighting to ensure that a growing number of the world's mega cities, and the associated mega projects, embrace sustainability principles from the outset. From 2004 to 2008 he was project director for the Dongtan Eco-City project near Shanghai, a project that has recently stalled. Over the last five years, Peter Head has lectured all over the world on sustainable development and the transformation of cities. He gave the 2008-9 Brunel Lecture Series for the Institution of Civil Engineers, titled Entering the Ecological Age, which he presented in twenty countries. The Brunel Lecture looked, in detail, as to whether there is a model that would enable 9 billion people to live sustainably on Earth in 2050. It asked which policies and investments would be needed to achieve this and whether it could be done without damaging the economy. In focusing on this ecological transition Peter developed retrofit scenarios for existing buildings. Steffen Lehmann met with Peter Head at the IGBC Conference in Singapore in October 2009 ( where they were both speakers) that discussed the world crises caused by climate change, food and water shortages, and resource constraint problems. Steffen asked Peter what the planner's and engineer's role will be in the cities' transformation to sustainable urbanism. Particularly, how such urban concepts and technologies could be scaled to fit the world's most populous country, China? Here are excerpts from their conversation.</t>
  </si>
  <si>
    <t>1552-6100</t>
  </si>
  <si>
    <t>10.3992/jgb.5.3.43</t>
  </si>
  <si>
    <t>WOS:000289345300004</t>
  </si>
  <si>
    <t>Newell, D; Sandstrom, A; Soderholm, P</t>
  </si>
  <si>
    <t>Newell, David; Sandstrom, Annica; Soderholm, Patrik</t>
  </si>
  <si>
    <t>Network management and renewable energy development: An analytical framework with empirical illustrations</t>
  </si>
  <si>
    <t>ENERGY RESEARCH &amp; SOCIAL SCIENCE</t>
  </si>
  <si>
    <t>The promotion of renewable energy is an essential component of energy and climate policies, but it is increasingly recognized that the transition toward an increased use of renewable energy sources constitutes a complex socio-political process. Policy is manifested in multi-actor networks beyond formal hierarchies and must therefore build on a comprehensive empirical understanding of the local collaboration processes that make investments in renewable energy projects possible. The objectives of this article are to: (a) propose an analytical framework within which the local development processes leading to renewable energy investments can be understood, in particular emphasizing the management of the relevant actor networks; and (b) provide empirical illustrations of the framework based on existing research. The article argues that, based on network management theory, some network structures can be expected to be more successful than others in facilitating renewable energy development, and we recognize the ways in which networks and their structure tend to be placed within certain institutional contexts of rules. By consulting selected research on wind power development at the local level we illustrate the added value of the proposed framework, and outline the seeds of a future research agenda. (C) 2016 Elsevier Ltd. All rights reserved.</t>
  </si>
  <si>
    <t>2214-6296</t>
  </si>
  <si>
    <t>2214-6326</t>
  </si>
  <si>
    <t>10.1016/j.erss.2016.09.005</t>
  </si>
  <si>
    <t>WOS:000396395200018</t>
  </si>
  <si>
    <t>Gomez-Barroso, JL; Feijoo, C; Karnitis, E</t>
  </si>
  <si>
    <t>Gomez-Barroso, Jose Luis; Feijoo, Claudio; Karnitis, Edvins</t>
  </si>
  <si>
    <t>The European policy for the development of an information society: the right path?</t>
  </si>
  <si>
    <t>JCMS-JOURNAL OF COMMON MARKET STUDIES</t>
  </si>
  <si>
    <t>The end of 2005 marked the closure of one stage in the European strategy for the promotion of the information society (the eEurope programme) and the start of the next one (i2010). This seems to be a good time for assessing the results achieved to date by the community policy in this area and analysing whether the correct approach has been adopted. Despite the satisfaction shown in certain official appraisals, the picture resulting from consulting different classifications globally measuring the adaptation of countries to the information society is not that optimistic. Only the European Union leaders in this field (the Nordic countries) have improved their positions, broadening the gap with the rest: western European countries have lost ground (or at least have not improved) in the rankings, the southern countries do not seem to have corrected their deficiencies and the indices for the new Member States have not evolved as expected or have even deteriorated in some cases. Even though becoming one of the most competitive and dynamic knowledge-based economies in the world was the first Leitmotiv of the Lisbon strategy, the interpretation of the documents connected to the definition of the new stage in the strategy led to doubts over whether the European Union has a clear notion on the course of action to take in order to make progress on the information society a matter of priority.</t>
  </si>
  <si>
    <t>Feijoo, Claudio/0000-0002-9499-7790</t>
  </si>
  <si>
    <t>0021-9886</t>
  </si>
  <si>
    <t>1468-5965</t>
  </si>
  <si>
    <t>10.1111/j.1468-5965.2008.00803.x</t>
  </si>
  <si>
    <t>WOS:000258214900003</t>
  </si>
  <si>
    <t>Mundi, GS; Zytner, RG; Warriner, K; Gharabaghi, B</t>
  </si>
  <si>
    <t>Mundi, Gurvinder S.; Zytner, Richard G.; Warriner, Keith; Gharabaghi, Bahram</t>
  </si>
  <si>
    <t>Predicting fruit and vegetable processing wash-water quality</t>
  </si>
  <si>
    <t>Wastewaters from the fresh produce processing industry are high in solids and organic matter requiring adequate treatment prior to disposal or recycling. Characterization of the processing wastewater, also referred to as wash-water is challenging, as the quality is a function of the produce. Analysis of water quality parameters, such as total suspended solids, total solids, total dissolved solids, chemical oxygen demand, biochemical oxygen demand, total nitrogen, total phosphorus, ammonia, and electrical conductivity from different fruit and vegetable operations were analyzed to develop the innovative power function models and ranking system to estimate wash-water quality. The developed models take the form of Y = a(x)(b), where Y, a, x, and b are estimate, scale, rank, and location parameters, respectively. The location and rank range from -0.65 to -3.18 and 0.05 (worst water quality) to 1, respectively, while the scale parameters are highly variable. Average and standard deviation estimation models show a very good fit for washing only (R-2 &gt; 73%) and washing with processing (R-2 &gt; 79%). The models and ranks highlight the degree of treatment required to address protection of surface and ground water and make the water quality conform to regulatory standards, benefiting watershed managers, government agencies, consultants, farmers, producers, processors and technology providers.</t>
  </si>
  <si>
    <t>10.2166/wst.2018.109</t>
  </si>
  <si>
    <t>WOS:000435664600026</t>
  </si>
  <si>
    <t>Liu, WD; Song, ZY; Liu, ZG</t>
  </si>
  <si>
    <t>Liu Weidong; Song Zhouying; Liu Zhigao</t>
  </si>
  <si>
    <t>Progress of economic geography in China's mainland since 2000</t>
  </si>
  <si>
    <t>JOURNAL OF GEOGRAPHICAL SCIENCES</t>
  </si>
  <si>
    <t>Economic geography in China's mainland has developed in a different way from that in many other countries. On the one hand, it has been increasingly active in participating in academic dialogues and knowledge development led by Anglophone countries; on the other hand, it takes practice-based and policy-oriented research, i.e. satisfying the demands from the Chinese government and society, as the linchpin of research. Since there has been a lot of literature reviewing the development of economic geography in the country before the new millennium, this paper will make a comprehensive analysis of the discipline in 2000-2015, based on a bibliometric survey and research projects done by Chinese economic geographers. The analysis indicates that (1) economic geography research in China's mainland is unevenly distributed but concentrated in several leading institutions; (2) traditional research fields like human-nature system, regional disparity, industrial location and transportation geography remain dominant while new topics such as globalization, multinational corporations and foreign direct investments, information and communication technology, producer services, climate change and carbon emission emerge as important research areas; (3) Chinese economic geography is featured by policy-oriented research funded by government agencies, having considerable impacts on regional policy making in China, both national and regional. To conclude, the paper argues that the development of economic geography in China's mainland needs to follow a dual track in the future, i.e. producing knowledge for the international academic community and undertaking policy-oriented research to enhance its role as a major consulting body for national, regional and local development.</t>
  </si>
  <si>
    <t>1009-637X</t>
  </si>
  <si>
    <t>1861-9568</t>
  </si>
  <si>
    <t>10.1007/s11442-016-1313-0</t>
  </si>
  <si>
    <t>WOS:000379342100003</t>
  </si>
  <si>
    <t>Harding, KG; Friedrich, E; Jordaan, H; le Roux, B; Notten, P; Russo, V; Suppen-Reynaga, N; van der Laan, M; Goga, T</t>
  </si>
  <si>
    <t>Harding, Kevin G.; Friedrich, Elena; Jordaan, Henry; le Roux, Betsie; Notten, Philippa; Russo, Valentina; Suppen-Reynaga, Nydia; van der Laan, Michael; Goga, Taahira</t>
  </si>
  <si>
    <t>Status and prospects of life cycle assessments and carbon and water footprinting studies in South Africa</t>
  </si>
  <si>
    <t>Purpose Using the current state of life cycle assessment (LCA), carbon and water footprinting, and EPDs in South Africa, this work explores the challenges and opportunities for scholarly development in these areas in the country. Methods Being a relatively small LCA community in South Africa, academics, consultants, and other stakeholders were approached to provide lists of known studies, with further reports, that may have been missed, obtained through internet searches. Information was collated on database development, capacity building, and other aspects and presented here in a single paper. Results and discussion While the authors are aware of companies working on LCA and related studies, hidden in confidential reports, we were able to find 27 LCA, 17 water and 12 carbon footprinting, and 10 EPD studies. Although these studies have potential advantages for policymaking and business, their number, implementation, and impact remain limited. Conclusion While previously seen as an academic exercise, life cycle thinking has been adopted by industry, private consultants, and the South African National Cleaner Production Centre (NCPC-SA), among others. Growing interest has led to the creation of several training courses available at academic institutes, the NCPC-SA, and consulting firms, ranging from the basic understanding to advanced use of software packages and modeling techniques. The development of a national LCI database and further exposure and opportunity for LCA studies are important steps to hopefully spur LCA in Southern Africa in the future.</t>
  </si>
  <si>
    <t>10.1007/s11367-020-01839-0</t>
  </si>
  <si>
    <t>WOS:000590014300001</t>
  </si>
  <si>
    <t>Feyzbakhsh, S; Telvari, A; Lork, AR</t>
  </si>
  <si>
    <t>Feyzbakhsh, Shahdad; Telvari, Abdolrasul; Lork, Ali Reza</t>
  </si>
  <si>
    <t>Investigating the Causes of Delay in Construction of Urban Water Supply and Wastewater Project in Water and WasteWater Project in Tehran</t>
  </si>
  <si>
    <t>It is obvious that providing drinking water in cities, especially in metropolises such as Tehran, as a political-social-economic center of the country is important. During the last decades, climatic changes, the decrease of raining, the increase of water harvesting from groundwater as well as the increase of population have intensified the importance of water in Tehran. Therefore, every change from water consumption to collecting, purifying and storing drinking water in the city reservoirs is highly critical. In the present study, the causes of delay in such projects have been determined based on experts' opinions about several concrete implemented reservoirs obtained by questionnaire and the related literature. Given to three classes pertained to such projects (employer, consultant and contractor), an initial questionnaire was provided to poll the experts' opinions and distributed among the sample of the study. In this regard, 45 Likert-scale questionnaires were equally distributed among three population; after gathering, the items with higher mean scores were selected for the main questionnaire (totally, 17 items). Using AHP method, the most important factors were identified and ranked through Expert choice Software. As the research findings revealed, failure of employer to pay to contractor timely, failure to obtaining the necessary permissions by employer before noticing to contactor to proceed, and uncertainty and buying project site by employer are the most important factors respectively.</t>
  </si>
  <si>
    <t>10.28991/cej-030958</t>
  </si>
  <si>
    <t>WOS:000424521400010</t>
  </si>
  <si>
    <t>Ibrahim, M</t>
  </si>
  <si>
    <t>Ibrahim, Mo</t>
  </si>
  <si>
    <t>Celtel's Founder on Building a Business on the World's Poorest Continent</t>
  </si>
  <si>
    <t>HARVARD BUSINESS REVIEW</t>
  </si>
  <si>
    <t>Back in the late 1990s Ibrahim, who was running a software and consulting company in the UK, regularly worked with big telecom companies. He began asking them why they were ignoring the huge opportunities to develop mobile communications in Africa, especially in countries where licenses would be free. The telecom executives who were his clients simply saw Africa as too unknown and too risky. One of them cited Idi Amin as a barrier-but Amin had been gone from Uganda for 15 years. Convinced that the potential market was too big to pass up, Ibrahim decided to develop it himself. He began with just five employees and initial funding from his consulting firm, and subsequently had to spend a significant amount of time raising capital-$300 million during the first five years. To establish credibility, he recruited an experienced and respected board and instituted rules to prevent bribery and corruption. The company began in Uganda and a few other countries where the pent-up demand was almost overwhelming. In Gabon, for example, customers actually knocked down one of its office doors trying to get in. That's how badly people wanted to make phone calls, Ibrahim writes. The challenges he faced in meeting that demand were infrastructural as well as political and cultural: Some places Lacked roads, so helicopters had to move the heavy equipment. The company had to supply its own electricity and water and to refill its batteries and generators every day. Nevertheless, Ibrahim succeeded in building a large company and creating an even larger economy to support it. When Celtel was sold to Zain, in 2005, it was operating in 15 African countries under licenses that covered more than a third of the continent's population.</t>
  </si>
  <si>
    <t>0017-8012</t>
  </si>
  <si>
    <t>WOS:000309093300024</t>
  </si>
  <si>
    <t>Glencross, B; Warrick, G; Eastaugh, E; Hawkins, A; Hodgetts, L; Lesage, L</t>
  </si>
  <si>
    <t>Glencross, Bonnie; Warrick, Gary; Eastaugh, Edward; Hawkins, Alicia; Hodgetts, Lisa; Lesage, Louis</t>
  </si>
  <si>
    <t>Minimally Invasive Research Strategies in Huron-Wendat Archaeology Working toward a Sustainable Archaeology</t>
  </si>
  <si>
    <t>ADVANCES IN ARCHAEOLOGICAL PRACTICE</t>
  </si>
  <si>
    <t>The rapid pace of economic, political, and social change over the past 150 years has framed and reframed archaeological practice in Ontario. Indigenous groups have become increasingly involved in and critical of archaeological research. Indigenous peoples who value archaeological investigation of ancestral sites, but also desire to protect their buried ancestors, have restricted archaeological excavation and the analysis of remains. Over the last decade, research and consulting archaeologists in Ontario, Canada, have worked collaboratively with Indigenous peoples with an eye to developing sustainable archaeology practices. In the spirit of sustainable archaeology, a comprehensive research project and field school run by Wilfrid Laurier University is training the next generation of archaeologists to adopt investigative techniques that minimize disturbance of ancestral sites. Here we present the results of our surface, magnetic susceptibility, and metal detecting surveys of a Huron-Wendat village site, which pose minimally invasive solutions for investigating village sites in wooded areas. The water-sieving of midden soils in an attempt to recover 100 percent of cultural materials, and the analysis of archived collections also honor the values of Indigenous descendant communities by limiting additional invasive excavation.</t>
  </si>
  <si>
    <t>2326-3768</t>
  </si>
  <si>
    <t>10.1017/aap.2017.7</t>
  </si>
  <si>
    <t>WOS:000452848500004</t>
  </si>
  <si>
    <t>Ehrenstein, V</t>
  </si>
  <si>
    <t>Ehrenstein, Vera</t>
  </si>
  <si>
    <t>Carbon sink geopolitics</t>
  </si>
  <si>
    <t>ECONOMY AND SOCIETY</t>
  </si>
  <si>
    <t>This paper explores an example of global politics in action by attending to the modalities and outcomes of United Nations negotiations on global warming. More precisely, the paper ethnographically traces how the capacity of tropical forests to act as carbon sinks is turned into a matter of global concern. The focus is on a negotiated policy called Reducing Emissions from Deforestation and forest Degradation (REDD+) and its anchoring in the Democratic Republic of the Congo, whose territory contains the second largest area of rainforest after Brazil. The paper discusses the importance of the promissory in climate actions, the multivalence of what is at stake and the porosity and resilience of national demarcation. To do so, it identifies three moments and sites of geopolitical re-composition: the formulation of international consensus, the work of preparatory agents and the quest for metrological inclusiveness. These moments and sites point to the theatricality and semi-secrecy of United Nations negotiations, the mobilizing activities of expatriate consultants hired with overseas aid funding and the unstable evidential grounds on which emission reduction efforts are based. The paper suggests that, through this series of processes, the carbon stored by tropical forests becomes a matter of global exigency.</t>
  </si>
  <si>
    <t>0308-5147</t>
  </si>
  <si>
    <t>1469-5766</t>
  </si>
  <si>
    <t>10.1080/03085147.2018.1445569</t>
  </si>
  <si>
    <t>WOS:000431540700007</t>
  </si>
  <si>
    <t>Ridder, R</t>
  </si>
  <si>
    <t>Ridder, Rick</t>
  </si>
  <si>
    <t>Some New and Old Rules for 2016 Presidential Campaignst</t>
  </si>
  <si>
    <t>JOURNAL OF POLITICAL MARKETING</t>
  </si>
  <si>
    <t>In this memo to 2016 U.S. presidential campaigns, political consultant and former U. S. presidential campaign manager, Rick Ridder, through a set of rules and recommendations, examines the impact of resources, metrics, and mass customization on a campaign's messaging and strategy. In the context of a voter and data-centric political environment, Ridder highlights the application of old campaign adages to new age realities. Ridder is a principle at RBI Strategies and Research, a Denver-based political consulting firm, and he teaches as an adjunct professor at the University of Denver's Josef Korbel School of International Studies.</t>
  </si>
  <si>
    <t>1537-7857</t>
  </si>
  <si>
    <t>1537-7865</t>
  </si>
  <si>
    <t>10.1080/15377857.2015.1061797</t>
  </si>
  <si>
    <t>WOS:000212759600001</t>
  </si>
  <si>
    <t>Sambell, R; Andrew, L; Godrich, S; Wolfgang, J; Vandenbroeck, D; Stubley, K; Rose, N; Newman, L; Horwitz, P; Devine, A</t>
  </si>
  <si>
    <t>Sambell, Ros; Andrew, Lesley; Godrich, Stephanie; Wolfgang, Justin; Vandenbroeck, Dieter; Stubley, Katie; Rose, Nick; Newman, Lenore; Horwitz, Pierre; Devine, Amanda</t>
  </si>
  <si>
    <t>Local Challenges and Successes Associated with Transitioning to Sustainable Food System Practices for a West Australian Context: Multi-Sector Stakeholder Perceptions</t>
  </si>
  <si>
    <t>Large-scale food system practices have diminished soil and water quality and negatively impacted climate change. Yet, numerous opportunities exist to harness food system practices that will ensure better outcomes for human health and ecosystems. The objective of this study was to consider food Production, Processing, Access and Consumption domains, and for each determine the challenges and successes associated with progressing towards a sustainable food system. A workshop engaging 122 participants including producers, consultants, consumers, educators, funders, scientists, media, government and industry representatives, was conducted in Perth, Western Australia. A thematic analysis of statements (Successes (n = 170) or Challenges (n = 360)) captured, revealed issues of scale, knowledge and education, economics, consumerism, big food, environmental/sustainability, communication, policies and legislation, and technology and innovations. Policy recommendations included greater investment into research in sustainable agriculture (particularly the evidentiary basis for regenerative agriculture), land preservation, and supporting farmers to overcome high infrastructure costs and absorb labour costs. Policy, practice and research recommendations included focusing on an integrated food systems approach with multiple goals, food system actors working collaboratively to reduce challenges and undertaking more research to further the regenerative agriculture evidence.</t>
  </si>
  <si>
    <t>; Devine, Amanda/D-1714-2016</t>
  </si>
  <si>
    <t>10.3390/ijerph16112051</t>
  </si>
  <si>
    <t>WOS:000472132900179</t>
  </si>
  <si>
    <t>Spaulding, ML; Swanson, JC; Jayko, K; Whittier, N</t>
  </si>
  <si>
    <t>Spaulding, Malcolm L.; Swanson, J. Craig; Jayko, Kathy; Whittier, Nicole</t>
  </si>
  <si>
    <t>An LNG release, transport, and fate model system for marine spills</t>
  </si>
  <si>
    <t>LNGMAP, a fully integrated, geographic information based modular system, has been developed to predict the fate and transport of marine spills of LNG. The model is organized as a discrete set of linked algorithms that represent the processes (time dependent release rate, spreading, transport on the water surface, evaporation from the water surface, transport and dispersion in the atmosphere, and, if ignited, burning and associated radiated heat fields) affecting LNG once it is released into the environment. A particle-based approach is employed in which discrete masses of LNG released from the source are modeled as individual masses of LNG or spillets. The model is designed to predict the gas mass balance as a function of time and to display the spatial and temporal evolution of the gas (and radiated energy field). LNGMAP has been validated by comparisons to predictions of models developed by ABS Consulting and Sandia for time dependent point releases from a draining tank, with and without burning. Simulations were in excellent agreement with those performed by ABS Consulting and consistent with Sandia's steady state results. To illustrate the model predictive capability for realistic emergency scenarios, simulations were performed for a tanker entering Block Island Sound. Three hypothetical cases were studied: the first assumes the vessel continues on course after the spill starts, the second that the vessel stops as soon as practical after the release begins (3 min), and the third that the vessel grounds at the closest site practical. The model shows that the areas of the surface pool and the incident thermal radiation field (with burning) are minimized and dispersed vapor cloud area (without burning) maximized if the vessel continues on course. For this case the surface pool area, with burning, is substantially smaller than for the without burning case because of the hi-her mass loss rate from the surface pool due to burning. Since the vessel speed substantially exceeds the spill spreading rate, both the thermal radiation fields and surface pool trail the vessel. The relative directions and speeds of the wind and vessel movement govern the orientation of the dispersed plume. If the vessel stops, the areas of the surface pool and incident radiation field (with burning) are maximized and the dispersed cloud area (without burning) minimized. The longer the delay in stopping the vessel. the smaller the peak values are for the pool area and the size of the thermal radiation field. Once the vessel stops, the spill pool is adjacent to the vessel and moving down current. The thermal radiation field is oriented similarly. These results may be particularly useful in contingency planning for underway vessels. (c) 2006 Elsevier B.V. All rights reserved.</t>
  </si>
  <si>
    <t>FEB 20</t>
  </si>
  <si>
    <t>10.1016/j.jhazmat.2006.10.049</t>
  </si>
  <si>
    <t>WOS:000244772700008</t>
  </si>
  <si>
    <t>Bogdanova, E</t>
  </si>
  <si>
    <t>Bogdanova, Elena</t>
  </si>
  <si>
    <t>RUSSIAN SOS CHILDREN'S VILLAGES AND DEINSTITUTIONALISATION REFORM: BALANCING BETWEEN INSTITUTIONAL AND FAMILY CARE</t>
  </si>
  <si>
    <t>JOURNAL OF SOCIAL POLICY STUDIES</t>
  </si>
  <si>
    <t>This article examines how Russian SOS Villages are undergoing foster reform, which prescribes a transition from institutional care for children deprived of parental care to family care model. The article analyses the problems and transformations experienced by SOS Villages, outlining the aims, instruments, and priorities of the reform. Empirically, the article is based on qualitative investigation of two Russian SOS Villages. Officially, SOS villages have the status of non-state children's homes. However, they were originally conceptualised as a means to implement family care by specially arranged SOS families (headed by SOS mothers). Comparing the activities of SOS Villages with the theoretical concepts of development, resilience, and attachment shows that children raised in SOS Villages avoid the typical problems associated with institutional care. SOS families provide favourable conditions for socialisation, protection, overcoming of social isolation, while maintaining sustainable contact with a significant adult. The normative context created by Decree 481, which changed the status of children's homes, alongside innovations in family policy and the general upsurge of traditionalist discourse, has made SOS Villages vulnerable. As a result, they are forced to protect both forms of their existence: institutional and family. Despite their conceptual adherence to the goals of the reform, in the eyes of the state the SOS Villages remain institutional entities targeted for closure or transformation into temporary residences for children. My research shows that under these new conditions SOS Villages have developed various strategies of involuntary mimicry. The most significant is the re-registration of SOS families as foster families. This helps keep children with their SOS families but significantly increases the level of responsibility and risks for SOS mothers. SOS Villages have also developed new activities, which may be useful in these new conditions. The establishment of consulting service platforms is one of these. The transformations taking place with the SOS Villages show that the reform is directed mainly, or solely, towards correcting the institutional level of the system. Due to multiple formal conflicts with newly emerging conditions, one of the most successful and experienced providers of family care for children without parental care has been left in a vulnerable position.</t>
  </si>
  <si>
    <t>Bogdanova, Elena/G-7189-2018</t>
  </si>
  <si>
    <t>Bogdanova, Elena/0000-0001-5640-1231</t>
  </si>
  <si>
    <t>1727-0634</t>
  </si>
  <si>
    <t>10.17323/727-0634-2017-15-3-395-406</t>
  </si>
  <si>
    <t>WOS:000423947200005</t>
  </si>
  <si>
    <t>Robertson, M; Hayden, N</t>
  </si>
  <si>
    <t>Robertson, Morgan; Hayden, Nicholas</t>
  </si>
  <si>
    <t>Evaluation of a market in wetland credits: Entrepreneurial wetland banking in Chicago</t>
  </si>
  <si>
    <t>CONSERVATION BIOLOGY</t>
  </si>
  <si>
    <t>With the rise of market-led approaches to environmental policy, compensation for permitted discharge of dredge or fill material into wetlands under Section 404 of the US. Clean Water Act has been purchased increasingly from entrepreneurial third-party providers. The growth of this practice (i.e., entrepreneurial wetland banking) has resolved many challenges associated with wetland compensation. But it has also produced (1) quantifiable temporal loss of wetland ecological functions, (2) spatial redistribution of wetland area, and (3) a degree of regulatory instability that may pose a threat to entrepreneurial compensation as a sustainable component of wetland-compensation policy. We used achieved compensation ratios, lapse between bank credit sale and the attainment of performance standards, distance between impact and bank site, and changes in bank market area to examine these 3 factors. We analyzed data from a census of all such transactions in the Chicago District of the U.S. Army Corps of Engineers, compiled from site visits, Corps databases, and contacts with consultants and Section 404 permittees. Entrepreneurial banking provided compensation at a lower overall ratio than nonbank forms of compensation. Approximately 60% of bank credits were sold after site-protection standards were met but before ecological performance standards were met at the bank site. The average distance between bank and impact site was approximately 26 km. The area of markets within which established banks can sell wetland credits has fluctuated considerably over the study period. Comparing these data with similar data for other compensation mechanisms will assist in evaluating banking as an element of conservation policy. Data characterizing the performance of entrepreneurial wetland banks in actual regulatory environments are scarce, even though it is the most established of similar markets that have become instrumental to federal policy in administering several major environmental protection laws.</t>
  </si>
  <si>
    <t>0888-8892</t>
  </si>
  <si>
    <t>10.1111/j.1523-1739.2008.00963.x</t>
  </si>
  <si>
    <t>WOS:000256612800020</t>
  </si>
  <si>
    <t>BROOKS, BO; UTTER, GM; DEBROY, JA; SCHIMKE, RD</t>
  </si>
  <si>
    <t>INDOOR AIR-POLLUTION - AN EDIFICE COMPLEX</t>
  </si>
  <si>
    <t>JOURNAL OF TOXICOLOGY-CLINICAL TOXICOLOGY</t>
  </si>
  <si>
    <t>The collision of escalating technological sophistication and surging environmental awareness has caused the reexamination of many societal paradigms. Horror stories about lethal chemical exposures involving isolated cases of ignorance, carelessness or greed have caused the public to demand constant vigilance to prevent exposure to potentially hazardous substances. Accordingly, much time and resource has been expended by the U.S. government and citizens to abate and prevent air and water pollution. While these efforts have met with measurable success, there is increasing public concern about a new generation of pollution-related human illness in office, home and transportation environments. New instances of Sick Building Syndrome or Building Related Illness are reported daily by the popular press. Human health effects such as cancer, infectious disease, allergy and irritation have been ascribed to indoor air pollution. The clinical aspects of indoor air pollution are often discounted by consulting engineers and industrial hygienists involved in indoor air quality. Physicians and clinically-trained scientists have received a Macedonian call to sift clinical relevance from the emotional aspects of indoor air quality problems. Point sources of pollutants, associated human health effects, and problem solving approaches associated with indoor air pollution are described. Regulatory and litigational aspects of indoor air pollution are also discussed.</t>
  </si>
  <si>
    <t>0731-3810</t>
  </si>
  <si>
    <t>10.3109/15563659109000363</t>
  </si>
  <si>
    <t>WOS:A1991GH53900002</t>
  </si>
  <si>
    <t>Old, J; McKnight, D; Bennett, R; Grzybek, R</t>
  </si>
  <si>
    <t>Old, Joanne; McKnight, David; Bennett, Richard; Grzybek, Roland</t>
  </si>
  <si>
    <t>A catchment partnership approach to delivering natural flood management in the Evenlode, UK</t>
  </si>
  <si>
    <t>Adapting to climate change and its impacts on water resources is one of the major challenges facing the UK. In the first scheme of its kind in the Thames basin, this paper describes how natural flood management (NFM) is being piloted in the Littlestock Brook tributary of the Evenlode catchment. This 5-year scheme (2016-2021) explores the delivery mechanisms and assesses the effectiveness of NFM measures to reduce flood risk in Milton-under-Wychwood, improve water quality and create habitat. It has secured 640 pound 000 from Environment Agency programmes, the Thames Regional Flood and Coastal Committee, other partners and landowners. In 2018, ten field corner bunds were created with a combined storage capacity of 26 000 m(3). Woody dams in the brook divert high flows into these flood storage areas. Critical to success is integrated delivery through the Evenlode Catchment Partnership and engagement of the local community. Catchment partnerships deliver a range of environmental, social and economic benefits, and directly support many of the ambitions under the government's 25-Year Environment Plan and the Water Framework Directive. Collaborative working with Thames Water, the Department for Environment, Food and Rural Affairs, consultants and academics has enabled the project to utilise existing delivery mechanisms and to model and monitor the effectiveness of NFM.</t>
  </si>
  <si>
    <t>10.1680/jensu.17.00038</t>
  </si>
  <si>
    <t>WOS:000485796600002</t>
  </si>
  <si>
    <t>McComb, J</t>
  </si>
  <si>
    <t>McComb, Jen</t>
  </si>
  <si>
    <t>Arthur James McComb 1936-2017</t>
  </si>
  <si>
    <t>HISTORICAL RECORDS OF AUSTRALIAN SCIENCE</t>
  </si>
  <si>
    <t>Professor Arthur McComb conducted pioneer research on the occurrence and mode of action of the plant growth hormones gibberellins for fifteen years. He then applied his experimental skills and physiological knowledge to develop a whole ecosystem approach to the study of aquatic systems. He was passionate in wanting to improve the state of environmental management, based on rational, logical and well-founded biological principles. He and his team focused primarily on the mechanisms controlling plant growth and productivity in aquatic environments, and especially the effects of nutrient enrichment and its consequences, eutrophication. He became a leader in nutrient analysis of water systems, with innovations in how to determine nutrient pathways into waterways and strategies for fixing these issues. This important research has informed the long-term management of several important aquatic systems in Western Australia: the Blackwood River Estuary, the Peel Harvey Estuary, and the protection of seagrasses in Shark Bay, the Swan River and Cockburn Sound. Arthur McComb had a seminal influence on a generation of researchers. Thirty-nine students completed their higher degrees under his supervision and they are spread internationally and throughout Australia in universities, state government departments and consulting firms, confirming his influence on driving our understanding and management of marine, estuarine and freshwater systems.</t>
  </si>
  <si>
    <t>0727-3061</t>
  </si>
  <si>
    <t>1448-5508</t>
  </si>
  <si>
    <t>10.1071/HR18011</t>
  </si>
  <si>
    <t>WOS:000440402100013</t>
  </si>
  <si>
    <t>Grainger, S; Ochoa-Tocachi, BF; Antiporta, J; Dewulf, A; Buytaert, W</t>
  </si>
  <si>
    <t>Grainger, Sam; Ochoa-Tocachi, Boris F.; Antiporta, Javier; Dewulf, Art; Buytaert, Wouter</t>
  </si>
  <si>
    <t>Tailoring Infographics on Water Resources Through Iterative, User-Centered Design: A Case Study in the Peruvian Andes</t>
  </si>
  <si>
    <t>WATER RESOURCES RESEARCH</t>
  </si>
  <si>
    <t>Effective communication and knowledge sharing across stakeholder groups (e.g., science, government, business, civil society, farmers, and the general public) are essential for more informed water resource management. Visualizations and graphics are powerful tools to engage diverse groups with unfamiliar information. Despite this potential, the design of visuals within applied science settings often does not involve end-user interaction or explicit consideration of their existing knowledge systems, perspective, requirements, and context of use. As a result, products are often difficult for users to understand and contextualize. While user interaction and the development of tailored visualizations is increasingly promoted as a potential remedy, limited empirical evidence exists that shows the potential impact and can guide the development of specific approaches. We piloted an iterative and user-centered design methodology toward the tailoring of infographic-style posters in the context of Peruvian water governance. To test whether tailoring demonstrably improves the perceived effectiveness of products, we designed three products that conveyed similar information but were tailored to three different audiences (an Andean agricultural, urban professional, and urban general). We then compared the tailored posters to those tailored to other audiences by means of interviews and user grading. We found that end-users perceive products that have undergone tailoring as more interesting, clearer, and more useful than products designed without explicit user consideration. Our findings indicate that identifying groups with shared characteristics and requirements is key for effective tailoring. Our research provides empirical evidence to support the incorporation of user-centered design methods in water resource management contexts. Plain Language Summary Communication of science-based information to nonscientists is essential to inform water resource management. Visualizations and graphics are powerful tools to engage people with unfamiliar information. Considering audiences explicitly, and directly consulting with them, may improve information uptake and understanding. Therefore, the production of tailored visuals developed for (and in consultation with) specific people or groups of people (e.g., engineers and policy makers) is increasingly being promoted to enhance knowledge sharing within environmental management. However, as yet, there is little scientific evidence to support its practical implementation. To address this, we trialed an iterative and user-focused approach to tailoring with the aim to provide three different posters, communicating similar information, to three different groups of people interested in Peruvian water resources management. At the end of the design process, we asked people from each group to evaluate all three posters to see if the poster tailored to them was more effective than the other two. We find evidence that target users perceive products that have undergone tailoring as more interesting, clearer, and more useful than products designed without consideration of their representative group. Our findings indicate that tailoring can be particularly effective when people within a target group share similar characteristics and requirements.</t>
  </si>
  <si>
    <t>0043-1397</t>
  </si>
  <si>
    <t>1944-7973</t>
  </si>
  <si>
    <t>e2019WR026694</t>
  </si>
  <si>
    <t>10.1029/2019WR026694</t>
  </si>
  <si>
    <t>WOS:000535672800060</t>
  </si>
  <si>
    <t>Kiron, D; Kruschwitz, N; Haanaes, K; Velken, IV</t>
  </si>
  <si>
    <t>Kiron, David; Kruschwitz, Nina; Haanaes, Knut; Velken, Ingrid von Streng</t>
  </si>
  <si>
    <t>Sustainability Nears a Tipping Point</t>
  </si>
  <si>
    <t>MIT SLOAN MANAGEMENT REVIEW</t>
  </si>
  <si>
    <t>MIT Sloan Management Review and the Boston Consulting Group recently conducted their third annual sustainability survey of executives and managers worldwide. The survey results indicate that an increasing number of managers and companies are taking sustainable business practices seriously. According to the survey data, 70% of companies that have placed sustainability on their management agenda have done so in the past six years, and 20% have done so just in the past two years. Two-thirds of respondents said that sustainability was critically important to being competitive in today's marketplace, up from 55% in the 2010 survey. And despite ongoing economic uncertainty, many companies are increasing their commitments to sustainability initiatives. In fact, 31% of respondents said their companies are profiting from sustainable business practices. Some of the interest can be explained by increasing pressure, internally and externally. Among the external factors are stakeholder groups including investors and also regulations, climate change, resource constraints and consumer demand. Internal demands for brand integrity, employee engagement and increased efficiencies play a part as well. But the recent increase in the business focus on sustainability may also be because we are nearing a tipping point at which a critical mass of companies is taking sustainability seriously. Survey and interview data identified companies that are profiting from sustainability, which the authors termed Harvesters. Harvesters are 50% more likely to have a CEO with a strong commitment to sustainability, and nearly two and a half times as likely to have a chief sustainability officer. They are also more likely to be involved in external collaborations. Starbucks, for example, brought in representatives from its entire supply chain, government officials and an MIT professor in order to develop a detailed assessment of and life-cycle analysis for take-out coffee cups. Reprint 53213. For ordering information, see page 8.</t>
  </si>
  <si>
    <t>1532-9194</t>
  </si>
  <si>
    <t>WOS:000299025000011</t>
  </si>
  <si>
    <t>DEARING, JW; MEYER, G; KAZMIERCZAK, J</t>
  </si>
  <si>
    <t>PORTRAYING THE NEW - COMMUNICATION BETWEEN UNIVERSITY INNOVATORS AND POTENTIAL USERS</t>
  </si>
  <si>
    <t>SCIENCE COMMUNICATION</t>
  </si>
  <si>
    <t>How do academics communicate their research to external constituents? As U.S. research universities seek to emphasize knowledge application through outreach, answers to this question increase in importance. This article describes an exploratory analysis of conversations between and perceptions of (1) nine university researchers investigating hazardous waste remediation and (2) sets of environmental consulting engineers, state government regulators, and industrial scientists. Implications for two types of outreach-university-based technology transfer and diffusion of innovations-are discussed.</t>
  </si>
  <si>
    <t>1075-5470</t>
  </si>
  <si>
    <t>1552-8545</t>
  </si>
  <si>
    <t>10.1177/0164025994016001002</t>
  </si>
  <si>
    <t>WOS:A1994PU79000002</t>
  </si>
  <si>
    <t>Zagozdzon, P; Kolarzyk, E; Marcinkowski, JT</t>
  </si>
  <si>
    <t>Zagozdzon, Pawel; Kolarzyk, Emilia; Marcinkowski, Jerzy T.</t>
  </si>
  <si>
    <t>Quality of life and social determinants of anxiolytics and hypnotics use in women in Poland: A population-based study</t>
  </si>
  <si>
    <t>INTERNATIONAL JOURNAL OF SOCIAL PSYCHIATRY</t>
  </si>
  <si>
    <t>Background: The majority of studies show a substantially higher consumption of anxiolytics and antidepressants among women than among men and in the age bracket above 45 years. Aims: To analyse association between the use of hypnotics/anxiolytics, and various characteristics of Polish women, including health-related quality of life. Method: One thousand, five hundred and sixty (1,560) women aged 45-60 years completed a questionnaire dealing with the use of hypnotics/anxiolytics, demographic characteristics, environmental and work stress exposure, and self-reported quality of life (SF-36 form). Results: The following variables were revealed as the predictors of hypnotic/anxiolytic use on univariate analysis: age; social pension; stress at work and environmental stress; hormone replacement therapy; headache; palpitations; mood swings or increased muscular tension; anger; duration of symptoms longer than one week; consulting a specialist; and low physical and mental health-related quality of life. The significant protective factors included: vocational and tertiary education; job satisfaction; and home as place of rest. The independent predictors of anxiolytic/hypnotic use included consulting a specialist and symptoms lasting more than one week, while job satisfaction and home as place of rest were the independent protective factors. Conclusions: The use of hypnotic/anxiolytic medication is strongly associated with environmental and psychosocial characteristics of women between 40 and 65 years of age.</t>
  </si>
  <si>
    <t>0020-7640</t>
  </si>
  <si>
    <t>1741-2854</t>
  </si>
  <si>
    <t>10.1177/0020764012440676</t>
  </si>
  <si>
    <t>WOS:000329069400014</t>
  </si>
  <si>
    <t>Eid, NMS</t>
  </si>
  <si>
    <t>Eid, Noura M. S.</t>
  </si>
  <si>
    <t>Childhood Obesity and the Basis for Child Nutrition Programmes in Kindergartens of Saudi Arabia</t>
  </si>
  <si>
    <t>CURRENT RESEARCH IN NUTRITION AND FOOD SCIENCE</t>
  </si>
  <si>
    <t>Childhood obesity is increasing in the Middle East and across the globe, due to several environmental factors found in schools and at home. Therefore, implementing Child Nutrition Programmes in schools is essential to deliver nutrition education, school meals, and training to children, teachers and caregivers. We have designed a qualitative study on focus groups using interview based questionnaires, which was applied to 48 kindergartens, 20 parents, two bookstores and 12 global nutrition consulting companies. SPSS 21 was used to analyse the frequency and percentages of the data. This study focused on the barriers and factors that will contribute to the successful implementation of Child Nutrition Programmes in the kindergartens of Saudi Arabia. Furthermore, the respondents showed positive attitudes towards developing child nutrition programmes with the following activities: nutrition education for children, training/workshops for teachers and parents and meal planning for healthy meals at home. According to global consulting companies, the greatest obstacles to the delivery of nutrition programmes to educational institutions are lack of awareness, cost coverage and high resistance and reluctance. Parent pressure, marketing uniqueness and awareness generation should be addressed prior to the programme's implementation to facilitate programme appreciation and parental acknowledgment. Finally, support from the government and non-government organisations will facilitate the successful implementation of the Child Nutrition Programmes thereby reducing the incidence of childhood obesity in the kindergartens of Saudi Arabia.</t>
  </si>
  <si>
    <t>Eid, Noura/AAW-5648-2020</t>
  </si>
  <si>
    <t>Eid, Noura/0000-0002-1964-0353</t>
  </si>
  <si>
    <t>2347-467X</t>
  </si>
  <si>
    <t>2322-0007</t>
  </si>
  <si>
    <t>10.12944/CRNFSJ.7.1.05</t>
  </si>
  <si>
    <t>WOS:000484353400005</t>
  </si>
  <si>
    <t>Fraser-Baxter, S; Medvecky, F</t>
  </si>
  <si>
    <t>Fraser-Baxter, Sam; Medvecky, Fabien</t>
  </si>
  <si>
    <t>Evaluating the media's reporting of public and political responses to human-shark interactions in NSW, Australia</t>
  </si>
  <si>
    <t>During 2015, New South Wales (N.S.W), Australia experienced an unprecedented spike in human-shark interactions. These interactions saw the escalation of public anxieties surrounding water safety and the implementation of the state's $16 m Shark Management Strategy. Of the 14 human-shark interactions that occurred in N.S.W, eight were recorded on the state's North Coast. The interactions ignited considerable public debate, which sought to explain the spike in interactions and how to best manage the risk of human-shark interaction. This controversy was documented by the media. This study takes its lead from McCagh et. al (2015) to examine the media's reporting of public and political response to human-shark interactions in N.S.W. Discourse analysis was used to investigate two newspaper's reportage of human-shark interactions on the North Coast. This paper outlines that the discourse used by the media examined was not fear-laden, sensationalized or emotive, which previous studies have emphasized. It highlights the importance of investigating local media as means of investigating public and political response to environmental issues. The W.A shark cull seems to be a turning point in public and political attitudes towards shark management. The N.S.W government did not offer lethal or seemingly knee-jerk policy, but insisted on the investigation of non-lethal, scientifically and conservationally focused management. The N.S.W government appeared to be successful in consulting the local community and delivering policy that reflects the values and interests of the North Coast public. Our research reflects Neff &amp; Wynter's (2018a) suggestion that the 'save the sharks' movement has indeed arrived.</t>
  </si>
  <si>
    <t>10.1016/j.marpol.2018.08.020</t>
  </si>
  <si>
    <t>WOS:000448099300013</t>
  </si>
  <si>
    <t>Bagheri, M; Mirdamadi, SM; Hosseini, SJF; Lashgarara, F</t>
  </si>
  <si>
    <t>Bagheri, Maryam; Mirdamadi, Seyed Mehdi; Hosseini, Seyed Jamal Farajollah; Lashgarara, Farhad</t>
  </si>
  <si>
    <t>Designing a structural model of participatory management for the development of sustainable urban green spaces</t>
  </si>
  <si>
    <t>BULGARIAN JOURNAL OF AGRICULTURAL SCIENCE</t>
  </si>
  <si>
    <t>The expansion of cities, particularly large cities in third world countries, aggravated negative impacts on urban development will exacerbate pollution, including air, water, soil, landscapes, and mental and physical illnesses. The consequences of urban development and the environmental problems in residential areas have made the expansion of green spaces necessary. Since Tehran is considered as the 18th most populous city in the world and the political and economic center of Iran, it has become an important necessity for management in urban planning and management. This study aimed to present a structural model of participation management tailored to the development of sustainable urban green space. For this purpose, a questionnaire was developed and used to collect the data. Population for this study included 157 employees of research centers, training and consulting of urban green space in the municipality city of Tehran, Iran. Dependent variable of this research was sustainable urban green space development which was measured in three dimensions: legal development, environmental development, and physical development. The four independent variables were participatory management (participation in goal setting, participation in decision making, participation in problem-solving, and participation in organizational change). Findings from structural modeling equation (participation in goal setting, decision-making, problem-solving, and organizational changes), the effect of participation in problem-solving on sustainable green space development was more than the other aspects of participation management. Also, the results showed that the impact of each component of participation management dimensions; organizational support on the factors of participation in goal setting, Strategy implementation/evaluation/reformulation, participation in problem-solving and readiness of employees to participate in organizational change and recruitment methods on participation in decision-making.</t>
  </si>
  <si>
    <t>Farajallah Hosseini, Seyed Jamal/0000-0002-1338-8783</t>
  </si>
  <si>
    <t>1310-0351</t>
  </si>
  <si>
    <t>WOS:000517825200006</t>
  </si>
  <si>
    <t>Beveridge, R</t>
  </si>
  <si>
    <t>Beveridge, Ross</t>
  </si>
  <si>
    <t>Consultants, depoliticization and arena-shifting in the policy process: privatizing water in Berlin</t>
  </si>
  <si>
    <t>POLICY SCIENCES</t>
  </si>
  <si>
    <t>This paper examines the effects of the growing presence of management consultants in policy processes. In particular, it addresses the key concern that consultants employed by governments often operate in new institutional arrangements not subject to the formal rules of political systems. Their activities, often secretive, are seen to undermine the democratic legitimacy of political decision-making. Despite the significance of these concerns there is still a lack of conceptual and empirical research on these topics. Addressing this gap, the paper first seeks to begin a more conceptual discussion about the role of consultants and governance. Turning to the literature on depoliticization in public policy, and following Flinders and Buller (Br Polit 1(3):293-318, 2006), it is argued that the hiring of consultants should be seen not as a move from political to apparently neutral, expert forms of policy-making, but as a shift in the arena of political decision-making. Such shifts can contribute to the emergence of what Hajer (Policy Sci 36(2):175-195, 2003a) calls the institutional voids of governance: the emergence of ad hoc political spaces in which the rules and outcomes of policy-making are unclear. It is argued that these ad hoc spaces may work to undermine the traditional institutions of political systems without providing an alternative form of democratic legitimacy. The paper examines these issues with reference to a case study of consultants working for the Berlin government on the privatization of the Berlin Water Company in 1999. It concludes by reflecting on the usefulness of the arena-shifting notion and outlining areas for future research.</t>
  </si>
  <si>
    <t>Beveridge, Ross/0000-0002-1121-7083</t>
  </si>
  <si>
    <t>0032-2687</t>
  </si>
  <si>
    <t>1573-0891</t>
  </si>
  <si>
    <t>10.1007/s11077-011-9144-4</t>
  </si>
  <si>
    <t>WOS:000300664600003</t>
  </si>
  <si>
    <t>Hou, DY; Al-Tabbaa, A; Guthrie, P</t>
  </si>
  <si>
    <t>Hou, Deyi; Al-Tabbaa, Abir; Guthrie, Peter</t>
  </si>
  <si>
    <t>The adoption of sustainable remediation behaviour in the US and UK: A cross country comparison and determinant analysis</t>
  </si>
  <si>
    <t>The sustainable remediation concept, aimed at maximizing the net environmental, social, and economic benefits in contaminated site remediation, is being increasingly recognized by industry, governments, and academia. However, there is limited understanding of actual sustainable behaviour being adopted and the determinants of such sustainable behaviour. The present study identified 27 sustainable practices in remediation. An online questionnaire survey was used to rank and compare them in the US (n = 112) and the UK (n = 54). The study also rated ten promoting factors, nine barriers, and 17 types of stakeholders' influences. Subsequently, factor analysis and general linear models were used to determine the effects of internal characteristics (i.e. country, organizational characteristics, professional role, personal experience and belief) and external forces (i.e. promoting factors, barriers, and stakeholder influences). It was found that US and UK practitioners adopted many sustainable practices to similar extents. Both US and UK practitioners perceived the most effectively adopted sustainable practices to be reducing the risk to site workers, protecting groundwater and surface water, and reducing the risk to the local community. Comparing the two countries, we found that the US adopted innovative in-situ remediation more effectively; while the UK adopted reuse, recycling, and minimizing material usage more effectively. As for the overall determinants of sustainable remediation, the country of origin was found not to be a significant determinant. Instead, organizational policy was found to be the most important internal characteristic. It had a significant positive effect on reducing distant environmental impact, sustainable resource usage, and reducing remediation cost and time (p &lt; 0.01). Customer competitive pressure was found to be the most extensively significant external force. In comparison, perceived stakeholder influence, especially that of primary stakeholders (site owner, regulator, and primary consultant), did not appear to have as extensive a correlation with the adoption of sustainability as one would expect. (C) 2014 Elsevier B.V. All rights reserved.</t>
  </si>
  <si>
    <t>Hou, Deyi/0000-0002-0511-5806; Guthrie, Peter/0000-0002-9523-3733</t>
  </si>
  <si>
    <t>AUG 15</t>
  </si>
  <si>
    <t>10.1016/j.scitotenv.2014.05.059</t>
  </si>
  <si>
    <t>WOS:000347293800096</t>
  </si>
  <si>
    <t>Blumm, MC; Lang, A</t>
  </si>
  <si>
    <t>Blumm, Michael C.; Lang, Andrea</t>
  </si>
  <si>
    <t>Shared Sovereignty: The Role of Expert Agencies in Environmental Law</t>
  </si>
  <si>
    <t>ECOLOGY LAW QUARTERLY</t>
  </si>
  <si>
    <t>Environmental law usually features statutory or administrative interpretation by a single agency. Less frequent is a close look at the mechanics of implementing environmental policy across agency lines. In this Article, we offer a comparative analysis of five statutes and their approaches to sharing decision-making authority among more than one federal agency. We call this pluralistic approach to administrative decision making shared sovereignty. In this analysis, we compare implementation of the National Environmental Policy Act, the National Historic Preservation Act, the Endangered Species Act, the Clean Water Act, and the Federal Power Act. All of these statutes incorporate the shared sovereignty paradigm, although they vary in their interpretation of it. The first two statutes allow commenting and consulting agencies (we call both expert agencies) some authority, often significant, over the decisions of so-called action agencies. More decisive authority for expert agencies exists under the Endangered Species Act. The latter two statutes give expert agencies conclusive decision-making authority. We think that drafters of future environmental legislation and regulations may profit from this comparative analysis of pluralistic agency decision making, and we claim that the environment has benefited from the last several decades of implementing the shared sovereignty paradigm. Our view is that shared sovereignty is and has been an integral part of modern environmental law and should continue to be a foundational element in its future.</t>
  </si>
  <si>
    <t>0046-1121</t>
  </si>
  <si>
    <t>WOS:000367501700002</t>
  </si>
  <si>
    <t>Vezzoli, C; Sciama, D</t>
  </si>
  <si>
    <t>Vezzoli, Carlo; Sciama, Dalia</t>
  </si>
  <si>
    <t>Life Cycle Design: from general methods to product type specific guidelines and checklists: a method adopted to develop a set of guidelines/checklist handbook for the eco-efficient design of NECTA vending machines</t>
  </si>
  <si>
    <t>This paper underlines and debates the importance of developing specific guidelines and checklist per product typology, as tools to make eco-efficient design become a reality. The argumentation is accompanied by the description of a project commissioned by the NECTA Vending Solutions (the European leader of drinks &amp; food vending machines) to the DIS research unit (Design and Innovation for environmental Sustainability, Politecnico di Milano University - The DIS research unit of Politecnico di Milano University is offering, since 10 years, applied researches and company consulting on Life Cycle Design and eco-efficiency improvement. Typical consulting activities are: Life Cycle Assessment; handbook for LCD and eco-efficient product, service and product-service system development; procedure and tools to integrate environmental requirements into company existing product, service and product-service system development process; courses on LCD), resulting in such tools, currently integrated into the company product development process. The considerations are based upon on primary data and experiences. The final results of this project are two handbooks of guidelines and checklists for the eco-efficient development of two types of vending machines: one for Snack &amp; Food (spirals model), the other for Hot &amp; Cold drinks. In order to achieve these results an LCA has been developed and a system to prioritize guidelines has been adopted; this system has led to a procedure which moves from general to specific guidelines and checklist. Finally these tools have been integrated within the company procedure. The method adopted by DIS in this applied research is described, highlighting the observed key success factors in a project between a University research unit and a company. Final considerations expand upon the matured experiences to demonstrate the importance and efficacy to go from general methods and tools to more specific ones (e.g. specific guidelines and checklist), in order to implement Life Cycle Design principles, in the real company practices and culture. (c) 2005 Elsevier Ltd. All rights reserved.</t>
  </si>
  <si>
    <t>15-16</t>
  </si>
  <si>
    <t>10.1016/j.jclepro.2005.11.011</t>
  </si>
  <si>
    <t>WOS:000240298500004</t>
  </si>
  <si>
    <t>Pang, YX; He, YX; Cai, H</t>
  </si>
  <si>
    <t>Pang, Yuexia; He, Yongxiu; Cai, Hua</t>
  </si>
  <si>
    <t>Business model of distributed photovoltaic energy integrating investment and consulting services in China</t>
  </si>
  <si>
    <t>To promote the renewable energy development and reduce the power grid safety risk, promoting the power local consumption generated by distributed photovoltaic energy has received increasing attentions. Moreover, with the power market development, integrating the power market trading with distributed photovoltaic energy is a trend in China. Aiming to these targets, the paper designs a business model integrating investment and consulting services into distributed photovoltaic energy system. First, to encourage the market trading and promote the power local consumption, the double layer power sale platform is designed consisting of both B to B and B to C platforms. And a discount power sale price for local consumption is carried out. In the power platform, power contracts with a punishment for power gap are signed before the power consumption. Second, the consulting services are cited to reduce the power gap caused by power market trading, consisting of power output, power load and annual new installed capacity prediction. Third, considering the local users' power demand increase brought by the discount power sale price, a dynamic investment is integrated in the business model. Moreover, the simulation model and a comparative analysis model of stakeholders' benefits of new business model is constructed. Finally, an empirical analysis is conducted. The results show that the new model not only can promote energy local consumption, improve environment quality, ensure power grid safety, but also increase distributed energy investors' benefits, and reduce users' electricity expenses and government subsidies. (C) 2019 Elsevier Ltd. All rights reserved.</t>
  </si>
  <si>
    <t>10.1016/j.jclepro.2019.01.317</t>
  </si>
  <si>
    <t>WOS:000462110400081</t>
  </si>
  <si>
    <t>Budiman, I</t>
  </si>
  <si>
    <t>Budiman, Ibnu</t>
  </si>
  <si>
    <t>Climate-smart agriculture policy and (in)justice for smallholders in developing countries</t>
  </si>
  <si>
    <t>FUTURE OF FOOD-JOURNAL ON FOOD AGRICULTURE AND SOCIETY</t>
  </si>
  <si>
    <t>The Food and Agriculture Organization of the United Nations developed the term Climate-Smart Agriculture as an approach to transform agricultural systems to support development and ensure food security in a changing climate. This paper analyses whether climate-smart agriculture policy meets the demands of climate justice and respects the rights of smallholders; and if not, how it could be amended. The study is based on a literature review supplemented by four interviews with climate-smart agriculture actors from diverse backgrounds: a consultant, a smallholder farmer, a practitioner, and a scientist. To examine the climate-smart agriculture concept and its implementation, the following ethical positions are considered: maximalist, minimalist, Pogge's intermediate position, Nussbaum's capability approach, Kantian, and Altruist. The study finds that current climate-smart agriculture approaches are not being fairly implemented because there is the unjust sharing of benefits of income and burdens of emission reduction costs, among smallholders and agro-industries. According to the principles of climate justice, this sharing proportion should be equally distributed based on an individual's capacities and poverty should be taken into consideration as well. Climate-smart agriculture should be fair for the farmers; it should not only push and promote agribusiness expansion. The power of multinational corporations has substantially altered global agrifood chains to the detriment of small farmers and the environment. The mandatory inclusion of local, regional and national level civil society organisations and networks holds the potential for a more fair implementation of climate-smart agriculture. Climate-smart agriculture policy could be more successfully implemented if state and non-state/private sector actors would support such collaboration, allowing for decision making at local levels and a deep and honest reflection on development narratives.</t>
  </si>
  <si>
    <t>Budiman, Ibnu/0000-0002-9128-0866</t>
  </si>
  <si>
    <t>2197-411X</t>
  </si>
  <si>
    <t>10.17170/kobra-2018122074</t>
  </si>
  <si>
    <t>WOS:000470128200004</t>
  </si>
  <si>
    <t>Stal, HI; Bonnedahl, KJ</t>
  </si>
  <si>
    <t>Stal, Herman I.; Bonnedahl, Karl J.</t>
  </si>
  <si>
    <t>Provision of Climate Advice as a Mechanism for Environmental Governance in Swedish Agriculture</t>
  </si>
  <si>
    <t>Climate mitigation is both a pressing and complex task, and one that frequently requires both participation, to involve stakeholders, and capacity building to enable them to change their practices. This paper considers whether the provision of climate advice to affected parties could be an effective policy activity in both respects. The article investigates the feasibility and potential influence of providing climate advice by examining the role that such advice has played in the discursive activities of agriculture extension consultants in Sweden. This case demonstrates that rather than promoting substantial change in practices, the climate issue is used to support conventional efficiency-increasing measures and to change the descriptions of prevailing agricultural activities. We find that the embedding of climate-related discourse within agricultural extension, and the lack of clear climate mitigation goals for the agricultural sector, reduced and adapted the climate issue, accommodating it to the narratives prevailing among farmers, which are well aligned with conventional economic rather than climate policy goals. This lock-in could be addressed by establishing clear and radical reduction targets and through the broader involvement of a wider range of stakeholders. Copyright (c) 2015 John Wiley &amp; Sons, Ltd and ERP Environment</t>
  </si>
  <si>
    <t>10.1002/eet.1677</t>
  </si>
  <si>
    <t>WOS:000363279100005</t>
  </si>
  <si>
    <t>Potocka, A; Turczyn-Jablonska, K; Kiec-Swierczynska, M</t>
  </si>
  <si>
    <t>Potocka, Adrianna; Turczyn-Jablonska, Katarzyna; Kiec-Swierczynska, Marta</t>
  </si>
  <si>
    <t>SELF-IMAGE AND QUALITY OF LIFE OF DERMATOLOGY PATIENTS</t>
  </si>
  <si>
    <t>INTERNATIONAL JOURNAL OF OCCUPATIONAL MEDICINE AND ENVIRONMENTAL HEALTH</t>
  </si>
  <si>
    <t>Objectives: The problems of self-image among patients with dermal problems have been seldom explored. As dermal diseases detrimentally affect well-being, functioning and adaptation of dermatology patients, they may decrease the level of self-acceptance. Self-image, on the other hand, may significantly affect the own mental health status and quality of life (QoL) in that group of patients. The aim of our research was to assess mental health status and quality of life of patients with dermal problems in respect of the level of their self-acceptance. Materials and Methods: The participants were patients of the Occupational Diseases Outpatient Clinic and the Occupational and Environmental Allergy Centre of the Nofer Institute of Occupational Medicine (NIOM). In total, 112 patients were examined, including 37 with diagnosed urticaria, 50 with allergic contact dermatitis and 25 with atopic dermatitis. General Health Questionnaire (GHQ) was used to assess patients' mental health, a Polish version of Dermatology Life Quality Index (DLQI) was employed for the assessment of their life quality, while Self-Acceptance Scale (SAS) served to obtain patients' self-image. Results: There were statistically significant differences in the assessment of mental health and quality of life, depending on the level of self-acceptance. People with high self-acceptance are characterised by better mental health condition than those with low self-acceptance (t = 4.8; p = 0.00). The patients with negative self-image (compared to those with positive self-image) deem also their quality of life to be poor (t = 3.1; p = 0.00). Conclusion: A relationship has been found to exist both between mental health condition and the subjective assessment of life quality, and self-image. Thus, both patient's mental health status and his/her self image constitute major determinants of the quality of life that are worth to be monitored in dermatology patients. Their treatment procedure should include also psychological consulting or psychotherapy.</t>
  </si>
  <si>
    <t>Kiec-Swierczynska, Marta/0000-0003-1195-1437</t>
  </si>
  <si>
    <t>1232-1087</t>
  </si>
  <si>
    <t>1896-494X</t>
  </si>
  <si>
    <t>10.2478/v10001-008-0034-8</t>
  </si>
  <si>
    <t>WOS:000264445400006</t>
  </si>
  <si>
    <t>Schiff, KC; Weisberg, SB; Raco-Rands, V</t>
  </si>
  <si>
    <t>Inventory of ocean monitoring in the Southern California Bight</t>
  </si>
  <si>
    <t>Monitoring of the ocean environment in southern California, USA, has been conducted by a diverse array of public and private organizations with different motivations, working on a variety of spatial and temporal scales, To create a basis from which to integrate information from these diverse programs, we conducted an inventory of ocean monitoring activities in the Southern California Bight to address the following questions: (1) How much money is being expended annually on marine monitoring programs? (2) Which organizations are conducting the most monitoring? (3) How are resources allocated among the different types of monitoring programs? This inventory focused on programs existing, or those expected to be in existence, for at least 10 years and that were active at any time between 1994 and 1997. For each program identified for inclusion in this study, information was collected on the number of sites, sampling intensity, parameters measured, and methods used. Levels of effort were translated into cost estimates based upon a market survey of local consulting firms. One hundred fourteen marine monitoring programs, conducted by 65 organizations and costing US $31 million annually, were identified. Most of the effort (81 programs, 65% of samples, 70% of costs) was expended by ocean dischargers as part of their compliance with National Pollutant Discharge Elimination System (NPDES) permit requirements. Federal programs (11 programs, 25% of samples, 10% of total expenditures) expended more than state or local government programs, More than one quarter of monitoring expenditures were conducted to measure concentrations and mass of effluent inputs to the ocean. The largest effort expended on receiving water monitoring was for measuring bacteria, followed by sediments, fish/shellfish, water quality, and intertidal habitats. The large level of expenditures by individual agencies has presented opportunities for integrating small, site-specific ocean monitoring programs into regional- and national-scale monitoring and assessment programs.</t>
  </si>
  <si>
    <t>Weisberg, Stephen B/B-2477-2008</t>
  </si>
  <si>
    <t>Weisberg, Stephen B/0000-0002-0655-9425</t>
  </si>
  <si>
    <t>10.1007/s00267-001-2628-9</t>
  </si>
  <si>
    <t>WOS:000175552200011</t>
  </si>
  <si>
    <t>Kim, JR; Jeon, EC; Cho, S; Kim, H</t>
  </si>
  <si>
    <t>Kim, Jong-Ryool; Jeon, Eui-Chan; Cho, Seongmoon; Kim, Hana</t>
  </si>
  <si>
    <t>The Promotion of Environmental Management in the South Korean Health Sector-Case Study</t>
  </si>
  <si>
    <t>Because of the comprehensiveness and urgency of environmental challenges, every stakeholder needs to be engaged in reducing environmental impacts. The healthcare sector has rarely been studied, despite its intense effects on the environment, particularly through generating various forms of hazardous waste and intensively consuming energy and water. Many healthcare facilities exist in South Korea, and every citizen frequently visits hospitals thanks to the convenient system. To reduce the environmental impacts of the healthcare sector, the South Korean government has implemented various policy measures aimed at promoting environmental management in that sector. This study evaluated the eco-efficiencies of 21 hospitals from 2012 to 2015 using data envelopment assessment (DEA), used the analytical hierarchy process (AHP) to analyze hospital staff members' answers to a questionnaire asking about the relative importance and performance of individual environmental management tasks, and also identified environmental management tasks that should be prioritized by building an importance-performance analysis (IPA) matrix using those questionnaire responses. This study found that eco-efficiencies have improved during the period, and that mandatory policy measures were more effective than voluntary agreements for improving eco-efficiency. This implies that rigorous reporting and monitoring should be implemented along with any voluntary agreement. In addition, this study found that the top priorities are establishment of vision and strategy for environmental management and organization of task team for environmental management and task assignment. This shows the necessity of additional policy measures, such as training or consulting to promote the priorities. In addition to policy recommendations for diffusing environmental management in the South Korean healthcare sector, the methodological approach sheds light for researchers interested in environmental management in the healthcare sector because previous studies depended on qualitative approaches, particularly case studies.</t>
  </si>
  <si>
    <t>Jeon, Eui-Chan/0000-0003-2783-4550; kang, seongmin/0000-0001-8628-8241; Kim, Hana/0000-0003-2782-2859</t>
  </si>
  <si>
    <t>10.3390/su10062081</t>
  </si>
  <si>
    <t>WOS:000436570100393</t>
  </si>
  <si>
    <t>Uesugi, T</t>
  </si>
  <si>
    <t>Uesugi, Tak</t>
  </si>
  <si>
    <t>A dialogic approach to Toxic Disasters: Agent Orange in A Luoi Valley</t>
  </si>
  <si>
    <t>AIBR-REVISTA DE ANTROPOLOGIA IBEROAMERICANA</t>
  </si>
  <si>
    <t>In the 2000s, a scientific research by a Canadian environmental consulting firm triggered a public health campaign in A Luoi Valley of Central Vietnam. It informed its inhabitants - for the first time - about the risks and harms associated with chemical defoliant Agent Orange and its toxic contaminant dioxin sprayed during the Second Indochina War (1961-1975). In this article, instead of focusing on the political identity formed by such knowledge (biosocial approach), I explore how the risk of toxic substance is experienced by the inhabitants in dialogic encounters vis-a-vis various environmental signs as well as imaginary and real interlocutors.</t>
  </si>
  <si>
    <t>1695-9752</t>
  </si>
  <si>
    <t>1578-9705</t>
  </si>
  <si>
    <t>10.11156/aibr.140103</t>
  </si>
  <si>
    <t>WOS:000458203700003</t>
  </si>
  <si>
    <t>Wittman, FD</t>
  </si>
  <si>
    <t>Wittman, Friedner D.</t>
  </si>
  <si>
    <t>Community control of alcohol and drug risk environments: The California experience</t>
  </si>
  <si>
    <t>SUBSTANCE USE &amp; MISUSE</t>
  </si>
  <si>
    <t>6th Kettil-Bruun-Society Symposium on Community-Based Prevention of Alcohol and Drug-Related Programs</t>
  </si>
  <si>
    <t>FEB 27-MAR 03, 2005</t>
  </si>
  <si>
    <t>Mandura, AUSTRALIA</t>
  </si>
  <si>
    <t>Kettil Bruun Soc</t>
  </si>
  <si>
    <t>This article describes California community (city, county) uses of local powers and resources to prevent alcohol and other drug(1) (AOD) problems by managing AOD risk environments in retail, public, and social domains. The article presents a promising framework used in several counties dedicated to community environment approaches to prevention. A case example of its application is provided. The framework has dei,eloped locally since the mid 1980s through AOD prevention demonstration grant research, policy advocacy, and state support for local initiatives. Data for this article come from the author's experience observing and consulting with California cities and counties over 25 Years.</t>
  </si>
  <si>
    <t>1082-6084</t>
  </si>
  <si>
    <t>1532-2491</t>
  </si>
  <si>
    <t>12-13</t>
  </si>
  <si>
    <t>10.1080/10826080701532833</t>
  </si>
  <si>
    <t>WOS:000251641400003</t>
  </si>
  <si>
    <t>Zukerman, I; Guttmann, C</t>
  </si>
  <si>
    <t>Ardissono, L; Brna, P; Mitrovic, A</t>
  </si>
  <si>
    <t>Modeling agents that exhibit variable performance in a collaborative setting</t>
  </si>
  <si>
    <t>USER MODELING 2005, PROCEEDINGS</t>
  </si>
  <si>
    <t>Lecture Notes in Artificial Intelligence</t>
  </si>
  <si>
    <t>10th International Conference on User Modeling</t>
  </si>
  <si>
    <t>JUL 24-29, 2005</t>
  </si>
  <si>
    <t>Edinburgh, SCOTLAND</t>
  </si>
  <si>
    <t>In a collaborative environment, knowledge about collaborators' skills is an important factor when determining which team members should perform a task. However, this knowledge may be incomplete or uncertain. In this paper, we extend our ETAPP (Environment-Task-Agents-Policy-Protocol) collaboration framework by modeling team members that exhibit non-deterministic performance, and comparing two alternative ways of using these models to assign agents to tasks. Our simulation-based evaluation shows that performance variability has a large impact on task performance, and that task performance is improved by consulting agent models built from a small number of observations of agents' recent performance.</t>
  </si>
  <si>
    <t>Zukerman, Ingrid/0000-0003-2237-5017</t>
  </si>
  <si>
    <t>1611-3349</t>
  </si>
  <si>
    <t>3-540-27885-0</t>
  </si>
  <si>
    <t>WOS:000231387200026</t>
  </si>
  <si>
    <t>Pisaniello, JD; McKay, J</t>
  </si>
  <si>
    <t>Australian community responses to upgraded farm dam laws and cost-effective spillway modelling</t>
  </si>
  <si>
    <t>Recent attention to farm dams and dam safety in Australia and elsewhere reflects both safety and sustainability issues, and is driven by the fact that since built, many dam safety aspects have changed, e.g. population distributions, meteorological information, estimates of rainfall and runoff, engineering methods, and design standards and techniques. Farmers in Australia have often overlooked the common law obligation to review/design dams in line with current standards because of high engineering consulting costs: this leaves them vulnerable to litigation if their dam fails and the downstream community is susceptible to unacceptable risk levels. The seriousness of this problem has been demonstrated by case studies undertaken in the policy-absent State of South Australia and the policy-driven State of Victoria. In each state, ten hazardous private reservoirs were investigated for spillway adequacy in line with state-of-the-art practice. The investigation follows the release of an innovative Australian developed cost-effective spillway. design/review procedure that has been made available and promoted in both states to minimize cost burdens to dam owners and encourage better dam safety management. Recent surveys undertaken in South Eastern Australia to test community attitudes to the procedure and implemented dam safety and water allocation policy in Victoria are also reported. These surveys together with the 'spillway adequacy' investigations clearly demonstrate that farmers require more than awareness and encouragement to ensure they look after their dams properly.</t>
  </si>
  <si>
    <t>mckay, Jennifer/A-9035-2008; Pisaniello, John/F-3985-2013</t>
  </si>
  <si>
    <t>mckay, Jennifer/0000-0002-1190-3286; Pisaniello, John/0000-0002-3273-5576</t>
  </si>
  <si>
    <t>1360-0648</t>
  </si>
  <si>
    <t>10.1080/07900620500036455</t>
  </si>
  <si>
    <t>WOS:000230307600009</t>
  </si>
  <si>
    <t>Leicht, KT; Walter, T; Sainsaulieu, I; Davies, S</t>
  </si>
  <si>
    <t>Leicht, Kevin T.; Walter, Tony; Sainsaulieu, Ivan; Davies, Scott</t>
  </si>
  <si>
    <t>New Public Management and New Professionalism across Nations and Contexts</t>
  </si>
  <si>
    <t>CURRENT SOCIOLOGY</t>
  </si>
  <si>
    <t>The professions in the West are undergoing unprecedented calls for greater accountability and efficiency in service delivery. This article links these changes to recent developments in institutional theory that emphasize shifting salience of technical over symbolic organizational environments. The analysis of the adaptations to these changes in French and British healthcare, Canadian education and US managerial consulting suggest that country-specific responses to neoliberal institutional pressures are highly path dependent. The article concludes by suggesting a research program for the future study of the cross-national responses of professional groups to neoliberal economic and political ideologies.</t>
  </si>
  <si>
    <t>0011-3921</t>
  </si>
  <si>
    <t>1461-7064</t>
  </si>
  <si>
    <t>10.1177/0011392109104355</t>
  </si>
  <si>
    <t>WOS:000267635900006</t>
  </si>
  <si>
    <t>Soethe, GC; Blanchet, LA</t>
  </si>
  <si>
    <t>Soethe, Ghabriel Campigotto; Blanchet, Luiz Alberto</t>
  </si>
  <si>
    <t>Distributed generation and national development</t>
  </si>
  <si>
    <t>A&amp;C-REVISTA DE DIREITO ADMINISTRATIVO &amp; CONSTITUCIONAL</t>
  </si>
  <si>
    <t>Through a literature review, law observing and consulting to government websites, a concrete solution is sought to enable electricity an important material assumption of Sustainable Development. In 2004, the Distributed Generation was introduced into the Brazilian legal system as an institute, but only in 2012, the access to it systems got realized. The number of connections got an exponential growth recently, but its potential still latent. Once given its complexity as a subsystem of Brazilian Electricity Sector, Distributed Generation has shown peculiarities that may improve the Sustainable Development, only made possible due to the hypothetic-deductive science method.</t>
  </si>
  <si>
    <t>BLANCHET, LUIZ ALBERTO/ABD-3225-2020</t>
  </si>
  <si>
    <t>BLANCHET, LUIZ ALBERTO/0000-0003-1163-0342</t>
  </si>
  <si>
    <t>1516-3210</t>
  </si>
  <si>
    <t>1984-4182</t>
  </si>
  <si>
    <t>10.21056/aec.v20i79.1221</t>
  </si>
  <si>
    <t>WOS:000540034900008</t>
  </si>
  <si>
    <t>Bokhove, O; Hicks, T; Zweers, W; Kent, T</t>
  </si>
  <si>
    <t>Bokhove, Onno; Hicks, Tiffany; Zweers, Wout; Kent, Tomas</t>
  </si>
  <si>
    <t>Wetropolis extreme rainfall and flood demonstrator: from mathematical design to outreach</t>
  </si>
  <si>
    <t>HYDROLOGY AND EARTH SYSTEM SCIENCES</t>
  </si>
  <si>
    <t>Government and consulting experts on flood mitigation generally face difficulties when trying to explain the science of extreme flooding to the general public, in particular the concept of a return period. Too often, for example, people perceive they are safe for the next 100 years after a 1 V 100-year return-period flood has hit their town. UK flood practitioners therefore gave us the challenge to design an out-reach tool that conceptualises the science of flooding in a way that is accessible to and directly engages the public, and in particular demonstrates what a return period is. Furthermore, we were tasked with designing a live 3-D physical model rather than a graphical or animated 2-D game on a screen. We show here how we tackled that challenge by designing, constructing, and showcasing the Wetropolis Flood Demonstrator. Wetropolis is a transportable and conceptual physical model with random rainfall, river flow, a flood plain, an upland reservoir, a porous moor, representing the upper catchment and visualising groundwater flow, and a city which can flood following extreme and random rainfall. A key novelty is the supply of rainfall every Wetropolis day. Several aspects of Wetropolis are considered. i. We present the modular mathematical and numerical design on which Wetropolis is based. It guided the choice of parameter values of Wetropolis, which was loosely inspired by the Leeds Boxing Day floods of the River Aire in 2015. The design model further serves as the building block and inspiration for adaptations suited to particular local demands. Moreover, the model is purposely lean and therefore quick to compute, serving flexibility in the outreach-tool design, but is less suitable for any detailed scientific validation. ii. The constructed Wetropolis is described here in broad terms, but we include a link to a GitHub site with details to inspire other bespoke designs. The goal, again, is to facilitate new adaptations of Wetropolis for particular catchments different to the Leeds River Aire case. iii. Our experience in showcasing Wetropolis is summarised and discussed, with the purpose of giving an overview as well as inspiring improved and bespoke adaptations. While Wetropolis should be experienced live, with videos found on the GitHub site, here we provide a photographic overview. To date, Wetropolis has been showcased to 500 to 1000 people at public workshops and exhibitions on recent UK floods, as well as to flood practitioners and scientists at various research and stakeholder workshops. iv. We conclude with some ongoing design changes, including how people can experience natural flood management in a revised Wetropolis design. Finally, we also discuss how Wetropolis, although originally focussed solely on outreach, led to a new cost-effectiveness analysis and protocol for assessing flood-mitigation plans and inspired other physical models for use in education and water management.</t>
  </si>
  <si>
    <t>Bokhove, Onno/0000-0002-5681-4252</t>
  </si>
  <si>
    <t>1027-5606</t>
  </si>
  <si>
    <t>1607-7938</t>
  </si>
  <si>
    <t>MAY 14</t>
  </si>
  <si>
    <t>10.5194/hess-24-2483-2020</t>
  </si>
  <si>
    <t>WOS:000535232500001</t>
  </si>
  <si>
    <t>Owusu-Manu, D; Quaigrain, R; Edwards, DJ</t>
  </si>
  <si>
    <t>Owusu-Manu, D.; Quaigrain, R.; Edwards, D. J.</t>
  </si>
  <si>
    <t>Barriers constraining management innovation (MI) adoption in the Ghanaian construction consulting sector A case study</t>
  </si>
  <si>
    <t>Purpose - The purpose of this paper is to critically examine and report upon the barriers that constrain MI within the Ghanaian construction consulting sector. Globalization and the shift towards knowledge-based economies have encouraged organizations to adopt management innovation (MI) as a means of increasing market share and creating competitive leverage. Organizations within developing countries, such as Ghana, have followed this global trend, but barriers continue to affect MI adoption. Design/methodology/approach - The research is positioned within a mixed methods deductive methodological tradition and is undertaken via a three-stage iterative approach. First, the research synthesizes relevant literature to identify 14 potential barriers to MI adoption. Second, using convenient and snowball sampling techniques, structured survey questionnaires were distributed to 70 consulting firms within the Kumasi metropolis; a high 78.5 per cent response rate was returned. Third, data were analyzed using descriptive statistics and principal component (factor) analysis to determine underlying barriers that restrict MI adoption. Findings - The barriers to MI adoption are contained within four inextricably linked factor groups: organizational structural influences, flow of information, institutional constraints and costs of innovations. The findings demonstrate that innovation thrives in an organizational environment that nurtures creativity, staff development, moderate risk taking and idea generation and management albeit, the external economic environment must also be conducive to facilitating innovation within companies and organizations. Practical implications - Innovation within construction companies is a prerequisite requirement for a dynamic and competitive economy because it nurtures self-regulating free market behavior, which creates considerable benefit to an economy. Such an attribute is particularly attractive for the developing country of Ghana, which has historically suffered from recurrent social, political and economic pressures. Hence, the research findings will be of practical interest to policymakers, academics and industrialists who have a vested interest in improving the performance of the Ghanaian economy. It will also be of interest to others within developing countries who are experiencing similar issues. Originality/value - This research work builds upon the work of previous scholars in this field and investigates the barriers to implementing MI in Ghana. The paper's findings will be useful to organizations and government policymakers who seek to increase business performance within a free market and profitability in an ever increasingly competitive world.</t>
  </si>
  <si>
    <t>10.1108/JEDT-10-2014-0067</t>
  </si>
  <si>
    <t>WOS:000216278300007</t>
  </si>
  <si>
    <t>Weymouth, R; Hartz-Karp, J; Marinova, D</t>
  </si>
  <si>
    <t>Weymouth, Robert; Hartz-Karp, Janette; Marinova, Dora</t>
  </si>
  <si>
    <t>Repairing Political Trust for Practical Sustainability</t>
  </si>
  <si>
    <t>High levels of trust in government are important in addressing complex issues, including the realization of the mainstream sustainability agenda. However, trust in government has been declining for decades across the western world, undermining legitimacy and hampering policy implementation and planning for long-term sustainability. We hypothesize that an important factor in this decline is citizen disappointment with the current types of public participation in governance and that this could be reversed through a change from informing/consulting to a relationship of partnership. Using case studies from Western Australia, the paper investigates whether an intervention targeted at establishing a partnership relationship through mini-public, deliberative, participatory budgeting would improve trust and help the implementation of sustainability. These results show evidence of improvements in trust and provide conceptual and practical tools for government administrations wishing to close the detrimental trust gap that may hamper the implementation of a sustainability agenda.</t>
  </si>
  <si>
    <t>Marinova, Dora/H-2093-2013</t>
  </si>
  <si>
    <t>Marinova, Dora/0000-0001-5125-8878</t>
  </si>
  <si>
    <t>10.3390/su12177055</t>
  </si>
  <si>
    <t>WOS:000569678900001</t>
  </si>
  <si>
    <t>Petek, J; Glavic, P</t>
  </si>
  <si>
    <t>Improving the sustainability of regional cleaner production programs</t>
  </si>
  <si>
    <t>The sustainability of cleaner production programs requires long-term co-operation between governments, both local and at State level, the university and industry. The presented approach to sustaining cleaner production activities in a region consists of three phases: the initiation, the basic capacity level and the sustainability phase. The initiation phase demands initial funds from donors, experts from universities and case studies in industry. The basic capacity level for further popularization and dissemination of cleaner production principles is achieved by establishing and operating a cleaner production center and/or spin-off company. The former operates primarily in a promotional and research environment, while the latter is typical of the business and development environment. Besides establishing long-term co-operation with stakeholders, a local cleaner production program should be started in the sustainability phase and only on the basis of its results can regional programs be set up to ensure the sustaining of cleaner production activities in the region. The first cleaner production project in Slovenia was initiated by the Graz University of Technology and the University of Maribor. The project was supported by the Austrian and Slovene Governments. Later on proposals were made to found a national cleaner production center. UNIDO was willing to support it but the Slovene side did not show interest in time and the project was thus not realized. When the Slovene Government eventually was willing to support it, UNIDO would not be ready to provide the financial means any more. Consequently, the local government and the Faculty of Chemistry and Chemical Engineering joined forces and a new cleaner production project in the textile industry was launched. The project was then expanded to include a consulting company, which resulted in the emerging of a spin-off company now located in the Styrian Technological Park. This spin-off company has already initiated and carried out numerous projects in the fields of cleaner production and rational energy consumption. Alongside the university, consulting companies and industry, it also works in collaboration with international companies. (C) 2000 Elsevier Science B.V. All rights reserved.</t>
  </si>
  <si>
    <t>Glavic, Peter/U-1665-2019</t>
  </si>
  <si>
    <t>Glavic, Peter/0000-0001-7344-6482</t>
  </si>
  <si>
    <t>10.1016/S0921-3449(99)00051-8</t>
  </si>
  <si>
    <t>WOS:000087525800002</t>
  </si>
  <si>
    <t>Oduro, KA; Arts, B; Hoogstra-Klein, MA; Kyereh, B; Mohren, GMJ</t>
  </si>
  <si>
    <t>Oduro, K. A.; Arts, B.; Hoogstra-Klein, M. A.; Kyereh, B.; Mohren, G. M. J.</t>
  </si>
  <si>
    <t>Exploring the future of timber resources in the high forest zone of Ghana</t>
  </si>
  <si>
    <t>Ghana's forests, particularly the timber resources, face an uncertain future, because of high deforestation rate, a rapidly declining timber resource base, rapid population growth and increasing demand for timber. This paper explores the future development of timber resource in Ghana by constructing scenarios and considering options policy-makers could take to ensure sustainable future development of the timber resource. Data was collected by reviewing the literature and consulting experts. The scenarios follow the deductive approach, exploring the potential interactions among key driving forces as selected by experts. The two most important driving forces for the future of timber resources selected by the experts were forest governance and resource demand. Four plausible scenarios were developed: legal forestry scenario with emphasis on improving the resource base to meet high demand; forest degradation, a business-as-usual scenario; forest transition, with emphasis on expanding the resource base in response to environmental concerns; and timber substitution scenario seeking to provide wood substitutes to conserve the resource base. The scenarios provide insights for policy making and strategic planning for forest resource management in Ghana. To ensure a sustainable future for timber resources, policy reform is needed, focusing on land and tree tenure, revenue capture, benefit-sharing schemes and satisfying the domestic demand for timber.</t>
  </si>
  <si>
    <t>Mohren, Godefridus M.J./C-5608-2015</t>
  </si>
  <si>
    <t>Mohren, Godefridus M.J./0000-0002-7004-4602</t>
  </si>
  <si>
    <t>10.1505/146554814814095320</t>
  </si>
  <si>
    <t>WOS:000346628300006</t>
  </si>
  <si>
    <t>Sin, HG; Joo, YJ</t>
  </si>
  <si>
    <t>Sin, Heung Gweon; Joo, Yong Jin</t>
  </si>
  <si>
    <t>Development of urban disaster evacuation model using Cube Avenue</t>
  </si>
  <si>
    <t>SPATIAL INFORMATION RESEARCH</t>
  </si>
  <si>
    <t>On account of industrialization and automobiles all over the world, air pollution is getting worse and climate warming is ongoing. Therefore, a disaster evacuation plan which is the most important factor in a disaster situation has been also under the spotlight. The total damages by the natural or man-made disasters during the past years resulted in tremendous fatalities and recovery costs. It is necessary to have efficient emergency evacuation management which is concerned with estimating the time to evacuate the disaster and identifying the bottleneck. Most of the studies related to domestic disaster evacuation models were mainly for indoor space or structure and mainly focused on the disaster evacuation in indoor using micro simulation software. There are few cases where a disaster evacuation model is applied to a city or a wide area. Therefore, the purpose of this study is to construct a medium scale urban disaster evacuation model for dynamic analysis that can utilize data and network of existing macro demand model to save time and budget by using Cube Avenue and performed evacuation simulation, targeting road network in Gangnam-gu, Seoul. Consequently, suggested a model in this study is used to carry out a dynamic analysis using the network and the input variable of existing travel demand model. The results of this study show that the model is an appropriate tool for an areawide emergency evacuation analysis to save time and cost. Henceforth, the results of this study can be applied for the development of the consulting industry in the urban and transportation fields through the development of the disaster management policy evaluation model in relation to the disaster management policy evaluation in Korea.</t>
  </si>
  <si>
    <t>2366-3286</t>
  </si>
  <si>
    <t>2366-3294</t>
  </si>
  <si>
    <t>10.1007/s41324-017-0113-7</t>
  </si>
  <si>
    <t>WOS:000413301600018</t>
  </si>
  <si>
    <t>Wright, TSA</t>
  </si>
  <si>
    <t>Wright, Tarah Sharon Alexandra</t>
  </si>
  <si>
    <t>Giving teeth to an environmental policy: a Delphi study at Dalhousie University</t>
  </si>
  <si>
    <t>This paper assesses the effectiveness of using the Delphi method in constructing an implementation plan for university sustainability policies using the case study of Dalhousie University. The objectives of the case study were twofold. First, the study endeavored to develop ideas as to the most desirable and feasible ways in which to incorporate the sustainability policy into the activities and structure of the university. Second, the study sought to assess the applicability of the Delphi technique for consulting with stakeholders in the development of an implementation plan, as this tool had not been used in this specific context before. (c) 2006 Elsevier Ltd. All rights reserved.</t>
  </si>
  <si>
    <t>9-11</t>
  </si>
  <si>
    <t>10.1016/j.jclepro.2005.12.007</t>
  </si>
  <si>
    <t>WOS:000237756800002</t>
  </si>
  <si>
    <t>Geldermann, J; Avci, N; Schollenberger, H; Blumel, F; Rentz, O</t>
  </si>
  <si>
    <t>Mass and energy flow management in the sector of surface treatment</t>
  </si>
  <si>
    <t>26th FATIPEC Congress</t>
  </si>
  <si>
    <t>SEP 09-11, 2002</t>
  </si>
  <si>
    <t>DRESDEN, GERMANY</t>
  </si>
  <si>
    <t>Vehicle refinishing body shops are concerned by the environmental policy against photochemical air pollution caused by VOC emissions. For supporting these small enterprises the mass and energy flow model IMPROVE has been developed. Based on an LCA-approach, the process steps of vehicle refinishing are modelled. The model IMPROVE helps to disseminate the consequences of product substitution in comparison to so far used products and techniques in the body shop. For the dissemination of experiences practical guidelines have been developed. Moreover, a comprehensible tool for the Solvent Balance is being offered. Thus, various means are available for consulting and also for strategic production planning for the SME in the sector.</t>
  </si>
  <si>
    <t>Geldermann, Jutta/0000-0002-6437-0305</t>
  </si>
  <si>
    <t>10.1002/1521-3900(200209)187:1&lt;801::AID-MASY801&gt;3.0.CO;2-P</t>
  </si>
  <si>
    <t>WOS:000177886700078</t>
  </si>
  <si>
    <t>Davey, T; Galan-Muros, V</t>
  </si>
  <si>
    <t>Davey, Todd; Galan-Muros, Victoria</t>
  </si>
  <si>
    <t>Understanding entrepreneurial academics - how they perceive their environment differently</t>
  </si>
  <si>
    <t>JOURNAL OF MANAGEMENT DEVELOPMENT</t>
  </si>
  <si>
    <t>Purpose Academic entrepreneurship is seen as a pathway for universities to create value from their knowledge. However, there has been a lack of clarity about what activities constitute academic entrepreneurship, the different type of entrepreneurial academics and how their perceptions of their environment relate to their engagement. Design/methodology/approach Drawing on a large data set of 10,836 responses across 33 countries, the empirical study investigates European academics who undertake four academic entrepreneurship activities (spin-out creation, commercialisation of R&amp;D results, joint R&amp;D and consulting) to determine if they perceive the environment for academic entrepreneurship differently than those who undertake only some of the activities and those undertaking none at all. Findings The findings show that less than 1% of academics undertake exclusively spin-offs creation or R&amp;D commercialisation; however, the majority also engage in other entrepreneurial activities such as joint R&amp;D and consulting and even other education and management engagement activities with industry. In addition, entrepreneurial academics in Europe perceive significantly higher motivators and more developed supporting mechanisms for academic entrepreneurship. However, their perceptions of barriers are similar. Practical implications At a managerial and policy level, the study results call into question universities prioritising a narrow view of academic entrepreneurship which focusses only on spin-offs creation and R&amp;D commercialisation. Instead, a broader view of academic entrepreneurship is recommended and appropriate mechanisms in place to enable academics to achieve research outcomes from their entrepreneurial activity. Originality/value This paper offers an important contribution on how the perception of the environment contributes to the development of entrepreneurial behaviour in individual academics.</t>
  </si>
  <si>
    <t>0262-1711</t>
  </si>
  <si>
    <t>1758-7492</t>
  </si>
  <si>
    <t>10.1108/JMD-09-2019-0392</t>
  </si>
  <si>
    <t>WOS:000538065300001</t>
  </si>
  <si>
    <t>Wright, C; Nyberg, D; Grant, D</t>
  </si>
  <si>
    <t>Wright, Christopher; Nyberg, Daniel; Grant, David</t>
  </si>
  <si>
    <t>Hippies on the third floor: Climate Change, Narrative Identity and the Micro-Politics of Corporate Environmentalism</t>
  </si>
  <si>
    <t>ORGANIZATION STUDIES</t>
  </si>
  <si>
    <t>Climate change discourse permeates political and popular consciousness, challenging the ecological sustainability of our economic system and the business models that underpin it. Not surprisingly climate change has become an increasingly divisive and partisan political issue. While a growing literature has sought to address how business organizations are responding to climate change, the subjective perceptions of managers on this issue have received less attention. In this article we contribute to an understanding of the dynamic interaction between identities and organizations, by showing how sustainability managers and consultants balance tensions and contradictions between their own sense of self and the various work and non-work contexts in which they find themselves. Based on a qualitative, social constructivist method, we examine how these individuals develop different identities in negotiating between conflicting discourses and their sense of self. We explore how these different identities arise, interact and inform responses to climate change in different settings, and then demonstrate how individuals seek to overcome conflicts between identities in constructing a coherent narrative of themselves and their careers. In doing so, the article highlights how identity work is central to the micro-political enactment of business responses to climate change, and how, for some, the climate crisis provides an impetus for personal reinvention as a moral agent of change.</t>
  </si>
  <si>
    <t>0170-8406</t>
  </si>
  <si>
    <t>10.1177/0170840612463316</t>
  </si>
  <si>
    <t>WOS:000311334100002</t>
  </si>
  <si>
    <t>Rippe, KP; Schaber, P</t>
  </si>
  <si>
    <t>Democracy and environmental decision-making</t>
  </si>
  <si>
    <t>ENVIRONMENTAL VALUES</t>
  </si>
  <si>
    <t>It has been argued that environmental decision-making can be improved be introducing citizen panels. The authors argue that citizen panels and other models of citizen participation should only be used as a consulting forum in exceptional cases at the local level, not as a real decision-making procedure. But many problems in the field of environmental policy need nonlocal, at least regional or national, regulation due to the fact that they are of national importance. The authors argue that there are good reasons not to institutionalise national citizen panels. They advocate the view that more reasonable and more competent solutions can be found by introducing forms of direct democracy.</t>
  </si>
  <si>
    <t>0963-2719</t>
  </si>
  <si>
    <t>10.3197/096327199129341725</t>
  </si>
  <si>
    <t>WOS:000078993500005</t>
  </si>
  <si>
    <t>Rautalin, M; Syvatera, J; Vento, E</t>
  </si>
  <si>
    <t>Rautalin, Marjaana; Syvatera, Jukka; Vento, Eetu</t>
  </si>
  <si>
    <t>International organizations establishing their scientific authority: Periodizing the legitimation of policy advice by the OECD</t>
  </si>
  <si>
    <t>INTERNATIONAL SOCIOLOGY</t>
  </si>
  <si>
    <t>This article contributes to the periodization of 'scientization' by scrutinizing how international organizations (IOs) have evolved into such scientific authorities as many of them are today. The authors examine the Organisation for Economic Co-operation and Development (OECD), and its Economic Surveys during the period 1965-2015. The study sheds light on how scientific authority manifests in IOs' reporting and policy recommendations directed at national governments. First, the analysis scrutinizes how science figures rhetorically in reports. Secondly, it focuses on policy recommendations and their connection to the scientific content of these reports. The results show that although the reports were portrayed as 'scientific' already in the 1960s, in the 2000s the reporting clearly shifted from the language of economics towards more popularized consulting language. The authors argue that these changes are due to the OECD's reactions to transformations in the wider institutional environment and occasioned by its endeavours to appear as a significant actor in knowledge-based policymaking.</t>
  </si>
  <si>
    <t>0268-5809</t>
  </si>
  <si>
    <t>1461-7242</t>
  </si>
  <si>
    <t>10.1177/0268580920947871</t>
  </si>
  <si>
    <t>WOS:000599625300001</t>
  </si>
  <si>
    <t>Nunes, BT; Pollard, SJT; Burgess, PJ; Ellis, G; de los Rios, IC; Charnley, F</t>
  </si>
  <si>
    <t>Nunes, Ben Tirone; Pollard, Simon J. T.; Burgess, Paul J.; Ellis, Gareth; de los Rios, Irel Carolina; Charnley, Fiona</t>
  </si>
  <si>
    <t>University Contributions to the Circular Economy: Professing the Hidden Curriculum</t>
  </si>
  <si>
    <t>In a world dominated by linear economic systems, the road to improving resource use is multi-faceted. Whilst public and private organisations are making progress in introducing sustainable practices, we ask ourselves the extent to which education providers are contributing to the circular economy. As engines for skills and knowledge, universities play a primary role in propelling circular economy approaches into reality and, as such, hold the potential for raising the bar on sustainable performance. A rapid evidence assessment (REA) was therefore undertaken to examine the interactions between university estate management and the circular economy. This assessment identified six pertinent themes: campus sustainability, the hidden curriculum, environmental governance, local impact, university material flows, and the role of universities as catalysts for business and examined 70 publications. A second part of the study reviewed the environmental activities of 50 universities ranked highly in terms of their environmental credentials or their environmental science courses. The results are presented and then discussed in terms of how universities can affect material flows, promote sustainability outside of the formal curriculum, and act as catalysts with business. The economic significance of universities provides an appreciable demand for circular products and services. Universities should develop hidden curriculum plans to promote improved environmental behaviours of staff and students. Universities can also catalyse a circular economy by working with business to improve eco-effectiveness as well as eco-efficiency. For example, projects should extend the focus from decreasing carbon footprint to achieving carbon positivity, from improving water efficiency to treating wastewater, and from recycling to reverse logistics for repurposing. Pilot projects arising from such work could provide valuable research bases and consultancy opportunities.</t>
  </si>
  <si>
    <t>Burgess, Paul/B-3963-2011; Pollard FREng, Simon/C-9848-2009</t>
  </si>
  <si>
    <t>10.3390/su10082719</t>
  </si>
  <si>
    <t>WOS:000446767700135</t>
  </si>
  <si>
    <t>De Fuentes, C; Porcuna, R</t>
  </si>
  <si>
    <t>De Fuentes, Cristina; Porcuna, Ruben</t>
  </si>
  <si>
    <t>Main drivers of consultancy services: A meta-analytic approach</t>
  </si>
  <si>
    <t>JOURNAL OF BUSINESS RESEARCH</t>
  </si>
  <si>
    <t>This meta-analysis incorporates the results from 34 separate studies examining fee models for consultancy services whereby the consulting firm provides both audit and advisory services to its customers. The findings indicate a number of key determinants of consultancy bills: client size, audit fees, auditors being from a Big Audit Firm, client's financial difficulties, and prior experience with the legal auditors. Conversely, the meta-results fail to correlate the variable of interest with several constructs commonly used in consultancy models such as the auditee's inherent risk, the client's financial debt, or the audit opinion. The study also explores the influence of three moderators: the Sarbanes-Oxley Act, the legal environment, and the type of statutory auditor. The overall moderator results are robust but fail to group prior data into homogeneous sets. The findings are relevant for policy makers, audit scholars, and stakeholders. (C) 2016 Elsevier Inc. All rights reserved.</t>
  </si>
  <si>
    <t>Porcuna Enguix, Ruben/H-5321-2015</t>
  </si>
  <si>
    <t>0148-2963</t>
  </si>
  <si>
    <t>1873-7978</t>
  </si>
  <si>
    <t>10.1016/j.jbusres.2016.04.029</t>
  </si>
  <si>
    <t>WOS:000383936800009</t>
  </si>
  <si>
    <t>Orderud, GI</t>
  </si>
  <si>
    <t>Orderud, Geir Inge</t>
  </si>
  <si>
    <t>Climate change knowledge acquisition in Norway's municipalities</t>
  </si>
  <si>
    <t>Purpose - The purpose of this article is to document and analyse the information network available to municipal mayors in Norwegian municipalities and environmental officers in the municipal administration, covering both public and private information sources. Design/methodology/approach - The study is based on a quantitative methodology. Survey data from a sample of all Norwegian municipalities are analysed, and explorative statistics, correlations and regression analysis are applied. Findings - The most important information sources for Norwegian mayors are science, the County governor's environmental department and the municipal environmental officer, with consultancy playing a minor role. In the case of science, it is noticeable that females, central municipalities, and the disciplines of humanities and environment contribute to the strong position of science. Furthermore, the left axis of politics increases the quantity of intra-municipal information sources. The most important contact points for the environmental officer are the County Governor and other primary municipalities. The county municipality, consultancy and research are of lesser importance. It is noticeable that full-time environmental officers have a broader climate change information network than part-time officers. Furthermore, a higher level of education is linked to increased interaction with other public sector actors. Practical implications - The study documents a multi-level governance of networking. The differences between full-time and part-time environmental officers should stimulate a debate and motivate further research to determine whether funding full-time positions by the central government could foster more effective local climate change policies. Originality/value - The study's value lies in its contribution to the climate governance literature, deepening our understanding of the role of different information sources and actors in facilitating sound climate change and environmental policies.</t>
  </si>
  <si>
    <t>10.1108/17568691111175696</t>
  </si>
  <si>
    <t>WOS:000298828400008</t>
  </si>
  <si>
    <t>DasGupta, R; Hashimoto, S; Okuro, T; Basu, M</t>
  </si>
  <si>
    <t>DasGupta, Rajarshi; Hashimoto, Shizuka; Okuro, Toshiya; Basu, Mrittika</t>
  </si>
  <si>
    <t>Scenario-based land change modelling in the Indian Sundarban delta: an exploratory analysis of plausible alternative regional futures</t>
  </si>
  <si>
    <t>SUSTAINABILITY SCIENCE</t>
  </si>
  <si>
    <t>The paper narrates an empirical research conducted for developing four alternative socio-ecological scenarios for the lower Gangetic delta in India (aka the Indian Sundarban). We used the Story and Simulation (SAS) approach' to build four short-term, landscape-scale scenarios for 2030, which include a Business as Usual (BAU)', and three alternative scenarios, namely Market forces', Delta Republic' and Green Sundarban'. The storylines were built after careful screening of existing development and conservation plans, as well as by consulting local government officials. The storylines were then simulated using the Multi-Layer Perceptron-Markov Chain Analysis (MLP-MCA) model, with a multitude of factors, constraints, and attributes for each scenario. Historical and current land use maps of 2006 and 2016, derived from Landsat series (ETM+ and OLI), were used as the fundamental input to the model, which were also utilized to locate decadal changes, create several independent driver variables, calculate transition potentials and ultimately to develop future land use maps. To generate the scenarios, we used a Linear Programming (LP)-based land demand optimization method to alter the transition potential matrix. Our results indicated considerable loss of mud/tidal flats and viz.-a-viz. increase in river/water areas under all the four scenarios. We further observed moderate to a significant expansion of aquaculture for all the scenarios, with an almost two-fold increase under the Market forces scenario. In addition, three of the four scenarios indicated moderate loss of mangroves. The future extent of mangroves may vary from 1997.92km(2) (BAU) to 2172.25km(2) (Green Sundarban), which indicates to 3.72% overall decline (0.31% decline/year) to 4.67% (or 0.38% increase/year) overall gain from the present extent. As such, the Green Sundarban scenario was identified to the best possible pathway to serve the conservation interests and future sustainability of the delta. The results from the scenario analysis remain imperative to understand, plan and prepare for the plausible alternative regional futures, thereby optimizing conservation and development through proactive policy planning.</t>
  </si>
  <si>
    <t>1862-4065</t>
  </si>
  <si>
    <t>1862-4057</t>
  </si>
  <si>
    <t>10.1007/s11625-018-0642-6</t>
  </si>
  <si>
    <t>WOS:000456977800017</t>
  </si>
  <si>
    <t>Alavi, N; Goudarzi, G; Babaei, AA; Jaafarzadeh, N; Hosseinzadeh, M</t>
  </si>
  <si>
    <t>Alavi, Nadali; Goudarzi, Gholamreza; Babaei, Ali Akbar; Jaafarzadeh, Nemat; Hosseinzadeh, Mohsen</t>
  </si>
  <si>
    <t>Municipal solid waste landfill site selection with geographic information systems and analytical hierarchy process: a case study in Mahshahr County, Iran</t>
  </si>
  <si>
    <t>Landfill siting is a complicated process because it must combine social, environmental and technical factors. In this study, in order to consider all factors and rating criteria, a combination of geographic information systems and analytical hierarchy process (AHP) was used to determine the best sites for disposal of municipal solid waste (MSW) in Mahshahr County, Iran. In order to the decision making for landfill siting a structural hierarchy formed and the most important criteria: surface water, sensitive ecosystems, land cover, urban and rural areas, land uses, distance to roads, slope and land type were chosen according to standards and regulations. Each criterion was evaluated by rating methods. In the next step the relative importance of criteria to each other was determined by AHP. Land suitability for landfill was evaluated by simple additive weighting method. According to the landfill suitability map, the study area classified to four categories: high, moderate, low and very low suitability areas, which represented 18.6%, 20.3%, 1.6 and 0.8% of the study area respectively. The other 58.7% of the study area was determined to be completely unsuitable for landfill. By considering the parameters, such as the required area for landfill, distance to MSW generation points, and political and management issues, and consulting with municipalities managers in the study area, six sites were chosen for site visiting. The result of field study showed that it is a supplementary, and necessary, step in finding the best candidate landfill site from land with high suitability.</t>
  </si>
  <si>
    <t>10.1177/0734242X12456092</t>
  </si>
  <si>
    <t>WOS:000312489000012</t>
  </si>
  <si>
    <t>Ruegg, M</t>
  </si>
  <si>
    <t>The Swiss Federal Dairy Research Station</t>
  </si>
  <si>
    <t>INTERNATIONAL JOURNAL OF DAIRY TECHNOLOGY</t>
  </si>
  <si>
    <t>The Federal Dairy Research Station (FAM) was established at the beginning of the last century. It is one of six agricultural research stations of the Swiss Department of Agriculture and the leading national research institute in dairy technology and consulting. It is part of the Swiss Centre of Competence for Animal Production and Foods of Animal Origin. Its mission is to improve the competitive position of the Swiss milk producers and dairy industry. The institute is organized into three functional areas corresponding to its well-established core competencies: (1) production of raw milk cheese and microorganisms for fermentation, (2) knowledge transfer and consultation for the dairy industry and beekeeping, and (3) testing of, and providing expertise on dairy and bee products. Research work is carried out using a multidisciplinary approach in a matrix organization. Two product- and customer-orientated technology units and one unit for consulting, contractual work and other services for the dairy industry are supported in their projects by three scientific and technical units (microbiology; chemistry, physics and sensory analysis; engineering and production) as well as by a unit offering central services. The 4-year research programmes are based on the strategic goals of the agricultural policy as well as on the current needs of the dairy industry. An advisory board oversees the preparation and execution of the projects. FAM is connected to an international network for both scientific work and supervisory tasks. Work is carried out within the background of the political strategy of a sustainable development including economic, ecological and social aspects. A primary research focus is therefore the avoidance of excessive processing of milk and dairy products, and keeping products natural and free of residues by applying only minimal, unavoidable treatments and additives.</t>
  </si>
  <si>
    <t>1364-727X</t>
  </si>
  <si>
    <t>10.1046/j.1471-0307.2003.00084.x</t>
  </si>
  <si>
    <t>WOS:000180969000002</t>
  </si>
  <si>
    <t>Burton, GA; NorbergKing, T; Ingersoll, CG; Benoit, DA; Ankley, GT; Winger, PV; Kubitz, J; Lazorchak, JM; Smith, ME; Greer, E; Dwyer, FJ; Call, DJ; Day, KE; Kennedy, P; Stinson, M</t>
  </si>
  <si>
    <t>Interlaboratory study of precision: Hyalella azteca and Chironomus tentans freshwater sediment toxicity assays</t>
  </si>
  <si>
    <t>ENVIRONMENTAL TOXICOLOGY AND CHEMISTRY</t>
  </si>
  <si>
    <t>Standard 10-d whole-sediment toxicity test methods have recently been developed by the U.S. Environmental Protection Agency (EPA) for the amphipod Hyalella azteca and the midge Chironomus tentans. An interlaboratory evaluation of method precision was performed using a group of seven to 10 laboratories, representing government, academia, and environmental consulting firms. The test methods followed the EPA protocols for 4-d water-only reference toxicant (KCl) testing (static exposure) and for 10-d whole-sediment testing. Test sediments included control sediment, two copper-containing sediments, and a sediment contaminated primarily with polycyclic aromatic hydrocarbons. Reference toxicant tests resulted in H. azteca and C. tentans median lethal concentration (LC50) values with coefficents of variation (CVs) of 15.8 and 19.6%, respectively. Whole sediments which were moderately contaminated provided the best estimates of precision using CVs. Hyalella azteca and C. tentans tests in moderately contaminated sediments exhibited LC50 CVs of 38.9 and 13.5%, respectively. The CV for C. tentans growth was 31.9%. Only 3% (1 of 28) of samples exceeded acceptable interlaboratory precision limits for the H. azteca survival tests. No samples exceeded the intralaboratory precision limit for H. azteca or C. tentans survival tests. However, intralaboratory variability limits for C. tentans growth were exceeded by 80 and 100% of the laboratories for a moderately toxic and control sample, respectively. Interlaboratory variability limits for C. tentans survival were not exceeded by any laboratory. The results showed these test methods to have relatively low variance and acceptable levels of precision in interlaboratory comparisons.</t>
  </si>
  <si>
    <t>0730-7268</t>
  </si>
  <si>
    <t>1552-8618</t>
  </si>
  <si>
    <t>10.1002/etc.5620150812</t>
  </si>
  <si>
    <t>WOS:A1996VF37100012</t>
  </si>
  <si>
    <t>Bailar, JC; Cicolella, A; Harrison, R; Ladou, J; Levy, BS; Rohm, T; Teitelbaum, DT; Wang, YD; Watterson, A; Yoshida, F</t>
  </si>
  <si>
    <t>Bailar, John C., III; Cicolella, Andre; Harrison, Robert; Ladou, Joseph; Levy, Barry S.; Rohm, Timothy; Teitelbaum, Daniel T.; Wang, Yung-Der; Watterson, Andrew; Yoshida, Fumikazu</t>
  </si>
  <si>
    <t>IBM, elsevier science, and academic freedom</t>
  </si>
  <si>
    <t>INTERNATIONAL JOURNAL OF OCCUPATIONAL AND ENVIRONMENTAL HEALTH</t>
  </si>
  <si>
    <t>Elsevier Science refused to publish a study of IBM workers that IBM sought to keep from public view. Occupational and environmental health (OEH) suffers from the absence of a level playing field on which science can thrive. Industry pays for a substantial portion of OEH research. Studies done by private consulting firms or academic institutions may be published if the results suit the sponsoring companies, or they may be censored. OEH journals often reflect the dominance of industry influence on research in the papers they publish, sometimes withdrawing or modifying papers in line with industry and advertising agendas. Although such practices are widely recognized, no fundamental change is supported by government and industry or by professional organizations.</t>
  </si>
  <si>
    <t>1077-3525</t>
  </si>
  <si>
    <t>2049-3967</t>
  </si>
  <si>
    <t>JUL-SEP</t>
  </si>
  <si>
    <t>10.1179/oeh.2007.13.3.312</t>
  </si>
  <si>
    <t>WOS:000249403200007</t>
  </si>
  <si>
    <t>Wright, SAL; Jacobsen, BH</t>
  </si>
  <si>
    <t>Wright, Stuart A. L.; Jacobsen, Brian H.</t>
  </si>
  <si>
    <t>Participation in the implementation of the Water Framework Directive in Denmark: The prospects for active involvement</t>
  </si>
  <si>
    <t>Public participation in the form of informing, consulting and actively involving all interested parties is required during the implementation of the Water Framework Directive (WFD). This paper discusses progress with implementation of the WED in Denmark and the measures taken to conform to the requirements for public participation. The first aim of the paper is to establish whether enough is being done regarding participation in Denmark, the conclusion being that whilst Denmark is in line with statutory requirements, consultation appears limited whilst evidence of active involvement is lacking. The paper then presents the Danish AGWAPLAN project which actively involved farmers in selecting measures to reduce diffuse nutrient pollution from agriculture. The second aim of the paper is to establish whether nationwide implementation of the AGWAPLAN concept is worthwhile. AGWAPLAN resulted in outcomes which could potentially increase the effectiveness of the WFD. Furthermore, the adoption of the project approach would also be one way to satisfy the requirement for active involvement in the Directive. However, some problems exist, relating to time, administrative costs, problems with control and the fact that additional measures to reduce N leaching would be necessary. Whether national implementation is worthwhile requires the weighing up of the advantages and disadvantages of the concept, which is ultimately a political decision.</t>
  </si>
  <si>
    <t>Jacobsen, Brian H/D-4187-2015</t>
  </si>
  <si>
    <t>Jacobsen, Brian H/0000-0002-0025-4399</t>
  </si>
  <si>
    <t>10.2166/wp.2010.081</t>
  </si>
  <si>
    <t>WOS:000288878400007</t>
  </si>
  <si>
    <t>Pierru, F</t>
  </si>
  <si>
    <t>Pierru, Frederic</t>
  </si>
  <si>
    <t>The Mandarin, the Administrator and the Consultant</t>
  </si>
  <si>
    <t>ACTES DE LA RECHERCHE EN SCIENCES SOCIALES</t>
  </si>
  <si>
    <t>The Mandarin, the Administrator and the Consultant In July 2009, the Parliament passed a law called Hospital, Patients, Health and Territorial Divisions that reforms both the governance of hospitals and their institutional environment. The first reform recognized and reinforced the power of the hospital director. The second established regional health agencies from the merger, at the regional level, of local public administrations and healthcare (social security) services. Inspired by a national reinterpretation of the main tenets of the new public management meant to make them compatible with the sectorial institutions inherited from the specific historical trajectory of the French state, this reform has been met by an unprecedented mobilization of the elites of medical practitioners and researchers. These groups have been excluded from the decision process to the benefit of other groups, both public and private, who defended a vision of hospital-based health services as an industry. Within this modernizing coalition, consulting firms played a key role. Thanks to the Revision generale des politiques publiques (RGPP), they manage to penetrate profitable markets upstream and downstream from the reform of public hospitals. The article thus focuses on the transformation of the reforming elites in the health sector within the overall context of the reform of the state symbolized by the RGPP, and on the possible disqualification of the medical elites, who owned legitimately medical issues theretofore.</t>
  </si>
  <si>
    <t>0335-5322</t>
  </si>
  <si>
    <t>WOS:000309896700003</t>
  </si>
  <si>
    <t>Sovacool, BK</t>
  </si>
  <si>
    <t>Sovacool, Benjamin K.</t>
  </si>
  <si>
    <t>Energy policy and cooperation in Southeast Asia: The history, challenges, and implications of the trans-ASEAN gas pipeline (TAGP) network</t>
  </si>
  <si>
    <t>This article explores the proposed multibillion dollar Trans-ASEAN Gas Pipeline (TAGP) network in Southeast Asia, focusing on the interests that have promoted the TAGP and why. Based on extensive field research, textual analysis of government reports, and more than 100 research interviews at government institutions, multilateral development banks, universities, consulting firms, energy companies, and nongovernmental organizations, this article assesses the challenges facing the TAGP in terms of promotion, implementation, and operation. It explores the genesis of the TAGP project and the drivers pushing Southeast Asian investment in natural gas, with a special emphasis on the development needs of the region. It also investigates the numerous technical, economic, legal, political, social, and environmental impediments to the TAGP project. The article concludes that the rhetoric of regional energy cooperation touted by the Association of Southeast Asian Nations (ASEAN) does not match its actual practice, and that in many cases discussions of regionalism and energy security are intended to obscure opportunistic thinking within individual countries. (C) 2009 Elsevier Ltd. All rights reserved.</t>
  </si>
  <si>
    <t>Sovacool, Benjamin/Y-2392-2019</t>
  </si>
  <si>
    <t>Sovacool, Benjamin/0000-0002-4794-9403</t>
  </si>
  <si>
    <t>10.1016/j.enpol.2009.02.014</t>
  </si>
  <si>
    <t>WOS:000266233300040</t>
  </si>
  <si>
    <t>Castro, DG; Gutierrez, VD; Kazak, J; Szewranski, S; Kaczmarek, I; Wang, T</t>
  </si>
  <si>
    <t>Garcia Castro, David; de Elizagarate Gutierrez, Victoria; Kazak, Jan; Szewranski, Szymon; Kaczmarek, Iwona; Wang, Tong</t>
  </si>
  <si>
    <t>New challenges in the improvement of the citizen participation processes of the urban management. Social innovation challenges</t>
  </si>
  <si>
    <t>CUADERNOS DE GESTION</t>
  </si>
  <si>
    <t>Cities face a great number of challenges nowadays, in order to guarantee their appeal and quality of life of their citizens. It's therefore fundamental to improve decision making processes, incorporating public opinion to them. Thus, citizen participation is a tool that clearly improves local governance and the decision-making process, as it allows policy makers to know first-hand their needs, demands and ideas. Nevertheless, the advantages of consulting the public on crucial issues are counterbalanced by many difficulties in managing the participation processes. Mainly due to the fact that participants in these processes, are not often aware of the economic, social and environmental implications of their decisions. The incorporation of new technologies in the decision-making process, can clearly help to overcome these difficulties. A software can display in real time the effect of the changes to the public space, under different variables and quality of life indexes. This research, through the incorporation of a software that helps in the space decision making to various group dynamics, analyses the usage of public participation and its effect.</t>
  </si>
  <si>
    <t>1131-6837</t>
  </si>
  <si>
    <t>1988-2157</t>
  </si>
  <si>
    <t>10.5295/cdg.170751dg</t>
  </si>
  <si>
    <t>WOS:000591857000002</t>
  </si>
  <si>
    <t>Chen, CP; Chien, CF; Lai, CT</t>
  </si>
  <si>
    <t>Chen, Ching-Pu; Chien, Chen-Fu; Lai, Chih-Tsung</t>
  </si>
  <si>
    <t>Cluster policies and industry development in the Hsinchu Science Park: A retrospective review after 30 years</t>
  </si>
  <si>
    <t>INNOVATION-ORGANIZATION &amp; MANAGEMENT</t>
  </si>
  <si>
    <t>In 1980, Taiwan established the Hsinchu Science Park (HSP). The HSP accounted for the creation of 1.43 million jobs and extraordinary contributions to the economic growth of the nation. This development also placed Taiwan on top of the innovation index. This study provides a systematic review of the applied policy tools and the industrial cluster evolution of HSP over four stages. The Boston Consulting Group framework is used to delineate the strategic position and movement of industries in each stage. After 30 years, HSP has become oversaturated, with two Cash Cow and four Dog industries left. Facing such a bottleneck, this paper recommends the HSP 2.0 strategy for policymakers to improve the added-value and sustainable competitiveness of HSP.</t>
  </si>
  <si>
    <t>Chien, Chen-Fu/W-1985-2019</t>
  </si>
  <si>
    <t>1447-9338</t>
  </si>
  <si>
    <t>2204-0226</t>
  </si>
  <si>
    <t>10.5172/impp.2013.15.4.416</t>
  </si>
  <si>
    <t>WOS:000331065200003</t>
  </si>
  <si>
    <t>JARMAN, A; KOUZMIN, A</t>
  </si>
  <si>
    <t>PUBLIC-SECTOR THINK TANKS IN INTERAGENCY POLICY-MAKING - DESIGNING ENHANCED GOVERNANCE CAPACITY</t>
  </si>
  <si>
    <t>CANADIAN PUBLIC ADMINISTRATION-ADMINISTRATION PUBLIQUE DU CANADA</t>
  </si>
  <si>
    <t>Since World War Two, the role of non-profit think tanks in the United States has grown and diversified. Today, the United States' government and Congress is advised on many matters of policy-making and implementation by such think tanks. The Westminster system of parliament, as practised in the United Kingdom, Canada, New Zealand, and Australia, has rarely provided a fertile ground for the creation and sustained existence of such privately operated institutions. Despite limited links with similar United States' organizations, the seeds have never really flourished outside the United States of America. Australian Commonwealth governments have been most antagonistic in this regard. On the other hand, management consulting companies, many of which have headquarters in the United States, lobbyists, and corporate representation flourish in the quasi-corporatist political environment carefully constructed by the Australian Labor party (ALP) government since 1983. Policy-related research divisions and statutory authorities have likewise grown in size and importance within the departmental agencies of government itself. Energy, agriculture, immigration, and social service research ''arms'' have been encouraged within the ministerial arena of policy analysis and advice. Especially important has been micro and macro-economic research, urban and infrastructural planning, the Industry Commission, and the Bureau of Industry Economics, respectively. This paper will analyse the growth of these specialized forms of government think tanks, study the range of their ministerial advice, and speculate about their changing role in an increasingly ''managerialist'' type of Westminster-style parliamentary setting.</t>
  </si>
  <si>
    <t>0008-4840</t>
  </si>
  <si>
    <t>10.1111/j.1754-7121.1993.tb00831.x</t>
  </si>
  <si>
    <t>WOS:A1993MX75400003</t>
  </si>
  <si>
    <t>Hurtado, JP; Fernandez, J; Parrondo, JL; Blanco, E</t>
  </si>
  <si>
    <t>Spanish method of visual impact evaluation in wind farms</t>
  </si>
  <si>
    <t>The present Spanish laws on the procedure to evaluate the environmental impact of wind farms are ambiguous, especially those pertaining to visual impact. There is no specific national law but only regional laws. The main targets of these laws are the conservation of the environment (protected animals and plants), and the noise generated. The focus of this paper, the visual impact, is not taken into account in a direct way in these laws. This work develops a methodology to predict, before its construction, the visual impact that a wind farm can have. This could be used as a consulting tool to analyze and evaluate wind projects, both government-run and private. The developed methodology is quick, concise and clear. (C) 2003 Elsevier Ltd. All rights reserved.</t>
  </si>
  <si>
    <t>10.1016/j.rser.2003.12.009</t>
  </si>
  <si>
    <t>WOS:000224114100004</t>
  </si>
  <si>
    <t>Taber, P</t>
  </si>
  <si>
    <t>Taber, Peter</t>
  </si>
  <si>
    <t>Environmental consulting as experimental system: Uncertainty and emergence in Ecuador's oil sector, 1988-2001</t>
  </si>
  <si>
    <t>This article uses the case of environmental consulting in Ecuador's petroleum sector to highlight unintuitive dynamics of institutional change precipitated by characteristically neoliberal conditions. Amidst economic crisis, counterpoised pressures between state, industry and civil society in Ecuador in the 1980s and 1990s allowed private consultants to treat the means and ends of petroleum reform as 'uncertain', to be explored via 'experiments' in mitigation and scientific research. 'Experimentation' in petroleum development practices was, at once, a symptom of socioeconomic crisis; an ethos prized by consultants for the freedom they enjoyed; an engine for the production of new norms; and a source of profit in a new business field focused on legitimizing petroleum extraction. Attuning to uncertainty and experimentation helps us to diagnose emergent forms of governance in contexts riven by economic crisis and radical social change such as those typically studied by scholars of neoliberal reforms. This orientation complements analyses of neoliberalism focused on capitalist coercion, or the deliberative uptake of expert plans and tools, which otherwise risk painting overly rational and volitional portraits of institutional change.</t>
  </si>
  <si>
    <t>10.1016/j.geoforum.2019.12.001</t>
  </si>
  <si>
    <t>WOS:000512481900010</t>
  </si>
  <si>
    <t>Sanwal, M; Wang, C; Wang, B; Yang, Y</t>
  </si>
  <si>
    <t>Sanwal, Mukul; Wang, Can; Wang, Bo; Yang, Yuan</t>
  </si>
  <si>
    <t>A New Role for IPCC: Balancing Science and Society</t>
  </si>
  <si>
    <t>GLOBAL POLICY</t>
  </si>
  <si>
    <t>There is a new role for global climate policy and the Intergovernmental Panelon Climate Change (IPCC) to support national implementation. For keeping within global ecological limits, public debate has shifted from concerns about the reliability of model-based climate projections to national legislators considering questions of when, where, and how to modify longer term trends. However, modeling remains the essential scientific tool by which the climate problem is defined assuming that society and the economy can be transformed, actually re-engineered, with relative ease. Inputs from the IPCC to the new governance process, the global stocktake', suggesting solutions will now influence deliberations between stakeholders, national actions and global cooperation. How best to shape a different science architecture and agenda linking science with both policy and society requires, for example, giving as much importance to reports of multilateral bodies and business consultancies as to peer-reviewed literature. This paper lays out some ideas how legitimacy can be maintained even as the IPCC recommends policy options and not just advice that is policy relevant.</t>
  </si>
  <si>
    <t>1758-5880</t>
  </si>
  <si>
    <t>1758-5899</t>
  </si>
  <si>
    <t>10.1111/1758-5899.12470</t>
  </si>
  <si>
    <t>WOS:000416427200016</t>
  </si>
  <si>
    <t>Booth, AL; Skelton, NW</t>
  </si>
  <si>
    <t>Booth, Annie L.; Skelton, Norm W.</t>
  </si>
  <si>
    <t>Industry and government perspectives on First Nations' participation in the British Columbia environmental assessment process</t>
  </si>
  <si>
    <t>Research was conducted with West Moberly First Nations, Halfway First Nation and the Treaty 8 Tribal Association (located in northeastern British Columbia, Canada) on effective engagement in environmental assessment processes. As part of this research, we examined the perspectives of a subset of resource industry proponents and their consultants, as well as staff from the British Columbia Environmental Assessment Office on their experiences with the requirement to consult with Canada's indigenous peoples. Research into the perspectives of industry proponents and consultants is almost non-existent, yet industry and governments are key participants within environmental assessments. This research found that industry proponents were disenfranchised by the British Columbia environmental assessment process and its mechanisms for consulting with First Nations, and that they sought changes to that process. Their concerns and their implications are documented and some recommendations are offered for addressing those concerns. Understanding industry and government views on First Nations engagement could suggest not only potential improvements in EA processes that facilitate all parties but provide common grounds for mutually engaging to resolve challenges. (C) 2010 Elsevier Inc. All rights reserved.</t>
  </si>
  <si>
    <t>10.1016/j.eiar.2010.11.002</t>
  </si>
  <si>
    <t>WOS:000290056400007</t>
  </si>
  <si>
    <t>Antarciuc, E; Zhu, QH; Almarri, J; Zhao, SL; Feng, YT; Agyemang, M</t>
  </si>
  <si>
    <t>Antarciuc, Elena; Zhu, Qinghua; Almarri, Jaber; Zhao, Senlin; Feng, Yunting; Agyemang, Martin</t>
  </si>
  <si>
    <t>Sustainable Venture Capital Investments: An Enabler Investigation</t>
  </si>
  <si>
    <t>Investing in sustainable projects can help tackle the current sustainability challenges. Venture capital investments can contribute significantly to the growth of sustainable start-ups. Sustainable venture capital (SVC) research is just emerging. This paper identifies enablers for sustainable venture capital investments in Saudi Arabia taking into account different stakeholders and firm's tangible and intangible resources. Using perspectives from venture capital experts in Saudi Arabia and the grey-based Decision-Making Trial and Evaluation Laboratory (DEMATEL) method, this study pinpoints the most critical enablers and investigates their causal and effect interconnections. The methodological process consists of reviewing the SVC literature and consulting the experts to identify the SVC enablers, creating a questionnaire, acquiring the answers from four experts, analyzing the data with grey-based DEMATEL and performing a sensitivity analysis. The government use of international standards, policies and regulations for sustainable investments, the commitment of the venture capitalists to sustainability and their deep understanding of sustainable business models are the most influential enablers. The paper concludes with implications for different actors, limitations and prospective directions for the sustainable venture capital research.</t>
  </si>
  <si>
    <t>Agyemang, Martin/AAI-7054-2020; Zhu, Qinghua/M-3408-2016</t>
  </si>
  <si>
    <t>Agyemang, Martin/0000-0002-9313-1207; Zhu, Qinghua/0000-0003-2648-0260; Zhao, Senlin/0000-0002-6815-2735; Antarciuc, Elena/0000-0002-3923-4360</t>
  </si>
  <si>
    <t>10.3390/su10041204</t>
  </si>
  <si>
    <t>WOS:000435188000308</t>
  </si>
  <si>
    <t>Chilima, JS; Blakely, JAE; Noble, BF; Patrick, RJ</t>
  </si>
  <si>
    <t>Chilima, Jania S.; Blakely, Jill A. E.; Noble, Bram F.; Patrick, Robert J.</t>
  </si>
  <si>
    <t>Institutional arrangements for assessing and managing cumulative effects on watersheds: Lessons from the Grand River watershed, Ontario, Canada</t>
  </si>
  <si>
    <t>CANADIAN WATER RESOURCES JOURNAL</t>
  </si>
  <si>
    <t>Assessing and managing cumulative effects on watersheds involves numerous agencies, regulatory frameworks and jurisdictions, and necessitates the co-creation of new, or innovations in existing, institutional arrangements. This paper examines the institutional arrangements needed to implement and sustain cumulative effects assessment and management (CEAM) for watersheds. The study is based on semi-structured interviews with 29 key informants in the Grand River watershed, Canada, including members from academia, government agencies, consulting firms, non-governmental organizations, and First Nations, with knowledge of, and direct experience in, watershed planning, assessment and monitoring. The research explored governance conditions in the watershed based on a framework of CEAM requisites developed from other watersheds where institutional arrangements have been investigated. Results indicate the need for improved institutional arrangements in the Grand River watershed to support the development of watershed CEAM, namely: a combined law-policy approach to implement CEAM, yet ensuring sensitivity to watershed context; a strong mandate for CEAM leadership and the capacity to coordinate CEAM initiatives; and tiering of CEAM planning, monitoring and assessment initiatives as a means to strengthen nested governance structures.</t>
  </si>
  <si>
    <t>0701-1784</t>
  </si>
  <si>
    <t>1918-1817</t>
  </si>
  <si>
    <t>10.1080/07011784.2017.1292151</t>
  </si>
  <si>
    <t>WOS:000410917200002</t>
  </si>
  <si>
    <t>De Boni, A; Roma, R; Palmisano, GO</t>
  </si>
  <si>
    <t>De Boni, Annalisa; Roma, Rocco; Palmisano, Giovanni Ottomano</t>
  </si>
  <si>
    <t>Fishery policy in the European Union: A multiple criteria approach for assessing sustainable management of Coastal Development Plans in Southern Italy</t>
  </si>
  <si>
    <t>Fishery planning and management require environmental, social, and economic assessment that should take into account multiple sustainability criteria as well as the preferences and priorities of decision-makers involved in these complex issues. Therefore, this research aims to identify in a straightforward way the most sustainable coastal development plan (CDP) among a set of several CDPs and to investigate in depth the effective sustainable use of the public fishery's fund among the considered CDPs. This is accomplished by implementing a multiple criteria decision aiding (MCDA) framework that has been tested by six fisheries' local action groups (FLAGs) CDPs in a territorial system strongly affected by fishery activities in the Apulia region of Southern Italy. In particular, the framework was classified into 12 criteria grouped into three sustainability dimensions according to the actions identified by the CDPs; the data collection was carried out by consulting the CDPs. After collecting the data, the MCDA framework was applied by involving the regional consultant on fishery affairs. An analysis of the results clearly showed that the best performances in the distribution of the available funding were related to the coherence of the CDPs with specific environmental, social, and economic features. The proposed MCDA framework can represent support for decision-makers and stakeholders to consider and evaluate in a systematic and robust way different possibilities for funding distribution to detect optimal alternatives within European fishery policies.</t>
  </si>
  <si>
    <t>Palmisano, Giovanni Ottomano/0000-0002-9830-5456; Roma, Rocco/0000-0001-6329-7321; De Boni, Annalisa/0000-0002-9445-1210</t>
  </si>
  <si>
    <t>10.1016/j.ocecoaman.2018.05.022</t>
  </si>
  <si>
    <t>WOS:000444793600002</t>
  </si>
  <si>
    <t>Busch, H</t>
  </si>
  <si>
    <t>Busch, Henner</t>
  </si>
  <si>
    <t>Linked for action? An analysis of transnational municipal climate networks in Germany</t>
  </si>
  <si>
    <t>INTERNATIONAL JOURNAL OF URBAN SUSTAINABLE DEVELOPMENT</t>
  </si>
  <si>
    <t>In times of ongoing urbanisation and unabated climate change, cities face increasing demands for improvements in urban climate change governance. This article investigates the activities of transnational municipal networks that were set up in response to climate change and analyses their potential to influence local climate governance. On the basis of a conceptualisation of transnational municipal climate networks (TMCNs), quantitative data on the proliferation of TMCNs amongst German municipalities were assessed and complemented by a qualitative analysis of scientific and grey literature and interviews. The quantitative analysis reveals a wide proliferation of TMCNs in Germany. Finally, the results show that TMCNs have different profiles which can be categorised into four functions all of which might influence local climate change governance. The functions are 'platform', 'consultant', 'commitment broker' and 'advocate'. It is concluded that TMCNs can play a crucial role in fostering climate governance.</t>
  </si>
  <si>
    <t>Busch, Henner/0000-0002-0468-2155</t>
  </si>
  <si>
    <t>1756-5723</t>
  </si>
  <si>
    <t>1756-5731</t>
  </si>
  <si>
    <t>10.1080/19463138.2015.1057144</t>
  </si>
  <si>
    <t>WOS:000436575300006</t>
  </si>
  <si>
    <t>Simon, RM</t>
  </si>
  <si>
    <t>A conversation with Marvin A. Schneiderman</t>
  </si>
  <si>
    <t>STATISTICAL SCIENCE</t>
  </si>
  <si>
    <t>Marvin A. Schneiderman was born on December 25, 1918, in Brooklyn, New York. He received a B.S. degree in mathematics and statistics from the City College of New York in 1939, an M.S. degree in statistics from American University in 1953 and a Ph.D. in statistics from American University in 1961. Additional graduate training and research was done at Ohio State University, Harvard Graduate School of Business and the London School of Hygiene and Tropical Medicine. He is a Fellow of the American Statistical Association and of the American Association for the Advancement of Science. He is also an elected member of the International Statistical Institute, an elected Fellow of the Royal Statistical Society and a Founding Member of the American Society of Preventive Oncology. He has served as President of the Washington Statistical Society, as Chairman of the Committee on Presidents of Statistical Societies, as a member of the Board of Directors of the American Statistical Association and as a Council member of the International Biometric Society. He has been an editor on the editorial advisory boards of several journals, including Cancer Research, Statistics in Medicine, Blood, Journal of the National Cancer Institute and the American Journal of Industrial Medicine. He was at the National Cancer Institute from 1948 through 1980. He began as a consulting statistician, then was appointed Head of the Controlled Trials Group for Cancer Chemotherapy and later became Associate Director for Field Studies and Statistics. His last appointment at NIH was as NCI Associate Director for Science Policy. He was awarded two of the highest honors accorded civilian employees at the NIH, the Distinguished Service Award and the Superior Service Award. After leaving the National Institutes of Health, he spent a short time with a private consulting firm with strong environmental interests. He then served as a fellow at the Environmental Law Institute before joining the National Research Council/National Academy of Sciences Board on Environmental Studies and Toxicology. He officially retired in 1995. Marvin Schneiderman passed away on April 1, 1997.</t>
  </si>
  <si>
    <t>0883-4237</t>
  </si>
  <si>
    <t>WOS:A1997XT26800004</t>
  </si>
  <si>
    <t>Gardner, HK; Anand, N; Morris, T</t>
  </si>
  <si>
    <t>Gardner, Heidi K.; Anand, N.; Morris, Timothy</t>
  </si>
  <si>
    <t>Chartering new territory: diversification, legitimacy, and practice area creation in professional service firms</t>
  </si>
  <si>
    <t>JOURNAL OF ORGANIZATIONAL BEHAVIOR</t>
  </si>
  <si>
    <t>Diversification into innovative domains through new practice area creation is a critical unperative for professional services firms. Using theories of organizational territoriality and corporate charters, we conceptualize professional firms as federations of distinct practice areas and argue that the chartering of a new practice is an inherently political act. New practice area founders need to engage in appropriate legitimacy-mobilizing efforts in order to sustain diversification efforts. Our analysis of 46 cases of new practice area creation efforts in consulting and law firms shows that the mix of legitimacy required for new practice areas created through radical diversification is very different from that required for incremental diversification efforts. Our findings have important implications for studying how innovation is Structurally accomplished in professional firms. Copyright (c) 2008 John Wiley &amp; Sons, Ltd.</t>
  </si>
  <si>
    <t>0894-3796</t>
  </si>
  <si>
    <t>10.1002/job.557</t>
  </si>
  <si>
    <t>WOS:000261207900006</t>
  </si>
  <si>
    <t>Dutton, L; Pantelous, AA; Seklecka, M</t>
  </si>
  <si>
    <t>Dutton, Lydia; Pantelous, Athanasios A.; Seklecka, Malgorzata</t>
  </si>
  <si>
    <t>The impact of economic growth in mortality modelling for selected OECD countries</t>
  </si>
  <si>
    <t>JOURNAL OF FORECASTING</t>
  </si>
  <si>
    <t>The health of a population is affected by social, environmental, and economic factors. Pension providers and consultants, insurance companies, government agencies and individuals in the developed world have a vested interest in understanding how the economic growth will impact on the life expectancy of their population. Therefore, changes in death rates may occur due to climate and economic changes. In this study, we extend a previous study into excess deaths as a result of climate change to also provide a comprehensive investigation of the impact of economic changes using annual female and male data for 5 developed OECD countries. We find that there is strong negative relationship between mortality index, and climate and economic proxies. This model shows to provide better fitting and forecasting results both for females and males, and for all countries studied.</t>
  </si>
  <si>
    <t>Pantelous, Athanasios/B-3721-2014</t>
  </si>
  <si>
    <t>Pantelous, Athanasios/0000-0001-5738-1471</t>
  </si>
  <si>
    <t>0277-6693</t>
  </si>
  <si>
    <t>1099-131X</t>
  </si>
  <si>
    <t>10.1002/for.2640</t>
  </si>
  <si>
    <t>WOS:000599720400011</t>
  </si>
  <si>
    <t>Monteiro, AA</t>
  </si>
  <si>
    <t>Monteiro, Alcides A.</t>
  </si>
  <si>
    <t>The Active Role of Community-Based Organizations in the Local Redefinition of National Policies</t>
  </si>
  <si>
    <t>REVISTA DE CERCETARE SI INTERVENTIE SOCIALA</t>
  </si>
  <si>
    <t>The community-based organizations are an important partner of national States towards promoting community participation and sustainable development, and engaging citizens and other organizations in the decision making of local governance. The purpose of this paper is to examine the influence of local organizations in the design and delivery of social services, with a particular focus on the impact of their own political orientation and strategy in the local redefinition of national policies. The data presented in this paper is the result of an external consulting and assessment work, requested and financed by the two projects in analysis, by the use of a multiple and mixed-method research design conducted over three phases and during four years. The results reveal that Portuguese community organizations are far from being a passive partner which merely executes guidelines when in partnership with the State. On the contrary, main findings support the idea that these organizations aim at the promotion of local (social and economic) development and can play an important mediation role between programmatic guidelines and their execution, strongly reflecting their own political identity in both the process and the results.</t>
  </si>
  <si>
    <t>1583-3410</t>
  </si>
  <si>
    <t>1584-5397</t>
  </si>
  <si>
    <t>WOS:000342729200015</t>
  </si>
  <si>
    <t>Marta, IV</t>
  </si>
  <si>
    <t>Velasco Marta, Irene</t>
  </si>
  <si>
    <t>FROM CHILDHOOD TO YOUTH: THE SOCIAL ENVIRONMENT OF THE INFANTA JUANA OF ARAGON THROUGH HER BOOK OF ACCOUNT (1469-1472)</t>
  </si>
  <si>
    <t>ANUARIO DE ESTUDIOS MEDIEVALES</t>
  </si>
  <si>
    <t>This article studies the social environment of the Infanta Juana of Aragon through the book of accounts written by her treasurer, Luis de Santangel, between 1469 and 1472. By consulting this source and auxiliary documentation, the aim is to highlight the historical significance of this figure, which has gone unnoticed by recent historiography, and to analyse the structure and composition of the Infanta's Household as well as the nature of the relationships traced inside it. It also considers the scope of the Infanta's Household as an official feminine space and analyses the possibilities of autonomy and political action that this institution conferred on its head and the opportunities for employment and social promotion that it offered the women who formed part of the Infanta's Household.</t>
  </si>
  <si>
    <t>0066-5061</t>
  </si>
  <si>
    <t>1988-4230</t>
  </si>
  <si>
    <t>10.3989/aem.2020.50.1.18</t>
  </si>
  <si>
    <t>WOS:000539162000018</t>
  </si>
  <si>
    <t>Acevedo, MP; Reynaldos, LGR</t>
  </si>
  <si>
    <t>Perez Acevedo, Martin; Rivera Reynaldos, Lisette Griselda</t>
  </si>
  <si>
    <t>Spanish owners in Mexico facing the effects of the Revolution: economic loss and search for compensation, 1910 to 1938</t>
  </si>
  <si>
    <t>REVISTA DE INDIAS</t>
  </si>
  <si>
    <t>The text aims to examine the impact that the Mexican Revolution movement had on the female Spanish Nationals whose assets were affected by measures such as seizure, theft, fire, forced loans and so on which were implemented by various revolutionary groups. It is interesting to note the strategies these women used to obtain compensation from the Mexican Government that allowed them to regain a part of their heritage. We also want to know the profile of these women and the causes that led them to have to fight on their own behalf to defend their interests. By consulting the files from the three commissions of claims - in particular the Joint Hispano-Mexicana Claims Committee - we seek to provide an overview at the national level that will allow us to compare the cases of these foreign women. By doing this we approacha group of women who had to push the boundaries of the female social ideal, in different ways to others who actively participated in the armed struggle (adelitas, female soldiers, political activists). They were affected by their immediate environment; the family, livelihood, business, gender roles and class, and so on.</t>
  </si>
  <si>
    <t>0034-8341</t>
  </si>
  <si>
    <t>1988-3188</t>
  </si>
  <si>
    <t>10.3989/revindias.2012.25</t>
  </si>
  <si>
    <t>WOS:000209003600006</t>
  </si>
  <si>
    <t>Cheese, P</t>
  </si>
  <si>
    <t>Cheese, Peter</t>
  </si>
  <si>
    <t>Managing risk and building resilient organisations in a riskier world</t>
  </si>
  <si>
    <t>JOURNAL OF ORGANIZATIONAL EFFECTIVENESS-PEOPLE AND PERFORMANCE</t>
  </si>
  <si>
    <t>Purpose - There has been increasing attention given to the need to bring risk thinking into the field of HRM. The purpose of this paper is to explore the nature of risk in a rapidly changing context, examines the responses being made and indicates the characteristics of resilient and adaptive organisations. Design/methodology/approach - The paper presents a categorisation of risk. It uses the volatile, uncertain, complex and ambiguous metaphor to lay out the likely shape of imminent business risks, and the concept of adaptation to present a case that there is scope for effective responses. Findings - The paper argues we are at inflexion point that will force businesses to re-examine how they do business in ways that will impact customer expectations, product enhancement, collaborative innovation and ultimately organisational forms. In order to manage and mitigate risk organisations need to understand corporate cultures, operating models and organisational constructs, leadership and governance, as well as the more traditional talent management practices and processes. Practical implications - Key to achieving resilience will be a focus on behaviour and culture. These issues have to be brought to the heart of strategy and the business model of every organisation. Organisation cultures need to be developed based on trust and respect and the need to avoid risk blindness. We need to challenge the mindset that people can only be trusted within narrow confines of rules, or limits of authority. Social implications - As we continue to develop more heterogeneous employment models - flexiworking, contractors, self-employed consultants, secondees, agency staff, interns and volunteers, outsourcing, partnering and even crowdsourcing - attention needs to be given to the implications for skills, learning and development and the challenges of aligning behaviours. Originality/value - The paper brings together a range of imminent business risks to build the case that these risks of course have potentially profound impacts on people management, but that their solution also brings HRM thinking to the heart of strategies, cultures and business models.</t>
  </si>
  <si>
    <t>2051-6614</t>
  </si>
  <si>
    <t>2051-6622</t>
  </si>
  <si>
    <t>10.1108/JOEPP-07-2016-0044</t>
  </si>
  <si>
    <t>WOS:000399106200005</t>
  </si>
  <si>
    <t>Haigh, M</t>
  </si>
  <si>
    <t>Haigh, Matthew</t>
  </si>
  <si>
    <t>Climate policy and financial institutions</t>
  </si>
  <si>
    <t>CLIMATE POLICY</t>
  </si>
  <si>
    <t>This article examines how financial institutions, such as pension funds and insurance companies, have interpreted and used UN-issued climate change management policies. A critical discourse approach is used to analyse material issued by the United Nations Framework Convention on Climate Change, the World Bank Group and some business and investment consultancies, with interview data supplementing the document analysis. It is argued that although policymakers and business consultants have been eager to appropriate the discourses of financial services, they have not produced guidance on how the outputs of climate science might best be used to allocate managed capital. In terms of outcomes, financial services remain on the periphery of policy implementation, attention has been deflected from the emitters of greenhouse gases, and policy objectives have been frustrated. By unspoken fiat, the market is here the new truth that cannot be contradicted.</t>
  </si>
  <si>
    <t>Haigh, Matthew/AAF-6920-2020</t>
  </si>
  <si>
    <t>1469-3062</t>
  </si>
  <si>
    <t>10.1080/14693062.2011.579265</t>
  </si>
  <si>
    <t>WOS:000297288900008</t>
  </si>
  <si>
    <t>Sell, J; Koellner, T; Weber, O; Pedroni, L; Scholz, RW</t>
  </si>
  <si>
    <t>Sell, Joachim; Koellner, Thomas; Weber, Olaf; Pedroni, Lucio; Scholz, Roland W.</t>
  </si>
  <si>
    <t>Decision criteria of European and Latin American market actors for tropical forestry projects providing environmental services</t>
  </si>
  <si>
    <t>Converting the environmental services of tropical forests from public goods to tradable services is a promising approach to sustaining tropical forests' ecosystem functions and services. We hypothesize that the development of markets for these environmental services will substantially depend on compliance with requirements of key market actors representing supply and demand sides. This paper analyzes market actors' decision criteria related to engagement in tropical forestry projects that provide environmental services. In a questionnaire survey, 45 experts from Latin America and Europe representing key market actor groups, i.e., certifiers, consulting companies, financial institutions, governmental organizations, industrial companies and non-governmental organizations (NGOs), were asked to name and weight criteria that tropical forestry projects should meet in order to attract their institution's engagement. Many of these 45 institutions are already involved in several market activities related to tropical forestry projects and environmental services, including asset management, certification, consultancy, credit business, investments, project ownership and trade/brokerage. The collected criteria cover a variety of topics that clearly go beyond frequently applied sustainability dimensions in forestry related multi-criteria based decision making, i.e., social, environmental and economic dimensions. For example, relatively many criteria involve topics such as project management, risk management or marketing. While differences in criteria weighting among market actor groups are not significant, we found a significant interaction between criteria weights and the provenance of participants, indicating that Latin American and European market actors nominate and weight single decision criteria differently. The five criteria with highest mean weights in the European sample are social benefits, legal compliance, sustainability, environmental benefits and stakeholder participation. The Latin American market actors weighted highest expertise and capacity building, financial resources, political aspects, information management and markets. Generally, Latin American market actors emphasize criteria related to markets and information/knowledge management, whereas European participants tend to assign importance to social and environmental benefits and sustainability. The survey provides preliminary insights into bottom-up defined decision criteria relevant for key-actors in the market of tropical forestry-based environmental services, and compiles information for further multi-criteria based assessments of tropical forestry projects providing environmental services. (c) 2005 Elsevier B.V. All rights reserved.</t>
  </si>
  <si>
    <t>JUN 10</t>
  </si>
  <si>
    <t>10.1016/j.ecolecon.2005.05.020</t>
  </si>
  <si>
    <t>WOS:000238407200002</t>
  </si>
  <si>
    <t>Nadeem, O; Hameed, R</t>
  </si>
  <si>
    <t>Nadeem, Obaidullah; Hameed, Rizwan</t>
  </si>
  <si>
    <t>Evaluation of environmental impact assessment system in Pakistan</t>
  </si>
  <si>
    <t>Environmental impact assessment (EIA) was first introduced in Pakistan based on the Environmental Protection Ordinance 1983. The EIA process was further strengthened under the Pakistan Environmental Protection Act 1997, which became operational under EIA Regulations 2000. Despite a sound legal basis and comprehensive guidelines, evidence suggests that EIA has not yet evolved satisfactorily in Pakistan. An evaluation of the EIA system against systematic evaluation criteria, based on interviews with EIA approval authorities, consulting firms and experts, reveals various shortcomings of the EIA system. These mainly include; inadequate capacity of EIA approval authorities, deficiencies in screening and scoping. poor EIA quality, inadequate public participation and weak monitoring. Overall, EIA is used presently as a project justification tool rather than as a project planning tool to contribute to achieving sustainable development. Whilst shortcomings are challenging, central government has recently shown a high degree of commitment to the environmental protection by making EIA compulsory for all the public sector projects likely to have adverse environmental impacts. The paper identifies opportunities for taking advantage of the current environment for strengthening the EIA process. (C) 2008 Elsevier Inc. All rights reserved.</t>
  </si>
  <si>
    <t>10.1016/j.eiar.2008.02.003</t>
  </si>
  <si>
    <t>WOS:000261132600004</t>
  </si>
  <si>
    <t>Alvesson, M; Robertson, M</t>
  </si>
  <si>
    <t>The best and the brightest: The construction, significance and effects of elite identities in consulting firms</t>
  </si>
  <si>
    <t>The aim of this paper is to investigate the forms, significance and effects of elite identity constructions in four consulting firms based in the UK and Sweden. The paper examines a range of strategic and symbolic mechanisms that were used by the senior members and other actors of these firms to construct an elite organizational identity. In terms of general effects, an elite social identity was found to generate a 'neoliberal' form of governance in all of the cases such that consultants could be trusted to act and behave in the interests of the firm. We argue that elite constructions facilitated: (i) the promotion of self-discipline which sustained a want to accomplish high standards of performance; (ii) the attraction and retention of consultants; (iii) the securing of an image that clients were prepared to engage with; and (iv) a degree of 'ontological security'-a relatively secure sense of self-which enabled consultants to function effectively in high-ambiguity and somewhat sceptical (with respect to clients) work contexts. In the contexts discussed here, consultants not only managed themselves, but they also intensified the commitment to live an organizational life that demanded high standards and often very long working days.</t>
  </si>
  <si>
    <t>1461-7323</t>
  </si>
  <si>
    <t>10.1177/1350508406061674</t>
  </si>
  <si>
    <t>WOS:000236848900002</t>
  </si>
  <si>
    <t>Ormerod, RJ</t>
  </si>
  <si>
    <t>The role of OR in shaping the future: smart bits, helpful ways and things that matter</t>
  </si>
  <si>
    <t>JOURNAL OF THE OPERATIONAL RESEARCH SOCIETY</t>
  </si>
  <si>
    <t>This paper attempts to set out a personal view of the future of OR in the UK. Against a context of a changing political, economic, social and technical environment those areas where OR can contribute are identified. Three areas are selected and illustrated with examples from personal experience. Firstly, in a world awash with data, the smart bits, the algorithms are often primitive. OR is successfully established in this area and can maintain itself as the pre-eminent provider of smart bits. Secondly, OR has developed helpful ways, consulting approaches, to guide successful interventions. Here OR competes with other professional groups. OR has developed unique approaches but will need to contest the ground, vigorously and with imagination. Thirdly, OR can contribute to things that matter, important strategic, political and social issues of the day. OR will have no automatic right to be heard. The contribution will depend on the motivation and skill of key individuals. The recent trend; away from in-house OR groups to-external consultancies and small firms provides OR with the opportunity to become the discipline that underpins consultancy, offering exciting opportunities for young academics and practitioners.</t>
  </si>
  <si>
    <t>Ormerod, Richard/F-2877-2013</t>
  </si>
  <si>
    <t>0160-5682</t>
  </si>
  <si>
    <t>WOS:A1997YD97800001</t>
  </si>
  <si>
    <t>Ward, K</t>
  </si>
  <si>
    <t>Ward, Kevin</t>
  </si>
  <si>
    <t>Policy mobilities, politics and place: The making of financial urban futures</t>
  </si>
  <si>
    <t>EUROPEAN URBAN AND REGIONAL STUDIES</t>
  </si>
  <si>
    <t>10th European Urban and Regional Studies (EURS)</t>
  </si>
  <si>
    <t>Chania, GREECE</t>
  </si>
  <si>
    <t>The comparative and extrospective nature of contemporary urban policy-making is one that has demanded our attention in recent years. Relatively long established and formal inter-urban networks of professionals of one sort or another have been joined by activists, consultants, financiers, lawyers and think tankers who have involved themselves in the arriving at, and making up of, urban policy. Through conferences, documents, knowledge banks, policy tourism, power-points and webinars, an emergent informational infrastructure has emerged to shape and structure the circulations and making of policy-making across a numbers of areas. From aging to creativity, climate change to drugs, education to transport, urban policies in different spheres have been rendered mobile. There is political work of adaptation, mediation and translation that has to be done to move policies from one location to another, of course. In some cases these policies appear in a range of locations, while in others they do not, a reminder - if one was needed - that those involved in the making up of policy are not always able to render all elements of the future under their control. This emphasis on the relational and territorial geographies of global-urban policy-making captures some of the issues facing those who lead cities. This paper sets out some of the intellectial challenges for those working on these issues, highlighting some potentially fruitful ways forward, illustrating the main arguments through the use of Tax Increment Financing, a financial value-capturing model.</t>
  </si>
  <si>
    <t>ward, kevin/0000-0002-3810-0889</t>
  </si>
  <si>
    <t>0969-7764</t>
  </si>
  <si>
    <t>1461-7145</t>
  </si>
  <si>
    <t>10.1177/0969776417731405</t>
  </si>
  <si>
    <t>WOS:000439592500004</t>
  </si>
  <si>
    <t>Ho, LH; Tsai, CC</t>
  </si>
  <si>
    <t>Ho, Li-Hsing; Tsai, Chen-Cheng</t>
  </si>
  <si>
    <t>A Model Constructed to Evaluate Sustainable Operation and Development of State-Owned Enterprises after Restructuring</t>
  </si>
  <si>
    <t>A state-owned enterprise (SOE) is a mechanism by which market stability is achieved through government intervention. As economic freedom intensifies, most SOEs still have a rigid personnel system, unsound financial structure, and high product costs, along with poor management and operating losses, making them financial burdens. This study uses grey relational analysis and a Boston Consulting Group matrix to develop a sustainable management and development model for enterprises. The 13 business units of the Taiwan Sugar Corporation (Tainan, Taiwan) created through diversification were evaluated to determine if they have led to new competitiveness. The findings reveal that only two of the business units-land development and property management-have justified their operations, while the other 11 business units have brought no benefits to the country. Overall, diversification has created a greater burden for the country.</t>
  </si>
  <si>
    <t>10.3390/su10072354</t>
  </si>
  <si>
    <t>WOS:000440947600245</t>
  </si>
  <si>
    <t>Rehfuess, EA; Puzzolo, E; Stanistreet, D; Pope, D; Bruce, NG</t>
  </si>
  <si>
    <t>Rehfuess, Eva A.; Puzzolo, Elisa; Stanistreet, Debbi; Pope, Daniel; Bruce, Nigel G.</t>
  </si>
  <si>
    <t>Enablers and Barriers to Large-Scale Uptake of Improved Solid Fuel Stoves: A Systematic Review</t>
  </si>
  <si>
    <t>ENVIRONMENTAL HEALTH PERSPECTIVES</t>
  </si>
  <si>
    <t>Background: Globally, 2.8 billion people rely on household solid fuels. Reducing the resulting adverse health, environmental, and development consequences will involve transitioning through a mix of clean fuels and improved solid fuel stoves ( IS) of demonstrable effectiveness. To date, achieving uptake of IS has presented significant challenges. Objectives: We performed a systematic review of factors that enable or limit large-scale uptake of IS in low- and middle-income countries. Methods: We conducted systematic searches through multidisciplinary databases, specialist websites, and consulting experts. The review drew on qualitative, quantitative, and case studies and used standardized methods for screening, data extraction, critical appraisal, and synthesis. We summarized our findings as factors relating to one of seven domains-fuel and technology characteristics; household and setting characteristics; knowledge and perceptions; finance, tax, and subsidy aspects; market development; regulation, legislation, and standards; programmatic and policy mechanismsand also recorded issues that impacted equity. Results: We identified 31 factors influencing uptake from 57 studies conducted in Asia, Africa, and Latin America. All domains matter. Although factors such as offering technologies that meet household needs and save fuel, user training and support, effective financing, and facilitative government action appear to be critical, none guarantee success: All factors can be influential, depending on context. The nature of available evidence did not permit further prioritization. Conclusions: Achieving adoption and sustained use of IS at a large scale requires that all factors, spanning household/community and program/societal levels, be assessed and supported by policy. We propose a planning tool that would aid this process and suggest further research to incorporate an evaluation of effectiveness.</t>
  </si>
  <si>
    <t>0091-6765</t>
  </si>
  <si>
    <t>1552-9924</t>
  </si>
  <si>
    <t>10.1289/ehp.1306639</t>
  </si>
  <si>
    <t>WOS:000332650500014</t>
  </si>
  <si>
    <t>Veenstra, EM; Ellemers, N</t>
  </si>
  <si>
    <t>Veenstra, Esmee M.; Ellemers, Naomi</t>
  </si>
  <si>
    <t>ESG Indicators as Organizational Performance Goals: Do Rating Agencies Encourage a Holistic Approach?</t>
  </si>
  <si>
    <t>Offering environmental, social, and governance (ESG) assessment and certification can invite organizations to adapt their activities to accommodate environmental, social, and governance concerns. Prior research points to shortcomings in accurately monitoring and assessing organizational sustainability performance. This contribution aims to highlight the role of ESG indicators as motivating organizations to prioritize sustainability goals. Theory and research elucidate that the definition of specific goals guides the degree of effort organizations invest, the priorities they set, and the persistence they display in pursuing targeted outcomes. The extent to which performance assessments of rating agencies specify and integrate ESG concerns thus impacts the likelihood that organizations will address each of these sustainability targets. The likely impact of ESG indicators was examined by consulting ratings, rankings, and indexes from 130 rating agencies included in the Reporting Exchange Platform. We identified and categorized 237 unique indicators in over 600 corporate ESG indicators. Results reveal that themes covered are less well specified in the governance domain than in the environmental and social domain. Further, different dimensions are emphasized depending on which stakeholder is addressed (investors, consumers, companies). Taken together, we conclude that this makes it more difficult for organizations to adopt a holistic approach to the achievement of sustainability goals.</t>
  </si>
  <si>
    <t>10.3390/su122410228</t>
  </si>
  <si>
    <t>WOS:000603287200001</t>
  </si>
  <si>
    <t>Grigg, NS</t>
  </si>
  <si>
    <t>Demographics and industry employment of civil engineering workforce</t>
  </si>
  <si>
    <t>JOURNAL OF PROFESSIONAL ISSUES IN ENGINEERING EDUCATION AND PRACTICE</t>
  </si>
  <si>
    <t>This paper provides a road map to studies and databases about civil engineering demographics and industry involvement by tracing workforce statistics, engineering degrees, data on industries and government, and economic forecasts. It is aimed at helping civil engineering managers, educators, and policy makers understand how their workforce evolved and what it will face in the future. The engineering workforce comprises about 1.5 million professionals in the United States (second in size only to that of teachers); of this number civil engineering, at about 200,000 workers, is third behind electrical and mechanical engineering. However, the study shows that aggregation of workforce and economic statistics hides unique characteristics of civil engineering work caused by the concentration on consulting and state and local government. in fact, over 80% of civil engineers work either for consultants or government. This characteristic of civil engineering employment needs more study, particularly to determine how best to educate civil engineers to respond to the public-private arena of infrastructure and environment. During the past century, civil engineering has been a steady field with good opportunities, but civil engineers in the future will face the same career issues and pressures as other professionals. Global production of new engineers has now passed the one million-per-year mark, with U.S. production being about 12% of the total. This large supply of engineers will present intense competition to all engineering disciplines. ASCE faces many challenges to respond to the many changes in the civil engineering profession. The concept of institutes contained in ASCE's strategic plan will address many of the technical issues, but the study indicates that professional and educational issues need more attention.</t>
  </si>
  <si>
    <t>1052-3928</t>
  </si>
  <si>
    <t>10.1061/(ASCE)1052-3928(2000)126:3(116)</t>
  </si>
  <si>
    <t>WOS:000087848500009</t>
  </si>
  <si>
    <t>Qin, X; Shi, Y; Lyu, KC; Mo, YY</t>
  </si>
  <si>
    <t>Qin, Xuan; Shi, Ye; Lyu, Kuncan; Mo, Yiyi</t>
  </si>
  <si>
    <t>USING A TAM-TOE MODEL TO EXPLORE FACTORS OF BUILDING INFORMATION MODELLING (BIM) ADOPTION IN THE CONSTRUCTION INDUSTRY</t>
  </si>
  <si>
    <t>JOURNAL OF CIVIL ENGINEERING AND MANAGEMENT</t>
  </si>
  <si>
    <t>Building Information Modelling (BIM) has been adopted as the main technology in the construction qiindustry in many developed countries due to its notable advantages. However, its applications in developing countries are limited. This paper aims to investigate factors which impact on BIM adoption in the construction industry. Twelve external variables were identified by an integrated TAM (Technology Acceptance Model) and TOE (Technology Organization Environment) framework and a systematic review of past studies. A survey was conducted in development, construction, design and consulting companies to investigate the impacts of these 12 external variables on BIM adoption. Using the interval Decision Making Trial and Evaluation Laboratory (DEMATEL) method, retrieved 120 completed questionnaires were analysed. The Requirements from national policies was found to be the most significant driving variable of BIM adoption by investigated companies. A further simulation analysis revealed that the Intention to Use BIM varied significantly with the change of Requirements from national policies, Standardization of BIM, and Popularity of BIM in the industry. The results lead to the conclusion that government incentives play critical roles in BIM adoption in China. Policy makers could put more efforts into motivation strategies, standardization measures, and BIM culture cultivation to promote BIM applications in the construction industry.</t>
  </si>
  <si>
    <t>1392-3730</t>
  </si>
  <si>
    <t>1822-3605</t>
  </si>
  <si>
    <t>10.3846/jcem.2020.12176</t>
  </si>
  <si>
    <t>WOS:000526077000004</t>
  </si>
  <si>
    <t>Kokai, A; Iles, A; Rosen, CM</t>
  </si>
  <si>
    <t>Kokai, Akos; Iles, Alastair; Rosen, Christine Meisner</t>
  </si>
  <si>
    <t>Green Design Tools: Building Values and Politics into Material Choices</t>
  </si>
  <si>
    <t>Green design tools are emerging as a new response to the dilemmas that architects and designers face in preventing the toxic impacts of building construction. Environmental health advocates, scientists, and consulting firms are stepping in to provide designers with new tools-including science-based assessment methods, standards, databases, and software-intended to help structure and inform decision-making in sustainable design. We argue that green design tools play an important but largely uninvestigated role in giving designers new forms of influence while mediating how designers' values are translated into actual design choices. Tool makers embed their own values and politics into the construction of the tools, which function as black boxes-their internal operations are understood as less important than their outputs for informing sustainable design. Using the green building movement as a case study, we consider three tools for selecting environmentally benign materials: the GreenScreen for Safer Chemicals, Pharos, and the Health Product Declaration. Examining controversies about the scientific validity of green design tools, we suggest that they are rooted in value conflicts and tensions in the politics of chemical knowledge. Transparent engagement with values and politics among tool developers and users could strengthen the legitimacy and credibility of green design tools.</t>
  </si>
  <si>
    <t>10.1177/0162243920976840</t>
  </si>
  <si>
    <t>WOS:000599569400001</t>
  </si>
  <si>
    <t>Zhuang, TZ; Qian, QK; Visscher, HJ; Elsinga, MG</t>
  </si>
  <si>
    <t>Zhuang, Taozhi; Qian, Queena K.; Visscher, Henk J.; Elsinga, Marja G.</t>
  </si>
  <si>
    <t>Stakeholders' Expectations in Urban Renewal Projects in China: A Key Step towards Sustainability</t>
  </si>
  <si>
    <t>China's fast growth of economy and urbanization have driven large-scale urban renewal projects, thus triggering a wide spectrum of unsustainable problems. Little research has systematically explored the stakeholders' expectations in urban renewal projects in China. A deeper understanding of the divergent interests and expectations of the key stakeholder groups is an important step towards sustainable urban renewal. This paper aims to analyze the stakeholders' expectations on urban renewal projects. Eighteen factors are identified and compared among the main stakeholders: government sectors, consulting parties, the general public and affected residents in both redevelopment and rehabilitation projects, using questionnaire survey and interviews in Chongqing, China. The results reveal that there exist enormous differences of opinions and interests among stakeholders in all economic, environmental and social aspects. To achieve sustainable urban renewal in China, the governments ought to reconsider what the public interest stands for. In-situ residents should be understood and treated differently, based on the type of projects. An effective dialogue mechanism as well as supportive administrative and legal system should be established. Moreover, urban-renewal-related education and publicity should be a long-term strategy to change current awareness of different stakeholders, by improving their skill and willingness to participate.</t>
  </si>
  <si>
    <t>Visscher, Henk/R-8509-2017</t>
  </si>
  <si>
    <t>Visscher, Henk/0000-0003-0929-1812; Zhuang, Taozhi/0000-0002-9799-3138</t>
  </si>
  <si>
    <t>10.3390/su9091640</t>
  </si>
  <si>
    <t>WOS:000411621200139</t>
  </si>
  <si>
    <t>Child Nutrition Programs in Kindergarten Schools Implemented by the Governmental Sector and Global Nutrition Consulting Companies: A Systematic Review</t>
  </si>
  <si>
    <t>Child Nutrition Programs in schools are considered one of the best approaches towards improving diet and health. Yet it is considered a newly developed approach to be applied in Saudi Arabia. According to the ministry of health, undernutrition and obesity both are increasing in Saudi Arabia, due to various factors, which include both diet and environmental factors associated with schools and home environments. We have chosen a descriptive study to describe Child Nutrition Programs run by governmental sectors in United States and United Kingdom, in addition to global nutrition consulting companies in different countires, which included India and Singapore. The objectives of this review is to demonstrate successful Child Nutrition Programs approaches, strategies, tools, marketing plans and resources targeting pupils, parents, teachers and schools staff. Thus, this review supports implementing Child Nutrition Programs in Saudi Arabia, by choosing the most suitable strategies to improve child health and nutrition.</t>
  </si>
  <si>
    <t>10.12944/CRNFSJ.6.3.07</t>
  </si>
  <si>
    <t>WOS:000457114000007</t>
  </si>
  <si>
    <t>Jenssen, T; Weimer-Jehle, W</t>
  </si>
  <si>
    <t>Jenssen, Till; Weimer-Jehle, Wolfgang</t>
  </si>
  <si>
    <t>More than the Sum of Its Parts. Consistent Scenarios for the Consumption of Heat Energy as a Common Reference Point for Policy and Science</t>
  </si>
  <si>
    <t>Multiple variables determine the consumption of heat energy: technical, organisational, economic, legal, and social. Since these drivers also interact with each other in various ways, they may have an ambiguous effect when evaluating sustainability. This paper gives a comprehensive picture of how future heat consumption might develop. We seek to unveil opportunities, constraints and contradictions within the system of heat consumption. In order to identify, analyze and illustrate consistent pathways for future development, we apply the cross impact balance analysis - a qualitative method for analysing impact networks-, thereby focusing on the question how the process of transforming heat consumption in Germany towards a sustainable supply can be assisted. We discuss challenges With regard to the multi-facetted and interrelated variables, outline approaches for assessing policy options and political consulting (e.g., concerning the design of research funding programmes) as well as identify opportunities for the advancement of energy system analysis.</t>
  </si>
  <si>
    <t>10.14512/gaia.21.4.14</t>
  </si>
  <si>
    <t>WOS:000312823400012</t>
  </si>
  <si>
    <t>Thuy, PT; Campbell, BM; Garnett, S; Aslin, H; Hoang, MH</t>
  </si>
  <si>
    <t>Thuy, Pham Thu; Campbell, Bruce M.; Garnett, Stephen; Aslin, Heather; Hoang Minh Ha</t>
  </si>
  <si>
    <t>Importance and impacts of intermediary boundary organizations in facilitating payment for environmental services in Vietnam</t>
  </si>
  <si>
    <t>ENVIRONMENTAL CONSERVATION</t>
  </si>
  <si>
    <t>Intermediaries are seen as important actors in facilitating payments for environmental services (PES). However, few data exist on the adequacy of the services provided by intermediaries and the impacts of their interventions. Using four PES case studies in Vietnam, this paper analyses the roles of government agencies, non-government organizations, international agencies, local organizations and professional consulting firms as PES intermediaries. The findings indicate that these intermediaries are essential in supporting PES establishment. Their roles are as service and information providers, mediators, arbitrators, equalizers, representatives, watchdogs, developers of standards and bridge builders. Concerns have been raised about the quality of intermediaries' participatory work, political influence on intermediaries' activities and the neutral status of intermediaries. Although local organizations are strongly driven by the government, they are important channels for the poor to express their opinions. However, to act as environmental services (ES) sellers, local organizations need to overcome numerous challenges, particularly related to capacity for monitoring ES and enforcement of contracts. Relationships amongst intermediaries are complex and should be carefully examined by PES stakeholders to avoid negative impact on the poor. Each of the intermediaries may operate at a different level and can have different functions but a multi-sector approach is required for an effective PES implementation.</t>
  </si>
  <si>
    <t>Garnett, Stephen/M-3877-2013; Campbell, Bruce/ABF-5579-2020</t>
  </si>
  <si>
    <t>0376-8929</t>
  </si>
  <si>
    <t>1469-4387</t>
  </si>
  <si>
    <t>10.1017/S037689291000024X</t>
  </si>
  <si>
    <t>WOS:000280427600008</t>
  </si>
  <si>
    <t>Pevnaya, MV; Drozdova, AA; Cernicova-Buca, M</t>
  </si>
  <si>
    <t>Pevnaya, Maria V.; Drozdova, Anna A.; Cernicova-Buca, Mariana</t>
  </si>
  <si>
    <t>Making Room for Volunteer Participation in Managing Public Affairs: A Russian Experience</t>
  </si>
  <si>
    <t>In 2018, the United Nations Volunteers organization recognized that the governmental support for volunteering is a superior public management practice, offering the much-needed fuel for the integration of volunteering in politics, law-making, and social planning at the government level. The present article analyzes the current situation of governmental support for volunteering at federal, regional, and local levels of public administration in the Russian Federation as a precondition for making coproduction of public services possible. The analysis is based on the scrutiny of documents, a questionnaire survey of Russian volunteers, and an expert poll of public servants and nonprofit organizations (NPO) leaders. The analysis of the state policy of support for volunteering is carried out with respect to the following parameters: the awareness and evaluation of national measures of the governmental support for volunteering, as well as the evaluation of informational, financial, consulting, and organizational measures to support volunteer organizations by regional and municipal civil servants. In a country such as the Russian Federation, where volunteering is a relatively young social phenomenon, public administration needs not only to provide support, but also to administer transformation processes toward sustainable development, relying on the partnership and resources volunteers bring for effectively managing public life.</t>
  </si>
  <si>
    <t>10.3390/su122410229</t>
  </si>
  <si>
    <t>WOS:000603173400001</t>
  </si>
  <si>
    <t>He, F; Wu, WD; Zhuang, TZ; Yi, Y</t>
  </si>
  <si>
    <t>He, Fang; Wu, Wendong; Zhuang, Taozhi; Yi, Yuan</t>
  </si>
  <si>
    <t>Exploring the Diverse Expectations of Stakeholders in Industrial Land Redevelopment Projects in China: The Case of Shanghai</t>
  </si>
  <si>
    <t>In China, while large-scale industrial land redevelopment has played a significant role in promoting economic growth, it has also triggered a series of unsustainable problems. To date, few studies have explored the expectations of stakeholders in industrial redevelopment projects in China. Gaining an in-depth understanding of the diverse expectations among core stakeholders is an essential step towards realizing social sustainability. This study aims to analyze these diverse expectations in industrial land redevelopment projects. For this purpose, 19 factors were identified and compared across the following core stakeholders: local governments, consulting experts, the general public, and original land users of state-led redevelopment and land user-led redevelopment projects, using questionnaires and interviews conducted in Shanghai, China. The findings show there to be tremendous differences between the expectations of different stakeholder groups in terms of economic, social and environmental aspects. Major differences were also found between the expectations of original land users across different project types. Moreover, the negative externalities, the balance between industrial and residential space, the diverse needs of original land users in different project types, and the barriers to stakeholders' participation, in industrial land redevelopment in China were discussed. The findings of the current paper are conducive to optimizing stakeholder participation in industrial land redevelopment so as to enhance social sustainability.</t>
  </si>
  <si>
    <t>10.3390/su11174744</t>
  </si>
  <si>
    <t>WOS:000486877700232</t>
  </si>
  <si>
    <t>Brautigam, D</t>
  </si>
  <si>
    <t>Close encounters: Chinese business networks as industrial catalysts in Sub-Saharan Africa</t>
  </si>
  <si>
    <t>AFRICAN AFFAIRS</t>
  </si>
  <si>
    <t>Chinese business networks form an important (and well-studied) component of transnational industrial capitalism in East and South-east Asia. Yet almost no attention has been paid to the dynamics of the growing role of Chinese networks as catalysts for industrial development in sub-Saharan Africa. This article explores two contrasting cases, in Mauritius and in Nigeria. In a hostile or indifferent policy environment such as that of Nigeria, and in a locale where there were no resident overseas Chinese, the Asia-Africa linkages remained limited to information, input supply, consulting services, and technical assistance. In contrast, in the encouraging policy environment of Mauritius, which also had a sizeable overseas Chinese population, transnational Asian capitalists created strong connections with local capital (Asian and other), invested in joint ventures, and formed part of a successful export-oriented industrialization. These cases suggest that, as Asian business networks expand their global reach to sub-Saharan Africa, they can provide an important catalyst for local industrialization.</t>
  </si>
  <si>
    <t>0001-9909</t>
  </si>
  <si>
    <t>1468-2621</t>
  </si>
  <si>
    <t>10.1093/oxfordjournals.afraf.a138824</t>
  </si>
  <si>
    <t>WOS:000184387200004</t>
  </si>
  <si>
    <t>Spiric, J; Ramirez, MI; Skutsch, M</t>
  </si>
  <si>
    <t>Spiric, J.; Ramirez, M., I; Skutsch, M.</t>
  </si>
  <si>
    <t>The legitimacy of environmental governance based on consultation with indigenous people: insights from Mexico's REDD plus readiness process in the Yucatan Peninsula</t>
  </si>
  <si>
    <t>To what extent does consulting with indigenous communities improve the legitimacy of environmental governance? This question was addressed by analysing the consultation process organised within the Reducing Emissions from Deforestation and Forest Degradation (REDD+) readiness phase in Mexico. Criteria to assess governance legitimacy were compiled from scientific literature and compared with those adopted by international indigenous rights agreements. The extent to which these criteria were met and how they were implemented in two indigenous communities in the Yucatan Peninsula was assessed through documents and interviews analyses. Results show that, despite the progress that Mexico's consultation protocol represents, it did not include an intra-community representation criterion; transparency. accountability and deliberation criteria were not completely reached in practice; there was discordance between official and local participants' understanding of consultation objectives; and no agreement or consent were sought from the participants. These findings provide lessons for other governance projects implemented through consultation with local communities both in Mexico and elsewhere.</t>
  </si>
  <si>
    <t>Ramirez, M. Isabel/D-3010-2012</t>
  </si>
  <si>
    <t>Ramirez, M. Isabel/0000-0002-6738-1165</t>
  </si>
  <si>
    <t>10.1505/146554819826606522</t>
  </si>
  <si>
    <t>WOS:000471806900008</t>
  </si>
  <si>
    <t>Denisova, OA; Lekhanova, OI</t>
  </si>
  <si>
    <t>Denisova, O. A.; Lekhanova, O., I</t>
  </si>
  <si>
    <t>Inclusive Education of Students with Disabilities in the Regional Multidisciplinary University: The Experience of Cherepovets State University</t>
  </si>
  <si>
    <t>PSIKHOLOGICHESKAYA NAUKA I OBRAZOVANIE-PSYCHOLOGICAL SCIENCE AND EDUCATION</t>
  </si>
  <si>
    <t>This article describes the regional experience of teaching students with disabilities in a multidisciplinary university. Analysis of resources and algorithms of educational support provided at the university creates the opportunity to share this experience and to evaluate its significance for the development of higher inclusive education, as well as to assess the perspectives for its application in similar educational environments. Consulting, education, coordination and rehabilitation services are the main forms of assistance to students and teachers at all stages of education and socialization of people with disabilities. The university has a department that provides support to students with disabilities and their teachers. The analysis of the successes and challenges of higher education of persons with disabilities shows that there is an objective need to unite the efforts of the university with the regional non-governmental organizations and the authorities of the region, with health care, education and social services in order to support young people with disabilities.</t>
  </si>
  <si>
    <t>1814-2052</t>
  </si>
  <si>
    <t>2311-7273</t>
  </si>
  <si>
    <t>10.17759/pse.2017220114</t>
  </si>
  <si>
    <t>WOS:000408438300014</t>
  </si>
  <si>
    <t>de Jong, M; Yu, C; Joss, S; Wennersten, R; Yu, L; Zhang, XL; Ma, X</t>
  </si>
  <si>
    <t>de Jong, Martin; Yu, Chang; Joss, Simon; Wennersten, Ronald; Yu, Li; Zhang, Xiaoling; Ma, Xin</t>
  </si>
  <si>
    <t>Eco city development in China: addressing the policy implementation challenge</t>
  </si>
  <si>
    <t>Over the last few decades, China has seen a steep rise in diverse eco city and low carbon city policies. Recently, attention has begun to focus on the perceived shortcomings in the practical delivery of related initiatives, with several publications suggesting a gap between ambitious policy goals and the emerging realities of the newly built environment. To probe this further, in this article we examine - based on the policy network approach - how the gap between high-level national policies and local practice implementation can be explained in the current Chinese context. We develop a four-pronged typology of eco city projects based on differential involvement of key (policy) actor groups, followed by a mapping of what are salient policy network relations among these actors in each type. Our analysis suggests that, within the overall framework of national policy, a core axis in the network relations is that between local government and land developers. In some cases, central government agencies - often with buy-in from international architecture, engineering and consulting firms - seek to influence local government planning through various incentives aimed at rendering sustainability a serious consideration. However, this is mostly done in a top-down manner, which overemphasizes a rational, technocratic planning mode while underemphasizing interrelationships among actors. This makes the emergence of a substantial implementation gap in eco city practice an almost predictable outcome. Consequently, we argue that special attention be paid in particular to the close interdependency between the interests of local government actors and those of land and real estate developers. Factoring in this aspect of the policy network is essential if eco city implementation is to gain proper traction on the ground. (C) 2016 Elsevier Ltd. All rights reserved.</t>
  </si>
  <si>
    <t>A</t>
  </si>
  <si>
    <t>10.1016/j.jclepro.2016.03.083</t>
  </si>
  <si>
    <t>WOS:000382409700004</t>
  </si>
  <si>
    <t>Sorskar, LIK; Abrahamsen, EB</t>
  </si>
  <si>
    <t>Sorskar, Leif Inge K.; Abrahamsen, Eirik B.</t>
  </si>
  <si>
    <t>On how to manage uncertainty when considering regulatory HSE interventions</t>
  </si>
  <si>
    <t>EURO JOURNAL ON DECISION PROCESSES</t>
  </si>
  <si>
    <t>Regulatory health, safety, and environment (HSE) interventions have an impact on both costs and benefits for the industry. It is common for the regulators to evaluate such interventions by providing a comparison of costs and benefits as a basis for decision-making. Fulfilling an assignment for the Norwegian government, two consulting companies proposed a methodology for regulatory evaluation in the petroleum industry. This methodology acknowledges that uncertainty must have a higher weight than given through traditional cost-benefit analyses, but it is still to a great extent based on the use of expected values. We question this use of modified cost-benefit analyses for providing decision support in contexts where uncertainty is the dominating attribute. Furthermore, we argue that the decision-makers should be able to take a dynamic approach, where the chosen method should fit its context. As an example, we present a framework in line with such a dynamic approach. The article is an extended version of an ESREL conference article.</t>
  </si>
  <si>
    <t>2193-9438</t>
  </si>
  <si>
    <t>2193-9446</t>
  </si>
  <si>
    <t>10.1007/s40070-017-0073-0</t>
  </si>
  <si>
    <t>WOS:000446936300006</t>
  </si>
  <si>
    <t>MOORHOUSE, DC; MILLET, RA</t>
  </si>
  <si>
    <t>IDENTIFYING CAUSES OF FAILURE IN PROVIDING GEOTECHNICAL AND ENVIRONMENTAL CONSULTING SERVICES</t>
  </si>
  <si>
    <t>After first defining ''failure,'' the writers present the results of their examination of over 50 published and unpublished case histories of failures related to geotechnical and environmental consulting services. The case-history analysis indicates that there are four main participants in failures and a multiple of contributory causes. Tabular summaries of the frequency of occurrence of contributing causes and main participants were prepared separately for geotechnical and environmental cases. Findings indicate that there are at least two to three contributing causes leading to failure as well as a multiple of key participants. For geotechnical cases, the leading contributing causes were: clients or contractors not following the professionals' recommendations and lack of disclosure by the professional of risk, uncertainties, and consequences. For environmental cases, the most frequent contributing cause of failure was lack of staff training. It is concluded that, to significantly reduce the frequency of failures, attention and resources must be applied to the acts and policies of senior management and project management in professional service firms.</t>
  </si>
  <si>
    <t>10.1061/(ASCE)9742-597X(1994)10:3(56)</t>
  </si>
  <si>
    <t>WOS:A1994QB01400017</t>
  </si>
  <si>
    <t>Silveira, ML</t>
  </si>
  <si>
    <t>Laura Silveira, Maria</t>
  </si>
  <si>
    <t>Brazilian metropoli: an analysis of the circuits of urban economy</t>
  </si>
  <si>
    <t>EURE-REVISTA LATINOAMERICANA DE ESTUDIOS URBANO REGIONALES</t>
  </si>
  <si>
    <t>Over the last thirty years the modernization of Brazilian territory has been accompanied by intense processes of urbanization and metropolitanization. To understand the new metropolitan dynamics that have emerged, we discuss the conditions of the built environment and the different circuits of production. The activities linked to scientific-technological production, consulting, the financial system and international trade constitute the upper circuit, which is also constituted by a marginal contribution of mixed forms. As an indirect result of this modernization, another set, of manufacturing, commercial and service forms with low degrees of capital technology and organization, constitutes the lower circuit. The explanatory variables in the analysis, using empirical results, are location and the built environment, technologies, relations of employment, information, marketing, finance and the connection with public sector power. The increasing distance between both circuits and the ways of overcoming this seem to be the most pressing problems of metropolitan dynamics and current policy.</t>
  </si>
  <si>
    <t>0250-7161</t>
  </si>
  <si>
    <t>0717-6236</t>
  </si>
  <si>
    <t>WOS:000252031500008</t>
  </si>
  <si>
    <t>Garcia-Granero, EM; Piedra-Munoz, L; Galdeano-Gomez, E</t>
  </si>
  <si>
    <t>Garcia-Granero, Eva M.; Piedra-Munoz, Laura; Galdeano-Gomez, Emilio</t>
  </si>
  <si>
    <t>Multidimensional Assessment of Eco-Innovation Implementation: Evidence from Spanish Agri-Food Sector</t>
  </si>
  <si>
    <t>Understanding eco-innovation is an essential endeavor to achieve global sustainable development. In this sense, further research on implementation is needed to expand knowledge beyond current boundaries. The aim of this paper is to contribute to this debate by conducting an original multidimensional analysis using Spanish agri-food sector data. The empirical methodology applies a combination of descriptive statistics, cluster analysis and the chi-squared test. Two groups of well-differentiated eco-innovative firms are identified, those with high and low eco-innovation implementation levels. Quality certifications, environmental consulting and cooperation with stakeholders are the variables that contribute most to distinguishing these two groups. The results also reveal that operating income volume, number of employees and commercialization volume are key factors to become more eco-innovative. In this sense, larger firms are found to have a higher level of eco-innovation implementation than small- and medium-sized enterprises. The main contributions of this work are fourfold. Firstly, it presents a comprehensive framework of eco-innovation implementation in its four dimensions (product, process, organizational and marketing). Secondly, it fills existing gaps in the literature by analyzing green organizational and marketing eco-practices. Thirdly, it expands the sectorial scope of eco-innovation research primarily focused on high-tech sectors. Finally, this study makes it possible to design certain policies for public and private decision makers.</t>
  </si>
  <si>
    <t>10.3390/ijerph17041432</t>
  </si>
  <si>
    <t>WOS:000522388500308</t>
  </si>
  <si>
    <t>Owen, D</t>
  </si>
  <si>
    <t>Owen, Dave</t>
  </si>
  <si>
    <t>Private facilitators of public regulation: A study of the environmental consulting industry</t>
  </si>
  <si>
    <t>REGULATION &amp; GOVERNANCE</t>
  </si>
  <si>
    <t>Most accounts of businesses and regulators depict adversarial relationships. In these accounts, businesses typically seek to avoid or limit public regulation or, alternatively, to distort it so it serves private rather than public ends. This article uses a study of the environmental consulting industry to explore a different set of relationships between businesses and public regulation. These consultants generally work for for-profit companies, and they serve as regulatory intermediaries between businesses and government. Those dual roles raise concerns that environmental consultants, like many other businesses, will seek to subvert regulatory schemes or will serve as instruments of regulatory capture. While some evidence supports these concerns, interviews and documentary research also demonstrated widespread perceptions that consultants play two other roles. First, environmental consultants strive to operate as trusted facilitators of constructive relationships between regulators and regulated entities. Second, for combined reasons of profit motive and value-based moral commitments, environmental consultants also strive to act as guardians and proponents of the public values underlying environmental regulation. These roles have implications for descriptive understandings of the functioning of regulatory regimes and for regulatory system design. Most importantly, in contrast to literature emphasizing the need to protect regulatory governance from private, for-profit entities, these findings illustrate how for-profit regulatory intermediaries can work to bolster regulatory governance.</t>
  </si>
  <si>
    <t>1748-5983</t>
  </si>
  <si>
    <t>1748-5991</t>
  </si>
  <si>
    <t>10.1111/rego.12284</t>
  </si>
  <si>
    <t>WOS:000604196300013</t>
  </si>
  <si>
    <t>Foo, CT</t>
  </si>
  <si>
    <t>Foo, Check Teck</t>
  </si>
  <si>
    <t>In pursuit of original thinking: a selection of CMS papers</t>
  </si>
  <si>
    <t>CHINESE MANAGEMENT STUDIES</t>
  </si>
  <si>
    <t>Purpose - The purpose of this paper in the editorial review of manuscripts to highlight the emergent aspects of original thinking that provide new perspectives on issues central to management. Design/methodology/approach - A synoptic perspective of a very broad range of topics covered in research by scholars is provided: education, corporate value, quality, corporate social responsibility, risk behavior, managing reputation, expatriation, growth and creativity. In this particular review, the editor emphasizes those facets of the paper that shed original, new light on management. Also, the areas where research provides a theoretical basis for consulting or managerial practice are highlighted to illustrate how research can be of practical relevance. Findings - Some of the insights gained clearly indicate the importance of research. For example, tighter or more rigorous governmental regulations on food quality are unlikely to contribute to the enhancement of firms' capability in improving food quality. The government needs to do much more than only regulate. Then, there is empirical reaffirmation that guan-xi with government matters: better the relationships, the higher corporate value but only if the firm is in private hands, not for state-owned enterprises (SOEs). Then, the Chinese local firms' nexus with foreign, and international corporations influences their corporate social performance. Even more fascinating, a bank's risk behavior is dependent on the structural composition of the board of directors. Indeed, research shows that a gender mix in fact lowers the propensity toward taking a high risk. Then, through reflecting upon their deep researches, the authors derive a theoretic framework for coping with reputation loss following a financial restatement. Here, authors showed SOEs to suffer much more in the event of restatement than the privately owned enterprises. Then, in a piece of innovative research of expatriation, authors relate a spectrum of the Chinese cultural values to performance. In a cross-country (civilization) study, the research motivation is: Whether SMEs in China, India and Pakistan are confronting the same environmental challenges? As expected, the answer would be yes in some aspects and no in others. This a significant finding, as the Chinese are raised on a milieu of suppressing one's emotions: emotional expressiveness can contribute to creativity! Originality/value - In this paper, the editor highlights some aspects on the original thinking of the authors within this issue of Chinese Management Studies. Also, the editor highlights on how research contained herein is contributing to managerial (consulting) practice.</t>
  </si>
  <si>
    <t>1750-614X</t>
  </si>
  <si>
    <t>1750-6158</t>
  </si>
  <si>
    <t>10.1108/CMS-03-2016-0046</t>
  </si>
  <si>
    <t>WOS:000379770900001</t>
  </si>
  <si>
    <t>Van Treek, EV; Alarcon, CT</t>
  </si>
  <si>
    <t>Valenzuela Van Treek, Esteban; Toledo Alarcon, Claudia</t>
  </si>
  <si>
    <t>THE STRUGGLE FOR URBAN/METROPOLITAN GOVERNANCE IN CHILE: AGENCY RESISTANCE AND INTERGOVERNMENTAL REFORM WITH REGIONAL POWER</t>
  </si>
  <si>
    <t>URBANO</t>
  </si>
  <si>
    <t>Chile has opted for the dual governance of cities after a period of increasing territorial demands for autonomy. Three presidential commissions with dissimilar proposals have produced a hybrid intergovernmental response based on a ministerial committee that reached an agreement with regional-municipal alliances, under the tutelage of the governor-elect. Based on the information gathered from the 2014 regional council meetings, interviews with regional actors, and the examples of Santiago, Greater Valparaiso and Greater Concepcion, the struggle for urban governance that requires a greater demand for strong mobility and environmental policies, has become one of the focal points of the problems of cities in Chile, thus promoting accelerated decentralization processes from the regions. The objective of this article is to expose the conflict that exists in the management models of cities in a traditionally centralist country that is evolving towards an incremental mixed model of metropolitan governance with intergovernmentalism, which causes symbolic power to fall to a regional governor, but that obliges both pacts with the powerful national state agencies and consulting about key plans with the future council of mayors that constitute a metropolitan territory. It is evident that this process implies a path not without difficulties, which aims to strengthen public sector relations, incorporate municipalities into territorial discussions, hold talks with relevant private and academic sector actor's and involve citizens in metropolitan management.</t>
  </si>
  <si>
    <t>0717-3997</t>
  </si>
  <si>
    <t>0718-3607</t>
  </si>
  <si>
    <t>10.22320/07813607.2017.20.35.02</t>
  </si>
  <si>
    <t>WOS:000455841200003</t>
  </si>
  <si>
    <t>Islam, MM; Barnes, A; Toma, L</t>
  </si>
  <si>
    <t>Islam, Md. Mofakkarul; Barnes, Andrew; Toma, Luiza</t>
  </si>
  <si>
    <t>An investigation into climate change scepticism among farmers</t>
  </si>
  <si>
    <t>JOURNAL OF ENVIRONMENTAL PSYCHOLOGY</t>
  </si>
  <si>
    <t>Although climate change is a major challenge facing the world today, a considerable proportion of the general public in the UK and other Western countries have been found to be sceptical of the issue. Given that livestock farming is a major contributor to climate change, this study explored the extent to which climate change scepticism prevailed among Scottish dairy farmers, the factors that affected their scepticism, and the lessons that could be derived for dealing with this challenge. According to Rahmstorf's (2004) typology of trend, risk and attribution scepticism, appropriate statements were developed and measured on Likert-type scales. The factors that affected these three categories of scepticism were identified by using a Structural Equation Modelling approach. The prevalence of trend and attribution scepticism was quite low among the farmers, but the prevalence of risk scepticism was considerably high. The extent of these scepticisms was significantly affected by farmers' age, economic status, education, experience with disease and pest infestations, use of media, contacts with agricultural extension consultants, environmental values, and economic values. The effects of these factors on scepticism and the directions of these effects were however different for the three categories of scepticism proposed by Rahmstorf. The theoretical and policy implications of these findings are discussed. (C) 2013 Elsevier Ltd. All rights reserved.</t>
  </si>
  <si>
    <t>0272-4944</t>
  </si>
  <si>
    <t>1522-9610</t>
  </si>
  <si>
    <t>10.1016/j.jenvp.2013.02.002</t>
  </si>
  <si>
    <t>WOS:000319641800013</t>
  </si>
  <si>
    <t>Deeg, R</t>
  </si>
  <si>
    <t>What makes German banks different</t>
  </si>
  <si>
    <t>SMALL BUSINESS ECONOMICS</t>
  </si>
  <si>
    <t>The past few years have seen a revival in the academic debate over the economic functions of German banks. This paper takes the position that large non-financial firms have become highly autonomous of the banks, and the corporate governance role of banks, while still important, is much less significant than widely presumed. German banks, however, do fulfill certain economic functions to a greater degree and in a different manner than banks in other countries. These bank functions of long-term commercial financing, comprehensive management consulting, and supporting diversified quality production strategies are made possible by the institutional character of the banking system itself and the institutional context in which it operates. A complex web of government laws, regulations, and government financial aid combine with bank group competition to create an extensive and successful financial support system for German SMEs. This system faces various adjustment challenges - from international financial market integration to EU regulatory harmonization - but it has thus far managed to adapt while sustaining its core functions.</t>
  </si>
  <si>
    <t>0921-898X</t>
  </si>
  <si>
    <t>10.1023/A:1007995832554</t>
  </si>
  <si>
    <t>WOS:000072340800003</t>
  </si>
  <si>
    <t>Rodriguez, M; Pansera, M; Lorenzo, PC</t>
  </si>
  <si>
    <t>Rodriguez, Miguel; Pansera, Mario; Cabanelas Lorenzo, Pablo</t>
  </si>
  <si>
    <t>Do indicators have politics? A review of the use of energy and carbon intensity indicators in public debates</t>
  </si>
  <si>
    <t>In this paper we analyse how energy and carbon intensity indicators, which have huge popularity among policy makers, are framed in the discourse of think tanks, consulting groups and other stakeholders. What emerges from the analysis of public documents, reports and policy briefs is that intensity indicators are often framed uncritically and unreflectively. Our analysis highlights three fundamental themes that emerge from public debates around intensity indicator. First, 'efficiency' and 'intensity' - often framed in terms of productivity - are used equivalently. Second, intensity is perceived as a measure of win-win sustainability in which economic growth can be decoupled from energy consumption without a substantial restructuring of the productive system. Third, the analysis suggests that energy and carbon intensity indicators are attractive for policy makers - especially in the so-called developing world - because they can be used to design political targets (e.g. Paris agreement) without questioning the right to economic growth of powerful emerging economies like the BRICS. The paper shows the strong limitations of intensity indicators and their potential do misguide policymakers. (C) 2019 Elsevier Ltd. All rights reserved.</t>
  </si>
  <si>
    <t>JAN 10</t>
  </si>
  <si>
    <t>10.1016/j.jclepro.2019.118602</t>
  </si>
  <si>
    <t>WOS:000498805600036</t>
  </si>
  <si>
    <t>De Roo, G; Porter, G</t>
  </si>
  <si>
    <t>De Roo, Gert; Porter, Geoff</t>
  </si>
  <si>
    <t>A Means to Tackle the Fuzzy Side to Sustainability within a Commonly Agreed and Positive Planning Environment</t>
  </si>
  <si>
    <t>DISP</t>
  </si>
  <si>
    <t>This paper argues that many of the key notions associated with spatial planning, such as sustainabilit y', are essentially fuzzy in their nature. The paper introduces a method of data collection and analysis that seeks to clarify such situations, which might lead to the identification of more realistic spatial policy that reflects the thoughts, aspirations and motives of crucial actors, being limited in number and having a common and positive understanding regarding the issue at hand. The paper refers to two examples from the UK and the Netherlands respectively of how such a method can be used to explore realistic ways for ward for a sustainable housing policy. In both cases it was considered necessary to explore aspects of policy that go beyond the conventional boundaries of spatial policy for housing in order to learn how to pursue more sustainable approaches. The actor-consulting model was effective in unpacking the fuzzy notion of sustainability in a way that assisted the planning authority to learn how policy might be more realistically framed.</t>
  </si>
  <si>
    <t>0251-3625</t>
  </si>
  <si>
    <t>2166-8604</t>
  </si>
  <si>
    <t>10.1080/02513625.2015.1064644</t>
  </si>
  <si>
    <t>WOS:000359695300004</t>
  </si>
  <si>
    <t>Kanda, W; Hjelm, O; Clausen, J; Bienkowska, D</t>
  </si>
  <si>
    <t>Kanda, Wisdom; Hjelm, Olof; Clausen, Jens; Bienkowska, Dzamila</t>
  </si>
  <si>
    <t>Roles of intermediaries in supporting eco-innovation</t>
  </si>
  <si>
    <t>Eco-innovation is an approach to environmental sustainability. However, the process of eco-innovation can be challenging especially for small and medium sized enterprises (SMEs). Thus, SMEs might seek external support to tackle some of their challenges in eco-innovation. In this article, we focus on one type of organization providing and also assisting SMEs to access support, intermediaries, i.e. an organization or body that acts as an agent or broker in the innovation process. Intermediaries support firms in the innovation process through various generic and customised activities. To identify such activities and describe the roles intermediaries take in eco-innovation, we conducted interviews and documentation analysis on selected intermediaries in two regions - Scania, Sweden and North Rhine Westphalia, Germany. The identified roles among our cases include: (i) forecasting and road mapping, (ii) information gathering and dissemination, (iii) fostering networking and partnerships, (iv) prototyping and piloting, (v) technical consulting, (vi) resource mobilisation, (vii) commercialisation, and (viii) branding and legitimation. In relation to the specific characteristics of eco-innovations, the intermediary roles such as prototyping and piloting, information gathering and dissemination, and branding were directly targeted at validating the environmental benefits of eco-innovations to tackle their double externality challenge. However, we found little intermediation activities from our cases directed explicitly at policy change for eco-innovation. For policy makers, our results suggest a complementary use of different types of intermediaries to support eco-innovation. (C) 2018 Elsevier Ltd. All rights reserved.</t>
  </si>
  <si>
    <t>DEC 20</t>
  </si>
  <si>
    <t>10.1016/j.jclepro.2018.09.132</t>
  </si>
  <si>
    <t>WOS:000449133300081</t>
  </si>
  <si>
    <t>Chu, V; Luke, B</t>
  </si>
  <si>
    <t>Chu, Vien; Luke, Belinda</t>
  </si>
  <si>
    <t>A participatory approach: Shifting accountability in microenterprise development</t>
  </si>
  <si>
    <t>Although non-government organisations (NGOs) play an important role in poverty alleviation, their accountability to beneficiaries (the poor) for sustainable poverty alleviation is often criticised. In the literature, a participatory approach to strengthening NGO downward accountability has been widely discussed and various mechanisms for participation are identified; however, it is unclear how a participatory approach is implemented in practice to enhance NGO accountability to beneficiaries. Using accountability concepts, this study examines a participatory approach within the practices of NGOs engaging in microenterprise development in Bangladesh and Indonesia. Findings show that an effective participatory approach needs to address three questions: who participates, what to participate in, and how to participate. Within this approach, participation for beneficiary empowerment involves three stages: consulting, partnership, and delegated control. These stages are not linear, but rather a recurring, iterative process, providing a graduated, progressive approach to empowering beneficiaries. These stages recognise mutual accountability between the poor, as well as the public and private sectors, providing a basis for enhanced NGO accountability to beneficiaries at a strategic level - and enhanced sustainable outcomes for poverty alleviation.</t>
  </si>
  <si>
    <t>10.1111/faam.12252</t>
  </si>
  <si>
    <t>WOS:000535092200001</t>
  </si>
  <si>
    <t>Garg, CP; Kashav, V</t>
  </si>
  <si>
    <t>Garg, Chandra Prakash; Kashav, Vishal</t>
  </si>
  <si>
    <t>Evaluating value creating factors in greening the transportation of Global Maritime Supply Chains (GMSCs) of containerized freight</t>
  </si>
  <si>
    <t>TRANSPORTATION RESEARCH PART D-TRANSPORT AND ENVIRONMENT</t>
  </si>
  <si>
    <t>In the Global Maritime Supply Chains (GMSCs), sustainable development and growth of containerized freight (cargo stuffed in maritime containers for transportation) transport system and container port/terminal business have attracted attention of regional governments, financial institutions and regulatory bodies across the globe. Particularly, growing worries about the unpropitious impacts on the environment caused by containerized freight transport industry. The industry has contributed immensely in growth and expansion of global trade and therefore increased trade promises sustainable growth of global port and shipping activities. Competition in liner shipping industry has shrunk profits of the carriers while struggling to grab more market share, which has led them to work upon creating value to the customers in order to gain edge over others. Therefore, this study is conducted from business perspective that how the global container shipping sector can create value to its customers and stakeholders and also go tandem with environmental aspect. The objective of the study is to identify and examine the value creating factors and sub-factors of GMSCs of containerized freight. Data on value creating factors is collected by consulting 57 ports and shipping industry experts globally. We propose FAHP (Fuzzy Analytic Hierarchy Process) framework for evaluating these value creating factors and develop this study which will not just help carriers but also the stakeholders in the containerized freight transport industry to measure their competitive edge over rivals. This study concludes with sensitivity analysis, results and discussions, managerial and practical implications of the conceptual framework.</t>
  </si>
  <si>
    <t>Kashav, Vishal/0000-0002-3459-5175</t>
  </si>
  <si>
    <t>1361-9209</t>
  </si>
  <si>
    <t>10.1016/j.trd.2019.06.011</t>
  </si>
  <si>
    <t>WOS:000483908200014</t>
  </si>
  <si>
    <t>Pace, LA</t>
  </si>
  <si>
    <t>Pace, Lisa A.</t>
  </si>
  <si>
    <t>How do tourism firms innovate for sustainable energy consumption? A capabilities perspective on the adoption of energy efficiency in tourism accommodation establishments</t>
  </si>
  <si>
    <t>Previous studies demonstrate the role of firm capabilities in the adoption of environmental innovations and sustainability measures. However there remains a gap in understanding how particular combinations of capabilities may give rise to different patterns of innovation adoption across firms in the tourism industry. The study addresses this gap by advancing insights on the capabilities of tourism accommodation establishments to adopt environmental technologies and measures in their maintenance and operational activities; and the extent to which tourism firms exploit their relation with a type of business partner (engineering consulting firms in this study) to appropriate knowledge about environmental innovations and build absorptive capacity. For this purpose, the research builds a qualitative study on the adoption of energy efficiency measures in hotels in Malta, a Mediterranean tourism destination. The findings demonstrate different patterns of innovation adoption amongst the firms in terms of the range of energy technologies and measures adopted that are contingent on the firms' particular combination of capabilities to solve problems around energy efficiency; and to accumulate knowledge about energy solutions through creating spaces for innovation adoption. Tourism firms that build internal capabilities for adoption of energy efficient measures and technologies are more likely to mobilize their relation with engineering firms in order to co-produce innovative energy efficient solutions. The policy implication is that policy measures should increasingly promote the development of capabilities for energy management alongside programmes that are focussed on the diffusion of environmental technologies. (c) 2015 Elsevier Ltd. All rights reserved.</t>
  </si>
  <si>
    <t>Pace, Lisa/AAV-6630-2020</t>
  </si>
  <si>
    <t>Pace, Lisa/0000-0001-5136-9842</t>
  </si>
  <si>
    <t>JAN 16</t>
  </si>
  <si>
    <t>10.1016/j.jclepro.2015.01.095</t>
  </si>
  <si>
    <t>WOS:000367862100012</t>
  </si>
  <si>
    <t>Morton, A; Airoldi, M; Phillips, LD</t>
  </si>
  <si>
    <t>Morton, Alec; Airoldi, Mara; Phillips, Lawrence D.</t>
  </si>
  <si>
    <t>Nuclear Risk Management on Stage: A Decision Analysis Perspective on the UK's Committee on Radioactive Waste Management</t>
  </si>
  <si>
    <t>In 2003, the UK government set up a broad-based Committee on radioactive waste management (CoRWM) to look at the UK's policy on radioactive waste management with a view to jumpstarting a stalled policy process. The committee's brief was to come up with a set of recommendations that would protect the public and the environment, and be capable of inspiring public confidence. After consulting widely with the public and stakeholders, and drawing on advice from scientists and other experts, CoRWM arrived at a remarkably well-received set of recommendations. On the basis of our experiences of working on CoRWM's multi-criteria decision analysis of different management options, study of CoRWM documentation, and interviews with committee members, we describe the explicit and implicit principles that guided CoRWM. We also give an account of the process by which CoRWM arrived at its conclusions, covering four phases: framing, shortlisting, option assessment, and integration; and four cross-cutting activities: public and stakeholder engagement (PSE), science and engineering input, ethics and social science input, and learning from overseas practice. We finish by outlining some of the key developments in the UK's radioactive waste management process, which followed on from the publication of CoRWM's report, and present our reflections for the benefit of the risk and decision analysts of future committees that, like CoRWM, are charged with recommending to government on the management of technically complex and risky technologies, drawing on extensive public and stakeholder consultation.</t>
  </si>
  <si>
    <t>Morton, Alec/0000-0003-3803-8517</t>
  </si>
  <si>
    <t>1539-6924</t>
  </si>
  <si>
    <t>10.1111/j.1539-6924.2008.01192.x</t>
  </si>
  <si>
    <t>WOS:000264892100012</t>
  </si>
  <si>
    <t>Ferenhof, HA; Vignochi, L; Selig, PM; Lezana, AGR; Campos, LMS</t>
  </si>
  <si>
    <t>Ferenhof, Helio Aisenberg; Vignochi, Luciano; Selig, Paulo Mauricio; Rojas Lezana, Alvaro Guillermo; Campos, Lucila M. S.</t>
  </si>
  <si>
    <t>Environmental management systems in small and medium-sized enterprises: an analysis and systematic review</t>
  </si>
  <si>
    <t>This article seeks to answer the following question: based on the scientific publications on this topic, what aspects of environmental management systems are small and medium enterprises incorporating into their production processes? A bibliometric analysis and systematic review was performed to formulate a response. The study yielded a portfolio of 27 articles directly related to the research available online in the Web of Knowledge and Scopus databases. The bibliometric analysis identified the most relevant articles, authors, keywords and journals published without time slicing on studies between 1999 and 2013, while the systematic review allowed for the compilation of definitions, authors, research types, results and research opportunities. The primary aspects of the environmental management systems incorporated by small and medium enterprises were (1) certification, (2) fault analysis and improvement implementation, (3) environmental responsibility and (4) impact mitigation. Most of the articles in the portfolio database were associated with the study of environmental management systems implementation in small and medium enterprises with an emphasis on results, such as: (1) lack of knowledge on environmental impacts, (2) the need for training, policy, consulting, business cooperation and the integration of systems, (3) high costs at the beginning of implementation and (4) moral gains and cost reduction paired with sustainability in the medium term. Image improvement and the acquisition of new customers were also factors cited in the studies, highlighting the possibility of acquiring competitive advantages through environmental management systems. (C) 2014 Elsevier Ltd. All rights reserved.</t>
  </si>
  <si>
    <t>10.1016/j.jclepro.2014.03.027</t>
  </si>
  <si>
    <t>WOS:000337773000005</t>
  </si>
  <si>
    <t>Felton, A; Ellingson, L; Andersson, E; Drossler, L; Blennow, K</t>
  </si>
  <si>
    <t>Felton, Adam; Ellingson, Lindsey; Andersson, Erik; Drossler, Lars; Blennow, Kristina</t>
  </si>
  <si>
    <t>Adapting production forests in southern Sweden to climate change Constraints and opportunities for risk spreading</t>
  </si>
  <si>
    <t>Purpose - Recent climate scenarios indicate that Sweden's southern region, Gotaland, will experience significant climate change over the coming century. Swedish forestry policy guidelines emphasize the need for risk spreading to reduce the potential adverse impacts of these changes. Risk spreading is defined here as reducing the vulnerability of a social-ecological system by increasing the heterogeneity of its ecological components. Risk spreading may be achieved through the diversification of tree species currently relied upon by the forestry sector. The purpose of this paper is to consider the capacity of the socio-ecological forest system to adapt to climate change through the use of risk spreading. Design/methodology/approach - A variety of disciplines contribute to the understanding of the rate at which risk spreading is likely to take place in a system. A synthesis is conducted to unite these insights. Findings - Five key constraints on the rate at which risk spreading can take place are identified. These include constraints imposed by the silvicultural system itself, voluntary policy measures, forest-owner perceptions of climate change, motivation among forest owners to respond to risk, and forestry consultants. Potential future directions are discussed and include the need for specifying the goal of risk spreading policy, and the need to evaluate the motivations of those forest owners already altering adopting risk spreading approaches. Originality/value - Conceptual equivalents of the risk spreading approach are international, due to the need for many societies to adapt social-ecological systems to climate change. The issues raised from this case study/synthesis provide value insights regarding the breadth of systemic constraints which can thwart attempts at rapid adjustment to climate change, and where solutions to these constraints may be found.</t>
  </si>
  <si>
    <t>10.1108/17568691011020274</t>
  </si>
  <si>
    <t>WOS:000290086200006</t>
  </si>
  <si>
    <t>BLANK, RH</t>
  </si>
  <si>
    <t>THE CRISIS IN HEALTH-CARE - COSTS, CHOICES, AND STRATEGIES - CODDINGTON,DC, KEEN,DJ, MOORE,KD, CLARKE,RL</t>
  </si>
  <si>
    <t>POLITICS AND THE LIFE SCIENCES</t>
  </si>
  <si>
    <t>The authors assume that costs can no longer be contained in the United States health care system and that the present system cannot be sustained beyond the near future. Three of the authors are affiliated with an applied economic research and consulting firm, and the fourth is president of the Healthcare Financial Management Association. They are trained in business and city planning. The bibliography lists articles from such journals as Hospitals, Business &amp; Health, Business Insurance, and Medical Economics. The book is directed to members of hospital governing boards and other hospital administrators, but it will be of interest to students of health policy. Part I highlights tensions between what the authors call the worlds of doctors and hospital administrators struggling to survive, on the one hand, and health care planners worried about spiraling costs on the other. Part II contains five chapters that suggest reasons for growing costs and that criticize cost shifting as a remedy. In Part III the authors evaluate alternative health care systems by presenting four future scenarios: incremental change, universal access, consumer choice model, and single payer system. In these chapters they also approach the fundamental purpose of the book-to help physicians, hospitals, and health plans take the next steps to position themselves for the future. While not highly analytical, the book is a readable and thoughtful supplement to more abstract critiques of the impact of today's health care system on distributive justice.</t>
  </si>
  <si>
    <t>0730-9384</t>
  </si>
  <si>
    <t>WOS:A1992JK87400023</t>
  </si>
  <si>
    <t>Pereira, R; Bissani, K</t>
  </si>
  <si>
    <t>Pereira, Reginaldo; Bissani, Karen</t>
  </si>
  <si>
    <t>GENTRIFICATION ARISING OUT OF PUBLIC POLICIES FOR LAND REGULARIZATION IN CHAPECO / SC</t>
  </si>
  <si>
    <t>REVISTA DE DIREITO DA CIDADE-CITY LAW</t>
  </si>
  <si>
    <t>This work analyzes how the land regularization processes developed by the Municipality of Chapeco / SC, applied as a solution to public policies of poor social interest and characterized by the direction of the city towards the periphery, with the consequent disqualification of the components of the urban space, triggered a process of gentrification. The theoretical framework built on the political planning measures for the sustainable development of cities in the New Urban Agenda proposed by the Habitat III Conference, 2016. The article describes the reflexes to individual, collective and common property rights caused by public housing policies inefficient and what measures did the municipal public authority aiming at correcting such misconceptions, through urban land regularization, implement. Finally, the work problematizes the phenomenon of gentrification as an unexpected result of actions to requalify irregular areas. The research is analytical and the method used is the inductive one. The data collected by consulting the bibliography and documents related to land regularization processes implemented by the municipality in public subdivisions of its domain.</t>
  </si>
  <si>
    <t>2317-7721</t>
  </si>
  <si>
    <t>10.12957/rdc.2020.43125</t>
  </si>
  <si>
    <t>WOS:000539991700024</t>
  </si>
  <si>
    <t>Sharma, VK; Chandna, P; Bhardwaj, A</t>
  </si>
  <si>
    <t>Sharma, Vijay Kumar; Chandna, Pankaj; Bhardwaj, Arvind</t>
  </si>
  <si>
    <t>Green supply chain management related performance indicators in agro industry: A review</t>
  </si>
  <si>
    <t>Environmental protection and sustainability issues in food sector have attracted global concerns in the past two decades. Companies and government in many countries have started realizing the importance of greening their supply chains. Green supply chain management has gained special attention of public and many companies are now interested in adopting it as their strategy to advance their brand image, capturing more market share and to win the trust of the customer. The purpose of this paper is to explore the diverse performance indicators and sub-indicators responsible for green supply chain management implementation and to check its reliability and to rank them using analytic hierarchy process analysis. After extensive literature review and consulting Industrial experts, the study has suggested 13 performance indicators and 79 sub-indicators. The quantitative phase was conducted through a survey using standard questionnaire with various agro based companies followed by a qualitative phase, where the duly filled questionnaires were received, edited and further analyzed. It has been concluded that internal environmental management, environmental design and regulatory pressure are ranked as the top three performance indicators, The sensitivity analysis has also been performed to see the effect of weightage on the final ranking of performance indicators. This is one of the first studies that suggest the performance indicators for implementation of green supply chain management in agro industry. The study will certainly aid the related organizations to implement green supply chain management. (C) 2016 Elsevier Ltd. All rights reserved.</t>
  </si>
  <si>
    <t>sharma, vijay/0000-0002-4242-4077</t>
  </si>
  <si>
    <t>10.1016/j.jclepro.2016.09.103</t>
  </si>
  <si>
    <t>WOS:000389090300109</t>
  </si>
  <si>
    <t>Madrid-Guijarro, A; Garcia-Perez-de-Lema, D; Van Auken, H</t>
  </si>
  <si>
    <t>Madrid-Guijarro, Antonia; Garcia-Perez-de-Lema, Domingo; Van Auken, Howard</t>
  </si>
  <si>
    <t>Financing constraints and SME innovation during economic crises</t>
  </si>
  <si>
    <t>ACADEMIA-REVISTA LATINOAMERICANA DE ADMINISTRACION</t>
  </si>
  <si>
    <t>Purpose - The purpose of this paper is to provide a better understanding of the determinants of small and medium-sized enterprises (SME) financing constraints and their impacts on investments in innovation. To explicate these factors, the authors use a general definition of innovation, distinguishing between product and process innovations, and highlight the role played by banking relationships. Design/methodology/approach - On the basis of a literature review covering works specializing in innovation, financing constraints, and SME characteristics, a quantitative study is carried out in Spain, using a sample composed by 267 Spanish SMEs. Information was gathered by applying surveys addressed to the firm managers. Findings - The findings reveal that financing constraints hinder innovation among Spanish SMEs functioning in hostile environments, though long-term banking relationships can moderate these financing constraints. The longer the duration of a firm's banking relationship, the fewer financing constraints it faces, because the relationship significantly reduces information asymmetry. Practical implications - To reduce financing constraints on their innovation, SMEs should establish long relationships and low debt concentration with their main bank. The more banks a firm works with, the greater its financing constraints. The findings have managerial implications, not just for firms but also for government policymakers and providers of consulting services. Originality/value - This paper provides an in-depth analysis of the factors that affect innovation, along with insights into which financing constraints limit innovation during a severe recession.</t>
  </si>
  <si>
    <t>MADRID-GUIJARRO, ANTONIA/G-9574-2015</t>
  </si>
  <si>
    <t>MADRID-GUIJARRO, ANTONIA/0000-0001-8139-4360</t>
  </si>
  <si>
    <t>1012-8255</t>
  </si>
  <si>
    <t>2056-5127</t>
  </si>
  <si>
    <t>10.1108/ARLA-04-2015-0067</t>
  </si>
  <si>
    <t>WOS:000374136400005</t>
  </si>
  <si>
    <t>Panigrahi, JK; Amirapu, S</t>
  </si>
  <si>
    <t>Panigrahi, Jitendra K.; Amirapu, Susruta</t>
  </si>
  <si>
    <t>RETRACTED: An assessment of EIA system in India (Retracted article. See vol. 70, pg. 81, 2018)</t>
  </si>
  <si>
    <t>Environmental impact assessment (EIA) was first introduced in India based on the Environmental Protection Act (EPA), 1986. But formally it came in to effect, when Ministry of Environment and Forest (MoEF) has passed a major legislative measure under EPA in January 1994 for Environmental Clearance (EC) known as EIA Notification, 1994. Subsequently, EIA processes have been strengthened by MoEF by a series of amendments. The current practice is adhering to EIA Notification, 2006 and its amendments. The pieces of evidence collected and analysis in the present assessment suggest that, despite a sound legislative, administrative and procedural set-up EIA has not yet evolved satisfactorily in India. An appraisal of the EIA system against systematic evaluation criteria, based on discussions with various stakeholders, EIA expert committee members, approval authorities, project proponents. NGOs and consulting professionals, reveals various drawbacks of the EIA system. These mainly include: inadequate capacity of EIA approval authorities, deficiencies in screening and scoping, poor quality EIA reports, inadequate public participation and weak monitoring. Overall, EIA is used presently as a project justification tool rather than as a project planning tool to contribute to achieving sustainable development. While shortcomings are challenging, Government of India is showing a high degree of commitment. The EIA system in the country is undergoing progressive refinements by steadily removing the constraints. The paper identifies opportunities for taking advantage of the current circumstances for strengthening the EIA process. (C) 2012 Elsevier Inc. All rights reserved.</t>
  </si>
  <si>
    <t>10.1016/j.eiar.2012.01.005</t>
  </si>
  <si>
    <t>WOS:000304217400003</t>
  </si>
  <si>
    <t>Pitz, C; Mahy, G; Vermeulen, C; Marlet, C; Seleck, M</t>
  </si>
  <si>
    <t>Pitz, Carline; Mahy, Gregory; Vermeulen, Cedric; Marlet, Christine; Seleck, Maxime</t>
  </si>
  <si>
    <t>Developing biodiversity indicators on a stakeholders' opinions basis: the gypsum industry Key Performance Indicators framework</t>
  </si>
  <si>
    <t>This study aims to establish a common Key Performance Indicators (KPIs) framework for reporting about the gypsum industry biodiversity at the European level. In order to integrate different opinions and to reach a consensus framework, an original participatory process approach has been developed among different stakeholder groups: Eurogypsum, European and regional authorities, university scientists, consulting offices, European and regional associations for the conservation of nature, and the extractive industry. The strategy is developed around four main steps: (1) building of a maximum set of indicators to be submitted to stakeholders based on the literature (Focus Group method); (2) evaluating the consensus about indicators through a policy Delphi survey aiming at the prioritization of indicator classes using the Analytic Hierarchy Process method (AHP) and of individual indicators; (3) testing acceptability and feasibility through analysis of Environmental Impact Assessments (EIAs) and visits to three European quarries; (4) Eurogypsum final decision and communication. The resulting framework contains a set of 11 indicators considered the most suitable for all the stakeholders. Our KPIs respond to European legislation and strategies for biodiversity. The framework aims at improving sustainability in quarries and at helping to manage biodiversity as well as to allow the creation of coherent reporting systems. The final goal is to allow for the definition of the actual biodiversity status of gypsum quarries and allow for enhancing it. The framework is adaptable to the local context of each gypsum quarry.</t>
  </si>
  <si>
    <t>10.1007/s11356-015-5269-x</t>
  </si>
  <si>
    <t>WOS:000379553500009</t>
  </si>
  <si>
    <t>Stevanov, M; Bocher, M; Krott, M; Orlovic, S; Vuletic, D; Krajter, S</t>
  </si>
  <si>
    <t>Stevanov, Mirjana; Boecher, Michael; Krott, Max; Orlovic, Sasa; Vuletic, Dijana; Krajter, Silvija</t>
  </si>
  <si>
    <t>ANALYTIC MODEL OF DEPARTAMENTAL RESEARCH AS SCIENCE-BASED ADVISING OF ACTORS IN POLITICAL PROCESS Analysis of research activity of the Institute of Lowland Forestry and Environment from Novi Sad</t>
  </si>
  <si>
    <t>SUMARSKI LIST</t>
  </si>
  <si>
    <t>Many governments express a growing need for having a science that is usable, which means that research results should be useful for practical application. In Serbia and Croatia current strategies and laws addressing science and research see public research institutes as organizations with activities primarily oriented toward public interest, in a way that policy actors are provided with timely and adequate science-based information. In this paper we analysed scientific and research activities of public research Institute of Lowland Forestry and Environment (ILFE) to see whether; how and to what extent this institution meets the needs of actors in policy processes, i.e. if it is in line with the requirements of usable science. The Model of departmental research (Bocher i Krott 2010), based on sociology of scientific knowledge and analytical thew); has been applied on total scientific and research activities of ILFE. The very Model consists of following spheres: research, integration, scientific and practical utilisation, whereas production lines connect them and stay for activities of research projects (Figure 1). In total 51 research projects of ILFE for the period 2005-2010 have been analysed (table 1), based on project documentation, as well as semi-structured questionnaires and interviews with project leaders and management of the Institutes. Collected information was used in analysis of each project and graphically presented by production line on the model of departmental research. This was followed by synthesis and interpretation of the results. Results showed five types of production lines: (1) Preliminary research, starting in integration sphere, with the idea what will in the future be relevant for particular actor(s). However most activities remain in the research sphere, and foster results toward scientific utilization (Figure 2). In total 15 research projects of ILFE correspond with this type of production line. (2) Research stopped in the integration discourse. This production line also starts in the integration sphere, continues to the research sphere, where project proposal has been made, but its implementation gets stopped by the actors in political process, i.e. in the integration sphere (Figure 3). Only three projects of ILFE correspond with this type of production line. (3) Research oriented toward practical utilisation, where constant interaction between research and integration spheres, ends up in practical utilisation of results (Figure 4). Analysis showed 6 out of 51 projects fall into this group of typical science-based advising of actors in policy processes. (4) Research projects oriented toward scientific and practical utilisation, with the main difference that results are meant not only for practice, but for the scientific community as well (Figure 5). A group of 18 projects can be presented by this production line. (5) Consulting activities of public institutes. In ILFE seven out of 51 projects can be depicted by this type of production line, for which is typical that usually entire project is within the integration sphere with outputs in the practical utilisation discourse. During the research we were able to present all projects of the ILFE by production lines on the model of departmental research. There is a strong connection between ILFE and users of its expertise, with more than half of research projects having practical application (table I). There are also important consulting activities going on which confirms importance of their role and quality of connection with the practise and society. The model proves to be advantageous over existing evaluation methods, while it makes transparent all aspects of departmental research, which is useful for both users of science-based expertise and founders of these institutions. It also makes a solid base for optimisation and quality management processes within institutions.</t>
  </si>
  <si>
    <t>Krott, Max/0000-0002-7315-1390</t>
  </si>
  <si>
    <t>0373-1332</t>
  </si>
  <si>
    <t>WOS:000297378300003</t>
  </si>
  <si>
    <t>Chandra, G; Chakraborty, M; Sinha, AK</t>
  </si>
  <si>
    <t>Chandra, Gaurav; Chakraborty, Manjari; Sinha, A. K.</t>
  </si>
  <si>
    <t>WSIOC: The Water Sustainability Index for Office Complexes</t>
  </si>
  <si>
    <t>ASIAN JOURNAL OF WATER ENVIRONMENT AND POLLUTION</t>
  </si>
  <si>
    <t>Water as a natural resource although covering almost two-third part of the universe, a fifth of the global population is facing acute water scarcity and unavailability of fresh drinking water due to the increasing anthropogenic pressure worldwide. In the Indian sub-continent similar to 23% of the total population is classified as under the class of absolute water scarcity, and similar to 54% people are facing high water stress condition. In spite of alluvial aquifers of the Indo-Gangetic plains water table has declined in the northern region of the country, which may lead to a disaster. Water sustainability so should be our priority. This study aims to assess the building water management systems with a relative importance of certain associated attributes. Thus, a water sustainability index (WSIOC) is developed for office complexes (e.g., 26 sampled buildings) of major cities of Uttar Pradesh (U.P.) India based on the framework of water sustainability attributes comprising water supply, consumption and financial aspects. The framework attributes were determined using Delphi technique followed by AHP and linear regression method. The (WSIOC)(absolute) value ranges from 31 to 74, which represents the building water management performance as moderate and high, respectively. In order to revive the menacing scenario related to the water efficiency in buildings, a need for priority action is evaluated accordingly. Certainly, the developed WSIOC will act as a guiding tool for the water policy makers, consultants and architects to formulate their ideas for sustainable urban environment.</t>
  </si>
  <si>
    <t>0972-9860</t>
  </si>
  <si>
    <t>1875-8568</t>
  </si>
  <si>
    <t>10.3233/AJW-180035</t>
  </si>
  <si>
    <t>WOS:000432367400025</t>
  </si>
  <si>
    <t>Allard-Poesi, F; Hollet-Haudebert, S</t>
  </si>
  <si>
    <t>Allard-Poesi, Florence; Hollet-Haudebert, Sandrine</t>
  </si>
  <si>
    <t>The sound of silence: Measuring suffering at work</t>
  </si>
  <si>
    <t>What realities do questionnaires and surveys, designed to measure stress and suffering at work, bring to light? What realities do they conceal? In this research, we consider self-assessment scales and questionnaires as techniques of visibility that contribute to the construction of knowledge on the suffering subject' at work. We conducted a qualitative analysis of the questionnaire and survey report conducted by the consulting firm Technologia for France Telecom Orange, after a spate of suicides in 2008-2009. The results show that: (1) the questionnaire used to measure suffering at work views the subject as someone reflective yet rather passive, and their suffering as resulting from an unbalanced relationship with the work environment, (2) the report further restricts this understanding of suffering to the administrative position of the individual, (3) as a consequence, the political, strategic, ideological dimensions and the economic power struggles affecting work are silenced. Relying on Foucault's approach to knowledge (savoir), we interpret this narrow concept of the subject and their surroundings as resulting from an assemblage between scientific discourses and visibility techniques; a compromise that conceals debates on the strategic orientation of the firm.</t>
  </si>
  <si>
    <t>10.1177/0018726717703449</t>
  </si>
  <si>
    <t>WOS:000415270300002</t>
  </si>
  <si>
    <t>Gonzalez, M; Green, LW; Glantz, SA</t>
  </si>
  <si>
    <t>Gonzalez, Mariaelena; Green, Lawrence W.; Glantz, Stanton A.</t>
  </si>
  <si>
    <t>Through tobacco industry eyes: civil society and the FCTC process from Philip Morris and British American Tobacco's perspectives</t>
  </si>
  <si>
    <t>Objective To analyse the models Philip Morris (PM) and British American Tobacco (BAT) used internally to understand tobacco control non-governmental organizations (NGOs) and their relationship to the global tobacco control policy-making process that resulted in the Framework Convention for Tobacco Control (FCTC). Methods Analysis of internal tobacco industry documents in the Legacy Tobacco Document Library. Results PM contracted with Mongoven, Biscoe, and Duchin, Inc. (MBD, a consulting firm specialising in NGO surveillance) as advisors. MBD argued that because NGOs are increasingly linked to epistemic communities, NGOs could insert themselves into the global policy-making process and influence the discourse surrounding the treaty-making process. MBD advised PM to insert itself into the policy-making process, mimicking NGO behaviour. BAT's Consumer and Regulatory Affairs (CORA) department argued that global regulation emerged from the perception (by NGOs and governments) that the industry could not regulate itself, leading to BAT advocating social alignment and self-regulation to minimise the impact of the FCTC. Most efforts to block or redirect the FCTC failed. Conclusions PM and BAT articulated a global policy-making environment in which NGOs are key, non-state stakeholders, and as a result, internationalised some of their previous national-level strategies. After both companies failed to prevent the FCTC, their strategies began to align. Multinational corporations have continued to successfully employ some of the strategies outlined in this paper at the local and national level while being formally excluded from ongoing FCTC negotiations at the global level.</t>
  </si>
  <si>
    <t>e1</t>
  </si>
  <si>
    <t>10.1136/tc.2010.041657</t>
  </si>
  <si>
    <t>WOS:000305799600001</t>
  </si>
  <si>
    <t>Benner, J; Helbling, DE; Kohler, HPE; Wittebol, J; Kaiser, E; Prasse, C; Ternes, TA; Albers, CN; Aamand, J; Horemans, B; Springael, D; Walravens, E; Boon, N</t>
  </si>
  <si>
    <t>Benner, Jessica; Helbling, Damian E.; Kohler, Hans-Peter E.; Wittebol, Janneke; Kaiser, Elena; Prasse, Carsten; Ternes, Thomas A.; Albers, Christian N.; Aamand, Jens; Horemans, Benjamin; Springael, Dirk; Walravens, Eddy; Boon, Nico</t>
  </si>
  <si>
    <t>Is biological treatment a viable alternative for micropollutant removal in drinking water treatment processes?</t>
  </si>
  <si>
    <t>WATER RESEARCH</t>
  </si>
  <si>
    <t>In western societies, clean and safe drinking water is often taken for granted, but there are threats to drinking water resources that should not be underestimated. Contamination of drinking water sources by anthropogenic chemicals is one threat that is particularly widespread in industrialized nations. Recently, a significant amount of attention has been given to the occurrence of micropollutants in the urban water cycle. Micropollutants are bioactive and/or persistent chemicals originating from diverse sources that are frequently detected in water resources in the pg/L to mu g/L range. The aim of this review is to critically evaluate the viability of biological treatment processes as a means to remove micropollutants from drinking water resources. We first place the micropollutant problem in context by providing a comprehensive summary of the reported occurrence of micropollutants in raw water used directly for drinking water production and in finished drinking water. We then present a critical discussion on conventional and advanced drinking water treatment processes and their contribution to Micropollutant removal. Finally, we propose biological treatment and bioaugmentation as a potential targeted, cost-effective, and sustainable alternative to existing processes while critically examining the technical limitations and scientific challenges that need to be addressed prior to implementation. This review will serve as a valuable source of data and literature for water utilities, water researchers, policy makers, and environmental consultants. Meanwhile this review will open the door to meaningful discussion on the feasibility and application of biological treatment and bioaugmentation in drinking water treatment processes to protect the public from exposure to micropollutants. (C) 2013 Elsevier Ltd. All rights reserved.</t>
  </si>
  <si>
    <t>0043-1354</t>
  </si>
  <si>
    <t>10.1016/j.watres.2013.07.015</t>
  </si>
  <si>
    <t>WOS:000326910000001</t>
  </si>
  <si>
    <t>Lin, YK; Lee, LH; Sheu, SH</t>
  </si>
  <si>
    <t>Lin, Yi-Kuei; Lee, Lien-Hsiung; Sheu, Shey-Huei</t>
  </si>
  <si>
    <t>An Integrated Occupational Health Consultation Model for the Medical Supply Manufacturing Industry</t>
  </si>
  <si>
    <t>INDUSTRIAL HEALTH</t>
  </si>
  <si>
    <t>In this research, we designed a three-stage consultation procedure and eight major consultation items in order to construct an Integrated occupational health consultation model that emphasizes both inspection and consultation The main characteristics of the proposed model include cooperation among governmental departments, combining non-governmental professional consulting organizations, and establishing partnerships with industrial associations This model has clear active and passive performance indicators and includes technical guidance during consultation as well as the exit mechanism after consultation nits consultation model enables small- and medium-sized enterprises to achieve environmental Improvements with mini mum investment Companies that improved after consultation have a mean ethylene oxide exposure concentration, for the time weighted average, that dropped from 7 36 +/- 16 88 ppm to 0 76 +/- 1 35 ppm (p&lt;0 01) In addition, the overall company compliant Item ratio for regulations increased from 34 1% to 89 7% The above results demonstrate the integrated occupational health consultation model assists small- and medium-sued enterprises in reducing exposure concentrations at operational sites Our results further demonstrate the feasibility of successfully implementing the proposed consultation model within Taiwan's medical supply manufacturing industry</t>
  </si>
  <si>
    <t>Lin, Yi-Kuei/N-8568-2013</t>
  </si>
  <si>
    <t>Lin, Yi-Kuei/0000-0001-8049-5696</t>
  </si>
  <si>
    <t>0019-8366</t>
  </si>
  <si>
    <t>10.2486/indhealth.MS1113</t>
  </si>
  <si>
    <t>WOS:000284811900002</t>
  </si>
  <si>
    <t>Jegathesan, M</t>
  </si>
  <si>
    <t>Jegathesan, Mythri</t>
  </si>
  <si>
    <t>Deficient realities: expertise and uncertainty among tea plantation workers in Sri Lanka</t>
  </si>
  <si>
    <t>DIALECTICAL ANTHROPOLOGY</t>
  </si>
  <si>
    <t>In May 2009, nearly three decades of civil war in Sri Lanka came to an end with the Government of Sri Lanka's defeat of the Liberation Tigers of Tamil Eelam. Often eclipsed within representations of the country's civil and political conflict, Malaiyaha or Hill Country Tamils, who primarily reside and work on Sri Lanka's tea plantations, have experienced protracted forms of discrimination that directly result from social and economic matrices of escalating civil violence, legal and affective exclusion, and neoliberal policies of worker dispossession. Based on ethnographic research conducted in the immediate aftermath of war, this article focuses on Malaiyaha Tamils encounters with economic and bodily uncertainty in postwar Sri Lanka and their responses to hegemonic forms of knowledge about their heritage and present marginalization from Sri Lankan society. By presenting an ethnographic narrative of a cami pakkiratu (consulting god) healing ritual on a tea plantation, I argue that Malaiyaha Tamils, when intimately confronted with deficient realities that emerge from the more subtle effects of sustained dispossession on their community, cultivate modalities of expertise that destabilize the more dominant, subordinating perceptions about their worth and emplacement as minority workers in Sri Lanka. Such modalities suggest that building knowledge and competency within one's conditions of dispossession cannot be understood as simple resistance or agency. Rather, such modalities of expertise complicate the redacted categories into which Malaiyaha Tamil plantation workers are persistently emplaced by affirming both new possibilities alongside the subtle militarization and persistent dispossession of minority workers in postwar Sri Lanka.</t>
  </si>
  <si>
    <t>0304-4092</t>
  </si>
  <si>
    <t>1573-0786</t>
  </si>
  <si>
    <t>10.1007/s10624-015-9386-1</t>
  </si>
  <si>
    <t>WOS:000371864700003</t>
  </si>
  <si>
    <t>Ginosar, A; Reich, Z</t>
  </si>
  <si>
    <t>Ginosar, Avshalom; Reich, Zvi</t>
  </si>
  <si>
    <t>Obsessive-Activist Journalists: A New Model of Journalism?</t>
  </si>
  <si>
    <t>JOURNALISM PRACTICE</t>
  </si>
  <si>
    <t>This study exposes a unique model of journalism - obsessive-activist reporting. Motivated by a strong sense of justice and a passion to make a significant change, these journalists promote their social or political agenda in both spheres: the professional and the public. In the professional, they do it through an obsessive and continuing reporting on the issue they care for, while in the public sphere, they are personally involved in activities such as lobbying and consulting politicians and bureaucrats, or personal assistance to individuals and groups in need. Based on a thorough review of literature on journalism models and on studies of journalistic role perceptions, and after a series of in-depth interviews with 17 obsessive-activist journalists, the authors suggest that obsessive-activist journalism is a unique model of journalism and the most interventionist one. However, unlike other interventionist models of journalism, the obsessive-activist journalists adhere most of the time to traditional journalistic norms and practices. While former interventionist models challenged mainstream news reporting from outside, obsessive activists hybridize it from the inside, adding new avenues to adjust and survive in rapidly changing news environments.</t>
  </si>
  <si>
    <t>1751-2786</t>
  </si>
  <si>
    <t>1751-2794</t>
  </si>
  <si>
    <t>10.1080/17512786.2020.1816488</t>
  </si>
  <si>
    <t>WOS:000569263300001</t>
  </si>
  <si>
    <t>Joventino, FKP; Johnsson, RMF</t>
  </si>
  <si>
    <t>Pinto Joventino, Fatima Karine; Formiga Johnsson, Rosa Maria</t>
  </si>
  <si>
    <t>ENVIRONMENTAL CONFLICTS INVOLVING ARTISANAL FISHERMEN INTHE ILHA GRANDE BAY - RIO DE JANEIRO</t>
  </si>
  <si>
    <t>REVISTA POS CIENCIAS SOCIAIS</t>
  </si>
  <si>
    <t>The article presents the main conflicts involving artisinal fisheries in the Ilha Grande Bay, in the state of Rio de Janeiro, Brazil. The methodology comprised the direct observation of meetings of the consulting councils and working groups in conservation units, and also public events related to the Fisheries Agreement. The research has also drawn on extensive document analysis and interviews. The conflicts were characterized in three major categories: i) those resulting from the overlapping between fishing and protected areas; ii) conflicts associated with large-scale fishing and, to a smaller degree, with oil and gas ships and touristic boats; and iii) conflicts due to the lack of regularization/allowance of the activity. In short, these conflicts comprise development and conservation policies which In sum, these conflicts involve both development and conservation policies, which at all times contradict the traditional lifestyle of artisanal fishermen and caicaras. Besides resulting from different forms of use of the sea, these conflicts are also related to the paradoxical role of the state in setting rules (including supervision and environmental monitoring) to the bureaucracy and to several institutions dedicated to common problems.</t>
  </si>
  <si>
    <t>Formiga-Johnsson, Rosa Maria/G-4354-2012; Formiga-Johnsson, Rosa Maria/AAW-5925-2020</t>
  </si>
  <si>
    <t>Formiga-Johnsson, Rosa Maria/0000-0003-2047-9912</t>
  </si>
  <si>
    <t>1983-4527</t>
  </si>
  <si>
    <t>2236-9473</t>
  </si>
  <si>
    <t>JUL-DEC</t>
  </si>
  <si>
    <t>WOS:000457373100011</t>
  </si>
  <si>
    <t>Yang, YF; Lau, AKW; Lee, PKC; Yeung, ACL; Cheng, TCE</t>
  </si>
  <si>
    <t>Yang, Yefei; Lau, Antonio K. W.; Lee, Peter K. C.; Yeung, Andy C. L.; Cheng, T. C. Edwin</t>
  </si>
  <si>
    <t>Efficacy of China's strategic environmental management in its institutional environment</t>
  </si>
  <si>
    <t>INTERNATIONAL JOURNAL OF OPERATIONS &amp; PRODUCTION MANAGEMENT</t>
  </si>
  <si>
    <t>Purpose The Chinese Government encourages firms to diffuse their operational-level environmental management (EM) into their organization's mission and strategy to develop strategic EM to promote sustainable development. The purpose of this paper is to utilize two concepts of institutional theory (isomorphic pressures and decoupling behavior) to assess how different institutional forces arising from Chinese macro-level factors (market pressure, business turbulence, legal voids, carbon policy, structural-level governmental interference and guanxi with government) influence the efficacy of strategic EM. Design/methodology/approach In partnership with a major consulting firm in China, the authors collect multi-informant survey data from 183 manufacturing firms drawn from a variety of industries for testing the hypotheses posited. Findings The efficacy of strategic EM in the sampled firms is confirmed by the positive association with environmental performance. The authors also find that the efficacy of strategic EM is weakened by market pressure, business turbulence and legal voids, whereas it is strengthened by structural-level governmental interference. However, carbon policy and guanxi with government do not impact it significantly. Research limitations/implications To extend the findings on the environmental importance of strategic EM, future research can develop and validate a management framework to guide the adoption of strategic EM. With regard to the four valid macro-level factors influencing the efficacy of strategic EM, future research can identify the reasons (e.g. conflict with corporate functions) behind them to aid manufacturers to mitigate their negative influence or enhance the positive influence on strategic EM. Social implications China's Government and its manufacturers (or those sharing a similar institutional environment) can expand the scope of their EM efforts from operational-level EM practices to strategic EM. The findings on the valid macro-level factors have led to practical suggestions for government bodies and manufacturers to improve the efficacy of strategic EM adoption. Overall, the implications help achieve the higher levels of firm-level environmental performance and alleviate the global pollution problem. Originality/value A particular value of this work lies in the demonstration of combining institutional theory (organization decoupling, isomorphic pressures) with practical consideration such as guanxi with government in the particular institutional environment of China to help address an important and context-related problem, environmental performance.</t>
  </si>
  <si>
    <t>0144-3577</t>
  </si>
  <si>
    <t>1758-6593</t>
  </si>
  <si>
    <t>JAN 7</t>
  </si>
  <si>
    <t>10.1108/IJOPM-11-2017-0695</t>
  </si>
  <si>
    <t>WOS:000453288300007</t>
  </si>
  <si>
    <t>Watterson, A; Dinan, W</t>
  </si>
  <si>
    <t>Watterson, Andrew; Dinan, William</t>
  </si>
  <si>
    <t>Lagging and Flagging: Air Pollution, Shale Gas Exploration and the Interaction of Policy, Science, Ethics and Environmental Justice in England</t>
  </si>
  <si>
    <t>The science on the effects of global climate change and air pollution on morbidity and mortality is clear and debate now centres around the scale and precise contributions of particular pollutants. Sufficient data existed in recent decades to support the adoption of precautionary public health policies relating to fossil fuels including shale exploration. Yet air quality and related public health impacts linked to ethical and environmental justice elements are often marginalized or missing in planning and associated decision making. Industry and government policies and practices, laws and planning regulations lagged well behind the science in the United Kingdom. This paper explores the reasons for this and what shaped some of those policies. Why did shale gas policies in England fail to fully address public health priorities and neglect ethical and environmental justice concerns. To answer this question, an interdisciplinary analysis is needed informed by a theoretical framework of how air pollution and climate change are largely discounted in the complex realpolitik of policy and regulation for shale gas development in England. Sources, including official government, regulatory and planning documents, as well as industry and scientific publications are examined and benchmarked against the science and ethical and environmental justice criteria. Further, our typology illustrates how the process works drawing on an analysis of official policy documents and statements on planning and regulatory oversight of shale exploration in England, and material from industry and their consultants relating to proposed shale oil and gas development. Currently the oil, gas and chemical industries in England continue to dominate and influence energy and feedstock-related policy making to the detriment of ethical and environmental justice decision making with significant consequences for public health.</t>
  </si>
  <si>
    <t>Dinan, William/0000-0002-4259-2150</t>
  </si>
  <si>
    <t>10.3390/ijerph17124320</t>
  </si>
  <si>
    <t>WOS:000549406100001</t>
  </si>
  <si>
    <t>Tovar, A; Chui, K; Hyatt, RR; Kuder, J; Kraak, VI; Choumenkovitch, SF; Hastings, A; Bloom, J; Economos, CD</t>
  </si>
  <si>
    <t>Tovar, Alison; Chui, Kenneth; Hyatt, Raymond R.; Kuder, Julia; Kraak, Vivica I.; Choumenkovitch, Silvina F.; Hastings, Alia; Bloom, Julia; Economos, Christina D.</t>
  </si>
  <si>
    <t>Healthy-lifestyle behaviors associated with overweight and obesity in US rural children</t>
  </si>
  <si>
    <t>BMC PEDIATRICS</t>
  </si>
  <si>
    <t>Background: There are disproportionately higher rates of overweight and obesity in poor rural communities but studies exploring children's health-related behaviors that may assist in designing effective interventions are limited. We examined the association between overweight and obesity prevalence of 401 ethnically/racially diverse, rural school-aged children and healthy-lifestyle behaviors: improving diet quality, obtaining adequate sleep, limiting screen-time viewing, and consulting a physician about a child's weight. Methods: A cross-sectional analysis was conducted on a sample of school-aged children (6-11 years) in rural regions of California, Kentucky, Mississippi, and South Carolina participating in CHANGE (Creating Healthy, Active, and Nurturing Growing-up Environments) Program, created by Save the Children, an independent organization that works with communities to improve overall child health, with the objective to reduce unhealthy weight gain in these school-aged children (grades 1-6) in rural America. After measuring children's height and weight, we17 assessed overweight and obesity (BMI &gt;= 85th percentile) associations with these behaviors: improving diet quality18 (&gt;= 2 servings of fruits and vegetables/day), reducing whole milk, sweetened beverage consumption/day; obtaining19 adequate night-time sleep on weekdays (&gt;= 10 hours/night); limiting screen-time (i.e., television, video, computer, 20 videogame) viewing on weekdays (&lt;= 2 hours/day); and consulting a physician about weight. Analyses were adjusted 21 for state of residence, children's race/ethnicity, gender, age, and government assistance. Results: Overweight or obesity prevalence was 37 percent in Mississippi and nearly 60 percent in Kentucky. Adjusting for covariates, obese children were twice as likely to eat &gt;= 2 servings of vegetables per day (OR=2.0,95% CI 1.1-3.4), less likely to consume whole milk (OR=0.4,95% CI 0.2-0.70), Their parents are more likely to be told by their doctor that their child was obese (OR=108.0,95% CI 21.9-541.6), and less likely to report talking to their child about fruits and vegetables a lot/sometimes vs. not very much/never (OR=0.4, 95% CI 0.2-0.98) compared to the parents of healthy-weight children. Conclusions: Rural children are not meeting recommendations to improve diet, reduce screen time and obtain adequate sleep. Although we expected obese children to be more likely to engage in unhealthy behaviors, we found the opposite to be true. It is possible that these groups of respondent parents were highly aware of their weight status and have been advised to change their children's health behaviors. Perhaps given the opportunity to participate in an intervention study in combination with a physician recommendation could have resulted in actual behavior change.</t>
  </si>
  <si>
    <t>1471-2431</t>
  </si>
  <si>
    <t>JUL 18</t>
  </si>
  <si>
    <t>10.1186/1471-2431-12-102</t>
  </si>
  <si>
    <t>WOS:000308253600001</t>
  </si>
  <si>
    <t>Saguy, IS; Roos, YH; Cohen, E</t>
  </si>
  <si>
    <t>Saguy, I. Sam; Roos, Yrjo H.; Cohen, Eli</t>
  </si>
  <si>
    <t>Food engineering and food science and technology: Forward-looking journey to future new horizons</t>
  </si>
  <si>
    <t>INNOVATIVE FOOD SCIENCE &amp; EMERGING TECHNOLOGIES</t>
  </si>
  <si>
    <t>The overall objectives of this study were to assess the status of Food Engineering (FE), Food Science and Technology (FS&amp;T) and related fields using a global web-survey and included: identifying the major challenges and opportunities; and making specific recommendations for future possible paradigm shifts. Respondents from academia, private research institutes, industry, government, consulting and others sectors participated. The most important topics selected were: 'Innovation/open innovation,' Broad education and multidisciplinary capabilities,' Career development &amp; prospects,' and 'Applied research.' Lowest importance were 'Basic science' and 'Salary.' Highest possible impact on FE and FS&amp;T future curricula were: 'Food safety, waste reduction/management' and 'Environmental impact, food sustainability and security.' Overwhelming majority (&gt; 68%) indicated that FE or FS&amp;T should be integrated with other existing/evolving academic program. Principal component analysis yielded 3-new variables, offering insights on the relationships between geographical education location and sustainability, innovation and employability. The competitive landscape calls for reshaping of the domains vision. Industrial relevance: Basic research and salary were selected by the respondents to have a very low importance. Enhancing applied research, agility, attractiveness of the field and strengthen research relevance and collaboration with industry are required. Both government/state and food industry financial support is a clear indication of the significant role they play in the innovation ecosystem collaboration. Significant difference between North America &amp; Canada and Europe on addressing innovation, soft skills and employability offer new insights on enhancing utilization of innovation, science, technology and impact. Innovation and open innovation offer FE and FS&amp;T unique new horizons for spearheading change and opportunities to alleviate typical industrial and academic conservativeness and risk aversion.</t>
  </si>
  <si>
    <t>1466-8564</t>
  </si>
  <si>
    <t>1878-5522</t>
  </si>
  <si>
    <t>10.1016/j.ifset.2018.03.001</t>
  </si>
  <si>
    <t>WOS:000444364100038</t>
  </si>
  <si>
    <t>Herrero, MA; Palhares, JCP; Salazar, FJ; Charlon, V; Tieri, MP; Pereyra, AM</t>
  </si>
  <si>
    <t>Herrero, Maria A.; Palhares, Julio C. P.; Salazar, Francisco J.; Charlon, Veronica; Tieri, Maria P.; Pereyra, Ana M.</t>
  </si>
  <si>
    <t>Dairy Manure Management Perceptions and Needs in South American Countries</t>
  </si>
  <si>
    <t>FRONTIERS IN SUSTAINABLE FOOD SYSTEMS</t>
  </si>
  <si>
    <t>Milk production is important in South American countries being based mainly on grazing systems. Dairy slurry management has become an important issue in these production systems because of the large volumes produced and the environmental effects. Thus, manure management regulations are emerging in the region. This research aims to identify priorities for management strategies and technology transfer by assessing perceptions, needs and barriers toward dairy manure management by stakeholders in South American countries. A questionnaire was prepared and distributed in Spanish and Portuguese in different formats: on paper and online (PDF format and SurveyMonkey(TM) platform) between March 2015- November 2017. It was divided into two sections, the first addressed issues related to water quality and pollution, odor generation, fertilizer value, pathogens impact and biogas production. Responses were measured across a standard 5-point Likert type scales. Section two addressed needs and hindrances concerning about manure application. A total of 593 surveys were completed: Argentina (n = 308, 52%), Brazil (n = 217, 37%) and Chile (n = 68, 11%). The majority of respondents were dairy farmers (31%), professional advisors and consultants (29%) and representatives of public institutions and researchers (31%). Some differences appear according the country. Overall, a large majority perceive that manure is a good fertilizer (91%), also they believe that it contributes to pathogen's transmission and groundwater and shallow aquifers 'contamination. Stakeholders (60%) perceived biogas production as a good option for manure treatment. Most of respondents (79%) would use manure to replace mineral fertilizers, with little differences between countries (Argentina 79%, Brazil 80% and Chile 68%). The most selected needs were: a management handbook, increased investment in equipment and technologies and better access to laboratory analysis. The most chosen barriers were: cumbersome management, lack of knowledge and of specific laws, with differences between countries and respondents. The survey showed interest in dairy manure management as a source of nutrients for grassland and crops, especially among farmers and advisors whom requested guidelines for responsible management. Policymakers and stakeholders should focus on promoting manure reuse on dairy farms through incentives, technologies and/or appropriate strategies, in order to improve nutrient use and reduce pollution to the wider environment.</t>
  </si>
  <si>
    <t>Salazar Sperberg, Francisco/0000-0002-3794-7682</t>
  </si>
  <si>
    <t>2571-581X</t>
  </si>
  <si>
    <t>JUN 19</t>
  </si>
  <si>
    <t>10.3389/fsufs.2018.00022</t>
  </si>
  <si>
    <t>WOS:000502077800001</t>
  </si>
  <si>
    <t>Steffen, B; Egli, F; Pahle, M; Schmidt, TS</t>
  </si>
  <si>
    <t>Steffen, Bjarne; Egli, Florian; Pahle, Michael; Schmidt, Tobias S.</t>
  </si>
  <si>
    <t>Navigating the Clean Energy Transition in the COVID-19 Crisis</t>
  </si>
  <si>
    <t>JOULE</t>
  </si>
  <si>
    <t>Bjarne Steffen is a senior researcher at ETH Zurich's Energy Politics Group. His research addresses policies related to energy innovation and the role of finance in the energy transition. He previously worked at MIT's Center for Energy and Environmental Policy Research, the World Economic Forum, and a strategy consultancy. Bjarne holds a Master's in economics from the University of Mannheim and a PhD in energy economics from the University of Duisburg-Essen. Florian Egli is a PhD candidate at ETH Zurich's Energy Politics Group. His research focuses on the role of finance in the energy transition and climate finance more generally. He is a World Economic Forum Global Shaper, is associated with the think tank foraus as its former vice president, and held a Mercator Fellowship on International Affairs in 2015 and 2016. Florian holds a Master's in International Economics from the Graduate Institute of International and Development Studies (IHEID) in Geneva. Michael Pahle is head of the working group Climate and Energy Policy'' at the Potsdam-Institute for Climate Impact Research. His research focuses on carbon pricing and power market design. He holds a Master's in Physics from Potsdam University and a PhD in economics from TU Berlin. Tobias S. Schmidt is Assistant Professor and the head of ETH Zurich's Energy Politics Group, an interdisciplinary group analyzing the interaction of energy policy and its underlying politics with technological change in the energy sector. His research covers both developed and developing countries. Tobias holds a Bachelor's and Master's of Science in electrical engineering (energy focus) from the Technical University-Munich and a PhD from ETH Zurich in management, technology, and economics.</t>
  </si>
  <si>
    <t>2542-4351</t>
  </si>
  <si>
    <t>10.1016/j.joule.2020.04.011</t>
  </si>
  <si>
    <t>WOS:000542492800001</t>
  </si>
  <si>
    <t>Wells, V; Greenwell, F; Covey, J; Rosenthal, HES; Adcock, M; Gregory-Smith, D</t>
  </si>
  <si>
    <t>Wells, Victoria; Greenwell, Felicity; Covey, Judith; Rosenthal, Harriet E. S.; Adcock, Mike; Gregory-Smith, Diana</t>
  </si>
  <si>
    <t>An exploratory investigation of barriers and enablers affecting investment in renewable companies and technologies in the UK</t>
  </si>
  <si>
    <t>INTERFACE FOCUS</t>
  </si>
  <si>
    <t>The last few years have seen considerable research expenditure on renewable fuel technologies. However, in many cases, the necessary sustained and long-term funding from the investment community has not been realized at a level needed to allow technologies to become reality. According to global consulting firm Deloitte's recent renewable energy report (http://www.deloitte.com/energypredictions2012), many renewable energy projects stalled or were not completed because of issues including the global economy, the state of government finances, difficulties in funding and regulatory uncertainty. This investigation concentrates on the funding aspect and explores the perceived barriers and enablers to renewable technologies within the investment and renewables community. Thematic analysis of 14 in-depth interviews with representatives from renewable energy producers, banks and investment companies identified key factors affecting the psychology of investor behaviour in renewables. Eight key issues are highlighted, including a range of barriers and enablers, the role of the government, balance between cost/risk, value/return on investment, investment time scales, personality/individual differences of investors and the level of innovation in the renewable technology. It was particularly notable that in the findings the role of the government was discussed more than other themes and generally in quite critical terms, highlighting the need to ensure consistency in government funding and policy and a greater understanding of how government decisionmaking happens. Specific findings such as these illustrate the value of crossing disciplinary boundaries and highlight potential further research. Behavioural science and economic psychology in particular have much to offer at the interface of other disciplines such as political science and financial economics.</t>
  </si>
  <si>
    <t>2042-8898</t>
  </si>
  <si>
    <t>2042-8901</t>
  </si>
  <si>
    <t>FEB 6</t>
  </si>
  <si>
    <t>10.1098/rsfs.2012.0039</t>
  </si>
  <si>
    <t>WOS:000312740800004</t>
  </si>
  <si>
    <t>Cong, XH; Wang, L; Ma, L; Skibnewski, M</t>
  </si>
  <si>
    <t>Cong, Xuhui; Wang, Liang; Ma, Li; Skibnewski, M.</t>
  </si>
  <si>
    <t>Exploring critical influencing factors for the site selection failure of waste-to-energy projects in China caused by the not in my back yard effect</t>
  </si>
  <si>
    <t>Purpose This study aims to explore the critical influencing factors that lead to the site selection failure of waste-to-energy (WtE) projects in China under the influence of the Not In My Back Yard (NIMBY) effect, which can provide references to improve the decision-making process of similar projects in the future. Design/methodology/approach The fuzzy decision-making trial and evaluation laboratory (DEMATEL) method was used to propose an analytical framework for exploring the critical influencing factors affecting the site selection failure of WtE projects. The causal relationship between different influencing factors is finally determined on the basis of the opinions of 12 experts from universities, government departments, consulting units, planning and design units, construction units and WtE enterprises. Findings Results showed that six crucial factors resulted in the site selection failure of WtE projects from the NIMBY effect perspective: Insufficient public participation, Near the place of residence, Nonstandard government decision-making processes, Low information disclosure, Destroys the surrounding environment, and Imperfect compensation scheme. Originality/value Results can determine the priorities and causal relationships among the various influencing factors. The decision-making optimization suggestions can provide reference for decision- makers, thereby possibly promoting the scientific and standardization of site selection decision process.</t>
  </si>
  <si>
    <t>10.1108/ECAM-12-2019-0709</t>
  </si>
  <si>
    <t>WOS:000577333800001</t>
  </si>
  <si>
    <t>Lin, YK; Lee, LH</t>
  </si>
  <si>
    <t>Lin, Yi-Kuei; Lee, Lien-Hsiung</t>
  </si>
  <si>
    <t>An Integrated Occupational Hygiene Consultation Model for the Catering Industry</t>
  </si>
  <si>
    <t>ANNALS OF OCCUPATIONAL HYGIENE</t>
  </si>
  <si>
    <t>Vegetable oil used in food processing, during high-temperature exposure, will generate particulate matter (PM) and polycyclic aromatic hydrocarbons (PAHs), which are carcinogenic chemical compounds, with the potential to cause lung disease for restaurant kitchen staff. This study's design includes a three-stage consultation process with eight major consultation items, in order to build an integrated consultation model for occupational hygiene. This model combines inspection and consultation, targeting Chinese restaurants in the catering industry. Characteristics of the integrated consultation model include cooperation between different government departments and collaboration with nongovernmental, professional consulting organizations. An additional benefit of the model is the building of a good partnership relationship with the Catering Trade Association. The consultation model helps Chinese restaurants attain improvements in their work environments with minimal investment. Postconsultation, results show a 63.35% and 61.98% (P &lt; 0.001) decrease in the mean time-weighted concentration of exposure to PM and PAHs, respectively. The overall regulation compliance rate of Chinese restaurants significantly increased from 34.3% to 89.6%. These results show that the integrated consultation model for occupational hygiene not only helps small and medium enterprises reduce exposure concentrations in the workplace but also has specific potential for successful implementation in Taiwan.</t>
  </si>
  <si>
    <t>0003-4878</t>
  </si>
  <si>
    <t>1475-3162</t>
  </si>
  <si>
    <t>10.1093/annhyg/meq017</t>
  </si>
  <si>
    <t>WOS:000280415100007</t>
  </si>
  <si>
    <t>Shahin, A; Kianersi, A; Shali, A</t>
  </si>
  <si>
    <t>Shahin, Arash; Kianersi, Arezou; Shali, Azarakhsh</t>
  </si>
  <si>
    <t>Prioritizing Key Supply Chain Risks Using the Risk Assessment Matrix and Shannon Fuzzy Entropy - with a Case Study in the Home Appliance Industry</t>
  </si>
  <si>
    <t>JOURNAL OF ADVANCED MANUFACTURING SYSTEMS</t>
  </si>
  <si>
    <t>The aim of this study is to present an approach for identifying and prioritizing risk factors of supply chain in the home appliance industry. First, the indexes related to the supply chain risk have been determined by literature review; and then the indexes have been refined by consulting experts; finally, the six main indexes including supplier, manufacturer, customer, environment, distributor and information as well as 32 subsidiary indexes for supply chain risks have been selected. In order to assess the indexes, a fuzzy questionnaire has been developed and distributed to 15 managers and employees of Snowa as one of the Entekhab Industrial Group corporate brands, the main home appliance manufacturing company in Iran. Research population included managers and experts of the company and the analysis approaches included risk-assessment matrix and Shannon fuzzy entropy. Findings indicated that environment, manufacturer and supplier indexes with the weights of 0.105, 0.102 and 0.095, respectively were prioritized as the top three risk factors in product development. Furthermore, the subsidiary indexes of raw material alteration, delay in supply of the demand, work force, after-sale services, competitors and lack of political stability were among the top risk factors of new product development.</t>
  </si>
  <si>
    <t>0219-6867</t>
  </si>
  <si>
    <t>1793-6896</t>
  </si>
  <si>
    <t>10.1142/S0219686718500208</t>
  </si>
  <si>
    <t>WOS:000440167800004</t>
  </si>
  <si>
    <t>Raele, R; Boaventura, JMG; Fischmann, AA; Sarturi, G</t>
  </si>
  <si>
    <t>Raele, Ricardo; Gama Boaventura, Joao Mauricio; Fischmann, Adalberto Americo; Sarturi, Greici</t>
  </si>
  <si>
    <t>Scenarios for the second generation ethanol in Brazil</t>
  </si>
  <si>
    <t>TECHNOLOGICAL FORECASTING AND SOCIAL CHANGE</t>
  </si>
  <si>
    <t>The objective of this paper is to build scenarios for the ethanol industry in Brazil, considering the technology of the second generation ethanol. The theoretical framework draws on the field of studies of the future, scenario construction methods and concepts of stakeholder analysis. The method for constructing the scenarios employs techniques of environmental analysis, stakeholder analysis and consulting with experts. The variables Creating subsidies for consolidation of second generation ethanol and Price of oil formed the axes of the scenarios. Four scenarios were developed based on the contrast of the variables and on checking their internal consistency, as follows: Cellulosic integration, where the second generation ethanol is the world fuel; Bioelectrical world with no investments on the production of second generation ethanol, Fossil World that shows the decline of the ethanol market, and Apocalypse, which features an energy crisis. For each scenario, the respective plots and logic diagrams are presented. This paper presents two types of contributions: the first are the scenarios that can be used in the development of public policy and as a tool for decision makers working in the energy sector, the second contribution is to the knowledge of future studies to provide an orderly construction of scenarios. (C) 2013 Elsevier Inc. All rights reserved.</t>
  </si>
  <si>
    <t>0040-1625</t>
  </si>
  <si>
    <t>1873-5509</t>
  </si>
  <si>
    <t>10.1016/j.techfore.2013.12.010</t>
  </si>
  <si>
    <t>WOS:000340862600016</t>
  </si>
  <si>
    <t>Montgomery, CM; Chisholm, A; Parkin, S; Locock, L</t>
  </si>
  <si>
    <t>Montgomery, Catherine M.; Chisholm, Alison; Parkin, Stephen; Locock, Louise</t>
  </si>
  <si>
    <t>Wild data: how front-line hospital staff make sense of patients' experiences</t>
  </si>
  <si>
    <t>SOCIOLOGY OF HEALTH &amp; ILLNESS</t>
  </si>
  <si>
    <t>Patient-centred care has become the touchstone of healthcare policy in developed healthcare systems. The ensuing commodification of patients' experiences has resulted in a mass of data but little sense of whether and how such data are used. We sought to understand how front-line staff use patient experience data for quality improvement in the National Health Service (NHS). We conducted a 12-month ethnographic case study evaluation of improvement projects in six NHS hospitals in England in 2016-2017. Drawing on the sociology of everyday life, we show how front-line staff worked with a notion of data as interpersonal and embodied. In addition to consulting organisationally sanctioned forms of data, staff used their own embodied interactions with patients, carers, other staff and the ward environment to shape improvements. The data staff found useful involved face-to-face interaction and dialogue; were visual, emotive, and allowed for immediate action. We draw on de Certeau to re-conceptualise this as 'wild data'. We conclude that patient experience data are relational, and have material, social and affective dimensions, which have been elided in the literature to date. Practice-based theories of the everyday help to envision 'patient experience' not as a disembodied tool of managerialism but as an embedded part of healthcare staff professionalism.</t>
  </si>
  <si>
    <t>Montgomery, Catherine/0000-0002-5829-6137; Chisholm, Alison/0000-0002-0009-6757</t>
  </si>
  <si>
    <t>0141-9889</t>
  </si>
  <si>
    <t>1467-9566</t>
  </si>
  <si>
    <t>10.1111/1467-9566.13115</t>
  </si>
  <si>
    <t>WOS:000536370000001</t>
  </si>
  <si>
    <t>Stilma, ESC; Vosman, B; Korevaar, H; Rijswijk, MMPV; Smit, AB; Struik, PC</t>
  </si>
  <si>
    <t>Stilma, E. S. C.; Vosman, B.; Korevaar, H.; Rijswijk, M. M. Poel-Van; Smit, A. B.; Struik, P. C.</t>
  </si>
  <si>
    <t>Designing biodiverse arable production systems for the Netherlands by involving various stakeholders</t>
  </si>
  <si>
    <t>A study was done that aimed at designing biodiverse crop production systems for the Netherlands taking into account the views held by stakeholders in society. Biodiverse crop production systems contain different species and/or different genotypes within a species, leave room for other plants (both spontaneous and sown plant species) and enhance the associated biodiversity of microfauna, mesofauna and microflora. The study was carried out jointly by closely co-operating scientists in the fields of agronomy, environmental sciences and social sciences. To integrate the knowledge of specialists and stakeholders a stakeholder consultation was done consisting of a literature review analysing the Dutch policy on biodiversity, a workshop consulting intermediary institutes about their views on arable biodiversity, and an expert panel that not only monitored the design process but also regularly discussed the developments during a three-year field test of a highly diverse production system that meanwhile was designed. The results of the study were used to compare the design with other production systems. In addition, a list of indicators was compiled to test this design for system performance in terms of societal (people), ecological (planet) and economic (profit) aspects. Finally, through this study, choices in the design process were made explicit and research topics were identified to test performance of the resulting system.</t>
  </si>
  <si>
    <t>Korevaar, Hein/E-8938-2010; Vosman, Ben/C-5494-2013</t>
  </si>
  <si>
    <t>Vosman, Ben/0000-0003-4942-8342</t>
  </si>
  <si>
    <t>10.1016/S1573-5214(07)80001-7</t>
  </si>
  <si>
    <t>WOS:000250888000001</t>
  </si>
  <si>
    <t>Christophers, B</t>
  </si>
  <si>
    <t>Christophers, Brett</t>
  </si>
  <si>
    <t>Wild Dragons in the City: Urban Political Economy, Affordable Housing Development and the Performative World-making of Economic Models</t>
  </si>
  <si>
    <t>This article explores the potential to mobilize in an urban context the key insights of the burgeoning literature on the performativity of economics. It argues that our understanding of contemporary urban political-economic transformation needs to explicitly recognize the active role of economics in making and remaking the urban world, as opposed to merely describing and analysing it in some kind of passive, detached fashion. It develops this argument through the elaboration of a case study of just such world-making in action: the growing use in the United Kingdom, since the early 2000s, of economic models for assessing the viability of affordable housing provision in new residential developments. The world of urban redevelopment that such models attempt to describe formulaically has, the article submits, increasingly come to act according to the model and the assumptions it contains; the model, in this sense, has been progressively actualized in the urban landscape. The article conceptualizes such performative economic models as examples of what Michel Callon calls economics in the wild', and it focuses on the work of the leading commercial developer and marketer of such models in the affordable housing planning environment over the last decade a consulting company called Three Dragons.</t>
  </si>
  <si>
    <t>10.1111/1468-2427.12037</t>
  </si>
  <si>
    <t>WOS:000328747200005</t>
  </si>
  <si>
    <t>Yeh, TL; Chen, TY; Lai, PY</t>
  </si>
  <si>
    <t>Yeh, Tsai-lien; Chen, Tser-yieth; Lai, Pei-ying</t>
  </si>
  <si>
    <t>A comparative study of energy utilization efficiency between Taiwan and China</t>
  </si>
  <si>
    <t>This paper employs data envelopment analysis to evaluate energy utilization efficiency between China and Taiwan from 2002 to 2007. The most important contributions of this paper are the clear description of the systematic process of energy utilization efficiency, the efficiency comparison between China and Taiwan, the remarkable demonstration of their outputs through two non-desirable outputs (CO2 emissions and SO2 emissions) in the data envelopment analysis framework, and the valuable results and insights gained from the application of economic development and environmental protection. Empirical results show that the Eastern region of China enjoy higher energy utilization efficiency than the Western region. Energy utilization efficiency in Taiwan is higher than that in the Eastern region of China. In China, CO2 emissions were 11.28% greater than they should be (from 2002 to 2007). By contrast, CO2 emissions in Taiwan were only 1.50% in excess of what they should be since Taiwan began conducting an uninterrupted energy-saving policy and a CO2 emission regulation policy (Bureau of Energy, Ministry of Economic Affairs, 2009). Finally, this study employs the business strategy matrix constructed by the Boston Consulting Group (BCG Matrix) to illustrate individual evidence of the relationship between economic development efficiency and greenhouse gas efficiency. (C) 2009 Elsevier Ltd. All rights reserved.</t>
  </si>
  <si>
    <t>Chen, Tser/Y-8236-2019; Yeh, Tsai Lien/AAW-7787-2020</t>
  </si>
  <si>
    <t>10.1016/j.enpol.2009.12.030</t>
  </si>
  <si>
    <t>WOS:000276289500037</t>
  </si>
  <si>
    <t>Gabay, C</t>
  </si>
  <si>
    <t>Gabay, Clive</t>
  </si>
  <si>
    <t>Special Forum on the Millennium Development Goals: Introduction</t>
  </si>
  <si>
    <t>GLOBALIZATIONS</t>
  </si>
  <si>
    <t>The United Nations Millennium Development Goals (MDGs), eight time-bound targets aiming, amongst other issues, to reduce extreme poverty, address school enrollment and the prevalence of HIV/AIDS, expire in September 2015. World leaders, civil society organisations, philanthropists, and the private sector are all frantically negotiating and consulting over what will follow them. This special forum in Globalizations is dedicated to questions which explore the politics of the MDGs, and the subsequent discussions which are framing their successor development framework, the Sustainable Development Goals. Most research into the MDGs tends to be technocratic, addressing issues of how we might achieve the goals better, faster, and more efficiently. Questions of what kinds of societies might be created by the achievement of the goals, and what alternative societies people living in poverty might wish to build for themselves tend to get left aside, as do questions which address the fundamentally capitalocentric logics which underpin the MDGs. This special forum introduction briefly explores some of these issues before introducing the contributors, who include leading scholars on the critical politics and international political economy of international development, such as Suzan Ilcan, Philip McMichael, Kathleen Sexsmith, Carl Death, Japhy Wilson, Anita Lacey, Maia Green, and Heloise Weber.</t>
  </si>
  <si>
    <t>1474-7731</t>
  </si>
  <si>
    <t>1474-774X</t>
  </si>
  <si>
    <t>10.1080/14747731.2015.1033173</t>
  </si>
  <si>
    <t>WOS:000356236600011</t>
  </si>
  <si>
    <t>Pham, THQ; Worsley, A; Lawrence, M; Marshall, B</t>
  </si>
  <si>
    <t>Thi Hai Quynh Pham; Worsley, Anthony; Lawrence, Mark; Marshall, Bernie</t>
  </si>
  <si>
    <t>Awareness of nutrition problems among Vietnamese health and education professionals</t>
  </si>
  <si>
    <t>Professionals who provide nutrition education and consulting to the public are encouraged to take into account the health, environmental and social contexts that influence health-related attitudes and behaviours in the population. This paper examined the awareness of shifts in population health outcomes associated with the nutrition transition in Vietnam among university nutrition lecturers, health professionals and school education professionals. Most of these professionals held accurate views of the current population health issues in Vietnam. However, they differed in their awareness of the seriousness of overweight and obesity. Although the majority indicated that the prevalence of obesity and non-communicable diseases (NCDs) had increased, nearly half believed that the government should complete its attempts to control undernutrition before trying to control obesity. More health professionals believed that food marketing was responsible for the growing prevalence of children's obesity, and more of them disapproved of the marketing of less healthy food to children. In contrast, the university nutrition lecturers were least aware of food marketing and the seriousness of obesity. Of the three groups, the university nutrition lecturers held less accurate perceptions of nutrition transition problems and their likely drivers. There is an urgent need for greater provision of public nutrition education for all three groups of professionals.</t>
  </si>
  <si>
    <t>1460-2245</t>
  </si>
  <si>
    <t>10.1093/heapro/daw016</t>
  </si>
  <si>
    <t>WOS:000412570300009</t>
  </si>
  <si>
    <t>Byamba, B; Ishikawa, M</t>
  </si>
  <si>
    <t>Byamba, Bolorchimeg; Ishikawa, Mamoru</t>
  </si>
  <si>
    <t>Municipal Solid Waste Management in Ulaanbaatar, Mongolia: Systems Analysis</t>
  </si>
  <si>
    <t>Research was conducted in Ulaanbaatar (UB), Mongolia with a view of finding ways of making its municipal solid waste management (MSWM) more efficient by minimizing the negative impact of waste on the environment and public health whilst increasing its resource efficiency in a manner that is economically and financially viable. In this study, Wasteaware benchmark indicators were applied to assess the current system for MSWM in UB according to its physical and governance features. Data were obtained from site visits, interviews with the key stakeholders, and consulting of official documents and reports. The results of benchmark indicators showed that, in terms of Public Health, Environmental Control and Institutional Aspects, UB had surpassed the levels of low-and lower-middle-income countries and sufficed the prerequisites for modernizing its waste management system. However, there are still some major steps ahead to fully transition to a modern system. Our study brought significant contributions by filling the existing literature gaps for UB and identified its key strengths and areas for improvement. We conclude that an improvement in data collection and reporting, and widespread consultation with all stakeholders would impact positively on the improvement of the efficiency of the MSWM in UB and other developing countries.</t>
  </si>
  <si>
    <t>10.3390/su9060896</t>
  </si>
  <si>
    <t>WOS:000404133200027</t>
  </si>
  <si>
    <t>Collatto, DC; Lacerda, DP; Ott, E; Campos, LMS; Reginato, L; Knak, SS</t>
  </si>
  <si>
    <t>Collatto, Dalila Cisco; Lacerda, Daniel Pacheco; Ott, Ernani; Campos, Lucila M. S.; Reginato, Luciane; Knak, Simone Santos</t>
  </si>
  <si>
    <t>Method for measurement and evidencing of environmental debt (MEED) in productive systems</t>
  </si>
  <si>
    <t>Responsible use of natural resources is an important social and political issue, and as such, it is an essential factor in business decision-making. In this scenario, accounting practices need to include valuation and analysis of external costs and environmental debts as part of the information available to decision-makers. Therefore, this study focuses on proposing a method to measure and evidence the Environmental Debt (ED) of a productive system. For this purpose, Design Science Research was used to conduct the research. Its main result makes possible to propose the Measurement and Evidencing of Environmental Debt Method (MEED). The method was developed from a combination of resources identified in the literature, propositions of research groups, from consulting market methods and international organizations involved with the recognition of prices of natural resources. The results of applying MEED reveal the valuation and disclosure of external costs and environmental obligations from the internalization of environmental externalities related to the primary objective of accounting, namely, valuation of equity. The method was tested in the poultry sector, specifically the broiler production, and evaluated by experts in multidisciplinary areas. Environmental externalities are present in the analyzed system, negatively affecting equity. (C) 2020 Elsevier Ltd. All rights reserved.</t>
  </si>
  <si>
    <t>10.1016/j.jclepro.2020.124453</t>
  </si>
  <si>
    <t>WOS:000609019900009</t>
  </si>
  <si>
    <t>Berland, A</t>
  </si>
  <si>
    <t>Berland, Alex</t>
  </si>
  <si>
    <t>Lessons from the field for community engagement and accountability</t>
  </si>
  <si>
    <t>INTERNATIONAL JOURNAL OF HEALTH GOVERNANCE</t>
  </si>
  <si>
    <t>Purpose In Canada, community engagement and accountability are a political imperative, resulting in an omnipresent program with varied opportunities for public participation. The purpose of this paper is to promote leadership and commitment for health system transformation that truly benefits communities. Design/methodology/approach This paper is based on the author's experience with many engagement and accountability activities, applied in varied settings, for purposes such as evaluation, planning, policy making and system transformation. The specific context is generalized with international experiences and references. Findings The lessons learned are based on practical considerations with relevance for both novice and experienced practitioners: clarifying principles, processes and purposes at the outset; using effective leadership to achieve the desired impact; using a variety of methods to engage communities; clarifying engagement and accountability roles precisely; measuring things that are meaningful; and consulting with internal as well as external communities. Also, community leaders should recognize effort as well as results. Research limitations/implications - Commitment to engagement and accountability is commendable - but is it enough? The paper concludes by looking beyond health system impacts to propose a broader systems perspective. If clinical governors want to use engagement and accountability to achieve total value for their communities, they will need to demonstrate as leaders that they are committed to long-term thinking and broad social goals. Originality/value Too much focus on the process of care may mask accountability for reporting outcomes or systemic impact. The sustainable development goals highlight the need for systems thinking and public expectations include corporate social responsibility. As shown in the examples cited, a deeper commitment to engagement and accountability requires looking beyond care delivery to social determinants and to systemic impacts of the health care industry itself.</t>
  </si>
  <si>
    <t>2059-4631</t>
  </si>
  <si>
    <t>NOV 21</t>
  </si>
  <si>
    <t>10.1108/IJHG-05-2019-0030</t>
  </si>
  <si>
    <t>WOS:000491087800003</t>
  </si>
  <si>
    <t>Albreht, T; Klazinga, NS</t>
  </si>
  <si>
    <t>Albreht, Tit; Klazinga, Niek S.</t>
  </si>
  <si>
    <t>Restructuring public health in Slovenia between 1985 and 2006</t>
  </si>
  <si>
    <t>INTERNATIONAL JOURNAL OF PUBLIC HEALTH</t>
  </si>
  <si>
    <t>Objective. This paper explores the developments in the public health infrastructure in Slovenia in the context of the sociopolitical and legislative changes in health care over the last 20 years. It assesses the responsiveness of the public health institutes in Slovenia to the various plans on public health developed by health policy makers over time Methods. After an in-depth and externally validated search for key documents, we analysed the legislation, policy documents, research reports, theses, and other health policy papers related to the public health infrastructure in Slovenia. Findings were validated through consulting 3 external experts on public health in Slovenia. Results. In the period discussed only few new services were added and health promotion was developed as an institutional field. Passivity in the past caused a lack of decisions on some traditional services in a changed economic environment. Moving from a passive supporter of the former infrastructure to an active promoter of the reform sets health policy as the main architect of the new public health building. Conclusion. Slovenia's house of public health was amended and refurbished, but a thorough reconstruction has not taken place. In order to face the future challenges in public health, the infrastructure will require increased efficiency, professional workforce development and better responsiveness.</t>
  </si>
  <si>
    <t>Albreht, Tit/ABD-3621-2020</t>
  </si>
  <si>
    <t>Albreht, Tit/0000-0002-1812-4381</t>
  </si>
  <si>
    <t>1661-8556</t>
  </si>
  <si>
    <t>1661-8564</t>
  </si>
  <si>
    <t>10.1007/s00038-008-7032-2</t>
  </si>
  <si>
    <t>WOS:000257285700005</t>
  </si>
  <si>
    <t>Halilem, N; Amara, N; Olmos-Penuela, J; Mohiuddin, M</t>
  </si>
  <si>
    <t>Halilem, Norrin; Amara, Nabil; Olmos-Penuela, Julia; Mohiuddin, Muhammad</t>
  </si>
  <si>
    <t>To Own, or not to Own? A multilevel analysis of intellectual property right policies' on academic entrepreneurship</t>
  </si>
  <si>
    <t>RESEARCH POLICY</t>
  </si>
  <si>
    <t>The political environment around universities has led them to create an infrastructure to manage academic inventions. While some consider that the advantages of a university entrepreneurial structure outweigh any potential negative effects, others question their detrimental effect on academic scientists' entrepreneurial behavior. However, this debate remains unresolved as none of these two views have been fully empirically supported. Using multilevel models for a population of 2230 professors in 27 universities in Canada (82 individuals per unit on average), we test the effect of three features of institutional intellectual property right policy characteristics, namely, property rights (ownership regime), control rights (obligation to disclose and option to commercialize), and income-sharing schemes (when commercialization involves the university or an individual inventor) on two commercial behaviors of faculty members, namely, formal commercialization (patent and spinoff creation), and informal commercialization (consulting and commercial agreement). Our results suggest that contrary to most of the literature, academic inventors' behavior is influenced not by the invention ownership regime but by the control rights in place and the sharing of income between the university and the academic inventors. The findings have some implications for the importance of an ownership regime and the ineffectiveness of institutional policies which create contradictory motivations for academic entrepreneurs. It suggests some directions for future research using multilevel models.</t>
  </si>
  <si>
    <t>0048-7333</t>
  </si>
  <si>
    <t>1873-7625</t>
  </si>
  <si>
    <t>10.1016/j.respol.2017.07.002</t>
  </si>
  <si>
    <t>WOS:000412035200009</t>
  </si>
  <si>
    <t>Taylor, DE</t>
  </si>
  <si>
    <t>Taylor, Dorceta E.</t>
  </si>
  <si>
    <t>Gender and Racial Diversity in Environmental Organizations: Uneven Accomplishments and Cause for Concern</t>
  </si>
  <si>
    <t>ENVIRONMENTAL JUSTICE</t>
  </si>
  <si>
    <t>There is has been strong interest in the state of diversity in the environmental field for some time now. Recent studies have shown that gender diversity is progressing at a faster pace than racial diversity. This article reports on data collected from 324 mainstream environmental organizations in 2014. It examines gender and racial diversity in six different types of environmental organizationsgeneral conservation organizations, freshwater organizations, environmental education centers, environmental consulting organizations, environmental policy institutes/think tanks, and professional conservation and trade associations. The study found that though females exceed males on the staff of environmental organizations, women are underrepresented in the top leadership echelons of the institutions. The study also found that minorities are underrepresented in all ranks of the staff and leadership of environmental organizations. The successes women have had in being hired into the environmental workforce and being promoted to leadership positions are not being replicated for minorities. In addition, the study examined a seventh type of organization. It examined 13 environmental justice organizations and found high levels of gender and racial diversity in them. The study identified factors such as cultural insensitivity, reluctance to hire minorities, failure to promote minorities to leadership positions, ineffective recruitment strategies, and poor mentoring as conditions retarding racial diversity efforts.</t>
  </si>
  <si>
    <t>1939-4071</t>
  </si>
  <si>
    <t>1937-5174</t>
  </si>
  <si>
    <t>10.1089/env.2015.0018</t>
  </si>
  <si>
    <t>WOS:000363887700002</t>
  </si>
  <si>
    <t>Chalkidou, K; Vega, J</t>
  </si>
  <si>
    <t>Chalkidou, Kalipso; Vega, Jeanette</t>
  </si>
  <si>
    <t>Sharing the British National Health Service around the world: a self-interested perspective</t>
  </si>
  <si>
    <t>GLOBALIZATION AND HEALTH</t>
  </si>
  <si>
    <t>As the UK reiterates its commitment to protecting and growing its development aid budget amidst an adverse economic environment for the UK and Europe, we discuss the potential to use the country's National Health Service (NHS) model as a vehicle for promoting the country's economic as well as global health diplomacy and development priorities, through a coordinated cross-government plan of action. With the country's Prime Minister serving as a co-chair of the UN post-2015 development agenda panel, a this is a unique opportunity for the UK to put forward its health system architecture as a highly applicable and well-tested model for providing access to efficient and cost-effective care, with minimal financial hardship. Arguably, such a model tailored to the needs of specific countries could consequently lead to commercial opportunities for UK plc. in areas such as consulting, training, education and healthcare products. Finally, this approach would be consistent with the current thinking on the evolving role of UK aid, especially in the case of emerging powers such as India, where the focus has shifted from aid to investment in technical assistance and cooperation as a means of boosting bilateral business and trade.</t>
  </si>
  <si>
    <t>1744-8603</t>
  </si>
  <si>
    <t>OCT 25</t>
  </si>
  <si>
    <t>10.1186/1744-8603-9-51</t>
  </si>
  <si>
    <t>WOS:000326539900001</t>
  </si>
  <si>
    <t>Lu, CS; Shang, KC; Lin, CC</t>
  </si>
  <si>
    <t>Lu, Chin-Shan; Shang, Kuo-Chung; Lin, Chi-Chang</t>
  </si>
  <si>
    <t>Identifying crucial sustainability assessment criteria for container seaports</t>
  </si>
  <si>
    <t>MARITIME BUSINESS REVIEW</t>
  </si>
  <si>
    <t>Purpose - The purpose of this study is to identify crucial sustainability assessment criteria in the context of international port sector. Design/methodology/approach - Data collection was based on a questionnaire survey from 135 managers and supervisors at major international ports in Taiwan, including Keelung, Taichung and Kaohsiung. A confirmatory factor analysis was conducted to identify crucial sustainability assessment criteria at ports. Findings - A total of 31 important sustainable assessment criteria were adapted from previous studies in terms of environmental, economic and social issues. Results revealed that social issues with respect to staff job security and safety were ranked as the most important sustainability assessment criteria, followed by environmental protection when handling cargo, facilitation of economic activities, port traffic accidents prevention and cargo handled safely and effectively. In contrary, respondents revealed their less importance in the criteria, namely, mitigating light influence on neighboring residents, considering the arrangement of vehicles when constructing port transportation system, avoiding using unpolluted land in port area and hiring minority groups and consulting interests groups when making port projects. Four sustainability assessment dimensions were identified, namely, environmental material, economic issue, environmental practices and social concerns. Research limitations/implications - The research findings indicated that economic issue was deemed as the most important dimension of sustainability assessment criteria from a port operator's perspective, followed by environmental practices, social concerns and environmental material. Practical implications for port sustainability assessment were discussed in this research. Originality/value - Although a majority of previous studies on sustainability assessment have been discussed, there is still a lack of investigation of sustainability assessment in the context of port sector. This study not only develops sustainability assessment attributes but also highlights the important criteria of sustainability assessment. Further, this study identified four crucial sustainability assessment factors, which provide helpful information for port corporations to identify important criteria and policy of sustainability assessment.</t>
  </si>
  <si>
    <t>2397-3757</t>
  </si>
  <si>
    <t>2397-3765</t>
  </si>
  <si>
    <t>10.1108/MABR-05-2016-0009</t>
  </si>
  <si>
    <t>WOS:000413205500001</t>
  </si>
  <si>
    <t>Harelimana, V; Gao, ZJ; Nyiranteziryayo, E; Nwankwegu, AS</t>
  </si>
  <si>
    <t>Harelimana, Vincent; Gao, Zhu Jun; Nyiranteziryayo, Ernestine; Nwankwegu, Amechi S.</t>
  </si>
  <si>
    <t>Identification of weaknesses in the implementation of environmental impact assessment regulations in industrial sector: A case study of some industries in Rwanda, Africa</t>
  </si>
  <si>
    <t>The global environmental security and a cleaner productive ecosystem following the increasing industrialization and urbanization largely depend on the level of compliance with the relevant environmental impact stipulations. Consequently, this study highlights the weaknesses in the execution of environmental impact assessment (EIA) among the major industrial sectors of Rwanda. The study involves three industries with EIA Certificates issued by Rwanda Development Board and Rwanda Environmental Management Authority, the main consulting organizations. The institutional strength and weaknesses, awareness of industrial workers, and resources allocation in implementation of the EIA were studied by assessing compliance with the EIA through review of EIA report, site observation, interview, and administration of questionnaires. The study reveals unsatisfactory compliance with EIA among the industries. These weaknesses are due to lack of institutionalization of environmental units and environmental officers in the industries, poor status of industrial environmental policy, poor institutional coordination, and low capacity to implement EIA. Again, the capability of an annual environmental audit by the industries and how sufficient is the follow-ups by responsible authorities, as well as the low awareness of the existence of environmental management plan, and inadequate resources allocation are potential confronting challenges. It shows that EIA process is not fully functional in Rwanda and based on observations, it proposes possible recommendations like; the establishment of environmental units by the industries, as well as employment of environmental officers to oversee implementation of plans. The capacity building in the employees to implement EIA, conduct annual environmental audits, and initiate follow-ups, as well as regular monitoring in industries. Further, the government should strengthen institutional coordination in the implementing of EIA and ensure real resources allocation in the implementation. (C) 2020 Elsevier Ltd. All rights reserved.</t>
  </si>
  <si>
    <t>Nwankwegu, Amechi S./AAT-8365-2020</t>
  </si>
  <si>
    <t>Nwankwegu, Amechi S./0000-0003-3561-0514</t>
  </si>
  <si>
    <t>10.1016/j.jclepro.2020.120677</t>
  </si>
  <si>
    <t>WOS:000525323600101</t>
  </si>
  <si>
    <t>Tatlow-Golden, M; Parker, D</t>
  </si>
  <si>
    <t>Tatlow-Golden, Mimi; Parker, Daniel</t>
  </si>
  <si>
    <t>The Devil Is in the Detail: Challenging the UK Government's 2019 Impact Assessment of the Extent of Online Marketing of Unhealthy Foods to Children</t>
  </si>
  <si>
    <t>Background: How much unhealthy marketing do children see on digital devices? Marketing of unhealthy food and beverages has long been identified as a factor in children's preferences, purchase requests and consumption. Rising global obesity mandates States to craft environments that protect children and young people's health, as recommended by the World Health Organization, among others. However, assessing the impact of marketing restrictions is particularly challenging: the complexity of digital advertising markets means that measurement challenges are profound. In 2019, the UK Department of Health published an Impact Assessment that applied a novel method aiming to calculate costs and benefits of restricting unhealthy food and beverage advertising on digital devices (planned for implementation by 2022). It estimated UK digital unhealthy marketing to children at 0.73 billion advertising impressions annually, compared to television impacts of 3.6 billion. Aim and Method: We assessed this conclusion by reviewing the UK Department of Health/Kantar Consulting's Online Baseline Methodology (the Government Model). We examined the model's underlying premise and specified the seven analytic steps undertaken. For each step, we reviewed industry and academic evidence to test its assumptions and the validity of data applied. Results: We found that, in each step, the Government Model's assumptions, and the data sources selected, result in underestimates of the scale of digital advertising of unhealthy foods-at least tenfold, if not substantially more. The model's underlying premise is also problematic, as digital advertising spend data relate poorly to digital advertising exposure, leading to further underestimation of market scale. Conclusion: We conclude that the Government Model very substantially underestimates the impact of digital unhealthy food advertising restrictions on health. This analysis has relevance for global policy and for the impact of regulation on children's health and well-being.</t>
  </si>
  <si>
    <t>Tatlow-Golden, Mimi/0000-0002-8280-9131</t>
  </si>
  <si>
    <t>10.3390/ijerph17197231</t>
  </si>
  <si>
    <t>WOS:000586588400001</t>
  </si>
  <si>
    <t>Yi, SK; Sin, HY; Heo, E</t>
  </si>
  <si>
    <t>Yi, Sul-Ki; Sin, Hwa-Young; Heo, Eunnyeong</t>
  </si>
  <si>
    <t>Selecting sustainable renewable energy source for energy assistance to North Korea</t>
  </si>
  <si>
    <t>Renewable energy (RE) is the best sustainable energy solution South Korea can provide to assist North Korea in overcoming its chronic energy shortage. Designed as a follow-on research to Sin et al. [1], a survey was conducted with a panel of experts consisting of various disciplines and affiliations using the analytic hierarchy process (AHP) with benefit, opportunity, cost, and risk (BOCR). The results showed the panel viewed security as the most important factor among the strategic criteria. For the level 1 attributes, the panel showed no significant differences of opinion among the different alternatives; however, cost showed to be the most important factor for the panel. The panel chose wind power as the best alternative source of energy for North Korea; however, there were some differences in opinion among the sub-groups of the panel depending on the composition and the expertise of the sub-group. Compared to other studies on the similar topic, this research stands out in that the research results were derived using AHP and BOCR and that the panel was composed of both Korean and foreign experts on North Korea affiliated with state-run research organizations, armed forces, non-governmental organizations, academic research organizations, private consulting firms, and journalism. The research arrived at the conclusion that the following factors must be considered as South Korea designs its future North Korean energy assistance policy: (1) RE assistance for North Korea can take on various forms: hence, experts consulted during the design, writing, and implementation phases of the policy in question must possess knowledge and expertise in the appropriate technology and methodology being considered: (2) possibility of a sudden destabilization of the Northeast Asian security paradigm due to the collapse of North Korea; and (3) continued nuclearization of North Korea. (C) 2010 Elsevier Ltd. All rights reserved.</t>
  </si>
  <si>
    <t>10.1016/j.rser.2010.08.021</t>
  </si>
  <si>
    <t>WOS:000284863100039</t>
  </si>
  <si>
    <t>Li, Y; Wang, XY</t>
  </si>
  <si>
    <t>Li, Yan; Wang, Xinyu</t>
  </si>
  <si>
    <t>Risk assessment for public-private partnership projects: using a fuzzy analytic hierarchical process method and expert opinion in China</t>
  </si>
  <si>
    <t>JOURNAL OF RISK RESEARCH</t>
  </si>
  <si>
    <t>Public-private partnerships (PPP) have been widely used in China to procure public facilities and services. Complicated problems in PPP projects in China arise because of a variety of risk factors. A proper risk assessment model is needed to identify risks and provide risk response strategies for future Chinese PPP projects. The fuzzy analytic hierarchy process (F-AHP) method provides the ability to solve complex risk assessment of PPP projects. Current risk assessment models are limited to PPP projects in specific countries and do not consider unique risks in China, especially political, economic, social, and legal risks. This paper designed a risk evaluation index system for PPP projects based on the Delphi expert investigation method, and then established an optimized risk evaluation model for PPP projects in China using the F-AHP method. The risks identified are confirmed by interviewing experts from Chinese local government departments, private enterprise, third-party intermediary consulting and regulatory agencies, and academic organizations. The results show that the risks that ranked among the top ten are closely related to China's political and economic policies and relationships among stakeholders. It can be concluded that government authorities play a critical role in providing a favorable political, social, and economic environment and an effective institutional framework for PPP projects. Furthermore, it is also important to deal with relationships among stakeholders based on the public-private win-win' principle. This study provides risk response strategies, addressing key issues from eight aspects: an impeccable legal and regulatory framework; a central coordinating and regulating PPP authority; supportive governmental authorities; institutional capacity-building; favorable economic conditions and viability; community, partner, and moral accountability; clear division of responsibilities through contracts; and effective advisory management. These effective measures may be useful in reducing the adverse effects of risk for PPP projects in China.</t>
  </si>
  <si>
    <t>1366-9877</t>
  </si>
  <si>
    <t>1466-4461</t>
  </si>
  <si>
    <t>10.1080/13669877.2016.1264451</t>
  </si>
  <si>
    <t>WOS:000442291400002</t>
  </si>
  <si>
    <t>Chen, CY; Wu, YCJ; Wu, WH</t>
  </si>
  <si>
    <t>Chen, Chun-Yu; Wu, Yen-Chun Jim; Wu, Wen-Hsiung</t>
  </si>
  <si>
    <t>A sustainable collaborative research dialogue between practitioners and academics</t>
  </si>
  <si>
    <t>MANAGEMENT DECISION</t>
  </si>
  <si>
    <t>Purpose - The purpose of this paper is to investigate the co-production of knowledge and dialogic relationships via the collaboration between business practitioners and academic researchers. Design/methodology/approach - The motivations, expectations, communication processes, and final performance of those engaged in collaborative management research are explored by applying a two-pronged methodology with a content analysis and an e-mail survey. The authors conducted a content analysis on 136 articles identified out of a total of 2,029 articles from six leading journals during 2006-2011 which fulfilled the criteria of being coauthored by both professors and practitioners. An e-mail survey of six open questions was given to pre-screened authors in the first stage to investigate the in-depth dialogue processes and stories of these collaborations. Findings - The results revealed that collaboration topics of interest focused mostly on organizational behavior, business policy, and strategy, and that theoretical inquiry and case study were the most used research methods. According to the 68 valid returned e-mail surveys, the providing of consulting services by professors in firms plays a critical role in facilitating knowledge co-creation between practice and knowing. The findings also highlight key factors of sustainable co-production relationships. Originality/value - This study provides an empirical, valuable step towards an investigation into the co-creation dialogue experiences of practitioners and academics in three dimensions: purpose, procedure, and promise.</t>
  </si>
  <si>
    <t>0025-1747</t>
  </si>
  <si>
    <t>1758-6070</t>
  </si>
  <si>
    <t>10.1108/00251741311309661</t>
  </si>
  <si>
    <t>WOS:000317797900007</t>
  </si>
  <si>
    <t>Rahman, K; Weber, T</t>
  </si>
  <si>
    <t>Sustainable urban development in Brisbane City - the Holy Grail?</t>
  </si>
  <si>
    <t>3rd World Water Congress of the International-Water-Association</t>
  </si>
  <si>
    <t>APR 07-12, 2002</t>
  </si>
  <si>
    <t>MELBOURNE, AUSTRALIA</t>
  </si>
  <si>
    <t>Int Water Assoc</t>
  </si>
  <si>
    <t>Impacts from urban stormwater runoff on receiving environments have been well documented, particularly through specific regional scientific studies. Using various local government planning and management elements, urban developments in Brisbane City are now able to address stormwater management in an increasingly holistic context. One key initiative includes facilitating Water Sensitive Urban Design (WSUD) components within an Integrated Water Management Strategy that looks at policy formation, planning strategies, design option, community marketing and acceptance, maintenance programs and finally evaluation of various WSUD approaches. These can include the use of Natural Channel Designs, grassed swales, bio-filtration systems, porous pavements and roofwater tanks in several economic combinations. By linking with the Cooperative Research Centre for Catchment Hydrology, Brisbane City Council has influenced the design of WSUD planning tools and benefited the city with academic inputs into extensive evaluation programs. As well, it has also contributed to the Cooperative Research Centre's research outcomes. These evaluation programs are increasingly providing better understanding of various stormwater quality best management practices throughout Australia. As part of the overall implementation process; active involvement by a range of stakeholders has been crucial. These stakeholders have included internal planning, development assessment and design staff, external consultants, developers, and other local and state government agencies. The latter two groups are assisting in the important task of regionalisation of Brisbane City Council's policies and guidelines. Implementation of WSUD initiatives and stormwater re-use strategies under Council's new Integrated Water Management agenda are showing some excellent results, suggesting that sustainable urban development is no longer like the search for the Holy Grail.</t>
  </si>
  <si>
    <t>WOS:000183453700010</t>
  </si>
  <si>
    <t>Stone, G; Dalla Pozza, R; Carter, J; McKeon, G</t>
  </si>
  <si>
    <t>Stone, G.; Dalla Pozza, R.; Carter, J.; McKeon, G.</t>
  </si>
  <si>
    <t>Long Paddock: climate risk and grazing information for Australian rangelands and grazing communities</t>
  </si>
  <si>
    <t>RANGELAND JOURNAL</t>
  </si>
  <si>
    <t>The Queensland Government's Long Paddock website has been redeveloped on Amazon Web Services cloud computing platform, to provide Australian rangelands and grazing communities (i.e. rural landholders, managers, pastoralists (graziers), researchers, advisors, students, consultants and extension providers) with easier access to seasonal climate and pasture condition information. The website provides free, tailored information and services to support management decisions to maximise productivity, while maintaining the natural resource base. For example, historical rainfall and pasture analyses (i.e. maps, posters and data) have been developed to assist in communicating the risk of multi-year droughts that are a feature of Queensland's highly variable climate.</t>
  </si>
  <si>
    <t>1036-9872</t>
  </si>
  <si>
    <t>1834-7541</t>
  </si>
  <si>
    <t>10.1071/RJ18036</t>
  </si>
  <si>
    <t>WOS:000476797500008</t>
  </si>
  <si>
    <t>Minon, M; Parisot, T; Bureau, S</t>
  </si>
  <si>
    <t>Minon, Marc; Parisot, Thomas; Bureau, Stephane</t>
  </si>
  <si>
    <t>French-language SSH journals at a crossroad</t>
  </si>
  <si>
    <t>REVUE D HISTOIRE MODERNE ET CONTEMPORAINE</t>
  </si>
  <si>
    <t>To implement the European Commission's recommendation on open access to scientific publications in France presents many challenges, especially for the small, always at risk, niche publishers of French-language journals in humanities and social sciences (SSH). This article presents the results of a study conducted by the portal Cairn info and IDATE Consulting, that attempts to assess the possible consequences of measures considered (in December 2015) by the French government for these journals and their publishers specifically, the author's prerogative to distribute freely and widely any article resulting from publicly funded research, twelve months after its publication, whatever the contract he may have signed with the publishing firm or the journal would stipulate. The study begins with an update on the current situation of French-language SSH journals and goes on to consider the impact of this measure by distinguishing between two scenarios: when the freedom of distribution is given individually to each researcher, and when an open access mandate is setup at the level of the institutions. Finally, the paper elaborates an evaluation of the possible costs of a third option: a Platinum model where governmental organizations and/or public institutions provide upstream funding for an author's publications prior to the edition process. The impact of such a model is considered and questioned in terms of scope, sustainability, distribution of funding and independence of the journals.</t>
  </si>
  <si>
    <t>0048-8003</t>
  </si>
  <si>
    <t>10.3917/rhmc.625.0071</t>
  </si>
  <si>
    <t>WOS:000380088000007</t>
  </si>
  <si>
    <t>Takmasheva, L; Tyaglov, S</t>
  </si>
  <si>
    <t>Takmasheva, L.; Tyaglov, S.</t>
  </si>
  <si>
    <t>Innovative Development of the Entrepreneurial Sector: Scandinavian Experience</t>
  </si>
  <si>
    <t>CONTEMPORARY EUROPE-SOVREMENNAYA EVROPA</t>
  </si>
  <si>
    <t>This article is devoted to the study of innovative economic policies of the Scandinavian countries in the field of development of small and medium enterprises (hereinafter the SMEs). On the one hand, the countries of Scandinavia (Denmark, Norway, Sweden) occupy high positions on the world stage in socioeconomic development. On the other hand, in each of the presented countries various models of competitive innovative development of SMEs are implemented, which causes special scientific and practical interest. The article provides a systematic analysis of indicators characterizing the entrepreneurial environment of the Scandinavian countries and presents implemented models of competitive innovative development of SMEs. The study revealed a high level of state participation in the formation of the innovation basis of national innovation systems for the development of small and medium enterprises in the Scandinavian countries. When implementing the innovation policy in relation to small and medium-sized enterprises of the Scandinavian country, they take into account a systematic approach that encompasses a set of measures for the development of innovative infrastructure, educational activities, financial and consulting support for business entities. The information and empirical base of the study was Eurostat data. The results of the study may be useful to infrastructure organizations for the innovative development of SMEs, state and regional authorities in the development of areas, models and mechanisms of innovative development of enterprises.</t>
  </si>
  <si>
    <t>Tyaglov, Sergey/AAA-9728-2021</t>
  </si>
  <si>
    <t>Tyaglov, Sergey/0000-0002-8729-5117</t>
  </si>
  <si>
    <t>0201-7083</t>
  </si>
  <si>
    <t>10.15211/soveurope420196072</t>
  </si>
  <si>
    <t>WOS:000496446200006</t>
  </si>
  <si>
    <t>Swamy, RRDTV; Tiwari, P; Sawhney, A</t>
  </si>
  <si>
    <t>Swamy, Raghu Rama D. T. V.; Tiwari, Piyush; Sawhney, Anil</t>
  </si>
  <si>
    <t>Assessing determinants of PPP project performance Applying AHP to urban drinking water sector in India</t>
  </si>
  <si>
    <t>Purpose - The purpose of this paper is to understand the factors that affect the performance of projects being implemented on the public-private partnership (PPP) framework, with specific reference to urban drinking water sector in India. Design/methodology/approach - A listing of factors that have a bearing on project performance have been developed based on a review of the literature. Through a survey, seven factors that are relevant to the Indian context were determined. Interviews were then conducted across a cross-section of government agencies, financial institutions, development agencies, private sector entities and consultants to understand the relative importance of these attributes. The analytical hierarchy process was used to develop relative weights of these factors. Findings - Ranking and relative weights of the factors in descending order are stakeholder consent and support for water PPP projects (22.1 percent), appropriate project structure (17.4 percent), availability of realistic baseline information (16.2 percent), reasonable water tariffs (13.9 percent), public sector capacity (13.0 percent), well-developed market (9.5 percent) and water sector regulator (7.9 percent). Differences in perceptions amongst various stakeholder groups were also found. Research limitations/implications - Water sector has not matured, and with the advent of newer formats of implementation models, there could be significant changes in the sector. As the number of projects available for study is limited, this exercise can be undertaken periodically and updated in relation to experiences in other infrastructure sectors. Practical implications - This analysis provides inputs to policymakers and project proponents for structuring more sustainable urban drinking water PPP projects. Originality/value - Indian infrastructure PPP market is attracting increased attention from researchers, though not much emphasis is being given to urban drinking water sector. This paper aims to contribute toward filling this research gap.</t>
  </si>
  <si>
    <t>Tiwari, Piyush/L-6109-2019; Sawhney, Anil/AAQ-6168-2020; Sawhney, Anil/K-7519-2013</t>
  </si>
  <si>
    <t>Sawhney, Anil/0000-0002-4988-4893; Sawhney, Anil/0000-0002-4988-4893</t>
  </si>
  <si>
    <t>10.1108/PM-08-2016-0046</t>
  </si>
  <si>
    <t>WOS:000424464100005</t>
  </si>
  <si>
    <t>CSAKI, G</t>
  </si>
  <si>
    <t>EAST WEST CORPORATE JOINT VENTURES - PROMISES AND DISAPPOINTMENTS</t>
  </si>
  <si>
    <t>EASTERN EUROPEAN ECONOMICS</t>
  </si>
  <si>
    <t>The establishment of joint ventures is probably the most topical issue Of the transformation of any former centrally planned, socialist command economy into a market one. Foreign direct investments, technology imports, the involvement of supplementary funds into the national economy, market access for the more sophisticated export goods, the catching up with global networks-all the above key issues of the transformation and the further development of the Hungarian economy can be assisted by joint ventures. Hungary has relatively long standing experience in setting up joint ventures: since the early 1970s Hungary has consistently had by far the most JVs among the former CMEA countries. It has attracted over half the total foreign direct investments into Central and Eastern Europe and is a pioneer in setting up tripartite JVs, that is, guiding Western capital toward East European investments. The development of JVs and their fast growth in number are especially relevant for the period 1988-91. Most of them are relatively small. Services, including domestic and foreign trade, is the most frequented area of operation. Traditional trading partners, such as Germany, Austria, Switzerland, and Italy, are the most active investors. Nevertheless, the United States and Japan, although involved in only a limited number of businesses, have injected the greatest amount of moneY so far. A considerable number of large multinationals, such as Ford, GM, GE, Siemens, Bull, Hyundai, Citicorp, Paribas, BNP, Dresdner Bank, Colonia, Allianz, etc., are present in Hungary-based joint ventures. As early as 1988 the major legal framework was established. The necessary financial services, e.g., commercial banking services, insurance, auditing and consulting, and an operating stock exchange, are obtainable, and Hungarian managers are more than willing to take part in the establishment of joint ventures. There are more than 10,000 operating JVs in the country. They are the obvious evidence of the vitality of joint ventures. In recent years Hungary has been able to attract as much as USD 900-1,400 million annually in terms of foreign direct investment, including JVs. Taking part in the establishment of new JVs is obviously a question of confidence. Therefore, if Hungary would like to accumulate more foreign investments-and at least USD 2.5 billion a year is needed for a faster privatization and restructuring of the economy-a stable political climate, a sustained macroeconomic policy, and consistent venture promotion are musts for further development. There is a great demand for foreign capital in Central and Eastern Europe. Therefore, the countries of the region, especially Poland, Czechoslovakia, and Hungary, are in competition. Hungary has a fairly large advantage over its two major regional competitors: the country has relatively developed financial services, it has traditionally larger and deeper relations with transnational corporations, and small and medium-sized Hungarian companies are much more numerous and experienced than their regional competitors. There is a possibility of transforming Hungary into a certain kind of capital and financial center in and for Central and Eastern Europe. In this development the existing joint ventures will certainly play a key role.</t>
  </si>
  <si>
    <t>0012-8775</t>
  </si>
  <si>
    <t>10.1080/00128775.1993.11648511</t>
  </si>
  <si>
    <t>WOS:A1993MH13300003</t>
  </si>
  <si>
    <t>Drela, K</t>
  </si>
  <si>
    <t>Drela, Karolina</t>
  </si>
  <si>
    <t>Sustainable management of human resources in enterprises as an example of sustainable development</t>
  </si>
  <si>
    <t>SCIENTIFIC JOURNALS OF THE MARITIME UNIVERSITY OF SZCZECIN-ZESZYTY NAUKOWE AKADEMII MORSKIEJ W SZCZECINIE</t>
  </si>
  <si>
    <t>The aim of the article is to present the essence of sustainable human resource management and attempt to answer the question of whether enterprises actually use the concept of the sustainable management of human resources in business management to achieve sustainable development. This is why the following research question was chosen for the study: Is the concept of sustainable human resource management important in achieving sustainable development of an enterprise? Verification of the research question and the realisation of the stated goal were made on the basis of a critical analysis of the source literature and a case study. In striving to achieve the research goal, the first part of the article presents the essence of sustainable human resource management; the second part presents a case study. This paper concludes with the applications in which the research question was confirmed. Enterprises choose a strategy for human resource management, depending on the following: the situation in the labour market, the economic situation, legal regulations, demographics, changes in technology in a given enterprise, the activities of both the employers' and employees' organisations, as well as self-governing bodies, employment agencies or personnel consulting firms and the capital owned by the organisation. The results of this study have shown that enterprises actually use the concept of the sustainable management of human resources in business management to achieve sustainable development.</t>
  </si>
  <si>
    <t>Drela, Karolina/AAO-8632-2020</t>
  </si>
  <si>
    <t>Drela, Karolina/0000-0003-0358-7938</t>
  </si>
  <si>
    <t>1733-8670</t>
  </si>
  <si>
    <t>2392-0378</t>
  </si>
  <si>
    <t>10.17402/404</t>
  </si>
  <si>
    <t>WOS:000523293400012</t>
  </si>
  <si>
    <t>Valackiene, A</t>
  </si>
  <si>
    <t>Valackiene, Asta</t>
  </si>
  <si>
    <t>Efficient Corporate Communication: Decisions in Crisis Management</t>
  </si>
  <si>
    <t>Many business leaders agree that almost every company experiences crisis though many of them do not apply any actions to overcome it. Crisis problems are solved not in its primary stage and usually chaotic, without any strategic crisis situation or crisis management plans (Yair, Golenko-Ginzburg, Laslo, 2007; Bivainis, Tuncikiene, 2007; Ciegis, Gineitiene, 2008; Diskiene, Galiniene, Marcinskas, 2008; Kaplinski, 2008; Markovic, 2008). Even more difficult situation appears when company's employees as well as the internal and external environment have to be informed. Therefore it is necessary to represent the organization realistically (Tijunaitiene, Neverauskas, 2009; Deep house, 2005), to train the specialists of knowledge management (Melnikas, 2005, 2008; Saee, 2005; Sakalas, Ciutiene, Neverauskas, 2006; Kumpikaite, 2007; Rees, 2008; Boguslauskas, Kvedaraviciene, 2008). The situation does not become easier because of the negative attitude to crises (Klein, 1981; Rosenblatt, Sheaffer, 2002; Anikin, 2008; Virbickaite, 2009). Therefore crisis solution can bring positive consequences in company's change (Gummensson, 1991; Heath, 1994; Sakalas, Savaneviciene 2003; Garskaite, Garskiene, 2005; Adekola, Korsakiene, Tvaronaviciene, 2008; Valackiene, 2009; Startine, Remeikiene, 2009). One of them is efficient communication and conflict management during a crisis period (Varey, White, 2000; Januleviciute, Bieleviciene, Dambrava, 2003; Steyn, 2003; Talef-Viia, Alas, 2009). The efficiency of communication process is confirmed by the worldwide models designed and applied in practice (Turney, 2004; Deephouse, Carter, 2005; Neville, Bell, Menguc, 2005; Luecke, 2007). Worldwide management practice demonstrates the appearance of new management area corporate communication. Global business confederations (European Confederation of PR and CERP) prepare recommendations of public relations in business environment, which are successfully applied in strategic planning, scientific research institutes (Corporate Communication Institute, New Jersey, USA; BNFL Corporate Communication Research Unit, Salford, UK; MBA Corporate Communication Concentration New Jersey, USA; Annenberg Strategic Public Relations Center, USA), where different business researches are done in the area of public relations. Scientific and practical discussions are published in the continual reviewed scientific journals (Theory, Culture, Society, USA; Evolution of Communication, Netherlands; European Journal of Communication, UK; Corporate Communications: An International Journal, UK). Universities in all over the world (Scotland University of Sterning; University of Alabama, USA; Viena Institute for Communications Management and other) prepare professionals according to the Corporate Communication Management program. Communication agencies, crisis management consulting teams, consulting and teaching services successfully work in Lithuania, too, which give wide spectrum of service in public relation area: corporate and marketing communication, strategy creation of crisis communication, government relation, public relation and crisis management problem solving. Corporate Communication is presented as a Strategic Management function, focusing nowadays challenges: the necessity to create confidence between internal and external audience of a company; to activate business forming responsible corporate culture (Goodman, 2006; Luecke, 2007;). In this context efficient Corporate Communication problems still remains relevant in social, economi and managerial aspects. The structure of the paper: center dot in the first part Corporate Communication concept has been based up emphasizing the importance of corporate communication in the management science structure; center dot in the second part the process of crisis planning and strategic management has been discussed; center dot in the third part practical recommendations have been defined- Plan of Efficient Crisis Communication.</t>
  </si>
  <si>
    <t>WOS:000275918300011</t>
  </si>
  <si>
    <t>Murphy, SM; Leff, JA; Linas, BP; Morgan, JR; McCollister, K; Schackman, BR</t>
  </si>
  <si>
    <t>Murphy, Sean M.; Leff, Jared A.; Linas, Benjamin P.; Morgan, Jake R.; McCollister, Kathryn; Schackman, Bruce R.</t>
  </si>
  <si>
    <t>Implementation of a nationwide health economic consultation service to assist substance use researchers: Lessons learned</t>
  </si>
  <si>
    <t>SUBSTANCE ABUSE</t>
  </si>
  <si>
    <t>Background: Health economic evaluation findings assist stakeholders in improving the quality, availability, scalability, and sustainability of evidence-based services, and in maximizing the efficiency of service delivery. The Center for Health Economics of Treatment Interventions for Substance Use Disorders, HCV, and HIV (CHERISH) is a NIDA-funded multi-institutional center of excellence whose mission is to develop and disseminate health-economic research on healthcare utilization, health outcomes, and health-related behaviors that informs substance use disorder treatment policy, and HCV and HIV care of people who use substances. Methods: We designed a consultation service that is free to researchers whose work aligns with CHERISH's mission. The service includes up to six hours of consulting time. After prospective consultees submit their request online, they receive a screening call from the consultation service director, who connects them with a consultant with relevant expertise. Consultees and consultants complete web-based evaluations following the consultation; consultees also complete a six-month follow-up. We report on the status of the service from its inception in July 2015 through June 2017. Results: We have received 28 consultation requests (54% Early Stage Investigators, 57% MD or equivalent, 28% PhD, 61% women) on projects typically related to planning a study or grant application (93%); 71% were HIV/AIDS-related. Leading topics included cost-effectiveness (43%), statistical-analysis/econometrics (36%), cost (32%), cost-benefit (21%), and quality-of-life (18%). All consultees were satisfied with their overall experience, and felt that consultation expectations and objectives were clearly defined and the consultant's expertise was matched appropriately with their needs. Results were similar for consultants, who spent a median of 3hours on consultations. Conclusions: There is a need for health-economic methodological guidance among substance use, HCV, and HIV researchers. Lessons learned pertain to the feasibility of service provision, the need to implement systems to measure and improve service value, and strategies for service promotion.</t>
  </si>
  <si>
    <t>0889-7077</t>
  </si>
  <si>
    <t>1547-0164</t>
  </si>
  <si>
    <t>10.1080/08897077.2018.1449173</t>
  </si>
  <si>
    <t>WOS:000452287000011</t>
  </si>
  <si>
    <t>Prieto-Sandova, V; Mejia-Villa, A; Ormazabal, M; Jaca, C</t>
  </si>
  <si>
    <t>Prieto-Sandova, Vanessa; Mejia-Villa, Andres; Ormazabal, Marta; Jaca, Carmen</t>
  </si>
  <si>
    <t>Challenges for ecolabeling growth: lessons from the EU Ecolabel in Spain</t>
  </si>
  <si>
    <t>Purpose The European Ecolabel (EU Flower) has the mission to encourage cleaner production and influence consumers to promote Europe's transition to a circular economy. Nonetheless, little is known about EU Ecolabel evolution; it is not clear what the drivers that encourage its implementation are. Thus, this study aims to assess the growing acceptance of the EU Ecolabel in the European Union, and Spain more specifically, by examining product and service categories and geographical regions. Methods The methodological approach taken in this study is a mixed methodology based on the triangulation method by consulting the EU Ecolabel scheme database, EU Ecolabel delegates from some autonomous regions, and the academic literature. Also, a geographic analysis was run in the ArcGIS Software with data about the accumulation of licenses assigned in 2016. Results and discussion The analysis shows that most products in Spain that have been awarded the EU Ecolabel belong to the following categories: Do-It-Yourself Products (paint and varnish), Paper Products, Cleaning Up Products, and Electronic Equipment. At the same time, the study showed that this ecolabel faces significant obstacles in its diffusion, such as the competition with environmental labels launched previously in Europe and other regional labels. Conclusions The results of this study indicate the existence of five drivers that may encourage the implementation of EU Flower in a region: (1) public management, (2) communication strategy, (3) sustainable public procurement criteria, (4) local income per capita, and (5) international trade incentives. Finally, this study provides essential recommendations for policymakers to trigger ecolabeling practices such as the need to improve the understanding of the EU ecolabel impact in different levels of activity, which means countries, regions, industrial clusters, firms, and consumers. Also, this investigation identifies areas for further research, and it expresses the need to develop business case studies about ecolabeling with the objective to visualize this phenomenon as an eco-innovation process.</t>
  </si>
  <si>
    <t>10.1007/s11367-019-01611-z</t>
  </si>
  <si>
    <t>WOS:000530803400003</t>
  </si>
  <si>
    <t>Hannig, N</t>
  </si>
  <si>
    <t>Hannig, Nicolai</t>
  </si>
  <si>
    <t>Georg Picht. Strategies of a Media Intellectual in the West German Public Sphere</t>
  </si>
  <si>
    <t>VIERTELJAHRSHEFTE FUR ZEITGESCHICHTE</t>
  </si>
  <si>
    <t>In the intellectual debates of West Germany, Georg Picht was always present. He dealt with educational and peace policy, the protection of the environment, development aid, demographic development and the global food crisis. He involved himself in the activities of government agencies and engaged in political consultancy. Yet the core of Picht's political activities was his journalistic work. Like few other intellectuals of the old West Germany, Picht was prominently present in the media. He was covered by the media and positioned himself in the media. Picht was capable of using the public attention he had created to portray himself as an idea provider on the one hand and as a competent organiser on the other hand. His media presence was not purely calculated and strategic, however. It was also a form of adaptation and shaped the character of the newly developing archetype of the media intellectual. Using Picht and his journalistic activities as an example, the article shows how intellectuals adapted to the media logic of the second half of the 20th century and were ready to let themselves be taken in by its production mechanisms.</t>
  </si>
  <si>
    <t>0042-5702</t>
  </si>
  <si>
    <t>10.1515/vfzg-2018-0035</t>
  </si>
  <si>
    <t>WOS:000445751900003</t>
  </si>
  <si>
    <t>Bradul, NV; Lebezova, EM</t>
  </si>
  <si>
    <t>Bradul, Natalya V.; Lebezova, Ella M.</t>
  </si>
  <si>
    <t>Conceptualization of Smart Government: A scientometric approach</t>
  </si>
  <si>
    <t>The introduction of the state paradigm of Smart Government allows governments to transform states or individual regions into intelligent ecosystems that use the latest technologies to improve the quality of municipal and state services, create business environments for sustainable economic development, reduce costs and stimulate economical consumption of natural resources. The lack of a consistent conceptual framework as a theoretical platform for the phenomenon of Smart Government inhibits further research and the solving of practical problems in this field. The paper aims to tackle the problem of the ambiguous definition of Smart Government. The methodological basis embraces the theory of network society and the concept of Society of Knowledge. The research method is a scientometric analysis of publications on the formation of Smart Government as a supreme form of e-Government presented in scientific and analytical publications over the past twenty years. The research analyses the key interpretations of Smart Government, identifies its fundamental characteristics and formulates the authors' integrated definition of the phenomenon. The findings show that the issue under discussion gained in popularity during the period of 2014-2019. The study identifies authors and consulting companies that develop models for the transition to smart management both at regional and state levels. It also deals with the sectoral and thematic structure of the publication flow on the issue and reveals the problem of ambiguity of the Smart Government definition. Using semantic analysis, the authors propose their own definition of the concept of Smart Government, which is a developed e-Government based on open management that integrates physical, digital, public and private environments for passive and active interaction and cooperation with citizens so as to support sustainable and flexible development of services and opportunities provided. Five structural elements of the Smart Government are identified by the method of structural-logical analysis: smart indicators, smart goals, smart solutions, technology platform, and technologies. The current research can serve as a theoretical basis for creating smart government transition methods.</t>
  </si>
  <si>
    <t>10.29141/2218-5003-2020-11-3-3</t>
  </si>
  <si>
    <t>WOS:000546559400003</t>
  </si>
  <si>
    <t>Veldhuizen, LJL; Berentsen, PBM; Bokkers, EAM; Boer, IJM</t>
  </si>
  <si>
    <t>Veldhuizen, L. J. L.; Berentsen, P. B. M.; Bokkers, E. A. M.; de Boer, I. J. M.</t>
  </si>
  <si>
    <t>Social sustainability of cod and haddock fisheries in the northeast Atlantic: what issues are important?</t>
  </si>
  <si>
    <t>Research on the sustainability of capture fisheries has focused more on environmental and economic sustainability than on social sustainability. To assess social sustainability, first relevant and important social sustainability issues need to be identified. The objective of this study was to identify relevant social sustainability issues for cod and haddock fisheries in the northeast Atlantic and to determine the importance of these issues based on stakeholder input. A heterogeneous group of stakeholders was invited to take part in two consecutive surveys on social sustainability issues. The first survey (n = 41) resulted in a long list of 27 relevant social sustainability issues, including six issues that were not identified in previous studies and that address aspects of fish welfare, employees' training and education opportunities, and employees' time off from work. The second survey (n = 51) resulted in a ranking of the social sustainability issues in order of importance. The most important issues are worker safety, product freshness and companies' salary levels. In general, social sustainability issues concerning working conditions, employees' job fulfilment and fish welfare are seen as more important than other social sustainability issues. A main discussion point concerns the relation between the importance of a social sustainability issue on the one hand and the type of need that the issue relates to and the state of the issue on the other hand. From the study it can be concluded that the relative importance of social sustainability issues differs per stakeholder group depending on the relation between the stakeholder group and each particular issue. This demonstrates the importance of consulting different stakeholder groups in future studies on social sustainability in order to get a balanced view on the importance of social sustainability issues. Results on the relevance and importance of social sustainability issues for cod and haddock fisheries in the northeast Atlantic enable the fishing industry and policy-makers to direct improvement efforts towards the more important issues. (C) 2015 Elsevier Ltd. All rights reserved.</t>
  </si>
  <si>
    <t>10.1016/j.jclepro.2015.01.078</t>
  </si>
  <si>
    <t>WOS:000353741400007</t>
  </si>
  <si>
    <t>Degtyarev, AA; Bondarev, MD; Teteryuk, AS</t>
  </si>
  <si>
    <t>Degtyarev, A. A.; Bondarev, M. D.; Teteryuk, A. S.</t>
  </si>
  <si>
    <t>CYCLICAL DYNAMICS OF THE EXTERNAL AND INTERNAL ENVIRONMENTS OF BUSINESS-ORGANIZATIONS IN GR-MANAGEMENT</t>
  </si>
  <si>
    <t>MGIMO REVIEW OF INTERNATIONAL RELATIONS</t>
  </si>
  <si>
    <t>Within current conditions large business seeks to more actively influence processes of public state policy formulation and implementation connected with regulation of the economy and allocation of public resources. To ensure growing and systemic influence on the processes of government decision making, corporations promote economic interests by creating systems of controlled communications and relations with state bodies (SB). This field of professional activity identified as GR (Government Relations) is a specific type of management activity, specific cross-sectoral (cross-area) management of interactions between business companies (and other non-state actors) and the state authorities, located at the crossing of three basic sectors of governance (government, business and social (nonprofit) organizations). Professional functions on establishing and maintaining relations between business and government are conducted by GR-departments of large companies, specialized consulting firms and business associations. The complexity of those activities for business organizations proceeds from its specific location at the intersection of two environments (sectors): internal (in-house) and external (political and public) ones. This means that GR-specialist tries to consider the interests of these counterparties and identify points of intersection, where common interests can develop into business cooperation, and this may also contribute to the constructive involvement of business in shaping public policy. During such activities GR-specialist regularly faces the practical problems of frequent temporary error (temporal asynchrony) and low level of spatial contingency (spatial incongruence) between the sectoral (environmental) types of managerial dynamics and their autonomous rhythms and paces, special sectoral functioning and development strategies, deployed within each of these sectors (industry business strategy vs public policy area) and specific phases of the cycles of corporate and public governance, yet weakly interlinked. The authors stem from the common idea according to which a basic methodological prerequisite for the analysis, design and implementation of the effective and efficient GR-work is the development of a cycle model of the so-called cross-sectoral management, which would consider complex dynamics of the internal corporate processes as well as external public-management cycles.</t>
  </si>
  <si>
    <t>Teteryuk, Alexey/Y-5800-2019</t>
  </si>
  <si>
    <t>Teteryuk, Alexey/0000-0001-9945-2215; Bondarev, Mihail/0000-0002-8399-5538</t>
  </si>
  <si>
    <t>2071-8160</t>
  </si>
  <si>
    <t>2541-9099</t>
  </si>
  <si>
    <t>10.24833/2071-8160-2018-1-58-63-93</t>
  </si>
  <si>
    <t>WOS:000428194300004</t>
  </si>
  <si>
    <t>Trimble, EL; Bell, M; Wolf, J; Alvarez, R</t>
  </si>
  <si>
    <t>Grantsmanship and career development for gynecologic cancer investigators</t>
  </si>
  <si>
    <t>CANCER</t>
  </si>
  <si>
    <t>2nd International Conference on Cervical Cancer</t>
  </si>
  <si>
    <t>APR 11-14, 2002</t>
  </si>
  <si>
    <t>HOUSTON, TEXAS</t>
  </si>
  <si>
    <t>The gynecologic cancer investigator faces many challenges. Successful career development requires choosing commitments wisely after completing clinical training, earning board certification, and completing a fellowship. Finding protected time for research requires cooperation from the department chair, and lining up funding for research begins with the researcher's own institution and stretches as far away as European funding groups. State and federal agencies, particularly the National Cancer Institute, offer a wide range of opportunities to obtain funding and to seek information about how to shape research and applications. Professional societies and charities also fund initiatives. Advantages of working with a clinical trials cooperative group include large fund reserves, centralized data management, statistical support, the potential of rapid accrual from multiple sites, and an established infrastructure. Seeking multiple sources of funding probably is wise, and meeting grant deadlines requires organization and planning. Working with industry requires legal review; avoiding conflict of interest; working with appropriate federal agencies, such as the U.S. Food and Drug Administration; and careful review of contractual agreements. Today's successful investigator who wants to reduce the burden of cervical cancer seeks funding from multiple sources, including industry; makes use of the consulting advice available from state and federal governments and nonprofit organizations; establishes clear channels of communication; and consults appropriate legal and scientific advisors in planning a trial. Developing a successful academic career with a focus on research in gynecologic cancer requires planning and a supportive environment. 2003 American Cancer Society.</t>
  </si>
  <si>
    <t>Trimble, Edward/J-9647-2019</t>
  </si>
  <si>
    <t>Trimble, Edward/0000-0001-5028-0598</t>
  </si>
  <si>
    <t>0008-543X</t>
  </si>
  <si>
    <t>10.1002/cncr.11683</t>
  </si>
  <si>
    <t>WOS:000186236300011</t>
  </si>
  <si>
    <t>Brock, DM; Powell, MJ</t>
  </si>
  <si>
    <t>Radical strategic change in the global professional network: the Big Five 1999-2001</t>
  </si>
  <si>
    <t>Purpose - This paper seeks to explore and explain the dramatic organizational changes that took place over a relatively short time period in the five largest global professional networks, or GPNs - a group of organizations that were originally global accounting firms and traditionally accustomed to relatively gradual change. Design/methodology/approach - Begins by describing the background of divestiture and diversification in GPNs. The data were collected from the firms' web sites, interviews with GPN managers, e-mail requests for information via Big Five web sites, and from reports in the newspapers and business press over the two-year period to June 2001. Uses neo-institutional theory to study the context, precipitating dynamics, and enabling dynamics of large-scale organizational change, including the part played by governmental and regulatory forces. Findings - Explains the extent to which changes have occurred in a sample of countries in which these organizations operate, noting that the firm effects seem to be stronger than the country effects in the consulting area, while country effects are more pronounced in the law area. Originality/value - This paper is an original study of mainly secondary data - including those collected from firms' internet sites - analyzing change in an institutionalized environment. It is one of the first studies to make use of the GPN concept. Researchers and practitioners interested in professional service firms in general will find a unique combination of data, analyses, and conclusions.</t>
  </si>
  <si>
    <t>Brock, David/D-4020-2009</t>
  </si>
  <si>
    <t>Brock, David/0000-0003-4006-5610</t>
  </si>
  <si>
    <t>10.1108/09534810510614940</t>
  </si>
  <si>
    <t>WOS:000232516400005</t>
  </si>
  <si>
    <t>Fielder, DG; Jones, ML; Bence, JR</t>
  </si>
  <si>
    <t>Fielder, David G.; Jones, Michael L.; Bence, James R.</t>
  </si>
  <si>
    <t>Use of a Structured Approach to the Analysis of Management Options and Value of Information for a Recreationally Exploited Fish Population: A Case Study of Walleyes in Saginaw Bay</t>
  </si>
  <si>
    <t>NORTH AMERICAN JOURNAL OF FISHERIES MANAGEMENT</t>
  </si>
  <si>
    <t>Saginaw Bay Walleyes Sander vitreus contribute to fisheries throughout Lake Huron including a recreational fishery and by-kill stemming from the state-licensed commercial fishery in the bay. Two critical uncertain states of nature exist concerning the true magnitude (catchability) of the by-kill and the future of Alewives Alosa pseudoharengus in Lake Huron, the latter being a strong determinant of Walleye recruitment. After consulting with fishery managers, a stochastic simulation model was developed and used to evaluate management options for the recreational fishery in the form of a decision analysis and the value of information for improved estimates of by-kill magnitude. Decision analysis sought to identify the maximum sustainable recreational harvest. Sustainable harvest was defined as the average across 250 stochastic simulations for each management option considered while penalizing any simulation year with a value of zero if sustainability criteria were exceeded. Decision analysis indicated that sustainable harvest would be maximized if recreational fishing mortality were increased 50% from recent levels. Realizing this potential, however, would require more intensive management to ensure that desired levels of fishing mortality occurred. Choices by managers for allocating surplus harvest are a matter of policy, but concerns over maintaining predation pressure on Alewives to suppress their resurgence may be reasons to manage conservatively by electing instead to maintain a higher predator abundance. The value of information analysis revealed that the improvement in the recreational fishery warrants investment in further research on the uncertainty over by-kill catchability.</t>
  </si>
  <si>
    <t>Bence, James R/E-5057-2017</t>
  </si>
  <si>
    <t>Bence, James R/0000-0002-2534-688X</t>
  </si>
  <si>
    <t>0275-5947</t>
  </si>
  <si>
    <t>1548-8675</t>
  </si>
  <si>
    <t>10.1080/02755947.2015.1125975</t>
  </si>
  <si>
    <t>WOS:000374565000019</t>
  </si>
  <si>
    <t>Kashyap, GC; Singh, SK; Sharma, SK</t>
  </si>
  <si>
    <t>Kashyap, Gyan C.; Singh, Shri K.; Sharma, Santosh K.</t>
  </si>
  <si>
    <t>Catastrophic Health Expenditure and Impoverishment Effects of Out-of-pocket Expenses: A Comparative Study of Tannery and Non-tannery Workers of Kanpur, India</t>
  </si>
  <si>
    <t>INDIAN JOURNAL OF OCCUPATIONAL AND ENVIRONMENTAL MEDICINE</t>
  </si>
  <si>
    <t>Purpose: Treatment-seeking behaviors and economic burden because of health expenditure are widely discussed issues in India, and more so in recent times. The aim of this study is to identify health problems of tannery workers and their treatment-seeking behavior and their health expenditure. Data and Methods: The primary data used in this article were collected through a cross-sectional household survey of 284 male tannery workers in the Jajmau area of Kanpur city in the state of Uttar Pradesh, during January-June 2015. Results: Findings of the study revealed that around 36% of the tannery workers and 42% of non-tannery workers received treatment as outpatients in government/municipal hospital in the first spell of treatment. The secondary source of treatment was pharmacy/drug stores for 30% of the tannery workers and 24% of the non-tannery workers, an indication that a substantial proportion takes treatment without consulting a qualified medical practitioner; it also highlights that almost one-third of the tannery and non-tannery workers visited private health facility despite poor economic condition. It is evident that a substantial proportion of tannery and non-tannery workers are visiting private/non-governmental organization/trust hospital despite their poor financial situation. Conclusion: There is an urgent need to reinstate people's faith in public health facilities by developing professionalism, integrity, and accountability among different levels of health functionaries and frontline workers with the support of credible, transparent, and responsible regulatory environment.</t>
  </si>
  <si>
    <t>Sharma, Santosh/0000-0002-7317-1973; Singh, Shri Kant/0000-0003-0824-9073</t>
  </si>
  <si>
    <t>0973-2284</t>
  </si>
  <si>
    <t>1998-3670</t>
  </si>
  <si>
    <t>10.4103/ijoem.IJOEM_168_17</t>
  </si>
  <si>
    <t>WOS:000443867100006</t>
  </si>
  <si>
    <t>Gorgues, AC; Sanchez, PC; Guiu, RMF</t>
  </si>
  <si>
    <t>Colom Gorgues, Antonio; Cos Sanchez, Pilar; Florensa Guiu, Rosa M.</t>
  </si>
  <si>
    <t>Agri-food cooperatives in Europe. Dimension, governance and BCG analysis of cooperative societies TOP25 of the EU-28 and TOP10 in Spain</t>
  </si>
  <si>
    <t>REVESCO-REVISTA DE ESTUDIOS COOPERATIVOS</t>
  </si>
  <si>
    <t>This work aims to analyze the situation of agri-food cooperatives in Europe, to identify the common strategies that have appeared in European scenarios and to analyze the dynamics towards the future in this 21st century. A fundamental pillar of this work is, on the one hand, to analyze the dimension and the models of European agri-food cooperatives, on the other, the dynamism and business position, carrying out an analysis according to the portfolio matrix of the Boston Consulting Group (BCG), and finalizing with the study and analysis of the forms or models of internal government. The new forms of internal governance appeared within an integrating context seeking greater efficiency and effectiveness, and for this, with a tendency toward organizational improvement and greater structural dimension and international trade, are compatible with these legal forms of cooperative enterprises. As well as that they are the integrated performances of these, with other legal forms of mercantile aspect, sometimes called hybrid models, but that they plead for the utility and advantages of the assumption and application of cooperative principles and values. The agri-food cooperative, as enterprise, has shown in its evolution over time, to be a model capable of adapting to changes and global dynamics of the economy and society, integrating in its cooperative activity specific elements of good practices for obtaining good results: social and economic, with the commitment of environmental respect and conservation.</t>
  </si>
  <si>
    <t>Cos, Pilar/AAB-7452-2019</t>
  </si>
  <si>
    <t>Cos, Pilar/0000-0001-7882-6847</t>
  </si>
  <si>
    <t>1885-8031</t>
  </si>
  <si>
    <t>1135-6618</t>
  </si>
  <si>
    <t>10.5209/REVE.62811</t>
  </si>
  <si>
    <t>WOS:000467074700004</t>
  </si>
  <si>
    <t>Magala, SJ</t>
  </si>
  <si>
    <t>Magala, S. J.</t>
  </si>
  <si>
    <t>Organizing change: testing cultural limits of sustainability</t>
  </si>
  <si>
    <t>Purpose - A concept of culture as a solid black box of mental software is gone from serious research surviving in consulting modules and undergraduate teaching. Cultural values evolve and are more frequently examined in public through filters of institutional patterns and frames. The new, emergent cluster of sustainability values dominates and realigns all other values in unpredictable ways. One of the most relevant consequences consists of reinventing democracy, even within business corporations, Large Hadron Colliders and office work floors. The paper aims to define and interpret the cultural dimension of the emergent value of sustainability, which migrates towards the center of core values in the management of organizations. Design/methodology/approach - The paper presents a theoretical interpretation with cutting-edge empirical reports on the most complex research projects and their management based on negotiating values, goals and pragmatics. The paper also applies Boisot's information space model. Findings - It is through continuous organized renegotiations that we learn how to construct a multiple, multilevel, ongoing platform for a global governance in the face of serious challenges. Practical implications - The practical implications of the paper include a possible redesign of complex research projects with diverse organizational members (public authorities, business companies, NGOs, communities of knowledge) and a revision of the curricula of business schools from the point of insertion of the humanities. Originality/value - The paper is the first attempt to draw a road map for a multidimensional information-space inspired approach towards organizational change as a renegotiated process.</t>
  </si>
  <si>
    <t>10.1108/00251741211227582</t>
  </si>
  <si>
    <t>WOS:000307481900009</t>
  </si>
  <si>
    <t>Guerber, F; Roche, PA</t>
  </si>
  <si>
    <t>Guerber, Francois; Roche, Pierre-Alain</t>
  </si>
  <si>
    <t>High-power hydroelectricity, other uses of water and reconquest of biodiversity: a prospective thinking on public policies. Synthesis of the seminar of 4 November 2016</t>
  </si>
  <si>
    <t>The seminar, organized by the General Council on Environment and Sustainable Development about public policies involving large hydroelectric installations, brought together over a hundred participants from a wide range of backgrounds: representatives of various types of water users (hydroelectricity, irrigation, biodiversity, flood protection, fishing, navigation, water recreation), water resources managers (public territorial watershed organization, water agencies), consultants and administrations. Although less publicized lately than debates on mills and small hydraulics, the stakes of high-power hydro-electric production are major because of its exceptional place in the energy mix, because of the impact of the infrastructures on biodiversity and because of the many other uses to which large reservoirs can contribute. The possibilities for change are important, but also the difficulties in reconciling the sectoral objectives that are sometimes opposed. The discussions highlighted the tensions between the actors but also concrete cases and key success factors for integrated management; the discussions underlined the complexity of public policies but also identified the usable tools or methodological advances, which are sometimes little known to decision makers. In the end, the search for solutions seems to go through the shared explanation of this complexity rather than through too simplistic media fights.</t>
  </si>
  <si>
    <t>1958-5551</t>
  </si>
  <si>
    <t>10.1051/lhb/2017022</t>
  </si>
  <si>
    <t>WOS:000408084900007</t>
  </si>
  <si>
    <t>Rajput, SA; Aziz, MO; Siddiqui, MA</t>
  </si>
  <si>
    <t>Rajput, Sheeraz Ali; Aziz, Muhammad Owais; Siddiqui, Muhammad A.</t>
  </si>
  <si>
    <t>Social determinants of Health and Alcohol consumption in the UK</t>
  </si>
  <si>
    <t>EPIDEMIOLOGY BIOSTATISTICS AND PUBLIC HEALTH</t>
  </si>
  <si>
    <t>Addressing the social determinants of health (SDH) and health inequities are essential for successfully combating alcohol-related harm. In U.K, excessive consumption of alcohol is a huge public health concern. An estimated 9 million adults drink at level that increase the risk of harm to their health; 1 .6 million adults in England have some degree of alcohol dependence; and of these some 250,000 are believed to be moderately or severely dependent and may benefit from intensive specialist treatment. To be able to devise effective action, it is essential to comprehend these inequities in the healthcare system. Health inequities are not solely related to access to health care services; there are many other determinants related to living and working conditions, as well as the overall macro-policies prevailing in a country. The key intention of this review was to critically analyse the degree to which social determinants have impacted on excess alcohol consumption. A comprehensive approach to reduce inequities in alcohol-related harm requires action that includes mix of long- and short-term impacts, addressing the consequences and the root causes of inequities, and acting on both individuals and environments. Whereas, consequences of harmful alcohol use are more severe for those already experiencing social exclusion. We suggest that (1) the effective legislation, (2) modifying marketing strategies, (3) enhancing cooperation with regional organizations, (4) more effectively implementing existing regulation and (5) consulting expert will enhance SDH for this vulnerable population.</t>
  </si>
  <si>
    <t>2282-2305</t>
  </si>
  <si>
    <t>2282-0930</t>
  </si>
  <si>
    <t>e13128</t>
  </si>
  <si>
    <t>10.2427/13128</t>
  </si>
  <si>
    <t>WOS:000487278800007</t>
  </si>
  <si>
    <t>Li, P; Zhang, SL; Talvitie, A; Chen, YF</t>
  </si>
  <si>
    <t>New models for financing and managing highways: asset-based road corporations in China</t>
  </si>
  <si>
    <t>TRANSPORTATION</t>
  </si>
  <si>
    <t>The China International Engineering Consulting Corporation undertook, in 1997, the study of Viability of Asset Based Road Corporations in China as part of the World Bank's transport sector program review. The purpose was to investigate, in a case study format, road administration in China with two specific objectives: to compare (toll) road management in different provinces and to investigate the financial viability of China's toll roads. This paper shows that the three case projects studied, each having different management structures, are all financially viable given the present financing arrangements. However, should the projects be immediately subject to market interest rates and loan maturities prevailing in China today, their financial viability would be uncertain. In a broader context, the World Bank's lending program has enabled China to experiment with different kinds of toll road management structures. These models have both advantages and disadvantages and seem to fit that province's political economic environment in which they are employed. The toll roads and, especially, the impacts of the toll road management and financing arrangements on road administration present challenges to road administration rarely faced even in the developed countries. The challenges involve questions of the congruence of public good and private interest, as well as the role of planning and public accountability - all serious questions as China moves forward in development. These questions are raised in the context of the case studies.</t>
  </si>
  <si>
    <t>0049-4488</t>
  </si>
  <si>
    <t>10.1023/A:1005164117855</t>
  </si>
  <si>
    <t>WOS:000080941400005</t>
  </si>
  <si>
    <t>Mukherjee, PK; Gibbs, E; Walia, A; Taylor, C</t>
  </si>
  <si>
    <t>Mukherjee, P. K.; Gibbs, Eric; Walia, Archana; Taylor, Colin</t>
  </si>
  <si>
    <t>Staying cool: The development of India's pioneering energy efficiency policy for chillers</t>
  </si>
  <si>
    <t>WILEY INTERDISCIPLINARY REVIEWS-ENERGY AND ENVIRONMENT</t>
  </si>
  <si>
    <t>Chillers are the key energy-consuming piece of equipment in most large space cooling systems. They can account for more than 40% of total energy consumption in any typical commercial building and in specific industrial building installations depending on the product and process. With climate change driving rapidly rising demand for commercial and industrial cooling, especially in emerging economies, energy efficiency policies for chillers are crucial to moderate future electricity demand and thereby minimize greenhouse gas emissions. However, most developing and emerging economies lack energy efficiency policies for this significant and growing cooling equipment sector. India recently announced new energy efficiency policies for chillers, projected to avoid 28 TWh of electricity consumption and 23 million tons of CO2 emissions cumulatively through 2030. This article presents a case study of the unique challenges and solutions required to design a new energy efficiency policy for chillers in India. First, the energy consumed in chiller systems is sensitive to building occupancy, load changes, seasonal variations, operation and maintenance, and climatic conditions. In order to address these sensitivities, the chiller testing standard in India factors local weather and temperature conditions into energy performance ratings to account for these sensitivities. Further, every large chiller is a customized product, therefore developing a viable policy and implementation process required collaboration with international and national experts in standardization, manufacturers, building consultants, and testing laboratories. This article is categorized under: Energy Efficiency &gt; Economics and Policy Solar Energy: Thermal --&gt; Climate and Environment</t>
  </si>
  <si>
    <t>2041-8396</t>
  </si>
  <si>
    <t>2041-840X</t>
  </si>
  <si>
    <t>e372</t>
  </si>
  <si>
    <t>10.1002/wene.372</t>
  </si>
  <si>
    <t>WOS:000540506700002</t>
  </si>
  <si>
    <t>Harrison, GW; Ross, D</t>
  </si>
  <si>
    <t>Harrison, Glenn W.; Ross, Don</t>
  </si>
  <si>
    <t>Varieties of paternalism and the heterogeneity of utility structures</t>
  </si>
  <si>
    <t>JOURNAL OF ECONOMIC METHODOLOGY</t>
  </si>
  <si>
    <t>A principal source of interest in behavioral economics has been its advertised contributions to policies aimed at 'nudging' people away from allegedly natural but self-defeating behavior toward patterns of response thought more likely to improve their welfare. This has occasioned controversies among economists and philosophers around the normative limits of paternalism, especially by technical policy advisors. One recent suggestion has been that 'boosting,' in which interventions aim to enhance people's general cognitive skills and representational repertoires instead of manipulating their choice environments behind their backs, avoids the main normative challenges. A limitation in most of this literature is that it has focused on relatively sweeping policy recommendations and consequently on strong polar alternatives of general paternalism and strict laissez faire. We review a real instance, drawn from a consulting project we conducted for an investment bank, of a proposed intervention that is more typical of the kind that economists are more often actually called upon to offer. In this example, the sophistication of current tools for preference attribution, combined with philosophical externalism about the semantics of preferences that makes it less plausible to attribute their literal self-conscious representation to people as propositional attitude content becomes more tightly refined, blocks applicability of the distinction between nudging and boosting. This seems to call for irreducible, context-specific ethical judgment in assessing the appropriateness of the forms of paternalism that economists must actually wrestle with in going about their everyday business.</t>
  </si>
  <si>
    <t>Ross, Don/0000-0003-1813-3111</t>
  </si>
  <si>
    <t>1350-178X</t>
  </si>
  <si>
    <t>1469-9427</t>
  </si>
  <si>
    <t>10.1080/1350178X.2017.1380896</t>
  </si>
  <si>
    <t>WOS:000424255700003</t>
  </si>
  <si>
    <t>Djaman, K; Tabari, H; Balde, AB; Diop, L; Futakuchi, K; Irmak, S</t>
  </si>
  <si>
    <t>Djaman, Koffi; Tabari, Hossein; Balde, Alpha B.; Diop, Lamine; Futakuchi, Koichi; Irmak, Suat</t>
  </si>
  <si>
    <t>Analyses, calibration and validation of evapotranspiration models to predict grass-reference evapotranspiration in the Senegal river delta</t>
  </si>
  <si>
    <t>JOURNAL OF HYDROLOGY-REGIONAL STUDIES</t>
  </si>
  <si>
    <t>Study region: Grass-reference evapotranspiration estimation by the Penman-Monteith method (PM-ETo) requires a number of climate variables which are not always available at all weather stations. Different alternative ETo equations have been developed and their utilization for various local climate conditions requires analyses of their accuracy as compared to the standardized Penman-Monteith method. There is a significant lack of data and information on this topic in the Senegal River Delta (SRD). Study focus: The objective of this study was to evaluate, calibrate and validate six ETo equations ((Trabert, Mahringer, Penman1948, Albrecht, Valiantzasl and Valiantzas2) for the SRD. Although all six equations showed good agreement with the PM-ETo (R-2 &gt; 0.60) for daily ETo estimates, the Valiantzas2 equation was the best model for the Senegal River Delta and had the lowest root mean squared difference (RMSE) of 0.45 mm/day and the lowest percent error of estimate (PE) about 7.1%. New hydrological insights for the region: In the case of data limitations, the equations calibrated in this study are recommended for ETo estimation in the Senegal River Delta. The results of this study could be used by agricultural producers, crop consultants, university researchers, policy makers for the agricultural, hydrological, and environmental studies as well as proper allocation and use and forecasting in the SRD where lowland irrigated rice is predominant. (C) 2016 The Author(s). Published by Elsevier B.V.</t>
  </si>
  <si>
    <t>2214-5818</t>
  </si>
  <si>
    <t>10.1016/j.ejrh.2016.06.003</t>
  </si>
  <si>
    <t>WOS:000407358500007</t>
  </si>
  <si>
    <t>Durand, F</t>
  </si>
  <si>
    <t>Durand, Francois</t>
  </si>
  <si>
    <t>Relocate the classroom for the survival of subject jargon in Afrikaans</t>
  </si>
  <si>
    <t>Afrikaans is the only indigenous Southern African language that has been developed to such a level that it can be used as an academic language in any subject, and yet, over the past decade, it has been largely eliminated from the tertiary teaching milieu. According to the latest report released by Stats SA (2018), English is the sixth largest home language and Afrikaans the third largest home language in South Africa, the latter being spoken by approximately 23 million people in Southern Africa. Afrikaans-speaking scientists and technicians educated at colleges and universities where Afrikaans was the language of teaching and learning, work in the private sector and in many parastatals and government institutions, such as the CSIR, ARC, NECSA, the Departments of Water and Sanitation, of Environment, Forestry and Fisheries, and of Higher Education and Training, the Parks Board, the Council for Geoscience, and museums. Great scientific breakthroughs have been made by Afrikaans-speaking scientists and many Afrikaans-speaking scientists work as subject specialists overseas, where they are on a par with their international peers. The argument that education in Afrikaans is in some way detrimental to the Afrikaans learner is therefore nonsensical political rhetoric that has no factual basis. Fortunately, Afrikaans is still being taught at some schools in spite of their being subjected to constant and increasing political harassment. The few remaining Afrikaans single-medium schools are accused by government officials of maintaining the hegemony of the pre-1994 Afrikaans government by excluding students who prefer English medium tuition. Anglicising these schools, that comprise only 5% of the schools in South Africa, will hardly make up for the shortage of schools that is taking on critical proportions, especially considering that hundreds of thousands of new learners enter the school system annually. However, a situation far more serious than Afrikaans-language teaching and learning threatens education in South Africa, and that is the incompetence of teachers in certain English medium schools. Many people who insist on being taught in English want access to Afrikaans schools, while they have the opportunity to go to schools in townships where English is the language of teaching and learning. The reason is clear: according to several surveys the literacy and mathematical competency of teachers in these underperforming schools is far below par and the lowest in the world. Parents know this, while Afrikaans medium schools have a reputation of being some of the best-performing schools in South Africa. With the exception of the North-West University, and to a degree at the University of the Free State and the University of Stellenbosch, Afrikaans-speaking students are now forced to receive their tuition in English at all South African universities. This creates the untenable situation that Afrikaans-speaking teachers have to teach Afrikaans-speaking learners in Afrikaans medium schools with an English subject jargon background. Government policy apologists are not concerned about this, and use the equal misery argument, believing that the playing field would then be level because everyone (except, of course, English mother tongue speakers) is equally disadvantaged because all are taught in a language other than their own. This Schadenfreude has a sinister overtone in the light of the overwhelming evidence that mother tongue education is far superior to that in another language. The attack on Afrikaans as a language of tuition, labelling it as the language of the oppressor, ignores the fact that Afrikaans is a unique indigenous language and that the majority of Afrikaans speakers are the descendants of the First People of Southern Africa, who now, ironically and paradoxically, opt for the most colonial of all languages - English. It is clear that the existence of Afrikaans as a fully functional language of science and learning is a threat to the image of government, who has failed dismally in developing subject vocabulary in the other indigenous languages and has allowed the quality of education all over the country to implode. An alternative, away from government control, must be found to ensure the survival of the subject jargon and technical terminology of Afrikaans and their higher-order linguistic contribution to the Afrikaans language. This is important not only for the survival of the Afrikaans subject jargon that has been developed in the last century, but also for the survival of the Afrikaans-speaking community as a distinct cultural component of Southern Africa. This can be achieved only through continued higher-order communication and mother tongue education in this community, from toddler to academic, from farmer to consultant, from the researcher to the teacher. Afrikaans can survive without government interference and suppression on the internet, where Afrikaans subject matter for learners from Grade R to university will benefit Afrikaans-speaking teachers, learners and parents.</t>
  </si>
  <si>
    <t>10.17159/2224-7912/2019/v59n4a10</t>
  </si>
  <si>
    <t>WOS:000507387400010</t>
  </si>
  <si>
    <t>Cheyns, E; Silva-Castaneda, L; Aubert, PM</t>
  </si>
  <si>
    <t>Cheyns, Emmanuelle; Silva-Castaneda, Laura; Aubert, Pierre-Marie</t>
  </si>
  <si>
    <t>Missing the forest for the data? Conflicting valuations of the forest and cultivable lands</t>
  </si>
  <si>
    <t>In reaction to Greenpeace campaigns denouncing the impact of oil palm plantations in Southeast Asia, Golden Agri-Resources (GAR) - a major actor in the palm oil sector - adopted a zero-deforestation policy. The implementation of this policy raised a simple, albeit tricky, question: what is a forest? In response, Greenpeace, GAR and a consultancy firm developed a methodology for forest classification called the High Carbon Stock (HCS) Approach. Employing a vegetation classification based primarily on a threshold of carbon sequestration, the method identifies which forested zones to protect from conversion to agriculture. While currently gaining resonance in the realm of sustainability standards, its implementation in Indonesia and Liberia encountered resistance and criticism by rural dwellers and social NGOs. How did HCS advocates integrate local peoples' concerns, interests and claims to compose commonality? By analysing the HCS methodology's content, implementation and progressive adaptation, this article shows how HCS advocates favoured a specific mode of composition: one that fits a liberal grammar and that has specific implications on the valuation of forest and cultivable lands. The HCS approach is thus more than a data collection tool; it encapsulates and reinforces a particular vision of the environment and how people should relate to it.</t>
  </si>
  <si>
    <t>10.1016/j.landusepol.2018.08.042</t>
  </si>
  <si>
    <t>WOS:000541149900003</t>
  </si>
  <si>
    <t>Taylor, B</t>
  </si>
  <si>
    <t>Encouraging industry to assess and implement cleaner production measures</t>
  </si>
  <si>
    <t>7th Canadian Pollution Prevention Roundtable Meeting</t>
  </si>
  <si>
    <t>JUN, 2002</t>
  </si>
  <si>
    <t>Calgary, CANADA</t>
  </si>
  <si>
    <t>Cleaner production stakeholders have a strong desire for industry to consider cleaner production opportunities in their facilities and once they are assessed, to follow through on their implementation. This paper examines local and international initiatives within the Canadian stakeholder community (including government, NGOs, consultants, industry) that contribute to the initiation and implementation of cleaner production in industry. Specifically, stakeholders have consciously drafted regulatory compliance, education, co-funding incentives, and development-based cleaner production programs. As illustrated by case studies from six industries, the programs work together to create a climate favorable for implementation of cleaner production concepts and approaches. Based on the cleaner production drivers and barriers identified by research, the programs are well designed. However, as with cleaner production itself, there is always room for further improvement. Specifically: (i) regulatory compliance programs and timetables Should leave room for cleaner production (versus end-of-pipe) approaches; (ii) cleaner production co-funding programs should tat-get small and medium-sized enterprises (SME) and require them to use a multimedia approach (air, water, waste); (iii) education programs should incorporate demonstration assessments, feasibility assessments of common recommendations, and follow-up communication to foster implementation and continuous improvement; and (iv) mandated cleaner production should include absolute (i.e. waste/tonne production) rather than relative standards (i.e. X% reduction from status quo) in order to avoid penalizing historically proactive corporations. (c) 2005 Elsevier Ltd. All rights reserved.</t>
  </si>
  <si>
    <t>6-7</t>
  </si>
  <si>
    <t>10.1016/j.jclepro.2005.07.013</t>
  </si>
  <si>
    <t>WOS:000236893500008</t>
  </si>
  <si>
    <t>EU Emissions Trading scheme in aviation: Policy analysis and suggestions</t>
  </si>
  <si>
    <t>Effectively addressing the impact of aviation on climate change may prove a major challenge for policymakers. The European Union Emissions Trading Scheme (EU ETS) is one of the main instruments used to reach the statutory reduction of greenhouse gas emissions. This paper examines policy issues regarding the implementation of the EU ETS in aviation. A two-round Delphi study was undertaken based on a sample of 31 experts from Airlines and the International Air Transport Association; Air Navigation Service Providers; Civil Aviation Authorities; Government Institutions; and informed individuals (consultants and academics). The different allocation methods of allowances; the linking of EU ETS to similar schemes in other counties/continents; and the interconnection of the scheme with related environmental policies in Europe are found to significantly affect the efficiency of the EU ETS. Simpler monitoring, reporting and verification processes; streamlining and increased transparency of the auctions and penalties revenue policy; and achievement of balance in the allowance market are recommended to rectify caveats of the EU ETS from a policy perspective. (C) 2019 Elsevier Ltd. All rights reserved.</t>
  </si>
  <si>
    <t>Efthymiou, Marina/Q-6891-2019</t>
  </si>
  <si>
    <t>NOV 10</t>
  </si>
  <si>
    <t>10.1016/j.jclepro.2019.117734</t>
  </si>
  <si>
    <t>WOS:000483462700039</t>
  </si>
  <si>
    <t>Araral, E</t>
  </si>
  <si>
    <t>Araral, Eduardo</t>
  </si>
  <si>
    <t>Improving effectiveness and efficiency in the water sector: institutions, infrastructure and indicators</t>
  </si>
  <si>
    <t>This special edition is devoted to the theme of water institutions, infrastructure and performance indicators and how they matter to the effectiveness and efficiency of the water sector. It explores many questions which have not been adequately addressed in the literature. For example, what do we know about institutional reforms in the water sector? Can regulation improve the performance of government-controlled water utilities? What explains the choices amongst governance mechanisms in the water sector? How do political institutions affect water sector performance? How do we construct an index of drinking water adequacy? Can the media influence the formation of beliefs about the yuck factor in water reuse? Empirical examples are drawn from various countries and regions around the world. Contributors include economists, sociologists, political scientists, consultants, water policy professionals and staff of donor agencies. The methodological approaches employed range from meta-analyses, comparative analyses, content analyses, statistical and econometric analyses, as well as single case studies.</t>
  </si>
  <si>
    <t>Araral, Eduardo/L-6009-2019</t>
  </si>
  <si>
    <t>10.2166/wp.2010.010</t>
  </si>
  <si>
    <t>WOS:000276019500001</t>
  </si>
  <si>
    <t>Asumadu-Sarkodie, S; Owusu, PA</t>
  </si>
  <si>
    <t>Asumadu-Sarkodie, Samuel; Owusu, Phebe Asantewaa</t>
  </si>
  <si>
    <t>A review of Ghana's energy sector national energy statistics and policy framework</t>
  </si>
  <si>
    <t>COGENT ENGINEERING</t>
  </si>
  <si>
    <t>In this study, a review of Ghana's energy sector national energy statistics and policy framework is done to create awareness of the strategic planning and energy policies of Ghana's energy sector that will serve as an informative tool for both local and foreign investors, help in national decision-making for the efficient development and utilization of energy resources. The review of Ghana's energy sector policy is to answer the question, what has been done so far? And what is the way forward? The future research in Ghana cannot progress without consulting the past. In order to ensure access to affordable, reliable, sustainable, and modern energy for all, Ghana has begun expanding her economy with the growing Ghanaian population as a way to meet the SDG (1), which seeks to end poverty and improve wellbeing. There are a number of intervention strategies by Ghana's Energy sector which provides new, high-quality, and cost-competitive energy services to poor people and communities, thus alleviating poverty. Ghana's Energy sector has initiated the National Electrification Scheme, a Self-Help Electrification Program, a National Offgrid Rural Electrification Program, and a Renewable Energy Development Program (REDP). The REDP aims to: assess the availability of renewable energy resources, examine the technical feasibility and cost-effectiveness of promising renewable energy technologies, ensure the efficient production and use of the Ghana's renewable energy resources, and develop an information base that facilitates the establishment of a planning framework for the rational development and the use of the Ghana's renewable energy resources.</t>
  </si>
  <si>
    <t>Sarkodie, Samuel Asumadu/I-3854-2015; Owusu, Phebe Asantewaa/ABB-6564-2020</t>
  </si>
  <si>
    <t>Sarkodie, Samuel Asumadu/0000-0001-5035-5983; Owusu, Phebe Asantewaa/0000-0001-7364-1640</t>
  </si>
  <si>
    <t>2331-1916</t>
  </si>
  <si>
    <t>10.1080/23311916.2016.1155274</t>
  </si>
  <si>
    <t>WOS:000397384100017</t>
  </si>
  <si>
    <t>Laulom, S</t>
  </si>
  <si>
    <t>Laulom, Sylvaine</t>
  </si>
  <si>
    <t>Better regulation and the social acquis Is the REFIT fit for purpose?</t>
  </si>
  <si>
    <t>EUROPEAN LABOUR LAW JOURNAL</t>
  </si>
  <si>
    <t>The aim of this paper is to focus on a specific part of the Better Regulation procedures: the Regulatory Fitness and Performance programme (REFIT). Within the Better Regulation process, the REFIT programme is, more specifically, focussed on evaluating existing legislation. The REFIT programme began in 2010 when the European Commission announced that it would be reviewing EU legislation in selected policy fields through 'fitness checks' in order to keep current regulation 'fit for purpose'. This included identifying 'excessive regulatory burdens, overlaps, gaps, inconsistencies and/or obsolete measures which may have appeared over time. Pilot exercises began in 2010 in four areas: employment and social policy, environment, transport and industrial policy.' In employment and social policy, the fitness check exercise was launched in the area of informing and consulting workers on the national level, with the evaluation of three Directives. The Commission then included Occupational Safety and Health (OSH) in the REFIT Programme. The third area evaluated was the Written Statement Directive. The paper analyses the REFIT as applied to the social field, through an evaluation of the REFIT Programme in the three areas where fitness checks have already been carried out. Our main conclusion is that the REFIT Programme has certainly legitimised the European Commission's lack of action and has fulfilled its social agenda. However, at the end of the evaluation programmes, the REFIT has not yet led to deregulation. On the contrary, some gaps have been identified which have led the Commission to begin a legislative review process.</t>
  </si>
  <si>
    <t>2031-9525</t>
  </si>
  <si>
    <t>2399-5556</t>
  </si>
  <si>
    <t>10.1177/2031952518756907</t>
  </si>
  <si>
    <t>WOS:000596362400002</t>
  </si>
  <si>
    <t>Watanabe, E</t>
  </si>
  <si>
    <t>Watanabe, Eiki</t>
  </si>
  <si>
    <t>Changing Characteristics of Hoyo-jo in Yamanakako Village, Yamanashi Prefecture</t>
  </si>
  <si>
    <t>JOURNAL OF GEOGRAPHY-CHIGAKU ZASSHI</t>
  </si>
  <si>
    <t>The purpose of this study is to clarify changes in the management characteristics of Hoyo-jo and local conditions related to their decline in Yamanakako Village on the foothills of Mt. Fuji, Yamanashi Prefecture, Japan. A Hoyo-jo in Japanese means a lodging facility owned by companies or governmental bodies that provide resort accommodations for their employees. After World War II, many Japanese companies and their health insurance unions established Hoyo-jo in order to improve the benefits provided to employees. In Yamanakako Village, large corporations and government agencies had built about 1,000 Hoyo-jos by the early 1990s. The Hoyo-jo are divided into two types based on their management features: Kashi-ryo and Chokuei-ryo. A Kashi-ryo is rented from local residents. A Chokuei-ryo is directly managed by corporate or governmental owners. From the late 1990s to the early 2000s, some companies and their health insurance unions decided to discontinue Hoyo-jo without consulting their local managers. Since the abolition of Hoyo-jo, there have been distinctive changes in the patterns of the households in terms of their management. Most households that formerly managed Kashi-ryo continue to live in the building because they own the land and buildings. In contrast, in most cases of former Chokuei-ryo, the land and buildings are unused. Hoyo-jo played an important role in the development of tourism during the decades of the 1960s to the 1990s. Therefore Yamanakako Village will have to re-examine the role of Hoyo-jo for the sustainable development of tourism.</t>
  </si>
  <si>
    <t>0022-135X</t>
  </si>
  <si>
    <t>1884-0884</t>
  </si>
  <si>
    <t>10.5026/jgeography.124.979</t>
  </si>
  <si>
    <t>WOS:000446310800008</t>
  </si>
  <si>
    <t>Dagenais, C; McSween-Cadieux, E; Some, PA; Ridde, V</t>
  </si>
  <si>
    <t>Dagenais, Christian; McSween-Cadieux, Esther; Some, Paul-Andre; Ridde, Valery</t>
  </si>
  <si>
    <t>A Knowledge Brokering Program in Burkina Faso (West Africa): Reflections from Our Experience</t>
  </si>
  <si>
    <t>In Burkina Faso, inadequate interaction among researchers, decision makers, and practitioners, together with low use of research results, impedes the development of health policies and interventions to improve equity. A knowledge translation strategy was implemented as part of a research program. The broker and his team promoted links between actors (health agents, nongovernmental organizations, public administration, policy makers, researchers), provided them with research results related to their needs, and supported them in applying this knowledge in their practices. The strategy was first implemented in Kaya District, Burkina Faso. To increase impact on population health, the strategy included widening the sphere of action through collaboration with the Ministry of Health. The broker was affiliated with a public health consulting firm in the capital, Ouagadougou, and supported by Canadian experts and a senior Burkinabe broker. Evaluation shows that research use increased at the local level among health mutuals, regional nongovernmental organizations, and health professionals in Kaya, but the objective of reaching Ministry of Health decision makers was not achieved. Results highlight the need for better training in knowledge transfer for both local and international researchers and proper identification of the gateways to reach high level decision makers. This ambitious strategy encountered several obstacles: difficult access to decision makers, poor team communication, and broker's nonconducive working environment. Future brokering strategies should analyze the political situation in depth to determine when and how to approach national and regional decision makers; invest time and effort in developing different actors' (including researchers') knowledge transfer skills; and ensure sufficient and good quality communications and resources within the team.</t>
  </si>
  <si>
    <t>10.1080/23288604.2016.1202368</t>
  </si>
  <si>
    <t>WOS:000445285800009</t>
  </si>
  <si>
    <t>Yao, LM; Xu, ZW; Zeng, ZQ</t>
  </si>
  <si>
    <t>Yao, Liming; Xu, Zhongwen; Zeng, Ziqiang</t>
  </si>
  <si>
    <t>A Soft-Path Solution to Risk Reduction by Modeling Medical Waste Disposal Center Location-Allocation Optimization</t>
  </si>
  <si>
    <t>The risk of medical waste pollution and huge demand of daily medical waste disposal pose great difficulties to medical waste management. Establishing medical waste disposal centers (MWDCs) is considered one of the ways to reduce the environmental and public risk of medical waste pollution. However, how to serve the medical waste disposal demand in optimal MWDCs' locations is a key challenge due to the complexity of the whole system and relationships among stakeholders. This article develops a soft-path solution for reducing risks as well as mitigating the related costs by optimizing the MWDC location-allocation problem. A risk mitigation-oriented bilevel equilibrium optimization model is developed for modeling the Stackelberg game behavior between the local government and the medical institutions. The objectives of the local government are minimizing the total risk of loss, the subsidy costs, and the investment cost of building the MWDCs, while minimizing the disposal and transportation costs are the objectives at the medical institution level. Fuzzy random variables are introduced by combining insufficient historical data with expert knowledge via consulting surveys to describe the coexisting uncertainties in the data. To solve the model, a hybrid approach combined with the interactive fuzzy programming technique and an Entropy-Boltzmann selection-based genetic algorithm are designed and tested. The Chengdu Medical Waste Disposal Centers Planning Project is used as a practical application. The results show that it is possible to achieve a balanced market with higher economic efficiency and significantly reduced risk through an appropriate principle of interactive actions between the bilevel stakeholders.</t>
  </si>
  <si>
    <t>10.1111/risa.13509</t>
  </si>
  <si>
    <t>WOS:000536232800001</t>
  </si>
  <si>
    <t>Furumo, PR; Barrera-Gonzalez, EI; Espinosa, JC; Gomez-Zuluaga, GA; Aide, TM</t>
  </si>
  <si>
    <t>Furumo, Paul R.; Barrera-Gonzalez, Edgar I.; Espinosa, Juan C.; Gomez-Zuluaga, Gustavo A.; Mitchell Aide, T.</t>
  </si>
  <si>
    <t>Improve Long-Term Biodiversity Management and Monitoring on Certified Oil Palm Plantations in Colombia by Centralizing Efforts at the Sector Level</t>
  </si>
  <si>
    <t>FRONTIERS IN FORESTS AND GLOBAL CHANGE</t>
  </si>
  <si>
    <t>Commodity crop expansion remains a leading driver of deforestation and defaunation in the tropics. Voluntary certification standards are the primary mechanism for making commodity production more sustainable and rely on the High Conservation Value (HCV) framework for protecting biodiversity on farms. In the oil palm sector, the HCV approach requires producers to create a management and monitoring plan for on-farm species and habitat, but many companies struggle with interpreting and implementing recommendations from HCV reports. In this study, we explore the challenges to effective biodiversity monitoring on oil palm plantations by consulting recommendations from twenty-one HCV reports for RSPO-certified projects in Latin America, and conducting semi-structured interviews with eight RSPO-certified palm oil mills in Colombia to understand how companies adopt recommendations. We identified several shortcomings under the HCV management-monitoring process including lack of indicators and guidance in HCV reports, emphasis on operational (i.e., procedural) over strategic (i.e., effectiveness) monitoring, over-reliance on incidental wildlife encounters for monitoring populations, and significant technical and financial barriers facing companies. We provide recommendations for improving these aspects including the adoption of Essential Biodiversity Variables (EBV)-population state variables that bridge raw data with global indicators for policymakers-to guide and standardize monitoring on plantations. We conclude by proposing a strategy for biodiversity monitoring that is long-term, driven by EBVs, and centralized at the sector level in Colombia to improve standardization and reduce costs. Current company efforts track drivers of biodiversity trends that complement EBVs, and should continue to encourage staff buy-in and awareness of biodiversity conservation importance.</t>
  </si>
  <si>
    <t>2624-893X</t>
  </si>
  <si>
    <t>AUG 21</t>
  </si>
  <si>
    <t>10.3389/ffgc.2019.00046</t>
  </si>
  <si>
    <t>WOS:000516824800001</t>
  </si>
  <si>
    <t>Barreix, M; Lawrie, TA; Kidula, N; Tall, F; Bucagu, M; Chahar, R; Tuncalp, O</t>
  </si>
  <si>
    <t>Barreix, Maria; Lawrie, Theresa A.; Kidula, Nancy; Tall, Fatim; Bucagu, Maurice; Chahar, Ram; Tuncalp, Ozge</t>
  </si>
  <si>
    <t>Development of the WHO Antenatal Care Recommendations Adaptation Toolkit: a standardised approach for countries</t>
  </si>
  <si>
    <t>HEALTH RESEARCH POLICY AND SYSTEMS</t>
  </si>
  <si>
    <t>Background Increasingly, WHO recommendations are defined by context-specific factors and WHO is developing strategies to ensure that recommendations are successfully adapted and implemented at country level. This manuscript describes the development of a toolkit to support governments to adapt the WHO recommendations on antenatal care (ANC) for a positive pregnancy experience for their context in a systematic manner. Methods The toolkit was developed in three steps. It was created with input from methodologists and regional implementation experts (Step 1) followed by a user-testing phase (Step 2), implemented during country stakeholder meetings. User testing consisted of stakeholder interviews that were transcribed, and data was categorised according to the content analysis method. Suggestions for toolkit improvement and issues identified during the interviews were assessed as serious, moderately serious or minor/cosmetic. Results A total of 22 stakeholders - comprising five Ministry of Health (MoH) consultants, four MoH policy-makers, and 13 advisors/implementers - from Burkina Faso, India, Rwanda and Zambia participated in user-testing interviews during stakeholder meetings held in each country between August 2018 and February 2019. Most stakeholders had a medical or nursing background and half were women. Overall, responses to the toolkit were positive, with all stakeholders finding it useful and desirable. User testing interviews highlighted four serious, four moderately serious and five minor/cosmetic issues to be managed. These were addressed in the final step (Step 3), an updated version of the WHO ANC Recommendations Adaptation Toolkit, comprised of two main components - a baseline assessment tool with spreadsheets for data entry and a Slidedoc (R), a dual-purpose document for reading and presentation, outlining the qualitative data that shaped the women-centred perspective of the guidelines, accompanied by an instruction manual detailing the components' use. Conclusions The WHO ANC Recommendations Adaptation Toolkit was developed to support countries to systematically adapt the WHO ANC recommendations for country contexts. Using this approach, similar tools can be developed to support guideline implementation across different health domains and the continuum of care.</t>
  </si>
  <si>
    <t>1478-4505</t>
  </si>
  <si>
    <t>JUN 22</t>
  </si>
  <si>
    <t>10.1186/s12961-020-00554-4</t>
  </si>
  <si>
    <t>WOS:000543420500001</t>
  </si>
  <si>
    <t>Yi, L; Li, ZP; Yang, L; Liu, J; Liu, YR</t>
  </si>
  <si>
    <t>Yi, Lan; Li, Zhao-peng; Yang, Li; Liu, Jie; Liu, Yi-ran</t>
  </si>
  <si>
    <t>Comprehensive evaluation on the maturity of China's carbon markets</t>
  </si>
  <si>
    <t>Given that China has launched the largest carbon market in the world, it is of great significance to evaluate the maturity of the China's 7 regional pilot carbon emissions trading system. Based on an in-depth survey of 33 experts from more than 10 related institutions in the 7 pilots, this study develops a carbon market maturity evaluation index system that consists of 4 target layers including the attributes of environment, market and finance, supporting policies and infrastructure, and service capability of trading platform. By combining factor analysis and analytic hierarchy process methods, this study conducts a comprehensive evaluation on the maturity of 7 pilots. The results show that : The maturity of 7 pilots can be clearly categorized into several hierarchies, with Shenzhen (0.8113) ranks first due to its market-oriented mechanism; Beijing (0.5735), Hubei (0.5432), Shanghai (0.5004) and Guangdong (0.4846) are of similar degrees of maturity but with different characteristics - Beijing with most diversified emission controlled entities and strong environmental constraints, Hubei primarily driven by institutional arrangement, Shanghai with outstanding ability of platform service, Guangdong emphasizing on development of its primary market; while Tianjin (0.2616) and Chongqing (0.1338) exhibits lowest level of maturity. Overall, China's 7 pilots are still in their infancy and demonstrate a phenomenon of low trading volume and superficial prosperity. Therefore, recommendations are brought out that the maturity of China's carbon markets should be promoted from the aspects of tightening environmental constraints, strengthening market capacity-building and cultivating related consulting industry. (C) 2018 Elsevier Ltd. All rights reserved.</t>
  </si>
  <si>
    <t>OCT 10</t>
  </si>
  <si>
    <t>10.1016/j.jclepro.2018.07.117</t>
  </si>
  <si>
    <t>WOS:000442973100117</t>
  </si>
  <si>
    <t>Mulvaney-Day, NE; Rappaport, N; Alegria, M; Codianne, LM</t>
  </si>
  <si>
    <t>Developing systems interventions in a school setting: An application of community-based participatory research for mental health</t>
  </si>
  <si>
    <t>ETHNICITY &amp; DISEASE</t>
  </si>
  <si>
    <t>Objectives: The goal of this study was to develop systems interventions in a public school district using community-based participatory research (CBPR) methods to improve the social and academic functioning of children from racial and ethnic minority populations. Design: The study used qualitative methods in the process of problem definition and intervention planning, including in-depth qualitative interviews and stakeholder dialogue groups. The study was conducted at three levels-the school system as a whole, two individual schools, and a multiple-stakeholder participatory group. Setting: The study took place in a public school system in an urban city with a population of 101,355 and in two public schools located in this city. Participants: The CBPR team included two researchers, a researcher/consulting psychiatrist in the schools, the director of the special education office, her management team, four teachers, and two school-based administrators. Interventions: The CBPR group engaged in a process of problem definition and intervention planning at all three levels of the system. In addition, both schools initiated systems interventions to target the needs of their school environments. Results: The project led to system interventions at both schools, clarity about the policy constraints to effective collaboration, and increased awareness regarding the behavioral and academic needs of minority children in the schools. The process produced a series of questions to use as a framework in CBPR partnership development. Conclusions: The CBPR approach can expand the scope of mental-health services research, particularly related to services for racial and ethnic minorities.</t>
  </si>
  <si>
    <t>1049-510X</t>
  </si>
  <si>
    <t>1945-0826</t>
  </si>
  <si>
    <t>WOS:000235170700011</t>
  </si>
  <si>
    <t>Braun, M</t>
  </si>
  <si>
    <t>Braun, Marcel</t>
  </si>
  <si>
    <t>The evolution of emissions trading in the European Union - The role of policy networks, knowledge and policy entrepreneurs</t>
  </si>
  <si>
    <t>ACCOUNTING ORGANIZATIONS AND SOCIETY</t>
  </si>
  <si>
    <t>Workshop on Caron Markets in Social-Science Perspective</t>
  </si>
  <si>
    <t>NOV 07, 2007</t>
  </si>
  <si>
    <t>Durham Univ, Durham, ENGLAND</t>
  </si>
  <si>
    <t>Durham Univ</t>
  </si>
  <si>
    <t>This paper starts with a recapitulation of how emissions trading became a cornerstone of the European Union's climate policy. While a whole bouquet of reasons can be identified the major reasons why the EU Commission decided to pursue the establishment of an emissions trading scheme within the EU are: ( 1) the integration of international emissions trading into the Kyoto Protocol; (2) the failure of the 6th Conference of the Parties to the United Nations Framework Convention oil Climate Change (UNFCCC) and the withdrawal of the United States from the Kyoto Protocol negotiations; and (3) the unsuccessful attempt to introduce ail EU-wide CO2-tax. Other reasons were the fact that emissions trading did not need unanimity in the European Council like the CO2-tax; the economic efficiency of emissions trading which appealed not only to the Commission but also to industry and Member States; the danger of a fragmented carbon market as the United Kingdom and Denmark had already set tip domestic emissions trading schemes that were incompatible; the incentive a European emissions trading scheme would be for the formation of a global carbon market; and the possibility to influence investment strategies of power companies towards a sustainable modernisation of the EU's power generation infrastructure. Drawing upon these preconditions, this paper analyses the development of the European Union Emissions Trading Scheme (EU ETS). Based on the fact that the EU is embedded in a multi-level policy-making architecture which encourages the emergence of policy networks it is argued that the EU ETS has been shaped by an (informal) issue-specific policy network established by some staff members from DG Environment, including individuals knowledgeable on emissions trading - such as experts from consultancies, environmental NGOs and the business sector. It is argued that within this European policy network oil emissions trading the European Emissions Trading Directive - as adopted Oil 13 October 2003 - has been negotiated and developed. It is concluded that the sharing of knowledge about this relatively new and largely unknown regulatory instrument and about design options for a potential European emissions trading scheme was the key momentum for the establishment and continuity of this policy network and that the ability of managing knowledge generation processes was the main factor to allow for a few staff members from DG Environment to play a dominant role as policy entrepreneurs in developing the European Emissions Trading Directive, even beyond their formal role of proposing the scheme as representatives from the EU Commission. (C) 2008 Elsevier Ltd. All rights reserved.</t>
  </si>
  <si>
    <t>0361-3682</t>
  </si>
  <si>
    <t>1873-6289</t>
  </si>
  <si>
    <t>APR-MAY</t>
  </si>
  <si>
    <t>10.1016/j.aos.2008.06.002</t>
  </si>
  <si>
    <t>WOS:000265739000010</t>
  </si>
  <si>
    <t>Gilbey, J; Carvalho, G; Castilho, R; Coscia, I; Coulson, MW; Dahle, G; Derycke, S; Francisco, SM; Helyar, SJ; Johansen, T; Junge, C; Layton, KKS; Martinsohn, J; Matejusova, I; Robalo, JI; Rodriguez-Ezpeleta, N; Silva, G; Strammer, I; Vasemagi, A; Volckaert, FAM</t>
  </si>
  <si>
    <t>Gilbey, John; Carvalho, Gary; Castilho, Rita; Coscia, Ilaria; Coulson, Mark W.; Dahle, Geir; Derycke, Sofie; Francisco, Sara M.; Helyar, Sarah J.; Johansen, Torild; Junge, Claudia; Layton, Kara K. S.; Martinsohn, Jann; Matejusova, Iveta; Robalo, Joana I.; Rodriguez-Ezpeleta, Naiara; Silva, Goncalo; Strammer, Ilona; Vasemagi, Anti; Volckaert, Filip A. M.</t>
  </si>
  <si>
    <t>Life in a drop: Sampling environmental DNA for marine fishery management and ecosystem monitoring</t>
  </si>
  <si>
    <t>Science-based management of marine fisheries and effective ecosystem monitoring both require the analysis of large amounts of often complex and difficult to collect information. Legislation also increasingly requires the attainment of good environmental status, which again demands collection of data to enable efficient monitoring and management of biodiversity. Such data is traditionally obtained as a result of research surveys through the capture and/or visual identification of organisms. Recent years have seen significant advances in the utilisation of environmental DNA (eDNA) in the marine environment in order to develop alternative cost-effective ways to gather relevant data. Such approaches attempt to identify and/or quantify the species present at a location through the detection of extra-organismal DNA in the environment. These new eDNA based approaches have the potential to revolutionise data collection in the marine environment using non-invasive sampling methods and providing snapshots of biodiversity beyond the capacity of traditional sampling. Here we present a non-technical summary of different approaches in the field of eDNA, and emphasise the broad application of this approach, with value for the governance and management of marine aquatic ecosystems. The review focuses on identifying those tools which are now readily applicable and those which show promise but are currently in development and require further validations. The aim is to provide an understanding of techniques and concepts that can be used by managers without genetic or genomic expertise when consulting with specialists to perform joint evaluations of the utility of the approaches.</t>
  </si>
  <si>
    <t>10.1016/j.marpol.2020.104331</t>
  </si>
  <si>
    <t>WOS:000609164100010</t>
  </si>
  <si>
    <t>Ellen, ME; Lavis, JN; Shemer, J</t>
  </si>
  <si>
    <t>Ellen, Moriah E.; Lavis, John N.; Shemer, Joshua</t>
  </si>
  <si>
    <t>Examining the use of health systems and policy research in the health policymaking process in Israel: views of researchers</t>
  </si>
  <si>
    <t>Background: All too often, health policy and management decisions are made without making use of or consulting with the best available research evidence, which can lead to ineffective and inefficient health systems. One of the main actors that can ensure the use of evidence to inform policymaking is researchers. The objective of this study is to explore Israeli health systems and policy researchers' views and perceptions regarding the role of health systems and policy research (HSPR) in health policymaking and the barriers and facilitators to the use of evidence in the policymaking process. Methods: A survey of researchers who have conducted HSPR in Israel was developed. The survey consisted of a demographics section and closed questions, which focused on support both within the researchers' organisations and the broader environment for KTE activities, perceptions on the policymaking process, and the potential influencing factors on the process. The survey was sent to all health systems and policy researchers in Israel from academic institutions, hospital settings, government agencies, the four health insurance funds, and research institutes (n = 107). All responses were analyzed using descriptive statistics. For close-ended questions about level of agreement we combined together the two highest categories (agree or strongly agree) for analysis. Results: Thirty-seven respondents participated in the survey. While many respondents felt that the use of HSPR may help raise awareness on policy issues, the majority of respondents felt that the actual use of HSPR was hindered for many reasons. While facilitators do exist to support the use of research evidence in policymaking, numerous barriers hinder the process such as challenges in government/provider relations, policymakers lacking the expertise for acquiring, assessing, and applying HSPR and priorities in the health system drawing attention away from HSPR. Furthermore, it is perceived by a majority of respondents that the health insurance funds and the physician organisations exert a strong influence in the policymaking process. Conclusions: Health system and policy researchers in Israel need to be introduced to the benefits and potential advantages of evidence-informed policy in an organised and systematic way. Future research should examine the perceptions of policymakers in Israel and thus we can gain a broader perspective on where the actual issues lie.</t>
  </si>
  <si>
    <t>10.1186/s12961-016-0139-7</t>
  </si>
  <si>
    <t>WOS:000384478900001</t>
  </si>
  <si>
    <t>Guerrero, APS; Fung, D; Suaalii-Sauni, T; Wiguna, T</t>
  </si>
  <si>
    <t>Guerrero, Anthony P. S.; Fung, Daniel; Suaalii-Sauni, Tamasailau; Wiguna, Tjhin</t>
  </si>
  <si>
    <t>Care for the seafarers: A review of mental health in Austronesia</t>
  </si>
  <si>
    <t>ASIA-PACIFIC PSYCHIATRY</t>
  </si>
  <si>
    <t>Introduction: Continent-based regional reviews of mental health may not fully describe the status of ethnocultural groups that are widely dispersed across multiple continents or traditional world regions. Our aim was to describe the Austronesians, an ethno-linguistic group living primarily in islands and coastal areas in the Pacific and Indian Oceans and Southeast Asia. Methods: Consulting lay databases, we created matrices to describe the demographic, political, and socioeconomic profiles of nations with majority and minority indigenous Austronesian language-speaking populations. We then accessed the scientific literature to describe examples of mental health disparities and/or challenges in mental health care delivery. Results: Many Austronesian-speaking people have experienced recent or current foreign occupation, lack of recognized sovereignty, poverty and low socioeconomic status, and low availability of psychiatric resources and providers. An analysis of the biological, psychological/psychocultural, and social and environmental impacts (risk or protective) on either the prevalence/presentation of mental illness, help-seeking behavior or access to mental health care, or management of mental illness suggested that there may be relatively unique stressors (e.g. loss of homeland from either global warming or nuclear contamination) affecting people in this region and certain biological profiles (e.g. susceptibility to obesity and metabolic syndrome) that may impact psychiatric treatment. Discussion: Solutions to mental health challenges in this world region may include culturally relevant and integrative mental healthcare delivery models; resource preserving, prevention-focused universal mental healthcare; and technology to improve connectivity and increase access to either direct services or workforce-building education and training.</t>
  </si>
  <si>
    <t>1758-5864</t>
  </si>
  <si>
    <t>1758-5872</t>
  </si>
  <si>
    <t>10.1111/appy.12031</t>
  </si>
  <si>
    <t>WOS:000323254200002</t>
  </si>
  <si>
    <t>Gstraunthaler, T</t>
  </si>
  <si>
    <t>Gstraunthaler, Thomas</t>
  </si>
  <si>
    <t>The business of business incubators An institutional analysis - evidence from Lithuania</t>
  </si>
  <si>
    <t>BALTIC JOURNAL OF MANAGEMENT</t>
  </si>
  <si>
    <t>Purpose - New business ideas, especially those which address markets that do not yet exist, face huge difficulties in securing vital resources Hence, governments support the creation of a protected environment business incubators, in which these early ventures can develop Business incubators perform two different processes servicing the companies they host and fulfilling their main stakeholders demands Hence this paper is critical of whether business incubators in Lithuania have been installed due to real economic demand to help all the promising startups to develop or if they serve primarily political goals Business incubators are exposed to pressure from shareholders, both public and private, and adopt certain strategies to deal with their expectations The paper aims to explore how the management of business incubators understand their own position, tasks and challenges and how they see their business incubators performing now and in the future Design/methodology/approach - This paper adds viewpoints from the sociology based institutional theory, adopting a more critical view on how institutions emerge, how they are influenced by their environment and how they shape the environment in which they operate In depth interviews were conducted with the management of the business incubators The paper Included all seven business incubators of Lithuania five business incubators in Vilnius and two business incubators in Kaunas Findings - The studied Lithuanian business incubators have a strong focus on property together with the offering of training and consulting, although at a very superficial level There are strong arguments in favor of a mimicking process and institutional behavior What made these property developments so attractive was the available public money, particularly from the European Union As long as the money keeps flowing, there is a strong incentive to grow The managers say that their public shareholders provide only weak support after the business incubator was set up Their private investors, on the other hand are interested in high rents In addition teams operating the business incubators are small, most consisting of not more than three people a much lower number than the European average of 12 Originality/value - The empirical results offer interesting insights into the self understanding of the management of Lithuanian business incubators their setup and the environment in which they operate</t>
  </si>
  <si>
    <t>1746-5265</t>
  </si>
  <si>
    <t>1746-5273</t>
  </si>
  <si>
    <t>10.1108/17465261011079776</t>
  </si>
  <si>
    <t>WOS:000284294300007</t>
  </si>
  <si>
    <t>Marsh, C; Agius, PA; Jayakody, G; Shajehan, R; Abeywickrema, C; Durrant, K; Luchters, S; Holmes, W</t>
  </si>
  <si>
    <t>Marsh, Celeste; Agius, Paul A.; Jayakody, Gamini; Shajehan, Roshan; Abeywickrema, Chandima; Durrant, Kelly; Luchters, Stanley; Holmes, Wendy</t>
  </si>
  <si>
    <t>Factors associated with social participation amongst elders in rural Sri Lanka: a cross-sectional mixed methods analysis</t>
  </si>
  <si>
    <t>Background: Populations of low and middle-income countries are ageing rapidly; there is a need for policies that support an increase in the duration of old age lived in good health. There is growing evidence that social participation protects against morbidity and mortality, but few studies explore patterns of social participation. Analysis of baseline quantitative and qualitative data from a trial of the impact of Elders' Clubs on health and well-being in the hill country of Sri Lanka provided an opportunity to better understand the extent of, and influences on, social participation among elders. Methods: We analysed data from 1028 baseline survey respondents and from 12 focus group discussions. Participants were consenting elders, aged over 60 years, living in Tamil tea plantation communities or Sinhala villages in 40 randomly selected local government divisions. We assessed participation in organised social activities using self-reported attendance during the previous year. Multivariable regression analyses were used to explore associations with community and individual factors. The quantitative findings were complemented by thematic analysis of focus group discussion transcripts. Results: Social participation in these poor, geographically isolated communities was low: 63% reported 'no' or 'very low' engagement with organised activities. Plantation community elders reported significantly less participation than village elders. Attendance at religious activities was common and valued. Individual factors with significant positive association with social participation in multivariable analyses were being younger, male, Sinhala, married, employed, and satisfied with one's health. Domestic work and cultural constraints often prevented older women from attending organised activities. Conclusions: Elders likely to benefit most from greater social contact are those most likely to face barriers, including older women, the oldest old, those living alone and those in poor health. Understanding these barriers can inform strategies to overcome them. This might include opportunities for both informal and formal social contact close to elders' homes, consulting elders, providing childcare, improving physical access, advocating with elders' families and religious leaders, and encouraging mutual support and inter-generational activities. Influences on social participation are interrelated and vary with the history, culture and community environment. Further study is required in other low and middle-income country contexts.</t>
  </si>
  <si>
    <t>MAY 16</t>
  </si>
  <si>
    <t>10.1186/s12889-018-5482-x</t>
  </si>
  <si>
    <t>WOS:000432721200006</t>
  </si>
  <si>
    <t>Saidani, M; Yannou, B; Leroy, Y; Cluzel, F; Kendall, A</t>
  </si>
  <si>
    <t>Saidani, Michael; Yannou, Bernard; Leroy, Yann; Cluzel, Francois; Kendall, Alissa</t>
  </si>
  <si>
    <t>A taxonomy of circular economy indicators</t>
  </si>
  <si>
    <t>Implementing circular economy (CE) principles is increasingly recommended as a convenient solution to meet the goals of sustainable development. New tools are required to support practitioners, decision makers and policy-makers towards more CE practices, as well as to monitor the effects of CE adoption. Worldwide, academics, industrialists and politicians all agree on the need to use CE-related measuring instruments to manage this transition at different systemic levels. In this context, a wide range of circularity indicators (C-indicators) has been developed in recent years. Yet, as there is not one single definition of the CE concept, it is of the utmost importance to know what the available indicators measure in order to use them properly. Indeed, through a systematic literature review considering both academic and grey literature 55 sets of C-indicators, developed by scholars, consulting companies and governmental agencies, have been identified, encompassing different purposes, scopes, and potential usages. Inspired by existing taxonomies of eco-design tools and sustainability indicators, and in line with the CE characteristics, a classification of indicators aiming to assess, improve, monitor and communicate on the CE performance is proposed and discussed. In the developed taxonomy including 10 categories, C-indicators are differentiated regarding criteria such as the levels of CE implementation (e.g. micro, meso, macro), the CE loops (maintain, reuse, remanufacture, recycle), the performance (intrinsic, impacts), the perspective of circularity (actual, potential) they are taking into account, or their degree of transversality (generic, sector-specific). In addition, the database inventorying the 55 sets of C-indicators is linked to an Excel-based query tool to facilitate the selection of appropriate indicators according to the specific user's needs and requirements. This study enriches the literature by giving a first need-driven taxonomy of C-indicators, which is experienced on several use cases. It provides a synthesis and clarification to the emerging and must-needed research theme of C-indicators, and sheds some light on remaining key challenges like their effective uptake by industry. Eventually, limitations, improvement areas, as well as implications of the proposed taxonomy are intently addressed to guide future research on C-indicators and CE implementation. (C) 2018 Elsevier Ltd. All rights reserved.</t>
  </si>
  <si>
    <t>Saidani, Michael/A-3529-2017</t>
  </si>
  <si>
    <t>10.1016/j.jclepro.2018.10.014</t>
  </si>
  <si>
    <t>WOS:000451105200046</t>
  </si>
  <si>
    <t>Downes, C; Ernst, S; Smithers, M</t>
  </si>
  <si>
    <t>Maintaining the capacity for concern during organisational restructuring for community care</t>
  </si>
  <si>
    <t>JOURNAL OF SOCIAL WORK PRACTICE</t>
  </si>
  <si>
    <t>This paper provides a reflective and theorised account of two training modules offered to a number of practitioners and managers of a local authority social services department during a period of organisational change. The scope of the paper is to examine the relevance of the concepts of 'holding' and 'containment' to the task of sustaining meaningful engagement with clients, to consultants and managers responsible for enabling practitioners to carry out the task, and to the wider organisation in discharging its responsibility to workers and clients alike. The authors examine how the disruptive effect of organisational change distracts workers from the 'primary task', and in turn creates pressure to depart from the primary task in the training modules themselves. There is a discussion of how the purchaser-provider 'split' can contribute to creating organisational defences against the pressure of clients' needs and hostility and 'pseudo-transactions' between practitioners and clients. The mirroring within the modules of processes in direct work with users is illustrated clearly, and a number of other dynamic 'reflection processes' are identified and discussed. Overall the paper addresses itself to anyone thinking about developing training or consultancy in the present 'anti-process' organisational and political climate.</t>
  </si>
  <si>
    <t>0265-0533</t>
  </si>
  <si>
    <t>1465-3885</t>
  </si>
  <si>
    <t>10.1080/02650539608415663</t>
  </si>
  <si>
    <t>WOS:A1996UP43700003</t>
  </si>
  <si>
    <t>Reno, J</t>
  </si>
  <si>
    <t>Reno, Joshua</t>
  </si>
  <si>
    <t>Managing the Experience of Evidence: England's Experimental Waste Technologies and their Immodest Witnesses</t>
  </si>
  <si>
    <t>This article explores the technoenvironmental politics associated with government-sponsored climate change mitigation. It focuses on England's New Technologies Demonstrator Programme, established to test the viability of green waste treatments by awarding state aid to eight experimental projects that promise to divert municipal waste from landfill and greenhouse gases from the atmosphere. The article examines how these demonstrator sites are arranged and represented to produce noncontroversial and publicly accessible forms of evidence and experience and, ultimately, to inform environmental policy and planning decisions throughout the country. As in experimental science, this process requires that some bear witness to the demonstrators, but in a disciplined way. Whether through the extrapolation of facts about technical performance by affiliated third-party consultants, or the orchestration of visitor centers open to the general public, making the demonstrators public involves controlling the ways in which they are interpreted and perceived. However, the unstable publicity of waste management facilities proliferates unofficial accounts as well. These acts of counterwitnessing, as I refer to them, not only potentially dispute the official evidence collected from the demonstrators, they also can pose a challenge to the understanding of technology upon which such government initiatives are based.</t>
  </si>
  <si>
    <t>10.1177/0162243910376158</t>
  </si>
  <si>
    <t>WOS:000297417100004</t>
  </si>
  <si>
    <t>Hankir, A; Sadiq, A</t>
  </si>
  <si>
    <t>Hankir, Ahmed; Sadiq, Asad</t>
  </si>
  <si>
    <t>LESSONS FROM PSYCHIATRY IN THE ARAB WORLD A Lebanese Trainee Psychiatrist's Qualitative Views on the Provision of Mental Healthcare Services for Palestinian Refugees in Lebanon and an Interview with a Consultant Psychiatrist on the Effects of the Arab Spring on the Mental Health of Libyans</t>
  </si>
  <si>
    <t>PSYCHIATRIA DANUBINA</t>
  </si>
  <si>
    <t>In this manuscript, a Lebanese trainee psychiatrist qualitatively analyses and discusses the provision of mental healthcare services for Palestinian refugees in Lebanon. There are more than 250,000 Palestinian people sporadically dispersed in the refugee camps in Sidon, Beirut and other major cities in the Levant. Displacement, conflict, trauma, unemployment and poverty are but some of the myriad factors that influence Palestinian refugee mental health. This article traces the historical, political and socioeconomic determinants of health for Palestinians exiled in Lebanon and describes the pivotal role that the non-Govenmental Organisation Medical Aid for Palestinians is playing in helping to alleviate the psychiatric distress of Palestinian sufferers of mental illness. The latter half of the manuscript contains an interview with a consultant psychiatrist about his experiences volunteering in the war-torn lands of Libya post Arab Spring. He expounds on how he feels mental healthcare services in Libya are woefully inadequate and broaches on his perception of how the resilience and the 'family-centric' model of the Libyan people has conferred a certain degree of protection towards developing severe psychiatric illness.</t>
  </si>
  <si>
    <t>0353-5053</t>
  </si>
  <si>
    <t>S345</t>
  </si>
  <si>
    <t>S349</t>
  </si>
  <si>
    <t>WOS:000209814200060</t>
  </si>
  <si>
    <t>Kelly, S</t>
  </si>
  <si>
    <t>Kelly, Sarah</t>
  </si>
  <si>
    <t>Megawatts mask impacts: Small hydropower and knowledge politics in the Puelwillimapu, Southern Chile</t>
  </si>
  <si>
    <t>Internationally, high head diversion small hydropower is being developed in mountainous regions. In contrast to the history of large reservoir hydropower's well-documented social and environmental impacts, scholarship is only beginning to examine the impacts of small hydropower in river basins around the world. While a number of articles globally emphasize the principle ecological impacts of small hydropower, few articles examine the social impacts, and fewer still draw from ethnographic or collaborative inquiry with affected peoples. Through an ethnographic, collaborative research approach with Mapuche-Williche Indigenous leaders in the Puelwillimapu Territory of southern Chile, I interrogate how the interrelated social and environmental impacts of small hydropower cited in Environmental Assessments compare with those lived and perceived by affected Mapuche-Wiliche communities. Small hydropower development targets areas of cultural significance in Mapuche territory, generating considerable conflict. Additionally, knowledge politics shape and obscure small hydropower's impacts. Analyzing two case studies, I argue that judging a small hydropower project's size by megawatts can mask significant impacts. The current trend to design environmental regulation for small hydropower based on megawatts is shortsighted, infringing upon Indigenous rights. In Chile, harmful projects are being developed without consulting Mapuche-Williche people. Small hydropower's impacts are expressed in not only ecological fragmentation, but also in the fragmentation of social relationships and ancestral knowledge recognition. Thus, this article seeks to expand our notion of what counts as an impact to include those that Indigenous communities identify as important. In conclusion, I provide recommendations for improving small hydropower regulation and Indigenous Consultation for hydropower. Reflecting on an interdisciplinary and collaborative approach, this paper contributes methodologically to the field of energy and social sciences.</t>
  </si>
  <si>
    <t>Kelly, Sarah/0000-0001-6707-1557</t>
  </si>
  <si>
    <t>10.1016/j.erss.2019.04.014</t>
  </si>
  <si>
    <t>WOS:000471789600022</t>
  </si>
  <si>
    <t>Calay, RK; Holdo, AE</t>
  </si>
  <si>
    <t>Calay, R. K.; Holdo, A. E.</t>
  </si>
  <si>
    <t>Modelling the dispersion of flashing jets using CFD</t>
  </si>
  <si>
    <t>Risk assessments related to industrial environments where gas is kept in liquid form under high pressure rely on the results from predictive tools. Computational Fluid Dynamics (CFD) is one such predictive tool and it is currently used for a range of applications. One of the most challenging application areas is the simulation of multiphase flows resulting from a breach or leakage in a pressurised pipeline or a vessel containing liquefied gas. The present paper deals with the modelling of the post-flashing scenario of a jet emanating from a circular orifice. In addition to being based on the equations governing fluid flow, the models used are those related to turbulence, droplet transport, evaporation, break-up and coalescence. Some of these models are semi-empirical and based on the data from applications other than flashing. However, these are the only models that are currently available in commercial codes and that would be used by consulting engineers for the type of modelling discussed above, namely the dispersion of a flashing release. A method for calculating inlet boundary conditions after flashing is also presented and issues related to such calculations are discussed. The results from a number of CFD based studies are compared with available experimental results. The results show that whilst a number of features of the experimental results can be reproduced by the CFD model, there are also a number of important shortcomings. The shortcomings are highlighted and discussed. Finally, an optimum approach to modelling of this type is suggested and methods to overcome modelling difficulties are proposed. (c) 2007 Elsevier B.V. All rights reserved.</t>
  </si>
  <si>
    <t>10.1016/j.jhazmat.2007.11.053</t>
  </si>
  <si>
    <t>WOS:000256111200151</t>
  </si>
  <si>
    <t>Paudel, S</t>
  </si>
  <si>
    <t>Paudel, Samundra</t>
  </si>
  <si>
    <t>Entrepreneurial leadership and business performance Effect of organizational innovation and environmental dynamism</t>
  </si>
  <si>
    <t>SOUTH ASIAN JOURNAL OF BUSINESS STUDIES</t>
  </si>
  <si>
    <t>Purpose The purpose of this paper is to examine effects of entrepreneurial leadership (EL) and organizational innovation (OI) on business performance (BP) of small and medium enterprises (SMEs) as well as to determine whether environmental dynamism (ED) moderates the mediating effect of OI in the EL-BP relationship. Design/methodology/approach The study was carried out on the basis of questionnaire survey among 243 SME owners of Pokhara valley of Nepal. Hierarchical multiple regression and other different PROCESS models were considered to examine direct, mediation, moderation and moderated mediation relationships. Findings The findings suggest a significant positive effect of EL on OI and BP and significant mediating role of OI in EL-BP relationship. But contrary to the prediction, the results indicate that the moderation and moderated mediation relationship are weaker under a dynamic environment than a stable environment. Research limitations/implications - As research reveals, ED moderates the studied model differently, and it raises questions on applicability of western theories, scales and their relationship in the South Asian context. Besides this, it has few limitations, which also present opportunities for future research. Practical implications - The findings of this research will be significant to entrepreneurs, educators and policymakers for better understanding about study variables, to use as consulting options as well as to prepare effective policies for entrepreneurship development. Originality/value This study is perhaps the first study that examines the complex moderated mediation model in the context of minimal work on EL-BP relationship and facilitates more sophisticated understanding about their relationships as well as shows variables' and model's generalizability in the eastern context.</t>
  </si>
  <si>
    <t>2398-628X</t>
  </si>
  <si>
    <t>2398-6298</t>
  </si>
  <si>
    <t>OCT 7</t>
  </si>
  <si>
    <t>10.1108/SAJBS-11-2018-0136</t>
  </si>
  <si>
    <t>WOS:000495078400009</t>
  </si>
  <si>
    <t>Quality of life and rural place of residence in Polish women - population based study</t>
  </si>
  <si>
    <t>ANNALS OF AGRICULTURAL AND ENVIRONMENTAL MEDICINE</t>
  </si>
  <si>
    <t>Objective: The purpose of this population-based study was to analyse the association between the health-related quality of life and rural residence among Polish females, including variables related to social environment and clinical characteristics. Methods: The snowball recruitment method was used to invite 1,560 women aged 45-60 to participate in the study. Participants received a questionnaire about demographic characteristics, environmental and work stress, use of anxiolytic-hypnotic medications and self-reported quality of life based on the SF-36 form. Univariate and multivariate analysis was carried out by means of a logistic regression model. Results: We found worse physical health and better mental health among women living in rural areas compared to those from urban settings. The rural residence was an independent predictor for poor physical health (below 25 percentile) odds ratio [OR] 1.6 95%, confidence interval [CI] 1.17-2.2). Living in rural areas was also associated at the borderline level of statistical significance, with reduction of risk of low quality of life in mental health (OR = 0.75; 95% CI = 0.55-1.02). According to other results from multivariate analysis, being retired, receiving social pension, long duration of illness symptoms, and consulting a medical specialist were the risk factors of reported bad physical health. Higher education and access to medical specialist protects against having a bad quality of life related to mental health. Being given the sack, stress at work, feeling anger, and long duration of symptoms are the risk factors of poor mental health. Conclusion: The rural residence is strongly associated with environmental and psychosocial factors in women aged 40-65.</t>
  </si>
  <si>
    <t>1232-1966</t>
  </si>
  <si>
    <t>1898-2263</t>
  </si>
  <si>
    <t>WOS:000298829200045</t>
  </si>
  <si>
    <t>Carbyn, L; Leech, R; Ash, G</t>
  </si>
  <si>
    <t>Carbyn, Lu; Leech, Robin; Ash, Gary</t>
  </si>
  <si>
    <t>The Evolution of Biological Societies in Alberta</t>
  </si>
  <si>
    <t>CANADIAN FIELD-NATURALIST</t>
  </si>
  <si>
    <t>At present, four organizations serve biologists in Alberta: The Alberta Chapter of the Wildlife Society (ACTWS), The Alberta Native Plants Council (ANPC), The Alberta Society of Professional Biologists (ASPB), and The Canadian Society of Environmental Biologists (CSEB). Only the ASPB is a professional regulatory organization, two of the others (CSEB and ACTWS) have their origins in the Canadian Society of Wildlife and Fisheries Biologists (CSWFB) while ANPC is a non-regulatory society with independent origin. A fifth organization, the Canadian Chapter of Society for Conservation Biology, is being organized through initiatives resulting from the 24(th) International Congress for Conservation Biology, held in Edmonton in July 2010. Its role in Canada is not yet defined. The first biological society to function in Alberta was a chapter of The Canadian Society of Wildlife and Fisheries Biologists (CSWFB). After 10 years this organization morphed into the CSEB when the hopes of creating a professional status faded. This change forced the CSPB towards forming a professional voice on resource use, and towards a communication medium for biological resource management. Biological consulting firms proliferated in the late 1960s and early 1970s, coinciding with provincial and federal governments forming departments of the environment. Pressures from these events created a perceived need by some biologists for a self-regulating, professional organization, which comes under provincial jurisdiction. To this end, the Alberta Society of Professional Biologists (ASPB) formed in 1975, and in 1991 received its Professional Biologist title status (P.Biol.) for members under the Societies Act of Alberta. The Alberta Chapter of The Wildlife Society (ACTWS) was formed in 1989; its focus was on research, science and wildlife management.</t>
  </si>
  <si>
    <t>0008-3550</t>
  </si>
  <si>
    <t>10.22621/cfn.v124i4.1104</t>
  </si>
  <si>
    <t>WOS:000294515100007</t>
  </si>
  <si>
    <t>Lane, SN; Landstrom, C; Whatmore, SJ</t>
  </si>
  <si>
    <t>Lane, Stuart N.; Landstroem, Catharina; Whatmore, Sarah J.</t>
  </si>
  <si>
    <t>Imagining flood futures: risk assessment and management in practice</t>
  </si>
  <si>
    <t>PHILOSOPHICAL TRANSACTIONS OF THE ROYAL SOCIETY A-MATHEMATICAL PHYSICAL AND ENGINEERING SCIENCES</t>
  </si>
  <si>
    <t>The mantra that policy and management should be 'evidence-based' is well established. Less so are the implications that follow from 'evidence' being predictions of the future (forecasts, scenarios, horizons) even though such futures define the actions taken today to make the future sustainable. Here, we consider the tension between 'evidence', reliable because it is observed, and predictions of the future, unobservable in conventional terms. For flood risk management in England and Wales, we show that futures are actively constituted, and so imagined, through 'suites of practices' entwining policy, management and scientific analysis. Management has to constrain analysis because of the many ways in which flood futures can be constructed, but also because of commitment to an accounting calculus, which requires risk to be expressed in monetary terms. It is grounded in numerical simulation, undertaken by scientific consultants who follow policy/management guidelines that define the futures to be considered. Historical evidence is needed to deal with process and parameter uncertainties and the futures imagined are tied to pasts experienced. Reliance on past events is a challenge for prediction, given changing probability (e. g. climate change) and consequence (e. g. development on floodplains). So, risk management allows some elements of risk analysis to become unstable (notably in relation to climate change) but forces others to remain stable (e. g. invoking regulation to prevent inappropriate floodplain development). We conclude that the assumed separation of risk assessment and management is false because the risk calculation has to be defined by management. Making this process accountable requires openness about the procedures that make flood risk analysis more (or less) reliable to those we entrust to produce and act upon them such that, unlike the 'pseudosciences', they can be put to the test of public interrogation by those who have to live with their consequences.</t>
  </si>
  <si>
    <t>Lane, Stuart N/M-7934-2014</t>
  </si>
  <si>
    <t>Lane, Stuart N/0000-0002-6077-6076</t>
  </si>
  <si>
    <t>1364-503X</t>
  </si>
  <si>
    <t>10.1098/rsta.2010.0346</t>
  </si>
  <si>
    <t>WOS:000289072700006</t>
  </si>
  <si>
    <t>Ershov, YM</t>
  </si>
  <si>
    <t>Ershov, Yuri M.</t>
  </si>
  <si>
    <t>DIGITAL WORLD OF NETWORKED TEENS AND THEIR VISUAL PRACTICES</t>
  </si>
  <si>
    <t>THEORETICAL AND PRACTICAL ISSUES OF JOURNALISM</t>
  </si>
  <si>
    <t>The article presents the results of a pilot study of teen media practices. The study was conducted using focused interviews (with video recording) with 11 graders in three Siberian cities in March - April 2018. The survey project shows how the viewing is transformed as a sociocultural practice and why the YouTube videohosting fundamentally influences this process. The problem is connected with generational (digital) gap and non-fulfillment of the natural loss of the audience of television channels by young viewers. Not only university departments and academic centers, but also the research services of consulting companies and corporations are studying this media consumerism problem today, since the request for such research is formulated throughout the media industry. An analysis of the data from a focused interview shows that the media activity of school students is not fully comprehended by them: adolescents cannot yet appreciate time and control it. Television viewing has become largely ritual in nature and serves to strengthen emotional ties with the family. Without personal involvement in the media process, adolescents' interest in watching or reading is quickly fading. For teens, the privacy of their lives in social networks and the ability to comment on any web content is of great importance. The author assumes in a discussion key the possibilities of integrating social media and television, justifying the forecast for the development of this sector of the media market. Patterns of adolescent media activity will undoubtedly influence in the future the behavior of adults in the media environment. This research project was undertaken to respond to an industrial query: how management should change media platforms and content policies to captivate the younger generation and win their loyalty.</t>
  </si>
  <si>
    <t>Ershov, Yuri/N-9151-2014</t>
  </si>
  <si>
    <t>Ershov, Yuri/0000-0003-3526-3727</t>
  </si>
  <si>
    <t>2308-6203</t>
  </si>
  <si>
    <t>2308-6211</t>
  </si>
  <si>
    <t>10.17150/2308-6203.2019.8(2).355-372</t>
  </si>
  <si>
    <t>WOS:000468390900010</t>
  </si>
  <si>
    <t>Verbrugghe, M; Kuipers, Y; Vriesacker, B; Peeters, I; Mortelmans, K</t>
  </si>
  <si>
    <t>Verbrugghe, Mathieu; Kuipers, Yoline; Vriesacker, Bart; Peeters, Ilse; Mortelmans, Katrien</t>
  </si>
  <si>
    <t>Sustainable employability for older workers: an explorative survey of belgian companies</t>
  </si>
  <si>
    <t>ARCHIVES OF PUBLIC HEALTH</t>
  </si>
  <si>
    <t>Background: The European Agency for Safety and Health at Work (EU-OSHA) is developing an online e-guide, which will provide tips and practical information for each EU country (in their national language(s)) on ageing and occupational health and safety. The e-guide will be launched in 2016 as part of the EU-OSHA campaign on Healthy Workplaces for all ages. The e-guide will present evidence, tools and practical examples of how companies can take action and effectively promote sustainable employability. Methods: As part of the development of the e-guide, a cross-sectional study was conducted to survey Belgian employers in April 2015 to determine their specific needs concerning older workers' occupational health and safety issues. Researchers from Milieu Ltd. (Brussels, Belgium), the consultancy company coordinating the e-guide project, and Mensura Occupational Health Services (Brussels, Belgium) developed a 13-item questionnaire. The survey addressed the needs and importance given to sustainable employability of older workers in Belgian companies and evaluated corporate knowledge regarding relevant national policies. The questionnaire was distributed electronically to the management of 22,084 private-sector companies affiliated with Mensura. Results: Ten percent (n = 2133) of recipients opened the e-mail, and 37 % (n = 790) of these completed the questionnaire. In 89 % of the responding companies, sustainable employability of workers aged &gt;= 55 years plays an important role; 70 % have no active sustainable employability policy/initiative; 18 % experience difficulties promoting sustainable employability; and 86 % indicate no need for support to promote sustainable employability. Respondents noted the following health complaints among workers aged &gt;= 55 years: work-related health problems (31 %), stress (26 %), work agreements/type of work (17 %), work/life balance (15 %), and career development and/or training (9 %). Topics concerning health and well-being of workers aged &gt;= 55 years requiring the most attention include motivation (30 %) and adaptation of the workplace to their health requirements (26 %). Conclusions: The e-guide should raise further awareness among employers about the importance of implementing an active sustainable employability policy to prolong working life in a healthy and productive way. The e-guide should also include tools to address work-related health problems and stress, motivation, and adaptation of the workplace to the health requirements of workers aged &gt;= 55 years.</t>
  </si>
  <si>
    <t>0778-7367</t>
  </si>
  <si>
    <t>2049-3258</t>
  </si>
  <si>
    <t>APR 28</t>
  </si>
  <si>
    <t>10.1186/s13690-016-0128-x</t>
  </si>
  <si>
    <t>WOS:000377525500001</t>
  </si>
  <si>
    <t>Verdhen, A</t>
  </si>
  <si>
    <t>Verdhen, A.</t>
  </si>
  <si>
    <t>Intra and Inter Basin Linking of Rivers in Water Resources Management</t>
  </si>
  <si>
    <t>JOURNAL OF SCIENTIFIC &amp; INDUSTRIAL RESEARCH</t>
  </si>
  <si>
    <t>Water resources management criteria for its efficient and effective utilization should be well conceived to avoid conflict, reduce negotiation and to increase cooperation. The basic principle dr the Indian rivers interlinking was to transfer the surplus water of a basin to water-deficient basin. Nevertheless, the basin/region identified for surplus at present may face severe water scarcity and crisis in future. Therefore, thorough studies of each sub-basin/basins are required to meet the present and projected demands. Interlinking of Rivers (ILR) has emerged for the both intra basin &amp; inter basins water transfer either in space or time. Furthermore, proposal of intra-basin (inter sub-basin) water development should be exercised before inter-basin water transfer and the system can be known as Infra and Inter Linking of Rivers (IILR). The honourable Supreme Court has allowed Centre and concerned states for identifying the feasible links in a speedy manner. In this direction, Narmada Valley Development Authority (NVDA) and Water Resources Department (WRD), government of Madhya Pradesh (MP) formulated a comprehensive project for basin/sub-basins between Onkeshwar to Narmada Sagar to utilize their water before declaring surplus. The author being short term team leader from consultant (Egis (I) Pvt. Ltd) side conducted initial study. The present paper presents an example of effort towards development of intra-basin schemes and interlinking of sub-basins (i.e. Deb-Goi Rivers in District of Barwani) in the state of MP to protect people's aspiration at present and their stakes for future, through comprehensive and sustainable studies.</t>
  </si>
  <si>
    <t>0022-4456</t>
  </si>
  <si>
    <t>0975-1084</t>
  </si>
  <si>
    <t>WOS:000371952300002</t>
  </si>
  <si>
    <t>Prokhorova, AA; Shokhin, AN</t>
  </si>
  <si>
    <t>Prokhorova, Alisa A.; Shokhin, Alexander N.</t>
  </si>
  <si>
    <t>MODELS OF BUSINESS TWENTY GOVERNANCE: POSSIBILITIES OF OPTIMIZATION</t>
  </si>
  <si>
    <t>SRAVNITELNAYA POLITIKA-COMPARATIVE POLITICS</t>
  </si>
  <si>
    <t>The article investigates the activities and structure of the Group of Twenty (G20) main outreach group - Business Twenty (B20). Group of Twenty is one of the leading international economic summitry institutions, which has enough capacity to influence on the development and implementation at the level of global community policies. B20 aims at facilitating the development of sustainable economic growth which, in turn, would contribute to job creation as well as representation and protection of the interests of the national business communities in dialogue with the G20. One of the main B20 objectives is to make an impact on the G20 agenda and final commitments, with an emphasis on the consolidated interests of the global business community as the main participants of the outreach group are business associations, CEOs of global corporations, consulting organizations. The approach to the B20 organization differs, for the seven-year history of the G20-B20 dialogue the permanent format has not been worked out and there is no unified, rolling from the Chairman to Chairman mechanism of representation of the business interests within the Group of Twenty. Analysis of different Business Twenty organizational models allowed to sort out the main elements of the institution entrusted with executive functions: Chairman of Business Twenty, Troika, Chairs and Co-Chairs of Task Forces. The investigation suggests possible ways of their optimization in accordance with the criterion of efficiency which is defined by the engagement of business community in the process of recommendations development, ensure of the maximum implementation of the business-community recommendations in the Group of Twenty final documents, possibility of a subsequent implementation of the assumed by Group of Twenty obligations.</t>
  </si>
  <si>
    <t>2221-3279</t>
  </si>
  <si>
    <t>2412-4990</t>
  </si>
  <si>
    <t>10.18611/2221-3279-2017-8-1-104-122</t>
  </si>
  <si>
    <t>WOS:000391287600008</t>
  </si>
  <si>
    <t>Schmidt-Baum, T; Thran, D</t>
  </si>
  <si>
    <t>Schmidt-Baum, Torsten; Thraen, Daniela</t>
  </si>
  <si>
    <t>Nine Measures to Take-Unlocking the Potential for Biomass Heat in the German Industry and the Trade, Commerce, and Service Sector</t>
  </si>
  <si>
    <t>ENERGIES</t>
  </si>
  <si>
    <t>Solid biofuels have the potential of making a major contribution to achieving the objectives of the Paris Climate Agreement if they are used more extensively for covering the heat demand of the industry and the trade, commerce, and service (TCS) sector. To unlock this potential, a holistic analysis of the supply chain from producer to end customer was performed, involving consultants, planners, and financial institutions. The focus is on the deployment of larger biomass heating boilers (with heat loads spanning several 100 kW to several MW). The study identifies the most important barriers for expanding the use of solid biofuels for heat in the German TCS sector as well as in the industry sector. Nine sets of measures were identified for overcoming the most critical barriers, among others, by drawing on best practice approaches and solutions from other German and European contexts. Based on these measures, political recommendations were derived to shape the regulatory framework conditions accordingly. These recommendations can in turn offer a stimulus for other countries to foster a more efficient and climate-effective use of biomass.</t>
  </si>
  <si>
    <t>Thran, Daniela/E-7672-2015</t>
  </si>
  <si>
    <t>Thran, Daniela/0000-0002-6573-6401</t>
  </si>
  <si>
    <t>1996-1073</t>
  </si>
  <si>
    <t>10.3390/en13184614</t>
  </si>
  <si>
    <t>WOS:000579954000001</t>
  </si>
  <si>
    <t>Kujirakwinja, D; Plumptre, AJ; Twendilonge, A; Mitamba, G; Mubalama, L; Wasso, JDD; Kisumbu, O; Shamavu, B; Ayebare, S; Bitomwa, O; Tshombe, R</t>
  </si>
  <si>
    <t>Kujirakwinja, D.; Plumptre, A. J.; Twendilonge, A.; Mitamba, G.; Mubalama, L.; Wasso, J. D. D.; Kisumbu, O.; Shamavu, B.; Ayebare, S.; Bitomwa, O.; Tshombe, R.</t>
  </si>
  <si>
    <t>Establishing the Itombwe Natural Reserve: science, participatory consultations and zoning</t>
  </si>
  <si>
    <t>ORYX</t>
  </si>
  <si>
    <t>Biological surveys starting in the 1950s provided clear evidence that the Itombwe Massif, located in eastern Democratic Republic of Congo, is one of the most important areas for conservation in Africa. Further surveys in the mid 1990s and early 20005 showed key species were still present and could be conserved. Following a report on these surveys the Ministry of Environment established the Itombwe Reserve in 2006 without consulting local communities who have legitimate customary rights to reside within the area and use the region's natural resources. Although creating the Reserve was within the government's legal authority, its establishment violated the rights of the people there. Here we report over a decade of work by a consortium of international and national human rights and conservation NGOs, the local communities and the protected areas authority (Institut Congolais pour la Conservation de la Nature), to remediate this taking of customary rights. Starting in 2008 these partners began a participatory process with all 55o villages within and around the boundary of the Reserve. Using a community resource use mapping approach, developed from best practices, the team helped communities determine the boundary of the Reserve, and then pilot participatory zoning to identify zones for settlements, agriculture, hunting, gathering of non-timber forest products, and conservation. This process secured the customary rights of long-term residents in the Reserve and protected their lands from being taken by non-rights holders. As a result of this work the use rights of communities were largely restored and the communities agreed on 23 June 2016 to formalize the boundaries of the renamed Itombwe Nature Reserve.</t>
  </si>
  <si>
    <t>Plumptre, Andrew J./X-3145-2019</t>
  </si>
  <si>
    <t>Plumptre, Andrew J./0000-0002-9333-4047</t>
  </si>
  <si>
    <t>0030-6053</t>
  </si>
  <si>
    <t>1365-3008</t>
  </si>
  <si>
    <t>10.1017/S0030605317001478</t>
  </si>
  <si>
    <t>WOS:000454304000009</t>
  </si>
  <si>
    <t>Nwafor, IA; Eze, JC; Nwafor, MN</t>
  </si>
  <si>
    <t>Nwafor, Ikechukwu A.; Eze, John C.; Nwafor, Maureen N.</t>
  </si>
  <si>
    <t>Establishing a sustainable open heart surgery programme in Nigeria, a low-income country: which is the best model?</t>
  </si>
  <si>
    <t>CARDIOLOGY IN THE YOUNG</t>
  </si>
  <si>
    <t>Background: In any country, the development of open heart surgery programme parallels stable political climate, economic growth, good leadership, and prudent fiscal management. This is lacking in a country like Nigeria without a functional cardiac hospital. Objective: To review and compare the various models being adopted towards establishing a sustainable open heart surgery programme in Nigeria. Materials and Methods: For ethnic and cultural reasons, Nigeria is divided into six geopolitical regions. Each region has one or more Federal Teaching Hospitals including medical centres. The hospitals have trained cardiothoracic surgeons and cardiologists as well as other auxiliary staff. After attainment of democratic rule in 1999, individual hospitals have devised various models to establish sustainable open heart surgery programme. The number of hospitals in each region, the models devised, and the limitations including the outcome were studied and analysed. Results: Each geopolitical zone has about three to four centres, either public or private, trying to establish the programme. There are six different models. Each centre has been trying the different models since the year 2000. The oldest of the model is cardiac mission and the newest is employment of highly skilled retired expatriate consultant cardiac surgeon to help develop the local team. Inadequate funds, lack of governmental support, and brain drain syndrome have largely affected the programme.</t>
  </si>
  <si>
    <t>1047-9511</t>
  </si>
  <si>
    <t>1467-1107</t>
  </si>
  <si>
    <t>10.1017/S1047951119002531</t>
  </si>
  <si>
    <t>WOS:000511342400012</t>
  </si>
  <si>
    <t>WILDER, JR</t>
  </si>
  <si>
    <t>THE NEED FOR SITE-SPECIFIC LEGAL RESEARCH ON SUSTAINABLE FARMING PRACTICES AND SYSTEMS - CAN LAW AND GOVERNMENT INSTITUTIONS BECOME MORE EFFECTIVE BY CONSULTING WITH FARMERS AND THEIR LAND</t>
  </si>
  <si>
    <t>Lawyers are information and communication specialists. They are trained to gather information, determine which items of information are relevant ''facts,'' and present those facts to decision-makers in a persuasive manner which recommends a particular outcome. In this information gathering function, lawyers are much like scientists. Yet facts can be subjective and interpretive. Like historians, anthropologists, political scientists, sociologists and others, lawyers are scientists of human behavior, and of how to regulate human behavior.</t>
  </si>
  <si>
    <t>10.1300/J064v04n03_07</t>
  </si>
  <si>
    <t>WOS:A1994NY66500006</t>
  </si>
  <si>
    <t>Cantoreggi, N; Simos, J</t>
  </si>
  <si>
    <t>Cantoreggi, Nicola; Simos, Jean</t>
  </si>
  <si>
    <t>The effectiveness of health impact assessment : about Geneva airport case</t>
  </si>
  <si>
    <t>ENVIRONNEMENT RISQUES &amp; SANTE</t>
  </si>
  <si>
    <t>The cross-border association of municipalities in the vicinity of the Geneva international airport (GA) demanded an environmental impact study (EIS) of the airport's development plan. The Geneva government finally agreed that one should be performed early in the summer of 2015. After an international call for projects, a consortium of experts, coordinated by the Global Health Institute of the University of Geneva and bringing together university, research institutions, private consulting firms, and the associative sector, conducted this EIS between October 2015 and October 2016. Its objective was to quantify the current (reference state 2014) and future (scenario 2030) effects of airport activity. A group of senior canton officials in the relevant departments (environment, health, territorial development, economics) and representatives of the municipalities near the airport supported this EIS and validated its procedure, methodology, and other strategic choices. The results showed that the health impact of air pollution would be greater in 2030 than that of noise; moreover, daytime noise would improve while nocturnal noise would grow worse. A telephone survey concerning quality of life questioned 750 adults living in the study area and corroborated trends similar to those shown by the quantitative analysis of the health risks. The very positive contribution of the airport in terms of the region's economy and jobs and the health consequences of this contribution were also explained. This study analyzes the effectiveness of the EIS procedure according to the conceptual framework proposed by Harris-Roxas &amp; Harris in 2013. This EIS, performed in a potentially very conflictual context, met the principal criteria for effectiveness of the process. It was also effective in reaching its short-term goals. While it is too early to judge its long-term effects, encouraging signs have been noted.</t>
  </si>
  <si>
    <t>1635-0421</t>
  </si>
  <si>
    <t>1952-3998</t>
  </si>
  <si>
    <t>10.1684/ers.2018.1220</t>
  </si>
  <si>
    <t>WOS:000452912300016</t>
  </si>
  <si>
    <t>Perthen-Palmisano, B; Jakl, T</t>
  </si>
  <si>
    <t>Chemical leasing - Cooperative business models for sustainable chemicals management - Summary of research projects commissioned by the Austrian Federal Ministry of Agriculture, Forestry, Environment and Water Management</t>
  </si>
  <si>
    <t>Background, Aim and Scope. Chemicals play a vital role in the day-to-day life of industrialised societies. Their use is not restricted to the chemical enterprises per se, but is a crucial part of production processes in a lot of industrial sectors. Traditional instruments of environmental policy (such as bans, restrictions) can only deal with the most hazardous substances. The Johannesburg Implementation Plan of 2002 calls for more sustainable patterns of production and consumption, and sets the year of 2020 as a goal to use chemicals in a way that human health and the environment are not endangered. Political instruments should not only gather more knowledge about the properties of chemicals, but should also stimulate the environmentally sound use of chemicals. Existing business models should therefore be reviewed in relation to this strategic approach to encourage marketing options with respect to the environmental focus. Main Features. Business models were examined for their effects on the consumption of chemicals and amount of waste emissions in relation to their economic potential. Different possibilities for cooperation of supplier, user and disposal companies were elaborated and examined with a view to the specific situation in Austria. Results and Discussion. A range of cooperative models - summarised under the term 'chemical leasing' - was identified, which can contribute to a more efficient use of resources. 12 main possible application areas (cleaning, lubrication, paint stripping and others) have been identified in Austria. If chemical leasing models were applied in these areas, the amounts of chemicals currently used could be reduced by one third (53,000 tonnes per year). Cost reductions of up to 15% can be expected. Conclusion. The application of chemical leasing models can contribute considerably to achieving more sustainable and resource-efficient patterns of production. The Austrian Ministry for Environment has therefore decided to subsidise the further practical implementation of these new service-oriented business models. Pilot projects in 4 enterprises, which are supervised by consulting companies, are currently being carried out. Recommendation and Outlook. The experiences of the pilot projects will serve as valuable building blocks for the wider use of chemical leasing models. Furthermore, the UNIDO Cleaner Production Centres have expressed their clear interest and will examine the possibility to use chemical leasing as a part of their Cleaner Production Programmes.</t>
  </si>
  <si>
    <t>10.1065/espr2004.12.227</t>
  </si>
  <si>
    <t>WOS:000226735600008</t>
  </si>
  <si>
    <t>Angelstam, P; Elbakidze, M; Axelsson, R; Khoroshev, A; Pedroli, B; Tysiachniouk, M; Zabubenin, E</t>
  </si>
  <si>
    <t>Angelstam, Per; Elbakidze, Marine; Axelsson, Robert; Khoroshev, Alexander; Pedroli, Bas; Tysiachniouk, Maria; Zabubenin, Evgeny</t>
  </si>
  <si>
    <t>Model forests in Russia as landscape approach: Demonstration projects or initiatives for learning towards sustainable forest management?</t>
  </si>
  <si>
    <t>Implementing sustainable forest management (SFM) policy on the ground is not straightforward, and depends on the social-ecological context. To meet the need for place-based stakeholder collaboration towards regionally adapted knowledge production and learning in support of SFM an integrated landscape approach can assist. Hosting most of the circumboreal forest Russia is a key global player. To transition boreal forestry in the Russian Federation from wood mining towards SFM after the collapse of USSR several initiatives were initiated. Our aim is to review the outcomes and consequences of the initiatives employing the international Model Forest concepts' six principles in Russia. To identify candidates for the study we identified 12 local initiatives using this term, all in Russia's boreal forest biome. However, while seven demonstration forests focused on improving wood production practices, five were long-term stakeholder-driven development processes aimed at SFM, and were approved members of the International Model Forest Network. The five latter were selected for a detailed study to understand their temporal dynamic in the circumboreal Model Forest context, and the extent to which they complied with the six principles of the Model Forest concept as an example of a landscape approach. The sources, amounts and durations of these initiatives' funding affected both outcomes and consequences on the ground. All five had developed a partnership that formally shared a commitment to SFM. However, not all areas were large enough to represent all dimensions of SFM. Not all Model Forests developed a representative, participative, transparent, and accountable governance structure, which affected the programs of their activities. Finally, knowledge-sharing, capacity-building and networking at multiple levels was variable. In spite of Russia hosting most of the circumboreal forest the Model Forest concept was not sustained in Russia due to ending of foreign project funding, to limited continuity of committed local capacity, and poor support from national-level decision makers. The exception is the Komi Model Forest's transition to a successful consulting company focusing on SFM. To develop regionally adapted approaches to implement SFM policy we stress the importance of sharing experiences from Model Forests as well as other landscape approach concepts among countries and regions with different landscape histories and governance arrangements. To enhance this, we propose a general analytic framework for learning through evaluation about place-based long-term initiatives that integrate evidence-based knowledge about states and trends of sustainability and cross-sector multi-level governance.</t>
  </si>
  <si>
    <t>Tysiachniouk, Maria/0000-0002-0754-6829; Pedroli, Bas/0000-0003-3450-447X</t>
  </si>
  <si>
    <t>10.1016/j.forpol.2019.01.005</t>
  </si>
  <si>
    <t>WOS:000458806600010</t>
  </si>
  <si>
    <t>McBride, C; Costello, N; Ambwani, S; Wilhite, B; Austin, SB</t>
  </si>
  <si>
    <t>McBride, Caitlin; Costello, Nancy; Ambwani, Suman; Wilhite, Brcannc; Austin, S. Bryn</t>
  </si>
  <si>
    <t>Digital Manipulation of Images of Models' Appearance in Advertising: Strategies for Action Through Law and Corporate Social Responsibility Incentives to Protect Public Health</t>
  </si>
  <si>
    <t>AMERICAN JOURNAL OF LAW &amp; MEDICINE</t>
  </si>
  <si>
    <t>Context: Widespread digital retouching of advertising imagery in the fashion, beauty, and other consumer industries promotes unrealistic beauty standards that have harmful effects on public health. In particular, exposure to misleading beauty imagery is linked with greater body dissatisfaction, worse mood, poorer self-esteem, and increased risk for disordered eating behaviors. Moreover, given the social, psychological, medical, and economic burden of eating disorders, there is an urgent need to address environmental risk factors and to scale up prevention efforts by increasing the regulation of digitally altered advertising imagery. Methods: This manuscript summarizes the health research literature linking digital retouching of advertising to increased risk of eating disorders, disordered weight and appearance control behaviors, and body dissatisfaction in consumers, followed by a review of global policy initiatives designed to regulate digital retouching to reduce health harms to consumers. Next, we turn to the US legal context, reporting on findings generated through legal research via Westlaw and LexisNexis, congressional records, federal agency websites, law review articles, and Supreme Court opinions, in addition to consulting legal experts on both tax law and the First Amendment, to evaluate the viability of various policy initiatives proposed to strengthen regulation on digital retouching in the United States. Findings: Influencing advertising practices via tax incentives combined with corporate social responsibility initiatives may be the most constitutionally feasible options for the US legal context to reduce the use of digitally alternated images of models' bodies in advertising. Conclusions: Policy and corporate initiatives to curtail use of digitally altered images found to be harmful to mental and behavioral health of consumers could reduce the burden of eating disorders, disordered weight and appearance control behaviors, and body dissatisfaction and thereby improve population health in the United States.</t>
  </si>
  <si>
    <t>Ambwani, Suman/0000-0001-7975-1971</t>
  </si>
  <si>
    <t>0098-8588</t>
  </si>
  <si>
    <t>2375-835X</t>
  </si>
  <si>
    <t>10.1177/0098858819849990</t>
  </si>
  <si>
    <t>WOS:000475448500001</t>
  </si>
  <si>
    <t>de Mendonca, MC; Trauer, E; Perassi, R; Costa, E</t>
  </si>
  <si>
    <t>de Mendonca, Maria Collier; Trauer, Eduardo; Perassi, Richard; Costa, Eduardo</t>
  </si>
  <si>
    <t>INTERDISCIPLINARITY, DESIGN THINKING, AND INNOVATION IN PUBLIC SPACES: A TEACHING EXPERIENCE IN FLORIANOPOLIS BOTANICAL GARDEN PARK</t>
  </si>
  <si>
    <t>RISUS-JOURNAL ON INNOVATION AND SUSTAINABILITY</t>
  </si>
  <si>
    <t>Innovation of public spaces requires dense management efforts. Interdisciplinary studies must be conducted to raise needs of stakeholders. Then, potentialities, problems, and opportunities are explored. These works require interdisciplinary knowledge to carry out a broad analysis of the social, technological, economic, environmental, political, and legal spheres to understand influencing factors in the management of such spaces. In this context, one important challenge faced by professors is to promote the development of strategic skills among students. This work has arisen from the specific need of designing an active learning method, to motivate business administration undergraduate students to think strategically while dealing with complex problems. To achieve the objectives of the course - Change Management and Business Consulting -, we have created a nine steps study guide based on design thinking. Our proposal is to reflect upon key learning outcomes provided by this teaching experience. We argue that future managers need to learn how to explore, and frame problems before solving them, since the highest risk they might encounter is to misdiagnose complex problems. The paper is structured into five sections. The introduction describes the research problem and the object of study. The second section presents theoretical references, which integrates authors and concepts from different management fields. The methodological section explains how design thinking was applied, by describing each step of the experience. It has followed a study guide developed for the exploration of Florianopolis Botanical Garden Park, combining fieldwork visits with in-class lectures and debates. Next, we present results and learning in three subtopics: conceptual aspects, related to the purpose of the studied space; infrastructural needs and management challenges. To conclude, we indicate possible ways of exploring this public space, and also recommend the development of future didactic experiences with similar scopes.</t>
  </si>
  <si>
    <t>2179-3565</t>
  </si>
  <si>
    <t>JUN-AUG</t>
  </si>
  <si>
    <t>10.23925/2179-3565.2019v10i2p86-97</t>
  </si>
  <si>
    <t>WOS:000486592800008</t>
  </si>
  <si>
    <t>Gordon, RL; Tilton, JE</t>
  </si>
  <si>
    <t>Gordon, Richard L.; Tilton, John E.</t>
  </si>
  <si>
    <t>Mineral economics: Overview of a discipline</t>
  </si>
  <si>
    <t>RESOURCES POLICY</t>
  </si>
  <si>
    <t>Santiago Symposium on Economic and Management Issues in the Mining Industry</t>
  </si>
  <si>
    <t>Santiago, CHILE</t>
  </si>
  <si>
    <t>Mineral Econ &amp; Management Soc</t>
  </si>
  <si>
    <t>Mineral economics is the academic discipline that investigates and promotes understanding of economic and policy issues associated with the production and use of mineral commodities. While its origins can be traced back at least 200 years to the writings of David Ricardo and other early Classical economists, it emerged as a separate academic field only after World War II and then primarily in the United States. As a separate academic discipline, its roots are found in mining schools that needed to consider the milieu in which minerals are sold. While geologists, mining engineers, and others with technical backgrounds were largely responsible for creating the first stand-alone mineral-economics programs, ultimately trained economists became participants as well. Moreover, even after the rise of mineral-economics departments, most of the research in the field continued and continues to be carried out in other academic units, including traditional economic departments and engineering schools, as well as in government agencies, nonprofit research organizations, consulting firms, and international organizations. In the decades following World War II, after early fears of a new depression and excess capacity evaporated, mineral economics focused on the long-run availability of nonrenewable commodities and the threat of supply interruptions for strategic and critical minerals from the Middle East, the Soviet Union, and southern Africa, concerns that persisted at least through the 1980s. The relationship between mineral companies and governments (with particular attention on taxes and other ways of sharing the benefits from mining) was another important issue, as were more traditional interests, including market analysis (mainly, price and demand forecasts), project evaluation, and monopoly and antitrust issues. Since then, the discipline has spread from its early North American base around the globe. The range of topics addressed has grown as well and now includes the environmental impact of mineral production and use, the resource curse, the rise of China and India as major consumers, the concerns of indigenous people and local communities, and a host of other economic and policy issues associated with mineral commodities. This article examines the nature of mineral economics, its emergence as a distinct academic discipline following World War II, and its more recent evolution. It concludes with a few observations about the future. (c) 2008 Elsevier Ltd. All rights reserved.</t>
  </si>
  <si>
    <t>0301-4207</t>
  </si>
  <si>
    <t>1873-7641</t>
  </si>
  <si>
    <t>10.1016/j.resourpol.2008.01.003</t>
  </si>
  <si>
    <t>WOS:000255104400002</t>
  </si>
  <si>
    <t>Kaufman, J; Ryan, R; Hill, S</t>
  </si>
  <si>
    <t>Kaufman, Jessica; Ryan, Rebecca; Hill, Sophie</t>
  </si>
  <si>
    <t>Qualitative focus groups with stakeholders identify new potential outcomes related to vaccination communication</t>
  </si>
  <si>
    <t>Introduction Communication interventions are widely used to promote childhood vaccination and sustain vaccine acceptance, but communication's role in changing people's beliefs and behaviours is not well understood. To determine why these interventions work or where they fail, evaluations must measure a range of outcomes in addition to vaccination uptake. As part of a larger project to develop a preliminary Core Outcome Set for vaccination communication, we conducted a qualitative focus group study exploring how parents and health professionals perceive and experience communication encounters and what outcomes are relevant to them. Methods Focus group participants included parents and health professionals involved in vaccination communication (healthcare providers, researchers and policymakers). Participants discussed their experiences with communication for childhood vaccination, and what made the communication 'successful' or 'unsuccessful.' Our analysis involved two stages: first, we thematically analysed the discussions, identifying key parent and professional themes. In stage two, we used an interpretive analysis approach to translate the themes and quotes into measurable outcomes. We compared these outcomes with outcomes measured in vaccination communication trials (previously identified and mapped). Results We held three focus groups with parents (n = 12) and four with professionals (n = 19). In stage one, we identified six parent themes (primarily related to decision-making) and five professional themes (primarily related to intervention planning, delivery and evaluation). In stage two, we translated 47 outcomes from parents and 73 from professionals (91 total, de-duplicated). All stakeholders discussed attitudes or beliefs and decision-making outcomes most frequently. Most (66%) of the focus group-generated outcomes were not measured in vaccination communication trials. Conclusion Consulting with stakeholders through focus groups allowed us to explore how parents and professionals experienced vaccination communication, identify those aspects of the experience that were important to them, and translate these into outcomes that can be prioritised into a Core Outcome Set and measured in intervention evaluations.</t>
  </si>
  <si>
    <t>Kaufman, Jessica/0000-0001-5139-4183</t>
  </si>
  <si>
    <t>e0201145</t>
  </si>
  <si>
    <t>10.1371/journal.pone.0201145</t>
  </si>
  <si>
    <t>WOS:000440415500077</t>
  </si>
  <si>
    <t>HARLOW, LF</t>
  </si>
  <si>
    <t>DEMOCRACY EFFICIENTLY AT WORK BETTER GOVERNMENT FOR ALL - A HOW-TO BOOK</t>
  </si>
  <si>
    <t>INTERNATIONAL JOURNAL OF PUBLIC ADMINISTRATION</t>
  </si>
  <si>
    <t>When two of my books (WITHOUT FEAR OR FAVOR: Odyssey of a City Manager, 1977 and SERVANTS OF ALL: Professional Management of City Government, 1981) went out of print in 1984, the publisher transferred the copyrights to me. I continue to get requests for these books from private citizens, practicing public servants, and college and university professors and students. At first I was going to simply have these books reprinted to fill requests. But after considering the enormous and almost universal governmental problems we in the U.S. and the new and emerging democracies face, I decided to expand and update the scope of my published material by adding to the local government record my public administration experience at the state, federal, and international levels. This new book has a two-fold objective: (1) to inform interested citizens and good government civic organizations, professional administrative analysts and management consultants--as well as newly-chosen public officials and employees--about the environment, challenges, and improvement opportunities in the public administrative services; and (2) to make a contribution to better government for all who are subject to and served by governments. More specifically, the book's aim is to help improve the effectiveness, efficiency, economy, and integrity of governmental administration in democratic societies. The book is structured in three parts. Part I is a pragmatic piece, written from half a century of comprehensive public service: hands-on public administrator (manager of five cities, e.g. Fargo, ND and Daytona Beach, FL); local, state, federal, and foreign government employment and consulting (e.g. cities of Phoenix and Seattle, states of New Mexico and Minnesota, U.S. Public Works, Social Security, Bureau of the Budget, and Republic of the Philippines; 12 years of graduate-level public management teaching, research, and service (at Marriott School of Management, Brigham Young University). Part II examines more than a dozen major impediments to improved government. These impediments range from the vaguely-understood structure of the American government system to financial imbalances and violations of the public trust. Part III presents the following elements of better government for all, each a chapter in itself: Effective Citizen Participation; Honest Elections; Democratic Representation; Professional Administrator/Managers; Tools of Better Government Management; Effective, Efficient, and Economical Operations; Management Audits; Equitable Government Finance Systems; Integrity in Government; Improved Intergovernmental Relations; Business-Government Cooperation in the Public Interest.</t>
  </si>
  <si>
    <t>0190-0692</t>
  </si>
  <si>
    <t>10.1080/01900699208524744</t>
  </si>
  <si>
    <t>WOS:A1992HK75700001</t>
  </si>
  <si>
    <t>Kuller, M; Bach, PM; Roberts, S; Browne, D; Deletic, A</t>
  </si>
  <si>
    <t>Kuller, Martijn; Bach, Peter M.; Roberts, Simon; Browne, Dale; Deletic, Ana</t>
  </si>
  <si>
    <t>A planning-support tool for spatial suitability assessment of green urban stormwater infrastructure</t>
  </si>
  <si>
    <t>Distributed green stormwater management infrastructure is increasingly applied worldwide to counter the negative impacts of urbanisation and climate change, while providing a range of benefits related to ecosystem services. They are known as Water Sensitive Urban Design (WSUD) in Australia, Nature Based Solutions (NBS) in Europe, Low Impact Development (LID) in the USA, and Sponge City systems in China. Urban planning for WSUD has been ad-hoc, lacking strategy and resulting in sub-optimal outcomes. The purpose of this study is to help improve strategic WSUD planning and placement through the development of a Planning Support System. This paper presents the development of Spatial Suitability ANalysis TOol (SSANTO), a rapid GIS-based Multi-Criteria Decision Analysis tool using a flexible mix of techniques to map suitability for WSUD assets across urban areas. SSANTO applies a novel WSUD suitability framework, which conceptualises spatial suitability for WSUD implementation from two perspectives: 'Needs' and 'Opportunities' for WSUD. It combines biophysical as well as socio-economic, planning and governance criteria ('Opportunities') with criteria relating to ecosystem services ('Needs'). Testing SSANTO through comparing its results to work done by a WSUD consultancy successfully verified its algorithms and demonstrated its capability to reflect and potentially enhance the outcomes of planning processes. Manual GIS based suitability analysis is time and resource intensive. Through its rapid suitability analysis, SSANTO facilitates iterative spatial analysis for exploration of scenarios and stakeholder preferences. It thus facilitates collaborative planning and deeper understanding of the relationship between diverse and complex urban contexts and urban planning outcomes for WSUD. (C) 2019 The Authors. Published by Elsevier B.V.</t>
  </si>
  <si>
    <t>Kuller, Martijn/0000-0002-2555-9113; Bach, Peter Marcus/0000-0001-5799-6185; Deletic, Ana/0000-0002-3535-7451</t>
  </si>
  <si>
    <t>10.1016/j.scitotenv.2019.06.051</t>
  </si>
  <si>
    <t>WOS:000479029700077</t>
  </si>
  <si>
    <t>Nwadike, AN; Wilkinson, S</t>
  </si>
  <si>
    <t>Nwadike, Amarachukwu Nnadozie; Wilkinson, Suzanne</t>
  </si>
  <si>
    <t>Why amending building codes? An investigation of the benefits of regular building code amendment in New Zealand</t>
  </si>
  <si>
    <t>INTERNATIONAL JOURNAL OF BUILDING PATHOLOGY AND ADAPTATION</t>
  </si>
  <si>
    <t>Purpose The New Zealand building code has played a vital role in reducing the impact of disasters in the built environment. Following the nature of earthquake occurrences, the associated impacts such as building collapse and the increase in technological innovation in the building sector, the New Zealand building code has been frequently amended. The building code amendment ensures that buildings and other related infrastructures can withstand the impact of ground shaking without substantial damages to buildings. The purpose of this paper is to identify and explore the benefits of building code amendments in New Zealand. Design/methodology/approach Document analysis and closed-ended questionnaire were adopted as data collection instruments for this study. The relevant stakeholders comprise structural engineer, geotechnical engineer, architect, building services consulting engineer, licensed building practitioner, project manager, building contractor, local authority, academic/researcher and quantity surveyor. Findings A significant proportion of the survey participants that agreed to the importance of building code amendments in New Zealand justify the benefits of the amendments. The study serves as a useful guide to policy regulators and researchers who are exploring other aspects of regular building code amendments in New Zealand. The findings from this study suggest that amending the New Zealand building code needs a proactive approach to promote local technology, enhance low-cost construction materials, training of code users and reducing bureaucracy in design approval and construction inspection. The study concludes that improving on the 28 factors identified in this study would contribute intensively to disaster risk reduction in the built environment and an increase in compliance level in New Zealand. Originality/value This paper originality comes from its practical approach towards identifying the benefits of building code amendments</t>
  </si>
  <si>
    <t>2398-4708</t>
  </si>
  <si>
    <t>10.1108/IJBPA-08-2020-0068</t>
  </si>
  <si>
    <t>WOS:000603700900001</t>
  </si>
  <si>
    <t>De Corato, U; Cancellara, FA</t>
  </si>
  <si>
    <t>De Corato, Ugo; Cancellara, Fernando Antonio</t>
  </si>
  <si>
    <t>Measures, technologies, and incentives for cleaning the minimally processed fruits and vegetables supply chain in the Italian food industry</t>
  </si>
  <si>
    <t>The minimally processed fresh fruits and vegetables industry has gained huge economic and political relevance because it is one of the leading manufacturing sectors in the European Union (EU). Previous studies on the processing components have shown increasing consumption of electrical and thermal energy from fossil fuels. This paper aims to present a feasibility study carried out in the Italian food industry about the measures and technologies of energy efficiency, savings, and agro-waste recycling that can be adopted by users to render a sustainable supply chain. An empirical methodology based on analyses of the energy fluxes and un-biodegradable materials within a case study was implemented by using questionnaires, consulting the existing literature, and considering policy implications. The results show that several technologies, both older and newer, together to suitable measures for reducing the end use of energy and agro-waste can be adopted into the firm against technologies requiring high fossil sources inputs for plant processing and high un-biodegradable materials outputs in the greenhouse and for packaging. The most important of these includes (i) the use of efficient engines and variable speed drive; insulation for machinery, chambers and buildings; cooling and heating machinery; compressed air systems; and lighting systems; (ii) the use of less-energy-demanding packaging for fresh produce and smart bio-based mulching and coating for crop production in greenhouses; (iii) the adoption of onsite recycling of agro-waste to produce compost into the firm; and (iv) the use of renewable sources for conditioning greenhouses. The integrated adoption of these technologies accompanied by economic incentives should be encouraged to reduce energy inputs and agro-waste amounts within the EU. (C) 2019 Elsevier Ltd. All rights reserved.</t>
  </si>
  <si>
    <t>10.1016/j.jclepro.2019.117735</t>
  </si>
  <si>
    <t>WOS:000483462700026</t>
  </si>
  <si>
    <t>Goldberg, AE; Beemyn, G; Smith, JZ</t>
  </si>
  <si>
    <t>Goldberg, Abbie E.; Beemyn, Genny; Smith, JuliAnna Z.</t>
  </si>
  <si>
    <t>What Is Needed, What Is Valued: Trans Students' Perspectives on Trans-Inclusive Policies and Practices in Higher Education</t>
  </si>
  <si>
    <t>This mixed-methods study of 507 trans and gender-nonconforming students (75% undergraduate, 25% graduate) aimed to understand (a) what institutional factors are associated with the presence of more trans-inclusive policies/supports, (b) what trans-inclusive policies/supports are viewed as important by different groups of trans students, and (c) how the presence of such policies/supports is related to trans students' sense of belonging on campus and their perception of campus climate. Results indicated that religiously affiliated institutions and two-year institutions tend to lag behind in their inclusivity of trans students. Gender-inclusive restrooms, nondiscrimination policies that are inclusive of gender identity, and the ability to change one's name on campus records without legal name change were among the supports that students valued most. Students articulated many concrete suggestions for institutions seeking to be more inclusive of their trans students. The known presence of trans-inclusive policies/supports was related to a greater sense of belonging and more positive perceptions of campus climate. These findings provide consultants and practitioners with guidance in identifying and promoting systems-level changes needed to support trans students.</t>
  </si>
  <si>
    <t>Smith, Julianna Z./AAF-3392-2020</t>
  </si>
  <si>
    <t>10.1080/10474412.2018.1480376</t>
  </si>
  <si>
    <t>WOS:000454069600003</t>
  </si>
  <si>
    <t>Narenjian, A; Riahi, A; Kheirabadi, MA</t>
  </si>
  <si>
    <t>Narenjian, Alireza; Riahi, Ahmad; Kheirabadi, Maryam Asadollahi</t>
  </si>
  <si>
    <t>SUPPLY CHAIN MANAGEMENT AND ANALYSIS OF PHARMACEUTICAL DISTRIBUTION MODELS IN PHARMACEUTICAL COMPANIES</t>
  </si>
  <si>
    <t>INTERNATIONAL TRANSACTION JOURNAL OF ENGINEERING MANAGEMENT &amp; APPLIED SCIENCES &amp; TECHNOLOGIES</t>
  </si>
  <si>
    <t>The pharmaceutical industry is defined as a set of processes, operations, and organizations involved in the discovery, creation, and production of drugs. Given the extent of the drug supply chain, this article focuses on supplier selection and what factors should be considered to select a supplier in a supply chain to reduce the risk involved in the supply chain. This study seeks to understand the factors affecting the drug supply chain in the country. This research is practical and developmental in terms of goal and it is descriptive in terms of performance. The data collection method uses interviews and questionnaires. The content validity was used to determine the validity and reliability of the questionnaire and the professors and experts were asked about the relation of question with topic and the visibility and clarity of the question. Cronbach's alpha gives reliability estimation higher than 0.7 using SPSS software. Data were analyzed by factor analysis of SPSS software. MADM algorithm was used with Fuzzy TOPSIS method for weighting the components. In this study, according to risk reduction strategies in supply chain and consulting of supply chain professors and experts and pharmacy, a checklist was obtained for supplier selection with eight main indexes and 30 sub-indexes in the field of selecting top supplier and four main indexes and 9 sub-indexes in the field of influential environmental risks. Finally, seven main indexes quality, flexibility, delivery, technology, communication, and Information technology system, cost and background with 24 sub-indexes on top supplier selection and four main indexes economic, political, natural and cultural/social disasters with 8 sub-indexes in the field of environmental risks were obtained. This research can be used by pharmaceutical industry activists, professors, researchers, and students to improve the current status of supplier selection. (C) 2019 INT TRANS J ENG MANAG SCI TECH.</t>
  </si>
  <si>
    <t>2228-9860</t>
  </si>
  <si>
    <t>1906-9642</t>
  </si>
  <si>
    <t>10A15O</t>
  </si>
  <si>
    <t>10.14456/ITJEMAST.2019.209</t>
  </si>
  <si>
    <t>WOS:000494643500015</t>
  </si>
  <si>
    <t>Alreshidi, E; Mourshed, M; Rezgui, Y</t>
  </si>
  <si>
    <t>Alreshidi, Eissa; Mourshed, Monjur; Rezgui, Yacine</t>
  </si>
  <si>
    <t>Factors for effective BIM governance</t>
  </si>
  <si>
    <t>JOURNAL OF BUILDING ENGINEERING</t>
  </si>
  <si>
    <t>With increasing complexity of construction projects, a collaborative environment becomes essential to ensure effective communication during the project lifecycle. Conventional team collaboration raises issues such as the lack of trust; uncertainties regarding ownership and Intellectual Property Rights (IPRs); miscommunication; and cultural differences, among others. Additional issues can arise in relation to the generated data, including data loss, data inconsistency, errors, and liability for wrong or incomplete data. Furthermore, There is a shortage of studies that investigate collaboration practices, data management, and governance issues from a socio-technical perspective. This study investigates the development of a BIM governance framework (G-BIM) with support of Cloud technologies, identifying effectiveness factors that guarantee successful collaboration. Semi-structured interviews were conducted with informed BIM experts in the UK, with the aim of: (i) discovering current trends in Information Communication Technologies (ICT) and team collaboration during construction projects; (ii) exploring barriers to BIM adoption; (iii) exploring the role of BIM-related standards; (iv) consulting BIM experts to develop a Cloud-based BIM governance solution to tackle team collaboration on BIM-based projects; and (v) investigating the role of Cloud in supporting BIM governance research and development. The findings reveal several BIM adoption barriers and issues directly influencing team collaboration. The key findings led to the development of a BIM governance framework (G-BIM). The purpose of the G-BIM framework is to present and summarise effective factors resulting in successful governance and a collaborative BIM approach, to support the future development of a Cloud-based BIM governance platform. The G-BIM framework comprises three main components: (i) actors and team, (ii) data management and ICT, and (iii) processes and contracts. Furthermore, the study reveals the high potential of Cloud technologies to advance current BIM governance solutions, because of its performance capabilities, accessibility, storage, and scalability.</t>
  </si>
  <si>
    <t>2352-7102</t>
  </si>
  <si>
    <t>10.1016/j.jobe.2017.02.006</t>
  </si>
  <si>
    <t>WOS:000398995200010</t>
  </si>
  <si>
    <t>Bieder, C</t>
  </si>
  <si>
    <t>Bieder, Corinne</t>
  </si>
  <si>
    <t>Safety science: A situated science An exploration through the lens of Safety Management Systems</t>
  </si>
  <si>
    <t>A number of key concepts have punctuated the development of Safety science. Reflecting on what the next ones could be is a tricky exercise. How come certain safety concepts or theories or dispositive in the sense of Foucault emerge and become 'dominating concepts' or turning points in safety science? The paper considers a case from the past, namely that of Safety Management System (SMS), as a proxy to shed light on this question. The origins of SMS are explored to unravel what lies behind its emergence and development. The research is based on a literature review and open-ended interviews of 15 people who played a personal part in safety science or practices development before and/or when SMS started to emerge. Overall, the sample of interviewees represents a range of safety stakeholders (academia, industry, regulatory bodies, consulting companies) and high-risk industries to provide a diversity of perspectives on the emergence of SMS. The analysis of this material highlights several aspects that contributed to converge towards an approach like the SMS, beyond the identified limitations of safety science at that time. First, the intellectual context in which SMS emerged, was that of major developments on organizational and managerial dimensions of safety. Second, most safety stakeholders had motivations beyond safety enhancement to move towards a new approach. Last, the overall environment, way beyond safety and high-risk industries, facilitated the convergence towards an approach like the SMS. Eventually, this research demonstrates that safety is a situated science, situated not only in time, but also in a much wider economic, industrial, political, societal context. Putting safety into such perspective opens new avenues for reflecting about the future of safety science considering current trends not only in safety but also way beyond.</t>
  </si>
  <si>
    <t>10.1016/j.ssci.2020.105063</t>
  </si>
  <si>
    <t>WOS:000610188700001</t>
  </si>
  <si>
    <t>Beltran, WM; Ortiz, MRT</t>
  </si>
  <si>
    <t>Mauricio Beltran, William; Torres Ortiz, Maria Raquel</t>
  </si>
  <si>
    <t>Quality and relevance of the undergraduate degree in sociology of the National University of Colombia: The perspectives of its graduates</t>
  </si>
  <si>
    <t>REVISTA COLOMBIANA DE SOCIOLOGIA</t>
  </si>
  <si>
    <t>This paper presents the results of a research Project whose objective was to evaluate the quality and relevance of the Sociology program of the National University. The program functioned from 1993 to 2008. The results are based on the perspectives of graduates of the program whose graduation years ranged from 2000 to 2010. For this purpose quantitative (based on 159 graduates) and qualitative (based on 12 in-depth interviews) information was used for the analysis. The project was carried out during the years 2013 and 2014. The program has maintained throughout its history a disciplined orientation designed to produce academics and researchers. To be successful it has emphasized classical authors such as Marx, Weber, Durkheim, and Parsons, among others. Nonetheless, only one-fourth of the graduates are engaged in teaching; the others are found employed in professional activities such as consulting, social intervention, amassing and categorizing data. For these activities, job offers are not oriented exclusively to sociologists but also to social scientists (e.g. anthropologists, psychologists, political scientists, and social workers, among others), preferably with experience in a specific area e.g. education, culture, work, environment, armed conflict, urban and rural problems. These activities demand specific skills of the graduates such as management of information programs, knowledge of statistics, skills for working on teams, capabilities for formulation projects, etc. Compared with these demands, the component for development evaluated most highly by the graduates (both in quality and affiliation) is the area of special sociology. The components with the lowest evaluation were found in the area of methods and in the development of the management of data-processing information programs (software). The conclusion is that the preparation offered by the sociology program is partially what is needed and insufficient to meet the demands placed upon graduates by the labor market.</t>
  </si>
  <si>
    <t>Beltran, William Maurcio/0000-0001-7075-3081</t>
  </si>
  <si>
    <t>0120-159X</t>
  </si>
  <si>
    <t>2256-5485</t>
  </si>
  <si>
    <t>10.15446/rcs.v38n2.55551</t>
  </si>
  <si>
    <t>WOS:000439514300007</t>
  </si>
  <si>
    <t>Roshani, A; Gerami, M; Rezaeifar, O</t>
  </si>
  <si>
    <t>Roshani, Alireza; Gerami, Mohsen; Rezaeifar, Omid</t>
  </si>
  <si>
    <t>New Rethinking on Managers' Competency Criteria and Success Factors in Airport Construction Projects</t>
  </si>
  <si>
    <t>The present research was conducted with the aim of rethinking the criteria competency of airport construction project managers. The research methodology was applied in terms of purpose, and a combination of descriptive survey methods and content analysis in terms of implementation. The statistical population consisted of 550 experienced managers of construction industry in public and private sectors, including contractors, consulting engineers and their employers in Iran in the late decade to 2017. The sample size was 230 according to Morgan sampling table. The subjects were collected by stratified purposeful sampling method. The data gathering tools were the managers' desirability questionnaire with a reliability coefficient of 0.916, a project success rate with a reliability coefficient of 0.863 and an interview with the managers with an agreement coefficient of 0.899. The data were analyzed by SPSS and TOPSIS software using descriptive statistics of frequency, percentage, mean, standard deviation, and inferential statistics of exploitation, Factor analysis, Kolmogorov-Smirnov Test, and one-way ANOVA. The results of the research indicated that the airport construction is of great importance due to the necessity of developing the infrastructure and the territorial location. The criteria of competencies for managers in the airport construction industry are different from the past and attention to local and environmental criteria is among the recognized management criteria. The priority of localized thirteen competencies of the project managers was leadership, project financing, project cost management, problem solving, project governance, time management, strategic management, quality management, controlling and integrated management, managing legislation and regulations, networking and professional ethics. Moreover, the local factors of the project success in priority order were timely allocation of funds, appropriate financial support, integration, upstream project management, appropriate financing of financial needs, management integration, strategic stability, stakeholder commitment and accountability, review cost mismatch, completion of the project in due time, increase of knowledge level in the organization.</t>
  </si>
  <si>
    <t>10.28991/cej-03091192</t>
  </si>
  <si>
    <t>WOS:000454182400016</t>
  </si>
  <si>
    <t>Parella, K</t>
  </si>
  <si>
    <t>Parella, Kishanthi</t>
  </si>
  <si>
    <t>IMPROVING HUMAN RIGHTS COMPLIANCE IN SUPPLY CHAINS</t>
  </si>
  <si>
    <t>NOTRE DAME LAW REVIEW</t>
  </si>
  <si>
    <t>Corporations try to convince us that they are good global citizens: brands take stands by engaging in cause philanthropy; CEOs of prominent corporations tackle a variety of issues; and social values drive marketing strategies for goods and services. But despite this rhetoric, corporations regularly fall short in their conduct. This is especially true in supply chains where a number of human rights abuses frequently occur. One solution is for corporations to engage in meaningful human rights due diligence that involves monitoring human rights, reporting on social and environmental performance, undertaking impact assessments, and consulting with groups whose human rights they can harm. The challenge is how to encourage corporations to make these changes. We often rely on two types of tools to improve corporate compliance: legal institutions and reputational mechanisms. However, each of these faces significant limitations when it comes to human rights compliance in the supply chain. This Article develops a strategy based on complementarity between the two so that each compensates for the limitations of the other. Specifically, reputational mechanisms can help create incentives for compliance with international legal institutions with weak or absent enforcement mechanisms. Alternatively, legal institutions can create focal points regarding corporate best practices that can improve reputational markets for corporate social responsibility. The reputational typology developed in this Article offers three important contributions to policy and academic discussions concerning corporate misconduct. First, it allows us to create better human rights institutions by revealing the types of carrots and sticks that we should include to encourage corporate cooperation; this lesson is particularly timely because an international treaty on business and human rights is in development. Second, this typology illustrates how corporations may voluntarily undertake organizational change in response to a reputational crisis. Finally, this typology identifies drivers of cross-border compliance for transnational corporations.</t>
  </si>
  <si>
    <t>0745-3515</t>
  </si>
  <si>
    <t>WOS:000509749400005</t>
  </si>
  <si>
    <t>Rutgers, M; van Leeuwen, JP; Vrebos, D; van Wijnen, HJ; Schouten, T; de Goede, RGM</t>
  </si>
  <si>
    <t>Rutgers, Michiel; van Leeuwen, Jeroen P.; Vrebos, Dirk; van Wijnen, Harm J.; Schouten, Ton; de Goede, Ron G. M.</t>
  </si>
  <si>
    <t>Mapping Soil Biodiversity in Europe and the Netherlands</t>
  </si>
  <si>
    <t>SOIL SYSTEMS</t>
  </si>
  <si>
    <t>Soil is fundamental for the functioning of terrestrial ecosystems, but our knowledge about soil organisms and the habitat they provide (shortly: Soil biodiversity) is poorly developed. For instance, the European Atlas of Soil Biodiversity and the Global Soil Biodiversity Atlas contain maps with rather coarse information on soil biodiversity. This paper presents a methodology to map soil biodiversity with limited data and models. Two issues were addressed. First, the lack of consensus to quantify the soil biodiversity function and second, the limited data to represent large areas. For the later issue, we applied a digital soil mapping (DSM) approach at the scale of the Netherlands and Europe. Data of five groups of soil organisms (earthworms, enchytraeids, micro-arthropods, nematodes, and micro-organisms) in the Netherlands were linked to soil habitat predictors (chemical soil attributes) in a regression analysis. High-resolution maps with soil characteristics were then used together with a model for the soil biodiversity function with equal weights for each group of organisms. To predict soil biodiversity at the scale of Europe, data for soil biological (earthworms and bacteria) and chemical (pH, soil organic matter, and nutrient content) attributes were used in a soil biodiversity model. Differential weights were assigned to the soil attributes after consulting a group of scientists. The issue of reducing uncertainty in soil biodiversity modelling and mapping by the use of data from biological soil attributes is discussed. Considering the importance of soil biodiversity to support the delivery of ecosystem services, the ability to create maps illustrating an aggregate measure of soil biodiversity is a key to future environmental policymaking, optimizing land use, and land management decision support taking into account the loss and gains on soil biodiversity.</t>
  </si>
  <si>
    <t>Vrebos, Dirk/AAE-8316-2019</t>
  </si>
  <si>
    <t>2571-8789</t>
  </si>
  <si>
    <t>10.3390/soilsystems3020039</t>
  </si>
  <si>
    <t>WOS:000492984600014</t>
  </si>
  <si>
    <t>Crow-Miller, B; Webber, M; Molle, F</t>
  </si>
  <si>
    <t>Crow-Miller, Britt; Webber, Michael; Molle, Francois</t>
  </si>
  <si>
    <t>The (Re) turn to Infrastructure for Water Management?</t>
  </si>
  <si>
    <t>This paper introduces the papers in this special issue and uses them as evidence through which to examine four questions. First: are we witnessing a widespread (re) turn to big infrastructure projects for water management? The evidence suggests that large-scale infrastructure development has remained largely unswayed by the 'ecological turn', or the promotion of demand management or 'soft path' thinking, despite a drop in investments observed at the turn of the 20th century. Second: do these new projects have different justifications from those of the past? The papers in this issue provide evidence that the need to justify capital-intensive infrastructure in the face of commitments to sustainability, while borrowing from the conventional grammar of project justifications, has generated a few innovative tropes and rhetorical devices. Third: what does a (re) turn (or enduring commitment) to big infrastructure tells us about the governance and wider politics of large-scale infrastructure problems? Some of the traditional interest groups are well represented in the stories told here the corporations that demand water or compete to build pipes and dams; the large-scale irrigators that rely on water to expand their production; the engineers and consultants who seek money, prestige, career advancement or even satisfaction from 'controlling' nature; the politicians who can extract 'rents' from all this activity. Even so, the history of each particular project involves many contingencies-of the society's history, of previous rounds of infrastructure and of capital availability. Fourth: have there been changes in the scale at which water is managed within countries? In general, it seems there has been an increase in the scale of projects, generally involving a shift in power away from regional and up to multi-regional agencies of governance, such as the central state. Sometimes these shifts in scale and power have no effect on the salience of local voices-because in the past they were never heard or generally suppressed anyway. Sometimes the shifts in power and scale have been accompanied by increasing suppression of local voices of opposition. In one case-South Africa-the change in scale has seen a stand-off between representatives of new voices and the infrastructure-focussed engineering elite.</t>
  </si>
  <si>
    <t>WOS:000403232300001</t>
  </si>
  <si>
    <t>Martins, G; Brito, AG; Nogueira, R; Urena, M; Fernandez, D; Luque, FJ; Alcacer, C</t>
  </si>
  <si>
    <t>Martins, G.; Brito, A. G.; Nogueira, R.; Urena, M.; Fernandez, D.; Luque, F. J.; Alcacer, C.</t>
  </si>
  <si>
    <t>Water resources management in southern Europe: Clues for a research and innovation based regional hypercluster</t>
  </si>
  <si>
    <t>European countries are facing increasing pressures on their water resources despite stringent regulations and systematic efforts on environmental protection. In this context, research and innovation play a strategic role reinforcing the efficiency of water policies. The present study provides a multilevel assessment of research and innovation practices in the field of water resource management in southern European countries and regions (more specifically; Cyprus, Albania, Poitou-Charentes in France, Andalusia in Spain and the North of Portugal). The analysis was based on a strategic framework aimed at gaining an insight of the current constraints, as well as of the existing and future technological solutions for a better water resource management The triple helix model proved to be a useful analytical framework for assessing the efforts of different groups towards a common goal. The analysis proved the existence of a significant evolution in the use of technological tools to assist decision-making processes in integrated river basin management in all regions. Nevertheless, the absence of formal channels for knowledge and data exchange between researchers and water resource managers complicates the formers involvement in the decision-making process regarding water allocation. Both researchers and consultants emphasize the low availability of data, together with the need to advance on water resource economics as relevant constraints in the field. The SWOT analysis showed similar concerns among the participating regions and provided a battery of effective projects that resulted in the preparation of a Joint Action Plan. (C) 2013 Elsevier Ltd. All rights reserved.</t>
  </si>
  <si>
    <t>APR 15</t>
  </si>
  <si>
    <t>10.1016/j.jenvman.2013.01.027</t>
  </si>
  <si>
    <t>WOS:000317796600009</t>
  </si>
  <si>
    <t>BAUTECHNIK</t>
  </si>
  <si>
    <t>The first challenge of this extraordinary project was the integration of all involved parties: The Indian client, the Norwegian and German construction companies and the authors as general planners and site supervisors being head of a team with two sub-consultants for architecture and building services. The second challenge was Antarctica. Planning bases usually taken from standards had to be ascertained, e. g. wind loads, snow and ice conditions. All materials needed to be suitable for Antarctic climate conditions. A third challenge was the logistics. All components had to fit into 20-foot containers, which in turn required being light enough for helicopter transport. The time frame for construction during the Antarctic summer is short. All boundary conditions are reflected in the building; form and material are suited for the location, climate and logistics. The three-storey container building, which is 52 m long and 30 m wide, can accommodate 47 people and contains laboratories, a garage, workshop, living and office areas, a cinema, fitness room, library, dining hall and lounge with a view of the ocean. The Indian government initiated this state-of-the-art project, which was successfully completed through the co-operation of international participants with passion, faith and respect for each other and nature.</t>
  </si>
  <si>
    <t>0932-8351</t>
  </si>
  <si>
    <t>1437-0999</t>
  </si>
  <si>
    <t>10.1002/bate.201300006</t>
  </si>
  <si>
    <t>WOS:000319825600003</t>
  </si>
  <si>
    <t>Lidskog, R; Lofmarck, E</t>
  </si>
  <si>
    <t>Lidskog, Rolf; Lofmarck, Erik</t>
  </si>
  <si>
    <t>Fostering a flexible forest: Challenges and strategies in the advisory practice of a deregulated forest management system</t>
  </si>
  <si>
    <t>In deregulated forest management systems, social norms, knowledge dissemination and communication are pivotal for guiding forest owners' actions. This presents a challenge to national forest agencies charged with the task of translating forest policy into practice. Drawing on interviews with forest consultants employed by the Swedish Forest Agency, this paper discusses the challenges present in everyday advisory practice, how they are dealt with, and possible implications for forest policy. Four main challenges are identified: climate change; the heterogeneity of forest owners; resource constraints and funding cutbacks; and competing and conflicting advice. The analysis finds that the forest consultants have developed the following professional capacities to meet these challenges: articulating uncertainties, advocating risk diversification, and using historical references to handle the long-term risk associated with climate change; contextualizing the advice to meet the needs of a heterogeneous group of forest owners; and organizational decoupling, whereby consultants prioritize advisory activities at the expense of other tasks. The study concludes by discussing the implications of these strategies for the forest consultants and forest policy but also what can be learned from the Swedish experience. (C) 2015 The Authors. Published by Elsevier B.V. This is an open access article under the CC BY-NC-ND license (http://creativecommons.org/licenses/by-nc-nd/4.0/).</t>
  </si>
  <si>
    <t>Lidskog, Rolf/0000-0001-6735-0011</t>
  </si>
  <si>
    <t>10.1016/j.forpol.2015.10.015</t>
  </si>
  <si>
    <t>WOS:000366535100022</t>
  </si>
  <si>
    <t>Moore, RD; Nelitz, M; Parkinson, E</t>
  </si>
  <si>
    <t>Moore, R. D.; Nelitz, M.; Parkinson, E.</t>
  </si>
  <si>
    <t>Empirical modelling of maximum weekly average stream temperature in British Columbia, Canada, to support assessment of fish habitat suitability</t>
  </si>
  <si>
    <t>The objective of this study was to characterize the spatial variability of stream thermal regimes in British Columbia, Canada, with the specific goal of developing a predictive model to assist in provincial-scale assessment of fish habitat. It is part of a broader study to develop an approach to support the designation of Temperature Sensitive Streams, particularly in relation to the potential effects of forest harvesting and climate change. Stream temperature data were collected from researchers, consultants and government agencies. After checking for data quality, the annual maximum of a seven-day running average of mean daily water temperature (MWAT) was extracted for each station-year. A multiple regression model for the mean MWAT for each station was fitted for stations having basin areas between 1 and 10(4) km(2). Predictor variables included the logarithm of catchment area, normal July-August air temperature for the location, the square root of the percentage of glacier cover in the catchment, the square root of the percentage of lake cover in the catchment, the mean catchment elevation, channel slope, a coefficient related to intensity of the mean annual flood, and the deviation of July-August air temperature during the monitoring year(s) from the average during a reference period. Model coefficients were consistent with the physical processes known to govern stream temperature. The standard deviation of prediction errors from a 10-fold cross-validation was 2.1 degrees C. Lack of information on riparian shading is a likely source of a significant portion of the prediction error. The model can be used to provide an initial prediction of stream temperature regime for fish habitat assessment, as well as to provide first-order estimates of the sensitivity of MWAT to climatic warming and glacier retreat.</t>
  </si>
  <si>
    <t>10.1080/07011784.2013.794992</t>
  </si>
  <si>
    <t>WOS:000328249100004</t>
  </si>
  <si>
    <t>MacDonald, DH; Bark, RH; Coggan, A</t>
  </si>
  <si>
    <t>MacDonald, Darla Hatton; Bark, Rosalind H.; Coggan, Anthea</t>
  </si>
  <si>
    <t>Is ecosystem service research used by decision-makers? A case study of the Murray-Darling Basin, Australia</t>
  </si>
  <si>
    <t>LANDSCAPE ECOLOGY</t>
  </si>
  <si>
    <t>This paper investigates the accessibility and usefulness of the Ecosystem Services (ES) framework to policy analysts. Using a mixed methods approach of document analysis and semi-structured interviews we examine how an ES assessment of the benefits of restoring water to the Murray-Darling Basin (MDB) in Australia has been used by government agencies in policy and planning. The ES assessment links changes in water management under the Basin Plan with modelled changes in water quality, river flows and inundation patterns and in turn to modelled freshwater and estuarine ecosystem response. These ecological responses were expressed in terms of incremental ES benefits which were valued monetarily using a variety of valuation techniques. To investigate how these pieces of information were used in the policy debate around the re-allocation of water in the MDB, semi-structured interviews were conducted with 20 Australian, State, and local government officials as well as academics and consultants. The interviews were designed to uncover the complex information dissemination process through networks within and among agencies. The results are mixed as to whether the assessment served to influence public policy. The report has been utilized and cited by Australian federal agencies, the downstream State of South Australia and conservation-based NGOs in their position statements and as such has been used as evidence in support of re-allocation of water in the MDB. A number of interview participants commented that the ES assessment raised awareness and this may lead to broader usage of the information and framework in the implementation phase of MDB water reform.</t>
  </si>
  <si>
    <t>Bark, Rosalind H/D-3278-2011; Hatton MacDonald, Darla/D-3344-2011; Coggan, Anthea/J-4184-2013</t>
  </si>
  <si>
    <t>0921-2973</t>
  </si>
  <si>
    <t>1572-9761</t>
  </si>
  <si>
    <t>10.1007/s10980-014-0021-3</t>
  </si>
  <si>
    <t>WOS:000342078600014</t>
  </si>
  <si>
    <t>Grandhi, B; Patwa, N; Saleem, K</t>
  </si>
  <si>
    <t>Grandhi, Balakrishna; Patwa, Nitin; Saleem, Kashaf</t>
  </si>
  <si>
    <t>Data-driven marketing for growth and profitability</t>
  </si>
  <si>
    <t>EUROMED JOURNAL OF BUSINESS</t>
  </si>
  <si>
    <t>Purpose In the current business environment, more uncertain than ever before, understanding consumer behavior is an integral part of an organization's strategic planning and execution process. It is the key driver for becoming a market leader. Therefore, it is important that all processes in business are customer centric. Marketers need to harness big data by engaging in data driven-marketing (DDM) to help organizations choose the right customers, to keep and grow them and to sustain growth and profitability. This research examines DDM adoption practices and how companies can aim to enhance shareholder value by bringing about customer centricity. Design/methodology/approach An online survey conducted in 2016 received 180 responses from junior, middle and senior executives. Of the total responses, 26% were from senior management, 39% from middle management and the remaining 35% from junior management. Industries represented in the survey included retail, BFSI, healthcare and government, automobile, telecommunication, transport and logistics and IT. Other industries represented were aviation, marketing research and consulting, hospitality, advertising and media and human resource. Findings Success of DDM depends upon how well an organization embraces the practice. The first and foremost indicator of an organization's commitment is the extent of resources invested for DDM. Respondents were divided into four categories; Laggards, Dabblers, Contenders and Leaders based on their current level of investments and willingness to enhance investments soon. Research limitations/implications With storming digital age and the development of analytics, the process of decision-making has gained significant importance. Judgment and intuition too are critical to the process. Choosing an appropriate action cannot be done strictly on a rational basis. Practical implications The results of the study offer interesting implications for managing the growing sea of data. An iterative and incremental approach is the need of the hour, even if it has to start with baby steps, to invest in and reap the fruits of DDM. The intention to use any system is always dependent on two primary belief factors: perceived usefulness and perceived ease of use; however, attitudes and social factors are equally important. Originality/value There is a dearth of knowledge with regards to who is and is not adopting DDM, and how best big data can be harnessed for enhancing effectiveness and efficiency of marketing budget. It is, therefore, imperative to build a knowledge base on DDM practices, challenges and opportunities. Better use of data can help companies enhance shareholder value by bringing about customer centricity.</t>
  </si>
  <si>
    <t>1450-2194</t>
  </si>
  <si>
    <t>1758-888X</t>
  </si>
  <si>
    <t>10.1108/EMJB-09-2018-0054</t>
  </si>
  <si>
    <t>WOS:000574016100001</t>
  </si>
  <si>
    <t>Giljum, S; Behrens, A; Hinterberger, F; Lutz, C; Meyer, B</t>
  </si>
  <si>
    <t>Giljum, Stefan; Behrens, Arno; Hinterberger, Friedrich; Lutz, Christian; Meyer, Bernd</t>
  </si>
  <si>
    <t>Modelling scenarios towards a sustainable use of natural resources in Europe</t>
  </si>
  <si>
    <t>Issues related to the unsustainable use of natural resources are currently high on the policy agenda both in Europe and in other world regions. A large number of studies assessed past developments of material use and resource productivities. However, little effort has so far been devoted to forecasting future patterns of natural resource use and to provide ex-ante assessments of environmental and economic effects of different resource policies. This paper presents results from the international research project MOSUS (Modelling opportunities and limits for restructuring Europe towards sustainability), which was designed to fill some of these research gaps. In this project, a global economy-energy model system was extended by a worldwide database on material inputs, in order to run three scenarios for European development up to the year 2020: a baseline scenario without additional policy intervention and two so-called sustainability scenarios, simulating the implementation of six packages of policy measures geared towards decoupling economic activity from material and energy throughput. These measures included, amongst others, taxes on CO2 emissions and transport, measures to increase metal recycling rates, and a consulting programme to raise material productivity of industrial production. This paper presents the evaluation of the three scenarios with regard to the extraction of natural resources on the European and global level. In the baseline scenario, used domestic extraction within the EU remains roughly constant until 2020, while unused domestic extraction decreases (particularly overburden from mining activities). The stabilisation of domestic extraction, however, is accompanied by growing imports of material intensive products. This indicates that the material requirements of the European economy will increasingly be met through imports from other world regions, causing shifts of environmental pressures related to material extraction and processing away from Europe towards resource-rich countries. The implementation of the six sustainability policy measures applied in the sustainability scenarios results in a slight absolute reduction of domestic extraction in all European countries and significantly increased resource productivities. The results suggest that policy instruments aimed at raising eco-efficiency on the micro level can be conducive to economic growth. To limit rebound effects on the macro level, these instruments must, however, be accompanied by other policies influencing the prices of energy and materials. With regard to global resource use trends, the baseline scenario forecasts a significant growth of resource extraction, particularly in developing countries, reflecting the growing demand for natural resources of emerging economies such as China and India. (C) 2007 Elsevier Ltd. All rights reserved.</t>
  </si>
  <si>
    <t>Giljum, Stefan/0000-0002-4719-5867</t>
  </si>
  <si>
    <t>10.1016/j.envsci.2007.07.005</t>
  </si>
  <si>
    <t>WOS:000256172300002</t>
  </si>
  <si>
    <t>Ogden, S; Watson, R</t>
  </si>
  <si>
    <t>Ogden, Stuart; Watson, Robert</t>
  </si>
  <si>
    <t>Remuneration Committees, Pay Consultants and the Determination of Executive Directors' Pay</t>
  </si>
  <si>
    <t>This paper explores how Board Remuneration Committee (Remco) decisions about executive pay are influenced by pay consultants. Drawing on resource dependency theory and case study evidence from five companies, the paper illuminates the complexities of the pressures and processes confronting both Remcos and pay consultants in the determination of executive pay awards. In contrast to managerial power arguments, it demonstrates that the Remcos are proactive in managing pay policy, conscientious in seeking to ensure that pay is appropriate and not over-generous, and that pay consultants are independent and take their instructions entirely from the Remco. Nevertheless, Remcos' understandings of the wider pay environment, informed by the comparative data supplied by pay consultants, constructs a climate in which the Remcos come to perceive a need for periodic upward pay adjustments to ensure that executive remuneration is consistent with external benchmarks if they are to avoid recruitment and retention problems.</t>
  </si>
  <si>
    <t>10.1111/j.1467-8551.2011.00779.x</t>
  </si>
  <si>
    <t>WOS:000311389700005</t>
  </si>
  <si>
    <t>Asiri, N; Khan, T; Kend, M</t>
  </si>
  <si>
    <t>Asiri, Nasser; Khan, Tehmina; Kend, Michael</t>
  </si>
  <si>
    <t>Environmental management accounting in the Middle East and North Africa region: Significance of resource slack and coercive isomorphism</t>
  </si>
  <si>
    <t>The Middle East and North Africa (MENA) region is suffering from serious environmental issues, which are caused mainly by industrial and non-financial business activities. Implementing environmental management accounting (EMA) will help businesses manage environmental issues better and improve how they treat the environment. The key motivation for undertaking this study is that earlier research reported a poor level of environmental accounting practices by firms in the MENA region. These studies documented the necessity to develop a better understanding of EMA practices and the factors that influence their employment. Based on the new institutional sociology (NIS) perspective of institutional theory and resource slack theory, this study examines the influence of technological capabilities, environment-focused human resources management (EFHRM) and institutional isomorphism, specifically on the extent to which EMA practices are implemented in non-financial listed firms from eight MENA countries. These countries are Saudi Arabia, United Arab Emirates, Kuwait, Oman, Qatar, Bahrain, Jordan and Egypt. A web-based survey approach was utilised; and the data was analysed through structural equation modelling (SEM). The findings indicated an overall poor widespread of the use of EMA practices in the selected firms as perceived by the participants. Also, the findings suggest that technological capabilities, EFHRM and coercive isomorphism positively and significantly influence how EMA practices are implemented. Coercive pressures, technological and human resources are affecting the extent of EMA use in this study's sample, but not to a great extent. Hence, coercive pressures should be maximised by regulatory bodies in the selected MENA countries in order for EMA practices to be widely accepted. Furthermore, governments should facilitate the outsourcing of experts who can help with implementing EMA practices. It means collaborating with non-government partners, such as accounting associations, industry associations, research &amp; consulting firms and educational institutions. These kinds of collaborations can lead to better support for environmental management and EMA, thus instituting the required educational programs and training to enhance employees' awareness of EMA practices that include the role of technology.</t>
  </si>
  <si>
    <t>SEP 10</t>
  </si>
  <si>
    <t>10.1016/j.jclepro.2020.121870</t>
  </si>
  <si>
    <t>WOS:000542705400006</t>
  </si>
  <si>
    <t>KALYANOV, GN</t>
  </si>
  <si>
    <t>CASE - SOFTWARE-DESIGN TECHNOLOGIES</t>
  </si>
  <si>
    <t>CYBERNETICS AND SYSTEMS ANALYSIS</t>
  </si>
  <si>
    <t>CASE (Computer-Aided Software Engineering) is a set of methodologies for software design, development, and maintenance supported by a complex of interconnected automation tools. CASE is a set of tools for the programmer, analyst, and developer for the automation of software design and development. Today, CASE has become an independent discipline in software engineering that has given rise to a powerful CASE industry made up of hundreds of firms and companies of various kinds. They include companies that develop tools for software analysis and design and have a wide network of distributors and dealers, firms that develop specialized tools for narrow subject areas or for individual stages of the software life cycle, firms that organize seminars and courses for specialists, consulting firms, which demonstrate the practical power of CASE toolkits for specific applications, and companies specializing in the publication of periodicals and bulletins on CASE. The principal purchasers of CASE toolkits abroad are military organizations, data-processing centers, and commercial software developers. CASE not only permits the creation of ''correct'' products but also ensures that a ''correct'' process is used to create them. The main goal of CASE is to separate the design of software from its coding and subsequent development steps as well as to conceal from the developer all details of the environment in which the software is developed arid functions. CASE technologies have been used successfully to construct practically all types of software systems, but they occupy a stable position in the following areas. 1. Support for the development of business and commercial software (the wide use of CASE technologies results from the massiveness of this applications area; it must be noted that in this area CASE is employed not only for software development but also for the creation of models of systems that assist commercial structures in strategic planning, control of finances, determination of the politics of firms, the training of personnel, etc.). 2. Development of systems and control software (CASE technologies are actively used because of die great complexity of this area and the striving to increase efficiency).</t>
  </si>
  <si>
    <t>1060-0396</t>
  </si>
  <si>
    <t>WOS:A1993NT27300015</t>
  </si>
  <si>
    <t>Nino, N</t>
  </si>
  <si>
    <t>Nino, Nau</t>
  </si>
  <si>
    <t>Natural heritage and tourism in a higher education institution in South Mexico</t>
  </si>
  <si>
    <t>REVISTA ECORFAN</t>
  </si>
  <si>
    <t>The objective was: Synthetisize the content of the Learning Unit (UA) Natural Heritage and Tourism into the Master Science: Sustainable Tourism Development at Autonomous University of Guerrero (UAGro). The method used was sustained in the documentary material checking: archives, books, magazines, Web pages on Internet, printed statistic data consulting, digital data bases and that included the direct observation, exploratory routes, photographic interviews with members of non-governmental organizations. It was developed according to the geographical approach which involved the spotting of the state of Guerrero in the national territory, the reading of printed and digital information about that Master's Degree, as well as the relationship between local economic and social characteristics; all of this enriched with the social and formative approach. In this sense, the approach is multimodal or mixed since the qualitative and quantitative points of view through and they define the reach of this investigation with explanatory character. The results were: a compilation of works which appeared in the book Sustainable Management of Tourism was cited. The book was published in 2014 by PRAXIS publishing house as a reference book for students who are masters. It has to do with the natural heritage-tourism relationship. At the beginning of 2016 the proposal of contents of the homonymous Learning Unit for the Master's level supported on the Competencies-Based Approach (EBC: Enfoque Basado en Competencias) was developed. To conclude, I can say that: 1) the UA Natural Heritage and Tourism contributes in a solid way to the growth of graduate students with competencies which allow them to make innovative proposals about situations society demands; 2) the topic natural heritage and tourism means an educational process of systematized character, involving facilitators, students and the information they handle and 3) education based on competencies and learning and teaching the natural heritage-tourism relationship are important to understand the world around us, every time more globalized.</t>
  </si>
  <si>
    <t>2007-1582</t>
  </si>
  <si>
    <t>2007-3682</t>
  </si>
  <si>
    <t>WOS:000425228100003</t>
  </si>
  <si>
    <t>Knol, AB; Slottje, P; van der Sluijs, JP; Lebret, E</t>
  </si>
  <si>
    <t>Knol, Anne B.; Slottje, Pauline; van der Sluijs, Jeroen P.; Lebret, Erik</t>
  </si>
  <si>
    <t>The use of expert elicitation in environmental health impact assessment: a seven step procedure</t>
  </si>
  <si>
    <t>ENVIRONMENTAL HEALTH</t>
  </si>
  <si>
    <t>Background: Environmental health impact assessments often have to deal with substantial uncertainties. Typically, the knowledge-base is limited with incomplete, or inconsistent evidence and missing or ambiguous data. Consulting experts can help to identify and address uncertainties. Methods: Formal expert elicitation is a structured approach to systematically consult experts on uncertain issues. It is most often used to quantify ranges for poorly known parameters, but may also be useful to further develop qualitative issues such as definitions, assumptions or conceptual (causal) models. A thorough preparation and systematic design and execution of an expert elicitation process may increase the validity of its outcomes and transparency and trustworthiness of its conclusions. Various expert elicitation protocols and methods exist. However, these are often not universally applicable, and need customization to suite the needs of a specific study. In this paper, we set out to develop a widely applicable method for the use of expert elicitation in environmental health impact assessment. Results: We present a practical yet flexible seven step procedure towards organising expert elicitation in the context of environmental health impact assessment, based on existing protocols. We describe how customization for specific applications is always necessary. In particular, three issues affect the choice of methods for a particular application: the types of uncertainties considered, the intended use of the elicited information, and the available resources. We outline how these three considerations guide choices regarding the design and execution of expert elicitation. We present signposts to sources where the issues are discussed in more depth to give the newcomer the insights needed to make the protocol work. The seven step procedure is illustrated using examples from earlier published elicitations in the field of environmental health research. Conclusions: We conclude that, despite some known criticism on its validity, formal expert elicitation can support environmental health research in various ways. Its main purpose is to provide a temporary summary of the limited available knowledge, which can serve as a provisional basis for policy until further research has been carried out.</t>
  </si>
  <si>
    <t>van der Sluijs, Jeroen P/B-6302-2008</t>
  </si>
  <si>
    <t>van der Sluijs, Jeroen P/0000-0002-1346-5953; Lebret, Erik/0000-0003-2602-2155</t>
  </si>
  <si>
    <t>1476-069X</t>
  </si>
  <si>
    <t>APR 26</t>
  </si>
  <si>
    <t>10.1186/1476-069X-9-19</t>
  </si>
  <si>
    <t>WOS:000278269200001</t>
  </si>
  <si>
    <t>Adkins, JA; Hall-Whitman, L</t>
  </si>
  <si>
    <t>Ceridian Performance Partners' President Linda Hall Whitman on navigating work and life</t>
  </si>
  <si>
    <t>ACADEMY OF MANAGEMENT EXECUTIVE</t>
  </si>
  <si>
    <t>Ceridian Performance Partners is a business unit of the Ceridian Corporation, a $1.4 billion information services company that serves the human resources, transportation, and media markets. Ceridian Performance Partners provides workplace effectiveness services, including employee assistance and work-life programs, as well as training, coaching and consulting. Their services are provided to seven million employees and their family members in private corporations, government, and educational environments throughout the United States, Canada, Puerto Rico, and the United Kingdom. Ceridian customers include 40 percent of Fortune 1000 and 30 percent of Fortune 100 companies. In February 2000, Ceridian formed an alliance with CORPHEALTH, adding managed behavioral health care services to its service portfolio. In 1996, the U.S. Department of Labor chose Ceridian as the first recipient of its Corporate Citizen Award, honoring the company for outstanding citizenship and dedication to employees and the community. In 1999, Ceridian Performance Partners was honored with the FedEx Quasar Award for Customer Service for customer satisfaction, client and employee communication, and high return on investment. Linda Hall Whitman is president of Ceridian Performance Partners. She holds a master's degree in psychology and education from the University of Michigan, as well as a master's in social work and a doctorate in education administration from the University of Minnesota. After 15 years on the executive team art Honeywell, she joined Ceridian Corporation as vice president of business integration in 1995, and assumed the presidency of Ceridian Performance Partners a year later. She serves on the boards of MTS Systems Corporation and the Science Museum of Minnesota and is a Class C Director for the Federal Reserve Bank of Minneapolis. A strong advocate of mentoring, she belongs to Mentium 100, a system that pairs executives with promising mid-level business women. In the following interview, Dr. Hall Whitman conveys her views on promoting executive health through effectively navigating work and life.</t>
  </si>
  <si>
    <t>0896-3789</t>
  </si>
  <si>
    <t>10.5465/AME.2000.3819303</t>
  </si>
  <si>
    <t>WOS:000087705000007</t>
  </si>
  <si>
    <t>Yakovlev, PP; Yakovleva, NM</t>
  </si>
  <si>
    <t>Yakovlev, Petr P.; Yakovleva, Nailya M.</t>
  </si>
  <si>
    <t>PROTEST POTENTIAL OF THE LATIN AMERICA: REGIONAL ASPECT OF GLOBAL PHENOMENON</t>
  </si>
  <si>
    <t>MIROVAYA EKONOMIKA I MEZHDUNARODNYE OTNOSHENIYA</t>
  </si>
  <si>
    <t>The world is showing signs of geopolitical and geo-economical imbalance, which threatens the international community with new crisis shocks. This is indicated by a slowdown in the growth of the world economy and trade, neo-protectionism and increasing sanction measures, financial hand-wringing of undesirable regimes, the incessant military actions in Syria, the frozen, but with that not less the destructive conflict in Ukraine, and many other dangerous phenomena of international life. More recently, they have been joined by another black swan - the unexpected event that could critically complicate the economic and political environment, both in individual countries and globally. This is certainly the spread of coronavirus (COVID-19), the various negative effects of which have yet to be fully assessed. But one thing is already clear: coronavirus will have a negative impact on the world economy, push its reversal to the next global crisis and, as a result, the deterioration of the social situation. Similarly, the powerful wave of mass sociopolitical protests that swept the world (including a number of Latin American states) requires its comprehensive analysis and reflection. In this case, it is necessary to consider this phenomenon in two dimensions: a) the main causes and country features of protests; b) the conditioning of protests by the mega trends of global development, their connection with the fundamental processes that are changing the world order, formed in the age of neoliberal globalization. This dual task is even more relevant, because, according to experts of the consulting company Eurasia Group, in 2020, new protests, particularly in Latin America, can become one of the main global risks. The facts show that the main reason for the protests in the region has been a growing public discontent with the deepening income gap between the ruling class and the vast majority of the population, rampant corruption, the inability of authorities to resolve accumulated socio-economic problems for the greater public good and overcome the stagnation in which Latin American states live.</t>
  </si>
  <si>
    <t>0131-2227</t>
  </si>
  <si>
    <t>10.20542/0131-2227-2020-64-7-89-99</t>
  </si>
  <si>
    <t>WOS:000549579900010</t>
  </si>
  <si>
    <t>Christen, B; Kjeldsen, C; Dalgaard, T; Martin-Ortega, J</t>
  </si>
  <si>
    <t>Christen, Benjamin; Kjeldsen, Chris; Dalgaard, Tommy; Martin-Ortega, Julia</t>
  </si>
  <si>
    <t>Can fuzzy cognitive mapping help in agricultural policy design and communication?</t>
  </si>
  <si>
    <t>Agricultural environmental regulation often fails to deliver the desired effects because of farmers adopting the related measures incorrectly or not at all. This is due to several barriers to the uptake of the prescribed environmentally beneficial farm management practices, most of which have been well established by social science research. Yet it is unclear why these barriers remain so difficult to overcome despite numerous and persistent attempts at the design, communication and enforcement of related agricultural policies. This paper examines the potential of fuzzy cognitive mapping (FCM) as a tool to disentangle the underlying reasons of this persistent problem. We present the FCM methodology as adapted to the application in a Scottish case study on how environmental regulation affects farmers and farming practice and what factors are important for compliance or non-compliance with this regulation. The study compares the views of two different stakeholder groups on this matter using FCM network visualizations that were validated by interviews and a workshop session. There was a farmers group representing a typical mix of Scottish farming systems and a non-farmers group, the latter comprising professionals from the fields of design, implementation, administration, consulting on and enforcement of agricultural policies. Between the two groups, the FCM process reveals a very different perception of importance and interaction of factors and strongly suggests that the problem lies in an institutional failure rather than in a simple unwillingness of farmers to obey the rules. FCM allows for a structured process of identifying areas of conflicting perceptions, but also areas where strongly differing groups of stakeholders might be able to gain common ground. In this way, FCM can help to identify anchoring points for targeted policy development and has the potential of becoming a useful tool in agricultural policy design and communication. Our results show the utility of FCM by pointing out how Scottish environmental regulation could be altered to increase compliance with the rules and where the reasons for the identified institutional failure might be sought. (c) 2015 Elsevier Ltd. All rights reserved.</t>
  </si>
  <si>
    <t>Dalgaard, Tommy/G-4533-2016</t>
  </si>
  <si>
    <t>10.1016/j.landusepol.2015.01.001</t>
  </si>
  <si>
    <t>WOS:000353743200008</t>
  </si>
  <si>
    <t>Krause, PH</t>
  </si>
  <si>
    <t>The PROTEUS project - Scenario-based planning in a unique organization</t>
  </si>
  <si>
    <t>International Conference on Technology Policy and Innovation (ICTPI)</t>
  </si>
  <si>
    <t>KANSAI, JAPAN</t>
  </si>
  <si>
    <t>PROTEUS is an advanced concepts futures research effort that seeks to pull out innovation drivers and new technology concepts by looking broadly and deeply across plausible alternative futures and characterizing uncertainty in the future national security problem space. The analytical techniques underlying the research have come from two sources. The scenario-based planning technique utilized was based on commercial best practices designed to manage uncertainty as developed by The Futures Group (now part of Deloitte Consulting, LP). The technology planning technique is based on the former Futures Group's original work for the Federal Government in the late 1980s and early 1990s. Adhering to the principle of future plausibility versus probability, four fundamental precepts have guided the research: avoid uncritical extrapolation from today, avoid reductionism, challenge conventional thinking and do not necessarily drive for an early consensus. Rigor in applying the precepts helps the organization break old thinking patterns and frees it to discover the dynamic forces for change emerging from alternative world situations. With this new understanding, the organization can evaluate alternative advanced research and development (AR&amp;D) strategies and perform tradeoff analyses of decision-making processes. The research has evolved in two parts: (1) an examination of the future national security problem space using scenario-based planning and (2) the development of several approaches to the solution space (what should an organization do about the problems uncovered). Framing a challenging and perhaps nontraditional problem space to explore possible outcomes, then engaging in planning workshops set in those future operating environments has resulted in some cases, startling possibilities for a unique organization to pursue. Possibilities arise from the study of six alternative worlds and they appear to cross multiple venues: physical, virtual, biological and even temporal. Thinking in new ways about the future-operating environment along with the understanding of emerging future technologies helps research planners in a historically advanced systems engineering organization develop a solid basis for AR&amp;D investments. (C) 2002 Elsevier Science Inc. All rights reserved.</t>
  </si>
  <si>
    <t>PII S0040-1625(01)00169-X</t>
  </si>
  <si>
    <t>10.1016/S0040-1625(01)00169-X</t>
  </si>
  <si>
    <t>WOS:000177263900004</t>
  </si>
  <si>
    <t>DUDINSKA, E; SESTAKOVA, M</t>
  </si>
  <si>
    <t>INTERRELATION BETWEEN ENTERPRISE MANAGEMENT AND INFORMATION-SYSTEMS UNDER CONDITIONS OF A MARKET-ECONOMY</t>
  </si>
  <si>
    <t>EKONOMICKY CASOPIS</t>
  </si>
  <si>
    <t>The main idea of the article is that information processing and information systems building in an enterprise is not a pure technical problem, not only a problem of the interrelation between man and computer (or computer network) but a social, organizational, and motivational problem as well. The effectiveness of an information system within an enterprise and of its links with an economic environment depends on the organizational structure of the enterprise, motivation and creativity of the organization members and communication between them. The authors start with characterizing some basic differencies between information requirements of an enterprise under centrally planned system and under conditions of a market economy. Then information requirements for forming enterprise strategy are analyzed. The role of Government in building communication infrastructure and providing some information services to enterprises is underlined. This role of the Government is especially important in the period of transition to a market economy because of lack of experience and insufficient financial resources (to pay for consulting services) in the enterprise sector. The so called information pyramid in an enterprise and its limitations are analyzed in the next section. The importance of both downward and upward flows of information and the necessity of information creating at all levels in the management hierarchy are underlined. The authors also show the increasing importance of horizontal communication channels within an enterprise (both formal and informal) and the impact of managers' communication skills and management style on the effectiveness of the enterprises information systems. The last part of the paper is dealing with a special field of applying information approach to business activity. It tries to interpret innovation process in an enterprise as an information system. New product development, production, and consumption (consumer requirements) are regarded as an integrated information system where information circulates through the system from development, to production, to marketing, to consumers, and finally back to development. Such a market oriented approach to innovations is important in transforming our enterprises into actual market agents.</t>
  </si>
  <si>
    <t>0013-3035</t>
  </si>
  <si>
    <t>WOS:A1992KN10200002</t>
  </si>
  <si>
    <t>Kao, HY; Wei, CW; Yu, MC; Liang, TY; Wu, WH; Wu, YJ</t>
  </si>
  <si>
    <t>Kao, Hao-Yun; Wei, Chun-Wang; Yu, Min-Chun; Liang, Tyng-Yeu; Wu, Wen-Hsiung; Wu, Yenchun Jim</t>
  </si>
  <si>
    <t>Integrating a mobile health applications for self-management to enhance Telecare system</t>
  </si>
  <si>
    <t>TELEMATICS AND INFORMATICS</t>
  </si>
  <si>
    <t>A dramatic global increase in the pervasiveness of chronic illness has coincided with a reduction in the availability of healthcare resources, coupled with increased costs for care, forcing a fundamental reevaluation of care processes. These trends have driven interest in the use of advanced healthcare information systems and telematics applications to improve care availability while reducing overall costs, but such measures require taking an integrated approach to a range of interrelated social, economic, political and cultural impacts and challenges. Telecare technologies allow hospitals to continuously monitor biomedical indicators, while providing patients with online services such as clinical appointment scheduling, medical consulting, remote alerts, etc. Telecare has the potential to transform the healthcare industry by reducing costs, increasing quality, and enhancing patient satisfaction. The development of a real-time monitoring healthcare service model through the integration of information and communications technologies (ICT) has emerged as a research priority. This study explores the design, value creation, development and evaluation of Telecare systems and mobile health applications for autonomous health management to ensure appropriate home-based health monitoring and treatment while improving care performance. A well-defined methodology is needed to develop artifacts due to increasing disease complexity. This study develops an Android-based self-management application based on design science research methodology. The App assists users in collecting and monitoring indicators to prompt appropriate care services. This study uses individual home self care as the basic Telecare unit to design a service model integrating six kinds of healthcare services. Usability testing is conducted to reflect five constructs: system usefulness, ease of learning, information quality, interface quality, and overall satisfaction. Experimental results support previous research findings regarding the Chronic Care Model and enhance the effectiveness of mobile-based services. Our work provides a useful reference to researchers and practitioners interested in understanding how hospitals can better facilitate more effective mobile -based technology adoption in today's e-health environment.</t>
  </si>
  <si>
    <t>0736-5853</t>
  </si>
  <si>
    <t>10.1016/j.tele.2017.12.011</t>
  </si>
  <si>
    <t>WOS:000434744100013</t>
  </si>
  <si>
    <t>Mahdianpari, M; Salehi, B; Mohammadimanesh, F; Homayouni, S; Gill, E</t>
  </si>
  <si>
    <t>Mahdianpari, Masoud; Salehi, Bahram; Mohammadimanesh, Fariba; Homayouni, Saeid; Gill, Eric</t>
  </si>
  <si>
    <t>The First Wetland Inventory Map of Newfoundland at a Spatial Resolution of 10 m Using Sentinel-1 and Sentinel-2 Data on the Google Earth Engine Cloud Computing Platform</t>
  </si>
  <si>
    <t>REMOTE SENSING</t>
  </si>
  <si>
    <t>Wetlands are one of the most important ecosystems that provide a desirable habitat for a great variety of flora and fauna. Wetland mapping and modeling using Earth Observation (EO) data are essential for natural resource management at both regional and national levels. However, accurate wetland mapping is challenging, especially on a large scale, given their heterogeneous and fragmented landscape, as well as the spectral similarity of differing wetland classes. Currently, precise, consistent, and comprehensive wetland inventories on a national- or provincial-scale are lacking globally, with most studies focused on the generation of local-scale maps from limited remote sensing data. Leveraging the Google Earth Engine (GEE) computational power and the availability of high spatial resolution remote sensing data collected by Copernicus Sentinels, this study introduces the first detailed, provincial-scale wetland inventory map of one of the richest Canadian provinces in terms of wetland extent. In particular, multi-year summer Synthetic Aperture Radar (SAR) Sentinel-1 and optical Sentinel-2 data composites were used to identify the spatial distribution of five wetland and three non-wetland classes on the Island of Newfoundland, covering an approximate area of 106,000 km(2). The classification results were evaluated using both pixel-based and object-based random forest (RF) classifications implemented on the GEE platform. The results revealed the superiority of the object-based approach relative to the pixel-based classification for wetland mapping. Although the classification using multi-year optical data was more accurate compared to that of SAR, the inclusion of both types of data significantly improved the classification accuracies of wetland classes. In particular, an overall accuracy of 88.37% and a Kappa coefficient of 0.85 were achieved with the multi-year summer SAR/optical composite using an object-based RF classification, wherein all wetland and non-wetland classes were correctly identified with accuracies beyond 70% and 90%, respectively. The results suggest a paradigm-shift from standard static products and approaches toward generating more dynamic, on-demand, large-scale wetland coverage maps through advanced cloud computing resources that simplify access to and processing of the Geo Big Data. In addition, the resulting ever-demanding inventory map of Newfoundland is of great interest to and can be used by many stakeholders, including federal and provincial governments, municipalities, NGOs, and environmental consultants to name a few.</t>
  </si>
  <si>
    <t>2072-4292</t>
  </si>
  <si>
    <t>10.3390/rs11010043</t>
  </si>
  <si>
    <t>WOS:000457935600043</t>
  </si>
  <si>
    <t>Niemczewska, J; Zaleska-Bartosz, J</t>
  </si>
  <si>
    <t>Niemczewska, Joanna; Zaleska-Bartosz, Joanna</t>
  </si>
  <si>
    <t>Introduction to the evaluation of the environmental footprint for the oil and natural gas production sector</t>
  </si>
  <si>
    <t>NAFTA-GAZ</t>
  </si>
  <si>
    <t>In connection with the ongoing activities of the European Commission (EC) for the unification of the product market and the development of common methods for measuring environmental performance over the life cycle of products and organizations, guidelines for the environmental footprint methodology are being developed. Among the guidelines developed so far at European level, there are no guidelines for the energy sector, including the hydrocarbon extraction sector. Despite the lack thereof, it is necessary to start the preparatory stage now for their possible future introduction due to threats to the competitiveness of Polish enterprises and the competitive position of a given product on the market. In the 2013 Communication, the European Commission proposes two methods for measuring environmental performance. One concerns the environmental assessment of products, while the other concerns the environmental assessment for the organization. The article discusses the possibility of using the Life Cycle Assessment method (LCA) to assess the products environmental footprint (PEFs) and organizations (OEFs) related to oil and gas sector. LCA is considered to be one of the most objective and accurate methods of environmental assessment and its main purpose is to reduce negative environmental impacts throughout the entire life cycle. The traditionally understood product life cycle includes stages, ranging from obtaining raw materials, through processes related to transport, production, to the use and post-use phase of a given product. Currently in Poland, LCA is not a widely known (practiced) tool, which is why there is a need to increase the involvement of the science sector (research, R&amp;D and consulting centers) in order to encourage Polish enterprises to become interested in the issue of environmental life cycle assessment. Thanks to the LCA method, it is possible to assess the ecological effect of changes planned in the organization in various areas of its activity (technological, administrative, infrastructural). LCA may also be part of a strategic, multi-faceted analysis of the efficiency of the Polish oil and natural gas production sector.</t>
  </si>
  <si>
    <t>0867-8871</t>
  </si>
  <si>
    <t>10.18668/NG.2020.08.05</t>
  </si>
  <si>
    <t>WOS:000596734000005</t>
  </si>
  <si>
    <t>Saleh, RM; Al-Swidi, A</t>
  </si>
  <si>
    <t>Saleh, Redhwan Mohammed; Al-Swidi, Abdullah</t>
  </si>
  <si>
    <t>The adoption of green building practices in construction projects in Qatar: a preliminary study</t>
  </si>
  <si>
    <t>Purpose It is widely known that carbon dioxide emissions and climate change are among the most critical global challenges. These issues were worsened partly by the continuous adoption of traditional non-green behaviors and practices in the construction sector. As both environmental and health-related practices continue to worsen, practitioners, researchers and government think tanks are taking a major shift to promote green building practices (GBP). The purpose of this paper is to examine and investigate the effects of several environment-related variables such as sustainable government support, environmental concern and green engagement in the adoption of GBP. Design/methodology/approach The model of the study was developed based on the integration of the theory of planned behavior (TPB), value-belief-norm and cognition-affective behavior (CAB). The instrument used to capture these constructs was adapted from existing validated instruments. The data were collected from Qatar-based consultant and contractor engineers. Of the 877 questionnaires distributed, 378 were completed which yields a response rate of 43 percent. The collected data were analyzed by employing the PLS-SEM approach. First, the measurement model was examined to confirm the validity and reliability of the measures. Next, the structural model was analyzed to test the hypotheses of the study. Findings The results of the study showed that environment-related variables such as green engagement, sustainable government support and environmental concern have strong effects on GBP along with other TPB variables, namely, subjective norms and attitudes. Research limitations/implications - Although the objectives of the study were achieved, there are still some limitations. First, this study yields a deemed suitable response rate. Second, since this research focused solely on the view of the contractors and consultants of the country's engineering sector, it may have narrowed down the real scenario. Practical implications - Besides the government providing awareness campaigns on the importance of GBP in reducing pollution, the government may also set some regulations to be followed by construction companies to reduce the negative impacts on the environment and regulations that could motivate the decision makers to increase the green construction projects and practices. In addition, the engineers still need some supports from green building authorities and government to motivate them toward GBP. Some incentives that could be offered by the government are financial allowances, funding and reduced governmental fees. Originality/value This study has a great theoretical value since it extended the TPB by incorporating some important environment-related variables to explain the adoption of GBP. In addition, from the practical perspective, this study provides useful insights for the practitioners and policy makers who are concerned about designing and planning environment-friendly strategies in the sector of construction.</t>
  </si>
  <si>
    <t>Al-Swidi, Abdullah/A-9397-2016</t>
  </si>
  <si>
    <t>Al-Swidi, Abdullah/0000-0002-1718-0269</t>
  </si>
  <si>
    <t>SEP 9</t>
  </si>
  <si>
    <t>10.1108/MEQ-12-2018-0208</t>
  </si>
  <si>
    <t>WOS:000483657400001</t>
  </si>
  <si>
    <t>Monks, RAG</t>
  </si>
  <si>
    <t>Redesigning corporate governance structures and systems for the twenty first century</t>
  </si>
  <si>
    <t>3rd International Conference on Corporate Governanceand Direction</t>
  </si>
  <si>
    <t>OCT 16-18, 2000</t>
  </si>
  <si>
    <t>HENLEY MANAGEMENT COLL, CTR BOARD EFFEC, HENLEY ON THAMES, ENGLAND</t>
  </si>
  <si>
    <t>HENLEY MANAGEMENT COLL, CTR BOARD EFFEC</t>
  </si>
  <si>
    <t>How a corporation is governed has become in recent years an increasingly important element in how it is valued by the market place. McKinsey &amp; Company in June 2000 published the results of an Investor Opinion Survey of attitudes about the corporate governance of portfolio companies. The survey gathered responses about investment intentions from over 200 institutions who together manage approximately $3.25 trillion in assets. Ranging from 17 per cent in the US and Britain to over 27 per cent in Venezuela, investors placed a specific premium on what was called Board Governance. To put this into perspective, consider how greatly sales would have to increase, expenses be cut and margins improved to achieve a comparable impact on value. For purposes of the survey, a well governed company is defined as having a majority of outside directors on the board with no management ties; holding formal evaluations of directors; and being responsive to investor requests for information on governance issues. In addition, directors hold significant stockholdings in the company, and a large proportion of directors' pay is in the form of stock options. This correlation of governance with market value by one of the most respected consulting companies in the world creates the foundations of a new language for management accountability. McKinsey has great credibility as a value-adding advisor to corporate managements. Governance is not a cause or a theology for McKinsey; it is an important element in the value of an enterprise. By getting the opinion of what we call Global Investors with portfolios of holdings on every continent, McKinsey has importantly impacted the cost of capital for all corporations henceforth. Admittedly, McKinsey's criteria of board governance are blunt. Every organization attempting to accomplish something has to ask and answer the following question, writes Harvard Business School professor Michael C. Jensen in the introduction to his recent working paper.(1) What are we trying to accomplish? Or, put even more simply: When all is said and done, how do we measure better versus worse? Even more simply: How do we keep score.... I say long-term market value to recognize that it is possible for markets not to know the full implications of a firm's policies until they begin to show up.... Value creation does not mean succumbing to the vagaries of the movements in a firm's values from day to day. The market is inevitably ignorant of many of our actions and opportunities, at least in the short run... Surprisingly little attention is paid to what we all intuitively know, that talented people are not entirely motivated by financial compensation. Directors therefore must pay special attention to creating an appropriate environment for stimulating optimum management performance.(2)</t>
  </si>
  <si>
    <t>10.1111/1467-8683.00241</t>
  </si>
  <si>
    <t>WOS:000169695900002</t>
  </si>
  <si>
    <t>Kolk, A; Mulder, G</t>
  </si>
  <si>
    <t>Kolk, Ans; Mulder, Gerhard</t>
  </si>
  <si>
    <t>Regulatory Uncertainty and Opportunity Seeking: THE CASE OF CLEAN DEVELOPMENT</t>
  </si>
  <si>
    <t>CALIFORNIA MANAGEMENT REVIEW</t>
  </si>
  <si>
    <t>Regulatory uncertainty has been inherent in climate change policy due to the absence of a successor to the Kyoto Protocol. Many companies have called for more certainty and a stable policy framework. However, besides having clear disadvantages, regulatory uncertainty may also benefit some companies if they recognize the opportunities of flux and move early. This article explores business opportunities that have emerged for different types of companies, including utilities, banks, project development &amp; carbon offset companies, brokers, exchanges, consultants, auditors, and legal services providers with respect to clean development projects and the related carbon market.</t>
  </si>
  <si>
    <t>Kolk, Ans/J-9998-2012</t>
  </si>
  <si>
    <t>Kolk, Ans/0000-0001-5345-2965</t>
  </si>
  <si>
    <t>0008-1256</t>
  </si>
  <si>
    <t>2162-8564</t>
  </si>
  <si>
    <t>10.1525/cmr.2011.54.1.88</t>
  </si>
  <si>
    <t>WOS:000297389500005</t>
  </si>
  <si>
    <t>Lidskog, R; Sjodin, D</t>
  </si>
  <si>
    <t>Lidskog, Rolf; Sjoedin, Daniel</t>
  </si>
  <si>
    <t>Risk governance through professional expertise. Forestry consultants' handling of uncertainties after a storm disaster</t>
  </si>
  <si>
    <t>How do forestry consultants provide advice when facing a situation of great uncertainty? This question serves as the point of departure in analyzing how forestry consultants provide guidance in extreme situations. Three empirical cases are analyzed, all related to a storm that caused the most severe damage in Swedish history. The first case concerns how forestry consultants handled the immediate uncertainties in their advice on how to manage the windthrow. The second case concerns how they handled the risks associated with the large-scale timber depots that resulted from the decision to transport all windthrown trees away from the forest. The third case concerns how forestry consultants handled uncertainties regarding the reforestation of the area. Whereas there was discursive closure in the two first cases, and the forest owners followed the recommendations made by the forestry consultants, there was no discursive closure in the third case, resulting in the forest owners deciding against the advice provided by the consultants. In conclusion, this result is explained with reference to the epistemic authority and embodied knowledge of the forestry consultants.</t>
  </si>
  <si>
    <t>10.1080/13669877.2015.1043570</t>
  </si>
  <si>
    <t>WOS:000390681000006</t>
  </si>
  <si>
    <t>Kittikhoun, A; Weiss, TG</t>
  </si>
  <si>
    <t>Kittikhoun, Anoulak; Weiss, Thomas G.</t>
  </si>
  <si>
    <t>The Myth of Scholarly Irrelevance for the United Nations</t>
  </si>
  <si>
    <t>INTERNATIONAL STUDIES REVIEW</t>
  </si>
  <si>
    <t>In the case of the United Nations, scholars have had an impact in fostering ideas and policies, including human development, climate change, global compact, sovereignty as responsibility, and human security. Of the three-headed UN monster-the first UN of member states, the second UN of staff members, scholars constitute a key part of the third UN of those closely associated with the world body but independent from it. Scholars' roles include research, policy analysis, and idea mongering. They have been able to exert influence as consultants, commissioners, and temporary staffs.</t>
  </si>
  <si>
    <t>1521-9488</t>
  </si>
  <si>
    <t>10.1111/j.1468-2486.2010.00994.x</t>
  </si>
  <si>
    <t>WOS:000288026500004</t>
  </si>
  <si>
    <t>Moellenkamp, S; Lamers, M; Huesmann, C; Rotter, S; Pahl-Wostl, C; Speil, K; Pohl, W</t>
  </si>
  <si>
    <t>Moellenkamp, Sabine; Lamers, Machiel; Huesmann, Christian; Rotter, Sophie; Pahl-Wostl, Claudia; Speil, Karina; Pohl, Wiebke</t>
  </si>
  <si>
    <t>Informal Participatory Platforms for Adaptive Management. Insights into Niche-finding, Collaborative Design and Outcomes from a Participatory Process in the Rhine Basin</t>
  </si>
  <si>
    <t>ECOLOGY AND SOCIETY</t>
  </si>
  <si>
    <t>New regulatory water management requirements on an international level increasingly challenge the capacity of regional water managers to adapt. Stakeholder participation can contribute to dealing with these challenges because it facilitates the incorporation of various forms of knowledge and interests into policy-making and decision-making processes. Also, by providing space for informal multi-stakeholder platforms, management experiments can be established more easily in rigid regulatory settings, allowing for social learning to take place. Stakeholder participation is currently stipulated by several legal provisions, such as the Water Framework Directive, which plays an increasingly important role in European water management. Drawing on recent experiences in a participatory process in the German Dhuenn basin, a sub-basin of the river Rhine, we explored the interplay of informal and formal settings in a participatory process. To what degree can we allow for openness and catalyze social learning in participatory processes grounded in formal management structures? To what degree can results of informal processes have an impact on practice? We analyzed three major challenges related to this interplay: (1) the niche-finding process to establish a participatory platform; (2) the co-design process by water management practitioners, researchers and consultants; and (3) the tangible outputs and learning. We found that niches for the establishment of informal participatory platforms can occur even in a rigid and strongly structured administrative environment. Further, our case study shows that collaborative process design fosters dealing with uncertainties. We conclude that in an effective participatory process, a balance should be struck between informality and formal institutional structures to catalyze experimentation and learning and to ensure that process results have an impact on management decisions.</t>
  </si>
  <si>
    <t>Lamers, Machiel/0000-0002-4189-3066</t>
  </si>
  <si>
    <t>1708-3087</t>
  </si>
  <si>
    <t>WOS:000285917100042</t>
  </si>
  <si>
    <t>Mosalam, HA; El-Barad, M</t>
  </si>
  <si>
    <t>Mosalam, Heba Ahmed; El-Barad, Mohamed</t>
  </si>
  <si>
    <t>Design of an integration platform between the water-energy nexus and a business model applied for sustainable development</t>
  </si>
  <si>
    <t>Setting out an international standard schema for the water-energy-food (WEF) nexus and providing accurate data with realistic reports for investment through a simple application is essential for our real world. This research presents a tool to help anyone who wants to invest in environmental projects, especially water, energy, or food projects. The user can directly connect to a database of environmental data applying WEF nexus principles. This paper is looking for a mechanism to apply the WEF nexus concept through a web-based platform implementing unified concepts and terminology, setting basic criteria and standards, and making the data available, consistent, and homogeneous. Based on the problem statement, the purpose of this research is to implement a cross-application for sustainable development, including WEF nexus concepts, taking into consideration the interlinkage between the three resources integrated with a business model or financial study for projects. In addition, we have determined organizational perspectives of WEF nexus, including government entities, non-governmental organizations, and the private sector, and consolidated all the concepts into one set of WEF standards. Increasing the awareness of WEF nexus will help to establish a new generation of researchers who believe in the WEF nexus concepts and who will coordinate with developers and expert consultants to convert the WEF standards to programming coding.</t>
  </si>
  <si>
    <t>Mosalam, Heba/T-1586-2019</t>
  </si>
  <si>
    <t>10.2166/wst.2020.212</t>
  </si>
  <si>
    <t>WOS:000550099400009</t>
  </si>
  <si>
    <t>Hooper, B</t>
  </si>
  <si>
    <t>Hooper, Bruce</t>
  </si>
  <si>
    <t>River basin organization performance indicators: application to the Delaware River basin commission</t>
  </si>
  <si>
    <t>This paper reports the development of performance indicators of a river basin management organization's ability to undertake integrated water resources management, and applies them to a US basin organization: a river basin commission. Integrated water resources management (IWRM) and integrated river basin management (IRBM) are defined, in the context of international and US advances in IWRM and IRBM. A suite of good governance factors was assembled from the reviews of consultants' practical experiences in river basin management, peer-reviewed literature, government reports and policy statements, and reports of river basin management practice. A list of impediments to the implementation of IRBM was also assembled. These sources were used as the data set to develop 115 indicators of best practice in IRBM; these indicators were grouped into ten categories: coordinated decision-making, responsive decision-making, goals and goal shift, financial sustainability, organizational design, role of law, training and capacity building, information and research, accountability and monitoring, private and public sector roles. This paper reports the results of a facilitated workshop with the Delaware River Basin Commission's staff and stakeholders to apply the indicators to their setting. The outcome of the workshop was a self-assessment tool for performance evaluation, involving triaging the basin organization situation, checking performance against 20 performance benchmarks and using 63 performance indicators for basin commission settings. The paper concludes with a discussion of the issues surrounding the application of the performance indicators to other US basins and commissions.</t>
  </si>
  <si>
    <t>10.2166/wp.2010.111</t>
  </si>
  <si>
    <t>WOS:000280882100001</t>
  </si>
  <si>
    <t>PAYNE, SL</t>
  </si>
  <si>
    <t>CRITICAL SYSTEMS THINKING - A CHALLENGE OR DILEMMA IN ITS PRACTICE</t>
  </si>
  <si>
    <t>SYSTEMS PRACTICE</t>
  </si>
  <si>
    <t>Emerging descriptions of critical systems thinking (CST) have yet to provide much information on how consultants with such a philosophy should act as potential organizational change agents in actually gaining opportunities to introduce CST applications. Issues of professional activism and advocacy need to be explored in the recommended actions taken by such change agents to challenge the dominant ideology and aspects of a coercive political climate that exists in many organizations. Theory development and the creative potential of CST may be enhanced by its advocates studying related critical theory development in other management and social science subfields.</t>
  </si>
  <si>
    <t>0894-9859</t>
  </si>
  <si>
    <t>10.1007/BF01059842</t>
  </si>
  <si>
    <t>WOS:A1992HY44900003</t>
  </si>
  <si>
    <t>Li, Y; Xie, DH; Nie, GM; Zhang, JH</t>
  </si>
  <si>
    <t>Li, Ying; Xie, Donghua; Nie, Guangmeng; Zhang, Junhua</t>
  </si>
  <si>
    <t>The Drink Driving Situation in China</t>
  </si>
  <si>
    <t>TRAFFIC INJURY PREVENTION</t>
  </si>
  <si>
    <t>Objective: China has been concerned about the serious problem of drinking and driving road crashes, and it has made good progress by establishing strict laws, imposing serious penalties, and initiating a rigorous enforcement program since 2008. This study has assessed the magnitude and nature of the problem and reviewed the legislation, current practices, and institutional capacities for preventing drinking and driving. Methods: Data and information were collected using existing reports and by consulting officials and experts from a number of agencies. Results: Although there were no national statistics on levels of drinking and driving, random breath test surveys in 2 southern cities showed that between 4.5 and 4.6 percent of drivers were driving over the minimum legal blood alcohol concentration (BAC) limit of 20 mg/100 mL. Preliminary results from crash data also showed that at least 20 percent of serious road crashes were alcohol related in these cities. The national published figure for fatal crashes caused by drinking and driving was much lower, only 4 percent, but alcohol was not often identified as the main cause because of measurement difficulties. China's legislation sets 2 BAC limits that are comparable with international norms. It has recently increased the penalties for drunk driving, the more serious of the 2 offenses, with a minimum driving ban of 5 years. The police are actively enforcing the laws through frequent roadside checking but they need more resources. Alcohol breath tests before and after a combined publicity and enforcement campaign indicated reductions of 87 and 68 percent of drivers over the legal limit in 2 southern cities. Conclusions: China has made progress in strengthening its approach to preventing drinking and driving, particularly in the area of law enforcement. However, it is not possible to evaluate the potential benefits because of data issues. Recommendations for the future include the need to improve the national road crash and injury database, strengthen the coordination of key agencies, and provide more effective and sustained public information campaigns that target vulnerable drivers and are integrated with enforcement strategies. Evaluation and research are important to improve future prevention programs.</t>
  </si>
  <si>
    <t>1538-9588</t>
  </si>
  <si>
    <t>1538-957X</t>
  </si>
  <si>
    <t>10.1080/15389588.2011.637097</t>
  </si>
  <si>
    <t>WOS:000304242300003</t>
  </si>
  <si>
    <t>Michaels, S</t>
  </si>
  <si>
    <t>Michaels, Sarah</t>
  </si>
  <si>
    <t>Matching knowledge brokering strategies to environmental policy problems and settings</t>
  </si>
  <si>
    <t>The benefits of utilizing intermediaries to broker understanding between environmental scientists and policy makers have become widely touted. Yet little is known about the tasks boundary spanners undertake to develop environmental policy solutions and how these tasks fit into frameworks intended to advance public policy decision making. Such frameworks may be constructed to aid decision makers in differentiating between the types of environmental policy issues that confront them or the policy settings in which they are operating. Consequently, this paper examines how six different knowledge brokering strategies; informing, consulting, matchmaking, engaging, collaborating and building capacity might be employed in responding to different types of environmental policy problems or policy settings identified in decision aiding frameworks. Using real world examples, four frameworks are reviewed. They are; Lindquist's [Lindquist, E.A., 1988. what do decision models tell us about information use? Knowledge in Society 1 (2), 86-111; Lindquist, E.A., 1990. The third community, policy inquiry, and social scientists. In: Stephen Brooks, S., Gagnon, A. (Eds.), Social Scientists, Policy and the State. Praeger, New York; Lindquist, E.A., 2001. Discerning policy influence: framework for a strategic evaluation of IDRC-Supported research] decision regimes, Turnhout et al.'s [Turnhout, E., Hisschemoller, M., Eijsackers, H., 2007. Ecological indicators: between the two fires of science and policy. Ecological Indicators 7 (2), 215-228] science policy typology, Holling's [Holling, C.S., 1995. What barriers? What bridges? In: Gunderson, L.H., Holling, C.S. (Eds.), Barriers and Bridges to the Renewal of Ecosystems and institutions. Columbia University Press, New York, pp. 3-34] adaptive cycle and Kurtz and Snowden's [Kurtz, C.F., Snowden, D.J., 2003. The new dynamics of strategy: sense-making in a complex and complicated world. IBM Systems Journal 42 (3), 462-483] Cynefin domains. For the different problem types or policy settings described in the decision aiding frameworks primary knowledge brokering strategies are identified. While the frameworks differ in their conceptual constructions, the applicability of specific knowledge brokering strategies serve as a commonality across particular problem types and policy settings. (C) 2009 Elsevier Ltd. All rights reserved.</t>
  </si>
  <si>
    <t>McLean, Laurence JA/C-7367-2014</t>
  </si>
  <si>
    <t>10.1016/j.envsci.2009.05.002</t>
  </si>
  <si>
    <t>WOS:000272287900022</t>
  </si>
  <si>
    <t>Petrunenko, I; Plotnikova, MF; Nieliepova, A; Bilousko, TY; Mazur, AV; Goncharenko, IM</t>
  </si>
  <si>
    <t>Petrunenko, Iaroslav; Plotnikova, Mariia F.; Nieliepova, Alona; Bilousko, Tamila Y.; Mazur, Anastasiia, V; Goncharenko, Iryna M.</t>
  </si>
  <si>
    <t>Development and support of small innovative entrepreneurship in Europe and the USA</t>
  </si>
  <si>
    <t>REVISTA SAN GREGORIO</t>
  </si>
  <si>
    <t>Modern business practice shows that small innovative entrepreneurship needs special support in the context of rapid development of science and technology. To implement the outlined, various business support programs are being developed at a rapid pace, which are being actively implemented in practice. The aim of the article is to present the conceptual features of the development and support of small innovative entrepreneurship in Europe and the United States. The purpose of the academic paper is to present the conceptual features of supporting small innovative entrepreneurship in Europe and the United States of America. A number of research methods have been used to reveal the purpose of the article, including such as: system-structural method, method of description, method of theoretical analysis, method of comparison, method of observation, method of synthesis, experimental method, modeling method, grouping method, generalization method. It has been proved that in European countries and the USA the policy of support of small innovative business is actively pursued. It has been found that the UK has developed and implemented Europe 2020: Scottish national reform program 2017, which provides support for small innovative businesses by promoting innovation in the business environment. It has been established that the Netherlands intends to expand opportunities to increase funding for small innovative entrepreneurships and provide favorable conditions for interaction between the private sector and scientists and researchers. It has been determined that in Germany the support of small innovative enterprises is granted by BVIZ, which provides opportunity and initiates potential entities to conduct small innovative entrepreneurship and activities in the direction of technology transfer and promotion of economic development. It has been established that in the USA support of small innovative entrepreneurships is provided by Small Business Development Centers which operate in various states of this country at local level and provide direct consulting services concerning prospects of business planning, legality (legitimacy) of activity, prospects of development of scientific researches, prospects of development of technics and technologies. It has been found that in addition to states, support for small innovative entrepreneurships is provided by international organizations and institutions, such as European Bank for Reconstruction and Development and the European Commission.</t>
  </si>
  <si>
    <t>1390-7247</t>
  </si>
  <si>
    <t>2528-7907</t>
  </si>
  <si>
    <t>WOS:000600032800019</t>
  </si>
  <si>
    <t>Poissonnet, M; Brudo, V; Dosso, M</t>
  </si>
  <si>
    <t>Poissonnet, Mikael; Brudo, Vincent; Dosso, Mireille</t>
  </si>
  <si>
    <t>The protected forest of Kakamega (Western Kenya) between two immediate futures: Announced destruction or concerted management?</t>
  </si>
  <si>
    <t>The Kakamega forest, located in Western Kenya province, is well known around the world for its biodiversity and it now constitutes a tourist attraction and an experimental area for the international scientific community. But this natural heritage is threatened by strong land pressure in an area where surrounding communities are mainly constituted of farmers of the Luhya ethnic group. In spite of forest protection laws, the removal and the sale of forest products contribute to the sustainability of their systems of production. Thus, the Kakamega forest is at the heart of a conflict between the State and rural communities. our field work was based on a survey of the main stakeholders, farmers and State representatives in order to raise the question of the possibility of joint management. A total number of 90 people were interviewed in eleven villages around the forest as well as in seven markets, thus taking into account all the aforementioned stakeholders. our study shows that the State has established forest protection laws without consulting the farmers. This is why these laws are not recognized by the farmers who continue to draw on forest reserves. indeed, even if the sale of forest products is illegal, it still contributes to between 10% and 85% of the farmers' income. In time, if these activities were to continue, the forest would disappear as in the Maragoli area. The setting up of a new management policy for the Kakamega forest constitutes an essential stake for the agriculture of this area. It is necessary to find alternatives which enable incomes to be generated for the farmers and which contribute to the preservation of the forest. Thus, the development support of farmer associations and the growing awareness of the importance of planting trees in the concessions are initiatives to be encouraged. Moreover, the development of social tourism supplementing an already established ecological tourism would contribute to give new value to the Kakamega forest and would generate new sources of income. The farmers would thus become aware of the international fame of the forest and the interest in preserving it from the point of view of concerted management.</t>
  </si>
  <si>
    <t>1166-7699</t>
  </si>
  <si>
    <t>WOS:000241511200002</t>
  </si>
  <si>
    <t>Ballinger, RC; Dodds, W</t>
  </si>
  <si>
    <t>Ballinger, Rhoda C.; Dodds, Wendy</t>
  </si>
  <si>
    <t>Shoreline management plans in England and Wales: A scientific and transparent process?</t>
  </si>
  <si>
    <t>Coastal change, including severe winter storms, requires decision-makers to understand the nature of coastal hazards so they can manage the risks and protect coastal communities. This study has provided the first structured quantitative analysis of the scientific underpinning and transparency associated with key policies dictating the future of the coastline in England and Wales. Based on a content analysis of first and second generation shoreline management plans, it has queried the visibility, clarity and transparency of evidence. Results point to improved evidence and understanding at the regional-scale, but issues associated with the transparency of the science informing policy at local levels. Inconsistencies in performance appear to relate to differing approaches of the consultancies preparing the plans rather than the nature of the coasts, the types of policies or the government guidance informing plan development. The study points to a need for a more thorough quality assurance process at national level and calls for clearer guidance on how these regional coastal adaptation plans and their supporting science should be read and interpreted by relevant stakeholder audiences. There are clear lessons from this study for planning processes elsewhere, especially those involving the downscaling of regionally based data and information. There are also potential applications of our criteria-based approach to other planning systems which require scientific scrutiny and transparency.</t>
  </si>
  <si>
    <t>10.1016/j.marpol.2017.03.009</t>
  </si>
  <si>
    <t>WOS:000503319000017</t>
  </si>
  <si>
    <t>Davis, AE; Barrueco, S; Perry, DF</t>
  </si>
  <si>
    <t>Davis, Annie E.; Barrueco, Sandra; Perry, Deborah F.</t>
  </si>
  <si>
    <t>The role of consultative alliance in infant and early childhood mental health consultation: Child, teacher, and classroom outcomes</t>
  </si>
  <si>
    <t>INFANT MENTAL HEALTH JOURNAL</t>
  </si>
  <si>
    <t>Young children's social-emotional development is powerfully shaped by their early environments, which for many includes early childhood education (ECE). Infant and Early Childhood Mental Health Consultation (IECMHC) pairs teachers and infant and early childhood mental health (IECMH) consultants to promote teachers' capacity to foster positive social-emotional development in ECE. Although the outcomes of IECMHC have been well studied, little research has investigatedhowthis model leads to changes for teachers and children. According to theory, the quality of the relationship between teachers and IECMH consultants, termed consultative alliance (CA), is a key mechanism of change. This study analyzed the role of CA on 6-month outcomes of IECMHC in a sample of 316 children, 289 teachers, and 62 IECMH consultants. Results from multilevel models suggested that stronger CA predicted greater improvements in teacher-child closeness and teacher-rated child attachment behaviors. In addition, a strong CA was related to greater improvement in classroom climate, teachers' self-efficacy, and teachers' perceptions of their jobs. This study upholds the centrality of relationship-building and parallel process in mental health consultation, and by advancing understanding of the mechanisms of change for IECMHC may provide salient implications for policy and practice.</t>
  </si>
  <si>
    <t>0163-9641</t>
  </si>
  <si>
    <t>1097-0355</t>
  </si>
  <si>
    <t>10.1002/imhj.21889</t>
  </si>
  <si>
    <t>WOS:000565950300001</t>
  </si>
  <si>
    <t>Fyhn, H; Soraa, RA; Solli, J</t>
  </si>
  <si>
    <t>Fyhn, Hakon; Soraa, Roger Andre; Solli, Joran</t>
  </si>
  <si>
    <t>Why energy retrofitting in private dwellings is difficult in Norway: Coordinating the framing practices of government, craftspeople and homeowners</t>
  </si>
  <si>
    <t>Retrofitting private homes to meet strict energy demands is a prioritised goal in climate mitigation policy. In this article we approach the challenge by analysing how retrofitting is framed differently by the government, homeowners and craftspeople acting as energy consultants. We follow a programme designed to support substantial retrofitting of homes in Norway from its introduction in 2012 through 2016, documenting how the programme was developed and modified to make it attractive for homeowners, and how it somehow never succeeded in becoming attractive. We suggest framing analysis in order to highlight the challenges government actors face in aligning their policy to homeowners and intermediaries. We find that the governmental framing of energy retrofitting is characterized by a particular distance between a handful of bureaucrats and 2.2 million private homes to be governed; we call this a 'distance in scale'. Three distinct 'bridging' activities are set up to handle this distance. We suggest that difficulties in aligning with the framings of homeowners and intermediaries relates to the dynamic between these bridges. We point out how it is necessary to consider and coordinate the various framings of all stakeholders when implementing energy policy.</t>
  </si>
  <si>
    <t>10.1016/j.erss.2018.10.022</t>
  </si>
  <si>
    <t>WOS:000460444100015</t>
  </si>
  <si>
    <t>Chen, B; Bian, CY; Shen, W</t>
  </si>
  <si>
    <t>Chen, Bo; Bian, Chenyu; Shen, Wei</t>
  </si>
  <si>
    <t>The impact analysis of policy events on China's carbon market</t>
  </si>
  <si>
    <t>This paper interrogates the impact of policy events on the efficiency of carbon market in China. The analysis covers five piloting emission trading schemes (Beijing, Shanghai, Guangdong, Shenzhen and Hubei), particularly focusing on Guangdong pilot for its weak form efficiency and the richness of policy events. Twenty-five policy events between 2014 and 2016 are categorized into seven groups. The efficiency test indicates that only Guangdong ETS has reached weak form efficiency. After exploring the policy events occurred in Guangdong ETS, it finds that although a clear long-term climate policy has been set up over the country, China's carbon market still has a conservative risk appetite and its governing institutions still needs further development. The policy makers need to be aware of and avoid the negative impacts of policy events to the market evolvement, by introducing effective consultancy process with the stakeholders and nurturing market expectations in the long run. We also find that events like allowance auctions have considerably less impacts than previously expected and argue that auction approach should be considered a preferable option over a free allocation system in the future policy design.</t>
  </si>
  <si>
    <t>10.1080/10042857.2018.1545404</t>
  </si>
  <si>
    <t>WOS:000469819400001</t>
  </si>
  <si>
    <t>Destatte, P</t>
  </si>
  <si>
    <t>Destatte, Philippe</t>
  </si>
  <si>
    <t>Foresight: A major tool in tackling sustainable</t>
  </si>
  <si>
    <t>For many decades, the concept of sustainability has been highly successful in public policies and even in the business world.(1) Nowadays, all initiatives must be sustainable and are primarily assessed on that criterion. However, the efforts made to construct specific methods dedicated to building sustainable strategies seem rather weak. Futurists themselves underestimate the relationship between sustainable development and foresight, even if they are talking about sustainable planning.(2) They remain generally unaware that foresight could be a major tool in tackling sustainability as well as one of the best methods of preparing sustainable strategies and policies. Indeed, one of the biggest problems in sustainability approaches is the simplistic way used to define the concept, for instance, by using only the very first part of the 1987 the Bruntland report Our Common Future and by limiting the fields of activity on sustainability to the three pillars of the OECD model: economy, social questions, environment. At the Copenhagen United Nations Climate Change Conference (December 2009), it seemed forgotten that sustainability is already an old issue in which futurists were heavily involved at the time of the United Nations Stockholm Environment Conference (1972), in the Limits to Growth Report, published by the Club of Rome (1972)(3) and in the OECD Interfutures Foresight, spurred on by Jacques Lesourne (1978).(4) Since that time (forty years ago!) researchers and consultants have learned how to deal with the concept of sustainability, how to analyze it as an ultimate aim for society as a whole as well as a complex object that needs to be approached with adequate methods such as systemic analysis. As Christian Stoffaes said, the aim of foresight is sustainable development in a changing world. As a result, the ultimate aim of strategic foresight appears to be clear: it is sustainability. This article highlights that fundamental relationship as we see it today.(5) (C) 2010 Elsevier Inc. All rights reserved.</t>
  </si>
  <si>
    <t>10.1016/j.techfore.2010.07.005</t>
  </si>
  <si>
    <t>WOS:000285123900024</t>
  </si>
  <si>
    <t>Farrell, DM; Kolodny, R; Medvic, S</t>
  </si>
  <si>
    <t>Parties and campaign professionals in a digital age - Political consultants in the United States and their counterparts overseas</t>
  </si>
  <si>
    <t>HARVARD INTERNATIONAL JOURNAL OF PRESS-POLITICS</t>
  </si>
  <si>
    <t>World Congress of the International-Political-Science-Association</t>
  </si>
  <si>
    <t>AUG 02-06, 2000</t>
  </si>
  <si>
    <t>QUEBEC CITY, CANADA</t>
  </si>
  <si>
    <t>Int Polit Sci Assoc</t>
  </si>
  <si>
    <t>This article assesses the role of campaign professionals in election campaigns in the Digital Age,with particular reference to their relationship with political parties. In the first section, the authors develop a typology of political consultants and assess the role they play in U.S. elections. This review of the evidence suggests a healthier relationship than has previously been assumed between U.S. parties and consultants. The second section examines comparative trends in Western Europe-which has seen some significant adaptation by the established parties-as well as in new democracies generally. In both cases campaign professionals have become increasingly prominent, indicating a convergence on the U.S. campaign model. Overall, the evidence supports the thesis that election campaigns have outgrown the institutional limitations of political parties, requiring a role for campaign professionals to fill this increasing gap.</t>
  </si>
  <si>
    <t>Kolodny, Robin/0000-0001-6762-4094; farrell, david/0000-0002-0528-4335</t>
  </si>
  <si>
    <t>1081-180X</t>
  </si>
  <si>
    <t>10.1177/108118001129172314</t>
  </si>
  <si>
    <t>WOS:000174741300002</t>
  </si>
  <si>
    <t>Bernhardi, L; Beroggi, GEG; Moens, MR</t>
  </si>
  <si>
    <t>Sustainable water management through flexible method management</t>
  </si>
  <si>
    <t>WATER RESOURCES MANAGEMENT</t>
  </si>
  <si>
    <t>Water management projects are complex and contain many dimensions, including the nature of the problem, technological challenges, and political relevance. Experts and consultants in water management usually work with a limited set of analysis and project planning methods. This implies that experts and consultants have a restricted spectrum for bidding on water management projects and that the engagement of a specific expert or consultant introduces a biased approach to water management. To alleviate these limitations, experts and consultants should have a readily accessible collection of analysis and project management methods at their disposal, coupled with guidelines for combining these methods to best approach a water management project. In this paper we propose a taxonomy for classifying methods used in water management. Using this taxonomy, we derive a Project Management Specification Model (PMSM) to help experts select, combine, and operationalize methods to match best the requirements posed by a project. The taxonomy and PMSM were derived and validated by analyzing more than 90 methods together with experts in the field of water management, and by using them within two new project proposals made by an engineering company. We could conclude that PMSM's broad view on water management helps experts and consultants choose flexible analysis and project management approaches, and that it increases the involvement of, and acceptance by, all parties involved in water management.</t>
  </si>
  <si>
    <t>0920-4741</t>
  </si>
  <si>
    <t>10.1023/A:1011105008526</t>
  </si>
  <si>
    <t>WOS:000169223100004</t>
  </si>
  <si>
    <t>Irmak, S; Rees, JM; Zoubek, GL; van DeWalle, BS; Rathje, WR; DeBuhr, R; Leininger, D; Siekman, DD; Schneider, JW; Christiansen, AP</t>
  </si>
  <si>
    <t>Irmak, S.; Rees, J. M.; Zoubek, G. L.; van DeWalle, B. S.; Rathje, W. R.; DeBuhr, R.; Leininger, D.; Siekman, D. D.; Schneider, J. W.; Christiansen, A. P.</t>
  </si>
  <si>
    <t>NEBRASKA AGRICULTURAL WATER MANAGEMENT DEMONSTRATION NETWORK (NAWMDN): INTEGRATING RESEARCH AND EXTENSION/OUTREACH</t>
  </si>
  <si>
    <t>APPLIED ENGINEERING IN AGRICULTURE</t>
  </si>
  <si>
    <t>Maximizing the net benefits of irrigated plant production through appropriately designed agricultural water management programs is of growing importance in Nebraska, and other western and Midwestern states, because many areas are involved in management and policy changes to conserve irrigation water. In Nebraska, farmers are being challenged to practice conservation methods and use water resources more efficiently while meeting plant water requirements and maintaining high yields. Another challenge Nebraska experiences in it's approximately 3.5-million-ha irrigated lands is limited adoption of newer technologies/tools to help farmers better manage irrigation, conserve water and energy, and increase plant water use efficiency. In 2005, the Nebraska Agricultural Water Management Demonstration Network (NAWMDN or Network) was formed from an interdisciplinary team of partners including the Natural Resources Districts (NRD); USDA-NRCS; farmers from south central, northeast, west central, and western Nebraska; crop consultants; and University of Nebraska-Lincoln faculty. The main goal of the Network is to enable the transfer of high quality research-based information to Nebraskans through a series of demonstration projects established in farmers' fields and implement newer tools and technologies to address and enhance plant water use efficiency, water conservation, and reduce energy consumption for irrigation. The demonstration projects are supported by the scientifically-based field research and evaluation projects conducted at the University of Nebraska-Lincoln, South Central Agricultural Laboratory located near Clay Center, Nebraska. The Network was formed with only 15 farmers as collaborators in only one of the 23 NRDs in 2005. As of late 2009, the number of active collaborators has increased to over 300 in 12 NRDs and 35 of 93 counties. The Network is impacting both water and energy conservation due to farmers adopting information and newer technologies for irrigation management The NAWMDN is helping participants to improve irrigation management and efficiency by monitoring plant growth stages and development, soil moisture, and crop evapotranspiration. As a result, they are reducing irrigation water application amounts and associated energy savings is leading to greater profitability to participating farmers. This article describes the goals and objectives of the Network, technical and educational components, operational functions, and procedures used in the NAWMDN. The quantitative impacts in terms of water and energy conservation are reported.</t>
  </si>
  <si>
    <t>0883-8542</t>
  </si>
  <si>
    <t>WOS:000281451600008</t>
  </si>
  <si>
    <t>Gache, F</t>
  </si>
  <si>
    <t>Gache, Frederic</t>
  </si>
  <si>
    <t>Paroxysmal floods on Seine basin since 1780. About the rule of the flood happened in January 1910 and other floods of the 20th century as reference and about winter periods for the occurrence of the great floods</t>
  </si>
  <si>
    <t>In the middle 1990's, the Seine Normandy's Water Board made an atlas of the biggest floods known, in order to define a hazard reference for main rivers of the Seine basin. This study was ordered to two major consultancies. The results confirmed that references are floods that happened at the 20th century, notably in January 1910, 1924 or 1955. Thousands of pages of official documents were written about 1910's flood, and the first films related to a catastrophic flood are due to this event. That flood still serves as a reference for the current policies (PPRI). Without minimizing this extraordinary flood, some other important elements appear from the analysis to the datas of official archives. Indeed, other events have equaled or exceed this reference, sometimes widely. Our research has unearthed some higher events on the Seine catchment, as March 1784, May 1836, or September 1866). If one of these floods occurred in late winter, we were mainly surprised by the season in which took place the two other events. Indeed, it is widely accepted by officials that most of the large floods of the Seine (since 1650) take place between December and February. Actually, the canopy and evaporation prevent generally the occurrence of major floods in the summer months. It appears that their locally impacts were far more important than 20th centuries flood. Their velocity of propagation sometimes surprised flood forecasting services, which has also forced them to revise their flood forecast formulas. Despite uncertainties about the real discharges of some of these flood (most of which still been calculated by the state utilities), they represented local references. The analysis of archives shows that memory of floods was transmitted continuously in the State utilities until the 70's. However, from that date, a trouble is maybe occurred; they rarely speak, and no longer use them in calculations of flood frequency. However, shouldn't we no better consider old events at the time of the preliminary risk assessment of the flood Directive and also the flood assessment of climate change on the Seine basin's hydrology?</t>
  </si>
  <si>
    <t>10.1051/lhb/2013020</t>
  </si>
  <si>
    <t>WOS:000322298500002</t>
  </si>
  <si>
    <t>Kuzminov, I; Bereznoy, A; Bakhtin, P</t>
  </si>
  <si>
    <t>Kuzminov, Ilya; Bereznoy, Alexey; Bakhtin, Pavel</t>
  </si>
  <si>
    <t>Global energy challenges and the national economy: stress scenarios for Russia</t>
  </si>
  <si>
    <t>FORESIGHT</t>
  </si>
  <si>
    <t>Purpose - This paper aims to study the ongoing and emerging technological changes in the global energy sector from the frequently neglected perspective of their potential destructive impact on the Russian economy. Design/methodology/approach - Having reviewed existing global energy forecasts made by reputable multilateral and national government agencies, major energy corporations and specialised consulting firms, the authors noticed that most of them are by and large based on the extrapolation of conventional long-term trends depicting gradual growth of fossil fuels' demand and catching-up supply. Unlike this approach, the paper focuses on the possible cases when conventional trends are broken, supply-demand imbalances become huge and the situation in the global energy markets is rapidly and dramatically changing with severe consequences for the Russian economy, seriously dependent on fossil fuels exports. Revealing these stress scenarios and major drivers leading to their realisation are in the focus of the research. Based on the Social, Technological, Economic, Environmental, Political, Values (analytical framework) (STEEPV) approach, the authors start from analysing various combinations of factors capable to launch stress scenarios for the Russian economy. Formulating concrete stress scenarios and assessing their negative impact on the Russian economy constitute the next step of the analysis. In conclusion, the paper underlines the urgency to integrate stress analysis related to global energy trends into the Russian national systems of technology foresight and strategic planning, which are now in the early stages of development. Findings - The analysis of global energy market trends and various combinations of related economic, political, technological and ecological factors allowed to formulate four stress scenarios particularly painful for the Russian economy. They include the currently developing scenario Collapse of oil prices, and three potential ones: Gas abundance, Radical de-carbonisation and Hydrogen economy. One of the most important conclusions of the paper is that technology-related drivers are playing the leading role in stress scenario realisation, but it is usually a specific combination of other drivers (interlacing with technology-related factors) that could trigger the launch a particular scenario. Research limitations/implications - This study's approach is based on the assumption that Russia's dependence on hydrocarbons exports as one of the main structural characteristics of the Russian economy will remain intact. However, for the long-term perspective, this assumption might not hold true. So, new research will be needed to review the stress scenarios within the context of radical diversification of the Russian economy. Practical implications - This paper suggests a number of practical steps aimed at introducing stress analysis as one of the key functions within the energy-related sectoral components of the Russian national systems of technology forecasting and strategic planning. Originality/value - The novelty of this paper is determined both by the subject of the analysis and approach taken to reveal it. In contrast to most of research in this area, the main focus has been moved from the opportunities and potential benefits of contemporary technology-related global energy shifts to their possible negative impact on the national economy. Another important original feature of the approach is that existing global energy forecasts are used only as a background for core analysis centred around the cases when conventional energy trends are broken.</t>
  </si>
  <si>
    <t>Kuzminov, Ilya F./E-4572-2015; Bakhtin, Pavel/E-1267-2014; Bereznoy, Alexey/I-2984-2014</t>
  </si>
  <si>
    <t>Bakhtin, Pavel/0000-0002-0572-3983; Bereznoy, Alexey/0000-0001-8624-2526; Kuzminov, Ilya/0000-0002-7321-3934</t>
  </si>
  <si>
    <t>1463-6689</t>
  </si>
  <si>
    <t>1465-9832</t>
  </si>
  <si>
    <t>10.1108/FS-06-2016-0026</t>
  </si>
  <si>
    <t>WOS:000402886000006</t>
  </si>
  <si>
    <t>Judd, T; Capetillo, D; Carrion-Baralt, J; Marmol, LM; Miguel-Montes, LS; Navarrete, MG; Puente, AE; Romero, HR; Valdes, J</t>
  </si>
  <si>
    <t>Judd, Tedd; Capetillo, Darla; Carrion-Baralt, Jose; Marmol, Leonardo M.; Miguel-Montes, Liza San; Navarrete, M. Gina; Puente, Antonio E.; Romero, Heather Rodas; Valdes, Jacqueline</t>
  </si>
  <si>
    <t>NAN Policy &amp; Planning Comm</t>
  </si>
  <si>
    <t>Professional Considerations for Improving the Neuropsychological Evaluation of Hispanics: A National Academy of Neuropsychology Education Paper</t>
  </si>
  <si>
    <t>ARCHIVES OF CLINICAL NEUROPSYCHOLOGY</t>
  </si>
  <si>
    <t>In a national survey, 82% of U.S. neuropsychologists who offered services to Hispanics self-reported inadequate preparation to work with this population (Echemendia, Harris, Congett, Diaz, &amp; Puente, 1997). The purpose of this paper is to improve the quality and accessibility of neuropsychological services for Hispanic people living in the United States by giving guidance for service delivery, training, and organizational policy. General guidance towards this end comes from professional ethics for psychologists and interpreters/translators, federal civil rights law, the International Test Commission, and the Office of Minority Health of the U.S. Department of Health and Human Services, among others. This guidance is specifically applied here to cover professional cultural and linguistic competence of neuropsychologists, psychometrists, interpreters, translators, and consultants; languages of evaluation; use of interpreters; evaluation of acculturation; test translation, adaptation, and interpretation; application of test norms; intervention issues; reimbursement; and organizational issues.</t>
  </si>
  <si>
    <t>0887-6177</t>
  </si>
  <si>
    <t>1873-5843</t>
  </si>
  <si>
    <t>10.1093/arclin/acp016</t>
  </si>
  <si>
    <t>WOS:000266705500001</t>
  </si>
  <si>
    <t>LaPorte, TM</t>
  </si>
  <si>
    <t>New opportunities for technology assessment in the post-OTA world</t>
  </si>
  <si>
    <t>With the abolition of the Office of Technology Assessment in 1995 by the 104th Congress, there is a real need for innovation and a recommitment to technology assessment processes in the United States. There are at least a half-dozen possibilities for reconstituting technology assessment that might be pursued, ranging from foundation-supported non-profit organizations to private consultancies, and a variety of government-supported entities. The best among these may be essentially European models-low-profile expert-oriented technology assessments such as are done in the United Kingdom, and consensus conferences such as are used in Denmark. However, re-establishing the practice of technology assessment, whether in a revived OTA or in a new conception of the function, will be difficult. The climate for analysis has changed. Institutional interests in Congress, always on the watch for erosion in their authority, may find it hard to reconstitute the function inside Congress, or to cause the creation of any meaningful outside organization. Private efforts may conont insurmountable obstacles. New methods may not work in the U.S. context. A dialogue among legislares, the public, and the policy analysis community about the utility of technology assessment is essential. (C) 1997 Elsevier Science Inc.</t>
  </si>
  <si>
    <t>10.1016/S0040-1625(96)00187-4</t>
  </si>
  <si>
    <t>WOS:A1997WQ28500007</t>
  </si>
  <si>
    <t>Erbe, C</t>
  </si>
  <si>
    <t>Erbe, Christine</t>
  </si>
  <si>
    <t>UNDERWATER PASSIVE ACOUSTIC MONITORING &amp; NOISE IMPACTS ON MARINE FAUNA-A WORKSHOP REPORT</t>
  </si>
  <si>
    <t>ACOUSTICS AUSTRALIA</t>
  </si>
  <si>
    <t>The marine ecosystem is being increasingly subjected to underwater noise from industrial operations. Our ability to monitor the marine soundscape using passive acoustic technology is important to determine the potential impacts of anthropogenic sound. The objectives of this workshop were to define our current capabilities with regard to passive acoustic monitoring (PAM); to define our current state of knowledge of the marine soundscape, and of underwater noise in particular, and of noise impacts; to identify the needs and concerns of the various stakeholders; and to determine future research and development needs. The workshop was held in Fremantle, Western Australia, on 21 November 2012, the day before the Australian Acoustical Society's annual conference. Three tutorial sessions were presented by leading researchers in the field on underwater acoustic terminology, metrics, the basics of sound propagation, noise modelling and prediction, the marine soundscape (physical ambient, anthropogenic and biological sources), sound recording technology and methods, noise impacts on marine fauna, mitigation and environmental management. Tutorials were followed by rapid-fire presentations of current research associated with the themes of passive acoustic monitoring and noise impact. Discussions pursued on the presented topics, with emphasis on stakeholder needs, prevailing problems, knowledge gaps, potential solutions and future initiatives. The workshop was attended by over 70 participants from within Australia and abroad, hosting a diverse range of expertise and representing the various stakeholders in the marine environment: the offshore oil and gas industry, consulting industry, fishing industry, defence, government (environmental officers, regulators, fisheries officers), environmental groups and academia. The outcomes of the workshop were: An appreciation of PAM for monitoring of marine fauna, for ecological studies, for measurements of anthropogenic noise, for studying noise impacts and for mitigation monitoring; A demonstration of the effectiveness of PAM for presence and abundance monitoring (with more acoustic detections than visual in certain circumstances); An understanding of the limitations of PAM (to vocalising animals) and the potential of combining PAM with visual observations and possibly active acoustic imaging to increase detection probability; An appreciation of the differences between regulatory approaches in different jurisdictions; The identification of the need to monitor (and address noise impacts on) entire ecosystems including less iconic (=non-mammalian) species; The identification of knowledge gaps with regards to unidentified sounds in marine soundscapes, natural variability in soundscapes with space and time necessitating long-term baseline recording, noise impacts on the vast majority of marine species, anthropogenic source signatures and sound transmission.</t>
  </si>
  <si>
    <t>0814-6039</t>
  </si>
  <si>
    <t>WOS:000331666700017</t>
  </si>
  <si>
    <t>AbdelMagid, IM</t>
  </si>
  <si>
    <t>Effective water policies and planning strategies for national water authorities</t>
  </si>
  <si>
    <t>ARABIAN JOURNAL FOR SCIENCE AND ENGINEERING</t>
  </si>
  <si>
    <t>The paper discusses types of water resource planning system currently used by national water authorities in the Middle East and the Arabian Peninsula. An attempt has been made at the evaluation of current systems to offer practical suggestions for improvements. The paper outlines responsibilities involved in designing national water plans and roles expected for government, local industry, consultants, NGO's, and users. A water resource planning case study used the example of the Sultanate of Oman. Emphasis was given to master plan, institutional legal frame work, major projects, and constraints.</t>
  </si>
  <si>
    <t>Abdel-Magid, Isam/A-5261-2015</t>
  </si>
  <si>
    <t>Abdel-Magid, Isam/0000-0001-9508-1314</t>
  </si>
  <si>
    <t>0377-9211</t>
  </si>
  <si>
    <t>1C</t>
  </si>
  <si>
    <t>WOS:A1997XT55200016</t>
  </si>
  <si>
    <t>Buschke, FT; Esterhuyse, S</t>
  </si>
  <si>
    <t>Buschke, Falko T.; Esterhuyse, Surina</t>
  </si>
  <si>
    <t>The perceptions of research values and priorities in water resource management from the 3rd Orange River Basin Symposium</t>
  </si>
  <si>
    <t>Research has played an important role in water resource management and a consensus on research objectives would increase the efficiency of these practices. In this paper we aimed to elicit the views of attendees of the 3rd Orange River Basin Symposium regarding water-related research, by using both quantitative and qualitative responses to a questionnaire survey, and purposeful sampling methods. Overall, research was perceived to play an important role in water resource management and there was significant agreement on which sectors are responsible for carrying out this research. Although clear strengths in water resource management in southern Africa were identified, we found that most perceived weaknesses related to the lack of enforcement or to human resource constraints. Despite this fact, the identified research priorities, which were aligned to those of the Water Research Commission, tended to be technical in nature and would not address these perceived weaknesses. Our recommendations were that, by incorporating previously ignored sectors into research, such as private consultants and non-governmental organisations, and addressing human capacity and enforcement issues, unique and unexplored research opportunities could improve water resource management.</t>
  </si>
  <si>
    <t>Buschke, Falko/G-1698-2012</t>
  </si>
  <si>
    <t>Buschke, Falko/0000-0003-1167-7810; Esterhuyse, Surina/0000-0001-7675-443X</t>
  </si>
  <si>
    <t>10.4314/wsa.v38i2.10</t>
  </si>
  <si>
    <t>WOS:000306368200010</t>
  </si>
  <si>
    <t>Ojo, GK; Adeyeye, GM; Opawole, A; Kajimo-Shakantu, K</t>
  </si>
  <si>
    <t>Ojo, Grace Kehinde; Adeyeye, Grace Mayowa; Opawole, Akintayo; Kajimo-Shakantu, Kahilu</t>
  </si>
  <si>
    <t>Gender differences in workplace stress response strategies of quantity surveyors in Southwestern Nigeria</t>
  </si>
  <si>
    <t>Purpose The purpose of this paper is to assess how gender influences stress response strategies among quantity surveyors in workplaces with a view to enhancing job performance. Design/methodology/approach Primary data were obtained through a survey, which utilised structured questionnaires administered to quantity surveyors in Lagos, Oyo and Ondo States in Nigeria. In total, 334 quantity surveyors in government establishments, consulting and construction firms were randomly sampled to survey male quantity surveyors, and a purposive sampling technique was used to collect data from female quantity surveyors. Data collected were analysed using percentile, using mean item score (MIS) and Mann-Whitney U test. Findings In total, 27 stress response strategies were identified in dealing with stressors in quantity surveyors' workplaces. The results of the analysis revealed the level of usage of the stress response strategies with the highest being seeking clarification with colleagues or superiors achieving an MIS of 3.95, followed by belonging to professional association (MIS=3.67), and opportunity to discuss with manager/supervisor (MIS=3.66). The scoring of the level of usage of the stress response strategies (2.20&lt;MIS&lt;3.95) suggested that although quantity surveying organisations were familiar with a good number of workplace stress response strategies, a significant number of the strategies were neither suitable nor adopted. Moreover, stress response strategies with high a rating of familiarity were also the most utilised and most effective. Practical implications - The study provided implications for management roles in identifying stressors and appropriate strategies towards creating a healthy working environment and improving job productivity of female quantity surveyors in their workplaces. Originality/value The results show no significant difference in gender perception of the effectiveness of the 27 stress response strategies assessed except three. The first is opportunity to discuss with manager/supervisor with the Mann-Whitney U test (MWW) value of 3.337 at p=0.001. The other two are prioritizing future workloads (MWW=-3.226; p=0.002) and clubbing or socializing (MWW=-3.483; p=0.001). These findings imply that both male and female quantity surveyors perceived the use of these three stress response strategies in different ways. In this regard, although all the strategies may be applied as influenced by employers' decision and preference, managers may have to exercise caution when applying them while dealing with male and female employees.</t>
  </si>
  <si>
    <t>Opawole, Akintayo/AAJ-3082-2020</t>
  </si>
  <si>
    <t>OPAWOLE, AKINTAYO/0000-0001-8326-7824</t>
  </si>
  <si>
    <t>10.1108/IJBPA-10-2018-0084</t>
  </si>
  <si>
    <t>WOS:000484524400013</t>
  </si>
  <si>
    <t>Parminter, T; Duker, A; Hughes, J</t>
  </si>
  <si>
    <t>Parminter, Terry; Duker, Adam; Hughes, Jess</t>
  </si>
  <si>
    <t>A regional collaborative extension project to decrease nutrient losses to waterways in the New Zealand dairy industry</t>
  </si>
  <si>
    <t>RURAL EXTENSION FARMING SYSTEMS JOURNAL</t>
  </si>
  <si>
    <t>The increasingly regulated management of natural resources in New Zealand provides another dimension for agricultural extensionists to consider, alongside the economic and bio-physical dynamics of farming systems. New processes for on-farm learning and system adaptation are needed that address the legal and statutory obligations being imposed on farmers to reflect the values of communities, industry and central government. DairyNZ and private consultants have worked together with the Manawatu-Wanganui Regional Council to assist dairy farmers in that region comply with the regulations while improving on-farm productivity. During 2014-2015, dairy farmers in the Waikawa Catchment were required to apply for landuse consents to reduce the estimated nutrient contamination in the catchment by between 5-15%. The significant changes in farming systems for this catchment target to be addressed needed an extension strategy involving collaboration across organisations to pool their capabilities for the good of the dairy industry, rural communities and future generations.</t>
  </si>
  <si>
    <t>1833-203X</t>
  </si>
  <si>
    <t>1833-2048</t>
  </si>
  <si>
    <t>WOS:000382770100004</t>
  </si>
  <si>
    <t>Bauner, D; Laestadius, S</t>
  </si>
  <si>
    <t>The introduction of the automotive catalytic converter in Chile</t>
  </si>
  <si>
    <t>JOURNAL OF TRANSPORT ECONOMICS AND POLICY</t>
  </si>
  <si>
    <t>The regional Special Commission for Decontamination of Chile's capital, Santiago, was formed in 1990. The issue of regulating passenger car emissions was one of the first initiatives on the commission's agenda, empowering a group of consultants and administrators to set up a structure for the transition in legal, economic, and commercial terms. In April 1992 the first car with a catalytic converter was sold as unleaded petrol became available, and from 1 September the same year a decree required every new car in the capital regions to be equipped with a catalytic converter. Chile thus introduced the automotive catalytic converter in little more than a year. It is argued that the critical factors for this process were the effective and efficient adoption and adaptation of foreign technology, policy, and market space, Chile's common understanding of the need to reduce emissions, and prevalent strong economic growth permitting widespread car ownership and renewal.</t>
  </si>
  <si>
    <t>Bauner, David/0000-0002-9511-0848</t>
  </si>
  <si>
    <t>0022-5258</t>
  </si>
  <si>
    <t>WOS:000222697800002</t>
  </si>
  <si>
    <t>Ding, XH; Zhong, WZ; Shearmur, RG; Zhang, XL; Huisingh, D</t>
  </si>
  <si>
    <t>Ding, Xiaohui; Zhong, Weizhou; Shearmur, Richard G.; Zhang, Xiaoling; Huisingh, Donald</t>
  </si>
  <si>
    <t>An inclusive model for assessing the sustainability of cities in developing countries - Trinity of Cities' Sustainability from Spatial, Logical and Time Dimensions (TCS-SLTD)</t>
  </si>
  <si>
    <t>Attaining inclusive, regenerative and sustainable cities for all in the context of unparalleled rates of urbanization, economy-oriented priorities, and chaotic urban development that characterize the developing world is a major challenge. A first step in reaching this goal is to conceptualize an inclusive framework for delineating, assessing and guiding the development of these cities towards sustainability. In this study we outline an inclusive, causal framework for Sustainable Development (SD) assessment, entitled Trinity of Cities Sustainability from Spatial, Logical and Time Dimensions (TCS-SLTD). It has been developed for cities in developing countries, and is illustrated using one such city, Xi'an. After reviewing the history and trends of urbanization of cities in Western China, some principles for assessing sustainability of cities in developing countries are suggested, after which the Xi'an case is presented. The urban area of Xi'an has expanded by more than 10 fold during the last quarter century, while arable land has decreased by 39%. In addition to these dramatic changes in land-use, the main axis of urban expansion has shifted from a north-south axial to radial expansion towards all areas around the core city. Over time, urban expansion has followed a concentrated-deconcentrated-concentrated trend. Xi'an overall sustainability, as measured by the index we present, has followed an upward - but not monotonic - trend between 1990 and 2010, during which its urbanization rate increased by 30%. On the basis of our multi-dimensional analysis, suggestions are made on how to direct Xi'an toward a more regenerative development path. These include revitalization of the urban system, control of urban form through planning, consulting and informing local communities about sustainable development issues, and achieving efficient functioning and harmonious coordination among different departments and municipal authorities in Xi'an. The TCS-SLTD model, outlined in this study, is a useful tool for guiding the process of Sustainable Development Indicator (SDI) selection, and provides a conceptual framework for holistically assessing the sustainability of city growth and expansion in developing countries. The model can assist urban planners and policy makers in developing countries in the performance of integrated assessments city sustainability, and in the formulation of pragmatic and focused policies to shift cities towards more regenerative and sustainable development trajectories. (C) 2015 Elsevier Ltd. All rights reserved.</t>
  </si>
  <si>
    <t>Zhang, Xiaoling/AAT-4748-2020; Zhang, Xiaoling/AAT-4795-2020</t>
  </si>
  <si>
    <t>Zhang, Xiaoling/0000-0002-6369-9424</t>
  </si>
  <si>
    <t>10.1016/j.jclepro.2015.06.140</t>
  </si>
  <si>
    <t>WOS:000367410000006</t>
  </si>
  <si>
    <t>GABELNICK, F</t>
  </si>
  <si>
    <t>ROLES OF WOMEN IN THE LARGE GROUP - ENDURING PARADIGMS IN A CHAOTIC ENVIRONMENT</t>
  </si>
  <si>
    <t>GROUP</t>
  </si>
  <si>
    <t>Group relations conferences offer participants and staff an opportunity to study unconscious aspects of organizational life, in particular, the projections and fantasies surrounding leaders. This paper offers an example of the way one aspect of the group relations conference, the large group, can be useful in understanding a particular set of experiences, namely that of women as leaders. Given the current social, economic, and political climate in the US, a woman working professionally as a consultant in the large group must be available for a barrage of contradictory, irrational projections. In this way, women consultants, and perhaps women leaders, represent the essential paradoxes of our existence, namely that intimacy is created through a simultaneous understanding of our separateness and our connection to one another.</t>
  </si>
  <si>
    <t>0362-4021</t>
  </si>
  <si>
    <t>10.1007/BF01419722</t>
  </si>
  <si>
    <t>WOS:A1993MQ81200005</t>
  </si>
  <si>
    <t>Chikirisov, DV</t>
  </si>
  <si>
    <t>Chikirisov, D. V.</t>
  </si>
  <si>
    <t>IDENTIFICATION OF THE MASS MEDIA COMPANY MARKET COMPETITIVE POSITION USING METHODOLOGICAL APPROACHES OF THE PORTFOLIO ANALYSIS</t>
  </si>
  <si>
    <t>SCIENTIFIC BULLETIN OF POLISSIA</t>
  </si>
  <si>
    <t>Urgency of the research. Further growth and competitiveness of the economy as a whole and any given enterprise of the post-industrial era depends on the level of information space development. Attention to the issues of Mass Media Companies profitability should be given because of their importance for the process of preserving country and maintaining European way of life. Target setting. The article highlights methodological approaches toward service portfolio optimization in the area of Mass media based on the TV channels of Ukraine. Actual scientific researches and issues analysis. Contemporary way of the competitive potential management was researched by many scientists. O. S. Vikhanskiy, K. A. Zuyev, Y. P. Golubkov were among them. It is essential to study numerous papers, scientific works, textbooks and educational methods of economist-scientists O. I. Garafonova, L. O. Ligonenko, A. Y. Shershnyova to find the latest ways and priorities of the strategic management approaches in volatile and crises environment of the Ukrainian business. Their works also concern the problems of service portfolio management. Uninvestigated parts of general matters defining. Adequate marketing products policy is the fundamental basis which supports business profitability. Long term market functioning requires prompt response to competitor's actions, permanent research of the own competitiveness, timely actions on threats and opportunities and reliable policy to realize its operational potential. Mass media companies trade on two volatile markets which doubles all the requirements above. The research objective. Based on service portfolio balancing methods, article goal is to choose an appropriate approach towards investigation of the market positions of Ukrainian TV channels with the main purpose to felicitate a long-term rise in earnings and consequent growth of competitiveness. The statement of basic materials. Article reveals economic incentives of the deliberate approaches to the development of the service portfolio for the Television Companies of Ukraine. It delivers elaborated chart of the TV channels Competitive Strategies based on weekly broadcaster's audience cover (as a Market share) and viewership differentiation which is consequently adopted to the view of classic Boston Consulting Group model of the portfolio of services optimization matrix. Article point out the vital importance to reach a break-even point by Media Companies with further perspective to ensure profitability Conclusions. TV channels are grouped into BCG matrix according to basic essential indications-market share and niche differentiation.</t>
  </si>
  <si>
    <t>2410-9576</t>
  </si>
  <si>
    <t>2225-5508</t>
  </si>
  <si>
    <t>WOS:000409465200028</t>
  </si>
  <si>
    <t>Dmaidi, N; Mahamid, I; Shweiki, I</t>
  </si>
  <si>
    <t>Dmaidi, Nabil; Mahamid, Ibrahim; Shweiki, Inas</t>
  </si>
  <si>
    <t>Identifying the Critical Problems of Construction Contracting Management in Palestine</t>
  </si>
  <si>
    <t>JORDAN JOURNAL OF CIVIL ENGINEERING</t>
  </si>
  <si>
    <t>The Palestinian construction sector is one of the key economic sectors and is the main force motivating the national economy. However, it is complex and affected by many constraints and obstacles that influence its outcomes. Therefore, this research was conducted with the aims to survey the construction contracting problems in Palestine from the different local contract stakeholders' points of view; namely: contractors, owners, consultants and donor countries and institutions. 73 problems were collected and considered in this research and grouped in eleven main groups; namely, financial, political, administrative problems and problems related to the tender documents (contracts, drawings), specification and material adaptation (quality), contract parties themselves, sector environment, natural environment, arbitration and dispute solving, technology use and career ethics. A questionnaire was administered to evaluate the importance of the construction related problems. 310 questionnaires were distributed as follows: (183) contractors, (21) project owners, (92) project consultants and (14) donor countries and institutions. The results show that the highest ten important problems that Palestinian construction sector suffers from are as follows: rates' burning due to intense competition between contractors, policy adoption of awarding the bid to the lowest price and not to the most accurate one, delaying owed payments by the owner, currency exchange changing value, owner deceleration in decision making, little size of projects in relation to the number of contractors, construction materials' changing prices due to inflation, decline in the country's economic situation, some contractors' maneuvers by downloading some prices on other items and presence of conflicts between tender documents.</t>
  </si>
  <si>
    <t>1993-0461</t>
  </si>
  <si>
    <t>2225-157X</t>
  </si>
  <si>
    <t>10.14525/JJCE.10.1.3406</t>
  </si>
  <si>
    <t>WOS:000407931500006</t>
  </si>
  <si>
    <t>Ahmed, N</t>
  </si>
  <si>
    <t>Ahmed, Noman</t>
  </si>
  <si>
    <t>Tariff structure and willingness to pay: case of Karachi</t>
  </si>
  <si>
    <t>A key consideration in satisfactory performance of a water utility is proper pricing and recovery of revenue from users. Experiences from the literature reveal that level of service decreases when utilities do not recover the bills issued against services delivered. Willingness to pay, tariff structure and overall level of service are important determinants in such scenarios. In Karachi, the Karachi Water and Sewerage Board is the water utility responsible for the supply of water to consumers. The board prescribes a tariff structure for the water supply service to different categories of users, which is revised at intervals. The utility recovers only 7% of all the water service bills issued to its consumers, which leads to financial problems. A study was conducted in 2009-2010 to investigate the relationship between tariff structure and the willingness to pay by consumers. Research methods adopted for this study included 47 semi-structured interviews with residents, key officials of the utility organisation, selected mayors, consultants and community organisations. The findings and conclusions reveal that inclusion of stakeholder perspectives, capacity assessment of utility and effective liaison between users and utility are vital factors with respect to policy and procedures.</t>
  </si>
  <si>
    <t>1751-7699</t>
  </si>
  <si>
    <t>10.1680/muen.11.00039</t>
  </si>
  <si>
    <t>WOS:000322062400006</t>
  </si>
  <si>
    <t>Attiwill, PM; Adams, MA</t>
  </si>
  <si>
    <t>Attiwill, Peter M.; Adams, Mark A.</t>
  </si>
  <si>
    <t>Harnessing forest ecological sciences in the service of stewardship and sustainability</t>
  </si>
  <si>
    <t>FOREST ECOLOGY AND MANAGEMENT</t>
  </si>
  <si>
    <t>Australia's native forests are predominantly Crown land, managed by the States. Regional Forest Agreements between four of the States and the Federal Government (1997-2001) resulted in a 36% increase in the area of conservation reserves and a 15% decrease in area of multiple-use (including timber harvesting) forests. The limited acceptance of timber harvesting in native forests, together with the rapid expansion of hardwood plantations, has diverted research focus away from native forests. Recent events including a prolonged drought and two forest fires totaling more than 3 million ha should have stimulated research in native forests on the effects of fire on ecosystem processes, on the management of fire and on management of water catchments; fires, far more than logging, are shaping our native forests in recent times. In particular, the use of prescribed fire to reduce fuels has decreased. We argue that Australian research effort in native eucalypt forests is lacking in two key areas - the effects of fire on carbon storage in forests and soils, and on the management of water yield from forested catchments. The results of forest research are variously published in the scientific journals, and increasingly in consultancy reports to governments or a to a range of organizations and industries. The question of who does the harnessing of knowledge coming from the science of forest ecology is compounded by constant changes in both political and management arrangements. If forest science is to assume a greater role in politics and forest management in Australia, scientists must enter the foray, using the fighting words of politics rather than maintaining the protective mantle of neutrality. With research in native forests being continually downgraded at both State and Federal levels,we take a somewhat less than optimistic view about how well ecological sciences will be harnessed in the service of forest stewardship and sustainability in Australia. (C) 2008 Elsevier B.V. All rights reserved.</t>
  </si>
  <si>
    <t>adams, mark a/H-1303-2012; Adams, Mark/H-1303-2012</t>
  </si>
  <si>
    <t>adams, mark a/0000-0002-8154-0097; Adams, Mark/0000-0001-8989-508X</t>
  </si>
  <si>
    <t>0378-1127</t>
  </si>
  <si>
    <t>1872-7042</t>
  </si>
  <si>
    <t>10.1016/j.foreco.2008.07.024</t>
  </si>
  <si>
    <t>WOS:000261118900002</t>
  </si>
  <si>
    <t>Byrne, J; Taylor, M; Wheeler, T; Breadsell, JK</t>
  </si>
  <si>
    <t>Byrne, Joshua; Taylor, Mark; Wheeler, Tom; Breadsell, Jessica K.</t>
  </si>
  <si>
    <t>WGV: Quantifying Mains Water Savings in a Medium Density Infill Residential Development</t>
  </si>
  <si>
    <t>The development called the 'WGV precinct' is a 2.2 ha medium density residential urban infill development in the Fremantle suburb of White Gum Valley, Western Australia. It was delivered by DevelopmentWA, the State Government development agency. DevelopmentWA and the project's consultant team designed the WGV precinct to be an exemplar of urban water management in this type of development. Working within commercial constraints, the team established strategies to achieve ambitious reductions in mains water consumption compared to a business-as-usual approach. This paper discusses the process of establishing the precinct's water related technologies and design features, a valuable case study in demonstrating water innovations in residential developments. Monitoring and transparently reporting on the real-world performance of the project is a key element. A comprehensive metering and data gathering system was put in place, which continues collecting data as the WGV precinct becomes increasingly established. Based on the design water strategies and early stage modelling, a target of 60-70% mains water reduction against the suburban average was set. The measured performance shows that a 65% reduction has been achieved. Barriers and constraints were observed that, if resolved, indicate that more ambitious targets can be considered for future projects. The paper includes discussion of opportunities for further work and compares some basic project qualities and outcomes to two other Australian residential development projects that had reduction in mains water consumption as an explicit objective.</t>
  </si>
  <si>
    <t>Byrne, Josh/0000-0002-6758-339X; Breadsell, Jessica/0000-0002-1124-7899</t>
  </si>
  <si>
    <t>10.3390/su12166483</t>
  </si>
  <si>
    <t>WOS:000578913300001</t>
  </si>
  <si>
    <t>Masia, T; Kajimo-Shakantu, K; Opawole, A</t>
  </si>
  <si>
    <t>Masia, Thendo; Kajimo-Shakantu, Kahilu; Opawole, Akintayo</t>
  </si>
  <si>
    <t>A case study on the implementation of green building construction in Gauteng province, South Africa</t>
  </si>
  <si>
    <t>Purpose Green building is a relatively new concept with limited applications in property development in South Africa. The objectives of this study are therefore threefold: identify key green building principles considered by property developers, establish the benefits of implementing the principles and determine the barriers to its applications. Design/methodology/approach The study adopted a case study of two Green Star South Africa (SA)-certified buildings in Sandton, Johannesburg. These are Alexander Forbes building, and Ernst &amp; Young Eris Towers. The two certified buildings were purposefully selected because of the insightful information they provide regarding application of green building principles. The main themes investigated in the cases are environmental awareness, green building principles applications, as well as benefits and barriers of green building. A total of six interviewees from the contractors', property developers', environmental/green building consultants' and sustainability consultants' organizations who were involved in the implementation of green building principles in the two cases provided the qualitative data for the study. The qualitative data were supplemented with data relating to the two case studies obtained from the 'Earth Works for a Sustainable Built Environment'. The interviews were arranged over a period of two months, and each interview took between 20 and 30 minutes. Analysis of the data was done through a phenomenological interpretation of the qualitative opinions expressed by the interviewees. Findings Key green building principles comprising energy efficiency, water efficiency, resource efficiency, occupants' health and well-being and sustainable site development were implemented in the two cases. The fact that the buildings were rated 4-star enabled inference to be drawn that the implementation of the principles was less than 60 per cent. Energy efficiency of 35 per cent indicated in Case I suggests that the level is consistent with the South African green building standard of 25 per cent to 50 per cent. However, the energy and water efficiency assessment of the building were based on projections rather than on ongoing monitoring and evaluation of the buildings' performance. Moreover, perceived saving in operational cost was identified as dominant driver to green building principles implementation. Conversely, lack of government incentives and absence of reliable benchmarking data regarding performance of green buildings were major barriers to its full implementation. Originality/value The significance of this study stems from the fact that limited studies, especially in the South African context, have indicated the drivers and barriers to the implementation of green building principles. The case study approach adopted gave a novelty to the study by providing hands-on information from the stakeholders who were known to have played specific roles in the application of green building. The findings indicated that initial high cost premium was not a consideration in developers' choice of green building which justifies the possibility of a costlier product when factors such as environmental sustainability benefit is considered to be ultimate. The study thus suggests further research involving larger cases on energy efficiency, water efficiency and costs of green buildings compared to the conventional type to bring the findings to a broader perspective and assist to benchmark data for green building assessment.</t>
  </si>
  <si>
    <t>FEB 18</t>
  </si>
  <si>
    <t>10.1108/MEQ-04-2019-0085</t>
  </si>
  <si>
    <t>FEB 2020</t>
  </si>
  <si>
    <t>WOS:000514673300001</t>
  </si>
  <si>
    <t>Yellishetty, M; Ranjith, PG; Tharumarajah, A; Bhosale, S</t>
  </si>
  <si>
    <t>Yellishetty, Mohan; Ranjith, P. G.; Tharumarajah, A.; Bhosale, Sheshanath</t>
  </si>
  <si>
    <t>Life cycle assessment in the minerals and metals sector: a critical review of selected issues and challenges</t>
  </si>
  <si>
    <t>The mining sector provides materials that are essential elements in a wide range of goods and services, which create value by meeting human needs. Mining and processing activities are an integral part of most complex material cycles so that the application of life cycle assessment (LCA) to minerals and metals has therefore gained prominence. In the past decade, increased use of LCA in the mineral and metal sector has advanced the scientific knowledge through the development of scientifically valid life cycle inventory databases. Though scientifically valid, LCA still needs to depend on several technical assumptions. In particular, measuring the environmental burden issues related to abiotic resource depletion, land use impacts and open-loop recycling within the LCA are widely debated issues. Also, incorporating spatial and temporal sensitivities in LCA, to make it a consistent scientific tool, is yet to be resolved. This article discusses existing LCA methods and proposed models on different issues in relation to minerals and metals sector. A critical review was conducted of existing LCA methods in the minerals and metals sector in relation to allocation issues related to indicators of land use impacts, abiotic resource depletion, allocation in open-loop recycling and the system expansions and accounting of spatial and temporal dimension in LCA practice. Evolving a holistic view about these contentious issues will be presented with view for future LCA research in the minerals and metals industry. This extensive literature search uncovers many of the issues that require immediate attention from the LCA scientific community. The methodological drawbacks, mainly problems with inconsistencies in LCA results for the same situation under different assumptions and issues related to data quality, are considered to be the shortcomings of current LCA. In the minerals and metals sector, it is important to increase the objectivity of LCA by way of fixing those uncertainties, for example, in the LCA of the minerals and metals sector, whether the land use has to be considered in detail or at a coarse level. In regard to abiotic resource characterisation, the weighting and time scales to be considered become a very critical issue of judgement. And, in the case of open-loop recycling, which model will best satisfy all the stake holders? How the temporal and spatial dimensions should be incorporated into LCA is one of the biggest challenges ahead of all those who are concerned. Addressing these issues shall enable LCA to be used as a policy tool in environmental decision-making. There has been enormous debate with respect to on land use impacts, abiotic resource depletion, open-loop recycling and spatial and temporal dimensions, and these debates remain unresolved. Discussions aimed at bringing consensus amongst all the stake holders involved in LCA (i.e. industry, academia, consulting organisations and government) will be presented and discussed. In addition, a commentary of different points of view on these issues will be presented. This review shall bring into perspective some of those contentious issues that are widely debated by many researchers. The possible future directions proposed by researchers across the globe shall be presented. Finally, authors conclude with their views on the prospects of LCA for future research endeavours. Specific LCA issues of minerals and metals need to be investigated further to gain more understanding. To facilitate the future use of LCA as a policy tool in the minerals and metals sector, it is important to increase the objectivity with more scientific validity. Therefore, it is essential that the issues discussed in this paper are addressed to a great detail.</t>
  </si>
  <si>
    <t>10.1007/s11367-009-0060-1</t>
  </si>
  <si>
    <t>WOS:000266050200007</t>
  </si>
  <si>
    <t>Mugabi, J; Kayaga, S; Njiru, C</t>
  </si>
  <si>
    <t>Mugabi, J.; Kayaga, S.; Njiru, C.</t>
  </si>
  <si>
    <t>Partnerships for improving water utility management in Africa</t>
  </si>
  <si>
    <t>Urban water utilities in developing countries face enormous challenges in meeting the water needs of growing urban populations. Many of the challenges stem from poor utility management practices and the lack of a commercially oriented culture. For many years the debate on how to address this problem has been dominated by two extremes. On the one hand, private sector participation ( PSP) has had only limited success. On the other, public management reform, which urges the creation of incentives for public utilities to become more efficient and commercially oriented, has not yet taken hold due to the slow pace of institutional reforms in developing countries. Given this situation, major players in the sector are seeking alternative approaches to improving utility management and performance in developing countries. Such alternative approaches include innovative multi-sector partnerships between private, public and civil society. This paper discusses a partnering approach ( pioneered by the Water Utility Partnership ( WUP) of Africa) between Loughborough University, Severn Trent Water, six African water utilities and utility management consultants. The aim of the partnership is to increase the management capacity of utility companies in order to improve the performance of water utilities in Africa. This innovative model has implications for policy and practice in this field.</t>
  </si>
  <si>
    <t>WOS:000245493400001</t>
  </si>
  <si>
    <t>Angelibert, S; Rosset, V; Indermuehle, N; Oertli, B</t>
  </si>
  <si>
    <t>Angelibert, Sandrine; Rosset, Veronique; Indermuehle, Nicola; Oertli, Beat</t>
  </si>
  <si>
    <t>The pond biodiversity index IBEM: a new tool for the rapid assessment of biodiversity in ponds from Switzerland. Part 1. Index development</t>
  </si>
  <si>
    <t>LIMNETICA</t>
  </si>
  <si>
    <t>3rd European Pond Workshop</t>
  </si>
  <si>
    <t>MAY 14-16, 2008</t>
  </si>
  <si>
    <t>Valencia, SPAIN</t>
  </si>
  <si>
    <t>Due to legal requirements, nature managers increasingly have to carry out assessments of biodiversity for conservation purposes. For ponds, a type of waterbody now widely recognized as an important reservoir for freshwater biodiversity, standardized bioassessment methods are needed, but still rare. We produced such a tool for small lowland waterbodies in Switzerland: the Pond Biodiversity Index (IBEM). This Index is the adaptation of a method used by researchers for assessing the biodiversity in ponds, PLOCH, which does not currently meet the requirements for routine use by nature managers because it is too expensive and requires a high skill level in taxonomic identification. A method intended for practitioners has to be simple, standardized, cheap, adjustable, and consistent with the legislative framework. In order to fulfill these requirements, the theoretical and practical aspects of IBEM were developed with a group of representative end users including nature conservation managers, consultants, governmental organizations and taxonomic experts. To develop the method, we used a species dataset from 63 Swiss lowland ponds which included five taxonomic groups: aquatic plants, aquatic Gastropoda, aquatic Coleoptera, adult Odonata and Amphibia. The following topics were addressed: (i) the number and type of taxonomic groups which should be used for producing the index (is it possible to use surrogates?) (ii) the level of identification for each taxonomic group (species? genus? family?) (iii) the sampling strategy (sampling technique, number of replicates), (iv) the calculation of a unique index and the strategy for assessing its score, and (v) the transfer of this new method to end users. The new method IBEM uses all five taxonomic groups, because a subset of groups did not produce reliable assessments of pond biodiversity. Identification to genus level is required for four groups (aquatic plants, aquatic Gastropoda, aquatic Coleoptera, adult Odonata) and species level for Amphibia. The sampling methodology is based on the stratified random strategy used in the PLOCH method, but with a slight modification in the number of samples per pond. The assessment follows the methodology adopted by the European Water Framework Directive, and the ratio of the observed richness to a reference-based predicted richness is translated into one of five quality categories for each pond. The final index is the mean of the five assessment scores. To facilitate the implementation of the IBEM method, a website (http://campus.hesge.ch/ibem) enables online calculation of the index, and provides instructions on both sampling and assessment methodologies. Furthermore, training courses are organized by the authors of the method for end users.</t>
  </si>
  <si>
    <t>Rosset, Veronique/J-6306-2012</t>
  </si>
  <si>
    <t>Oertli, Beat/0000-0002-8372-9045</t>
  </si>
  <si>
    <t>0213-8409</t>
  </si>
  <si>
    <t>1989-1806</t>
  </si>
  <si>
    <t>WOS:000279136800007</t>
  </si>
  <si>
    <t>Sampson, C; Linard, E; Garcia-Chance, L</t>
  </si>
  <si>
    <t>Sampson, Christie; Linard, Erica; Garcia-Chance, Lauren</t>
  </si>
  <si>
    <t>Life's a Beach: Using Role-Playing Scenarios to Facilitate Water Quality Studies</t>
  </si>
  <si>
    <t>AMERICAN BIOLOGY TEACHER</t>
  </si>
  <si>
    <t>Role-playing scenarios in science education offer students an active way to engage in learning as well as to discover how their decisions as citizens, voters, or policymakers can affect environmental and public health. In this activity, students take on the role of environmental consultants, helping city planners decide the best location for a new recreation area located on the fictional community's major waterway. The objective of the game is to engage the students in critical thinking to determine the most relevant water tests needed to accept or reject the four proposed locations, given their knowledge of possible pollutants from different land-use activities. Students work in teams to integrate methods used in determining water quality, such as chemical testing, macroinvertebrate surveys, and bacterial monitoring, into a defendable decision for their recommendation. This activity was designed for and tested by high school students enrolled in AP Environmental Sciences and could be modified for undergraduate ecology or biology courses.</t>
  </si>
  <si>
    <t>0002-7685</t>
  </si>
  <si>
    <t>1938-4211</t>
  </si>
  <si>
    <t>10.1525/abt.2018.80.5.353</t>
  </si>
  <si>
    <t>WOS:000430802600005</t>
  </si>
  <si>
    <t>Breunlin, DC; Cimmarusti, RA; Hetherington, JS; Kinsman, J</t>
  </si>
  <si>
    <t>Breunlin, Douglas C.; Cimmarusti, Rocco A.; Hetherington, Joshua S.; Kinsman, Jayne</t>
  </si>
  <si>
    <t>Making the Smart Choice: a systemic response to school-based violence</t>
  </si>
  <si>
    <t>JOURNAL OF FAMILY THERAPY</t>
  </si>
  <si>
    <t>This paper reports on a school-based intervention in which a family therapist, serving as a consultant to a high school, worked with that school to reduce the level of school-based violence. The primary intervention reported in this paper is a conflict skills training programme called 'Making the Smart Choice'. While designed for the families of students suspended for physical violence, this intervention also impacts upon the school's disciplinary system and the climate of the school itself. The context or responses to school-based violence, the strategy to gain access to the school, the politics of developing such a programme, the programme itself and the infrastructure needed to maintain it are described. For four years, suspensions for school-based violence were halved compared to the four years prior to the start of the programme.</t>
  </si>
  <si>
    <t>0163-4445</t>
  </si>
  <si>
    <t>1467-6427</t>
  </si>
  <si>
    <t>10.1111/j.1467-6427.2006.00350.x</t>
  </si>
  <si>
    <t>WOS:000239008500003</t>
  </si>
  <si>
    <t>Campbell, C; Ana, CT</t>
  </si>
  <si>
    <t>Campbell, Christopher; Ana, Coimbra Trigo</t>
  </si>
  <si>
    <t>A Vision for Green Foreign Direct Investment: Proposals for an Investor-State Collaborative Effort</t>
  </si>
  <si>
    <t>JOURNAL OF INTERNATIONAL ARBITRATION</t>
  </si>
  <si>
    <t>Time is of the essence. With each passing day, the options and alternatives available to the peoples of the world to stem the tide of man-made destruction to the Earth are steadily disappearing. The Stockholm Treaty Lab challenged professionals from various disciplines to imagine and design strategies to mitigate and reduce the detrimental impact of human beings upon the planet. This article reflects the culmination of thought processes and ideas of one the participating teams. The team drafted a legal instrument within the currently existing U.N. infrastructure, and included a number of aspects advocating for its widespread adoption, seeking to incentivize parties with the power to effect environmentally sound change to be more active. Economists, business consultants, lawyers, and scientist sought to find solutions to three man-made issues, namely (1) food waste, (2) deforestation, and (3) lack of renewable energies. Each of these three categories represent a major exacerbating force upon climate change, yet are areas that could be drastically affected with cooperation among states and investors. Within each category, both general policies and specific solutions/incentives are outlined. Further, dispute resolution mechanisms and the imagined economic impact for investors financing these initiatives are discussed. It is the belief of the team that the problems considered by the article have little chance of being effectively addressed unless there is widespread cooperation, thus it is hoped that articles like this one can be the catalyst for that change.</t>
  </si>
  <si>
    <t>0255-8106</t>
  </si>
  <si>
    <t>2212-182X</t>
  </si>
  <si>
    <t>WOS:000457251500006</t>
  </si>
  <si>
    <t>Sahin, BE; Dostoglu, NT</t>
  </si>
  <si>
    <t>Sahin, B. Ece; Dostoglu, Neslihan Turkun</t>
  </si>
  <si>
    <t>THE IMPORTANCE OF PRESCHOOLERS' EXPERIENCE IN KINDERGARTEN DESIGN</t>
  </si>
  <si>
    <t>METU JOURNAL OF THE FACULTY OF ARCHITECTURE</t>
  </si>
  <si>
    <t>A number of studies have revealed that experiences gained during preschool years have a great impact on the subsequent accomplishments of an individual, and that kindergartens have a major influence on child development since these are places where children spend most of their preschool time. Early childhood education has a special importance among all other education processes because development is shaped at a large extent during the 0-6 year period of children. During the first three years, care for children is given at various establishments, such as kindergartens and day care centers, but especially at home, and various programmes are carried out to support early childhood development. Preschool education is based on programmes delivered at playschools or preschools for children aged 3 to 6, in order to give children a better start in life. In Turkey, preschool education is delivered generally by official and private independent playschools (for children 36-72 months of age) or in playschools that are established within schools (for children 60-72 months of age). The process of preschool education contributes with short and long term influences on children and society since early childhood development is viewed as a key to social development. The quality of the physical and social environment affects child development in this education process. In order to improve the conditions of the physical environment, designers can try to reach best design solutions, by getting children's ideas about their educational environment. In a study conducted at a kindergarten in Bursa, it was assumed that the ideas of preschool students about the physical environment in kindergartens can help designers to gain knowledge about children's requirements and this may spearhead new designs and inventions for supporting healthy child development (1). The questions that the children were asked in the study aimed to learn children's evaluations and expectations about their settings. The most important result reached in the study was the observation of the ability of 5 year-old (between 48-60 months of age) and 6 year-old (between 60-72 months of age) group of children to construct successful verbal statements about their physical environment by referring to their own experience. In short, our research has revealed that designers can obtain important data for the design process by consulting children. It can thus be concluded that understanding children's ideas on the space they use must be a policy for meeting children's needs and improving the conditions in preschool environments.</t>
  </si>
  <si>
    <t>0258-5316</t>
  </si>
  <si>
    <t>10.4305/METU.JFA.2012.1.17</t>
  </si>
  <si>
    <t>WOS:000306454200019</t>
  </si>
  <si>
    <t>Elmustapha, H; Hoppe, T; Bressers, H</t>
  </si>
  <si>
    <t>Elmustapha, Houda; Hoppe, Thomas; Bressers, Hans</t>
  </si>
  <si>
    <t>Understanding Stakeholders' Views and the Influence of the Socio-Cultural Dimension on the Adoption of Solar Energy Technology in Lebanon</t>
  </si>
  <si>
    <t>In light of climate change and global commitments, a great amount of programs and policies have been implemented by governments targeting the diffusion of renewable energy technologies. Successful diffusion relies on the understanding, persuasion and acceptance by consumers and other stakeholders. This article investigates the views, roles and influence of stakeholders on the adoption of solar energy technology in Lebanon. The main research questions are: What are the stakeholders' views, roles and influence on the diffusion process of solar energy technologies? And are specific socio-cultural factors therein that influenced adoption? The influence of different stakeholders (end users, public representatives, banking sector, suppliers, consultants and NGOs) was assessed via qualitative data analysis, in particular semi-structured interviews. Our research perspective combines grounded and critical theoretical approaches with a case study research design allowing for a semi-inductive process to elaborate and complement new insights to the current body of literature on adoption of clean technology innovation, with a particular focus on the socio-cultural dimension. The results show that contextual factors, specifically related to the social, cultural, geographic and market dimensions, played a crucial role in shaping market development, especially in relation to the uptake of solar energy technology by different consumer groups. Based on the results of this study we argue that more scholarly attention should be awarded to the influence of the socio-cultural dimension and stakeholders' perspectives on adoption of renewable energy technology.</t>
  </si>
  <si>
    <t>Elmustapha, Houda/0000-0001-8695-2886; Hoppe, Thomas/0000-0002-0770-4858</t>
  </si>
  <si>
    <t>10.3390/su10020364</t>
  </si>
  <si>
    <t>WOS:000425943100087</t>
  </si>
  <si>
    <t>Okal, J; Kanya, L; Obare, F; Njuki, R; Abuya, T; Bange, T; Warren, C; Askew, I; Bellows, B</t>
  </si>
  <si>
    <t>Okal, Jerry; Kanya, Lucy; Obare, Francis; Njuki, Rebecca; Abuya, Timothy; Bange, Teresah; Warren, Charlotte; Askew, Ian; Bellows, Ben</t>
  </si>
  <si>
    <t>An assessment of opportunities and challenges for public sector involvement in the maternal health voucher program in Uganda</t>
  </si>
  <si>
    <t>Background: Continued inequities in coverage, low quality of care, and high out-of-pocket expenses for health services threaten attainment of Millennium Development Goals 4 and 5 in many sub-Saharan African countries. Existing health systems largely rely on input-based supply mechanisms that have a poor track record meeting the reproductive health needs of low-income and underserved segments of national populations. As a result, there is increased interest in and experimentation with results-based mechanisms like supply-side performance incentives to providers and demand-side vouchers that place purchasing power in the hands of low-income consumers to improve uptake of facility services and reduce the burden of out-of-pocket expenditures. This paper describes a reproductive health voucher program that contracts private facilities in Uganda and explores the policy and implementation issues associated with expansion of the program to include public sector facilities. Methods: Data presented here describes the results of interviews of six district health officers and four health facility managers purposefully selected from seven districts with the voucher program in southwestern Uganda. Interviews were transcribed and organized thematically, barriers to seeking RH care were identified, and how to address the barriers in a context where voucher coverage is incomplete as well as opportunities and challenges for expanding the program by involving public sector facilities were investigated. Results: The findings show that access to sexual and reproductive health services in southwestern Uganda is constrained by both facility and individual level factors which can be addressed by inclusion of the public facilities in the program. This will widen the geographical reach of facilities for potential clients, effectively addressing distance related barriers to access of health care services. Further, intensifying ongoing health education, continuous monitoring and evaluation, and integrating the voucher program with other services is likely to address some of the barriers. The public sector facilities were also seen as being well positioned to provide voucher services because of their countrywide reach, enhanced infrastructure, and referral networks. The voucher program also has the potential to address public sector constraints such as understaffing and supply shortages. Conclusions: Accrediting public facilities has the potential to increase voucher program coverage by reaching a wider pool of poor mothers, shortening distance to service, strengthening linkages between public and private sectors through public-private partnerships and referral systems as well as ensuring the awareness and buy-in of policy makers, which is crucial for mobilization of resources to support the sustainability of the programs. Specifically, identifying policy champions and consulting with key policy sectors is key to the successful inclusion of the public sector into the voucher program.</t>
  </si>
  <si>
    <t>Abuya, Timothy/AAH-5479-2020</t>
  </si>
  <si>
    <t>Bellows, Ben/0000-0001-9205-6623</t>
  </si>
  <si>
    <t>OCT 18</t>
  </si>
  <si>
    <t>10.1186/1478-4505-11-38</t>
  </si>
  <si>
    <t>WOS:000326579100001</t>
  </si>
  <si>
    <t>Kwok, KWH; Batley, GE; Wenning, RJ; Zhu, LY; Vangheluwe, M; Lee, S</t>
  </si>
  <si>
    <t>Kwok, Kevin W. H.; Batley, Graeme E.; Wenning, Richard J.; Zhu, Lingyan; Vangheluwe, Marnix; Lee, Shirley</t>
  </si>
  <si>
    <t>Sediment quality guidelines: challenges and opportunities for improving sediment management</t>
  </si>
  <si>
    <t>During the International Conference on Deriving Environmental Quality Standards for the Protection of Aquatic Ecosystems held in Hong Kong in December 2011, an expert group, comprising scientists, government officials, and consultants from four continents, was formed to discuss the important scientific and regulatory challenges with developing sediment quality guidelines (SQGs). We identified the problems associated with SQG development and made a series of recommendations to ensure that the methods being applied were scientifically defensible and internationally applicable. This document summarizes the key findings from the expert group. To enable evaluation of current SQG derivation and application systems, a feedback mechanism is required to communicate confounding factors and effects in differing environments, while field validation is necessary to gauge the effectiveness of SQG values in sediment quality assessments. International collaboration is instrumental to knowledge exchange and method advancement, as well as promotion of 'best practices'. Since the paucity of sediment toxicity data poses the largest obstacle to improving current SQGs and deriving new SQGs, a standardized international database should be established as an information resource for sediment toxicity testing and monitoring data. We also identify several areas of scientific research that are needed to improve sediment quality assessment, including determining the importance of dietary exposure in sediment toxicity, mixture toxicity studies, toxicity screening of emerging chemicals, how climate change influence sediments and its biota, and possible use of new toxicity study approaches such as high throughput omic-based toxicity screenings.</t>
  </si>
  <si>
    <t>BATLEY, Graeme/A-4805-2008</t>
  </si>
  <si>
    <t>BATLEY, Graeme/0000-0002-3798-3368; Kwok, Kevin Wing Hin/0000-0003-3264-134X</t>
  </si>
  <si>
    <t>10.1007/s11356-013-1778-7</t>
  </si>
  <si>
    <t>WOS:000329095300003</t>
  </si>
  <si>
    <t>Adhvaryu, B</t>
  </si>
  <si>
    <t>Adhvaryu, Bhargav</t>
  </si>
  <si>
    <t>Enhancing urban planning using simplified models: SIMPLAN for Ahmedabad, India</t>
  </si>
  <si>
    <t>Urban planners are faced with the decision of what planning policy to pursue in order to achieve the best possible future. Many cities in developed nations use comprehensive models that simulate various aspects of the urban system, capable of predicting implications of a given set of policy inputs, to assist the planning process. However, in developing countries, demographic and socioeconomic data with appropriate spatial disaggregation are difficult to obtain. This constrains the development of such comprehensive urban models to support planning decisions. In the absence of models, the plan-making process usually inclines towards a more intuitive approach. Using simplified urban models adapted to the data constraints, this paper explores the prospects of enhancing planning in developing countries, with the aim of shifting the plan-making process from being purely intuitive towards being more scientific. The SIMPLAN (SIMplified PLANning) modelling suite has been developed for the case study city of Ahmedabad, India (the calibration per se is not discussed) to test alternative urban planning policies (combinations for land use and transport) for the year 2021. Model outputs arc evaluated for key economic, environmental and social indicators. It should be noted that such a research study, in the context of developing countries, represents a first generation of studies/models, owing to the simplicity of the model structure and its accompanying limitations and data availability constraints. The modelling framework developed in this study has a visually driven user interface. This makes the model easy to understand, operate and update. Due to this attribute, it allows local planning authorities to carry out testing of several alternative planning policies themselves, without having the need to outsource modelling work to private consulting firms, usually at much higher cost. Key model outputs indicate that dispersing cities proves to be economically beneficial to society as a whole. Compact development may prove to be better in terms of environmental and social aspects, but it may be possible to tackle the undesirable effects of dispersal by appropriate combinations of planning and management measures. The modelling outputs informed the wider debate on compact vs. dispersed urban forms. It was shown that neither of these diametrically opposite forms provide an outright 'win win' solution. They are likely to perform differently in different economies and sociocultural contexts. Therefore, it would appear that each city needs to test out the pros and cons of such alterative urban planning policies before pursing a plan for the future. Learning from such modelling exercises, cities can prepare their own tailor-made policy that best satisfies their objectives, making the planning process more rigorous and transparent. (C) 2010 Elsevier Ltd. All rights reserved.</t>
  </si>
  <si>
    <t>Adhvaryu, Bhargav/P-5135-2018</t>
  </si>
  <si>
    <t>Adhvaryu, Bhargav/0000-0002-8919-9022</t>
  </si>
  <si>
    <t>10.1016/j.progress.2009.11.001</t>
  </si>
  <si>
    <t>WOS:000278500500001</t>
  </si>
  <si>
    <t>Armstrong, A; Jackson-Smith, D</t>
  </si>
  <si>
    <t>Armstrong, Andrea; Jackson-Smith, Douglas</t>
  </si>
  <si>
    <t>Privatization and inter-municipal cooperation in local stormwater planning and management</t>
  </si>
  <si>
    <t>Decentralized approaches to environmental policy benefit from local input and knowledge, yet also place greater responsibility on local governments. Under the US Clean Water Act, thousands of municipalities are required to implement stormwater programs. Most research has focused on stormwater management strategies in large cities, but there are few studies of how smaller municipalities respond to federal mandates given their relatively limited fiscal and staffing capacities. Our work examines the prevalence of outsourcing strategies to administer stormwater programs among municipalities in Utah. We find that municipalities use a mix of in-house staffing, private consultant use, and cooperation with other municipalities to develop and administer their stormwater programs. The use of private consultants was most common among suburban cities, while all municipalities engaged in inter-municipal cooperation through county-level coalitions that take responsibility for public education programming. Reliance on the county-level coalition had the effect of distancing managers from public education activities.</t>
  </si>
  <si>
    <t>AUG 24</t>
  </si>
  <si>
    <t>10.1080/09640568.2018.1462774</t>
  </si>
  <si>
    <t>WOS:000487657700002</t>
  </si>
  <si>
    <t>Parkinson, D; Zara, C; Davie, S</t>
  </si>
  <si>
    <t>Parkinson, Debra; Zara, Claire; Davie, Susan</t>
  </si>
  <si>
    <t>Victoria's Gender and Disaster Taskforce</t>
  </si>
  <si>
    <t>AUSTRALIAN JOURNAL OF EMERGENCY MANAGEMENT</t>
  </si>
  <si>
    <t>Victoria is modelling an innovative way to mitigate the impacts of disaster on individuals, communities and emergency services organisations through its Gender and Disaster Taskforce. This may well be the first of its kind in the world. The Taskforce was established in 2014 and is led by the Victorian Emergency Management Commissioner, Craig Lapsley, and Susie Reid, Executive Officer of Women's Health Goulburn North East. It brings together the energy and commitment of Emeritus Professor Frank Archer from the Monash University Injury Research Institute and Professor Bob Pease from the University of Tasmania, together with other high-level players from Victorian emergency services organisastions, local government and the community. Representation includes the Department of Health and Human Services, Country Fire Authority, State Emergency Services, Metropolitan Fire Brigade, Department of Environment, Land, Water and Planning, Victoria Police, Emergency Services Telecommunications Authority as well as community consultants, Municipal Association of Victoria, and Save the Children.</t>
  </si>
  <si>
    <t>parkinson, debra/M-6992-2019</t>
  </si>
  <si>
    <t>1324-1540</t>
  </si>
  <si>
    <t>WOS:000381422200008</t>
  </si>
  <si>
    <t>Haddad, M</t>
  </si>
  <si>
    <t>Haddad, Marwan</t>
  </si>
  <si>
    <t>An Islamic perspective on food security management</t>
  </si>
  <si>
    <t>Islamic regulation has a balanced management approach to food management and towards attaining sustainable food security. This approach includes many social, spiritual, resource supply, security, and institutionally-related perspectives. If harmonization between Allah's(1) orders and Moslem behavior was maintained, either within or outside an Islamic state, food security would already be happening, succeeding, and sustaining, regardless of time or space. An institutional structure to maintain this harmonization with regard to food security management in an Islamic State was proposed, including three interconnected departments responsible for interrelated administration and duties: a Moslem Treasury Department, Department of Food Reserves, and Department of Social Affairs. The three departments would be governed by a Moslem Council of Consultants. A thorough discussion of the Islamic view of food security and related water policy implications was presented including the leading rules and specifications, the administrative aspects required, procedures used and guiding directions for proper development and planning.</t>
  </si>
  <si>
    <t>10.2166/wp.2012.006</t>
  </si>
  <si>
    <t>WOS:000301183200011</t>
  </si>
  <si>
    <t>Inamdar, PM; Sharma, AK; Cook, S; Perera, BJC</t>
  </si>
  <si>
    <t>Inamdar, P. M.; Sharma, A. K.; Cook, Stephen; Perera, B. J. C.</t>
  </si>
  <si>
    <t>Evaluation of stormwater harvesting sites using multi criteria decision methodology</t>
  </si>
  <si>
    <t>Selection of suitable urban stormwater harvesting sites and associated project planning are often complex due to spatial, temporal, economic, environmental and social factors, and related various other variables. This paper is aimed at developing a comprehensive methodology framework for evaluating of stormwater harvesting sites in urban areas using Multi Criteria Decision Analysis (MCDA). At the first phase, framework selects potential stormwater harvesting (SWH) sites using spatial characteristics in a GIS environment. In second phase, MCDA methodology is used for evaluating and ranking of SWH sites in multi-objective and multi-stakeholder environment. The paper briefly describes first phase of framework and focuses chiefly on the second phase of framework. The application of the methodology is also demonstrated over a case study comprising of the local government area, City of Melbourne (CoM), Australia for the benefit of wider water professionals engaged in this area. Nine performance measures (PMs) were identified to characterise the objectives and system performance related to the eight alternative SWH sites for the demonstration of the application of developed methodology. To reflect the stakeholder interests in the current study, four stakeholder participant groups were identified, namely, water authorities (WA), academics (AC), consultants (CS), and councils (CL). The decision analysis methodology broadly consisted of deriving PROMETHEE II rankings of eight alternative SWH sites in the CoM case study, under two distinct group decision making scenarios. The major innovation of this work is the development and application of comprehensive methodology framework that assists in the selection of potential sites for SWH, and facilitates the ranking in multi-objective and multi-stakeholder environment. It is expected that the proposed methodology will assist the water professionals and managers with better knowledge that will reduce the subjectivity in the selection and evaluation of SWH sites.</t>
  </si>
  <si>
    <t>10.1016/j.jhydrol.2018.04.066</t>
  </si>
  <si>
    <t>WOS:000438003000014</t>
  </si>
  <si>
    <t>[Anonymous]</t>
  </si>
  <si>
    <t>Underground works and the environment</t>
  </si>
  <si>
    <t>At the 1995 meeting of the General Assembly of the International Tunnelling Association (ITA), a new working group, ''The Underground Works and the Environment,'' was created. The main objective of the group will be to help the economic agents (developers, consulting engineering companies, construction companies, operators, etc.) concerned with underground works to take advantage of the opportunities and to minimize the risks associated with the new environmental culture. Associated objectives of the group will be: To increase the awareness of the economic agents that operate in the underground world of the opportunities and the constraints associated with the new environmental culture; To increase the awareness of the Government with respect to underground projects and their relationship to the environment. To achieve a better understanding of the implications, both positive and negative, that environmental regulations have for the development of underground projects. To help the economic agents that operate in the field of underground works educate the public and administrations about the environmental benefits associated with the construction of underground projects, and to increase the amount of money allocated to these projects. To help the ITA participate in environmental international symposia and organizations. The new Working Group's first two tasks will be to: 1. Undertake a state of the art analysis of the opportunities and constraints associated with the environment and the position of underground economic agents on this issue; and 2. Collect case histories of environmentally successful development, making use of underground works. The group will meet as a whole for the first time at the 1996 ITA General Assembly meeting in Washington, D.C. (April 21-26) to review the scope of its activity. A presentation and discussion of a first draft report is planned for the ITA General Assembly meeting in Vienna, Austria, in April 1997, with presentation and discussion of the final report scheduled for the ITA General Assembly meeting in Brazil in 1998. The Spanish national tunnelling organization AETOS provided the impetus for the formation of the new ITA Working Group, based on its study of Underground Works and the Environment. Published in November 1994, the AETOS report focused on the situation in Spain. As and introduction to the topic and the scope of the ITA working group's agenda, T&amp;UST is publishing an Executive Summary of the AETOS study. We are grateful to J.M. Serrano for granting publication permission on behalf of AETOS. Copies of the full AETOS report (183 pp.), which is in Spanish with an executive summary in English, may be obtained from the AETOS address given in the footnote on this page.</t>
  </si>
  <si>
    <t>WOS:A1996UN43000008</t>
  </si>
  <si>
    <t>Tamosiuniene, R; Savcuk, O</t>
  </si>
  <si>
    <t>Tamosiuniene, Rima; Savcuk, Olga</t>
  </si>
  <si>
    <t>Internal Audit Subordination Principles for Lithuanian Companies</t>
  </si>
  <si>
    <t>Current business environment has experienced rapid and revolutionary change with far reaching consequences for companies worldwide. Management responses to fierce global competition include improved quality and risk management initiatives, reengineered structures and processes and greater accountability to ensure more timely, reliable and relevant information for decision-making and to secure confidence and trust of the investors. Over the last few years the importance to the strong corporate governance of managing risk has been increasingly acknowledged. Companies are under pressure to identify all the business risks they face: social, ethical and environmental as well as financial and operational, and to explain how they manage them to an acceptable level. Therefore in order to reach its objectives each company has to develop and implement an approach to assessing and managing the uncertainties and opportunities it faces in the pursuit of its business strategy, with the intention of maximizing shareholder value and performance, i.e. meeting the determined objectives. Shareholders are extremely demanding with respect to the activities of the management wanting an independent and objective assessment of the risk management and governance system the management is responsible for. In this radically changed business environment internal auditing gained an important role within companies. Over past sixty years internal audit developed from control function responsible for inspection of accounting and financial data to a strategic partner for the shareholders and the management of the company in improving governance processes. In current environment management of the company more and more rely on the internal audit to evaluate whether controls are sufficient to manage risks and uncertainties. This developing role of the internal auditing is also reflected in its current definition, i.e. internal auditing is an independent, objective assurance and consulting activity designed to add value and improve company's operations. It helps an organization accomplish its objectives by bringing a systematic, disciplined approach to evaluate and improve the effectiveness of risk management, control and governance processes. Only independent internal audit can perform its tasks properly. Independence of internal audit is influenced by functional subordination level which relates to the assurance activities of internal audit. Proper level of functional subordination influences independence and objectivity of internal audit. This article analyzes theoretical principles of functional subordination, which determines that internal audit must be subordinated to audit committee or independent board. However from the ownership structure perspective, which is analyzed in Lithuanian companies, internal audit functionally might be subordinated to the other management bodies, without hindering its independence.</t>
  </si>
  <si>
    <t>WOS:000207550500006</t>
  </si>
  <si>
    <t>Pomponi, F; Moncaster, A; De Wolf, C</t>
  </si>
  <si>
    <t>Pomponi, Francesco; Moncaster, Alice; De Wolf, Catherine</t>
  </si>
  <si>
    <t>Furthering embodied carbon assessment in practice: Results of an industry-academia collaborative research project</t>
  </si>
  <si>
    <t>In order to meet the mid-century carbon reduction targets and to mitigate climate change and global warming it is imperative that embodied greenhouse gases (GHGs) emissions in the built environment receive immediate attention from policy, industry and academia. While academic research has grown in recent years, the uptake of embodied carbon assessments in practice has been slower. This paper reports the findings of a collaborative project between industry and academia to shed light on how to accelerate a wider uptake of embodied carbon assessments in buildings. Five projects have been each examined by three assessors (independent environmental consultants) for a total of fifteen detailed assessments. Results are presented for each of the five case studies, showing elements of agreement and, most often, of variation. Additionally, each of the life cycle stages as defined by the TC350 standards is analysed both numerically and in terms of its contribution towards the whole life embodied carbon. The results show that significant discrepancies consistently exist even when the initial information available to the assessors is the same. The numerical analysis also reveals that all life cycle stages account for important shares of the whole life carbon, and that therefore partial assessments - e.g. cradle-to-gate - are not sufficient if carbon reductions are to be realistically achieved. Future research in the field should continue to address the challenges identified in this article and work towards greater understanding and reliability of the numbers produced. (C) 2018 Elsevier B.V. All rights reserved.</t>
  </si>
  <si>
    <t>Pomponi, Francesco/J-6106-2019; Moncaster, Alice/AAL-7615-2020</t>
  </si>
  <si>
    <t>1872-6178</t>
  </si>
  <si>
    <t>MAY 15</t>
  </si>
  <si>
    <t>10.1016/j.enbuild.2018.02.052</t>
  </si>
  <si>
    <t>WOS:000430630700016</t>
  </si>
  <si>
    <t>Saka, A</t>
  </si>
  <si>
    <t>Internal change agents' view of the management of change problem</t>
  </si>
  <si>
    <t>The vital importance of change management in today's competitive climate has been widely investigated. While the need for successful change management is intensively proclaimed by expert consultants, the response for some time has been regarded as falling short of what is required The heavy emphasis in the literature on a rational-linear approach to understanding organisational change overlooks the significance of the cultural and political dimensions of organisational fife. This article highlights a systemic-multivariate view of change by investigating internal change agents, that is managers, accounts of the barriers to change management. It addresses the limitations of change management by attending to the perceptions of managers, that is those actors who generally determine organisational priorities and make crucial resource allocation decisions. This article illustrates the systemic line of thinking adopted by managers undergoing major restructuring efforts in their organisations. This line of thinking is shown to differ from the espoused values of managers that constitute the rational-linear view of change management.</t>
  </si>
  <si>
    <t>10.1108/09534810310494892</t>
  </si>
  <si>
    <t>WOS:000186291600001</t>
  </si>
  <si>
    <t>Cummings, AS</t>
  </si>
  <si>
    <t>Cummings, Alex Sayf</t>
  </si>
  <si>
    <t>Brain Magnet: Research Triangle Park and the Origins of the Creative City, 1953-1965(1)</t>
  </si>
  <si>
    <t>JOURNAL OF URBAN HISTORY</t>
  </si>
  <si>
    <t>This essay aims to historicize urban theorist Richard Florida's influential formulation of the creative class by focusing on the emergence of a high-tech economy in North Carolina's Research Triangle metropolitan area. In the 1950s, a powerful coalition of academics, businesspeople, and politicians launched a plan to move the state away from its traditional reliance on low-wage industries by founding a research park between Raleigh, Durham, and Chapel Hill, believing that scientific firms would value the park's proximity to several nearby colleges and universities. The essay argues that local boosters emphasized the area's cultural opportunities and intellectual climate as major quality-of-life considerations not only for high-tech companies, but also the scientists and engineers that they hoped to employ. Research Triangle Park thus created a blueprint for subsequent development strategieslater promoted by Florida, among other scholars and consultantsthat made arts, education, and other cultural institutions central to the marketing of an urban area's identity.</t>
  </si>
  <si>
    <t>0096-1442</t>
  </si>
  <si>
    <t>1552-6771</t>
  </si>
  <si>
    <t>10.1177/0096144215612065</t>
  </si>
  <si>
    <t>WOS:000400165000006</t>
  </si>
  <si>
    <t>Reed, P</t>
  </si>
  <si>
    <t>Reed, Peter</t>
  </si>
  <si>
    <t>George E. Davis (1850-1907): Transition From Consultant Chemist to Consultant Chemical Engineer in a Period of Economic Pressure</t>
  </si>
  <si>
    <t>AMBIX</t>
  </si>
  <si>
    <t>This article explores how George Davis's vision for chemical engineering was contingent upon both the national economic conditions of the period (1870-1900) and the critical transition to more economic production for chemical manufacture. Trade tariffs and international competition exacerbated an already challenging economic climate and stricter government regulation of pollution from chemical manufactories added further pressure. Sectors of the British chemical industry faced over-capacity and over-production, while most sectors were wasteful of materials and energy and were over-manned. Davis's motivation was borne of his work as a chemist, as a consultant, and as an inspector with the Alkali Inspectorate. His search for knowledge and understanding was garnered from on-going investigations in the field and in his Technical Laboratory, coupled with developments in equipment and machinery. Recognising his own limited capability to overhaul the British chemical industry, Davis promoted his framework of chemical engineering to increase the cadre of chemical engineers.</t>
  </si>
  <si>
    <t>0002-6980</t>
  </si>
  <si>
    <t>1745-8234</t>
  </si>
  <si>
    <t>10.1080/00026980.2020.1794674</t>
  </si>
  <si>
    <t>WOS:000557445800004</t>
  </si>
  <si>
    <t>Lidskog, Rolf; Sjodin, Daniel</t>
  </si>
  <si>
    <t>Extreme events and climate change: the post-disaster dynamics of forest fires and forest storms in Sweden</t>
  </si>
  <si>
    <t>SCANDINAVIAN JOURNAL OF FOREST RESEARCH</t>
  </si>
  <si>
    <t>How are extreme events understood in the forest sector? What are the implications of forest professionals' understandings and evaluations of extreme events? These questions are central to this study, which analyses the handling of the largest forest storm and the largest forest fire in modern Swedish history. The theoretical approach is that of risk governance in practice, which stresses that understanding the framings, practices and strategies used by members of professional organizations is pivotal for how disasters are managed. Two interview studies have been conducted with forest professionals involved in the two cases. The analysis shows that there were fundamentally different understandings of the two events and their implications for forestry practice. The storm was seen as an unavoidable natural disaster, but the consequences of future storms were considered possible to mitigate through changed forest practices. The forest fire, on the other hand, was conceptualized as a partly natural and partly man-made disaster, and forestry was seen as having very limited possibilities to reduce the likelihood as well as the consequences of similar events. The different understandings had significant implications for the post-disaster dynamics and for which management practices that were developed. Thus, understanding how extreme events are perceived is crucial to understanding which management practices that emerge in their wake, a topic of growing relevance because climate change is predicted to increase the frequency of forest fires and storms.</t>
  </si>
  <si>
    <t>0282-7581</t>
  </si>
  <si>
    <t>1651-1891</t>
  </si>
  <si>
    <t>FEB 17</t>
  </si>
  <si>
    <t>10.1080/02827581.2015.1113308</t>
  </si>
  <si>
    <t>WOS:000368547300003</t>
  </si>
  <si>
    <t>Florko, KRN; Derocher, AE; Breiter, CJC; Ghazal, M; Hedman, D; Higdon, JW; Richardson, ES; Sahanatien, V; Trim, V; Petersen, SD</t>
  </si>
  <si>
    <t>Florko, Katie R. N.; Derocher, Andrew E.; Breiter, C-Jae C.; Ghazal, Maha; Hedman, Daryll; Higdon, Jeff W.; Richardson, Evan S.; Sahanatien, Vicki; Trim, Vicki; Petersen, Stephen D.</t>
  </si>
  <si>
    <t>Polar bear denning distribution in the Canadian Arctic</t>
  </si>
  <si>
    <t>POLAR BIOLOGY</t>
  </si>
  <si>
    <t>Declines in Arctic sea ice associated with climate change have resulted in habitat loss for ice-adapted species, while facilitating increased human development at higher latitudes. Development increases land-use and shipping traffic, which can threaten ecologically and culturally important species. Female polar bears (Ursus maritimus) and cubs are susceptible to disturbance during denning; a better understanding of denning habitat distribution may aid management. We compiled existing location data on polar bear denning (n = 64 sources) in Canada between 1967 and 2018, including traditional ecological knowledge (TEK) studies, government and consultant reports, peer-reviewed scientific articles, and unpublished data acquired through data-sharing agreements. We synthesized these data to create a map of known denning locations. Most coastal regions in northern Canada supported denning, but large areas exist where denning is unreported. Gaps remain in the knowledge of polar bear denning in Canada and filling these will aid the conservation and management of polar bears in a changing Arctic.</t>
  </si>
  <si>
    <t>0722-4060</t>
  </si>
  <si>
    <t>1432-2056</t>
  </si>
  <si>
    <t>10.1007/s00300-020-02657-8</t>
  </si>
  <si>
    <t>WOS:000523093300001</t>
  </si>
  <si>
    <t>Savcuk, O</t>
  </si>
  <si>
    <t>Savcuk, Olga</t>
  </si>
  <si>
    <t>Internal audit efficiency evaluation principles</t>
  </si>
  <si>
    <t>JOURNAL OF BUSINESS ECONOMICS AND MANAGEMENT</t>
  </si>
  <si>
    <t>Current business environment has experienced rapid and revolutionary change with far reaching consequences for companies worldwide. Management responses to fierce global competition include improved quality and risk management initiatives, reengineered structures and processes and greater accountability to ensure more timely, reliable and relevant information for decision-making and to secure confidence and trust of the investors. Over the last few years the importance to the strong corporate governance of managing risk has been increasingly acknowledged. Companies are under pressure to identify all the business risks they face: social, ethical and environmental as well as financial and operational, and to explain how they manage them to an acceptable level. Therefore in order to reach its objectives each company has to develop and implement an approach to assessing and managing the uncertainties and opportunities it faces in the pursuit of its business strategy, with the intention of maximizing shareholder value and performance, i.e. meeting the determined objectives. Shareholders are extremely demanding with respect to the activities of the management and want an independent and objective assessment of the risk management and governance system the management is responsible for. In this radically changed business environment the internal auditing gained an important role within companies. Over the past sixty years internal audit developed from control function responsible for inspection of accounting and financial data to a strategic partner for the shareholders and the management of the company in improving governance processes. In current environment the management of the company more and more rely on the internal audit to evaluate whether controls are sufficient to manage risks and uncertainties. This developing role of the internal auditing is also reflected in its current definition, i.e. internal auditing is an independent, objective assurance and consulting activity designed to add value and improve a company's operations. It helps an organization accomplish its objectives by bringing a systematic, disciplined approach to evaluate and improve the effectiveness of risk management, control and governance processes. Only efficient internal audit can perform its tasks properly. Internal audit efficiency depends on its subordination level, which must be appropriate for internal audit to be independent and objective, on the professional qualification and practical experience of internal audit staff, on the internal audit strategy, activities and value added to the company and on the ability to improve itself. The article analyses efficient internal audit establishment and support issues and internal audit efficiency estimation principles. Taking into account the scope of organization's direction and control, internal audit takes on important roles, integrating several other governance and control aspects into organizational governance and stands out as the most important, single mechanism for ensuring adequate and effective governance of the organization. The article provides criteria to assess efficiency of internal audit which could be applied when implementing internal audit function or improving the existing one.</t>
  </si>
  <si>
    <t>1611-1699</t>
  </si>
  <si>
    <t>10.3846/16111699.2007.9636180</t>
  </si>
  <si>
    <t>WOS:000257537300006</t>
  </si>
  <si>
    <t>Holderegger, R; Schmidt, BR; Grunig, C; Meier, R; Csencsics, D; Gassner, M; Rellstab, C; Stapfer, A</t>
  </si>
  <si>
    <t>Holderegger, Rolf; Schmidt, Benedikt R.; Gruenig, Christoph; Meier, Robert; Csencsics, Daniela; Gassner, Martin; Rellstab, Christian; Stapfer, Andre</t>
  </si>
  <si>
    <t>Ready-to-use workflows for the implementation of genetic tools in conservation management</t>
  </si>
  <si>
    <t>CONSERVATION GENETICS RESOURCES</t>
  </si>
  <si>
    <t>We present a conservation genetics tool kit, which offers two ready-to-use workflows for the routine application of genetic methods in conservation management. The workflows were optimized for work load and costs and are accompanied by an easy-to-read and richly illustrated manual with guidelines regarding sampling design, sampling of genetic material, necessary permits, laboratory methods, statistical analyses and documentation of results in a practice-oriented way. The manual also provides a detailed interpretation help for the implementation of the results in conservation management. One workflow deals with the identification of pond-breeding amphibians based on metabarcoding and environmental DNA (eDNA) from water samples. This workflow also discriminates the morphologically similar water frogs (Pelophylaxsp.) and other closely related species (e.g.Triturus cristatusandT. carnifex). The second workflow studies connectivity among populations using microsatellite markers. Its statistical analyses encompass the detection of genetic groups and historical, recent and current dispersal and gene flow. Using the two workflows does not involve academic research institutes; they can be applied by environmental consultancies, laboratories from the private sector, governmental agencies or non-governmental organisations. These and additional conservation genetic workflows will hopefully foster the routine use of genetic methods in conservation management.</t>
  </si>
  <si>
    <t>1877-7252</t>
  </si>
  <si>
    <t>1877-7260</t>
  </si>
  <si>
    <t>10.1007/s12686-020-01165-5</t>
  </si>
  <si>
    <t>WOS:000560406700001</t>
  </si>
  <si>
    <t>Hofmann, F</t>
  </si>
  <si>
    <t>Hofmann, Florian</t>
  </si>
  <si>
    <t>Circular business models: Business approach as driver or obstructer of sustainability transitions?</t>
  </si>
  <si>
    <t>In times of climate change, biodiversity loss, or growing natural resource scarcity, the circular business model (CBM) concept is increasingly attractive, promoting the reorganization of current value creation architectures and supply chains toward a sustainable system of production and consumption. Driven by a vision of continued economic expansion and growth on a planet with finite natural resources, CBMs are endorsed by political institutions, multinational corporations, business consultancies, and academia. Some argue that CBM configurations contribute to a more holistic and radical change in the existing business logics than approaches that achieve incremental resource efficiency improvements. However, how holistic and radical are CBMs theoretically constituted in academia if we consider the deep structural and paradigmatic shifts in societies necessary to deal with the challenges associated with the Anthropocene? Prior studies do not examine the inherent normative settings and the operational change approaches beneath CBM concepts. To reconstruct the theoretical foundations of CBMs critically, the recent CBM body of academic literature is systematically reviewed according to (1) the legitimacy of CBMs (why should it be done) (2) the modes of value creation and offerings (what should be done), and (3) the core principles of CBM integration into daily business (how should it be done). From this synthesis, the predominant notion of sustainability behind the CBM concept can be revealed. This study argues contemporary scientifically constructed CBMs need to be reconsidered if they are intended to contribute to a profound economic transition toward sustainability. Hence, the paper shows how principles from more holistic, radical, and pluralistic economic approaches can widen CBMs and how future research can help to diversify the concept. (C) 2019 Elsevier Ltd. All rights reserved.</t>
  </si>
  <si>
    <t>10.1016/j.jclepro.2019.03.115</t>
  </si>
  <si>
    <t>WOS:000469151900032</t>
  </si>
  <si>
    <t>Albornoz, C; Gluckler, J</t>
  </si>
  <si>
    <t>Albornoz, Cristian; Glueckler, Johannes</t>
  </si>
  <si>
    <t>Co-Management of Small-Scale Fisheries in Chile From a Network Governance Perspective</t>
  </si>
  <si>
    <t>ENVIRONMENTS</t>
  </si>
  <si>
    <t>We examine decision-making, shared authority, and pluralism as key characteristics for the effective co-management of natural resources. Drawing on the concept of network governance, we complement this approach by studying localized practices of governance that support existing and compensate for missing aspects in the regulation. The regime of territorial use rights for fisheries (TURF) in Chile is a recognized example of large-scale co-management that has given rise to local organizations that manage and exploit benthic resources. Based on multi-sited qualitative fieldwork across five regions, we analyze practices with respect to two governance objects: the deterrence of illegal fishing and the periodic assessment of the fisheries' biology fields. Our analysis shows that local fisher organizations have institutionalized informal practices of surveillance and monitoring to fill in the gaps of existing regulations. Although fisher organizations and consultants-the so-called management and exploitation areas for benthic resources (AMERB)-have managed to operate the TURF regime, they depend on the government to enforce regulations and receive public subsidies to cover the costs of delegated governance tasks. We suggest that governance effectiveness could benefit from delegating additional authority to the local level. This would enhance the supervision of productive areas and better adaptation of national co-management regulations to the specific geographical context.</t>
  </si>
  <si>
    <t>2076-3298</t>
  </si>
  <si>
    <t>10.3390/environments7120104</t>
  </si>
  <si>
    <t>WOS:000602721700001</t>
  </si>
  <si>
    <t>Shenk, GW; Linker, LC</t>
  </si>
  <si>
    <t>Shenk, Gary W.; Linker, Lewis C.</t>
  </si>
  <si>
    <t>DEVELOPMENT AND APPLICATION OF THE 2010 CHESAPEAKE BAY WATERSHED TOTAL MAXIMUM DAILY LOAD MODEL</t>
  </si>
  <si>
    <t>The Phase 5.3 Watershed Model simulates the Chesapeake watershed land use, river flows, and the associated transport and fate of nutrient and sediment loads to the Chesapeake Bay. The Phase 5.3 Model is the most recent of a series of increasingly refined versions of a model that have been operational for more than two decades. The Phase 5.3 Model, in conjunction with models of the Chesapeake airshed and estuary, provides estimates of management actions needed to protect water quality, achieve Chesapeake water quality standards, and restore living resources. The Phase 5.3 Watershed Model tracks nutrient and sediment load estimates of the entire 166,000km(2) watershed, including loads from all six watershed states. The creation of software systems, input datasets, and calibration methods were important aspects of the model development process. A community model approach was taken with model development and application, and the model was developed by a broad coalition of model practitioners including environmental engineers, scientists, and environmental managers. Among the users of the Phase 5.3 Model are the Chesapeake watershed states and local governments, consultants, river basin commissions, and universities. Development and application of the model are described, as well as key scenarios ranging from high nutrient and sediment load conditions if no management actions were taken in the watershed, to low load estimates of an all-forested condition.</t>
  </si>
  <si>
    <t>Shenk, Gary/0000-0001-6451-2513</t>
  </si>
  <si>
    <t>10.1111/jawr.12109</t>
  </si>
  <si>
    <t>WOS:000325152600005</t>
  </si>
  <si>
    <t>Dawson, L; Persson, K; Balfors, B; Mortberg, U; Jarsjo, J</t>
  </si>
  <si>
    <t>Dawson, Lucas; Persson, Klas; Balfors, Berit; Mortberg, Ulla; Jarsjo, Jerker</t>
  </si>
  <si>
    <t>Impacts of the water framework directive on learning and knowledge practices in a Swedish catchment</t>
  </si>
  <si>
    <t>Catchments are complex social-ecological systems involving multiple, and often competing, interests. Water governance and management regimes are increasingly embracing pluralistic, participatory, and holistic norms as a means to engage with issues of complexity, uncertainty, and value-conflicts. Integrated, participatory approaches are theoretically linked to improved learning amongst stakeholders across sectors and decision-making that is grounded in shared knowledge, experiences and scientific evidence. However, few studies have empirically examined the impacts of an integrated approach to learning and knowledge practices related to water resources. Here, a Swedish sub-catchment that has adopted such an approach in association with implementation of the European Water Framework Directive (WFD) is examined. Interview-based analyses show that WFD implementation has both helped and hindered learning and knowledge practices surrounding both water planning and spatial planning. Whilst communities of practice have developed in the study area, a number of important challenges remain. These include the rigid goal-orientation of the WFD, the fragmentation of knowledge caused by an over-reliance on external consultants, as well as a lack of resources to synthesise information from multiple sources. Present results raise questions regarding the efficacy of the WFD to sufficiently enable the development of learning and knowledge practices capable of handling the complexity, uncertainties and value-conflicts facing catchments in Sweden and elsewhere.</t>
  </si>
  <si>
    <t>10.1016/j.jenvman.2018.06.054</t>
  </si>
  <si>
    <t>WOS:000442057500073</t>
  </si>
  <si>
    <t>Garcia-Teran, J; Skoglund, A</t>
  </si>
  <si>
    <t>Garcia-Teran, Jessica; Skoglund, Annika</t>
  </si>
  <si>
    <t>A Processual Approach for the Quadruple Helix Model: the Case of a Regional Project in Uppsala</t>
  </si>
  <si>
    <t>JOURNAL OF THE KNOWLEDGE ECONOMY</t>
  </si>
  <si>
    <t>This study investigates how the quadruple helix (QH) innovation model functions in a regional renewable energy initiative in Uppsala, Sweden. The focus is on the collaboration between regional office representatives, researchers, consultants and civil society, and their involvement in the attempt to implement and commercialize an innovation within renewable energy for the renovation of an old bridge. The empirical material gathered for this study was based on interviews, conversations, and participant observation during workshops and meetings with different stakeholders. By applying a processual approach, this article illustrates how the QH configuration (university-industry-government and civil society) emerges and evolves, unfortunately into a failed collaboration and thus a closing down of a commercialization attempt. By analyzing interactions and events of the process, we discuss the coordination problems between the actors to better understand how the dynamics affect local governments' attempts to spur a more innovative climate in the region. In our conclusion, we discuss how the processual approach, when applied, can offer a better understanding of the uncertain development of QH projects in knowledge-based societies and economies.</t>
  </si>
  <si>
    <t>1868-7865</t>
  </si>
  <si>
    <t>1868-7873</t>
  </si>
  <si>
    <t>10.1007/s13132-018-0521-5</t>
  </si>
  <si>
    <t>WOS:000479145300019</t>
  </si>
  <si>
    <t>Campbell, IC</t>
  </si>
  <si>
    <t>Campbell, Ian C.</t>
  </si>
  <si>
    <t>Perceptions, data, and river management: Lessons from the Mekong River</t>
  </si>
  <si>
    <t>Workshops to identify transboundary and basin-wide environmental issues and a diagnostic study by consultants identified priority environmental concerns of resource managers in the lower Mekong River basin. The issues identified, in priority order, were water quality, reduction in dry season flows, sedimentation, fisheries decline, wetland degradation, and flooding. An analysis of the available data found no evidence that water quality was poor except in the delta, where nutrient levels were high and increasing. Dry season flows have not decreased, and in the immediate future they are more likely to increase. Suspended sediment levels in the river are not high, and there is no indication that sediment loads are substantially increasing. Fish catch per unit effort has declined over the past decades, as have catches of large fish, but total fish catch has increased. Flooding does not appear to have increased in frequency or extent. There is no reliable quantitative information available on changes in wetland extent or condition, although it is reasonable to assume that both have declined. Reasons for the mismatch between perceptions and the data may include a failure by management agencies to analyze and publish data and provide adequate responses to issues raised in the popular press. This results from a lack of capacity in many government agencies and the Mekong River Commission, where there are high staff turnover rates and a dependence on short-term experts with limited experience in the basin.</t>
  </si>
  <si>
    <t>FEB 10</t>
  </si>
  <si>
    <t>W02407</t>
  </si>
  <si>
    <t>10.1029/2006WR005130</t>
  </si>
  <si>
    <t>WOS:000244206100004</t>
  </si>
  <si>
    <t>van Ast, JA; Gerrits, L</t>
  </si>
  <si>
    <t>van Ast, Jacko A.; Gerrits, Lasse</t>
  </si>
  <si>
    <t>Public participation, experts and expert knowledge in water management in the Netherlands</t>
  </si>
  <si>
    <t>In our complex society, specific expertise is inevitable for decision-making in technical projects such as water management projects. For that reason, experts are also called the sixth power. Some of them work in administrative organizations and others are hired by stakeholders that participate in decision-making. For a large part they are employed in the private sector as consultants or are employees of interest groups. As such, they represent the most technocratic dimension of such projects. It often appears that their opinions about technical and financial issues play a dominant role in the outcome of water-related projects. The objective of this paper is to explore the influence of experts, in relation to the stakeholders (including governments and lay people), in participatory decision-making processes regarding water management. An important question here is whether experts and their knowledge advance or determine decision-making. We present two concrete experiments: one where experts were given a leading role, and one where experts were given a position in the backseat. The experiments demonstrate that stronger expert participation negates public participation and the other way around.</t>
  </si>
  <si>
    <t>Gerrits, Lasse/J-2744-2019</t>
  </si>
  <si>
    <t>Gerrits, Lasse/0000-0002-7649-6001</t>
  </si>
  <si>
    <t>10.2166/wp.2016.253</t>
  </si>
  <si>
    <t>WOS:000394341200008</t>
  </si>
  <si>
    <t>Marenichenko, V</t>
  </si>
  <si>
    <t>Marenichenko, Valerii</t>
  </si>
  <si>
    <t>MECHANISMS OF STATE REGULATION OF SMALL AND MEDIUM BUSINESSES</t>
  </si>
  <si>
    <t>Subject of research is the mechanisms of state regulation of small and medium businesses in Ukraine. The purpose of the research is effective mechanisms development of state regulation of small and medium enterprises (SMEs). Methodology. The article uses general and special methods of investigation: empirical research methods (observation, comparison); methods used empirically and theoretically study (abstraction, analysis and synthesis); methods of theoretical research (ascent from the abstract to the concrete, systemic and structural approach). The article highlighted the priority areas of activity in Ukraine, such as agriculture, IT-sector and tourism. In particular, we have analyzed data of the State Statistics Service of Ukraine and international surveys such as Enabling the Business of Agriculture, DOU, Deloitte (Global Survey of R&amp;D Incentives 2015), International SOS and Control Risks, WTTC, UPS, Consulting integrated, Organic Monitor and other. We determined that agriculture must use consistent increasing areas under food crops; introduction of modern technology and innovation; gradual increase in the level of mechanization of agricultural production. Scientific research preparation and training of local staff employed in the agriculture and food industry must become the main aspects of quality development. The article defines that IT market requires quality of the state regulation in readiness for a permanent dialogue with government and comprehensive support for sector as a strategic development of the country; development strategy and projects for development of the sector; effective fight against corruption at all levels. The relevance of government regulation in the development of green international tourism is determined. Modern historical and cultural features of Ukraine can allow providing a range of services for international tourism community. There is analyzed an impact of export orientation for small and medium business in the article. Export agribusiness areas that are not yet wide developed are identified: the supply of organic products (use of fertilizers over many years significantly reduced the possibility of growing organic products in the EU, Ukraine has a a lot of land that is not processed); bean cultures export (For example, provision of population with bean cultures is only 8%, 92% -import in Turkey. The production of bean cultures have high indicators in Ukraine); selling of honey (Ukraine takes 3rd place in Europe on manufacture of of honey, and only a small part is realized abroad). As a result of research we have created own Index of business quality development (IBQD), which includes the negative tendencies of development in international rankings and current state of socio-economic environment in Ukraine. Index of business quality development considers the practical significance and is formed directly on the SMEs questionnaire and includes the following blocks: general information about the company; contemporary business issues (the study of actual practical problems of business); providing state functions to support the business development. Thus, the Index of business quality development shows efficiency of mechanisms of state administration in the SMEs sphere in dynamics.</t>
  </si>
  <si>
    <t>10.30525/2256-0742/2016-2-5-41-47</t>
  </si>
  <si>
    <t>WOS:000433734400007</t>
  </si>
  <si>
    <t>Fernandez-Esquinas, M; Pinto, H; Yruela, MP; Pereira, TS</t>
  </si>
  <si>
    <t>Fernandez-Esquinas, Manuel; Pinto, Hugo; Perez Yruela, Manuel; Pereira, Tiago Santos</t>
  </si>
  <si>
    <t>Tracing the flows of knowledge transfer: Latent dimensions and determinants of university-industry interactions in peripheral innovation systems</t>
  </si>
  <si>
    <t>Firms interact with universities through a variety of channels, ranging from collaborative research projects, patents, spin-off creation, consultancy and specialized training, to informal relationships. This article explores the combination of mechanisms used by firms in Andalusia, a peripheral region in Spain and Europe, when interacting with universities. Using information from a survey of 737 innovative firms, the empirical study found evidence that university-industry links can be grouped into five latent dimensions (knowledge generation and adaptation, involvement in new organisations, training and exchange of human resources, intellectual property rights, and facilities and equipment) which are mainly based on exploitation or exploration activities. A typology of firms was created, highlighting the large number of firms with no interactions, and six clusters that specialize in specific mechanisms (IPR exploiters, Institutionalized interactors, University facility users, Training and education beneficiaries, Tacit knowledge users, and R&amp;D interactors). The study also presents the determinants for engaging in each type of channel, concluding that whilst firms developing exploitation activities also develop parallel exploration activities, the reverse is not significant. The absorptive capacity of firms is important in determining the type of interaction, but is not fully conclusive about the range of exploration and exploitation activities. The article ends by discussing the policy implications associated with incentives to adapt knowledge transfer mechanisms to the industrial fabric of peripheral innovation systems. (C) 2015 Elsevier Inc. All rights reserved.</t>
  </si>
  <si>
    <t>Pereira, Tiago/X-2960-2018; Pinto, Hugo/A-1578-2018</t>
  </si>
  <si>
    <t>Pereira, Tiago/0000-0003-0066-2146; Pinto, Hugo/0000-0002-8497-4798</t>
  </si>
  <si>
    <t>10.1016/j.techfore.2015.07.013</t>
  </si>
  <si>
    <t>WOS:000390735000012</t>
  </si>
  <si>
    <t>Ali, SAM</t>
  </si>
  <si>
    <t>Ali, Sameen A. Mohsin</t>
  </si>
  <si>
    <t>Driving participatory reforms into the ground: The bureaucratic politics of irrigation management transfer in Pakistan</t>
  </si>
  <si>
    <t>WORLD DEVELOPMENT</t>
  </si>
  <si>
    <t>Participatory governance is a means of making the state more responsive and accountable to its citizens. However, attempts to involve end users in decision making are often met with considerable resistance not just from political elites, but from the bureaucracy. I investigate how and why bureaucrats resist such reforms by focusing on the implementation of the Provincial Irrigation and Drainage Authorities Act (1997) in Pakistan, an Irrigation Management Transfer (IMT) program that attempted to put farmers in charge of water allocation, revenue collection, and dispute resolution. Drawing on qualitative interviews conducted in 2015 and 2019 with bureaucrats across the administrative hierarchy and water sector practitioners and consultants, I emphasise the role bureaucratic perceptions and incentives played in driving this program into the ground over two decades. My argument is two-pronged. First, I show that bureaucratic resistance to participatory programs needs to be studied in light of wider political events and processes, particularly patterns of political engagement and parallel attempts at devolving power. Second, I find that the precarious conditions under which irrigation bureaucrats work make them unwilling to cede what official power and influence they do have to farmers. In other words, I contend that bureaucratic resistance to farmers' involvement in decision-making is the result of a more nuanced set of political and bureaucratic experiences than the perceived technical superiority and colonial inheritance of the irrigation bureaucracy. More broadly, my argument has implications for participatory reforms in other sectors and for decentralized government in Pakistan and in other countries in the Global South. (C) 2020 Elsevier Ltd. All rights reserved.</t>
  </si>
  <si>
    <t>Ali, Sameen/0000-0003-1062-2105</t>
  </si>
  <si>
    <t>0305-750X</t>
  </si>
  <si>
    <t>10.1016/j.worlddev.2020.105056</t>
  </si>
  <si>
    <t>WOS:000564711800007</t>
  </si>
  <si>
    <t>Zettler, ML; Beermann, J; Dannheim, J; Ebbe, B; Grotjahn, M; Gunther, CP; Gusky, M; Kind, B; Kroncke, I; Kuhlenkamp, R; Orendt, C; Rachor, E; Schanz, A; Schroder, A; Schuler, L; Witt, J</t>
  </si>
  <si>
    <t>Zettler, Michael L.; Beermann, Jan; Dannheim, Jennifer; Ebbe, Brigitte; Grotjahn, Michael; Guenther, Carmen-Pia; Gusky, Manuela; Kind, Britta; Kroencke, Ingrid; Kuhlenkamp, Ralph; Orendt, Claus; Rachor, Eike; Schanz, Anja; Schroeder, Alexander; Schueler, Lisa; Witt, Jan</t>
  </si>
  <si>
    <t>An annotated checklist of macrozoobenthic species in German waters of the North and Baltic Seas</t>
  </si>
  <si>
    <t>HELGOLAND MARINE RESEARCH</t>
  </si>
  <si>
    <t>The present compilation is the first attempt to generate a comprehensive list of all macrozoobenthic species recorded at least once in the German regions of the North Sea and Baltic Sea including non-indigenous species and freshwater species which occurred in brackish waters (estuaries, bays, fjords etc.). Based on the data of several research institutes and consultancies, the macrozoobenthic species inventory comprises a total of 1.866 species belonging to 16 phyla including 193 threatened species. The most common groups were: malacostracan crustaceans (21%), Polychaeta (19%), and Gastropoda (12%). Even though the two major marine regions are separated by only 50 km of land, the composition of the respective communities was different. The two seas shared only 36.6% of the recorded species which should have profound and far-reaching consequences for conservation purposes. Considering all macroin-vertebrates listed 96 species, or the equivalent of 5.2%, were introduced mainly during the last two centuries. Both seas are heavily affected by human activities and are sensitive to climate change displayed by effects on the faunal compositions. The present checklist is an important step to document these changes scientifically and may act as a base for political and management decisions.</t>
  </si>
  <si>
    <t>Zettler, Michael Lothar/R-3186-2019</t>
  </si>
  <si>
    <t>1438-387X</t>
  </si>
  <si>
    <t>1438-3888</t>
  </si>
  <si>
    <t>10.1186/s10152-018-0507-5</t>
  </si>
  <si>
    <t>WOS:000432371400001</t>
  </si>
  <si>
    <t>Chen, K; Lo, AY</t>
  </si>
  <si>
    <t>Chen, Kang; Lo, Alex Y.</t>
  </si>
  <si>
    <t>Local climate change governance in China: an analysis of social network and cross-sector collaboration in capacity development</t>
  </si>
  <si>
    <t>The pilot emission trading schemes in China have driven a new wave of local collaborations among state and non-state actors. Strong networks have been formed to support capacity development, potentially improving the quality of governance through inclusion and engagement. However, the currently poor knowledge about the structure of these networks poses a barrier to identifying who and what drive better climate change governance in China. This paper delineates a network of organizations involved in the development of the pilot emission trading scheme of Guangdong Province. It is based on a social network analysis using primary data from structured interviews with 45 local organizations. We identified key organizations who coordinated the network, and provided some explanations about the enabling conditions. Findings show that the network was oligopolistic. Connections were mediated by a handful of organizations with different degrees of public-private hybridity. Government agencies, civil society organizations, compliance enterprises, and management consultancies were not key network builders. Hybrid organizations and cross-sector initiatives have a high potential to become a transformative institutional innovation for improving governance in China. Further research into their contributions and impacts is warranted.</t>
  </si>
  <si>
    <t>Lo, Alex/B-7948-2008</t>
  </si>
  <si>
    <t>Lo, Alex/0000-0002-5953-4176</t>
  </si>
  <si>
    <t>10.1080/1523908X.2020.1798748</t>
  </si>
  <si>
    <t>WOS:000552561900001</t>
  </si>
  <si>
    <t>Huang, J; Buchanan, SM; Bishop, TFA; Triantafilis, J</t>
  </si>
  <si>
    <t>Huang, J.; Buchanan, S. M.; Bishop, T. F. A.; Triantafilis, J.</t>
  </si>
  <si>
    <t>terraGIS - a web GIS for delivery of digital soil maps in cotton-growing areas of Australia</t>
  </si>
  <si>
    <t>Effective management of soil requires the spatial distribution of its various physical, chemical and hydrological properties. This is because properties, for example clay content, determine the ability of soil to hold cations and retain water. However, data acquisition is labour intensive and time-consuming. To add value to the limited soil data, remote sensing (e.g. airborne gamma-ray spectrometry) and proximal sensing, such as electromagnetic (EM) induction, are being used as ancillary data. Here, we provide examples of developing Digital Soil Maps (DSM) of soil physical, chemical and hydrological properties, for seven cotton-growing areas of southeastern Australia, by coupling soil data with remote and proximal sensed ancillary data. A greater challenge is how to get these DSM to a stakeholder in a way that is useful for practical soil use and management. This study describes how we facilitate access to the DSMs, using a simple-to-use web GIS platform, called terraGIS. The platform is underpinned by Google Maps API, which is an open-source development environment for building spatially enabled Internet applications. In conclusion, we consider that terraGIS and the supporting information, available on the sister web page (), allow easy access to explanation of DSM of soil properties, which are relevant to cotton growers, farm managers, consultants, extension staff, researchers, state and federal government agency personnel and policy analysts. Future work should be aimed at developing error budget maps to identify where additional soil and/or ancillary data is required to improve the accuracy of the DSMs.</t>
  </si>
  <si>
    <t>1475-2743</t>
  </si>
  <si>
    <t>10.1111/sum.12383</t>
  </si>
  <si>
    <t>WOS:000418422500006</t>
  </si>
  <si>
    <t>Sato, S; Yamaji, E; Kuroda, T</t>
  </si>
  <si>
    <t>Sato, Shuichi; Yamaji, Eiji; Kuroda, Takeshi</t>
  </si>
  <si>
    <t>Strategies and engineering adaptions to disseminate SRI methods in large-scale irrigation systems in Eastern Indonesia</t>
  </si>
  <si>
    <t>PADDY AND WATER ENVIRONMENT</t>
  </si>
  <si>
    <t>The system of rice intensification (SRI) developed in Madagascar has been controversial in part because there have been no large-scale, long-term evaluations of the impact of its alternative methods. This paper summarizes experience with the dissemination of SRI practices across eight provinces in Eastern Indonesia over nine seasons from 2002 to 2006 under a major irrigation project. The Decentralized Irrigation System Improvement Project (DISIMP) was financed by the Japanese Government with project management by a Nippon Koei consultant team. SRI has been introduced in Indonesia via several organizations and in different parts of the country starting in 2000. The evaluation reported here, made by the DISIMP technical assistance team, is based on data from 12,133 on-farm comparison trials that covered a total area of 9,429 ha. Under SRI management, average paddy yield increase was 3.3 t/ha (78%). This was achieved with about 40% reduction in water use, 50% reduction in chemical fertilizer applications, and 20% lower costs of production. The farmers whom DISIMP was assisting to take up SRI were usually cultivating their paddy fields individually within irrigation systems where it was difficult to reduce water applications as recommended for SRI. Accordingly, innovations had to be made in soil and water management to create relatively aerobic soil conditions so that farmers could get the more productive rice phenotypes expected from SRI practice. This article describes the modifications made to adapt SRI concepts, pointing to the value of introducing in-field ditches, which was confirmed through paddy tract surveys. This experience and analysis showed how SRI methods could be utilized within irrigation systems where water management was not (yet) tailored to SRI production practices. Subsequently, modifications in irrigation system management are being made to be more supportive of SRI cultivation.</t>
  </si>
  <si>
    <t>1611-2490</t>
  </si>
  <si>
    <t>10.1007/s10333-010-0242-2</t>
  </si>
  <si>
    <t>WOS:000288176100009</t>
  </si>
  <si>
    <t>Kim, PS</t>
  </si>
  <si>
    <t>Kim, Pan Suk</t>
  </si>
  <si>
    <t>Quality as a reflection of innovation? Quality management in the Korean government</t>
  </si>
  <si>
    <t>INTERNATIONAL REVIEW OF ADMINISTRATIVE SCIENCES</t>
  </si>
  <si>
    <t>Quality management generally implies all the activities that are intended to bring about the desired level of quality. In order to improve the quality of a product or service in both private and public sectors, quality management has been exercised for a long time and broadly applied in various organizations. As many new buzz words emerge in both business and public management, however, it seems that its popularity has declined. Is quality management dead? Not really. Quality is a fundamental ingredient in innovation so it must not be disregarded, although there might be fluctuations in its popularity. This study reviews the developmental status of quality management in South Korea by looking at its status and conceptual changes from historical and comparative perspectives. Historically, quality management in modern Korea was influenced by Japanese and American practices. In a comparative perspective, however, European influence on quality management was not salient in Korea. Points for practitioners More buzz words or fads will be generated by issue entrepreneurs and business consultants. However, quality management will not fade away. Continuous improvement is an endless open-ended journey, as is quality management. It is fair to say that the need for government reform and innovation will never be exhausted. Therefore, the importance of quality management will be a continuing reality in the future, perhaps with some adjustment of its rhetoric or riding on an irresistible wave of reform for adaptation. Quality has been reflected through innovation, and vice versa.</t>
  </si>
  <si>
    <t>Kim, Pan Suk/0000-0002-0551-1702</t>
  </si>
  <si>
    <t>0020-8523</t>
  </si>
  <si>
    <t>1461-7226</t>
  </si>
  <si>
    <t>10.1177/0020852309341332</t>
  </si>
  <si>
    <t>WOS:000270465500004</t>
  </si>
  <si>
    <t>Marasco, DE; Kontokosta, CE</t>
  </si>
  <si>
    <t>Marasco, Daniel E.; Kontokosta, Constantine E.</t>
  </si>
  <si>
    <t>Applications of machine learning methods to identifying and predicting building retrofit opportunities</t>
  </si>
  <si>
    <t>Building energy conservation measures (ECMs) can significantly lower greenhouse gas (GHG) emissions from urban areas; however, uncertainties regarding not only ECM eligibility, but also associated costs and energy savings have slowed adoption of ECMs. To encourage ECM implementation, local governments have implemented a range of policies designed to increase the available information on building energy use. Energy audit mandates, such as New York City (NYC)'s Local Law 87 (LL87), require energy consultants to analyze installed building systems and provide building stakeholders with cost effective ECM recommendations on a multi-year cycle. However, complete audits are costly and time consuming. To accelerate ECM implementation, policymakers are exploring ways to utilize available data to target ECM5 across a city's entire building stock. In this study, energy audit data for over 1100 buildings in NYC, submitted in compliance with LL87, are analyzed to identify opportunities for ECMs across building system categories (e.g. distribution system, domestic hot water, etc.). A machine learning classifier, specifically a user-facing falling rule list (FRL) classifier based on binary features derived from LL87 data, is developed here to predict ECM eligibility given a specific set of building characteristics. Overall, the trained FRL classifier performs well (ROC AUC 0.72-0.86) for predicting cooling system, distribution system, domestic hot water, fuel switching, lighting, and motors ECM opportunities, which represent a majority of the auditor-recommended ECM5 in the sample. Additionally, linear decision lists developed by the model allow building stakeholders to easily conduct streamlined audits of building systems and identify possible ECM opportunities by limiting input to the most relevant factors and prioritizing likely retrofit candidates. The implications of this work are significant in accelerating the adoption of building ECMs and catalyzing energy use and GHG emissions reductions from buildings. (C) 2016 The Author(s). Published by Elsevier B.V.</t>
  </si>
  <si>
    <t>Marasco, Daniel/0000-0001-8114-4636; Kontokosta, Constantine/0000-0003-4831-9996</t>
  </si>
  <si>
    <t>SEP 15</t>
  </si>
  <si>
    <t>10.1016/j.enbuild.2016.06.092</t>
  </si>
  <si>
    <t>WOS:000382794200035</t>
  </si>
  <si>
    <t>Klink, J; Empinotti, VL; Aversa, M</t>
  </si>
  <si>
    <t>Klink, Jeroen; Empinotti, Vanessa Lucena; Aversa, Marcelo</t>
  </si>
  <si>
    <t>On contested water governance and the making of urban financialisation: Exploring the case of metropolitan Sao Paulo, Brazil</t>
  </si>
  <si>
    <t>The literature on urban financialisation has prioritised the analysis of what finance does in the context of industrialised countries. This paper contributes to an understanding of what it is, and specifically how it emerges from the entanglements between the accumulation of intergovernmental debt, pricing and valuation practices - involving state and municipal utilities, regulatory agencies and consultancies - in the gradual transformation of shared into shareholder water governance in Brazilian metropolitan areas. Moreover, we provide a first illustration of how a more articulate approach between political economics and social studies of finance might contribute to an understanding of the making of urban financialisation, with a particular relevance for a context of less developed capital markets.</t>
  </si>
  <si>
    <t>Klink, Jeroen/B-9494-2018; Empinotti, Vanessa Lucena/ABE-5445-2020; Aversa, Marcelo/I-5149-2014</t>
  </si>
  <si>
    <t>Klink, Jeroen/0000-0001-6264-001X; Empinotti, Vanessa Lucena/0000-0001-5789-6467; Aversa, Marcelo/0000-0002-4921-9930</t>
  </si>
  <si>
    <t>10.1177/0042098019844390</t>
  </si>
  <si>
    <t>WOS:000534334700005</t>
  </si>
  <si>
    <t>Feser, D; Runst, P</t>
  </si>
  <si>
    <t>Feser, Daniel; Runst, Petrik</t>
  </si>
  <si>
    <t>Energy efficiency consultants as change agents? Examining the reasons for EECs' limited success</t>
  </si>
  <si>
    <t>Residential energy consumption has been increasingly singled out by public policies as a key area for potential emission reduction. The public implementation of energy efficiency consultants (EECs) as change agents aims at the diffusion of innovation in residential building efficiency and overcoming information asymmetries in the construction sector. However, the success of these measures has been described as low. We conducted a case study involving 17 in-depth expert interviews to examine the causes of this failure in the case of Germany. In Germany, EECs are organized in a certification scheme which is prerequisite to participate in the publicly funded subsidy system. This analysis has important implications for EECs in general and hence other European countries pursuing such policies. We show that information asymmetries (ex-ante/ex-post) in the ECC market lead to a low willingness to pay. Certification of EECs does not suffice to overcome information asymmetries. We also identify a mismatch between EECs and customer incentives. As top-down policies have failed to facilitate a viable EEC market, we recommend a greater role for private and private-public networks, the cutting of EEC subsidies and a closer alignment between climate policy goals and home owners' economic efficiency considerations. (C) 2016 Published by Elsevier Ltd.</t>
  </si>
  <si>
    <t>Feser, Daniel/0000-0002-2591-4488</t>
  </si>
  <si>
    <t>10.1016/j.enpol.2016.08.022</t>
  </si>
  <si>
    <t>WOS:000387300300029</t>
  </si>
  <si>
    <t>Jermyn, D; Richman, R</t>
  </si>
  <si>
    <t>Jermyn, Denver; Richman, Russell</t>
  </si>
  <si>
    <t>A process for developing deep energy retrofit strategies for single-family housing typologies: Three Toronto case studies</t>
  </si>
  <si>
    <t>Energy consumption of existing single-family homes in cold climate urban centers needs to be reduced. This research presents a process for developing and analyzing retrofit strategies for specific housing archetypes using Toronto (Canada) as a case study. The process was applied to three Toronto urban archetypes with two separate energy intensity goals for heating and cooling: (1) 75 kWh/m(2) and (2) Passive House EnerPHit estimated equivalency. Building data was collected through field study and calibrated baseline energy models (EnergyPlus) were created. Retrofit strategies were identified and costs were estimated in consultancy with several experienced Toronto-based retrofit contractors. The process utilized a Brute Force method for retrofit selection considering the cost/benefit of each strategy. Furnace and select building envelope parameters were shown to be priorities while windows were not. Energy use reductions of 64-67% and 88-89% from a baseline were achieved when meeting the 75 kWh/m(2) and EnerPHit equivalency targets, respectively. The capital costs of $30,000-$80,000 to achieve the retrofit targets are likely to be prohibitive for homeowners, suggesting that a government funded program is necessary to achieve deep energy retrofits of this nature and to ensure early adoption leading to widespread market growth. (C) 2016 Elsevier B.V. All rights reserved.</t>
  </si>
  <si>
    <t>MAR 15</t>
  </si>
  <si>
    <t>10.1016/j.enbuild.2016.01.022</t>
  </si>
  <si>
    <t>WOS:000373863300046</t>
  </si>
  <si>
    <t>Schwartz, M; Hornych, C</t>
  </si>
  <si>
    <t>Schwartz, Michael; Hornych, Christoph</t>
  </si>
  <si>
    <t>Specialization as strategy for business incubators: An assessment of the Central German Multimedia Center</t>
  </si>
  <si>
    <t>The literature on business incubators (BIs) mainly discusses findings of incubators that do not restrict themselves to specific sectors (diversified incubators). There is a strong disregard of the possible benefits arising from the concept of a sector-specialized business incubator (SBI), although this concept has become more important in recent years. In Germany, about 19% of the incubators can be characterized as being specialized. Since 1999, nearly one-third of all new BIs in Germany opened with a sector-specific focus. This study attempts to approach this research question by examining the advantages and deficiencies of this concept and to address them with empirical observations from an SBI in the city of Halle (Germany), which has an explicit sector-focus on the media industry (MI). We identify key benefits arising from such an incubator concept: (1) high-quality premises and equipment, (2) improvement of service and consultancy offerings and (3) image effects for the location. We also find deficiencies of an SBI especially regarding internal networking activities and promotion of linkages to universities. Furthermore a negative working climate impedes interaction. This study offers implications for firms, incubator managers and local policy-makers who are concerned with the instrument of an SBI. (C) 2008 Elsevier Ltd. All rights reserved.</t>
  </si>
  <si>
    <t>10.1016/j.technovation.2008.02.003</t>
  </si>
  <si>
    <t>WOS:000257236200004</t>
  </si>
  <si>
    <t>Schlosser, F; Jesper, M; Vogelsang, J; Walmsley, TG; Arpagaus, C; Hesselbach, J</t>
  </si>
  <si>
    <t>Schlosser, F.; Jesper, M.; Vogelsang, J.; Walmsley, T. G.; Arpagaus, C.; Hesselbach, J.</t>
  </si>
  <si>
    <t>Large-scale heat pumps: Applications, performance, economic feasibility and industrial integration</t>
  </si>
  <si>
    <t>Heat pumps can recover and upgrade industrial waste heat using renewable electricity, creating an essential technological lever to decarbonise thermal processes. High profitability requirements, unfavourable electricity-gas price ratios, and a lack of awareness of meaningful application possibilities among stakeholders from consultants and decision-makers, in both politics and companies, hinder further market penetration. To address these barriers, this review classifies 155 case studies of large-scale heat pumps to identify suitable characteristics that favour implementation. Unit operations, like utility water heating for cleaning purposes, process bath heating, drying, and thermal preservation processes, are identified as suitable processes that can be supplied with market-available heat pump technologies. These operations fall inside the current technology limits: &gt; 50 kW heating capacity, up to 160 degrees C output temperature, and temperature lifts up to 95 K. COP regression models describe the efficiency of industrial water/water heat pumps, and recently also of HPs for drying and steam-generation purposes within a coefficient of determination of 0.87-0.96. These models form the basis for enhanced integration and economic assessment. Generalised results can be captured in the form of an universal nomogram to graphically evaluate ecological and economic break-even temperature lifts for heat pump integration concepts (i.e. between 26.5 K and 43 K temperature lift for an average price ratio of electricity to natural gas of 3.5 in Europe).</t>
  </si>
  <si>
    <t>1879-0690</t>
  </si>
  <si>
    <t>10.1016/j.rser.2020.110219</t>
  </si>
  <si>
    <t>WOS:000581605600033</t>
  </si>
  <si>
    <t>Fuller, R; Rajagopalan, P; Duverge, JJ</t>
  </si>
  <si>
    <t>Fuller, R.; Rajagopalan, P.; Duverge, J. J.</t>
  </si>
  <si>
    <t>Assessment and modelling of the viability of a solar heating system for aquatic centres in southern Australia</t>
  </si>
  <si>
    <t>ENERGY EFFICIENCY</t>
  </si>
  <si>
    <t>Aquatic centres are large users of energy for water and space heating with an energy intensity which can be up to seven times that of a commercial office building in Australia. Much of the energy is used to heat water to relatively low temperatures, and therefore, solar energy technology is capable of providing this energy. In the residential sector, solar thermal systems for heating water and swimming pools are well-established. This is not the case for commercial swimming pools i.e. aquatic centres. In Australia, a program to encourage commercial pool operators to install solar systems was funded in the early 1980s. This paper has investigated the current use of and attitudes to solar systems in commercial pools through a survey of municipal pool operators in Victoria, southern Australia. The survey found that there has been very little increase in the use of solar energy and that perceived barriers to the use of the technology remain the same as they were nearly 30 years ago. Lack of roof area, poor payback periods and an inability of solar to meet pool heating needs are the most common misconceptions. The paper investigates these misconceptions by analysing the hot water needs of a large aquatic centre in Melbourne. It was found that there was sufficient roof area to accommodate a solar system that would provide a solar fraction of 0.60 and the simple payback period for a solar system using unglazed solar collectors was approximately 6.7 years at current gas prices. These are predicted to rise significantly making solar energy an even more attractive proposition for commercial pool heating. Failure of past incentives to stimulate the uptake of solar pool heating systems necessitates a revised approach. Key stakeholders (industry bodies, local governments, pool operators, manufacturers, relevant HVAC consultants and research organisations) all need to be involved in an exemplar project to demonstrate the technology's viability for aquatic centres.</t>
  </si>
  <si>
    <t>Rajagopalan, Priyadarsini/0000-0001-7445-0985</t>
  </si>
  <si>
    <t>1570-646X</t>
  </si>
  <si>
    <t>1570-6478</t>
  </si>
  <si>
    <t>10.1007/s12053-017-9517-4</t>
  </si>
  <si>
    <t>WOS:000411865800014</t>
  </si>
  <si>
    <t>Ekemode, BG; Olaleye, A</t>
  </si>
  <si>
    <t>Ekemode, Benjamin Gbolahan; Olaleye, Abel</t>
  </si>
  <si>
    <t>Asset allocation decision-making practices of institutional real estate funds in a developing economy Evidence from Nigeria</t>
  </si>
  <si>
    <t>Purpose In a bid to broaden the understanding of the real estate investment decision-making framework, the purpose of this paper is to examine the real estate asset allocation decision-making practices of real estate funds in Nigeria, a developing economy. This is with a view to providing information toward enhancing real estate investment decisions. Design/methodology/approach A mixed-methods approach comprising a combination of literature review, expert interviews and semi-structured questionnaire survey is adopted for this study. Through literature review and expert interviews, the asset allocation decision-making process of institutional real estate funds was identified. Based on the literature review and expert discussions, a semi-structured questionnaire was developed and self-administered on fund/portfolio managers of 59 institutional real estate funds in Nigeria to investigate their asset allocation decision-making practice. Data were analyzed using descriptive and inferential statistics for the closed-ended questions while the open-ended questions were content analyzed. Findings The findings revealed that the asset allocation decision-making process utilized by public and private real estate funds follows an opportunistic asset accumulation approach. The decision-making process also varies depending on the nature of the fund. Further findings showed that government policies, political uncertainties and regulatory mechanism motivate asset allocation decisions. Moreover, majority of the sampled real estate funds employed a combination of in-house personnel and external consultants (hybrid), while mean/standard deviation and cash flow analysis (DCF, NPV) were mostly utilized by the funds in making property investment decisions. Practical implications The findings implied that the real estate asset allocation decision-making process of institutional property investors in Nigeria deviates from the normative model of the asset allocation process prescribed in the literature and varies depending on the nature of the real estate funds. As such, familiarization of institutional investors with government policies, political climate and other regulatory mechanism (barriers to entry) guiding the ownership and operation of real estate assets in the country could improve their real estate investment decisions. Originality/value The study complements and extends existing literature on real estate asset allocation decision-making process of institutional investors from the viewpoint of the actors involved in a developing African economy.</t>
  </si>
  <si>
    <t>10.1108/PM-03-2019-0012</t>
  </si>
  <si>
    <t>WOS:000536844800008</t>
  </si>
  <si>
    <t>Khirfan, L; Momani, B; Jaffer, Z</t>
  </si>
  <si>
    <t>Khirfan, Luna; Momani, Bessma; Jaffer, Zahra</t>
  </si>
  <si>
    <t>Whose authority? Exporting Canadian urban planning expertise to Jordan and Abu Dhabi</t>
  </si>
  <si>
    <t>This article incorporates a diverse set of approaches that draw upon mobility and diffusion in geography and urban planning, constructivism in international relations theory, and transfer in knowledge management studies in order to investigate: How do international planning consultants who hail from the developed world interact with their indigenous counterparts in developing countries? How do these international consultants navigate the local planning cultures? And how do the interactions between these international urban planning consultants and local planners impact the process of knowledge transfer-acquisition? A global ethnography approach facilitates a micro-level of analysis that elucidates the interactions between the transferring and the acquiring agents; explains the methods by which the transferring agents navigate the planning culture of the acquiring context; and also, explicates the outcomes of the knowledge transfer-acquisition process - i.e. the adaptation of knowledge. To achieve its objectives, this article compares two cases of the transfer of urban planning knowledge from Canada to the Middle East: from Toronto to Amman, Jordan and from Vancouver to Abu Dhabi, the United Arab Emirates. The combination of global ethnography and comparative analysis enables us to ascertain four key observations that explain the transfer-acquisition interactions, and which also challenge existing assumptions on transferring urban planning policies to developing countries. The first explains the links between possessing the necessary expertise and becoming 'an authority'; the second addresses the 'an authority'-'in authority' nexus; the third discusses building local capacity versus drawing on local authority; and the last concerns authority and the sustenance of newly formed knowledge. (C) 2013 Elsevier Ltd. All rights reserved.</t>
  </si>
  <si>
    <t>Khirfan, Luna/AAU-3891-2020</t>
  </si>
  <si>
    <t>Khirfan, Luna/0000-0003-4978-7521</t>
  </si>
  <si>
    <t>10.1016/j.geoforum.2013.07.007</t>
  </si>
  <si>
    <t>WOS:000328660200002</t>
  </si>
  <si>
    <t>FINNEGAN, RB; WILES, JL</t>
  </si>
  <si>
    <t>THE INVISIBLE HAND OR HANDS ACROSS THE WATER, AMERICAN CONSULTANTS AND IRISH ECONOMIC-POLICY</t>
  </si>
  <si>
    <t>EIRE-IRELAND</t>
  </si>
  <si>
    <t>0013-2683</t>
  </si>
  <si>
    <t>10.1353/eir.1995.0037</t>
  </si>
  <si>
    <t>WOS:A1995RR18200003</t>
  </si>
  <si>
    <t>Milligan, B; Kraus-Polk, A; Huang, YW</t>
  </si>
  <si>
    <t>Milligan, Brett; Kraus-Polk, Alejo; Huang, Yiwei</t>
  </si>
  <si>
    <t>Park, Fish, Salt and Marshes: Participatory Mapping and Design in a Watery Uncommons</t>
  </si>
  <si>
    <t>LAND</t>
  </si>
  <si>
    <t>The Franks Tract State Recreation Area (Franks Tract) is an example of a complex contemporary park mired in ecological and socio-political contestation of what it is and should be. Located in the Sacramento-San Joaquin Delta, it is a central hub in California's immense and contentious water infrastructure; an accidental shallow lake on subsided land due to unrepaired levee breaks; a novel ecosystem full of 'invasive' species; a world-class bass fishing area; and a water transportation corridor. Franks Tract is an example of an uncommons: a place where multiple realities (or ontologies) exist, negotiate and co-create one another. As a case study, this article focuses on a planning effort to simultaneously improve water quality, recreation and ecology in Franks Tract through a state-led project. The article examines the iterative application of participatory mapping and web-based public surveys within a broader, mixed method co-design process involving state agencies, local residents, regional stakeholders, consultant experts and publics. We focus on what was learned in this process by all involved, and what might be transferable in the methods. We conclude that reciprocal iterative change among stakeholders and designers was demonstrated across the surveys, based on shifts in stakeholder preferences as achieved through iterative revision of design concepts that better addressed a broad range of stakeholder values and concerns. Within this reconciliation, the uncommons was retained, rather than suppressed.</t>
  </si>
  <si>
    <t>2073-445X</t>
  </si>
  <si>
    <t>10.3390/land9110454</t>
  </si>
  <si>
    <t>WOS:000593444900001</t>
  </si>
  <si>
    <t>Mendez-Garcia, EMD</t>
  </si>
  <si>
    <t>del Carmen Mendez-Garcia, Elia Maria</t>
  </si>
  <si>
    <t>Beyond the captures in the indigenous consultation: the struggle for water in the Central Valleys of Oaxaca</t>
  </si>
  <si>
    <t>AGUA Y TERRITORIO</t>
  </si>
  <si>
    <t>In the defense of the territory and especially of water, the right to consultation has become the most invoked legal mute. The objective of this article is to analyze the mechanisms in which the catches of the social struggle and the novel responses of Zapotec peasants from the Central Valleys in Oaxaca, Mexico, organized in the Coordination of Peoples United for the Defense and Care of Water during the indigenous consultation process started in 2015. Documentary monitoring of the process was carried out, participant observation as consultant for the consultation until the beginning of the consultative phase, and five in-depth interviews with key actors. It is concluded that farmers produce responses that reject semantic, organizational and political captures; subvert them in novel ways both in language and in concrete solutions to the problems they face.</t>
  </si>
  <si>
    <t>2340-7743</t>
  </si>
  <si>
    <t>10.17561/at.15.4710</t>
  </si>
  <si>
    <t>WOS:000546181700005</t>
  </si>
  <si>
    <t>Chambers, R</t>
  </si>
  <si>
    <t>Chambers, Robert</t>
  </si>
  <si>
    <t>Viewpoint - Ignorance, Error and Myth in South Asian Irrigation: Critical Reflections on Experience</t>
  </si>
  <si>
    <t>As a researcher in South Asia in the early 1970s, I was allowed to be seduced by the (then) neglected topic of water management and small-scale irrigation, which opened the door to a whole orchard of low-hanging fruit, much of it to be plucked simply by wandering around. This led later to time working on canal and other irrigation with the Ford Foundation in Delhi. There I was bemused by the close agreement of the World Bank and the Indian Government, dishonest research, and absurdly impractical policies, until I began to understand the relationships and interests at play, my earlier naivete justifying a consultant saying you have to understand, this is India. This was an India I did not wish to recognise. With hindsight, I regret my reticence and timidity: whistleblowers are needed.</t>
  </si>
  <si>
    <t>WOS:000209774400002</t>
  </si>
  <si>
    <t>Weible, CM</t>
  </si>
  <si>
    <t>Weible, Christopher M.</t>
  </si>
  <si>
    <t>Stakeholder perceptions of scientists: Lake Tahoe environmental policy from 1984 to 2001</t>
  </si>
  <si>
    <t>What factors explain stakeholders' perceptions of scientists in environmental politics? Questionnaire data are used to examine stakeholders' views of scientific experts in the context of Lake Tahoe environmental policy from 1984 to 2001. Stakeholders' perceptions of scientists have remained the same over time - despite a shift from adversarial to collaborative policymaking and after decades of mounting scientific evidence showing water quality declines. On average, stakeholders perceive scientists with limited influence on Lake Tahoe environmental policy and view them with mixed levels of skepticism. Stakeholders' evaluation of scientists is best explained by their beliefs about development versus the environment. Stakeholders in favor of more land development express distrust of scientists and negatively evaluate university researchers and consultants. Stakeholders in favor of environmental protection are more likely to trust scientists and positively evaluate university researchers and consultants.</t>
  </si>
  <si>
    <t>10.1007/s00267-007-9005-2</t>
  </si>
  <si>
    <t>WOS:000251224800004</t>
  </si>
  <si>
    <t>Hicks, KE; Zhao, YC; Fallah, N; Rivers, CS; Noonan, VK; Plashkes, T; Wai, EK; Roffey, DM; Tsai, EC; Paquet, J; Attabib, N; Marion, T; Ahn, H; Phan, P</t>
  </si>
  <si>
    <t>Hicks, Katharine E.; Zhao, Yichen; Fallah, Nader; Rivers, Carly S.; Noonan, Vanessa K.; Plashkes, Tova; Wai, Eugene K.; Roffey, Darren M.; Tsai, Eve C.; Paquet, Jerome; Attabib, Najmedden; Marion, Travis; Ahn, Henry; Phan, Philippe</t>
  </si>
  <si>
    <t>RHSCIR Network</t>
  </si>
  <si>
    <t>A simplified clinical prediction rule for prognosticating independent walking after spinal cord injury: a prospective study from a Canadian multicenter spinal cord injury registry</t>
  </si>
  <si>
    <t>SPINE JOURNAL</t>
  </si>
  <si>
    <t>BACKGROUND CONTEXT: Traumatic spinal cord injury (SCI) is a debilitating condition with limited treatment options for neurologic or functional recovery. The ability to predict the prognosis of walking post injury with emerging prediction models could aid in rehabilitation strategies and reintegration into the community. PURPOSE: To revalidate an existing clinical prediction model for independent ambulation (van Middendorp et al., 2011) using acute and long-term post-injury follow-up data, and to investigate SCI database, the Rick Hansen Spinal Cord Injury Registry (RHSCIR). STUDY DESIGN: Prospective cohort study. PARTICIPANT SAMPLE: The analysis cohort consisted of 278 adult individuals with traumatic SCI enrolled in the RHSCIR for whom complete neurologic examination data and Functional Independence Measure (FIM) outcome data were available. OUTCOME MEASURES: The FIM locomotor score was used to assess independent walking ability (defined as modified or complete independence in walk or combined walk and wheelchair modality) at 1-year follow-up for each participant. METHODS: Alogistic regression (LR) model based on age and four neurologic variables was applied to our cohort of 278 RHSCIR participants. Additionally, a simplified LR model was created. The Hosmer-Lemeshow goodness of fit test was used to check if the predictive model is applicable to our data set. The performance of the model was verified by calculating the area under the receiver operating characteristic curve (AUC). The accuracy of the model was tested using a cross-validation technique. This study was supported by a grant from The Ottawa Hospital Academic Medical Organization ($50,000 over 2 years). The RHSCIR is sponsored by the Rick Hansen Institute and is supported by funding from Health Canada, Western Economic Diversification Canada, and the provincial governments of Alberta, British Columbia, Manitoba, and Ontario. ET and JP report receiving grants from the Rick Hansen Institute (approximately $60,000 and $30,000 per year, respectively). DMR reports receiving remuneration for consulting services provided to Palladian Health, LLC and Pacira Pharmaceuticals, Inc ($20,000-$30,000 annually), although neither relationship presents a potential conflict of interest with the submitted work. KEH received a grant for involvement in the present study from the Government of Canada as part of the Canada Summer Jobs Program ($3,000). JP reports receiving an educational grant from Medtronic Canada outside of the submitted work ($75,000 annually). TM reports receiving educational fellowship support from AO Spine, AO Trauma, and Medtronic; however, none of these relationships are financial in nature. All remaining authors have no conflicts of interest to disclose. RESULTS: The fitted prediction model generated 85% overall classification accuracy, 79% sensitivity, and 90% specificity. The prediction model was able to accurately classify independent walking ability (AUC 0.889, 95% confidence interval [CI] 0.846-0.933, p&lt;.001) compared with the existing prediction model, despite the use of a different outcome measure (FIM vs. Spinal Cord Independence Measure) to qualify walking ability. Asimplified, three-variable LR model based on age and two neurologic variables had an overall classification accuracy of 84%, with 76% sensitivity and 90% specificity, demonstrating comparable accuracy with its five-variable prediction model counterpart. The AUC was 0.866 (95% CI 0.816-0.916, p&lt;.01), only marginally less than that of the existing prediction model. CONCLUSIONS: A simplified predictive model with similar accuracy to a more complex model for predicting independent walking was created, which improves utility in a clinical setting. Such models will allow clinicians to better predict the prognosis of ambulation in individuals who have sustained a traumatic SCI. (C) 2017 The Authors. Published by Elsevier Inc.</t>
  </si>
  <si>
    <t>1529-9430</t>
  </si>
  <si>
    <t>1878-1632</t>
  </si>
  <si>
    <t>10.1016/j.spinee.2017.05.031</t>
  </si>
  <si>
    <t>WOS:000415273900001</t>
  </si>
  <si>
    <t>Holtzman, G</t>
  </si>
  <si>
    <t>Holtzman, Gilo</t>
  </si>
  <si>
    <t>COMMUNITY BY DESIGN, BY THE PEOPLE: SOCIAL APPROACH TO DESIGNING AND PLANNING COHOUSING AND ECOVILLAGE COMMUNITIES</t>
  </si>
  <si>
    <t>INTRODUCTION Synthesis Studio is an architectural, planning, and design consultancy practice, led by Barbora Baloghova and Gilo Holtzman, who work independently, developing each one's interests and expertise while collaborating on various projects under the Synthesis Studio Brand. The studio's mission is to excel in environmentally and socially sustainable building and planning practices, by research, design, and policy advocacy, and through collaboration with other professionals. In creating a community that works in harmony and reciprocity to its natural environment, we approach each site as an ecological system. Thus, the site layout and building design should perform in harmony with its surrounding environment and the needs of its future residents. For example, when planning and designing residential areas and buildings, we use research and implement the appropriate technologies in regard to waste management (grey water, composting, effluent) together with the form, location, orientation, shading, and social needs. Designing and planning places for people is a challenge. On the one hand, if prospective residents are not engaged in shaping their future residence, it means that places are created based on preconceived notions of how people ought to live, or how they should use a place or a space. On the other hand, working with many prospective residents means that an architect also needs to act as a facilitator, navigating through diverse thoughts and ideas and then translating them into physical form. The latter is achieved by prioritizing and understanding the importance of engaging with the community at various levels, from the group process of running meetings and decision-making to planning and design workshops. The overall aim is to demonstrate a range of planning and architectural solutions for progressive residential models both in rural and urban settings. The encouragement of a participatory process means that each participant/stakeholder becomes an important contributor to the planning and design process, and has some role in decision-making and is extremely important in achieving the best design for our immediate home and neighborhood environments. This process has been aptly named 'community by design and by the people.'</t>
  </si>
  <si>
    <t>1943-4618</t>
  </si>
  <si>
    <t>10.3992/1943-4618-9.3.60</t>
  </si>
  <si>
    <t>WOS:000347618100005</t>
  </si>
  <si>
    <t>Shuttleworth, WJ</t>
  </si>
  <si>
    <t>Shuttleworth, W. James</t>
  </si>
  <si>
    <t>Stakeholder-driven, enquiry-driven, or stakeholder-relevant, enquiry-driven science?</t>
  </si>
  <si>
    <t>There is currently debate within the international hydrological community on whether hydrological science should give priority to providing measurements, knowledge, and understanding pre-determined as being needed by stakeholders, or priority to more basic enquiry-driven science that will stimulate the continued health and growth of hydrology as an important Earth science discipline. Two recent major international initiatives in hydrology reflect these two perspectives. One, the Hydrology for the Environment, Life, and Policy (HELP) program, is primarily fostered by UNESCO-IHP and is focused on stimulating the stakeholder-driven hydrological science required in specific catchments that have become members of a global network. The second, the decade on Prediction in Ungauged Basins (PUB), which is appropriately managed by IAHS, is primarily driven by scientific enquiry and is focused on creating new scientific methods and understanding, albeit with practical application ultimately in mind. This paper summarizes the nature, origins, growth, and progress of these two international programs but also describes the subtly different approach that has been adopted by the U.S. National Science Foundation's (NSF's) Center for Sustainability of semi-Arid Hydrology and Riparian Areas (SAHRA). NSF is a federal agency whose primary goal is to 'enable the future' by stimulating novel science. Because SAHRA is a federally-funded entity supported by an agency with this goal, the Center clearly cannot operate in stakeholder-driven, response mode in competition with the already effective private U.S. consultancy industry. Nonetheless, SAHRA's mission is to create knowledge and build understanding that will enhance the prospects of sustainable water management in semi-arid regions, especially the southwestern U.S. To resolve this apparent conflict, SAHRA looks ahead to future stakeholder needs and builds its research agenda around selected critical stakeholder-relevant questions that require substantial and sustained investment in basic, multidisciplinary, enquiry-driven science. This paper describes SAHRA's approach and reports on associated research and outreach activities.</t>
  </si>
  <si>
    <t>10.1007/s11269-006-9041-3</t>
  </si>
  <si>
    <t>WOS:000243142400006</t>
  </si>
  <si>
    <t>Garde, A</t>
  </si>
  <si>
    <t>Garde, Ajay</t>
  </si>
  <si>
    <t>Sustainable by Design? Insights From US LEED-ND Pilot Projects</t>
  </si>
  <si>
    <t>JOURNAL OF THE AMERICAN PLANNING ASSOCIATION</t>
  </si>
  <si>
    <t>Problem: The Leadership in Energy and Environmental Design for Neighborhood Development (LEED-ND) rating system is gaining popularity and may become ingrained in municipal regulations as an approach to promote sustainability. What are the strengths and the limitations of the rating system? How might the planning and design of LEED-ND projects contribute to sustainable development and what are the implications for public policy? Purpose: This article examines the extent to which certain planning and design criteria are incorporated in LEED-ND pilot projects. Are there common trends in the planning and design of these projects? What are the policy implications for encouraging sustainable neighborhoods? The article also evaluates the effectiveness with which the rating system contributes to the sustainability of neighborhood-scale projects. Methods: I surveyed LEED-ND registered pilot projects in the United States to examine the extent to which the projects satisfy rating system criteria and used the results of the survey to evaluate the rating system. I also asked developers, designers, and LEED consultants to provide their insights, based on their experience with the certification process of pilot projects. Additionally, I compared projects that expect to achieve LEED-ND gold or higher certification with those that expect to achieve less than LEED-ND gold certification to determine their differences. Results and conclusions: The article shows how the rating system works and reveals which criteria are used most and least in pilot projects. The results also show that projects aiming to achieve LEED-ND gold or platinum certification are more likely to incorporate green construction and technology criteria that improve the efficiency of their use of energy and water, as compared to projects that are trying to be LEED-ND or LEED-ND silver certified. The article concludes with a discussion of the rating system's strengths and limitations and the policy implications of using it. Takeaway for practice: Planners should develop appropriate local approaches for encouraging and promoting sustainable neighborhood development projects, and should consider local conditions as well as the strengths and the limitations of the LEED-ND rating system before making LEED-ND certification required for neighborhood-scale developments in their jurisdictions. LEED-ND certification alone cannot guarantee sustainable neighborhood development.</t>
  </si>
  <si>
    <t>0194-4363</t>
  </si>
  <si>
    <t>10.1080/01944360903148174</t>
  </si>
  <si>
    <t>WOS:000271018500003</t>
  </si>
  <si>
    <t>Yusoff, MN; Nawi, MNM; Ibrahim, SH</t>
  </si>
  <si>
    <t>Yusoff, M. N.; Nawi, M. N. M.; Ibrahim, S. H.</t>
  </si>
  <si>
    <t>THE STUDY OF GREEN BUILDING APPLICATION AWARENESS</t>
  </si>
  <si>
    <t>JURNAL TEKNOLOGI</t>
  </si>
  <si>
    <t>The Green Building, or known as Environmentally Friendly Building is not only closely examined in terms of its design, but also the capacity of the building and its surrounding in reducing the impact to the environment, saving energy, water, safeguarding the internal air quality, and further mitigating the number of health problems to the inhabitants. The study involves 80 respondents, whereby 20 respondents are developers/contractors; 20 respondents are consultants; 20 respondents from the Local Authority and 20 respondents are academicians in the northern part of the Peninsula. Through the technique of principal axis factoring, 10 items had successfully been placed in the screening analysis. Two components that had been formed are namely i) main issue and ii) government's effort. It is anticipated that the key players (the developers, consultants, contractors, and academicians) understood and realised the importance of the environment and what is going around them in the world today.</t>
  </si>
  <si>
    <t>Nawi, Mohd Nasrun Mohd/A-3718-2013</t>
  </si>
  <si>
    <t>Mohd Nawi, Mohd Nasrun/0000-0001-6751-7344</t>
  </si>
  <si>
    <t>0127-9696</t>
  </si>
  <si>
    <t>2180-3722</t>
  </si>
  <si>
    <t>WOS:000218579900008</t>
  </si>
  <si>
    <t>Reid, B; Hickman, P</t>
  </si>
  <si>
    <t>Are housing organisations becoming learning organisations? Some lessons from the management of tenant participation</t>
  </si>
  <si>
    <t>HOUSING STUDIES</t>
  </si>
  <si>
    <t>This paper deals with the links between organisational development in social housing organisations and tenant participation, and asks whether social housing organisations through such practices can be said to be adopting some of the features of 'learning organisations'. It discusses the ways in which tenant participation arrangements, in addition to providing opportunities for tenants to influence organisational decision making, potentially serve as de facto conduits for organisational learning, prompting organisational adaptation and change. The idea of the 'learning organisation, has its roots in organisational theory and practice. It has also been used normatively in management consultancy, and it is a discernible part of the managerial culture associated with the present government's Modernisation programme. The paper has three interrelated aims. First, it looks at the scope of the 'learning organisation, notion. This is broadly concerned with organisational commitment to on-going development, and focuses on responsiveness, flexibility and capacity to adapt internally to external demands and pressures. Second, it considers the role that these 'learning organisation' principles play in the process of organisational change as this is experienced by today's social housing organisations. Third, it applies learning organisation concepts and draws on recent research to examine an aspect of social housing practice which acts as a key interface between social housing organisations and their service users, the management of tenant participation in an operational context, and discusses the extent to which such mechanisms might act as a conduit for the development of organisational learning. The paper concludes by reflecting first, on the potential of such conduits to encourage social housing organisations to become more like 'learning organisations'; and second, on the value of the learning organisation notion as a tool for understanding organisational development and change in social housing.</t>
  </si>
  <si>
    <t>0267-3037</t>
  </si>
  <si>
    <t>1466-1810</t>
  </si>
  <si>
    <t>10.1080/02673030215998</t>
  </si>
  <si>
    <t>WOS:000181160700005</t>
  </si>
  <si>
    <t>KARWOWSKI, W; SALVENDY, G; BADHAM, R; BRODNER, P; CLEGG, C; HWANG, SL; IWASAWA, J; KIDD, PT; KOBAYASHI, N; KOUBEK, R; LAMARSH, J; NAGAMACHI, M; NANIWADA, M; SALZMAN, H; SEPPALA, P; SCHALLOCK, B; SHERIDAN, T; WARSCHAT, J</t>
  </si>
  <si>
    <t>INTEGRATING PEOPLE, ORGANIZATION, AND TECHNOLOGY IN ADVANCED MANUFACTURING - A POSITION PAPER-BASED ON THE JOINT VIEW OF INDUSTRIAL-MANAGERS, ENGINEERS, CONSULTANTS, AND RESEARCHERS</t>
  </si>
  <si>
    <t>INTERNATIONAL JOURNAL OF HUMAN FACTORS IN MANUFACTURING</t>
  </si>
  <si>
    <t>This article contains the results produced by an international group of industrial managers, engineers, consultants and researchers who came together in a Roundtable meeting to formulate recommendations for integrating people, organization, and technology in modern advanced manufacturing environments. The work of this Roundtable was focused on identifying what human factors knowledge manufacturing industry should be applying now to improve its competitive position. The Roundtable also proposed a R&amp;D framework and agenda for the future which is aimed at ensuring that industrial and government funded research is directed at areas where industry can derive benefits or where deficiencies exist in relation to the design and operation of advanced manufacturing enterprises. Many specific ideas that industry can act upon immediately are presented and 43 areas for future research are identified and discussed. (C) 1994 John Wiley &amp; Sons, Inc.</t>
  </si>
  <si>
    <t>Karwowski, Waldemar/B-2449-2012; Badham, Richard/ABE-2076-2020</t>
  </si>
  <si>
    <t>Badham, Richard/0000-0003-4755-4775</t>
  </si>
  <si>
    <t>1045-2699</t>
  </si>
  <si>
    <t>10.1002/hfm.4530040102</t>
  </si>
  <si>
    <t>WOS:A1994MZ77800001</t>
  </si>
  <si>
    <t>STAUDT, E; BOCK, J; MUHLEMEYER, P</t>
  </si>
  <si>
    <t>TECHNOLOGY CENTERS AND SCIENCE PARKS - AGENTS OR COMPETENCE CENTERS FOR SMALL BUSINESSES</t>
  </si>
  <si>
    <t>In the study reported here the Institute for Applied Innovation Research (IAI) has investigated the role of technology centres and science parks in the transfer process between the research and education sector and small businesses, as well as the importance attached to these institutions by its target population. An attempt has been made to answer questions about the conditions in which these institutions operate, the ways in which they perceive themselves, and the extent to which their support policies meet the requirements of a small business. Despite the fact that small firms are crucially dependent on information provision through external sources and that technology centres claim to be able to bridge the (information) gaps experienced by small businesses, they cannot adequately fulfil this role. On the other hand, small businesses give a very detailed picture of the services they need. They expect concrete support measures from technology centres in the area of joint ventures and particularly in technical consultancy. The firms also underscore the need for assistance in the search for a technical infrastructure and know-how within the research and higher education sector. The firms also deplore that research undertaken by universities outside the immediate local environment is not sufficiently transparent for them. As a consequence, firms looking for help either cannot or, worse, will not be passed on to other agencies when these and the local agency are in competition with each other. On the technology centres' side, the scope for identifying the problems experienced by locally based small business by means of visits to the individual companies is limited owing to a lack of personnel and equipment. Furthermore, only if there are qualified and highly motivated staff can such tasks be performed in a professional and competent way. At present there are considerable weaknesses to be observed in this area.</t>
  </si>
  <si>
    <t>WOS:A1994NY53700004</t>
  </si>
  <si>
    <t>VANDERBURGT, G</t>
  </si>
  <si>
    <t>PERMANENT INTERNATIONAL-ASSOCIATION-OF-NAVIGATION-CONGRESSES (PIANC)</t>
  </si>
  <si>
    <t>MARINE POLLUTION BULLETIN</t>
  </si>
  <si>
    <t>The Permanent International Association of Navigation Congresses was founded in 1885 with the aim of organizing international conferences for the dissemination of knowledge related to navigation in the field of civil engineering. To date, 28 congresses have been held, now with a four-year interval; the 28th Congress was held in 1994 in Seville, Spain. PIANC has become a leading authority, particularly in the field of engineering. Several studies, for instance on the dimensions of ships and waterways and on signalling, have led to international standardization and PIANC congresses have often recommended further international studies of specific subjects. The congresses are each attended by approximately 900 participants from around 50 countries world-wide. They are state, municipal and harbour officials, consultants, scientists and academics at technical universities, contractors and many other participants from the navigation industry. There is a strong governmental influence in the organization, as the governments of about 40 countries support PIANC both financially and by the participation of senior civil servants. In the two sections of the congresses, inland navigation and ocean navigation, 10 subjects are discussed. PIANC has always followed recent developments such as trends in shipping, reception facilities for ferries, special arrangements for the handling of containers, oil, gas and of dangerous or environmentally noxious goods. Not only the technical aspects of navigation, such as canals, darns, ports and maritime structures, are discussed, but also economics, port management and port capacity and safety. Environmental aspects, for instance of maintenance dredging and the disposal of dredged materials, are important topics. PIANC has long been interested in coastal problems, as these affect ports. As many ports extend into the sea, PIANC has considered ocean engineering including artificial islands, maritime constructions, salvage and the removal of wrecks and navigation under arctic conditions. PIANC is also active in the field of sport and pleasure navigation. Since 1982 PIANC has organized international working groups to report on specific topics. At present there are about 35 active working groups and 23 reports have been published. Their members are from about 30 countries. They may convene several times each year or work by correspondence. The recommendations of the working groups represent recent advances and are widely distributed. For instance, the report Beneficial Uses of Dredging Material was presented for discussion to the London Dumping Convention. Membership of PIANC is open to organizations and individuals. In most countries a national section is the contact point for the members. The General-Secretariat is in Brussels, Belgium.</t>
  </si>
  <si>
    <t>0025-326X</t>
  </si>
  <si>
    <t>1879-3363</t>
  </si>
  <si>
    <t>6-12</t>
  </si>
  <si>
    <t>WOS:A1994RC98400030</t>
  </si>
  <si>
    <t>RAMACHANDRAN, K; RAMNARAYAN, S</t>
  </si>
  <si>
    <t>ENTREPRENEURIAL ORIENTATION AND NETWORKING - SOME INDIAN EVIDENCE</t>
  </si>
  <si>
    <t>Research evidence indicates that entrepreneurs who exhibit a need for unique, path-breaking accomplishments (pioneering) and transforming the status quo (innovative) are quite different from other entrepreneurs. This is called the PI motive, which is found to be a constellation of policy commitments to pioneering novel outputs, technological sophistication and so on. The nature of these policy commitments underlines the need for and pattern of interpersonal networking behavior demonstrated by PI entrepreneurs. There is evidence to show that such networking is a means of raising required resources and thus plays an important role in the process of enterprise creation and growth. There are both active and latent networks, and those belonging to inner and outer circles. This paper discusses the findings of a study undertaken to see whether or not PI entrepreneurs showed greater networking behavior, and if so, to look al the nature of these networks and the purposes for which they were used Sixty-seven cases of small-scale entrepreneurs published in two Indian business journals constituted the data. In order to know the pioneering innovative orientation of entrepreneurs covered, independent professionals rated the cases on the presence or absence of ten types of innovations including the Schumpeterian innovations. It was found that entrepreneurs with high PI scores resorted to networking to raise critical resources more than those with low PI scores. High PI entrepreneurs did not merely adopt the suggestions or ideas acquired from their networks but synthesized them in a way that resulted in substantial learning. Networks, especially with inner circle contacts, provided hard resources such as capital and technology. Family and friends formed the major sources of resources. The search for excellence of PI entrepreneurs goes beyond their firms into the large communities with which they deal. For them the goals/visions of their business do not seem to be limited to considerations of survival or even money making; they would like to be change agents and bring about transformations in the industry and economy. Because of their emphasis on new products, markets, technology and so on, PI entrepreneurs showed behaviors that build capabilities to manage uncertainty and risk and build credibility to attract favorable attention and support. Towards this end, they tended to scan the environment constantly, collaborated with customers and consultants, and focused on enhancing professionalism in organizations Similarly, their goals to influence groups related to their business required them to provide leadership in addressing industry/community issues, and the development of a distinct identity. lt is shown that the business and non-business goals of PI entrepreneurs support each other-the higher networking behavior is a common denominator underlying both the personal and business agenda of the PI entrepreneur.</t>
  </si>
  <si>
    <t>Ramnarayan, Subramaniam/H-4855-2015; Ramachandran, Kavil/I-7389-2015</t>
  </si>
  <si>
    <t>Ramnarayan, Subramaniam/0000-0001-6764-823X; Ramachandran, Kavil/0000-0002-5044-3673</t>
  </si>
  <si>
    <t>10.1016/0883-9026(93)90036-5</t>
  </si>
  <si>
    <t>WOS:A1993MB74700004</t>
  </si>
  <si>
    <t>FUNTOWICZ, SO; RAVETZ, JR</t>
  </si>
  <si>
    <t>SCIENCE FOR THE POST-NORMAL AGE</t>
  </si>
  <si>
    <t>In response to the challenges of policy issues of risk and the environment, a new type of science-'post-normal'-is emerging. This is analysed in contrast to traditional problem-solving strategies, including core science, applied science, and professional consultancy. We use the two attributes of systems uncertainties and decision stakes to distinguish among these. Post-normal science is appropriate when either attribute is high; then the traditional methodologies are ineffective. In those circumstances, the quality assurance of scientific inputs to the policy process requires an 'extended peer community', consisting of all those with a stake in the dialogue on the issue. Post-normal science can provide a path to the democratization of science, and also a response to the current tendencies to post-modernity.</t>
  </si>
  <si>
    <t>Kesim, Haydar K/B-4662-2010</t>
  </si>
  <si>
    <t>10.1016/0016-3287(93)90022-L</t>
  </si>
  <si>
    <t>WOS:A1993LZ96700001</t>
  </si>
  <si>
    <t>BOGETOFT, P</t>
  </si>
  <si>
    <t>PARALLELISM IN INFORMATION PRODUCTION - MORAL HAZARD AND RELATIVE PERFORMANCE EVALUATIONS</t>
  </si>
  <si>
    <t>MANAGEMENT SCIENCE</t>
  </si>
  <si>
    <t>We analyse how to design incentive schemes for agents producing information. The agents may, for example, be divisional managers, market researchers, OR consultants, financial analysts, corporate auditors, research scientists or political pollsters. We show that an agent should be compensated more for making a correct rather than an incorrect prediction, and for agreeing rather than disagreeing with colleagues. Depending on the environment, correctness should be compensated more or less than agreement. Also, compensation should increase with the difficulties of making correct or conforming predictions. One consequence of the result is that it may sometimes reduce a principal's total incentive costs to engage with more information producers performing parallel investigations, because the possibility to make relative performance evaluations of the agents may substantially reduce the costs of motivating the agents in performing their duties as desired.</t>
  </si>
  <si>
    <t>0025-1909</t>
  </si>
  <si>
    <t>10.1287/mnsc.39.4.448</t>
  </si>
  <si>
    <t>WOS:A1993LB25100004</t>
  </si>
  <si>
    <t>MOLOTCH, H</t>
  </si>
  <si>
    <t>THE POLITICAL-ECONOMY OF GROWTH MACHINES</t>
  </si>
  <si>
    <t>JOURNAL OF URBAN AFFAIRS</t>
  </si>
  <si>
    <t>The growth machine perspective is reviewed in light of various critiques of urban political economy as being overdeterministic, ignoring cultural issues, place diversity, and environmental crises. The author shows how growth machines are anchored in local systems of elite sociability, ideological conceptions, and local problem solving. He stresses the role of professional consultants in generating consistencies across places that can mistakenly be taken as evidence of economic necessity. The traditional US urban situation is contrasted with certain other industrial socities and with emerging trends in various southern California locations to show how local and national politics matter in determining the strength and mode of growth machine dynamics. He examines the links between growth machine politics and impacts on the physical environment and the creation of environmental movements. The interaction of agency and structure is specified, drawing upon structuration theory.</t>
  </si>
  <si>
    <t>0735-2166</t>
  </si>
  <si>
    <t>10.1111/j.1467-9906.1993.tb00301.x</t>
  </si>
  <si>
    <t>WOS:A1993LT76700003</t>
  </si>
  <si>
    <t>YEARLEY, S</t>
  </si>
  <si>
    <t>SKILLS, DEALS AND IMPARTIALITY - THE SALE OF ENVIRONMENTAL CONSULTANCY SKILLS AND PUBLIC PERCEPTIONS OF SCIENTIFIC NEUTRALITY</t>
  </si>
  <si>
    <t>SOCIAL STUDIES OF SCIENCE</t>
  </si>
  <si>
    <t>Voluntary organizations concerned with nature conservation and environmental protection clearly need a source of funding. Many receive governmental support in various ways, but a high degree of reliance on such largesse is felt to compromise their independence. They thus look to other fund-raising ventures, such as sponsored tree-planting and sales of wildlife holidays. Given the high standards of scientific expertise commonly available in these organizations, they are increasingly attracted to selling their skills in the form of consultancy services - to firms, to developers and to local authorities. This strategy is already yielding some financial successes, but it generates a potential problem - that of impartiality, or neutrality. This paper reviews some of the developments made in the direction of environmental consultancy. It goes on to explore, through the use of case-study material from a recent public inquiry, how the issue of neutrality is treated by these groups, by the 'customers' to whom they sell services, and by the legal authorities. The paper concludes with a review of the factors affecting the demonstrable impartiality of scientific advice: factors arising both from the nature of scientific knowledge and from the character of the legal process.</t>
  </si>
  <si>
    <t>0306-3127</t>
  </si>
  <si>
    <t>10.1177/0306312792022003001</t>
  </si>
  <si>
    <t>WOS:A1992JM92100001</t>
  </si>
  <si>
    <t>MAY, AD; ROBERTS, M; MASON, P</t>
  </si>
  <si>
    <t>THE DEVELOPMENT OF TRANSPORT STRATEGIES FOR EDINBURGH</t>
  </si>
  <si>
    <t>In 1990 a consortium of the Scottish Development Department, Lothian Regional Council and Edinburgh District Council commissioned The MVA Consultancy to conduct a study of potential transport strategies for Edinburgh for the year 2010. The study was completed in under a year. This timescale was achieved by developing a strategic sketch-planning model, which enabled the performance of alternative strategies to be tested against a range of objectives and in the context of different scenarios for future development. A range of novel evaluation measures was developed, including a procedure for combining the issues of cost-benefit analysis and financial feasibility. The study considered a wide range of transport policy measures, including road and light rail infrastructure, traffic and environmental management, parking supply, park-and-ride, public transport service levels, fares, parking charges and road user charging. It demonstrated the contribution of each of these to achievement of the transport policy objectives and the added benefits of combining infrastructure, management and pricing measures. The paper presents the objectives and structure of the study. It describes the sketch planning model developed and the ways in which this was used to evaluate strategies against the range of policy objectives. It presents the results of the strategy tests and identifies those strategy elements which contribute most to the resolution of transport problems. It demonstrates that it is possible, as a result, to achieve improvements in today's levels of environmental conditions, safety and accessibility, despite significant growth in the demand for travel.</t>
  </si>
  <si>
    <t>10.1680/itran.1992.18152</t>
  </si>
  <si>
    <t>WOS:A1992HU25100004</t>
  </si>
  <si>
    <t>FIJEN, APM; MARSDEN, MG</t>
  </si>
  <si>
    <t>GREEN POINT SEWAGE DISPOSAL OPTIONS</t>
  </si>
  <si>
    <t>SPECIALIZED CONF ON MARINE DISPOSAL SYSTEMS</t>
  </si>
  <si>
    <t>NOV 20-22, 1991</t>
  </si>
  <si>
    <t>LISBON, PORTUGAL</t>
  </si>
  <si>
    <t>INT ASSOC WATER POLLUT RES &amp; CONTROL</t>
  </si>
  <si>
    <t>In the winter of 1989 severe seas destabilised the 1 700 metre long marine outfall at Green Point which had been commissioned in 1985. Divers had to detach a large section of the outfall to prevent further damage occurring. This resulted in virtually untreated sewage effluent being discharged 280 metres from the rocky shoreline. Public outrage and severe criticism from the media resulted in an emotional and environmentally sensitive issue having to be handled with considerable political and professional skill to enable the determination of the most appropriate solution for Green Point. Independent consultants were appointed by the Cape Town City Council to study basically two options to rectify the situation; reinstating the marine outfall or constructing a conventional sewage treatment plant in close proximity to a densely populated coastal area. This paper discusses the marine option in detail and the advantages and disadvantages of both marine and land options as well as the public involvement and the adopted decision making process. After a comprehensive investigation had identified and explored all aspects and after the public had been fully involved and consulted, the Cape Town City council accepted the City Engineer's recommendation with a vote of 33 to 1, in favour of a new marine outfall.</t>
  </si>
  <si>
    <t>WOS:A1992KA78900015</t>
  </si>
  <si>
    <t>EXPERTS' AND E-GOVERNMENT Power, influence and the capture of a policy domain in the UK</t>
  </si>
  <si>
    <t>Consultants role within the flow of knowledge in project-based innovation. Consultants are project based firms in communities of reflective practitioners.</t>
  </si>
  <si>
    <t>Not specifically on consultants, but the role of scientific experts in the policy process</t>
  </si>
  <si>
    <t>CDM Consultants and water governance</t>
  </si>
  <si>
    <t>Focus on the role of household energy consultants</t>
  </si>
  <si>
    <t>sustainability efforts within consultancies</t>
  </si>
  <si>
    <t>Conversation with head of Arup</t>
  </si>
  <si>
    <t>On sustainability consultants/managers</t>
  </si>
  <si>
    <t>Slightly mentions need to involve private consultants and NGOs in water management research</t>
  </si>
  <si>
    <t>Mentions role of international consultants in water utility partnerhsips in Africa</t>
  </si>
  <si>
    <t xml:space="preserve">More abour the theme of knowledge and expertise, but relevant. </t>
  </si>
  <si>
    <t>25.02.2021</t>
  </si>
  <si>
    <t>Topics</t>
  </si>
  <si>
    <t>Conceptual Fram.</t>
  </si>
  <si>
    <t>Countries where authors come from</t>
  </si>
  <si>
    <t>Continent where authors come from</t>
  </si>
  <si>
    <t>Country paper is covering</t>
  </si>
  <si>
    <t>Continent paper is covering</t>
  </si>
  <si>
    <t>Empirical or conceptual</t>
  </si>
  <si>
    <t>Type/Scale of consultant</t>
  </si>
  <si>
    <t>Sector/Field</t>
  </si>
  <si>
    <t>Definition</t>
  </si>
  <si>
    <t>Research Method (qualitative / quantitative / mixed)</t>
  </si>
  <si>
    <t>Europe</t>
  </si>
  <si>
    <t>Global</t>
  </si>
  <si>
    <t>Empirical</t>
  </si>
  <si>
    <t>Qualitative</t>
  </si>
  <si>
    <t>N/A</t>
  </si>
  <si>
    <t>Conceptual</t>
  </si>
  <si>
    <t>Water</t>
  </si>
  <si>
    <t>Africa</t>
  </si>
  <si>
    <t>North America</t>
  </si>
  <si>
    <t>Asia</t>
  </si>
  <si>
    <t>Recommendations (research and for consultancy practices)</t>
  </si>
  <si>
    <t>Inst. where main author come from</t>
  </si>
  <si>
    <t>Dilemma/Challenges/constraints/shortcoming</t>
  </si>
  <si>
    <t>Australia</t>
  </si>
  <si>
    <t>Sustainability</t>
  </si>
  <si>
    <t>South America</t>
  </si>
  <si>
    <t>Mixed-methods approach</t>
  </si>
  <si>
    <t>Impact/role</t>
  </si>
  <si>
    <t>Resilience</t>
  </si>
  <si>
    <t>Energy</t>
  </si>
  <si>
    <t>Paradigms</t>
  </si>
  <si>
    <t>Qualitative / Case study approach</t>
  </si>
  <si>
    <t>Review</t>
  </si>
  <si>
    <t>Communication</t>
  </si>
  <si>
    <t>Business</t>
  </si>
  <si>
    <t>Engineering</t>
  </si>
  <si>
    <t>Geography</t>
  </si>
  <si>
    <t>Cities</t>
  </si>
  <si>
    <t>Sustainable urbanism</t>
  </si>
  <si>
    <t>Architecture</t>
  </si>
  <si>
    <t>Agriculture</t>
  </si>
  <si>
    <t>Payments for environmental services</t>
  </si>
  <si>
    <t>Law</t>
  </si>
  <si>
    <t>Forestry</t>
  </si>
  <si>
    <t>Stone, D., Porto de Oliveira, O., &amp; Pal, L. A</t>
  </si>
  <si>
    <t>Policy and Society</t>
  </si>
  <si>
    <t>https://doi.org/10.1080/14494035.2019.1619325</t>
  </si>
  <si>
    <t>The study of policy transfer initially focused on transfers and transmis- sions among developed countries or from developed countries to the developing world. Today the circulation of policy and knowledge has become more dense and complex. The articles in the special issue concentrate on the growing velocity of policy innovations spreading from the developing world to other parts of the developing as well as into developed countries and towards international organisations. The context of international development cooperation has been particu- larly fertile in the cross-pollination of ideas, models and policy experi- ments, and the articles in this Special Issue draw deeply on this insight. Using a ‘development lens’ enablesthe authorstoviewprocessesof knowledge diffusion and policy transfer not from the centre, in the ministries ofnational governments, but frompolicy perimeters, in cities and local government, among those outside political power in opposi- tion groups and movements, and bottom-up from policy implementers.</t>
  </si>
  <si>
    <t>From references of the WoS 25022021</t>
  </si>
  <si>
    <t>Fisher, R.</t>
  </si>
  <si>
    <t>Anthropologists and social impact assessment: Negotiating the ethical minefield.</t>
  </si>
  <si>
    <t xml:space="preserve"> Asia Pacific Journal of Anthropology</t>
  </si>
  <si>
    <t>https://doi.org/10.1080/14442210802251670</t>
  </si>
  <si>
    <t>Anthropology</t>
  </si>
  <si>
    <t>Global Environmental Politics</t>
  </si>
  <si>
    <t>Sardo, A. M., &amp; Weitkamp, E.</t>
  </si>
  <si>
    <t>Environmental consultants, knowledge brokering and policy-making: a case study</t>
  </si>
  <si>
    <t xml:space="preserve"> International Journal of Environmental Policy and Decision Making</t>
  </si>
  <si>
    <t>https://doi.org/10.1504/ijepdm.2017.085407</t>
  </si>
  <si>
    <t>Mccann, E</t>
  </si>
  <si>
    <t xml:space="preserve"> Annals of the Association of American Geographers</t>
  </si>
  <si>
    <t>https://doi.org/10.1080/00045608.2010.520219</t>
  </si>
  <si>
    <t>This article proposes an agenda for research into the spatial, social, and relational character of globally circulating urban policies, policy models, and policy knowledge. It draws on geographical political economy literatures that analyze particular social processes in terms of wider sociospatial contexts, in part by maintaining a focus on the dialectics of fixity and flow. The article combines this perspective with poststructuralist arguments about the analytical benefits of close studies of the embodied practices, representations, and expertise through which policy knowledge is mobilized. I suggest that the notion ofmobilities offers a useful rubric under which to operationalize this approach to the “local globalness” of urban policy transfer. The utility of this research approach is illustrated by the example of Vancouver, British Columbia, Canada, a city that is frequently referenced by policymakers elsewhere as they look for “hot” policy ideas. The case also indicates that there is much research yet to be done on the character and implications of interurban policy transfer. Specifically, I argue that, while maintaining a focus on wider forces, studies of urban policy mobilities must take seriously the role that apparently banal activities of individual policy transfer agents play in the travels of policy models and must also engage in fine-grained qualitative studies of how policies are carried from place to place, learned in specific settings, and changed as they move. The final section offers theoretical and methodological questions and considerations that can frame future research into how, why, and with what consequences urban policies are mobilized globally. Key Words: geographies of knowledge, globalization, policy transfer, urban policy, urban policy mobilities.</t>
  </si>
  <si>
    <t>Vogelpohl, A</t>
  </si>
  <si>
    <t>Global expertise, local convincing power: Management consultants and preserving the entrepreneurial city</t>
  </si>
  <si>
    <t>Urban Studies</t>
  </si>
  <si>
    <t>https://doi.org/10.1177/0042098018768490</t>
  </si>
  <si>
    <t>Thinking beyond success and failure: Dutch water expertise and friction in postcolonial Jakarta</t>
  </si>
  <si>
    <t xml:space="preserve">Hasan, S., Evers, J., Zegwaard, A., &amp; Zwarteveen, M. </t>
  </si>
  <si>
    <t xml:space="preserve">Making waves in the Mekong Delta: recognizing the work and the actors behind the transfer of Dutch delta planning expertise. </t>
  </si>
  <si>
    <t>Journal of Environmental Planning and Management</t>
  </si>
  <si>
    <t>https://doi.org/10.1080/09640568.2019.1592745</t>
  </si>
  <si>
    <t>Geoforum</t>
  </si>
  <si>
    <t>Ambio</t>
  </si>
  <si>
    <t>Ethnos</t>
  </si>
  <si>
    <t>Water SA</t>
  </si>
  <si>
    <t>Energy Policy</t>
  </si>
  <si>
    <t>Futures</t>
  </si>
  <si>
    <t>Climate</t>
  </si>
  <si>
    <t>Explicit on consultants</t>
  </si>
  <si>
    <t>Yes</t>
  </si>
  <si>
    <t>No</t>
  </si>
  <si>
    <t>Development cooperation</t>
  </si>
  <si>
    <t>Urban policy mobilities and global circuits of knowledge: Toward a research agenda</t>
  </si>
  <si>
    <t>Research fields</t>
  </si>
  <si>
    <t>05.08.2022</t>
  </si>
  <si>
    <t>Affiliations</t>
  </si>
  <si>
    <t>Funding Name Preferred</t>
  </si>
  <si>
    <t>DOI Link</t>
  </si>
  <si>
    <t>Web of Science Index</t>
  </si>
  <si>
    <t>Web of Science Record</t>
  </si>
  <si>
    <t>Search Date</t>
  </si>
  <si>
    <t>Hernandez, ACC; Ortega-Argueta, A; Campillo, LMG; Bello-Baltazar, E; Nieto, RR</t>
  </si>
  <si>
    <t>Hernandez, Ana Cristina Carrillo; Ortega-Argueta, Alejandro; Campillo, Lilia Maria Gama; Bello-Baltazar, Eduardo; Nieto, Rodolfo Rioja</t>
  </si>
  <si>
    <t>Effectiveness of management of the Mesoamerican Biological Corridor in Mexico</t>
  </si>
  <si>
    <t>English</t>
  </si>
  <si>
    <t>Article</t>
  </si>
  <si>
    <t>Co-management; Connectivity; Environmental governance; Protected areas; Sustainability</t>
  </si>
  <si>
    <t>ECOLOGICAL CORRIDORS; PROTECTED AREAS; BIODIVERSITY CONSERVATION; WILDLIFE CORRIDORS; FOREST MANAGEMENT; PARTICIPATION; DESIGN; POLICY; MODEL; RIVER</t>
  </si>
  <si>
    <t>As a project of regional conservation, the purpose of the Mesoamerican Biological Corridor in Mexico (MMBC) was to maintain landscape connectivity to ensure the permanence of species and ecological processes. This study appraised the effectiveness of the MMBC management implemented in two Mexican states: Chiapas and Tabasco. The analysis covered the period from design to termination of the project (2000-2018). An evaluation of the MMBC management effectiveness was conducted based on documentary research, mapping of actors, structured interviews, qualitative analysis and application of indicators. The conceptualization of the MMBC had its origin in international organizations and was implemented with a top-down approach at local scale and support from various stakeholders, including governmental and nongovernmental organizations, consultancy agencies and private and community landowners. In both states, the effectiveness of the MMBC management was considered as good, based on strengths such as the adequate design and implementation of actions and the multi-level participation of the stakeholders. However, the consultancy agencies responsible for the management of the MMBC were unable to become self-financed, limiting the long-term continuity of corridor projects. The configuration of the corridor landscapes, which was initially based on ecological criteria, later became subordinate to the acceptance of some landowners, as a key aspect. Implementation became governed by the technical and political processes of negotiation among the stakeholders involved. Ultimately, corridors remained only within the lands where landowners had accepted and cooperated with the MMBC projects.</t>
  </si>
  <si>
    <t>[Hernandez, Ana Cristina Carrillo; Ortega-Argueta, Alejandro] El Colegio Frontera Sur ECOSUR, Dept Conservac Biodivers, Unidad San Cristobal, San Cristobal De Las Casa, Chiapas, Mexico; [Campillo, Lilia Maria Gama] Univ Juarez Autonoma Tabasco UJAT, Div Acade Ciencias Biol m, Villahermosa, Tabasco, Mexico; [Bello-Baltazar, Eduardo] El Colegio Frontera Sur ECOSUR, Dept Agr Soc &amp; Ambiente, Unidad San Cristobal, San Cristobal De Las Casa, Chiapas, Mexico; [Nieto, Rodolfo Rioja] Univ Nacl Autonoma Mexico, Unidad Multidisciplinaria Docencia &amp; Invest SISAL, COSTALAB, Yucatan, Mexico; [Nieto, Rodolfo Rioja] Univ Nacl Autonoma Mexico, Escuela Nacl Estudios Super, Unidad Merida, Merida, Yucatan, Mexico</t>
  </si>
  <si>
    <t>Ortega-Argueta, A (corresponding author), El Colegio Frontera Sur ECOSUR, Dept Conservac Biodivers, Unidad San Cristobal, San Cristobal De Las Casa, Chiapas, Mexico.</t>
  </si>
  <si>
    <t>aortega@ecosur.mx</t>
  </si>
  <si>
    <t>CONACYT [702402]; ECOSUR</t>
  </si>
  <si>
    <t>CONACYT(Consejo Nacional de Ciencia y Tecnologia (CONACyT)); ECOSUR</t>
  </si>
  <si>
    <t>We wish to thank you to all people who kindly participated in interviews and provided valuable information, specially to the government officials from CONABIO, CONANP, SEMARNAT and other agencies who engaged in the development of the study. We would like to mention them here, but an anonymity agreement prevents disclosure of their names. We thank for the dedicated assistance during field work to C. Velazquez Porta, C. Lopez Guzman, M. Vazquez Ascencio, R. Contreras Cruz and C. Cruz Vazquez. Our colleagues, A. Izurieta-Valery, L. Ruiz Montoya, R. A. Reyna Hurtado, E. J. Naranjo Pinera, H. Laako and M. Pineda-Vazquez provided valuable feedback to the manuscript. ACCH was supported by scholarships for master studies from CONACYT (#702402) and ECOSUR. To K. MacMillan for translating and revising the manuscript. The authors also thank the editor and two anonymous reviewers whose contribution greatly improved the manuscript.</t>
  </si>
  <si>
    <t>ELSEVIER</t>
  </si>
  <si>
    <t>AMSTERDAM</t>
  </si>
  <si>
    <t>RADARWEG 29, 1043 NX AMSTERDAM, NETHERLANDS</t>
  </si>
  <si>
    <t>LANDSCAPE URBAN PLAN</t>
  </si>
  <si>
    <t>Landsc. Urban Plan.</t>
  </si>
  <si>
    <t>10.1016/j.lurbplan.2022.104504</t>
  </si>
  <si>
    <t>Ecology; Environmental Studies; Geography; Geography, Physical; Regional &amp; Urban Planning; Urban Studies</t>
  </si>
  <si>
    <t>Science Citation Index Expanded (SCI-EXPANDED); Social Science Citation Index (SSCI)</t>
  </si>
  <si>
    <t>Environmental Sciences &amp; Ecology; Geography; Physical Geography; Public Administration; Urban Studies</t>
  </si>
  <si>
    <t>2Z0VF</t>
  </si>
  <si>
    <t>2022-08-05</t>
  </si>
  <si>
    <t>WOS:000826304100002</t>
  </si>
  <si>
    <t>Naji, KK; Gunduz, M; Naser, AF</t>
  </si>
  <si>
    <t>Naji, Khalid K.; Gunduz, Murat; Naser, Ayman F.</t>
  </si>
  <si>
    <t>The Effect of Change-Order Management Factors on Construction Project Success: A Structural Equation Modeling Approach</t>
  </si>
  <si>
    <t>JOURNAL OF CONSTRUCTION ENGINEERING AND MANAGEMENT</t>
  </si>
  <si>
    <t>Change-order management (CHM); Sustainable construction project management; Project critical success factors; Change-order risk assessment; Planning; Project sustainability; Key performance indicators; Cost overrun; Time ovetrun; Structural equation modeling</t>
  </si>
  <si>
    <t>PLS-SEM; KNOWLEDGE; COST</t>
  </si>
  <si>
    <t>Managing change order is a critical area of concern in the construction industry, owing to the resulting disputes, claims, productivity losses, delays, and cost repercussions. There have been various studies proposing both quantitative and qualitative approaches to tackle the effect of change orders on project performance and success. Previous studies have almost solely focused on specific organizational policies, procedures, causes, and recommendations with the goal of capturing the essence of change-order management (CHM) within an area, organization, or kind of contract. However, their contributions are context-specific, limited to simple statistical method and make no reference to an inclusive concept of CHM performance factors. Furthermore, the existing literature urges a need for a realistic strategy to managing change orders, as well as limiting their negative consequences. Therefore, to address the research gap in the literature, this study proposes an operational and systematic CHM framework based on multidimensional performance factors to enhance the overall project success (OPS) factors, utilizing a partial least squares structural equation modeling (PLS-SEM) approach to develop the model. For evaluating CHM's performance in terms of OPS, a conceptual model was developed. A questionnaire survey was used to conduct an empirical analysis to test the conceptual model. The information was gathered from 334 construction specialists that work in the field. The result of the analysis found that the explanatory power (R-2) value of the CHM model is 0.665, which revealed that CHM performance factors in projects is responsible for 66.5% of project performance, which has a significant impact and demonstrating a strong influence. Furthermore, the management of communication and relationships, dispute resolution, and financial issues have a significant impact on CHM based on outer loading values of (beta) 0.433, 0.432, and 0.422, respectively. Documentation, procurement, design, and quality management come next in terms of influence on CHM effectiveness, with outer loading values of (beta) 0.402, 0.367, 0.345, and 0.289, respectively. This study adds to the body of knowledge by providing new insights and assisting in the identification and better understanding of CHM performance factors in construction projects and their impact on OPS, as well as the use of an advanced statistical method, PLS-SEM. The outcomes of this study can be utilized as a starting point for implementing CHM in construction projects. The practical applications of the proposed quantitative approach model can be utilized by the client, the consultant, and the contractor to successfully plan, manage, evaluate, monitor, and control the CHM performance. The findings of this study will aid policymakers and decision makers around the world in focusing on the industry's most critical difficulties and challenges. (C) 2022 American Society of Civil Engineers.</t>
  </si>
  <si>
    <t>[Naji, Khalid K.; Gunduz, Murat] Qatar Univ, Dept Civil Engn, Doha 2713, Qatar; [Naser, Ayman F.] Qatar Univ, Coll Engn, Engn Management Program, Doha 2713, Qatar</t>
  </si>
  <si>
    <t>Gunduz, M (corresponding author), Qatar Univ, Dept Civil Engn, Doha 2713, Qatar.</t>
  </si>
  <si>
    <t>knaji@qu.edu.qa; mgunduz@qu.edu.qa; an1401569@student.qu.edu.qa</t>
  </si>
  <si>
    <t>Gunduz, Murat/0000-0003-2602-3318; naji, khalid/0000-0003-2050-3126</t>
  </si>
  <si>
    <t>ASCE-AMER SOC CIVIL ENGINEERS</t>
  </si>
  <si>
    <t>RESTON</t>
  </si>
  <si>
    <t>1801 ALEXANDER BELL DR, RESTON, VA 20191-4400 USA</t>
  </si>
  <si>
    <t>0733-9364</t>
  </si>
  <si>
    <t>1943-7862</t>
  </si>
  <si>
    <t>J CONSTR ENG M</t>
  </si>
  <si>
    <t>J. Constr. Eng. Manage.</t>
  </si>
  <si>
    <t>10.1061/(ASCE)CO.1943-7862.0002350</t>
  </si>
  <si>
    <t>Construction &amp; Building Technology; Engineering, Industrial; Engineering, Civil</t>
  </si>
  <si>
    <t>Science Citation Index Expanded (SCI-EXPANDED)</t>
  </si>
  <si>
    <t>Construction &amp; Building Technology; Engineering</t>
  </si>
  <si>
    <t>2Y2SH</t>
  </si>
  <si>
    <t>WOS:000825748300021</t>
  </si>
  <si>
    <t>Nimawat, D; Das Gidwani, B</t>
  </si>
  <si>
    <t>Nimawat, Dheeraj; Das Gidwani, Bhagwan</t>
  </si>
  <si>
    <t>Challenges facing by manufacturing industries towards implementation of industry 4.0: an empirical research</t>
  </si>
  <si>
    <t>INTERNATIONAL JOURNAL OF INTERACTIVE DESIGN AND MANUFACTURING - IJIDEM</t>
  </si>
  <si>
    <t>Article; Early Access</t>
  </si>
  <si>
    <t>Fourth industrial revolution; Barriers; Kruskal Wallis test; Spearman's correlation test; Manufacturing industries</t>
  </si>
  <si>
    <t>SUPPLY CHAIN; RESEARCH AGENDA; MANAGEMENT; INTERNET; THINGS; CONTEXT; FUTURE; SUSTAINABILITY; BARRIERS; SYSTEMS</t>
  </si>
  <si>
    <t>Industry 4.0's concept is obtaining rising notoriety around the world, where the main innovations are combining to reach a stronger degree of organizational efficiency, competitiveness, and automation. While these advantages are emphasized, smart factories still have to face various challenges to execute Industry 4.0 in developing countries. This paper aims to address and analyze these challenges. Initially authors identified 15 challenges in implementing Industry 4.0 through exhaustive literary work. An empirical survey has been conducted in 175 Indian manufacturing industries. Further, using Spearman's correlation and Kruskal Wallis analyses were performed for analyzing survey data. This survey indicates statistical differences among challenges based on the type of industry and their implementation status. Besides, descriptive statistics and correlations among challenges were presented. High adoption expenditure, High training and consultancy cost, and Need for enhanced skilled workforce are the important challenges against Industry 4.0 implementation as they are common in all respect. The analysis of empirical survey serves for academicians and policymakers to better understand the challenges in implementing Industry 4.0 concept and ease to apply the concept to manufacturing industries in developing countries. This is the first empirical survey regarding challenges in implementing Industry 4.0 in Indian manufacturing industries.</t>
  </si>
  <si>
    <t>[Nimawat, Dheeraj; Das Gidwani, Bhagwan] Rajasthan Tech Univ, Dept Mech Engn, Kota, Rajasthan, India</t>
  </si>
  <si>
    <t>Nimawat, D (corresponding author), Rajasthan Tech Univ, Dept Mech Engn, Kota, Rajasthan, India.</t>
  </si>
  <si>
    <t>dheerajnimawat@gmail.com; bgidwani@rtu.ac.in</t>
  </si>
  <si>
    <t>SPRINGER HEIDELBERG</t>
  </si>
  <si>
    <t>HEIDELBERG</t>
  </si>
  <si>
    <t>TIERGARTENSTRASSE 17, D-69121 HEIDELBERG, GERMANY</t>
  </si>
  <si>
    <t>1955-2513</t>
  </si>
  <si>
    <t>1955-2505</t>
  </si>
  <si>
    <t>INT J INTERACT DES M</t>
  </si>
  <si>
    <t>Int. J. Interact. Des. Manuf.-IJIDeM</t>
  </si>
  <si>
    <t>10.1007/s12008-022-00961-7</t>
  </si>
  <si>
    <t>JUL 2022</t>
  </si>
  <si>
    <t>Engineering, Manufacturing</t>
  </si>
  <si>
    <t>Emerging Sources Citation Index (ESCI)</t>
  </si>
  <si>
    <t>3C2EI</t>
  </si>
  <si>
    <t>WOS:000828441500001</t>
  </si>
  <si>
    <t>Igwe, PA; Madichie, NO; Rugara, DG</t>
  </si>
  <si>
    <t>Igwe, Paul Agu; Madichie, Nnamdi O.; Rugara, David Gamariel</t>
  </si>
  <si>
    <t>Decolonising research approaches towards non-extractive research</t>
  </si>
  <si>
    <t>QUALITATIVE MARKET RESEARCH</t>
  </si>
  <si>
    <t>Community-based participatory research; Decolonising research philosophy; Ethics of research practice; Non-extractive research; Culturally inclusive research</t>
  </si>
  <si>
    <t>INTERVENTION; METHODOLOGY; PROJECTS; QUALITY; ETHICS</t>
  </si>
  <si>
    <t>Purpose This study aims to reflect on the extent to which research approaches need to be deconstructed and re-imagined towards developing inclusive knowledge and non-extractive research approaches from a Global South perspective. Design/methodology/approach Conceptually, integrating the methodological logic and strategy of community-based participatory research (CBPR) and a postcolonial paradigm of decolonising research, this study proposes a research process that engages cultural diversity and an inclusive environment. CBPR approach enables involving, informing and consulting Indigenous communities in espousing theoretical approaches and giving voice to marginalised groups. Findings This study answers pertinent questions on what decolonising means and how to decolonise research by developing a model of culturally inclusive research approaches. This study ultimately posits that colonialism dominates research and limits knowledge transmission among Indigenous research ideologies. Research limitations/implications In recent years, the world has witnessed major socio-political protests that challenges systemic racism and the role of education and institutions in perpetuating racial inequality. This study advocates that researchers consider integrating communities in the designing, conducting, gathering of data, analysing, interpreting and reporting research. Practical implications This study advocates knowledge creation through research that considers integrating the voices of Indigenous communities in the design, analysis, interpretation and reporting of research protocols. Originality/value In the light of anticolonial thought, decolonising research approaches provides a means for a radical change in research ethics protocol. A model of culturally inclusive research approach was developed, using the framework of CBPR, decolonising the research approaches comprising 6 Rs (respect, relevance, reciprocity, responsibility, relationships and relationality).</t>
  </si>
  <si>
    <t>[Igwe, Paul Agu; Rugara, David Gamariel] Univ Lincoln, Lincoln Int Business Sch, Lincoln, England; [Madichie, Nnamdi O.] Bloomsbury Inst London, Sch Business, London, England; [Madichie, Nnamdi O.] Univ Kigali, Ctr Econ Governance &amp; Leadership, Kigali, Rwanda</t>
  </si>
  <si>
    <t>Madichie, NO (corresponding author), Bloomsbury Inst London, Sch Business, London, England.;Madichie, NO (corresponding author), Univ Kigali, Ctr Econ Governance &amp; Leadership, Kigali, Rwanda.</t>
  </si>
  <si>
    <t>nmadichie@uok.ac.rw</t>
  </si>
  <si>
    <t>EMERALD GROUP PUBLISHING LTD</t>
  </si>
  <si>
    <t>BINGLEY</t>
  </si>
  <si>
    <t>HOWARD HOUSE, WAGON LANE, BINGLEY BD16 1WA, W YORKSHIRE, ENGLAND</t>
  </si>
  <si>
    <t>1352-2752</t>
  </si>
  <si>
    <t>1758-7646</t>
  </si>
  <si>
    <t>QUAL MARK RES</t>
  </si>
  <si>
    <t>Qual. Mark. Res.</t>
  </si>
  <si>
    <t>10.1108/QMR-11-2021-0135</t>
  </si>
  <si>
    <t>Business &amp; Economics</t>
  </si>
  <si>
    <t>2W7UM</t>
  </si>
  <si>
    <t>WOS:000824725300001</t>
  </si>
  <si>
    <t>Liggins, L; Arranz, V; Braid, HE; Carmelet-Rescan, D; Elleouet, J; Egorova, E; Gemmell, MR; Hills, SFK; Holland, LP; Koot, EM; Lischka, A; Maxwell, KH; McCartney, LJ; Nguyen, HTT; Noble, C; Rojas, PO; Parvizi, E; Pearman, WS; Sweatman, JAN; Kaihoro, T; Walton, K; Aguirre, JD; Stewart, LC</t>
  </si>
  <si>
    <t>Liggins, Libby; Arranz, Vanessa; Braid, Heather E.; Carmelet-Rescan, David; Elleouet, Joane; Egorova, Ekaterina; Gemmell, Michael R.; Hills, Simon F. K.; Holland, Lyndsey P.; Koot, Emily M.; Lischka, Alexandra; Maxwell, Kimberley H.; McCartney, Laura J.; Nguyen, Hang T. T.; Noble, Cory; Rojas, Pamela Olmedo; Parvizi, Elahe; Pearman, William S.; Sweatman, Jenny Ann N.; Kaihoro, Te Rangitakuku; Walton, Kerry; Aguirre, J. David; Stewart, Lucy C.</t>
  </si>
  <si>
    <t>The future of molecular ecology in Aotearoa New Zealand: an early career perspective</t>
  </si>
  <si>
    <t>JOURNAL OF THE ROYAL SOCIETY OF NEW ZEALAND</t>
  </si>
  <si>
    <t>FAIR principles; CARE principles; data stewardship; Indigenous data sovereignty; best practice; genomics; interdisciplinary; biodiversity; genetics; molecular biology</t>
  </si>
  <si>
    <t>CONSERVATION GENETICS; MINIMUM INFORMATION; GENOMICS; GAP</t>
  </si>
  <si>
    <t>The skills, insights, and genetic data gathered by molecular ecologists are pivotal to addressing many contemporary biodiversity, environmental, cultural, and societal challenges. Concurrently, the field of molecular ecology is being revolutionised by rapid technological development and diversification in the scope of its applications. Hence, it is timely to review the future opportunities of molecular ecological research in Aotearoa New Zealand, and to reconcile them with philosophies of open science and the implications for Indigenous data sovereignty and benefit sharing. Future molecular ecologists need to be interdisciplinary, equipped to embrace innovation, and informed about the broader societal relevance of their research, as well as advocates of best practice. Here, we present an ideal future for molecular ecology in Aotearoa, based on the perspectives of 23 early career researchers from tertiary institutions, Crown Research Institutes, research consultancies, and government agencies. Our article provides: a guide for molecular ecologists embarking on genetic research in Aotearoa, and a primer for individuals in a position to support early career molecular ecologists in Aotearoa. We outline our goals and highlight specific considerations - for molecular ecology and the scientific community in Aotearoa - based on our own experience and aspirations, and invite other researchers to join this dialogue.</t>
  </si>
  <si>
    <t>[Liggins, Libby; Arranz, Vanessa; Noble, Cory; Pearman, William S.; Sweatman, Jenny Ann N.; Aguirre, J. David] Massey Univ, Sch Nat Sci, Auckland, New Zealand; [Braid, Heather E.; Lischka, Alexandra] Auckland Univ Technol, Sch Sci, AUT Lab Cephalopod Ecol &amp; Systemat, Auckland, New Zealand; [Carmelet-Rescan, David; Hills, Simon F. K.] Massey Univ, Sch Nat Sci, Palmerston North, New Zealand; [Elleouet, Joane] Stat New Zealand, Wellington, New Zealand; [Egorova, Ekaterina] Sch Math &amp; Computat Sci, Massey Geoinformat Collaboratory, Auckland, New Zealand; [Gemmell, Michael R.] Minist Primary Ind, Plant Hlth &amp; Environm Lab, Auckland, New Zealand; [Holland, Lyndsey P.; McCartney, Laura J.] Te Papa Atawhai, Dept Conservat, Wellington, New Zealand; [Koot, Emily M.] New Zealand Inst Plant &amp; Food Res Ltd, Palmerston North, New Zealand; [Maxwell, Kimberley H.] Univ Waikato, Fac Maori &amp; Indigenous Studies, Te Kotahi Res Inst, Hamilton, New Zealand; [Nguyen, Hang T. T.] Hue Univ, Univ Agr &amp; Forestry, Fac Fisheries, Hue, Vietnam; [Rojas, Pamela Olmedo] Univ Otago, Dept Marine Sci, Dunedin, New Zealand; [Parvizi, Elahe] Univ Waikato, Sch Sci, Hamilton, New Zealand; [Kaihoro, Te Rangitakuku] Matapuna Consultants Ltd, Aotearoa, New Zealand; [Walton, Kerry] Univ Otago, Dept Zool, Dunedin, New Zealand; [Stewart, Lucy C.] Toha Sci, Wellington, New Zealand</t>
  </si>
  <si>
    <t>Liggins, L (corresponding author), Massey Univ, Sch Nat Sci, Auckland, New Zealand.</t>
  </si>
  <si>
    <t>l.liggins@massey.ac.nz</t>
  </si>
  <si>
    <t>Carmelet-Rescan, David/0000-0002-9524-7588</t>
  </si>
  <si>
    <t>New Zealand Ministry of Business Innovation and Employment; Royal Society Te Aparangi [17-MAU-309-CSG]; Massey University Research Fund [RM21493]</t>
  </si>
  <si>
    <t>New Zealand Ministry of Business Innovation and Employment(New Zealand Ministry of Business, Innovation and Employment (MBIE)); Royal Society Te Aparangi; Massey University Research Fund</t>
  </si>
  <si>
    <t>This work was supported by Catalyst Seeding funding provided by the New Zealand Ministry of Business Innovation and Employment and administered by the Royal Society Te Aparangi [grant number 17-MAU-309-CSG]; and Massey University Research Fund [grant number RM21493].</t>
  </si>
  <si>
    <t>TAYLOR &amp; FRANCIS LTD</t>
  </si>
  <si>
    <t>ABINGDON</t>
  </si>
  <si>
    <t>2-4 PARK SQUARE, MILTON PARK, ABINGDON OR14 4RN, OXON, ENGLAND</t>
  </si>
  <si>
    <t>0303-6758</t>
  </si>
  <si>
    <t>1175-8899</t>
  </si>
  <si>
    <t>J ROY SOC NEW ZEAL</t>
  </si>
  <si>
    <t>J. R. Soc. N.Z.</t>
  </si>
  <si>
    <t>10.1080/03036758.2022.2097709</t>
  </si>
  <si>
    <t>Multidisciplinary Sciences</t>
  </si>
  <si>
    <t>Science &amp; Technology - Other Topics</t>
  </si>
  <si>
    <t>2X8OQ</t>
  </si>
  <si>
    <t>hybrid</t>
  </si>
  <si>
    <t>WOS:000825458900001</t>
  </si>
  <si>
    <t>Khadim, N; Agliata, R; Marino, A; Thaheem, MJ; Mollo, L</t>
  </si>
  <si>
    <t>Khadim, Nouman; Agliata, Rosa; Marino, Alfonso; Thaheem, Muhammad Jamaluddin; Mollo, Luigi</t>
  </si>
  <si>
    <t>Critical review of nano and micro-level building circularity indicators and frameworks</t>
  </si>
  <si>
    <t>Circular economy; Building circularity indicators; Circularity assessment; Circular construction</t>
  </si>
  <si>
    <t>ECONOMY; PERFORMANCE; DECONSTRUCTION; CONSTRUCTION; STRATEGIES</t>
  </si>
  <si>
    <t>The circular economy (CE) paradigm can eradicate the problems caused by the traditional linear economic approach adopted by the building industry. But the efforts to implement CE in the building and construction industry are fragmented and lack consensus. If improved, the ability to measure and report on progress can help in effectively transiting to CE. In this regard, wide-ranging building circularity indicators (C-indicators) have been proposed. However, the extant literature highlights that the comprehensive research on existing CE assessment tools in the building industry is still lacking, while policymakers (e.g., European Commission) and standards (e.g., ISO) have emphasized the need for a universally recognized circularity framework for buildings. To help this cause, this review inventories and critically analyzes 35 existing tools through an extended systematic literature review of 51 carefully selected documents from both academic and grey literature. It is found that there is a sharp increase in publications in recent years, with Europe leading the way. Along with the academic community, government agencies and consulting companies have also developed several C-indicators. The content analysis suggests that most indicators are quantitative and can vary in terms of the scale of application, the adopted CE scope and definition, and the underlying key performance indicators (KPIs). The descriptive analysis reveals that most indicators are in the developing stage and substantially stress recycling and reuse, overlooking some important aspects like energy, emission, and water. Innovative technical solutions like the design for adaptability and disassembly are excessively used to measure the circular potential of structures. The existing sustainability and circularity tools are seen as a good starting point for developing new frameworks. This extensive review and critical analysis provide a synthesis and explanation of the developing research theme of building C-indicators and highlight the remaining key challenges. The findings can drive the standardization of a universally accepted framework.</t>
  </si>
  <si>
    <t>[Khadim, Nouman; Agliata, Rosa; Marino, Alfonso; Mollo, Luigi] Univ Campania L Vanvitelli, Dept Engn, Via Roma 9, CE, I-81031 Aversa, Italy; [Thaheem, Muhammad Jamaluddin] Deakin Univ, Sch Architecture &amp; Built Environm, Geelong, Australia</t>
  </si>
  <si>
    <t>Agliata, R (corresponding author), Univ Campania L Vanvitelli, Dept Engn, Via Roma 9, CE, I-81031 Aversa, Italy.</t>
  </si>
  <si>
    <t>nouman.khadim@unicampania.it; rosa.agliata@unicampania.it; alfonso.marino@unicampania.it; jamalthaheem@deakin.edu.au; luigi.mollo@unicampania.it</t>
  </si>
  <si>
    <t>Agliata, Rosa/0000-0001-7341-3840; Khadim, Nouman/0000-0002-4536-8330; Thaheem, Muhammad Jamaluddin/0000-0001-6092-7842</t>
  </si>
  <si>
    <t>V:ALERE 2020 Program (VAnviteLli pEr la RicErca) of the University of Campania Luigi Vanvitelli</t>
  </si>
  <si>
    <t>The first author has received a scholarship, funded by the V:ALERE 2020 Program (VAnviteLli pEr la RicErca) of the University of Campania Luigi Vanvitelli, to carry out the research activities as part of the Environment, Design and Innovation PhD Program.</t>
  </si>
  <si>
    <t>ELSEVIER SCI LTD</t>
  </si>
  <si>
    <t>OXFORD</t>
  </si>
  <si>
    <t>THE BOULEVARD, LANGFORD LANE, KIDLINGTON, OXFORD OX5 1GB, OXON, ENGLAND</t>
  </si>
  <si>
    <t>J CLEAN PROD</t>
  </si>
  <si>
    <t>J. Clean Prod.</t>
  </si>
  <si>
    <t>JUL 10</t>
  </si>
  <si>
    <t>10.1016/j.jclepro.2022.131859</t>
  </si>
  <si>
    <t>Green &amp; Sustainable Science &amp; Technology; Engineering, Environmental; Environmental Sciences</t>
  </si>
  <si>
    <t>Science &amp; Technology - Other Topics; Engineering; Environmental Sciences &amp; Ecology</t>
  </si>
  <si>
    <t>1L2JE</t>
  </si>
  <si>
    <t>WOS:000799118100001</t>
  </si>
  <si>
    <t>Curran-Groome, W; Hino, M; BenDor, TK; Salvesen, D</t>
  </si>
  <si>
    <t>Curran-Groome, William; Hino, Miyuki; BenDor, Todd K.; Salvesen, David</t>
  </si>
  <si>
    <t>Complexities and costs of floodplain buyout implementation</t>
  </si>
  <si>
    <t>Floodplain buyouts; Climate adaptation; Hazard mitigation; Environmental finance; Flood policy; Fiscal impacts</t>
  </si>
  <si>
    <t>Public acquisitions of floodplain properties, or buyouts, whereby governments purchase properties at risk of flooding from willing sellers and convert them to open space, are a widely used strategy for reducing risk. Since 1990, the U.S. Federal Emergency Management Agency (FEMA) has provided funding for more than 40,000 properties. Yet, little is known about the costs of buyout implementation, even though federal funding re-quirements mandate a complex set of activities undertaken by local, state, and federal government staff. This lack of understanding of buyout activity costs hinders development of evidence-based policy recommendations. To address this gap, we surveyed local and state government officials and consultants who have worked on floodplain buyout projects. Our survey results provide the first systematic, activity-level financial documentation of buyout projects in the U.S. Local and state government respondents reported median per-property activity costs of $14,428 and $8,161 (or 9.64% and 6.95% of property purchase costs), respectively. Respondents also reported significant variation in the activities undertaken as part of each project; community engagement strategies were particularly diverse, suggesting some households may not be adequately informed as a result of insufficient funding, time, or technical capacity for these activities. The varied and complex structures of buyout projects, as well as the attendant activity costs, pose barriers to implementation for local governments. Our results suggest both that: a) additional support and flexibility may be needed for critical activities that improve the experience of buyout participants; and b) reducing other activity costs may produce significant savings, which in turn could be used to improve the quality and expand the scope of buyout projects.</t>
  </si>
  <si>
    <t>[Curran-Groome, William; Hino, Miyuki; BenDor, Todd K.] Univ North Carolina Chapel Hill, Dept City &amp; Reg Planning, New East Bldg,Campus Box 3140, Chapel Hill, NC 27599 USA; [Salvesen, David] Univ North Carolina Chapel Hill, Inst Environm, 100 Europa Dr,Suite 490, Chapel Hill, NC 27517 USA</t>
  </si>
  <si>
    <t>BenDor, TK (corresponding author), Univ North Carolina Chapel Hill, Dept City &amp; Reg Planning, New East Bldg,Campus Box 3140, Chapel Hill, NC 27599 USA.</t>
  </si>
  <si>
    <t>bendor@unc.edu</t>
  </si>
  <si>
    <t>North Carolina Policy Collaboratory and through the U.S. National Science Foundation [1427188, 1660450]</t>
  </si>
  <si>
    <t>North Carolina Policy Collaboratory and through the U.S. National Science Foundation</t>
  </si>
  <si>
    <t>This paper is based on work graciously supported by the North Carolina Policy Collaboratory and through the U.S. National Science Foundation under Coastal SEES Grant No. 1427188 and Geography and Spatial Sciences Grant No. 1660450.</t>
  </si>
  <si>
    <t>Land Use Pol.</t>
  </si>
  <si>
    <t>10.1016/j.landusepol.2022.106128</t>
  </si>
  <si>
    <t>Environmental Studies</t>
  </si>
  <si>
    <t>Social Science Citation Index (SSCI)</t>
  </si>
  <si>
    <t>Environmental Sciences &amp; Ecology</t>
  </si>
  <si>
    <t>1I6HG</t>
  </si>
  <si>
    <t>WOS:000797328500011</t>
  </si>
  <si>
    <t>Zhang, S; Loosemore, M; Sunindijo, RY; Galvin, S; Wu, J; Zhang, SY</t>
  </si>
  <si>
    <t>Zhang, Shang; Loosemore, Martin; Sunindijo, Riza Yosia; Galvin, Shane; Wu, Jin; Zhang, Suyuan</t>
  </si>
  <si>
    <t>Assessing Safety Risk Management Performance in Chinese Subway Construction Projects: A Multistakeholder Perspective</t>
  </si>
  <si>
    <t>Risk management; Safety; Subway construction projects; China</t>
  </si>
  <si>
    <t>METRO CONSTRUCTION; IDENTIFICATION; SYSTEM; ISSUES</t>
  </si>
  <si>
    <t>The rapid development of subway projects in China presents significant safety risks to those involved. Building on the previous empirical research that identified and classified the safety risks of these projects, the aim of this paper is to assess the safety risk management performance in Chinese subway construction projects from a multistakeholder perspective. Questionnaire surveys and semistructured interviews were conducted with three hundred and ninety-nine and eight construction professionals, respectively, who worked on subway construction projects in southeast China. The results indicate that the top five areas of safety risk management performance are related to construction plan development, management of high-risk construction works, hazard identification and communication, government-related factors, and client-related factors. In contrast, the bottom five areas of safety risk management performance are related to engineering consultant-related factors, the site's natural environment and weather conditions, regular tests, machine calibration and maintenance, site construction schedule, and construction preparedness. The relationship between this safety risk management performance and the perceived importance of each risk factor is also reported, identifying priority areas for improvements on these projects. These findings contribute new conceptual insights to the paucity of research on the safety risk management performance of Chinese subway construction projects from a multistakeholder perspective. The results also provide new practical insights for policymakers and project managers to help them develop more effective and focused strategies to further improve the safety performance of these major projects.</t>
  </si>
  <si>
    <t>[Zhang, Shang; Zhang, Suyuan] Suzhou Univ Sci &amp; Technol, Dept Construct Management, Suzhou 215011, Peoples R China; [Loosemore, Martin] Univ Technol Sydney, Sch Built Environm, Sydney, NSW 2007, Australia; [Sunindijo, Riza Yosia] Univ New South Wales, Sch Built Environm, Sydney, NSW 2052, Australia; [Galvin, Shane] Univ South Wales, Sch Engn, Pontypridd CF37 1DL, M Glam, Wales; [Wu, Jin] Suzhou Rail Transit Grp Co Ltd, 668 Western Ganjiang Rd, Suzhou 210054, Peoples R China</t>
  </si>
  <si>
    <t>Zhang, S (corresponding author), Suzhou Univ Sci &amp; Technol, Dept Construct Management, Suzhou 215011, Peoples R China.</t>
  </si>
  <si>
    <t>zhangshfan@163.com; Martin.Loosemore@uts.edu.au; r.sunindijo@unsw.edu.au; shane.galvin@southwales.ac.uk; 153069864@qq.com; 943397036@qq.com</t>
  </si>
  <si>
    <t>Loosemore, Martin/0000-0002-3189-4655</t>
  </si>
  <si>
    <t>Priority Academic Program Development of Jiangsu Higher Education Institutions</t>
  </si>
  <si>
    <t>This research received partial financial support from the Priority Academic Program Development of Jiangsu Higher Education Institutions. This paper forms part of an investigation into the safety of Chinese subway construction projects, from which other results were produced in an independent paper with different scope/objectives; however, they share a common background and methodology.</t>
  </si>
  <si>
    <t>J MANAGE ENG</t>
  </si>
  <si>
    <t>J. Manage. Eng.</t>
  </si>
  <si>
    <t>10.1061/(ASCE)ME.1943-5479.0001062</t>
  </si>
  <si>
    <t>Engineering, Industrial; Engineering, Civil</t>
  </si>
  <si>
    <t>1G8BH</t>
  </si>
  <si>
    <t>WOS:000796074900016</t>
  </si>
  <si>
    <t>Gazzola, P</t>
  </si>
  <si>
    <t>Gazzola, Paola</t>
  </si>
  <si>
    <t>The bad, the abnormal and the inadequate. A new institutionalist perspective for exploring environmental assessment's evolutionary direction</t>
  </si>
  <si>
    <t>New institutionalism; Mala-; Environmental assessment; Evolution; Evolutionary direction</t>
  </si>
  <si>
    <t>IMPACT ASSESSMENT; POLITICAL-ECONOMY; EIA SYSTEMS; SUSTAINABILITY; APPRAISAL; CONSULTANTS; REFLECTIONS; CHALLENGES</t>
  </si>
  <si>
    <t>The published Environmental Assessment (EA) literature provides an account of the development of EA over five decades of evolving theory and practice, focussing particularly on how EA works and on how it could improve in the pursuit of (greater) effectiveness. This paper explores the idea that unintended bad, abnormal or inadequate consequences or effects may have occurred during EA's evolution, affecting the way in which it has evolved and the shape and direction of EA's evolutionary path. To assist in this exploration, three concepts are analysed: mala-effectiveness, maladaptation and maladjustment. The focus of the paper then shifts to exploring what might determine EA's evolutionary direction, and the role that unintended bad, abnormal or inadequate effects might play in shaping, constraining or adjusting EA's evolutionary path, loosely drawing on ideas from evolutionary thinking and from new institutionalist debates within planning theory. Building on the analysis of the three concepts and on new institutionalist perspectives, a conceptual framework is then proposed to explore EA's evolutionary direction, acknowledging the role of design and evolution dimensions.</t>
  </si>
  <si>
    <t>[Gazzola, Paola] Newcastle Univ, Sch Architecture Planning &amp; Landscape, Newcastle Upon Tyne NE1 7RU, Tyne &amp; Wear, England</t>
  </si>
  <si>
    <t>Gazzola, P (corresponding author), Newcastle Univ, Sch Architecture Planning &amp; Landscape, Newcastle Upon Tyne NE1 7RU, Tyne &amp; Wear, England.</t>
  </si>
  <si>
    <t>Paola.Gazzola@newcastle.ac.uk</t>
  </si>
  <si>
    <t>ELSEVIER SCIENCE INC</t>
  </si>
  <si>
    <t>NEW YORK</t>
  </si>
  <si>
    <t>STE 800, 230 PARK AVE, NEW YORK, NY 10169 USA</t>
  </si>
  <si>
    <t>ENVIRON IMPACT ASSES</t>
  </si>
  <si>
    <t>Environ. Impact Assess. Rev.</t>
  </si>
  <si>
    <t>10.1016/j.eiar.2022.106786</t>
  </si>
  <si>
    <t>1C9ZN</t>
  </si>
  <si>
    <t>WOS:000793470600007</t>
  </si>
  <si>
    <t>Castro-Diaz, R; Delgado, LE; Langle-Flores, A; Perevochtchikova, M; Marin, VH</t>
  </si>
  <si>
    <t>Castro-Diaz, Ricardo; Delgado, Luisa E.; Langle-Flores, Alfonso; Perevochtchikova, Maria; Marin, Victor H.</t>
  </si>
  <si>
    <t>A systematic review of social participation in ecosystem services studies in Latin America from a transdisciplinary perspective, 1996-2020</t>
  </si>
  <si>
    <t>Social participation; Transdisciplinary; Ecosystem services; Latin America; Systematic literature review</t>
  </si>
  <si>
    <t>REDD PLUS; ENVIRONMENTAL SERVICES; PAYMENTS; GOVERNANCE; CONSERVATION; BIODIVERSITY; COMMUNITIES; PERCEPTIONS; MANAGEMENT; KNOWLEDGE</t>
  </si>
  <si>
    <t>In this article, we propose that ecosystem services (ES) should be studied integrating social participation and the narrative of social actors. We analyzed the ES literature (1996-2020) in Latin America (LA), basing our review on the concept that the study of this topic should be transdisciplinary and post-normal (i.e., extended peer communities). We prepared the review using the Scopus (R) and Web of ScienceTM (WoS) databases. We found 1069 articles related to social participation in ES studies in 20 LA countries, identifying 310 articles for further analysis using screening and eligibility protocols. We also used a random sample (n = 50) of the 310 articles for a detailed analysis of social participation and extended peer communities. Results showed that articles increased from seven in 2010 to 39 per year from 2015 to 2019. English is the primary language used (91% of the articles), with only one journal accepting publications in Spanish. The most common collaboration combination has been one LA author and one or more non-LA authors (41% of the articles). The semantic network analysis showed 35 thematic clusters, with the most common corresponding to ES protection and provision issues. Direct social participation was included in 62% of the articles, mainly through interviews; however, consultancy processes have dominated the participatory perspective of the authors without transformative involvement. We discuss article language and low inter-countries collaboration, both influencing the lack of social participation required for the transdisciplinary analysis of ES.</t>
  </si>
  <si>
    <t>[Castro-Diaz, Ricardo] Univ Fed Rio Grande FURG, Inst Ciencias Humanas &amp; Informacao ICHI, Rio Grande, Brazil; [Delgado, Luisa E.] Fdn CTF, Santiago, Chile; [Delgado, Luisa E.] Univ Chile, Fac Ciencias, Santiago, Chile; [Langle-Flores, Alfonso] Univ Guadalajara, Ctr Univ Costa, Av Univ 203, Puerto Vallarta 48280, Jalisco, Mexico; [Perevochtchikova, Maria] Colegio Mexico AC, Ctr Estudios Demog Urbanos &amp; Ambientales CEDUA, Ciudad De Mexico, Mexico; [Marin, Victor H.] Univ Chile, Fac Ciencias, Dept Ciencias Ecol, Lab Modelac Ecol, Santiago, Chile</t>
  </si>
  <si>
    <t>Marin, VH (corresponding author), Univ Chile, Fac Ciencias, Dept Ciencias Ecol, Lab Modelac Ecol, Santiago, Chile.</t>
  </si>
  <si>
    <t>vmarin@uchile.cl</t>
  </si>
  <si>
    <t>Castro-Diaz, Ricardo/G-6670-2018</t>
  </si>
  <si>
    <t>Castro-Diaz, Ricardo/0000-0001-7089-5485</t>
  </si>
  <si>
    <t>ANID-Chile (Proyecto Fondecyt) [1170532]; CONACYT [I1200/94/2020];  [290832 ANR-CONACYT]</t>
  </si>
  <si>
    <t xml:space="preserve">ANID-Chile (Proyecto Fondecyt); CONACYT(Consejo Nacional de Ciencia y Tecnologia (CONACyT)); </t>
  </si>
  <si>
    <t>L. E. Delgado and V. H. Marin were financed by ANID-Chile (Proyecto Fondecyt Regular N degrees 1170532), A. Langle was financed by CONACYT postdoctoral scholarship I1200/94/2020, M. Perevochtchikova was financed by Proyecto 290832 ANR-CONACYT TRASSE. The authors would like to acknowledge Daniela Perez-Orellana and her detailed analyzes of the 50 articles random sample.</t>
  </si>
  <si>
    <t>SCI TOTAL ENVIRON</t>
  </si>
  <si>
    <t>Sci. Total Environ.</t>
  </si>
  <si>
    <t>10.1016/j.scitotenv.2022.154523</t>
  </si>
  <si>
    <t>Environmental Sciences</t>
  </si>
  <si>
    <t>0Y4TA</t>
  </si>
  <si>
    <t>WOS:000790382800014</t>
  </si>
  <si>
    <t>Liguori, K; Keenum, I; Davis, BC; Calarco, J; Milligan, E; Harwood, VJ; Pruden, A</t>
  </si>
  <si>
    <t>Liguori, Krista; Keenum, Ishi; Davis, Benjamin C.; Calarco, Jeanette; Milligan, Erin; Harwood, Valerie J.; Pruden, Amy</t>
  </si>
  <si>
    <t>Antimicrobial Resistance Monitoring of Water Environments: A Framework for Standardized Methods and Quality Control</t>
  </si>
  <si>
    <t>ENVIRONMENTAL SCIENCE &amp; TECHNOLOGY</t>
  </si>
  <si>
    <t>antibiotic resistance; surveillance; standardization; wastewater; recycled water; surface water</t>
  </si>
  <si>
    <t>ANTIBIOTIC-RESISTANCE; WASTE-WATER; TREATMENT PLANTS; AEROMONAS SPP.; GENES; BACTERIA; QUANTIFICATION; SURVEILLANCE; ENTEROCOCCI; PATHOGENS</t>
  </si>
  <si>
    <t>Antimicrobial resistance (AMR) is a grand societal challenge with important dimensions in the water environment that contribute to its evolution and spread. Environmental monitoring could provide vital information for mitigating the spread of AMR; this includes assessing antibiotic resistance genes (ARGs) circulating among human populations, identifying key hotspots for evolution and dissemination of resistance, informing epidemiological and human health risk assessment models, and quantifying removal efficiencies by domestic wastewater infrastructure. However, standardized methods for monitoring AMR in the water environment will be vital to producing the comparable data sets needed to address such questions. Here we sought to establish scientific consensus on a framework for such standardization, evaluating the state of the science and practice of AMR monitoring of wastewater, recycled water, and surface water, through a literature review, survey, and workshop leveraging the expertise of academic, governmental, consulting, and water utility professionals.</t>
  </si>
  <si>
    <t>[Liguori, Krista; Keenum, Ishi; Davis, Benjamin C.; Milligan, Erin; Pruden, Amy] Virginia Tech, Charles Edward Via Jr Dept Civil &amp; Environm Engn, Blacksburg, VA 24060 USA; [Calarco, Jeanette; Harwood, Valerie J.] Univ S Florida, Dept Integrat Biol, Tampa, FL 33620 USA</t>
  </si>
  <si>
    <t>Pruden, A (corresponding author), Virginia Tech, Charles Edward Via Jr Dept Civil &amp; Environm Engn, Blacksburg, VA 24060 USA.</t>
  </si>
  <si>
    <t>apruden@vt.edu</t>
  </si>
  <si>
    <t>Davis, Benjamin/0000-0002-8752-6608; Liguori, Krista/0000-0001-9854-1195; Keenum, Ishi/0000-0002-5441-4634</t>
  </si>
  <si>
    <t>Water Research Foundation [5052]; U.S. National Science Foundation [OIE 1545756, OAC 2004751, CBET 1936319, NRT 2125798]</t>
  </si>
  <si>
    <t>Water Research Foundation; U.S. National Science Foundation(National Science Foundation (NSF))</t>
  </si>
  <si>
    <t>We thank the participants in our expert survey and workshop. Workshop participants included the following: Alison Franklin, Amy Kirby, Andrea Ottesen, Anthea Lee, Ayella Maile-Moskowitz, Bina Nayak, Connor Brown, Daniel Quintanar, Daniel Gerrity, Ed Topp, Emily Garner, Erin Swanson, Gaya Ram Mohan, Jade Mitchell, Jay Garland, Jean McLain, Jeff Soller, Jennifer Jay, Johan Bengtsson-Palme, John Griffith, Jorge Matheu Alvarez, Kara Nelson, Kati Bell, Kerry Hamilton, Kim Cook, Lauren Stadler, Lenwood Heath, Liqing Zhang, Lisa Durso, Mark Borchardt, Mark Ibekwe, Mark LeChevallier, Mark Sobsey, Gertjan Medema, Nicholas Ashbolt, Peter Vikesland, Raul Gonzalez, Satoshi Ishii, Scott Keely, Sharon Nappier, Sunny Jiang, Suraj Gupta, Tanja Rauch-Williams, Thomas Berendonk, Walter Jakubowksi, and Zia Bukhari. Thanks also go to Anna Kurowski for assisting with workshop video transcripts. This contribution was funded by the Water Research Foundation Project 5052. Additional funding was provided by U.S. National Science Foundation Award Nos. OIE 1545756, OAC 2004751, CBET 1936319, and NRT 2125798.</t>
  </si>
  <si>
    <t>AMER CHEMICAL SOC</t>
  </si>
  <si>
    <t>WASHINGTON</t>
  </si>
  <si>
    <t>1155 16TH ST, NW, WASHINGTON, DC 20036 USA</t>
  </si>
  <si>
    <t>0013-936X</t>
  </si>
  <si>
    <t>1520-5851</t>
  </si>
  <si>
    <t>ENVIRON SCI TECHNOL</t>
  </si>
  <si>
    <t>Environ. Sci. Technol.</t>
  </si>
  <si>
    <t>10.1021/acs.est.1c08918</t>
  </si>
  <si>
    <t>JUN 2022</t>
  </si>
  <si>
    <t>Engineering, Environmental; Environmental Sciences</t>
  </si>
  <si>
    <t>Engineering; Environmental Sciences &amp; Ecology</t>
  </si>
  <si>
    <t>2Q7MF</t>
  </si>
  <si>
    <t>Green Published, hybrid</t>
  </si>
  <si>
    <t>WOS:000820601900001</t>
  </si>
  <si>
    <t>Blackler, L; Scharf, AE; Chin, M; Voigt, LP</t>
  </si>
  <si>
    <t>Blackler, Liz; Scharf, Amy E.; Chin, Martin; Voigt, Louis P.</t>
  </si>
  <si>
    <t>Is there a role for ethics in addressing healthcare incivility?</t>
  </si>
  <si>
    <t>NURSING ETHICS</t>
  </si>
  <si>
    <t>ethics of care/care ethics; theory/philosophical perspectives; moral/ethical climate of organizations; clinical ethics; organizational ethics; ethics and leadership/management</t>
  </si>
  <si>
    <t>WORKPLACE VIOLENCE; PATIENT BEHAVIOR; CORE COMPETENCES; CONSULTATION; STANDARDS; BIOETHICS; ASSAULT; PROGRAM; SOCIETY; WORKERS</t>
  </si>
  <si>
    <t>In a healthcare setting, a multitude of ethical and moral challenges are often present when patients and families direct uncivil behavior toward clinicians and staff. These negative interactions may elicit strong social and emotional reactions among staff, other patients, and visitors; and they may impede the normal functioning of an institution. Ethics Committees and Clinical Ethics Consultation Services (CECSs) can meaningfully contribute to organizational efforts to effectively manage incivility through two distinct, yet inter-related channels. First, given their responsibility to promote a humane, respectful, and professional climate, many CECSs and Ethics Committees may assist institutional leadership in evaluating and monitoring incivility policies and procedures. Second, when confronted with individual incidents of patient/family incivility, Ethics Consultants can and often do work with all stakeholders to address and mitigate potentially deleterious impacts. This manuscript presents an overview of the multifaceted ethical implications of incivility in the healthcare environment, discusses the inherent qualifications of Ethics Consultants for assisting in the management of incivility, and proposes specific mitigating actions within the purview of CECSs and Ethics Committees. We also invite healthcare organizations to harness the skills and reputation of their CECSs and Ethics Committees in confronting incivility through comprehensive policies, procedures, and training.</t>
  </si>
  <si>
    <t>[Blackler, Liz; Scharf, Amy E.; Chin, Martin; Voigt, Louis P.] Mem Sloan Kettering Canc Ctr, 1275 York Ave, New York, NY 10065 USA; [Voigt, Louis P.] Weill Cornell Med Coll, New York, NY USA</t>
  </si>
  <si>
    <t>Blackler, L (corresponding author), Mem Sloan Kettering Canc Ctr, 1275 York Ave, New York, NY 10065 USA.</t>
  </si>
  <si>
    <t>blacklel@mskcc.org</t>
  </si>
  <si>
    <t>Voigt, Louis/0000-0003-1291-4611</t>
  </si>
  <si>
    <t>National Institutes of Health [P30 CA008748]; Ethics Committee at Memorial Sloan Kettering Cancer Center</t>
  </si>
  <si>
    <t>National Institutes of Health(United States Department of Health &amp; Human ServicesNational Institutes of Health (NIH) - USA); Ethics Committee at Memorial Sloan Kettering Cancer Center</t>
  </si>
  <si>
    <t>The author(s) disclosed receipt of the following financial support for the research, authorship, and/or publication of this article: This work was supported by the National Institutes of Health grant P30 CA008748 to Memorial Sloan Kettering Cancer Center and by the Ethics Committee at Memorial Sloan Kettering Cancer Center.</t>
  </si>
  <si>
    <t>SAGE PUBLICATIONS LTD</t>
  </si>
  <si>
    <t>LONDON</t>
  </si>
  <si>
    <t>1 OLIVERS YARD, 55 CITY ROAD, LONDON EC1Y 1SP, ENGLAND</t>
  </si>
  <si>
    <t>0969-7330</t>
  </si>
  <si>
    <t>1477-0989</t>
  </si>
  <si>
    <t>NURS ETHICS</t>
  </si>
  <si>
    <t>Nurs. Ethics</t>
  </si>
  <si>
    <t>10.1177/09697330221105630</t>
  </si>
  <si>
    <t>Ethics; Nursing</t>
  </si>
  <si>
    <t>Social Sciences - Other Topics; Nursing</t>
  </si>
  <si>
    <t>2G4FY</t>
  </si>
  <si>
    <t>WOS:000813553600001</t>
  </si>
  <si>
    <t>Karadayi-Usta, S</t>
  </si>
  <si>
    <t>Karadayi-Usta, Saliha</t>
  </si>
  <si>
    <t>A novel neutrosophical approach in stakeholder analysis for sustainable fashion supply chains</t>
  </si>
  <si>
    <t>JOURNAL OF FASHION MARKETING AND MANAGEMENT</t>
  </si>
  <si>
    <t>MACTOR; Neutrosophic sets; Stakeholder analysis; Sustainable fashion supply chains</t>
  </si>
  <si>
    <t>CIRCULAR FASHION; CONSUMERS</t>
  </si>
  <si>
    <t>Purpose The purpose of this study is proposing a novel neutrosophical stakeholders' analysis approach for sustainable fashion supply chain (SFSC), presenting a supply chain members and objectives in order to conduct a sustainable business, investigating the roles and positions of these stakeholders, determining the contribution levels of these stakeholders to the sustainability objectives, and accordingly identifying the convergence and divergence among the stakeholders in terms of realization of the objectives. Design/methodology/approach A novel neutrosophic set-based stakeholders' analysis Method of ACTors, Objectives, strength Reports (MACTOR) approach is proposed considering the uncertain and indeterminate opinions of decision-makers. In order to obtain the mutual opinions of decision-makers, Delphi technique is employed. Findings The analysis results of this research emphasizes that although the manufacturers can be thought as the foremost actor is SFSC by producing the main product, they have no superior power on conducting the business. Besides, the government, customer and fashion firms are the key players shaping the fashion industry. Retailers and distribution centers can be interpreted as an intermediary in between the other stakeholders. Moreover, the eco-friendly packaging providers have not gained an important role that they were supposed to in terms of the sustainability objectives. Research limitations/implications The application phase of the research includes the possibility of subjective judgments of the participants as a limitation. Therefore, Delphi technique is applied to overcome this challenge by multiple rounds of interviews for panel of participants in order to combine the benefits with elements of the wisdom of people. Practical implications Examining a multi-echelon supply chain is a practical implication providing the mutual opinions of experts such as designers, stylists, journalists, consultants, procurement managers, entrepreneurs, activists etc. for sustainability in the fashion industry. One can derive from the findings to determine which sub-echelon requires more attention, or which business is more important to focus on most, or which branch of activity influences others most. Originality/value This is one of the few articles that focuses on the sustainability objective and highlights the active roles of all members of the supply chain. Besides, this is the first study deploying neutrosophic sets for MACTOR analysis.</t>
  </si>
  <si>
    <t>[Karadayi-Usta, Saliha] Istinye Univ, Dept Ind Engn, Istanbul, Turkey</t>
  </si>
  <si>
    <t>Karadayi-Usta, S (corresponding author), Istinye Univ, Dept Ind Engn, Istanbul, Turkey.</t>
  </si>
  <si>
    <t>salihakaradayiusta@gmail.com</t>
  </si>
  <si>
    <t>Karadayi-Usta, Saliha/U-8744-2018</t>
  </si>
  <si>
    <t>Karadayi-Usta, Saliha/0000-0002-8348-4033</t>
  </si>
  <si>
    <t>1361-2026</t>
  </si>
  <si>
    <t>1758-7433</t>
  </si>
  <si>
    <t>J FASH MARK MANAG</t>
  </si>
  <si>
    <t>J. Fash. Mark. Manag.</t>
  </si>
  <si>
    <t>10.1108/JFMM-03-2022-0044</t>
  </si>
  <si>
    <t>Business; Management</t>
  </si>
  <si>
    <t>2D6WX</t>
  </si>
  <si>
    <t>WOS:000811685700001</t>
  </si>
  <si>
    <t>Chen, Q</t>
  </si>
  <si>
    <t>Chen, Qing</t>
  </si>
  <si>
    <t>Relationship between Financial Asset Allocation, Leverage Ratio, and Risk-Taking of Small- and Medium-Sized Enterprises in China: Taking Environment-Related Industries as an Example</t>
  </si>
  <si>
    <t>JOURNAL OF ENVIRONMENTAL AND PUBLIC HEALTH</t>
  </si>
  <si>
    <t>With the improvement of environmental policies and industry requirements for enterprise production and management, small- and medium-sized enterprises in environment-related industries were also changing. It was known from the existing research that the investment allocation of assets of small- and medium-sized enterprises was closely related to risk and return, and the leverage ratio of enterprises affected the risk-taking level of enterprises. In the process of sustainable development, enterprises will inevitably bear certain risks, but excessive risk-taking will bring all kinds of uncertainty and bankruptcy risk to the expected income and future cash flow of enterprises. Therefore, taking small- and medium-sized enterprises in environment-related industries as an example, this paper put forward relevant assumptions by analyzing the interaction between the existing enterprise financial asset allocation, risk-taking level and leverage ratio. In order to facilitate empirical analysis, A-share listed companies in environment-related industries in Shanghai and Shenzhen stock exchanges, small- and medium-sized board and GEM listed companies in Shenzhen stock exchange from 2007 to 2019 were selected as research samples. These data came from the information open platform for small- and medium-sized enterprises in environment-related industries, the research reports of third-party consulting companies and CSMAR and Wind databases. The empirical results showed that the allocation of financial assets had a significant impact on the level of risk-taking, and there was a U-shaped relationship between them when other conditions remained unchanged. At the same time, the financial asset allocation of small- and medium-sized enterprises in Chinese environment-related industries had a significant impact on the enterprise leverage ratio. Under other conditions unchanged, there was a U-shaped relationship between the two. In addition, leverage played an intermediary role in the relationship between financial asset allocation and risk-taking level. In addition to directly affecting the allocation of financial assets, it can also indirectly affect the risk-taking level of enterprises through leverage ratio.</t>
  </si>
  <si>
    <t>[Chen, Qing] Yiwu Ind &amp; Commercial Coll, Sch Econ &amp; Management, Jinhua 322000, Peoples R China</t>
  </si>
  <si>
    <t>Chen, Q (corresponding author), Yiwu Ind &amp; Commercial Coll, Sch Econ &amp; Management, Jinhua 322000, Peoples R China.</t>
  </si>
  <si>
    <t>ywiccchenqing@126.com</t>
  </si>
  <si>
    <t>HINDAWI LTD</t>
  </si>
  <si>
    <t>ADAM HOUSE, 3RD FLR, 1 FITZROY SQ, LONDON, W1T 5HF, ENGLAND</t>
  </si>
  <si>
    <t>1687-9805</t>
  </si>
  <si>
    <t>1687-9813</t>
  </si>
  <si>
    <t>J ENVIRON PUBLIC HEA</t>
  </si>
  <si>
    <t>J. Environ. Public Health</t>
  </si>
  <si>
    <t>JUN 13</t>
  </si>
  <si>
    <t>10.1155/2022/2431428</t>
  </si>
  <si>
    <t>Public, Environmental &amp; Occupational Health</t>
  </si>
  <si>
    <t>2M2XV</t>
  </si>
  <si>
    <t>gold, Green Published</t>
  </si>
  <si>
    <t>WOS:000817569800005</t>
  </si>
  <si>
    <t>Cramer, VA; Armstrong, KN; Bullen, RD; Cross, SL; Gibson, L; Hanrahan, N; Knuckey, CG; Ottewell, K; Reifferl, S; Ruykys, L; Shaw, RE; Thavornkanlapachai, R; Thompson, SA; Wild, S; van Leeuwen, S</t>
  </si>
  <si>
    <t>Cramer, Viki A.; Armstrong, Kyle N.; Bullen, Robert D.; Cross, Sophie L.; Gibson, Lesley; Hanrahan, Nicola; Knuckey, Chris G.; Ottewell, Kym; Reifferl, Scott; Ruykys, Laura; Shaw, Robyn E.; Thavornkanlapachai, Rujiporn; Thompson, Scott A.; Wild, Suzi; van Leeuwen, Stephen</t>
  </si>
  <si>
    <t>Research priorities for the ghost bat (Macroderma gigas) in the Pilbara region of Western Australia</t>
  </si>
  <si>
    <t>AUSTRALIAN MAMMALOGY</t>
  </si>
  <si>
    <t>cane toads; colony; conservation; dispersal; distribution; diurnal roost; fence; feral cats; foraging; habitat; mining; population; threats</t>
  </si>
  <si>
    <t>EFFECTIVE POPULATION-SIZE; IDENTIFICATION; PREGNANCY; ECOLOGY; ROOSTS</t>
  </si>
  <si>
    <t>The ghost bat (Macroderma gigas) is Australia's largest echolocating bat. It is restricted to several disjunct populations in the north of the continent, including a population in the Pilbara region of Western Australia. In 2016 the ghost bat was listed as Vulnerable under Australian federal legislation, owing to declining numbers across many regional populations. The most severe threat to ghost bats in the Pilbara region is the destruction and disturbance of habitat due to mining operations, but disturbance to their roosts from other infrastructure developments and changes to and loss of foraging habitat also pose significant threats. A set of research priorities for ghost bats in the Pilbara was developed during a workshop attended by mining industry representatives, environmental consultants, scientists and government regulators. Five research priorities were identified: (I) identify and characterise critical diurnal roosts and foraging habitat; (2) improve knowledge of the distribution, movement and dispersal patterns of ghost bats in the region; (3) improve knowledge of population size, persistence and long-term trends; (4) better understand the cumulative, direct and indirect impacts of mining and other development activities; and (5) better understand the threats posed by fence entanglements, cane toads and feral cats.</t>
  </si>
  <si>
    <t>[Cramer, Viki A.; Cross, Sophie L.; Thompson, Scott A.; van Leeuwen, Stephen] Curtin Univ, Sch Mol &amp; Life Sci, Kent St, Bentley, WA 6102, Australia; [Armstrong, Kyle N.] Univ Adelaide, Environm Inst, North Terrace, Adelaide, SA 5005, Australia; [Armstrong, Kyle N.] South Australian Museum, North Terrace, Adelaide, SA 5000, Australia; [Bullen, Robert D.] Bat Call WA, 43 Murray Dr, Hillarys, WA 6025, Australia; [Gibson, Lesley; Ottewell, Kym; Thavornkanlapachai, Rujiporn] Dept Biodivers Conservat &amp; Attract, Biodivers &amp; Conservat Sci, Kensington, WA 6152, Australia; [Gibson, Lesley] Univ Western Australia, Sch Biol Sci, Perth, WA 6009, Australia; [Hanrahan, Nicola; Ruykys, Laura] Northern Terr Govt, Dept Environm Pk &amp; Water Secur, Flora &amp; Fauna Div, Palmerston, NT 0828, Australia; [Hanrahan, Nicola] Western Sydney Univ, Hawkesbury Inst Environm, Penrith, NSW 2751, Australia; [Knuckey, Chris G.] Biol Environm, 24 Wickham St, East Perth, WA 6004, Australia; [Reifferl, Scott] Rio Tinto, Cent Pk,152-158 St Georges Terrace, Perth, WA 6000, Australia; [Shaw, Robyn E.] Murdoch Univ, Environm &amp; Conservat Sci, Perth, WA 6150, Australia; [Thompson, Scott A.] Terr Ecosyst, 10 Houston Pl, Mt Claremont, WA 6010, Australia; [Wild, Suzi] BHP Iron Ore, Biodivers Assessment, 125 St Georges Terrace, Perth, WA 6000, Australia</t>
  </si>
  <si>
    <t>van Leeuwen, S (corresponding author), Curtin Univ, Sch Mol &amp; Life Sci, Kent St, Bentley, WA 6102, Australia.</t>
  </si>
  <si>
    <t>Stephen.Vanleeuwen@curtin.edu.au</t>
  </si>
  <si>
    <t>BHP Iron Ore (Western Australian Iron Ore Asset)</t>
  </si>
  <si>
    <t>We gratefully acknowledge the financial support of BHP Iron Ore (Western Australian Iron Ore Asset).</t>
  </si>
  <si>
    <t>CSIRO PUBLISHING</t>
  </si>
  <si>
    <t>CLAYTON</t>
  </si>
  <si>
    <t>UNIPARK, BLDG 1, LEVEL 1, 195 WELLINGTON RD, LOCKED BAG 10, CLAYTON, VIC 3168, AUSTRALIA</t>
  </si>
  <si>
    <t>0310-0049</t>
  </si>
  <si>
    <t>1836-7402</t>
  </si>
  <si>
    <t>AUST MAMMAL</t>
  </si>
  <si>
    <t>Aust. Mammal.</t>
  </si>
  <si>
    <t>10.1071/AM21042</t>
  </si>
  <si>
    <t>Zoology</t>
  </si>
  <si>
    <t>2A0DA</t>
  </si>
  <si>
    <t>WOS:000809182000001</t>
  </si>
  <si>
    <t>Stoker, P; Albrecht, T; Follingstad, G; Carlson, E</t>
  </si>
  <si>
    <t>Stoker, Philip; Albrecht, Tamee; Follingstad, Gretel; Carlson, Eric</t>
  </si>
  <si>
    <t>Integrating Land Use Planning and Water Management in US Cities: A Literature Review</t>
  </si>
  <si>
    <t>land use; urban planning; integrated planning; water policy; water resources management; comprehensive planning; storm water; law</t>
  </si>
  <si>
    <t>RESOURCE MANAGEMENT; URBAN; COLLABORATION; CONSERVATION; STRATEGIES; COORDINATION; LANDSCAPE; POLICY</t>
  </si>
  <si>
    <t>This literature review covers the research and practice related to the integration of land use planning and water management in the United States (U.S.). Research articles are the primary source of information for this review, but reports published by consultancies, public utilities, municipalities, and advisory groups are also included. This review presents strategies to better integrate the two professions. We describe each strategy and provide examples that have been published in the literature. Strategies are divided into legal strategies which would require either federal, state, or local governments to pass new legislation, and strategies that could be implemented in the absence of new laws. This review is intended to be a resource for researchers, students, and practitioners seeking to advance the quality and effectiveness of land use planning and water management in the U.S.</t>
  </si>
  <si>
    <t>[Stoker, Philip; Carlson, Eric] Univ Arizona, Dept Landscape Architecture &amp; Planning, Tucson, AZ 85724 USA; [Albrecht, Tamee] Univ Massachusetts, Dept Environm Conservat, Amherst, MA 01003 USA; [Follingstad, Gretel] UC Denver, Geog Planning &amp; Design, Denver, CO USA</t>
  </si>
  <si>
    <t>Stoker, P (corresponding author), Univ Arizona, Dept Landscape Architecture &amp; Planning, Tucson, AZ 85724 USA.</t>
  </si>
  <si>
    <t>philipstoker@arizona.edu</t>
  </si>
  <si>
    <t>WILEY</t>
  </si>
  <si>
    <t>HOBOKEN</t>
  </si>
  <si>
    <t>111 RIVER ST, HOBOKEN 07030-5774, NJ USA</t>
  </si>
  <si>
    <t>J AM WATER RESOUR AS</t>
  </si>
  <si>
    <t>J. Am. Water Resour. Assoc.</t>
  </si>
  <si>
    <t>10.1111/1752-1688.13022</t>
  </si>
  <si>
    <t>Engineering, Environmental; Geosciences, Multidisciplinary; Water Resources</t>
  </si>
  <si>
    <t>Engineering; Geology; Water Resources</t>
  </si>
  <si>
    <t>3D1EK</t>
  </si>
  <si>
    <t>WOS:000807251600001</t>
  </si>
  <si>
    <t>Phelps, NA; Wood, AM</t>
  </si>
  <si>
    <t>Phelps, Nicholas A.; Wood, Andrew M.</t>
  </si>
  <si>
    <t>The Business Climate and the Commodification of Place: The Making of a Market for Location</t>
  </si>
  <si>
    <t>business climate; Fantus; location consulting; market-making; metrics</t>
  </si>
  <si>
    <t>BRANCH PLANTS; STATE; ENTERPRISE; NETWORKS; ECONOMY; REGION</t>
  </si>
  <si>
    <t>Interlocality competition is a staple concern of modern economic geography. Yet, beyond the abstract bases of this competition in the very nature of capitalism, the question of how such interlocality competition arose in the post-1945 period remains underexplored. In this article we draw on the sociology of markets and metrics literature to examine the socially constructed nature of the location market that underpins interlocality competition for investment. The empirical focus of the article is on one company-Fantus-and one idea-the local business climate. The Fantus company pioneered the practice of corporate site selection and location consulting and played a key role in constructing a market for location in the United States. Drawing on sources that include the archive of the company's files, we describe the work of this company and its role in assembling the local business climate index. The story provides a glimpse of the politicized and contested origins of metrics as market-making techniques, their derivatives, and their unintended, unanticipated, and at times downright perverse effects. The business climate measure served to change perceptions of the value of places, rendering them as interchangeable locations. It is a compelling example of the broader process by which the representation of places in the language of numbers exacerbates the competition for capital, obscuring the politicized and asymmetrical nature of that competition.</t>
  </si>
  <si>
    <t>[Phelps, Nicholas A.] Univ Melbourne, Fac Architecture Bldg &amp; Planning, Melbourne Sch Design, Urban Planning, Melbourne, Vic 3010, Australia; [Wood, Andrew M.] Univ Kentucky, Dept Geog, Lexington, KY 40506 USA</t>
  </si>
  <si>
    <t>Phelps, NA (corresponding author), Univ Melbourne, Fac Architecture Bldg &amp; Planning, Melbourne Sch Design, Urban Planning, Melbourne, Vic 3010, Australia.</t>
  </si>
  <si>
    <t>Nicholas.phelps@unimelb.edu.au; Andrew.wood@uky.edu</t>
  </si>
  <si>
    <t>ROUTLEDGE JOURNALS, TAYLOR &amp; FRANCIS LTD</t>
  </si>
  <si>
    <t>2-4 PARK SQUARE, MILTON PARK, ABINGDON OX14 4RN, OXON, ENGLAND</t>
  </si>
  <si>
    <t>ANN AM ASSOC GEOGR</t>
  </si>
  <si>
    <t>Ann. Am. Assoc. Geogr.</t>
  </si>
  <si>
    <t>10.1080/24694452.2022.2080635</t>
  </si>
  <si>
    <t>3F1AR</t>
  </si>
  <si>
    <t>WOS:000830405700001</t>
  </si>
  <si>
    <t>Watson, G; Niang, L; Chandresekhar, S; Natchagande, G; Payne, SR</t>
  </si>
  <si>
    <t>Watson, Graham; Niang, Lamine; Chandresekhar, Srinath; Natchagande, Gilles; Payne, Stephen R.</t>
  </si>
  <si>
    <t>The feasibility of endourological surgery in low-resource settings</t>
  </si>
  <si>
    <t>BJU INTERNATIONAL</t>
  </si>
  <si>
    <t>endoscopic surgery; TURP; TURBT; DVIU; PCNL; teaching in LMICs; Urolink; #EndoUrology; #UroStone; #Urology</t>
  </si>
  <si>
    <t>LAPAROSCOPIC NEPHRECTOMY; TRANSURETHRAL RESECTION; FOLLOW-UP; PROSTATE; MANAGEMENT; URETHROTOMY; SYMPTOMS; VISION; TRACT</t>
  </si>
  <si>
    <t>One of the widest variations in contemporary surgical practice between high and low, or low-middle, income countries is the utilisation of endoscopy as a means of treating urological pathology. The endoscopic management of lower urinary tract problems such as benign prostatic hypertrophy, bladder cancer and urethral strictures was established in the UK in the late 1970s, whilst its adoption into everyday practice in sub-Saharan Africa (SSA) has been significantly retarded. It is still neither a major feature of urological training in those countries nor widely available to the patients that established consultants treat. Likewise, the explosion of less invasive technologies for treating upper tract stone disease in the 1980s, particularly the management of renal stone disease, has also lagged behind practice established in the UK over the last 40 years. This is not due to a lack of patients who could be treated endoscopically or restricted by the abilities of the surgeons in SSA. The restraint in assumption of these less-invasive management options is rather due to the physical availability of trained specialist surgeons, their access to basic infrastructure such as electricity and water, access to endoscopes and the peripheral equipment necessary to successfully deploy them, and the ability of patients to afford the disposable items required for less-invasive forms of management. Some endoscopic procedures are viable in resource-poor settings. However, they are largely dependent upon the supply of equipment from non-governmental organisations in high-income countries, frugal innovation to reduce individual procedure costs, adequately skilled mentors, and maintenance and supply chains to make them a durable option in patient management. Urolink and the Medi Tech Trust present their experience of how endoscopic surgery can be taught, and used sustainably, in a resource-poor healthcare environment.</t>
  </si>
  <si>
    <t>[Watson, Graham] East Sussex Hosp NHS Trust, Eastbourne, England; [Watson, Graham] Medi Tech Trust, Eastbourne, England; [Payne, Stephen R.] British Assoc Urol Surg, Urolink, London, England; [Niang, Lamine] Hop Gen Grand Yoff, Dakar, Senegal; [Chandresekhar, Srinath] Colombo South Teaching Hosp, Colombo, Sri Lanka; [Natchagande, Gilles] Ctr Natl Hosp &amp; Univ, Cotonou, Benin</t>
  </si>
  <si>
    <t>Watson, G (corresponding author), East Sussex Hosp NHS Trust, Eastbourne, England.</t>
  </si>
  <si>
    <t>grahammwatson@hotmail.co.uk</t>
  </si>
  <si>
    <t>Payne, Stephen/0000-0001-5359-1877</t>
  </si>
  <si>
    <t>1464-4096</t>
  </si>
  <si>
    <t>1464-410X</t>
  </si>
  <si>
    <t>BJU INT</t>
  </si>
  <si>
    <t>BJU Int.</t>
  </si>
  <si>
    <t>10.1111/bju.15770</t>
  </si>
  <si>
    <t>Urology &amp; Nephrology</t>
  </si>
  <si>
    <t>2O2TS</t>
  </si>
  <si>
    <t>WOS:000805080900001</t>
  </si>
  <si>
    <t>Chung, AM; Love, E; Neidel, J; Mendai, I; Nairenge, S; van Wyk, LA; Rossi, S; Larson, E; Case, P; Gosling, J; Viljoen, G; Hove, M; Agins, B; Hamanyela, J; Gosling, R</t>
  </si>
  <si>
    <t>Chung, Amanda Marr; Love, Eliza; Neidel, Julie; Mendai, Idah; Nairenge, Sakeus; van Wyk, Lesley-Anne; Rossi, Sara; Larson, Erika; Case, Peter; Gosling, Jonathan; Viljoen, Greyling; Hove, Macdonald; Agins, Bruce; Hamanyela, Jerobeam; Gosling, Roland</t>
  </si>
  <si>
    <t>Authors' addresses: Amanda Marr Chung, Eliza Love, Sara Rossi, Erika Larson, Bruce Agins, and Roland Gosling, University of California-San Francisco, San Francisco, CA, E-mails: amanda.chung@ucsf.edu, , , erikamarang@ gmail.com, bruce.agins@ucsf.edu, and roly.gosling@ucsf.edu. Julie Neidel, University of California Global Programs, Windhoek, Namibia, E-mail: julie.neidel@ucglobalprograms.org. Idah Mendai, Sackeus Nairenge, and Jerobeam Hamunyela, Ministry of Health and Social Services, Namibia, Windhoek, Namibia, E-mails: idamendai@gmail. com, sacky10@gmail.com, and jerobeam41@gmail.com. Lesley-Anne Van Wyk, Independent Consultant, Windhoek, Namibia, E-mail: lesleyannevanwyk@gmail.com. Peter Case, University of the West of England, Bristol, United Kingdom, E-mail: peter.case@uwe.ac.uk. Jonathan Gosling, University of Exeter, Business School, Exeter, United Kingdom, E-mail: jonathan.gosling@exeter.ac.uk. Greyling Viljoen, Independent Consultant, Johannesburg, South Africa, E-mail: g_viljoen@mweb.co.za. Macdonald Hove, Independent Consultant, Harare, Zimbabwe, E-mail: doctormacdee@gmail.com.</t>
  </si>
  <si>
    <t>AMERICAN JOURNAL OF TROPICAL MEDICINE AND HYGIENE</t>
  </si>
  <si>
    <t>Leadership and management skills are critical for health programs to deliver high-quality interventions in complex systems. In malaria-eliminating countries, national and subnational health teams are reorienting strategies to address focal transmission while preventing new cases and adapting to decentralization and declines in external financing. A capacity-strengthening program in two regions in Namibia helped malaria program implementers identify and address key operational, political, and financial challenges. The program focused on developing skills and techniques in problem-solving and teamwork, engaging decision-makers, and using financial evidence to prioritize domestic resources for malaria through participatory approaches. Results of the program included an observed 40% increase in malaria case reporting, 32% increase in reporting and tracing of imported malaria cases, 10% increase in malaria case management, integration of malaria activities into local operational plans, and an increase in subnational resources for malaria teams. To promote program sustainability beyond the implementation period, key program aspects were institutionalized into existing health system structures, program staff were trained in change leadership, and participants integrated the skills and approaches into their professional roles. A capacity-strengthening program with joint focus on leadership, management, and advocacy has potential for application to other health issues and geographies.</t>
  </si>
  <si>
    <t>[Chung, Amanda Marr; Love, Eliza; Neidel, Julie; Mendai, Idah; Rossi, Sara; Larson, Erika; Agins, Bruce; Gosling, Roland] Univ Calif San Francisco, Inst Global Hlth Sci, 550 16th St,3rd Floor,Box 1224, San Francisco, CA 94158 USA; [Nairenge, Sakeus; Hamanyela, Jerobeam] Minist Hlth &amp; Social Serv, Windhoek, Namibia; [Case, Peter] Univ West England, Bristol Business Sch, Bristol, Avon, England; [Case, Peter] James Cook Univ, Coll Business Law &amp; Governance, Douglas, Australia; [Gosling, Jonathan] Univ Exeter, Business Sch, Exeter, Devon, England; [Gosling, Roland] London Sch Hyg &amp; Trop Med, Dept Dis Control, London, England</t>
  </si>
  <si>
    <t>Chung, AM (corresponding author), Univ Calif San Francisco, Inst Global Hlth Sci, 550 16th St,3rd Floor,Box 1224, San Francisco, CA 94158 USA.</t>
  </si>
  <si>
    <t>amanda.chung@ucsf.edu; eliza.g.love@gmail.com; julie.neidel@ucglobalprograms.org; idamendai@gmail.com; sacky10@gmail.com; lesleyannevanwyk@gmail.com; saraelizabethrossi@gmail.com; erikamarang@gmail.com; peter.case@uwe.ac.uk; jonathan.gosling@exeter.ac.uk; g_viljoen@mweb.co.za; doctormacdee@gmail.com; bruce.agins@ucsf.edu; jerobeam41@gmail.com; roly.gosling@ucsf.edu</t>
  </si>
  <si>
    <t>AMER SOC TROP MED &amp; HYGIENE</t>
  </si>
  <si>
    <t>MCLEAN</t>
  </si>
  <si>
    <t>8000 WESTPARK DR, STE 130, MCLEAN, VA 22101 USA</t>
  </si>
  <si>
    <t>0002-9637</t>
  </si>
  <si>
    <t>1476-1645</t>
  </si>
  <si>
    <t>AM J TROP MED HYG</t>
  </si>
  <si>
    <t>Am. J. Trop. Med. Hyg.</t>
  </si>
  <si>
    <t>10.4269/ajtmh.21-1195</t>
  </si>
  <si>
    <t>Public, Environmental &amp; Occupational Health; Tropical Medicine</t>
  </si>
  <si>
    <t>3C5HA</t>
  </si>
  <si>
    <t>Green Published, hybrid, Green Accepted</t>
  </si>
  <si>
    <t>WOS:000828652200020</t>
  </si>
  <si>
    <t>Liang, XX; Hua, NS; Martin, J; Dellapiana, E; Coscia, C; Zhang, Y</t>
  </si>
  <si>
    <t>Liang, Xiaoxu; Hua, Naisi; Martin, John; Dellapiana, Elena; Coscia, Cristina; Zhang, Yu</t>
  </si>
  <si>
    <t>Social Media as a Medium to Promote Local Perception Expression in China's World Heritage Sites</t>
  </si>
  <si>
    <t>cultural heritage management; inclusive governance; public participation; social media; Weibo; pandemic</t>
  </si>
  <si>
    <t>COMMUNITY ENGAGEMENT; PUBLIC-PARTICIPATION; TWITTER; CITY; CONSERVATION; INTERNET; SYSTEM; SMART</t>
  </si>
  <si>
    <t>The assessment of public participation is one of the most fundamental components of holistic and sustainable cultural heritage management. Since the beginning of 2020, the COVID-19 pandemic became a catalyst for the transformation of participatory tools. Collaboration with stakeholders moved online due to the strict restrictions preventing on-site activities. This phenomenon provided an opportunity to formulate more comprehensive and reasonable urban heritage protection strategies. However, very few publications mentioned how social networking sites' data could support humanity-centred heritage management and participatory evaluation. Taking five World Cultural Heritage Sites as research samples, the study provides a methodology to evaluate online participatory practices in China through Weibo, a Chinese-originated social media platform. The data obtained were analysed from three perspectives: the users' information, the content of texts, and the attached images. As shown in the results section, individuals' information is described by gender, geo-location, celebrities, and Key Opinion Leaders. To a greater extent, participatory behaviour emerges at the relatively primary levels, that being informing and consulting. According to the label detection of Google Vision, residents paid more attention to buildings, facades, and temples in the cultural heritage sites. The research concludes that using social media platforms to unveil interplays between digital and physical heritage conservation is feasible and should be widely encouraged.</t>
  </si>
  <si>
    <t>[Liang, Xiaoxu; Dellapiana, Elena; Coscia, Cristina] Politecn Torino, Dept Architecture &amp; Design, Viale Mattioli 39, I-10125 Turin, Italy; [Hua, Naisi; Zhang, Yu] Harbin Inst Technol, Sch Architecture, Harbin 150001, Peoples R China; [Hua, Naisi; Zhang, Yu] Minist Ind &amp; Informat Technol, Key Lab Cold Reg Urban &amp; Rural Human Settlement E, Harbin 150001, Peoples R China; [Martin, John] Univ Plymouth, Sustainable Earth Inst, Plymouth PL4 8AA, Devon, England</t>
  </si>
  <si>
    <t>Zhang, Y (corresponding author), Harbin Inst Technol, Sch Architecture, Harbin 150001, Peoples R China.;Zhang, Y (corresponding author), Minist Ind &amp; Informat Technol, Key Lab Cold Reg Urban &amp; Rural Human Settlement E, Harbin 150001, Peoples R China.</t>
  </si>
  <si>
    <t>xiaoxu.liang@polito.it; 19b934018@stu.hit.edu.cn; j.martin-2@plymouth.ac.uk; elena.dellapiana@polito.it; cristina.coscia@polito.it; yu.zhang@hit.edu.cn</t>
  </si>
  <si>
    <t>COSCIA, CRISTINA/0000-0001-8789-2635; Martin, John/0000-0003-3363-8855</t>
  </si>
  <si>
    <t>Harbin Institute of Technology [51878201]</t>
  </si>
  <si>
    <t>Harbin Institute of Technology(Harbin Institute of Technology)</t>
  </si>
  <si>
    <t>Harbin Institute of Technology 51878201.</t>
  </si>
  <si>
    <t>MDPI</t>
  </si>
  <si>
    <t>BASEL</t>
  </si>
  <si>
    <t>ST ALBAN-ANLAGE 66, CH-4052 BASEL, SWITZERLAND</t>
  </si>
  <si>
    <t>LAND-BASEL</t>
  </si>
  <si>
    <t>Land</t>
  </si>
  <si>
    <t>10.3390/land11060841</t>
  </si>
  <si>
    <t>2K4XC</t>
  </si>
  <si>
    <t>gold</t>
  </si>
  <si>
    <t>WOS:000816339700001</t>
  </si>
  <si>
    <t>Ma, YJ; Zhang, P; Zhao, KX; Zhou, Y; Zhao, SD</t>
  </si>
  <si>
    <t>Ma, Yajun; Zhang, Ping; Zhao, Kaixu; Zhou, Yong; Zhao, Sidong</t>
  </si>
  <si>
    <t>A Dynamic Performance and Differentiation Management Policy for Urban Construction Land Use Change in Gansu, China</t>
  </si>
  <si>
    <t>land use; territory spatial planning; urban expansion; performance evaluation; China</t>
  </si>
  <si>
    <t>USE/LAND COVER CHANGE; METROPOLITAN-AREA; CELLULAR-AUTOMATA; USE/COVER CHANGE; INDUSTRIAL LAND; MARKOV-CHAIN; REGION; GIS; SPRAWL; URBANIZATION</t>
  </si>
  <si>
    <t>Making efforts to promote rationalized urban construction land change, distribution, allocation, and its performance is the core task of territory spatial planning and a complex issue that the government must face and solve. Based on the Boston Consulting Group matrix, a decoupling model, and a GIS tool, this paper constructs a new tool that integrates dynamic analysis + performance evaluation + policy design for urban construction land. We reached the following findings from an empirical study of Gansu, China: (1) Urban construction land shows diversified changes, where expansion is dominant and shrink cannot be ignored. (2) Most cities are in the non-ideal state of LH (Low-High) and LL (Low-Low), with a small number in the state of HH (High-High) and HL (High-Low). (3) Urban construction land change and population growth, economic development, and income increase are in a discordant relationship, mostly in strong negative decoupling and expansive negative decoupling. (4) The spatial heterogeneity of urban construction land change and its performance are at a high level, and they show a slow upward trend. Additionally, the cold and the hot spots show obvious spatial clustering characteristics, and the spatial pattern of different indexes is different to some extent. (5) It is suggested that in territory spatial planning Gansu should divide the space into four policy areas-incremental, inventory, a reduction development policy area, and a transformation leading policy area-to implement differentiated management policies and to form a new spatial governance system of control by zoning and management by class. The change of urban construction land, characterized by dynamics and complexity, is a direct mapping of the urban growth process. The new tools constructed in this paper will help to reveal the laws of urban development and to improve the accuracy of territory spatial planning in the new era. They are of great theoretical significance and practical value for promoting high-quality and sustainable urban development.</t>
  </si>
  <si>
    <t>[Ma, Yajun] Lanzhou Urban &amp; Rural Planning &amp; Design Inst, New Dist Branch, Lanzhou 730030, Peoples R China; [Zhang, Ping] Jiaxing Univ, Coll Civil Engn &amp; Architecture, Jiaxing 314001, Peoples R China; [Zhang, Ping] Lanzhou Jiaotong Univ, Coll Architecture &amp; Urban Planning, Lanzhou 730070, Peoples R China; [Zhao, Kaixu] Northwest Univ, Coll Urban &amp; Environm Sci, Xian 710127, Peoples R China; [Zhou, Yong] Natl Taiwan Univ, Grad Inst Natl Dev, Taipei 10617, Taiwan; [Zhao, Sidong] Guangxi Univ, Sch Civil Engn &amp; Architecture, Nanning 530004, Peoples R China; [Zhao, Sidong] Southeast Univ, Sch Architecture, Nanjing 210096, Peoples R China</t>
  </si>
  <si>
    <t>Zhao, SD (corresponding author), Guangxi Univ, Sch Civil Engn &amp; Architecture, Nanning 530004, Peoples R China.;Zhao, SD (corresponding author), Southeast Univ, Sch Architecture, Nanjing 210096, Peoples R China.</t>
  </si>
  <si>
    <t>myj13018333@163.com; ppqzhangp@zjxu.edu.cn; zhaokaixu@stumail.nwu.edu.cn; d07341002@ntu.edu.tw; 230189013@seu.edu.cn</t>
  </si>
  <si>
    <t>Zhao, Kaixu/0000-0001-6230-7057; Zhou, Yong/0000-0003-1942-4367</t>
  </si>
  <si>
    <t>Natural Science Foundation of Gansu Province [20JR5RA415]; National Natural Science Foundation of China [51768030, 51768029]</t>
  </si>
  <si>
    <t>Natural Science Foundation of Gansu Province; National Natural Science Foundation of China(National Natural Science Foundation of China (NSFC))</t>
  </si>
  <si>
    <t>This study and the related research were financially supported by the Natural Science Foundation of Gansu Province (Project Number: 20JR5RA415) and the National Natural Science Foundation of China (Project Number: 51768030, 51768029).</t>
  </si>
  <si>
    <t>10.3390/land11060942</t>
  </si>
  <si>
    <t>2K9GH</t>
  </si>
  <si>
    <t>WOS:000816635000001</t>
  </si>
  <si>
    <t>Eslamizadeh, S; Ghorbani, A; Araghi, Y; Weijnen, M</t>
  </si>
  <si>
    <t>Eslamizadeh, Sina; Ghorbani, Amineh; Araghi, Yashar; Weijnen, Margot</t>
  </si>
  <si>
    <t>Collaborative Renewable Energy Generation among Industries: The Role of Social Identity, Awareness and Institutional Design</t>
  </si>
  <si>
    <t>industrial collaboration; community energy systems; energy transition; industrial community energy system</t>
  </si>
  <si>
    <t>COMMUNITY ENERGY; DISTRIBUTED GENERATION; SYMBIOSIS; PARK; OPTIMIZATION; ACCEPTANCE; TRANSITION; EVOLUTION; BARRIERS; PROJECTS</t>
  </si>
  <si>
    <t>Like many other sectors, climate change strategies have put various restrictions on industry, the most prominent one being caps on CO2 and other energy-related emissions. At the same time, and especially in many developing economies, the industry struggles with an increasing gap between the fast development of the sector and lagging energy supply capacity. Collective generation of renewable energy is seen as a promising means of transition, next to other forms of renewable energy generation (centralised, individual). The aim of this research is to investigate factors influencing willingness to participate in Industrial Community Energy Systems (InCES). Using existing literature on Industrial Symbiosis and Community Energy Systems, we formulate plausible hypotheses on the most relevant factors for the willingness of industries to join such initiatives. As one of the largest and most diversified industrial clusters in Iran, Arak industrial park is selected as the case study. Data were collected from the CEOs of 96 companies through survey research. Our results highlight the crucial role of awareness about the benefits of renewable power generation in an InCES. Social identity among industries and trust between them are also determining factors for their willingness to join InCES. Finally, proper institutional design for overcoming the partnership complexities (e.g., conflict resolution) was highlighted as a crucial factor for industries. It can be concluded from the results of this study that policymakers should avoid one-size-fits-all incentive design approaches and reach out to larger companies with targeted incentives, introduce specially designed bank loans for different target groups, and make use of consulting companies as intermediaries to increase the awareness of the industries regarding the benefits of investing in an InCES.</t>
  </si>
  <si>
    <t>[Eslamizadeh, Sina; Ghorbani, Amineh; Araghi, Yashar; Weijnen, Margot] Delft Univ Technol, Fac Technol Policy &amp; Management, Jaffalaan 5, NL-2628 BX Delft, Netherlands</t>
  </si>
  <si>
    <t>Eslamizadeh, S (corresponding author), Delft Univ Technol, Fac Technol Policy &amp; Management, Jaffalaan 5, NL-2628 BX Delft, Netherlands.</t>
  </si>
  <si>
    <t>s.eslamizadeh@tudelft.nl; a.ghorbani@tudelft.nl; yashar.araghi@tno.nl; m.p.c.weijnen@tudelft.nl</t>
  </si>
  <si>
    <t>SUSTAINABILITY-BASEL</t>
  </si>
  <si>
    <t>10.3390/su14127007</t>
  </si>
  <si>
    <t>Green &amp; Sustainable Science &amp; Technology; Environmental Sciences; Environmental Studies</t>
  </si>
  <si>
    <t>Science &amp; Technology - Other Topics; Environmental Sciences &amp; Ecology</t>
  </si>
  <si>
    <t>2L1LY</t>
  </si>
  <si>
    <t>WOS:000816784900001</t>
  </si>
  <si>
    <t>Leffel, B</t>
  </si>
  <si>
    <t>Leffel, Benjamin</t>
  </si>
  <si>
    <t>Climate consultants and complementarity: Local procurement, green industry and decarbonization in Australia, Singapore, and the United States</t>
  </si>
  <si>
    <t>Eco-state restructuring; Expertise; Climate change; Green industry; Energy performance contract; Procurement</t>
  </si>
  <si>
    <t>ENVIRONMENTAL GOVERNANCE; SUSTAINABLE DEVELOPMENT; ENERGY TRANSITIONS; OFFSHORE WIND; POLICY MIXES; URBAN; MARKET; CITY; RECONFIGURATION; ADAPTATION</t>
  </si>
  <si>
    <t>Private climate expertise matters for the local political economy of urban climate governance. City climate policy often pairs decarbonization efforts with investment into the growth of local green industries, seeking complementarity between environmental and economic goals. Underappreciated is that this pairing is increasingly achieved by local government purchasing of decarbonization services directly from private expertise within local green industries. This involves local government procurement of climate mitigation services from local environmental services firms, where service delivery facilitates greenhouse gas emissions reduction, while the local nature of procurement generates new growth in existing green industries. By these means, local governments can achieve both decarbonization and local green industry growth goals with the same policy stroke. Three case studies of this strategy in Singapore, Knoxville (USA) and Melbourne (Australia) between 2005 and 2012 are examined in detail. This study contributes new evidence of the role of local procurement in the process of eco-state restructuring, a concept which describes a more active role of the state in negotiating environmental and economic interests in climate change governance.</t>
  </si>
  <si>
    <t>[Leffel, Benjamin] Univ Michigan, Sch Environm &amp; Sustainabil, Erb Inst Global Sustainable Enterprise, 700 East Univ,Kresge Hall,3rd Floor,West Suite 351, Ann Arbor, MI 48109 USA</t>
  </si>
  <si>
    <t>Leffel, B (corresponding author), Univ Michigan, Sch Environm &amp; Sustainabil, Erb Inst Global Sustainable Enterprise, 700 East Univ,Kresge Hall,3rd Floor,West Suite 351, Ann Arbor, MI 48109 USA.</t>
  </si>
  <si>
    <t>bleffel@umich.edu</t>
  </si>
  <si>
    <t>RADARWEG 29a, 1043 NX AMSTERDAM, NETHERLANDS</t>
  </si>
  <si>
    <t>ENERGY RES SOC SCI</t>
  </si>
  <si>
    <t>Energy Res. Soc. Sci.</t>
  </si>
  <si>
    <t>10.1016/j.erss.2022.102635</t>
  </si>
  <si>
    <t>1L0WF</t>
  </si>
  <si>
    <t>WOS:000799013100001</t>
  </si>
  <si>
    <t>Pan, Q; Huang, ZJ</t>
  </si>
  <si>
    <t>Pan, Qi; Huang, Zhangjie</t>
  </si>
  <si>
    <t>The Functions of the Board of Directors in Corporate Philanthropy: An Empirical Study From China</t>
  </si>
  <si>
    <t>FRONTIERS IN PSYCHOLOGY</t>
  </si>
  <si>
    <t>corporate philanthropy; board of directors; monitoring; consulting; environmental dynamism; board fault lines</t>
  </si>
  <si>
    <t>CHARITABLE CONTRIBUTIONS; AGENCY PROBLEMS; FIRM; PERFORMANCE; GOVERNANCE; FAULTLINES; OWNERSHIP; DIVERSITY; BEHAVIOR; INFORMATION</t>
  </si>
  <si>
    <t>As an important way for enterprises to fulfill social responsibility, corporate philanthropy (CP) has attracted much attention from the academic community. But there are still few well-targeted theoretical and empirical studies on what functions the board of directors (BOD) should perform to better fulfill philanthropic responsibilities. Taking this deficiency as a breakthrough, this study focuses on Chinese state-owned and private enterprises to analyze and test the functions performed by the BOD in CP. Based on the sample of Chinese A-share listed companies from 2008 to 2019, the empirical results show that the BOD of state-owned enterprises mainly performs a monitoring function in CP while that of private enterprises mainly performs a consulting function. The above findings remain valid when potential biases in the quantitative analysis are considered. Further research shows that environmental dynamism and board fault lines inhibit the performance of the above two functions. The contributions of the study include clarifying the functional characteristics of the BOD in CP and its influencing factors, revealing new theories to the formation mechanism of CP, which provide references for enterprises to optimize philanthropic decision-making. The limitation should also be emphasized that our findings are based only on Chinese contexts.</t>
  </si>
  <si>
    <t>[Pan, Qi] Hangzhou Normal Univ, Inst Serv Engn, Hangzhou, Peoples R China; [Huang, Zhangjie] Hangzhou Normal Univ, Sch Econ, Hangzhou, Peoples R China</t>
  </si>
  <si>
    <t>Pan, Q (corresponding author), Hangzhou Normal Univ, Inst Serv Engn, Hangzhou, Peoples R China.</t>
  </si>
  <si>
    <t>panqi@hznu.edu.cn</t>
  </si>
  <si>
    <t>Zhejiang Province Philosophy and Social Science Program [20NDJC168YB]; Zhejiang Province University Major Humanities and Social Sciences Research Projects [2021GH006]</t>
  </si>
  <si>
    <t>Zhejiang Province Philosophy and Social Science Program; Zhejiang Province University Major Humanities and Social Sciences Research Projects</t>
  </si>
  <si>
    <t>This research was funded by Zhejiang Province Philosophy and Social Science Program, grant number 20NDJC168YB; Zhejiang Province University Major Humanities and Social Sciences Research Projects, grant number 2021GH006.</t>
  </si>
  <si>
    <t>FRONTIERS MEDIA SA</t>
  </si>
  <si>
    <t>LAUSANNE</t>
  </si>
  <si>
    <t>AVENUE DU TRIBUNAL FEDERAL 34, LAUSANNE, CH-1015, SWITZERLAND</t>
  </si>
  <si>
    <t>1664-1078</t>
  </si>
  <si>
    <t>FRONT PSYCHOL</t>
  </si>
  <si>
    <t>Front. Psychol.</t>
  </si>
  <si>
    <t>MAY 24</t>
  </si>
  <si>
    <t>10.3389/fpsyg.2022.850980</t>
  </si>
  <si>
    <t>Psychology, Multidisciplinary</t>
  </si>
  <si>
    <t>Psychology</t>
  </si>
  <si>
    <t>1X5UF</t>
  </si>
  <si>
    <t>WOS:000807517900001</t>
  </si>
  <si>
    <t>Fabes, J; Avsar, TS; Spiro, J; Fernandez, T; Eilers, H; Evans, S; Hessheimer, A; Lorgelly, P; Spiro, M</t>
  </si>
  <si>
    <t>Fabes, Jeremy; Avsar, Tuba Saygin; Spiro, Jonathan; Fernandez, Thomas; Eilers, Helge; Evans, Steve; Hessheimer, Amelia; Lorgelly, Paula; Spiro, Michael</t>
  </si>
  <si>
    <t>Hlth Econ Survey Grp</t>
  </si>
  <si>
    <t>Information Asymmetry in Hospitals: Evidence of the Lack of Cost Awareness in Clinicians</t>
  </si>
  <si>
    <t>APPLIED HEALTH ECONOMICS AND HEALTH POLICY</t>
  </si>
  <si>
    <t>HEALTH-CARE; PHYSICIAN AWARENESS; CONSCIOUS CARE; ECONOMICS; CHARGES</t>
  </si>
  <si>
    <t>Background Information asymmetries and the agency relationship are two defining features of the healthcare system. These market failures are often used as a rationale for government intervention. Many countries have government financing and provision of healthcare in order to correct for this, while health technology agencies also exist to improve efficiency. However, informational asymmetries and the resulting principal-agent problem still persist, and one example is the lack of cost awareness amongst clinicians. This study explores the cost awareness of clinicians across different settings. Methods We targeted four clinical cohorts: medical students, Senior House Officers/Interns, Mid-grade Senior Registrar/Residents, and Consultant/Attending Physicians, in six hospitals in the United Kingdom, the United States, Australia, New Zealand and Spain. The survey asked respondents to report the cost (as they recalled) of different types of scans, visits, medications and tests. Our analysis focused on the differential between the perceived/recalled cost and the actual cost. We explored variation across speciality, country and other potential confounders. Cost-awareness levels were estimated based on the cost estimates within 25% of the actual cost. Results We received 705 complete responses from six sites across five countries. Our analysis found that respondents often overestimated the cost of common tests while underestimating high-cost tests. The mean cost-awareness levels varied between 4 and 23% for different items. Respondents acknowledged that they did not feel they had received adequate training in cost awareness. Discussion The current financial climate means that cost awareness and the appropriate use of scarce healthcare resources is more paramount than perhaps ever before. Much of the focus of health economics research is on high-cost innovative technologies, yet there is considerable waste in the system with respect to overtreatment and overdiagnosis. Common reasons put forward for this include defensive medicine, poor education, clinical uncertainty and the institution of protocols. Conclusion Given the role of clinicians in the healthcare system, as agents both for patients and for providers, more needs to be done to remove informational asymmetries and improve clinician cost awareness.</t>
  </si>
  <si>
    <t>[Fabes, Jeremy; Evans, Steve] Univ Plymouth, Fac Hlth, Plymouth, Devon, England; [Avsar, Tuba Saygin; Lorgelly, Paula] UCL, Dept Appl Hlth Res, London, England; [Spiro, Jonathan] Univ Western Australia, Royal Perth Hosp, Perth, WA, Australia; [Fernandez, Thomas; Lorgelly, Paula] Univ Auckland, Dept Anaesthesia, Auckland, New Zealand; [Eilers, Helge] Univ Calif San Francisco, Dept Anesthesia, San Francisco, CA USA; [Hessheimer, Amelia] Hosp Univ La Paz, CIBERehd, IdiPAZ, Gen &amp; Digest Surg, Madrid, Spain; [Spiro, Michael] Royal Free Hosp NHS Fdn Trust, Royal Free Perioperat Res Grp, London, England; [Spiro, Michael] UCL, Div Surg &amp; Intervent Sci, London, England</t>
  </si>
  <si>
    <t>Spiro, J (corresponding author), Univ Western Australia, Royal Perth Hosp, Perth, WA, Australia.</t>
  </si>
  <si>
    <t>michaelspiro@nhs.net</t>
  </si>
  <si>
    <t>Spiro, Michael/0000-0002-3201-471X; SAYGIN AVSAR, TUBA/0000-0002-4143-3852</t>
  </si>
  <si>
    <t>National Institute for Health and Care Research (NIHR) Academic Research Collaboration North Thames and UCLPartners</t>
  </si>
  <si>
    <t>Tuba Saygn Avar's time was supported by National Institute for Health and Care Research (NIHR) Academic Research Collaboration North Thames and UCLPartners. The views expressed in this presentation are those of the authors and not necessarily those of the NIHR, the Department of Health and Social Care or UCLPartners. The Health Economics Survey Group Authorship: Donald Milliken, Royal Marsden Hospital, London UK, Clare Morkane, Royal Free Hospital, London , Chloe Nettlefold, Perth, WA, Australia, Peter Xiang, Auckland, NZ , Nicole Vogts, Auckland, NZ, Anna Curell, Gastrointestinal Surgery Service, Institut Clinic de Malalties Digestives I Metaboliques, Hospital Clinic, Barcelona, Spain, Alba Torroella, General and Digestive Surgery Service, Institut Clinic de Malaties Digestives i Metaboliques, Hospital Clinic, Barcelona, Spain, Aidan Melia, Derriford Hospital, Plymouth, UK, Rosada Jackson, Derriford Hospital, Plymouth, UK, Melissa Hanger, University College London, UK, Ashley Poole, University College London, UK</t>
  </si>
  <si>
    <t>SPRINGER INT PUBL AG</t>
  </si>
  <si>
    <t>CHAM</t>
  </si>
  <si>
    <t>GEWERBESTRASSE 11, CHAM, CH-6330, SWITZERLAND</t>
  </si>
  <si>
    <t>1175-5652</t>
  </si>
  <si>
    <t>1179-1896</t>
  </si>
  <si>
    <t>APPL HEALTH ECON HEA</t>
  </si>
  <si>
    <t>Appl. Health Econ. Health Policy</t>
  </si>
  <si>
    <t>10.1007/s40258-022-00736-x</t>
  </si>
  <si>
    <t>MAY 2022</t>
  </si>
  <si>
    <t>Economics; Health Care Sciences &amp; Services; Health Policy &amp; Services</t>
  </si>
  <si>
    <t>Business &amp; Economics; Health Care Sciences &amp; Services</t>
  </si>
  <si>
    <t>1N9IU</t>
  </si>
  <si>
    <t>Green Published, Bronze</t>
  </si>
  <si>
    <t>WOS:000800960800001</t>
  </si>
  <si>
    <t>Semeniuk, CAD; Jeffries, KM; Li, T; Bettles, CM; Cooke, SJ; Dufour, BA; Halfyard, EA; Heath, JW; Keeshig, K; Mandrak, NE; Muir, AJ; Postma, L; Heath, DD</t>
  </si>
  <si>
    <t>Semeniuk, C. A. D.; Jeffries, K. M.; Li, T.; Bettles, C. M.; Cooke, S. J.; Dufour, B. A.; Halfyard, E. A.; Heath, J. W.; Keeshig, K.; Mandrak, N. E.; Muir, A. J.; Postma, L.; Heath, D. D.</t>
  </si>
  <si>
    <t>Innovating transcriptomics for practitioners in freshwater fish management and conservation: best practices across diverse resource-sector users</t>
  </si>
  <si>
    <t>REVIEWS IN FISH BIOLOGY AND FISHERIES</t>
  </si>
  <si>
    <t>Review; Early Access</t>
  </si>
  <si>
    <t>Gene-expression; Fish health; Genomics toolkit; Adaptive capacity; Innovative technology; Case study</t>
  </si>
  <si>
    <t>GENE-EXPRESSION; ENVIRONMENTAL-CHANGE; PREDICT MIGRATION; SELENIUM TOXICITY; CLIMATE-CHANGE; RNA-SEQ; FISHERIES; RESPONSES; STRESS; GENOMICS</t>
  </si>
  <si>
    <t>Thriving freshwater fish populations contribute to people's economic prosperity and wellbeing. Yet, freshwater fish populations are in critical condition around the globe. Most stressors to freshwater fishes, fisheries, and culture stem from habitat impacts, water-quality issues, and aquatic invasive species. Logistical difficulties of monitoring fish health are compounded by the limitations of conventional (capture-based) sampling methods, which provide only a temporal snapshot and generate data lacking in sensitivity and prognostic ability. Here, we propose an innovative genomics approach to develop a health toolkit that will allow resource-sector users to determine the health status of freshwater fishes, including their coping capacity, to environmental stressors. The stress-response transcription profile (STP)-chip is a suite of quantitative gene transcription assays that represents key gene pathways broadly associated with fish functional responses to environmental stress; therefore, the differential expression of well-selected genes can provide sensitive fish-health status indicators. Despite the scientific achievement of using genomics tools, actualizing the toolkit in practice is only successful if resource-sector users have full buy-in. We present seven case studies representing different practitioners and resource users - Indigenous rightsholders, environmental consultants (industry), commercial aquaculture, environmental charities (ENGO), and fishery commissions and managers (government) where each explores the benefits and risks associated with the adoption of a genomics fish-health toolkit. Using a co-production approach, wherein practitioners and resource users are engaged from the outset, these case studies reveal translational pathways that would be needed to overcome barriers to technological adoption and, hence, accelerate the responsible uptake of genomics-based applications in fisheries assessment, management, and conservation.</t>
  </si>
  <si>
    <t>[Semeniuk, C. A. D.; Keeshig, K.; Heath, D. D.] Univ Windsor, Great Lakes Inst Environm Res, 401 Sunset Ave, Windsor, ON N9B 3P4, Canada; [Jeffries, K. M.] Univ Manitoba, Dept Biol Sci, 50 Sifton Rd, Winnipeg, MB R3T 2N2, Canada; [Li, T.] Univ Guelph, Dept Food Agr &amp; Resource Econ, 50 Stone Rd E, Guelph, ON N1G 2W1, Canada; [Bettles, C. M.] Hatfield Consultants, 200-850 Harbourside Dr, Vancouver, BC V7P 0AP, Canada; [Bettles, C. M.] Pisces Sci Grp, 1303 Steeple Dr, Coquitlam, BC V3E 1K3, Canada; [Cooke, S. J.] Carleton Univ, Dept Biol, 1125 Colonel Dr, Ottawa, ON K1S 5B6, Canada; [Cooke, S. J.] Carleton Univ, Inst Environm &amp; Interdisciplinary Sci, 1125 Colonel Dr, Ottawa, ON K1S 5B6, Canada; [Dufour, B. A.] LEA Consulting Ltd, 625 Cochrane Dr,9th Floor, Markham, ON L3R 9R9, Canada; [Halfyard, E. A.] Nova Scotia Salmon Assoc, 163 McCabe Lake Dr, Mt Uniacke, NS B4E 0M9, Canada; [Heath, J. W.] Yellow Isl Aquaculture Ltd, Heriot Bay, BC V0P 1H0, Canada; [Keeshig, K.] Chippewas Nawash, Unceded First Nat, Manitoulin, ON, Canada; [Mandrak, N. E.] Univ Toronto Scarborough, Dept Biol Sci, 1265 Mil Trail, Toronto, ON M1C 1A4, Canada; [Muir, A. J.] Great Lakes Fishery Commiss, 2200 Commonwealth Blvd,Suite 100, Ann Arbor, MI 48105 USA; [Postma, L.] Freshwater Inst, Fisheries &amp; Oceans Canada, 501 Univ Crescent, Winnipeg, MB R3T 2N6, Canada</t>
  </si>
  <si>
    <t>Semeniuk, CAD (corresponding author), Univ Windsor, Great Lakes Inst Environm Res, 401 Sunset Ave, Windsor, ON N9B 3P4, Canada.</t>
  </si>
  <si>
    <t>semeniuk@uwindsor.ca</t>
  </si>
  <si>
    <t>Cooke, Steven J/F-4193-2010</t>
  </si>
  <si>
    <t>Cooke, Steven J/0000-0002-5407-0659</t>
  </si>
  <si>
    <t>Genome Canada [OGI-184]; Natural Sciences and Engineering Research Council of Canada [06768]; Genome Ontario; Genome Quebec; Genome Prairie</t>
  </si>
  <si>
    <t>Genome Canada(Genome Canada); Natural Sciences and Engineering Research Council of Canada(Natural Sciences and Engineering Research Council of Canada (NSERC)CGIAR); Genome Ontario; Genome Quebec; Genome Prairie</t>
  </si>
  <si>
    <t>The research described in this paper (i.e., STP-chip) is supported by Genome Canada (i.e., GEN-FISH -Genomic network for fish identification, stress and health; OGI-184)), and the Natural Sciences and Engineering Research Council of Canada (06768 to C.A.D. Semeniuk). Additional support was provided by Genome Ontario, Genome Quebec and Genome Prairie.</t>
  </si>
  <si>
    <t>SPRINGER</t>
  </si>
  <si>
    <t>DORDRECHT</t>
  </si>
  <si>
    <t>VAN GODEWIJCKSTRAAT 30, 3311 GZ DORDRECHT, NETHERLANDS</t>
  </si>
  <si>
    <t>0960-3166</t>
  </si>
  <si>
    <t>1573-5184</t>
  </si>
  <si>
    <t>REV FISH BIOL FISHER</t>
  </si>
  <si>
    <t>Rev. Fish. Biol. Fish.</t>
  </si>
  <si>
    <t>10.1007/s11160-022-09715-w</t>
  </si>
  <si>
    <t>Fisheries; Marine &amp; Freshwater Biology</t>
  </si>
  <si>
    <t>1F9XF</t>
  </si>
  <si>
    <t>WOS:000795511700001</t>
  </si>
  <si>
    <t>Moleman, M; Zuiderent-Jerak, T; Lageweg, M; van den Braak, GL; Schuitmaker-Warnaar, TJ</t>
  </si>
  <si>
    <t>Moleman, Marjolein; Zuiderent-Jerak, Teun; Lageweg, Marianne; van den Braak, Gianni L.; Schuitmaker-Warnaar, Tjerk Jan</t>
  </si>
  <si>
    <t>Doctors as Resource Stewards? Translating High-Value, Cost-Conscious Care to the Consulting Room</t>
  </si>
  <si>
    <t>HEALTH CARE ANALYSIS</t>
  </si>
  <si>
    <t>Cost-conscious care; Health care costs; High-value care; High-value; cost-conscious care; Medical professionalism; Resource stewardship</t>
  </si>
  <si>
    <t>HEALTH-CARE; TEACHING-RESIDENTS; NETHERLANDS; PHYSICIANS; TRIPLE; IMPROVEMENT; INSURANCE; SYSTEM; TRUST; DUTCH</t>
  </si>
  <si>
    <t>After many policy attempts to tackle the persistent rise in the costs of health care, physicians are increasingly seen as potentially effective resource stewards. Frameworks including the quadruple aim, value-based health care and choosing wisely underline the importance of positive engagement of the health care workforce in reinventing the system-paving the way to real affordability by defining the right care. Current programmes focus on educating future doctors to provide 'high-value, cost-conscious care' (HVCCC), which proponents believe is the future of sustainable medical practice. Such programmes, which aim to extend population-level allocation concerns to interactions between an individual doctor and patient, have generated lively debates about the ethics of expanding doctors' professional accountability. To empirically ground this discussion, we conducted a qualitative interview study to examine what happens when resource stewardship responsibilities are extended to the consulting room. Attempts to deliver HVCCC were found to involve inevitable trade-offs between benefits to the individual patient and (social) costs, medical uncertainty and efficiency, and between resource stewardship and trust. Physicians reconcile this by justifying good-value care in terms of what is in the best interest of individual patients-redefining the currency of value from monetary costs to a patient's quality of life, and cost-conscious care as reflective medical practice. Micro-level resource stewardship thus becomes a matter of working reflexively and reducing wasteful forms of care, rather than of making difficult choices about resource allocation.</t>
  </si>
  <si>
    <t>[Moleman, Marjolein; Zuiderent-Jerak, Teun; Lageweg, Marianne; van den Braak, Gianni L.; Schuitmaker-Warnaar, Tjerk Jan] Vrije Univ Amsterdam, Fac Sci, Athena Inst, De Boelelaan 1085, NL-1081 HV Amsterdam, Netherlands</t>
  </si>
  <si>
    <t>Moleman, M (corresponding author), Vrije Univ Amsterdam, Fac Sci, Athena Inst, De Boelelaan 1085, NL-1081 HV Amsterdam, Netherlands.</t>
  </si>
  <si>
    <t>m.moleman2@vu.nl</t>
  </si>
  <si>
    <t>Zuiderent-Jerak, Teun/E-4359-2013</t>
  </si>
  <si>
    <t>Zuiderent-Jerak, Teun/0000-0003-3008-1297; Moleman, Marjolein/0000-0002-5289-2341; Schuitmaker, Tjerk Jan/0000-0001-5158-581X</t>
  </si>
  <si>
    <t>Medical Specialties Council (CGS), department of the Royal Dutch Medical Association</t>
  </si>
  <si>
    <t>This work was funded by the Medical Specialties Council (CGS), department of the Royal Dutch Medical Association.</t>
  </si>
  <si>
    <t>1065-3058</t>
  </si>
  <si>
    <t>1573-3394</t>
  </si>
  <si>
    <t>HEALTH CARE ANAL</t>
  </si>
  <si>
    <t>Health Care Anal.</t>
  </si>
  <si>
    <t>10.1007/s10728-022-00446-4</t>
  </si>
  <si>
    <t>Ethics; Health Policy &amp; Services; Social Sciences, Biomedical</t>
  </si>
  <si>
    <t>Social Sciences - Other Topics; Health Care Sciences &amp; Services; Biomedical Social Sciences</t>
  </si>
  <si>
    <t>1L6OD</t>
  </si>
  <si>
    <t>WOS:000799404400001</t>
  </si>
  <si>
    <t>Kabir, A; Syed, A; Zevenbergen, C; Ferdous, J; Pathirana, A</t>
  </si>
  <si>
    <t>Kabir, Ashraful; Syed, Abu; Zevenbergen, Chris; Ferdous, Jannatul; Pathirana, Assela</t>
  </si>
  <si>
    <t>Capacity development for the Bangladesh Delta Plan from the perspective of delta professionals: a qualitative study</t>
  </si>
  <si>
    <t>Adaptive delta management; Bangladesh Delta Plan 2100; Capacity development; Climate change; Water resources management</t>
  </si>
  <si>
    <t>WATER-RESOURCES MANAGEMENT; CLIMATE-CHANGE; POLICY ANALYSIS; ADAPTATION; COLLABORATION; RESILIENCE; CHALLENGES; BOUNDARIES; PATHWAYS; IMPACTS</t>
  </si>
  <si>
    <t>Many deltaic regions around the world are exploring or adopting planning initiatives to address the complex challenges associated with future economic development and climate change. A key feature is their adaptive nature, also coined as adaptive delta management (ADM). ADM refers to the development of strategies and measures that allow us to adapt to change over a long time. The Government of Bangladesh has recently approved the Bangladesh Delta Plan 2100 (BDP2100) - a long-term adaptive strategy for sustainable water resources management. This study aims to explore the future capacity requirements from the perspective of water/delta professionals for implementing BDP2100. This calls for structural and institutional changes, and new skills and competencies to address the specific organisational and individual needs for effective delivery. A capacity development programme as an integral part of BDP2100 is currently under development. Adopting a qualitative approach, 16 key informant interviews were conducted with experts and professionals from the water and water-related sectors in Bangladesh. A thematic analysis approach was used to analyse the data. The participants reflected that an integrated and adaptive system is critical for sustainable delta management; collaboration and coordination between water/delta professionals (e.g., policy planners, consultants, and academics) and delta expert stakeholders with deep local familiarity (e.g., communities, activists, and civil society members) were deemed essential. In addition, a powerful independent institutional body is recommended to provide stewardship and leadership in the implementation process.</t>
  </si>
  <si>
    <t>[Kabir, Ashraful; Syed, Abu; Ferdous, Jannatul] Bangladesh Ctr Adv Studies, Dhaka, Bangladesh; [Kabir, Ashraful] Monash Univ, Sch Publ Hlth &amp; Prevent Med, Melbourne, Australia; [Zevenbergen, Chris; Pathirana, Assela] IHE Delft Inst Water Educ, Delft, Netherlands</t>
  </si>
  <si>
    <t>Pathirana, A (corresponding author), IHE Delft Inst Water Educ, Delft, Netherlands.</t>
  </si>
  <si>
    <t>a.pathirana@un-ihe.org</t>
  </si>
  <si>
    <t>Pathirana, Assela/0000-0003-0907-1764</t>
  </si>
  <si>
    <t>IWA PUBLISHING</t>
  </si>
  <si>
    <t>REPUBLIC-EXPORT BLDG, UNITS 1 04 &amp; 1 05, 1 CLOVE CRESCENT, LONDON, ENGLAND</t>
  </si>
  <si>
    <t>1996-9759</t>
  </si>
  <si>
    <t>Water Policy</t>
  </si>
  <si>
    <t>10.2166/wp.2022.229</t>
  </si>
  <si>
    <t>Water Resources</t>
  </si>
  <si>
    <t>1M4PY</t>
  </si>
  <si>
    <t>WOS:000794560100001</t>
  </si>
  <si>
    <t>Gedam, VV; Raut, RD; Agrawal, N; Zhu, QY</t>
  </si>
  <si>
    <t>Gedam, Vidyadhar V.; Raut, Rakesh D.; Agrawal, Nishant; Zhu, Qingyun</t>
  </si>
  <si>
    <t>Critical human and behavioral factors on the adoption of sustainable supply chain management practices in the context of automobile industry</t>
  </si>
  <si>
    <t>automobile sectors; behavioral factors; green human resource management; sustainable supply chain management</t>
  </si>
  <si>
    <t>CRITICAL SUCCESS FACTORS; HUMAN-RESOURCE MANAGEMENT; OF-THE-ART; ENVIRONMENTAL PERFORMANCE; DYNAMIC CAPABILITIES; GREEN; IMPACT; ORGANIZATIONS; FRAMEWORK; SELECTION</t>
  </si>
  <si>
    <t>Built upon the resource-based view, the study examines the critical human and behavioral factors (HBFs) on adopting sustainable supply chain practices in the automobile sector (AS). The Interpretive Structural Modeling (ISM) and Decision-Making Trial and Evaluation Laboratory (DEMATEL) method is applied to understand the causeeffect relationships between (HBFs), evidenced by a case study in the automobile industry of India. The causeeffect relationships are informed by an expert team consisting of 18 members working in academia, the automobile industry, and professional consulting companies. The experts provided their inputs based on their direct experience and expertise in this subject matter. The research findings highlight that sustainable supply chain cost (end to end) is a critical success factor. Mangers in the AS should prioritize and focus on sustainable supply chain costs (end to end) to pursue sustainable practices because such critical success factors can foster information sharing behavior. The firms could develop both hard and soft critical HBFs such as Information technology (IT) infrastructure and employee training to build up HBFs to integrate a supply chain. The study provides insight to academicians, policymakers, and practitioners about critical HBFs and develops sustainability goals and policies accordingly.</t>
  </si>
  <si>
    <t>[Gedam, Vidyadhar V.] Natl Inst Ind Engn NITIE, Sustainabil Management Area, Powai, India; [Raut, Rakesh D.] Natl Inst Ind Engn NITIE, Operat &amp; Supply Chain Management, Room 515,ALB Bldg,5th Floor, Mumbai 87, Maharashtra, India; [Agrawal, Nishant] Nirma Univ, Operat Management, Ahmadabad, Gujarat, India; [Zhu, Qingyun] Univ Alabama, Coll Business, Huntsville, AL 35899 USA</t>
  </si>
  <si>
    <t>Gedam, VV (corresponding author), Natl Inst Ind Engn NITIE, Sustainabil Management Area, Powai, India.;Raut, RD (corresponding author), Natl Inst Ind Engn NITIE, Operat &amp; Supply Chain Management, Room 515,ALB Bldg,5th Floor, Mumbai 87, Maharashtra, India.</t>
  </si>
  <si>
    <t>vgedam@nitie.ac.in; rraut@nitie.ac.in</t>
  </si>
  <si>
    <t>Agrawal, Nishant/AAA-5136-2019</t>
  </si>
  <si>
    <t>Agrawal, Nishant/0000-0001-5504-8536; Raut, Rakesh/0000-0002-0469-1326</t>
  </si>
  <si>
    <t>BUS STRATEG ENVIRON</t>
  </si>
  <si>
    <t>Bus. Strateg. Environ.</t>
  </si>
  <si>
    <t>10.1002/bse.3121</t>
  </si>
  <si>
    <t>Business; Environmental Studies; Management</t>
  </si>
  <si>
    <t>Business &amp; Economics; Environmental Sciences &amp; Ecology</t>
  </si>
  <si>
    <t>1A2SI</t>
  </si>
  <si>
    <t>WOS:000791612700001</t>
  </si>
  <si>
    <t>Batra, R</t>
  </si>
  <si>
    <t>Batra, Ritika</t>
  </si>
  <si>
    <t>Review of public-private partnerships across building sectors in nine European countries: Key adaptations for PPP in housing</t>
  </si>
  <si>
    <t>Public-private partnerships; Housing; PPP in social housing; Social integration; Value for money</t>
  </si>
  <si>
    <t>Purpose - This paper aims to review the existing practices of public-private partnerships (PPPs) in the building sectors in European countries, to be able to assess its suitability for housing provision while focussing on the social impact. Design/methodology/approach - Based on the sectoral spread of PPP, nine European countries were included in this study. Formative evaluation is used to structure the review based on four key attributes of PPPs to develop a comprehensive understanding of the existing PPP procedures and guidelines amongst these countries. Data were gathered through public and governmental reports, consultant reports, country guidelines, standards and procedures, and cases, in order to identify the prevalent practices and trends in these countries. Findings - The review identified the need to calibrate the PPP approach towards other stakeholders, particularly the end-users. It further highlighted the need to focus on social integration and social sustainability and establish set procedures for PPPs in housing to create a credible and trustworthy environment for the investors. Joint support from private and public partners and community participation has a diverse impact on the success of PPP in housing. Practical implications - This review shall enable governments, industry and stakeholders to make provisions and policies for overcoming the challenges identified with regard to PPPs and pave the way for its application in the housing sector ensuring a positive social impact. Social implications - This review shall facilitate greater involvement of end-users and enhancing social integration in housing through PPP, and pave the way towards creating cohesive communities by focussing on the concept of togetherness and social sustainability. Originality/value - This study provides a holistic summation of the prevalent PPP practices and broadens the adaptations for the housing sector. The novelty of this paper specifically lies in learning from PPP practices across other building sectors for adapting its utilisation for housing and thereby extending the state of art for PPP housing.</t>
  </si>
  <si>
    <t>[Batra, Ritika] Swiss Fed Inst Technol, Dept Architecture, Inst Technol Architecture, Chair Architecture &amp; Bldg Proc, Zurich, Switzerland</t>
  </si>
  <si>
    <t>Batra, R (corresponding author), Swiss Fed Inst Technol, Dept Architecture, Inst Technol Architecture, Chair Architecture &amp; Bldg Proc, Zurich, Switzerland.</t>
  </si>
  <si>
    <t>ar.ritikab@gmail.com</t>
  </si>
  <si>
    <t>ENG CONSTR ARCHIT MA</t>
  </si>
  <si>
    <t>Eng. Constr. Archit. Manag.</t>
  </si>
  <si>
    <t>10.1108/ECAM-07-2021-0664</t>
  </si>
  <si>
    <t>Engineering, Industrial; Engineering, Civil; Management</t>
  </si>
  <si>
    <t>Engineering; Business &amp; Economics</t>
  </si>
  <si>
    <t>0V6JI</t>
  </si>
  <si>
    <t>WOS:000788447700001</t>
  </si>
  <si>
    <t>Howland, F; Le Coq, JF</t>
  </si>
  <si>
    <t>Howland, Fanny; Le Coq, Jean Francois</t>
  </si>
  <si>
    <t>Disaster risk management, or adaptation to climate change? The elaboration of climate policies related to agriculture in Colombia</t>
  </si>
  <si>
    <t>Climate change; Traveling model; Translation; Disaster risk management; Adaptation; Policy</t>
  </si>
  <si>
    <t>INTERNATIONAL DEVELOPMENT</t>
  </si>
  <si>
    <t>If climate policies are the result of transnationalization of public policies, how are they reinterpreted at the national level? This study has examined the context in which climate policy is formulated in Colombia from an actor-oriented perspective. Using a traveling model approach,we analyzed the role of actors at international and national levels in raising climate issues and shaping climate policies. The results showed that the translation chains from several governmental and non-governmental actors increase the visibility of climate issues in Colombia and how such consultations help defining and addressing these issues. The analysis arising from the climate traveling model exposes power struggles between competing agencies: the National Planning Department (DNP), which promoted climate-change adaptation, and the National Disaster Risk Management Unit (UNGRD), which favored disaster risk management. At the end of the translation chains, governmental actors reappropriated the international consultants' interpretations of the issues and solutions within an economic perspective. Hence, adaptation to climate change came to be seen as an economic opportunity or as a way to avoid economic loss. International dominance in the elaboration of climate policies combined with scant involvement of local actors could constitute a challenge for policy implementation and potentially inhibit achieving successful outcomes.</t>
  </si>
  <si>
    <t>[Howland, Fanny; Le Coq, Jean Francois] Int Ctr Trop Agr CIAT, Km 17 Recta Cali Palmira,Apartado Aereo 6713, Cali, Colombia; [Howland, Fanny; Le Coq, Jean Francois] Int Ctr Trop Agr, CGIAR Res Program Climate Change Agr &amp; Food Secur, Cali, Colombia; [Le Coq, Jean Francois] French Agr Res Ctr Int Dev CIRAD, UMR ART DEV, Campus Lavalette TA 85-15-73,Rue JF Breton, Montpellier 5, France</t>
  </si>
  <si>
    <t>Howland, F (corresponding author), Int Ctr Trop Agr CIAT, Km 17 Recta Cali Palmira,Apartado Aereo 6713, Cali, Colombia.</t>
  </si>
  <si>
    <t>f.c.howland@cgiar.org</t>
  </si>
  <si>
    <t>Howland, Fanny/0000-0002-0778-2741</t>
  </si>
  <si>
    <t>ANR [anr-17-ce03-0005]; CGIAR Research Program on Climate Change, Agriculture and Food Security (CCAFS); CGIAR Fund Donors</t>
  </si>
  <si>
    <t>ANR(French National Research Agency (ANR)); CGIAR Research Program on Climate Change, Agriculture and Food Security (CCAFS)(CGIAR); CGIAR Fund Donors(CGIAR)</t>
  </si>
  <si>
    <t>This work was funded by ANR (anr-17-ce03-0005) and the CGIAR Research Program on Climate Change, Agriculture and Food Security (CCAFS) , the CGIAR Research Program on Climate Change, Agriculture and Food Security (CCAFS) , which is carried out with support from CGIAR Fund Donors and through bilateral funding agreements. For details, please visit https://ccafs.cgiar.org/donors. The views and opinions expressed in this document are those of the authors and do not necessarily reflect official positions of the sponsoring organizations. CCAFS is led by the International Center for Tropical Agriculture (CIAT) . We acknowledge the valuable contribution from the stakeholders that participated in the process, especially those farmers who were involved in the project, and we would like to thank them for their time, knowledge and patience. We finally acknowledge Vincent Johnson (Alliance of Bioversity International and CIAT) for Writing Support Service.</t>
  </si>
  <si>
    <t>PERGAMON-ELSEVIER SCIENCE LTD</t>
  </si>
  <si>
    <t>THE BOULEVARD, LANGFORD LANE, KIDLINGTON, OXFORD OX5 1GB, ENGLAND</t>
  </si>
  <si>
    <t>10.1016/j.geoforum.2022.02.012</t>
  </si>
  <si>
    <t>1H7IM</t>
  </si>
  <si>
    <t>WOS:000796712800005</t>
  </si>
  <si>
    <t>Kata, R; Cyran, K; Dybka, S; Lechwar, M; Pitera, R</t>
  </si>
  <si>
    <t>Kata, Ryszard; Cyran, Kazimierz; Dybka, Slawomir; Lechwar, Malgorzata; Pitera, Rafal</t>
  </si>
  <si>
    <t>The Role of Local Government in Implementing Renewable Energy Sources in Households (Podkarpacie Case Study)</t>
  </si>
  <si>
    <t>renewable energy; local authorities; local governments; RES micro-installations in household; 'umbrella' programs</t>
  </si>
  <si>
    <t>TECHNOLOGIES; POVERTY; SOLAR; INVESTMENTS; DIFFUSION; BARRIERS; EUROPE; POLICY; PV</t>
  </si>
  <si>
    <t>The implementation of renewable energy in households can contribute to achieving climate goals, improving air quality and improving energy security. At the local level, this goal may be supported by local authorities, but in Poland, as in many countries, the use of renewable energy is not a mandatory task of local government units. The aim of this study is to analyze the role of local government, i.e., municipalities, in the adaptation of RES installations in residents' households. The source of empirical materials was a survey of households using renewable energy installations, carried out in 2021 in the Podkarpacie region in Southeastern Poland. It has been shown that the inhabitants benefit from the support of municipalities in financing the installations, as well as information and consulting support. Municipalities support renewable energy in the civic segment mainly through the implementation of the so-called umbrella projects. They have a positive effect on the adaptation of RES not only in the households of the project participants, but through the imitation effect, also in other households in the immediate vicinity. The municipality effectiveness in this type of activities depends on the efficiency of project implementation and the quality of information on the conditions of participation in the project and the benefits of renewable energy.</t>
  </si>
  <si>
    <t>[Kata, Ryszard; Cyran, Kazimierz; Dybka, Slawomir; Lechwar, Malgorzata; Pitera, Rafal] Univ Rzeszow, Inst Econ &amp; Finance, Ul M Cwiklinskiej 2, PL-35601 Rzeszow, Poland</t>
  </si>
  <si>
    <t>Pitera, R (corresponding author), Univ Rzeszow, Inst Econ &amp; Finance, Ul M Cwiklinskiej 2, PL-35601 Rzeszow, Poland.</t>
  </si>
  <si>
    <t>rdkata@ur.edu.pl; kcyran@ur.edu.pl; sdybka@ur.edu.pl; lechwarm@ur.edu.pl; rpitera@ur.edu.pl</t>
  </si>
  <si>
    <t>Pitera, Rafal/0000-0001-9598-1240; Kata, Ryszard/0000-0001-6085-3935</t>
  </si>
  <si>
    <t>Institute of Economics and Finance, University of Rzeszow</t>
  </si>
  <si>
    <t>This research was funded by the Institute of Economics and Finance, University of Rzeszow.</t>
  </si>
  <si>
    <t>Energies</t>
  </si>
  <si>
    <t>10.3390/en15093163</t>
  </si>
  <si>
    <t>Energy &amp; Fuels</t>
  </si>
  <si>
    <t>1F6DJ</t>
  </si>
  <si>
    <t>WOS:000795257100001</t>
  </si>
  <si>
    <t>Jegannathan, S; Natarajan, M; Solaiappan, M; Shanmugam, R; Tilwani, SA</t>
  </si>
  <si>
    <t>Jegannathan, Sathya; Natarajan, Muthukumaran; Solaiappan, Manikumar; Shanmugam, Ramya; Tilwani, Sandeep Ajit</t>
  </si>
  <si>
    <t>Quality improvement initiative to improve the duration of Kangaroo Mother Care in tertiary care neonatal unit of South India</t>
  </si>
  <si>
    <t>BMJ OPEN QUALITY</t>
  </si>
  <si>
    <t>PDSA; Quality improvement; Education</t>
  </si>
  <si>
    <t>Background India has the highest number of preterm births and maximum number of deaths due to prematurity. Chengalpattu Government Medical College had 11 593 deliveries annually in 2020, of which 2252 of neonates were low birth weight. 2016 Cochrane review concluded that Kangaroo Mother Care (KMC) reduces the morbidity and mortality in low birthweight infants. The average duration of KMC in our unit was around 4.6 hours/baby/day. Objective To improve the duration of KMC in stable low birthweight babies from short duration to continuous duration (&gt;12 hours) over 8 weeks. Methods The implementation phase was conducted during January 2021 and February 2021. All babies with birth weight &lt;2 kg and who were haemodynamically stable were enrolled. QI (Qualitympovement) team included staff nurses, nursing in charge, resident doctors and consultants. Potential barriers were listed using fishbone analysis. Various possible interventions were identified and a priority matrix was formed to decide the sequence of introduction of changes. The following measures were subsequently tested by multiple PDSA (Plan Do Study Act) cycles: ensuring the availability of KMC charts, combining KMC chart with individualised weight chart, documentation of KMC duration in case sheets, increasing number of KMC chairs, opening of mother-neonatal ICU (M-NICU), KMC slings for mothers, education videos in local language and rewards for mothers. Outcome indicator Duration of KMC, recorded by bedside nurses on daily basis. Results A total of 86 newborns were enrolled. At the end of 8 weeks, average duration of KMC increased to 16.6 hours/baby/day. The intervention which was most useful in increasing KMC duration was opening of M-NICU. We were able to sustain the improvement at the end of 6 months. Conclusion Sequential measures taken as a part of QI initiative, helped to increase the average duration of KMC from 4.6 hours/day to 16.6 hours/day, without much additional resources.</t>
  </si>
  <si>
    <t>[Jegannathan, Sathya; Natarajan, Muthukumaran; Solaiappan, Manikumar; Shanmugam, Ramya; Tilwani, Sandeep Ajit] Govt Chengalpattu Med Coll, Dept Neonatol, Chengalpattu, Tamil Nadu, India</t>
  </si>
  <si>
    <t>Tilwani, SA (corresponding author), Govt Chengalpattu Med Coll, Dept Neonatol, Chengalpattu, Tamil Nadu, India.</t>
  </si>
  <si>
    <t>sandeep.tilwani92@gmail.com</t>
  </si>
  <si>
    <t>Nationwide Quality of Care Network</t>
  </si>
  <si>
    <t>The authors have not declared a specific grant for this research from any funding agency in the public, commercial or not-for-profit sectors. Publication of this article is made Open Access with funding from the Nationwide Quality of Care Network.</t>
  </si>
  <si>
    <t>BMJ PUBLISHING GROUP</t>
  </si>
  <si>
    <t>BRITISH MED ASSOC HOUSE, TAVISTOCK SQUARE, LONDON WC1H 9JR, ENGLAND</t>
  </si>
  <si>
    <t>2399-6641</t>
  </si>
  <si>
    <t>BMJ OPEN QUAL</t>
  </si>
  <si>
    <t>BMJ Open Qual.</t>
  </si>
  <si>
    <t>SUPPL_1</t>
  </si>
  <si>
    <t>e001775</t>
  </si>
  <si>
    <t>10.1136/bmjoq-2021-001775</t>
  </si>
  <si>
    <t>Health Care Sciences &amp; Services; Medicine, General &amp; Internal</t>
  </si>
  <si>
    <t>Health Care Sciences &amp; Services; General &amp; Internal Medicine</t>
  </si>
  <si>
    <t>1D6VB</t>
  </si>
  <si>
    <t>WOS:000793935700008</t>
  </si>
  <si>
    <t>Kovai, V; Mahjabeen, Z; Jalaludin, B; Fox, F</t>
  </si>
  <si>
    <t>Kovai, Vilas; Mahjabeen, Zeenat; Jalaludin, Bin; Fox, Francis</t>
  </si>
  <si>
    <t>Towards an effective collaboration between the South Western Sydney Local Health District and local councils: insights from a qualitative study</t>
  </si>
  <si>
    <t>Built environment; Collaboration; Councils; Evidence-based local data; Engagement; Population health; Policy; Qualitative research; Urban planning</t>
  </si>
  <si>
    <t>SOCIAL DETERMINANTS; PUBLIC-HEALTH</t>
  </si>
  <si>
    <t>Background Partnership between local government and local health districts is imperative, given their overlapping goals. However, the need for further evidence-informed actions to address health inequities remains. The effectiveness of such partnerships requires better insight into how local governments perceive partnerships with local health districts, and how well equipped and prepared they are to deal with the health equity opportunities and challenges. It was precisely for these reasons that a qualitative study was conducted by South Western Sydney Local Health District (SWSLHD) in 2016. Objective This study aims to better understand how to improve the effectiveness of collaboration between local governments and the public health sector. Methods Qualitative data were collected from 14 in-depth interviews with staff representing five of the local councils comprising SWSLHD. These data were then thematically analysed using inductive and deductive reasoning through the application of NVivo software. Results While councils recognize the potential value of consulting SWSLHD, limited communication and the absence of a clearly defined process for collaboration needs to be addressed. Moreover, councils perceive knowledge gaps in relation to basic issues, such as who provides what services to whom, and how to access local-government-level data from health experts. Conclusions The study confirms the importance of providing locally relevant public health data to help address issues of mutual concern that arise during the consultation process. Moreover, it suggests that proactive and ongoing consultation between SWSLHD and councils is critical if there is to be effective engagement, and coordinated and sustained action. The concerns raised in this study echo findings from studies from other local government settings of Victoria, South Australia and New South Wales. Thus, the study findings may be applied to other councils beyond the SWSLHD.</t>
  </si>
  <si>
    <t>[Kovai, Vilas; Fox, Francis] Liverpool Hosp, Populat Hlth Hlth Promot Serv, South Western Sydney Local Hlth Dist, Waranara Bldg,Eastern Campus, Liverpool Bc, NSW 1871, Australia; [Mahjabeen, Zeenat] Univ New South Wales, Fac Arts Architecture &amp; Design, Sch Social Sci, Kensington, NSW 2052, Australia; [Jalaludin, Bin] South Western Sydney Local Hlth Dist, Populat Hlth Intelligence, Hlth People &amp; Pl Unit, Bag 7279, Liverpool, NSW 1871, Australia</t>
  </si>
  <si>
    <t>Kovai, V (corresponding author), Liverpool Hosp, Populat Hlth Hlth Promot Serv, South Western Sydney Local Hlth Dist, Waranara Bldg,Eastern Campus, Liverpool Bc, NSW 1871, Australia.</t>
  </si>
  <si>
    <t>Vilas.Kovai@health.nsw.gov.au</t>
  </si>
  <si>
    <t>Kovai, Vilas/V-4503-2017</t>
  </si>
  <si>
    <t>Kovai, Vilas/0000-0002-2672-9970</t>
  </si>
  <si>
    <t>Population Health, SWSLHD</t>
  </si>
  <si>
    <t>The authors thank all the general managers and staff of councils who participated in this study. The authors also thank Ms Punitha Arjunan for her initial revisions of the paper. The authors also thank the all the co-investigators of the project who contributed to develop the study protocol and obtain ethics approval. The authors acknowledge the support provided by Population Health, SWSLHD in conducting the study and writing the manuscript.</t>
  </si>
  <si>
    <t>BMC</t>
  </si>
  <si>
    <t>CAMPUS, 4 CRINAN ST, LONDON N1 9XW, ENGLAND</t>
  </si>
  <si>
    <t>HEALTH RES POLICY SY</t>
  </si>
  <si>
    <t>Health Res. Policy Syst.</t>
  </si>
  <si>
    <t>10.1186/s12961-022-00850-1</t>
  </si>
  <si>
    <t>Health Policy &amp; Services</t>
  </si>
  <si>
    <t>Health Care Sciences &amp; Services</t>
  </si>
  <si>
    <t>0V8HX</t>
  </si>
  <si>
    <t>WOS:000788581800001</t>
  </si>
  <si>
    <t>Zhai, WJ; Ding, JY; Wang, ZF; Ding, LJ</t>
  </si>
  <si>
    <t>Zhai, Wujuan; Ding, Jiyong; Wang, Zhuofu; Ding, Leijie</t>
  </si>
  <si>
    <t>Performance and Participants' Decisions Analysis in Major Water Resources Allocation Project Based on Network Governance</t>
  </si>
  <si>
    <t>Major water resources allocation project (MWRAP); Dilemma of Collaborative Action; Network governance theory (NG); Control rights; Effort level</t>
  </si>
  <si>
    <t>Major water resources allocation projects (MWRAP) are large-scale complex ventures with long construction periods and involve many stakeholders. In practice, the Dilemma of Collaborative Action often exists in the construction of MWRAP due to the contradictions and conflicts between various participants, with coordination failure. Despite realizing the importance of MWRAP, the current research still lacks a deep understanding of related organizational issues. Adopting network governance theory (NG) as a point of departure, this study first reviewed the classic NG and current research status systematically. To solve the Dilemma of Collaborative Action, the classic NG was then introduced to the context to construct a four-party mathematical model, which emphasizes the cooperation among government, (In this research, the central government, local government, and government agencies are collectively called government) project owner, contractor, and consultant and can maximize the performance of MWRAP. A network governance framework across individual, group, project and organizational fields was elaborated for NG research in MWRAP, and future research directions in this area were proposed and discussed. At the same time, it anatomizes the control rights and effort level of the four-party participants and their influences on the performance of MWRAP. The performance can be improved only when the control rights and effort level are in effective ranges. All these conclusions are done well by data simulation. This research not only bridges the research gap in MWRAP governance from a new perspective but also contributes to the enrichment and development of NG in a new context.</t>
  </si>
  <si>
    <t>[Zhai, Wujuan; Ding, Jiyong; Wang, Zhuofu; Ding, Leijie] Hohai Univ, Inst Engn Management, Nanjing 211100, Peoples R China; [Ding, Jiyong] Jiangsu Prov Collaborat Innovat Ctr World Water V, Nanjing 211100, Peoples R China</t>
  </si>
  <si>
    <t>Ding, JY (corresponding author), Hohai Univ, Inst Engn Management, Nanjing 211100, Peoples R China.</t>
  </si>
  <si>
    <t>jyding@hhu.edu.cn</t>
  </si>
  <si>
    <t>Ding, jiyong/0000-0002-9050-8726</t>
  </si>
  <si>
    <t>Postgraduate Research &amp; Practice Innovation Program of Jiangsu Province [KYCX21_0440]; Fundamental Research Funds for the Central Universities [B210203063]; National Social Science Foundation of China [19FJYB004]; China Scholarship Council [202006710037]</t>
  </si>
  <si>
    <t>Postgraduate Research &amp; Practice Innovation Program of Jiangsu Province; Fundamental Research Funds for the Central Universities(Fundamental Research Funds for the Central Universities); National Social Science Foundation of China; China Scholarship Council(China Scholarship Council)</t>
  </si>
  <si>
    <t>This research is funded by Postgraduate Research &amp; Practice Innovation Program of Jiangsu Province (KYCX21_0440), the Fundamental Research Funds for the Central Universities (No. B210203063), and the National Social Science Foundation of China (No. 19FJYB004). We also appreciate the financial support from the China Scholarship Council (No. 202006710037).</t>
  </si>
  <si>
    <t>1573-1650</t>
  </si>
  <si>
    <t>WATER RESOUR MANAG</t>
  </si>
  <si>
    <t>Water Resour. Manag.</t>
  </si>
  <si>
    <t>10.1007/s11269-022-03153-w</t>
  </si>
  <si>
    <t>APR 2022</t>
  </si>
  <si>
    <t>Engineering, Civil; Water Resources</t>
  </si>
  <si>
    <t>Engineering; Water Resources</t>
  </si>
  <si>
    <t>1N7TO</t>
  </si>
  <si>
    <t>WOS:000788335600002</t>
  </si>
  <si>
    <t>Trotter, PA; Mannan, I; Brophy, A; Sedzro, D; Yussuff, A; Kemausuor, F; Mulugetta, Y</t>
  </si>
  <si>
    <t>Trotter, Philipp A.; Mannan, Imran; Brophy, Aoife; Sedzro, Delight; Yussuff, Abdulmutalib; Kemausuor, Francis; Mulugetta, Yacob</t>
  </si>
  <si>
    <t>How climate policies can translate to tangible change: Evidence from eleven low- and lower-middle income countries</t>
  </si>
  <si>
    <t>Climate policy; Economic and social co-benefits; Low-income countries (LICs); Climate change mitigation instruments; Africa</t>
  </si>
  <si>
    <t>DRIVERS</t>
  </si>
  <si>
    <t>Formally adopting climate change mitigation policies does not necessarily translate to tangible change on the ground. Here, we analyse 31 semi-structured interviews with climate policy government officials and consultants from 11 low-income and lower-middle income countries (LMICs) as well as the respective climate policy context, and find high average degrees of perceived discrepancies between formally adopted climate change mitigation policies and their actual implementation. Our results suggest that for our LMIC sample, both the global political process to limit climate change and domestic environmental threats have been key to drive the formal adoption of climate change mitigation policies, but have had limited effect on implementation. By contrast, momentum for implementation of climate change mitigation initiatives and projects on the ground emerges where climate policies are firmly embedded within economic and social development policies, the economy and society are comparably well-positioned to embrace the associated change, and where they have been governed by cross ministerial institutions capable of implementing wider climate-compatible development pathways. Thus, to help translate climate policy into action, national LMIC governments and the international community need to find context-specific ways to successfully integrate climate with economic and social development policies, identify and build on feasible opportunities and competitive advantages through which the local economy can benefit from green growth, build adequate social capital, and actively create institutional spaces and processes for well-equipped and meaningful cross-ministerial co-benefit governance. The importance of unlocking co benefits for implementing climate policies underlines both the urgency with which the international community needs to increase finance for LMICs for climate change mitigation, as well as the associated development opportunities.</t>
  </si>
  <si>
    <t>[Trotter, Philipp A.] Univ Wuppertal, Schumpeter Sch Business &amp; Econ, Wuppertal, Germany; [Trotter, Philipp A.; Brophy, Aoife] Univ Oxford, Smith Sch Enterprise &amp; Environm, Oxford, England; [Trotter, Philipp A.] Rhein Westfal TH Aachen, Chair Operat Management, Aachen, Germany; [Mannan, Imran; Yussuff, Abdulmutalib; Mulugetta, Yacob] UCL, Dept Sci Technol Engn &amp; Publ Policy, London, England; [Brophy, Aoife] Univ Oxford, Said Business Sch, Oxford, England; [Sedzro, Delight] Reg Maritime Univ, Marine Engn Dept, Accra, Ghana; [Kemausuor, Francis] Kwame Nkrumah Univ Sci &amp; Technol, Brew Hammond Energy Ctr, Kumasi, Ghana</t>
  </si>
  <si>
    <t>Trotter, PA (corresponding author), Univ Oxford, Smith Sch Enterprise &amp; Environm, Oxford, England.</t>
  </si>
  <si>
    <t>philipp.trotter@smithschool.ox.ac.uk</t>
  </si>
  <si>
    <t>European Union [895890]; Climate Compatible Growth programme - UK government</t>
  </si>
  <si>
    <t>European Union(European Commission); Climate Compatible Growth programme - UK government</t>
  </si>
  <si>
    <t>Philipp Trotter received funding from the European Union's Horizon 2020 research and innovation programme under the Marie SklodowskaCurie grant agreement No. 895890. This research received support by the Climate Compatible Growth programme funded by the UK government. The views expressed herein do not necessarily reflect the UK government's official policies.</t>
  </si>
  <si>
    <t>APR 20</t>
  </si>
  <si>
    <t>10.1016/j.jclepro.2022.131014</t>
  </si>
  <si>
    <t>0X1NW</t>
  </si>
  <si>
    <t>WOS:000789482500003</t>
  </si>
  <si>
    <t>Lin, JJ; Qin, JY; Lyons, T; Nakajima, H; Kawakatsu, S; Sekiguchi, T</t>
  </si>
  <si>
    <t>Lin, Jingjing; Qin, Jiayin; Lyons, Thomas; Nakajima, Hiroko; Kawakatsu, Satoshi; Sekiguchi, Tomoki</t>
  </si>
  <si>
    <t>The ecological approach to construct entrepreneurship education: a systematic literature review</t>
  </si>
  <si>
    <t>JOURNAL OF ENTREPRENEURSHIP IN EMERGING ECONOMIES</t>
  </si>
  <si>
    <t>Systematic literature review; Entrepreneurship education; Ecological systems theory; Career choices; Upper secondary education; Adolescents</t>
  </si>
  <si>
    <t>CAREER-DEVELOPMENT; HIGH-SCHOOL; ADOLESCENTS; TEACHERS; STUDENTS; PROGRAM; IMPACT; ISSUES; YOUTH</t>
  </si>
  <si>
    <t>Purpose The research effort on entrepreneurship education has been mainly for the higher education settings and on the individual level of analysis. On the contrary, this research urges scholars to expedite attention to the secondary education settings, especially in the emerging economies in Asia and Africa. This paper aims to reveal the existing landscape of literature development on the topic and promote ecological approaches of constructing entrepreneurship education programs in schools. It advocates the incubator role of schools for students and the necessity of establishing socially embedded entrepreneurship education as the playground for future entrepreneurs. Design/methodology/approach This study followed the systematic literature review as its research design. It obtained 1,555 publications from six academic databases and 60 more publications from expert consulting and backward snowballing technique. Data screening resulted in a total of 101 relevant publications with the upper secondary education as their research context. The qualitative integrative synthesis method was then applied to integrate research evidence to the five circles of systems according to Urie Bronfenbrenner's ecological systems theory. Findings This study contributes to the entrepreneurship education and youth career development literature, especially in the developing countries. Results discovered that entrepreneurship education programs, when interacting with ecological systems, resulted in training success. The most frequently studied systems were microsystems; here, there was a dominant focus on program-level reporting and analyzing. There was less focus on other systems such as mesosystems, exosystems or macrosystems. Moreover, only one study was associated with chronosystems, suggesting a significant research gap regarding the longitudinal studies. However, this review validated the different approaches to delivering entrepreneurship education in emerging and developed economies. Research limitations/implications One limitation of this research lies in the methodology. The inclusion criteria limited the studies to the context of upper secondary education and excluded those of secondary education in general. The sampling method limited the power of this research to analyze and discuss policy-level studies because policies most likely embrace the whole secondary education level as its target. Another limitation is associated with the lack of experimental studies in assessing the comparative advantages of following the ecological approach when constructing entrepreneurship education. It, therefore, remains an undiscussed matter within this study regarding whether following the ecological approach means empirically a better educational choice or not. Practical implications This study discusses the implications for policymakers, especially in emerging economies, and suggests that awareness, attention and funding are needed to empower youth entrepreneurship education from an ecological systems view. Originality/value To the best of the authors' knowledge, this research is one of few studies that use the ecological systems theory in the context of entrepreneurship education with the purpose of focusing on environment-level analysis instead of individual-level analysis. Through the systematic literature review, this study proposes an ecological approach to comprehend, guide, evaluate and improve the design and implementation of entrepreneurship education programs in schools based on well-articulated research evidence. The research can inform both researchers and educators by offering a holistic perspective to observe and evaluate entrepreneurship education programs and their levels of social connectedness.</t>
  </si>
  <si>
    <t>[Lin, Jingjing] Toyohashi Univ Technol, Ctr IT Based Educ, Toyohashi, Aichi, Japan; [Qin, Jiayin; Kawakatsu, Satoshi] Kyoto Univ, Grad Sch Econ, Kyoto, Japan; [Lyons, Thomas] Univ Tennessee Chattanooga, Gary W Rollins Coll Business, Chattanooga, TN USA; [Nakajima, Hiroko; Sekiguchi, Tomoki] Kyoto Univ, Grad Sch Management, Kyoto, Japan</t>
  </si>
  <si>
    <t>Lin, JJ (corresponding author), Toyohashi Univ Technol, Ctr IT Based Educ, Toyohashi, Aichi, Japan.</t>
  </si>
  <si>
    <t>pandalinjingjing@gmail.com</t>
  </si>
  <si>
    <t>Lin, Jingjing/ADT-9187-2022</t>
  </si>
  <si>
    <t>Lin, Jingjing/0000-0002-4846-6817</t>
  </si>
  <si>
    <t>JSPS Postdoctoral Fellowships for Research in Japan [P19779, 19F19779]; New Teacher Startup Support Funding at the Toyohashi University of Technology</t>
  </si>
  <si>
    <t>JSPS Postdoctoral Fellowships for Research in Japan; New Teacher Startup Support Funding at the Toyohashi University of Technology</t>
  </si>
  <si>
    <t>The authors have no conflicts of interest to disclose. This work was supported by the JSPS Postdoctoral Fellowships for Research in Japan (Grant number: P19779); the Grants-in-Aid for Scientific Research (Grant number: 19F19779); the New Teacher Startup Support Funding at the Toyohashi University of Technology.</t>
  </si>
  <si>
    <t>2053-4604</t>
  </si>
  <si>
    <t>2053-4612</t>
  </si>
  <si>
    <t>J ENTREP EMERG ECON</t>
  </si>
  <si>
    <t>J. Entrep. Emerg. Econ.</t>
  </si>
  <si>
    <t>10.1108/JEEE-12-2021-0455</t>
  </si>
  <si>
    <t>0O9IX</t>
  </si>
  <si>
    <t>WOS:000783838100001</t>
  </si>
  <si>
    <t>Van den Berghe, L; Vandevelde, S; De Pauw, SSW</t>
  </si>
  <si>
    <t>Van den Berghe, Lana; Vandevelde, Stijn; De Pauw, Sarah S. W.</t>
  </si>
  <si>
    <t>School dropout as the result of a complex interplay between individual and environmental factors: A study on the perspectives of support workers</t>
  </si>
  <si>
    <t>TEACHERS AND TEACHING</t>
  </si>
  <si>
    <t>School dropout; school absence; engagement; ecological framework; school attendance</t>
  </si>
  <si>
    <t>SECONDARY-EDUCATION; YOUNG-PEOPLE; RISK</t>
  </si>
  <si>
    <t>School attendance problems and school dropout are recognised as a major concern by researchers, policymakers, practitioners and the wider society. Although research acknowledges the multi-faceted complexity of dropping out of school, only a limited number of studies have focused on the perspective of support workers (e.g., teachers, social workers, school management, student coaches, policymakers, researchers, labour consultants and psychologists). Using in-depth interviews with 32 support workers, this study reveals an integrated insight into the process of dropping out and its affecting factors. The results of this study provide a conceptualisation of dropping out, and 6 themes emerged from the data, shedding light on the intrapersonal, interpersonal and contextual influencing factors. The study suggests the recognition of the complex interplay of risk factors, the development of a positive discourse to overcome stigma, and the contextualisation of practice based on the holistic educational needs of students to 'do whatever it takes'.</t>
  </si>
  <si>
    <t>[Van den Berghe, Lana; Vandevelde, Stijn; De Pauw, Sarah S. W.] Univ Ghent, Dept Special Needs Educ, Henri Dunantlaan 1, B-9000 Ghent, Belgium</t>
  </si>
  <si>
    <t>Van den Berghe, L (corresponding author), Univ Ghent, Dept Special Needs Educ, Henri Dunantlaan 1, B-9000 Ghent, Belgium.</t>
  </si>
  <si>
    <t>Lana.VanDenBerghe@UGent.Be</t>
  </si>
  <si>
    <t>Van Den Berghe, Lana/ABZ-9528-2022; Vandevelde, Stijn/G-3180-2019</t>
  </si>
  <si>
    <t>Van Den Berghe, Lana/0000-0003-4566-724X; De Pauw, Sarah/0000-0002-4462-2755; Vandevelde, Stijn/0000-0001-9491-9509</t>
  </si>
  <si>
    <t>Department of Special Needs Education of Ghent University, Belgium</t>
  </si>
  <si>
    <t>The work was supported by the Department of Special Needs Education of Ghent University, Belgium.</t>
  </si>
  <si>
    <t>1354-0602</t>
  </si>
  <si>
    <t>1470-1278</t>
  </si>
  <si>
    <t>TEACH TEACH</t>
  </si>
  <si>
    <t>Teach. Teach.</t>
  </si>
  <si>
    <t>10.1080/13540602.2022.2062748</t>
  </si>
  <si>
    <t>Education &amp; Educational Research</t>
  </si>
  <si>
    <t>0M7PL</t>
  </si>
  <si>
    <t>Green Accepted</t>
  </si>
  <si>
    <t>WOS:000782341600001</t>
  </si>
  <si>
    <t>Mercieca, K; Pittam, B; Harper, R; Sukumar, S</t>
  </si>
  <si>
    <t>Mercieca, Karl; Pittam, Bradley; Harper, Robert; Sukumar, Subash</t>
  </si>
  <si>
    <t>Driving and glaucoma in the UK: a national survey of clinicians' advice and guidance to patients</t>
  </si>
  <si>
    <t>EYE</t>
  </si>
  <si>
    <t>Introduction Driving standards policy is set by the Department for Transport and executed by the Driving and Vehicle Licensing Agency (DVLA). Professional bodies recognise the challenges that clinicians face when advising patients with glaucoma about driving. This study explored clinicians' knowledge and confidence around driving standards and their approach to advising and guiding patients. Methods Cross-sectional online survey of all United Kingdom and Eire Glaucoma Society (UKEGS) members. The survey remained open for five weeks (22/02/21-27/03/21). Anonymised data were exported to Microsoft Excel for analysis. Results Out of 91 respondents (minimum response rate 20.2%), 53 (58.2%) were glaucoma consultants, 2 (2.2%) general consultant ophthalmologists, 4 (4.4%) ophthalmology fellows, 5 (5.5%) ophthalmology trainees, 19 (20.9%) optometrists, and 8(8.8%) 'other' categories (one SAS doctor, six specialist doctors, one nurse specialist). 58.2% reported that the visual standards for driving were 'very familiar'; 40.5% were 'moderately familiar'; one(1.2%) was only 'somewhat familiar'; none were completely unfamiliar. A total of 38 (41.8%) respondents were highly confident in giving advice on fitness to drive; 51 (56.0%) were moderately confident; 2 (2.2%) had only limited confidence. Over 25% review patients not meeting driving standards in every glaucoma clinic, over 50% identifying abnormal visual fields as the main reason. Conclusion Our study found that most clinicians are familiar with DVLA driving standards. However, busy clinical environments limit detailed discussion about this, leading to only one in four clinicians being very confident to broach the subject with patients in clinic. A range of patient education modalities were suggested, which may help simplify advice provision for glaucoma patients.</t>
  </si>
  <si>
    <t>[Mercieca, Karl] Univ Hosp Eye Clin, Ernst Abbe Str 2, D-53127 Bonn, Germany; [Mercieca, Karl; Harper, Robert; Sukumar, Subash] Manchester Univ NHS Fdn Trust Manchester, Manchester Royal Eye Hosp, Manchester M13 9WL, Lancs, England; [Mercieca, Karl; Harper, Robert; Sukumar, Subash] Manchester Univ NHS Fdn Trust Manchester, Manchester Acad Hlth Sci Ctr, Manchester M13 9WL, Lancs, England; [Pittam, Bradley; Harper, Robert; Sukumar, Subash] Univ Manchester, Fac Biol Med &amp; Hlth, Sch Hlth Sci, Div Pharm &amp; Optometry, Manchester M13 9PL, Lancs, England</t>
  </si>
  <si>
    <t>Sukumar, S (corresponding author), Manchester Univ NHS Fdn Trust Manchester, Manchester Royal Eye Hosp, Manchester M13 9WL, Lancs, England.;Sukumar, S (corresponding author), Manchester Univ NHS Fdn Trust Manchester, Manchester Acad Hlth Sci Ctr, Manchester M13 9WL, Lancs, England.;Sukumar, S (corresponding author), Univ Manchester, Fac Biol Med &amp; Hlth, Sch Hlth Sci, Div Pharm &amp; Optometry, Manchester M13 9PL, Lancs, England.</t>
  </si>
  <si>
    <t>Subash.sukumar@mft.nhs.uk</t>
  </si>
  <si>
    <t>Harper, Robert/0000-0001-5437-2553; Pittam, Bradley/0000-0002-0543-1657</t>
  </si>
  <si>
    <t>MFT NMAHP Post-doctoral clinical academic research fellowship</t>
  </si>
  <si>
    <t>This study was supported by MFT NMAHP Post-doctoral clinical academic research fellowship to SS.</t>
  </si>
  <si>
    <t>SPRINGERNATURE</t>
  </si>
  <si>
    <t>CAMPUS, 4 CRINAN ST, LONDON, N1 9XW, ENGLAND</t>
  </si>
  <si>
    <t>0950-222X</t>
  </si>
  <si>
    <t>1476-5454</t>
  </si>
  <si>
    <t>Eye</t>
  </si>
  <si>
    <t>10.1038/s41433-022-02046-x</t>
  </si>
  <si>
    <t>Ophthalmology</t>
  </si>
  <si>
    <t>0K6DA</t>
  </si>
  <si>
    <t>WOS:000780877600002</t>
  </si>
  <si>
    <t>Nicholson, J; Heyman, M; English, K; Biebel, K</t>
  </si>
  <si>
    <t>Nicholson, Joanne; Heyman, Miriam; English, Kelly; Biebel, Kathleen</t>
  </si>
  <si>
    <t>The ParentingWell Practice Approach: Adaptation of Let's Talk About Children for Parents With Mental Illness in Adult Mental Health Services in the United States</t>
  </si>
  <si>
    <t>FRONTIERS IN PSYCHIATRY</t>
  </si>
  <si>
    <t>parents with mental illness; adult mental health services; intervention adaptation; family-focused practice; recovery</t>
  </si>
  <si>
    <t>FAMILY-FOCUSED PRACTICE; INTERVENTIONS; WORKFORCE; PROGRAMS; CARE; PROFESSION; PROMOTION; STANDARDS; SCIENCE</t>
  </si>
  <si>
    <t>BackgroundDespite the importance of family and parent-focused practice, there has been a dearth of research on interventions for parents with mental illness. This paper describes the process and outcome of adapting an evidence-based intervention, Let's Talk about Children (LTC), in the context of adult mental health services in Massachusetts, United States. MethodsSpecific objectives included: (1) to specify the core components, functions, and principles of LTC essential to adapting the intervention (i.e., program theory), (2) to consider contextual factors related to the new setting; (3) to pre-test the adapted materials with diverse practitioners; and (4) to compile the program model and materials (i.e., the practice profile) for use by adult mental health service providers in Massachusetts. The Adaptation Team included individuals with expertise in psychiatric rehabilitation and clinical care, policymaking, program development and research, and parents. Activities occurred between 2015-2019 and included: (1) consulting with experts to specify the core elements and theory behind the selected intervention (i.e., with the LTC purveyor and international experts); (2) consulting with key stakeholders for input regarding the Massachusetts target population and context to inform adaptations (i.e., individual and group key informant interview sessions); (3) pretesting the initial adapted materials (i.e., training and coaching sessions with adult mental health practitioners); and (4) using feedback to refine and compile the final intervention manual (i.e., the ParentingWell Practice Profile). Participants reflected diverse, oftentimes multiple roles and perspectives, including those of parents with mental illness, adult children, and family members. ResultsParentingWell is practitioner- and setting-agnostic, addresses parenting across the lifespan, fits into the routine workflow, and builds on practitioners' existing skills. Eight themes emerged, which were translated into four core elements (engage, explore, plan, access and advocate) consistent with Self-Determination Theory and four underlying principles (trauma-informed, strengths-based, family-focused, culturally sensitive) in keeping with the LTC model. The ParentingWell Practice Profile operationalizes each core element and addresses the underlying principles. ConclusionParentingWell makes talking about parenting and family experiences a routine part of the therapeutic conversation with adults with mental illness. Future research will test the adaptation, implementation, and impact of ParentingWell.</t>
  </si>
  <si>
    <t>[Nicholson, Joanne] Brandeis Univ, Heller Sch Social Policy &amp; Management, Inst Behav Hlth, Waltham, MA USA; [Heyman, Miriam] Brandeis Univ, Heller Sch Social Policy &amp; Management, Lurie Inst Disabil Policy, Waltham, MA 02453 USA; [English, Kelly] Massachusetts Dept Mental Hlth, Children Youth &amp; Family Serv, Boston, MA USA; [Biebel, Kathleen] Massachusetts Rehabil Commiss, Boston, MA USA</t>
  </si>
  <si>
    <t>Heyman, M (corresponding author), Brandeis Univ, Heller Sch Social Policy &amp; Management, Lurie Inst Disabil Policy, Waltham, MA 02453 USA.</t>
  </si>
  <si>
    <t>miriamheyman@brandeis.edu</t>
  </si>
  <si>
    <t>National Institute on Disability, Independent Living, and Rehabilitation Research [90DPGE0001-01-01]; Massachusetts Department of Mental Health</t>
  </si>
  <si>
    <t>National Institute on Disability, Independent Living, and Rehabilitation Research(United States Department of Health &amp; Human Services); Massachusetts Department of Mental Health</t>
  </si>
  <si>
    <t>This study was funded by the National Institute on Disability, Independent Living, and Rehabilitation Research (grant #90DPGE0001-01-01) and the Massachusetts Department of Mental Health.</t>
  </si>
  <si>
    <t>1664-0640</t>
  </si>
  <si>
    <t>FRONT PSYCHIATRY</t>
  </si>
  <si>
    <t>Front. Psychiatry</t>
  </si>
  <si>
    <t>APR 7</t>
  </si>
  <si>
    <t>10.3389/fpsyt.2022.801065</t>
  </si>
  <si>
    <t>Psychiatry</t>
  </si>
  <si>
    <t>1B1VF</t>
  </si>
  <si>
    <t>WOS:000792229800001</t>
  </si>
  <si>
    <t>Lee, HY; Short, S; Lee, MJ; Jeon, YH; Park, E; Chin, YR</t>
  </si>
  <si>
    <t>Lee, Hyo Young; Short, Stephanie; Lee, Mi-Joung; Jeon, Yun-Hee; Park, Eunok; Chin, Young-Ran</t>
  </si>
  <si>
    <t>Improving the quality of long-term care services in workforce dimension: expert views from Australia and South Korea</t>
  </si>
  <si>
    <t>Workforce; Quality; Long-term care; Competence</t>
  </si>
  <si>
    <t>NURSING-HOME QUALITY; AGED CARE; WORKERS; PEOPLE</t>
  </si>
  <si>
    <t>Background The long-term care workforce is an essential factor in the provision of qualified long-term care services. Identifying workforce issues can help developing countries in East Asia and the Pacific prepare for the increase in the older population. Their experiences can be used as lessons for other countries. This study aimed to identify the workforce issues that should be addressed in order to provide high-quality long-term care services for older adults. Methods In-depth interviews and content analysis were conducted with a purposive sample of long-term care experts. There were eight participants from Australia and 14 from South Korea. The participants were questioned on important workforce issues to improve the quality of long-term care services. These were open-ended questions that comprised ideas derived from the literature. Major themes were systematically and comprehensively classified and coded to examine recurring comments and themes. Results The issues in the two countries were very similar: labor shortages, inadequate working conditions, insufficient career and staff training, and the need of counselors or consultants for finding proper services. There were also differences in terms of competency of the service operators and their corresponding multicultural competency. Conclusions Providing high-quality long-term care service requires multipronged approaches to workforce capacity and work environment. An adequate and competent workforce should be established to match the service needs of the older population. To improve quality, better working conditions and improved motivation to work in care for older people should be considered. Concurrently, each country would need a workforce strategy tailored to different conditions and environments. This should include policies to induce an influx into the workforce.</t>
  </si>
  <si>
    <t>[Lee, Hyo Young] Dongseo Univ, Dept Hlth Adm, Busan, South Korea; [Short, Stephanie; Lee, Mi-Joung] Univ Sydney, Sydney Sch Hlth Sci, Sydney, NSW, Australia; [Jeon, Yun-Hee] Univ Sydney, Sch Nursing &amp; Midwifery, Sydney, NSW, Australia; [Park, Eunok] Jeju Natl Univ, Coll Nursing, Jeju Si, South Korea; [Chin, Young-Ran] Chungwoon Univ, Dept Nursing, Chungnam, South Korea</t>
  </si>
  <si>
    <t>Lee, HY (corresponding author), Dongseo Univ, Dept Hlth Adm, Busan, South Korea.</t>
  </si>
  <si>
    <t>princesa@dongseo.ac.kr</t>
  </si>
  <si>
    <t>Lee, Hyo Young/0000-0002-5730-3446</t>
  </si>
  <si>
    <t>National Research Foundation of Korea Grant - Korean government [NRF-2017S1A2A2031261]</t>
  </si>
  <si>
    <t>National Research Foundation of Korea Grant - Korean government</t>
  </si>
  <si>
    <t>This work was supported by the National Research Foundation of Korea Grant funded by the Korean government (NRF-2017S1A2A2031261).</t>
  </si>
  <si>
    <t>ARCH PUBLIC HEALTH</t>
  </si>
  <si>
    <t>Arch. PUblic Health</t>
  </si>
  <si>
    <t>10.1186/s13690-022-00872-9</t>
  </si>
  <si>
    <t>0L3DL</t>
  </si>
  <si>
    <t>Green Published, gold</t>
  </si>
  <si>
    <t>WOS:000781358200001</t>
  </si>
  <si>
    <t>Volodin, AG</t>
  </si>
  <si>
    <t>Volodin, Andrey G.</t>
  </si>
  <si>
    <t>SOUTH ASIAN MIGRATION TO WESTERN EUROPE: ORIGINS, TRENDS, PERSPECTIVES</t>
  </si>
  <si>
    <t>Russian</t>
  </si>
  <si>
    <t>migrations; South Asia; Great Britain; the Netherlands; Italy; multiculturalism; assimilation; demographic dividend; information technologies; agrarian cluster of economy</t>
  </si>
  <si>
    <t>The article is concentrated on the phenomenon of Indian and South Asian migration to the countries of Western Europe. Initially, migration flows from this region were an inalienable part of metropolis-colonies interrelationship and were sustained on the notion of free and unrestricted movement of human resources from South Asia to the British Isles. After the dissolution of the British Empire and gaining independence, the inhabitants of India and South Asia, in search for a happier life overseas, set their course for the United Kingdom and Western Europe, where later migrants were put under rigorous political control. However, the flows of those seeking economic prosperity and political asylum remained intensive and became subject to methodical social regulations in Western Europe. Equilibrium of this kind was put to a severe test when the migration crisis of 2015 and 2016 broke out. Only the most advanced groups of migrants could adjust themselves to the newly emerged reality as demonstrated by the cases of the Netherlands and Italy. The Dutch government has restricted the inflow of low-skilled labour, while encouraging skilled immigration. Indian labour force is generally employed in IT, consultancy, engineering or management. Local and national governments work together with private partners to make the lives of these newcomers easier. High-skilled migrants are welcome as new citizens. Most Indians in Italy have settled in the north of the country and work in agriculture. Indians are considered industrious, business-minded, hard-working and law-abiding. The Indian migrant community has integrated successfully into Italian economic and social life. The author argues that the Dutch and Italian practice of handling the Indian migrants could be critically absorbed in Russia that is keen to attract the demographic dividend from outside.</t>
  </si>
  <si>
    <t>[Volodin, Andrey G.] Russian Acad Sci IMEMO, Primakov Natl Res Inst World Econ &amp; Int Relat, 23 Profsoyuznaya Str, Moscow 117997, Russia</t>
  </si>
  <si>
    <t>Volodin, AG (corresponding author), Russian Acad Sci IMEMO, Primakov Natl Res Inst World Econ &amp; Int Relat, 23 Profsoyuznaya Str, Moscow 117997, Russia.</t>
  </si>
  <si>
    <t>andreivolodine@gmail.com</t>
  </si>
  <si>
    <t>Russian Science Foundation [19-18-00251]</t>
  </si>
  <si>
    <t>Russian Science Foundation(Russian Science Foundation (RSF))</t>
  </si>
  <si>
    <t>The article is prepared within a MGIMO-University project supported by the grant from Russian Science Foundation (No. 19-18-00251).</t>
  </si>
  <si>
    <t>NAUKA PUBLISHING HOUSE</t>
  </si>
  <si>
    <t>MOSCOW</t>
  </si>
  <si>
    <t>PROFSOYUZNAYA UL 90, MOSCOW, 117864, RUSSIA</t>
  </si>
  <si>
    <t>MIROVAYA EKON MEZHD</t>
  </si>
  <si>
    <t>Mirovaya Ekon. Mezhdunarodyne Otnosheniya</t>
  </si>
  <si>
    <t>10.20542/0131-2227-2022-66-4-101-110</t>
  </si>
  <si>
    <t>International Relations</t>
  </si>
  <si>
    <t>2P5UD</t>
  </si>
  <si>
    <t>Bronze</t>
  </si>
  <si>
    <t>WOS:000819804900011</t>
  </si>
  <si>
    <t>Rodriguez, M</t>
  </si>
  <si>
    <t>Rodriguez, Miguel</t>
  </si>
  <si>
    <t>Why do many prospective analyses of CO2 emissions fail? An illustrative example from China</t>
  </si>
  <si>
    <t>ENERGY</t>
  </si>
  <si>
    <t>Carbon emissions; Prospective studies; Intensity targets; Energy; Productivity; China</t>
  </si>
  <si>
    <t>INDEX DECOMPOSITION ANALYSIS; RELATIVE IMPORTANCE; INTENSITY CHANGES; AGGREGATE ENERGY; CARBON INTENSITY; DECARBONIZATION; GUIDE</t>
  </si>
  <si>
    <t>The main contribution of this paper is a demonstration of the importance of taking into account the evolution of the generation of value added and productivity to avoid biased prospective analysis of Chinese energy-related CO2 emissions. To that end, the paper delivers a Logarithmic Mean Divisia Index decomposition analysis of carbon emissions intensity from 1995 to 2014 for a balanced panel of disaggregated Chinese economic sectors. The paper shows that similar assumptions deliver different out-comes when prospective analyses are based on energy intensity, or alternatively its factorial decomposition, in order to take into account changes in the generation of value added (e.g., productivity). Following this hypothesis, the paper suggests that China will be unable to accomplish its pledged commitments under the Paris Agreement on climate change, despite strong reductions in energy intensity. Analyses based on the usual (standard) approach, by using intensity measures instead of its factorial decomposition, reach the opposite conclusion. The main lesson from this paper is that alter -native designs of prospective analysis (using alternative drivers or variables) leads to different lines of reasoning and conclusions. Therefore, researchers, consultants and policy makers will underestimate CO2 emissions if they continue to base their prospective analysis on intensity indicators. (C) 2022 The Author. Published by Elsevier Ltd.</t>
  </si>
  <si>
    <t>[Rodriguez, Miguel] Univ Vigo, Fac Empresariais &amp; Turismo, Governance &amp; Econ Res Network GEN, Orense 32004, Spain</t>
  </si>
  <si>
    <t>Rodriguez, M (corresponding author), Univ Vigo, Fac Empresariais &amp; Turismo, Governance &amp; Econ Res Network GEN, Orense 32004, Spain.</t>
  </si>
  <si>
    <t>miguel.r@uvigo.es</t>
  </si>
  <si>
    <t>Spanish Ministry of Science and Innovation [MCIN/AEI/10.13039/501100011033, PID2019-106677GB-100]</t>
  </si>
  <si>
    <t>Spanish Ministry of Science and Innovation(Spanish Government)</t>
  </si>
  <si>
    <t>Funding This work received financial support from the Spanish Ministry of Science and Innovation (MCIN/AEI/10.13039/501100011033) through the grant PID2019-106677GB-100. Funding for open access charge: Universidade de Vigo/CISUG.</t>
  </si>
  <si>
    <t>0360-5442</t>
  </si>
  <si>
    <t>1873-6785</t>
  </si>
  <si>
    <t>10.1016/j.energy.2021.123064</t>
  </si>
  <si>
    <t>Thermodynamics; Energy &amp; Fuels</t>
  </si>
  <si>
    <t>1U1AI</t>
  </si>
  <si>
    <t>WOS:000805151300010</t>
  </si>
  <si>
    <t>Demirel, HC; Leendertse, W; Volker, L</t>
  </si>
  <si>
    <t>Demirel, Hatice Cigdem; Leendertse, Wim; Volker, Leentje</t>
  </si>
  <si>
    <t>Mechanisms for protecting returns on private investments in public infrastructure projects</t>
  </si>
  <si>
    <t>INTERNATIONAL JOURNAL OF PROJECT MANAGEMENT</t>
  </si>
  <si>
    <t>Infrastructure projects; Control mechanisms; Governance; Project finance; Public private partnerships; Return protection</t>
  </si>
  <si>
    <t>TRANSACTION-COST ECONOMICS; RISK ALLOCATION; PPP; GOVERNANCE; PARTNERSHIPS; UNCERTAINTY; PERFORMANCE; CREDIT</t>
  </si>
  <si>
    <t>Despite the widespread attention for the private financing of infrastructure projects, actual empirical work on financing public-private partnerships remains limited. Especially the topics of return on equity and lenders' cash flow control in relation to uncertainty are under-researched. The aim of this paper is to investigate and discuss the mechanisms applied by private financiers of infrastructure projects to protect their returns on investment. Using semi-structured interviews, the qualitative viewpoints of infrastructure financiers and their consultants on infrastructure investment are examined. The findings identify nine control mechanisms that financiers apply, including a range of asset and risk diversification portfolio strategies for their infrastructure investments, and reveal that they depend on governance mechanisms relating to the project environment, relations, knowledge and expertise. Hence, this study provides a better understanding of the actions and mechanisms applied to protect a return on infrastructure investments that leverage partnering strategies between public authorities and private investors in public infrastructure projects. This contributes to the debate on project financing under uncertainty and its implications for project governance in public private partnerships.</t>
  </si>
  <si>
    <t>[Demirel, Hatice Cigdem] Delft Univ Technol, Fac Civil Engn &amp; Geosci, Stevinweg 1, NL-2628 CN Delft, Netherlands; [Leendertse, Wim] Univ Groningen, Fac Spatial Sci, Infrastruct Planning, Landleven 1, NL-9747 CE Groningen, Netherlands; [Leendertse, Wim] Minist Infrastruct &amp; Water Management, Griffioenlaan 2, NL-3526 LA Utrecht, Netherlands; [Volker, Leentje] Univ Twente, Dept Civil Engn, Horst Complex Z22, NL-7500 AE Enschede, Netherlands</t>
  </si>
  <si>
    <t>Demirel, HC (corresponding author), Delft Univ Technol, Fac Civil Engn &amp; Geosci, Stevinweg 1, NL-2628 CN Delft, Netherlands.</t>
  </si>
  <si>
    <t>h.c.demirel-2@tudelft.nl; w.l.leendertse@rug.nl; l.volker@utwente.nl</t>
  </si>
  <si>
    <t>0263-7863</t>
  </si>
  <si>
    <t>1873-4634</t>
  </si>
  <si>
    <t>INT J PROJ MANAG</t>
  </si>
  <si>
    <t>Int. J. Proj. Manag.</t>
  </si>
  <si>
    <t>10.1016/j.ijproman.2021.11.008</t>
  </si>
  <si>
    <t>Management</t>
  </si>
  <si>
    <t>1C1KG</t>
  </si>
  <si>
    <t>WOS:000792886200001</t>
  </si>
  <si>
    <t>Luo, J; Wu, EL; Parmar, S; Breeze, J</t>
  </si>
  <si>
    <t>Luo, Jie; Wu, Eiling; Parmar, Sat; Breeze, Johno</t>
  </si>
  <si>
    <t>Classifying the causes of morbidity and error following treatment of facial fractures</t>
  </si>
  <si>
    <t>BRITISH JOURNAL OF ORAL &amp; MAXILLOFACIAL SURGERY</t>
  </si>
  <si>
    <t>Facial fracture; Morbidity classification; Error analysis; Post-operative complication; Return to theatre; Patient safety</t>
  </si>
  <si>
    <t>CLASSIFICATION-SYSTEM; COMPLICATIONS; SURGERY; MORTALITY</t>
  </si>
  <si>
    <t>Analysing morbidity and using this to improve the quality of patient care is an important component of clinical governance. Several methods of data collection and clinical analysis have been suggested, but to date none have been widely adopted. All adult patients sustaining facial fractures were prospectively identified between 01 March 2019 and 28 February 2020, and matched to those who required a return to theatre for surgical complications. Morbidity resulting in a return to theatre was determined using the Clavien-Dindo classification and the Northwestern University error ascribing method. During this period, return to theatre occurred for 33/285 (11.6%) procedures and 23/173 (13.3%) of patients being treated for facial fractures. According to the 27 procedures discussed, Clavien-Dindo Grade Mb was most commonly found (20/27). Error in judgement (13/35) and nature of disease (12/35) were ascribed as the most common causes of error. Presence of a consultant was associated with increased odds of a return to theatre (p = 0.014). Standardised national data collection of morbidity and error is required for comparisons of outcomes within a single institution or between institutions. To the best of our knowledge, this is the first paper to utilise these widely used methods of morbidity analysis for facial fracture surgery. We would recommend further development of an error analysis method that is more specific to complications from facial fracture surgery. Crown Copyright (C) 2021 Published by Elsevier Ltd on behalf of The British Association of Oral and Maxillofacial Surgeons. All rights reserved.</t>
  </si>
  <si>
    <t>[Luo, Jie; Wu, Eiling; Parmar, Sat; Breeze, Johno] Univ Hosp Birmingham, Dept Maxillofacial Surg, Mindlehsohn Way, Birmingham B15 2TH, W Midlands, England; [Breeze, Johno] Univ Hosp Birmingham, Royal Ctr Def Med, Mindlehsohn Way, Birmingham B15 2TH, W Midlands, England</t>
  </si>
  <si>
    <t>Luo, J (corresponding author), Univ Hosp Birmingham, Dept Maxillofacial Surg, Mindlehsohn Way, Birmingham B15 2TH, W Midlands, England.</t>
  </si>
  <si>
    <t>jie.luo@nhs.net</t>
  </si>
  <si>
    <t>CHURCHILL LIVINGSTONE</t>
  </si>
  <si>
    <t>EDINBURGH</t>
  </si>
  <si>
    <t>JOURNAL PRODUCTION DEPT, ROBERT STEVENSON HOUSE, 1-3 BAXTERS PLACE, LEITH WALK, EDINBURGH EH1 3AF, MIDLOTHIAN, SCOTLAND</t>
  </si>
  <si>
    <t>0266-4356</t>
  </si>
  <si>
    <t>1532-1940</t>
  </si>
  <si>
    <t>BRIT J ORAL MAX SURG</t>
  </si>
  <si>
    <t>Br. J. Oral Maxillofac. Surg.</t>
  </si>
  <si>
    <t>10.1016/j.bjoms.2021.07.009</t>
  </si>
  <si>
    <t>Dentistry, Oral Surgery &amp; Medicine; Surgery</t>
  </si>
  <si>
    <t>1B1QD</t>
  </si>
  <si>
    <t>WOS:000792216600011</t>
  </si>
  <si>
    <t>Johns, G; Whistance, B; Khalil, S; Whistance, M; Thomas, B; Ogonovsky, M; Ahuja, A</t>
  </si>
  <si>
    <t>Johns, Gemma; Whistance, Bethan; Khalil, Sara; Whistance, Megan; Thomas, Bronwen; Ogonovsky, Mike; Ahuja, Alka</t>
  </si>
  <si>
    <t>Digital NHS Wales: a coding reliability analysis based on the voices of 22 978 patients and clinicians on the benefits, challenges and sustainability of video consulting</t>
  </si>
  <si>
    <t>BMJ OPEN</t>
  </si>
  <si>
    <t>COVID-19; health informatics; health policy; information technology; qualitative research</t>
  </si>
  <si>
    <t>Introduction The use of video consulting (VC) in Wales UK has expanded rapidly. Previous VC evidence has been the subject of small-scale projects and evaluations. Technology Enabled Care Cymru is an all-Wales digital service and rolls out digital interventions and evaluates on large scales, thus capturing representative data sets across Wales, and therefore a wide range of National Health Service (NHS) specialties. Objective To extract and analyse narrative feedback from patients and clinicians using the NHS Wales VC Service for 6 months (September 2020 to March 2021). Design A coding reliability approach of a cross-sectional study was conducted. Setting From all health boards across Wales. Participants NHS patients and clinicians across primary, secondary and community care settings in Wales. Results Data were captured on benefits, challenges and sustainability of VC. A coding reliability analysis was used with six domain summaries materialising to include: 'The Ease of VC'; 'The Personal Touches'; 'The Benefits of VC'; 'The Challenges of VC'; 'Technical Quality'; and 'Recommendations &amp; Future Use'. An additional 17 subdomains are included. Direct quotations from patients and clinicians are provided for context. Conclusions A total of 22 978 participants were included. These data help demonstrate that NHS remote service delivery, via the method of VC, can be highly satisfactory, well accepted and clinically suitable yielding many benefits. Despite this, the data are not without its challenges surrounding engagement and suitability for VC. The NHS Wales VC Service rolled out and evaluated at scale and demonstrates that VC has potential for long-term sustainability. For the future, use a 'blended approach' for NHS appointments that are clinically judged and centred on patient choice.</t>
  </si>
  <si>
    <t>[Johns, Gemma; Whistance, Bethan; Khalil, Sara; Whistance, Megan; Thomas, Bronwen; Ogonovsky, Mike; Ahuja, Alka] Aneurin Bevan Hlth Board, TEC Cymru Informat, Aneurin, Gwent, Wales</t>
  </si>
  <si>
    <t>Johns, G (corresponding author), Aneurin Bevan Hlth Board, TEC Cymru Informat, Aneurin, Gwent, Wales.</t>
  </si>
  <si>
    <t>gemma.johns3@wales.nhs.uk</t>
  </si>
  <si>
    <t>Ahuja, Alka/0000-0003-2658-2021; Johns, Gemma/0000-0001-9823-4822</t>
  </si>
  <si>
    <t>Technology Enabled Care (TEC) Cymru and its NHS Wales Video Consulting Service - Welsh Government</t>
  </si>
  <si>
    <t>Technology Enabled Care (TEC) Cymru and its NHS Wales Video Consulting Service is funded by the Welsh Government.</t>
  </si>
  <si>
    <t>2044-6055</t>
  </si>
  <si>
    <t>BMJ Open</t>
  </si>
  <si>
    <t>e057874</t>
  </si>
  <si>
    <t>10.1136/bmjopen-2021-057874</t>
  </si>
  <si>
    <t>Medicine, General &amp; Internal</t>
  </si>
  <si>
    <t>General &amp; Internal Medicine</t>
  </si>
  <si>
    <t>0Q3BS</t>
  </si>
  <si>
    <t>WOS:000784798300027</t>
  </si>
  <si>
    <t>Belousova, V; Bondarenko, O; Chichkanov, N; Lebedev, D; Miles, I</t>
  </si>
  <si>
    <t>Belousova, Veronika; Bondarenko, Oxana; Chichkanov, Nikolay; Lebedev, Denis; Miles, Ian</t>
  </si>
  <si>
    <t>Coping with Greenhouse Gas Emissions: Insights from Digital Business Services</t>
  </si>
  <si>
    <t>sustainable development goals; ESG; renewable energy; waste reduction; emissions reduction; digital business services</t>
  </si>
  <si>
    <t>CORPORATE SOCIAL-RESPONSIBILITY; ENVIRONMENTAL PERFORMANCE; ENERGY; MATTER; KIBS; RISK</t>
  </si>
  <si>
    <t>Digital Business Services (DBS), industries that have grown rapidly in recent years, played important roles in facilitating the adoption of digital technologies, as well as having applications in innovative products, transforming business processes across the economy. If DBS firms are committed to reducing negative environmental impacts, they should be able to make more positive contributions to their clients' performance; for instance, promoting the digitalization of businesses process in ways that can reduce greenhouse gas emissions and inefficient energy usage. But what are DBS business practices, in terms of greenhouse gas emissions and related topics? This study examines the Environmental, Social and Governance (ESG) disclosures of leading companies providing consultancy, advertising/marketing, and information technology services. The plans, targets, and actions of DBS companies with above-average ESG scores, as indexed by the Refinitiv dataset, are examined. The results indicate that all of these firms express goals, and almost all of them have set clear targets, in terms of moving to net zero. A wide range of relevant activities is being implemented, including services that promote energy efficiency. The diversity of these actions suggests that these firms can learn from each other, and that companies with lower ESG ratings have models to emulate.</t>
  </si>
  <si>
    <t>[Belousova, Veronika; Chichkanov, Nikolay; Lebedev, Denis] HSE Univ, Inst Stat Studies &amp; Econ Knowledge HSE ISSEK, Unit Intellectual Serv Market Res, Moscow 101000, Russia; [Bondarenko, Oxana] HSE Univ, Ctr Ind &amp; Corp Projects, Inst Stat Studies &amp; Econ Knowledge ISSEK, Moscow 101000, Russia; [Miles, Ian] Univ Manchester, Alliance Manchester Business Sch, Inst Stat Studies &amp; Econ Knowledge HSE ISSEK, Res Lab Econ Innovat, Manchester M13 9PL, Lancs, England</t>
  </si>
  <si>
    <t>Belousova, V (corresponding author), HSE Univ, Inst Stat Studies &amp; Econ Knowledge HSE ISSEK, Unit Intellectual Serv Market Res, Moscow 101000, Russia.</t>
  </si>
  <si>
    <t>vbelousova@hse.ru; obondarenko@hse.ru; nchichkanov@hse.ru; dvlebedev_3@edu.hse.ru; ian.miles@manchester.ac.uk</t>
  </si>
  <si>
    <t>Bondarenko, Oxana/B-1918-2016</t>
  </si>
  <si>
    <t>Bondarenko, Oxana/0000-0002-0686-6118</t>
  </si>
  <si>
    <t>Basic Research Program of the HSE University; HSE University</t>
  </si>
  <si>
    <t>We thank Zhaklin Krayushkina (Geneva Finance Research Institute, Geneva School of Economics and Management, University of Geneva, and Unit for Intellectual Services Market Research, Institute for Statistical Studies and Economics of Knowledge (HSE ISSEK)) for gathering the information on corporate ESG practices from companies' web pages.; The article is based on the study funded by the Basic Research Program of the HSE University.</t>
  </si>
  <si>
    <t>10.3390/en15082745</t>
  </si>
  <si>
    <t>0R0BG</t>
  </si>
  <si>
    <t>WOS:000785271600001</t>
  </si>
  <si>
    <t>Apte, S; Lele, A; Choudhari, A</t>
  </si>
  <si>
    <t>Apte, Shantanu; Lele, Abhijeet; Choudhari, Atul</t>
  </si>
  <si>
    <t>COVID-19 pandemic influence on organizational knowledge management systems and practices: Insights from an Indian engineering services organization</t>
  </si>
  <si>
    <t>KNOWLEDGE AND PROCESS MANAGEMENT</t>
  </si>
  <si>
    <t>CONSTRUCTION; UNCERTAINTY; DESIGN</t>
  </si>
  <si>
    <t>COVID-19 pandemic unleashed uncertainties around the world. Organizations scrambled to ensure business continuity. COVID-19 pandemic was unprecedented as disruptions were far beyond business continuity scenarios planning with respect to severities, timelines, and geographies. Initially, business disruptions were assumed to last just for a few days or weeks at a local governing region, county, or state level. However, the pandemic lasted much longer and sustained efforts were needed to stay compliant with ever-evolving and changing local, state, federal, and international guidelines, rules, and regulations. Prolonged work from home became an unavoidable and only way to ensure business continuity for many service-oriented organizations. Organizations not only tried to leverage existing knowledge management (KM) practices but also were compelled to critically relook at the efficacy and effectiveness of KM practices. Organizational KM systems and practices (OKMSP) in a typical Indian engineering consulting and design organization were studied. The changes in employee perceptions about OKMSP during the pandemic period were captured and critically analyzed. The study evaluated employee perceptions related to four critical aspects of OKMSP namely, KM processes, usage of KM tools, KM effectiveness, and KM culture. Lack of face-to-face meetings during the COVID-19 period made an important change in the way of working. This paper captures COVID-19 pandemic-induced changes and provides pointers to further research opportunities in the field of OKMSP. The study highlights the need for robust knowledge management systems to face pandemic-induced disruptions.</t>
  </si>
  <si>
    <t>[Apte, Shantanu; Lele, Abhijeet] Symbiosis Int Univ Deemed Univ SIU, Pune, Maharashtra, India; [Lele, Abhijeet] Symbiosis Inst Business Management SIBM, Pune, Maharashtra, India; [Choudhari, Atul] Tata Consulting Engineers Ltd TCE, Airoli, India</t>
  </si>
  <si>
    <t>Apte, S (corresponding author), Symbiosis Int Univ Deemed Univ SIU, Pune, Maharashtra, India.</t>
  </si>
  <si>
    <t>polite_shantanu@yahoo.com</t>
  </si>
  <si>
    <t>Apte, Shantanu/0000-0002-8006-8747</t>
  </si>
  <si>
    <t>1092-4604</t>
  </si>
  <si>
    <t>1099-1441</t>
  </si>
  <si>
    <t>KNOWL PROCESS MANAG</t>
  </si>
  <si>
    <t>Knowl. Process Manag.</t>
  </si>
  <si>
    <t>10.1002/kpm.1711</t>
  </si>
  <si>
    <t>MAR 2022</t>
  </si>
  <si>
    <t>0A1YR</t>
  </si>
  <si>
    <t>WOS:000773757800001</t>
  </si>
  <si>
    <t>Ryder, M; Gallagher, P</t>
  </si>
  <si>
    <t>Ryder, Mary; Gallagher, Paul</t>
  </si>
  <si>
    <t>A survey of nurse practitioner perceptions of integration into acute care organisations across one region in Ireland</t>
  </si>
  <si>
    <t>JOURNAL OF NURSING MANAGEMENT</t>
  </si>
  <si>
    <t>integration; leadership; nurse practitioners; nursing management</t>
  </si>
  <si>
    <t>REFERRAL PATTERNS; SERVICE</t>
  </si>
  <si>
    <t>Aim The purpose of the study was to explore nurse practitioner perceptions of integration practices in acute hospitals across one health care region in Ireland. Background A recent Department of Health National policy towards developing a critical mass of nurse practitioners was implemented across Ireland. Successful integration of nurse practitioner roles is integral to the success of the service and sustainability of the roles for the long term. Method An electronic survey was circulated to a convenience sample of 85 nurse practitioners across a single, acute health care region in Ireland. Results Sixty-six (78%) of nurse practitioners participated. A standardized governance structure was reported by 24 (36%) participants. Thirty-two (48%) participants expressed their job description clearly defined their role. Consultant physicians were identified as the most supportive stakeholder by participants. Conclusions This research identifies that nurse practitioner integration is not currently structured. A framework to support nurse practitioner integration is required to ensure ongoing support for the role. This research identifies that integration is not currently optimized. Implications for Nursing Management Failure to successfully integrate the nurse practitioner role risks the long-term sustainability of the role and is a missed opportunity to demonstrate the success of advanced clinical leadership to health care.</t>
  </si>
  <si>
    <t>[Ryder, Mary] Univ Coll Dublin, Sch Nursing Midwifery &amp; Hlth Syst, Dublin, Ireland; [Gallagher, Paul] Ireland East Hosp Grp, Dublin, Ireland</t>
  </si>
  <si>
    <t>Ryder, M (corresponding author), Univ Coll Dublin, Sch Nursing Midwifery &amp; Hlth Syst, Dublin, Ireland.</t>
  </si>
  <si>
    <t>mary.ryder@ucd.ie</t>
  </si>
  <si>
    <t>Ryder, Mary/0000-0003-0988-4941</t>
  </si>
  <si>
    <t>Projekt DEAL</t>
  </si>
  <si>
    <t>We wish to acknowledge the nurse and midwife practitioners who took the time to contribute to this survey. No funding was accessed for this research. Open access funding enabled and organized by Projekt DEAL.</t>
  </si>
  <si>
    <t>0966-0429</t>
  </si>
  <si>
    <t>1365-2834</t>
  </si>
  <si>
    <t>J NURS MANAGE</t>
  </si>
  <si>
    <t>J. Nurs. Manag.</t>
  </si>
  <si>
    <t>10.1111/jonm.13602</t>
  </si>
  <si>
    <t>Management; Nursing</t>
  </si>
  <si>
    <t>Business &amp; Economics; Nursing</t>
  </si>
  <si>
    <t>0X9EL</t>
  </si>
  <si>
    <t>WOS:000773267100001</t>
  </si>
  <si>
    <t>Alvarez-Nobell, A; Molleda, JC; Athaydes, AS</t>
  </si>
  <si>
    <t>Alvarez-Nobell, Alejandro; Molleda, Juan Carlos; Athaydes, Andreia Silveira</t>
  </si>
  <si>
    <t>Strategic topics and main professional trends in public relations: Results from 19 Latin American countries</t>
  </si>
  <si>
    <t>PUBLIC RELATIONS INQUIRY</t>
  </si>
  <si>
    <t>public relations; Latin America; issues; trends; fake news; decision-making information; excellent communication departments; leadership; gender; workplace climate</t>
  </si>
  <si>
    <t>FAKE NEWS; ORGANIZATIONAL COMMUNICATION; ENGAGEMENT; JOURNALISTS; EMPLOYEES</t>
  </si>
  <si>
    <t>Although Latin America has a long history of well-established academic development and public relations professionals, multiple North American and European conceptualizations and trends still prevail in theoretical debates and professional practices. Nevertheless, a series of international studies sponsored by the EUPRERA and a broad network of researchers, universities, and local professional associations has become a fundamental precedent to consolidate the profession in the region and make it visible worldwide. In this respect, the results are presented below that show the strategic themes and main professional trends in public relations, grouped as follows: (a) trends in public relations management: strategic themes, the impact of fake news, information for decision-making, and the professionalization of public relations in the third sector and (b) the professional development and organization of the activity: excellent communication departments, gender, workplace climate and stress, job satisfaction, and work engagement. Such categorization, in addition to portraying the issues addressed in the third edition of the Latin American Communication Monitor (LCM), allows an analysis of the status quo of the non-continent profession, as it demonstrates the perception of the category on itself. Therefore, it allows reflection on melhorias, especially, in terms of professional training and institutionalization of professional training in Latin America. A sample of 1165 active professionals, who work in communication departments of companies, consultancies, non-profit organizations, and government agencies, from 19 Latin American countries was analyzed. The impact of the results and of conducting studies like this one are extremely important for the development of the profession, its compared analysis with the state of affairs in other regions, and an explanatory self-understanding of the path traveled and that to come. Scientifically determining the levels of perception and their representativeness in Latin America amounts to a sign of maturity and evolution of the profession and the study thereof.</t>
  </si>
  <si>
    <t>[Alvarez-Nobell, Alejandro] Univ Malaga, Teatinos S-N, Malaga 29720, Spain; [Molleda, Juan Carlos] Univ Oregon, Eugene, OR 97403 USA; [Athaydes, Andreia Silveira] United Coll Taquara, Taquara, Brazil</t>
  </si>
  <si>
    <t>Alvarez-Nobell, A (corresponding author), Univ Malaga, Teatinos S-N, Malaga 29720, Spain.</t>
  </si>
  <si>
    <t>aan@uma.es</t>
  </si>
  <si>
    <t>Alvarez Nobell, Alejandro/0000-0003-1384-3544</t>
  </si>
  <si>
    <t>2046-147X</t>
  </si>
  <si>
    <t>2046-1488</t>
  </si>
  <si>
    <t>PUBLIC RELAT INQ</t>
  </si>
  <si>
    <t>Public Relat. Inq.</t>
  </si>
  <si>
    <t>10.1177/2046147X221081178</t>
  </si>
  <si>
    <t>1H5IJ</t>
  </si>
  <si>
    <t>WOS:000775982900001</t>
  </si>
  <si>
    <t>Chavan, M; Gowan, S; Vogeley, J</t>
  </si>
  <si>
    <t>Chavan, Meena; Gowan, Sunaina; Vogeley, Joanna</t>
  </si>
  <si>
    <t>Collaborative corporate social responsibility praxis: case studies from India</t>
  </si>
  <si>
    <t>Qualitative case study; Corporate social responsibility; Business sustainability; Pandemic; Collaborative CSR; Indian MNCs and NGOs</t>
  </si>
  <si>
    <t>CSR; BUSINESS; ENTREPRENEURSHIP; GOVERNANCE</t>
  </si>
  <si>
    <t>Purpose This study aims to explore how corporate social responsibility (CSR) has assumed a new meaning today, with the COVID-19 pandemic. This, in turn, has changed the way companies now view the impact of their activities on the environment, customers, employees, community and other stakeholders. Design/methodology/approach This paper uses a qualitative case study approach and draws a critical lens to document the complex interplay between dimensions of CSR, business sustainability and social issues, applying theoretical tools such as social capital theory and stakeholder theory to elucidate the nature of collaborative managerial responses to the organisation's challenges during the pandemic. This is a case study paper. This paper applies multi method approach to develop a case study analysis through participant observation and report analysis to investigate the CSR approaches undertaken in India by Infosys Genesis, a global leader in technology services and consulting, and Akshaya Patra Foundation, a non-governmental organisation (NGO), which operates the world's largest lunch school program. This was an appropriate methodology since the focus was on an area that was little understood, while the analysis required an in-depth understanding of a complex phenomenon through observation and a case study. In addition, case study research has been recommended for how, why and what type of research questions that focus on contemporary events (Saunders et al., 2003; Yin, 1994), such as CSR participation in the existing business environment. Furthermore, the issue under investigation is a real-life situation where the limitations between the phenomenon and the body of knowledge are unclear (Yin, 1994). This was the case because CSR has been probed by numerous disciplines through the application of various theoretical frameworks, each interpreting the context from their own perspective. Leximancer was used for the analysis (a text-mining software for visualising the structure of concepts and themes across case studies). This process differs from the traditional content analysis in that specific word strings are not needed; instead, Leximancer recognises what concepts are present in a set of texts, permitting concepts to be automatically coded in a grounded fashion (Cretchley et al., 2010, p. 2). The paper will be looked at from three levels comprising themes, concepts and concept profiling to create rich and reliable dimensions of a theoretical model (Myers, 2008). The themes are created in Leximancer software and are built on an algorithm that looks for hidden repeated patterns in interactions. The concepts add a layer and discover which concepts are shared by actors. The concept profiling allows to discover additional concepts and allows to do a discriminant analysis on prior concepts (Cretchley et al., 2010). Words that come up frequently are treated as concepts. Although the limited number of cases does not represent the entire sector, it enabled collection of rich data through quotes revealing some of the most crucial aspects of large organisations and non-profits in India. Findings The findings demonstrate how these robust, innovative, collaborative CSR initiatives between a multinational firm and an NGO have been leveraged to combat manifold issues of education, employment and hunger during the pandemic. Research limitations/implications Despite significant implications, this study has limitations. A response from only two companies is investigated to the COVID-19 pandemic. The scope of this study is only India, a developing nation, thereby, cross country research is recommended. A comparative study between developed and developing countries may be conducted. A quantitative approach may be used to get empirical findings of the COVID-19 pandemic and post-pandemic policies of companies from an international perspective. Hence, there is ample opportunity to research organisations' response to the pandemic and CSR as a strong arm to deal with critical disasters. Practical implications The paper offers new insights into exploring research and praxis agenda for collaborative potentials towards the evolution of CSR and sustainability. Social implications The findings develop new initiatives and combat manifold issues of education, employment and hunger during the pandemic to provide quick relief. Originality/value The paper offers new insights into how companies are considering issues related to the crisis, including avoidance of layoffs and maintaining wage payments, and may be in a better position to access fresh capital, relief programs and emergency funds. Taking proactive health and safety measures may avert legal risks to the company. It is likely that the way in which companies are responding to the crises is a real-life test on resilience and adaptation.</t>
  </si>
  <si>
    <t>[Chavan, Meena; Vogeley, Joanna] Macquarie Univ, Dept Business, Sydney, NSW, Australia; [Gowan, Sunaina] Taylors Coll, Sydney, NSW, Australia</t>
  </si>
  <si>
    <t>Gowan, S (corresponding author), Taylors Coll, Sydney, NSW, Australia.</t>
  </si>
  <si>
    <t>s.gowan@bigpond.net.au</t>
  </si>
  <si>
    <t>SOC RESPONSIB J</t>
  </si>
  <si>
    <t>Soc. Responsib. J.</t>
  </si>
  <si>
    <t>10.1108/SRJ-06-2021-0216</t>
  </si>
  <si>
    <t>0A5CD</t>
  </si>
  <si>
    <t>WOS:000773971500001</t>
  </si>
  <si>
    <t>Gad, GM; Minchin, RE</t>
  </si>
  <si>
    <t>Gad, Ghada Moustafa; Minchin, R. Edward, Jr.</t>
  </si>
  <si>
    <t>Analysis of Constructability Practices in State Departments of Transportation under Organizational Constraints</t>
  </si>
  <si>
    <t>construction; construction management; general; infrastructure; preconstruction; project delivery methods</t>
  </si>
  <si>
    <t>Designers typically do not base critical design decisions on construction requirements and constraints, and soon realize that their designs could be difficult to build and expensive. Thus, construction expertise needs to be incorporated in the design process through applying constructability concepts at early project stages. With the underlying concept of a construction-driven design, there are many approaches used by transportation agencies in conducting constructability reviews (CRs), but the key is to develop an approach that is consistent and scalable to different ranges of environmental constraints and project delivery methods, while accounting for organizational structure. The objective of this paper is thus to investigate and recommend effective practices in CRs that could be used by Departments of Transportation (DOTs), given their organizational constraints. To achieve this objective, the methodology was divided into two major steps starting with a comprehensive literature review, followed by two case studies of DOTs employing two different constructability programs that align with their organizational policies and constraints: California Department of Transportation and Utah Department of Transportation. Results of the case studies highlight the common themes in their CRs (early involvement of the DOT construction team), whereas the organizational constraints also result in significant differences (CR formality level, and consultants' and contractors' involvement). This study thus highlights that there is no one-size-fits-all constructability approach and provides evidence and recommendations, through two different but successful CR processes, on the importance of developing a CR process that aligns with organizational constraints.</t>
  </si>
  <si>
    <t>[Gad, Ghada Moustafa] Calif State Polytech Univ Pomona, Dept Civil Engn, Pomona, CA 91768 USA; [Minchin, R. Edward, Jr.] Univ Florida, ME Rinker Sr Sch Construct Management, Gainesville, FL USA</t>
  </si>
  <si>
    <t>Gad, GM (corresponding author), Calif State Polytech Univ Pomona, Dept Civil Engn, Pomona, CA 91768 USA.</t>
  </si>
  <si>
    <t>gmgad@cpp.edu</t>
  </si>
  <si>
    <t>Gad, Ghada/0000-0002-1246-6639</t>
  </si>
  <si>
    <t>NCHRP [10-99]</t>
  </si>
  <si>
    <t>NCHRP</t>
  </si>
  <si>
    <t>The author(s) disclosed receipt of the following financial support for the research, authorship, and/or publication of this article: The authors would like to acknowledge the support received from the NCHRP 10-99, as well as the case studies' participants.</t>
  </si>
  <si>
    <t>SAGE PUBLICATIONS INC</t>
  </si>
  <si>
    <t>THOUSAND OAKS</t>
  </si>
  <si>
    <t>2455 TELLER RD, THOUSAND OAKS, CA 91320 USA</t>
  </si>
  <si>
    <t>TRANSPORT RES REC</t>
  </si>
  <si>
    <t>Transp. Res. Record</t>
  </si>
  <si>
    <t>10.1177/03611981221082534</t>
  </si>
  <si>
    <t>Engineering, Civil; Transportation; Transportation Science &amp; Technology</t>
  </si>
  <si>
    <t>Engineering; Transportation</t>
  </si>
  <si>
    <t>ZY2FE</t>
  </si>
  <si>
    <t>WOS:000772404000001</t>
  </si>
  <si>
    <t>Tubaldi, E; White, CJ; Patelli, E; Mitoulis, SA; de Almeida, G; Brown, J; Cranston, M; Hardman, M; Koursari, E; Lamb, R; McDonald, H; Mathews, R; Newell, R; Pizarro, A; Roca, M; Zonta, D</t>
  </si>
  <si>
    <t>Tubaldi, Enrico; White, Christopher J.; Patelli, Edoardo; Mitoulis, Stergios Aristoteles; de Almeida, Gustavo; Brown, Jim; Cranston, Michael; Hardman, Martin; Koursari, Eftychia; Lamb, Rob; McDonald, Hazel; Mathews, Richard; Newell, Richard; Pizarro, Alonso; Roca, Marta; Zonta, Daniele</t>
  </si>
  <si>
    <t>Invited perspectives: Challenges and future directions in improving bridge flood resilience</t>
  </si>
  <si>
    <t>NATURAL HAZARDS AND EARTH SYSTEM SCIENCES</t>
  </si>
  <si>
    <t>LOCAL SCOUR; PIER; FAILURE; DEPTH; VULNERABILITY; PERFORMANCE; EVOLUTION; MACHINE; BENEFIT; DESIGN</t>
  </si>
  <si>
    <t>Bridges are critical-infrastructure components of road and rail transport networks. A large number of these critical assets cross or are adjacent to waterways and flood-plains and are therefore exposed to flood actions such as scour, hydrodynamic loading, and inundation, all of which are exacerbated by debris accumulations. These stressors are widely recognized as responsible for the vast majority of bridge failures around the world, and they are expected to be exacerbated due to climate change. While efforts have been made to increase the robustness of bridges to the flood hazard, many scientific and technical gaps remain. These gaps were explored during an expert workshop that took place in April 2021 with the participation of academics, consultants, and decision makers operating mainly in the United Kingdom and specializing in the fields of bridge risk assessment and management and flood resilience. The objective of the workshop was to identify and prioritize the most urgent and significant impediments to bridge flood resilience. In particular, the following issues, established at different levels and scales of bridge flood resilience, were identified and analysed in depth: (i) characterization of the effects of floods on different bridge typologies, (ii) uncertainties in formulae for scour depth assessment, (iii) evaluation of consequences of damage, (iv) recovery process after flood damage, (v) decision-making under uncertainty for flood-critical bridges, and (vi) use of event forecasting and monitoring data for increasing the reliability of bridge flood risk estimations. These issues are discussed in this paper to inform other researchers and stakeholders worldwide, guide the directions of future research in the field, and influence policies for risk mitigation and rapid response to flood warnings, ultimately increasing bridge resilience.</t>
  </si>
  <si>
    <t>[Tubaldi, Enrico; White, Christopher J.; Patelli, Edoardo] Univ Strathclyde, Dept Civil &amp; Environm Engn, Glasgow, Lanark, Scotland; [Mitoulis, Stergios Aristoteles] Univ Surrey, Dept Civil &amp; Environm Engn, Guildford, Surrey, England; [de Almeida, Gustavo] Univ Southampton, Fac Engn &amp; Phys Sci, Southampton, Hants, England; [Brown, Jim] Transport Scotland, Glasgow, Lanark, Scotland; [Cranston, Michael; McDonald, Hazel] Scottish Environm Protect Agcy, Perth, Scotland; [Hardman, Martin] Cumbria Cty Council, Carlisle, England; [Koursari, Eftychia] Amey, Glasgow, Lanark, Scotland; [Lamb, Rob] JBA Trust, South Barn, Skipton, England; [Mathews, Richard] Mott MacDonald, Altrincham, England; [Newell, Richard] Network Rail, Milton Keynes, Bucks, England; [Pizarro, Alonso] Univ Diego Portales, Fac Engn &amp; Sci, Santiago, Chile; [Roca, Marta] HR Wallingford, Wallingford, Oxon, England; [Zonta, Daniele] Univ Trento, Dept Civil Environm &amp; Mech Engn, Trento, Italy; [Lamb, Rob] Univ Lancaster, Lancaster Environm Ctr, Lancaster, England</t>
  </si>
  <si>
    <t>Tubaldi, E (corresponding author), Univ Strathclyde, Dept Civil &amp; Environm Engn, Glasgow, Lanark, Scotland.</t>
  </si>
  <si>
    <t>enrico.tubaldi@strath.ac.uk</t>
  </si>
  <si>
    <t>; Patelli, Edoardo/B-1364-2010</t>
  </si>
  <si>
    <t>Tubaldi, Enrico/0000-0001-8565-8917; Patelli, Edoardo/0000-0002-5007-7247; MITOULIS, STERGIOS ARISTOTELES/0000-0001-7201-2703</t>
  </si>
  <si>
    <t>University of Strathclyde's library</t>
  </si>
  <si>
    <t>Funding for the open-access publication fees was provided by University of Strathclyde's library.</t>
  </si>
  <si>
    <t>COPERNICUS GESELLSCHAFT MBH</t>
  </si>
  <si>
    <t>GOTTINGEN</t>
  </si>
  <si>
    <t>BAHNHOFSALLEE 1E, GOTTINGEN, 37081, GERMANY</t>
  </si>
  <si>
    <t>1561-8633</t>
  </si>
  <si>
    <t>1684-9981</t>
  </si>
  <si>
    <t>NAT HAZARD EARTH SYS</t>
  </si>
  <si>
    <t>Nat. Hazards Earth Syst. Sci.</t>
  </si>
  <si>
    <t>MAR 10</t>
  </si>
  <si>
    <t>10.5194/nhess-22-795-2022</t>
  </si>
  <si>
    <t>Geosciences, Multidisciplinary; Meteorology &amp; Atmospheric Sciences; Water Resources</t>
  </si>
  <si>
    <t>Geology; Meteorology &amp; Atmospheric Sciences; Water Resources</t>
  </si>
  <si>
    <t>ZS8NX</t>
  </si>
  <si>
    <t>Green Accepted, gold</t>
  </si>
  <si>
    <t>WOS:000768718100001</t>
  </si>
  <si>
    <t>Unsal, BO</t>
  </si>
  <si>
    <t>Oktem Unsal, Binnur</t>
  </si>
  <si>
    <t>The regressive planning practice of private sector planners under the pressure of political and market forces in Turkey</t>
  </si>
  <si>
    <t>EUROPEAN PLANNING STUDIES</t>
  </si>
  <si>
    <t>Market forces; neoliberal planning; planning practice; private sector planners; Turkey</t>
  </si>
  <si>
    <t>URBAN; CONSULTANTS; POLICY; ROLES</t>
  </si>
  <si>
    <t>Private-sector planners in Turkey have been operating in a planning system that has been restructured within the framework of neoliberal urban policies for the last forty years. Especially after 2000, while the model of growth over construction was adopted as a basic economic policy, the planning practices that implemented these policies were seen as a means of capital accumulation by wider social groups. In this economic political environment, private-sector planners have entered into new relationships with politics, markets, and bureaucracy, and have settled in the centre of criticism with professional practices that fall behind the basic principles of the profession, such as land speculation and serving certain pressure groups instead of the public interest. This article focuses on the conditions in which private-sector planners realize their planning practices and the problems they encounter in their plan-making processes. According to private-sector planners, the most important problem is the increase in the determination of rent-oriented interest relations between public institutions and local market actors instead of public benefit in the planning process. Private-sector planners believe that at every stage of the planning process, politicians and market actors exert pressure on planners, and that these forces have caused Turkey's planning practices to decline.</t>
  </si>
  <si>
    <t>[Oktem Unsal, Binnur] Mimar Sinan Fine Arts Univ, Dept City &amp; Reg Planning, Istanbul, Turkey</t>
  </si>
  <si>
    <t>Unsal, BO (corresponding author), Mimar Sinan Fine Arts Univ, Istanbul, Turkey.</t>
  </si>
  <si>
    <t>binnuroktem@hotmail.com</t>
  </si>
  <si>
    <t>0965-4313</t>
  </si>
  <si>
    <t>1469-5944</t>
  </si>
  <si>
    <t>EUR PLAN STUD</t>
  </si>
  <si>
    <t>Eur. Plan. Stud.</t>
  </si>
  <si>
    <t>10.1080/09654313.2022.2049217</t>
  </si>
  <si>
    <t>Environmental Studies; Geography; Regional &amp; Urban Planning; Urban Studies</t>
  </si>
  <si>
    <t>Environmental Sciences &amp; Ecology; Geography; Public Administration; Urban Studies</t>
  </si>
  <si>
    <t>ZP0VN</t>
  </si>
  <si>
    <t>WOS:000766144400001</t>
  </si>
  <si>
    <t>Adebayo, TS; Saint Akadiri, S; Riti, JS; Odu, AT</t>
  </si>
  <si>
    <t>Adebayo, Tomiwa Sunday; Saint Akadiri, Seyi; Riti, Joshua Sunday; Odu, Ada Tony</t>
  </si>
  <si>
    <t>Interaction among geopolitical risk, trade openness, economic growth, carbon emissions and Its implication on climate change in india</t>
  </si>
  <si>
    <t>ENERGY &amp; ENVIRONMENT</t>
  </si>
  <si>
    <t>Geopolitical risk; trade openness; economic growth; quantile-on-quantile regression; Climate Change</t>
  </si>
  <si>
    <t>NONRENEWABLE ENERGY-CONSUMPTION; CONSISTENT NONPARAMETRIC TEST; CO2 EMISSIONS; POLICY UNCERTAINTY; CAUSALITY; IMPACT; ARDL</t>
  </si>
  <si>
    <t>In this paper, we examine whether geopolitical risk influences environmental degradation, while controlling for non-renewable energy consumption, economic growth and trade openness, using a quarterly dataset from 1985Q1 to 2019Q4. The choice of India as a case study is based on a number of reasons. India is a developing country, which produces approximately 3.2% of global GDP. Also, India produces almost 17.7% of the world population. The country also emits about 6.8% of global carbon emissions, and according to the 2020 report of the consulting firm Eurasia, India is ranked fifth in terms of geopolitical risk. This study adds to the existing literature by using the quantile-on-quantile (QQR) regression to examine the effect of geopolitical risk on environmental degradation, as well as highlighting the implications of geopolitical risk on environmental sustainability. Based on empirical estimation, we find that geopolitical risk increases and decreases carbon emissions in India. That is, geopolitical risk increases environmental degradation at middle quantiles and decreases environmental degradation at lower and higher quantiles. In addition, we find that non-renewable energy consumption, economic growth and trade openness impede environmental quality in India. Thus, we are of the opinion that policymakers, when making policy decisions on environmental quality, should factor in geopolitical risk in two areas, mitigation and channel of escalation, among other policy suggestions.</t>
  </si>
  <si>
    <t>[Adebayo, Tomiwa Sunday] Cyprus Int Univ, Fac Econ &amp; Adm Sci, Dept Business Adm, TR-99040 Nicosia, Turkey; [Adebayo, Tomiwa Sunday] AKFA Univ, Dept Finance &amp; Accounting, 1st Deadlock,10th Kukcha Darvoza St, Tashkent, Uzbekistan; [Saint Akadiri, Seyi; Odu, Ada Tony] Cent Bank Nigeria, Res Dept, Abuja, Nigeria; [Riti, Joshua Sunday] Univ Jos, Fac Social Sci, Dept Econ, Jos 930001, Plateau State, Nigeria</t>
  </si>
  <si>
    <t>Saint Akadiri, S (corresponding author), Cent Bank Nigeria, Res Dept, Abuja, Nigeria.</t>
  </si>
  <si>
    <t>ssakadiri@cbn.gov.ng</t>
  </si>
  <si>
    <t>Riti, Joshua/B-1314-2016</t>
  </si>
  <si>
    <t>0958-305X</t>
  </si>
  <si>
    <t>2048-4070</t>
  </si>
  <si>
    <t>ENERG ENVIRON-UK</t>
  </si>
  <si>
    <t>Energy Environ.</t>
  </si>
  <si>
    <t>0958305X221083236</t>
  </si>
  <si>
    <t>10.1177/0958305X221083236</t>
  </si>
  <si>
    <t>ZT8JM</t>
  </si>
  <si>
    <t>WOS:000769396300001</t>
  </si>
  <si>
    <t>Nost, E; Colven, E</t>
  </si>
  <si>
    <t>Nost, Eric; Colven, Emma</t>
  </si>
  <si>
    <t>Earth for AI: A Political Ecology of Data-Driven Climate Initiatives</t>
  </si>
  <si>
    <t>Adaptation; Artificial intelligence; Climate change; Digital geographies; Environmental data justice; Knowledge production</t>
  </si>
  <si>
    <t>ENVIRONMENTAL DATA; DATA JUSTICE; ARTIFICIAL-INTELLIGENCE; GOVERNANCE; CITIES; CHAINS</t>
  </si>
  <si>
    <t>Emerging narratives around artificial intelligence (AI) and machine learning place great faith in these technologies' ability to ameliorate threats posed by climate change. They promise the capacity to analyze vast amounts of more precise and real-time data, improving how decision-makers predict, respond, and adapt. Yet scholars in political ecology have long observed that technocentric approaches typically reduce complex human-environment relationships in ways that fail to account for social relations and power dynamics. This paper charts the emerging political economy of climate AI - the philanthropies, NGOs, private consultancies, and tech giants investing in data-driven climate initiatives. Mapping out two case studies, we show that environmental and climate crises are grist for tech solutions and find that many climate AI actors are interested in it for surveillance, greenwashing, and commodifying algorithms. We pay special attention to how neocolonial and racialized power structures manifest in climate AI and outline three ways for political ecologists and digital geographers to research its socio-materiality: how computational resources are environmentally embedded, how disasters become shocks that the AI industry capitalizes on, and how climate AI shapes material investment flows and landscapes. Highlighting how data-driven approaches to climate crises reproduce injustices already faced by marginalized communities, our analysis contributes to research on environmental data justice.</t>
  </si>
  <si>
    <t>[Nost, Eric] Univ Guelph, Dept Geog Environm &amp; Geomat, Guelph, ON, Canada; [Colven, Emma] Univ Oklahoma, Dept Int &amp; Area Studies, Norman, OK 73019 USA</t>
  </si>
  <si>
    <t>Nost, E (corresponding author), Univ Guelph, Dept Geog Environm &amp; Geomat, Guelph, ON, Canada.</t>
  </si>
  <si>
    <t>enost@uoguelph.ca; emmacolven@ou.edu</t>
  </si>
  <si>
    <t>10.1016/j.geoforum.2022.01.016</t>
  </si>
  <si>
    <t>2Q5DH</t>
  </si>
  <si>
    <t>WOS:000820442300003</t>
  </si>
  <si>
    <t>Guix, M; Font, X</t>
  </si>
  <si>
    <t>Guix, Mireia; Font, Xavier</t>
  </si>
  <si>
    <t>Consulting on the European Union's 2050 tourism policies: An appreciative inquiry materiality assessment</t>
  </si>
  <si>
    <t>ANNALS OF TOURISM RESEARCH</t>
  </si>
  <si>
    <t>Tourism policy; Stakeholder engagement; Sustainable tourism; European Commission; Legitimacy; Materiality assessment</t>
  </si>
  <si>
    <t>SUSTAINABLE TOURISM; STAKEHOLDER; GOVERNANCE; DEMOCRACY</t>
  </si>
  <si>
    <t>Stakeholder consultations serve as powerful legitimising devices upon the balance of partici-pants, the quality of the process and its effective results. We propose a deliberative digital stakeholder consultation methodology based on an appreciative inquiry approach to material -ity assessment. We illustrate its application in a four-month consultation for the European Commission (2020 European Tourism Convention, towards a European Agenda for Tourism 2050). An interactive, online consultation (due to COVID-19) enabled dynamism and co-creation. Appreciative enquiry introduced the human elements of ownership and legitimacy towards policy. The choice of topics, language and attitudes reframed problems into opportuni-ties with shared responsibilities. Technology allowed to explore new forms of open, democratic and inclusive engagement, and materiality provided structure and transparency that legitimised the process.(c) 2022 Elsevier Ltd. All rights reserved.</t>
  </si>
  <si>
    <t>[Guix, Mireia] Univ Queensland, Business Sch, Brisbane, Qld 4072, Australia; [Font, Xavier] Univ Surrey, Sch Hospitality &amp; Tourism Management, Guildford GU2 7HX, Surrey, England; [Font, Xavier] UiT Arctic Univ Norway, Dept Business &amp; Econ, Tromso, Norway</t>
  </si>
  <si>
    <t>Guix, M (corresponding author), Univ Queensland, Business Sch, Brisbane, Qld 4072, Australia.</t>
  </si>
  <si>
    <t>m.guix@uq.edu.au</t>
  </si>
  <si>
    <t>Guix, Dr. Mireia/G-2403-2017</t>
  </si>
  <si>
    <t>Guix, Dr. Mireia/0000-0002-7294-8373</t>
  </si>
  <si>
    <t>Tourism Unit of the European Commission [GRO/SME/20/C/083-3]</t>
  </si>
  <si>
    <t>Tourism Unit of the European Commission</t>
  </si>
  <si>
    <t>The authors would like to thank the Tourism Unit of the European Commission (GRO/SME/20/C/083-3) and all the respondents to the consultation survey and participants of the workshops at the European Tourism Convention for their time and participation.</t>
  </si>
  <si>
    <t>0160-7383</t>
  </si>
  <si>
    <t>1873-7722</t>
  </si>
  <si>
    <t>ANN TOURISM RES</t>
  </si>
  <si>
    <t>Ann. Touris. Res.</t>
  </si>
  <si>
    <t>10.1016/j.annals.2022.103353</t>
  </si>
  <si>
    <t>Hospitality, Leisure, Sport &amp; Tourism; Sociology</t>
  </si>
  <si>
    <t>Social Sciences - Other Topics; Sociology</t>
  </si>
  <si>
    <t>1B0WC</t>
  </si>
  <si>
    <t>WOS:000792164400021</t>
  </si>
  <si>
    <t>Gess, A; Tolsdorf, A; Ko, NTA</t>
  </si>
  <si>
    <t>Gess, Andreas; Tolsdorf, Anna; Ko, Nathanael</t>
  </si>
  <si>
    <t>A life cycle perspective of lamb meat production systems from Turkey and the EU</t>
  </si>
  <si>
    <t>SMALL RUMINANT RESEARCH</t>
  </si>
  <si>
    <t>LCA; LANCA (R); LCC; Sheep farming; Lamb meat production; Sustainability assessment; Sustainable farming</t>
  </si>
  <si>
    <t>GREENHOUSE-GAS EMISSIONS; CARBON FOOTPRINT; SHEEP; SOIL; INTENSITIES; PASTURE; IMPACT; FARM</t>
  </si>
  <si>
    <t>This study assesses the environmental impacts and the life cycle costs (LCC) of various European lamb meat production systems. Primary data was collected on sheep farms in six countries: Germany, Italy, Portugal, Slovenia, Spain and Turkey. The main goal of the study was to indicate the most sustainable management form of sheep farming which is not only ecologically viable, but also economically profitable for the farmer. To that end, a life cycle analysis (LCA) and a land use analysis (LANCA (R)) were combined with a LCC assessment to evaluate eleven case study farms in various ecoregions with extensive, semi-extensive, semi-intensive and intensive management. The intention of the results is not only be used for the sake of scientific progress, but shall also give farm consultants, farmers and policy officials recommendations to re-design consulting approaches and plan new initiatives to make all aspects of the European sheep industry more sustainable. The LCA analysis produced varying results for global and local impact categories: Due to lower efficiencies, the global warming potential (GWP) results showed higher emissions of extensive production systems. However, local impact categories like eutrophication potential (EP) and acidification potential (AP) as well as land use impacts indicated more positive effects of extensive sheep flocks on the surrounding flora and fauna. The LANCA (R) analysis revealed significantly lower influences on land use change of rather extensively practiced sheep farming in comparison to the very intensively managed ones. The LCC analysis determined a high dependency on subsidies for extensive farming. Beyond that, the local consumption preferences play an important role for the profitability, especially for traditionally managed farms. The most significant result of this study is the development of generic LCA models on lamb meet production. Furthermore, this study puts the environmental assessment by single indicator methods (like GWP or LCA) of food production systems in general and sheep farming in particular up for discussion and promotes multidisciplinary approaches combining various aspects of sustainable farming.</t>
  </si>
  <si>
    <t>[Gess, Andreas; Tolsdorf, Anna; Ko, Nathanael] Stuttgart Univ, Inst Acoust &amp; Bldg Phys IABP, Fac Civil &amp; Environm Engn, Dept Life Cycle Engn GaBi, D-70563 Stuttgart, Germany</t>
  </si>
  <si>
    <t>Gess, A (corresponding author), Stuttgart Univ, Inst Acoust &amp; Bldg Phys IABP, Fac Civil &amp; Environm Engn, Dept Life Cycle Engn GaBi, D-70563 Stuttgart, Germany.</t>
  </si>
  <si>
    <t>andreas.gess@iabp.uni-stuttgart.de</t>
  </si>
  <si>
    <t>ERA-NET SusAn action (EcoLamb) [48]; European Union's Horizon 2020 research and innovation program [696231]</t>
  </si>
  <si>
    <t>ERA-NET SusAn action (EcoLamb); European Union's Horizon 2020 research and innovation program</t>
  </si>
  <si>
    <t>The authors would like to acknowledge that this research was funded by the ERA-NET SusAn action (EcoLamb, ID48) and under the auspices of the associated German governmental organ BLE. This project has received funding from the European Union's Horizon 2020 research and innovation program under grant agreement No. 696231. Furthermore, the authors would like to thank the farmers and local project partners involved for their willingness and openness in participating in this study and the sharing of the respective primary data.</t>
  </si>
  <si>
    <t>0921-4488</t>
  </si>
  <si>
    <t>1879-0941</t>
  </si>
  <si>
    <t>SMALL RUMINANT RES</t>
  </si>
  <si>
    <t>Small Ruminant Res.</t>
  </si>
  <si>
    <t>10.1016/j.smallrumres.2022.106637</t>
  </si>
  <si>
    <t>Agriculture, Dairy &amp; Animal Science</t>
  </si>
  <si>
    <t>0V0UV</t>
  </si>
  <si>
    <t>WOS:000788062900008</t>
  </si>
  <si>
    <t>Washbourne, CL</t>
  </si>
  <si>
    <t>Washbourne, Carla-Leanne</t>
  </si>
  <si>
    <t>Environmental policy narratives and urban green infrastructure: Reflections from five major cities in South Africa and the UK</t>
  </si>
  <si>
    <t>Sustainable urbanization; Urban ecosystem services; Green infrastructure; Knowledge systems; Decision-making</t>
  </si>
  <si>
    <t>ECOSYSTEM SERVICES; CLIMATE-CHANGE; CHALLENGES; MOVEMENT; SPACES; DURBAN</t>
  </si>
  <si>
    <t>In the context of large and growing urban populations, there is a pressing need to understand how the urban environment can be sustainably planned, developed and maintained for greatest benefit to people and nature. The use of 'green infrastructure', as a framing approach for integrating urban green space into urban decision making claims significant international impact. This paper describes key urban environmental policy narratives of five different urban areas (Cape Town, Durban (eThekwini) and Johannesburg in South Africa and Birmingham and London in the UK) reflecting on the way that they have brought green infrastructure concepts into their decision-making. This multi-method study includes analysis of academic papers, technical reports and policy documents and semi-structured interviews with academics, practitioners (planners, engineers, environmental consultants), policy-makers and local community actors. This work has highlighted significant differences in the explicit use of urban green infrastructure as a framing within environmental policy, shaped by the mix of biophysical, social and economic factors that dominate the policy priorities of each city. It adds to a growing evidence base from research and practice aimed at supporting effective urban environmental policymaking.</t>
  </si>
  <si>
    <t>[Washbourne, Carla-Leanne] UCL, Dept Sci Technol Engn &amp; Publ Policy, Shropshire House,4th Floor,Capper St, London WC1E 6JA, England</t>
  </si>
  <si>
    <t>Washbourne, CL (corresponding author), UCL, Dept Sci Technol Engn &amp; Publ Policy, Shropshire House,4th Floor,Capper St, London WC1E 6JA, England.</t>
  </si>
  <si>
    <t>c.washbourne@ucl.ac.uk</t>
  </si>
  <si>
    <t>Washbourne, Carla-Leanne/0000-0001-7818-918X</t>
  </si>
  <si>
    <t>University College London Department of Science, Technology, Engineering and Public Policy (UCL STEaPP), UK; Gauteng City-Region Observatory (GCRO), South Africa</t>
  </si>
  <si>
    <t>Funding support is acknowledged from University College London Department of Science, Technology, Engineering and Public Policy (UCL STEaPP), UK internal pump priming grants (`Knowledge use in green infrastructure decision-making' awarded: Nov 2016, funding period: Feb-July 2017) and the Gauteng City-Region Observatory (GCRO), South Africa (travel funds for fieldwork). Significant thanks to Christina Culwick (GCRO), whose detailed comments on two earlier versions of this paper were highly valuable and critical to shaping its direction. Thanks for anonymous reviewer and editor comments which have helped to significantly strengthen the paper.</t>
  </si>
  <si>
    <t>ENVIRON SCI POLICY</t>
  </si>
  <si>
    <t>Environ. Sci. Policy</t>
  </si>
  <si>
    <t>10.1016/j.envsci.2021.12.016</t>
  </si>
  <si>
    <t>0U3UJ</t>
  </si>
  <si>
    <t>WOS:000787577400010</t>
  </si>
  <si>
    <t>Malkowska, A; Uhruska, M</t>
  </si>
  <si>
    <t>Malkowska, Agnieszka; Uhruska, Malgorzata</t>
  </si>
  <si>
    <t>Factors affecting SMEs growth: the case of the real estate valuation service industry</t>
  </si>
  <si>
    <t>OECONOMIA COPERNICANA</t>
  </si>
  <si>
    <t>business growth factors; entrepreneurship; professional services; property valuation; small business performance; SME's service businesses</t>
  </si>
  <si>
    <t>BUSINESS SUCCESS; FIRM GROWTH; PERFORMANCE; WOMEN; GENDER</t>
  </si>
  <si>
    <t>Research background: Based on the literature, several ways of assessing the conduct of business and a number of factors influencing the growth and development of the companies can be identified. However, the diversity of business entities and their business environment raises the importance of considering the unique nature of the industry in the selection of performance measures. Our research focuses on real estate valuation firms that provide information and consulting services to real estate markets. Purpose of the article: As professional practice shows, there are different business models for property valuation. These businesses differ in their organisational and legal form and the type of valuations performed, the type of client served, or the scope of services provided. The main purpose of the research is to identify factors that significantly affect the development odds of valuation companies in Poland, especially the growth of income. Methods: The study was based on data collected from the survey of Polish teal estate valuers. The analysis was conducted on a sample of 277 professionals who own valuation companies and were certified no later than the end of 2014. A quantitative analysis using a logistic regression model was conducted to identify the factors that influence the prospects for valuation business growth. Findings &amp; value added: The research confirms the relationship between the way of conducting real estate valuation activities and its development chances. The most important factors are a spatial and substantive range of services, cooperation and employment, and clients' profile. Demographic characteristics were also found to be significant. Although the results presented here are based on data from the real estate valuation industry, their relevance is much broader. The findings provide a better understanding of the factors that influence the performance and success of SMEs, particularly in the information and consulting industry.</t>
  </si>
  <si>
    <t>[Malkowska, Agnieszka; Uhruska, Malgorzata] Cracow Univ Econ, Krakow, Poland</t>
  </si>
  <si>
    <t>Malkowska, A (corresponding author), Cracow Univ Econ, Krakow, Poland.</t>
  </si>
  <si>
    <t>malkowsa@uek.krakow.pl</t>
  </si>
  <si>
    <t>Małkowska, Agnieszka/AAG-8498-2019</t>
  </si>
  <si>
    <t>Małkowska, Agnieszka/0000-0003-4810-0433</t>
  </si>
  <si>
    <t>Ministry of Science and Higher Education [021/RID/2018/19]</t>
  </si>
  <si>
    <t>Ministry of Science and Higher Education(Ministry of Science and Higher Education, PolandEuropean Commission)</t>
  </si>
  <si>
    <t>This project has been financed by the Ministry of Science and Higher Education within the Regional Initiative of Excellence; Programme for 2019-2022. Project no.: 021/RID/2018/19.Total financing: 11 897 131,40 PLN.</t>
  </si>
  <si>
    <t>INST BADAN GOSPODARCZYCH</t>
  </si>
  <si>
    <t>OLSZTYN</t>
  </si>
  <si>
    <t>UL KS ROBERTA BILITEWSKIEGO NR 5, LOK 19, OLSZTYN, 10-693, POLAND</t>
  </si>
  <si>
    <t>2083-1277</t>
  </si>
  <si>
    <t>2353-1827</t>
  </si>
  <si>
    <t>OECON COPERNIC</t>
  </si>
  <si>
    <t>Oecon. Copernic.</t>
  </si>
  <si>
    <t>10.24136/oc.2022.003</t>
  </si>
  <si>
    <t>Economics</t>
  </si>
  <si>
    <t>0N5AP</t>
  </si>
  <si>
    <t>WOS:000782850400003</t>
  </si>
  <si>
    <t>Arslan, HM; Ye, CG; Bilal; Siddique, M; Yahya, Y</t>
  </si>
  <si>
    <t>Arslan, Hafiz Muhammad; Ye Chengang; Bilal; Siddique, Muhammad; Yahya, Yusra</t>
  </si>
  <si>
    <t>Influence of Senior Executives Characteristics on Corporate Environmental Disclosures: A Bibliometric Analysis</t>
  </si>
  <si>
    <t>JOURNAL OF RISK AND FINANCIAL MANAGEMENT</t>
  </si>
  <si>
    <t>TMT characteristics; environmental disclosures; bibliometric analysis; ESG disclosures; climate change; CEO characteristics</t>
  </si>
  <si>
    <t>SOCIAL-RESPONSIBILITY; UPPER ECHELONS; CLIMATE-CHANGE; CSR ASSURANCE; CEO TENURE; PERFORMANCE; MANAGEMENT; LEGITIMACY; INFORMATION; PERSPECTIVE</t>
  </si>
  <si>
    <t>This study aims to synthesize the literature on the top management team (TMT) characteristics influence on environmental disclosures of public organizations and identify recent trends, key themes, influential journals, and authors. Our study recruited 88 research articles on the relationship of TMT characteristics and environmental disclosures from 54 academic journals published from 2010 to 2021 for bibliometric analysis. Our study has identified three influential streams: (1) Role of Politically connections of TMT, good governance in environmental disclosures; (2) Significance of environmental disclosures and performance; and (3) institutional investors and environmental disclosures. Thematic map classifies the TMT characteristics and environmental disclosures relationship themes into four categories: Niche theme (e.g., financial expertise, CFO characteristics, CEO tenure, and board backgrounds); motor themes (e.g., environmental sustainability and climate change); emerging/declining themes (e.g., Environmental disclosure, managerial ownership, and CEO tenure); and basic/transversal themes (e.g., CEO characteristics, upper echelon theory, corporate governance). This study assists academicians, policymakers, managers, and consultants in the corporate sector to understand the role of different dimensions of TMT characteristics regarding environmental disclosures. Our study concludes with important practical implications and future research directions.</t>
  </si>
  <si>
    <t>[Arslan, Hafiz Muhammad] Beijing Inst Technol, Sch Management &amp; Econ, Beijing 100000, Peoples R China; [Ye Chengang] Univ Int Business &amp; Econ, Business Sch, Beijing 100029, Peoples R China; [Bilal] Hubei Univ Econ, Accounting Sch, Wuhan 430205, Peoples R China; [Siddique, Muhammad; Yahya, Yusra] Univ Punjab, Dept Commerce, Gujranwala 54000, Pakistan</t>
  </si>
  <si>
    <t>Bilal (corresponding author), Hubei Univ Econ, Accounting Sch, Wuhan 430205, Peoples R China.</t>
  </si>
  <si>
    <t>arslan@bit.edu.cn; yechengang@uibe.edu.cn; bilal@hbue.edu.cn; dr.siddique@pugc.edu.pk; yusra.yahya123@gmail.com</t>
  </si>
  <si>
    <t>, Bilal/ABC-5856-2020</t>
  </si>
  <si>
    <t>, Bilal/0000-0001-6599-6687</t>
  </si>
  <si>
    <t>Hubei University of Economics [XJ18BS06]</t>
  </si>
  <si>
    <t>Hubei University of Economics</t>
  </si>
  <si>
    <t>We acknowledge the financial support of Hubei University of Economics to support the open access of this article through its excellent Ph.D. program-wide grant number XJ18BS06.</t>
  </si>
  <si>
    <t>1911-8066</t>
  </si>
  <si>
    <t>1911-8074</t>
  </si>
  <si>
    <t>J RISK FINANC MANAG</t>
  </si>
  <si>
    <t>J. Risk Financ. Manag.</t>
  </si>
  <si>
    <t>10.3390/jrfm15030136</t>
  </si>
  <si>
    <t>Business, Finance</t>
  </si>
  <si>
    <t>0E0UL</t>
  </si>
  <si>
    <t>WOS:000776400900001</t>
  </si>
  <si>
    <t>Li, L; Zhao, KX; Wang, XY; Zhao, SD; Liu, XG; Li, WW</t>
  </si>
  <si>
    <t>Li, Lin; Zhao, Kaixu; Wang, Xinyu; Zhao, Sidong; Liu, Xingguang; Li, Weiwei</t>
  </si>
  <si>
    <t>Spatio-Temporal Evolution and Driving Mechanism of Urbanization in Small Cities: Case Study from Guangxi</t>
  </si>
  <si>
    <t>urbanization; land-use change; night light; spatio-temporal patterns; China</t>
  </si>
  <si>
    <t>NIGHTTIME LIGHT DATA; CHINA URBANIZATION; TIME-SERIES; SUSTAINABLE URBANIZATION; MONITORING URBANIZATION; LAND URBANIZATION; UNITED-STATES; DYNAMICS; PATTERNS; LEVEL</t>
  </si>
  <si>
    <t>Urbanization has an abundant connotation in dimensions such as population, economy, land, and society and is an important sign to measure regional economic development and social progress. The use of Night Light Data from remote sensing satellites as a proxy variable can significantly improve the accuracy and comprehensiveness of the measurement of urbanization development dynamics. Based on the Night Light Data and statistical data from 2015 to 2019, this paper quantitatively analyzes the spatio-temporal evolution pattern of urbanization in Guangxi and its driving mechanism using exploratory time-space data analysis, GeoDetector and Matrix: Boston Consulting Group, providing an important basis for sustainable urban development planning and scientific decision-making by the government. The findings show that (1) there is a high level of spatial heterogeneity and spatial autocorrelation of urbanization in Guangxi, with the Gini index of urban night light index and urban night light expansion vitality index always greater than 0.5, the global Moran's I greater than 0.17, the spatial differentiation converging but the spatial correlation increasing. (2) The spatial pattern of urbanization in Guangxi has long been solidified, but there is a differentiation in urban development trend, with the coexistence of urban expansion and shrinkage, requiring differentiated policy design for urban governance. (3) The development and evolution of urbanization in Guangxi present a complex intertwined dynamic mechanism of action, with interaction effects of bifactor enhancement and non-linear enhancement among factors. It should be noted that the influence of factors varies greatly, with the added value of the tertiary industry, gross domestic product, total retail sales of social consumer goods having the strongest direct effect on the urban night light index, while the added value of secondary industry, per capita GDP, gross domestic product having the strongest direct effect on the urban night light expansion vitality index. All of them are key factors, followed by some significant influence factors such as government revenue, population urbanization rate, per government revenue, population urbanization rate, per capita disposable income of urban and rural residents that should not be ignored, and the rest that play indirect roles mainly by interaction.</t>
  </si>
  <si>
    <t>[Li, Lin; Wang, Xinyu; Liu, Xingguang] Hualan Design &amp; Consulting Grp, Nanning 530011, Peoples R China; [Zhao, Kaixu] Northwest Univ, Coll Urban &amp; Environm Sci, Xian 710127, Peoples R China; [Zhao, Sidong] Southeast Univ, Sch Architecture, Nanjing 210096, Peoples R China; [Li, Weiwei] Guangxi Agr Vocat Univ, Coll Landscape &amp; Architectural Engn, Nanning 530007, Peoples R China</t>
  </si>
  <si>
    <t>Li, WW (corresponding author), Guangxi Agr Vocat Univ, Coll Landscape &amp; Architectural Engn, Nanning 530007, Peoples R China.</t>
  </si>
  <si>
    <t>lil@gxhl.com; zhaokaixu@stumail.nwu.edu.cn; woxy@gxhl.com; 230189013@seu.edu.cn; liuxg@gxhl.com; wwli2021@163.com</t>
  </si>
  <si>
    <t>Zhao, Kaixu/0000-0001-6230-7057</t>
  </si>
  <si>
    <t>Nanning Youth Science and Technology Innovation and Entrepreneurship Talent Cultivation Project [RC20180110]</t>
  </si>
  <si>
    <t>Nanning Youth Science and Technology Innovation and Entrepreneurship Talent Cultivation Project</t>
  </si>
  <si>
    <t>This paper and the related research are financially supported by the Nanning Youth Science and Technology Innovation and Entrepreneurship Talent Cultivation Project (Project Number: RC20180110).</t>
  </si>
  <si>
    <t>10.3390/land11030415</t>
  </si>
  <si>
    <t>0C0NY</t>
  </si>
  <si>
    <t>WOS:000775021400001</t>
  </si>
  <si>
    <t>George, AK; Kizha, AR; Daigneault, A</t>
  </si>
  <si>
    <t>George, Alex K.; Kizha, Anil Raj; Daigneault, Adam</t>
  </si>
  <si>
    <t>Is forest certification working on the ground? Forest managers perspectives from the northeast U.S.</t>
  </si>
  <si>
    <t>TREES FORESTS AND PEOPLE</t>
  </si>
  <si>
    <t>Certification motivations; Forester; Survey; Surveillance audit; Sustainable forest management (SFM); Third-party certification</t>
  </si>
  <si>
    <t>UNITED-STATES; PERCEPTIONS; PRIVATE; GOVERNANCE; OPERATIONS; PROGRAMS</t>
  </si>
  <si>
    <t>Forest certification programs (FCP) are intended to preserve the environmental, social, and economic values of forests to ensure sustainable management and assured incentives for forest managers in the form of price premiums and market access. In contrast, FCP have not delivered price premiums while also increasing financial and bureaucratic burdens on forest managers. This study used a survey-based approach to obtain the perspectives of forest managers from the northeast U.S. on third-party FCP and possible solutions for their improvement. Among the 157 completed surveys, 85 respondents were involved with FCP, and 38 of those had more than 15 years of experience with certification. There was a significant difference between the responses from consulting foresters and land management companies, respondents from Maine and other states, and respondents with more and less than 15 years of experience with certification programs. Social license (reputation) was the most important reason for getting certified, while market price premium was ranked the least important. Respondents largely agreed on the need to reduce the frequency of surveillance audits for continuously certified management units. They were also generally satisfied with the work quality of the certification auditors and believed logger certification made auditing more convenient. Many embraced adopting region- and stakeholder-specific certification standards. Other reported challenges of FCP included the lack of price premiums and increased cost and complexity of certification. Survey findings helped identify several strategies to improve FCP within the study region and beyond.</t>
  </si>
  <si>
    <t>[George, Alex K.; Kizha, Anil Raj; Daigneault, Adam] Univ Maine, Sch Forest Resources, Orono, ME 04469 USA</t>
  </si>
  <si>
    <t>Kizha, AR (corresponding author), Univ Maine, Sch Forest Resources, Orono, ME 04469 USA.</t>
  </si>
  <si>
    <t>alex.george@maine.edu; anil.kizha@maine.edu; adam.daigneault@maine.edu</t>
  </si>
  <si>
    <t>United States Department of Agriculture National Institute of Food and Agriculture (McIntire-Stennis project through the Maine Agricultural and Forest Experiment Station) [ME041909, ME041825]; University of Maine Cooperative Forestry Research Unit (CFRU)</t>
  </si>
  <si>
    <t>United States Department of Agriculture National Institute of Food and Agriculture (McIntire-Stennis project through the Maine Agricultural and Forest Experiment Station); University of Maine Cooperative Forestry Research Unit (CFRU)</t>
  </si>
  <si>
    <t>This project was supported by the United States Department of Agriculture National Institute of Food and Agriculture (McIntire-Stennis project numbers #ME041909 and #ME041825 through the Maine Agricultural and Forest Experiment Station) and the University of Maine Cooperative Forestry Research Unit (CFRU). Maine Agricultural and Forest Experiment Publication Number 3874.</t>
  </si>
  <si>
    <t>2666-7193</t>
  </si>
  <si>
    <t>TREES FOREST PEOPLE</t>
  </si>
  <si>
    <t>Trees For. People</t>
  </si>
  <si>
    <t>10.1016/j.tfp.2022.100197</t>
  </si>
  <si>
    <t>ZJ2SQ</t>
  </si>
  <si>
    <t>WOS:000762160500005</t>
  </si>
  <si>
    <t>Holmstrom, P; Bjork-Eriksson, T; Davidsen, P; Baathe, F; Olsson, C</t>
  </si>
  <si>
    <t>Holmstrom, Paul; Bjork-Eriksson, Thomas; Davidsen, Pal; Baathe, Fredrik; Olsson, Caroline</t>
  </si>
  <si>
    <t>Insights Gained From a Re-analysis of Five Improvement Cases in Healthcare Integrating System Dynamics Into Action Research</t>
  </si>
  <si>
    <t>INTERNATIONAL JOURNAL OF HEALTH POLICY AND MANAGEMENT</t>
  </si>
  <si>
    <t>Simulation; Implementation; Mixed Methods; System Dynamics; Action Research; Healthcare</t>
  </si>
  <si>
    <t>SIMULATION; SCRIPTS; TOOL</t>
  </si>
  <si>
    <t>Background: Healthcare is complex with multi-professional staff and a variety of patient care pathways. Time pressure and minimal margins for errors, as well as tension between hierarchical power and the power of the professions, make it challenging to implement new policies or procedures. This paper explores five improvement cases in healthcare integrating system dynamics (SD) into action research (AR), aiming to identify methodological aspects of how this integration supported multi-professional groups to discover workable solutions to work-related challenges. Methods: This re-analysis was conducted by a multi-disciplinary research group using an iterative abductive approach applying qualitative analysis to structure and understand the empirical material. Frameworks for consultancy assignments/client projects were used to identify case project stages (workflow steps) and socio-analytical questions were used to bridge between the AR and SD perspectives. Results: All studied cases began with an extensive AR-inspired inventory of problems/objectives and ended with an SD facilitated experimental phase where mutually agreed solutions were tested in silico. Time was primarily divided between facilitated group discussions during meetings and modelling work between meetings. Work principles ensured that the voice of each participant was heard, inspired engagement, interaction, and exploratory mutual learning activities. There was an overall pattern of two major divergent and convergent phases, as each group moved towards a mutually developed point of reference for their problem/objective and solution, a case-specific multi-professional knowledge repository. Conclusion: By integrating SD into AR, more favourable outcomes for the client organization may be achieved than when applying either approach in isolation. We found that SD provided a platform that facilitated experiential learning in the AR process. The identified results were calibrated to local needs and circumstances, and compared to traditional top-down implementation for change processes, improved the likelihood of sustained actualisation.</t>
  </si>
  <si>
    <t>[Holmstrom, Paul; Olsson, Caroline] Gothenburg Univ, Sahlgrenska Acad, Inst Clin Sci, Dept Clin Radiat Sci, Gothenburg, Sweden; [Holmstrom, Paul; Bjork-Eriksson, Thomas; Olsson, Caroline] Reg Canc Ctr West, Gothenburg, Sweden; [Bjork-Eriksson, Thomas] Gothenburg Univ, Sahlgrenska Acad, Inst Clin Sci, Dept Oncol, Gothenburg, Sweden; [Davidsen, Pal] Univ Bergen, Dept Geog, Bergen, Norway; [Baathe, Fredrik] LEFO Inst Studies Med Profess, Oslo, Norway; [Baathe, Fredrik] Inst Stress Med, Gothenburg, Sweden; [Baathe, Fredrik] Sahlgrens Univ Hosp, Gothenburg, Sweden; [Baathe, Fredrik] Gothenburg Univ, Sahlgrenska Acad, Inst Hlth &amp; Care Sci, Gothenburg, Sweden</t>
  </si>
  <si>
    <t>Holmstrom, P (corresponding author), Gothenburg Univ, Sahlgrenska Acad, Inst Clin Sci, Dept Clin Radiat Sci, Gothenburg, Sweden.;Holmstrom, P (corresponding author), Reg Canc Ctr West, Gothenburg, Sweden.</t>
  </si>
  <si>
    <t>paul@holmstrom.se</t>
  </si>
  <si>
    <t>Baathe, Fredrik/0000-0002-3799-1077; Bjork-Eriksson, Thomas/0000-0003-3680-5196; Holmstrom, Paul/0000-0002-2532-8374; Olsson, Caroline/0000-0003-3254-8903</t>
  </si>
  <si>
    <t>Swedish Research Council [2017-01753]</t>
  </si>
  <si>
    <t>Swedish Research Council(Swedish Research CouncilEuropean Commission)</t>
  </si>
  <si>
    <t>The original case work was funded as consultancy assignments carried out by the first author. Permission was given to use any results academically but anonymized. The first author is retired and has worked on the manuscript in his own time. CO is the main supervisor of the first author in his PhD studies and is partially funded by Swedish Research Council (2017-01753) . The other authors have contributed as supervisors and part of their organizational roles. An early version of the abstract by the same authors, containing aim, materials and methods was presented as work-in-progress at the 39th International Conference of the System Dynamics Society on July 21, 2020, virtually in Bergen, Norway, with the title Insights gained from a reanalysis of five model-facilitated change processes in healthcare based on action research approaches. The abstract can be found at: https://proceedings.systemdynamics.org/2020/abstracts/1192.html. We would also like to thank our anonymous reviewers for helpful comments to improve previous versions of this manuscript.</t>
  </si>
  <si>
    <t>KERMAN UNIV MEDICAL SCIENCES</t>
  </si>
  <si>
    <t>KERMAN</t>
  </si>
  <si>
    <t>JAHAD BLVD, KERMAN, 7619813159, IRAN</t>
  </si>
  <si>
    <t>2322-5939</t>
  </si>
  <si>
    <t>INT J HEALTH POLICY</t>
  </si>
  <si>
    <t>Int. J. Health Policy Manag.</t>
  </si>
  <si>
    <t>10.34172/ijhpm.2022.5693</t>
  </si>
  <si>
    <t>FEB 2022</t>
  </si>
  <si>
    <t>Health Care Sciences &amp; Services; Health Policy &amp; Services</t>
  </si>
  <si>
    <t>0G5KC</t>
  </si>
  <si>
    <t>WOS:000778082600001</t>
  </si>
  <si>
    <t>Ekung, S; Opoku, A; Okonkwo, C</t>
  </si>
  <si>
    <t>Ekung, Samuel; Opoku, Alex; Okonkwo, Chibuzo</t>
  </si>
  <si>
    <t>Organisational learning and sustainability of service-based firms: a canonical correlation analysis</t>
  </si>
  <si>
    <t>Consultancy; business continuance; learning; organizations; quantity surveying</t>
  </si>
  <si>
    <t>CONSTRUCTION; PROJECTS; STRATEGY; LESSONS</t>
  </si>
  <si>
    <t>Organizations commit to internal practices such as organizational learning (OL) to achieve competitive advantage. Due to the frail knowledge processes in service-based organizations and the dearth of empirical research specifying the role of OL in institutional sustainability (IS), this study examined OL and IS settings in quantity surveying consultancy (QSC) firms and investigated the latent association between OL and IS. Data from a questionnaire survey of 226 registered quantity surveyors in QSC firms in Nigeria were analyzed using multivariate approaches. The findings show that the effective models of OL in QSCs are information technology-enabled practice, literature guidance, mentoring and competitive benchmarking. Practice internalization, promoting career/welfare advancement, expanding services and having rational commissions are likewise, priority indicators of IS in QSC. A duster of OL practices was strongly correlated positively with IS, IS performance also altered directly with OL, while variations in OL are projected to govern IS. Planned OL practices, therefore, fortify the firms' capability to internationalized practice, expand services and secure a rational commission as the hallmarks of business continuity in the professional service-based sector. Sustainable QSCs must embed and maintain a structured learning framework for continuous improvement of human capital to be able to innovate towards IS.</t>
  </si>
  <si>
    <t>[Ekung, Samuel; Okonkwo, Chibuzo] Univ Uyo, Dept Quant Surveying, Uyo, Nigeria; [Opoku, Alex] Univ Sharjah, Coll Engn, Dept Architectural Engn, Sharjah, U Arab Emirates</t>
  </si>
  <si>
    <t>Ekung, S (corresponding author), Univ Uyo, Dept Quant Surveying, Uyo, Nigeria.</t>
  </si>
  <si>
    <t>samuelbassey@uniuyo.edu.ng</t>
  </si>
  <si>
    <t>INT J CONSTR MANAG</t>
  </si>
  <si>
    <t>Int. J. Constr. Manag.</t>
  </si>
  <si>
    <t>10.1080/15623599.2022.2045863</t>
  </si>
  <si>
    <t>ZO3DE</t>
  </si>
  <si>
    <t>WOS:000765608100001</t>
  </si>
  <si>
    <t>Nygaard, K; Schaper, S; Jacobsen, BH; Hansen, B</t>
  </si>
  <si>
    <t>Nygaard, Kenneth; Schaper, Stefan; Jacobsen, Brian H.; Hansen, Birgitte</t>
  </si>
  <si>
    <t>Sustainable value propositions of a new technology for targeted nitrogen regulation</t>
  </si>
  <si>
    <t>Nitrogen fertilizer; Aquatic pollution; Groundwater nitrogen retention; Value propositions; Governance model; Triple helix; Stakeholder engagement</t>
  </si>
  <si>
    <t>TRIPLE-HELIX; INNOVATION; GOVERNANCE; SYSTEMS; RESPONSIBILITY; KNOWLEDGE; FRAMEWORK; ETHICS</t>
  </si>
  <si>
    <t>Nitrogen (N) provides the agriculture industry with a wicked problem: it is an essential nutrient for efficient crop production, but N losses from agricultural production can harm both the stability of the environment and the health of humans. To limit this, targeted N regulation at the ID15 (1500 ha) level is slowly becoming a reality for farmers and authorities in Denmark. This paper explores the formulation of value propositions connected to developed technologies and concepts for retention mapping at the field level for more detailed targeted regu-lation. We explore all this through a comprehensive longitudinal ethnographic case study over a period of three years. We use the value proposition canvas to make sense of the viewpoints of the involved stakeholder groups. Our empirical setting is a large-scale research project in Denmark, a country that has high environmental goals regarding nitrogen loading. The publicly funded project involved a multitude of stakeholders, ranging from industry consultants, regulators, farmers and researchers from several disciplines. Important for our study is the fact that much of Denmark's regulation is based on a consensus-driven approach. Thus, it provides a compelling setting for exploring the creation of value propositions through multisector stakeholder engagement. Our find-ings indicate that, while there is a general movement towards targeted N regulation due to an advancement of knowledge, the practical side of its implementation is less straightforward. Here, stakeholder-formulated value propositions can facilitate this process, not only being connected to the measurement technology, but also relying on a link to a regulatory transformation.</t>
  </si>
  <si>
    <t>[Nygaard, Kenneth] Aalborg Univ, Sch Business, Fibigerstr 11, DK-9220 Aalborg O, Denmark; [Schaper, Stefan] Aarhus Univ, Dept Management, Fuglesangs Alle 4, DK-8210 Aarhus V, Denmark; [Jacobsen, Brian H.] Univ Copenhagen, Dept Food &amp; Resource Econ, Rolighedsvej 23, DK-1958 Frederiksberg C, Denmark; [Hansen, Birgitte] Geol Survey Denmark &amp; Greenland GEUS, Dept Groundwater &amp; Quaternary Geol Mapping, CF Mollers Alle 8, DK-8000 Aarhus C, Denmark</t>
  </si>
  <si>
    <t>Schaper, S (corresponding author), Aarhus Univ, Dept Management, Fuglesangs Alle 4, DK-8210 Aarhus V, Denmark.</t>
  </si>
  <si>
    <t>stefan.schaper@mgmt.au.dk</t>
  </si>
  <si>
    <t>Hansen, Birgitte/F-4883-2010; Jacobsen, Brian H/D-4187-2015</t>
  </si>
  <si>
    <t>Hansen, Birgitte/0000-0003-2318-145X; Jacobsen, Brian H/0000-0002-0025-4399; Schaper, Stefan/0000-0001-9189-5070</t>
  </si>
  <si>
    <t>Innovation Fund Denmark [8850-00025B]</t>
  </si>
  <si>
    <t>Innovation Fund Denmark</t>
  </si>
  <si>
    <t>Funding This research was supported by the Innovation Fund Denmark pro-jects: MapField - Field scale mapping for targeted N-regulation and management (8850-00025B) .</t>
  </si>
  <si>
    <t>10.1016/j.jclepro.2022.130496</t>
  </si>
  <si>
    <t>ZW9MN</t>
  </si>
  <si>
    <t>WOS:000771528500002</t>
  </si>
  <si>
    <t>Mahamood, SZH; Fathi, MS</t>
  </si>
  <si>
    <t>Mahamood, Siti Zati Hanani; Fathi, Mohamad Syazli</t>
  </si>
  <si>
    <t>Seismic building design work process using building information modeling (BIM) technology for Malaysian Government projects</t>
  </si>
  <si>
    <t>INTERNATIONAL JOURNAL OF DISASTER RESILIENCE IN THE BUILT ENVIRONMENT</t>
  </si>
  <si>
    <t>Building information modeling; BIM; Seismic; Disaster; Resilience; Earthquakes; Disaster prevention; Building design; Seismic design</t>
  </si>
  <si>
    <t>EARTHQUAKE; PERFORMANCE</t>
  </si>
  <si>
    <t>Purpose This paper aims to improve the seismic building design (SBD) work process for Malaysian Government projects. Design/methodology/approach Semi-structured interviews were virtually conducted to a small sample size of internal and external stakeholders from the Malaysian Government technical agency. There were seven of them, comprising Structural Engineers, an Architect, a Quantity Surveyor and consultants-linked government projects. The respondents have at least five years of experience in building design and construction. Findings The paper evaluates the current SBD work process in the government technical agency. There were four main elements that appear to need to be improved, specifically in the design stage: limitations in visualization, variation of works, data management and coordination. Research limitations/implications This study was limited to Malaysian Government building projects and covered a small sample size. Therefore, further research is recommended to extend to other government agencies or ministries to obtain better results. Furthermore, the findings and proposal for improvements to the SBD work process can also be replicated for other similar disasters resilience projects. Practical implications The findings and proposal for improvements to the SBD work process can also be replicated for other similar disasters resilience projects. Social implications This study was limited to government building projects and covered a small sample size. Therefore, further research is recommended to extend to other government agencies or ministries to obtain better results. Furthermore, the findings and proposal for improvements to the SBD work process can also be replicated for other similar disasters resilience projects. Originality/value This study provides an initial step to introduce the potential of building information modeling for SBD in implementing Malaysian Government projects. It will be beneficial both pre-and post-disaster and is a significant step toward a resilient infrastructure and community.</t>
  </si>
  <si>
    <t>[Mahamood, Siti Zati Hanani] Univ Teknol Malaysia, Malaysia Japan Int Inst Technol, Kuala Lumpur, Malaysia; [Mahamood, Siti Zati Hanani] Publ Works Dept Malaysia, Kuala Lumpur, Malaysia; [Fathi, Mohamad Syazli] Univ Teknol Malaysia, Razak Fac Technol &amp; Informat, Kuala Lumpur, Malaysia</t>
  </si>
  <si>
    <t>Fathi, MS (corresponding author), Univ Teknol Malaysia, Razak Fac Technol &amp; Informat, Kuala Lumpur, Malaysia.</t>
  </si>
  <si>
    <t>sitizatihanani@gmail.com; syazli@utm.my</t>
  </si>
  <si>
    <t>Malaysian-Japan International Institute Technology, Universiti Teknologi Malaysia</t>
  </si>
  <si>
    <t>The authors gratefully acknowledge the support provided by the Malaysian-Japan International Institute Technology, Universiti Teknologi Malaysia.</t>
  </si>
  <si>
    <t>1759-5908</t>
  </si>
  <si>
    <t>1759-5916</t>
  </si>
  <si>
    <t>INT J DISASTER RESIL</t>
  </si>
  <si>
    <t>Int. J. Disaster Resil. Built Environ.</t>
  </si>
  <si>
    <t>10.1108/IJDRBE-10-2021-0135</t>
  </si>
  <si>
    <t>0B8XP</t>
  </si>
  <si>
    <t>WOS:000759526300001</t>
  </si>
  <si>
    <t>Polat, G; Benligiray, S</t>
  </si>
  <si>
    <t>Polat, Gulcin; Benligiray, Serap</t>
  </si>
  <si>
    <t>The impact of family business professionalization on financial performance: a multidimensional approach</t>
  </si>
  <si>
    <t>JOURNAL OF SMALL BUSINESS AND ENTERPRISE DEVELOPMENT</t>
  </si>
  <si>
    <t>Family business; Professionalization; Dimensions of family business professionalization; Financial performance; Employee professionalism; Organizational culture; Work environment</t>
  </si>
  <si>
    <t>HUMAN-RESOURCE PRACTICES; FIRM PERFORMANCE; MANAGEMENT; GOVERNANCE; OWNERSHIP</t>
  </si>
  <si>
    <t>Purpose This study aims to broaden the multidimensional conceptualization of family business professionalization, and to investigate how professionalization influences the financial performance of family firms, in the context of private family firms. Design/methodology/approach Taking a quantitative research approach, the study empirically examines the effect of professionalization on family firm performance, using a sample of 111 privately held Turkish family firms. The hypotheses were tested using regression analysis and the independent samples t-test. Findings The results indicate that the professionalization of family businesses has a positive effect on their financial performance, and the professionalization of employees is the prominent dimension of professionalization in this effect. Research limitations/implications This study advances the understanding of how professionalization influences family firm performance by providing additional empirical evidence regarding the positive influence of multifaceted family business professionalization on financial performance. Practical implications The professionalization framework depicted in this study helps owners, managers, or consultants of family businesses assess the professionalization level of their firm and understand the performance effects of each of the family business professionalization dimensions on financial performance. It can also serve as a roadmap for family firms to professionalize and achieve better performance. Originality/value Unlike previous studies, this study incorporates employees, organizational culture and work environment, often neglected in the family business literature, into the multidimensional family business professionalization construct, thus extending previous research. The study contributes to a deeper understanding of the relationship between family businesses professionalization and firm performance.</t>
  </si>
  <si>
    <t>[Polat, Gulcin] Pamukkale Univ, Honaz Vocat Sch, Denizli, Turkey; [Benligiray, Serap] Anadolu Univ, Fac Econ &amp; Adm Sci, Dept Business Adm, Eskisehir, Turkey</t>
  </si>
  <si>
    <t>Polat, G (corresponding author), Pamukkale Univ, Honaz Vocat Sch, Denizli, Turkey.</t>
  </si>
  <si>
    <t>gpolat@pau.edu.tr</t>
  </si>
  <si>
    <t>Benligiray, Serap/0000-0003-1004-8318; Polat, Gulcin/0000-0003-3049-4956</t>
  </si>
  <si>
    <t>1462-6004</t>
  </si>
  <si>
    <t>1758-7840</t>
  </si>
  <si>
    <t>J SMALL BUS ENTERP D</t>
  </si>
  <si>
    <t>J. Small Bus. Enterp. Dev.</t>
  </si>
  <si>
    <t>10.1108/JSBED-11-2021-0437</t>
  </si>
  <si>
    <t>ZD5IS</t>
  </si>
  <si>
    <t>WOS:000758233100001</t>
  </si>
  <si>
    <t>Awuzie, BO; Mcwari, ZP; Chigangacha, S; Aigbavboa, CO; Haupt, TC; Obi, L</t>
  </si>
  <si>
    <t>Awuzie, Bankole Osita; Mcwari, Zwelinzima P.; Chigangacha, Shingai; Aigbavboa, Clinton Ohis; Haupt, Theo C.; Obi, Lovelin</t>
  </si>
  <si>
    <t>Analysing outsourced and insourced public infrastructure projects' performance in a provincial department of public works: a grounded theory approach</t>
  </si>
  <si>
    <t>Grounded theory; Insourcing; Outsourcing; Public infrastructure projects; South Africa</t>
  </si>
  <si>
    <t>Purpose An increase in outsourcing of consultancy services has been observed during procurement and delivery of public-sector infrastructure projects. However, the incidence of project failure has continued unabated despite this shift by public-sector entities. Also, there appears to be limited literature focussed on seeking to provide the rationale governing the decision to outsource or insource consultancy services by public-sector organisations. The purpose of this study was to appraise the performance of public-sector projects in which consultancy services have been outsourced or insourced. These are the gaps which this study was undertaken to fill. Design/methodology/approach A grounded theory methodology (GTM) research design was adopted based on the nature of evidence sought and gathered from a Provincial Department of Public Works and Infrastructure (PDPWI) in South Africa. Data was obtained from a mixture of semi-structured interviews and project-specific documents spanning a five-year period and was analysed according to the procedures associated with GTM. Accordingly, open coding, axial coding and pattern matching were carried out at several intervals to develop categories and themes. Findings The findings of the study showed the absence of a structured approach within the PDPWI for facilitating decisions pertaining to outsourcing or insourcing consultancy services within construction projects. Furthermore, the study established that both approaches yielded similar results across all performance facets of cost, time and quality. In addition, a detailed insight into the steps required for the successful application of GTM in built environment research has been provided in the study. Originality/value Limited studies have been undertaken to compare the impact of either outsourced or insourced services on the organisational and project performance. This was the gap to which the study reported in this paper was undertaken to contribute.</t>
  </si>
  <si>
    <t>[Awuzie, Bankole Osita] Cent Univ Technol, Dept Built Environm, Bloemfontein, Free State, South Africa; [Mcwari, Zwelinzima P.] Univ Johannesburg, Johannesburg, South Africa; [Chigangacha, Shingai] Univ KwaZulu Natal, Coll Agr Engn &amp; Sci, Durban, South Africa; [Aigbavboa, Clinton Ohis] Univ Johannesburg, Dept Construct Management &amp; Quant Surveying, Johannesburg, South Africa; [Haupt, Theo C.] Mangosuthu Univ Technol, Dept Engn, Durban, South Africa; [Obi, Lovelin] Univ Wolverhampton, Dept Built Environm, Wolverhampton, England</t>
  </si>
  <si>
    <t>Chigangacha, S (corresponding author), Univ KwaZulu Natal, Coll Agr Engn &amp; Sci, Durban, South Africa.</t>
  </si>
  <si>
    <t>pschigangacha@gmail.com</t>
  </si>
  <si>
    <t>J ENG DES TECHNOL</t>
  </si>
  <si>
    <t>J. Eng. Des. Technol.</t>
  </si>
  <si>
    <t>10.1108/JEDT-11-2021-0640</t>
  </si>
  <si>
    <t>Engineering, Multidisciplinary</t>
  </si>
  <si>
    <t>YW6HA</t>
  </si>
  <si>
    <t>WOS:000753512400001</t>
  </si>
  <si>
    <t>Kotzebue, JR</t>
  </si>
  <si>
    <t>Kotzebue, Julia R.</t>
  </si>
  <si>
    <t>Integrated urban transport infrastructure development: The role of digital social geo-communication in Hamburg's TEN-T improvement</t>
  </si>
  <si>
    <t>JOURNAL OF TRANSPORT GEOGRAPHY</t>
  </si>
  <si>
    <t>Integrated sustainable transport; Social geo-communication; PPGIS; E-participation; Spatial governance</t>
  </si>
  <si>
    <t>PUBLIC-PARTICIPATION GIS; ISSUES; GOVERNANCE; COMPLEXITY; USABILITY; COGNITION; BEHAVIOR; PPGIS</t>
  </si>
  <si>
    <t>The European Union's (EU) Trans-European transport network (TEN-T) policy transport policy strives for an integrated and sustainable transport development. The process can be regarded as an ongoing spatial governance process rather than a linear transport planning and project implementation. Transport developers increasingly regard information and communication technologies (ICT) as supportive in these collaborative processes and government use Public Participatory Geographic Information Systems (PPGIS). Many contextual factors, insti-tutional and technological conditions are influencing the usage and results of the tools, there is still the need to understand their role in the spatial governance processes. Therefore, exemplified by Hamburg's TEN-T green corridor project, the following question will be investigated in the paper: how did the public and governmental actors interact when utilising (PPGIS) in Hamburg's (TEN-T) green corridor project? By the means of MAXQDA, a qualitative and mixed data analysis tool the contributions of the participants from the online participation, the consultant report that summarised the contribution and government's response been analysed (GovHam, 2020a). Furthermore, a theoretical spatial governance framework had been suggested that guided the analysis. The study shows that the selective process by authorities and consulting institutions decreases the potentials of (PPGIS) to create a deliberate and transparent discussion. Hence, the results confirm other studies, showing that the social geo-communication tools are mainly used to inform participants rather than engaging reflective learning.</t>
  </si>
  <si>
    <t>[Kotzebue, Julia R.] Univ Hamburg, Inst Geog, Bundesstr 55,Room 517,0049 40 42838 5222, D-20146 Hamburg, Germany</t>
  </si>
  <si>
    <t>Kotzebue, JR (corresponding author), Univ Hamburg, Inst Geog, Bundesstr 55,Room 517,0049 40 42838 5222, D-20146 Hamburg, Germany.</t>
  </si>
  <si>
    <t>julia.kotzebue@uni-hamburg.de</t>
  </si>
  <si>
    <t>0966-6923</t>
  </si>
  <si>
    <t>1873-1236</t>
  </si>
  <si>
    <t>J TRANSP GEOGR</t>
  </si>
  <si>
    <t>J. Transp. Geogr.</t>
  </si>
  <si>
    <t>10.1016/j.jtrangeo.2022.103280</t>
  </si>
  <si>
    <t>Economics; Geography; Transportation</t>
  </si>
  <si>
    <t>Business &amp; Economics; Geography; Transportation</t>
  </si>
  <si>
    <t>0U8GU</t>
  </si>
  <si>
    <t>WOS:000787886500008</t>
  </si>
  <si>
    <t>Dong, WW; Zhao, GH; Yuksel, S; Dincer, H; Ubay, GG</t>
  </si>
  <si>
    <t>Dong, Weiwei; Zhao, Guohua; Yuksel, Serhat; Dincer, Hasan; Ubay, Gozde Gulseven</t>
  </si>
  <si>
    <t>A novel hybrid decision making approach for the strategic selection of wind energy projects</t>
  </si>
  <si>
    <t>Wind energy investment; BCG Matrix; Hesitant IVIF DEMATEL; Hesitant IVIF MOORA</t>
  </si>
  <si>
    <t>SUPPLY CHAIN MANAGEMENT; DEMATEL METHOD; FUZZY DEMATEL; VIKOR METHOD; INVESTMENT; POLICY; MOORA; CHINA; MODEL; ANP</t>
  </si>
  <si>
    <t>Wind energy projects provide clean energy so that they should be increased to reach the sustainable development goals of the countries. However, current decision-making process should be improved for the effectiveness of these projects. Thus, critical factors should be considered to understand the significant indicators of the performance of the wind energy projects. This article aims to determine the factors that should be considered when deciding on wind energy investments. In this context, 9 different criteria belonging to 3 dimensions (project, firm, market) are determined based on literature review. Later, an analysis is carried out by using hesitant interval-valued intuitionistic fuzzy (IVIF) Decision Making Trial and Evaluation Laboratory (DEMATEL) to identify the most important factors. Furthermore, 4 different investment strategies in Boston Consultancy Group (BCG) matrix have been determined as alternatives. To determine which of these strategies is suitable for wind energy investments, the hesitant IVIF multi objective optimization on the basis of ratio analysis (MOORA) method has been considered. Additionally, a comparative evaluation is also performed by using technique for order preference by similarity to ideal solution (TOPSIS) methodology. Similarly, sensitivity analysis is also made by considering 9 different cases. The analysis results of different methodologies are quite similar which shows the coherency and reliability of the findings. It is concluded that firm-based factors play the most significant role. It is also identified that technical development, financial performance and organizational effectiveness are the most significant criteria to make investment decision on wind energy projects. Furthermore, due to the market growth potential, it is recommended that wind energy investors increase their investments and strengthen their position in the market. (c) 2021 Published by Elsevier Ltd.</t>
  </si>
  <si>
    <t>[Dong, Weiwei] Shanghai Inst Technol, Sch Econ &amp; Management, Shanghai 201418, Peoples R China; [Zhao, Guohua] Shanghai Jiao Tong Univ, Design &amp; Res Inst Co Ltd, Shanghai 200000, Peoples R China; [Yuksel, Serhat; Dincer, Hasan; Ubay, Gozde Gulseven] Istanbul Medipol Univ, Sch Business, TR-34810 Istanbul, Turkey</t>
  </si>
  <si>
    <t>Zhao, GH (corresponding author), Shanghai Jiao Tong Univ, Design &amp; Res Inst Co Ltd, Shanghai 200000, Peoples R China.;Dincer, H (corresponding author), Istanbul Medipol Univ, Sch Business, TR-34810 Istanbul, Turkey.</t>
  </si>
  <si>
    <t>weiweidong@sit.edu.cn; zhaoguohua6667@sina.com; serhatyuksel@medipol.edu.tr; hdincer@medipol.edu.tr; gozde.ubay@std.medipol.edu.tr</t>
  </si>
  <si>
    <t>Dinçer, Hasan/K-8517-2019; Yuksel, Serhat/W-1477-2017</t>
  </si>
  <si>
    <t>Dinçer, Hasan/0000-0002-8072-031X; Ubay, Gozde Gulseven/0000-0002-6709-6495; Yuksel, Serhat/0000-0002-9858-1266</t>
  </si>
  <si>
    <t>National Natural Science Foundation of China [71602119]</t>
  </si>
  <si>
    <t>National Natural Science Foundation of China(National Natural Science Foundation of China (NSFC))</t>
  </si>
  <si>
    <t>Acknowledgement This work was sponsored in part by National Natural Science Foundation of China (71602119) .</t>
  </si>
  <si>
    <t>1879-0682</t>
  </si>
  <si>
    <t>RENEW ENERG</t>
  </si>
  <si>
    <t>Renew. Energy</t>
  </si>
  <si>
    <t>10.1016/j.renene.2021.12.077</t>
  </si>
  <si>
    <t>Green &amp; Sustainable Science &amp; Technology; Energy &amp; Fuels</t>
  </si>
  <si>
    <t>Science &amp; Technology - Other Topics; Energy &amp; Fuels</t>
  </si>
  <si>
    <t>0H2CX</t>
  </si>
  <si>
    <t>WOS:000778545900013</t>
  </si>
  <si>
    <t>Pojani, D; Stead, D</t>
  </si>
  <si>
    <t>Pojani, Dorina; Stead, Dominic</t>
  </si>
  <si>
    <t>When West-East planning policy advice fails to gain traction</t>
  </si>
  <si>
    <t>JOURNAL OF PLANNING LITERATURE</t>
  </si>
  <si>
    <t>Consultancy; Environmental planning; Europe; Foreign investment</t>
  </si>
  <si>
    <t>0885-4122</t>
  </si>
  <si>
    <t>1552-6593</t>
  </si>
  <si>
    <t>J PLAN LIT</t>
  </si>
  <si>
    <t>J. Plan. Lit.</t>
  </si>
  <si>
    <t>Regional &amp; Urban Planning; Urban Studies</t>
  </si>
  <si>
    <t>Public Administration; Urban Studies</t>
  </si>
  <si>
    <t>ZQ9BS</t>
  </si>
  <si>
    <t>WOS:000767392200021</t>
  </si>
  <si>
    <t>Gerwanski, J; Velte, P; Mechtel, M</t>
  </si>
  <si>
    <t>Gerwanski, Jannik; Velte, Patrick; Mechtel, Mario</t>
  </si>
  <si>
    <t>Do nonprofessional investors value the assurance of integrated reports? Exploratory evidence</t>
  </si>
  <si>
    <t>EUROPEAN MANAGEMENT JOURNAL</t>
  </si>
  <si>
    <t>Integrated reporting assurance; Integrated reporting; Nonprofessional investors; Nonfinancial reporting; Corporate governance; Managers</t>
  </si>
  <si>
    <t>CORPORATE SOCIAL-RESPONSIBILITY; VOLUNTARY NONFINANCIAL DISCLOSURE; SUSTAINABILITY REPORTS; ENVIRONMENTAL DISCLOSURE; MANAGEMENT-PRACTICES; 3RD-PARTY ASSURANCE; MEDIATING ROLE; CSR ASSURANCE; QUALITY; INFORMATION</t>
  </si>
  <si>
    <t>Using an experimental design, this explorative study provides unique empirical evidence of the effects of an integrated reporting assurance (IRA) on nonprofessional investors' (NPIs) financial decision-making in a laboratory experiment. For this purpose, two independent experiments were carried out, one relying on a sample of Master's students, and one focusing on managers of large corporations. In line with our agency theoretical reasoning, we find that students value an IRA positively, evidenced through significantly higher investments, while, contrary to expectations, an IRA has the opposite effect for managers. The results reveal that, dependent on the empirical model, an IRA has either no, or even an investment decreasing, impact on executives. In order to assess the sense-making process underlying this conundrum, subsequent interviews with the managers were carried out which revealed three dimensions that shape practitioners' critical attitudes towards assurance engagements. First, managers expressed a general disbelief in the decision usefulness of integrated reporting (IR) to (nonprofessional) investors. Second, interlocutors referred to negative practical experiences with audit and assurance engagements and had technical doubts specific to IRA. Third, managers voiced emotional caveats regarding the audit and assurance profession. These findings indicate a prevailing divergence between the extolled theoretical contribution of an IRA to report credibility and its actual nature in practice. In the further course of the investigation, we also find that the assurance provider (Big 4 auditor versus specialized consultant) does not affect investment decisions, but that a higher assurance level leverages investments among students. The results of this study add to the growing, albeit still small, IRA research body and deliver valuable insights for research, regulators, and practice. (c) 2021 Elsevier Ltd. All rights reserved.</t>
  </si>
  <si>
    <t>[Gerwanski, Jannik; Velte, Patrick] Leuphana Univ Luneburg, Div Accounting Auditing &amp; Corp Governance, Inst Management Accounting &amp; Finance, Univ Allee, D-21335 Luneburg, Germany; [Mechtel, Mario] Leuphana Univ Luneburg, Inst Econ, Univ Allee, D-21335 Luneburg, Germany</t>
  </si>
  <si>
    <t>Gerwanski, J (corresponding author), Leuphana Univ Luneburg, Div Accounting Auditing &amp; Corp Governance, Inst Management Accounting &amp; Finance, Univ Allee, D-21335 Luneburg, Germany.</t>
  </si>
  <si>
    <t>Jannik.Gerwanski@leuphana.de</t>
  </si>
  <si>
    <t>Velte, Patrick/H-1488-2017</t>
  </si>
  <si>
    <t>Velte, Patrick/0000-0001-5960-8449</t>
  </si>
  <si>
    <t>0263-2373</t>
  </si>
  <si>
    <t>1873-5681</t>
  </si>
  <si>
    <t>EUR MANAG J</t>
  </si>
  <si>
    <t>Eur. Manag. J.</t>
  </si>
  <si>
    <t>10.1016/j.emj.2021.03.003</t>
  </si>
  <si>
    <t>YZ9AH</t>
  </si>
  <si>
    <t>WOS:000755762000009</t>
  </si>
  <si>
    <t>Ramadan, N; Bonmati-Tomas, A; Juvinya-Canal, D; Ghaddar, A</t>
  </si>
  <si>
    <t>Ramadan, Nabiha; Bonmati-Tomas, Anna; Juvinya-Canal, Dolors; Ghaddar, Ali</t>
  </si>
  <si>
    <t>Online breast-feeding support groups as a community asset in Lebanon after Beirut explosion</t>
  </si>
  <si>
    <t>PUBLIC HEALTH NUTRITION</t>
  </si>
  <si>
    <t>Breast-feeding; Social media; Community asset; Community resilience; Content analysis; Lactation consultant</t>
  </si>
  <si>
    <t>BARRIERS; WOMEN</t>
  </si>
  <si>
    <t>Objective: Breast-feeding rates are unsatisfactory in Lebanon. Social media groups could play an important role in promoting breast-feeding in normal conditions and post crisis. The aim of this study is to identify breast-feeding challenges, facilitators and assets and to describe how community assets via social media could build community resilience to pandemic's and disaster's effects. Design: A two-phase qualitative content analysis was performed on posts and comments collected from a Facebook breast-feeding support group. Data were categorised into themes, categories and subcategories. Setting: Posts and comments retrieved from a Facebook breast-feeding support group in Lebanon during the month of August 2020. Participants: Group members: mothers who breastfed, breast-feeding mothers and group admins that are lactation consultants. Results: In phase one, breast-feeding 'Challenges' identified were lack of support from peers and family, lack of supportive policies, lack of knowledge and maternal stress related to political instability, COVID-19 and economic crisis. 'Assets and facilitators' included community support and donations. In phase two, analysis revealed how assets were being used on social media platform to build community resilience post crisis, through access to social support in challenging times, community engagement, material resources and transformative potential. Conclusion: Challenges faced during breast-feeding were diminished due to the support and assets received on a Facebook breast-feeding support group, and social media has been shown to be an important community asset implicated in empowering women to breastfeed and to build community resilience in moments of crisis.</t>
  </si>
  <si>
    <t>[Ramadan, Nabiha; Ghaddar, Ali] Lebanese Int Univ, Beirut 146404, Lebanon; [Ramadan, Nabiha; Bonmati-Tomas, Anna; Juvinya-Canal, Dolors] Univ Girona, Girona 17003, Spain; [Ghaddar, Ali] Observ Publ Policies &amp; Hlth, Beirut, Lebanon</t>
  </si>
  <si>
    <t>Ramadan, N (corresponding author), Lebanese Int Univ, Beirut 146404, Lebanon.;Ramadan, N (corresponding author), Univ Girona, Girona 17003, Spain.</t>
  </si>
  <si>
    <t>nabiha.ramadan@liu.edu.lb</t>
  </si>
  <si>
    <t>Ghaddar, Ali/0000-0001-7261-347X</t>
  </si>
  <si>
    <t>CAMBRIDGE UNIV PRESS</t>
  </si>
  <si>
    <t>CAMBRIDGE</t>
  </si>
  <si>
    <t>EDINBURGH BLDG, SHAFTESBURY RD, CB2 8RU CAMBRIDGE, ENGLAND</t>
  </si>
  <si>
    <t>1368-9800</t>
  </si>
  <si>
    <t>1475-2727</t>
  </si>
  <si>
    <t>PUBLIC HEALTH NUTR</t>
  </si>
  <si>
    <t>Public Health Nutr.</t>
  </si>
  <si>
    <t>PII S1368980022000295</t>
  </si>
  <si>
    <t>10.1017/S1368980022000295</t>
  </si>
  <si>
    <t>JAN 2022</t>
  </si>
  <si>
    <t>Public, Environmental &amp; Occupational Health; Nutrition &amp; Dietetics</t>
  </si>
  <si>
    <t>3F1HV</t>
  </si>
  <si>
    <t>WOS:000769561400001</t>
  </si>
  <si>
    <t>Gottenborg, S; Hoff, T; Rydstedt, L; Overgard, KI</t>
  </si>
  <si>
    <t>Gottenborg, Simon; Hoff, Thomas; Rydstedt, Leif; Overgard, Kjell Ivar</t>
  </si>
  <si>
    <t>People Performance Scales (PPS): A multi-company, cross-sectional psychometric assessment</t>
  </si>
  <si>
    <t>SCANDINAVIAN JOURNAL OF PSYCHOLOGY</t>
  </si>
  <si>
    <t>Psychosocial; work environment; psychometric assessment; questionnaire</t>
  </si>
  <si>
    <t>DEMANDS-RESOURCES MODEL; JOB DEMANDS; WORK ENGAGEMENT; FIT INDEXES; BURNOUT; TRANSLATION; PREDICTOR; QUESTIONNAIRE; INVESTMENT; MOTIVATION</t>
  </si>
  <si>
    <t>This study aims to test the nomological validity of the People Performance Scales (PPS) using the job demands-resources (JD-R) model. All employees at two large companies in Norway (a governmental agency and a worker's union) were invited to complete the PPS questionnaire electronically. A total of 2,469 respondents completed the questionnaire, resulting in an 87 percent response rate. Data was analyzed Structural Equation Modelling. First, all 15 scales included in the PPS showed excellent internal and construct validity. PPS was also found to have configural-, construct-level metric- and scale-level metric invariance across age groups and genders. Second, findings indicate that the PPS can be used for both research and consultancy based upon the JD-R model, while simultaneously assessing constructs of particular importance in Norwegian and Scandinavian legislation. The PPS represents a short and efficient questionnaire which measures the most relevant working environment constructs in a reliable and distinct way. The questionnaire has great psychometric characteristics and is well suited for use in organizations to measure employees' experience of working environment factors, allowing organizations to identify areas of improvement and to support organizational development.</t>
  </si>
  <si>
    <t>[Gottenborg, Simon; Rydstedt, Leif] Inland Norway Univ Appl Sci, Dept Psychol, Lillehammer, Norway; [Gottenborg, Simon; Hoff, Thomas; Overgard, Kjell Ivar] EBHR AS, Asgardstrand, Norway; [Hoff, Thomas] Univ Oslo, Dept Psychol, Oslo, Norway; [Overgard, Kjell Ivar] Univ South Eastern Norway, Dept Hlth Social &amp; Welf Studies, Borre, Norway</t>
  </si>
  <si>
    <t>Overgard, KI (corresponding author), EBHR AS, Asgardstrand, Norway.;Overgard, KI (corresponding author), Univ South Eastern Norway, Dept Hlth Social &amp; Welf Studies, Borre, Norway.</t>
  </si>
  <si>
    <t>koe@usn.no</t>
  </si>
  <si>
    <t>Gottenborg, Simon/0000-0003-0787-5638; Overgard, Kjell Ivar/0000-0002-4029-4344</t>
  </si>
  <si>
    <t>0036-5564</t>
  </si>
  <si>
    <t>1467-9450</t>
  </si>
  <si>
    <t>SCAND J PSYCHOL</t>
  </si>
  <si>
    <t>Scand. J. Psychol.</t>
  </si>
  <si>
    <t>10.1111/sjop.12793</t>
  </si>
  <si>
    <t>0J8YF</t>
  </si>
  <si>
    <t>WOS:000743651100001</t>
  </si>
  <si>
    <t>Moon, P; Bayle, E; Francois, A</t>
  </si>
  <si>
    <t>Moon, Philjoo; Bayle, Emmanuel; Francois, Aurelien</t>
  </si>
  <si>
    <t>Assessing International Sport Federations' Sustainability Practices: Toward Integrating Sustainability in Their Main Sports Events</t>
  </si>
  <si>
    <t>FRONTIERS IN SPORTS AND ACTIVE LIVING</t>
  </si>
  <si>
    <t>sustainability; social responsibility; international sport federations; multiple case studies; neo-institutional theory</t>
  </si>
  <si>
    <t>CORPORATE SOCIAL-RESPONSIBILITY; ORGANIZATIONS; GOVERNANCE; FRAMEWORK; CSR; MANAGEMENT; PRESSURES; FOOTBALL; BOARD; CLUBS</t>
  </si>
  <si>
    <t>Research Question: Sustainability has become a pressing issue for a wide range of organizations, including sports' world governing bodies. This paper examines (1) how sustainability can be defined in the context of international sport federations and (2) how international federations implement social and environmental sustainability practices. We used an eight-dimensional analytical framework to analyze multiple case studies and drew on neo-institutional theory to interpret the recent changes international federations have made with regard to sustainability.Research Methods: Our methodology combined a multiple case study with analyses of official documents and in-depth semi-structured interviews.Results and Findings: Our six case studies revealed five approaches to sustainability: (a) implementing sustainability pilot events; (b) partnering with NGOs; (c) partnering with sustainability consultancies; (d) creating a sustainability committee; and (e) launching a comprehensive sustainability strategy with at least a full-time sustainability manager.Implications: In terms of theory, examining our data through the lens of neo-institutional theory provides insights into international federations' recent sustainability behaviors. Our findings enabled us to draw up a sustainability ladder of sport federations' responsibilities, which can be used to assess the degree to which they have embraced sustainability. In practical terms, our findings should encourage more sport federations to take concrete steps to improve their sustainability by implementing the five approaches.</t>
  </si>
  <si>
    <t>[Moon, Philjoo; Bayle, Emmanuel] Univ Lausanne, Inst Sport Sci, Lausanne, Switzerland; [Francois, Aurelien] Univ Rouen, Lab Cetaps, Rouen, France</t>
  </si>
  <si>
    <t>Moon, P (corresponding author), Univ Lausanne, Inst Sport Sci, Lausanne, Switzerland.</t>
  </si>
  <si>
    <t>seraph28@nate.com</t>
  </si>
  <si>
    <t>2624-9367</t>
  </si>
  <si>
    <t>FRONT SPORTS ACT LIV</t>
  </si>
  <si>
    <t>Front. Sports Act. Living</t>
  </si>
  <si>
    <t>JAN 13</t>
  </si>
  <si>
    <t>10.3389/fspor.2021.752085</t>
  </si>
  <si>
    <t>Sport Sciences</t>
  </si>
  <si>
    <t>ZE3ES</t>
  </si>
  <si>
    <t>WOS:000758770500001</t>
  </si>
  <si>
    <t>Santos, MR; Dias, LC; Cunha, MC; Marques, JR</t>
  </si>
  <si>
    <t>Santos, Murilo R.; Dias, Luis C.; Cunha, Maria C.; Marques, Joao R.</t>
  </si>
  <si>
    <t>Multicriteria Decision Analysis Addressing Marine and Terrestrial Plastic Waste Management: A Review</t>
  </si>
  <si>
    <t>multicriteria decision analysis; MCDA; MCDM; plastic waste; waste management; clean seas</t>
  </si>
  <si>
    <t>RANKING; MOORA</t>
  </si>
  <si>
    <t>This paper is a systematic review of studies that used multicriteria decision analysis (MCDA) to address plastic waste management. A literature search for scientific articles in online databases (Web of Science and Scopus) enabled us to identify 20 relevant papers from 2008 to 2021, spanning case studies in three continents. These studies focus on: plastics as a resource (material), plastics as a product (reverse logistics), and plastics as a problem (pollution). Content analysis methodology was used, with the focus being on how the authors used MCDA for managing plastic waste, which has relevance for researchers and practitioners. Alternative solutions were found for the selection of disposal methods for almost all types of plastic categorized in this review. The most popular method was AHP, followed by TOPSIS, outranking methods, MAUT/MAVT and simple weighted sums, with some studies including more than one method. The choice of criteria spanned operational (mostly), but also environmental and economic aspects to evaluate the alternatives. Less frequently, one finds criteria related to social, managerial, and political aspects. The weighting of the criteria was performed mainly by consulting experts, followed by decision makers. Representatives of the affected population or other stakeholders have been consulted only on a few occasions. The authors of the studies consider their application of MCDA was successful, highlighting mainly the importance of being able to encompass different dimensions in the evaluation of the alternatives and the transparency of the process. In most cases, a winning alternative emerged clearly, which sometimes was a combination of multiple strategies. We also report other recommendations of these authors concerning marine and terrestrial plastic waste management.</t>
  </si>
  <si>
    <t>[Santos, Murilo R.; Dias, Luis C.] Univ Coimbra, CeBER, Fac Econ, Coimbra, Portugal; [Santos, Murilo R.] Ctr Bio R&amp;D Unit, Assoc BLC3 Technol &amp; Innovat Campus, Macedo De Cavaleiros, Portugal; [Cunha, Maria C.; Marques, Joao R.] Univ Coimbra, Dept Civil Engn, CEMMPRE, Coimbra, Portugal</t>
  </si>
  <si>
    <t>Cunha, MC (corresponding author), Univ Coimbra, Dept Civil Engn, CEMMPRE, Coimbra, Portugal.</t>
  </si>
  <si>
    <t>mccunha@dec.uc.pt</t>
  </si>
  <si>
    <t>Santos, Murilo/0000-0001-8908-7752</t>
  </si>
  <si>
    <t>EU [774586]; FCT [UID/EMS/00285/2020]; University of Coimbra</t>
  </si>
  <si>
    <t>EU(European Commission); FCT(Portuguese Foundation for Science and TechnologyEuropean Commission); University of Coimbra</t>
  </si>
  <si>
    <t>This work was funded under the EU project CLAIM (Cleaning Litter by developing and Applying Innovative Methods in European seas) H2020 Grant agreement ID: 774586. MC and JM were acknowledged the support of national funds through FCT, under the project UID/EMS/00285/2020. MS was acknowledged a research grant awarded by the University of Coimbra.</t>
  </si>
  <si>
    <t>FRONT MAR SCI</t>
  </si>
  <si>
    <t>Front. Mar. Sci.</t>
  </si>
  <si>
    <t>10.3389/fmars.2021.747712</t>
  </si>
  <si>
    <t>Environmental Sciences; Marine &amp; Freshwater Biology</t>
  </si>
  <si>
    <t>Environmental Sciences &amp; Ecology; Marine &amp; Freshwater Biology</t>
  </si>
  <si>
    <t>YS3RM</t>
  </si>
  <si>
    <t>WOS:000750597400001</t>
  </si>
  <si>
    <t>Ahmed, SN; Pasquire, C; Manu, E</t>
  </si>
  <si>
    <t>Ahmed, Sa'id Namadi; Pasquire, Christine; Manu, Emmanuel</t>
  </si>
  <si>
    <t>Key factors affecting commercial actors in collaborative working within the UK construction industry</t>
  </si>
  <si>
    <t>JOURNAL OF FINANCIAL MANAGEMENT OF PROPERTY AND CONSTRUCTION</t>
  </si>
  <si>
    <t>Collaboration; Quantity surveying; Cost consultants; Construction; Project delivery approach; Thematic analysis</t>
  </si>
  <si>
    <t>QUANTITY SURVEYORS; PROCUREMENT; MANAGEMENT</t>
  </si>
  <si>
    <t>Purpose Extensive research on the importance of collaborative working (CW) and aligning stakeholders' interests in construction has been widely conducted. But often the practice of commercial actors during CW has often been overlooked, particularly within the UK setting, where scholars have lamented on the lack of industry-wide collaboration. This study aims to explore the factors affecting commercial actors in CW, specific to the UK construction industry. Design/methodology/approach The research used a context-based approach to seek stakeholders' perspectives on the key factors affecting commercial actors in CW within the UK. Semi-structured interviews with individuals (contractors, cost consultants, designers among others) from construction and infrastructure organisations were conducted, using multiple case study investigations. The collected data was analysed using a case study approach, and principles of inductive thematic analysis to identify the key factors. Findings Findings from the analysis identified institutional factors such as transactional cost economic influence, the prevailing construction model influence and professional related drivers. Key drivers within these factors include commercial background and training, custom and practice, misaligned interests in projects, clients' perception of consultants, cost-driven environment, conventional procurement protocols and bureaucratic functions. Originality/value In conclusion, these factors continue to affect CW with undue influence on commercial actors in the UK, thus preventing performance improvement demanded by successive UK Government reports. The context-based approach applied in this study is expected to provide some insight in construction management research, especially from a commercial perspective in the UK, to gain an understanding of how these factors are manifesting.</t>
  </si>
  <si>
    <t>[Ahmed, Sa'id Namadi] Kingston Univ, Dept Civil Engn Surveying &amp; Construct Management, London, England; [Pasquire, Christine; Manu, Emmanuel] Nottingham Trent Univ, Sch Architecture Design &amp; Built Environm, Nottingham, England</t>
  </si>
  <si>
    <t>Ahmed, SN (corresponding author), Kingston Univ, Dept Civil Engn Surveying &amp; Construct Management, London, England.</t>
  </si>
  <si>
    <t>s.ahmed@kingston.ac.uk</t>
  </si>
  <si>
    <t>Petroleum Technology Development Fund (PTDF), Nigeria</t>
  </si>
  <si>
    <t>The authors are grateful to the reviewers for their valuable inputs and comments which helped to improve the content validity of the paper. The first author wishes to thank Petroleum Technology Development Fund (PTDF), Nigeria for sponsoring this research and Nottingham Trent University, UK, for providing world-class facilities for doctoral research.</t>
  </si>
  <si>
    <t>1366-4387</t>
  </si>
  <si>
    <t>1759-8443</t>
  </si>
  <si>
    <t>J FINANC MANAG PROP</t>
  </si>
  <si>
    <t>J. Financ. Manag. Prop. Constr.</t>
  </si>
  <si>
    <t>10.1108/JFMPC-01-2021-0004</t>
  </si>
  <si>
    <t>YE2LB</t>
  </si>
  <si>
    <t>Green Published, Green Accepted</t>
  </si>
  <si>
    <t>WOS:000740960700001</t>
  </si>
  <si>
    <t>Herrera, MP</t>
  </si>
  <si>
    <t>Palomares Herrera, Manuel</t>
  </si>
  <si>
    <t>General analysis and comparison of the transparency of the municipal advisory bodies: Special emphasis on the convenient reform of the Economic and Social Council of the city of Jaen</t>
  </si>
  <si>
    <t>CADERNOS DE DEREITO ACTUAL</t>
  </si>
  <si>
    <t>Spanish</t>
  </si>
  <si>
    <t>Transparency; Local Law; Advisory Bodies; Economic and Social Council; Jaen City Council</t>
  </si>
  <si>
    <t>Public law bodies such as the municipal consultative councils, which are so important for the purposes of local autonomy and transparency of their informative activity, must be adapted and updated to the socioeconomic reality, which in certain matters breaks down in the specific case of the Economic Council and Social of Jaen in terms of representativeness or renewal, which makes it far from being absolutely comparable to the homologous advisory bodies of the nearby environment in which the Excellency City Council of Jaen is immersed. Thus, a comparison is made between the local consultants of the Andalusian capitals, establishing two degrees in terms of compliance. Finally, and in response to the lack of reform and renewal in a quarter of a century of the Giennense body, unaware of the updates that the legal systems have been experiencing, the justification and socio-legal motivation coupled with the reform of the Economic and Social Council is developed. of the city of Jaen from two propositions such as the partial reform of its statute and regulations or from its extinction for the constitution of a Local Council under Law 57/2003, of December 16, on Measures for the Modernization of the Local Government to follow the path of Malaga, Cordoba, or Seville.</t>
  </si>
  <si>
    <t>[Palomares Herrera, Manuel] Univ Int La Rioja, Logrono, Spain</t>
  </si>
  <si>
    <t>Herrera, MP (corresponding author), Univ Int La Rioja, Logrono, Spain.</t>
  </si>
  <si>
    <t>manuel_cv_mph@outlook.es</t>
  </si>
  <si>
    <t>UNIV SANTIAGO COMPOSTELA</t>
  </si>
  <si>
    <t>SANTIAGO DE COMPOSTELA</t>
  </si>
  <si>
    <t>SERVICIO DE PUBLICACIONES E INTERCAMBIO CIENTIFICO, CAMPUS UNIV SUR, SANTIAGO DE COMPOSTELA, 15782, SPAIN</t>
  </si>
  <si>
    <t>2340-860X</t>
  </si>
  <si>
    <t>2386-5229</t>
  </si>
  <si>
    <t>CAD DEREITO ACTUAL</t>
  </si>
  <si>
    <t>Cad. Dereito Actual</t>
  </si>
  <si>
    <t>Government &amp; Law</t>
  </si>
  <si>
    <t>2V0AL</t>
  </si>
  <si>
    <t>WOS:000823514700016</t>
  </si>
  <si>
    <t>Addy, MN; Adinyira, E; Dadzoe, F; Opoku, D</t>
  </si>
  <si>
    <t>Addy, Michael Nii; Adinyira, Emmanuel; Dadzoe, Florence; Opoku, Desmond</t>
  </si>
  <si>
    <t>The Market for Green Buildings in Sub-Saharan Africa: Experts Perspective on the Economic Benefits in Ghana</t>
  </si>
  <si>
    <t>JOURNAL OF CONSTRUCTION IN DEVELOPING COUNTRIES</t>
  </si>
  <si>
    <t>Green building market; Building consultants; Ghana; Economic benefits; Sustainable development</t>
  </si>
  <si>
    <t>DEVELOPING-COUNTRIES; CONSTRUCTION; SPACE; CERTIFICATION; WILLINGNESS; BARRIERS; ADOPTION; DRIVERS</t>
  </si>
  <si>
    <t>Part of the ideals of promoting sustainability is the green building (GB) concept. Nevertheless, the uptake and use of GBs amongst most stakeholders in Africa are still on the low. Despite the plethora of studies on the economic benefits of green building, there is a dearth in studying the benefits in Africa. Within these economies, the presence of market restrictions, socio-cultural and political factors may mitigate against these benefits. This study seeks to unearth the economic benefits of GBs within the context of a sub-Saharan African country, Ghana. By adopting a quantitative research approach, a comprehensive literature review was first conducted. This was followed by the use of a questionnaire survey. A structured questionnaire was issued to building consultants in Ghana to elicit their perspectives on the economic gains of GBs. Mean scores, Wilcoxon signed-rank test and Kruskal-Wallis H test were respectively used to rank and assess the level of agreements amongst the various consultants on the economic benefits. Five economic benefits were identified from the study. This includes savings in energy, lower lifetime cost, lower operational cost, increased work productivity and transforms the construction industry. The findings show that most of the economic benefits identified from literature cannot be realised in the study region, including high return on investment and increase in building value. Consequently, building energy cost seems to play a crucial role in pushing the demand for the GB within the study milieu. The study provides a contextual understanding of economic benefits, useful to construction clients, property owners, real estate investors, consultants and the research environment. The findings are useful in providing market enablers to enhance a large-scale uptake of green construction. It is recommended that the provision of GBs should not be limited to only its impact on the environment and sustainability but also affordability concerns. This study provides a unique contextual perspective on the economic benefit of GB in a sub-Saharan African country.</t>
  </si>
  <si>
    <t>[Addy, Michael Nii; Adinyira, Emmanuel; Dadzoe, Florence] Kwame Nkrumah Univ Sci &amp; Technol, Dept Construct Technol &amp; Management, Kumasi, Ghana; [Opoku, Desmond] Kwame Nkrumah Univ Sci &amp; Technol, Dept Architecture, Kumasi, Ghana</t>
  </si>
  <si>
    <t>Addy, MN (corresponding author), Kwame Nkrumah Univ Sci &amp; Technol, Dept Construct Technol &amp; Management, Kumasi, Ghana.</t>
  </si>
  <si>
    <t>mljaddy@yahoo.co.uk</t>
  </si>
  <si>
    <t>PENERBIT UNIV SAINS MALAYSIA</t>
  </si>
  <si>
    <t>PULAU PINANG</t>
  </si>
  <si>
    <t>PENERBIT UNIVERSITI SAINS MALAYSIA, PULAU PINANG, PINANG 11800, MALAYSIA</t>
  </si>
  <si>
    <t>1823-6499</t>
  </si>
  <si>
    <t>1985-8329</t>
  </si>
  <si>
    <t>J CONSTR DEV CTRIES</t>
  </si>
  <si>
    <t>J. Constr. Dev. Ctries.</t>
  </si>
  <si>
    <t>10.21315/jcdc2022.27.1.10</t>
  </si>
  <si>
    <t>Construction &amp; Building Technology</t>
  </si>
  <si>
    <t>2T1VC</t>
  </si>
  <si>
    <t>WOS:000822267100010</t>
  </si>
  <si>
    <t>Paolotti, L; Rocchi, L; Boggia, A</t>
  </si>
  <si>
    <t>Paolotti, Luisa; Rocchi, Lucia; Boggia, Antonio</t>
  </si>
  <si>
    <t>Environmental Assessment of the Fresh Sausage Transformation Process in the Italian Context: An LCA Study</t>
  </si>
  <si>
    <t>ENVIRONMENTAL AND CLIMATE TECHNOLOGIES</t>
  </si>
  <si>
    <t>Agri-food systems; Climate Change; energy consumption; Life Cycle Assessment; sustainable production</t>
  </si>
  <si>
    <t>LIFE-CYCLE ASSESSMENT; CIRCULAR ECONOMY; SUSTAINABILITY; INDUSTRY</t>
  </si>
  <si>
    <t>The problem of Climate Change and the related issues of greenhouse emissions, and energy consumption are among the most debated topics nowadays at international level. It is essential to find viable solutions also in the agri-food sector, moving towards production processes that were more sustainable, energy saver, and possibly follow a circular economy approach. The Circular Economy is not fully a brand-new concept, as it is based on a combination of fundamental and founding concepts such as Industrial Ecology, Regenerative Design, Natural Capitalism, Cradle to Cradle approach and Blue Economy. However, the novelty is in the attention that this concept is gaining among business practitioners, consultancy firms, governments, NGOs and associations, and academics. The aim of this study is to perform a Life Cycle Assessment related to one of the main products of a company of the agri-food sector in central Italy. The product analysed was fresh sausage and the functional unit considered was 100 kg of fresh sausage. The analysis was performed in order to identify the environmental impacts caused by the different transformation processes along the product life cycle, to highlight the critical phases and to plan improvements in terms of efficiency of the production process, with consequent improvement of the environmental performance. Particular attention was paid to the transport and to the energy consumption phases.</t>
  </si>
  <si>
    <t>[Paolotti, Luisa; Rocchi, Lucia; Boggia, Antonio] Dept Agr Food &amp; Environm Sci, Borgo XX Giugno 74, I-06121 Perugia, Italy</t>
  </si>
  <si>
    <t>Paolotti, L (corresponding author), Dept Agr Food &amp; Environm Sci, Borgo XX Giugno 74, I-06121 Perugia, Italy.</t>
  </si>
  <si>
    <t>luisa.paolotti@gmail.com</t>
  </si>
  <si>
    <t>SCIENDO</t>
  </si>
  <si>
    <t>WARSAW</t>
  </si>
  <si>
    <t>BOGUMILA ZUGA 32A, WARSAW, MAZOVIA, POLAND</t>
  </si>
  <si>
    <t>1691-5208</t>
  </si>
  <si>
    <t>2255-8837</t>
  </si>
  <si>
    <t>ENVIRON CLIM TECHNOL</t>
  </si>
  <si>
    <t>Environ. Clim. Technol.</t>
  </si>
  <si>
    <t>10.2478/rtuect-2022-0037</t>
  </si>
  <si>
    <t>Green &amp; Sustainable Science &amp; Technology</t>
  </si>
  <si>
    <t>2S2IA</t>
  </si>
  <si>
    <t>WOS:000821620200002</t>
  </si>
  <si>
    <t>Saif, AM; Islam, KMA; Haque, A; Akhter, H; Rahman, SMM; Jafrin, N; Rupa, RA; Mostafa, R</t>
  </si>
  <si>
    <t>Saif, Abu Naser Mohammad; Islam, K. M. Anwarul; Haque, Afruza; Akhter, Hamida; Rahman, S. M. Masudur; Jafrin, Nusrat; Rupa, Rasheda Akter; Mostafa, Rehnuma</t>
  </si>
  <si>
    <t>Blockchain Implementation Challenges in Developing Countries: An evidence-based systematic review and bibliometric analysis</t>
  </si>
  <si>
    <t>TECHNOLOGY INNOVATION MANAGEMENT REVIEW</t>
  </si>
  <si>
    <t>Blockchain; Implementation; Challenges; Developing country; Systematic review; Bibliometric analysis; VOSviewer; PRISMA</t>
  </si>
  <si>
    <t>KEY CHALLENGES; SUPPLY CHAIN; ADOPTION; TECHNOLOGY; FRAMEWORK; INDUSTRY; IOT</t>
  </si>
  <si>
    <t>Contemporary research on technology and innovation management has gauged blockchain as a catalyst for the electronic-information era. As developing countries around the globe are facing challenges to adopt and implement blockchain, this evidence-based systematic review aims to identify the implementation challenges of blockchain technology for developing countries. A total of 1,298 published documents during the period 2016-2021 from the Scopus, Web of Science, IEEE Xplore, and ScienceDirect databases were explored to recognize 19 appropriate publications for research analysis using a PRISMA flow diagram. Based on the identified challenges from the thorough reviews of these 19 publications, using the association technique, the authors developed four comprehensive themes as broad challenges: technological, governance, organizational and environmental, and knowledge. Later, they performed bibliometric analyses using VOSviewer 1.6.17, and based on the bibliometric evidence constructed term co-occurrence network plots. The results show that developing countries face challenges vis-a-vis technological, governance, organizational and environmental, and knowledge issues when implementing blockchain technology. Hence, to make blockchain adoption and implementation processes successful in developing countries, these broad categories of challenges must be properly addressed. In addition, practitioners of disruptive technology, policymakers, consultants, IT experts, business people, top company managers, and above all, respective governments need to pay attention to these challenges for accelerating the blockchain adoption and implementation process in developing countries.</t>
  </si>
  <si>
    <t>[Saif, Abu Naser Mohammad; Akhter, Hamida] Univ Dhaka, Dept Management Informat Syst, Dhaka, Bangladesh; [Islam, K. M. Anwarul] Millennium Univ, Dept Business Adm, Dhaka, Bangladesh; [Haque, Afruza] Dhaka Univ Engn &amp; Technol, Dept Humanities &amp; Social Sci, Gazipur, Bangladesh; [Rahman, S. M. Masudur] Swinburne Univ Technol, Fac Business Design &amp; Arts FBDA, Sarawak, Malaysia; [Jafrin, Nusrat] Univ Dhaka, Dept Populat Sci, Dhaka, Bangladesh; [Jafrin, Nusrat] Univ Malaya, Fac Business &amp; Econ, Kuala Lumpur, Malaysia; [Rupa, Rasheda Akter] Prime Univ, Dept Business Adm, Dhaka, Bangladesh; [Mostafa, Rehnuma] Univ Malaysia Perlis, Fac Appl &amp; Human Sci, Management, Perlis, Malaysia</t>
  </si>
  <si>
    <t>Saif, AM (corresponding author), Univ Dhaka, Dept Management Informat Syst, Dhaka, Bangladesh.</t>
  </si>
  <si>
    <t>Islam, K. M. Anwarul/G-1426-2015; Saif, Abu Naser Mohammad/ABC-2857-2021</t>
  </si>
  <si>
    <t>Islam, K. M. Anwarul/0000-0002-5305-6724; Saif, Abu Naser Mohammad/0000-0001-7078-6780; Haque, Afruza/0000-0003-0586-6674</t>
  </si>
  <si>
    <t>CARLETON UNIV GRAPHIC SERVICES</t>
  </si>
  <si>
    <t>OTTAWA</t>
  </si>
  <si>
    <t>DUNTON TOWER RM 2122, 1125 COLONEL BY DR, OTTAWA, ON K1A 5B6, CANADA</t>
  </si>
  <si>
    <t>1927-0321</t>
  </si>
  <si>
    <t>TECHNOL INNOV MANAG</t>
  </si>
  <si>
    <t>Technol. Innov. Manag. Rev.</t>
  </si>
  <si>
    <t>10.22215/timreview/1479</t>
  </si>
  <si>
    <t>2C5XM</t>
  </si>
  <si>
    <t>WOS:000810941100006</t>
  </si>
  <si>
    <t>Fagundes, C; Schreiber, D; Nunes, MP</t>
  </si>
  <si>
    <t>Fagundes, Camila; Schreiber, Dusan; Nunes, Moema Pereira</t>
  </si>
  <si>
    <t>FSC certification in international scientific publications available from Science Direct and Scopus</t>
  </si>
  <si>
    <t>DESENVOLVIMENTO E MEIO AMBIENTE</t>
  </si>
  <si>
    <t>Portuguese</t>
  </si>
  <si>
    <t>Forest Stewardship Council; environmental certification; literature review; international publications</t>
  </si>
  <si>
    <t>STEWARDSHIP COUNCIL CERTIFICATION; FOREST CERTIFICATION; EMPIRICAL-EVIDENCE; CARBON EMISSIONS; MANAGEMENT; STANDARD; IMPACTS</t>
  </si>
  <si>
    <t>This article aims to present and analyze the characteristics of international scientific publications about the Forest Stewardship Council (FSC) Certification. The literature review was carried out by consulting two differentiated databases, namely: Science Direct and Scopus. The search allowed the identification of 137 articles selected after applying inclusion and exclusion criteria. The research identified the first publications on the subject in both databases in the year 2001. The magazine with the highest percentage of publications, 25% of the total number of articles, is the Forest Policy and Economics, classified at Qualis Capes as A1. The countries that lead the publications are the United States of America, Canada and Sweden with the predominance of objects of study located in Russia and Brazil. Among the subthemes most present in the analyzed publications, the benefits and challenges of FSC Certification stand out. The results of the review reveal the lack of Brazilian studies and the interest of foreign researchers in the subject, even using Brazilian cases as the object of study. In addition, the high ranking of the journals according to the Qualis Capes attests to the international excellence and relevance of the research on this topic. It is also noteworthy that FSC certification is a great ally in combating illegal deforestation and promoting sustainable forest management.</t>
  </si>
  <si>
    <t>[Fagundes, Camila; Schreiber, Dusan; Nunes, Moema Pereira] Univ Feevale, Novo Hamburgo, RS, Brazil</t>
  </si>
  <si>
    <t>Fagundes, C (corresponding author), Univ Feevale, Novo Hamburgo, RS, Brazil.</t>
  </si>
  <si>
    <t>cfagundes.adm@gmail.com</t>
  </si>
  <si>
    <t>UNIV FEDERAL PARANA, EDITORA</t>
  </si>
  <si>
    <t>PARANA</t>
  </si>
  <si>
    <t>RUA JOAO NEGRAO 280, CURITIBA, PARANA, 80060-200, BRAZIL</t>
  </si>
  <si>
    <t>1518-952X</t>
  </si>
  <si>
    <t>2176-9109</t>
  </si>
  <si>
    <t>DESENVOLV MEIO AMBIE</t>
  </si>
  <si>
    <t>Desenvolv. Meio Ambient.</t>
  </si>
  <si>
    <t>10.5380/dma.v59i0.74509</t>
  </si>
  <si>
    <t>2C0JD</t>
  </si>
  <si>
    <t>WOS:000810564300001</t>
  </si>
  <si>
    <t>Pacchetti, MB; Schacher, J; Dessai, S; Soares, MB; Lawlor, R; Daron, J</t>
  </si>
  <si>
    <t>Pacchetti, Marina Baldissera; Schacher, Jillian; Dessai, Suraje; Soares, Marta Bruno; Lawlor, Rob; Daron, Joseph</t>
  </si>
  <si>
    <t>Toward a UK Climate Service Code of Ethics</t>
  </si>
  <si>
    <t>BULLETIN OF THE AMERICAN METEOROLOGICAL SOCIETY</t>
  </si>
  <si>
    <t>Editorial Material</t>
  </si>
  <si>
    <t>Data processing/distribution; Data quality control; Adaptation; Climate services</t>
  </si>
  <si>
    <t>ADAPTATION</t>
  </si>
  <si>
    <t>2020 Climate Services Code of Ethics Workshop What: Over 30 international participants, mostly academics with different disciplinary backgrounds, climate service providers, government science advisors, and consultants, joined four daily 6-h remote sessions, discussing the ethics of climate services. Following a unanimous vote in favor of creating a code of ethics on the first day, the workshop spent the next three days discussing ethical issues in climate services, debating a code of ethics' structure and content, and considering different methods for its implementation and enforcement. When: 9-12 November 2020 Where: Online</t>
  </si>
  <si>
    <t>[Pacchetti, Marina Baldissera; Schacher, Jillian; Dessai, Suraje; Soares, Marta Bruno] Univ Leeds, Sustainabil Res Inst, Leeds, W Yorkshire, England; [Pacchetti, Marina Baldissera; Schacher, Jillian; Dessai, Suraje; Soares, Marta Bruno] Univ Leeds, Sch Earth &amp; Environm, Ctr Climate Change Econ &amp; Policy, Econ &amp; Social Res Council, Leeds, W Yorkshire, England; [Schacher, Jillian; Lawlor, Rob] Univ Leeds, Inter Disciplinary Ethics Appl Ctr, Leeds, W Yorkshire, England; [Daron, Joseph] Met Off, Exeter, Devon, England; [Daron, Joseph] Univ Bristol, Fac Sci, Bristol, Avon, England</t>
  </si>
  <si>
    <t>Pacchetti, MB (corresponding author), Univ Leeds, Sustainabil Res Inst, Leeds, W Yorkshire, England.;Pacchetti, MB (corresponding author), Univ Leeds, Sch Earth &amp; Environm, Ctr Climate Change Econ &amp; Policy, Econ &amp; Social Res Council, Leeds, W Yorkshire, England.</t>
  </si>
  <si>
    <t>m.baldisserapacchetti@leeds.ac.uk</t>
  </si>
  <si>
    <t>Bruno Soares, Marta/0000-0003-3127-4461</t>
  </si>
  <si>
    <t>U.K. Economic and Social Research Council Centre for Climate Change, Economics and Policy (CCCEP) [ES/R009708/1]</t>
  </si>
  <si>
    <t>U.K. Economic and Social Research Council Centre for Climate Change, Economics and Policy (CCCEP)</t>
  </si>
  <si>
    <t>This workshop was supported by the U.K. Economic and Social Research Council (ES/R009708/1) Centre for Climate Change, Economics and Policy (CCCEP).</t>
  </si>
  <si>
    <t>AMER METEOROLOGICAL SOC</t>
  </si>
  <si>
    <t>BOSTON</t>
  </si>
  <si>
    <t>45 BEACON ST, BOSTON, MA 02108-3693 USA</t>
  </si>
  <si>
    <t>0003-0007</t>
  </si>
  <si>
    <t>1520-0477</t>
  </si>
  <si>
    <t>B AM METEOROL SOC</t>
  </si>
  <si>
    <t>Bull. Amer. Meteorol. Soc.</t>
  </si>
  <si>
    <t>E25</t>
  </si>
  <si>
    <t>E32</t>
  </si>
  <si>
    <t>10.1175/BAMS-D-21-0137.1</t>
  </si>
  <si>
    <t>Meteorology &amp; Atmospheric Sciences</t>
  </si>
  <si>
    <t>1W9ZN</t>
  </si>
  <si>
    <t>WOS:000807124800003</t>
  </si>
  <si>
    <t>da Silva, MF; Gameiro, AH</t>
  </si>
  <si>
    <t>da Silva, Mirian Fabiana; Gameiro, Augusto Hauber</t>
  </si>
  <si>
    <t>Sustainability indicators for Brazilian dairy livestock: the perception of professionals in the sector</t>
  </si>
  <si>
    <t>REVISTA BRASILEIRA DE ZOOTECNIA-BRAZILIAN JOURNAL OF ANIMAL SCIENCE</t>
  </si>
  <si>
    <t>cluster analysis; milk production; production cost; quality of life; soil management</t>
  </si>
  <si>
    <t>MILK-PRODUCTION SYSTEMS; ENVIRONMENTAL IMPACTS; FARM SUSTAINABILITY; INTENSIFICATION; BENCHMARKING; PERFORMANCE; LEVEL</t>
  </si>
  <si>
    <t>The objective of this study was to analyze the perceptions of professionals in relation to the importance of indicators used to assess the sustainability of Brazilian dairy cattle. A survey method was used through a questionnaire. The target audience was professionals related to dairy cattle: researchers, professors, consultants, farmers, and other professionals. The total number of respondents to the survey was 347. Cluster analysis resulted in the formation of four distinct groups: G1 (Holistic), participants agreed that all indicators are very important or, at least, important; G2 (Technician) considered the indicators important and desirable, except for some environmental indicators which were assessed as non-priority and expendable; G3 (Socio-environmentalist) assessed the indicators as desirable, but environmental indicators received more importance; and G4 (Skeptic) generally believed that indicators were non-priority and expendable. The groups showed significant differences in relation to knowledge about technical, economic, social, and environmental aspects of dairy cattle. More than 60% of professionals consider milk production per area, reproductive index, production costs, profit from the activity, milk quality, quality of life of the producer and employees, succession, protection of water courses, and soil management as very important indicators of the sustainability of dairy cattle. On the other hand, important environmental indicators such as emissions of gases and substances, energy use, nutrient balance, and land use were neglected by most respondents. These results can help select and implement policies and strategies for decision making, aiming at producing milk in a more sustainable way.</t>
  </si>
  <si>
    <t>[da Silva, Mirian Fabiana; Gameiro, Augusto Hauber] Univ Sao Paulo, Fac Med Vet &amp; Zootecnia, Dept Nutr &amp; Prod Anim, Pirassununga, SP, Brazil</t>
  </si>
  <si>
    <t>Gameiro, AH (corresponding author), Univ Sao Paulo, Fac Med Vet &amp; Zootecnia, Dept Nutr &amp; Prod Anim, Pirassununga, SP, Brazil.</t>
  </si>
  <si>
    <t>gameiro@usp.br</t>
  </si>
  <si>
    <t>Hauber Gameiro, Augusto/0000-0001-9015-5281</t>
  </si>
  <si>
    <t>Coordenacao de Aperfeicoamento de Pessoal de Nivel Superior Brasil (CAPES) [001]</t>
  </si>
  <si>
    <t>Coordenacao de Aperfeicoamento de Pessoal de Nivel Superior Brasil (CAPES)(Coordenacao de Aperfeicoamento de Pessoal de Nivel Superior (CAPES))</t>
  </si>
  <si>
    <t>This study was financed in part by the Coordenacao de Aperfeicoamento de Pessoal de Nivel Superior Brasil (CAPES) - Finance Code 001.</t>
  </si>
  <si>
    <t>REVISTA BRASILEIRA ZOOTECNIA BRAZILIAN JOURNAL ANIMAL SCI</t>
  </si>
  <si>
    <t>VICOSA-MG</t>
  </si>
  <si>
    <t>UNIVERSIDADE FEDERAL VICOSA,, 36571-000 VICOSA-MG, BRAZIL</t>
  </si>
  <si>
    <t>1516-3598</t>
  </si>
  <si>
    <t>1806-9290</t>
  </si>
  <si>
    <t>REV BRAS ZOOTECN</t>
  </si>
  <si>
    <t>Rev. Bras. Zootecn.</t>
  </si>
  <si>
    <t>e20210049</t>
  </si>
  <si>
    <t>10.37496/rbz5120210049</t>
  </si>
  <si>
    <t>Agriculture, Dairy &amp; Animal Science; Veterinary Sciences</t>
  </si>
  <si>
    <t>Agriculture; Veterinary Sciences</t>
  </si>
  <si>
    <t>1I1QU</t>
  </si>
  <si>
    <t>WOS:000797011400001</t>
  </si>
  <si>
    <t>Pacheco, M</t>
  </si>
  <si>
    <t>Pacheco, Monica</t>
  </si>
  <si>
    <t>The Impact of Post-War Transnational Consultants in Housing and Planning Development Narratives: The Case of Otto Koenigsberger</t>
  </si>
  <si>
    <t>architectural education; consultancy; housing missions; John Lloyd; KNUST; Otto Koenigsberger; United Nations</t>
  </si>
  <si>
    <t>PLANNERS</t>
  </si>
  <si>
    <t>In the aftermath of the Second World War, the progressive dismantling of previous power-nations and the independence of many countries have contributed to new political, economic, and technical processes and highly mobile flows of people and ideas. Yet, research has overlooked knowledge channels outside of mainstream geopolitical frameworks. In particular, the role and power of international aid organizations, their development assistance programs, and the impact of the emergent new actor of this phenomenon-the consultant-in housing and planning narratives deserve to be examined. This article proposes to do so by exploring the historical contribution of Otto Koenigsberger (1908-1999) as part of the first generation of CIAM-UN experts. His view of housing as a problem of numbers engaged him on a lifelong pedagogical and transnational political project of decolonizing architectural education and the redefinition of both the profession and the professional. By emphasizing the importance of (a new) training, it raises questions on what sort of knowledge housing may require, by whom knowledge competencies may be conveyed, and how that knowledge should be instrumentalized. The article draws on extensive archival research, findings on the protagonists and institutions involved, and the author's interviews with key players that shed light on evolving conceptualizations of development, built environment, educational programs, and knowledge production. Ultimately, examining the terminology underlying the expertise delivered through consultancy reports vis a vis the education and skills needs contributes to a better understanding of the foundations of housing as a problematized field of architectural education.</t>
  </si>
  <si>
    <t>[Pacheco, Monica] ISCTE Univ Inst Lisbon, Dept Architecture &amp; Urbanism, Lisbon, Portugal</t>
  </si>
  <si>
    <t>Pacheco, M (corresponding author), ISCTE Univ Inst Lisbon, Dept Architecture &amp; Urbanism, Lisbon, Portugal.</t>
  </si>
  <si>
    <t>monica.pacheco@iscte-iul.pt</t>
  </si>
  <si>
    <t>Pacheco, Monica/K-8699-2017</t>
  </si>
  <si>
    <t>Pacheco, Monica/0000-0002-4131-5741</t>
  </si>
  <si>
    <t xml:space="preserve"> [18137]</t>
  </si>
  <si>
    <t>The author would like to thank the late Michael Lloyd, and his wife, Catherine Lloyd, for their generosity in the conversations had during three days in 2016 and for sharing personal material. My gratitude also goes to Patrick Wakely and Babar Mumtaz, who were kind and helpful in all contacts. Edward Bottoms was always tireless in his support at the AA Archives. I am indebted to the editor's initiative The Terms of Habitation: Re-theorizing the Architecture of Housing, which provided the ground for a discussion on an earlier version of the article, and the anonymous reviewers for their insightful comments, which greatly strengthened its final version. This publication was funded by Cost Action No. 18137.</t>
  </si>
  <si>
    <t>COGITATIO PRESS</t>
  </si>
  <si>
    <t>LISBON</t>
  </si>
  <si>
    <t>RUA FIALHO ALMEIDA 14, 2 ESQ, LISBON, 1070-129, PORTUGAL</t>
  </si>
  <si>
    <t>URBAN PLAN</t>
  </si>
  <si>
    <t>Urban Plan.</t>
  </si>
  <si>
    <t>10.17645/up.v7i1.4749</t>
  </si>
  <si>
    <t>0N1ZD</t>
  </si>
  <si>
    <t>WOS:000782643600011</t>
  </si>
  <si>
    <t>Toward Global Urban Climate Mitigation Linking National and Polycentric Systems of Environmental Change</t>
  </si>
  <si>
    <t>SOCIOLOGY OF DEVELOPMENT</t>
  </si>
  <si>
    <t>climate change; global cities; polycentricity; transnational municipal networks; environmental consultancy; norm diffusion</t>
  </si>
  <si>
    <t>ECOLOGICAL MODERNIZATION THEORY; WORLD SOCIETY; POLITICAL ECOLOGY; KEY CHALLENGES; CITY; INEQUALITY; GOVERNANCE; EMISSIONS; NORTH</t>
  </si>
  <si>
    <t>Most research on global environmental change focuses on the national level, but the increasingly significant role of cities worldwide in climate change governance necessitates a global-scale understanding of urban environmental change. This study explains how greenhouse gas emissions reduction in 330 cities across 48 countries is affected by diffusion of normative expertise and political-economic forces. Specifically, polycentric systems comprised of environmental management consultancies and environmental transnational municipal networks facilitate expertise transmission to cities, facilitating urban emissions reduction. This expertise is diffused globally in a normative process explicable by world society theory, but these polycentric systems bypass national governments in a direct global-to-local transmission of expertise. These findings advance world society theory beyond its traditional nation-state-centric purview by showing that new polycentric systems can also affect subnational environmental policy outcomes, linking micro-level and macro-level processes in global environmental change.</t>
  </si>
  <si>
    <t>[Leffel, Benjamin] Univ Michigan, Erb Inst Global Sustainable Enterprise, Ann Arbor, MI 48109 USA</t>
  </si>
  <si>
    <t>Leffel, B (corresponding author), Univ Michigan, Erb Inst Global Sustainable Enterprise, Ann Arbor, MI 48109 USA.</t>
  </si>
  <si>
    <t>UNIV CALIFORNIA PRESS, JOURNALS DIV</t>
  </si>
  <si>
    <t>OAKLAND</t>
  </si>
  <si>
    <t>155 GRAND AVENUE, STE 400, OAKLAND, CA 94612-3764 USA</t>
  </si>
  <si>
    <t>2374-538X</t>
  </si>
  <si>
    <t>SOCIOL DEV</t>
  </si>
  <si>
    <t>Sociol. Dev.</t>
  </si>
  <si>
    <t>10.1525/sod.2021.0018</t>
  </si>
  <si>
    <t>Development Studies; Sociology</t>
  </si>
  <si>
    <t>0A5UK</t>
  </si>
  <si>
    <t>WOS:000774019200005</t>
  </si>
  <si>
    <t>Feil, AA; Schreiber, D</t>
  </si>
  <si>
    <t>Feil, Alexandre Andre; Schreiber, Dusan</t>
  </si>
  <si>
    <t>Literature review on sustainability levels, dimensions and indicators</t>
  </si>
  <si>
    <t>PERIPLO SUSTENTABLE</t>
  </si>
  <si>
    <t>Triple bottom line, top-down and bottom-up, levels of sustainability</t>
  </si>
  <si>
    <t>CORPORATE SUSTAINABILITY; SOCIAL SUSTAINABILITY; PERFORMANCE; FRAMEWORK; ISSUES; POLICY</t>
  </si>
  <si>
    <t>The central scope of this research comprised the performance of a critical analysis of the levels, dimensions and indicators of sustainability. The methodological procedures used comprise qualitative and bibliographical research. The main results indicate that the levels of sustainability are related to the substitution, or not, of natural capital for other existing capitals, and the most appropriate level in practice would be an average between the strong and weak levels of sustainability. The Triple Bottom Line dimensions of sustainability relate to scoping and sustainability focuses on the vitality of systems (maintaining, protecting and preserving). In the process of elaborating and identifying sustainability indicators, the desirable qualities and their characteristics must be observed, with a hybrid approach of top-down and bottom-up. In this sense, conceptions of the terms of sustainability are scarce and scattered in the literature. This research compiled the definitions of the levels, dimensions and indicators of sustainability to assist researchers and consultants in their understanding.</t>
  </si>
  <si>
    <t>[Feil, Alexandre Andre] Univ Vale Taquari Univates, Lajeado, RS, Brazil; [Schreiber, Dusan] Univ Fevale, Gestao, Porto Alegre, RS, Brazil</t>
  </si>
  <si>
    <t>Feil, AA (corresponding author), Univ Vale Taquari Univates, Lajeado, RS, Brazil.</t>
  </si>
  <si>
    <t>alexandre.feil1@gmail.com</t>
  </si>
  <si>
    <t>UNIV AUTONOMA ESTADO MEXICO, FAC TURISMO GASTRONOMIA</t>
  </si>
  <si>
    <t>TOLUCA</t>
  </si>
  <si>
    <t>INSTITUTO LITERARIO NO 100, TOLUCA, 50000, MEXICO</t>
  </si>
  <si>
    <t>1870-9036</t>
  </si>
  <si>
    <t>Periplo Sustentable</t>
  </si>
  <si>
    <t>Hospitality, Leisure, Sport &amp; Tourism</t>
  </si>
  <si>
    <t>Social Sciences - Other Topics</t>
  </si>
  <si>
    <t>ZZ5IX</t>
  </si>
  <si>
    <t>WOS:000773303400004</t>
  </si>
  <si>
    <t>Collier, B; Flynn, G; Stewart, J; Thomas, D</t>
  </si>
  <si>
    <t>Collier, Ben; Flynn, Gemma; Stewart, James; Thomas, Daniel</t>
  </si>
  <si>
    <t>Influence government: Exploring practices, ethics, and power in the use of targeted advertising by the UK state</t>
  </si>
  <si>
    <t>BIG DATA &amp; SOCIETY</t>
  </si>
  <si>
    <t>Targeted advertising; government; power; marketing; criminal justice; public policy</t>
  </si>
  <si>
    <t>BEHAVIOR-CHANGE; NUDGE; GOVERNANCE; POLITICS</t>
  </si>
  <si>
    <t>We have identified an emerging tool being used by the UK government across a range of public bodies in the service of public policy - the online targeted advertising infrastructure and the practices, consultancy firms, and forms of expertise which have grown up around it. This reflects an intensification and adaptation of a broader 'behavioural turn' in the governmentality of the UK state and the increasing sophistication of everyday government communications. Contemporary UK public policy is fusing with the powerful tools for behaviour change created by the platform economy. Operational data and associated systems of classification and profiling from public bodies are being hybridised with traditional consumer marketing profiles and then 'projected' onto the classification systems of the targeted advertising infrastructures. This is not simply a case of algorithms being used for sorting, surveilling, and scoring; rather this suggests that targeted interventions in the cultural and behavioural life of communities are now a core part of governmental power which is being algorithmically-driven, in combination with influencer networks, traditional forms of messaging, and frontline operational practices. We map these uses and practices of what we describe as the 'Surveillance Influence Infrastructure', identifying key ethical issues and implications which we believe have yet to be fully investigated or considered. What we find particularly striking is the coming-together of two separate structures of power - the governmental turn to behaviourism and prevention on one hand, and the infrastructures of targeting and influence (and their complex tertiary markets) on the other. We theorise this as a move beyond 'nudge' or 'behavioural science' approaches, towards a programme which we term 'influence government'.</t>
  </si>
  <si>
    <t>[Collier, Ben; Stewart, James] Univ Edinburgh, Edinburgh, Midlothian, Scotland; [Flynn, Gemma; Thomas, Daniel] Univ Strathclyde, Glasgow, Lanark, Scotland</t>
  </si>
  <si>
    <t>Collier, B (corresponding author), Univ Edinburgh, Edinburgh, Midlothian, Scotland.</t>
  </si>
  <si>
    <t>collier@ed.ac.uk</t>
  </si>
  <si>
    <t>Collier, Ben/0000-0002-9207-3068; Thomas, Daniel/0000-0001-8936-0683</t>
  </si>
  <si>
    <t>Scottish Centre for Crime and Justice Research</t>
  </si>
  <si>
    <t>The authors would like to thank the Scottish Centre for Crime and Justice Research for their support with this project, particularly Alistair Fraser and Rachelle Cobain.</t>
  </si>
  <si>
    <t>2053-9517</t>
  </si>
  <si>
    <t>BIG DATA SOC</t>
  </si>
  <si>
    <t>Big Data Soc.</t>
  </si>
  <si>
    <t>10.1177/20539517221078756</t>
  </si>
  <si>
    <t>Social Sciences, Interdisciplinary</t>
  </si>
  <si>
    <t>ZY0FY</t>
  </si>
  <si>
    <t>gold, Green Accepted, Green Published</t>
  </si>
  <si>
    <t>WOS:000772268000001</t>
  </si>
  <si>
    <t>Khan, MA; Siddiqui, MS; Rahmani, MKI; Husain, S</t>
  </si>
  <si>
    <t>Khan, Mohammed Arshad; Siddiqui, Mohd Shuaib; Rahmani, Mohammad Khalid Imam; Husain, Shahid</t>
  </si>
  <si>
    <t>Investigation of Big Data Analytics for Sustainable Smart City Development: An Emerging Country</t>
  </si>
  <si>
    <t>IEEE ACCESS</t>
  </si>
  <si>
    <t>Smart cities; Big Data; Sustainable development; Government; Smart grids; Medical services; Transportation; Decision making; sensors; big data; Internet of Things; data analysis; smart city; sustainable development; best worst method (BWM); big data analytics (BDA)</t>
  </si>
  <si>
    <t>SUPPLY CHAINS; CHALLENGES; FRAMEWORK; CITIES; TECHNOLOGY</t>
  </si>
  <si>
    <t>In the data-driven world, data is created in huge volume and then analyzed by several organizations to get benefit from them. Smart city is one of the examples to use big data to offer improved services for its resident and tourist. However, some countries face certain obstacles to analyze the big data integration for sustainability in smart city development. Therefore, the purpose of this research paper is to identify and analyze the significant barriers related to sustainable smart city development. To accomplish this objective, fourteen barriers of big data analytics are selected through the combined approach of literature review and expert input. After that, these barriers are evaluated using the best worst method for obtaining deeper insights. The result of this study reveals that the most significant barrier is 'lack of technologies for BDA', 'lack of BDA framework', 'nature of big data', and 'low availability of analytics platforms for big data'. These barriers need to address on priority to develop a sustainable smart city. This study is helpful to the urban planner, government, and consultancy agencies to decide on the adoption of BDA for sustainable smart city development. Further, they can also optimize their resources in the best possible manner to achieve the sustainable development of the existing smart cities.</t>
  </si>
  <si>
    <t>[Khan, Mohammed Arshad; Husain, Shahid] Saudi Elect Univ, Coll Adm &amp; Financial Sci, Dept Accountancy, Riyadh 11673, Saudi Arabia; [Siddiqui, Mohd Shuaib] Integral Univ Lucknow, Dept Business Management, Lucknow 226026, Uttar Pradesh, India; [Rahmani, Mohammad Khalid Imam] Saudi Elect Univ, Coll Comp &amp; Informat, Dept Comp Sci, Riyadh 11673, Saudi Arabia</t>
  </si>
  <si>
    <t>Khan, MA (corresponding author), Saudi Elect Univ, Coll Adm &amp; Financial Sci, Dept Accountancy, Riyadh 11673, Saudi Arabia.</t>
  </si>
  <si>
    <t>m.akhan@seu.edu.sa</t>
  </si>
  <si>
    <t>Khan, Mohammed/ABD-2015-2021; Rahmani, Mohammad Khalid Imam/AAD-1141-2019; Siddiqui, Mohd Shuaib/AAQ-5239-2021</t>
  </si>
  <si>
    <t>Rahmani, Mohammad Khalid Imam/0000-0002-1937-7145; Siddiqui, Mohd Shuaib/0000-0002-2857-1804; HUSAIN, SHAHID/0000-0003-1938-9741; Arshad Khan, Dr. Mohammed/0000-0002-8375-8110</t>
  </si>
  <si>
    <t>IEEE-INST ELECTRICAL ELECTRONICS ENGINEERS INC</t>
  </si>
  <si>
    <t>PISCATAWAY</t>
  </si>
  <si>
    <t>445 HOES LANE, PISCATAWAY, NJ 08855-4141 USA</t>
  </si>
  <si>
    <t>2169-3536</t>
  </si>
  <si>
    <t>IEEE Access</t>
  </si>
  <si>
    <t>10.1109/ACCESS.2021.3115987</t>
  </si>
  <si>
    <t>Computer Science, Information Systems; Engineering, Electrical &amp; Electronic; Telecommunications</t>
  </si>
  <si>
    <t>Computer Science; Engineering; Telecommunications</t>
  </si>
  <si>
    <t>ZB0IR</t>
  </si>
  <si>
    <t>WOS:000756537200001</t>
  </si>
  <si>
    <t>Alshaabani, A; Hamza, KA; Rudnak, I</t>
  </si>
  <si>
    <t>Alshaabani, Ayman; Hamza, Khadija Aya; Rudnak, Ildiko</t>
  </si>
  <si>
    <t>Impact of Diversity Management on Employees' Engagement: The Role of Organizational Trust and Job Insecurity</t>
  </si>
  <si>
    <t>diversity management; employees' engagement; organizational trust; job insecurity</t>
  </si>
  <si>
    <t>CORPORATE SOCIAL-RESPONSIBILITY; WORK ENGAGEMENT; MEDIATING ROLE; POTENTIAL ANTECEDENTS; ETHICAL LEADERSHIP; AFFIRMATIVE-ACTION; MODERATING ROLE; BEHAVIOR; PERCEPTIONS; COMMITMENT</t>
  </si>
  <si>
    <t>The frequent world changes raised by globalization, new technology development, and the increase in migration movements have generated an immensely diversified workforce. To face these challenges, managers started to seek the best strategies to effectively run this mixed environment and implement the leading diversity management policies for human resource management sustainability, which is also considered as very constructive in boosting employees' performance, motivation, satisfaction, as well as their work engagement. Consistently, this paper examines the impact of service companies' diversity management systems on employees' engagement and the moderating role of organizational trust and job insecurity in that relationship. As we opted for a quantitative study, we managed a survey based on a questionnaire dedicated to 580 employees working in Hungarian companies, specializing in Marketing, Management consulting, IT, and logistics services, to effectively assess the hypothesis concluded from the literature review. With the use of structural equation modeling (SEM) as a data analysis tool, our findings reveal that diversity management has a positive significant effect on Employees' engagement and that organizational trust and job insecurity truly and significantly mediate that association. Along with social exchange theory, our research contributes to affirming that by implementing proper diversity management practices and by ensuring a trustworthy environment and outstanding work conditions, managers are constructively able to assist their employees, raise their involvement, and minimize the level of job insecurities.</t>
  </si>
  <si>
    <t>[Alshaabani, Ayman; Hamza, Khadija Aya; Rudnak, Ildiko] Hungarian Univ Agr &amp; Life Sci, Inst Agr &amp; Food Econ, H-2100 Godollo, Hungary</t>
  </si>
  <si>
    <t>Alshaabani, A (corresponding author), Hungarian Univ Agr &amp; Life Sci, Inst Agr &amp; Food Econ, H-2100 Godollo, Hungary.</t>
  </si>
  <si>
    <t>a.shaabany@gmail.com; khadija.hamza@yahoo.fr; Rudnak.Ildiko@uni-mate.hu</t>
  </si>
  <si>
    <t>Hamza, Khadija Aya/AFQ-3956-2022; Alshaabani, Ayman/AAK-6924-2021</t>
  </si>
  <si>
    <t>Alshaabani, Ayman/0000-0003-4533-2765; Ildiko, Rudnak/0000-0003-1352-2126; Hamza, Khadija Aya/0000-0001-6762-5409</t>
  </si>
  <si>
    <t>10.3390/su14010420</t>
  </si>
  <si>
    <t>ZD9WX</t>
  </si>
  <si>
    <t>WOS:000758545600001</t>
  </si>
  <si>
    <t>Kahn, MG; Mui, JY; Ames, MJ; Yamsani, AK; Pozdeyev, N; Rafaels, N; Brooks, IM</t>
  </si>
  <si>
    <t>Kahn, Michael G.; Mui, Joyce Y.; Ames, Michael J.; Yamsani, Anoop K.; Pozdeyev, Nikita; Rafaels, Nicholas; Brooks, Ian M.</t>
  </si>
  <si>
    <t>Migrating a research data warehouse to a public cloud: challenges and opportunities</t>
  </si>
  <si>
    <t>JOURNAL OF THE AMERICAN MEDICAL INFORMATICS ASSOCIATION</t>
  </si>
  <si>
    <t>data warehousing; cloud computing; big data; research data governance</t>
  </si>
  <si>
    <t>Objective Clinical research data warehouses (RDWs) linked to genomic pipelines and open data archives are being created to support innovative, complex data-driven discoveries. The computing and storage needs of these research environments may quickly exceed the capacity of on-premises systems. New RDWs are migrating to cloud platforms for the scalability and flexibility needed to meet these challenges. We describe our experience in migrating a multi-institutional RDW to a public cloud. Materials and Methods This study is descriptive. Primary materials included internal and public presentations before and after the transition, analysis documents, and actual billing records. Findings were aggregated into topical categories. Results Eight categories of migration issues were identified. Unanticipated challenges included legacy system limitations; network, computing, and storage architectures that realize performance and cost benefits in the face of hyper-innovation, complex security reviews and approvals, and limited cloud consulting expertise. Discussion Cloud architectures enable previously unavailable capabilities, but numerous pitfalls can impede realizing the full benefits of a cloud environment. Rapid changes in cloud capabilities can quickly obsolete existing architectures and associated institutional policies. Touchpoints with on-premise networks and systems can add unforeseen complexity. Governance, resource management, and cost oversight are critical to allow rapid innovation while minimizing wasted resources and unnecessary costs. Conclusions Migrating our RDW to the cloud has enabled capabilities and innovations that would not have been possible with an on-premises environment. Notwithstanding the challenges of managing cloud resources, the resulting RDW capabilities have been highly positive to our institution, research community, and partners.</t>
  </si>
  <si>
    <t>[Kahn, Michael G.] Univ Colorado, Dept Pediat, Sch Med, Sect Informat &amp; Data Sci, Aurora, CO 80045 USA; [Kahn, Michael G.; Mui, Joyce Y.; Yamsani, Anoop K.; Pozdeyev, Nikita; Rafaels, Nicholas; Brooks, Ian M.] Univ Colorado, Sch Med, Colorado Ctr Personalized Med, Aurora, CO 80045 USA; [Ames, Michael J.] SADA Inc, North Hollywood, CA USA; [Pozdeyev, Nikita] Univ Colorado, Sch Med, Div Endocrinol Metab &amp; Diabet, Aurora, CO 80045 USA; [Pozdeyev, Nikita; Rafaels, Nicholas; Brooks, Ian M.] Univ Colorado, Dept Med, Div Biomed Informat &amp; Personalized Med, Aurora, CO USA</t>
  </si>
  <si>
    <t>Kahn, MG (corresponding author), Univ Colorado, Dept Pediat, Sect Informat &amp; Data Sci, Anschutz Med Campus,13199 Montview Blvd, Aurora, CO 80045 USA.</t>
  </si>
  <si>
    <t>Michael.Kahn@cuanschutz.edu</t>
  </si>
  <si>
    <t>Rafaels, Nicholas/0000-0002-2024-629X; Brooks, Ian/0000-0003-2724-936X; yamsani, Anoop/0000-0003-2478-2740; Ames, Michael/0000-0003-0221-3432; Pozdeyev, Nikita/0000-0001-8574-1972; Mui, Joyce Y./0000-0002-4952-5735</t>
  </si>
  <si>
    <t>National Center for Advancing Translational Sciences (NCATS) [UL1 TR002535]; UCHealth; Childrens Hospital Colorado; University of Colorado</t>
  </si>
  <si>
    <t>National Center for Advancing Translational Sciences (NCATS)(United States Department of Health &amp; Human ServicesNational Institutes of Health (NIH) - USANIH National Center for Advancing Translational Sciences (NCATS)); UCHealth; Childrens Hospital Colorado; University of Colorado</t>
  </si>
  <si>
    <t>This work was supported by the National Center for Advancing Translational Sciences (NCATS) grant number UL1 TR002535 to the Colorado Clinical and Translational Sciences Institute. Contents are the authors' sole responsibility and do not necessarily represent official NIH views. Funds also provided by UCHealth, Childrens Hospital Colorado, and the University of Colorado.</t>
  </si>
  <si>
    <t>OXFORD UNIV PRESS</t>
  </si>
  <si>
    <t>GREAT CLARENDON ST, OXFORD OX2 6DP, ENGLAND</t>
  </si>
  <si>
    <t>1067-5027</t>
  </si>
  <si>
    <t>1527-974X</t>
  </si>
  <si>
    <t>J AM MED INFORM ASSN</t>
  </si>
  <si>
    <t>J. Am. Med. Inf. Assoc.</t>
  </si>
  <si>
    <t>10.1093/jamia/ocab278</t>
  </si>
  <si>
    <t>DEC 2021</t>
  </si>
  <si>
    <t>Computer Science, Information Systems; Computer Science, Interdisciplinary Applications; Health Care Sciences &amp; Services; Information Science &amp; Library Science; Medical Informatics</t>
  </si>
  <si>
    <t>Computer Science; Health Care Sciences &amp; Services; Information Science &amp; Library Science; Medical Informatics</t>
  </si>
  <si>
    <t>ZT3NP</t>
  </si>
  <si>
    <t>hybrid, Green Published</t>
  </si>
  <si>
    <t>WOS:000769066500003</t>
  </si>
  <si>
    <t>Soma, T; Nuckchady, B</t>
  </si>
  <si>
    <t>Soma, Tammara; Nuckchady, Bhoosun</t>
  </si>
  <si>
    <t>Communicating the Benefits and Risks of Digital Agriculture Technologies: Perspectives on the Future of Digital Agricultural Education and Training</t>
  </si>
  <si>
    <t>FRONTIERS IN COMMUNICATION</t>
  </si>
  <si>
    <t>digital agriculture; training; education; policy; communications</t>
  </si>
  <si>
    <t>POLITICAL-ECONOMY; FOOD; SOVEREIGNTY; LABOR</t>
  </si>
  <si>
    <t>British Columbia's food system is experiencing an emerging trend in the digitalization of agriculture, which will impact agricultural practices in the province. The rapid growth of this field has created a niche for training and education in digital agriculture and more specifically, in areas such as robotics, artificial intelligence, big data analytics, and computing. However, it remains unclear whether current educators and trainers in British Columbia are communicating both the benefits and risks of digital agriculture, and the need for an inclusive and equitable approach to digital agriculture. To understand the emerging education and training landscape in digital agricultural technologies, this exploratory study engaged in a key informant interview with 12 participants, including educators, relevant government staff, and private training consultants/practitioners in the food and agricultural sector in British Columbia. The small sample is reflective of the nascent nature of this area of research, which seeks to better understand digital agriculture from the perspectives of agricultural educators and trainers both in the public and private sectors. The study found that there is currently a lack of consideration for equity and food sovereignty in digital agricultural training and education. This is primarily due to a gap in engagement with the social aspects of digital agriculture. Without engaging critical social scientists and critical data studies, digital agriculture education, and training may be conducted in ways that do not promote responsible and ethical innovation, and are therefore counterproductive to the development of a just and sustainable food system.</t>
  </si>
  <si>
    <t>[Soma, Tammara; Nuckchady, Bhoosun] Simon Fraser Univ, Sch Resource &amp; Environm Management, Burnaby, BC, Canada</t>
  </si>
  <si>
    <t>Soma, T (corresponding author), Simon Fraser Univ, Sch Resource &amp; Environm Management, Burnaby, BC, Canada.</t>
  </si>
  <si>
    <t>tammara_soma@sfu.ca</t>
  </si>
  <si>
    <t>Social Sciences and Humanities Research Council Insight [435-2019-0155]</t>
  </si>
  <si>
    <t>Social Sciences and Humanities Research Council Insight</t>
  </si>
  <si>
    <t>This study was funded by the Social Sciences and Humanities Research Council Insight Grant 435-2019-0155.</t>
  </si>
  <si>
    <t>2297-900X</t>
  </si>
  <si>
    <t>FRONT COMMUN</t>
  </si>
  <si>
    <t>Front. Commun.</t>
  </si>
  <si>
    <t>DEC 17</t>
  </si>
  <si>
    <t>10.3389/fcomm.2021.762201</t>
  </si>
  <si>
    <t>YB2GM</t>
  </si>
  <si>
    <t>WOS:000738837500001</t>
  </si>
  <si>
    <t>Evans, L; Brewer, BW</t>
  </si>
  <si>
    <t>Evans, Lynne; Brewer, Britton W.</t>
  </si>
  <si>
    <t>Applied psychology of sport injury: Getting to-and moving across-The Valley of death</t>
  </si>
  <si>
    <t>JOURNAL OF APPLIED SPORT PSYCHOLOGY</t>
  </si>
  <si>
    <t>SOCIAL SUPPORT; WARM-UP; PSYCHOSOCIAL ANTECEDENTS; INTERVENTION STRATEGIES; ATHLETIC INJURIES; REHABILITATION; PREVENTION; ADHERENCE; PHYSIOTHERAPISTS; STRESS</t>
  </si>
  <si>
    <t>Areas of science in which policy and practice lag behind research evidence are known as valleys of death. It can be argued that sport injury psychology has not yet reached, let alone crossed, its own valley of death. In this paper, we consider what developments in the evidentiary base are required to reach and cross the valley of death to advance the application of psychology to sport injury prevention and rehabilitation over the next 10 years. To that end, we reflect on the current research landscape and application-readiness of several subareas of sport injury psychology, highlight some of the strengths and limitations of sport injury psychology research, consider what is required to increase the likelihood that findings from empirical sport injury psychology research will be applied as part of future preventive and rehabilitation practice to cross the valley of death, and how this can be achieved. Finally, we identify what we consider to be some of the most pressing questions for sport injury psychology researchers to address to help enhance the quality of future research and practice. Lay Summary: In the paper, we reflect on the current research landscape in the psychology of sport injury prevention and rehabilitation and what is required of future research to close the research-practice gap.Implications for Practice The applications-readiness of findings could be increased by using a participatory approach to the design and implementation of interventions, ensuring interventions are responsive to constituent needs and environmental demands, and can be implemented by users other than sport psychology consultants.</t>
  </si>
  <si>
    <t>[Evans, Lynne] Cardiff Metropolitan Univ, Cardiff Sch Sport &amp; Hlth Sci, Cyncoed Campus, Cardiff CF23 6XD, Wales; [Brewer, Britton W.] Springfield Coll, Dept Psychol, Springfield, MA USA</t>
  </si>
  <si>
    <t>Evans, L (corresponding author), Cardiff Metropolitan Univ, Cardiff Sch Sport &amp; Hlth Sci, Cyncoed Campus, Cardiff CF23 6XD, Wales.</t>
  </si>
  <si>
    <t>levans@cardiffmet.ac.uk</t>
  </si>
  <si>
    <t>1041-3200</t>
  </si>
  <si>
    <t>1533-1571</t>
  </si>
  <si>
    <t>J APPL SPORT PSYCHOL</t>
  </si>
  <si>
    <t>J. Appl. Sport Psychol.</t>
  </si>
  <si>
    <t>10.1080/10413200.2021.2015480</t>
  </si>
  <si>
    <t>Hospitality, Leisure, Sport &amp; Tourism; Psychology, Applied; Psychology; Sport Sciences</t>
  </si>
  <si>
    <t>Social Sciences - Other Topics; Psychology; Sport Sciences</t>
  </si>
  <si>
    <t>XT6FN</t>
  </si>
  <si>
    <t>WOS:000733681100001</t>
  </si>
  <si>
    <t>Cadwgan, J; Goodwin, J; Arichi, T; Patel, A; Turner, S; Barkey, S; McDonald, A; Lumsden, DE; Fairhurst, C</t>
  </si>
  <si>
    <t>Cadwgan, Jill; Goodwin, Jane; Arichi, Tomoki; Patel, Anita; Turner, Susie; Barkey, Sinead; McDonald, Aoife; Lumsden, Daniel E.; Fairhurst, Charlie</t>
  </si>
  <si>
    <t>Care in COVID: A qualitative analysis of the impact of COVID-19 on the health and care of children and young people with severe physical neurodisability and their families</t>
  </si>
  <si>
    <t>CHILD CARE HEALTH AND DEVELOPMENT</t>
  </si>
  <si>
    <t>cerebral palsy; child disability; COVID-19; qualitative</t>
  </si>
  <si>
    <t>CEREBRAL-PALSY; STRESS</t>
  </si>
  <si>
    <t>Aim To evaluate clinicians' perspectives on the impact of 'lockdown' during the COVID-19 pandemic for children and young people with severe physical neurodisability and their families. Method Framework analysis of comments from families during a recent service review was used to code the themes discussed according to the World Health Organization International Classification of Functioning, Disability and Health (ICF) and interpreted into emergent themes to summarize the impact of lockdown (Stage 1). They were presented to a clinician focus group for discussion (consultants and physiotherapists working in a specialist motor disorders service, [Stage 2]). Results Three overarching themes 'Uncertainty and Anxiety', 'Exacerbation of Existing Inequalities' and 'Care Provision: Reaction, Adaptation, and Innovation' summed up the impact of the COVID-19 pandemic on health and well-being in children and young people with neurodisability and their families. All themes were influenced by time. Interpretation This study reflects clinician's perceptions of family experiences of the pandemic and lockdown. Significant impact is apparent in the entire U.K. population, but the complexity of care needs for children with physical neurodisability exacerbates this. Lobbying for government policy is vital to ensure that all children, and in particular those with significant health and social care needs, are protected and continue to access services. During the restoration and recovery phase of the pandemic, there is a need for service reconfiguration that utilizes what we have learned and is adaptive to individual family circumstances.</t>
  </si>
  <si>
    <t>[Cadwgan, Jill; Arichi, Tomoki; Patel, Anita; Turner, Susie; Barkey, Sinead; McDonald, Aoife; Lumsden, Daniel E.; Fairhurst, Charlie] Guys &amp; St Thomas NHS Fdn Trust, Childrens Neurosci, Evelina London Childrens Hosp, 2nd Floor,Becket House,Lambeth Palace Rd, London SE1 7EU, England; [Cadwgan, Jill; Lumsden, Daniel E.; Fairhurst, Charlie] Kings Coll London, Sch Life Sci, London, England; [Goodwin, Jane] Newcastle Univ, Populat Hlth Sci Inst, Newcastle Upon Tyne, Tyne &amp; Wear, England; [Arichi, Tomoki] Kings Coll London, Sch Biomed Engn &amp; Imaging Sci, Ctr Dev Brain, London, England; [Arichi, Tomoki] Imperial Coll London, Dept Bioengn, London, England</t>
  </si>
  <si>
    <t>Cadwgan, J (corresponding author), Guys &amp; St Thomas NHS Fdn Trust, Childrens Neurosci, Evelina London Childrens Hosp, 2nd Floor,Becket House,Lambeth Palace Rd, London SE1 7EU, England.</t>
  </si>
  <si>
    <t>jill.cadwgan@gstt.nhs.uk</t>
  </si>
  <si>
    <t>Lumsden, Daniel/0000-0002-5524-6177; Fairhurst, Charlie/0000-0002-9534-0563; Arichi, Tomoki/0000-0002-3550-1644; Goodwin, Jane/0000-0002-5633-9148</t>
  </si>
  <si>
    <t>Maria Marina Foundation</t>
  </si>
  <si>
    <t>0305-1862</t>
  </si>
  <si>
    <t>1365-2214</t>
  </si>
  <si>
    <t>CHILD CARE HLTH DEV</t>
  </si>
  <si>
    <t>Child Care Health Dev.</t>
  </si>
  <si>
    <t>10.1111/cch.12925</t>
  </si>
  <si>
    <t>Psychology, Developmental; Pediatrics</t>
  </si>
  <si>
    <t>Psychology; Pediatrics</t>
  </si>
  <si>
    <t>XP1WM</t>
  </si>
  <si>
    <t>Green Published</t>
  </si>
  <si>
    <t>WOS:000730663300001</t>
  </si>
  <si>
    <t>Scott, TA; Marantz, N; Ulibarri, N</t>
  </si>
  <si>
    <t>Scott, Tyler A.; Marantz, Nicholas; Ulibarri, Nicola</t>
  </si>
  <si>
    <t>Use of Boilerplate Language in Regulatory Documents: Evidence from Environmental Impact Statements</t>
  </si>
  <si>
    <t>AGENCY; ISOMORPHISM; CONTRACTS; ATTENTION; SCIENCE</t>
  </si>
  <si>
    <t>Administrative procedures are intended to increase transparency and help agencies make better decisions. However, these requirements also increase agency workload. Understanding how public agencies satisfy procedural requirements is a critical facet of agency performance. This analysis focuses on the language used in Environmental Impact Statements (EISs) required by the US National Environmental Policy Act (NEPA)-specifically, the reuse of similar text within and between assessments. We synthesize theories of institutional isomorphism and bureaucratic coping to understand why text is reused, and consider the tradeoffs of this behavior. Using a national dataset of 1015 EISs published by 22 agencies from 2013 to 2020, we apply local document alignment (LDA) to measure how boilerplate language varies by agency, authors, project type, location, and consulting firm involvement. Latent order logistic and beta regression models applied to the LDA results show that text reuse primarily occurs where there is a clear substantive rationale for boilerplate language or where studies share authors or contract consulting firms. This indicates: (1) that agencies largely do not engage in pro forma compliance efforts; and (2) that while NEPA procedures are oriented around individual projects and decisions, cross-project learning and the narrowness-or breadth-of agencies' project portfolios shape analytical routines and the relative tradeoffs of boilerplate text in policy analysis. This article adds to our theoretical understanding of agencies' coping strategies in response to institutional pressures and makes a methodological contribution by demonstrating the application of text reuse measurement and information extraction methods in public administration research.</t>
  </si>
  <si>
    <t>[Scott, Tyler A.] Univ Calif Davis, Davis, CA 95616 USA; [Marantz, Nicholas; Ulibarri, Nicola] Univ Calif Irvine, Irvine, CA 92717 USA</t>
  </si>
  <si>
    <t>Scott, TA (corresponding author), Univ Calif Davis, Davis, CA 95616 USA.</t>
  </si>
  <si>
    <t>tascott@ucdavis.edu</t>
  </si>
  <si>
    <t>Ulibarri, Nicola/0000-0001-6238-9056</t>
  </si>
  <si>
    <t>1477-9803</t>
  </si>
  <si>
    <t>J PUBL ADM RES THEOR</t>
  </si>
  <si>
    <t>J. Publ. Adm. Res. Theory</t>
  </si>
  <si>
    <t>JUN 4</t>
  </si>
  <si>
    <t>10.1093/jopart/muab048</t>
  </si>
  <si>
    <t>Political Science; Public Administration</t>
  </si>
  <si>
    <t>Government &amp; Law; Public Administration</t>
  </si>
  <si>
    <t>1V1ID</t>
  </si>
  <si>
    <t>WOS:000764814000001</t>
  </si>
  <si>
    <t>Suresh, M; Dharunanand, R</t>
  </si>
  <si>
    <t>Suresh, M.; Dharunanand, R.</t>
  </si>
  <si>
    <t>Factors influencing sustainable maintenance in manufacturing industries</t>
  </si>
  <si>
    <t>JOURNAL OF QUALITY IN MAINTENANCE ENGINEERING</t>
  </si>
  <si>
    <t>Sustainable maintenance; Manufacturing plant; Maintenance planning; Maintenance practices; Plant maintenance; Total interpretive structural modeling</t>
  </si>
  <si>
    <t>STRUCTURAL MODELING TISM; CRITICAL SUCCESS FACTORS; MANAGEMENT; ISM; FRAMEWORK; HEALTH; OIL</t>
  </si>
  <si>
    <t>Purpose This paper intends to discover, analyze and construct a model that may be used to measure the interactions between major factors which are identified by expert opinion and literature review for sustainable maintenance specific to manufacturing industries using the total interpretive structural modeling (TISM) approach. Design/methodology/approach In total, 12 factors were acknowledged from the literature review and the opinions of experts from manufacturing industries. Scheduled interviews with the employees were conducted by using the questionnaire which is developed from the identified 12 factors in order to find the interrelationships among these factors. The TISM approach is used for analyzing factors' interrelationships. The Matrice d'Impacts Croises Multiplication Appliques a un Classement (MICMAC) approach is used to identify the key factors which influence sustainable maintenance. Findings This paper found 12 factors that have ascendancy over the sustainable maintenance practices in the industry by reviewing the literature and consulting industry experts to realize the linkage between the factors. The results found that availability rate, adopting government policies, training and education are key factors that influence sustainable maintenance. Practical implications The proposed model would be valuable for experts to understand the factors influencing sustainable maintenance in the industry. This model can be used by an organization's maintenance managers to implement sustainable maintenance practices in their plants. Originality/value This study analyzes the interrelationship between factors influencing sustainable maintenance in manufacturing industries, which is a new effort in this domain of practice.</t>
  </si>
  <si>
    <t>[Suresh, M.; Dharunanand, R.] Amrita Vishwa Vidyapeetham, Amrita Sch Business, Coimbatore, Tamil Nadu, India</t>
  </si>
  <si>
    <t>Suresh, M (corresponding author), Amrita Vishwa Vidyapeetham, Amrita Sch Business, Coimbatore, Tamil Nadu, India.</t>
  </si>
  <si>
    <t>m_suresh@cb.amrita.edu; rdharunanand@gmail.com</t>
  </si>
  <si>
    <t>R, Dharunanand/0000-0003-0543-912X</t>
  </si>
  <si>
    <t>1355-2511</t>
  </si>
  <si>
    <t>1758-7832</t>
  </si>
  <si>
    <t>J QUAL MAINT ENG</t>
  </si>
  <si>
    <t>J. Qual. Maint. Eng.</t>
  </si>
  <si>
    <t>10.1108/JQME-05-2021-0038</t>
  </si>
  <si>
    <t>Engineering, Industrial</t>
  </si>
  <si>
    <t>XP1FG</t>
  </si>
  <si>
    <t>WOS:000730618300001</t>
  </si>
  <si>
    <t>Pearce, E; Myles-Hooton, P; Johnson, S; Hards, E; Olsen, S; Clisu, D; Pais, SMA; Chesters, HA; Shah, S; Jerwood, G; Politis, M; Melwani, J; Andersson, G; Shafran, R</t>
  </si>
  <si>
    <t>Pearce, Eiluned; Myles-Hooton, Pamela; Johnson, Sonia; Hards, Emily; Olsen, Samantha; Clisu, Denisa; Pais, Sarah M. A.; Chesters, Heather A.; Shah, Shyamal; Jerwood, Georgia; Politis, Marina; Melwani, Joshua; Andersson, Gerhard; Shafran, Roz</t>
  </si>
  <si>
    <t>Loneliness as an active ingredient in preventing or alleviating youth anxiety and depression: a critical interpretative synthesis incorporating principles from rapid realist reviews</t>
  </si>
  <si>
    <t>TRANSLATIONAL PSYCHIATRY</t>
  </si>
  <si>
    <t>SOCIAL ANXIETY; UNIVERSITY-STUDENTS; RISK-FACTORS; ADOLESCENTS; INTERVENTION; HEALTH; SUPPORT; SCALE; EXPERIENCES; SYMPTOMS</t>
  </si>
  <si>
    <t>Loneliness is a relatively common problem in young people (14-24 years) and predicts the onset of depression and anxiety. Interventions to reduce loneliness thus have significant potential as active ingredients in strategies to prevent or alleviate anxiety and depression among young people. Previous reviews have focused on quantitative evidence and have not examined potential mechanisms that could be targets for intervention strategies. To build on this work, in this review we aimed to combine qualitative and quantitative evidence with stakeholder views to identify interventions that appear worth testing for their potential effectiveness in reducing loneliness, anxiety and depression in young people aged 14-24 years, and provide insights into the potential mechanisms of action. We conducted a Critical Interpretative Synthesis, a systematic review method that iteratively synthesises qualitative and quantitative evidence and is explicitly focused on building theory through a critical approach to the evidence that questions underlying assumptions. Literature searches were performed using nine databases, and eight additional databases were searched for theses and grey literature. Charity and policy websites were searched for content relevant to interventions for youth loneliness. We incorporated elements of Rapid Realistic Review approaches by consulting with young people and academic experts to feed into search strategies and the resulting conceptual framework, in which we aimed to set out which interventions appear potentially promising in terms of theoretical and empirical underpinnings and which fit with stakeholder views. We reviewed effectiveness data and quality ratings for the included randomised controlled trials only. Through synthesising 27 studies (total participants n = 105,649; range 1-102,072 in different studies) and grey literature, and iteratively consulting with stakeholders, a conceptual framework was developed. A range of 'Intrapersonal' (e.g. therapy that changes thinking and behaviour), 'Interpersonal' (e.g. improving social skills), and 'Social' Strategies (e.g. enhancing social support, and providing opportunities for social contact) seem worth testing further for their potential to help young people address loneliness, thereby preventing or alleviating depression and/or anxiety. Such strategies should be co-designed with young people and personalised to fit individual needs. Plausible mechanisms of action are facilitating sustained social support, providing opportunities for young people to socialise with peers who share similar experiences, and changing thinking and behaviour, for instance through building positive attitudes to themselves and others. The most convincing evidence of effectiveness was found in support of Intrapersonal Strategies: two randomised controlled studies quality-rated as 'good' found decreases in loneliness associated with different forms of therapy (Cognitive Behavioural Therapy or peer network counselling), although power calculations were not reported, and effect sizes were small or missing. Strategies to address loneliness and prevent or alleviate anxiety and depression need to be co-designed and personalised. Promising elements to incorporate into these strategies are social support, including from peers with similar experiences, and psychological therapy.</t>
  </si>
  <si>
    <t>[Pearce, Eiluned; Johnson, Sonia; Pais, Sarah M. A.; Shah, Shyamal; Jerwood, Georgia; Politis, Marina; Melwani, Joshua] UCL, Div Psychiat, London, England; [Myles-Hooton, Pamela; Olsen, Samantha; Chesters, Heather A.; Shafran, Roz] UCL, Great Ormond St Inst Child Hlth, London, England; [Johnson, Sonia] Camden &amp; Islington NHS Fdn Trust, London, England; [Hards, Emily] Univ Bath, Dept Psychol, Bath, Avon, England; [Clisu, Denisa] UCL, Div Psychol &amp; Language Sci, London, England; [Andersson, Gerhard] Linkoping Univ, Dept Behav Sci &amp; Learning, Dept Biomed &amp; Clin Sci, Linkoping, Sweden</t>
  </si>
  <si>
    <t>Pearce, E (corresponding author), UCL, Div Psychiat, London, England.</t>
  </si>
  <si>
    <t>ellie.pearce@ucl.ac.uk</t>
  </si>
  <si>
    <t>Andersson, Gerhard/J-8529-2012; Johnson, Sonia/A-5220-2008</t>
  </si>
  <si>
    <t>Andersson, Gerhard/0000-0003-4753-6745; Olsen, Samantha/0000-0001-7879-7345; Hards, Emily/0000-0001-9274-4995; Politis, Marina/0000-0003-1406-5967; Shafran, Roz/0000-0003-2729-4961; Johnson, Sonia/0000-0002-2219-1384; Pearce, Eiluned/0000-0002-4347-317X</t>
  </si>
  <si>
    <t>UKRI [ES/S004440/1]</t>
  </si>
  <si>
    <t>UKRI(UK Research &amp; Innovation (UKRI))</t>
  </si>
  <si>
    <t>This work was commissioned by The Wellcome Trust as part of their Active Ingredients mental health programme (https://wellcome.ac.uk/what-we-do/ourwork/mental-health-transforming-research-and-treatments/strategy).The authors are members of the UKRI-funded Loneliness and Social Isolation in Mental Health Research Network (grant number ES/S004440/1), which is led by SJ, coordinated by EP, and of which RS is a co-investigator.</t>
  </si>
  <si>
    <t>2158-3188</t>
  </si>
  <si>
    <t>TRANSL PSYCHIAT</t>
  </si>
  <si>
    <t>Transl. Psychiatr.</t>
  </si>
  <si>
    <t>DEC 10</t>
  </si>
  <si>
    <t>10.1038/s41398-021-01740-w</t>
  </si>
  <si>
    <t>XM8OM</t>
  </si>
  <si>
    <t>Green Published, Green Submitted, gold</t>
  </si>
  <si>
    <t>WOS:000729079100001</t>
  </si>
  <si>
    <t>Abuzaid, H; Abu Moeilak, L; Alzaatreh, A</t>
  </si>
  <si>
    <t>Abuzaid, Haneen; Abu Moeilak, Lama; Alzaatreh, Ayman</t>
  </si>
  <si>
    <t>Customers' perception of residential photovoltaic solar projects in the UAE: A structural equation modeling approach</t>
  </si>
  <si>
    <t>ENERGY STRATEGY REVIEWS</t>
  </si>
  <si>
    <t>Photovoltaic projects; Residential; PV solar; Customers' perception; Structural equation modeling</t>
  </si>
  <si>
    <t>ENERGY SYSTEM TRANSFORMATION; ELECTRICITY; DIFFUSION; ATTITUDES; POLICY; TECHNOLOGY; EVOLUTION; BEHAVIOR; IMPACT; CARBON</t>
  </si>
  <si>
    <t>Photovoltaic solar systems are widely used as a renewable energy resource worldwide due to the numerous negative impacts of the conventional-depleted energy resources. In the context of the Middle East, the United Arab Emirates has been a pioneer in regulating renewable energy and setting annual targets for the dependency on and market share of renewable energy and carbon dioxide emissions. The purpose of this paper is to define the main factors that affect customers' perception of photovoltaic solar projects for the residential sector as an alternative renewable source of electricity in the United Arab Emirates. Reliably collected responses were used to build a hypothetical model using confirmatory factor analysis and structural equation modeling. The findings showed that financial and environmental aspects are the main contributors to customers' perception in the United Arab Emirates. Furthermore, it was apparent that different nationalities in the United Arab Emirates have similar average perception of photovoltaic systems projects and finally, we suggest that perception may positively impact the intention towards adopting residential photovoltaic systems. These findings can be utilized by governmental related authorities, photovoltaic systems contractors, photovoltaic systems leasing companies, and energy consultants to enhance the perception of customers and increase the tendency to install such projects in the residential sector.</t>
  </si>
  <si>
    <t>[Abuzaid, Haneen; Abu Moeilak, Lama] Amer Univ Sharjah, Dept Ind Engn, Sharjah, U Arab Emirates; [Alzaatreh, Ayman] Amer Univ Sharjah, Dept Math &amp; Stat, Sharjah, U Arab Emirates</t>
  </si>
  <si>
    <t>Alzaatreh, A (corresponding author), Amer Univ Sharjah, Dept Math &amp; Stat, Sharjah, U Arab Emirates.</t>
  </si>
  <si>
    <t>aalzaatreh@aus.edu</t>
  </si>
  <si>
    <t>Open Access Program from the American University of Sharjah</t>
  </si>
  <si>
    <t>The authors are grateful for the comments and suggestions by the referees and the Editor. Their comments and suggestions have greatly improved the paper. The authors gratefully acknowledge that the work in this paper was supported, in part, by the Open Access Program from the American University of Sharjah.</t>
  </si>
  <si>
    <t>2211-467X</t>
  </si>
  <si>
    <t>2211-4688</t>
  </si>
  <si>
    <t>ENERGY STRATEG REV</t>
  </si>
  <si>
    <t>Energy Strateg. Rev.</t>
  </si>
  <si>
    <t>10.1016/j.esr.2021.100778</t>
  </si>
  <si>
    <t>YH7RS</t>
  </si>
  <si>
    <t>WOS:000743361100013</t>
  </si>
  <si>
    <t>Ye, Y; Barapatre, S; Davis, MK; Elliston, KO; Davatzikos, C; Fedorov, A; Fillion-Robin, JC; Foster, I; Gilbertson, JR; Lasso, A; Miller, JV; Morgan, M; Pieper, S; Raumann, BE; Sarachan, BD; Savova, G; Silverstein, JC; Taylor, DP; Zelnis, JB; Zhang, GQ; Cuticchia, J; Becich, MJ</t>
  </si>
  <si>
    <t>Ye, Ye; Barapatre, Seemran; Davis, Michael K.; Elliston, Keith O.; Davatzikos, Christos; Fedorov, Andrey; Fillion-Robin, Jean-Christophe; Foster, Ian; Gilbertson, John R.; Lasso, Andras; Miller, James, V; Morgan, Martin; Pieper, Steve; Raumann, Brigitte E.; Sarachan, Brion D.; Savova, Guergana; Silverstein, Jonathan C.; Taylor, Donald P.; Zelnis, Joyce B.; Zhang, Guo-Qiang; Cuticchia, Jamie; Becich, Michael J.</t>
  </si>
  <si>
    <t>Open-source Software Sustainability Models: Initial White Paper From the Informatics Technology for Cancer Research Sustainability and Industry Partnership Working Group</t>
  </si>
  <si>
    <t>JOURNAL OF MEDICAL INTERNET RESEARCH</t>
  </si>
  <si>
    <t>open-source software; sustainability; licensing model; financial model; product management; cancer informatics</t>
  </si>
  <si>
    <t>Background: The National Cancer Institute Informatics Technology for Cancer Research (ITCR) program provides a series of funding mechanisms to create an ecosystem of open-source software (OSS) that serves the needs of cancer research. As the ITCR ecosystem substantially grows, it faces the challenge of the long-term sustainability of the software being developed by ITCR grantees. To address this challenge, the ITCR sustainability and industry partnership working group (SIP-WG) was convened in 2019. Objective: The charter of the SIP-WG is to investigate options to enhance the long-term sustainability of the OSS being developed by ITCR, in part by developing a collection of business model archetypes that can serve as sustainability plans for ITCR OSS development initiatives. The working group assembled models from the ITCR program, from other studies, and from the engagement of its extensive network of relationships with other organizations (eg, Chan Zuckerberg Initiative, Open Source Initiative, and Software Sustainability Institute) in support of this objective. Methods: This paper reviews the existing sustainability models and describes 10 OSS use cases disseminated by the SIP-WG and others, including 3D Slicer, Bioconductor, Cytoscape, Globus, i2b2 (Informatics for Integrating Biology and the Bedside) and tranSMART, Insight Toolkit, Linux, Observational Health Data Sciences and Informatics tools, R, and REDCap (Research Electronic Data Capture), in 10 sustainability aspects: governance, documentation, code quality, support, ecosystem collaboration, security, legal, finance, marketing, and dependency hygiene. Results: Information available to the public reveals that all 10 OSS have effective governance, comprehensive documentation, high code quality, reliable dependency hygiene, strong user and developer support, and active marketing. These OSS include a variety of licensing models (eg, general public license version 2, general public license version 3, Berkeley Software Distribution, and Apache 3) and financial models (eg, federal research funding, industry and membership support, and commercial support). However, detailed information on ecosystem collaboration and security is not publicly provided by most OSS. Conclusions: We recommend 6 essential attributes for research software: alignment with unmet scientific needs, a dedicated development team, a vibrant user community, a feasible licensing model, a sustainable financial model, and effective product management. We also stress important actions to be considered in future ITCR activities that involve the discussion of the sustainability and licensing models for ITCR OSS, the establishment of a central library, the allocation of consulting resources to code quality control, ecosystem collaboration, security, and dependency hygiene.</t>
  </si>
  <si>
    <t>[Ye, Ye; Barapatre, Seemran; Davis, Michael K.; Gilbertson, John R.; Silverstein, Jonathan C.; Taylor, Donald P.; Zelnis, Joyce B.; Becich, Michael J.] Univ Pittsburgh, Sch Med, Dept Biomed Informat, 5607 Baum Blvd Off 502, Pittsburgh, PA 15206 USA; [Elliston, Keith O.; Cuticchia, Jamie] Axiomedix Inc, Bedford, MA USA; [Elliston, Keith O.] PHEMI Syst Corp, Vancouver, BC, Canada; [Elliston, Keith O.] TranSMART Fdn, Wakefield, MA USA; [Davatzikos, Christos] Univ Penn, Sch Med, Dept Radiol, Philadelphia, PA 19104 USA; [Fedorov, Andrey] Harvard Med Sch, Brigham &amp; Womens Hosp, Boston, MA USA; [Fillion-Robin, Jean-Christophe] Kitware Inc, Clifton Pk, NY USA; [Foster, Ian] Univ Chicago, Dept Comp Sci, Chicago, IL 60637 USA; [Lasso, Andras] Queens Univ, Sch Comp, Perk Lab Percutaneous Surg, Kingston, ON, Canada; [Miller, James, V; Sarachan, Brion D.] GE Global Res, Niskayuna, NY USA; [Morgan, Martin] Roswell Pk Comprehens Canc Ctr, Dept Biostat &amp; Bioinformat, Buffalo, NY USA; [Pieper, Steve] Isom Inc, Cambridge, MA USA; [Raumann, Brigitte E.] Univ Chicago, Globus, Chicago, IL USA; [Savova, Guergana] Harvard Med Sch, Boston Childrens Hosp, Boston, MA USA; [Zhang, Guo-Qiang] Univ Texas Hlth Sci Ctr Houston, Houston, TX 77030 USA</t>
  </si>
  <si>
    <t>Becich, MJ (corresponding author), Univ Pittsburgh, Sch Med, Dept Biomed Informat, 5607 Baum Blvd Off 502, Pittsburgh, PA 15206 USA.</t>
  </si>
  <si>
    <t>becich@pitt.edu</t>
  </si>
  <si>
    <t>Foster, Ian/GNH-1877-2022; Lasso, Andras/D-4914-2011</t>
  </si>
  <si>
    <t>Foster, Ian/0000-0003-2129-5269; Lasso, Andras/0000-0002-4220-7064; Davis, Michael/0000-0002-7754-3957; Ye, Ye/0000-0002-1138-9846</t>
  </si>
  <si>
    <t>Centers for Disease Control and Prevention, National Institute for Occupational Safety Health [U24 OH009077]; National Library of Medicine [K99LM013383]; NIH NCI [U24 CA180918]; NIH [U24CA180996]; NCI-ITCR [U01CA204826]; NIH-NIBIB [P41 EB015902]; ITCR program; ITCR [R21 CA231904];  [U24CA248010]</t>
  </si>
  <si>
    <t xml:space="preserve">Centers for Disease Control and Prevention, National Institute for Occupational Safety Health; National Library of Medicine(United States Department of Health &amp; Human ServicesNational Institutes of Health (NIH) - USANIH National Library of Medicine (NLM)); NIH NCI(United States Department of Health &amp; Human ServicesNational Institutes of Health (NIH) - USANIH National Cancer Institute (NCI)); NIH(United States Department of Health &amp; Human ServicesNational Institutes of Health (NIH) - USA); NCI-ITCR; NIH-NIBIB(United States Department of Health &amp; Human ServicesNational Institutes of Health (NIH) - USANIH National Institute of Biomedical Imaging &amp; Bioengineering (NIBIB)); ITCR program; ITCR; </t>
  </si>
  <si>
    <t>The authors thank the ITCR program for supporting the SIP-WG authors who contributed to this manuscript. The authors especially want to thank Mervi Heiskanen for her support in the many meetings and the strategic coordination required to publish this manuscript. Finally, special thanks go to Juli Klemm, Program Director of the Center for Strategic Scientific Initiatives and Director of ITCR, for her strategic advice, inputs into the ITCR SIP-WG, and this important OSS sustainability model effort. The authors thank Dr Richard Boyce from the University of Pittsburgh for contributions to the OHDSI case study, Lee Liming and Vas Vasiliadis from the University of Chicago for contributions to the manuscript revisions, and Dr Rudi Pillich from the University of San Diego for providing guidance on the ITCR connectivity map. The authors thank the 2 reviewers for their insightful comments. The authors received the following funding support: MJB and YY, Centers for Disease Control and Prevention, National Institute for Occupational Safety &amp; Health U24 OH009077; YY, National Library of Medicine K99LM013383; AF, NIH NCI U24 CA180918; MM, NIH U24CA180996; BDS, NCI-ITCR U01CA204826; GS, U24CA248010; SP, NIH-NIBIB grant P41 EB015902; and GQZ, ITCR R21 CA231904.</t>
  </si>
  <si>
    <t>JMIR PUBLICATIONS, INC</t>
  </si>
  <si>
    <t>TORONTO</t>
  </si>
  <si>
    <t>130 QUEENS QUAY E, STE 1102, TORONTO, ON M5A 0P6, CANADA</t>
  </si>
  <si>
    <t>1438-8871</t>
  </si>
  <si>
    <t>J MED INTERNET RES</t>
  </si>
  <si>
    <t>J. Med. Internet Res.</t>
  </si>
  <si>
    <t>e20028</t>
  </si>
  <si>
    <t>10.2196/20028</t>
  </si>
  <si>
    <t>Health Care Sciences &amp; Services; Medical Informatics</t>
  </si>
  <si>
    <t>YQ9EL</t>
  </si>
  <si>
    <t>WOS:000749605800006</t>
  </si>
  <si>
    <t>Almohideb, M</t>
  </si>
  <si>
    <t>Almohideb, Mohammad</t>
  </si>
  <si>
    <t>Management patterns for skin aging among Saudi dermatologists: A questionnaire-based study</t>
  </si>
  <si>
    <t>JOURNAL OF FAMILY MEDICINE AND PRIMARY CARE</t>
  </si>
  <si>
    <t>Antiaging; dermatologist; Saudi; skin aging</t>
  </si>
  <si>
    <t>PERSONALIZED MEDICINE; PATIENT INTEREST; HEALTH; PERCEPTION; AGE</t>
  </si>
  <si>
    <t>Background: Skin aging is a complicated process affected by intrinsic, chronological, and extrinsic, environmental, determinants, and it is affected, to a large extent, by exposure to ultraviolet radiation (UVR). The present study aims to assess the antiaging treatment strategies in a real-world setting in Saudi Arabia. Materials and Methods: We conducted an online cross-sectional survey that was conducted from May 2020 to October 2020, involving all eligible dermatologists working at different academic, governmental, and private sectors in Saudi Arabia. Results: A total of 200 dermatologists were included in this study, of them, 33% were aged between 24-35 years. 28.5%, 25.5%, 24.5%, and 21.5% of the participants had 7-10, 4-6, &gt;10, and 0-3 years of practice, respectively. Generally, 80 (40%) of the dermatologists reported that 10-20% of their patients consulting for antiaging, while 50 (25%) reported that 41-60% of their patients consulted for antiaging treatment. Cream products were preferred by 105 (52.5%) of the users. In general, 158 (79%) prescribe growth factors Post-procedures, while 29 (14.5), 24 (12%), and 22 (11%) prescribe them for under-eye dark circles, acne scars, and aging skin, respectively. 124 (62%) prefer to use it in combination with retinoids. Conclusion: The results of this survey indicate the fact that female patients and the age group 31-40 years old are more likely to seek skincare and antiaging therapy. Most dermatologists prescribed growth factors together with retinoids and only a small proportion of them used growth factors are antiaging modalities.</t>
  </si>
  <si>
    <t>[Almohideb, Mohammad] King Saud Bin Abdulaziz Univ Hlth Sci, Coll Med, Dept Dermatol, Riyadh, Saudi Arabia</t>
  </si>
  <si>
    <t>Almohideb, M (corresponding author), King Saud Bin Abdulaziz Univ Hlth Sci, Coll Med, Dermatol, Riyadh 14611, Saudi Arabia.</t>
  </si>
  <si>
    <t>moalm20@gmail.com</t>
  </si>
  <si>
    <t>WOLTERS KLUWER MEDKNOW PUBLICATIONS</t>
  </si>
  <si>
    <t>MUMBAI</t>
  </si>
  <si>
    <t>WOLTERS KLUWER INDIA PVT LTD , A-202, 2ND FLR, QUBE, C T S  NO 1498A-2 VILLAGE MAROL, ANDHERI EAST, MUMBAI, Maharashtra, INDIA</t>
  </si>
  <si>
    <t>2249-4863</t>
  </si>
  <si>
    <t>2278-7135</t>
  </si>
  <si>
    <t>J FAM MED PRIM CARE</t>
  </si>
  <si>
    <t>J. Fam. Med. Prim. Care</t>
  </si>
  <si>
    <t>10.4103/jfmpc.jfmpc_1158_21</t>
  </si>
  <si>
    <t>Primary Health Care</t>
  </si>
  <si>
    <t>YW8VY</t>
  </si>
  <si>
    <t>WOS:000753692000028</t>
  </si>
  <si>
    <t>Bilotta, JP; Peterson, JM</t>
  </si>
  <si>
    <t>Bilotta, John P.; Peterson, Jeffrey M.</t>
  </si>
  <si>
    <t>Minnesota Stormwater Research and Technology Transfer Program - A Comprehensive Approach to Collaborative Research</t>
  </si>
  <si>
    <t>JOURNAL OF CONTEMPORARY WATER RESEARCH &amp; EDUCATION</t>
  </si>
  <si>
    <t>practices; policies; management; urban; water; pollution</t>
  </si>
  <si>
    <t>The University of Minnesota Water Resources Center (UMN WRC) in collaboration with the Minnesota Stormwater Research Council (MSRC) has developed a robust program to advance urban stormwater management and policy through the completion of research. Through this unique collaboration, stormwater professionals and researchers across Minnesota are engaged in multi-sector research to prevent, minimize, and mitigate urban stormwater impacts by studying existing and innovative structural and non-structural practices, policies, and management techniques. The center and the council have evolved a comprehensive approach by: Obtaining diversified funding resulting in an annual average $1M budget. Coordinating and building partnerships at local, regional, state, and federal levels to leverage stormwater research resources. Using the council to engage with stormwater researchers, professionals, policymakers, and stakeholders. Identifying strategic priorities through assessments of needed research (i.e., the Minnesota Stormwater Research Road map). Providing a process for prioritizing, soliciting, submitting, approving, and implementing stormwater-related research proposals. The program also invests in technology transfer seeking the effective and efficient dissemination of research results to those who can best benefit from it. The council is an organization of stormwater professionals, practitioners, managers, engineers, researchers, and others established in 2016 to work with the center to facilitate relevant, applied research and support education and technology transfer. This paper summarizes the efforts of the program, the future outlook, and highlights the collaboration and the connection of the University and the center to agencies, local units of government, and private engineering consulting businesses, who all were integral to the success of the program.</t>
  </si>
  <si>
    <t>[Bilotta, John P.; Peterson, Jeffrey M.] Univ Minnesota, Water Resources Ctr, Minneapolis, MN 55455 USA; [Bilotta, John P.] Univ Minnesota, Minnesota Sea Grant, Minneapolis, MN 55455 USA</t>
  </si>
  <si>
    <t>Bilotta, JP (corresponding author), Univ Minnesota, Water Resources Ctr, Minneapolis, MN 55455 USA.;Bilotta, JP (corresponding author), Univ Minnesota, Minnesota Sea Grant, Minneapolis, MN 55455 USA.</t>
  </si>
  <si>
    <t>jbilotta@umn.edu; jmpeter@umn.edu</t>
  </si>
  <si>
    <t>Clean Water Fund from the State of Minnesota's Clean Water, Land and Legacy Amendment; Minnesota Stormwater Research Council; U.S. Geological Survey; College of Food, Agriculture and Natural Science at the University of Minnesota</t>
  </si>
  <si>
    <t>Clean Water Fund from the State of Minnesota's Clean Water, Land and Legacy Amendment; Minnesota Stormwater Research Council; U.S. Geological Survey(United States Geological Survey); College of Food, Agriculture and Natural Science at the University of Minnesota</t>
  </si>
  <si>
    <t>Financial support for the Stormwater Research and Technology Transfer Program is provided by the Clean Water Fund from the State of Minnesota's Clean Water, Land and Legacy Amendment, the Minnesota Stormwater Research Council, and resources provided by the U.S. Geological Survey and the College of Food, Agriculture and Natural Science at the University of Minnesota.</t>
  </si>
  <si>
    <t>1936-7031</t>
  </si>
  <si>
    <t>1936-704X</t>
  </si>
  <si>
    <t>J CONTEMP WAT RES ED</t>
  </si>
  <si>
    <t>J. Contemp. Wat. Res. Educ.</t>
  </si>
  <si>
    <t>XX3DK</t>
  </si>
  <si>
    <t>WOS:000736180700011</t>
  </si>
  <si>
    <t>Horzela, I; Gromadzki, S; Gryz, J; Kownacki, T; Nowakowska-Krystman, A; Piotrowska-Trybull, M; Wisniewski, R</t>
  </si>
  <si>
    <t>Horzela, Izabela; Gromadzki, Slawomir; Gryz, Jaroslaw; Kownacki, Tomasz; Nowakowska-Krystman, Aneta; Piotrowska-Trybull, Marzena; Wisniewski, Radoslaw</t>
  </si>
  <si>
    <t>Energy Portfolio of the Eastern Poland Macroregion in the European Union</t>
  </si>
  <si>
    <t>green energy; macro region Eastern Poland; energy portfolio</t>
  </si>
  <si>
    <t>POLICY</t>
  </si>
  <si>
    <t>The European Union's New Green Deal generates changes in the socio-economic development of regions. An element of this change is the transformation of the regional profiles of the energy portfolio towards more pro-ecological ones. The aim of this article is to identify the conditions and reasons for the transformation of the energy portfolio of the Eastern Poland macroregion, and to define the directions of the energy portfolio evolution caused by the need to implement the goals of the European Green Deal by 2030, in order to consequently develop the forecast energy portfolio for the Eastern Poland macroregion. It has been assumed that the energy transformation of the Eastern Poland macroregion will be implemented through gradual transformation of the energy portfolio towards dispersed sources of local and civic energy. The research is based on both qualitative and quantitative approaches. The qualitative research was carried out on the basis of the diagnostic survey method with the use of the proprietary questionnaire as well as with the analysis of the content of strategic documents of the voivodships included in the Eastern Poland macroregion. The basis for the preparation of research questions was the extended PEST method which stands for: political, economic, socio-cultural, technological. Research efforts were focused on developing an energy portfolio for the region using the assumptions of the Boston consulting group matrix (a strategic planning tool). The originality of the conducted research consists in the adaptation of the BCG matrix to the development of the forecast energy portfolio and the preparation of a proposal for the aggregated energy portfolio of the Eastern Poland macroregion. The obtained results indicate that the macroregion's energy portfolio is diversified, though with the key significance of conventional sources. It is predicted that by 2030, the following sources will change their positions within the portfolio for the Eastern Poland macroregion: solar energy, wind energy and bioenergy. However, it will retain the character of a youth wallet.</t>
  </si>
  <si>
    <t>[Horzela, Izabela; Nowakowska-Krystman, Aneta; Piotrowska-Trybull, Marzena] War Studies Univ, Inst Management, Management &amp; Command Fac, PL-00910 Warsaw, Poland; [Gromadzki, Slawomir] Ignacy Moscickis Univ Appl Sci Ciechanow, Fac Tech &amp; Social Sci, PL-06400 Ciechanow, Poland; [Gryz, Jaroslaw] War Studies Univ, Natl Secur Fac, PL-00910 Warsaw, Poland; [Kownacki, Tomasz; Wisniewski, Radoslaw] Univ Econ &amp; Human Sci Warsaw, Fac Polit Sci &amp; Int Studies, PL-01043 Warsaw, Poland</t>
  </si>
  <si>
    <t>Horzela, I (corresponding author), War Studies Univ, Inst Management, Management &amp; Command Fac, PL-00910 Warsaw, Poland.</t>
  </si>
  <si>
    <t>i.horzela@akademia.mil.pl; slawomir.gromadzki@puzim.edu.pl; j.gryz@akademia.mil.pl; t.kownacki@vizja.pl; a.krystman@akademia.mil.pl; m.trybull@akademia.mil.pl; r.wisniewski@vizja.pl</t>
  </si>
  <si>
    <t>; Gryz, Jaroslaw/U-2371-2018</t>
  </si>
  <si>
    <t>Piotrowska-Trybull, Marzena/0000-0003-3174-0725; Nowakowska-Krystman, Aneta/0000-0001-7247-3243; WISNIEWSKI, RADOSLAW/0000-0002-2118-5038; Gryz, Jaroslaw/0000-0001-6671-2391</t>
  </si>
  <si>
    <t>10.3390/en14248426</t>
  </si>
  <si>
    <t>XZ3OX</t>
  </si>
  <si>
    <t>WOS:000737566000001</t>
  </si>
  <si>
    <t>Guo, HX; Xie, ZH; Wu, R</t>
  </si>
  <si>
    <t>Guo, Hongxu; Xie, Zihan; Wu, Rong</t>
  </si>
  <si>
    <t>Evaluating Green Innovation Efficiency and Its Socioeconomic Factors Using a Slack-Based Measure with Environmental Undesirable Outputs</t>
  </si>
  <si>
    <t>green innovation efficiency; the Pearl River Delta; Super-SBM model; Tobit model; Global Malmquist-Luenberger index</t>
  </si>
  <si>
    <t>CARBON EMISSION PERFORMANCE; REGIONAL ENERGY EFFICIENCY; PEARL RIVER DELTA; CO2 EMISSIONS; SUPER-EFFICIENCY; URBAN FORM; CHINA; URBANIZATION; IMPACTS; TECHNOLOGY</t>
  </si>
  <si>
    <t>Understanding green innovation efficiency (GIE) is crucial in assessing achievements of the current development strategy scientifically. Existing literature on measuring green innovation efficiency with considering environmental undesirable outputs at the city level is limited. Consulting existing studies, this paper constructs an evaluation index system to measure green innovation efficiency and its socioeconomic impact factors. Employing a super slacks-based measure (Super-SBM) model, which takes into account undesirable outputs (industrial wastewater emissions, industrial exhaust emissions and CO2 emissions), and a Global Malmquist-Luenberger index (GML), we calculate the green innovation efficiency of 15 cities in the Pearl River Delta (PRD) urban agglomeration from 2009 to 2017, exploring the impact factors behind green innovation efficiency using a Tobit panel regression model. The empirical results are as follows: Due to the heterogeneity of urban functional division and economic development in the Pearl River Delta, more than half of the region's cities were found to be in ineffective or transitional states with respect to their green innovation efficiency. A GML decomposition index shows that technological efficiency and technological progress are out of step with one another in the Pearl River Delta, an asymmetry which is restricting regional green innovation growth. The influencing factors of industrial structure, the level of economic openness, and the urban informationization level are shown to have promoted green innovation efficiency in the Pearl River Delta's cities, while government R&amp;D expenditure and education expenditure exerted negative effects. This paper concludes by highlighting the importance of cooperation between the government and enterprises in achieving green innovation.</t>
  </si>
  <si>
    <t>[Guo, Hongxu; Wu, Rong] Guangdong Univ Technol, Sch Architecture &amp; Urban Planning, 729 East Dongfeng Rd, Guangzhou 510090, Peoples R China; [Xie, Zihan] Sun Yat Sen Univ, Sch Geog &amp; Planning, Guangdong Prov Key Lab Urbanizat &amp; Geosimulat, Guangzhou 510275, Peoples R China</t>
  </si>
  <si>
    <t>Wu, R (corresponding author), Guangdong Univ Technol, Sch Architecture &amp; Urban Planning, 729 East Dongfeng Rd, Guangzhou 510090, Peoples R China.;Xie, ZH (corresponding author), Sun Yat Sen Univ, Sch Geog &amp; Planning, Guangdong Prov Key Lab Urbanizat &amp; Geosimulat, Guangzhou 510275, Peoples R China.</t>
  </si>
  <si>
    <t>guohx@163.com; xiezh35@mail2.sysu.edu.cn; wurong@gdut.edu.cn</t>
  </si>
  <si>
    <t>National Natural Science Foundation of China [42001147, 41501184]</t>
  </si>
  <si>
    <t>FundingThis research was funded by the National Natural Science Foundation of China (42001147, 41501184).</t>
  </si>
  <si>
    <t>INT J ENV RES PUB HE</t>
  </si>
  <si>
    <t>Int. J. Environ. Res. Public Health</t>
  </si>
  <si>
    <t>10.3390/ijerph182412880</t>
  </si>
  <si>
    <t>Environmental Sciences; Public, Environmental &amp; Occupational Health</t>
  </si>
  <si>
    <t>Environmental Sciences &amp; Ecology; Public, Environmental &amp; Occupational Health</t>
  </si>
  <si>
    <t>YA1GF</t>
  </si>
  <si>
    <t>WOS:000738089800001</t>
  </si>
  <si>
    <t>Lee, KW; Kim, KH</t>
  </si>
  <si>
    <t>Lee, Kang-Wook; Kim, Kyong-Hoon</t>
  </si>
  <si>
    <t>Analyzing Cost and Schedule Growths of Road Construction Projects, Considering Project Characteristics</t>
  </si>
  <si>
    <t>road construction project; cost growth; schedule growth; post-construction evaluation</t>
  </si>
  <si>
    <t>SUSTAINABILITY INDICATORS; SUCCESS FACTORS; INFRASTRUCTURE; PERFORMANCE; MANAGEMENT; IMPACTS; SECTOR</t>
  </si>
  <si>
    <t>The development of road infrastructure is closely related to national competitiveness and presents significant socioeconomic impacts. However, road construction involves a large budget and is vulnerable to political, economic, social, and project-specific risks, which often result in cost overruns and schedule delays. Assessing the gap between the final performance and the planned performance, and providing feedback to similar projects in the future is essential for successful project planning and management. The aim of this study is to empirically analyze the cost and schedule growth of road construction projects, considering project characteristics. Using the national-level project performance data, the primary goal is to answer, Do project characteristics influence the road project performance? If so, how different is the performance because of the project characteristics? To this end, this study analyzes the cost and schedule growth of 423 road construction projects, considering five project characteristics: facility type, construction type, bid type, contract type, and project size. Non-parametric tests (the Mann-Whitney U test and the Kruskal-Wallis test) are used to analyze the differences between sample groups. The results demonstrate (1) better management of the performance of the highway when compared to the national and provincial roads; (2) higher schedule growth of the expansion and renovation than that of the new construction; (3) lower cost growth of the design-build method (turnkey and alternative) than the design-bid-build methods (qualification examination and lowest price); and (4) relatively larger cost and schedule growth for projects over $50 million than those of smaller projects. These results present empirical references from the Korean construction industry that can help construction-related entities (clients, design consultants, and contractors) to estimate and manage the cost and schedule buffers of future projects by considering different project characteristics. Discussions and suggestions connected with the findings are also provided. Future research will continue to shed light on the critical factors affecting the cost and schedule growth.</t>
  </si>
  <si>
    <t>[Lee, Kang-Wook; Kim, Kyong-Hoon] Korea Inst Civil Engn &amp; Bldg Technol, Dept Construct Policy Res, Postconstruct Evaluat &amp; Management Ctr, Goyang Si 10223, South Korea</t>
  </si>
  <si>
    <t>Lee, KW (corresponding author), Korea Inst Civil Engn &amp; Bldg Technol, Dept Construct Policy Res, Postconstruct Evaluat &amp; Management Ctr, Goyang Si 10223, South Korea.</t>
  </si>
  <si>
    <t>klee@kict.re.kr; greatekkh@gmail.com</t>
  </si>
  <si>
    <t>Ministry of Land, Infrastructure, and Transport (MOLIT) of the Korean government [202109543290301A]</t>
  </si>
  <si>
    <t>Ministry of Land, Infrastructure, and Transport (MOLIT) of the Korean government</t>
  </si>
  <si>
    <t>FundingThis research was supported by a grant funded by the Ministry of Land, Infrastructure, and Transport (MOLIT) of the Korean government (No. 202109543290301A).</t>
  </si>
  <si>
    <t>10.3390/su132413694</t>
  </si>
  <si>
    <t>XZ2GA</t>
  </si>
  <si>
    <t>WOS:000737475300001</t>
  </si>
  <si>
    <t>Wang, XF; Zhang, S; Liu, YQ</t>
  </si>
  <si>
    <t>Wang, Xuefeng; Zhang, Shuo; Liu, Yuqin</t>
  </si>
  <si>
    <t>ITGInsight-discovering and visualizing research fronts in the scientific literature</t>
  </si>
  <si>
    <t>SCIENTOMETRICS</t>
  </si>
  <si>
    <t>Research front; Research trend; Knowledge structure; Topic clustering model; Topic evolution model; Information visualization</t>
  </si>
  <si>
    <t>TECHNOLOGY OPPORTUNITY DISCOVERY; DETECTING RESEARCH FRONTS; EMERGING RESEARCH FRONTS; RESEARCH TRENDS; CO-WORD; INTELLIGENCE; COCITATION; CITATION; MODEL; INFORMATION</t>
  </si>
  <si>
    <t>Nowadays, most organizations face the challenge of having to track the latest technological developments so as to discover new technology opportunities and to identify threats in their competitive environment. The capacity to do this relies heavily on the ability to recognize scientific innovation. Hence, monitoring emerging research directions in the scientific literature has become an important task for both researchers and policy makers. Yet the best method of doing so is still a topic of controversy. Our goal is to develop a generic computational framework that can describe a research domain in terms of its research fronts and further track the evolution trends of the knowledge structures behind each research front for the purposes of identifying knowledge innovation. The results show the evolution trends of knowledge structures could lead up to pioneering research. Implemented in ITGInsight, a C# application, the modelling and visualization process incorporates a topic clustering model and a topic evolution model to reveal knowledge structures and their evolution trends. Using the framework in a case study on synthetic biology, we verified the results it produced by consulting the literature and a panel of domain experts. The tool proves to be powerful font of insightful information that would be difficult and time-consuming for researchers and policy makers to gather on their own. Anyone involved in R&amp;D planning, research funds allocation, and technology opportunity analysis will find the framework useful.</t>
  </si>
  <si>
    <t>[Wang, Xuefeng; Zhang, Shuo] Beijing Inst Technol, Sch Management &amp; Econ, Beijing 100081, Peoples R China; [Liu, Yuqin] Beijing Inst Graph Commun, Sch Journalism &amp; Publicat, Beijing 102600, Peoples R China</t>
  </si>
  <si>
    <t>Liu, YQ (corresponding author), Beijing Inst Graph Commun, Sch Journalism &amp; Publicat, Beijing 102600, Peoples R China.</t>
  </si>
  <si>
    <t>liuyuqin2004@126.com</t>
  </si>
  <si>
    <t>General Program of the National Natural Science Foundation of China [72074020, 71774012]</t>
  </si>
  <si>
    <t>General Program of the National Natural Science Foundation of China(National Natural Science Foundation of China (NSFC))</t>
  </si>
  <si>
    <t>This work is partly supported by the General Program of the National Natural Science Foundation of China (Grant No.72074020, 71774012). The previous version of this work is published on Artificial Intelligence + Informetrics (AII) 2021 Workshop (Wang et al., 2021a), and the findings and observations present in this paper are those of the authors and do not necessarily reflect the views of the supporters or the sponsors. We are grateful to many scholars and software enthusiasts who provide their valuable opinions and suggestions in the process of ITGInsight design and development. Users could download and install the latest version of ITGInsight from http://en.itginsight.com/download/.</t>
  </si>
  <si>
    <t>0138-9130</t>
  </si>
  <si>
    <t>1588-2861</t>
  </si>
  <si>
    <t>Scientometrics</t>
  </si>
  <si>
    <t>10.1007/s11192-021-04190-9</t>
  </si>
  <si>
    <t>Computer Science, Interdisciplinary Applications; Information Science &amp; Library Science</t>
  </si>
  <si>
    <t>Computer Science; Information Science &amp; Library Science</t>
  </si>
  <si>
    <t>XG3BU</t>
  </si>
  <si>
    <t>WOS:000724632400001</t>
  </si>
  <si>
    <t>Xue, Y; Temeljotov-Salaj, A; Lindkvist, CM</t>
  </si>
  <si>
    <t>Xue, Yan; Temeljotov-Salaj, Alenka; Lindkvist, Carmel Margaret</t>
  </si>
  <si>
    <t>Renovating the retrofit process: People-centered business models and co-created partnerships for low-energy buildings in Norway</t>
  </si>
  <si>
    <t>Building energy retrofit; Public-private-people-partnership; Co-creation; Citizen participation</t>
  </si>
  <si>
    <t>OF-THE-ART; BARRIERS; INNOVATION; SUSTAINABILITY; WORKSHOPS; FRAMEWORK</t>
  </si>
  <si>
    <t>Building energy retrofit is not only an efficient approach to increase energy efficiency through technical installations, but also has great potential to improve social acceptance through co-creation. However, there are many existing residential buildings with low energy efficiency in need of retrofit, which is currently not being done. This paper aims to examine the barriers to conducting the residential building retrofit and co-created a suitable business model to overcome these challenges and improve social acceptance. Thirty-nine deep interviews and a workshop with representatives from people (residential building owners), public and private sectors were conducted. The results show that the barriers include lack of information sharing and consulting, limited resources and knowledge, and risks of not achieving the expected energy efficiency. Then a public-private-people partnerships (PPPP) business model is co-created to overcome the barriers by improving information sharing, making use of operational experience and financial resources from the private sector, as well as political and financial support from the public sector. Furthermore, the results illustrate the value of cocreating, by considering how the different sectors' wishes can be negotiated. It includes agility to adapt to the complex challenges by being open to ongoing suggestions instead of established planning and the scope to lead to new cooperation among the different sectors in the co-creation communication process. For further study, more workshops with participants from a wider range of backgrounds are needed to further refine the model and explore an efficient method to balance the power of different participants in the co-creation process.</t>
  </si>
  <si>
    <t>[Xue, Yan; Temeljotov-Salaj, Alenka] Norwegian Univ Sci &amp; Technol, Dept Civil &amp; Environm Engn, Hgsk Ringen 7A, N-7034 Trondheim, Norway; [Lindkvist, Carmel Margaret] Fac Architecture &amp; Design, Dept Architecture &amp; Planning, Sentralbygg 1,651, N-7034 Trondheim, Norway</t>
  </si>
  <si>
    <t>Xue, Y (corresponding author), Norwegian Univ Sci &amp; Technol, Dept Civil &amp; Environm Engn, Hgsk Ringen 7A, N-7034 Trondheim, Norway.</t>
  </si>
  <si>
    <t>yan.xue@ntnu.no</t>
  </si>
  <si>
    <t>xue, yan/AGE-1273-2022</t>
  </si>
  <si>
    <t>10.1016/j.erss.2021.102406</t>
  </si>
  <si>
    <t>NOV 2021</t>
  </si>
  <si>
    <t>XY6MS</t>
  </si>
  <si>
    <t>hybrid, Green Submitted</t>
  </si>
  <si>
    <t>WOS:000737084500002</t>
  </si>
  <si>
    <t>Ebner, M; Fontana, V; Schirpke, U; Tappeiner, U</t>
  </si>
  <si>
    <t>Ebner, Manuel; Fontana, Veronika; Schirpke, Uta; Tappeiner, Ulrike</t>
  </si>
  <si>
    <t>Stakeholder perspectives on ecosystem services of mountain lakes in the European Alps</t>
  </si>
  <si>
    <t>ECOSYSTEM SERVICES</t>
  </si>
  <si>
    <t>Perception; Valuation; Participatory; Socio-cultural; Mountain regions; European Alps</t>
  </si>
  <si>
    <t>SOCIOCULTURAL VALUATION; MANAGEMENT; RESOURCE; VALUES; AREA; PREFERENCES; INFORMATION; PERCEPTIONS; LANDSCAPES; JUDGMENTS</t>
  </si>
  <si>
    <t>Mountain lakes are affected by anthropogenic use and global change, which necessitates management strategies to ensure their conservation and provision of ecosystem services (ES). However, research on ES of mountain lakes is scarce and related stakeholder perspectives remain unexplored. This study identifies key ES of mountain lakes and explores how stakeholders perceive the importance of these ES and their contributions to human well-being. A mixed-methods approach based on socio-cultural valuation methods was adopted consulting diverse stakeholders from governmental, economic, research, and public sectors in South Tyrol (Italy) in the Central European Alps. The results indicate that the highest importance was attributed to the ES maintaining habitats as well as aesthetic value, followed by surface water, outdoor recreation, and representation &amp; entertainment. Stakeholders' perspectives on these ES were multi-faceted covering diverse benefits, senses of place as well as notions of care and stewardship, but also negative perceptions and trade-offs related to cultural ES emerged. We discuss these findings outlining implications for research and practice. Overall, this study demonstrates the potential of participatory and socio-cultural assessment approaches to foster context-specific ES understanding and presents a first step towards the integrative assessment of mountain lakes.</t>
  </si>
  <si>
    <t>[Ebner, Manuel; Fontana, Veronika; Schirpke, Uta; Tappeiner, Ulrike] Eurac Res, Inst Alpine Environm, Viale Druso 1, I-39100 Bozen Bolzano, Italy; [Ebner, Manuel; Schirpke, Uta; Tappeiner, Ulrike] Univ Innsbruck, Dept Ecol, Sternwartestr 15, A-6020 Innsbruck, Austria</t>
  </si>
  <si>
    <t>Ebner, M (corresponding author), Eurac Res, Inst Alpine Environm, Viale Druso 1, I-39100 Bozen Bolzano, Italy.</t>
  </si>
  <si>
    <t>manuel.ebner@eurac.edu</t>
  </si>
  <si>
    <t>Schirpke, Uta/AAF-5256-2020</t>
  </si>
  <si>
    <t>Schirpke, Uta/0000-0002-2075-6118</t>
  </si>
  <si>
    <t>Austrian Federal Ministry of Education, Science and Research</t>
  </si>
  <si>
    <t>This research was carried out within the project CLAIMES (CLimate response of AlpIne lakes:resistance variability and Management consequences for Ecosystem Services) under the EarthSystem Sciences research program, which is an initiative of the Austrian Academy of Sciences financed by the Austrian Federal Ministry of Education, Science and Research. The authors thank the Department of Innovation, Research, University and Museums of the Autonomous Province of Bozen/Bolzano for covering the Open Access publication costs. We cordially thank all participants of the study. We thank Margherita Capacci for her great support during the field work. UT is a member of the `Research Area Mountain Regions' at the University of Innsbruck.</t>
  </si>
  <si>
    <t>2212-0416</t>
  </si>
  <si>
    <t>ECOSYST SERV</t>
  </si>
  <si>
    <t>Ecosyst. Serv.</t>
  </si>
  <si>
    <t>10.1016/j.ecoser.2021.101386</t>
  </si>
  <si>
    <t>Ecology; Environmental Sciences; Environmental Studies</t>
  </si>
  <si>
    <t>XM3UE</t>
  </si>
  <si>
    <t>WOS:000728755800003</t>
  </si>
  <si>
    <t>Yin, XL; Yang, Y; Deng, Y; Huang, Y; Li, LG; Chan, LYL; Zhang, T</t>
  </si>
  <si>
    <t>Yin, Xiaole; Yang, Yu; Deng, Yu; Huang, Yue; Li, Liguan; Chan, Lilian Y. L.; Zhang, Tong</t>
  </si>
  <si>
    <t>An assessment of resistome and mobilome in wastewater treatment plants through temporal and spatial metagenomic analysis</t>
  </si>
  <si>
    <t>Wastewater treatment plants; Effluents; Exposure assessment; Antibiotic resistance genes; Metagenomics; Absolute quantification; Risk ranking</t>
  </si>
  <si>
    <t>ANTIBIOTIC-RESISTANCE</t>
  </si>
  <si>
    <t>Wastewater treatment plants (WWTPs) are regarded as critical points in disseminating antibiotic resistance genes (ARGs). In particular, the discharging effluents from WWTPs generally bring downstream catchment areas exogenous ARGs and resistant bacteria. However, there lacks a sufficient assessment of the resistome and mobilome in effluents. In this study, a consecutive monthly sampling was conducted over 13 months in three Hong Kong (HK) WWTPs for metagenomic sequencing. Prevalence information of ARGs and mobile genetic elements (MGEs) was compared with counterparts in effluents from cities of North America, South America, Europe, and Asia. Moreover, a publicly accessible platform integrating the exposure ranking scheme, which was based on the global archive of ARG abundance, and a readily implementable online pipeline was developed to benefit communication in academia and government consultancy. Results demonstrated HK WWTPs were featured high ARG removal efficiency of 2.34-2.43 log reduction rate, and effluents were ranked in moderate levels of Level 2 and Level 3 in the exposure prioritizing scheme based on total ARG abundance. Moreover, absolute quantification of temporal variations of effluent resistome disclosed distinct changes over time among varied ARG types which were associated with prevalently used antibiotics, including quinolone and sulfonamide. This reinforces the need for real-time management of WWTP systems. Notably, ARGs of anthropogenic prevalence, high mobility, and potential pathogenicity were found to be present in HK effluents, drawing attention to the necessity for improved risk management. In addition, source tracking of effluent resistome and structural equation model analysis was conducted to explore the disparity in ARG abundance and diversity in different samples. The discovery of this study and the recommendation of a comprehensive exposure assessment will facilitate decision-making in resistome management in WWTPs to reduce the ARG and antibiotic resistant bacteria (ARB) contamination in the receiving environments.</t>
  </si>
  <si>
    <t>[Yin, Xiaole; Yang, Yu; Deng, Yu; Huang, Yue; Li, Liguan; Zhang, Tong] Univ Hong Kong, Ctr Environm Engn Res, Dept Civil Engn, Environm Microbiome Engn &amp; Biotechnol Lab, Hong Kong, Peoples R China; [Chan, Lilian Y. L.] Univ Hong Kong, Informat Technol Serv, High Performance Comp Team, Hong Kong, Peoples R China</t>
  </si>
  <si>
    <t>Zhang, T (corresponding author), Univ Hong Kong, Ctr Environm Engn Res, Dept Civil Engn, Environm Microbiome Engn &amp; Biotechnol Lab, Hong Kong, Peoples R China.</t>
  </si>
  <si>
    <t>zhangt@hku.hk</t>
  </si>
  <si>
    <t>Research Grants Council of the Hong Kong Special Adminis-trative Region, China [T21-705/20-N]; Seed Funding for Interdisciplinary Research Scheme (SIRS) of HKU; University of Hong Kong</t>
  </si>
  <si>
    <t>Research Grants Council of the Hong Kong Special Adminis-trative Region, China(Hong Kong Research Grants Council); Seed Funding for Interdisciplinary Research Scheme (SIRS) of HKU; University of Hong Kong(University of Hong Kong)</t>
  </si>
  <si>
    <t>The work was supported by a Theme-based Research Scheme grant from the Research Grants Council of the Hong Kong Special Adminis-trative Region, China (Project No. T21-705/20-N) and Seed Funding for Interdisciplinary Research Scheme (SIRS) of HKU. Ms. Xiaole Yin, Ms. Yu Yang and Ms. Yue Huang thank the University of Hong Kong for the postgraduate studentship. Dr. Yu Deng and Dr. Liguan Li would like to thank the University of Hong Kong for a postdoctoral fellowship. The authors would also like to thank Dr. Yulin Wang, Dr. You Che, Dr. Lei Liu, Mr. Yiqiang Chen, Ms. Qi Huang for their contributions to the sample collection. The computations were performed using research computing facilities offered by Information Technology Services, the University of Hong Kong. The authors also thank the lab technician, Ms. Vicky Fung, for assisting in the whole experiment process.</t>
  </si>
  <si>
    <t>1879-2448</t>
  </si>
  <si>
    <t>WATER RES</t>
  </si>
  <si>
    <t>Water Res.</t>
  </si>
  <si>
    <t>10.1016/j.watres.2021.117885</t>
  </si>
  <si>
    <t>Engineering, Environmental; Environmental Sciences; Water Resources</t>
  </si>
  <si>
    <t>Engineering; Environmental Sciences &amp; Ecology; Water Resources</t>
  </si>
  <si>
    <t>XG8CN</t>
  </si>
  <si>
    <t>WOS:000724975900009</t>
  </si>
  <si>
    <t>Ayorinde, AA; Boardman, F; McGranahan, M; Porter, L; Eze, NA; Sallis, A; Buck, R; Hadley, A; Ludeke, M; Mann, S; Oyebode, O</t>
  </si>
  <si>
    <t>Ayorinde, Abimbola A.; Boardman, Felicity; McGranahan, Majel; Porter, Lucy; Eze, Nwamaka A.; Sallis, Anna; Buck, Rosanna; Hadley, Alison; Ludeke, Melissa; Mann, Sue; Oyebode, Oyinlola</t>
  </si>
  <si>
    <t>Enabling women to access preferred methods of contraception: a rapid review and behavioural analysis</t>
  </si>
  <si>
    <t>Contraception; Women; Access; Barriers; Facilitators; Intervention; Choice</t>
  </si>
  <si>
    <t>YOUNG-WOMEN; UNPLANNED PREGNANCY; ATTITUDES; PERCEPTIONS; EXPERIENCES; SUPPORT; CHOICE; NONUSE; BODY; AGE</t>
  </si>
  <si>
    <t>Background: Many pregnancies in the UK are either unplanned or ambivalent. This review aimed to (i) explore barriers and facilitators to women choosing and accessing a preferred method of contraception in the United Kingdom, and (ii) identify opportunities for behavioural interventions based on examination of interventions that are currently available nationally. Methods: Three databases were searched, and experts contacted to identify grey literature for studies presenting barriers and facilitators to women choosing and accessing a preferred method of contraception, conducted in the UK and published between 2009 and October 2019. Information on barriers and facilitators were coded into overarching themes, which were then coded into Mechanisms of Actions (MoAs) as listed in the Theory and Techniques Tool. National interventions were identified by consulting stakeholders and coded into the Behaviour Change Wheel. The match between barriers/facilitators and intervention content was assessed using the Behaviour Change Wheel. Results: We included 32 studies and identified 46 barrier and facilitator themes. The most cited MoA was Environmental Context and Resources, which primarily related to the services women had access to and care they received. Social Influences, Beliefs about Consequences (e.g., side effects) and Knowledge were also key. The behavioural analysis highlighted four priority intervention functions (Modelling, Enablement, Education and Environmental Restructuring) that can be targeted to support women to choose and access their preferred method of contraception. Relevant policy categories and behaviour change techniques are also highlighted. Conclusions: This review highlights factors that influence women's choices and access to contraception and recommends opportunities that may be targeted for future interventions in order to support women to access preferred contraception.</t>
  </si>
  <si>
    <t>[Ayorinde, Abimbola A.; Boardman, Felicity; McGranahan, Majel; Eze, Nwamaka A.; Buck, Rosanna; Oyebode, Oyinlola] Univ Warwick, Warwick Med Sch, Coventry CV4 7AL, W Midlands, England; [Porter, Lucy; Sallis, Anna; Ludeke, Melissa; Mann, Sue] Publ Hlth England, Wellington House,Waterloo Rd, London SE1 8UG, England; [Hadley, Alison] Univ Bedfordshire, Teenage Pregnancy Knowledge Exchange, Luton LU1 3JU, Beds, England</t>
  </si>
  <si>
    <t>Ayorinde, AA (corresponding author), Univ Warwick, Warwick Med Sch, Coventry CV4 7AL, W Midlands, England.</t>
  </si>
  <si>
    <t>A.Ayorinde.1@warwick.ac.uk</t>
  </si>
  <si>
    <t>Oyebode, Oyinlola/ABE-1256-2021</t>
  </si>
  <si>
    <t>Oyebode, Oyinlola/0000-0003-0925-9839; McGranahan, Majel/0000-0002-5892-0729</t>
  </si>
  <si>
    <t>Public Health England</t>
  </si>
  <si>
    <t>Study was funded by Public Health England.</t>
  </si>
  <si>
    <t>BMC Public Health</t>
  </si>
  <si>
    <t>NOV 27</t>
  </si>
  <si>
    <t>10.1186/s12889-021-12212-7</t>
  </si>
  <si>
    <t>XD9CS</t>
  </si>
  <si>
    <t>WOS:000722998500004</t>
  </si>
  <si>
    <t>Broome, A</t>
  </si>
  <si>
    <t>Broome, Andre</t>
  </si>
  <si>
    <t>Gaming country rankings: Consultancies as knowledge brokers for global benchmarks</t>
  </si>
  <si>
    <t>PUBLIC ADMINISTRATION</t>
  </si>
  <si>
    <t>GOVERNANCE; POWER; INDICATORS; POLITICS; WORLD; RISE</t>
  </si>
  <si>
    <t>This article explores how for-profit consultancies mediate knowledge about global benchmarks in developing countries. Drawing on the case of the Ease of Doing Business rankings, published annually by the World Bank and the International Finance Corporation between 2005 and 2019, it examines the role consultancies play as knowledge brokers connecting global benchmarks produced by intergovernmental organizations to regulatory reform programs undertaken by national public administrations. The article shows how consultancies contracted to implement business enabling environment projects by the United States Agency for International Development advised national policymakers on how to design reforms to improve their country's ranking status. Lending weight to criticisms that shifts in country rankings are misleading as an indicator of changes in regulatory quality, the findings suggest that consultancies have leveraged benchmarks to perpetuate demand for their own expertise rather than to improve the evidence base for aid allocation and the evaluation of development projects.</t>
  </si>
  <si>
    <t>[Broome, Andre] Univ Warwick, Polit &amp; Int Studies, Social Sci Bldg, Coventry, W Midlands, England</t>
  </si>
  <si>
    <t>Broome, A (corresponding author), Univ Warwick, Polit &amp; Int Studies, Social Sci Bldg, Coventry, W Midlands, England.</t>
  </si>
  <si>
    <t>a.j.broome@warwick.ac.uk</t>
  </si>
  <si>
    <t>0033-3298</t>
  </si>
  <si>
    <t>1467-9299</t>
  </si>
  <si>
    <t>PUBLIC ADMIN</t>
  </si>
  <si>
    <t>Public Adm.</t>
  </si>
  <si>
    <t>10.1111/padm.12809</t>
  </si>
  <si>
    <t>XD7MC</t>
  </si>
  <si>
    <t>WOS:000722887500001</t>
  </si>
  <si>
    <t>Mbatha, S; Mastamet-Mason, A</t>
  </si>
  <si>
    <t>Mbatha, Sipho; Mastamet-Mason, Anne</t>
  </si>
  <si>
    <t>Status quo of the South African clothing industry's university-industry-government collaborations</t>
  </si>
  <si>
    <t>AFRICAN JOURNAL OF SCIENCE TECHNOLOGY INNOVATION &amp; DEVELOPMENT</t>
  </si>
  <si>
    <t>triple helix model; clothing industry; university-industry-government collaborations; South Africa</t>
  </si>
  <si>
    <t>The South African clothing industry is among the industries viewed as strategic for socio-economic development by the South African government. The government's industrial policies incorporated University-Industry-Government (UIG) Research and Development (R&amp;D) collaborations in efforts to achieve the United Nation's Sustainable Development Goals (SDGs) 2030 and African Union's (AU) Agenda 2063, among others. The literature on UIG R&amp;D collaborations in the context of developing economies and the clothing industry is limited and requires attention to support the achievement of the SDGs and AU Agenda aspirations. This paper presents the status quo of the South African clothing industry using qualitative and quantitative data. The authors interviewed 12 respondents from: the university fashion departments (3), clothing firms (2), clothing consulting firms (2), clothing-related research institutions (2), clothing-related the government divisions (3) and surveyed 22 clothing firms. Thematic analysis and descriptive statistics were employed to analyze the data. The results show that the government plays a dominant role in these collaborations through policy, grants and incentives because of the lack of R&amp;D activities in the South African clothing industry. The institutional sphere performs R&amp;D activities mainly in isolation while some are pockets of R&amp;D bilateral collaborations performed at arm's length. In light of this, the results indicate that the South African clothing industry is currently at the statist stage. The current triple helix model in play may negatively affect the role that the South African clothing industry can play in achieving the SDGs and AU Agenda.</t>
  </si>
  <si>
    <t>[Mbatha, Sipho; Mastamet-Mason, Anne] Tshwane Univ Technol, Dept Design Studies, Pretoria, South Africa</t>
  </si>
  <si>
    <t>Mbatha, S (corresponding author), Tshwane Univ Technol, Dept Design Studies, Pretoria, South Africa.</t>
  </si>
  <si>
    <t>mbathas@tut.ac.za</t>
  </si>
  <si>
    <t>Mbatha, Sipho/0000-0002-0284-3349</t>
  </si>
  <si>
    <t>National Research Foundation (NRF) [107395]</t>
  </si>
  <si>
    <t>National Research Foundation (NRF)</t>
  </si>
  <si>
    <t>This work was supported by National Research Foundation (NRF): [Grant Number 107395].</t>
  </si>
  <si>
    <t>2042-1338</t>
  </si>
  <si>
    <t>2042-1346</t>
  </si>
  <si>
    <t>AFR J SCI TECHNOL IN</t>
  </si>
  <si>
    <t>Afr. J. Sci. Technol. Innov. Dev.</t>
  </si>
  <si>
    <t>10.1080/20421338.2021.1992076</t>
  </si>
  <si>
    <t>XD9UU</t>
  </si>
  <si>
    <t>WOS:000723045600001</t>
  </si>
  <si>
    <t>Thomson, LJ; Gordon-Nesbitt, R; Elsden, E; Chatterjee, HJ</t>
  </si>
  <si>
    <t>Thomson, L. J.; Gordon-Nesbitt, R.; Elsden, E.; Chatterjee, H. J.</t>
  </si>
  <si>
    <t>The role of cultural, community and natural assets in addressing societal and structural health inequalities in the UK: future research priorities</t>
  </si>
  <si>
    <t>INTERNATIONAL JOURNAL FOR EQUITY IN HEALTH</t>
  </si>
  <si>
    <t>Consultation workshop; Covid-19; Expert opinion; Health; Inequalities; Survey</t>
  </si>
  <si>
    <t>PUBLIC-HEALTH; ENGLISH STRATEGY; MENTAL-HEALTH; GREEN SPACES; URBAN; ENVIRONMENTS; ASSOCIATIONS; ARTS</t>
  </si>
  <si>
    <t>Background Reducing health inequalities in the UK has been a policy priority for over 20 years, yet, despite efforts to create a more equal society, progress has been limited. Furthermore, some inequalities have widened and become more apparent, particularly during the Covid-19 pandemic. With growing recognition of the uneven distribution of life expectancy and of mental and physical health, the current research was commissioned to identify future research priorities to address UK societal and structural health inequalities. Methods An expert opinion consultancy process comprising an anonymous online survey and a consultation workshop were conducted to investigate priority areas for future research into UK inequalities. The seven-question survey asked respondents (n = 170) to indicate their current role, identify and prioritise areas of inequality, approaches and evaluation methods, and comment on future research priorities. The workshop was held to determine areas of research priority and attended by a closed list of delegates (n = 30) representing a range of academic disciplines and end-users of research from policy and practice. Delegates self-selected one of four breakout groups to determine research priority areas in four categories of inequality (health, social, economic, and other) and to allocate hypothetical sums of funding (half, one, five, and ten million pounds) to chosen priorities. Responses were analysed using mixed methods. Results Survey respondents were mainly 'academics' (33%), 'voluntary/third sector professionals' (17%), and 'creative/cultural professionals'(16%). Survey questions identified the main areas of inequality as 'health' (58%), 'social care' (54%), and 'living standards' (47%). The first research priority was 'access to creative and cultural opportunities' (37%), second, 'sense of place' (23%), and third, 'community' (17%). Approaches seen to benefit from more research in relation to addressing inequalities were 'health/social care' (55%), 'advice services' (34%), and 'adult education/training' (26%). Preferred evaluation methods were 'community/participatory' (76%), 'action research' (62%), and 'questionnaires/focus groups' (53%). Survey respondents (25%) commented on interactions between inequalities and issues such as political and economic decisions, and climate. The key workshop finding from determining research priorities in areas of inequality was that health equity could only be achieved by tackling societal and structural inequalities, environmental conditions and housing, and having an active prevention programme. Conclusions Research demonstrates a clear need to assess the impact of cultural and natural assets in reducing inequality. Collaborations between community groups, service providers, local authorities, health commissioners, GPs, and researchers using longitudinal methods are needed within a multi-disciplinary approach to address societal and structural health inequalities.</t>
  </si>
  <si>
    <t>[Thomson, L. J.; Chatterjee, H. J.] UCL, UCL Div Biosci, Genet Evolut &amp; Environm, London, England; [Gordon-Nesbitt, R.] Kings Coll London, Kings Culture, London, England; [Elsden, E.] UCL, UCL Epidemiol &amp; Publ Hlth, London, England</t>
  </si>
  <si>
    <t>Chatterjee, HJ (corresponding author), UCL, UCL Div Biosci, Genet Evolut &amp; Environm, London, England.</t>
  </si>
  <si>
    <t>h.chatterjee@ucl.ac.uk</t>
  </si>
  <si>
    <t>Thomson, Linda/0000-0002-9685-3678; Elsden, Esme/0000-0003-3867-3588</t>
  </si>
  <si>
    <t>UKRI (AHRC) [AH/T007184/1]</t>
  </si>
  <si>
    <t>UKRI (AHRC)</t>
  </si>
  <si>
    <t>The research was funded by the UKRI (AHRC): AH/T007184/1. The research was directly commissioned to address priorities in health inequalities and how they might be addressed.</t>
  </si>
  <si>
    <t>1475-9276</t>
  </si>
  <si>
    <t>INT J EQUITY HEALTH</t>
  </si>
  <si>
    <t>Int. J. Equity Health</t>
  </si>
  <si>
    <t>NOV 24</t>
  </si>
  <si>
    <t>10.1186/s12939-021-01590-4</t>
  </si>
  <si>
    <t>XC7RQ</t>
  </si>
  <si>
    <t>gold, Green Published, Green Submitted</t>
  </si>
  <si>
    <t>WOS:000722207600001</t>
  </si>
  <si>
    <t>Adedokun, OA; Egbelakin, T; Adedokun, DO; Adafin, J</t>
  </si>
  <si>
    <t>Adedokun, Olufisayo Adewumi; Egbelakin, Temitope; Adedokun, Deborah Oluwafunke; Adafin, Johnson</t>
  </si>
  <si>
    <t>Success criteria-based impacts of risk factors on education building projects in southwestern Nigeria</t>
  </si>
  <si>
    <t>Building projects; Education building projects; Nigeria; Risk factors; Tertiary institutions</t>
  </si>
  <si>
    <t>CONSTRUCTION PROJECTS; COST OVERRUN; MANAGEMENT; PERFORMANCE; CONTRACTORS; DESIGN; MODEL; TIME</t>
  </si>
  <si>
    <t>Purpose Despite the huge capital outlay in tertiary education building projects (TEBP), these projects undoubtedly failed in meeting the set objectives of cost, time and quality, among others. Therefore, rather than the impacts of risks on the overall project performance, which is common in the construction management literature, the purpose of this study is to assess the impacts of risk factors on the criteria for measuring the success of public TEBP. Design/methodology/approach The paper adopted a quantitative research method where the data collection was via a questionnaire survey. The researcher administered 452 questionnaires to the client representatives, consultants and contractors involved in building projects across five public tertiary education institutions in Ondo State, Nigeria. Of 452 questionnaires, 279 were retrieved and suitable for the analysis, translating to a 61.73% response rate. The reliability analysis of the research instrument showed 0.965 and 0.807, via Cronbach's alpha test, indicating high reliability of the instrument used for data collection. Findings The study found different risk factors affecting the criteria for measuring the success of TEBP. For instance, the environmental risk factor significantly impacted completion to cost, while financial and political risk factors significantly impacted completion to time. In addition, while environmental, legal and management risks significantly impacted end-user satisfaction, safety performance was significantly impacted by logistic, legal, design, construction, political and management risks. Besides, the logistic, legal, design, construction, financial, political and management risk factors impacted profit. However, despite profit being one of the criteria for measuring the success of building projects, it recorded the highest risk impacts amounting to 41% variance. Research limitations/implications The findings are limited to the public tertiary education building projects procured via competitive tendering; therefore, the results might differ when considering other procurement methods. Practical implications The practical implication is that rather than focusing on all risk factors, the project stakeholders could give adequate attention to the significant risk factors impacting each of the parameters for measuring the success of education building projects. Originality/value The study revealed specific risk factors impacting the criteria for measuring the success of TEBP, which extend beyond the use of the overall project performance approach.</t>
  </si>
  <si>
    <t>[Adedokun, Olufisayo Adewumi; Egbelakin, Temitope] Univ Newcastle, Sch Architecture &amp; Built Environm, Callaghan, NSW, Australia; [Adedokun, Deborah Oluwafunke] Joseph Ayo Babalola Univ, Dept Bldg &amp; Quant Surveying, Ikeji Arakeji, Nigeria; [Adafin, Johnson] Northland Polytech, Dept Quant Surveying &amp; Construct Management, Auckland Campus, Auckland, New Zealand</t>
  </si>
  <si>
    <t>Adedokun, OA (corresponding author), Univ Newcastle, Sch Architecture &amp; Built Environm, Callaghan, NSW, Australia.</t>
  </si>
  <si>
    <t>olufisayo.adedokun@uon.edu.au</t>
  </si>
  <si>
    <t>10.1108/JEDT-09-2021-0458</t>
  </si>
  <si>
    <t>XC4ID</t>
  </si>
  <si>
    <t>WOS:000721977500001</t>
  </si>
  <si>
    <t>Zhan, L; Ning, K</t>
  </si>
  <si>
    <t>Zhan, Li; Ning, Kai</t>
  </si>
  <si>
    <t>Minority Tourist Information Service and Sustainable Development of Tourism under the Background of Smart City</t>
  </si>
  <si>
    <t>MOBILE INFORMATION SYSTEMS</t>
  </si>
  <si>
    <t>SATISFACTION; STAKEHOLDERS; DESTINATION; QUALITY</t>
  </si>
  <si>
    <t>The continuous and in-depth development of smart technology has brought new development opportunities and challenges to the development of the tourism industry. This research mainly discusses the design of ethnic minority tourism information services and sustainable tourism development in the context of smart cities. The smart tourism public service application system must meet the three major requirements of different service objects. One is a smart service system aimed at satisfying tourists' travel information services. The second is to meet the needs of tourism companies for online marketing and e-commerce on the platform. The third is to provide a platform for the government to master travel information and supervise the travel market to realize e-government management. Therefore, the smart tourism application system includes three aspects: service, market, and management. The smart tourism service module is a module that the platform provides tourists with eating, accommodation, transportation, travel, shopping, and entertainment tourism information inquiry and consulting services and also uses modern information technology to provide navigation, tour guide, and shopping guide services in tourism. The smart tourism marketing module is the corporate product display, image promotion, and platform sales services provided by the platform for tourism companies. The smart tourism management module provides tourism management departments with services for managing various types of tourism information on the platform, platform security operations, and emergency response systems. As an ethnic minority region, the total tourism revenue of M city in 2020 will reach 75.68 billion yuan, a year-on-year increase of 21.33%. This research will highlight the unique charm of ethnic minorities and help drive the economic development of one party.</t>
  </si>
  <si>
    <t>[Zhan, Li] Harbin Univ, Sch Geog &amp; Tourism, Harbin 150080, Heilongjiang, Peoples R China; [Ning, Kai] Harbin Vocat Coll Sci &amp; Technol, Harbin 150300, Heilongjiang, Peoples R China</t>
  </si>
  <si>
    <t>Ning, K (corresponding author), Harbin Vocat Coll Sci &amp; Technol, Harbin 150300, Heilongjiang, Peoples R China.</t>
  </si>
  <si>
    <t>zhanli3000@163.com; ningkai@hrbu.edu.cn</t>
  </si>
  <si>
    <t>Heilongjiang Province Art Science Planning Key Project: Research on the Protection of Minority Culture and Art and Tourism Development in Heilongjiang River Basin [2020A026]</t>
  </si>
  <si>
    <t>Heilongjiang Province Art Science Planning Key Project: Research on the Protection of Minority Culture and Art and Tourism Development in Heilongjiang River Basin</t>
  </si>
  <si>
    <t>This research was funded by the Heilongjiang Province Art Science Planning Key Project: Research on the Protection of Minority Culture and Art and Tourism Development in Heilongjiang River Basin (Item number: 2020A026).</t>
  </si>
  <si>
    <t>1574-017X</t>
  </si>
  <si>
    <t>1875-905X</t>
  </si>
  <si>
    <t>MOB INF SYST</t>
  </si>
  <si>
    <t>Mob. Inf. Syst.</t>
  </si>
  <si>
    <t>NOV 19</t>
  </si>
  <si>
    <t>10.1155/2021/6547186</t>
  </si>
  <si>
    <t>Computer Science, Information Systems; Telecommunications</t>
  </si>
  <si>
    <t>Computer Science; Telecommunications</t>
  </si>
  <si>
    <t>ZW0AU</t>
  </si>
  <si>
    <t>WOS:000770885100005</t>
  </si>
  <si>
    <t>Kanter, J; Clark, N; Lundy, ME; Koundinya, V; Leinfelder-Miles, M; Long, R; Light, SE; Brim-DeForest, WB; Linquist, B; Putnam, D; Hutmacher, RB; Pittelkow, CM</t>
  </si>
  <si>
    <t>Kanter, Jessica; Clark, Nicholas; Lundy, Mark Edward; Koundinya, Vikram; Leinfelder-Miles, Michelle; Long, Rachael; Light, Sarah E.; Brim-DeForest, Whitney B.; Linquist, Bruce; Putnam, Dan; Hutmacher, Robert B.; Pittelkow, Cameron M.</t>
  </si>
  <si>
    <t>Top management challenges and concerns for agronomic crop production in California: Identifying critical issues for extension through needs assessment</t>
  </si>
  <si>
    <t>DEVELOPMENTAL EXPOSURE; CONSTRAINED CHOICE; PESTICIDES; CHLORPYRIFOS; RESISTANCE; BEHAVIOR; ROTATION; GAP</t>
  </si>
  <si>
    <t>Agronomic cropping systems in many regions face growing economic and management challenges as well as new regulations designed to address negative environmental and social externalities. At the same time, public support for agricultural education and extension is decreasing. Hence, new approaches are necessary to understand the most pressing on-farm issues and help prioritize critical needs. With a diversity of agronomic crops and new regulations for water and nitrogen, California is an important case study for other regions. The objective of this study was to identify major grower and industry concerns, management challenges, and motivations in making management decisions. In 2020, 483 growers, consultants, and allied industry of agronomic crop production responded to an online survey. The crops most widely grown by respondents included rice (Oryza sativa L.), alfalfa (Medicago sativa L.), wheat (Triticum aestivum L.), and corn (Zea mays L.). Four out of the five top concerns were related to water. Weed control and irrigation/water management were primary management challenges, though differences occurred by crop and region. The highest priorities considered in grower management decision-making were water, profitability, and land stewardship. Crop rotation benefits were a primary reason for growing agronomic crops, with profitability and tradition ranking closely behind. This study highlights opportunities to guide research and extension efforts based on critical needs identified by growers and industry, while also informing larger policy and institutional decisions regarding new programs and funding to address key issues in agronomic crop production.</t>
  </si>
  <si>
    <t>[Kanter, Jessica; Lundy, Mark Edward; Linquist, Bruce; Putnam, Dan; Hutmacher, Robert B.; Pittelkow, Cameron M.] Univ Calif Davis, Dept Plant Sci, Davis, CA 95616 USA; [Clark, Nicholas] Univ Calif Cooperat Extens, Hanford, CA 93230 USA; [Lundy, Mark Edward] Univ Calif Davis, Agr &amp; Nat Resources, Davis, CA 95618 USA; [Koundinya, Vikram] Univ Calif Davis, Dept Human Ecol, Davis, CA 95618 USA; [Leinfelder-Miles, Michelle] Univ Calif Cooperat Extens, Stockton, CA 95206 USA; [Long, Rachael] Univ Calif Cooperat Extens, Woodland, CA 95695 USA; [Light, Sarah E.; Brim-DeForest, Whitney B.] Univ Calif Cooperat Extens, Yuba City, CA 95991 USA</t>
  </si>
  <si>
    <t>Pittelkow, CM (corresponding author), Univ Calif Davis, Dept Plant Sci, Davis, CA 95616 USA.</t>
  </si>
  <si>
    <t>cpittelkow@ucdavis.edu</t>
  </si>
  <si>
    <t>Light, Sarah/0000-0002-9089-4006; Koundinya, Vikram/0000-0003-2353-6468; Brim-DeForest, Whitney/0000-0003-0547-4777; Clark, Nicholas/0000-0002-6550-3771; Lundy, Mark/0000-0003-4043-0841</t>
  </si>
  <si>
    <t>College of Agricultural and Environmental Sciences at UC Davis; Department of Plant Sciences at UC Davis</t>
  </si>
  <si>
    <t>This study was supported by the College of Agricultural and Environmental Sciences and Department of Plant Sciences at UC Davis. We thank all growers, consultants, and allied industry who participated in the needs assessment, especially those who piloted the survey. We are grateful to partner organizations who shared the survey through their agronomic crop production networks (full list in Supplemental Material). We appreciate feedback from Katherine Webb-Martinez (Interim Director, Program Planning and Evaluation, UC Division of Agriculture and Natural Resources) on the study methodology, and help from the UCCE Agronomy Program Team in disseminating the survey and discussing results.</t>
  </si>
  <si>
    <t>AGRON J</t>
  </si>
  <si>
    <t>Agron. J.</t>
  </si>
  <si>
    <t>10.1002/agj2.20897</t>
  </si>
  <si>
    <t>Agronomy</t>
  </si>
  <si>
    <t>XU9OI</t>
  </si>
  <si>
    <t>WOS:000715873500001</t>
  </si>
  <si>
    <t>Farrukh, A; Mathrani, S; Sajjad, A</t>
  </si>
  <si>
    <t>Farrukh, Amna; Mathrani, Sanjay; Sajjad, Aymen</t>
  </si>
  <si>
    <t>A natural resource and institutional theory-based view of green-lean-six sigma drivers for environmental management</t>
  </si>
  <si>
    <t>drivers; environmental management; green-lean-six sigma; institutional theory; natural-resource-based view</t>
  </si>
  <si>
    <t>SUPPLY CHAIN MANAGEMENT; LEAN 6 SIGMA; EMPIRICAL-ANALYSIS; GREEN; SUSTAINABILITY; IMPLEMENTATION; PERFORMANCE; INTEGRATION; PERSPECTIVE; INDUSTRY</t>
  </si>
  <si>
    <t>Green-lean-six sigma (GLSS) is an evolving strategy that can be applied in the manufacturing context to address pressing environmental issues. However, due to a lack of research in this area, investigating the motivations behind GLSS implementation is crucial to develop a deeper understanding of factors that shape the overall environmental management strategy of a firm. Drawing on the natural-resource-based view and institutional theory, we explore the GLSS drivers and compare developed and developing country contexts by conducting in-depth interviews with senior consultants specializing in GLSS implementation from New Zealand (NZ) and Pakistan (PK). Findings reveal that the key drivers of GLSS adoption in NZ are general environmental awareness, creating a company image, and government pressure, whereas the main drivers for PK include cost reduction, international customers' influence, and competitiveness. These findings throw light on the reasons for GLSS adoption in different regions and have significant theoretical and practical implications towards improving environmental performance.</t>
  </si>
  <si>
    <t>[Farrukh, Amna; Mathrani, Sanjay] Massey Univ, Sch Food &amp; Adv Technol, Auckland, New Zealand; [Sajjad, Aymen] Massey Univ, Sch Management, Massey Business Sch, Auckland, New Zealand</t>
  </si>
  <si>
    <t>Farrukh, A (corresponding author), Massey Univ, Sch Food &amp; Adv Technol, Auckland, New Zealand.</t>
  </si>
  <si>
    <t>a.farrukh@massey.ac.nz</t>
  </si>
  <si>
    <t>Sajjad, Aymen/O-9352-2019; Mathrani, Sanjay/AAQ-7192-2021</t>
  </si>
  <si>
    <t>Sajjad, Aymen/0000-0002-2768-8277; Farrukh, Amna/0000-0002-2350-7184</t>
  </si>
  <si>
    <t>10.1002/bse.2936</t>
  </si>
  <si>
    <t>ZL5MM</t>
  </si>
  <si>
    <t>WOS:000715878300001</t>
  </si>
  <si>
    <t>Xue, B; Liu, BS; Liang, T; Zhao, D; Wang, T; Chen, XB</t>
  </si>
  <si>
    <t>Xue, Bin; Liu, Bingsheng; Liang, Tao; Zhao, Dong; Wang, Tao; Chen, Xingbin</t>
  </si>
  <si>
    <t>A heterogeneous decision criteria system evaluating sustainable infrastructure development: From the lens of multidisciplinary stakeholder engagement</t>
  </si>
  <si>
    <t>SUSTAINABLE DEVELOPMENT</t>
  </si>
  <si>
    <t>decision criteria system; multidisciplinary decision-making; stakeholder engagement; sustainability evaluation; sustainable development; urban infrastructure</t>
  </si>
  <si>
    <t>STRUCTURAL EQUATION MODELS; CONSTRUCTION; MANAGEMENT; FRAMEWORK; PERFORMANCE; INDICATORS; SUPPORT; DESIGN; KNOWLEDGE</t>
  </si>
  <si>
    <t>The evaluation of urban infrastructure development is a decision-making process with multidisciplinary stakeholder engagement assessing sustainability metrics in different dimensions. However, there are uncertainties in such an evaluation caused by the heterogeneity between different stakeholders' preferences and the difficulty in differentiating sustainability decision criteria (DC). This study aims to formalize a multidisciplinary DC system to evaluate sustainable infrastructure development, which represents the preferences to DC metrics heterogeneously weighted by stakeholders. An empirical survey was conducted to collect the stakeholders' preferences to 50 sustainability DC metrics in which 91 infrastructure professionals from six disciplines (i.e., owner, architect, engineer, contractor, supplier, and consultant) were invited to participate. As a result, this study identified one common and six disciplinary DC sets and defined 20 DC factors with weights information structuring the multidisciplinary decision-making process, which indicates the multidisciplinary DC system is formal to be leveraged on assessing the sustainability performance of infrastructure development. In addition, the proposed multidisciplinary DC system is comprehensive in reducing uncertainties through determining the weights of DC metrics across various disciplines. Theoretically, the multidisciplinary DC system advances the knowledge of sustainability measurement by not only integrating the planet-people-prosperity framework and the product-organization-process framework but mitigating evaluation uncertainty through representing stakeholders' heterogeneity. For practical significance, such a multidisciplinary DC system will serve as a precursor for managers and policymakers in decision-making processes to enhance sustainability performances of infrastructure development.</t>
  </si>
  <si>
    <t>[Xue, Bin; Liu, Bingsheng; Wang, Tao] Chongqing Univ, Sch Publ Policy &amp; Adm, 174 Shazheng St, Chongqing 400044, Peoples R China; [Liang, Tao] China Railway Design Corp, Tianjin, Peoples R China; [Zhao, Dong] Michigan State Univ, Sch Planning Design &amp; Construct, Dept Civil &amp; Environm Engn, E Lansing, MI 48824 USA; [Chen, Xingbin] South China Agr Univ, Coll Water Conservancy &amp; Civil Engn, 483 Wushan Rd, Guangzhou 510642, Guangdong, Peoples R China</t>
  </si>
  <si>
    <t>Xue, B (corresponding author), Chongqing Univ, Sch Publ Policy &amp; Adm, 174 Shazheng St, Chongqing 400044, Peoples R China.;Chen, XB (corresponding author), South China Agr Univ, Coll Water Conservancy &amp; Civil Engn, 483 Wushan Rd, Guangzhou 510642, Guangdong, Peoples R China.</t>
  </si>
  <si>
    <t>bxue@cqu.edu.cn; xbchen@scau.edu.cn</t>
  </si>
  <si>
    <t>National Natural Science Foundation of China [72002019, 72134002, 72074034]</t>
  </si>
  <si>
    <t>National Natural Science Foundation of China, Grant/Award Numbers: 72002019, 72134002, 72074034</t>
  </si>
  <si>
    <t>0968-0802</t>
  </si>
  <si>
    <t>1099-1719</t>
  </si>
  <si>
    <t>SUSTAIN DEV</t>
  </si>
  <si>
    <t>Sustain. Dev.</t>
  </si>
  <si>
    <t>10.1002/sd.2249</t>
  </si>
  <si>
    <t>Development Studies; Green &amp; Sustainable Science &amp; Technology; Regional &amp; Urban Planning</t>
  </si>
  <si>
    <t>Development Studies; Science &amp; Technology - Other Topics; Public Administration</t>
  </si>
  <si>
    <t>WS4JQ</t>
  </si>
  <si>
    <t>WOS:000715149600001</t>
  </si>
  <si>
    <t>An, ZZ; Zhao, Y; Wang, J; Li, XG; Zhang, YF</t>
  </si>
  <si>
    <t>An, Zhengzhen; Zhao, Yue; Wang, Jun; Li, Xuguang; Zhang, Yanfei</t>
  </si>
  <si>
    <t>Survey of hydrogeological moving deformation of abandoned mine and numerical simulation of environmental control in collapse area</t>
  </si>
  <si>
    <t>DESALINATION AND WATER TREATMENT</t>
  </si>
  <si>
    <t>Geological deformation; Numerical simulation; Environmental governance; Environmental impact assessment; Ecological restoration</t>
  </si>
  <si>
    <t>The hydrogeological movement and deformation caused by the abandoned mine settlement area have a significant impact on the mine construction and ecological environment. The hydrological geological movement and ecological environmental governance in the region have certain importance. On the basis of consulting a large number of literature and on-site investigation, the deformation of the hydrological geology of the sedimentation area is studied by surface monitoring and numerical simulation. Fuzzy mathematics method is used to carry out the environmental impact assessment of abandoned land mines from the mine hydrological environmental environment and geological disaster distribution density. The monitoring results show that there is almost no change in mine levels in this region, and the maximum cumulative offset of X coordinates is -27 mm; the maximum accumulation displacement of Y coordinates is -35 mm; the maximum cumulative settlement of Z coordinate is -13 mm. The simulation results of the fast Lagranga analysis of the Continua (FLAC3D) software show that the maximum displacement of the X forward is 0.168 meters, and the maximum displacement in the X negative direction is -0.197 m. The evaluation results show that the mine area has a slight impact about 219.14 km(2), the more severe the area of about 53.78 km(2). This indicates that the settlement of the mine tends to be stable, the horizontal movement is relatively active; the surface can form a depressed basin; most of the mines in the region have a slight effect on the area, the main environmental problems are open-pit and damaged mountains. On the basis of environmental impact assessment, environmental protection and ecological repair countermeasures were proposed for the hydrogeological and damaged mountain environments of mines.</t>
  </si>
  <si>
    <t>[An, Zhengzhen; Zhao, Yue; Zhang, Yanfei] Liaoning Tech Univ, Min Coll, Fuxing 123000, Liaoning, Peoples R China; [Zhao, Yue; Wang, Jun] Liaoning Tech Univ, Inst Innovat &amp; Dev Fuxin Transit, Fuxing 123000, Liaoning, Peoples R China; [Li, Xuguang; Zhang, Yanfei] China Geol Survey, Shenyang Geol Survey, Shenyang 110034, Liaoning, Peoples R China</t>
  </si>
  <si>
    <t>Li, XG (corresponding author), China Geol Survey, Shenyang Geol Survey, Shenyang 110034, Liaoning, Peoples R China.</t>
  </si>
  <si>
    <t>lixuguangsfsc@yeah.net</t>
  </si>
  <si>
    <t>DESALINATION PUBL</t>
  </si>
  <si>
    <t>HOPKINTON</t>
  </si>
  <si>
    <t>36 WALCOTT VALLEY DRIVE,, HOPKINTON, MA 01748 USA</t>
  </si>
  <si>
    <t>1944-3994</t>
  </si>
  <si>
    <t>1944-3986</t>
  </si>
  <si>
    <t>DESALIN WATER TREAT</t>
  </si>
  <si>
    <t>Desalin. Water Treat.</t>
  </si>
  <si>
    <t>10.5004/dwt.2021.27783</t>
  </si>
  <si>
    <t>Engineering, Chemical; Water Resources</t>
  </si>
  <si>
    <t>YO3UC</t>
  </si>
  <si>
    <t>WOS:000747867400035</t>
  </si>
  <si>
    <t>Wisniewska, J; Markiewicz, J</t>
  </si>
  <si>
    <t>Wisniewska, Joanna; Markiewicz, Joanna</t>
  </si>
  <si>
    <t>The Impact of Poland's Energy Transition on the Strategies of Fossil Fuel Sector Companies-The Example of PKN Orlen Group</t>
  </si>
  <si>
    <t>strategy; energy policy; energy transition; fossil fuel sector</t>
  </si>
  <si>
    <t>CLIMATE CAPITALISM; MANAGEMENT; POLICY</t>
  </si>
  <si>
    <t>Sustainability and decarbonisation are buzzwords in today's economy. The fossil fuel sector has had a great impact on development of many countries and it is interesting how this sector is going to survive in the era of climate neutrality imposed by the European and national decarbonisation policies. PKN Orlen is one of the largest industrial corporations in Poland and Central Europe representing the energy and fossil fuel sector. The article sets out to identify the main areas of PKN Orlen's strategic plans resulting from the energy transition process in Poland. For this reason, the research question posed in this study is: to what extent and in what direction has Poland's energy policy influenced the new strategy of PKN Orlen? Poland's most recent energy policy was adopted in 2021, therefore an attempt to assess the impact of this policy on the strategy of a large player in the fossil fuel sector in such a short time horizon proves the originality of the study. The applied methodological approach, including case study, comparative analysis, and in-depth interview, was determined by the specific nature of the research problem and the fact that the analyzed sector and entity are strategic from the point of view of the country's economy, which imposes the confidentiality of some data related to the study and determines the possibility of making them public. As shown by the research, PEP2040 had an indirect impact on shaping the strategy of PKN Orlen, while the main source of knowledge about the current and future trends is the analysis, evaluation and synthesis of various sources of information, including those from consulting companies.</t>
  </si>
  <si>
    <t>[Wisniewska, Joanna; Markiewicz, Joanna] Univ Szczecin, Inst Management, PL-70453 Szczecin, Poland</t>
  </si>
  <si>
    <t>Markiewicz, J (corresponding author), Univ Szczecin, Inst Management, PL-70453 Szczecin, Poland.</t>
  </si>
  <si>
    <t>Joanna.wisniewska@usz.edu.pl; Joanna.markiewicz@usz.edu.pl</t>
  </si>
  <si>
    <t>Wiśniewska, Joanna/GLS-1259-2022</t>
  </si>
  <si>
    <t>Wiśniewska, Joanna/0000-0002-1607-8721</t>
  </si>
  <si>
    <t>program of the Minister of Science and Higher Education under the name Regional Excellence Initiative in the years 2019-2022 [001/RID/2018/19]</t>
  </si>
  <si>
    <t>program of the Minister of Science and Higher Education under the name Regional Excellence Initiative in the years 2019-2022</t>
  </si>
  <si>
    <t>The project is financed within the framework of the program of the Minister of Science and Higher Education under the name Regional Excellence Initiative in the years 2019-2022; project number 001/RID/2018/19; amount of financing: PLN 10,684,000.00.</t>
  </si>
  <si>
    <t>10.3390/en14227474</t>
  </si>
  <si>
    <t>XF5ZV</t>
  </si>
  <si>
    <t>WOS:000724150000001</t>
  </si>
  <si>
    <t>Wingrove, K; Lawrence, MA; Russell, C; McNaughton, SA</t>
  </si>
  <si>
    <t>Wingrove, Kate; Lawrence, Mark A.; Russell, Cherie; McNaughton, Sarah A.</t>
  </si>
  <si>
    <t>Evidence Use in the Development of the Australian Dietary Guidelines: A Qualitative Study</t>
  </si>
  <si>
    <t>NUTRIENTS</t>
  </si>
  <si>
    <t>dietary guidelines; dietary patterns; evidence synthesis; evidence translation; qualitative research</t>
  </si>
  <si>
    <t>FOOD SYNERGY; NUTRITION; PATTERNS; CHALLENGES; COLLECTION; NUTRIENTS; REVIEWS; KEY</t>
  </si>
  <si>
    <t>Dietary guidelines are important nutrition policy reference standards that should be informed by the best available evidence. The types of evidence that are reviewed and the evidence review methods that are used have implications for evidence translation. The aim of this study was to explore perceived advantages, disadvantages, and practicalities associated with the synthesis and translation of evidence from nutrient-based, food-based, and dietary patterns research in dietary guideline development. A qualitative descriptive study was conducted. Twenty-two semi-structured interviews were conducted with people involved in the development of the 2013 Australian Dietary Guidelines (ADGs). Transcripts were analysed thematically. To inform future ADGs, there was support for reviewing evidence on a range of dietary exposures (including dietary patterns, foods and food groups, nutrients and food components, and eating occasions) and health outcomes, as well as evidence on environmental sustainability and equity. At the evidence synthesis stage, practicalities associated with planning the evidence review and conducting original systematic reviews were discussed. At the evidence translation stage, practicalities associated with integrating the evidence and consulting stakeholders were described. To ensure that the best available evidence is translated into future ADGs, evidence review methods should be selected based on the exposures and outcomes of interest.</t>
  </si>
  <si>
    <t>[Wingrove, Kate; Lawrence, Mark A.; Russell, Cherie; McNaughton, Sarah A.] Deakin Univ, Sch Exercise &amp; Nutr Sci, IPAN, Geelong, Vic 3220, Australia</t>
  </si>
  <si>
    <t>Wingrove, K (corresponding author), Deakin Univ, Sch Exercise &amp; Nutr Sci, IPAN, Geelong, Vic 3220, Australia.</t>
  </si>
  <si>
    <t>k.wingrove@deakin.edu.au</t>
  </si>
  <si>
    <t>McNaughton, Sarah A/B-2075-2012</t>
  </si>
  <si>
    <t>McNaughton, Sarah A/0000-0001-5936-9820; Lawrence, Mark/0000-0001-6899-3983; Wingrove, Kate/0000-0003-3249-7747; RUSSELL, CHERIE ANN/0000-0003-1251-4810</t>
  </si>
  <si>
    <t>Australian Government Research Training Program Scholarship (K.W.).</t>
  </si>
  <si>
    <t>Australian Government Research Training Program Scholarship (K.W.).(Australian Government)</t>
  </si>
  <si>
    <t>This study was funded by an Australian Government Research Training Program Scholarship (K.W.).</t>
  </si>
  <si>
    <t>2072-6643</t>
  </si>
  <si>
    <t>Nutrients</t>
  </si>
  <si>
    <t>10.3390/nu13113748</t>
  </si>
  <si>
    <t>Nutrition &amp; Dietetics</t>
  </si>
  <si>
    <t>XF5LG</t>
  </si>
  <si>
    <t>WOS:000724111000001</t>
  </si>
  <si>
    <t>Rhoads, N; Martin, S; Zimmerman, FJ</t>
  </si>
  <si>
    <t>Rhoads, Natalie; Martin, Sarah; Zimmerman, Frederick J.</t>
  </si>
  <si>
    <t>Passing a Healthy Homes Initiative: Using Modeling to Inform Evidence-Based Policy Decision Making in Kansas City, Missouri</t>
  </si>
  <si>
    <t>advocacy; modeling; public health policy making</t>
  </si>
  <si>
    <t>Context and Setting: Kansas City, Missouri, experiences substantial racial/ethnic health disparities, particularly associated with that city's high level of residential segregation. Among the risk factors for poor health are substandard housing, particularly common in African American neighborhoods, which lead to asthma and therefore to school absences. A 2018 ballot initiative in Kansas City, Missouri, would allow health inspectors to investigate complaints of poor or hazardous conditions in rental housing. Objectives: Because the Kansas City, Missouri Health Department cannot legally advocate directly for voter support of public health policies, department staff used outside consultants to demonstrate the potential positive impact of environmental initiatives. Design: The Win-Win model provides a standardized, unbiased economic analysis of interventions to help public health officials make informed policy and program decisions and engage in cross-sectoral collaboration. Results: The Win-Win model found that if an asthma home remediation program were provided for almost 7000 low-income children in Kansas City, it would result in 55 000 fewer days of missed school annually among other promising outcomes. The model also showed a $1.67 return-on-investment to local and state government for each dollar spent and a 3-year breakeven point. The results from the Win-Win model were integrated into Kansas City's Community Health Improvement Plan and made available on the Win-Win Project Web site. The proposed law to promote rental inspections passed with 57% of the vote. Conclusions: The model results allowed for an informed, unbiased point of evidence that the health department could present to community groups and elected officials leading up to the vote on the health inspection initiative.</t>
  </si>
  <si>
    <t>[Rhoads, Natalie] Univ Calif Los Angeles, David Geffen Sch Med, Los Angeles, CA 90095 USA; [Martin, Sarah] MySidewalk, Hlth Solut, Kansas City, MO USA; [Zimmerman, Frederick J.] Univ Calif Los Angeles, Fielding Sch Publ Hlth, 650 Charles E Young Dr S, Los Angeles, CA 90095 USA</t>
  </si>
  <si>
    <t>Zimmerman, FJ (corresponding author), Univ Calif Los Angeles, Fielding Sch Publ Hlth, 650 Charles E Young Dr S, Los Angeles, CA 90095 USA.</t>
  </si>
  <si>
    <t>fredzimmerman@ucla.edu</t>
  </si>
  <si>
    <t>Zimmerman, Frederick/C-7259-2008</t>
  </si>
  <si>
    <t>Zimmerman, Frederick/0000-0002-4163-9893</t>
  </si>
  <si>
    <t>de Beaumont Foundation</t>
  </si>
  <si>
    <t>The support of the de Beaumont Foundation to this collaboration is gratefully acknowledged.</t>
  </si>
  <si>
    <t>LIPPINCOTT WILLIAMS &amp; WILKINS</t>
  </si>
  <si>
    <t>PHILADELPHIA</t>
  </si>
  <si>
    <t>TWO COMMERCE SQ, 2001 MARKET ST, PHILADELPHIA, PA 19103 USA</t>
  </si>
  <si>
    <t>J PUBLIC HEALTH MAN</t>
  </si>
  <si>
    <t>J. Public Health Manag. Pract.</t>
  </si>
  <si>
    <t>10.1097/PHH.0000000000001197</t>
  </si>
  <si>
    <t>WP9QB</t>
  </si>
  <si>
    <t>WOS:000713458500005</t>
  </si>
  <si>
    <t>Nurprabowo, A; Awang, S; Hardwinarto, S; Dharmawan, B; Daulay, MH; Maryudi, A</t>
  </si>
  <si>
    <t>Nurprabowo, Arnanto; Awang, San Afri; Hardwinarto, Sigit; Dharmawan, Budi; Daulay, Muhammad Haidar; Maryudi, Ahmad</t>
  </si>
  <si>
    <t>Poor science meets political neglect: Land use changes of high conservation value forests in Indonesia</t>
  </si>
  <si>
    <t>FOREST AND SOCIETY</t>
  </si>
  <si>
    <t>science-policy interface; forest policy; land use change; interest; power; Indonesia</t>
  </si>
  <si>
    <t>RIU MODEL; ANALYTICAL FRAMEWORK; OIL PALM; POLICY; POWER; ORGANIZATIONS; KALIMANTAN; CONVERSION; INTERESTS</t>
  </si>
  <si>
    <t>Forest land allocation and use in Indonesia have been politically contested and characterized by poor data and competing interests of different institutions. This study analyzes the process of integrating scientific findings in policymaking about land use and changes. The focus is on the processes related to the changes of Highly Important Forest Zones with Strategic Values (Dampak Penting Cakupan Luas dan bernilai Strategis/DPCLS). DPCLS forests are unique as any changes require approval from the parliament to complement the processes at the Ministry of Environment and Forestry and must be based on rigorous scientific evaluation. This study uses the case of Riau Islands (Kepri) Province, previously part of Riau Province, which to date is one of only two Indonesian provinces yet to accept the forest zonings of the Ministry. The province's strategic positions as exclusive economic and free trade zones make it further interesting in terms of land allocation as land becomes increasingly valuable for other uses. This paper specifically asks how the scientific investigation on the potential land use changes were conducted, how reliable the discoveries are, and how they were utilized in multiple steps at different institutions from the proposal evaluations to the approval stages. Our research indicates that scientific findings have rarely been integrated in policy making regarding DPCLS forests in Kepri Province. In addition, the scientific findings are weak; the institution producing them is heavily dominated by government officials and paid consultants/experts. The scientific body was only established to fulfill the formal processes required by the regulatory frameworks. Proposals and decisions on the changes of DPCLS forests in Kepri Province are more characterized by political considerations. The scientific findings of the current land use in Kepri Province is used as a political commodity (or commodities) to support the interests of actors.</t>
  </si>
  <si>
    <t>[Nurprabowo, Arnanto; Awang, San Afri] Univ Gadjah Mada, Fac Forestry, Yogyakarta, Indonesia; [Hardwinarto, Sigit] Minist Environm &amp; Forestry, Jakarta, Indonesia; [Hardwinarto, Sigit] Mulawarman Univ, Fac Forestry, Samarinda, Indonesia; [Dharmawan, Budi] Univ Jenderal Soedirman, Dept Agr Econ &amp; Social Sci, Purwokerto, Indonesia; [Daulay, Muhammad Haidar; Maryudi, Ahmad] Univ Gadjah Mada, Fac Forestry, Res Ctr Forest Policy &amp; Hist, Sebijak Inst, Yogyakarta, Indonesia</t>
  </si>
  <si>
    <t>Nurprabowo, A (corresponding author), Univ Gadjah Mada, Fac Forestry, Yogyakarta, Indonesia.</t>
  </si>
  <si>
    <t>prabowoarnanto@yahoo.com</t>
  </si>
  <si>
    <t>Maryudi, Ahmad/T-8029-2019</t>
  </si>
  <si>
    <t>Maryudi, Ahmad/0000-0001-5051-7217; Daulay, Muhammad Haidar/0000-0001-7517-699X</t>
  </si>
  <si>
    <t>Rekognisi Tugas Akhir (RTA) Grant 2021 of Universitas Gadjah Mada, Yogyakarta, Indonesia [3143/UN1.P.III/DIT-LIT/PT/2021]</t>
  </si>
  <si>
    <t>Rekognisi Tugas Akhir (RTA) Grant 2021 of Universitas Gadjah Mada, Yogyakarta, Indonesia</t>
  </si>
  <si>
    <t>The research was funded by the Rekognisi Tugas Akhir (RTA) Grant 2021 (No. 3143/UN1.P.III/DIT-LIT/PT/2021) of Universitas Gadjah Mada, Yogyakarta, Indonesia.</t>
  </si>
  <si>
    <t>MAKASSAR, FAK KEHUTANAN UNIV HASANUDDIN</t>
  </si>
  <si>
    <t>MAKASSAR</t>
  </si>
  <si>
    <t>JALAN PERINTIS KEMERDEKAAN KM 10, MAKASSAR, 90245, INDONESIA</t>
  </si>
  <si>
    <t>2549-4724</t>
  </si>
  <si>
    <t>2549-4333</t>
  </si>
  <si>
    <t>FOR SOC</t>
  </si>
  <si>
    <t>For. Soc.</t>
  </si>
  <si>
    <t>10.24259/fs.v5i2.13451</t>
  </si>
  <si>
    <t>TP5CE</t>
  </si>
  <si>
    <t>WOS:000677616300001</t>
  </si>
  <si>
    <t>Tulchynska, S; Shevchuk, N; Kleshchov, A; Kryshtopa, I; Zaburmekha, Y</t>
  </si>
  <si>
    <t>Tulchynska, Svitlana; Shevchuk, Nataliia; Kleshchov, Anton; Kryshtopa, Iryna; Zaburmekha, Yevgeniia</t>
  </si>
  <si>
    <t>The Role of Higher Education Institutions in the Development of Eco-Industrial Parks in Terms of Sustainable Development</t>
  </si>
  <si>
    <t>INTERNATIONAL JOURNAL OF COMPUTER SCIENCE AND NETWORK SECURITY</t>
  </si>
  <si>
    <t>Eco-industrial parks; sustainable development; circular economy; higher education institutions; industrial enterprises</t>
  </si>
  <si>
    <t>INTENSIFICATION; ADAPTABILITY; INFORMATION; INNOVATION; MODEL</t>
  </si>
  <si>
    <t>The article examines the role of higher education institutions in the development of eco-industrial parks in terms of sustainable development. It is substantiated that the concept of sustainable development sets conditions for the development of infrastructure of eco-industrial parks, which should be built using environmental materials, optimization of water supply and energy supply, environmental safety of industrial effluents and waste, the formation of a closed cycle of resource use in accordance with the circular economy. It is determined that in order to develop an effective national policy for the development of eco-industrial parks, it is necessary to use such tools as: management of national policy towards the creation of eco-industrial parks, mandatory requirements for regulation of eco-industrial parks, local levels and information tools. Universities play a particularly important role in these processes. It is proved that the information tools that can be implemented in the educational activities of higher education institutions on the example of universities include: inclusion in the variable part of educational programs within the formation of individual educational trajectory of students; conducting advanced training courses for employees of various enterprises and industries, stakeholders on the functioning and creation of eco-industrial parks; providing consulting services to companies involved in park management; scientific and innovative work in the direction of development of technologies and processes of activity of eco-industrial parks.</t>
  </si>
  <si>
    <t>[Tulchynska, Svitlana; Shevchuk, Nataliia] Natl Tech Univ Ukraine, Igor Sikorsky Kyiv Polytech Inst, Kiev, Ukraine; [Kleshchov, Anton] United Nations Ind Dev Org, Kiev, Ukraine; [Kryshtopa, Iryna] Kyiv Natl Econ Univ, Kiev, Ukraine; [Zaburmekha, Yevgeniia] Khmelnytskyi Natl Univ, Khmelnytskyi, Ukraine</t>
  </si>
  <si>
    <t>Tulchynska, S (corresponding author), Natl Tech Univ Ukraine, Igor Sikorsky Kyiv Polytech Inst, Kiev, Ukraine.</t>
  </si>
  <si>
    <t>Shevchuk, Nataliia/AAV-9673-2021; Kryshtopa, Iryna/H-4754-2018</t>
  </si>
  <si>
    <t>Shevchuk, Nataliia/0000-0003-0355-9793; Kryshtopa, Iryna/0000-0003-1759-6472</t>
  </si>
  <si>
    <t>INT JOURNAL COMPUTER SCIENCE &amp; NETWORK SECURITY-IJCSNS</t>
  </si>
  <si>
    <t>SEOUL</t>
  </si>
  <si>
    <t>DAE-SANG OFFICE 301, SANGDO 5 DONG 509-1, SEOUL, 00000, SOUTH KOREA</t>
  </si>
  <si>
    <t>1738-7906</t>
  </si>
  <si>
    <t>INT J COMPUT SCI NET</t>
  </si>
  <si>
    <t>Int. J. Comput. Sci. Netw. Secur.</t>
  </si>
  <si>
    <t>OCT 30</t>
  </si>
  <si>
    <t>10.22937/IJCSNS.2021.21.10.45</t>
  </si>
  <si>
    <t>Computer Science, Information Systems</t>
  </si>
  <si>
    <t>Computer Science</t>
  </si>
  <si>
    <t>WY9DJ</t>
  </si>
  <si>
    <t>WOS:000719577300045</t>
  </si>
  <si>
    <t>Fernandez-Vidal, J; Gonzalez, R; Gasco, J; Llopis, J</t>
  </si>
  <si>
    <t>Fernandez-Vidal, Jorge; Gonzalez, Reyes; Gasco, Jose; Llopis, Juan</t>
  </si>
  <si>
    <t>Digitalization and corporate transformation: The case of European oil &amp; gas firms</t>
  </si>
  <si>
    <t>Digital transformation; Business transformation; Digital strategy; Corporate strategy; Energy sector</t>
  </si>
  <si>
    <t>STRATEGY TOOLS; GENERATION; INNOVATION; CAPABILITY; INDUSTRY; OPTIONS; ERA</t>
  </si>
  <si>
    <t>Digital technologies have had a tremendous impact on the world and have forced companies to adapt their business models, strategies and management practices. There is a scarcity of research about digital transformation in the energy sector, so this paper aims to analyze this phenomenon in the Oil &amp; Gas sector through a comparative case analysis of eight market leading European Oil &amp; Gas companies. To ensure an adequate methodological approach, the authors have applied Eisenhardt's framework to build theories from case study research. This article relies on multiple data collection methods. 26 interviews with 18 senior executives from the sample energy firms and two global consulting firms were completed in two separate phases. To complement these interviews, information and data were collected from a range of public sources, such as newspapers, video interviews, business magazines and analyst reports, as well as public information from the eight companies under analysis, such as annual and financial reports, company presentations, regulatory filings and announcements and company news. Our research highlights several transformational moves in the firms under study that bring substantial new capabilities and allow them to achieve market-leading positions in new and digitally native business areas -although modest in size. The sample firms mainly opt for combinations of small transformational strategies to achieve their large transformation goals. However, in many organizations, digital and business transformation initiatives suffer from poor governance and are typically just a collection of unconnected activities, piecemeal strategies and pilot projects. Developing a coherent transformation strategy, with the right structure and governance, remains a challenge for most organizations. This paper, leveraging the collective learnings from the eight companies studied, aims to help decision-makers with a conceptual guideline to select the most appropriate strategic tools when undergoing a transformation, based on four dimensions that are of high relevance across multiple strategic environments.</t>
  </si>
  <si>
    <t>[Fernandez-Vidal, Jorge] Univ Alicante, Fac Econ, Alicante 03690, Spain; [Gonzalez, Reyes; Gasco, Jose; Llopis, Juan] Univ Alicante, Business Management, Alicante, Spain; [Gasco, Jose] Univ Alicante, Res Inst Tourism, Alicante, Spain</t>
  </si>
  <si>
    <t>Gonzalez, R (corresponding author), Univ Alicante, Fac Econ, Alicante 03690, Spain.</t>
  </si>
  <si>
    <t>mr.gonzalez@ua.es</t>
  </si>
  <si>
    <t>TECHNOL FORECAST SOC</t>
  </si>
  <si>
    <t>Technol. Forecast. Soc. Chang.</t>
  </si>
  <si>
    <t>10.1016/j.techfore.2021.121293</t>
  </si>
  <si>
    <t>OCT 2021</t>
  </si>
  <si>
    <t>Business; Regional &amp; Urban Planning</t>
  </si>
  <si>
    <t>Business &amp; Economics; Public Administration</t>
  </si>
  <si>
    <t>WY6EE</t>
  </si>
  <si>
    <t>Green Submitted</t>
  </si>
  <si>
    <t>WOS:000719370700002</t>
  </si>
  <si>
    <t>Konigstorfer, F; Thalmann, S</t>
  </si>
  <si>
    <t>Koenigstorfer, Florian; Thalmann, Stefan</t>
  </si>
  <si>
    <t>Software documentation is not enough! Requirements for the documentation of AI</t>
  </si>
  <si>
    <t>Documentation; Artificial intelligence; Adoption of AI; Documentation requirements; Governance of AI</t>
  </si>
  <si>
    <t>ARTIFICIAL-INTELLIGENCE; GOVERNANCE; RISK</t>
  </si>
  <si>
    <t>Purpose Artificial intelligence (AI) is currently one of the most disruptive technologies and can be applied in many different use cases. However, applying AI in regulated environments is challenging, as it is currently not clear how to achieve and assess the fairness, accountability and transparency (FAT) of AI. Documentation is one promising governance mechanism to ensure that AI is FAT when it is applied in practice. However, due to the nature of AI, documentation standards from software engineering are not suitable to collect the required evidence. Even though FAT AI is called for by lawmakers, academics and practitioners, suitable guidelines on how to document AI are not available. This interview study aims to investigate the requirements for AI documentations. Design/methodology/approach A total of 16 interviews were conducted with senior employees from companies in the banking and IT industry as well as with consultants. The interviews were then analyzed using an informed-inductive coding approach. Findings The authors found five requirements for AI documentation, taking the specific nature of AI into account. The interviews show that documenting AI is not a purely technical task, but also requires engineers to present information on how the AI is understandably integrated into the business process. Originality/value This paper benefits from the unique insights of senior employees into the documentation of AI.</t>
  </si>
  <si>
    <t>[Koenigstorfer, Florian; Thalmann, Stefan] Karl Franzens Univ Graz, Business Analyt &amp; Data Sci Ctr, Graz, Austria</t>
  </si>
  <si>
    <t>Konigstorfer, F (corresponding author), Karl Franzens Univ Graz, Business Analyt &amp; Data Sci Ctr, Graz, Austria.</t>
  </si>
  <si>
    <t>florian.koenigstorfer@uni-graz.at</t>
  </si>
  <si>
    <t>DIGIT POLICY REGUL G</t>
  </si>
  <si>
    <t>Digit. Policy Regul. Gov.</t>
  </si>
  <si>
    <t>NOV 9</t>
  </si>
  <si>
    <t>10.1108/DPRG-03-2021-0047</t>
  </si>
  <si>
    <t>Information Science &amp; Library Science</t>
  </si>
  <si>
    <t>WU2ZQ</t>
  </si>
  <si>
    <t>WOS:000710657400001</t>
  </si>
  <si>
    <t>Chhikara, R; Garg, R; Chhabra, S; Karnatak, U; Agrawal, G</t>
  </si>
  <si>
    <t>Chhikara, Ritu; Garg, Ruchi; Chhabra, Sakkhi; Karnatak, Udayan; Agrawal, Gautam</t>
  </si>
  <si>
    <t>Factors affecting adoption of electric vehicles in India: An exploratory study</t>
  </si>
  <si>
    <t>Battery Electric Vehicle; Qualitative Research; Drivers; Barriers; Support Mechanism; Sustainability</t>
  </si>
  <si>
    <t>HYBRID; TECHNOLOGY; PREFERENCE; INNOVATION; IMPACTS; REDUCE; CITY</t>
  </si>
  <si>
    <t>Although necessary, there are a large number of complex factors involved in making mass adoption of Battery Electric Vehicles in a developing country like India, a reality. This qualitative study encompasses exploration of the drivers for, barriers to, and support mechanisms involved in making this transition successful. 41 in-depth interviews across multiple stakeholders such as automobile manufacturers, suppliers, academicians &amp; consultants, BEV owners, potential customers, and government officials were conducted. Inclination of the government towards investment in R&amp;D and offering financial &amp; non-financial benefits were identified as major drivers. Poor infrastructure and prevalent product related technical issues, high cost of manufacturing due to raw material imports in the country, and insufficient legislative support around incentives offered to customers came up as major barriers. Impactful awareness and promotional campaigns by govt and industry, increased collaboration between industry and academia, continuous testing and improvisation of vehicular performance could serve as support mechanisms.</t>
  </si>
  <si>
    <t>[Chhikara, Ritu; Garg, Ruchi; Karnatak, Udayan; Agrawal, Gautam] BML Munjal Univ, Gurugram 122413, India; [Chhabra, Sakkhi] IIM Sambalpur, Burla, Odisha, India</t>
  </si>
  <si>
    <t>Garg, R (corresponding author), BML Munjal Univ, Gurugram 122413, India.</t>
  </si>
  <si>
    <t>ritu.chhikara@bmu.edu.in; ruchigarg13@gmail.com; sakhhi_chhabra@yahoo.co.in; Udayan.19pd@bmu.edu.in; Gautam.18pd@bmu.edu.in</t>
  </si>
  <si>
    <t>1879-2340</t>
  </si>
  <si>
    <t>TRANSPORT RES D-TR E</t>
  </si>
  <si>
    <t>Transport. Res. Part D-Transport. Environ.</t>
  </si>
  <si>
    <t>10.1016/j.trd.2021.103084</t>
  </si>
  <si>
    <t>Environmental Studies; Transportation; Transportation Science &amp; Technology</t>
  </si>
  <si>
    <t>Environmental Sciences &amp; Ecology; Transportation</t>
  </si>
  <si>
    <t>XF1PB</t>
  </si>
  <si>
    <t>WOS:000723848500005</t>
  </si>
  <si>
    <t>Ryan, EJ; Owen, SD; Lawrence, J; Glavovic, B; Robichaux, L; Dickson, M; Kench, PS; Schneider, P; Bell, R; Blackett, P</t>
  </si>
  <si>
    <t>Ryan, E. J.; Owen, S. D.; Lawrence, J.; Glavovic, B.; Robichaux, L.; Dickson, M.; Kench, P. S.; Schneider, P.; Bell, R.; Blackett, P.</t>
  </si>
  <si>
    <t>Formulating a 100-year strategy for managing coastal hazard risk in a changing climate: Lessons learned from Hawke's Bay, New Zealand</t>
  </si>
  <si>
    <t>Coastal hazard; Sea-level rise; Adaptation governance; Dynamic adaptive pathways; Community engagement</t>
  </si>
  <si>
    <t>SEA-LEVEL RISE; ADAPTATION; PATHWAYS; POLICY; PARTICIPATION; FUTURE; IMPACT</t>
  </si>
  <si>
    <t>Decision-makers, managers and communities in low-lying coastal regions face many challenges in planning for and adapting to escalating coastal hazard risk, given uncertainty about sea-level rise and complex and contested environmental and socio-economic futures. Collaborative and participatory approaches can help to address such challenges and enable proactive adaptation. However, there is limited empirical evidence of such approaches yielding outcomes that can genuinely be described as shifting business as usual, and fewer still that have informed institutional change. This paper provides such evidence based on an assessment of a novel collaboration between local government, Ma over bar ori, stakeholders, community members, consultants and researchers in the formulation of a 100-year coastal hazard management strategy in Aotearoa New Zealand. Thematic analysis of interviews, surveys and workshop materials was used to distil lessons learned by participants involved in formulating this anticipatory long-term strategy. Results indicated the importance of deliberative, flexible and transparent governance processes that can enable collaboration amongst Ma over bar ori, local and region-wide stakeholders, in a process consistent with and supported by the national governmental frameworks, and regulatory and non-regulatory measures. The importance of aligning scientific, local and Indigenous knowledges is highlighted. Furthermore, novel tools and methodologies were used in the strategy formulation process, hitherto not applied in a real-life coastal decision-making process, to address changing risk over time and uncertainties. This enabled the tailoring of strategic planning and decision processes to reflect local contexts and governance interactions. Adaptive pathways were developed to enable short-term actions to be taken while leaving open longterm options and alternative pathways available for future adjustment as the hazards and impacts intensify. The lessons learned from the development of the coastal management strategy offer insights to support future collaborative decision-making processes in climate change adaptation. They advance scholarly understanding about how sea-level rise risks can be addressed in a long-term strategic formulation process in a dynamic and 'fitfor-purpose' manner.</t>
  </si>
  <si>
    <t>[Ryan, E. J.; Owen, S. D.; Robichaux, L.; Dickson, M.; Kench, P. S.] Univ Auckland, Sch Environm, Auckland, New Zealand; [Owen, S. D.] Simon Fraser Univ, Sch Resource &amp; Environm Management, 8888 Univ Dr, Burnaby, BC V5A 1S6, Canada; [Lawrence, J.] Victoria Univ Wellington, Climate Change Res Inst, Wellington, New Zealand; [Glavovic, B.; Schneider, P.] Massey Univ, Sch People, Environm &amp; Planning, Auckland, New Zealand; [Kench, P. S.] Simon Fraser Univ, Dept Earth Sci, Burnaby, BC, Canada; [Bell, R.; Blackett, P.] NIWA, Hamilton, New Zealand; [Bell, R.] Univ Waikato, Sch Social Sci, Auckland, New Zealand</t>
  </si>
  <si>
    <t>Owen, SD (corresponding author), Simon Fraser Univ, Sch Resource &amp; Environm Management, 8888 Univ Dr, Burnaby, BC V5A 1S6, Canada.</t>
  </si>
  <si>
    <t>sdowen@sfu.ca</t>
  </si>
  <si>
    <t>Glavovic, Bruce/AAM-2684-2021</t>
  </si>
  <si>
    <t>Glavovic, Bruce/0000-0001-5235-1425</t>
  </si>
  <si>
    <t>Ministry of Business, Innovation and Employment under the Resilience to Nature's Challenges National Science Challenge, Living at the Edge (Coastal) programme</t>
  </si>
  <si>
    <t>Thanks to all those involved in the Clifton to Tangoio Coastal Hazards Strategy 2120 from Hawke's Bay Regional Council, Hastings District Council, Napier City Council, Tonkin and Taylor, Mitchell Daysh, Traverse Environmental and the community, business and M aori representatives. Acknowledgement extends to all interview participants and members of the research team (including H. Rennie, J. Becker, M. Allis and J. Jozaei). Funding for the research was provided by the Ministry of Business, Innovation and Employment under the Resilience to Nature's Challenges National Science Challenge, Living at the Edge (Coastal) programme. Data were collected under The University of Auckland Human Participants Ethics Committee reference no. 018440 and Massey University Human Ethics Committee reference no. 4000016729. Acknowledgements are extended to two anonymous reviewers who provided thoughtful reviews that significantly improved this manuscript.</t>
  </si>
  <si>
    <t>10.1016/j.envsci.2021.10.012</t>
  </si>
  <si>
    <t>WS1WF</t>
  </si>
  <si>
    <t>WOS:000714979100001</t>
  </si>
  <si>
    <t>Faro, B; Abedin, B; Cetindamar, D</t>
  </si>
  <si>
    <t>Faro, Benjamin; Abedin, Babak; Cetindamar, Dilek</t>
  </si>
  <si>
    <t>Hybrid organizational forms in public sector's digital transformation: a technology enactment approach</t>
  </si>
  <si>
    <t>JOURNAL OF ENTERPRISE INFORMATION MANAGEMENT</t>
  </si>
  <si>
    <t>Digital transformation; Digitalization; Digitization; E-government; T-government; Transformational government; Public sector digital transformation</t>
  </si>
  <si>
    <t>LITERATURE-REVIEWS; E-GOVERNMENT; AMBIDEXTERITY; DESIGN; INNOVATION; SERVICES; STRATEGY; SYSTEM</t>
  </si>
  <si>
    <t>Purpose The purpose of this paper is to examine how public sector organizations become nimbler while retaining their resilience during digital transformation. Design/methodology/approach The study adopts a hermeneutic approach in conducting deep expert interviews with 22 senior executives and managers of multiple organizations. The method blends theory and expert views to study digital transformation in the context of enterprise information management. Findings Drawing on technology enactment framework (TEF), this research poses that organizational form is critical in the enactment of technologies in digital transformation. By extending the TEF, the authors claim that organizations are not in pure bureaucratic or network organizational form during digital transformation; instead, they need a hybrid combination in order to support competing strategic needs for nimbleness and resilience simultaneously. The four hybrid organizational forms presented in this model (4R) allow for networks and bureaucracy to coexist, though at different levels depending on the level of resiliency and nimbleness required at each point in the continuous digital transformation journey. Research limitations/implications The main theoretical contribution of this research is to extend the TEF to illustrate that the need for coexistence of nimbleness with stability in a digital transformation results in a hybrid of networks and bureaucratic organization forms. This research aims to guide public sector organizations' digital transformation with extended the TEF as a tool for building the required organizational forms to influence the technology enactment to best meet their strategic needs in the digital era. Practical implications The results from expert interviews point to the fact that the hybrid organizational forms create a multi-modal organization, extending the understanding of enterprise information management. Depending on the department or business needs, a hybrid organizational form mode would be dominant. This dominance creates a paradox in organizations to handle both resilience and nimbleness. Therefore, the 4R model is provided as a guide to public sector managers and consultants to guide strutting their organization for digital transformation. Originality/value The model (4R), the extended TEF, shows that organizations still work towards networks and bureaucracy; however, they are not two distinct concepts anymore; they coexist at different levels in hybrid forms depending on the needs of the organization.</t>
  </si>
  <si>
    <t>[Faro, Benjamin; Cetindamar, Dilek] Univ Technol Sydney, Haymarket, Australia; [Abedin, Babak] Macquarie Univ, Sydney, NSW, Australia</t>
  </si>
  <si>
    <t>Faro, B (corresponding author), Univ Technol Sydney, Haymarket, Australia.</t>
  </si>
  <si>
    <t>Benjamin.Faro@outlook.com; babak.abedin@mq.edu.au; dilek.cetindamarkozanoglu@uts.edu.au</t>
  </si>
  <si>
    <t>CETINDAMAR, DILEK/R-9278-2019</t>
  </si>
  <si>
    <t>CETINDAMAR, DILEK/0000-0002-0457-3258; Abedin, Babak/0000-0002-3426-443X</t>
  </si>
  <si>
    <t>1741-0398</t>
  </si>
  <si>
    <t>1758-7409</t>
  </si>
  <si>
    <t>J ENTERP INF MANAG</t>
  </si>
  <si>
    <t>J. Enterp. Inf. Manag.</t>
  </si>
  <si>
    <t>10.1108/JEIM-03-2021-0126</t>
  </si>
  <si>
    <t>Computer Science, Interdisciplinary Applications; Information Science &amp; Library Science; Management</t>
  </si>
  <si>
    <t>Computer Science; Information Science &amp; Library Science; Business &amp; Economics</t>
  </si>
  <si>
    <t>WK6XI</t>
  </si>
  <si>
    <t>WOS:000709868000001</t>
  </si>
  <si>
    <t>Shabbiruddin; Ghose, D; Pradhan, S</t>
  </si>
  <si>
    <t>Shabbiruddin; Ghose, Dipanjan; Pradhan, Sudeep</t>
  </si>
  <si>
    <t>Analysis of Challenges for One Point Solution Study of Electric Vehicle Service Centre (EVSC) using Fuzzy- Methodology</t>
  </si>
  <si>
    <t>INTERNATIONAL JOURNAL OF SUSTAINABLE ENGINEERING</t>
  </si>
  <si>
    <t>EVSC; business model; sustainability; risk-factor; fuzzy-methodology; AHP</t>
  </si>
  <si>
    <t>EXTENT ANALYSIS METHOD; CHARGING STATIONS; MCDM APPROACH; SELECTION; SYSTEM</t>
  </si>
  <si>
    <t>It is not very unrealistic to lookout for one-point solutions in the case of service-based industries. Similarly, there is a need of establishing Electric Vehicle Service Centres (EVSC), which could be one-point solution to the customers. These modern service stations are converged towards promoting the idea of sustainability in the environment. This would provide the services solely for Electric Vehicles (EVs), an emerging application of sustainable resources. However, considering a range of services from charging infrastructure to the battery swapping module in a single EVSC, some numerous challenges and risk factors get invoked. For EVSCs too, it is thus essential to analyze every risk factor associated with its practicability. In this work, authors have identified thirteen challenges posed by this industry by consulting experts from the same genre, and thus a model is developed deploying Fuzzy to arrange these challenges in a hierarchy level posed by each criterion. The results are exclusively expected to benefit the policymakers of the EVSC industry to help them plan their businesses on the intensity of challenges they face from each factor. It shall further aid in designing more efficient and robust frameworks to ensure a better servicing mechanism for EVSCs targeting one-point solution schemes.</t>
  </si>
  <si>
    <t>[Shabbiruddin] Sikkim Manipal Univ, Sikkim Manipal Inst Technol, Dept Elect &amp; Elect Engn, Sikkim, India; [Ghose, Dipanjan] Univ Texas Austin, Dept Elect &amp; Comp Engn, Austin, TX 78712 USA; [Pradhan, Sudeep] Cotiviti, Kathmandu, Nepal</t>
  </si>
  <si>
    <t>Shabbiruddin (corresponding author), Sikkim Manipal Univ, Sikkim Manipal Inst Technol, Dept Elect &amp; Elect Engn, Sikkim, India.</t>
  </si>
  <si>
    <t>shabbiruddin.s@smit.smu.edu.in</t>
  </si>
  <si>
    <t>1939-7038</t>
  </si>
  <si>
    <t>1939-7046</t>
  </si>
  <si>
    <t>INT J SUSTAIN ENG</t>
  </si>
  <si>
    <t>Int. J. Sustain. Eng.</t>
  </si>
  <si>
    <t>10.1080/19397038.2021.1986589</t>
  </si>
  <si>
    <t>XM8WD</t>
  </si>
  <si>
    <t>WOS:000708249100001</t>
  </si>
  <si>
    <t>Voukkali, I; Zorpas, AA</t>
  </si>
  <si>
    <t>Voukkali, Irene; Zorpas, Antonis A.</t>
  </si>
  <si>
    <t>Evaluation of urban metabolism assessment methods through SWOT analysis and analytical hierocracy process</t>
  </si>
  <si>
    <t>Urban metabolism; Circular economy; Sustainable development goals; Material Flow Analysis; Emergy Analysis; Ecological footprint; SWOT analysis; Analytical Hierocracy Process; PRISMA statement</t>
  </si>
  <si>
    <t>ECOLOGICAL FOOTPRINT ANALYSIS; MATERIAL FLOW-ANALYSIS; CIRCULAR ECONOMY MODEL; BEIJING-TIANJIN-HEBEI; INPUT-OUTPUT MODEL; ENERGY-METABOLISM; EMERGY ANALYSIS; SUSTAINABLE DEVELOPMENT; MULTISCALE ANALYSIS; ENVIRONMENTAL SUSTAINABILITY</t>
  </si>
  <si>
    <t>The interconnection of urbanization trends and environmental pressures, are due to the rising demand for resource consumption, waste production and greenhouses gas emissions. Taking into consideration the massive reduction of natural resources, the deprivation of the life quality and the climate change, the scientific community indicates the necessity to emphasis and understand the relationship between cities and the environment as a dynamic concept. Consequently, cities are facing the challenge to implement alternative strategies towards more sustainable management of urban resources. This research aims to shed light on the concept of urban metabolism, the methods that are been used to gauge urban metabolism (i.e Emergy Analysis, Material Flow Analysis, Ecological Footprint etc.), as well as the assessment of the proposed methodologies through SWOT analysis and Analytical Hierocracy Process, considering multi-criteria analysis and how those reflect to Circular Economy and European Green Deal Strategy. The results showed that, the existing methodologies needs refreshment to cover the needs for the cities of tomorrow and a new hybrid approach which will include new set of Key Performed Indicators is essential. Furthermore, the results could serve as a beneficial reference point for policy makers, consultants, rural developers as the new hybrid approach can be used to measure and assess the level of metabolism in one area in order to prevent future expansion. (c) 2021 Elsevier B.V. All rights reserved.</t>
  </si>
  <si>
    <t>[Voukkali, Irene; Zorpas, Antonis A.] Open Univ Cyprus, Fac Pure &amp; Appl Sci, Lab Chem Engn &amp; Engn Sustainabil, POB 12794,Giannou Kranidioti 33, CY-2220 Nicosia, Cyprus</t>
  </si>
  <si>
    <t>Zorpas, AA (corresponding author), Open Univ Cyprus, Fac Pure &amp; Appl Sci, Lab Chem Engn &amp; Engn Sustainabil, POB 12794,Giannou Kranidioti 33, CY-2220 Nicosia, Cyprus.</t>
  </si>
  <si>
    <t>antonis.zorpas@ouc.ac.cy</t>
  </si>
  <si>
    <t>Open University of Cyprus; Laboratory of Chemical Engineering and Engineering Sustain-ability</t>
  </si>
  <si>
    <t>The authors would like to acknowledge Open University of Cyprus and the Laboratory of Chemical Engineering and Engineering Sustain-ability for their support and research facilities. They also declare that this study has been partly funded from Internal University Research Funds. Moreover, the Authors would like to acknowledge Mrs. Stella Zorpa, managing director of Smart Learning ( www.smartlearning.com . cy) for her valuable help.</t>
  </si>
  <si>
    <t>10.1016/j.scitotenv.2021.150700</t>
  </si>
  <si>
    <t>WH4PZ</t>
  </si>
  <si>
    <t>WOS:000707663100002</t>
  </si>
  <si>
    <t>Brown, JM; Naser, SC; Griffin, CB; Grapin, SL; Proctor, SL</t>
  </si>
  <si>
    <t>Brown, Jeffrey M.; Naser, Shereen C.; Griffin, Charity Brown; Grapin, Sally L.; Proctor, Sherrie L.</t>
  </si>
  <si>
    <t>A multicultural, gender, and sexually diverse affirming school-based consultation framework</t>
  </si>
  <si>
    <t>PSYCHOLOGY IN THE SCHOOLS</t>
  </si>
  <si>
    <t>intersectionality; LGBTQ youth; minority stress; school consultation; social justice</t>
  </si>
  <si>
    <t>MINORITY STRESS; MENTAL-HEALTH; INCLUSIVE POLICIES; PEER VICTIMIZATION; IDENTITY SALIENCE; LGBTQ STUDENTS; TRANSGENDER; GAY; YOUTH; EXPERIENCES</t>
  </si>
  <si>
    <t>Gender and sexually diverse (GSD) students face unique challenges in schools due to the privileging of cisgender and heterosexist norms in these settings. In particular, GSD youth who belong to ethnically and racially minoritized groups face further challenges within school environments that disregard their cultural contexts and intersectional identities. It is important for school psychologists to ensure safe and high-quality mental health, educational, and behavioral supports for these students. One possible avenue for building these types of supports is through school consultation. When school psychologists collaborate with other professionals in a culturally competent, participatory way, their work has the potential to bolster behavioral, academic, and mental health outcomes at the individual, group, and/or systems levels. Adapting Ingraham's multicultural school consultation model, this article proposes a multicultural, GSD affirming school consultation framework that also approaches the experiences of racially and ethnically minoritized individuals through the lenses of intersectionality and minority stress frameworks. Across its five domains, this adapted framework aims to give practitioners and researchers a conceptual foundation to support GSD students of minoritized ethnic and racial identities by considering interactions among consultants, consultees, and clients within their wider school contexts.</t>
  </si>
  <si>
    <t>[Brown, Jeffrey M.] San Diego State Univ, Dept Counseling, 5500 Campanile Dr, San Diego, CA 92182 USA; [Brown, Jeffrey M.] San Diego State Univ, Sch Psychologyn, 5500 Campanile Dr, San Diego, CA 92182 USA; [Naser, Shereen C.] Cleveland State Univ, Dept Psychol, Cleveland, OH 44115 USA; [Griffin, Charity Brown] Winston Salem State Univ, Dept Psychol Sci, Winston Salem, NC USA; [Grapin, Sally L.] Montclair State Univ, Dept Psychol, Montclair, NJ USA; [Proctor, Sherrie L.] CUNY, Dept Educ Psychol, Queens Coll, New York, NY USA</t>
  </si>
  <si>
    <t>Brown, JM (corresponding author), San Diego State Univ, Dept Counseling, 5500 Campanile Dr, San Diego, CA 92182 USA.;Brown, JM (corresponding author), San Diego State Univ, Sch Psychologyn, 5500 Campanile Dr, San Diego, CA 92182 USA.</t>
  </si>
  <si>
    <t>jbrown4@sdsu.edu</t>
  </si>
  <si>
    <t>Grapin, Sally/0000-0001-8119-3681; Proctor, Sherrie/0000-0002-8785-0483</t>
  </si>
  <si>
    <t>0033-3085</t>
  </si>
  <si>
    <t>1520-6807</t>
  </si>
  <si>
    <t>PSYCHOL SCHOOLS</t>
  </si>
  <si>
    <t>Psychol. Schools</t>
  </si>
  <si>
    <t>10.1002/pits.22593</t>
  </si>
  <si>
    <t>Psychology, Educational</t>
  </si>
  <si>
    <t>XQ1SG</t>
  </si>
  <si>
    <t>WOS:000705113400001</t>
  </si>
  <si>
    <t>Piwowar, A</t>
  </si>
  <si>
    <t>Piwowar, Arkadiusz</t>
  </si>
  <si>
    <t>The problem of energy poverty in the activities of agricultural advisory centres in Poland</t>
  </si>
  <si>
    <t>RENEWABLE ENERGY; CLIMATE-CHANGE; MITIGATION</t>
  </si>
  <si>
    <t>It is necessary in agricultural consulting to take into account the current problems as well as economic and social challenges facing rural areas. Undoubtedly, sustainable economy and energy policy is such a problem in Poland, including the issue of access to energy from renewable sources and financial possibilities of meeting the electricity demand of households and agriculture. Therefore, advisory and information activities in the field of reducing energy poverty and improving air quality are important. The main purpose of the paper was to identify and assess the role of advisory entities in the process of counteracting energy poverty in rural areas in Poland. The basic research method was an expert (survey) study. Research shows that the subject of energy poverty is relatively rarely taken up by consulting institutions as part of training courses, especially issues related to saving electricity in the household/agricultural sector are marginalized; monitoring and analysis of energy consumption; selection of technical devices in terms of energy efficiency. Based on expert research, there were identified consultancy activities that are and may be important in the topic under study. Experts indicated co-financing of activities in the field of energy efficiency as the preferred way to fight energy poverty in agriculture and rural areas. The results may constitute an important direction in the development of consultancy, the basis for building priority programs, which in turn may affect the behaviour and actions of farmers and other inhabitants of rural areas in the context of energy transformation. The performed research may constitute the basis for further, in-depth analyses in other countries and on an international scale.</t>
  </si>
  <si>
    <t>[Piwowar, Arkadiusz] Wroclaw Univ Econ &amp; Business, Fac Econ &amp; Finance, Wroclaw, Poland</t>
  </si>
  <si>
    <t>Piwowar, A (corresponding author), Wroclaw Univ Econ &amp; Business, Fac Econ &amp; Finance, Wroclaw, Poland.</t>
  </si>
  <si>
    <t>arkadiusz.piwowar@ue.wroc.pl</t>
  </si>
  <si>
    <t>Piwowar, Arkadiusz/I-7282-2012</t>
  </si>
  <si>
    <t>Piwowar, Arkadiusz/0000-0001-5676-9431</t>
  </si>
  <si>
    <t>project Socioeconomic, environmental and technical determinants of the energy poverty in rural areas in Poland - National Science Centre in Poland, program OPUS [2018/31/B/HS4/ 00048]</t>
  </si>
  <si>
    <t>project Socioeconomic, environmental and technical determinants of the energy poverty in rural areas in Poland - National Science Centre in Poland, program OPUS</t>
  </si>
  <si>
    <t>This study was conducted and financed in the framework of the research project Socioeconomic, environmental and technical determinants of the energy poverty in rural areas in Poland, granted by the National Science Centre in Poland, program OPUS, grant No. 2018/31/B/HS4/ 00048.</t>
  </si>
  <si>
    <t>PUBLIC LIBRARY SCIENCE</t>
  </si>
  <si>
    <t>SAN FRANCISCO</t>
  </si>
  <si>
    <t>1160 BATTERY STREET, STE 100, SAN FRANCISCO, CA 94111 USA</t>
  </si>
  <si>
    <t>PLoS One</t>
  </si>
  <si>
    <t>OCT 8</t>
  </si>
  <si>
    <t>e0258366</t>
  </si>
  <si>
    <t>10.1371/journal.pone.0258366</t>
  </si>
  <si>
    <t>YZ7ZO</t>
  </si>
  <si>
    <t>WOS:000755691200033</t>
  </si>
  <si>
    <t>Bobrownicki, R; Valentin, S</t>
  </si>
  <si>
    <t>Bobrownicki, Ray; Valentin, Stephanie</t>
  </si>
  <si>
    <t>Adding experiential layers to the transnational-athlete concept: A narrative review of real-world heterogeneous mobility experiences</t>
  </si>
  <si>
    <t>PSYCHOLOGY OF SPORT AND EXERCISE</t>
  </si>
  <si>
    <t>Mobility; Postnational; Intranational; Non-national; Identity; Cultural sport psychology</t>
  </si>
  <si>
    <t>CULTURAL SPORT PSYCHOLOGY; IDENTITY; ACCULTURATION; EXERCISE; CITIZENSHIP; ADAPTATION; RETHINKING; MIGRATION</t>
  </si>
  <si>
    <t>Objective: With rising mobility and greater recognition of the diversity of origins, cultures, and outlooks, there has been increasing interest in transnational perspectives in sport psychology scholarship and practice. Based on personal and professional experiences, however, we are concerned that there are diverse transnational-athlete perspectives that have not yet been explored in the literature which are also often restricted by traditional nation-based sporting policies, organisations, and events. As cultural awareness and understanding may enhance consultancy effectiveness and enable the construction of heretofore unrealised identities for athletes, in this paper we seek to expand upon the heterogeneity of athlete experiences relating to mobility by exploring realworld cases of transnational athletes and how their experiences fit into current sporting structures. Design: Narrative review and commentary. Results: Three identity orientations that showcase transnational diversity are identified: postnational, intranational, and non-national. Key characteristics and challenges relating to these for athletes, coaches, and practitioners are exemplified and discussed. Conclusion: To enhance rapport and inclusivity, researchers and practitioners should not only consider experiences, perceptions, and constructed identities of postnational, intranational, and non-national athletes, but also seek to understand how these interact with or are influenced by environmental and structural factors.</t>
  </si>
  <si>
    <t>[Bobrownicki, Ray; Valentin, Stephanie] Univ West Scotland, Div Sport &amp; Exercise, Paisley, Renfrew, Scotland</t>
  </si>
  <si>
    <t>Bobrownicki, R (corresponding author), Univ West Scotland, Sch Hlth &amp; Life Sci, Div Sport &amp; Exercise, Hamilton Int Technol Pk,Stephenson Pl, Blantyre G72 0LH, Malawi.</t>
  </si>
  <si>
    <t>ray.bobrownicki@uws.ac.uk</t>
  </si>
  <si>
    <t>valentin, stephanie/0000-0002-8568-3458; Bobrownicki, Ray/0000-0003-4529-8085</t>
  </si>
  <si>
    <t>1469-0292</t>
  </si>
  <si>
    <t>1878-5476</t>
  </si>
  <si>
    <t>PSYCHOL SPORT EXERC</t>
  </si>
  <si>
    <t>Psychol. Sport Exerc.</t>
  </si>
  <si>
    <t>10.1016/j.psychsport.2021.102075</t>
  </si>
  <si>
    <t>WK8WD</t>
  </si>
  <si>
    <t>WOS:000710000400009</t>
  </si>
  <si>
    <t>Hughey, S; Spevak, C; Stedje-Larsen, E</t>
  </si>
  <si>
    <t>Hughey, Scott; Spevak, Christopher; Stedje-Larsen, Eric</t>
  </si>
  <si>
    <t>Military Pain Medicine: Sustaining the Fighting Force</t>
  </si>
  <si>
    <t>MILITARY MEDICINE</t>
  </si>
  <si>
    <t>US ARMY</t>
  </si>
  <si>
    <t>Active duty military service members (ADSMs) suffer disproportionately from chronic pain. In the USA, military pain physicians serve an important role in the treatment of pain conditions in addition to the maintenance of the fighting force. Expanding roles for pain physicians, including novel therapies, consulting roles for opioid policy, and usefulness in a deployed setting create enormous value for military pain physicians. Ongoing force structure changes, including proposed reduction in the U.S. Military's healthcare workforce may significantly impact pain care and the health of the fighting forces. Military pain physicians support a variety of different roles in the military healthcare system. Ultimately, maintaining a robust faculty of pain physicians allows for both preservation of the fighting forces and a ready medical force.</t>
  </si>
  <si>
    <t>[Hughey, Scott; Stedje-Larsen, Eric] Naval Med Ctr Portsmouth, Dept Anesthesiol &amp; Pain Med, Portsmouth, VA 23708 USA; [Hughey, Scott; Stedje-Larsen, Eric] Naval Med Ctr Portsmouth, Naval Biotechnol Grp, Portsmouth, VA 23708 USA; [Spevak, Christopher] Walter Reed Natl Mil Med Ctr, Dept Anesthesiol &amp; Pain Med, Bethesda, MD 20814 USA</t>
  </si>
  <si>
    <t>Hughey, S (corresponding author), Naval Med Ctr Portsmouth, Dept Anesthesiol &amp; Pain Med, Portsmouth, VA 23708 USA.;Hughey, S (corresponding author), Naval Med Ctr Portsmouth, Naval Biotechnol Grp, Portsmouth, VA 23708 USA.</t>
  </si>
  <si>
    <t>0026-4075</t>
  </si>
  <si>
    <t>1930-613X</t>
  </si>
  <si>
    <t>MIL MED</t>
  </si>
  <si>
    <t>Milit. Med.</t>
  </si>
  <si>
    <t>MAR 28</t>
  </si>
  <si>
    <t>10.1093/milmed/usab419</t>
  </si>
  <si>
    <t>0A8QB</t>
  </si>
  <si>
    <t>WOS:000763919200001</t>
  </si>
  <si>
    <t>Saghatforoush, E; Nourzad, SHH; Zareravasan, A; Jadidoleslami, S</t>
  </si>
  <si>
    <t>Saghatforoush, Ehsan; Nourzad, Seyed Hossein Hosseini; Zareravasan, Ahad; Jadidoleslami, Samereh</t>
  </si>
  <si>
    <t>Enablers for BIM application in architectural design: a robust exploratory factor analysis approach</t>
  </si>
  <si>
    <t>Architectural design; BIM enablers; Building Information Modelling (BIM); robust exploratory factor analysis (EFA); IT value for the construction industry</t>
  </si>
  <si>
    <t>CONSTRUCTION PROJECTS; GOOGLE-SCHOLAR; IMPLEMENTATION; ADOPTION; SCIENCE; CLASSIFICATION; CHALLENGES; MANAGEMENT; INNOVATION; BENEFITS</t>
  </si>
  <si>
    <t>Professional architects with several years of experience in various projects have unique methods to design an architectural work. One of these approaches is to leverage the value of emerging information technologies such as Building Information Modelling (BIM) in architectural design. Leveraging these potentials requires promoting an appropriate context for the implementation and adoption of these new technologies. In response to the turbulent and multifaceted socio-technical nature of modern information technologies and the environmental uncertainty, architects enhance enablers to advance the architectural design process. Enablers are the preeminent factors that facilitate the implementation of new technologies and contribute to the sustainable development of projects and organizations. Given the lack of dedicated studies on the enablers affecting BIM application, this study aims to identify and classify these enablers in the architectural design phase. Following a systematic literature review approach, a comprehensive list of enablers for BIM application in the architectural design phase was identified. The prepared survey questionnaire was distributed to 205 construction experts (i.e. project managers, employers, consultants, and contractors). The collected data were analyzed with the Robust Exploratory Factor Analysis method, ended up with classifying 36 enablers into four main categories: human skills, environmental, technological, and organizational factors. The findings of this study, considering the organizational enablers, recommend that the support of government officials to implement a particular validation process for BIM adoption is crucial. The contribution of this research lies in identifying and classifying enablers for BIM application in the architectural design phase, with the potentials to be applied in real work practices to improve BIM capabilities and enhance BIM initiatives in construction projects.</t>
  </si>
  <si>
    <t>[Saghatforoush, Ehsan] Univ Witwatersrand, Sch Construct Econ &amp; Management, Johannesburg, South Africa; [Nourzad, Seyed Hossein Hosseini] Univ Tehran, Sch Architecture, Dept Construct &amp; Project Management, Tehran, Iran; [Zareravasan, Ahad] Masaryk Univ, Fac Econ &amp; Adm, Dept Corp Econ, Brno, Czech Republic; [Jadidoleslami, Samereh] Tarbiat Modares Univ, Art Fac, Dept Project Management &amp; Construct, Tehran, Iran</t>
  </si>
  <si>
    <t>Nourzad, SHH (corresponding author), Univ Tehran, Sch Architecture, Dept Construct &amp; Project Management, Tehran, Iran.</t>
  </si>
  <si>
    <t>hnourzad@ut.ac.ir</t>
  </si>
  <si>
    <t>ZareRavasan, Ahad/M-5321-2017; Jadidoleslami, samereh/AAI-3117-2021</t>
  </si>
  <si>
    <t>ZareRavasan, Ahad/0000-0002-9477-0676; Jadidoleslami, samereh/0000-0002-3360-1967</t>
  </si>
  <si>
    <t>Grant Agency of the Czech Republic, GA ~CR [GA20-12081S]</t>
  </si>
  <si>
    <t>Grant Agency of the Czech Republic, GA ~CR(Grant Agency of the Czech Republic)</t>
  </si>
  <si>
    <t>This work was funded by Grant Agency of the Czech Republic, GA ~CR (grant no. GA20-12081S).</t>
  </si>
  <si>
    <t>10.1080/15623599.2021.1985775</t>
  </si>
  <si>
    <t>WD7KK</t>
  </si>
  <si>
    <t>WOS:000705115800001</t>
  </si>
  <si>
    <t>Khalaf, RW</t>
  </si>
  <si>
    <t>Khalaf, Roha W.</t>
  </si>
  <si>
    <t>Integrity: Enabling a Future-Oriented Approach to Cultural Heritage</t>
  </si>
  <si>
    <t>HISTORIC ENVIRONMENT-POLICY &amp; PRACTICE</t>
  </si>
  <si>
    <t>Consultant architect and independent scholar; Kuwait City; Kuwait</t>
  </si>
  <si>
    <t>WORLD HERITAGE</t>
  </si>
  <si>
    <t>Armed conflicts, climate change, natural hazard-related disasters such as earthquakes, and other threats, can have deleterious effects on the integrity of cultural and natural heritage; yet, the notion of integrity, as applied to cultural heritage in particular, has received little attention, not least in the World Heritage system, which is the principal disseminator of heritage discourses, policies, and practices. Curiously, concern for loss of integrity is obvious in the 1972 UNESCO World Heritage Convention, notably through the 'd' words of 'decay,' 'deterioration,' 'damage,' 'destruction,' and 'disappearance' caused by 'dangers.' This article draws on the Operational Guidelines for the implementation of this Convention and on Statements of Outstanding Universal Value to offer a closer look at integrity and its relation to the future in policy and practice. Can the notion of integrity maintain continuity whilst accommodating change over time? Can it deal with potential threats and risks? Can it create potential benefits for people? The article explores these questions and argues for 'picking up' integrity in global heritage discourses because its dynamic nature can enable a future-oriented approach to cultural heritage, not only to consider different future scenarios and responses to loss, but also to achieve sustainable development goals and reconcile conservation with the needs of an evolving world.</t>
  </si>
  <si>
    <t>[Khalaf, Roha W.] Univ Montreal, Amenagement Environm Design, Montreal, PQ, Canada</t>
  </si>
  <si>
    <t>Khalaf, RW (corresponding author), Univ Montreal, Amenagement Environm Design, Montreal, PQ, Canada.</t>
  </si>
  <si>
    <t>roha.khalaf@gmail.com</t>
  </si>
  <si>
    <t>Khalaf, Roha W./0000-0002-5779-7079</t>
  </si>
  <si>
    <t>1756-7505</t>
  </si>
  <si>
    <t>1756-7513</t>
  </si>
  <si>
    <t>HIST ENVIRON POLICY</t>
  </si>
  <si>
    <t>Hist. Env.-Policy Pract.</t>
  </si>
  <si>
    <t>10.1080/17567505.2021.1981670</t>
  </si>
  <si>
    <t>Humanities, Multidisciplinary</t>
  </si>
  <si>
    <t>Arts &amp;amp; Humanities Citation Index (A&amp;amp;HCI)</t>
  </si>
  <si>
    <t>Arts &amp; Humanities - Other Topics</t>
  </si>
  <si>
    <t>0Z4FA</t>
  </si>
  <si>
    <t>WOS:000706656000001</t>
  </si>
  <si>
    <t>Zhang, P; Li, WW; Zhao, KX; Zhao, SD</t>
  </si>
  <si>
    <t>Zhang, Ping; Li, Weiwei; Zhao, Kaixu; Zhao, Sidong</t>
  </si>
  <si>
    <t>Spatial Pattern and Driving Mechanism of Urban-Rural Income Gap in Gansu Province of China</t>
  </si>
  <si>
    <t>urban-rural income gap; spatial pattern; driving mechanism; China</t>
  </si>
  <si>
    <t>INEQUALITY EVIDENCE; CONSUMPTION INEQUALITY; FINANCIAL DEVELOPMENT; EXPENDITURE; POVERTY; URBANIZATION; DISPARITIES; IMPACT</t>
  </si>
  <si>
    <t>The urban-rural income gap is a principal indicator for evaluating the sustainable development of a region, and even the comprehensive strength of a country. The study of the urban-rural income gap and its changing spatial patterns and influence factors is an important basis for the formulation of integrated urban-rural development planning. In this paper, we conduct an empirical study on 84 county-level cities in Gansu Province by using various analysis tools, such as GIS, GeoDetector and Boston Consulting Group Matrix. The findings show that: (1) The urban-rural income gap in Gansu province is at a high level in spatial correlation and agglomeration, leading to the formation of a stepped and solidified spatial pattern. (2) Different factors vary greatly in influence, for example, per capita Gross Domestic Product, alleviating poverty policy and urbanization rate are the most prominent, followed by those such as floating population, added value of secondary industry and number of Internet users. (3) The driving mechanism becomes increasingly complex, with the factor interaction effect of residents' income dominated by bifactor enhancement, and that of the urban-rural income gap dominated by non-linear enhancement. (4) The 84 county-level cities in Gansu Province are classified into four types of early warning zones, and differentiated policy suggestions are made in this paper.</t>
  </si>
  <si>
    <t>[Zhang, Ping] Jiaxing Univ, Coll Civil Engn &amp; Architecture, Jiaxing 314001, Peoples R China; [Zhang, Ping] Lanzhou Jiaotong Univ, Coll Architecture &amp; Urban Planning, Lanzhou 730070, Peoples R China; [Li, Weiwei] Guangxi Agr Vocat Univ, Coll Landscape &amp; Architectural Engn, Nanning 530007, Peoples R China; [Zhao, Kaixu] Northwest Univ, Coll Urban &amp; Environm Sci, Xian 710127, Peoples R China; [Zhao, Sidong] Southeast Univ, Sch Architecture, Nanjing 210096, Peoples R China</t>
  </si>
  <si>
    <t>Zhang, P (corresponding author), Jiaxing Univ, Coll Civil Engn &amp; Architecture, Jiaxing 314001, Peoples R China.;Zhang, P (corresponding author), Lanzhou Jiaotong Univ, Coll Architecture &amp; Urban Planning, Lanzhou 730070, Peoples R China.</t>
  </si>
  <si>
    <t>ppqzhangp@zjxu.edu.cn; wwli2021@163.com; zhaokaixu@stumail.nwu.edu.cn; 230189013@seu.edu.cn</t>
  </si>
  <si>
    <t>zhao, sidong/0000-0002-6352-6945; Zhao, Kaixu/0000-0001-6230-7057</t>
  </si>
  <si>
    <t>National Natural Science Foundation of China [51768030]; Natural Science Foundation of Gansu Province [20JR5RA415]</t>
  </si>
  <si>
    <t>National Natural Science Foundation of China(National Natural Science Foundation of China (NSFC)); Natural Science Foundation of Gansu Province</t>
  </si>
  <si>
    <t>FundingThis paper and the related research are financially supported by the National Natural Science Foundation of China (Project Number: 51768029), the National Natural Science Foundation of China (Project Number: 51768030), and the Natural Science Foundation of Gansu Province (Project Number: 20JR5RA415).</t>
  </si>
  <si>
    <t>10.3390/land10101002</t>
  </si>
  <si>
    <t>WV2QF</t>
  </si>
  <si>
    <t>WOS:000717082300001</t>
  </si>
  <si>
    <t>Song, YH; Wang, JW; Liu, DH; Huangfu, YR; Guo, F; Liu, YP</t>
  </si>
  <si>
    <t>Song, Yinghui; Wang, Junwu; Liu, Denghui; Huangfu, Yanru; Guo, Feng; Liu, Yipeng</t>
  </si>
  <si>
    <t>The Influence of Government's Economic Management Strategies on the Prefabricated Buildings Promoting Policies: Analysis of Quadripartite Evolutionary Game</t>
  </si>
  <si>
    <t>prefabricated buildings policy; economy; management; quadripartite evolutionary game model; government supervision</t>
  </si>
  <si>
    <t>CONSTRUCTION; PERSPECTIVE; CHINA; ADOPTION; IMPACT; COST</t>
  </si>
  <si>
    <t>As an efficient measure to protect the environment and reduce energy consumption, promoting prefabricated buildings can lead to the sustainable development of the world economy and long-term economic benefits for society. Nevertheless, for China, it is immature because of the high cost and difficulties in the promotion. The government's strategies in economy and management are crucial to promoting prefabricated building policies. This paper establishes a quadripartite evolutionary game model composed of construction units, property developers, homebuyers, and government departments under the government supervision system by analyzing the entire interest chain of prefabricated buildings projects. It aims to study the impact of government management and economic strategies on promoting prefabricated building policies. The results show that: (1) The government should ensure the construction safety of projects through mature supervision systems to reduce citizens' resistant moods caused by project quality problems; (2) The government should improve the reward and punishment mechanism to motivate construction units and developers; (3) The government should invite supervision consulting companies to increase information transparency, avoiding the economic losses of the people and the obstruction of policy implementation caused by information imbalance.&lt;/p&gt;</t>
  </si>
  <si>
    <t>[Song, Yinghui; Wang, Junwu; Guo, Feng; Liu, Yipeng] Wuhan Univ Technol, Sch Civil Engn &amp; Architecture, Wuhan 430070, Peoples R China; [Wang, Junwu; Liu, Yipeng] Wuhan Univ Technol, Sanya Sci &amp; Educ Innovat Pk, Sanya 572025, Peoples R China; [Liu, Denghui] China Construction First Grp Corp Ltd, Beijing 100161, Peoples R China; [Huangfu, Yanru] Zhengzhou Univ Light Ind, Sch Art &amp; Design, Zhengzhou 450002, Peoples R China</t>
  </si>
  <si>
    <t>Liu, DH (corresponding author), China Construction First Grp Corp Ltd, Beijing 100161, Peoples R China.</t>
  </si>
  <si>
    <t>songyinghui@whut.edu.cn; 267544@whut.edu.cn; 306616@whut.edu.cn; 2004069@email.zzuli.edu.cn; guofeng777@whut.edu.cn; 222745@whut.edu.cn</t>
  </si>
  <si>
    <t>Guo, Feng/0000-0003-3584-154X; Song, Yinghui/0000-0003-3872-7486</t>
  </si>
  <si>
    <t>Science and Technology Project of Wuhan Urban and Rural Construction Bureau, China [201943]; Research on theory and application of prefabricated building construction management [20201h0439]; Wuhan Mo Dou Construction Consulting Co., Ltd. [20201h0414]</t>
  </si>
  <si>
    <t>Science and Technology Project of Wuhan Urban and Rural Construction Bureau, China; Research on theory and application of prefabricated building construction management; Wuhan Mo Dou Construction Consulting Co., Ltd.</t>
  </si>
  <si>
    <t>FundingThis study was supported by the Science and Technology Project of Wuhan Urban and Rural Construction Bureau, China (201943), Research on theory and application of prefabricated building construction management (20201h0439); Wuhan Mo Dou Construction Consulting Co., Ltd. (20201h0414).</t>
  </si>
  <si>
    <t>BUILDINGS-BASEL</t>
  </si>
  <si>
    <t>10.3390/buildings11100444</t>
  </si>
  <si>
    <t>Construction &amp; Building Technology; Engineering, Civil</t>
  </si>
  <si>
    <t>WP4IK</t>
  </si>
  <si>
    <t>WOS:000713097400001</t>
  </si>
  <si>
    <t>Aich, S; Thakur, A; Nanda, D; Tripathy, S; Kim, HC</t>
  </si>
  <si>
    <t>Aich, Satyabrata; Thakur, Ayusha; Nanda, Deepanjan; Tripathy, Sushanta; Kim, Hee-Cheol</t>
  </si>
  <si>
    <t>Factors Affecting ESG towards Impact on Investment: A Structural Approach</t>
  </si>
  <si>
    <t>ESG; investment; critical factors; interpretive structural modeling; strategy</t>
  </si>
  <si>
    <t>SOCIALLY RESPONSIBLE INVESTMENT; DIGITAL TRANSFORMATION; ISM APPROACH; SUSTAINABILITY; INVESTORS; ISSUES</t>
  </si>
  <si>
    <t>Recent disasters have emphasized the need for further action to protect businesses and society from long-term sustainability threats. We believe that the crisis is hastening nascent ESG trends, and that the increased focus on a company's environmental and social impact will last long after crises have passed. We refined three fundamental concepts that guide our thinking on investing based on environmental, social, and governance factors as our approach to sustainable investing has evolved. The ESG factor assessments are more of an inherent aspect of a sound investment process than a separate investment discipline. When ESG variables are considered, the focus is on long-term risk adjusted investment returns. Investors should choose the strategy that best matches with their goals and interests. ESG investing is not a simple yes or no answer. The research gap extracted from the previous studies is to determine the relationship among the influencing factors of ESG and its priority with their driving and dependence capabilities. We used an ISM Approach to uncover the interrelationships and influencing behavior among the elements for considering ESG in investment after conducting a thorough literature research and consulting with experts. Here interpretive structural modeling (ISM) was used to explore the links among such extracted factors and its interdependencies. There was also focus on the short-term and long-term factors to achieve our desired objective. Our research will assist businesses in attracting and obtaining finance. The results of this analysis will be helpful for leaders to understand the impact of ESG on the investment aspects of an organization.&lt;/p&gt;</t>
  </si>
  <si>
    <t>[Aich, Satyabrata] Wellmatix Co Ltd, Chang Won 51395, South Korea; [Thakur, Ayusha] Delhi Technol Univ, Elect &amp; Commun Engn, Delhi 110042, India; [Nanda, Deepanjan; Tripathy, Sushanta] KIIT Deemed Univ, Sch Mech Engn, Bhubaneswar 751024, India; [Kim, Hee-Cheol] Inje Univ, Inst Digital Antiaging Healthcare, Coll AI Convergence, U AHRC, Gimhae 50834, South Korea</t>
  </si>
  <si>
    <t>Tripathy, S (corresponding author), KIIT Deemed Univ, Sch Mech Engn, Bhubaneswar 751024, India.;Kim, HC (corresponding author), Inje Univ, Inst Digital Antiaging Healthcare, Coll AI Convergence, U AHRC, Gimhae 50834, South Korea.</t>
  </si>
  <si>
    <t>satyabrataaich@gmail.com; ayushathakur23@gmail.com; deepanjan.nanda@gmail.com; sushant.tripathy@gmail.com; heeki@inje.ac.kr</t>
  </si>
  <si>
    <t>Tripathy, Sushanta/AAT-1444-2021</t>
  </si>
  <si>
    <t>Tripathy, Sushanta/0000-0003-2470-4080; AICH, SATYABRATA/0000-0003-4034-5882</t>
  </si>
  <si>
    <t>Commercializations Promotion Agency for R&amp;D Outcomes (COMPA) - Korean Government (Ministry of Science and ICT) (RD project) [1711139492]</t>
  </si>
  <si>
    <t>Commercializations Promotion Agency for R&amp;D Outcomes (COMPA) - Korean Government (Ministry of Science and ICT) (RD project)</t>
  </si>
  <si>
    <t>This work was supported by the Commercializations Promotion Agency for R&amp;D Outcomes (COMPA) grant funded by the Korean Government (Ministry of Science and ICT) (R&amp;D project No.1711139492).</t>
  </si>
  <si>
    <t>10.3390/su131910868</t>
  </si>
  <si>
    <t>WL9QH</t>
  </si>
  <si>
    <t>WOS:000710731700001</t>
  </si>
  <si>
    <t>Tardieu, L; Hamel, P; Viguie, V; Coste, L; Levrel, H</t>
  </si>
  <si>
    <t>Tardieu, Lea; Hamel, Perrine; Viguie, Vincent; Coste, Lana; Levrel, Harold</t>
  </si>
  <si>
    <t>Are soil sealing indicators sufficient to guide urban planning? Insights from an ecosystem services assessment in the Paris metropolitan area</t>
  </si>
  <si>
    <t>ENVIRONMENTAL RESEARCH LETTERS</t>
  </si>
  <si>
    <t>ecosystem services; stakeholders; soil sealing; historical evolution; InVEST; urban planning</t>
  </si>
  <si>
    <t>IMPACT; KNOWLEDGE</t>
  </si>
  <si>
    <t>Urban sprawl impacts are critical in the evaluation of planning decisions and often monitored by indicators of soil sealing. In France, these indicators are required by law to be reported in environmental assessments of planning documents. Although monitoring of soil sealing is important to limit environmental impacts, focusing on this sole dimension in urban planning can be reductive. In this paper, we explore to what extent ecosystem services (ES) indicators, measuring the benefits to humans provided by healthy ecosystems, are captured by soil sealing indicators by comparing their temporal and spatial evolutions. Through consulting with urban planning stakeholders, we model and map the spatial and temporal evolutions over a 35 year period of soil sealing and eight priority ES in the Paris metropolitan area (agricultural potential, groundwater recharge, global climate regulation, water quality regulation through nutrient retention, urban heat mitigation, flood mitigation, recreational potential and natural heritage). We highlight the spatial and temporal matches and mismatches between the two types of indicators (ES and soil sealing) and demonstrate that a large part of ES variations are not well captured by soil sealing indicators in time and space (spatial match with the eight ES is only found for 10% of the Paris metropolitan area). This calls for finer, ES-based, diagnosis in land use planning that could usefully illuminate the gains and losses related to land use and land management policies by taking into account the environmental and societal impacts of urban sprawl.</t>
  </si>
  <si>
    <t>[Tardieu, Lea] Univ Montpellier, CNRS, TETIS, Inrae,AgroParisTech,CIRAD, Montpellier, France; [Tardieu, Lea; Viguie, Vincent] Univ Paris Saclay, CNRS, CIRED, AgroParisTech,Cirad,EHESS,Ecole Ponts ParisTech, F-94736 Nogent Sur Marne, France; [Hamel, Perrine] Nanyang Technol Univ, Asian Sch Environm, 50 Nanyang Ave, Singapore 639798, Singapore; [Hamel, Perrine] Nanyang Technol Univ, Earth Observ Singapore, 50 Nanyang Ave, Singapore 639798, Singapore; [Hamel, Perrine] Stanford Univ, Dept Biol, Nat Capital Project, Stanford, CA 94305 USA; [Hamel, Perrine] Stanford Univ, Woods Inst Environm, Stanford, CA 94305 USA; [Coste, Lana; Levrel, Harold] Univ Paris Saclay, CNRS, AgroParisTech, Ecole Ponts ParisTech,CIRAD,EHESS,UMR CIRED, Nogent Sur Marne, France</t>
  </si>
  <si>
    <t>Tardieu, L (corresponding author), Univ Montpellier, CNRS, TETIS, Inrae,AgroParisTech,CIRAD, Montpellier, France.;Tardieu, L (corresponding author), Univ Paris Saclay, CNRS, CIRED, AgroParisTech,Cirad,EHESS,Ecole Ponts ParisTech, F-94736 Nogent Sur Marne, France.</t>
  </si>
  <si>
    <t>lea.tardieu@inrae.fr</t>
  </si>
  <si>
    <t>Tardieu, Lea/0000-0002-9157-5314; Viguie, Vincent/0000-0002-8994-2648; Hamel, Perrine/0000-0002-3083-8205</t>
  </si>
  <si>
    <t>ADEME; French Ministry for an Ecological Transition (CGDD); French Ministry for an Ecological Transition (PUCA); AgroParisTech; National Research Foundation, Prime Minister's Office, Singapore [NRF-NRFF12-2020-0009]</t>
  </si>
  <si>
    <t>ADEME; French Ministry for an Ecological Transition (CGDD); French Ministry for an Ecological Transition (PUCA); AgroParisTech; National Research Foundation, Prime Minister's Office, Singapore(National Research Foundation, Singapore)</t>
  </si>
  <si>
    <t>This study is part of the IDEFESE project (https://idefese.wordpress.com/) funded by ADEME, the French Ministry for an Ecological Transition (CGDD and PUCA), and AgroParisTech. We wish to thank the Institut Paris Region for providing important data necessary for the success of the study. We would like to thank all the stakeholders involved in the IDEFESE project, the EFESE scientific board and stakeholders' committee for their involvement in the project and their constructive feedbacks. PH acknowledges additional funding from the National Research Foundation, Prime Minister's Office, Singapore under award NRF-NRFF12-2020-0009. We finally thank three anonymous referees and the editors for their constructive comments and suggestions that led to significant improvements in the manuscript.</t>
  </si>
  <si>
    <t>IOP Publishing Ltd</t>
  </si>
  <si>
    <t>BRISTOL</t>
  </si>
  <si>
    <t>TEMPLE CIRCUS, TEMPLE WAY, BRISTOL BS1 6BE, ENGLAND</t>
  </si>
  <si>
    <t>1748-9326</t>
  </si>
  <si>
    <t>ENVIRON RES LETT</t>
  </si>
  <si>
    <t>Environ. Res. Lett.</t>
  </si>
  <si>
    <t>10.1088/1748-9326/ac24d0</t>
  </si>
  <si>
    <t>Environmental Sciences; Meteorology &amp; Atmospheric Sciences</t>
  </si>
  <si>
    <t>Environmental Sciences &amp; Ecology; Meteorology &amp; Atmospheric Sciences</t>
  </si>
  <si>
    <t>UY0ZB</t>
  </si>
  <si>
    <t>WOS:000701260500001</t>
  </si>
  <si>
    <t>Kazamias, G; Zorpas, AA</t>
  </si>
  <si>
    <t>Kazamias, George; Zorpas, Antonis A.</t>
  </si>
  <si>
    <t>Drill cuttings waste management from oil &amp; gas exploitation industries through end-of-waste criteria in the framework of circular economy strategy</t>
  </si>
  <si>
    <t>Drilling cutting; Drilling waste; Oil &amp; gas exploitation; End-of-waste criteria; Circular economy; Construction materials; Quality protocols</t>
  </si>
  <si>
    <t>POLYCYCLIC AROMATIC-HYDROCARBONS; PRIMARY SEWAGE-SLUDGE; HEAVY-METALS; 1ST FLUSH; PYROLYSIS; FUEL; STABILIZATION/SOLIDIFICATION; CYPRUS; RUNOFF; CARBON</t>
  </si>
  <si>
    <t>Worldwide Oil &amp; Gas exploitation industry has a vital and dynamic role to play in the global energy matrix. In any Oil &amp; Gas exploitation mission, drilling operations have the potential to generate substantial quantity of wastes. Drilling fluids and cuttings are considered as hazardous waste, very complex and difficult to be managed due to several impurities (i.,e heavy metals, etc). At the same time, circular economy is gaining cumulative attention in Europe and around the world as a potential way for our humanity to growth prosperity, while reducing dependence on primary materials and energy. The paper through end-of-waste criteria concept and quality protocol development, declassified oil-based drilling cuttings (from Cyprus Oil &amp; Gas Exploitation program) after their treatment through Thermomechanical Cuttings Cleaning process, in order to be used as alternative aggregated and/or construction material and/or cement production (or other civil engineering works), promoting at the same time a valuable and sustainable solution based on circular economy concept. The results showed that, the final solid waste from Thermomechanical Cuttings Cleaning process can be used as raw material for civil engineering works replacing natural resource, if solid waste from the Thermomechanical Cuttings Cleaning process can met the defined quality protocol limits. The results are considered vital for offshores, policy makers, consultant engineers, as well as competent authorities, which try to find an acceptable and at the same time sustainable solution, to monitor and assess drilling waste which should be managed in a safe way, that may not have any undesirable effect on the environment.</t>
  </si>
  <si>
    <t>[Kazamias, George; Zorpas, Antonis A.] Open Univ Cyprus, Fac Pure &amp; Appl Sci, Lab Chem Engn &amp; Engn Sustainabil, Giannou Kranidioti 33, CY-2220 Nicosia, Cyprus</t>
  </si>
  <si>
    <t>Zorpas, AA (corresponding author), Open Univ Cyprus, Fac Pure &amp; Appl Sci, Lab Chem Engn &amp; Engn Sustainabil, Giannou Kranidioti 33, CY-2220 Nicosia, Cyprus.</t>
  </si>
  <si>
    <t>gkazamias3@gmail.com; antonis.zorpas@ouc.ac.cy</t>
  </si>
  <si>
    <t>Laboratory of Chemical Engineering and Engineering Sustainability at Open University of Cyprus; Internal University Research Funds</t>
  </si>
  <si>
    <t>The authors would like to acknowledge the Laboratory of Chemical Engineering and Engineering Sustainability at Open University of Cyprus for their support and research facilities. They also declare that this study has been partly funded from Internal University Research Funds. They also like to acknowledge Dr Stella Zorpa managing director of smart learning www.smartlearning.com for her valuable help.</t>
  </si>
  <si>
    <t>10.1016/j.jclepro.2021.129098</t>
  </si>
  <si>
    <t>SEP 2021</t>
  </si>
  <si>
    <t>WE6DS</t>
  </si>
  <si>
    <t>WOS:000705714400002</t>
  </si>
  <si>
    <t>Amiri, O; Ayazi, A; Rahimi, M; Khazaeni, G</t>
  </si>
  <si>
    <t>Amiri, Omid; Ayazi, Amir; Rahimi, Mahmoud; Khazaeni, Garshasb</t>
  </si>
  <si>
    <t>Risks of water and wastewater PPP projects: an investors' perspective</t>
  </si>
  <si>
    <t>Water and wastewater project; Public-private partnership; Investor; Risk identification; Risk assessment; Construction management</t>
  </si>
  <si>
    <t>MODEL</t>
  </si>
  <si>
    <t>Purpose Water and wastewater (WW) projects are gaining attention in Iran because of shortages of water resources. However, these projects are lengthy and they are accompanied by numerous risks, such as lack of sufficient financial resources. Public-private partnerships (PPPs) are taken into account as a constructive approach to deal with the problem of insufficient government funds and they are increasingly being implemented to construct the required infrastructures in different countries. Although WW projects in PPPs can reduce the government's debt, investors are still uncertain about this approach. Hence, this study aims to identify and evaluate the risk of all parties involved in WW-PPP projects, from the viewpoint of investor. Design/methodology/approach First, the risk factors which are involved in WW projects are identified by interviewing experts and reviewing the literature by means of fault tree analysis (FTA) tool. Second, the probability and effects of the risky factors which are related to specific event are evaluated and analyzed by hybridization of interval fuzzy Type-2 sets (IT2FS) and risk score formulation. Finally, some solutions are proposed to deal with the most challenging risks. Findings Six gate events, namely, risks which are related to investors such as investor's consultant-related risks, risky conditions from engineering, procurement, and construction (EPC) contractors' point of view, risk factors which public sector takes into account, public sector's consultant-related risks which public sector's consultant consider challenging and external factors were defined according to the literature. From FTA tool and by interviewing the experts, 94 basic events were identified. Finally, from hybridization of IT2FSs and risk score formulation, top five risks are determined as Difficulty of injecting financial resources into the project, Fluctuation in inflation rate, Poor decision-making process in public sector, Difficulty of importing the equipment which are required for the project (such as pumps, grain catchers, garbage collectors, etc.) from other countries and Impact of risky conditions in other projects on operation of PPP project. Originality/value In the absence of a constructive approach for risk identification and a reliable model for evaluating the identified risks in PPP projects, this research project is one of the first research studies which used FTA for identifying risks and hybridization of IT2FSs and risk score formulation for evaluating the risks.</t>
  </si>
  <si>
    <t>[Amiri, Omid] Islamic Azad Univ, Sci &amp; Res Branch, Tehran, Iran; [Ayazi, Amir] Islamic Azad Univ, Dept Civil Engn, Shahr E Qods Branch, Tehran, Iran; [Rahimi, Mahmoud] Islamic Azad Univ, Dept Urban Planning, Cent Tehran Branch, Tehran, Iran; [Khazaeni, Garshasb] Azad Univ, West Tehran Branch, Tehran, Iran</t>
  </si>
  <si>
    <t>Ayazi, A (corresponding author), Islamic Azad Univ, Dept Civil Engn, Shahr E Qods Branch, Tehran, Iran.</t>
  </si>
  <si>
    <t>a.ayazi@qodsiau.ac.ir</t>
  </si>
  <si>
    <t>Amiri, Omid/W-9959-2019</t>
  </si>
  <si>
    <t>Amiri, Omid/0000-0002-5781-4086</t>
  </si>
  <si>
    <t>CONSTR INNOV-ENGL</t>
  </si>
  <si>
    <t>Constr. Innov.-Engl.</t>
  </si>
  <si>
    <t>10.1108/CI-04-2021-0073</t>
  </si>
  <si>
    <t>UX5FH</t>
  </si>
  <si>
    <t>WOS:000700868900001</t>
  </si>
  <si>
    <t>Myers, A; Quirk, H; Lowe, A; Crank, H; Broom, D; Jones, N; Reid, H; Speers, C; Copeland, R</t>
  </si>
  <si>
    <t>Myers, Anna; Quirk, Helen; Lowe, Anna; Crank, Helen; Broom, David; Jones, Natasha; Reid, Hamish; Speers, Chris; Copeland, Robert</t>
  </si>
  <si>
    <t>The Active Hospital pilot: A qualitative study exploring the implementation of a Trust-wide Sport and Exercise Medicine-led physical activity intervention</t>
  </si>
  <si>
    <t>KNOWLEDGE TRANSLATION; INACTIVITY; SYSTEMS; TIME; NEED</t>
  </si>
  <si>
    <t>Background In 2017 Public Health England and Sport England commissioned a Consultant-led Sport and Exercise Medicine (SEM) pilot to test the feasibility and acceptability of embedding physical activity interventions in secondary care clinical pathways. The aim of this paper is to report qualitative findings exploring the experience of healthcare professionals (HCPs) and patients involved in the Active Hospital pilot. Methods Qualitative data was collected by semi-structured interviews with Active Hospital pilot SEM Consultants, and staff and patients involved in three clinical pathways. Interviews with SEM Consultants explored the experience of developing and implementing the pilot. Interviews with staff and patients explored the experience of delivering and receiving Active Hospital interventions. Data were analysed thematically. Results Interviews identified the importance of the Active Hospital pilot being Consultant-led for the following reasons; i) having trusting relationships with decision makers, ii) having sufficient influence to effect change, iii) identifying champions within the system, and iv) being adaptable to change and ensuring the programme fits within the wider strategic frameworks. HCPs emphasised the importance of the Active Hospital interventions fitting easily within existing work practices, the need for staff training and to tailor interventions for individual patient needs. The Active Hospital pilot was well received by patients, however a lack of dedicated resource and capacity to deliver the intervention was highlighted as a challenge by both patients and HCPs. Conclusion The SEM Consultants' ability to navigate the political climate of a large National Health Service (NHS) Trust with competing agendas and limited resource was valuable. The interventions were well received and a valued addition to usual clinical care. However, implementation and ongoing delivery of the pilot encountered challenges including lack of capacity within the system and delays with recruiting to the delivery teams in each pathway.</t>
  </si>
  <si>
    <t>[Myers, Anna] Sheffield Hallam Univ, Adv Wellbeing Res Ctr, Sheffield, S Yorkshire, England; [Myers, Anna; Crank, Helen] Sheffield Hallam Univ, Acad Sport &amp; Phys Act, Sheffield, S Yorkshire, England; [Quirk, Helen] Univ Sheffield, Sch Hlth &amp; Related Res, Sheffield, S Yorkshire, England; [Lowe, Anna; Copeland, Robert] Sheffield Hallam Univ, Natl Ctr Sport &amp; Exercise Med Sheffield, Sheffield, S Yorkshire, England; [Broom, David] Coventry Univ, Ctr Sport Exercise &amp; Life Sci, Coventry, W Midlands, England; [Jones, Natasha; Speers, Chris] Oxford Univ Hosp NHS Fdn Trust, Oxford, England; [Reid, Hamish] Ctr Sport &amp; Orthopaed Med, Hamilton, Bermuda</t>
  </si>
  <si>
    <t>Myers, A (corresponding author), Sheffield Hallam Univ, Adv Wellbeing Res Ctr, Sheffield, S Yorkshire, England.;Myers, A (corresponding author), Sheffield Hallam Univ, Acad Sport &amp; Phys Act, Sheffield, S Yorkshire, England.</t>
  </si>
  <si>
    <t>A.Myers@shu.ac.uk</t>
  </si>
  <si>
    <t>Reid, Hamish/0000-0003-2094-5506; Copeland, Robert/0000-0002-4147-5876</t>
  </si>
  <si>
    <t>Public Health England; Sport England; National Lottery</t>
  </si>
  <si>
    <t>This work was supported by funding from Public Health England, Sport England and the National Lottery. The funders did not play any role in the study design, data collection and analysis, decision to publish, or preparation of the manuscript.</t>
  </si>
  <si>
    <t>SEP 24</t>
  </si>
  <si>
    <t>e0257802</t>
  </si>
  <si>
    <t>10.1371/journal.pone.0257802</t>
  </si>
  <si>
    <t>YY2YF</t>
  </si>
  <si>
    <t>Green Accepted, Green Published, gold</t>
  </si>
  <si>
    <t>WOS:000754657900045</t>
  </si>
  <si>
    <t>Horne, C; Kennedy, EH; Familia, T</t>
  </si>
  <si>
    <t>Horne, Christine; Kennedy, Emily Huddart; Familia, Thomas</t>
  </si>
  <si>
    <t>Rooftop solar in the United States: Exploring trust, utility perceptions, and adoption among California homeowners</t>
  </si>
  <si>
    <t>Electric utility; Self-sufficiency; Trust; Rooftop photovoltaics; Solar energy; Adoption</t>
  </si>
  <si>
    <t>WILLINGNESS-TO-PAY; PHOTOVOLTAIC SYSTEMS; POLITICAL TRUST; ENERGY; ELECTRICITY; CONSUMPTION; BARRIERS; POWER; PV; DETERMINANTS</t>
  </si>
  <si>
    <t>The transition to a more sustainable grid is likely to involve residential customers who make decisions about whether or not to install solar panels on their property. It will require that utilities engage customers in order to effectively manage the demand and supply of electricity. This means that relationships between customers and utilities are key to the future electric grid. Although industry consultants are increasingly drawing attention to the importance of customer trust in their utility, little research examines the issue. Using an exploratory sequential mixed methods design, we draw on semi-structured interviews conducted with 61 California residents and analyzed with line-by-line coding to identify the main themes related to people's perceptions of their utility company and their interest in solar energy. The interview results helped to inform the development of a survey conducted with California homeowners (N = 3402) and analyzed using a series of logistic regressions to quantitively assess the role of distrust. The findings from the two sets of data are complementary. Together they show that people who distrust their utility are more likely to be interested in and to have rooftop solar panels. Our findings have implications for the successful transition to a more sustainable grid.</t>
  </si>
  <si>
    <t>[Horne, Christine; Familia, Thomas] Washington State Univ, Dept Sociol, 204 Wilson Short Hall, Pullman, WA 99164 USA; [Kennedy, Emily Huddart] Univ British Columbia NOT UBC Sociol, Dept Sociol, AnSo 2111 6303 NW Marine Dr, Vancouver, BC V6T 1Z1, Canada</t>
  </si>
  <si>
    <t>Horne, C (corresponding author), Washington State Univ, Dept Sociol, 204 Wilson Short Hall, Pullman, WA 99164 USA.</t>
  </si>
  <si>
    <t>chorne@wsu.edu; emily.kennedy@ubc.ca; tfamilia@wsu.edu</t>
  </si>
  <si>
    <t>U.S. Department of Energy [DE-IA0000025]</t>
  </si>
  <si>
    <t>U.S. Department of Energy(United States Department of Energy (DOE))</t>
  </si>
  <si>
    <t>This material is based upon work supported by the U.S. Department of Energy under Award Number DE-IA0000025. The views and opinions of authors expressed herein do not necessarily state or reflect those of the United States Government or any agency thereof.</t>
  </si>
  <si>
    <t>10.1016/j.erss.2021.102308</t>
  </si>
  <si>
    <t>XD7OW</t>
  </si>
  <si>
    <t>WOS:000722894900011</t>
  </si>
  <si>
    <t>Fadaei, A</t>
  </si>
  <si>
    <t>Fadaei, Abdolmajid</t>
  </si>
  <si>
    <t>Study of solid waste (municipal and medical) management during the COVID-19 pandemic: a review study</t>
  </si>
  <si>
    <t>REVIEWS ON ENVIRONMENTAL HEALTH</t>
  </si>
  <si>
    <t>biomedical; COVID-19; disposal; management; medical waste; municipal waste</t>
  </si>
  <si>
    <t>The COVID-19 pandemic has resulted in a global emergency crisis and created waste management challenges worldwide. Such a critical point has changed solid waste (municipal and medical) management prospects and posed fact challenges to the health decision-makers and policy-makers to make decisions to ensure sustainable management of the environment. One of the most negative prospects of COVID-19 pandemic is the increased waste generation, especially plastic waste in developing and developed countries. This study systematically reviews the potential influences of the COVID-19 pandemic on medical and municipal waste, and discusses the corresponding measures and policies of solid waste management in several countries. The results show that the highest and lowest quality of final disposal is observed in Finland with 75% recycling and in India with 90% open dumping, respectively. In many countries, the medical waste showed an increase by 350-500%.The pandemic has brought particular problems to the disposal capacity of municipal waste and medical waste across the world. We think that this point of view study provides valuable data for scientists, policy makers, health decision-makers, consultants, medical staff, medical supplies, those working in public health sector, and field engineers responsible for solid waste management.</t>
  </si>
  <si>
    <t>[Fadaei, Abdolmajid] Shahrekord Univ Med Sci, Sch Hlth, Dept Environm Hlth Engn, Shahrekord, Iran</t>
  </si>
  <si>
    <t>Fadaei, A (corresponding author), Shahrekord Univ Med Sci, Sch Hlth, Dept Environm Hlth Engn, Shahrekord, Iran.</t>
  </si>
  <si>
    <t>ali2fadae@yahoo.com</t>
  </si>
  <si>
    <t>fadaei, abdolmajid/0000-0003-2922-0974</t>
  </si>
  <si>
    <t>WALTER DE GRUYTER GMBH</t>
  </si>
  <si>
    <t>BERLIN</t>
  </si>
  <si>
    <t>GENTHINER STRASSE 13, D-10785 BERLIN, GERMANY</t>
  </si>
  <si>
    <t>0048-7554</t>
  </si>
  <si>
    <t>2191-0308</t>
  </si>
  <si>
    <t>REV ENVIRON HEALTH</t>
  </si>
  <si>
    <t>Rev. Environ. Health</t>
  </si>
  <si>
    <t>10.1515/reveh-2021-0092</t>
  </si>
  <si>
    <t>YC3RA</t>
  </si>
  <si>
    <t>WOS:000739610900001</t>
  </si>
  <si>
    <t>Gossling, S; Lund-Durlacher, D</t>
  </si>
  <si>
    <t>Gossling, Stefan; Lund-Durlacher, Dagmar</t>
  </si>
  <si>
    <t>Tourist accommodation, climate change and mitigation: An assessment for Austria</t>
  </si>
  <si>
    <t>JOURNAL OF OUTDOOR RECREATION AND TOURISM-RESEARCH PLANNING AND MANAGEMENT</t>
  </si>
  <si>
    <t>Accommodation; CO2 emissions; Renewable energy; Climate change</t>
  </si>
  <si>
    <t>OFFICE BUILDINGS; ENERGY DEMAND; FOOD WASTE; MANAGEMENT; IMPACT; HOTELS; REUSE; BENCHMARKING; CONSUMPTION; GENERATION</t>
  </si>
  <si>
    <t>Accommodation is an important part of the tourism value chain, and accounts for a substantial share of the sector's greenhouse gas emissions. This paper provides a short global overview of the energy-intensity of various forms of accommodation establishments, with a more focused discussion of energy-use in Austria, including different types of end-uses. The paper concludes that the accommodation sector is, in comparison to transportation, already a low-carbon sector, and has a good potential to fully decarbonize until 2040. The paper analyses carbon management needs in businesses, as well as the role and importance of policies and legislation to accelerate decarbonization. This paper has an applied nature and is part of the Austrian Special Report on Climate Change. Management Implications: Most accommodation establishments still waste energy. Yet, interest in saving energy is often limited due to the (perceived) low cost of energy. A switch to renewable electricity use (sun, wind, water) as well as other renewable energies (wood, biogas) is only marginally more expensive than using conventional (fossil) energy.. Energy consulting, incentive programs, as well as energy-related legislation can also increase the interest of owners and managers to engage in energy savings. For new buildings, architecture and design can support energy savings. Passive energy standards, passive solar heating, passive cooling, as well as smaller guest rooms or public areas reduce heating and cooling cost. Compact designs also reduce staff and operational cost. Additional reductions in CO2 emissions can result out of greater awareness of energy use, and concomitant changes in service designs (e.g., food, wellness, transport). Information on climate-friendliness in marketing materials and reservation platforms involves guests, influences their choices, and serves as an incentive for further low-carbon investments. Staff training in energy-management and low-carbon operations can make significant contributions to operational energy savings, and is often paramount for the implementation of measures.</t>
  </si>
  <si>
    <t>[Gossling, Stefan] Linnaeus Univ, Sch Business &amp; Econ, S-39182 Kalmar, Sweden; [Lund-Durlacher, Dagmar] Modul Univ Vienna, Dept Tourism &amp; Serv Management, Kahlenberg 1, A-1190 Vienna, Austria</t>
  </si>
  <si>
    <t>Lund-Durlacher, D (corresponding author), Modul Univ Vienna, Dept Tourism &amp; Serv Management, Kahlenberg 1, A-1190 Vienna, Austria.</t>
  </si>
  <si>
    <t>stefan.gossling@lnu.se; dagmar.lund-durlacher@modul.ac.at</t>
  </si>
  <si>
    <t>Climate and Energy Fund, Austria [B769998]; Austrian Climate Research Program (ACRP)</t>
  </si>
  <si>
    <t>Climate and Energy Fund, Austria; Austrian Climate Research Program (ACRP)</t>
  </si>
  <si>
    <t>This project has been funded by the Climate and Energy Fund, Austria, grant ID B769998, and carried out within the framework of the 'Austrian Climate Research Program (ACRP) - 10th Call'.</t>
  </si>
  <si>
    <t>2213-0780</t>
  </si>
  <si>
    <t>2213-0799</t>
  </si>
  <si>
    <t>J OUTDOOR REC TOUR</t>
  </si>
  <si>
    <t>J. Outdo. Recreat. Tour. Res. Plan.</t>
  </si>
  <si>
    <t>10.1016/j.jort.2021.100367</t>
  </si>
  <si>
    <t>US0YV</t>
  </si>
  <si>
    <t>WOS:000697164700002</t>
  </si>
  <si>
    <t>van Koppen, B; Schreiner, B; Mukuyu, P</t>
  </si>
  <si>
    <t>van Koppen, Barbara; Schreiner, Barbara; Mukuyu, Patience</t>
  </si>
  <si>
    <t>Redressing legal pluralism in South Africa's water law</t>
  </si>
  <si>
    <t>JOURNAL OF LEGAL PLURALISM AND UNOFFICIAL LAW</t>
  </si>
  <si>
    <t>Customary water tenure; South Africa; homelands; historical justice</t>
  </si>
  <si>
    <t>During apartheid, South Africa formalized legal pluralism as territorial and institutional segregation that legitimized the white minority's grab of most land, water and mineral resources. In the homelands on the remaining 13% of the country, allied tribal chiefs controlled second-class customary land and water rights. Under the democratic dispensation, the new Constitution (1996) and National Water Act (1998) aim at redressing this racial discrimination. However, these goals have not been achieved. Building on literature, field research and ongoing policy and legal debates, this paper traces causes for this failure and examines whether and how a different interpretation of statutory law can decolonize past legal pluralism. A main cause of this failure is the continued power by white large-scale water users and their consultants and lawyers. Monopolizing technical and legal knowledge, they fiercely defend apartheid era's Existing Lawful Uses by 1998 and relatively easily obtain administrative licences for post-1998 water uptake, while claiming excessive monetary values of entitlements to water resources that the state, with tax payers, as custodian holds. In contrast, black water users' pre-1998 Existing Lawful Uses have not been defined as yet and burdensome licences processes for new water uptake are inaccessible to the many smaller-scale black water users. The paper concludes that, in former homelands, the legal status of living customary water tenure should be elevated and protected. Inclusive facilitated processes can further clarify the sharing in of water resources flowing over or under the communities' territories inside the boundaries of former homelands, also to enable gradual alignment with constitutional rights. However, in sharing out these water resources with powerful third parties, including foreign investors, customary water tenure should be fully protected. As a core minimum of highest priority water resource rights across the country, the current Basic Human Needs Reserve should include all water-related constitutional rights, so also water for sufficient food, and be implemented.</t>
  </si>
  <si>
    <t>[van Koppen, Barbara; Mukuyu, Patience] Int Water Management Inst Pretoria, Pretoria, South Africa; [Schreiner, Barbara] Water Integr Network, Berlin, Germany</t>
  </si>
  <si>
    <t>van Koppen, B (corresponding author), Int Water Management Inst Pretoria, Pretoria, South Africa.</t>
  </si>
  <si>
    <t>b.vankoppen@cgiar.org</t>
  </si>
  <si>
    <t>Mukuyu, Patience/0000-0003-4317-2198; Van Koppen, Barbara/0000-0002-7707-8127</t>
  </si>
  <si>
    <t>0732-9113</t>
  </si>
  <si>
    <t>2305-9931</t>
  </si>
  <si>
    <t>J LEG PLUR UNOFF LAW</t>
  </si>
  <si>
    <t>J. Leg. Plur. Unoff. Law</t>
  </si>
  <si>
    <t>SEP 2</t>
  </si>
  <si>
    <t>10.1080/07329113.2021.2016266</t>
  </si>
  <si>
    <t>YD6BE</t>
  </si>
  <si>
    <t>WOS:000740524600006</t>
  </si>
  <si>
    <t>Johns, G; Burhouse, A; Tan, J; John, O; Khalil, S; Williams, J; Whistance, B; Ogonovsky, M; Ahuja, A</t>
  </si>
  <si>
    <t>Johns, Gemma; Burhouse, Anna; Tan, Jacinta; John, Oliver; Khalil, Sara; Williams, Jessica; Whistance, Bethan; Ogonovsky, Mike; Ahuja, Alka</t>
  </si>
  <si>
    <t>Remote mental health services: a mixed-methods survey and interview study on the use, value, benefits and challenges of a national video consulting service in NHS Wales, UK</t>
  </si>
  <si>
    <t>mental health; COVID-19; adult psychiatry; child &amp; adolescent psychiatry; old age psychiatry; health informatics</t>
  </si>
  <si>
    <t>TELEMENTAL HEALTH; CHILDREN</t>
  </si>
  <si>
    <t>Social distancing laws during the first year of the pandemic, and its unprecedented changes to the National Health Service (NHS) forced a large majority of services, especially mental health teams to deliver patient care remotely. For many, this approach was adopted out of necessity, rather than choice, thus presenting a true 'testing ground' for remote healthcare and a robust evaluation on a national and representative level. Objective To extract and analyse mental health specific data from a national dataset for 1 year (March 2020-March 2021). Design A mixed-methods study using surveys and interviews. Setting In NHS mental health services in Wales, UK. Participants With NHS patients and clinicians across child and adolescent, adult and older adult mental health services. Outcome measures Mixed methods data captured measures on use, value, benefits and challenges of video consulting (VC). Results A total of 3561 participants provided mental health specific data. These data and its findings demonstrate that remote mental health service delivery, via the method of VC is highly satisfactory, well-accepted and clinically suitable for many patients, and provides a range of benefits to NHS patients and clinicians. Interestingly, clinicians working from 'home' rated VC more positively compared with those at their 'clinical base'. Conclusions Post 1-year adoption, remote mental health services in Wales UK have demonstrated that VC is possible from both a technical and behavioural standpoint. Moving forward, we suggest clinical leaders and government support to sustain this approach 'by default' as an option for NHS appointments.</t>
  </si>
  <si>
    <t>[Johns, Gemma; Khalil, Sara; Williams, Jessica; Whistance, Bethan; Ogonovsky, Mike; Ahuja, Alka] Aneurin Bevan Univ Hlth Board, TEC Cymru, Dept Informat, Newport, Gwent, Wales; [Burhouse, Anna] Northumbria Healthcare NHS Fdn Trust, Northumbria, England; [Tan, Jacinta] Aneurin Bevan Univ Hlth Board, St Cadocs Hosp, Child &amp; Adolescent Mental Hlth Serv, Newport, Gwent, Wales; [John, Oliver] Royal Coll Psychiatrists Wales, Cardiff, Wales</t>
  </si>
  <si>
    <t>Johns, G (corresponding author), Aneurin Bevan Univ Hlth Board, TEC Cymru, Dept Informat, Newport, Gwent, Wales.</t>
  </si>
  <si>
    <t>Technology Enabled Care (TEC) Cymru and its NHS Wales Video Consulting Service is funded by the Welsh Government (no award number provided).</t>
  </si>
  <si>
    <t>e053014</t>
  </si>
  <si>
    <t>10.1136/bmjopen-2021-053014</t>
  </si>
  <si>
    <t>WA8YE</t>
  </si>
  <si>
    <t>WOS:000703167900009</t>
  </si>
  <si>
    <t>Aydogdu, MH; Cancelik, M; Sevinc, MR; Cullu, MA; Yenigun, K; Kucuk, N; Karli, B; Okten, S; Beyazgul, U; Dogan, HP; Sahin, Z; Mutlu, N; Kaya, C; Yenikale, A; Yenikale, A</t>
  </si>
  <si>
    <t>Aydogdu, Mustafa Hakki; Cancelik, Mehmet; Sevinc, Mehmet Resit; Cullu, Mehmet Ali; Yenigun, Kasim; Kucuk, Nihat; Karli, Bahri; Okten, Sevket; Beyazgul, Ugur; Dogan, Hatice Parlakci; Sahin, Zeliha; Mutlu, Nusret; Kaya, Celal; Yenikale, Ayla; Yenikale, Akif</t>
  </si>
  <si>
    <t>Is Drought Caused by Fate? Analysis of Farmers' Perception and Its Influencing Factors in the Irrigation Areas of GAP-Sanliurfa, Turkey</t>
  </si>
  <si>
    <t>climate change-based drought; faith; farmers' perception; effective factors; GAP-Sanliurfa; Turkey</t>
  </si>
  <si>
    <t>WILLINGNESS-TO-PAY; ENVIRONMENTAL CONCERN; HARRAN PLAIN; RELIGION; PRECIPITATION</t>
  </si>
  <si>
    <t>This research aims to determine the belief-based drought perceptions and attitudes of farmers in Sanliurfa, which is in a semi-arid climate regime, and the factors affecting them. The surveys were conducted through face-to-face interviews with farmers selected by a simple random sampling method in 2020. Analyses were performed with ordinal logit regression in STATA. According to the results, while the effects of settlement location, land size, age, and the size of the household were statistically significant to farmers seeing drought, which is the dependent variable, as caused by fate, the effects of income, experience, and education level were insignificant. For the probability of predicting drought for each independent variable in the sequence analysis, the highest probabilities were found among farmers in the Harran Plain, with 21-30 years of experience, from a household of one to four people, with the land area between 5.1 and 10.0 hectares, aged 61 and above, who were primary school graduates, and who had an annual income of less than 25,000 TL ($3561). The subject of drought should be given more place in religious education in the entire research area by prioritizing these groups. It would also be beneficial to organize workshops for the farmers by agricultural consultants, where Islamic scholars would be present to support science and knowledge in terms of faith. This study is the first in this context in Turkey and provides useful data to policymakers for drought-mitigation policies.</t>
  </si>
  <si>
    <t>[Aydogdu, Mustafa Hakki; Sahin, Zeliha] Harran Univ, Dept Agr Econ, Fac Agr, TR-63050 Sanliurfa, Turkey; [Cancelik, Mehmet] Harran Univ, Vocat Sch, Dept Social Sci, TR-63200 Sanliurfa, Turkey; [Sevinc, Mehmet Resit] Harran Univ, Vocat Sch, Dept Bozova, TR-63850 Sanliurfa, Turkey; [Cullu, Mehmet Ali] Harran Univ, Dept Soil Sci &amp; Plant Nutr, Fac Agr, TR-63050 Sanliurfa, Turkey; [Yenigun, Kasim] Kastamonu Univ, Dept Civil Engn, Fac Engn &amp; Architecture, TR-37150 Kastamonu, Turkey; [Kucuk, Nihat] Harran Univ, Fac Econ &amp; Adm Sci, Dept Econ Policy, TR-63050 Kastamonu, Turkey; [Karli, Bahri] Isparta Univ Appl Sci, Dept Agr Econ, Fac Agr, TR-32200 Isparta, Turkey; [Okten, Sevket] Harran Univ, Fac Arts &amp; Sci, Dept Sociol, TR-63050 Sanliurfa, Turkey; [Beyazgul, Ugur] Harran Univ, Sanliurfa Technol Dev Zone, TR-63050 Sanliurfa, Turkey; [Dogan, Hatice Parlakci] GAP Agr Res Inst, TR-63330 Sanliurfa, Turkey; [Dogan, Hatice Parlakci] Republ Turkey Minist Agr &amp; Forestry, Agr Educ Ctr, TR-63330 Sanliurfa, Turkey; [Mutlu, Nusret; Kaya, Celal; Yenikale, Ayla; Yenikale, Akif] Republ Turkey Minist Ind &amp; Technol, Southeastern Anatolia Project GAP Reg Dev Adm, TR-63330 Sanliurfa, Turkey</t>
  </si>
  <si>
    <t>Sevinc, MR (corresponding author), Harran Univ, Vocat Sch, Dept Bozova, TR-63850 Sanliurfa, Turkey.</t>
  </si>
  <si>
    <t>mhaydogdu@harran.edu.tr; m.cancelik@harran.edu.tr; rsevinc@harran.edu.tr; macullu@harran.edu.tr; kyenigun@kastamonu.edu.tr; nihatk@harran.edu.tr; bahrikarli@isparta.edu.tr; sevketokten@gmail.com; ugurbeyazgul@hotmail.com; hparlakcidogan@yahoo.com; zelihasahiin@gmail.com; nmutlu@gap.gov.tr; celalkaya@gap.gov.tr; ayyenikale@gap.gov.tr; akyenikale@gap.gov.tr</t>
  </si>
  <si>
    <t>SEVİNÇ, MEHMET REŞİT/AAG-6695-2019; KÜÇÜK, Nihat/AAB-3336-2021</t>
  </si>
  <si>
    <t>SEVİNÇ, MEHMET REŞİT/0000-0002-0617-7822; Parlakci Dogan, Hatice/0000-0002-2186-3505</t>
  </si>
  <si>
    <t>Republic of Turkey Ministry of Industry and Technology, Southeastern Anatolia Project (GAP) Regional Development Administration [2033]; Harran University</t>
  </si>
  <si>
    <t>Republic of Turkey Ministry of Industry and Technology, Southeastern Anatolia Project (GAP) Regional Development Administration; Harran University(Harran University)</t>
  </si>
  <si>
    <t>This research was funded by Republic of Turkey Ministry of Industry and Technology, Southeastern Anatolia Project (GAP) Regional Development Administration, grant number 27 September 2019/2033 together with Harran University.</t>
  </si>
  <si>
    <t>WATER-SUI</t>
  </si>
  <si>
    <t>10.3390/w13182519</t>
  </si>
  <si>
    <t>Environmental Sciences; Water Resources</t>
  </si>
  <si>
    <t>Environmental Sciences &amp; Ecology; Water Resources</t>
  </si>
  <si>
    <t>UW4OG</t>
  </si>
  <si>
    <t>WOS:000700136700001</t>
  </si>
  <si>
    <t>Zhao, SD; Li, WW; Zhao, KX; Zhang, P</t>
  </si>
  <si>
    <t>Zhao, Sidong; Li, Weiwei; Zhao, Kaixu; Zhang, Ping</t>
  </si>
  <si>
    <t>Change Characteristics and Multilevel Influencing Factors of Real Estate Inventory-Case Studies from 35 Key Cities in China</t>
  </si>
  <si>
    <t>housing market; vacancy; spatial analysis; drive mechanism; China</t>
  </si>
  <si>
    <t>HOUSING VACANCY; RESIDENTIAL VACANCY; MARKET; FINANCE; FORECLOSURE; SHRINKAGE; ACCURACY; DYNAMICS; ECONOMY; PRICES</t>
  </si>
  <si>
    <t>High inventory is a common issue in urban real estate markets in many countries, posing a threat to the sustainable development of macroeconomics and society. This study built an analytical framework for the evolution of real estate inventory and its driving mechanisms and conducted an empirical study on 35 key cities in China. The findings show that, first, China has a huge real estate inventory with significant spatial heterogeneity. Second, the real estate inventory in China first rises and then falls, presenting an inverted U-shaped change trend; however, the spatial heterogeneity first falls and then rises, characterized by a U-shaped evolutionary change. Third, the present characteristics and evolutionary paths vary among different types of real estate inventory, mainly showing growth, stability, and inverted U-shaped changes. Fourth, the influencing factors of real estate inventory are increasingly diversified, and different factor pairs show bifactor-enhanced and nonlinearly-enhanced interaction effects, with a more intricate and complex driving mechanism. Fifth, four types of policy areas were divided according to the Boston Consulting Group Matrix, and it is recommended that the design of de-stocking policies should be dominated by key factors for cities in the stars and cows policy areas, while important factors and auxiliary factors should be equally emphasized for cities in the question policy area; the cities in the dogs policy area should keep the status quo as much as possible with avoidance of undesirable or excessive interventions.</t>
  </si>
  <si>
    <t>[Zhao, Sidong] Southeast Univ, Sch Architecture, Nanjing 210096, Peoples R China; [Li, Weiwei] Guangxi Agr Vocat Univ, Dept Landscape &amp; Architectural Engn, Nanning 530007, Peoples R China; [Zhao, Kaixu] Northwest Univ, Coll Urban &amp; Environm Sci, Xian 710127, Peoples R China; [Zhang, Ping] Jiaxing Univ, Coll Civil Engn &amp; Architecture, Jiaxing 314001, Peoples R China; [Zhang, Ping] Lanzhou Jiaotong Univ, Coll Architecture &amp; Urban Planning, Lanzhou 730070, Peoples R China</t>
  </si>
  <si>
    <t>230189013@seu.edu.cn; wwli2021@163.com; zhaokaixu@stumail.nwu.edu.cn; ppqzhangp@zjxu.edu.cn</t>
  </si>
  <si>
    <t>National Natural Science Foundation of China [51768030]</t>
  </si>
  <si>
    <t>This study and the related research were financially supported by the National Natural Science Foundation of China (Project Number: 51768029), National Natural Science Foundation of China (Project Number: 51768030).</t>
  </si>
  <si>
    <t>10.3390/land10090928</t>
  </si>
  <si>
    <t>UV6FP</t>
  </si>
  <si>
    <t>WOS:000699572000001</t>
  </si>
  <si>
    <t>Rybalchenko, N; Bilohur, S; Oleksenko, R; Voronkova, V; Verkhovod, I</t>
  </si>
  <si>
    <t>Rybalchenko, Nina; Bilohur, Stanislav; Oleksenko, Roman; Voronkova, Valentyna; Verkhovod, Iryna</t>
  </si>
  <si>
    <t>Clasterization tendences of Ukraine's tourism sphere and way out of the COVID-19 pandemic crisis</t>
  </si>
  <si>
    <t>REVISTA DE LA UNIVERSIDAD DEL ZULIA</t>
  </si>
  <si>
    <t>cluster; tourism sector; COVID-19; investment; tourism cluster; tourism potential</t>
  </si>
  <si>
    <t>The article considers the clustering trends in ukraine's tourism sector, aimed at a further rise of the tourism industry, overcoming its negative effects of the COVID-19 pandemic and achieving sustainable development. The need to create tourism clusters and other topics on the organization of tourism with state executive authorities as well as professional tourism associations on attracting investment and providing institutional and consulting assistance to small tourism enterprises is being investigated. The foreign experience was analyzed, as well as the distribution of tourist groups in Ukraine by tourist types in the period 2019-2020. Method: analysis and synthesis, systematization of materials, historical and logical, comparative, systemic and structural, which allowed to study the trends in the tourism industry. Conclusions. The grouping of the sphere of tourism in Ukraine must be developed under the close attention of the government, state and local authorities, public figures, civil society, companies, because it requires not only the containment of the pandemic, but also the development of forms of tourism competitiveness, investment in this industry, the provision of jobs for workers dismissed during the pandemic, the use of the most advanced innovative technologies for the development of creative tourism industries, which will help to get the industry out of the crisis.</t>
  </si>
  <si>
    <t>[Rybalchenko, Nina; Oleksenko, Roman] Dmytro Motornyi Tavria State Agrotechnol Univ, Melitopol, Ukraine; [Bilohur, Stanislav] Alfred Nobel Univ, Dnipro, Ukraine; [Voronkova, Valentyna] Zaporizhzhia Natl Univ, Zaporizhia, Ukraine; [Verkhovod, Iryna] Bohdan Khmelnitsky Melitopol State Pedag Univ, Melitopol, Ukraine</t>
  </si>
  <si>
    <t>Rybalchenko, N (corresponding author), Dmytro Motornyi Tavria State Agrotechnol Univ, Melitopol, Ukraine.</t>
  </si>
  <si>
    <t>ninarybka07@mail.com; bbilogur@gmail.com; roman.xdsl@ukr.net; valentinavoronkova236@gmail.com; verkhovod-ira@ukr.net</t>
  </si>
  <si>
    <t>Oleksenko, Roman I./I-4725-2017; Рыбальченко, Нина/AAQ-6333-2021</t>
  </si>
  <si>
    <t xml:space="preserve">Oleksenko, Roman I./0000-0002-2171-514X; </t>
  </si>
  <si>
    <t>UNIV ZULIA, FAC HUMANIDADES EDUCACION, CENTRO INVE</t>
  </si>
  <si>
    <t>MARACAIBO</t>
  </si>
  <si>
    <t>APARTADO 526, MARACAIBO, ZULIA 00000, VENEZUELA</t>
  </si>
  <si>
    <t>0041-8811</t>
  </si>
  <si>
    <t>2665-0428</t>
  </si>
  <si>
    <t>REV UNIV ZULIA</t>
  </si>
  <si>
    <t>Rev. Univ. Zulia</t>
  </si>
  <si>
    <t>10.46925//rdluz.34.05</t>
  </si>
  <si>
    <t>UL6JD</t>
  </si>
  <si>
    <t>WOS:000692754400004</t>
  </si>
  <si>
    <t>Adedokun, O; Aje, I; Awodele, O; Egbelakin, T</t>
  </si>
  <si>
    <t>Adedokun, Olufisayo; Aje, Isaac; Awodele, Oluwaseyi; Egbelakin, Temitope</t>
  </si>
  <si>
    <t>Are the public tertiary education building projects devoid of risks in the Nigerian construction context?</t>
  </si>
  <si>
    <t>Construction industry; Education building projects; Risk factors; Tertiary institutions; Nigeria; Construction in developing countries</t>
  </si>
  <si>
    <t>MANAGEMENT; PERCEPTIONS; INDUSTRY; SUCCESS; DESIGN; IMPACT</t>
  </si>
  <si>
    <t>Purpose The non-performance of construction projects in meeting the set objectives has continued to draw researchers worldwide. Despite this, little attention is accorded to public tertiary education building projects in Nigeria. Therefore, on this background, this study aims to assess the perceptions of stakeholders on the level of occurrence of risk factors in the public tertiary education building projects (TEBP) to enhance the performance of these projects. Design/methodology/approach The study adopted a quantitative method of data collection via a questionnaire survey. In total, 452 questionnaires were administered to the respondents comprising client representatives, consultants (quantity surveyors, architects, services and structural engineers and builders) and the contractor. The respondents were involved in the conception and execution of TEBP across five public tertiary education institutions in Ondo State, Nigeria. Of 452 questionnaires, 279 were retrieved and found suitable for analysis, indicating a 61.73% response rate. The reliability analysis for the research instrument was 0.965 via the Cronbach alpha test, indicating the high reliability of the instrument used for the data collection. Moreover, the clusters of risk factors also had reliability values that ranged between 0.719 and 0.875. Findings The study found inflation, delayed payments in contracts, high competition bids, delay in work progress and occurrence of variations are the most frequently occurring risk factors in public TEBP. By contrast, difficulty to access the site, environmental factors and pollution were found to be low-weighted risks with the least likelihood of occurrence. The results of this study indicated the existence of significant differences in some of the risk factors in terms of the level of risk occurrence in TEBP. The risk factors were eventually clustered into eight major groups for TEBP. The post hoc comparisons using the least significant difference test also indicated differences between the contractors and consultants in the ranking of risks occurrence in TEBP, but no significant differences between clients/contractors and clients/consultants. Research limitations/implications The findings in this study are limited to the public TEBP procured via competitive tendering; therefore, the results might not be applicable when other procurement methods are being considered. Besides, the study classified the project participants based on organizations and not on the different ownership status of the projects, such as federal or state government-owned TEBP. However, the literature shows that likelihood of risk occurrence could vary due to the degree of project ownership. Practical implications The information provided with respect to the most frequently occurring risk factors would enhance the performance of public TEBP. Originality/value This study contributes to the existing body of knowledge on the subject within a previously unexplored context where insights were provided on the most frequently occurring risk factors on the public TEBP.</t>
  </si>
  <si>
    <t>[Adedokun, Olufisayo; Egbelakin, Temitope] Univ Newcastle, Coll Engn Sci &amp; Environm, Sch Architecture &amp; Built Environm, Callaghan, NSW, Australia; [Aje, Isaac; Awodele, Oluwaseyi] Fed Univ Technol Akure, Dept Quant Surveying, Akure, Nigeria</t>
  </si>
  <si>
    <t>Adedokun, O (corresponding author), Univ Newcastle, Coll Engn Sci &amp; Environm, Sch Architecture &amp; Built Environm, Callaghan, NSW, Australia.</t>
  </si>
  <si>
    <t>olufisayo.adedokun@uon.edu.au; ajeolaniyi@gmail.com; deledayo4christ@yahoo.co.uk; t.egbelakin@newcastle.edu.au</t>
  </si>
  <si>
    <t>Awodele, Oluwaseyi/0000-0003-1544-7334</t>
  </si>
  <si>
    <t>10.1108/JFMPC-01-2021-0002</t>
  </si>
  <si>
    <t>AUG 2021</t>
  </si>
  <si>
    <t>2C4RP</t>
  </si>
  <si>
    <t>WOS:000691727300001</t>
  </si>
  <si>
    <t>Christensen, PH</t>
  </si>
  <si>
    <t>Christensen, Pernille H.</t>
  </si>
  <si>
    <t>Counterterrorism protective security as part of the planning, design and development of crowded places in Australia: where are we now?</t>
  </si>
  <si>
    <t>JOURNAL OF EUROPEAN REAL ESTATE RESEARCH</t>
  </si>
  <si>
    <t>Urban resilience; Anti-terrorism; Antiterrorism; Counter-terrorism; Property development process; Protective security</t>
  </si>
  <si>
    <t>QUALITATIVE INTERVIEWS; TERRORISM</t>
  </si>
  <si>
    <t>Purpose Between 2013 and 2016 Western countries experienced a nearly 600% increase in terrorist attacks. Among the most significant shift in terrorism trends during this time is the recent focus on civilians in crowded places as a frequent target. Although crowded places have become critical targets for terrorist attacks, there remains a dearth of research studying crowded places or the built environment practitioner's role in creating crowded places that are as resilient as possible against terrorism. Design/methodology/approach This paper presents the results from 33 in-depth, semi-structured, one-hour interviews with property developers, property investors, property managers, security consultants, designers, planners and government/policy officials in Sydney, Canberra and Melbourne, Australia. A purposive, snowball sampling method was used to identify participants in the study. Findings This research extends the existing literature base on counterterrorism protective security, a distinctly under-researched component of the terrorism research discourse, by developing a baseline of threat considerations considered during the planning, design and development process. This paper presents the Australian results of a first-of-its-kind international study that connects the planning, design and development of real estate in crowded places with planning for protective counterterrorism, and investigates what, when and how counterterrorism protective security (CTPS) is considered in the development process of crowded places. The findings show that a series of common threats were identified across the stakeholder groups, including development risk, development location/site selection, natural phenomena and human-induced issues. Research limitations/implications This research extends the current knowledge base on CTPS and has the potential to influence decision-makers in both the counterterrorism policy landscape and those influential in developing standards for the planning, design, construction and management of real estate assets. Originality/value An original contribution of this research is detailing the significant range of threats, impacts of events and organisational influences that exist in informing the real estate development process.</t>
  </si>
  <si>
    <t>[Christensen, Pernille H.] Univ Technol Sydney, Sch Built Environm, Sydney, NSW, Australia</t>
  </si>
  <si>
    <t>Christensen, PH (corresponding author), Univ Technol Sydney, Sch Built Environm, Sydney, NSW, Australia.</t>
  </si>
  <si>
    <t>pernille.christensen@uts.edu.au</t>
  </si>
  <si>
    <t>Christensen, Pernille/D-1438-2014</t>
  </si>
  <si>
    <t>Christensen, Pernille/0000-0002-1676-8570</t>
  </si>
  <si>
    <t>1753-9269</t>
  </si>
  <si>
    <t>J EUR REAL ESTATE RE</t>
  </si>
  <si>
    <t>J. Eur. Real Estate Res.</t>
  </si>
  <si>
    <t>APR 5</t>
  </si>
  <si>
    <t>10.1108/JERER-06-2021-0034</t>
  </si>
  <si>
    <t>0G0QG</t>
  </si>
  <si>
    <t>WOS:000691588900001</t>
  </si>
  <si>
    <t>van Zyl, M; Mans-Kemp, N</t>
  </si>
  <si>
    <t>van Zyl, Marilee; Mans-Kemp, Nadia</t>
  </si>
  <si>
    <t>A multi-stakeholder view on director remuneration guidance in South Africa</t>
  </si>
  <si>
    <t>SOUTH AFRICAN JOURNAL OF ACCOUNTING RESEARCH</t>
  </si>
  <si>
    <t>director remuneration; pay gap; three-part remuneration report; King IV Report; South Africa; stakeholder salience theory</t>
  </si>
  <si>
    <t>NON-EXECUTIVE DIRECTORS; COMPENSATION CONSULTANTS; SHAREHOLDER ACTIVISM; CEO COMPENSATION; PAY EVIDENCE; FIRM; PERFORMANCE; READABILITY; DETERMINANTS; MANAGEMENT</t>
  </si>
  <si>
    <t>Purpose: Given South Africa's well-developed governance framework, considerable wage inequality and sizeable executive packages, this study was conducted to reflect on the aptness and application of the King IV director remuneration guidelines. Design: The views of 23 representatives of institutional investors, remuneration committee members and leading executives of financial services companies were gauged on the King IV remuneration recommendations by conducting semi-structured interviews. The primary data were analysed by conducting thematic analysis. Findings: The participants commended the heightened focus on pay-related transparency and reporting quality evident in King IV, in particular the three-part remuneration report and single pay figure disclosure. Participants urged remuneration committees to link executive pay to the six capitals. Practical implications: Government and the Institute of Directors in South Africa should account for the considerable regulatory burden that companies are experiencing when amending remuneration-related regulation in future. More guidance is required to link sustainability considerations to executive emolument. A corporate culture which promotes fair remuneration would benefit multiple stakeholders. Focus should be placed on equal pay for work of equal value. Value: The views of powerful and informed stakeholder representatives were gauged on responsible and transparent remuneration practices in an emerging market with severe pay inequality.</t>
  </si>
  <si>
    <t>[van Zyl, Marilee; Mans-Kemp, Nadia] Stellenbosch Univ, Dept Business Management, Private Bag X1, ZA-7602 Stellenbosch, South Africa</t>
  </si>
  <si>
    <t>Mans-Kemp, N (corresponding author), Stellenbosch Univ, Dept Business Management, Private Bag X1, ZA-7602 Stellenbosch, South Africa.</t>
  </si>
  <si>
    <t>nadiamans@sun.ac.za</t>
  </si>
  <si>
    <t>van Zyl, Marilee/0000-0002-0716-9728</t>
  </si>
  <si>
    <t>1029-1954</t>
  </si>
  <si>
    <t>2376-3981</t>
  </si>
  <si>
    <t>S AFR J ACCOUNT RES</t>
  </si>
  <si>
    <t>S. Afr. J. Account. Res.</t>
  </si>
  <si>
    <t>10.1080/10291954.2021.1938882</t>
  </si>
  <si>
    <t>UI0MA</t>
  </si>
  <si>
    <t>WOS:000690311600001</t>
  </si>
  <si>
    <t>Franta, B</t>
  </si>
  <si>
    <t>Franta, Benjamin</t>
  </si>
  <si>
    <t>Weaponizing Economics: Big Oil, Economic consultants, and climate policy delay</t>
  </si>
  <si>
    <t>ENVIRONMENTAL POLITICS</t>
  </si>
  <si>
    <t>The role of particular scientists in opposing policies to slow and halt global warming has been extensively documented. The role of economists, however, has received less attention. Here, I trace the history of an influential group of economic consultants hired by the petroleum industry from the 1990s to the 2010s to estimate the costs of various proposed climate policies. The economists used models that inflated predicted costs while ignoring policy benefits, and their results were often portrayed to the public as independent rather than industry-sponsored. Their work played a key role in undermining numerous major climate policy initiatives in the US over a span of decades, including carbon pricing and participation in international climate agreements. This study illustrates how the fossil fuel industry has funded biased economic analyses to oppose climate policy and highlights the need for greater attention on the role of economists and economic paradigms, doctrines, and models in climate policy delay.</t>
  </si>
  <si>
    <t>[Franta, Benjamin] Stanford Univ, Dept Hist, Stanford, CA 94305 USA</t>
  </si>
  <si>
    <t>Franta, B (corresponding author), Stanford Univ, Dept Hist, Stanford, CA 94305 USA.</t>
  </si>
  <si>
    <t>bafranta@gmail.com</t>
  </si>
  <si>
    <t>Franta, Benjamin/0000-0001-6110-4725</t>
  </si>
  <si>
    <t>Stanford University Department of History; Stanford Interdisciplinary Graduate Fellowship; Climate Social Science Network</t>
  </si>
  <si>
    <t>Support was provided by the Stanford University Department of History, the Stanford Interdisciplinary Graduate Fellowship, and the Climate Social Science Network. Paul Bernstein is thanked for generously sharing his experiences; any errors in the article are mine and not his.</t>
  </si>
  <si>
    <t>0964-4016</t>
  </si>
  <si>
    <t>1743-8934</t>
  </si>
  <si>
    <t>ENVIRON POLIT</t>
  </si>
  <si>
    <t>Environ. Polit.</t>
  </si>
  <si>
    <t>JUN 7</t>
  </si>
  <si>
    <t>10.1080/09644016.2021.1947636</t>
  </si>
  <si>
    <t>Environmental Studies; Political Science</t>
  </si>
  <si>
    <t>Environmental Sciences &amp; Ecology; Government &amp; Law</t>
  </si>
  <si>
    <t>1Y8MD</t>
  </si>
  <si>
    <t>WOS:000688308700001</t>
  </si>
  <si>
    <t>Guerrero-Velasco, R; Apraez-Ippolito, G</t>
  </si>
  <si>
    <t>Guerrero-Velasco, Rodrigo; Apraez-Ippolito, Giovanni</t>
  </si>
  <si>
    <t>Hector Abad-Gomez (1921-1987): physician, teacher and human rights defender</t>
  </si>
  <si>
    <t>GACETA SANITARIA</t>
  </si>
  <si>
    <t>Epidemiology of violence; Medical education; Health promotors; Social engagement; Medical exile</t>
  </si>
  <si>
    <t>Hector Abad-Gomez, Colombian physician, university professor, journalist and human rights defender, was murdered in Medellin in 1987. He was a pioneer public health activist engaged in various fields. While being student his restless and dissatisfied mind, led him to fight for a better and safer water and food. He specialized in the University of Minnesota (USA), at his return to the country he led the establishment of the Rural Medical Service. Forced to exile for several years he was WHO consultant to several countries in the Americas and Asia. In 1956 he founded the Preventive Medicine and Public Health Department of the University of Antioquia. He carried out the first recorded mass community vaccination against polio in the world. He initiated a community health agents program known as Rural health promoters that later would be implemented nationally. In 1962 he first proposed the application of epidemiological methods to study violence; he was visiting professor at the University of California; he coined the term polyiatry for a specialty dedicated to the health populations; he was director of the Colombian National School of Public Health that currently bears his name. Hector Abad-Gomez ventured into political life, in accordance with Virchow dictum that politics is medicine on a large scale. The lives of both have interesting similarities except for the tragic and premature death of the former that still receives rejection today in social, political and academic levels, both in Colombia and abroad. (C) 2020 SESPAS. Published by Elsevier Espana, S.L.U.</t>
  </si>
  <si>
    <t>[Guerrero-Velasco, Rodrigo] Univ Valle, Cali, Colombia; [Apraez-Ippolito, Giovanni] Univ Nacl Colombia, Fac Med, Dept Salud Publ, Bogota, Colombia</t>
  </si>
  <si>
    <t>Guerrero-Velasco, R (corresponding author), Univ Valle, Cali, Colombia.</t>
  </si>
  <si>
    <t>guerrerr@yahoo.com</t>
  </si>
  <si>
    <t>Guerrero Velasco, Rodrigo/0000-0002-4683-7987</t>
  </si>
  <si>
    <t>BRIDGEWATER</t>
  </si>
  <si>
    <t>685 ROUTE 202-206, BRIDGEWATER, NJ 08807 USA</t>
  </si>
  <si>
    <t>0213-9111</t>
  </si>
  <si>
    <t>1578-1283</t>
  </si>
  <si>
    <t>GAC SANIT</t>
  </si>
  <si>
    <t>Gac. Sanit.</t>
  </si>
  <si>
    <t>10.1016/j.gaceta.2020.02.003</t>
  </si>
  <si>
    <t>Health Care Sciences &amp; Services; Health Policy &amp; Services; Public, Environmental &amp; Occupational Health</t>
  </si>
  <si>
    <t>Health Care Sciences &amp; Services; Public, Environmental &amp; Occupational Health</t>
  </si>
  <si>
    <t>UX4AV</t>
  </si>
  <si>
    <t>WOS:000700785000014</t>
  </si>
  <si>
    <t>Abdulkareem, MY; Mnjama, NM; Sebina, PMIIM</t>
  </si>
  <si>
    <t>Abdulkareem, Mulikat Yetunde; Mnjama, Nathan Mwakoshi; Sebina, Peter Mazebe I. I. Mothataesi</t>
  </si>
  <si>
    <t>Training and resources of e-records readiness at the Federal Ministry of finance in Nigeria</t>
  </si>
  <si>
    <t>RECORDS MANAGEMENT JOURNAL</t>
  </si>
  <si>
    <t>Public sector; Nigeria; ICT; e-Government; e-Records readiness; Training and resources</t>
  </si>
  <si>
    <t>ELECTRONIC RECORDS; E-GOVERNMENT; MANAGEMENT; UNIVERSITIES</t>
  </si>
  <si>
    <t>Purpose e-records have become an important tool through which a government is held accountable for good governance, transparency and delivery of services to citizens. Therefore, this study aims to assess availability of training and resources in a records management environment, as a way of determining e-records readiness at the Federal Ministry of Finance, Nigeria (FMFN). Design/methodology/approach Questionnaires and observation were used for data collection. Purposive and stratified sampling techniques were used. Quantitative data from the 250 usable questionnaires retrieved was analyzed using the Statistical Package for Social Sciences (SPSS), while qualitative data was analyzed manually. Findings The study findings revealed that FMFN has a records management unit with other resources such as a movable and lockable file cabinet, files, file holders, registers and computers. There is low budget allocation for records management activities. Training for records managers is infrequent. However, an orientation program for new staff exists. Employees prefer the following mode of training: seminars and workshops, internships and consultant-run training. In terms of kinds of training need, study participants noted that they require training on computer applications, e-records management and change management role of record management. Research limitations/implications This study is limited to employees of the Federal Ministry of Finance (FMF) in Abuja. As a result, the findings may not be generalized to other ministries in Nigeria. Practical implications It is hoped that the study would benefit the public sectors that are desirous to opt for e-records management and provide benchmarks for policymakers, particularly on how to maintain proper e-records readiness status through training and resources. Originality/value To the best of the authors' knowledge, this is the first study to be conducted at FMFN on e-records readiness, more specifically on resources and training.</t>
  </si>
  <si>
    <t>[Abdulkareem, Mulikat Yetunde] Univ Ilorin, Lib &amp; Informat Sci, Ilorin, Nigeria; [Mnjama, Nathan Mwakoshi; Sebina, Peter Mazebe I. I. Mothataesi] Univ Botswana, Dept Lib &amp; Informat Studies, Gaborone, Botswana</t>
  </si>
  <si>
    <t>Abdulkareem, MY (corresponding author), Univ Ilorin, Lib &amp; Informat Sci, Ilorin, Nigeria.</t>
  </si>
  <si>
    <t>mulikatadisa@yahoo.com; mnjamanm@mopipi.ub.bw; sebinapm@ub.ac.bw</t>
  </si>
  <si>
    <t>Sebina, Peter Mazebe II Mothataesi/0000-0001-9124-186X</t>
  </si>
  <si>
    <t>0956-5698</t>
  </si>
  <si>
    <t>1758-7689</t>
  </si>
  <si>
    <t>REC MANAG J</t>
  </si>
  <si>
    <t>Rec. Manag. J.</t>
  </si>
  <si>
    <t>FEB 8</t>
  </si>
  <si>
    <t>10.1108/RMJ-06-2019-0028</t>
  </si>
  <si>
    <t>ZD5JZ</t>
  </si>
  <si>
    <t>WOS:000691562000001</t>
  </si>
  <si>
    <t>Willers, JO</t>
  </si>
  <si>
    <t>Willers, Johann Ole</t>
  </si>
  <si>
    <t>Seeding the cloud: Consultancy services in the nascent field of cyber capacity building</t>
  </si>
  <si>
    <t>GLOBAL PUBLIC-POLICY; INFORMATION-TECHNOLOGY; SOCIAL SKILL; MANAGEMENT; GOVERNMENT; MARKETS; POLITICS; POWER; TRANSFORMATION; BOUNDARIES</t>
  </si>
  <si>
    <t>Transnational issues in public administration are charged with coordination problems between public and private actors. This is especially true for nascent issue fields. The mitigation of global cyber risks represents one such emerging issue. International organizations have encouraged the development of cybersecurity strategies as an integral part of national security regimes and to strengthen the global security environment. Cyber capacity building (CCB) efforts respond to these calls and disseminate digital risk management to recipient states. At a time where public administrations have not determined a position on CCB, global professional service firms have affirmed the importance of external third-party knowledge on cybersecurity issues. They are seeding the cloud to benefit from the field as it matures. Through the application of the Strategic Action Field framework, I highlight how field dynamics are shaped through framing contests and reflected in the practices of policy production.</t>
  </si>
  <si>
    <t>[Willers, Johann Ole] Norwegian Inst Int Affairs, CJ Hambros Pl 2D,Postboks 7024 St,Olavs Pl, N-0130 Oslo, Norway; [Willers, Johann Ole] Copenhagen Business Sch, Dept Org, Kilevej 14A, DK-2000 Frederiksberg, Denmark</t>
  </si>
  <si>
    <t>Willers, JO (corresponding author), Norwegian Inst Int Affairs, CJ Hambros Pl 2D,Postboks 7024 St,Olavs Pl, N-0130 Oslo, Norway.;Willers, JO (corresponding author), Copenhagen Business Sch, Dept Org, Kilevej 14A, DK-2000 Frederiksberg, Denmark.</t>
  </si>
  <si>
    <t>willers@nupi.no</t>
  </si>
  <si>
    <t>Willers, Johann Ole/0000-0002-0930-5519</t>
  </si>
  <si>
    <t>Norges Forskningsrad [274740]</t>
  </si>
  <si>
    <t>Norges Forskningsrad</t>
  </si>
  <si>
    <t>Norges Forskningsrad, Grant/Award Number: 274740</t>
  </si>
  <si>
    <t>10.1111/padm.12773</t>
  </si>
  <si>
    <t>UB2NM</t>
  </si>
  <si>
    <t>WOS:000685687800001</t>
  </si>
  <si>
    <t>Dar, MUD; Shah, AI; Bhat, SA; Kumar, R; Huisingh, D; Kaur, R</t>
  </si>
  <si>
    <t>Dar, Mehraj U. Din; Shah, Aamir Ishaq; Bhat, Shakeel Ahmad; Kumar, Rohitashw; Huisingh, Donald; Kaur, Rajbir</t>
  </si>
  <si>
    <t>Blue Green infrastructure as a tool for sustainable urban development</t>
  </si>
  <si>
    <t>Blue green infrastructure; Urban environment; Sustainable urban planning; Land and water management; Landscape-based design approach</t>
  </si>
  <si>
    <t>LOW IMPACT DEVELOPMENT; CLIMATE-CHANGE ADAPTATION; OFFSETTING CARBON EMISSIONS; LIFE-CYCLE ASSESSMENT; LAND-USE CHANGE; HYDROLOGICAL PERFORMANCE; WATER-QUALITY; INNER-CITY; ENVIRONMENTAL ASSESSMENT; THERMAL PROTECTION</t>
  </si>
  <si>
    <t>The exponential growth of urban areas is putting a strain on urban land and water resources, besides has serious implications on the urban environment. Blue-Green infrastructure (BGI) is an emerging solution for sustainable urban planning and efficient management of urban spaces. This article highlights the benefits offered by BGI and the available BGI technologies based on available scientific works. The relationship between environmental wellbeing, human health, and BGI has been examined from several recent literature reviews. The performance of various available BGI techniques and the models available have also been rigorously reviewed by consulting publications, peer-reviewed journal papers, documents, and books published by various sources. A major gap in performance evaluation of different BGI technologies has been attempted to be bridged by discussing in detail the available modelling tools. This review article discusses different BGI programs, strategies, benefits, and the drivers associated with the successful implementation. It will enable urban planners to select the best available BGI technologies based on goal-oriented applications, especially for land and water management. It would also serve to establish and popularize BGI techniques and designs among researchers, planners, and policy makers for application in their respective countries.</t>
  </si>
  <si>
    <t>[Dar, Mehraj U. Din; Shah, Aamir Ishaq; Kaur, Rajbir] Punjab Agr Univ, Dept Soil &amp; Water Engn, Ludhiana 141004, Punjab, India; [Bhat, Shakeel Ahmad; Kumar, Rohitashw] Sher e Kashmir Univ Agr Sci &amp; Technol Kashmir, Coll Agr Engn &amp; Technol, Shalimar Campus, Srinagar 190025, India; [Huisingh, Donald] Univ Tennessee, Inst Secure &amp; Sustainable Environm, Knoxville, TN USA</t>
  </si>
  <si>
    <t>Dar, MUD (corresponding author), Punjab Agr Univ, Dept Soil &amp; Water Engn, Ludhiana 141004, Punjab, India.;Bhat, SA (corresponding author), SKUAST K, Coll Agr Engn &amp; Technol, Srinagar, India.</t>
  </si>
  <si>
    <t>mehrajudindar24@gmail.com; Wakeelbhat@gmail.com</t>
  </si>
  <si>
    <t>Bhat, Shakeel/AAI-9957-2021</t>
  </si>
  <si>
    <t>Bhat, Shakeel/0000-0002-0238-4509</t>
  </si>
  <si>
    <t>10.1016/j.jclepro.2021.128474</t>
  </si>
  <si>
    <t>XH2JV</t>
  </si>
  <si>
    <t>WOS:000725268100001</t>
  </si>
  <si>
    <t>Ayaz, B; Martimianakis, MA; Muntaner, C; Nelson, S</t>
  </si>
  <si>
    <t>Ayaz, Basnama; Martimianakis, Maria Athina; Muntaner, Carles; Nelson, Sioban</t>
  </si>
  <si>
    <t>Participation of women in the health workforce in the fragile and conflict-affected countries: a scoping review</t>
  </si>
  <si>
    <t>HUMAN RESOURCES FOR HEALTH</t>
  </si>
  <si>
    <t>Health workforce; Women; Gender; Conflict-affected countries; Human resources for health</t>
  </si>
  <si>
    <t>SYSTEMATIC REVIEWS; GENDER ANALYSIS; POST-CONFLICT; RECRUITMENT; MIDWIFERY</t>
  </si>
  <si>
    <t>Introduction and background The full participation of women as healthcare providers is recognized globally as critical to favorable outcomes at all levels, including the healthcare system, to achieving universal health coverage and sustainable development goals (SDGs) by 2030. However, systemic challenges, gender biases, and inequities exist for women in the global healthcare workforce. Fragile and conflict-affected states/countries (FCASs) experience additional pressures that require specific attention to overcome challenges and disparities for sustainable development. FCASs account for 42% of global deaths due to communicable, maternal, perinatal, and nutritional conditions, requiring an appropriate health workforce. Consequently, there is a need to understand the impact of gender on workforce participation, particularly women in FCASs. Methods This scoping review examined the extent and nature of existing literature, as well as identified factors affecting women's participation in the health workforce in FCASs. Following Arksey and O'Malley's scoping review methodology framework, a systematic search was conducted of published literature in five health sciences databases and grey literature. Two reviewers independently screened the title and abstract, followed by a full-text review for shortlisted sources against set criteria. Results Of 4284, 34 sources were reviewed for full text, including 18 primary studies, five review papers, and 11 grey literature sources. In most FCASs, women predominate in the health workforce, concentrated in nursing and midwifery professions; medicine, and the decision-making and leadership positions, however, are occupied by men. The review identified several constraints for women, related to professional hierarchies, gendered socio-cultural norms, and security conditions. Several sources highlight the post-conflict period as a window of opportunity to break down gender biases and stereotypes, while others highlight drawbacks, including influences by consultants, donors, and non-governmental organizations. Consultants and donors focus narrowly on programs and interventions solely serving women's reproductive health rather than taking a comprehensive approach to gender mainstreaming in planning human resources during the healthcare system's restructuring. Conclusion The review identified multiple challenges and constraints facing efforts to create gender equity in the health workforce of FCASs. However, without equal participation of women in the health workforce, it will be difficult for FCASs to make progress towards achieving the SDG on gender equality.</t>
  </si>
  <si>
    <t>[Ayaz, Basnama; Muntaner, Carles; Nelson, Sioban] Univ Toronto, Lawrence S Bloomberg Fac Nursing, 155 Coll St, Toronto, ON M5T 1P8, Canada; [Martimianakis, Maria Athina] Univ Toronto, Dept Paediat &amp; Sci, Temerty Fac Med, Wilson Ctr Res Hlth Profess Educ, ON 27 Kings Coll Circle, Toronto, ON M5S 1A1, Canada</t>
  </si>
  <si>
    <t>Ayaz, B (corresponding author), Univ Toronto, Lawrence S Bloomberg Fac Nursing, 155 Coll St, Toronto, ON M5T 1P8, Canada.</t>
  </si>
  <si>
    <t>basnama.ayaz@mail.utoronto.ca</t>
  </si>
  <si>
    <t>1478-4491</t>
  </si>
  <si>
    <t>HUM RESOUR HEALTH</t>
  </si>
  <si>
    <t>Hum. Resour. Health</t>
  </si>
  <si>
    <t>AUG 4</t>
  </si>
  <si>
    <t>10.1186/s12960-021-00635-7</t>
  </si>
  <si>
    <t>Health Policy &amp; Services; Industrial Relations &amp; Labor</t>
  </si>
  <si>
    <t>Health Care Sciences &amp; Services; Business &amp; Economics</t>
  </si>
  <si>
    <t>TY0EE</t>
  </si>
  <si>
    <t>WOS:000683456300001</t>
  </si>
  <si>
    <t>Shapira, N; Ayalon, O; Ostfeld, A; Farber, Y; Housh, M</t>
  </si>
  <si>
    <t>Shapira, Naama; Ayalon, Ofira; Ostfeld, Avi; Farber, Yair; Housh, Mashor</t>
  </si>
  <si>
    <t>Cybersecurity in Water Sector: Stakeholders Perspective</t>
  </si>
  <si>
    <t>JOURNAL OF WATER RESOURCES PLANNING AND MANAGEMENT</t>
  </si>
  <si>
    <t>Cybersecurity; Water sector; Stakeholder engagement</t>
  </si>
  <si>
    <t>CHALLENGE; UTILITIES</t>
  </si>
  <si>
    <t>Cyberattacks on critical infrastructure systems are becoming a significant concern. Sabotage and destruction of critical infrastructures may cause devastating impacts on physical systems, economic security, public health, and safety. The water sector is one of the most critical infrastructures, and as such, identifying and managing cyber threats on the water sector's facilities is crucial to providing a continuous and safe supply of water. This study reports on a stakeholder engagement process conducted in the form of an active workshop that aims to show different stakeholder's perspective on cyber threats, knowledge gaps, and barriers to implementations of cybersecurity procedures and technologies in the water sector. The workshop, demonstrated on the Israeli water and cyber sectors, brought together 45 professionals from the water and cyber sectors (government, academia, utilities, consultants, and commercial suppliers). In the cybersecurity domain, many studies focused on developing algorithms, but only a few considered the organizational and policy aspects of the problem. The present study addresses this gap and presents an example demonstrating the importance of integrating stakeholder engagement into decision making in the water domain. The workshop's findings are summarized and analyzed to highlight top priority activity areas and suggest required actions according to the stakeholders' perspective, which can help shape the landscape of the water sector's cybersecurity.</t>
  </si>
  <si>
    <t>[Shapira, Naama; Ayalon, Ofira; Housh, Mashor] Univ Haifa, Dept Nat Resources &amp; Environm Management, IL-3498838 Haifa, Israel; [Ostfeld, Avi] Technion Israel Inst Technol, Civil &amp; Environm Engn, IL-3200003 Haifa, Israel; [Farber, Yair] Technion Israel Inst Technol, Grand Water Res Inst, IL-3200003 Haifa, Israel</t>
  </si>
  <si>
    <t>Housh, M (corresponding author), Univ Haifa, Dept Nat Resources &amp; Environm Management, IL-3498838 Haifa, Israel.</t>
  </si>
  <si>
    <t>mashor.housh@gmail.com</t>
  </si>
  <si>
    <t>Farber, Yair/P-8455-2018</t>
  </si>
  <si>
    <t>Farber, Yair/0000-0002-0079-6737</t>
  </si>
  <si>
    <t>Centre for Cyber Law and Policy at the University of Haifa; Minerva Centre for the Rule of Law under Extreme Conditions at the University of Haifa; E.U. STOP-IT project; Grand Water Research Institute at the Technion</t>
  </si>
  <si>
    <t>This research was supported by the Centre for Cyber Law and Policy, the Minerva Centre for the Rule of Law under Extreme Conditions at the University of Haifa, the E.U. STOP-IT project, and the Grand Water Research Institute at the Technion.</t>
  </si>
  <si>
    <t>0733-9496</t>
  </si>
  <si>
    <t>1943-5452</t>
  </si>
  <si>
    <t>J WATER RES PLAN MAN</t>
  </si>
  <si>
    <t>J. Water Resour. Plan. Manage.-ASCE</t>
  </si>
  <si>
    <t>10.1061/(ASCE)WR.1943-5452.0001400</t>
  </si>
  <si>
    <t>XF0JD</t>
  </si>
  <si>
    <t>WOS:000723764800017</t>
  </si>
  <si>
    <t>Samsudin, KS; Mat, S; Razalia, H; Basri, NEA; Aini, Z</t>
  </si>
  <si>
    <t>Samsudin, Khairunnisa Syarafina; Mat, Sohif; Razalia, Halim; Basri, Noor Ezlin Ahmad; Aini, Zulkifli</t>
  </si>
  <si>
    <t>Review on Awareness and Practices in Malaysia Land-Use Planning on Municipal Solid Waste Management</t>
  </si>
  <si>
    <t>JURNAL KEJURUTERAAN</t>
  </si>
  <si>
    <t>Land use; municipal solid waste management; behaviour; town planner</t>
  </si>
  <si>
    <t>BEHAVIOR; PERFORMANCE; IMPACT; INDEX; PARTICIPATION; INFORMATION; ATTITUDES; SYSTEMS; MODEL</t>
  </si>
  <si>
    <t>In 2016, almost 95% of the collected waste were taken to about 156 treatment disposal facilities that are distributed throughout Peninsular Malaysia, yet municipal solid waste (MSW) open dumping is common wherever land is available. Previous studies show that the land-use activities influenced the waste generation. The issue of non-compliance such as illegal change of land-use zoning and conflicts in development plans are among others that affect environmental sustainability. Hence, this paper focuses on how land-use planners include MSW management (MSWM) in their development planning. As a case study, the research considers 30 government town planners and 30 registered town planning consultants with the Malaysian Institute of Planners. A close-ended questionnaire method was adopted in this research. To design the questions, three aspects were considered: technical, management, and behaviour and the questions were structured based on literature review, books, and personal experience of the people involved. This research further ideates the issue concerning the reasons for the lack of involvement of land-use planners to include MSWM. Results show that land-use planners are aware of the regulations, national plans, and policies regarding MSWM in Malaysia but lack actions in their planning due to several reasons, such as inadequate expertise and insufficient funding. The findings in this research are expected to provide useful guidelines for policy makers.</t>
  </si>
  <si>
    <t>[Samsudin, Khairunnisa Syarafina] Univ Kebangsaan Malaysia, Solar Energy Res Inst SERI, Bangi, Malaysia; [Basri, Noor Ezlin Ahmad] Univ Kebangsaan Malaysia, Fac Engn &amp; Built Environm, Bangi, Malaysia; [Aini, Zulkifli] Univ Kebangsaan Malaysia, Fac Islamic Studies, Bangi, Malaysia</t>
  </si>
  <si>
    <t>Samsudin, KS (corresponding author), Univ Kebangsaan Malaysia, Solar Energy Res Inst SERI, Bangi, Malaysia.</t>
  </si>
  <si>
    <t>aniasyarafina@gmail.com</t>
  </si>
  <si>
    <t>UKM PRESS</t>
  </si>
  <si>
    <t>SELANGOR</t>
  </si>
  <si>
    <t>BANGI, SELANGOR, 43600, MALAYSIA</t>
  </si>
  <si>
    <t>0128-0198</t>
  </si>
  <si>
    <t>2289-7526</t>
  </si>
  <si>
    <t>J KEJURUTER</t>
  </si>
  <si>
    <t>J. Kejuruter.</t>
  </si>
  <si>
    <t>10.17576/jkukm-2021-33(3)-12</t>
  </si>
  <si>
    <t>UI8XY</t>
  </si>
  <si>
    <t>WOS:000690883700011</t>
  </si>
  <si>
    <t>Geekiyanage, D; Fernando, T; Keraminiyage, K</t>
  </si>
  <si>
    <t>Geekiyanage, Devindi; Fernando, Terrence; Keraminiyage, Kaushal</t>
  </si>
  <si>
    <t>Mapping Participatory Methods in the Urban Development Process: A Systematic Review and Case-Based Evidence Analysis</t>
  </si>
  <si>
    <t>community engagement; urban development; risk-sensitive; SDG 10; SDG 11; participatory methods; systematic review; PRISMA 2020; inclusive; purpose</t>
  </si>
  <si>
    <t>PUBLIC-PARTICIPATION; DISASTER RISK; CO-BENEFITS; REDUCTION; DYNAMICS; TOOLS; MODEL; RESETTLEMENT; MANAGEMENT; RESILIENT</t>
  </si>
  <si>
    <t>Despite the fact that vulnerable communities are the most affected by unplanned cities, considerably less attention has been given to involving them in urban development in order to ensure equitable outcomes. In this regard, there is an urgent need for governments to introduce and enforce processes that allow citizens, including vulnerable communities, to participate in development planning and policymaking. However, at present, there is a lack of guidance for practitioners regarding the definition of a clear purpose of community engagement and the selection of appropriate participatory methods to fulfil the set purpose. This study provides a thorough account of the participatory methods that can be used to achieve various engagement goals throughout the urban development process. This structured literature review used 71 reports published from 2000 to 2020. The review revealed 34 participatory methods, wherein most of the methods are devoted to informing, consulting and involving communities, whilst only a few methods are available for interactive public participation that supports true collaboration and empowerment. The study identified 12 purposes of community engagement in urban development, and mapped the 34 participatory methods for achieving them. The analysed case studies showed that the current community engagement practices are mainly in the pre-design and briefing stages of the urban development processes, and that most projects are aiming to achieve the 'inform' and 'consult' levels of engagement, with a few aiming to achieve the 'involve' and 'collaborate' levels. This study shows that community engagement is often overlooked during the professional design, development and post-development phases. The paper presents an onion model which can be used by practitioners to choose appropriate participatory methods based on the intended urban development phase, the engagement level and the purpose of the community engagement.</t>
  </si>
  <si>
    <t>[Geekiyanage, Devindi; Fernando, Terrence; Keraminiyage, Kaushal] Univ Salford, Sch Sci Engn &amp; Environm, Maxwell Bldg,43 Crescent, Salford M5 4WT, Lancs, England</t>
  </si>
  <si>
    <t>Geekiyanage, D; Fernando, T (corresponding author), Univ Salford, Sch Sci Engn &amp; Environm, Maxwell Bldg,43 Crescent, Salford M5 4WT, Lancs, England.</t>
  </si>
  <si>
    <t>m.d.hembageekiyanage@edu.salford.ac.uk; t.fernando@salford.ac.uk; k.p.keraminiyage@salford.ac.uk</t>
  </si>
  <si>
    <t>Geekiyanage, Devindi/AAH-7567-2021</t>
  </si>
  <si>
    <t>Geekiyanage, Devindi/0000-0002-7892-8445; Keraminiyage, Kaushal/0000-0002-8884-3509; Fernando, Terrence/0000-0001-5321-9071</t>
  </si>
  <si>
    <t>Global Challenges Research Fund (GCRF); Economic and Social Research Council (ESRC) [ES/T003219/1]; ESRC [ES/T003219/1] Funding Source: UKRI</t>
  </si>
  <si>
    <t>Global Challenges Research Fund (GCRF); Economic and Social Research Council (ESRC)(UK Research &amp; Innovation (UKRI)Economic &amp; Social Research Council (ESRC)); ESRC(UK Research &amp; Innovation (UKRI)Economic &amp; Social Research Council (ESRC))</t>
  </si>
  <si>
    <t>This research was funded by the Global Challenges Research Fund (GCRF) and the Economic and Social Research Council (ESRC), grant number ES/T003219/1, entitled Technology Enhanced Stakeholder Collaboration for Supporting Risk-Sensitive Sustainable Urban Development.</t>
  </si>
  <si>
    <t>10.3390/su13168992</t>
  </si>
  <si>
    <t>UH6VA</t>
  </si>
  <si>
    <t>WOS:000690064600001</t>
  </si>
  <si>
    <t>Bennett, K; Mayouf, M</t>
  </si>
  <si>
    <t>Bennett, Kieran; Mayouf, Mohammad</t>
  </si>
  <si>
    <t>Value Management Integration for Whole Life Cycle: Post COVID-19 Strategy for the UK Construction Industry</t>
  </si>
  <si>
    <t>value management; whole life cycle; strategy; COVID-19</t>
  </si>
  <si>
    <t>DESIGN; BIM</t>
  </si>
  <si>
    <t>Value management (VM) and its integration in the whole life cycle (WLC) have become huge concepts for construction projects to provide additional value of an asset for the end user or client. However, the role of VM and its integration as part of the WLC in a construction project remain reactive, and highly impacted by nature of the project, and this has become more challenging with the epidemic impact of COVID-19. This research aims to investigate the mechanisms that delivers value management as part of the re-invent strategy proposed by the Construction Leadership Council in the UK government to improve WLC for buildings. In addition to existing secondary data from the literature, primary data were attained using a focus group with six quantity surveyors from different cost consultancies in the UK to gather qualitative evidence using their experiences, perceptions, and key challenges they face when integrating VM. Findings revealed that value management is primarily being used as a cost-cutting tool, the majority of quantity surveyors lack knowledge of what it encompasses, hence the industry needs a more proactive strategy towards it. Analysis revealed that value management is primarily implemented as a cost-cutting solution, key stakeholders (e.g., facility managers) need to be integrated, and there is no standardised process to incorporate value management in projects. The study proposes a four-dimensional (governance and policies, sustainability, industry's best practice, and innovation and technology) strategy to facilitate more holistic considerations of value management post COVID-19. Future work looks into evaluating the strategy proposed while acknowledging different procurement routes.</t>
  </si>
  <si>
    <t>[Bennett, Kieran; Mayouf, Mohammad] Sch Engn &amp; Built Environm, Birmingham B4 7XG, W Midlands, England</t>
  </si>
  <si>
    <t>Mayouf, M (corresponding author), Sch Engn &amp; Built Environm, Birmingham B4 7XG, W Midlands, England.</t>
  </si>
  <si>
    <t>Kieran.Bennett@mail.bcu.ac.uk; Mohammad.Mayouf@bcu.ac.uk</t>
  </si>
  <si>
    <t>Mayouf, Mohammad/0000-0003-2342-5370</t>
  </si>
  <si>
    <t>10.3390/su13169274</t>
  </si>
  <si>
    <t>UH8JI</t>
  </si>
  <si>
    <t>gold, Green Accepted</t>
  </si>
  <si>
    <t>WOS:000690169400001</t>
  </si>
  <si>
    <t>Baldowska-Witos, P; Piasecka, I; Flizikowski, J; Tomporowski, A; Idzikowski, A; Zawada, M</t>
  </si>
  <si>
    <t>Baldowska-Witos, Patrycja; Piasecka, Izabela; Flizikowski, Jozef; Tomporowski, Andrzej; Idzikowski, Adam; Zawada, Marcin</t>
  </si>
  <si>
    <t>Life Cycle Assessment of Two Alternative Plastics for Bottle Production</t>
  </si>
  <si>
    <t>MATERIALS</t>
  </si>
  <si>
    <t>life cycle assessment; plastic bottles; environmental impact; quality analysis</t>
  </si>
  <si>
    <t>UNCERTAINTY; SIMULATION; IMPACT; INVENTORY; MODEL</t>
  </si>
  <si>
    <t>The article characterizes selected issues related to the method of performing environmental impact analyses. Particular attention was paid to the need for identifying environmental effects associated with the process of shaping beverage bottles. This study concerns the analysis of selected stages of the machine's life cycle environmental impact in the specific case of the blow molding machine used in the production of bottles. Life cycle assessment analysis was performed using the SimaPro 8.4.0 software (The Dutch Company Pre Consultants). The CML 2 and ReCiPe2016 methods were chosen to interpret the lists of chemical emissions. Impact categories specific to the CML 2 model are: abiotic depletion, acidification, eutrophication, global warming, ozone layer depletion, human toxicity, fresh water aquatic ecotoxicity, marine aquatic ecotoxicity, terrestrial ecotoxicity, and photochemical oxidation. Among all the considered impact categories, marine aquatic ecotoxicity was characterized by the highest level of potential harmful effects occurring during the bottle production process. A new aspect of the research is to provide updated and more detailed geographic data on Polish bottle production.</t>
  </si>
  <si>
    <t>[Baldowska-Witos, Patrycja; Piasecka, Izabela; Flizikowski, Jozef; Tomporowski, Andrzej] Univ Sci &amp; Technol, Fac Mech Engn, Dept Tech Syst Engn, PL-85796 Bydgoszcz, Poland; [Idzikowski, Adam; Zawada, Marcin] Czestochowa Tech Univ, Fac Management, PL-42200 Czestochowa, Poland</t>
  </si>
  <si>
    <t>Baldowska-Witos, P (corresponding author), Univ Sci &amp; Technol, Fac Mech Engn, Dept Tech Syst Engn, PL-85796 Bydgoszcz, Poland.</t>
  </si>
  <si>
    <t>patrycja.baldowska-witos@utp.edu.pl; izabela.piasecka@utp.edu.pl; fliz@utp.edu.pl; a.tomporowski@utp.edu.pl; adam.idzikowski@wz.pcz.pl; marcin.zawada@wz.pcz.pl</t>
  </si>
  <si>
    <t>Bałdowska-Witos, Patrycja/AAX-3005-2020; Piasecka, Izabela/AAI-1120-2021</t>
  </si>
  <si>
    <t>Bałdowska-Witos, Patrycja/0000-0003-0547-4400; Piasecka, Izabela/0000-0003-4028-5146; Tomporowski, Andrzej/0000-0002-9860-8748</t>
  </si>
  <si>
    <t>1996-1944</t>
  </si>
  <si>
    <t>Materials</t>
  </si>
  <si>
    <t>10.3390/ma14164552</t>
  </si>
  <si>
    <t>Chemistry, Physical; Materials Science, Multidisciplinary; Metallurgy &amp; Metallurgical Engineering; Physics, Applied; Physics, Condensed Matter</t>
  </si>
  <si>
    <t>Chemistry; Materials Science; Metallurgy &amp; Metallurgical Engineering; Physics</t>
  </si>
  <si>
    <t>UG7HR</t>
  </si>
  <si>
    <t>WOS:000689419000001</t>
  </si>
  <si>
    <t>Baselice, A; Lombardi, M; Prosperi, M; Stasi, A; Lopolito, A</t>
  </si>
  <si>
    <t>Baselice, Antonio; Lombardi, Mariarosaria; Prosperi, Maurizio; Stasi, Antonio; Lopolito, Antonio</t>
  </si>
  <si>
    <t>Key Drivers of the Engagement of Farmers in Social Innovation for Marginalised Rural Areas</t>
  </si>
  <si>
    <t>social innovation; relationships; marginalised rural areas; rural hub; farmers engagement; two-stage model; collaboration creation</t>
  </si>
  <si>
    <t>PARTICIPATION; WILLINGNESS; COMMUNITIES; ADOPTION</t>
  </si>
  <si>
    <t>The European Union promotes social innovation (SI) initiatives for the support of marginalised rural areas through rural and sustainable development policies. These are based on the engagement of local actors and the strengthening of their mutual relationships to boost the fostering of professional collaborations. In this context, the Horizon 2020 Social Innovation in Marginalised Areas (SIMRA) project elaborated a conceptual framework for characterising the engagement in an SI initiative. Accordingly, this paper aims to demonstrate that engagement relies on specific key drivers, such as the existence of unmet social needs and the role of agency. To this end, a two-step Heckman model was applied to an SI initiative case study called Vazapp', a rural hub (agency) located in Southern Italy. It promotes relationships among farmers to valorise the marginalised rural areas. The results appear consistent with the theoretical framework, demonstrating that the farmers' engagement was motivated by the existence of the aforementioned determinants. The implications are relevant for policymakers, consultants, and social innovators who may incorporate these elements in designing specific SI projects in different contexts.</t>
  </si>
  <si>
    <t>[Baselice, Antonio; Prosperi, Maurizio; Stasi, Antonio] Univ Foggia, Dept Agr Food Nat Resource &amp; Engn DAFNE, I-71122 Foggia, Italy; [Lombardi, Mariarosaria] Univ Foggia, Dept Econ, I-71121 Foggia, Italy; [Lopolito, Antonio] Univ Foggia, Dept Econ Management &amp; Terr, I-71121 Foggia, Italy</t>
  </si>
  <si>
    <t>Lombardi, M (corresponding author), Univ Foggia, Dept Econ, I-71121 Foggia, Italy.</t>
  </si>
  <si>
    <t>antonio.baselice@unifg.it; mariarosaria.lombardi@unifg.it; maurizio.prosperi@unifg.it; antonio.stasi@unifg.it; antonio.lopolito@unifg.it</t>
  </si>
  <si>
    <t>; LOPOLITO, ANTONIO/A-6670-2016</t>
  </si>
  <si>
    <t>Baselice, Antonio/0000-0002-7571-0184; LOPOLITO, ANTONIO/0000-0001-9358-3222; Prosperi, Maurizio/0000-0003-0836-766X; Lombardi, Mariarosaria/0000-0002-2049-5843</t>
  </si>
  <si>
    <t>10.3390/su13158454</t>
  </si>
  <si>
    <t>TW2OC</t>
  </si>
  <si>
    <t>WOS:000682245300001</t>
  </si>
  <si>
    <t>Berinde, SR; Herta, LM</t>
  </si>
  <si>
    <t>Berinde, Sorin-Romulus; Herta, Laura-Maria</t>
  </si>
  <si>
    <t>Performance Improvements for Romanian SMEs and Their Predictors</t>
  </si>
  <si>
    <t>performance; sustainable SMEs; local development; managerial consultancy services; excessive taxation; legislative regulations; self-funding strategies; corporate governance</t>
  </si>
  <si>
    <t>CORPORATE GOVERNANCE; EFFICIENCY PERFORMANCE; FINANCIAL PERFORMANCE; OWNERSHIP STRUCTURE; FIRM PERFORMANCE; BOARD STRUCTURE; COMPANIES; IMPACT; INDUSTRIAL; INNOVATION</t>
  </si>
  <si>
    <t>The corporate governance of Romanian SMEs states that these companies have been less and less able to generate performance over the last few years. An average number of 1.273 SMEs per year have been included in the study, coming from all the eight local development regions of Romania. The data covers a period of 14 financial years, between 2005 and 2018. The findings showed, after statistical computations using regression models, that the performance of Romanian SMEs depended on the level of external managerial consultancy that corporate governance received from specialized companies and on the increasing level of wages. Given the high flexibility potential of SMEs, these choices are seen as tailored actions and strategies to compete successfully and support sustainable performance in the local context where its trend is downward. Moreover, the act of achieving performance at present is upheld by the performance attained in previous financial years. The impact of these factors could be established as a matter of priority in a long-term approach, for a time lag of up to 3 years. Moreover, the performance of companies covering all the local development regions is influenced only to a small degree by taxation levels, by the frequency of tax supervision performed by government institutions, by the capacity of corporate governance to be up to date with legislative change or by the self-financing of the activity conducted by the companies.</t>
  </si>
  <si>
    <t>[Berinde, Sorin-Romulus] Babes Bolyai Univ, Fac Business, Dept Business, 7 Horea St, Cluj Napoca 400174, Cluj, Romania; [Herta, Laura-Maria] Babes Bolyai Univ, Fac European Studies, Dept Int Relat &amp; German Studies, 1 Emmanuel de Martonne St, Cluj Napoca 400090, Cluj, Romania</t>
  </si>
  <si>
    <t>Herta, LM (corresponding author), Babes Bolyai Univ, Fac European Studies, Dept Int Relat &amp; German Studies, 1 Emmanuel de Martonne St, Cluj Napoca 400090, Cluj, Romania.</t>
  </si>
  <si>
    <t>sorin.berinde@ubbcluj.ro; laura.herta@ubbcluj.ro</t>
  </si>
  <si>
    <t>Berinde, Sorin/0000-0001-7077-2215</t>
  </si>
  <si>
    <t>Babes-Bolyai University of Romania [31781/23.03.2016]</t>
  </si>
  <si>
    <t>Babes-Bolyai University of Romania</t>
  </si>
  <si>
    <t>This research was funded by Babes-Bolyai University of Romania, through the Funding contract for the implementation of grants for young researchers; project number 31781/23.03.2016: Corporate governance particularities and their impact on financial statements.</t>
  </si>
  <si>
    <t>10.3390/su13158202</t>
  </si>
  <si>
    <t>TW1KI</t>
  </si>
  <si>
    <t>WOS:000682167900001</t>
  </si>
  <si>
    <t>Nwadike, A; Wilkinson, S</t>
  </si>
  <si>
    <t>Nwadike, Amarachukwu; Wilkinson, Suzanne</t>
  </si>
  <si>
    <t>Promoting Performance-Based Building Code Compliance in New Zealand</t>
  </si>
  <si>
    <t>JOURNAL OF PERFORMANCE OF CONSTRUCTED FACILITIES</t>
  </si>
  <si>
    <t>Compliance; Building code amendment; Encouragement; Built environment; Inclusiveness</t>
  </si>
  <si>
    <t>IMPLEMENTATION; LESSONS; SAFETY; RISK</t>
  </si>
  <si>
    <t>Building codes are mandatory documents that should be followed in all building constructions and related works. However, building code compliance requires encouraging building code users and easing the compliance process, as the building code provisions, standards, and compliance documents change over time and could presents challenges in applying the building code requirements, even though building code amendments help to improve the built environment resilience and enhance innovative techniques. This study aims to identify and explore factors that could promote and encourage building code compliance, considering regular changes in the building code, standards and compliance documents. A close-ended questionnaire survey was used for data collection for this study to measure participants' opinions about improving and encouraging building code compliance in New Zealand. The questionnaire participants included structural engineers, project managers, geotechnical engineers, local authorities, academic/researchers, licensed building officials, building contractors, architects, and building and consulting engineers. A five-point scale was used in the questionnaire, and the obtained data were analyzed. The findings reveal that reduced bureaucracy, incentives, technical assistance, and regular monitoring and inspection without notice encourages compliance in New Zealand. Also, the study identified transparency as a primary driver of building code compliance in New Zealand. Analysis implies that there is no significant difference among the criteria used in assessing the factors that encourage and drive building code compliance. Findings in this study suggest that proactive collaboration among the relevant stakeholders could be essential to encourage a building code compliance culture and, for policymakers, to improve on inclusiveness during the building code amendment process.</t>
  </si>
  <si>
    <t>[Nwadike, Amarachukwu] Massey Univ Auckland, Sch Built Environm, Private Bag 102904,North Shore Mail Ctr, Auckland 0745, New Zealand; [Wilkinson, Suzanne] Massey Univ, Sch Built Environm, Construct Management, Private Bag 102904,North Shore Mail Ctr, Auckland 0745, New Zealand</t>
  </si>
  <si>
    <t>Nwadike, A (corresponding author), Massey Univ Auckland, Sch Built Environm, Private Bag 102904,North Shore Mail Ctr, Auckland 0745, New Zealand.</t>
  </si>
  <si>
    <t>nwadikeamarachukwu@yahoo.com; s.wilkinsin@masey.qc.nz</t>
  </si>
  <si>
    <t>0887-3828</t>
  </si>
  <si>
    <t>1943-5509</t>
  </si>
  <si>
    <t>J PERFORM CONSTR FAC</t>
  </si>
  <si>
    <t>J. Perform. Constr. Facil.</t>
  </si>
  <si>
    <t>10.1061/(ASCE)CF.1943-5509.0001603</t>
  </si>
  <si>
    <t>TH1VR</t>
  </si>
  <si>
    <t>WOS:000671884100025</t>
  </si>
  <si>
    <t>Ristroph, EB</t>
  </si>
  <si>
    <t>Ristroph, Elizaveta Barrett</t>
  </si>
  <si>
    <t>Navigating climate change adaptation assistance for communities: a case study of Newtok Village, Alaska</t>
  </si>
  <si>
    <t>JOURNAL OF ENVIRONMENTAL STUDIES AND SCIENCES</t>
  </si>
  <si>
    <t>Climate change; Relocation; Alaska Natives</t>
  </si>
  <si>
    <t>RESILIENCE; BARRIERS; NATIVES</t>
  </si>
  <si>
    <t>Climate change is significantly impacting Alaska Native Villages (federally recognized tribes) as well as other rural and place-based communities that wish to continue their traditional lifeways. While many communities are looking to state and federal governments for assistance with climate change and other emergencies, there are limits to assistance under the current political and legal framework. This article discusses strategies for climate change adaptation that Alaska Native Villages and similarly situated communities may be able to take on their own. The article acknowledges the limits to these strategies and the gaps likely to remain in adaptation assistance. The article considers the Native Village of Newtok, Alaska, which is relocating to another site as an adaptation to climate change, as a case study in navigating adaptation assistance. While each community is different, several factors that have helped Newtok may benefit other communities: strong leadership; unified community vision and policy; a local coordinator serving as a continued point of contact; strong capacity for grantwriting; trusted, reasonably priced consultants; professional accounting services; and a housing policy to ensure fairness.</t>
  </si>
  <si>
    <t>[Ristroph, Elizaveta Barrett] Ristroph Law Planning &amp; Res, 410 Burgin Ave, Baton Rouge, LA 70808 USA</t>
  </si>
  <si>
    <t>Ristroph, EB (corresponding author), Ristroph Law Planning &amp; Res, 410 Burgin Ave, Baton Rouge, LA 70808 USA.</t>
  </si>
  <si>
    <t>ebristroph@gmail.com</t>
  </si>
  <si>
    <t>Ristroph, Elizaveta Barrett/0000-0003-1598-472X</t>
  </si>
  <si>
    <t>ONE NEW YORK PLAZA, SUITE 4600, NEW YORK, NY, UNITED STATES</t>
  </si>
  <si>
    <t>2190-6483</t>
  </si>
  <si>
    <t>2190-6491</t>
  </si>
  <si>
    <t>J ENVIRON STUD SCI</t>
  </si>
  <si>
    <t>J. Environ. Stud. Sci.</t>
  </si>
  <si>
    <t>10.1007/s13412-021-00711-3</t>
  </si>
  <si>
    <t>JUL 2021</t>
  </si>
  <si>
    <t>Environmental Sciences; Environmental Studies</t>
  </si>
  <si>
    <t>UC8PF</t>
  </si>
  <si>
    <t>Bronze, Green Published</t>
  </si>
  <si>
    <t>WOS:000675796400002</t>
  </si>
  <si>
    <t>Dams, B; Maskell, D; Shea, A; Allen, S; Driesser, M; Kretschmann, T; Walker, P; Emmitt, S</t>
  </si>
  <si>
    <t>Dams, Barrie; Maskell, Daniel; Shea, Andrew; Allen, Stephen; Driesser, Marten; Kretschmann, Tom; Walker, Pete; Emmitt, Stephen</t>
  </si>
  <si>
    <t>A circular construction evaluation framework to promote designing for disassembly and adaptability</t>
  </si>
  <si>
    <t>Circular economy; Modern construction systems; Disassembly; Adaptability; Material reuse; Evaluation framework</t>
  </si>
  <si>
    <t>ENVIRONMENTAL-IMPACT ASSESSMENT; HYGROTHERMAL PERFORMANCE; BIOGENIC CARBON; BUILDINGS; LCA; BARRIERS; CONCRETE; MODELS</t>
  </si>
  <si>
    <t>This paper formulates a concise, free-to-use Circular Construction Evaluation Framework (CCEF) based upon international design code guidelines to assess and quantify the circularity credentials of an existing or proposed construction project. Central to the principles of circular construction is designing for disassembly and adaptability - the ability of a building's elements and connecting components to be disassembled and reused, or rearranged, after the initial design life. Analysis of modern methods of construction and the compatibility of systems with the concepts of designing for disassembly and material reuse inform the development of the CCEF. Circular construction is facilitated by simplicity, standardisation and modularity in design, sustainably-sourced materials, transparent and accessible mechanical connections and the adoption of a manufacturing-style approach towards durable and reusable standardised components and materials. The CCEF allows users such as clients, consultants, contractors, local and national planning and infrastructure policy professionals to evaluate both whole building and elemental levels at the early design and planning stages in a new-build, refurbishment or renovation project. Implementation of a scoring system is demonstrated by the evaluation of example buildings with varying usage of conventional and bio-based materials. It is shown by use of the framework that a simple standardised construction using reversible connections and previously used material elements rates highly, demonstrating a greater extent of circularity in the construction.</t>
  </si>
  <si>
    <t>[Dams, Barrie; Maskell, Daniel; Shea, Andrew; Allen, Stephen; Walker, Pete; Emmitt, Stephen] Univ Bath, Dept Architecture &amp; Civil Engn, Claverton Down, Bath BA27AY, England; [Driesser, Marten; Kretschmann, Tom] Avans Hogesch, Ctr Tech Innovat &amp; Expertise, POB 90116, NL-4800 RA Breda, Netherlands</t>
  </si>
  <si>
    <t>Dams, B (corresponding author), Univ Bath, Dept Architecture &amp; Civil Engn, Claverton Down, Bath BA27AY, England.</t>
  </si>
  <si>
    <t>bd272@bath.ac.uk</t>
  </si>
  <si>
    <t>; Allen, Stephen/B-4602-2008</t>
  </si>
  <si>
    <t>Maskell, Daniel/0000-0002-0324-3329; Allen, Stephen/0000-0002-0148-6466; Dams, Barrie/0000-0001-7081-5457; Emmitt, Stephen/0000-0002-8277-3378</t>
  </si>
  <si>
    <t>European Regional Develop-ment Fund (ERDF) [2S05-036]; Interreg 2 Seas programme 2014-2020</t>
  </si>
  <si>
    <t>European Regional Develop-ment Fund (ERDF)(European Commission); Interreg 2 Seas programme 2014-2020</t>
  </si>
  <si>
    <t>Circular Bio-based Construction Industry (CBCI) is an Interreg 2 Seas2014-2020 project. Interreg 2 Seas is a European Territorial Cooperation programme. The authors of this paper and the partners within the CBCI project gratefully acknowledge the funding from the Interreg 2 Seas programme 2014-2020 co-funded by the European Regional Develop-ment Fund (ERDF) under subsidy contract No 2S05-036.</t>
  </si>
  <si>
    <t>SEP 20</t>
  </si>
  <si>
    <t>10.1016/j.jclepro.2021.128122</t>
  </si>
  <si>
    <t>UR1ET</t>
  </si>
  <si>
    <t>WOS:000696499700002</t>
  </si>
  <si>
    <t>Marcoulaki, E; de Ipina, JML; Vercauteren, S; Bouillard, J; Himly, M; Lynch, I; Witters, H; Shandilya, N; Van Duuren-Stuurman, B; Kunz, V; Unger, WES; Hodoroaba, VD; Bard, D; Evans, G; Jensen, KA; Pilou, M; Viitanen, AK; Bochon, A; Duschl, A; Geppert, M; Persson, K; Cotgreave, I; Niga, P; Gini, M; Eleftheriadis, K; Scalbi, S; Caillard, B; Arevalillo, A; Frejafon, E; Aguerre-Chariol, O; Dulio, V</t>
  </si>
  <si>
    <t>Marcoulaki, Effie; Lopez de Ipina, Jesus M.; Vercauteren, Sven; Bouillard, Jacques; Himly, Martin; Lynch, Iseult; Witters, Hilda; Shandilya, Neeraj; Van Duuren-Stuurman, Birgit; Kunz, Valentin; Unger, Wolfgang E. S.; Hodoroaba, Vasile-Dan; Bard, Delphine; Evans, Gareth; Jensen, Keld Alstrup; Pilou, Marika; Viitanen, Anna-Kaisa; Bochon, Anthony; Duschl, Albert; Geppert, Mark; Persson, Karin; Cotgreave, Ian; Niga, Petru; Gini, Maria; Eleftheriadis, Konstantinos; Scalbi, Simona; Caillard, Bastien; Arevalillo, Alfonso; Frejafon, Emeric; Aguerre-Chariol, Olivier; Dulio, Valeria</t>
  </si>
  <si>
    <t>Blueprint for a self-sustained European Centre for service provision in safe and sustainable innovation for nanotechnology</t>
  </si>
  <si>
    <t>NANOIMPACT</t>
  </si>
  <si>
    <t>Safe(r)-by-design; Nanomaterial; Nano-enabled product; Nanoprocess; Nanosafety; European Centre; Catalogue of services; Business plan; Safe innovation; EC4SafeNano project</t>
  </si>
  <si>
    <t>operation will rely on significant business, legal and market knowledge, as well as other tools developed and acquired through the EU-funded EC4SafeNano project and subsequent ongoing activities. The proposed blueprint adopts a demand-driven service update scheme to allow the necessary vigilance and flexibility to identify opportunities and adjust its activities and services in the rapidly evolving regulatory and nano risk governance landscape. The proposed Centre will play a major role as a conduit to transfer scientific knowledge between the research and commercial laboratories or consultants able to provide high quality nanosafety services, and the end-users of such services (e.g., industry, SMEs, consultancy firms, and regulatory authorities). The Centre will harmonise service provision, and bring novel risk assessment and management approaches, e.g. in silico methodologies, closer to practice, notably through SbD/SSbD, and decisively support safe and sustainable innovation of industrial production in the nanotechnology industry according to the European Chemicals Strategy for Sustainability.</t>
  </si>
  <si>
    <t>[Marcoulaki, Effie; Pilou, Marika; Gini, Maria; Eleftheriadis, Konstantinos] Natl Ctr Sci Res Demokritos, POB 60037, Aghia Paraskevi 15310, Greece; [Lopez de Ipina, Jesus M.] TECNALIA, Basque Res &amp; Technol Alliance BRTA, Parque Tecnol Alava, Minano 01510, Spain; [Vercauteren, Sven; Witters, Hilda] VITO NV, Hlth Unit, Boeretang 200, B-2400 Mol, Belgium; [Bouillard, Jacques; Aguerre-Chariol, Olivier; Dulio, Valeria] Inst Natl Environm Ind &amp; Risques INERIS, Rue Jacques Taffanel,Parc Technol ALATA, F-60550 Verneuil En Halatte, France; [Himly, Martin; Duschl, Albert; Geppert, Mark] Paris Lodron Univ Salzburg, Kapitelgasse 4-6, A-5020 Salzburg, Austria; [Lynch, Iseult] Univ Birmingham, Sch Geog Earth &amp; Environm Sci, Birmingham B15 2TT, W Midlands, England; [Shandilya, Neeraj; Van Duuren-Stuurman, Birgit] TNO, Res Grp Risk Anal Prod Dev RAPID, Princetonlaan 6, NL-3584 CB Utrecht, Netherlands; [Kunz, Valentin; Unger, Wolfgang E. S.; Hodoroaba, Vasile-Dan] Bundesanstalt Mat Forsch &amp; Prufung BAM, Unter Eichen 44-46, D-12203 Berlin, Germany; [Bard, Delphine; Evans, Gareth] Hlth &amp; Safety Execut Sci &amp; Res Ctr, Harpur Hill, Buxton SK17 9JN, Derby, England; [Jensen, Keld Alstrup] Natl Res Ctr Work Environm NRCWE, Lerso Parkalle 105, DK-2100 Copenhagen, Denmark; [Viitanen, Anna-Kaisa] Finnish Inst Occupat Hlth FIOH, POB 40, FI-00032 Tyoterveyslaitos, Finland; [Bochon, Anthony] Univ Libre Bruxelles, Ctr Droit Prive, JurisLab, Ave F Roosevelt 50,CP 137, B-1050 Brussels, Belgium; [Persson, Karin; Cotgreave, Ian; Niga, Petru] RISE Surface Proc &amp; Formulat, Box 5607, SE-11486 Stockholm, Sweden; [Scalbi, Simona] ENEA, Agenzia Nazl Nuove Tecnol Energia &amp; Sviluppo Sost, SSPT USER RISE, Via Martiri Monte Sole 4, I-40129 Bologna, Italy; [Caillard, Bastien] European Risk Management Inst EU VRi, Fangelsbachstr 14, D-70178 Stuttgart, Germany; [Arevalillo, Alfonso] TECNALIA, Basque Res &amp; Technol Alliance BRTA, Area Anardi 5, Azpeitia 20730, Spain; [Frejafon, Emeric] Bur Rech Geol &amp; Minieres, 3 Av Claude Guillemin,BP 36009, F-45100 Orleans 2, France</t>
  </si>
  <si>
    <t>Marcoulaki, E; Dulio, V (corresponding author), Natl Ctr Sci Res Demokritos, POB 60037, Aghia Paraskevi 15310, Greece.</t>
  </si>
  <si>
    <t>emarcoulaki@ipta.demokritos.gr; jesus.lopezdeipina@tecnalia.com; sven.vercauteren@vito.be; Jacques.BOUILLARD@ineris.fr; Martin.Himly@sbg.ac.at; I.Lynch@bham.ac.uk; hilda.witters@vito.be; neeraj.shandilya@tno.nl; birgit.vnduuren@tno.nl; dan.hodoroaba@ac.uk; Delphine.Brad@hse.gov.uk; Gareth.Evans@hse.gov.uk; KAJ@nfa.dk; pilou@ipta.demokritos.gr; anna-kaisa.viitanen@tti.fi; anthony.bochon@ulb.be; albert.duschl@sbg.ac.at; mark.geppert@sbg.ac.at; karin.persson@ri.se; ian.cotgreave@ri.se; petru.niga@ri.se; gini@ipta.demokritos.gr; elefther@ipta.demokritos.gr; simona.scalbi@enca.it; caillard@risk-technologies.com; alfonsa.arevalillo@teenalia.com; e.frejafon@brgm.fr; AGUERRE-CHARIOL@ineris.fr; Valeria.DULIO@ineris.fr</t>
  </si>
  <si>
    <t>Lynch, Iseult/I-3915-2014; Viitanen, Anna-Kaisa/AGA-9872-2022; Caillard, Bastien/AAD-2681-2022; Hodoroaba, Vasile-Dan/E-8790-2011; FREJAFON, Emeric/AAE-7190-2022; FREJAFON, Emeric/A-2407-2009</t>
  </si>
  <si>
    <t>Lynch, Iseult/0000-0003-4250-4584; Hodoroaba, Vasile-Dan/0000-0002-7901-6114; FREJAFON, Emeric/0000-0002-2949-1726; Arevalillo, Alfonso/0000-0003-3639-3435; Viitanen, Anna-Kaisa/0000-0002-1677-6917; Marcoulaki, Eftychia/0000-0003-1113-6635; Gini, Maria I./0000-0001-8131-1211</t>
  </si>
  <si>
    <t>European Union [723623]</t>
  </si>
  <si>
    <t>European Union(European Commission)</t>
  </si>
  <si>
    <t>The authors acknowledge funding from the European Union's Horizon 2020 research and innovation programme under the project EC4SafeNano, grant agreement No 723623. This paper reflects only the authors' views, and the Commission is not responsible for any use that may be made of the information contained therein.</t>
  </si>
  <si>
    <t>2452-0748</t>
  </si>
  <si>
    <t>NanoImpact</t>
  </si>
  <si>
    <t>10.1016/j.impact.2021.100337</t>
  </si>
  <si>
    <t>Environmental Sciences; Nanoscience &amp; Nanotechnology</t>
  </si>
  <si>
    <t>Environmental Sciences &amp; Ecology; Science &amp; Technology - Other Topics</t>
  </si>
  <si>
    <t>UM3FV</t>
  </si>
  <si>
    <t>WOS:000693220800009</t>
  </si>
  <si>
    <t>Gispert, OGE; Chavez-Dagostino, RM</t>
  </si>
  <si>
    <t>Espinosa Gispert, Olga Georgina; Maria Chavez-Dagostino, Rosa</t>
  </si>
  <si>
    <t>Hotel environmental management in Puerto Vallarta: motivations and barriers</t>
  </si>
  <si>
    <t>NOESIS-REVISTA DE CIENCIAS SOCIALES</t>
  </si>
  <si>
    <t>Environmental management; hospitality; obstacles; motivations</t>
  </si>
  <si>
    <t>TOURISM; CERTIFICATION; GREEN</t>
  </si>
  <si>
    <t>The deterioration of the natural heritage in touristic destinations has been associated with business practices. Actions focused on reducing the environmental impact caused by hotels constitute the axis of environmental management. Environmental certification reveals the existence of management processes in this matter; however, in 2016 less than a third of the two-five stars hotels had an environmental certification. The objective of this work was to analyze the drivers and barriers to implement environmental management in hotels. Key actors were interviewed and included hotel staff, consultants, and government agencies. Collected data were processed using Atlas ti v7. Results showed that high costs are the most frequent barrier and the customer's requirements are the most commented driver. The results coincide with findings in Cuba, Spain, and other Mexican cities.</t>
  </si>
  <si>
    <t>[Espinosa Gispert, Olga Georgina; Maria Chavez-Dagostino, Rosa] Univ Guadalajara, Campus Ctr Univ Costa, Guadalajara, Jalisco, Mexico</t>
  </si>
  <si>
    <t>Gispert, OGE (corresponding author), Univ Guadalajara, Campus Ctr Univ Costa, Guadalajara, Jalisco, Mexico.</t>
  </si>
  <si>
    <t>olga.georgina@outlook.com; rosac@cuc.udg.mx</t>
  </si>
  <si>
    <t>UNIV AUTONOMA CIUDAD JUAREZ, INST CIENCIAS SOCIALES &amp; ADM</t>
  </si>
  <si>
    <t>CHIHUAHUA</t>
  </si>
  <si>
    <t>HEROICO COL MILITAR &amp; AVE UNIV S-N, CIUDAD JUAREZ, CHIHUAHUA, 32300, MEXICO</t>
  </si>
  <si>
    <t>0188-9834</t>
  </si>
  <si>
    <t>2395-8669</t>
  </si>
  <si>
    <t>NOESIS-REV CIENC SOC</t>
  </si>
  <si>
    <t>Noesis-Rev. Cienc. Soc. Humanid.</t>
  </si>
  <si>
    <t>10.20983/noesis.2021.2.12</t>
  </si>
  <si>
    <t>ZT2AE</t>
  </si>
  <si>
    <t>gold, Green Submitted</t>
  </si>
  <si>
    <t>WOS:000768955400012</t>
  </si>
  <si>
    <t>Kannappan, S; Gupta, M</t>
  </si>
  <si>
    <t>Kannappan, Suvetha; Gupta, Mansi</t>
  </si>
  <si>
    <t>A toolkit for strengthening health care policies and infrastructure of industries in developing countries</t>
  </si>
  <si>
    <t>Capacity building; health system strengthening; industries; toolkit</t>
  </si>
  <si>
    <t>OCCUPATIONAL-HEALTH</t>
  </si>
  <si>
    <t>Background: The health risks faced by textile workers calls for a workplace health system that is comprehensive and accessible. To enhance the capacity of workplaces to strengthen their health system, a toolkit was developed by the Business for Social Responsibility (BSR), a non-profit global business network and sustainability consultancy. Methods: The Health System Strengthening (HSS) toolkit was designed to provide a set of tools, resources, and concrete steps for the factory management and health staff to work toward continuous improvement of their on-site health systems. It was then implemented with academic collaboration simultaneously In three factories/ in three manufacturing units/ in three workplaces in South India over 6 months to find out its usefulness as a self-reference tool for HSS. Monitoring and evaluation tools and indicators were developed based on the logic framework. Results: The main outcomes of the HSS pilot program include the formation of a health committee which was able to utilize the modules, perform a self-assessment of the health system, and come out with short- and long-term action plans for HSS under expert supervision and guidance. Conclusions: Overall, the toolkit was found to be an effective solution for HSS in industries which require expert guidance for implementation.</t>
  </si>
  <si>
    <t>[Kannappan, Suvetha] PSG Inst Med Sci &amp; Res, Dept Community Med, Coimbatore, Tamil Nadu, India; [Gupta, Mansi] Business Social Responsibil, HER Project, India Representat, San Francisco, CA 94104 USA</t>
  </si>
  <si>
    <t>Kannappan, S (corresponding author), PSG Inst Med Sci &amp; Res, Dept Community Med, Coimbatore, Tamil Nadu, India.</t>
  </si>
  <si>
    <t>suvekannappan@gmail.com</t>
  </si>
  <si>
    <t>INDIAN J OCCUP ENVIR</t>
  </si>
  <si>
    <t>Indian J. Occup. Environ. Med.</t>
  </si>
  <si>
    <t>10.4103/ijoem.ijoem_409_20</t>
  </si>
  <si>
    <t>XA9TN</t>
  </si>
  <si>
    <t>WOS:000720981400008</t>
  </si>
  <si>
    <t>Miyamoto, S; Thiede, E; Wright, EN; Berish, D; Perkins, DF; Bittner, C; Dorn, L; Scanlon, D</t>
  </si>
  <si>
    <t>Miyamoto, Sheridan; Thiede, Elizabeth; Wright, Elizabeth N.; Berish, Diane; Perkins, Daniel F.; Bittner, Cynthia; Dorn, Lorah; Scanlon, Dennis</t>
  </si>
  <si>
    <t>The Implementation of the Sexual Assault Forensic Examination Telehealth Center: A Program Evaluation</t>
  </si>
  <si>
    <t>JOURNAL OF FORENSIC NURSING</t>
  </si>
  <si>
    <t>Forensic nursing; rural; sexual assault; sexual assault nurse examiner; telehealth; telemedicine</t>
  </si>
  <si>
    <t>PROJECT ECHO; TELEMEDICINE; IMPACT; CARE; TECHNOLOGY; RETENTION; SYSTEMS; LEGAL</t>
  </si>
  <si>
    <t>Introduction Substantial disparities in the quality of post-sexual-assault (SA) care exist in the United States, particularly in rural areas. This study evaluates the implementation of the Sexual Assault Forensic Examination Telehealth Center, a program to improve SA care by increasing access to experienced sexual assault nurse examiners via telehealth, in three rural hospitals. Materials and Methods The Dynamic Sustainability Framework (DSF) guided the implementation of the intervention. Survey and implementation data were evaluated 1 year after implementation using a nonexperimental pre-post design. Outcomes include patient and nurse perceptions of telehealth, local site nurse (LSN) confidence, and hospital protocol/policy changes. Results Forty-one telehealth consultations were completed in the program's first year. An average of 34 system-level protocol changes were made per site. LSNs demonstrated statistically significant increases in confidence to provide SA care at 1 year. LSNs and telehealth sexual assault nurse examiners (expert consultants) reported that quality of SA care improved (87% and 83%, respectively). Patients highly rated the care they received (83%), reported telehealth improved care (78%), and reported feeling better after the examination (74%). Discussion Using the DSF for implementation supported a tailored approach and successful adoption and also allowed for program iteration based on lessons learned. Conclusions The Sexual Assault Forensic Examination Telehealth model resulted in improved local nurse confidence in provision of SA care, nurse perception of improvement in care quality, and high patient care experience ratings. These findings and the use of the DSF have implications for SA specialty care implementation in rural communities.</t>
  </si>
  <si>
    <t>[Miyamoto, Sheridan; Thiede, Elizabeth; Wright, Elizabeth N.; Berish, Diane; Bittner, Cynthia; Dorn, Lorah] Penn State Univ, Coll Nursing, University Pk, PA 16802 USA; [Perkins, Daniel F.] Penn State Univ, Dept Agr Econ Sociol &amp; Educ, University Pk, PA 16802 USA; [Scanlon, Dennis] Penn State Univ, Dept Hlth Policy &amp; Adm, University Pk, PA 16802 USA</t>
  </si>
  <si>
    <t>Miyamoto, S (corresponding author), Penn State Univ, 307H Nursing Sci Bldg, University Pk, PA 16802 USA.</t>
  </si>
  <si>
    <t>smiyamoto@psu.edu</t>
  </si>
  <si>
    <t>1556-3693</t>
  </si>
  <si>
    <t>1939-3938</t>
  </si>
  <si>
    <t>J FORENSIC NURS</t>
  </si>
  <si>
    <t>J. Forensic Nurs.</t>
  </si>
  <si>
    <t>E24</t>
  </si>
  <si>
    <t>E33</t>
  </si>
  <si>
    <t>10.1097/JFN.0000000000000337</t>
  </si>
  <si>
    <t>Criminology &amp; Penology; Nursing</t>
  </si>
  <si>
    <t>UK8CV</t>
  </si>
  <si>
    <t>WOS:000692193300001</t>
  </si>
  <si>
    <t>Chen, JH; Chou, TS; Wang, JP; Wei, HH; Yang, TH</t>
  </si>
  <si>
    <t>Chen, Jieh-Haur; Chou, Tien-Sheng; Wang, Jui-Pin; Wei, Hsi-Hsien; Yang, Tzu-Han</t>
  </si>
  <si>
    <t>Sustainable Corporate Governance: The Impact Factors for Top Consulting Engineering Companies in Taiwan</t>
  </si>
  <si>
    <t>engineering consulting companies; construction management; sustainable corporate governance; structural equation modeling (SEM); factor analysis</t>
  </si>
  <si>
    <t>The objective of this research was to explore the impact factors of sustainable corporate governance for top consulting engineering companies in Taiwan, to facilitate managers in meeting stakeholders' needs and adapting to the challenges of the global markets. Nine hypotheses derived from a literature review were proposed and used to develop a survey. Based on the concept of structural equation modeling (SEM) and these hypotheses, a questionnaire containing six aspects and comprising 46 stems was developed using the Likert 5-scale format. The survey took around four months to administer with 324 effective returns, with only five hypotheses confirmed. This was followed by factor analysis to determine the weight sequence for the 28 impact factors and four aspects. The contributions of the findings are as follows: (1) the weighted factors provide practitioners with guidelines for the proper order for the implementation of measures to improve corporate governance, and (2) they answer questions about the degree of influence and the relationship among all aspects and factors for sustainable corporate governance.</t>
  </si>
  <si>
    <t>[Chen, Jieh-Haur] Natl Cent Univ, Res Ctr Smart Construct, Taoyuan 32001, Taiwan; [Chen, Jieh-Haur; Chou, Tien-Sheng; Wang, Jui-Pin; Yang, Tzu-Han] Natl Cent Univ, Dept Civil Engn, Taoyuan 32001, Taiwan; [Wei, Hsi-Hsien] Hong Kong Polytech Univ, Dept Bldg &amp; Real Estate, Hung Hom, Hong Kong 999077, Peoples R China</t>
  </si>
  <si>
    <t>Chen, JH (corresponding author), Natl Cent Univ, Res Ctr Smart Construct, Taoyuan 32001, Taiwan.;Chen, JH (corresponding author), Natl Cent Univ, Dept Civil Engn, Taoyuan 32001, Taiwan.</t>
  </si>
  <si>
    <t>jhchen@ncu.edu.tw; eddie.chou@g.ncu.edu.tw; jpwang@ncu.edu.tw; hhwei@polyu.edu.hk; zzsheep@g.ncu.edu.tw</t>
  </si>
  <si>
    <t>Wei, Hsi-Hsien/0000-0002-7024-0726; Chen, Jieh-Haur/0000-0002-6063-0464</t>
  </si>
  <si>
    <t>Ministry of Science and Technology (MOST), Taiwan, for promoting academic excellent of universities [MOST 109-2622-E-008-018-CC2, MOST 108-2221-E-008-002-MY3]</t>
  </si>
  <si>
    <t>Ministry of Science and Technology (MOST), Taiwan, for promoting academic excellent of universities</t>
  </si>
  <si>
    <t>This paper was partly supported by the Ministry of Science and Technology (MOST), Taiwan, for promoting academic excellent of universities under grant numbers MOST 109-2622-E-008-018-CC2 and MOST 108-2221-E-008-002-MY3.</t>
  </si>
  <si>
    <t>10.3390/su13147604</t>
  </si>
  <si>
    <t>TO5NJ</t>
  </si>
  <si>
    <t>WOS:000676957800001</t>
  </si>
  <si>
    <t>Appolloni, A; D'Adamo, I; Gastaldi, M; Santibanez-Gonzalez, EDR; Settembre-Blundo, D</t>
  </si>
  <si>
    <t>Appolloni, Andrea; D'Adamo, Idiano; Gastaldi, Massimo; Santibanez-Gonzalez, Ernesto D. R.; Settembre-Blundo, Davide</t>
  </si>
  <si>
    <t>Growing e-waste management risk awareness points towards new recycling scenarios: The view of the Big Four's youngest consultants</t>
  </si>
  <si>
    <t>ENVIRONMENTAL TECHNOLOGY &amp; INNOVATION</t>
  </si>
  <si>
    <t>Circular supply chain; e-waste management; Generation-Z; Millennials; Multicriteria analysis; Resilience; Risk awareness; Risk management</t>
  </si>
  <si>
    <t>CIRCULAR ECONOMY; SOCIAL RISK; VALIDATION; FRAMEWORK</t>
  </si>
  <si>
    <t>The e-waste sector is characterised by a rapid growth at global level and therefore involves an area not yet sufficiently investigated in its risk management dimension. This research fills the gap of the absence of a holistic approach to risk identification and assessment in e-waste management, suggesting a new Risk Awareness Indicator (RAI). An integrated Multi-criteria decision analysis (MCDA)-Analytic Hierarchy Process (AHP) is proposed to calculate the new index. Weights and values will be proposed by twenty Big Four's youngest consultants (generation-Z and millennials). For e-waste, cyber risks related to personal data are critical in the collection phase, environmental risks in the transport phase, and financial and economic risks in the processing phase. Recycling scenarios pose less overall risk than landfill alternatives. The results can help policy makers to meet the circular economy targets set at the European Union level by implementing administrative and regulatory simplifications to support recycling supply chains and make them more efficient and resilient after the pandemic disruption. This work focuses on e-waste and the opinion of screenagers consultants, however the methodology used to design the RAI index makes it easy to replicate the analysis to other social settings and other waste supply chains. (C) 2021 Elsevier B.V. All rights reserved.</t>
  </si>
  <si>
    <t>[Appolloni, Andrea] Univ Roma Tor Vergata, Dept Management &amp; Law, I-00133 Rome, Italy; [D'Adamo, Idiano] Sapienza Univ Rome, Dept Comp Control &amp; Management Engn, Via Ariosto 25, I-00185 Rome, Italy; [Gastaldi, Massimo] Univ Aquila, Dept Ind Engn Informat &amp; Econ, Via G Gronchi 18, I-67100 Laquila, Italy; [Santibanez-Gonzalez, Ernesto D. R.] Univ Talca, Fac Engn, Dept Ind Engn, CES 40 Initiat, Niches Km 1, Curico, Chile; [Settembre-Blundo, Davide] Rey Juan Carlos Univ, Appl Econ &amp; Fundamentals Econ Anal 2, Dept Business Adm ADO, Madrid 28032, Spain; [Settembre-Blundo, Davide] Grp Ceram Gresmalt, Via Mosca 4, I-41049 Sassuolo, Italy</t>
  </si>
  <si>
    <t>D'Adamo, I (corresponding author), Sapienza Univ Rome, Dept Comp Control &amp; Management Engn, Via Ariosto 25, I-00185 Rome, Italy.</t>
  </si>
  <si>
    <t>andrea.appolloni@uniroma2.it; idiano.dadamo@uniroma1.it; massimo.gastaldi@univaq.it; santibanez.ernesto@gmail.com; davide.settembre@urjc.es</t>
  </si>
  <si>
    <t>Gonzalez, Ernesto D.R. Santibanez/AAF-7331-2020; D'Adamo, Idiano/P-8693-2016; Settembre-Blundo, Davide/O-2582-2018</t>
  </si>
  <si>
    <t>D'Adamo, Idiano/0000-0003-1861-8813; Settembre-Blundo, Davide/0000-0003-2474-4648</t>
  </si>
  <si>
    <t>2352-1864</t>
  </si>
  <si>
    <t>ENVIRON TECHNOL INNO</t>
  </si>
  <si>
    <t>Environ. Technol. Innov.</t>
  </si>
  <si>
    <t>10.1016/j.eti.2021.101716</t>
  </si>
  <si>
    <t>JUN 2021</t>
  </si>
  <si>
    <t>Biotechnology &amp; Applied Microbiology; Engineering, Environmental; Environmental Sciences</t>
  </si>
  <si>
    <t>Biotechnology &amp; Applied Microbiology; Engineering; Environmental Sciences &amp; Ecology</t>
  </si>
  <si>
    <t>UA2UQ</t>
  </si>
  <si>
    <t>WOS:000685019500017</t>
  </si>
  <si>
    <t>Kushagra, K; Dhingra, S</t>
  </si>
  <si>
    <t>Kushagra, Kshitij; Dhingra, Sanjay</t>
  </si>
  <si>
    <t>Cloud doctrine: impact on cloud adoption in the government organizations of India</t>
  </si>
  <si>
    <t>JOURNAL OF SCIENCE AND TECHNOLOGY POLICY MANAGEMENT</t>
  </si>
  <si>
    <t>Digital transformation; Cloud adoption; Covid-19; Cloud impact; Cloud policy; Cloud service provider (CSP)</t>
  </si>
  <si>
    <t>CHALLENGES; EDUCATION; ISSUES; LEVEL; MODEL</t>
  </si>
  <si>
    <t>Purpose Government is the biggest spender on cloud computing technology but a very limited study and data sets are available to assess the cloud adoption trends in government organizations in India. As India is ushering towards Digital India it becomes essential for the government to embrace the cloud to enhance governance and meet the citizen expectations. This paper aims to discuss the evolution of cloud computing (Meghraj) in government organizations by examining the various information technology (IT) and cloud policies, thereby focusing on the policy gaps. The second part of this study assesses the cloud adoption trend by analyzing adopted cloud services, deployments models, leading sectors in cloud adoption and cloud approach. Eventually, in consultation with experts, a conceptual framework for cloud adoption in the government organizations of India is developed for wider cloud adoption. Design/methodology/approach The authors reviewed various IT/cloud policies and related literature to find the policy gaps for slow cloud adoption in government organizations. Authors have researched to collect the data from the various government procurement portals and analysed the tender and contracts of 500 organizations for cloud requirements to infer the cloud adoption trends. Based on the review of policy gaps, adoption trends and by consulting the experts a conceptual cloud adoption framework has been developed for wider cloud adoption in government organizations. Findings This study can be a pathfinder where the most innovative findings are about the cloud adoption trends in the government organizations in the time frame from 2013 till 2020. Several key findings are - the public cloud are the most widely adopted, infrastructure as a service model is the most used services, the majority of the applications migrating to the cloud are legacy applications, the leading sector in cloud adoption are - IT, transport and education. It is observed that the pandemic Covid-19 has acted as a catalyst and accelerated cloud adoption in government organizations. Eventually, a conceptual cloud adoption framework has been suggested addressing the policy gaps, deficiencies, overcoming the gaps and their related outcomes for the wider cloud adoption in the government organizations. Practical implications The findings of this work highlight the cloud adoption trends in government organizations which can prove vital to the policymakers. This work will assist policymakers, government organizations, researchers, IT professionals and others interested in analyzing the state of cloud adoption. The conceptual cloud adoption framework developed endeavours to uncover the policy gaps, suggest the gap resolution mechanism and outcomes which may assist the organization for wider cloud adoption. This research work effectively connects the policies to practice by stimulating the interest in understanding the policies, strategies and thereby creating the enabling environment for cloud adoption. This study provides feedback on cloud adoption trends which can assist in policy refinement and further strengthen policy/strategies. Originality/value As of date, there is limited data available for cloud adoption in government organizations. This work uniquely presents the cloud projections which helps to gain insights on cloud adoption trends in government organizations. This study is the first of its kind, focusing on cloud adoption in the unexplored government sector. This study provides a comprehensive summary of adoption statistics, policy analysis and practice in government organizations of India.</t>
  </si>
  <si>
    <t>[Kushagra, Kshitij; Dhingra, Sanjay] Guru Gobind Singh Indraprastha Univ, Univ Sch Management Studies, New Delhi, India</t>
  </si>
  <si>
    <t>Kushagra, K (corresponding author), Guru Gobind Singh Indraprastha Univ, Univ Sch Management Studies, New Delhi, India.</t>
  </si>
  <si>
    <t>kshitij.kushagra@gmail.com</t>
  </si>
  <si>
    <t>2053-4620</t>
  </si>
  <si>
    <t>1758-5538</t>
  </si>
  <si>
    <t>J SCI TECHNOL POLICY</t>
  </si>
  <si>
    <t>J. Sci. Technol. Policy Manag.</t>
  </si>
  <si>
    <t>10.1108/JSTPM-06-2019-0058</t>
  </si>
  <si>
    <t>SV9DZ</t>
  </si>
  <si>
    <t>WOS:000664119100001</t>
  </si>
  <si>
    <t>Pring, ET; Malietzis, G; Kendall, SWH; Jenkins, JT; Athanasiou, T</t>
  </si>
  <si>
    <t>Pring, Edward T.; Malietzis, George; Kendall, Simon W. H.; Jenkins, John T.; Athanasiou, Thanos</t>
  </si>
  <si>
    <t>Crisis management for surgical teams and their leaders, lessons from the COVID-19 pandemic; A structured approach to developing resilience or natural organisational responses</t>
  </si>
  <si>
    <t>INTERNATIONAL JOURNAL OF SURGERY</t>
  </si>
  <si>
    <t>Covid; Crisis; Management models; Resilience; Leadership; Naturalisation; Surgeon eader</t>
  </si>
  <si>
    <t>Background: Multiple industries and organisations are afflicted by and respond to institutional crises daily. As surgeons, we respond to crisis frequently and individually such as with critically unwell patients or in mass casualty scenarios; but rarely, do we encounter institutional or multi-institutional crisis with multiple actors as we have seen with the COVID-19 pan-demic. Businesses, private industry and the financial sector have been in a more precar-ious position regarding crisis and consequently have developed rapid response strate-gies employing foresight to reduce risk to assets and financial liquidity. Moreover, large nationalised governmental organisations such as the military have strategies in place ow-ing to a rapidly evolving geopolitical climate with the expectation of immediate new chal-lenges either in the negotiating room or indeed the field of conflict. Despite both nation-alised and privatised healthcare systems existing, both appeared ill-prepared for the COVID-19 global crisis. Methods: A narrative review of the literature was undertaken exploring the approach to crisis man-agement and models used in organisations exposed to institutional crises outside the field of medicine. Results: There are many parallels between the organisational management of private business institutions, large military organisations and surgical organisational management in healthcare. Models from management consultancies and the armed forces were ex-plored discussed and adapted for the surgical leader providing a framework through which the surgical leader can bring about an successful response to an institutional crisis and ensure future resilience. Conclusion: We believe that healthcare, and surgeons (as leaders) in particular, can learn from these other organisations and industries to engage appropriate generic operational plans and contingencies in preparation for whatever further crises may arise in the future, both near and distant. As such, following a review of the literature, we have explored a number of models we believe are adaptable for the surgical community to ensure we remain a dy-namically responsive and ever prepared profession.</t>
  </si>
  <si>
    <t>[Pring, Edward T.; Jenkins, John T.] St Marks Hosp, Dept Surg, Watford Rd, Harrow HA1 3UJ, Middx, England; [Pring, Edward T.; Malietzis, George; Jenkins, John T.; Athanasiou, Thanos] Imperial Coll London, Dept Surg &amp; Canc, London W2 1NY, England; [Pring, Edward T.] Chartered Management Inst, 77 Kingsway, London WC2B 6SR, England; [Kendall, Simon W. H.] James Cook Univ Hosp, Dept Cardiothorac Surg, Marton Rd, Middlesbrough TS4 3BW, Cleveland, England; [Kendall, Simon W. H.] Soc Cardiothorac Surg Great Britain &amp; Ireland, London, England; [Kendall, Simon W. H.] Soc Clin Perfus Scientists Great Britain &amp; Irelan, London, England</t>
  </si>
  <si>
    <t>Pring, ET (corresponding author), Imperial Coll London, St Marys Hosp, Dept Surg &amp; Canc, London, England.</t>
  </si>
  <si>
    <t>etp17@ic.ac.uk</t>
  </si>
  <si>
    <t>1743-9191</t>
  </si>
  <si>
    <t>1743-9159</t>
  </si>
  <si>
    <t>INT J SURG</t>
  </si>
  <si>
    <t>Int. J. Surg.</t>
  </si>
  <si>
    <t>10.1016/j.ijsu.2021.105987</t>
  </si>
  <si>
    <t>Surgery</t>
  </si>
  <si>
    <t>TH1CW</t>
  </si>
  <si>
    <t>WOS:000671833100022</t>
  </si>
  <si>
    <t>van den Broek, OM; Klingler-Vidra, R</t>
  </si>
  <si>
    <t>van den Broek, Onna M.; Klingler-Vidra, Robyn</t>
  </si>
  <si>
    <t>The UN Sustainable Development Goals as a North Star: How an intermediary network makes, takes, and retrofits the meaning of the Sustainable Development Goals</t>
  </si>
  <si>
    <t>informal intermediaries; network diffusion; sustainable development goals; transnational governance</t>
  </si>
  <si>
    <t>BOUNDARY OBJECTS; PRACTICES VARY; COMMUNITIES; DIFFUSION; DYNAMICS; REFORM; ROLES</t>
  </si>
  <si>
    <t>In this paper, we investigate how a network of informal intermediaries - including international organizations, consultancies, business alliances, and standard setters - has contributed to the persistence of the universalistic meaning of the UN Sustainable Development Goal (SDGs). Based on our analysis of 26 interviews and 121 online resources produced by the 22 most prominent intermediaries, we find that SDG diffusion is distinct from linear depictions, such as the regulator-intermediary-target model. This is because the intermediary network acts via three dynamic mechanisms that lend to an inclusive meaning of the goals; the core intermediaries lead efforts to make the perspective one that can accommodate a range of different audiences and activities, then intermediaries who subsequently join the network accept that broad perspective. Concomitant to their making or taking of the perspective, each intermediary individually works to retrofit the SDGs onto their unique tools and activities and to create their spot within the network. The combination of perspective making and taking, and retrofitting, propels the persistence of the SDGs as a North Star rather than a more specific blueprint for companies.</t>
  </si>
  <si>
    <t>[van den Broek, Onna M.] Kings Coll London, Dept Polit Econ, 9th Floor,NE Wing,Bush House,40 Aldwych, London WC2B 4BG, England; [Klingler-Vidra, Robyn] Kings Coll London, Sch Global Affairs, London, England</t>
  </si>
  <si>
    <t>van den Broek, OM (corresponding author), Kings Coll London, Dept Polit Econ, 9th Floor,NE Wing,Bush House,40 Aldwych, London WC2B 4BG, England.</t>
  </si>
  <si>
    <t>onna.van_den_broek@kcl.ac.uk</t>
  </si>
  <si>
    <t>Klingler-Vidra, Robyn/0000-0003-4215-2320; van den Broek, Onna/0000-0003-1159-6041</t>
  </si>
  <si>
    <t>King's Together Seed Fund; King's College London</t>
  </si>
  <si>
    <t>This research benefitted from support from a King's Together Seed Fund, from King's College London, which supported the organization of, and attendance at, SDG-themed events throughout 2019, including the Political Economy of Social Impact Measurement workshop in July 2019. Feedback provided at the Microfoundations of CSR Paper Development Workshop held at Cass Business School on the 27 September 2019, on an early draft, proved instructive in shaping the paper's analytical framing. The authors would like to thank the significant number of intermediary contacts who shared their time and insights, and invited us to industry events in order to complete this research. Finally, our thanks to Adam Chalmers for his constructive suggestions on a previous version.</t>
  </si>
  <si>
    <t>REGUL GOV</t>
  </si>
  <si>
    <t>Regul. Gov.</t>
  </si>
  <si>
    <t>10.1111/rego.12415</t>
  </si>
  <si>
    <t>Law; Political Science; Public Administration</t>
  </si>
  <si>
    <t>SO3VE</t>
  </si>
  <si>
    <t>WOS:000658903500001</t>
  </si>
  <si>
    <t>Cardinale, M; Colloca, F; Bonanno, A; Scarcella, G; Arneri, E; Jadaud, A; Saraux, C; Aronica, S; Genovese, S; Barra, M; Basilone, G; Angelini, S; Falsone, F; Gancitano, V; Santojanni, A; Fiorentino, F; Milisenda, G; Murenu, M; Russo, T; Carpi, P; Guijarro, B; Gil, JLP; Gonzalez, M; Torres, P; Giraldez, A; Garcia, C; Esteban, A; Garcia, E; Vivas, M; Massuti, E; Ordines, F; Quetglas, A; Herrera, JG</t>
  </si>
  <si>
    <t>Cardinale, Massimiliano; Colloca, Francesco; Bonanno, Angelo; Scarcella, Giuseppe; Arneri, Enrico; Jadaud, Angelique; Saraux, Claire; Aronica, Salvatore; Genovese, Simona; Barra, Marco; Basilone, Gualtiero; Angelini, Silvia; Falsone, Fabio; Gancitano, Vita; Santojanni, Alberto; Fiorentino, Fabio; Milisenda, Giacomo; Murenu, Matteo; Russo, Tommaso; Carpi, Piera; Guijarro, Beatriz; Perez Gil, Jose Luis; Gonzalez, Maria; Torres, Pedro; Giraldez, Ana; Garcia, Cristina; Esteban, Antonio; Garcia, Encarnacion; Vivas, Miguel; Massuti, Enric; Ordines, Francesc; Quetglas, Antoni; Gil Herrera, Juan</t>
  </si>
  <si>
    <t>The Mediterranean fishery management: A call for shifting the current paradigm from duplication to synergy</t>
  </si>
  <si>
    <t>Mediterranean fisheries management; GFCM; STECF; CFP</t>
  </si>
  <si>
    <t>Independence of science and best available science are fundamental pillars of the UN-FAO code of conduct for responsible fisheries and are also applied to the European Union (EU) Common Fishery Policy (CFP), with the overarching objective being the sustainable exploitation of the fisheries resources. CFP is developed by DG MARE, the department of the European Commission responsible for EU policy on maritime affairs and fisheries, which has the Scientific, Technical and Economic Committee for Fisheries (STECF) as consultant body. In the Mediterranean and Black Sea, the General Fisheries Commission for the Mediterranean (FAO-GFCM), with its own Scientific Advisory Committee on Fisheries (GFCM-SAC), plays a critical role in fisheries governance, having the authority to adopt binding recommendations for fisheries conservation and management. During the last years, advice on the status of the main stocks in the Mediterranean and Black Sea has been provided both by GFCM-SAC and EU-STECF, often without a clear coordination and a lack of shared rules and practices. This has led in the past to: i) duplications of the advice on the status of the stocks thus adding confusion in the management process and, ii) a continuous managers' interference in the scientific process by DG MARE officials hindering its transparency and independence. Thus, it is imperative that this stalemate is rapidly resolved and that the free role of science in Mediterranean fisheries assessment and management is urgently restored to assure the sustainable exploitation of Mediterranean marine resources in the future.</t>
  </si>
  <si>
    <t>[Cardinale, Massimiliano] Swedish Univ Agr Sci, Inst Marine Res, Dept Aquat Resources, Turistgatan 5, S-45330 Lysekil, Sweden; [Colloca, Francesco] Stn Zool Anton Dohrn, Dept Integrat Ecol, Via Po 25c, I-00198 Rome, Italy; [Bonanno, Angelo; Aronica, Salvatore; Genovese, Simona; Basilone, Gualtiero] Consiglio Nazl Ric CNR, Ist Studio Impatti Antrop &amp; Sostenibilita Ambient, SS Capo Granitola, Campobello Di Mazara, TP, Italy; [Barra, Marco] Consiglio Nazl Ric CNR SS Naples, Ist Sci Marine ISMAR, Naples, Italy; [Falsone, Fabio; Gancitano, Vita; Fiorentino, Fabio] Consiglio Nazl Ric CNR, Ist Risorse Biol &amp; Biotecnol Marine IRBIM, Mazara Del Vallo, TP, Italy; [Scarcella, Giuseppe; Arneri, Enrico; Angelini, Silvia; Santojanni, Alberto] Consiglio Nazl Ric CNR, Ist Risorse Biol &amp; Biotecnol Marine IRBIM, Ancona, AN, Italy; [Russo, Tommaso] Univ Roma Tor Vergata, Dept Biol, Lab Expt Ecol &amp; Aquaculture, Via Cracovia 1, I-00133 Rome, Italy; [Milisenda, Giacomo] Stn Zool Anton Dohrn, Integrat Marine Ecol, I-90149 Palermo, Italy; [Saraux, Claire] Univ Strasbourg, IPHC, CNRS, UMR 7178, Strasbourg, France; [Carpi, Piera] Int Pacific Halibut Commiss, 2320 West Commodore Way,Suite 300, Seattle, WA 98199 USA; [Perez Gil, Jose Luis; Gonzalez, Maria; Torres, Pedro; Giraldez, Ana; Garcia, Cristina] CSIC, Ctr Oceanog Malaga IEO, Puerto Pesquero S-N Fuengirola, Malaga 29640, Spain; [Guijarro, Beatriz; Massuti, Enric; Ordines, Francesc; Quetglas, Antoni] CSIC, Ctr Oceanog Balears IEO, Moll de Ponent S-N, Palma De Mallorca 07015, Spain; [Gil Herrera, Juan] CSIC, Ctr Oceanog Cadiz IEO, Muelle de Levante S-N, Cadiz 11006, Spain; [Esteban, Antonio; Garcia, Encarnacion; Vivas, Miguel] CSIC, Ctr Oceanog Murcia IEO, Varadero 1, Murcia 30740, Spain; [Murenu, Matteo] Univ Cagliari, Dipartimento Sci Vita &amp; Ambiente, Cagliari, Italy; [Jadaud, Angelique] Univ Montpellier, IFREMER, CNRS, MARBEC,IRD, Sete, France</t>
  </si>
  <si>
    <t>Cardinale, M (corresponding author), Swedish Univ Agr Sci, Inst Marine Res, Dept Aquat Resources, Turistgatan 5, S-45330 Lysekil, Sweden.</t>
  </si>
  <si>
    <t>massimiliano.cardinale@slu.se</t>
  </si>
  <si>
    <t>Falsone, Fabio/AAZ-6551-2021; Fiorentino, Fabio/AAX-2883-2020; Basilone, Gualtiero/D-2896-2017; Russo, Tommaso/C-6157-2014</t>
  </si>
  <si>
    <t>Falsone, Fabio/0000-0003-1754-4226; Fiorentino, Fabio/0000-0002-6302-649X; Vivas, Miguel/0000-0003-4684-8202; Carpi, Piera/0000-0002-9306-5385; Basilone, Gualtiero/0000-0002-5732-5055; SANTOJANNI, ALBERTO/0000-0003-4947-3004; Russo, Tommaso/0000-0003-4047-959X</t>
  </si>
  <si>
    <t>MAR POLICY</t>
  </si>
  <si>
    <t>Mar. Pol.</t>
  </si>
  <si>
    <t>10.1016/j.marpol.2021.104612</t>
  </si>
  <si>
    <t>Environmental Studies; International Relations</t>
  </si>
  <si>
    <t>Environmental Sciences &amp; Ecology; International Relations</t>
  </si>
  <si>
    <t>TY0GQ</t>
  </si>
  <si>
    <t>WOS:000683462900021</t>
  </si>
  <si>
    <t>Waliszewski, K; Warchlewska, A</t>
  </si>
  <si>
    <t>Waliszewski, Krzysztof; Warchlewska, Anna</t>
  </si>
  <si>
    <t>HOW WE CAN BENEFIT FROM PERSONAL FINANCE MANAGEMENT APPLICATIONS DURING THE COVID-19 PANDEMIC? THE POLISH CASE</t>
  </si>
  <si>
    <t>ENTREPRENEURSHIP AND SUSTAINABILITY ISSUES</t>
  </si>
  <si>
    <t>modern financial technologies; Personal Finance Management; FinTech; pandemic SARS-CoV-2</t>
  </si>
  <si>
    <t>FINTECH</t>
  </si>
  <si>
    <t>The aim of this article is to determine if and to what extent sociodemographic factors are related to how home budget management applications are evaluated. The authors attempted to verify to what extent applications supporting personal finance management are beneficial and popular in Poland via a CAWI online survey. The architecture of the research covered the following areas: the name of the application used, its method of use, the level of complexity of the software installation process, evaluation of the application's transparency, intuitiveness, functionality, if it meets financial needs, the technical and substantive faults of the application, degree of satisfaction with the application as well as recommendations for further development, the advantages and disadvantages of the application, the use of PFM during the SARS-CoV-2 era. The study showed that users tend to use non-banking applications more often than financial managers offered by banks. A PFM benefit analysis shows that the applications are highly transparent, structured, intuitive and that the respondents have positive approach towards using them. The SARS-CoV-2 pandemic has given grounds to finding gaps in remote customer service, such as better adaptation to the needs of current settlements and payments, the incapability to scan documents, and the lack of advice and ongoing contact with a consultant.</t>
  </si>
  <si>
    <t>[Waliszewski, Krzysztof; Warchlewska, Anna] Poznan Univ Econ &amp; Business, Inst Finance, Al Niepodleglosci 10, PL-61875 Poznan, Poland</t>
  </si>
  <si>
    <t>Waliszewski, K (corresponding author), Poznan Univ Econ &amp; Business, Inst Finance, Al Niepodleglosci 10, PL-61875 Poznan, Poland.</t>
  </si>
  <si>
    <t>krzysztof.waliszewski@ue.poznan.pl; anna.warchlewska@ue.poznan.pl</t>
  </si>
  <si>
    <t>Warchlewska, Anna/0000-0003-0142-7877; Waliszewski, Krzysztof/0000-0003-4239-5875</t>
  </si>
  <si>
    <t>Regional Initiative for Excellence programme of the Minister of Science and Higher Education of Poland [004/RID/2018/19]</t>
  </si>
  <si>
    <t>Regional Initiative for Excellence programme of the Minister of Science and Higher Education of Poland</t>
  </si>
  <si>
    <t>The project was financed within the Regional Initiative for Excellence programme of the Minister of Science and Higher Education of Poland, years 2019-2022, grant no. 004/RID/2018/19, financing 3,000,000 PLN.</t>
  </si>
  <si>
    <t>ENTERPRENEURSHIP &amp; SUSTAINABILITY CENTER</t>
  </si>
  <si>
    <t>VILNUS</t>
  </si>
  <si>
    <t>M K CIURLIONIO STR 86A, VILNUS, 03100, LITHUANIA</t>
  </si>
  <si>
    <t>2345-0282</t>
  </si>
  <si>
    <t>ENTREP SUSTAIN ISS</t>
  </si>
  <si>
    <t>Entrep. Sustain. Iss.</t>
  </si>
  <si>
    <t>10.9770/jesi.2021.8.4(6)</t>
  </si>
  <si>
    <t>SF0TK</t>
  </si>
  <si>
    <t>WOS:000652476900006</t>
  </si>
  <si>
    <t>Kelly, SH; Guerra-Schleef, F; Valdes-Negroni, JM</t>
  </si>
  <si>
    <t>Hurley Kelly, Sarah; Guerra-Schleef, Felipe; Miguel Valdes-Negroni, Jose</t>
  </si>
  <si>
    <t>Negotiating consent and indigenous rights: legal geographies of fragmentation in Mapuche-Williche territory, Futawillimapu, Chile</t>
  </si>
  <si>
    <t>JOURNAL OF LATIN AMERICAN GEOGRAPHY</t>
  </si>
  <si>
    <t>legal geography of fragmentation; Indigenous rights; hydroelectric projects; FPIC; consultation; consent; water; Mapuche</t>
  </si>
  <si>
    <t>INTER-AMERICAN COURT; INFORMED-CONSENT; NATURAL-RESOURCES; CONFLICTS; POWER; POLITICS; WATER; GOVERNANCE; PEOPLES; PARTICIPATION</t>
  </si>
  <si>
    <t>In this article we examine the recognition of Indigenous rights in two case studies with hydroelectric development. These cases demonstrate two moments in the implementation of Free, Prior and Informed Consent (FPIC) in Chile, which is regulated by the International Labour Organization's Convention 169 treaty ratified in 2008. While the cases demonstrate at least partial victories in legal terms, we suggest that the implementation of informed consent in Chile results in a legal geography of fragmentation in Mapuche territory. In both cases, we find that this legal geography operates through two strategies employed by private consultancy groups involved in the development of hydropower. First, by how they define and spatially reduce the concept of direct affected area, which is regulated by the system for evaluating environmental impacts. Second, in how they maintain direct and private negotiations with certain communities. In the first case, consultors interpret the environmental legislation in a limited way. While in the second case, they create their own strategies in a context of legal uncertainty, and paradoxically, they increase the area of affected territory for the purposes of negotiation. Broadly, these actions create the conditions for Indigenous rights to be negotiated, leading to the marketization of informed consent. In this gap between the codification of international Indigenous rights and the implementation of law in practice, social fragmentation profoundly affects Mapuche customs, authority of traditional leaders, social cohesion, and the practice of ceremonies. Considering the social fragmentation provoked by this legal geography of Indigenous consent, we conclude it is necessary to regulate these negotiations.</t>
  </si>
  <si>
    <t>[Hurley Kelly, Sarah] Ctr Invest Gest Integrada Riesgo Desastres, Macul, Chile; [Hurley Kelly, Sarah] Dartmouth Coll, Dept Anthropol, Hanover, NH 03755 USA; [Guerra-Schleef, Felipe] Univ Austral Chile, Fac Ciencias Jurid &amp; Sociales, Valdivia, Chile; [Guerra-Schleef, Felipe] Observ Ciudadano, Santiago, Chile; [Miguel Valdes-Negroni, Jose] Univ Chile, Dept Ciencias Ambientales &amp; Recursos Nat Renovabl, Santiago, Chile; [Guerra-Schleef, Felipe] Heidelberg Univ, Heidelberg Ctr Amer Latina, Heidelberg, Germany</t>
  </si>
  <si>
    <t>Kelly, SH (corresponding author), Ctr Invest Gest Integrada Riesgo Desastres, Macul, Chile.;Kelly, SH (corresponding author), Dartmouth Coll, Dept Anthropol, Hanover, NH 03755 USA.</t>
  </si>
  <si>
    <t>CONFERENCE LATIN AMER GEOGRAPHERS</t>
  </si>
  <si>
    <t>TUCSON</t>
  </si>
  <si>
    <t>CONFERENCE LATIN AMER GEOGRAPHERS, TUCSON, AZ 00000 USA</t>
  </si>
  <si>
    <t>1545-2476</t>
  </si>
  <si>
    <t>1548-5811</t>
  </si>
  <si>
    <t>J LAT AM GEOGR</t>
  </si>
  <si>
    <t>J. Lat. Am. Geogr.</t>
  </si>
  <si>
    <t>TQ2TT</t>
  </si>
  <si>
    <t>WOS:000678138800004</t>
  </si>
  <si>
    <t>Gavric, T; Obhodas, I; Jakupovic, E</t>
  </si>
  <si>
    <t>Gavric, Tanja; Obhodas, Ibrahim; Jakupovic, Esad</t>
  </si>
  <si>
    <t>OBSTACLES TO THE IMPLEMENTATION OF THE CROWN LAW ON THE SMALL AND MEDIUM ENTERPRISE BUSINESS IN BOSNIA AND HERZEGOVINA</t>
  </si>
  <si>
    <t>CASOPIS ZA EKONOMIJU I TRZISNE KOMUNIKACIJE</t>
  </si>
  <si>
    <t>Unspecified</t>
  </si>
  <si>
    <t>strategy; Corona Law; small and medium size enterprises; barriers</t>
  </si>
  <si>
    <t>STRATEGY; SECTOR</t>
  </si>
  <si>
    <t>In the world economy, small and medium sized entreprises (SMEs) dominate in the number of overall enterprises (90-99% of all enterprises, depending on the definition used) and in economic contributions (GDP growth, productivity, job creation, innovation, level of competition, etc.) (Lundstrom &amp; Stevenson, 2001). Because small businesses generate jobs, tax revenue, functional products, charitable donations, technological development, and social contributions to communities, their success and sustainability are important for social and economic development. In addition to the impact on public health, coronavirus disease 2019 (COVID-19) caused a major economic shock and the greatest consequences were felt by the small and medium-sized enterprises. Due to the crisis caused by the Covid-19 pandemic, countries and their companies are facing major problems of human and business capacities sustainability. Although governments have enacted private sector policies, there are constraints that have direct implications for economic growth potential. In this paper, we investigate the impact of COVID-19 on SMEs in Bosnia and Herzegovina, focusing on the impact of the Law for mitigation negative economic consequences, better known as the Crown-Law. We first examined how the companies performed this year compared to the previous year, and then we examined whether there were barriers to the implementation of the Crowv-Law and if so, whether they were internal or external. The results of this research point to the fact that the Crown-Law is not good enough. The measures are not in line with the strategic needs of SMEs, there is a time limit and the measures are short-term. The SME development strategy should be coordinated based on the mechanism of public-private dialogue. SMEs need business services to improve their competitiveness (information, consulting, training, accounting, legal services, advertising, marketing, technical and technological services, including testing standards and certification requirements abroad, product upgrades, etc.). The results of this research provide some information of the business results and expectations of SMEs in times of crisis, while offering insight into measures designed to aid recovery. The results highlight the role that the length of the crisis will play in determining its final impact, which policymakers should consider when considering the scale of interventions needed. On the other side, the Covid-19 pandemic has opened up new challenges, but also opportunities for SMEs, such as technological advances that create new products and transform almost every phase of the business from manufacturing to marketing, procurement and logistics. Currently, only a small part of the SME sector is able to recognize and seize these opportunities and meet the challenges.</t>
  </si>
  <si>
    <t>[Gavric, Tanja; Obhodas, Ibrahim] Univ Vitez, Fac Business Econ, Travnik, Bosnia &amp; Herceg; [Jakupovic, Esad] Pan European Univ Apeiron, Banja Luka, Bosnia &amp; Herceg</t>
  </si>
  <si>
    <t>Gavric, T (corresponding author), Univ Vitez, Fac Business Econ, Travnik, Bosnia &amp; Herceg.</t>
  </si>
  <si>
    <t>tanja.gavric@unvi.edu.ba; ibrahim.obhodjas@unvi.edu.ba; esad.f.jakupovic@apeiron-edu.eu</t>
  </si>
  <si>
    <t>PAN-EUROPEAN UNIV APEIRON</t>
  </si>
  <si>
    <t>BANJA LUKA</t>
  </si>
  <si>
    <t>PAN-EUROPEAN UNIV APEIRON, BANJA LUKA, 00000, BOSNIA &amp; HERCEG</t>
  </si>
  <si>
    <t>2232-8823</t>
  </si>
  <si>
    <t>2232-9633</t>
  </si>
  <si>
    <t>CAS EKON TRZ KOMUN</t>
  </si>
  <si>
    <t>Cas. Ekon. Trz. Komun.</t>
  </si>
  <si>
    <t>10.7251/EMC2101079G</t>
  </si>
  <si>
    <t>TA5EZ</t>
  </si>
  <si>
    <t>WOS:000667273000006</t>
  </si>
  <si>
    <t>Alcksic, J; Landika, M; Barjaktarevic, M</t>
  </si>
  <si>
    <t>Alcksic, Jana; Landika, Mirjana; Barjaktarevic, Marijana</t>
  </si>
  <si>
    <t>STATISTICAL MODELING OF CONSUMER PROFILES IN ADAPTATION OF MARKETING STRATEGY IN CONDITIONS OF COVID-19 PANDEMIC</t>
  </si>
  <si>
    <t>consumer profile; stochastic modeling; marketing strategy; empirical grounding; business efficiency</t>
  </si>
  <si>
    <t>Business activity and the production portfolio of business systems are directed to the consumers' requirements by marketing activities, therefore, there are situations in which these activities create and stimulate certain needs and requirements. Market creation is a complex activity that affects a large number of disciplines and synergistically creates satisfaction with the product and / or service, which, in a pandemic, is a special challenge for the creators of the product portfolio, especially for distribution channels. Distribution of products and / or services is a key factor of business success in the conditions of social distance and insufficiently developed technical - technological support for the transition to the virtual sphere of business and communication. A useful base of business activity includes adequate modeling of consumer profiles in order to adapt the marketing strategy to them, which ultimately provides guidelines for market positioning as a precondition for business efficiency. Creating consumer profiles requires a model analysis of habits, preferences, talents, personal and socio - psychological characteristics that allow the creation of similar groups, and thus the adaptation of marketing strategies in line with the created consumer profiles. The empirical basis of the proposed solutions enables a confidence in the modeled information, and thus reliability in their objectivness, which enables business flexibility conditioned by external stimuli, such as the COVID - 19, but it can also be used in other business conditions. The aim of the research is to establish a correlation and find answers on how to fit consumer profiles and their purchase under pandemic conditions. Consumer purchase depends on numerous factors, both internal and external, which are valid in regular conditions as well. Considering the current conditions, it is necessary to evaluate consumers' behaviour during the purchase. Consumer profiling is not universal and cannot be generalized for the global market, especially if it is programmed for providers within a selected geographic unit. The research assumption is that different results would be obtained in another territorial unit and a different consumer typology would be profiled, but this assumption needs to be checked, which opens up the possibilities of new research projects. The research marked off another group of factors, known as factor II, which includes: marital status, number of children, respondent's age, children's age, ownership of a residential building and employment status. Consumers' reaction to consumption is mostly within these factors. Data analysis and generation of management information that profiles consumers can be performed in other territorial units and in other time frames, and they are based on the knowledge of tools for data collection and processing, and then consulting service management - marketing adjustment of strategic commitments and business policy in accordance with the generated results.</t>
  </si>
  <si>
    <t>[Alcksic, Jana; Landika, Mirjana; Barjaktarevic, Marijana] Pan European Univ Apeiron Banja Luka, Banja Luka, Bosnia &amp; Herceg</t>
  </si>
  <si>
    <t>Alcksic, J (corresponding author), Pan European Univ Apeiron Banja Luka, Banja Luka, Bosnia &amp; Herceg.</t>
  </si>
  <si>
    <t>jana.s.aleksic@apeiron-edu.eu; mirjana.f.landika@apeiron-edu.eu; majabarjaktarevic@gmail.com</t>
  </si>
  <si>
    <t>10.7251/EMC2101189A</t>
  </si>
  <si>
    <t>WOS:000667273000013</t>
  </si>
  <si>
    <t>Ameratunga, J; Boyle, P; Ng, Z</t>
  </si>
  <si>
    <t>Ameratunga, Jay; Boyle, Peter; Ng, Zen</t>
  </si>
  <si>
    <t>ALLIANCE ENHANCES GEOTECHNICAL OUTCOMES PORT OF BRISBANE SEAWALL</t>
  </si>
  <si>
    <t>AUSTRALIAN GEOMECHANICS JOURNAL</t>
  </si>
  <si>
    <t>One of the largest infrastructure projects handled by Port of Brisbane Pty Ltd (formerly Port of Brisbane Corporation) in the last two decades is the construction of a 4.6km long seawall extending 1.8km into Moreton Bay. The perimeter seawall constructed encloses an area of 230 hectares immediately north-east of the current Port area. The area contained by the wall is being reclaimed in a progressive manner and currently 40% has been fully reclaimed and a further 20% partially reclaimed. The Future Port Expansion (FPE) seawall was designed and constructed by an Alliance comprising Coffey Geoscienccs (Geotechnical Consultant), Leighton Contractors (Contractor), Parsons Brinckerhoff Australia (Civil Consultant) and WBM Oceanics (Hydraulic Consultant) along with the Client, Port of Brisbane Corporation (PBC), a semi-government organisation. After studying several delivery methods, the Alliance delivery method was adopted by PBC to best meet the potential risks associated with the construction of the seawall on a site underlain by more than 30m of deep soft compressible soils and concerns over impacts of construction on the sensitive environment of the adjacent Moreton Bay Marine Park which surrounds the site. The complexity associated with the project also involved the variable water depth to the seabed significant tidal variations over 24 hours. weather conditions. timelines and turbidity issues related to construction. From Day 1, the Alliance committed to risk management related to geotechnical and environmental issues which led to several innovative solutions and outcomes. The positive outcomes achieved could be directly related to the collaboration between a semi-government organisation, a major contractor and several consultants through the Alliance delivery mechanism which helped to streamline the design and construction work and removed the inflexibility usually associated with other contracted forms of project delivery.</t>
  </si>
  <si>
    <t>[Ameratunga, Jay] WSP, Sydney, NSW, Australia; [Boyle, Peter] Port Brisbane Corp, Brisbane, Qld, Australia; [Ng, Zen] Port Brisbane Pty Ltd, Brisbane, Qld, Australia</t>
  </si>
  <si>
    <t>Ameratunga, J (corresponding author), WSP, Sydney, NSW, Australia.</t>
  </si>
  <si>
    <t>AUSTRALIAN GEOMECHANICS SOC</t>
  </si>
  <si>
    <t>ST IVES</t>
  </si>
  <si>
    <t>PO BOX 955, ST IVES, NSW 2075, AUSTRALIA</t>
  </si>
  <si>
    <t>0818-9110</t>
  </si>
  <si>
    <t>AUST GEOMECH J</t>
  </si>
  <si>
    <t>Aust. Geomech. J.</t>
  </si>
  <si>
    <t>Engineering, Geological</t>
  </si>
  <si>
    <t>SV8AH</t>
  </si>
  <si>
    <t>WOS:000664039600011</t>
  </si>
  <si>
    <t>Gartzia, L</t>
  </si>
  <si>
    <t>Gartzia, Leire</t>
  </si>
  <si>
    <t>Gender Equality in Business Action: A Multi-Agent Change Management Approach</t>
  </si>
  <si>
    <t>gender equality; sustainability; policy; Basque Country; change management</t>
  </si>
  <si>
    <t>CORPORATE SOCIAL-RESPONSIBILITY; ORGANIZATIONAL-CHANGE; BOARD DIVERSITY; TEAM DIVERSITY; LEADERSHIP; EMPOWERMENT; WOMEN; MODEL; METAANALYSIS; FUTURE</t>
  </si>
  <si>
    <t>Critical to social sustainability and organizations' growth, at present, is gender equality. Yet, egalitarian principles are difficult to apply in the practice, particularly in private firms. Acknowledging previous calls that research should respond to these concerns and support practitioners, we provide a theory-grounded conceptual framework to address change management in this field, aimed at providing applicable guidelines in the organizational practice. Integrating utilitarian and social justice perspectives about gender action, we call for multi-agent collaboration involving coordinated action from policymakers, private firms and gender experts. We provide an overview of how public policies and legislation guide organizational action by providing key statutory norms and procedures. We then address the relevance of organizational commitment and the alignment of gender goals with the organizational strategy and decision-making, involving managers. Finally, we underscore the benefits of implementing evidence-based action based on academic and consultancy collaboration. The implementation of these principles is illustrated with a multi-agent practice developed in the Basque Country (Spain) between gender equality change agents, suited to apply academic principles to real-world organizational practices. Recommendations for gender equality and corporate social action are provided.</t>
  </si>
  <si>
    <t>[Gartzia, Leire] Univ Deusto, Deusto Business Sch, Bilbao 48007, Spain</t>
  </si>
  <si>
    <t>Gartzia, L (corresponding author), Univ Deusto, Deusto Business Sch, Bilbao 48007, Spain.</t>
  </si>
  <si>
    <t>Leire.gartzia@deusto.es</t>
  </si>
  <si>
    <t>Gipuzkoa Provincial Council</t>
  </si>
  <si>
    <t>This research action received funding from The Gipuzkoa Provincial Council, Body for Equality ofWomen and Men, through the 2018 call for awards, Experiencias en igualdad de mujeres y hombres en empresas de Gipuzkoa. See https://egoitza.gipuzkoa.eus/gao-bog/castell/bog/20 18/11/06/c1807323.pdf (accessed on 19 February 2021).</t>
  </si>
  <si>
    <t>10.3390/su13116209</t>
  </si>
  <si>
    <t>SR0WX</t>
  </si>
  <si>
    <t>WOS:000660767500001</t>
  </si>
  <si>
    <t>Nguyen, HL; Dinh, VH; Hoang, PH; Luong, VT; Le, AV</t>
  </si>
  <si>
    <t>Nguyen, Hong-Lien; Dinh, Viet-Hung; Hoang, Phuong-Hanh; Luong, Viet-Thai; Le, Anh-Vinh</t>
  </si>
  <si>
    <t>School students' perception, attitudes and skills regarding global citizenship-dataset from Vietnam</t>
  </si>
  <si>
    <t>Global citizenship; Global citizenship education; Education for sustainable development; awareness of global issues; skills; attitudes; Vietnam; dataset</t>
  </si>
  <si>
    <t>The dataset provides large-scale assessment data of school students' awareness (12 items), skills (11 items) and attitudes (09 items) regarding global citizenship in Vietnam. The questionnaire was built based on UNESCO's key learning outcomes for global citizenship education [1], criteria, scales and ideas for global citizens [2-4] and adapted to Vietnam's education context by experts and consultants. The survey sample was collected by cluster sampling method. Six provinces and cities, presenting for three main economic-social regions in Vietnam, were selected. In each city or province, we chose three districts in both advantage and disadvantage areas. In each district, one primary school, one lower secondary school and one upper secondary school joined the survey. The survey was conducted in May 2019 with responses from 2069 students, of whom 679 primary students (grade 4 and 5), 673 lower secondary students (grade 9) and 717 upper secondary students (grade 10 and 11). The data are presented with mean, standard deviation, minimum, maximum and range of students' responses to their perception, attitudes and behaviors concerning various themes of global citizenship education. In future, the dataset can be used for cross-national comparative studies on global citizenship to inform policymakers, educators and conduct further investigations global citizenship. (C) 2021 The Authors. Published by Elsevier Inc.</t>
  </si>
  <si>
    <t>[Nguyen, Hong-Lien; Hoang, Phuong-Hanh; Luong, Viet-Thai; Le, Anh-Vinh] Vietnam Natl Inst Educ Sci, Hanoi, Vietnam; [Dinh, Viet-Hung] Univ Labour &amp; Social Affairs, Hanoi, Vietnam</t>
  </si>
  <si>
    <t>Nguyen, HL (corresponding author), Vietnam Natl Inst Educ Sci, Hanoi, Vietnam.</t>
  </si>
  <si>
    <t>liennh@vnies.edu.vn</t>
  </si>
  <si>
    <t>Nguyen, Hong-Lien/0000-0002-6198-6286</t>
  </si>
  <si>
    <t>National Science and Technology Program [009/2017/HD-KHGD/16-20]</t>
  </si>
  <si>
    <t>National Science and Technology Program</t>
  </si>
  <si>
    <t>The article is a work of the Project Studying on Vietnam Global Citizenship , which is under the National Science and Technology Program in the 2016-2019 period Research on developing educational sciences to meet the requirements of comprehensive innovation of Vietnamese ed-ucation. Code: 009/2017/HD-KHGD/16-20.DT.009. The survey was conducted with financial support from this Project.</t>
  </si>
  <si>
    <t>DATA BRIEF</t>
  </si>
  <si>
    <t>Data Brief</t>
  </si>
  <si>
    <t>10.1016/j.dib.2021.107162</t>
  </si>
  <si>
    <t>MAY 2021</t>
  </si>
  <si>
    <t>UG6IL</t>
  </si>
  <si>
    <t>WOS:000689353400027</t>
  </si>
  <si>
    <t>Hassan, A; Elamer, AA; Lodh, S; Roberts, L; Nandy, M</t>
  </si>
  <si>
    <t>Hassan, Abeer; Elamer, Ahmed A.; Lodh, Suman; Roberts, Lee; Nandy, Monomita</t>
  </si>
  <si>
    <t>The future of non-financial businesses reporting: Learning from the Covid-19 pandemic</t>
  </si>
  <si>
    <t>CORPORATE SOCIAL RESPONSIBILITY AND ENVIRONMENTAL MANAGEMENT</t>
  </si>
  <si>
    <t>biodiversity; business reporting; circular economy; integrated reporting; Covid-19 crisis; non-financial reporting; stakeholder engagement; sustainable development</t>
  </si>
  <si>
    <t>CORPORATE SOCIAL-RESPONSIBILITY; CIRCULAR ECONOMY; SUSTAINABLE DEVELOPMENT; FIRM VALUE; BIODIVERSITY; INFORMATION; PERFORMANCE; NETWORKS; POLICY; ENROLLMENT</t>
  </si>
  <si>
    <t>In this paper we conceptually identify the gap in the literature about lack of business's awareness in non -financial activities, especially biodiversity, which can be responsible for crisis like Covid-19 which can adversely affect the global economy. We recommend approaches to existing business about how to enhance the quality of reporting by considering non-human element in reporting and making it more comprehensive for the stakeholders. We adopt Actor Network Theory (ANT) and the Natural Inventory Model to support our argument that nature consists of both human and non-human. From our observation about the Covid-19 crisis and by consulting the existing relevant literature on CSR, Covid-19, non-financial reporting and integrated reports (IR), we propose the implication of non-financial reporting by companies based on a theoretical framework. We recommend that companies should implement/adopt Circular Economy concept for sustainable business model and report on biodiversity and extinction accounting in more structured and mandatory way via producing IR to create value on short, medium and long terms. This is the first paper to tackle the Covid-19 crisis and offer solution for future reporting. The findings will add value in the academia and society.</t>
  </si>
  <si>
    <t>[Hassan, Abeer] Univ West Scotland, Sch Business &amp; Creat Ind, Accounting Finance &amp; Law Div, Paisley, Renfrew, Scotland; [Elamer, Ahmed A.; Roberts, Lee; Nandy, Monomita] Brunel Univ London, Brunel Business Sch, Uxbridge, Middx, England; [Lodh, Suman] Middlesex Univ, Sch Business &amp; Law, Accounting &amp; Finance Dept, London, England</t>
  </si>
  <si>
    <t>Nandy, M (corresponding author), Brunel Univ London, Uxbridge UB8 3PH, Middx, England.</t>
  </si>
  <si>
    <t>s.lodh@mdx.ac.uk; monomita.nandy@brunel.ac.uk</t>
  </si>
  <si>
    <t>Hassan, Abeer/AAT-5767-2021; Hassan, Abeer M/O-7814-2018; Lodh, Suman/AAQ-8281-2020; Roberts, Lee/AAM-2487-2020; Elamer, Ahmed A./I-8836-2017</t>
  </si>
  <si>
    <t>Hassan, Abeer/0000-0003-1765-7888; Lodh, Suman/0000-0002-4513-1480; Roberts, Lee/0000-0002-0684-8251; Elamer, Ahmed A./0000-0002-9241-9081; Nandy, Monomita/0000-0001-8191-2412</t>
  </si>
  <si>
    <t>1535-3958</t>
  </si>
  <si>
    <t>1535-3966</t>
  </si>
  <si>
    <t>CORP SOC RESP ENV MA</t>
  </si>
  <si>
    <t>Corp. Soc. Responsib. Environ. Manag.</t>
  </si>
  <si>
    <t>10.1002/csr.2145</t>
  </si>
  <si>
    <t>TK2RP</t>
  </si>
  <si>
    <t>Green Published, Green Submitted, Green Accepted</t>
  </si>
  <si>
    <t>WOS:000652188400001</t>
  </si>
  <si>
    <t>Kincade, DH; Annett-Hitchcock, KE</t>
  </si>
  <si>
    <t>Kincade, Doris H.; Annett-Hitchcock, Kate E.</t>
  </si>
  <si>
    <t>A retrospect on the US apparel industry: expert predictions and reality data</t>
  </si>
  <si>
    <t>RESEARCH JOURNAL OF TEXTILE AND APPAREL</t>
  </si>
  <si>
    <t>Apparel industry; Fashion industry; Apparel imports; KSA; Innovation; Technology; Employment; Training; Fashion management; Clothing; Manufacturing; Fashion; Apparel; Cut and sew; Retrospective</t>
  </si>
  <si>
    <t>TEXTILE</t>
  </si>
  <si>
    <t>Purpose - In 1978, the once powerful US apparel industry was on the cusp of change, and the consulting firm KSA conducted a Delphi survey of apparel executives' predictions into the 2000s. The purpose of this paper is to compare actual changes over the subsequent decades with these 1978 expert predictions and explore the accuracy/inaccuracy of these educated guesses (KSA, 1978, p. 1). Design/methodology/approach - The chorographic method was used to analyze the report and document historical data. Chorography is concerned with significance of place, regional characterization, [and] local history [horizontal ellipsis ] (Rohl, 2012, p.1) and includes contextual settings and researcher input. Primary data were examined during each decade and included: industry literature, government documents and labor data. The researchers used content analysis to reduce and organize data. Findings - Findings cover three decades of Southeast US apparel industry data including imports, employment, number of plants, size of plants and productivity. Predictions were inaccurate about imports, predicted to be minor in comparison with domestic production, which they actually surpassed. Predicted decrease in employment was similar to actual decrease but reasons were inaccurate. Change in number and size of plants were over-predicted and under-predicted. Reasons given by experts were automation and government intervention; in actuality, limited automation occurred with insignificant impact in contrast to outsourcing, which decimated employment in US plants. Steady increase in productivity was predicted when productivity often decreased. Originality/value - Previous studies focus on the textile sector; studies of the apparel sector tend to be regional or topical. This study is more expansive and provides insight into predictions and changes made in the US apparel industry at a critical time in its near demise. With the current climate of global change and increased market uncertainty, insights from this study may provide direction for rethinking of the domestic apparel industry for the USA and other developed countries.</t>
  </si>
  <si>
    <t>[Kincade, Doris H.] Virginia Tech, Fash Merchandising &amp; Design, Dept Apparel Housing &amp; Resource Management, Blacksburg, VA 24061 USA; [Annett-Hitchcock, Kate E.] North Carolina State Univ, Coll Text, Raleigh, NC USA</t>
  </si>
  <si>
    <t>Kincade, DH (corresponding author), Virginia Tech, Fash Merchandising &amp; Design, Dept Apparel Housing &amp; Resource Management, Blacksburg, VA 24061 USA.</t>
  </si>
  <si>
    <t>kincade@vt.edu; kecarrol@ncsu.edu</t>
  </si>
  <si>
    <t>Annett-Hitchcock, Katherine/0000-0003-4866-7923</t>
  </si>
  <si>
    <t>1560-6074</t>
  </si>
  <si>
    <t>RES J TEXT APPAR</t>
  </si>
  <si>
    <t>Res. J. Text. Appar.</t>
  </si>
  <si>
    <t>NOV 26</t>
  </si>
  <si>
    <t>10.1108/RJTA-11-2020-0130</t>
  </si>
  <si>
    <t>Materials Science, Textiles</t>
  </si>
  <si>
    <t>Materials Science</t>
  </si>
  <si>
    <t>XD9MQ</t>
  </si>
  <si>
    <t>WOS:000654441400001</t>
  </si>
  <si>
    <t>Khan, M; Chaudhry, MN</t>
  </si>
  <si>
    <t>Khan, Mehreen; Chaudhry, Muhammad Nawaz</t>
  </si>
  <si>
    <t>Role of and challenges to environmental impact assessment proponents in Pakistan</t>
  </si>
  <si>
    <t>Role; Challenges; EIA; Proponents; Environmental Protection Agency</t>
  </si>
  <si>
    <t>PUBLIC-PARTICIPATION; ASSESSMENT SYSTEM; FOLLOW-UP; EIA; CONSULTANTS; PROJECTS; QUALITY; IMPLEMENTATION; STAKEHOLDERS; PERCEPTIONS</t>
  </si>
  <si>
    <t>This study identified the role of and challenges faced by Environmental Impact Assessment (EIA) proponents in Punjab, Pakistan. Expected roles of proponents in EIA were taken from regulations, legislation and guidelines. The comments of consultants, Environmental Protection Agency (EPA) and non-governmental organisations (NGOs) regarding the role played by proponents were extracted from literature and used for evaluation. To identify the challenges of proponents in each step of the EIA, 40 semi-structured interviews were conducted with private and government proponents in Punjab. Oftentimes, projects start prior to obtaining an environmental approval. Proper scoping is seldom conducted. Stakeholder involvement in EIA is limited. Proponents sometimes do not share complete project information with consultants, which compromises the report quality and timely decision making. Moreover, some proponents attempt to influence the review and decision making and do not ensure compliance to approval conditions except for few multinationals. The key challenge highlighted by proponents was the discrimination on part of the EPA between private and government projects. Other challenges included lack of professionalism of some consultants and delayed and non-transparent decision making. Although regional in scope, the results of the study hold importance for EIA systems worldwide particularly in countries with similar economic systems who are facing a trade-off between economic growth and environmental sustainability.</t>
  </si>
  <si>
    <t>[Khan, Mehreen; Chaudhry, Muhammad Nawaz] Lahore Sch Econ, Dept Environm Sci &amp; Policy, Barki Rd, Lahore, Pakistan</t>
  </si>
  <si>
    <t>Khan, M (corresponding author), Lahore Sch Econ, Dept Environm Sci &amp; Policy, Barki Rd, Lahore, Pakistan.</t>
  </si>
  <si>
    <t>mehreen.haider26@gmail.com</t>
  </si>
  <si>
    <t>10.1016/j.eiar.2021.106606</t>
  </si>
  <si>
    <t>TP3OE</t>
  </si>
  <si>
    <t>WOS:000677502300011</t>
  </si>
  <si>
    <t>Kwofie, TE; Ellis, FYA; Opoku, D</t>
  </si>
  <si>
    <t>Kwofie, Titus Ebenezer; Ellis, Florence Yaa Akyiaa; Opoku, Desmond</t>
  </si>
  <si>
    <t>Significant governance factors in PPP infrastructure delivery performance in Ghana</t>
  </si>
  <si>
    <t>JOURNAL OF PUBLIC PROCUREMENT</t>
  </si>
  <si>
    <t>Value for money; Public-private partnerships; Governance factors</t>
  </si>
  <si>
    <t>PUBLIC-PRIVATE PARTNERSHIPS; CRITICAL SUCCESS FACTORS; CONSTRUCTION PROJECTS; PROCUREMENT; INDICATORS; MANAGEMENT; MONEY; INFORMATION; CONTRACTOR; CHALLENGES</t>
  </si>
  <si>
    <t>Purpose - Inefficiencies in public-private partnership (PPP) has been attributed to deficient and poor governance practices and structures. It has been recognized that a veritable way to achieve efficiency in PPP governance is through gaining an understanding of the theoretical, practical and contextual factors that underline governance practices in PPP project delivery. The purpose of this study is to explore the significant governance factors in PPP project performance and delivery. Design/methodology/approach - Using a questionnaire survey on major players in PPPs in policy, research, consultancy and professionals, the study sought to delineate the significant governance factors that impact PPP project delivery performance. Findings - A step-wise multiple regression analysis revealed effective communication and openness in sharing project information systems, competent, responsible and effective project leadership, trust-building processes, systems and practices, best practice organizational and team norms, team culture, cohesion practices, effective relationship management practices, robust policy diffusion and transfer processes, friendly business environment and government support and contractual and renegotiation flexibility as the key contractual and non-contractual governance factors that can predict about 79% level of PPP project delivery performance. Social implications - The findings offer support to improve PPP delivery in governance. Originality/value - These findings are, thus, useful toward evolving regulatory quality governance mechanisms, flexible supervision and quality decisions that can enhance value for money in PPP projects in PPP project delivery.</t>
  </si>
  <si>
    <t>[Kwofie, Titus Ebenezer] Kwame Nkrumah Univ Sci &amp; Technol KNUST, Dept Architecture, Kumasi, Ghana; [Kwofie, Titus Ebenezer] Univ Johannesburg, Fac Engn &amp; Built Environm, Sustainable Human Settlement &amp; Construct Res Ctr, Johannesburg, South Africa; [Ellis, Florence Yaa Akyiaa] Kwame Nkrumah Univ Sci &amp; Technol, Dept Human Resource &amp; Org Dev, Kumasi, Ghana; [Opoku, Desmond] Kwame Nkrumah Univ Sci &amp; Technol, Dept Architecture, Kumasi, Ghana</t>
  </si>
  <si>
    <t>Kwofie, TE (corresponding author), Kwame Nkrumah Univ Sci &amp; Technol KNUST, Dept Architecture, Kumasi, Ghana.;Kwofie, TE (corresponding author), Univ Johannesburg, Fac Engn &amp; Built Environm, Sustainable Human Settlement &amp; Construct Res Ctr, Johannesburg, South Africa.</t>
  </si>
  <si>
    <t>tekwofie.cap@knust.edu.gh; florenceyaellis@yahoo.co.uk; desphlex@gmail.com</t>
  </si>
  <si>
    <t>1535-0118</t>
  </si>
  <si>
    <t>2150-6930</t>
  </si>
  <si>
    <t>J PUBLIC PROCUR</t>
  </si>
  <si>
    <t>J. Public Procur.</t>
  </si>
  <si>
    <t>JUL 8</t>
  </si>
  <si>
    <t>10.1108/JOPP-07-2019-0039</t>
  </si>
  <si>
    <t>Public Administration</t>
  </si>
  <si>
    <t>TL6SB</t>
  </si>
  <si>
    <t>WOS:000649445300001</t>
  </si>
  <si>
    <t>Durham, PN</t>
  </si>
  <si>
    <t>Durham, Philip Nathan</t>
  </si>
  <si>
    <t>We make the invisible visible: Investigating and evaluating the one-to-one consultation service at a UK higher education institution</t>
  </si>
  <si>
    <t>JOURNAL OF ENGLISH FOR ACADEMIC PURPOSES</t>
  </si>
  <si>
    <t>Consultations; Academic writing; Evaluation; EAP</t>
  </si>
  <si>
    <t>INDIVIDUAL CONSULTATIONS; WRITING SUPPORT; PROFICIENCY; STUDENTS; LANGUAGE</t>
  </si>
  <si>
    <t>One-to-one consultation services comprise key forms of student academic writing support at higher education institutions across the globe. Evaluations of these services are central to sustaining provision and for supporting effective pedagogy and service development (Bell, 2000; Stevenson and Kokkinn, 2009). In line with such evaluation goals and to supplement previous consultations research (e.g. Ma, 2019; Pfrenger et al., 2017; Tiruchittampalam et al., 2017), this paper presents a mixed-methods evaluation of a consultation service operating at a UK university. This study, in contrast to the range of previous consultation evaluation research, investigates perceptions and impact of consultations delivered by professional EAP practitioners across multiple student disciplines and degree levels. Evaluation data was gathered through student focus groups, consultation feedback and impact questionnaires, and through consultant interviews and observations. These multiple sources evidenced positive perceptions of the consultation service by students and consultants and pointed to positive impact on degree performance. Characteristics of effective consultations and consultants were identified, including partnership and engagement, focus on student need, consultant expertise and flexibility, consultation preparation, listening to students, being polite and respectful, and providing something concrete for students to take away. Recommendations are made to support the development of effective consultation services. (c) 2021 Elsevier Ltd. All rights reserved.</t>
  </si>
  <si>
    <t>[Durham, Philip Nathan] Univ Durham, Durham Ctr Acad Dev, Dunelm House 49, Durham DH1 3PF, England</t>
  </si>
  <si>
    <t>Durham, PN (corresponding author), Univ Durham, Durham Ctr Acad Dev, Dunelm House 49, Durham DH1 3PF, England.</t>
  </si>
  <si>
    <t>p.b.nathan@durham.ac.uk</t>
  </si>
  <si>
    <t>1475-1585</t>
  </si>
  <si>
    <t>1878-1497</t>
  </si>
  <si>
    <t>J ENGL ACAD PURP</t>
  </si>
  <si>
    <t>J. Engl. Acad. Purp.</t>
  </si>
  <si>
    <t>10.1016/j.jeap.2021.101000</t>
  </si>
  <si>
    <t>Education &amp; Educational Research; Linguistics; Language &amp; Linguistics</t>
  </si>
  <si>
    <t>Social Science Citation Index (SSCI); Arts &amp;amp; Humanities Citation Index (A&amp;amp;HCI)</t>
  </si>
  <si>
    <t>Education &amp; Educational Research; Linguistics</t>
  </si>
  <si>
    <t>TK8UX</t>
  </si>
  <si>
    <t>WOS:000674429400013</t>
  </si>
  <si>
    <t>Cabanek, A; de Baro, MEZ; Byrne, J; Newman, P</t>
  </si>
  <si>
    <t>Cabanek, Agata; de Baro, Maria Elena Zingoni; Byrne, Joshua; Newman, Peter</t>
  </si>
  <si>
    <t>Regenerating Stormwater Infrastructure into Biophilic Urban Assets. Case Studies of a Sump Garden and a Sump Park in Western Australia</t>
  </si>
  <si>
    <t>biodiversity; biophilic design; regenerative design; stormwater management</t>
  </si>
  <si>
    <t>The main purpose of this paper is to demonstrate how the old modernist engineering technologies, such as single purpose stormwater infiltration basins, can be transformed into quality environments that integrate ecological and social functions and promote multiple sets of outcomes, including biodiversity restoration, water management, and cultural and recreational purposes, among other urban roles. Using the principles and theories of biophilic urbanism, regenerative design, and qualitative inquiry, this article analyzes and discusses the actors, drivers, strategies, constraints, and values motivating the stakeholders to reinvent Perth's stormwater infrastructure through two local case studies. The WGV sump park was developed through a public-private partnership, including professional consultants with community input, and the Green Swing sump garden was an owner-builder community-driven project involving volunteers, who maintain it. The results of this research suggest that both projects are successful at managing stormwater in a way that creates multiple community and biodiversity benefits. Communities could gain improved access to nature, social interaction, health, and well-being if local governments support these alternative approaches to regenerate underutilized stormwater infrastructure by promoting biophilic interventions. Mainstreaming this design approach identified some issues that may arise during the implementation of this biophilic urban approach, and the paper suggests ways to enhance the wider delivery of regenerative and biophilic design into urban planning, involving volunteer delivery and maintenance for small scale projects and fully professional assessments for large scale projects.</t>
  </si>
  <si>
    <t>[Cabanek, Agata; de Baro, Maria Elena Zingoni; Byrne, Joshua; Newman, Peter] Curtin Univ, Curtin Univ Sustainabil Policy Inst, Kent St, Bentley, WA 6102, Australia</t>
  </si>
  <si>
    <t>Cabanek, A (corresponding author), Curtin Univ, Curtin Univ Sustainabil Policy Inst, Kent St, Bentley, WA 6102, Australia.</t>
  </si>
  <si>
    <t>agata.cabanek@gmail.com; mariela@integral.info; joshua.byrne@curtin.edu.au; p.newman@curtin.edu.au</t>
  </si>
  <si>
    <t>Byrne, Josh/AAP-6000-2021</t>
  </si>
  <si>
    <t>Byrne, Josh/0000-0002-6758-339X; Newman, Peter/0000-0002-8668-2764</t>
  </si>
  <si>
    <t>CRC in Low Carbon Living [NP2002]</t>
  </si>
  <si>
    <t>CRC in Low Carbon Living</t>
  </si>
  <si>
    <t>This research was partially funded by the CRC in Low Carbon Living, grant number NP2002.</t>
  </si>
  <si>
    <t>10.3390/su13105461</t>
  </si>
  <si>
    <t>ST8BX</t>
  </si>
  <si>
    <t>Green Submitted, gold</t>
  </si>
  <si>
    <t>WOS:000662664200001</t>
  </si>
  <si>
    <t>Haselsteiner, E; Rizvanolli, BV; Saez, PV; Kontovourkis, O</t>
  </si>
  <si>
    <t>Haselsteiner, Edeltraud; Rizvanolli, Blerta Vula; Villoria Saez, Paola; Kontovourkis, Odysseas</t>
  </si>
  <si>
    <t>Drivers and Barriers Leading to a Successful Paradigm Shift toward Regenerative Neighborhoods</t>
  </si>
  <si>
    <t>regenerative sustainability; building certification; self-regenerating eco-cycles; socio-ecological system; innovative technologies; social equity; well-being; circular economy; sustainable development goals (SDGs)</t>
  </si>
  <si>
    <t>CIRCULAR ECONOMY; RATING SYSTEMS; GREEN; SUSTAINABILITY; IMPLEMENTATION; CONSTRUCTION; DESIGN</t>
  </si>
  <si>
    <t>Regenerative sustainability is gaining great attention as an essential concept for a transformative process, a re-designed mindset shifting from the narrowed focus of considering particular aspects such as energy efficiency, renewable materials, or sustainable technology towards the creation of a self-regenerating social and ecological system. Apart from being a vision of the future, regenerative sustainability has already been implemented successfully in individual projects, plans, and extensive strategies. The goals of this research are (1) to set up the conceptual framework for regenerative sustainability principles in the built environment; (2) to investigate and identify the drivers and barriers faced during the implementation of regenerative principles in the built environment; and (3) to identify gaps in the paradigm shift towards regenerative districts and macro-level projects. A multi-stage methodology was implemented. First, an in-depth literature review was conducted aiming to understand regenerative sustainability state of the art and define the key principles. Then, quantitative data analysis was conducted aiming to identify drivers and barriers of regenerative implementation in buildings following by semi-structured interviews with the representatives of regenerative buildings or districts. The step-by-step methodology resulted in the identified drivers of applying the regenerative principles, which are available financial incentives; marketing and sales benefits; improved companies/investors market image and competitive market advantage; reduced building lifecycle costs/effective use of energy and resources; enhancement buildings' users' well-being; and receiving building certification. The main barriers identified were lack of knowledge and experience working with regenerative materials and technologies by employees, consultants, and construction companies and usage of the available tools that enable such constructions; overall stakeholders' culture and their resistance to changing their mindset toward a regenerative approach; inadequacy of national and international standards and legislation to address regenerative policies; and increased construction cost and time and lack of financial incentives. Ultimately, during the broad examination of the case studies, regenerative qualities served as a valuable insight to understand barriers and drivers at neighborhood and macro levels.</t>
  </si>
  <si>
    <t>[Haselsteiner, Edeltraud] Urban Architecture Art Culture &amp; Literature, A-1140 Vienna, Austria; [Rizvanolli, Blerta Vula] UBT Coll, Dept Architecture &amp; Spatial Planning, Pristina 10000, Kosovo; [Villoria Saez, Paola] Univ Politecn Madrid, Escuela Tecn Super Edificac, TEMA Res Grp, Madrid 28040, Spain; [Kontovourkis, Odysseas] Univ Cyprus, Dept Architecture, CY-1678 Nicosia, Cyprus</t>
  </si>
  <si>
    <t>Haselsteiner, E (corresponding author), Urban Architecture Art Culture &amp; Literature, A-1140 Vienna, Austria.</t>
  </si>
  <si>
    <t>edeltraud.haselsteiner@aon.at; blerta.vula@ubt-uni.net; paola.villoria@upm.es; kontovourkis.odysseas@ucy.ac.cy</t>
  </si>
  <si>
    <t>VILLORIA SAEZ, PAOLA/D-4235-2012</t>
  </si>
  <si>
    <t>VILLORIA SAEZ, PAOLA/0000-0003-4096-6881</t>
  </si>
  <si>
    <t>COST Action 'RESTORE: Rethinking Sustainability towards a Regenerative Economy' [CA16114]</t>
  </si>
  <si>
    <t>COST Action 'RESTORE: Rethinking Sustainability towards a Regenerative Economy'</t>
  </si>
  <si>
    <t>This research received no external funding, but the APC was funded by the COST Action CA16114 'RESTORE: Rethinking Sustainability towards a Regenerative Economy'. More information can be found at www.eurestore.eu/.</t>
  </si>
  <si>
    <t>10.3390/su13095179</t>
  </si>
  <si>
    <t>SC7WA</t>
  </si>
  <si>
    <t>WOS:000650875000001</t>
  </si>
  <si>
    <t>Nago, M; Ongolo, S</t>
  </si>
  <si>
    <t>Nago, Minette; Ongolo, Symphorien</t>
  </si>
  <si>
    <t>Inside Forest Diplomacy: A Case Study of the Congo Basin under Global Environmental Governance</t>
  </si>
  <si>
    <t>forest diplomacy; forestland governance; global environmental governance; deforestation; Congo Basin</t>
  </si>
  <si>
    <t>POLITICS; POLICY; BLAME; STATE; POWER</t>
  </si>
  <si>
    <t>The growing global interest in biodiversity conservation and the role of forestland sustainability in climate change mitigation has led to the emergence of a new specific field of global environmental governance that we called 'forest diplomacy'. With the largest tropical forest area after the Amazon, Congo Basin countries (CBc) constitute a major negotiation bloc within global forest-related governance arenas. Despite this position, CBc seem embedded in a failure trap with respect to their participation in forest diplomacy arenas. This paper examines the major causes of the recurrent failures of CBc within forest diplomacy. A qualitative empirical approach (including key informant interviews, groups discussion, participant observation, and policy document review) was used. From a conceptual and theoretical perspective, this research combines global and political sociology approaches including environmentality and blame avoidance works. The main finding reveals that the recurrent failures of CBc in forest diplomacy are partly due to the lack of strategic and bureaucratic autonomy of CBc that strongly depend on financial, technical, and knowledge resources from Western cooperation agencies or consultancy firms. Our discussion highlights that this dependency is maintained by most of the key actor groups involved in forest diplomacy related to CBc, as they exploit these failures to serve their private interests while avoiding the blame of not reducing deforestation and biodiversity loss in the Congo Basin.</t>
  </si>
  <si>
    <t>[Nago, Minette; Ongolo, Symphorien] Georg August Univ Gottingen, Chair Forest &amp; Nat Conservat Policy, Busgenweg 3, D-37077 Gottingen, Germany; [Ongolo, Symphorien] Univ Montpellier, IRD French Natl Res Inst Sustainable Dev, CIRAD, SENS,IRD, Site St Charles,Route Mende, F-34199 Montpellier 05, France</t>
  </si>
  <si>
    <t>Nago, M (corresponding author), Georg August Univ Gottingen, Chair Forest &amp; Nat Conservat Policy, Busgenweg 3, D-37077 Gottingen, Germany.</t>
  </si>
  <si>
    <t>mnago@uni-goettingen.de; songolo@uni-goettingen.de</t>
  </si>
  <si>
    <t>Alexander von Humboldt foundation Bonn, Germany [3.4-CMR-1189288-GF-P]; Georg-AugustUniversitat Gottingen-Germany</t>
  </si>
  <si>
    <t>Alexander von Humboldt foundation Bonn, Germany(Alexander von Humboldt Foundation); Georg-AugustUniversitat Gottingen-Germany</t>
  </si>
  <si>
    <t>This research was funded by the Alexander von Humboldt foundation Bonn, Germany, grant number: 3.4-CMR-1189288-GF-P. The APC of this paper was funded by Georg-AugustUniversitat Gottingen-Germany, through its Open Access Publication Funds.</t>
  </si>
  <si>
    <t>Forests</t>
  </si>
  <si>
    <t>10.3390/f12050525</t>
  </si>
  <si>
    <t>SH2BC</t>
  </si>
  <si>
    <t>WOS:000653937900001</t>
  </si>
  <si>
    <t>van der Vet, F</t>
  </si>
  <si>
    <t>van der Vet, Freek</t>
  </si>
  <si>
    <t>Spies, Lies, Trials, and Trolls: Political Lawyering against Disinformation and State Surveillance in Russia</t>
  </si>
  <si>
    <t>LAW AND SOCIAL INQUIRY-JOURNAL OF THE AMERICAN BAR FOUNDATION</t>
  </si>
  <si>
    <t>HUMAN-RIGHTS; LEGAL MOBILIZATION; EUROPEAN COURT; CIVIL-SOCIETY; SOCIAL-MOVEMENTS; LAW; AUTHORITARIANISM; OPPORTUNITIES; FEDERATION; LITIGATION</t>
  </si>
  <si>
    <t>Although authoritarian states have expanded their tools to surveil citizens and spread disinformation, we know little about how political lawyers have mobilized to resist such covert strategies. Based on semi-structured interviews with Russian lawyers and open-government consultants, this article examines how political lawyers oppose three emerging authoritarian tactics of the Russian government: running disinformation campaigns by troll factories, wiretapping, and hiding information on government activities and public services. I find that, despite the repressive legal environment, lawyers have considerable success in developing legal and nonlegal strategies to hold government to account. As autocrats rely on information control to portray themselves as capable leaders, political lawyers and open-government consultants use audits and rankings to undermine political reputations. These findings from Russia may be broadly applicable to new authoritarian states in general.</t>
  </si>
  <si>
    <t>[van der Vet, Freek] Univ Helsinki, Erik Castren Inst Int Law &amp; Human Rights, Helsinki, Finland</t>
  </si>
  <si>
    <t>van der Vet, F (corresponding author), Univ Helsinki, Erik Castren Inst Int Law &amp; Human Rights, Helsinki, Finland.</t>
  </si>
  <si>
    <t>freek.vandervet@helsinki.fi</t>
  </si>
  <si>
    <t>van der Vet, Freek/0000-0001-6091-5729</t>
  </si>
  <si>
    <t>Kone Foundation; Svenska Kulturfonden</t>
  </si>
  <si>
    <t>I wish to thank the anonymous reviewers as well as Marielle Wijermars for their critical and encouraging comments on earlier versions of this article. I also want to thank Terhi Raikas for helping with translation and transcription work. I am grateful to the lawyers and nongovernmental organization (NGO) representatives who were interviewed for this study. This research has been funded by the Kone Foundation and Svenska Kulturfonden.</t>
  </si>
  <si>
    <t>0897-6546</t>
  </si>
  <si>
    <t>1747-4469</t>
  </si>
  <si>
    <t>LAW SOCIAL INQUIRY</t>
  </si>
  <si>
    <t>Law Soc. Inq.-J. Am. Bar Found.</t>
  </si>
  <si>
    <t>PII S0897654620000362</t>
  </si>
  <si>
    <t>10.1017/lsi.2020.36</t>
  </si>
  <si>
    <t>RM7JG</t>
  </si>
  <si>
    <t>WOS:000639834700005</t>
  </si>
  <si>
    <t>Mischenko, EV; Kriskovets, TN; Lopanova, AP; Muskhanova, IV; Inalkaeva, KS; Shulga, TI; Ivanova, AV</t>
  </si>
  <si>
    <t>Mischenko, Elena, V; Kriskovets, Tatyana N.; Lopanova, Anastasia P.; Muskhanova, Isita, V; Inalkaeva, Kazban S.; Shulga, Tatiana, I; Ivanova, Alla, V</t>
  </si>
  <si>
    <t>Student Youth Legal Consciousness: Formation Problems and Prospects</t>
  </si>
  <si>
    <t>PROPOSITOS Y REPRESENTACIONES</t>
  </si>
  <si>
    <t>student youth; legal consciousness; legal education</t>
  </si>
  <si>
    <t>PERSONNEL</t>
  </si>
  <si>
    <t>The Article Relevance. In order to build the state of law and civic society, it is necessary to increase legal education of all citizens of the state in the field of human rights and freedoms, forms and methods of their protection. It is especially important to involve young people in this process actively, instill in them the desire to know more about their rights and show more interest in the legal field. The aim of the study is a systematic analysis of the legal consciousness of young people and the forms of organization of legal education of young people. Research methods: as a research method, a questionnaire survey was used as a method of collecting primary information, which allows determining the level of development of the legal consciousness of students. Research results: the article analyzes the forms of organization of young people's legal education; recommendations on the use of forms of organization of young people's legal education are developed. The novelty and originality of the study lies in the fact that for the first time the legal activity of students was studied. The low awareness of students about the laws on the rights of youth and the youth environment was revealed. It is shown that the core in the formation of a young person's social activity is ideological nature. It is revealed that students allocate informing, training, consulting and propagandizing forms of legal education of young people. It is shown that in higher educational institutions, legal education of young people is organized through training, informing and propagandizing forms through seminars, lectures, round tables, discussion clubs, mass media, printed publications, the Internet, social advertising. It is determined that for the organization of youth legal education one should take into account the wishes of the students: to develop programs of volunteerism, including the legal education of young people as activity; to develop a network of free youth agencies, in which young people can get all kinds of advice; regularly hold free legal aid. Insufficient legal literacy of students and unwillingness of the majority of students to participate in the solution of any social problems are revealed. It is shown that students demonstrate political passivity due to frustration and distraction of moral guidelines. Practical significance: The data obtained in this work can be used in legal psychology, jurisprudence, pedagogy, as well as for further theoretical development of this issue.</t>
  </si>
  <si>
    <t>[Mischenko, Elena, V] Orenburg State Univ, Law Fac, Orenburg, Russia; [Kriskovets, Tatyana N.] Orenburg State Pedag Univ, Dept Pedag, High Sch, Orenburg, Russia; [Lopanova, Anastasia P.] Orenburg State Univ, Dept Org Judicial &amp; Publ Prosecutors &amp; Invest Act, Orenburg, Russia; [Muskhanova, Isita, V] Chechen State Pedag Univ, Inst Philol Hist &amp; Law, Grozny, Russia; [Inalkaeva, Kazban S.] Chechen State Pedag Univ, Dept Law Disciplines, Grozny, Russia; [Shulga, Tatiana, I] Moscow Reg State Univ MGOU, Dept Social Psychol, Moscow, Russia; [Ivanova, Alla, V] Chuvash State Pedag Univ, Dept Mus Instruments &amp; Solo Singing, Cheboksary, Russia</t>
  </si>
  <si>
    <t>Mischenko, EV (corresponding author), Orenburg State Univ, Law Fac, Orenburg, Russia.</t>
  </si>
  <si>
    <t>map_1234@mail.ru</t>
  </si>
  <si>
    <t>Мусханова, Исита/ABC-5640-2021; Мищенко, Елена/AAB-4658-2022</t>
  </si>
  <si>
    <t xml:space="preserve">Мусханова, Исита/0000-0001-8629-5599; </t>
  </si>
  <si>
    <t>UNIV SAN IGNACIO LOYOLA</t>
  </si>
  <si>
    <t>LIMA</t>
  </si>
  <si>
    <t>AVE LA FONTANA, S-N, LA MOLINA, LIMA, 00000, PERU</t>
  </si>
  <si>
    <t>2307-7999</t>
  </si>
  <si>
    <t>2310-4635</t>
  </si>
  <si>
    <t>PROPOS REPRESENT</t>
  </si>
  <si>
    <t>Propos. Represent.</t>
  </si>
  <si>
    <t>e1135</t>
  </si>
  <si>
    <t>10.20511/pyr2021.v9nSPE3.1135</t>
  </si>
  <si>
    <t>RA8YV</t>
  </si>
  <si>
    <t>Green Submitted, Green Published, gold</t>
  </si>
  <si>
    <t>WOS:000631706900012</t>
  </si>
  <si>
    <t>Smith, G; Saunders, W; Vila, O; Gyawali, S; Bhattarai, S; Lawdley, E</t>
  </si>
  <si>
    <t>Smith, Gavin; Saunders, Wendy; Vila, Olivia; Gyawali, Samata; Bhattarai, Samiksha; Lawdley, Eliza</t>
  </si>
  <si>
    <t>A comparative analysis of hazard-prone housing acquisition programs in US and New Zealand communities</t>
  </si>
  <si>
    <t>Buyouts; Hazard mitigation; Public policy; International lesson drawing</t>
  </si>
  <si>
    <t>DECISION-MAKING; RESILIENCE; ACCEPTANCE; RELOCATE; POLICY</t>
  </si>
  <si>
    <t>This article describes the preliminary results of an international comparative assessment of hazard-prone housing acquisition programs (buyouts) undertaken in six US and New Zealand communities. Semi-structured interviews were conducted with government officials and consultants tasked with administering buyout programs following flood, debris flow, and earthquake-based disasters. Key issues analyzed include local capacity, public participation, planning and design, program complexity, funding and financial management, and lesson drawing. The findings are timely given the rise in disaster-related losses, buyouts are increasingly cited as a strategy to reduce natural hazard risk and advance climate change adaptation, and national buyout programs are evolving in both countries to tackle the challenges associated with this complex process.</t>
  </si>
  <si>
    <t>[Smith, Gavin] North Carolina State Univ, Coll Design, Dept Landscape Architecture &amp; Environm Planning, Campus Box 7701, Raleigh, NC 27675 USA; [Saunders, Wendy] Earthquake Commiss Risk Reduct &amp; Resilience, Level 11 Majestic Tower,Willis St, Wellington, New Zealand; [Vila, Olivia] North Carolina State Univ, Dept Pk Recreat &amp; Tourism Management, Raleigh, NC USA; [Gyawali, Samata; Bhattarai, Samiksha; Lawdley, Eliza] North Carolina State Univ, Dept Landscape Architecture &amp; Environm Planning, Raleigh, NC USA</t>
  </si>
  <si>
    <t>Smith, G (corresponding author), North Carolina State Univ, Coll Design, Dept Landscape Architecture &amp; Environm Planning, Campus Box 7701, Raleigh, NC 27675 USA.</t>
  </si>
  <si>
    <t>gavin_smith@ncsu.edu</t>
  </si>
  <si>
    <t>US Department of Homeland Security [2015-ST-061-ND0001-01]</t>
  </si>
  <si>
    <t>US Department of Homeland Security(United States Department of Homeland Security (DHS))</t>
  </si>
  <si>
    <t>This material is based upon work supported by the US Department of Homeland Security under Grant Award Number 2015-ST-061-ND0001-01. The views and conclusions contained herein are those of the authors and should not be interpreted as necessarily representing the official policies, either expressed or implied, of the US Department of Homeland Security.</t>
  </si>
  <si>
    <t>10.1007/s13412-021-00689-y</t>
  </si>
  <si>
    <t>APR 2021</t>
  </si>
  <si>
    <t>WOS:000645870800001</t>
  </si>
  <si>
    <t>Ofosu, B; Ofori, D; Ntumy, M; Asah-Opoku, K; Boafor, T</t>
  </si>
  <si>
    <t>Ofosu, Bernice; Ofori, Dan; Ntumy, Michael; Asah-Opoku, Kwaku; Boafor, Theodore</t>
  </si>
  <si>
    <t>Assessing the functionality of an emergency obstetric referral system and continuum of care among public healthcare facilities in a low resource setting: an application of process mapping approach</t>
  </si>
  <si>
    <t>BMC HEALTH SERVICES RESEARCH</t>
  </si>
  <si>
    <t>Emergency; Obstetric; Referral system; Women; Improve; Quality; Ghana; Access</t>
  </si>
  <si>
    <t>Background: Weak referral systems remain a major concern influencing timely access to the appropriate level of care during obstetric emergencies, particularly for Low-and Middle-Income Countries, including Ghana. It is a serious factor threatening the achievement of the maternal health Sustainable Development Goal. The objective of this study is to establish process details of emergency obstetric referral systems across different levels of public healthcare facilities to deepen understanding of systemic barriers and preliminary solutions in an urban district, using Ablekuma in Accra, Ghana as a case study. Methods: The study is an analytical cross-sectional study. Nine [1] targeted interviews were carried out for a three-week period in June and July 2019 after informed written consent with two [2] Obstetrics &amp; Gynaecology consultants, two [2] Residents, one family physician, and four [3] Midwives managing emergency obstetric referral across different levels of facilities. Purposeful sampling technique was used to collect data that included a narration of the referral process, and challenges experienced with each step. Qualitative data was transcribed, coded by topics and thematically analysed. Transcribed narratives were used to draft a process map and analyze the defects within the emergency obstetric referral system. Results: Out of the 34 main activities in the referral process within the facilities, the study identified that 24 (70%) had a range of barriers in relation to communication, transport system, resources (space, equipment and physical structures), staffing (numbers and attitude), Healthcare providers (HCP) knowledge and compliance to referral policy and guideline, and financing for referral. These findings have implication on delay in accessing care. HCP suggested that strengthening communication and coordination, reviewing referral policy, training of all stakeholders and provision of essential resources would be beneficial. Conclusion: Our findings clearly establish that the emergency obstetric referral system between a typical teaching hospital in an urban district of Accra-Ghana and peripheral referral facilities, is functioning far below optimum levels. This suggests that the formulation and implementation of policies should be focused around structural and process improvement interventions, strengthening collaborations, communication and transport along the referral pathway. These suggestions are likely to ensure that women receive timely and quality care.</t>
  </si>
  <si>
    <t>[Ofosu, Bernice; Ntumy, Michael; Asah-Opoku, Kwaku; Boafor, Theodore] KorleBu Teaching Hosp, Dept Obstet &amp; Gynaecol, Box 4236, Accra, Ghana; [Ofori, Dan] Univ Ghana, Business Sch, Legon, Ghana; [Ntumy, Michael; Asah-Opoku, Kwaku; Boafor, Theodore] Univ Ghana, Med Sch, KorleBu, Accra, Ghana</t>
  </si>
  <si>
    <t>Boafor, T (corresponding author), KorleBu Teaching Hosp, Dept Obstet &amp; Gynaecol, Box 4236, Accra, Ghana.;Boafor, T (corresponding author), Univ Ghana, Med Sch, KorleBu, Accra, Ghana.</t>
  </si>
  <si>
    <t>tboafor@ug.edu.gh</t>
  </si>
  <si>
    <t>Executive Master of Business Administration (Project Management option) at the University of Ghana</t>
  </si>
  <si>
    <t>The study was partly self funded by Bernice Ofosu as part of her dissertation for the award of Executive Master of Business Administration (Project Management option) at the University of Ghana.</t>
  </si>
  <si>
    <t>1472-6963</t>
  </si>
  <si>
    <t>BMC HEALTH SERV RES</t>
  </si>
  <si>
    <t>BMC Health Serv. Res.</t>
  </si>
  <si>
    <t>APR 29</t>
  </si>
  <si>
    <t>10.1186/s12913-021-06402-7</t>
  </si>
  <si>
    <t>SI6JQ</t>
  </si>
  <si>
    <t>WOS:000654934100006</t>
  </si>
  <si>
    <t>Wheeler, R; Lobley, M</t>
  </si>
  <si>
    <t>Wheeler, Rebecca; Lobley, Matt</t>
  </si>
  <si>
    <t>Managing extreme weather and climate change in UK agriculture: Impacts, attitudes and action among farmers and stakeholders</t>
  </si>
  <si>
    <t>CLIMATE RISK MANAGEMENT</t>
  </si>
  <si>
    <t>Extreme weather; Climate risks; Adaptation; Agriculture; Farmers</t>
  </si>
  <si>
    <t>ADAPTATION BEHAVIOR; PERCEPTIONS; MITIGATION; ADOPTION; BELIEFS</t>
  </si>
  <si>
    <t>Although the need for agriculture to adapt to climate change is well established, there is relatively little research within a UK context that explores how the risks associated with climate change are perceived at the farm level, nor how farmers are adapting their businesses to improve resilience in the context of climate change. Based on 31 in-depth, qualitative interviews (15 with farmers and 16 with stakeholders including advisors, consultants and industry representatives) this paper begins to address this gap by exploring experiences, attitudes and responses to extreme weather and climate change. The results point to a mixed picture of resilience to climate risks. All interviewees had experienced or witnessed negative impacts from extreme weather events in recent years but concern was expressed that too few farm businesses are taking sufficient action to increase their business resilience to extreme weather and climate change. Many farmers interviewed for this research did not perceive adaptation to be a priority and viewed the risks as either too uncertain and/or too long-term to warrant any significant investment of time or money at present when many are preoccupied with short-term profitability and business survival. We identified a range of issues and barriers that are constraining improved resilience across the industry, including some lack of awareness about the type and cost-effectiveness of potential adaptation options. Nevertheless, we also found evidence of positive actions being taken by many, whether in direct response to climate change/extreme weather or as a result of other drivers such as soil health, policy and legislation, cost reduction, productivity and changing consumer demands. Our findings reveal a number of actions that can help enable adaption at the farm level including improved industry collaboration, farmer-to-farmer learning, and the need for tools and support that take into account the specificities of different farming systems and that can be easily tailored or interpreted to help farmers understand what climate change means for their particular farm and, crucially, what they can do to increase their resilience to both extreme weather and longer term climate risks.</t>
  </si>
  <si>
    <t>[Wheeler, Rebecca; Lobley, Matt] Univ Exeter, Ctr Rural Policy Res, Prince Wales Rd, Exeter EX4 4PJ, Devon, England</t>
  </si>
  <si>
    <t>Wheeler, R (corresponding author), Univ Exeter, Ctr Rural Policy Res, Prince Wales Rd, Exeter EX4 4PJ, Devon, England.</t>
  </si>
  <si>
    <t>r.wheeler3@exeter.ac.uk; m.lobley@exeter.ac.uk</t>
  </si>
  <si>
    <t>UK Climate Resilience programme; Natural Environment Research Council (NERC);  [NE/S01702X/]</t>
  </si>
  <si>
    <t xml:space="preserve">UK Climate Resilience programme; Natural Environment Research Council (NERC)(UK Research &amp; Innovation (UKRI)Natural Environment Research Council (NERC)); </t>
  </si>
  <si>
    <t>The research reported in this paper was funded by the UK Climate Resilience programme, which is jointly led by UK Research and Innovation (UKRI) and the Met Office with Natural Environment Research Council (NERC) taking UKRI lead on behalf of Arts and Humanities Research Council (AHRC), Economic and Social Research Council (ESRC) and Engineering and Physical Sciences Research Council (EPSRC). Grant ref: NE/S01702X/. The funders have had no direct involvement in the research process or submission of this paper for publication.</t>
  </si>
  <si>
    <t>2212-0963</t>
  </si>
  <si>
    <t>CLIM RISK MANAG</t>
  </si>
  <si>
    <t>CLIM. RISK MANAG.</t>
  </si>
  <si>
    <t>10.1016/j.crm.2021.100313</t>
  </si>
  <si>
    <t>Environmental Sciences; Environmental Studies; Meteorology &amp; Atmospheric Sciences</t>
  </si>
  <si>
    <t>SG1LB</t>
  </si>
  <si>
    <t>WOS:000653205100004</t>
  </si>
  <si>
    <t>Dasdemir, I; Kose, M</t>
  </si>
  <si>
    <t>Dasdemir, Ismet; Kose, Murat</t>
  </si>
  <si>
    <t>The Impact of ORKoY Activities on Sustainable Forest Management in Istanbul Province, Turkey</t>
  </si>
  <si>
    <t>Forest village; Forest and village relations; Rural development; Sustainable forest management; &amp;#304; stanbul; Turkey</t>
  </si>
  <si>
    <t>RURAL-DEVELOPMENT; DEVELOPMENT-PROJECTS; LIVELIHOOD; POVERTY</t>
  </si>
  <si>
    <t>ORKoY (Forest and Village Relations) activities are carried out by the General Directorate of Forestry in Turkey in order to develop forest villages, improve forest and village relations, and reduce the pressure on forests. This study aims to investigate the impacts of ORKoY activities on sustainable forest management in the Istanbul province of Turkey. For this purpose, the data of ORKoY and forestry activities between 2012 and 2016 were collected from the records of the Istanbul Regional Directorate of Forestry (IRDF), and some information was gathered by means of questionnaires with forest villagers and forest enterprise managers. The data were evaluated using tables, descriptive statistics, and correlation analysis. In this study, the amount of the economic and social monetary credits given by ORKoY department affiliated to the IRDF and their annual average economic contributions were determined. The fuelwood rent provided to forest villagers, the effectiveness and satisfaction levels with ORKoY activities, the sufficiency of the credits, and the informational and training-consulting services were explored. The results show that ORKoY provided a total of US$ 2,529,040 and an annual US$ 505,808 of credits to 575 households located in 126 villages of the Istanbul province during 2012-2016. ORKoY performed 3007 informational and training-consulting activities in 129 villages and provided at least US$ 256 fuelwood subsidies per year per household for the forest villagers. The effectiveness and satisfaction level of ORKoY activities was at the medium level in the Istanbul province. The contributions of the activities to the prevention of migration were weak, and to the prevention of unemployment were at the weak-medium level. Thus, ORKoY activities were found to be effective and successful in rural development and sustainable forest management at the medium level (50 percent out of 100). In order to increase this rate, the quantity and quality of the informational and training-consulting services of ORKoY need to be increased, and the health insurance of the government needs to be expanded to cover the rural population, and all state institutions should take responsibility to contribute to rural development.</t>
  </si>
  <si>
    <t>[Dasdemir, Ismet] Bartin Univ, Fac Forestry, Dept Forest Engn, Bartin, Turkey; [Kose, Murat] Bursa Tech Univ, Fac Forestry, Dept Forest Engn, Bursa, Turkey</t>
  </si>
  <si>
    <t>Dasdemir, I (corresponding author), Bartin Univ, Fac Forestry, Dept Forest Engn, Bartin, Turkey.</t>
  </si>
  <si>
    <t>isdasdemir@hotmail.com</t>
  </si>
  <si>
    <t>Dasdemir, Ismet/0000-0002-3170-644X</t>
  </si>
  <si>
    <t>1873-7854</t>
  </si>
  <si>
    <t>SMALL-SCALE FOR</t>
  </si>
  <si>
    <t>Small-Scale For.</t>
  </si>
  <si>
    <t>10.1007/s11842-021-09479-4</t>
  </si>
  <si>
    <t>WL2AC</t>
  </si>
  <si>
    <t>WOS:000644773000001</t>
  </si>
  <si>
    <t>Shet, SV; Poddar, T; Samuel, FW; Dwivedi, YK</t>
  </si>
  <si>
    <t>Shet, Sateesh, V; Poddar, Tanuj; Samuel, Fosso Wamba; Dwivedi, Yogesh K.</t>
  </si>
  <si>
    <t>Examining the determinants of successful adoption of data analytics in human resource management - A framework for implications</t>
  </si>
  <si>
    <t>Human resource analytics; HRM analytics; People analytics; Adoption of HR analytics; Challenges; Implementation of HR analytics; Big data; Data analytics; Framework synthesis</t>
  </si>
  <si>
    <t>BIG DATA ANALYTICS; HUMAN-CAPITAL ANALYTICS; FIRM PERFORMANCE; WORKFORCE ANALYTICS; INFORMATION-SYSTEMS; BUSINESS ANALYTICS; EDI ADOPTION; HR ANALYTICS; INNOVATION; CHALLENGES</t>
  </si>
  <si>
    <t>Data analytics has gained importance in human resource management (HRM) for its ability to provide insights based on data-driven decision-making processes. However, integrating an analytics-based approach in HRM is a complex process, and hence, many organizations are unable to adopt HR Analytics (HRA). Using a framework synthesis approach, we first identify the challenges that hinder the practice of HRA and then develop a framework to explain the different factors that impact the adoption of HRA within organizations. This study identifies the key aspects related to the technological, organizational, environmental, data governance, and individual factors that influence the adoption of HRA. In addition, this paper determines 23 sub-dimensions of these five factors as the crucial aspects for successfully implementing and practicing HRA within organizations. We also discuss the implications of the framework for HR leaders, HR Managers, CEOs, IT Managers and consulting practitioners for effective adoption of HRA in organization.</t>
  </si>
  <si>
    <t>[Shet, Sateesh, V] NMIMS Univ, Sch Business Management, Mumbai, Maharashtra, India; [Poddar, Tanuj] eClerx, HR Transformat, Mumbai, Maharashtra, India; [Samuel, Fosso Wamba] Toulose Business Sch, Toulouse, France; [Dwivedi, Yogesh K.] Swansea Univ, Sch Management, Res, Swansea, W Glam, Wales</t>
  </si>
  <si>
    <t>Shet, SV (corresponding author), NMIMS Univ, Sch Business Management, Mumbai, Maharashtra, India.</t>
  </si>
  <si>
    <t>svshet@hotmail.com; Tanuj.Poddar@eclerx.com; s.fosso-wamba@tbs-education.fr; y.k.dwivedi@swansea.ac.uk</t>
  </si>
  <si>
    <t>Shet, Sateesh/AAV-2184-2021</t>
  </si>
  <si>
    <t>Shet, Sateesh/0000-0001-7312-7764</t>
  </si>
  <si>
    <t>J BUS RES</t>
  </si>
  <si>
    <t>J. Bus. Res.</t>
  </si>
  <si>
    <t>10.1016/j.jbusres.2021.03.054</t>
  </si>
  <si>
    <t>UO7MD</t>
  </si>
  <si>
    <t>WOS:000694876300027</t>
  </si>
  <si>
    <t>Aaen, SB; Hansen, AM; Kladis, A</t>
  </si>
  <si>
    <t>Aaen, Sara Bjorn; Hansen, Anne Merrild; Kladis, Anastasios</t>
  </si>
  <si>
    <t>Social no-go factors in mine site selection</t>
  </si>
  <si>
    <t>Social impacts; Mine site screening; Human rights; Social no-go factors</t>
  </si>
  <si>
    <t>IMPACT ASSESSMENT; RISK</t>
  </si>
  <si>
    <t>When mining companies screen the attractiveness of potential mine sites (greenfield projects), the focus is typically on factors within the fields of geology, mining design, metallurgy, infrastructure, logistics, environment, and politics. Each category has `no-go factors', the occurrence of which makes the company avoid activities in an area. However, social factors are not often part of the equation when calculating attractiveness scores at an early stage. We claim that social factors should be considered by identifying social thresholds and, furthermore, by including social no-go factors in the screening. This opinion piece draws on early findings from a larger research project on the sustainability of the mineral and metal industry. As part of the project, we have participated in discussions with companies, consultants, and researchers about the existing evaluation criteria generally used on greenfield projects. Based on this exercise, a site evaluation tool for mining companies is presently being developed. Based on our knowledge and experience with Social Impact Assessment and mining, we have proposed that social parameters, including no-go factors, are incorporated in the screening tool. This paper presents our arguments for the proposition.</t>
  </si>
  <si>
    <t>[Aaen, Sara Bjorn; Hansen, Anne Merrild] Aalborg Univ, Dept Planning, Rendsburggade 14, Aalborg, Denmark; [Kladis, Anastasios] Adv Minerals &amp; Recycling Ind Solut AdMiRIS, Spartis 1 1st Floor, Palaio Faliro, Greece</t>
  </si>
  <si>
    <t>Aaen, SB (corresponding author), Aalborg Univ, Dept Planning, Rendsburggade 14, Aalborg, Denmark.</t>
  </si>
  <si>
    <t>sara@plan.aau.dk; merrild@plan.aau.dk; anastasios.kladis@admiris.eu</t>
  </si>
  <si>
    <t>Aaen, Sara Bjorn/0000-0001-6805-0950; Hansen, Anne Merrild/0000-0001-7889-4604</t>
  </si>
  <si>
    <t>European Union's Horizon 2020 research and innovation program [820911]</t>
  </si>
  <si>
    <t>European Union's Horizon 2020 research and innovation program</t>
  </si>
  <si>
    <t>The work was financially support by the European Union's Horizon 2020 research and innovation program [grant number 820911] which is greatly acknowledged. The authors furthermore wish to thank Paraskevi Efstathiou and Athina Preveniou from AdMiRIS as well as Asuncion Aranda from Institute for Energy Technology and Naja Graugaard from Aalborg University for their participation in the work.</t>
  </si>
  <si>
    <t>EXTRACT IND SOC</t>
  </si>
  <si>
    <t>Extr. Ind. Soc.</t>
  </si>
  <si>
    <t>10.1016/j.exis.2021.100896</t>
  </si>
  <si>
    <t>RT0VO</t>
  </si>
  <si>
    <t>WOS:000644186300001</t>
  </si>
  <si>
    <t>Zhang, XY; Dong, F</t>
  </si>
  <si>
    <t>Zhang, Xiaoyun; Dong, Feng</t>
  </si>
  <si>
    <t>How virtual social capital affects behavioral intention of sustainable clothing consumption pattern in developing economies? A case study of China</t>
  </si>
  <si>
    <t>Sustainable clothing consumption pattern; Virtual social capital; Peer influence, Face consciousness; Consumer innovativeness</t>
  </si>
  <si>
    <t>CONSUMER INNOVATIVENESS; BRAND COMMUNITIES; MEDIA; BARRIERS; IMPACT</t>
  </si>
  <si>
    <t>Frequently updated wardrobes are costly to consumers, and they cause a serious waste of resources and environmental pollution, especially for developing economies. In the case of China, one representative emerging economy in developing economies, we explored the effects of virtual social capital on sustainable clothing consumption pattern. Taking the model of a product-service system as a theoretical reference, this research defined a sustainable clothing consumption model (SCCP) that integrates four types of clothing consumption behavior: the sale of upgraded second-hand clothing, swapping, renting, and consulting and matching old clothing. Then, we explored the effect of virtual social capital, peer influence, face consciousness, and consumer innovativeness on the behavioral intentions of a sustainable clothing consumption pattern (BISCCP). An analysis of survey data from 493 Chinese consumers showed that virtual social capital and peer influence have a significantly positive impact on BISCCP, peer influence played a partially mediating role between virtual social capital and BISCCP, and both face consciousness and consumer innovativeness negatively regulated the relationship between virtual social capital and BISCCP. Our study not only helps improve the consumers' acceptance of SCCP, but also can be of special interest to policy makers of circular economy in developing economies.</t>
  </si>
  <si>
    <t>[Zhang, Xiaoyun; Dong, Feng] China Univ Min &amp; Technol, Sch Econ &amp; Management, Xuzhou 221116, Jiangsu, Peoples R China</t>
  </si>
  <si>
    <t>Dong, F (corresponding author), China Univ Min &amp; Technol, Sch Econ &amp; Management, Xuzhou 221116, Jiangsu, Peoples R China.</t>
  </si>
  <si>
    <t>dongfeng2008@126.com</t>
  </si>
  <si>
    <t>Dong, Feng/0000-0002-5177-6453</t>
  </si>
  <si>
    <t>National Natural Science Foundation of China [71974188, 71573254]; Humanities and Social Sciences Special Research Fund of Ministry of Education in China [19JDGC011]; Jiangsu Funds for Social Science [17JDB004]</t>
  </si>
  <si>
    <t>National Natural Science Foundation of China(National Natural Science Foundation of China (NSFC)); Humanities and Social Sciences Special Research Fund of Ministry of Education in China; Jiangsu Funds for Social Science</t>
  </si>
  <si>
    <t>This work was supported by the National Natural Science Foundation of China (Grant Nos. 71974188 and 71573254), Humanities and Social Sciences Special Research Fund of Ministry of Education in China (Research on Talents Training for Engineering Science and Technology, Grant No. 19JDGC011), and Jiangsu Funds for Social Science (Grant No. 17JDB004).</t>
  </si>
  <si>
    <t>RESOUR CONSERV RECY</t>
  </si>
  <si>
    <t>Resour. Conserv. Recycl.</t>
  </si>
  <si>
    <t>10.1016/j.resconrec.2021.105616</t>
  </si>
  <si>
    <t>TA5SQ</t>
  </si>
  <si>
    <t>WOS:000667309200049</t>
  </si>
  <si>
    <t>Paidakaki, A; De Becker, R; De Reu, Y; Viaene, F; Elnaschie, S; Van den Broeck, P</t>
  </si>
  <si>
    <t>Paidakaki, Angeliki; De Becker, Rani; De Reu, Yana; Viaene, Febe; Elnaschie, Shareen; Van den Broeck, Pieter</t>
  </si>
  <si>
    <t>How can community architects build socially resilient refugee camps? Lessons from the Office of Displaced Designers in Lesvos, Greece</t>
  </si>
  <si>
    <t>ARCHNET-IJAR INTERNATIONAL JOURNAL OF ARCHITECTURAL RESEARCH</t>
  </si>
  <si>
    <t>Governance; Social resilience; Community architecture; Moria Hotspot; Office of Displaced Designers (ODD); Refugee camp</t>
  </si>
  <si>
    <t>Purpose - This paper explores social resilience through the lenses of migration. It specifically studies the role of community architects in building socially resilient refugee camps which are human settlements characterized by a transient and heterogeneous community with unique vulnerabilities. These settlements are managed through exceptional governance arrangements between hegemonic and counter-hegemonic humanitarian organizations. Design/methodology/approach - Empirical evidences are drawn from the Office of Displaced Designers (ODD), a design-focused creative integration organization active on Lesvos island. During one-month ethnographic research with ODD, empirical data were harvested through an extensive review of project archive materials including transcripts and audio files of interviews with project participants and collaborators conducted by ODD, architectural drawings and teaching materials, photo and video archives and administrative documents. The ethnographic research was complemented with semi-structured interviews with the founding members and former volunteers and partners of ODD; key site visits to the Moria Hotspot and the surrounding Olive Groves; as well as a desk study on European Union (EU) policies and legislative papers and legal information regarding the asylum seeker application procedure in Europe and Greece. Findings - Reflecting on the potential and limitations of community architects in building socially resilient refugee camps, the paper concludes that in order for community architects to make long lasting improvements they must think holistically and design flexible structural solutions for the entire camp, leverage existing expertise within communities and assist other organizations through administrative, financial and design consultancy support. Community architects are also expected to take active roles in forming pro-equity governance structures and steering pro-resilient humanitarian trajectories by acting as mediators, lobbying their partners, advocating for inclusive practices and social spaces and documenting their projects to build an evidence base across practices and contexts and to strengthen their voice as a collective of community architects. Originality/value - The role of community architects in building socially resilient human settlements in post-disaster place-based recovery processes has been widely discussed in the disaster scholarship. These studies have primarily emphasized permanent and in situ reconstruction efforts in disaster-affected areas. What remains limitedly discussed is the resilience-building potential of community architects in extraterritorial temporary human settlements characterized by displacement and temporality such as in refugee camps. In light of these observations, the aim of this paper is to push the boundaries of knowledge on post-crisis recovery by re-approaching the notion of social resilience from a migratory perspective and revealing the potential and limitations of community architects in fostering socially resilient refugee camps in new (national) territories.</t>
  </si>
  <si>
    <t>[Paidakaki, Angeliki; De Becker, Rani; De Reu, Yana; Viaene, Febe; Van den Broeck, Pieter] Katholieke Univ Leuven, Architecture, Leuven, Belgium; [Elnaschie, Shareen] Off Displaced Designers, Athens, Greece</t>
  </si>
  <si>
    <t>Paidakaki, A (corresponding author), Katholieke Univ Leuven, Architecture, Leuven, Belgium.</t>
  </si>
  <si>
    <t>angeliki.paidakaki@kuleuven.be; ranidebecker@hotmail.com; yana.dereu@hotmail.com; febe.viaene@gmail.com; shareen@displaceddesigners.org; pieter.vandenbroeck@kuleuven.be</t>
  </si>
  <si>
    <t>Van den Broeck, Pieter/0000-0002-3388-0759; Paidakaki, Angeliki/0000-0001-5019-0998; Elnaschie, Shareen/0000-0001-9607-3658</t>
  </si>
  <si>
    <t>Fonds Wetenschappelijk Onderzoek -Vlaanderen (FWO) [12Y4519N]</t>
  </si>
  <si>
    <t>Fonds Wetenschappelijk Onderzoek -Vlaanderen (FWO)(FWO)</t>
  </si>
  <si>
    <t>This work was supported by the Fonds Wetenschappelijk Onderzoek -Vlaanderen (FWO) [grant number 12Y4519N].</t>
  </si>
  <si>
    <t>2631-6862</t>
  </si>
  <si>
    <t>1938-7806</t>
  </si>
  <si>
    <t>ARCHNET-IJAR</t>
  </si>
  <si>
    <t>Archnet-IJAR</t>
  </si>
  <si>
    <t>OCT 28</t>
  </si>
  <si>
    <t>10.1108/ARCH-11-2020-0276</t>
  </si>
  <si>
    <t>WN5OL</t>
  </si>
  <si>
    <t>WOS:000637673000001</t>
  </si>
  <si>
    <t>Barnes, T; Rennie, SC</t>
  </si>
  <si>
    <t>Barnes, Tracey; Rennie, Sarah C.</t>
  </si>
  <si>
    <t>Leadership and surgical training part 1: preparing to lead the way?</t>
  </si>
  <si>
    <t>ANZ JOURNAL OF SURGERY</t>
  </si>
  <si>
    <t>education and training; leadership; professional skill</t>
  </si>
  <si>
    <t>Every day surgeons lead teams on the wards, in clinics and operating theatres, but most trainees and some surgeons do not consider themselves as leaders. Leadership skills are increasingly important for surgeons, who need knowledge of organizational structure and policy, management strategy and team dynamics to deliver and improve health care in resource-constrained environments. The Royal Australasian College of Surgeons recognizes leadership as one of 10 core surgical competencies but leadership curricula within surgical training programmes are not well defined. There is limited opportunity for formal leadership training and development prior to becoming a consultant.</t>
  </si>
  <si>
    <t>[Barnes, Tracey] Dunedin Publ Hosp, Dept Gen Surg, Level 4,Private Bag 1921, Dunedin 9054, New Zealand; [Barnes, Tracey] Univ Otago, Dunedin Sch Med, Dept Surg Sci, Dunedin, New Zealand; [Rennie, Sarah C.] Univ Otago, Educ Unit, Wellington, New Zealand</t>
  </si>
  <si>
    <t>Barnes, T (corresponding author), Dunedin Publ Hosp, Dept Gen Surg, Level 4,Private Bag 1921, Dunedin 9054, New Zealand.</t>
  </si>
  <si>
    <t>traceybarnes83@gmail.com</t>
  </si>
  <si>
    <t>Rennie, Sarah Catherine/ABC-6527-2020</t>
  </si>
  <si>
    <t>Rennie, Sarah Catherine/0000-0001-8638-8955; Barnes, Tracey/0000-0003-0760-7000</t>
  </si>
  <si>
    <t>1445-1433</t>
  </si>
  <si>
    <t>1445-2197</t>
  </si>
  <si>
    <t>ANZ J SURG</t>
  </si>
  <si>
    <t>ANZ J. Surg.</t>
  </si>
  <si>
    <t>10.1111/ans.16685</t>
  </si>
  <si>
    <t>SR4JH</t>
  </si>
  <si>
    <t>WOS:000637425800001</t>
  </si>
  <si>
    <t>Whicher, A</t>
  </si>
  <si>
    <t>Whicher, Anna</t>
  </si>
  <si>
    <t>Evolution of policy labs and use of design for policy in UK government</t>
  </si>
  <si>
    <t>POLICY DESIGN AND PRACTICE</t>
  </si>
  <si>
    <t>Design for policy</t>
  </si>
  <si>
    <t>At the intersection between theory and practice on design and policy, there is small but expanding knowledge base on the concept of design for policy. Government interest in design methods for policy-making has grown significantly since the late 1990s, particularly within policy labs. Policy labs are multidisciplinary government teams experimenting with a range of innovation methods, including design, to involve citizens in public policy development. There are more than 100 labs across the globe and around 14 at national and regional levels in the UK. While new policy labs continue to pop up, some are changing and some are closing their doors. How have the operating models of policy labs evolved? How might we enhance the resilience of labs? These are some of the questions explored in a 2-year Arts and Humanities Research Council Fellowship called People Powering Policy. The research draws on insight from established Labs including Policy Lab in the Cabinet Office, HMRC Policy Lab and the Northern Ireland Innovation Lab as well as emerging labs to address the research question: how might policy labs be developed, reviewed and evaluated? Based on interviews, workshops and immersive residencies the main outputs were a Typology of Policy Lab Financing Models and a Lab Proposition Framework for establishing, reviewing and evaluating policy labs. The typology outlines four models for UK labs financing models - Sponsorship (funding from one or multiple departments), Contribution (labs recover part of the costs of projects), Cost Recovery (labs charge for projects on a not-for-profit basis), Hybrid (labs benefit from multiple income sources such as Sponsorship, charging and knowledge exchange funding) and Consultancy (labs charge a consultancy rate with a profit margin to expand operations). The Lab Proposition Framework comprises of four components (1) Proposition - the vision, governance and finance models; (2) Product - the offering, user needs and tools; (3) People - the people skills, knowledge diffusion and wider capacity building; (4) Process - the routes to engagement, user journey and promotion mechanism.</t>
  </si>
  <si>
    <t>[Whicher, Anna] Cardiff Metropolitan Univ, PDR Int Ctr Design &amp; Res, Cardiff, Wales</t>
  </si>
  <si>
    <t>Whicher, A (corresponding author), Cardiff Metropolitan Univ, PDR Int Ctr Design &amp; Res, Cardiff, Wales.</t>
  </si>
  <si>
    <t>awhicher@cardiffmet.ac.uk</t>
  </si>
  <si>
    <t>2574-1292</t>
  </si>
  <si>
    <t>POLICY DES PRACT</t>
  </si>
  <si>
    <t>Policy Des. Pract.</t>
  </si>
  <si>
    <t>10.1080/25741292.2021.1883834</t>
  </si>
  <si>
    <t>TS9GP</t>
  </si>
  <si>
    <t>WOS:000679955800005</t>
  </si>
  <si>
    <t>Trogrlic, RS; Duncan, M; Wright, G; van den Homberg, M; Adeloye, A; Mwale, F; McQuistan, C</t>
  </si>
  <si>
    <t>Trogrlic, Robert Sakic; Duncan, Melanie; Wright, Grant; van den Homberg, Marc; Adeloye, Adebayo; Mwale, Faidess; McQuistan, Colin</t>
  </si>
  <si>
    <t>External stakeholders' attitudes towards and engagement with local knowledge in disaster risk reduction: are we only paying lip service?</t>
  </si>
  <si>
    <t>INTERNATIONAL JOURNAL OF DISASTER RISK REDUCTION</t>
  </si>
  <si>
    <t>Local knowledge; Indigenous knowledge; Flooding; Communities; Co-production; Community-based disaster risk reduction</t>
  </si>
  <si>
    <t>CLIMATE-CHANGE ADAPTATION; INDIGENOUS KNOWLEDGE; SCIENTIFIC-KNOWLEDGE; FLOOD RISK; COPING STRATEGIES; RESILIENCE; MANAGEMENT; COMMUNITY; COASTAL; INTEGRATION</t>
  </si>
  <si>
    <t>In the research and policy environment, local knowledge (LK) is increasingly seen as an important component of building the resilience of communities and delivering sustainable disaster risk reduction (DRR) approaches tailored to local contexts. Many studies focus on documenting LK in different contexts; however, far less emphasis has been given to understanding how external stakeholders (i.e. government, NGOs, consultants) engage with and perceive the value of LK for DRR. Through an intepretivist epistemology and a case study research design, this paper sets out to fill in this gap by engaging with external stakeholders involved with community-based flood risk management in Malawi. It bases its findings on a thematic analysis of qualitative data collected through focus group discussions (n = 7) and key informant interviews (n = 69) conducted in 2016 and 2017. The findings show that although there is an appreciation of the importance of LK in rhetoric, its inclusion in DRR practice remains limited. The strong dichotomy between local and scientific knowledge persists and it has led to the further marginalisation of LK. The international policy and research push for LK in DRR is therefore not translated to realities on the ground. To the best of our knowledge, this presents one of the first studies of external stakeholders' attitudes of LK and how these influence its overall position in DRR. The paper calls for further development of knowledge co-production processes that will be based on giving equal weight, recognition and importance to LK.</t>
  </si>
  <si>
    <t>[Trogrlic, Robert Sakic] Kings Coll London, Dept Geog, Strand Campus, London WC2B 4BG, England; [Trogrlic, Robert Sakic; Wright, Grant; Adeloye, Adebayo] Heriot Watt Univ, Sch Energy Geosci Infrastruct &amp; Soc, Edinburgh EH14 4AS, Midlothian, Scotland; [Duncan, Melanie] British Geol Survey, Lyell Ctr, Edinburgh EH14 4AP, Midlothian, Scotland; [van den Homberg, Marc] 510 Initiat Netherlands Red Cross, NL-2593 HT The Hague, Netherlands; [Mwale, Faidess] Univ Malawi, Dept Civil Engn, 3 P Bag 303, Blantyre, Malawi; [McQuistan, Colin] Pract Act, Rugby CV21 2SD, England</t>
  </si>
  <si>
    <t>Trogrlic, RS (corresponding author), Kings Coll London, Dept Geog, Strand Campus, London WC2B 4BG, England.</t>
  </si>
  <si>
    <t>robert.sakic_trogrlic@kcl.ac.uk</t>
  </si>
  <si>
    <t>van den Homberg, Marc/AGY-9332-2022</t>
  </si>
  <si>
    <t>van den Homberg, Marc/0000-0003-1436-254X; SAKIC TROGRLIC, ROBERT/0000-0002-6627-873X; Wright, Grant/0000-0003-3241-1456; Adeloye, Adebayo/0000-0002-2820-4596</t>
  </si>
  <si>
    <t>Scottish Government through the Hydro Nation PhD Scholarship; British Geological Survey NC-ODA grant [NE/R000069/1]</t>
  </si>
  <si>
    <t>Scottish Government through the Hydro Nation PhD Scholarship; British Geological Survey NC-ODA grant</t>
  </si>
  <si>
    <t>The authors wish to thank all the individuals that volunteered their time to take part in this study. Also, we thank the Scottish Government for funding this research through the Hydro Nation PhD Scholarship awarded to the first author. We also thank Tanja Hendriks from University of Edinburgh for reviewing the draft manuscript before submission and providing valuable feedback. Melanie Duncan's contribution to this article was supported by British Geological Survey NC-ODA grant NE/R000069/1: Geoscience for Sustainable Futures. Melanie Duncan publishes with permission of the Executive Director, British Geological Survey (UKRI). Finally, we want to thank three anonymous reviewers for their suggestions that significantly improved the quality of the manuscript.</t>
  </si>
  <si>
    <t>2212-4209</t>
  </si>
  <si>
    <t>INT J DISAST RISK RE</t>
  </si>
  <si>
    <t>Int. J. Disaster Risk Reduct.</t>
  </si>
  <si>
    <t>10.1016/j.ijdrr.2021.102196</t>
  </si>
  <si>
    <t>SB0RZ</t>
  </si>
  <si>
    <t>WOS:000649711900004</t>
  </si>
  <si>
    <t>Schiffer, HW; Ulreich, S</t>
  </si>
  <si>
    <t>Schiffer, Hans-Wilhelm; Ulreich, Stefan</t>
  </si>
  <si>
    <t>Hydrogen Important Building Block Towards Climate Neutrality</t>
  </si>
  <si>
    <t>ATW-INTERNATIONAL JOURNAL FOR NUCLEAR POWER</t>
  </si>
  <si>
    <t>Introduction This paper describes various methods for the production of hydrogen and estimates the respective costs. Transport and storage options are described also with an indication of the expected costs. Additional focus is given to applications of hydrogen in various sectors of the economy, such as transport, buildings and industry. This covers the main value-clusters. Political strategies for achieving climate neutrality are increasingly directed at the global potential that can be increased with growing use of hydrogen. Examples of two types of countries are considered, demonstrating strategic focus in different directions. One direction emphasises future export opportunities resulting from increased global demand. The other places focus on the import of hydrogen as a contributor to achieving energy and climate policy goals. A number of institutions have recently presented updated projections for the longer-term development of global energy supply. These institutions include international organisations such as the World Energy Council and the International Energy Agency, consulting and services companies McKinsey, DNV and Bloomberg, and energy companies BP and Equinor. The results of these studies on the future of hydrogen in different model calculations are presented. The conclusion is that hydrogen is one of the central building blocks of different paths towards climate neutrality.</t>
  </si>
  <si>
    <t>[Schiffer, Hans-Wilhelm] Rhein Westfal TH Aachen, Energy Econ, Aachen, Germany; [Ulreich, Stefan] Univ Appl Sci, Energy Econ, Biberach, Germany</t>
  </si>
  <si>
    <t>Schiffer, HW (corresponding author), Rhein Westfal TH Aachen, Energy Econ, Aachen, Germany.</t>
  </si>
  <si>
    <t>HWSchiffer@t-online.de; ulreich@hochschule-bc.de</t>
  </si>
  <si>
    <t>INFORUM VERLAGS-VERWALTUNGSGESELLSCHAFT MBH</t>
  </si>
  <si>
    <t>ATW-ADVERTISING-SUBSCRIPTIONS, ROBERT-KOCH-PLATZ 4, BERLIN, 10115, GERMANY</t>
  </si>
  <si>
    <t>1431-5254</t>
  </si>
  <si>
    <t>ATW-INT J NUCL POWER</t>
  </si>
  <si>
    <t>ATW-Int. J. Nucl. Power</t>
  </si>
  <si>
    <t>Nuclear Science &amp; Technology</t>
  </si>
  <si>
    <t>TY4BM</t>
  </si>
  <si>
    <t>WOS:000683728800006</t>
  </si>
  <si>
    <t>Kristianssen, AC; Granberg, M</t>
  </si>
  <si>
    <t>Kristianssen, Ann-Catrin; Granberg, Mikael</t>
  </si>
  <si>
    <t>Transforming Local Climate Adaptation Organization: Barriers and Progress in 13 Swedish Municipalities</t>
  </si>
  <si>
    <t>CLIMATE</t>
  </si>
  <si>
    <t>climate adaptation; local government; transformative learning; climate adaptation policy; organizational change</t>
  </si>
  <si>
    <t>SUSTAINABLE DEVELOPMENT; GOVERNANCE; RESILIENCE; IMPACTS; POLICY</t>
  </si>
  <si>
    <t>Local strategies and policies are key in climate adaptation, although research shows significant barriers to progress. Sweden, often seen as progressive in climate change issues, has struggled in adopting a sufficient local climate adaptation organization. This article aimed to describe and analyze the climate adaptation organization in 13 Swedish municipalities from five perspectives: Problem framing, administrative and political agency, administrative and political structures, measures and solutions, and the role of learning. The mapping of these perspectives provides an opportunity to analyze barriers to local climate adaptation. Key policy documents have been studied including climate adaptation plans, crisis management plans, and regulatory documents, as well as documents from private consultants. This study showed that few municipalities have a formal organization for climate adaptation, clear structures, political support, and specific climate adaptation plans. At the same time, many of the municipalities are planning for transformation, due to a push from the county board, a lead agency in climate adaptation. There are also ample networks providing opportunities for learning among municipalities and regions. This study concluded that one key barrier is the lack of focus and prioritization in a majority of the municipalities, leaving the administrators, often planners, in a more activist position. The need for organizational mainstreaming and resources is emphasized.</t>
  </si>
  <si>
    <t>[Kristianssen, Ann-Catrin] Orebro Univ, Sch Humanities Educ &amp; Social Sci, Polit Sci, SE-70182 Orebro, Sweden; [Granberg, Mikael] Karlstad Univ, Ctr Societal Risk Res &amp; Polit Sci, S-65188 Karlstad, Sweden; [Granberg, Mikael] Uppsala Univ, Ctr Nat Hazards &amp; Disaster Sci, SE-75236 Uppsala, Sweden; [Granberg, Mikael] RMIT Univ, Ctr Urban Res, Melbourne, Vic 3001, Australia</t>
  </si>
  <si>
    <t>Granberg, M (corresponding author), Karlstad Univ, Ctr Societal Risk Res &amp; Polit Sci, S-65188 Karlstad, Sweden.;Granberg, M (corresponding author), Uppsala Univ, Ctr Nat Hazards &amp; Disaster Sci, SE-75236 Uppsala, Sweden.;Granberg, M (corresponding author), RMIT Univ, Ctr Urban Res, Melbourne, Vic 3001, Australia.</t>
  </si>
  <si>
    <t>ann-catrin.kristianssen@oru.se; mikael.granberg@kau.se</t>
  </si>
  <si>
    <t>Granberg, Mikael/B-5399-2013</t>
  </si>
  <si>
    <t>Granberg, Mikael/0000-0002-5356-4112</t>
  </si>
  <si>
    <t>Lansforsakringsbolagens Forskningsfond [P2/14]; Swedish Civil Contingency Agency [MSB/2016-6855]</t>
  </si>
  <si>
    <t>Lansforsakringsbolagens Forskningsfond; Swedish Civil Contingency Agency</t>
  </si>
  <si>
    <t>This research was funded by Lansforsakringsbolagens Forskningsfond, grant number P2/14, and the research fund of the Swedish Civil Contingency Agency, grant numberMSB/2016-6855.</t>
  </si>
  <si>
    <t>2225-1154</t>
  </si>
  <si>
    <t>10.3390/cli9040052</t>
  </si>
  <si>
    <t>RR2HF</t>
  </si>
  <si>
    <t>WOS:000642925400001</t>
  </si>
  <si>
    <t>Jager, RS</t>
  </si>
  <si>
    <t>Jaeger, Reinhold S.</t>
  </si>
  <si>
    <t>It will never be as it was before. Corona pandemia and its consequences: Chances of educational psychology - a subjective statement</t>
  </si>
  <si>
    <t>ZEITSCHRIFT FUR PADAGOGISCHE PSYCHOLOGIE</t>
  </si>
  <si>
    <t>German</t>
  </si>
  <si>
    <t>Corona pandemia; science communication; political consulting; consulting of educational institutions; monitoring; advancement</t>
  </si>
  <si>
    <t>The corona pandemia leads to consequences that are significant for individuals, groups of persons, institutions and politics. The temporary lockdown in a large number of countries has made clear where and for whom disadvantages have arisen that will also have an impact on educational biographies in the medium and long term. With this background it can be said that it will never be as it was before. In this extraordinary situation, educational psychology is required as subject and political representative. This article intends to make it clear that educational psychology is not helpless with respect to the consequences of this pandemia - as far as education is addressed. Rather, that the expertise of the educational psychology can and must be used to make sure the own sustainable contribution to the further development of education and their institutions. The argumentation runs along two axes: policy advice and advice to educational institutions as well as monitoring and funding. School and teaching development play a role here, as do leadership, personnel development, digitization, diagnostics and evaluation, too. They are all discussed with the background of the question how educational institutions can be given the necessary recognition. The orientation towards the school is a blueprint for all educational institutions.</t>
  </si>
  <si>
    <t>[Jaeger, Reinhold S.] Univ Koblenz Landau, Zentrum Empir Padag Forsch Zepf, Landau, Germany</t>
  </si>
  <si>
    <t>Jager, RS (corresponding author), Hochstadter Str 12, D-76879 Esslingen, Germany.</t>
  </si>
  <si>
    <t>jaeger@zepf.uni-landau.de</t>
  </si>
  <si>
    <t>HOGREFE PUBLISHING CORP</t>
  </si>
  <si>
    <t>361 NEWBURY ST, 5 FL, BOSTON, MA, UNITED STATES</t>
  </si>
  <si>
    <t>1010-0652</t>
  </si>
  <si>
    <t>1664-2910</t>
  </si>
  <si>
    <t>Z PADAGOG PSYCHOL</t>
  </si>
  <si>
    <t>Z. Padagog. Psychol.</t>
  </si>
  <si>
    <t>10.1024/1010-0652/a000294</t>
  </si>
  <si>
    <t>RT8HD</t>
  </si>
  <si>
    <t>WOS:000644696000001</t>
  </si>
  <si>
    <t>Velumani, P; Nampoothiri, NVN; Urbanski, M</t>
  </si>
  <si>
    <t>Velumani, P.; Nampoothiri, N. V. N.; Urbanski, M.</t>
  </si>
  <si>
    <t>A Comparative Study of Models for the Construction Duration Prediction in Highway Road Projects of India</t>
  </si>
  <si>
    <t>construction duration; artificial neural network; smoothing techniques; time series analysis; Bromilow&amp;#8217; s time&amp;#8211; cost model; prediction and infrastructure projects</t>
  </si>
  <si>
    <t>Predicting the duration of construction projects with acceptable accuracy is a problem for contractors and researchers. Numerous researchers and tools are involved in sorting out this problem. The aim of the study is to predict the construction duration using four analytical tools as an approach. The success of construction projects in regard to time depends on various factors such as selection of contractors, consultants, cost of the projects, quality of the projects, the quantity of the projects, environmental factors, etc. Presently available commercial tools in the market are not designed as universally common and concerned. Every tool performs well in a particular situation. The prediction of India's highway road projects duration is the biggest construction issue in the country due to various reasons. To overcome this problem, the methodology of the paper adopts various strategies to find suitable tools to predict the highway road projects' duration, in which it classifies and analyzes the collected data. As a part of this work, the details of 363 government infrastructure projects (traditional procurement) were collected from 2000 to 2018. The present study also adopts various tools for duration prediction such as artificial neural networks (ANNs), smoothing techniques, time series analysis, and Bromilow's time-cost (BTC) model. The results of the study recommend smoothing techniques with a constant value of 0.3, which gave the remarkable very small error of 1.2%, and its outcomes become even better when compared to other techniques.</t>
  </si>
  <si>
    <t>[Velumani, P.; Nampoothiri, N. V. N.] Kalasalingam Acad Res &amp; Educ, Krishnankoil 626126, Tamil Nadu, India; [Urbanski, M.] Czestochowa Tech Univ, Fac Civil Engn, PL-42201 Czestochowa, Poland</t>
  </si>
  <si>
    <t>Velumani, P (corresponding author), Kalasalingam Acad Res &amp; Educ, Krishnankoil 626126, Tamil Nadu, India.;Urbanski, M (corresponding author), Czestochowa Tech Univ, Fac Civil Engn, PL-42201 Czestochowa, Poland.</t>
  </si>
  <si>
    <t>velumani@klu.ac.in; drnvnnn@gmail.com; mariusz.urbanski@pcz.pl</t>
  </si>
  <si>
    <t>Urbański, Mariusz/AAK-8285-2020</t>
  </si>
  <si>
    <t>Urbański, Mariusz/0000-0002-5808-5209</t>
  </si>
  <si>
    <t>10.3390/su13084552</t>
  </si>
  <si>
    <t>RU7YW</t>
  </si>
  <si>
    <t>WOS:000645360000001</t>
  </si>
  <si>
    <t>Chan, ESW</t>
  </si>
  <si>
    <t>Chan, Eric S. W.</t>
  </si>
  <si>
    <t>Influencing stakeholders to reduce carbon footprints: Hotel managers' perspective</t>
  </si>
  <si>
    <t>INTERNATIONAL JOURNAL OF HOSPITALITY MANAGEMENT</t>
  </si>
  <si>
    <t>Hotels; Carbon footprint; Managers; Qualitative research; Influencing strategies</t>
  </si>
  <si>
    <t>Reducing the carbon footprint is an important strategy in addressing the greenhouse effect. Some businesses in the hotel industry have started to consider implementing programmes that involve their stakeholders so that they can reduce their carbon footprints together. However, little research into how hoteliers influence their key stakeholders has been conducted. The aim of this study is to identify who hotel managers consider to be their key stakeholders and what strategies they use to encourage the stakeholders to act co-operatively. These issues are examined by taking a qualitative research approach, in which data were collected from 22 hotel executives through in-depth interviews. The findings reveal the stakeholders identified by the executives are hotel owners, employees, customers, hotels/hotel owners' associations, governments, consultants, investors, suppliers, environmental NGOs and the wider community. The different influencing strategies used with these stakeholders are discussed.</t>
  </si>
  <si>
    <t>[Chan, Eric S. W.] Hong Kong Polytech Univ, Sch Hotel &amp; Tourism Management, 17 Sci Museum Rd, Hong Kong, Peoples R China</t>
  </si>
  <si>
    <t>Chan, ESW (corresponding author), Hong Kong Polytech Univ, Sch Hotel &amp; Tourism Management, 17 Sci Museum Rd, Hong Kong, Peoples R China.</t>
  </si>
  <si>
    <t>eric.sw.chan@polyu.edu.hk</t>
  </si>
  <si>
    <t>Chan, Eric/B-9891-2014</t>
  </si>
  <si>
    <t>Chan, Eric/0000-0003-0118-588X</t>
  </si>
  <si>
    <t>Hong Kong Polytechnic University [G-YBNH]</t>
  </si>
  <si>
    <t>Hong Kong Polytechnic University(Hong Kong Polytechnic University)</t>
  </si>
  <si>
    <t>The authors would like to acknowledge the support of the Hong Kong Polytechnic University (Project Reference: G-YBNH) and thank the participating hotels for their input and feedback on this project. The constructive comments of both the editor and anonymous reviewers are also acknowledged with gratitude.</t>
  </si>
  <si>
    <t>0278-4319</t>
  </si>
  <si>
    <t>1873-4693</t>
  </si>
  <si>
    <t>INT J HOSP MANAG</t>
  </si>
  <si>
    <t>Int. J. Hosp. Manag.</t>
  </si>
  <si>
    <t>10.1016/j.ijhm.2020.102807</t>
  </si>
  <si>
    <t>RA2OQ</t>
  </si>
  <si>
    <t>WOS:000631257900011</t>
  </si>
  <si>
    <t>Abu Aisheh, YI; Tayeh, BA; Alaloul, WS; Jouda, AF</t>
  </si>
  <si>
    <t>Abu Aisheh, Yazan Issa; Tayeh, Bassam A.; Alaloul, Wesam Salah; Jouda, Amro Fareed</t>
  </si>
  <si>
    <t>Barriers of Occupational Safety Implementation in Infrastructure Projects: Gaza Strip Case</t>
  </si>
  <si>
    <t>barriers; infrastructure projects; health and safety; Gaza Strip</t>
  </si>
  <si>
    <t>Infrastructure projects are the foundation for essential public services and have an influential position in societal development. Although the role of infrastructure projects is substantial, they can involve complexities and safety issues that lead to an unsafe environment, and which impacts the project key stakeholders. Therefore, this study aimed to evaluate the barriers to implementing occupational safety in infrastructure projects in the Gaza Strip, which cause serious threats and reduce project performance. To evaluate the barriers, 39 items were highlighted and modified as per the construction context and environment, and which later were distributed in the form of a questionnaire, to get feedback from consultants and contractors. The analysis shows that in the safety policy barriers group, consultants and contractors both ranked the item a contractor committed to an occupational safety program is not rewarded first. In the management barriers group, consultants and contractors both ranked the item safety engineer does not have significant powers, such as stopping work when needed in the first place. In the behavior and culture barriers group, consultants and contractors both ranked the item workers who are not committed to occupational safety are not excluded in the first place. Overall, both consultants and contractors shared the same viewpoint in classifying the barriers in the working environment. The outcome of this study is beneficial for Palestinian construction industry policymakers, so they can monitor the highlighted barriers in on-going infrastructure projects and can modify the safety guidelines accordingly.</t>
  </si>
  <si>
    <t>[Abu Aisheh, Yazan Issa] Middle East Univ, Civil Engn Dept, Amman 11831, Jordan; [Tayeh, Bassam A.; Jouda, Amro Fareed] Islamic Azad Univ, Fac Engn, Civil Engn Dept, POB 108, Gaza, Palestine; [Alaloul, Wesam Salah] Univ Teknol PETRONAS, Dept Civil &amp; Environm Engn, Bandar Seri Iskandar 32610, Tronoh, Malaysia</t>
  </si>
  <si>
    <t>Tayeh, BA (corresponding author), Islamic Azad Univ, Fac Engn, Civil Engn Dept, POB 108, Gaza, Palestine.</t>
  </si>
  <si>
    <t>yabuaisheh@meu.edu.jo; btayeh@iugaza.edu.ps; wesam.alaloul@utp.edu.my; amro.f.jouda@gmail.com</t>
  </si>
  <si>
    <t>tayeh, bassam/0000-0002-2941-3402; Abu Aisheh, Yazan Issa/0000-0002-9386-0610</t>
  </si>
  <si>
    <t>10.3390/ijerph18073553</t>
  </si>
  <si>
    <t>RK8DG</t>
  </si>
  <si>
    <t>WOS:000638519200001</t>
  </si>
  <si>
    <t>Dis, AT; Karimnia, E</t>
  </si>
  <si>
    <t>Dis, Asli Tepecik; Karimnia, Elahe</t>
  </si>
  <si>
    <t>Reframing Kiruna's Relocation-Spatial Production or a Sustainable Transformation?</t>
  </si>
  <si>
    <t>urban transformation; planning practice; urban design process; socio-spatial process; sustainability; urban planning; sustainable transformation</t>
  </si>
  <si>
    <t>Due to the expansion of nearby mining operations, the city of Kiruna, an arctic city in Sweden, has been undergoing a massive urban transformation, led by the mining company, Luossavaara-Kiirunavaara Aktiebolag (LKAB), which is the largest iron ore producer in the EU. This paper explores this relocation in a three-sphere transformation framework that has sustainability as the outcome (practical sphere), and analyses it as a socio-spatial transformation process, including political decisions as its driving forces (political sphere), to examine how this outcome and decisions represent individual and collective values (personal sphere). The analysis of three spheres is used as a tool to understand how and why Kiruna's urban transformation is deemed to be sustainable, as it claims, and which it is being globally acknowledged for. Methods include analysis of Kiruna's new master plan, media representations, and interviews with key actors of the project, who include municipal planners; the mining company's planning developers; consultants, as the designers of 'Kiruna 4-ever' and the new city center; as well as the city's residents. The analysis is a critique of the approaches that fit this project into either the critique of market-led spatial production, or as an example of best practice, based on its participatory processes. Results indicate that although Kiruna's relocation is claimed to be a transformation of collective values, practical and technical transformations were dominant, which represents only partial responses in the framework. Therefore, a multi-voice narrative challenges the sustainability of Kiruna's transformation.</t>
  </si>
  <si>
    <t>[Dis, Asli Tepecik] KTH Royal Inst Technol, Sch Architecture &amp; Built Environm, S-10044 Stockholm, Sweden; [Karimnia, Elahe] Theatrum Mundi, London EC1R 0AA, England</t>
  </si>
  <si>
    <t>Dis, AT (corresponding author), KTH Royal Inst Technol, Sch Architecture &amp; Built Environm, S-10044 Stockholm, Sweden.</t>
  </si>
  <si>
    <t>atdis@kth.se; elahe@theatrum-mundi.org</t>
  </si>
  <si>
    <t>Karimnia, Elahe/0000-0002-4718-5036</t>
  </si>
  <si>
    <t>Fulbright Arctic Initiative Program; Nordregio</t>
  </si>
  <si>
    <t>This study was supported by the Fulbright Arctic Initiative Program 2015-2016, and Nordregio.</t>
  </si>
  <si>
    <t>10.3390/su13073811</t>
  </si>
  <si>
    <t>RL3TT</t>
  </si>
  <si>
    <t>WOS:000638900800001</t>
  </si>
  <si>
    <t>Kaselofsky, J; Rosa, M; Jekabsone, A; Favre, S; Loustalot, G; Toma, M; Marin, JPD; Nicolas, MM; Cosenza, E</t>
  </si>
  <si>
    <t>Kaselofsky, Jan; Rosa, Marika; Jekabsone, Anda; Favre, Solenne; Loustalot, Gabriel; Toma, Michael; Delgado Marin, Jose Pablo; Moreno Nicolas, Manuel; Cosenza, Emanuele</t>
  </si>
  <si>
    <t>Getting Municipal Energy Management Systems ISO 50001 Certified: A Study with 28 European Municipalities</t>
  </si>
  <si>
    <t>local climate and energy policy; energy management; ISO 50001; motivations; challenges</t>
  </si>
  <si>
    <t>Managing energy use by municipalities should be an important part of local energy and climate policy. The ISO 50001 standard constitutes an internationally recognized catalogue of requirements for systematic energy management. Currently, this standard is mostly implemented by companies. Our study presents an approach where consultants supported 28 European municipalities in establishing energy management systems. A majority (71%) of these municipalities had achieved ISO 50001 certification by the end of our study. We also conducted two surveys to learn more about motivations and challenges when it comes to establishing municipal energy management systems. We found that organizational challenges and resource constraints were the most important topics in this regard. Based on the experiences in our study we present lessons learned regarding supporting municipalities in establishing energy management systems.</t>
  </si>
  <si>
    <t>[Kaselofsky, Jan] Wuppertal Inst Climate, Energy Climate &amp; Transport Policy Div, D-42103 Wuppertal, Germany; [Rosa, Marika; Jekabsone, Anda] Riga Tech Univ, Fac Elect &amp; Environm Engn, Inst Energy Syst &amp; Environm, LV-1658 Riga, Latvia; [Favre, Solenne; Loustalot, Gabriel; Toma, Michael] MT Partenaires Ingn, F-33200 Bordeaux, France; [Delgado Marin, Jose Pablo; Moreno Nicolas, Manuel] EuroVertice Consultores, Murcia 30100, Spain; [Cosenza, Emanuele] SOGESCA Srl, Project Dev, I-35030 Sarmeola di Rubano, Italy</t>
  </si>
  <si>
    <t>Kaselofsky, J (corresponding author), Wuppertal Inst Climate, Energy Climate &amp; Transport Policy Div, D-42103 Wuppertal, Germany.</t>
  </si>
  <si>
    <t>jan.kaselofsky@wupperinst.org; marika.rosa@rtu.lv; anda.jekabsone@edu.rtu.lv; s.favre@mt-partenaires.fr; g.loustalot@mt-partenaires.fr; m.toma@mt-partenaires.fr; jpablo.delgado@eurovertice.eu; manuel.moreno@eurovertice.eu; e.cosenza@sogesca.it</t>
  </si>
  <si>
    <t>Cosenza, Emanuele/0000-0002-0113-1614; Delgado Marin, Jose Pablo/0000-0003-2286-6481</t>
  </si>
  <si>
    <t>European Union's Horizon 2020 research and innovation program [754162]; Wuppertal Institut fur Klima, Umwelt, Energie within the funding program Open Access Publishing</t>
  </si>
  <si>
    <t>European Union's Horizon 2020 research and innovation program; Wuppertal Institut fur Klima, Umwelt, Energie within the funding program Open Access Publishing</t>
  </si>
  <si>
    <t>The research presented in this paper was conducted with funding received from the European Union's Horizon 2020 research and innovation program under grant agreement no. 754162. We also acknowledge financial support from Wuppertal Institut fur Klima, Umwelt, Energie within the funding program Open Access Publishing.</t>
  </si>
  <si>
    <t>10.3390/su13073638</t>
  </si>
  <si>
    <t>RL4BE</t>
  </si>
  <si>
    <t>WOS:000638920100001</t>
  </si>
  <si>
    <t>Ogachi, D; Bares, L; Zeman, Z</t>
  </si>
  <si>
    <t>Ogachi, Daniel; Bares, Lydia; Zeman, Zoltan</t>
  </si>
  <si>
    <t>Innovation and Scientific Research as a Sustainable Development Goal in Spanish Public Universities</t>
  </si>
  <si>
    <t>academic patenting; publications; universities; Spain</t>
  </si>
  <si>
    <t>One of the Sustainable Development Goals for 2030 is building resilient infrastructure, promoting inclusive and sustainable industrialisation, and fostering innovation. This paper aims to analyse the possible consequences of stimulating commercial exploitation of academic research, encouraged by recent policy initiatives and legislative changes, on the quantity and quality of scientific knowledge in Spain's public universities. We collected data of innovation variables (national patents, R&amp;D and consultancy agreements, services rendered, licenses and PCT extensions and spin-offs), publications and number of citations for 48 Spanish public universities in 2009-2018 from Observatorio IUNE, which obtains data from the Spanish Patent and Trademark Office, the Network of Research Results Transfer Offices and Web of Science. The results of linear regressions models showed that universities that render more services and have a greater number of PCTs (patent cooperation treaties), have a positive impact on the quantity and quality of the publications in Spanish universities. However, the number of national patents has no impact on the scientific output. Finally, universities with a greater number of patents have a lower number of citations.</t>
  </si>
  <si>
    <t>[Ogachi, Daniel] Hungarian Univ Agr &amp; Life Sci, Doctoral Sch Econ &amp; Reg Sci, H-2100 Godollo, Hungary; [Bares, Lydia] Univ Cadiz, Dept Gen Econ, Ave Enrique Villegas Velez 2, Cadiz 11002, Spain; [Zeman, Zoltan] Hungarian Univ Agr &amp; Life Sci, Inst Business Regulat &amp; Informat Management, H-2100 Godollo, Hungary</t>
  </si>
  <si>
    <t>Bares, L (corresponding author), Univ Cadiz, Dept Gen Econ, Ave Enrique Villegas Velez 2, Cadiz 11002, Spain.</t>
  </si>
  <si>
    <t>ogachdniel@gmail.com; lydia.bares@uca.es; zeman.zoltan@gtk.szie.hu</t>
  </si>
  <si>
    <t>; BARES LOPEZ, LYDIA/N-7836-2015</t>
  </si>
  <si>
    <t>Zeman, Zoltan/0000-0003-2504-028X; Ogachi, Dr. Daniel/0000-0003-1740-5808; BARES LOPEZ, LYDIA/0000-0001-6026-6570</t>
  </si>
  <si>
    <t>Hungarian University of Agriculture and Life Sciences</t>
  </si>
  <si>
    <t>The APC was funded by the Hungarian University of Agriculture and Life Sciences.</t>
  </si>
  <si>
    <t>10.3390/su13073976</t>
  </si>
  <si>
    <t>RL3WS</t>
  </si>
  <si>
    <t>WOS:000638908500001</t>
  </si>
  <si>
    <t>Escoto, BEB; Delgado, NIM; Aguirre, FAR</t>
  </si>
  <si>
    <t>Bernal Escoto, Blanca Estela; Montero Delgado, Nancy Imelda; Rivera Aguirre, Flavio Abel</t>
  </si>
  <si>
    <t>Strategic Analysis of Sustainable Tourism in Baja California against COVID-19</t>
  </si>
  <si>
    <t>competitiveness; sustainable tourism; COVID-19 health contingency</t>
  </si>
  <si>
    <t>As a result of the health contingency caused by COVID-19, a large number of companies worldwide have been forced to drastically change their work processes in order to adapt to the current situation; however, the strategies proposed by governments around the world to deal with this crisis have been classified as seasonal by health specialists, implying that at some point it will return to normal. To this end, this study is developed through the implementation of four strategic models (strengths, opportunities, weaknesses, and threats (SWOT) method, competitive advantage matrix, Boston Consulting Group (BCG) matrix, and the ERIC matrix: Eliminate-Reduce-Increase-Create)) that allow entrepreneurs in the tourism sector of the State of Baja California to face the consequences that the pandemic has generated in detriment of its competitiveness, which, in turn, will allow them to design competitive strategies that directly support the tourism sector of the entity, facilitating decision making to achieve the sustainable development of regional tourism. Observing that the main competitive advantage of the entrepreneurs in the studied sector is the fact that they are mostly part of the gastro-tourism cluster of Baja California since they receive support and joint promotion that allows them to generate a unique and inimitable competitive advantage.</t>
  </si>
  <si>
    <t>[Bernal Escoto, Blanca Estela; Montero Delgado, Nancy Imelda; Rivera Aguirre, Flavio Abel] Autonomous Univ Baja California, Fac Accounting &amp; Adm, Tijuana 22390, Mexico</t>
  </si>
  <si>
    <t>Escoto, BEB (corresponding author), Autonomous Univ Baja California, Fac Accounting &amp; Adm, Tijuana 22390, Mexico.</t>
  </si>
  <si>
    <t>blancab@uabc.edu.mx; nmontero@uabc.edu.mx; flavio.rivera@uabc.edu.mx</t>
  </si>
  <si>
    <t>Bernal, Blanca/F-6646-2019</t>
  </si>
  <si>
    <t>Bernal, Blanca/0000-0002-8721-2561</t>
  </si>
  <si>
    <t>10.3390/su13073948</t>
  </si>
  <si>
    <t>RL4ES</t>
  </si>
  <si>
    <t>WOS:000638929300001</t>
  </si>
  <si>
    <t>O'Brien, A; Korszun, A</t>
  </si>
  <si>
    <t>O'Brien, Aileen; Korszun, Ania</t>
  </si>
  <si>
    <t>Follow the money: how is medical school teaching funded?</t>
  </si>
  <si>
    <t>BJPSYCH BULLETIN</t>
  </si>
  <si>
    <t>Education and training; recruitment; educational policy; medical schools; undergraduate teaching</t>
  </si>
  <si>
    <t>Growing student numbers are producing greater demand for teaching, and resources allocated for education are being placed under increasing strain. The need for more student clinical placements and more clinician teaching time is expanding. Psychiatrists have successfully drawn attention to the importance of parity between mental and physical illness. We now have a responsibility to ensure enhanced opportunities to teach psychiatry to our medical students. This is set against a background of an increasing number of psychiatry consultants leaving the profession and an already stretched National Health Service environment. Many consultants contribute to teaching but do not have this activity included in their job plans. Although clinics and clinical meetings are inevitably slower when students are present, there is often no backfill provided. As outlined below, trusts receive substantial funding to cover costs related to the teaching of medical students, but most of us don't know what actually happens to this money. Here, we discuss how teaching is currently funded and make recommendations regarding improving accountability.</t>
  </si>
  <si>
    <t>[O'Brien, Aileen] St Georges Univ London, London, England; [Korszun, Ania] Barts &amp; London Queen Marys Sch Med &amp; Dent, London, England</t>
  </si>
  <si>
    <t>O'Brien, A (corresponding author), St Georges Univ London, London, England.</t>
  </si>
  <si>
    <t>aobrien@sgul.ac.uk</t>
  </si>
  <si>
    <t>2056-4694</t>
  </si>
  <si>
    <t>2056-4708</t>
  </si>
  <si>
    <t>BJPSYCH BULL</t>
  </si>
  <si>
    <t>BJPsych Bull.</t>
  </si>
  <si>
    <t>PII S2056469420000509</t>
  </si>
  <si>
    <t>10.1192/bjb.2020.50</t>
  </si>
  <si>
    <t>RB9TW</t>
  </si>
  <si>
    <t>Green Accepted, gold, Green Published</t>
  </si>
  <si>
    <t>WOS:000632448600001</t>
  </si>
  <si>
    <t>Ehrich, J; Manemann, J; Tasic, V; DeSanto, NG</t>
  </si>
  <si>
    <t>Ehrich, Jochen; Manemann, Juergen; Tasic, Velibor; DeSanto, Natale Gaspare</t>
  </si>
  <si>
    <t>The implications of complexity, systems thinking and philosophy for pediatricians</t>
  </si>
  <si>
    <t>ITALIAN JOURNAL OF PEDIATRICS</t>
  </si>
  <si>
    <t>Children; Pediatrics; Complexity; Systems thinking; Philosophy; Salutogenesis</t>
  </si>
  <si>
    <t>CHILD HEALTH-CARE; EUROPE</t>
  </si>
  <si>
    <t>National service systems in child healthcare are characterized by diversity and complexity. Primary, secondary, tertiary and quaternary healthcare services create complex networks covering pediatric subspecialties, psychology, sociology, economics and politics. Can pediatrics exist without philosophy? Does the absence of integrating philosophical perspectives during conceptualization of pediatric care contribute to deficiencies in the service systems structuring child healthcare? Philosophy offers new ways of complex systems thinking in scientific and clinical pediatrics. Philosophy could improve coping strategies on different levels when dealing with ethics of research projects, individual child healthcare and crises of healthcare service systems. Boundary and ultimate situations experienced by severely sick children require help, hope and resilience. Patients and families as well as pediatricians and other caregivers must act in concert. All of them may benefit from consulting with philosophers. The aim of this article is to point out the risks of a strict separation of scientific insight and sensory experience affecting child healthcare in our modern society, which is dominated by technology, competition and lack of equity and time.</t>
  </si>
  <si>
    <t>[Ehrich, Jochen] Hannover Med Sch, Childrens Hosp, Carl Neuberg Str 1, D-30625 Hannover, Germany; [Manemann, Juergen] Hanover Res Inst Philosophy, Hannover, Germany; [Tasic, Velibor] Univ Childrens Hosp, Sch Med, Skopje, North Macedonia; [DeSanto, Natale Gaspare] Univ Campania Luigi Vanvitelli, Naples, Italy</t>
  </si>
  <si>
    <t>Ehrich, J (corresponding author), Hannover Med Sch, Childrens Hosp, Carl Neuberg Str 1, D-30625 Hannover, Germany.</t>
  </si>
  <si>
    <t>ehrich.jochen@mh-hannover.de</t>
  </si>
  <si>
    <t>Open Access funding enabled and organized by Projekt DEAL.</t>
  </si>
  <si>
    <t>1720-8424</t>
  </si>
  <si>
    <t>1824-7288</t>
  </si>
  <si>
    <t>ITAL J PEDIATR</t>
  </si>
  <si>
    <t>Ital. J. Pediatr.</t>
  </si>
  <si>
    <t>MAR 25</t>
  </si>
  <si>
    <t>10.1186/s13052-021-01031-6</t>
  </si>
  <si>
    <t>Pediatrics</t>
  </si>
  <si>
    <t>RG0AN</t>
  </si>
  <si>
    <t>WOS:000635199300004</t>
  </si>
  <si>
    <t>Agyekum, K; Adinyira, E; Oppon, JA</t>
  </si>
  <si>
    <t>Agyekum, Kofi; Adinyira, Emmanuel; Oppon, James Anthony</t>
  </si>
  <si>
    <t>Factors limiting the adoption of hemp as an alternative sustainable material for green building delivery in Ghana</t>
  </si>
  <si>
    <t>Climate change; Alternative building material; Sustainable building material; Hemp; Hemp-based materials; Ghana</t>
  </si>
  <si>
    <t>Purpose The increased awareness of global environmental threats like climate change has created an upsurge of interest in low embodied carbon building materials for green building delivery. Though the literature advocates for the use of hemp-based building materials, there is no evidence of studies to explore its potential use in Ghana. Therefore, this study explores the potential factors that limit the adoption of hemp as an alternative sustainable material for green building delivery in Ghana. Design/methodology/approach A structured questionnaire was used to solicit the views of built environment professionals operating in construction, consulting and developer firms. The questions were developed through a comparative review of the related literature and complemented with a pilot review. Data were analysed via descriptive and inferential statistics. Findings On the average, the majority of the respondents showed a moderate level of awareness of hemp and its related uses in the construction industry. Also, certain key factors like the perceived association of hemp with marijuana, lack of expertise in the production of hemp-related building materials, farmers not getting the needed clearance for the cultivation of hemp, lack of legislation by the government in the legalisation of hemp and the inadequate knowledge of consumers on the benefits of hemp-based building materials were identified as potential limitations to the adoption of hemp as an alternative sustainable material for green building delivery. Originality/value The findings from this study provide insights into a less investigated area in sub-Saharan Africa and further provide new and additional information to the current state-of-the-art on the potential for the use of hemp in the building construction sector.</t>
  </si>
  <si>
    <t>[Agyekum, Kofi; Adinyira, Emmanuel] Kwame Nkrumah Univ Sci &amp; Technol, Dept Construct Technol &amp; Management, Kumasi, Ghana; [Oppon, James Anthony] Cape Coast Tech Univ, Dept Bldg Technol, Cape Coast, Ghana</t>
  </si>
  <si>
    <t>Agyekum, K (corresponding author), Kwame Nkrumah Univ Sci &amp; Technol, Dept Construct Technol &amp; Management, Kumasi, Ghana.</t>
  </si>
  <si>
    <t>agyekum.kofil@gmail.com</t>
  </si>
  <si>
    <t>Oppon, James Anthony/AAG-4399-2021; Agyekum, Kofi/AAP-6023-2021; Agyekum, Kofi/R-1479-2018</t>
  </si>
  <si>
    <t>Oppon, James Anthony/0000-0002-4869-4414; Agyekum, Kofi/0000-0002-7903-5390; Adinyira, Emmanuel/0000-0001-7381-6105</t>
  </si>
  <si>
    <t>INT J BUILD PATHOL</t>
  </si>
  <si>
    <t>Int. J. Build. Pathol. Adapt.</t>
  </si>
  <si>
    <t>MAR 8</t>
  </si>
  <si>
    <t>10.1108/IJBPA-11-2020-0100</t>
  </si>
  <si>
    <t>MAR 2021</t>
  </si>
  <si>
    <t>ZQ2HN</t>
  </si>
  <si>
    <t>WOS:000631567200001</t>
  </si>
  <si>
    <t>Ochinanwata, N; Ezepue, PO; Nwankwo, TC; Ochinanwata, C; Igwe, PA</t>
  </si>
  <si>
    <t>Ochinanwata, Nonso; Ezepue, Patrick Oseloka; Nwankwo, Theodore Chinonso; Ochinanwata, Chinedu; Igwe, Paul Agu</t>
  </si>
  <si>
    <t>Public-private entrepreneurial financing partnership model in Nigeria</t>
  </si>
  <si>
    <t>THUNDERBIRD INTERNATIONAL BUSINESS REVIEW</t>
  </si>
  <si>
    <t>bank financing; business angel; government funding; private equity; SME financing; venture capital</t>
  </si>
  <si>
    <t>This article critically examines some of the financing sources available to small and medium-sized enterprises (SMEs) and factors that influence investor's decisions. Based on a qualitative approach, this study draws on evidence from Nigerian digital firms, public, and private financers to explore suitable entrepreneurial financing model for SMEs. Thus, it extends the understanding of combinations of entrepreneurial finance and funding in the African context. The study offers fresh and rare illustrative insights on how public-private entrepreneurial finance partnership will provide affordable and adequate access to entrepreneurial finance. It further highlights the impact and relevance of different entrepreneurial financiers on SMEs development and growth. It recommends a collaborative partnership initiative that involves public and private financial consultants and business incubators working together to ensure that SMEs have access to appropriate finance for growth, development, and business sustainability.</t>
  </si>
  <si>
    <t>[Ochinanwata, Nonso; Ochinanwata, Chinedu] African Dev Inst Res Methodol, Enugu, South East, Nigeria; [Ezepue, Patrick Oseloka] World Higher Educ &amp; Res Observ 3E, Sheffield, S Yorkshire, England; [Nwankwo, Theodore Chinonso] Sheffield Hallam Univ, Sheffield, S Yorkshire, England; [Igwe, Paul Agu] Univ Lincoln, Dept Strategy &amp; Enterprise, Lincoln, Lincs, England</t>
  </si>
  <si>
    <t>Ochinanwata, N (corresponding author), African Dev Inst Res Methodol, Enugu, South East, Nigeria.</t>
  </si>
  <si>
    <t>nonsoochi@yahoo.com; patrickoselokaezepue@gmail.com; theodore.nwankwo@yahoo.com; chineduochi@yahoo.com; pigwe@lincoln.ac.uk</t>
  </si>
  <si>
    <t>Ochinanwata, Nonso/0000-0002-9894-1428; Igwe, Paul Agu/0000-0003-3624-1861</t>
  </si>
  <si>
    <t>1096-4762</t>
  </si>
  <si>
    <t>1520-6874</t>
  </si>
  <si>
    <t>THUNDERBIRD INT BUS</t>
  </si>
  <si>
    <t>Thunderbird Int. Bus. Rev.</t>
  </si>
  <si>
    <t>10.1002/tie.22194</t>
  </si>
  <si>
    <t>RL9IA</t>
  </si>
  <si>
    <t>WOS:000630171200001</t>
  </si>
  <si>
    <t>Ma, BQ; Hauer, RJ; Ostberg, J; Koeser, AK; Wei, HX; Xu, CY</t>
  </si>
  <si>
    <t>Ma, Bingqian; Hauer, Richard J.; Ostberg, Johan; Koeser, Andrew K.; Wei, Hongxu; Xu, Chengyang</t>
  </si>
  <si>
    <t>A global basis of urban tree inventories: What comes first the inventory or the program</t>
  </si>
  <si>
    <t>URBAN FORESTRY &amp; URBAN GREENING</t>
  </si>
  <si>
    <t>Green space; Logistic regression; Management; Urban forestry; Urban tree</t>
  </si>
  <si>
    <t>While efforts to standardize urban forest inventory data have occurred, the information collected from community to community remains quite variable. In this study, we conducted a global review of peer-reviewed and published research that collected tree inventory data to assess what information is being collected. In addition to this review, we also present results from national surveys conducted in the United States and Sweden that specifically asked urban forest managers about how their inventories informed their urban forest management efforts. In the literature review, tree species and stem diameter were the most collected structural parameters and planning and estimation of ecological services were the most common research objectives. The surveys conducted in Sweden and the USA found communities commonly collected records about tree species, diameter, and condition and that inventories were more common as community size increased. Street and park tree inventories were the most common inventories. Inventories of public trees on greenbelts and woodlots were less common and private tree inventories were relatively uncommon. Additionally, professional staff and consultants were more likely to collect inventory data than interns and volunteers in both countries. Despite these similarities, significant differences exist between the USA and Sweden, with several parameters (i.e., adoption a management plan, presence of an inventory, collection of inventory data digitally, collection of tree planting/removal records) being more common in the USA ? possibly reflecting a longer history of urban tree management in the latter country. In modelling the survey results from Sweden and the USA, we found that having a strategic plan, a governance mechanism (tree board), financial resources (per capita budget), and the adoption of greater systematic care of trees were significant predictors the presence of an inventory. Study results also suggest that having a tree inventory reflects the advancement of an urban forestry program along a continuum of initial program adoption to more fully developed and sustained urban forestry program.</t>
  </si>
  <si>
    <t>[Ma, Bingqian; Xu, Chengyang] Beijing Forestry Univ, Key Lab Silviculture &amp; Forest Ecosyst State Fores, Res Ctr Urban Forestry, Beijing 100083, Peoples R China; [Hauer, Richard J.] Univ Wisconsin, Coll Nat Resources, 800 Reserve St, Stevens Point, WI 54481 USA; [Ostberg, Johan] Swedish Univ Agr Sci, Dept Landscape Architecture Planning &amp; Management, Box 52, SE-23053 Alnarp, Sweden; [Koeser, Andrew K.] Univ Florida, Gulf Coast Res &amp; Educ Ctr, 14625 CR 672, Wimauma, FL 33598 USA; [Wei, Hongxu] Chinese Acad Sci, Northeast Inst Geog &amp; Agroecol, Changchun 130102, Peoples R China</t>
  </si>
  <si>
    <t>Hauer, RJ (corresponding author), Univ Wisconsin, Coll Nat Resources, 800 Reserve St, Stevens Point, WI 54481 USA.</t>
  </si>
  <si>
    <t>rhauer@uwsp.edu</t>
  </si>
  <si>
    <t>Nature Based Solution Institute; TREE Fund; University of Wisconsin - Stevens Point (UWSP) College of Natural Resources; UWSP Office of Sponsored Research; University of Florida Gulf Coast Research and Education Center; USDA Forest Service; USDA McIntire-Stennis Program; Wisconsin Arborist Association; China Scholarship Council; Beijing Forestry University</t>
  </si>
  <si>
    <t>Nature Based Solution Institute; TREE Fund; University of Wisconsin - Stevens Point (UWSP) College of Natural Resources; UWSP Office of Sponsored Research; University of Florida Gulf Coast Research and Education Center; USDA Forest Service(United States Department of Agriculture (USDA)United States Forest Service); USDA McIntire-Stennis Program; Wisconsin Arborist Association; China Scholarship Council(China Scholarship Council); Beijing Forestry University</t>
  </si>
  <si>
    <t>Funding for this project was provided by the Nature Based Solution Institute, TREE Fund, University of Wisconsin - Stevens Point (UWSP) College of Natural Resources, UWSP Office of Sponsored Research, University of Florida Gulf Coast Research and Education Center, USDA Forest Service, USDA McIntire-Stennis Program, and Wisconsin Arborist Association. We also thank the China Scholarship Council and Beijing Forestry University for supporting the first author of this paper during her Visiting Research Scholar activities at the University of WisconsinStevens Point.</t>
  </si>
  <si>
    <t>ELSEVIER GMBH</t>
  </si>
  <si>
    <t>MUNICH</t>
  </si>
  <si>
    <t>HACKERBRUCKE 6, 80335 MUNICH, GERMANY</t>
  </si>
  <si>
    <t>1618-8667</t>
  </si>
  <si>
    <t>1610-8167</t>
  </si>
  <si>
    <t>URBAN FOR URBAN GREE</t>
  </si>
  <si>
    <t>Urban For. Urban Green.</t>
  </si>
  <si>
    <t>10.1016/j.ufug.2021.127087</t>
  </si>
  <si>
    <t>Plant Sciences; Environmental Studies; Forestry; Urban Studies</t>
  </si>
  <si>
    <t>Plant Sciences; Environmental Sciences &amp; Ecology; Forestry; Urban Studies</t>
  </si>
  <si>
    <t>RH6BW</t>
  </si>
  <si>
    <t>WOS:000636302600007</t>
  </si>
  <si>
    <t>Wang, G; Li, Y; Zuo, J; Hu, WB; Nie, QW; Lei, HQ</t>
  </si>
  <si>
    <t>Wang, Ge; Li, Yang; Zuo, Jian; Hu, Wenbo; Nie, Qingwei; Lei, Heqian</t>
  </si>
  <si>
    <t>Who drives green innovations? Characteristics and policy implications for green building collaborative innovation networks in China</t>
  </si>
  <si>
    <t>Green building; Innovative collaboration; Social network analysis (SNA)</t>
  </si>
  <si>
    <t>PROJECT-MANAGEMENT; ECO-CITIES; ENERGY; INDUSTRY; PERFORMANCE; DIFFUSION; ADOPTION; TECHNOLOGIES; INCENTIVES; GENERATION</t>
  </si>
  <si>
    <t>The delivery of green buildings, as a good approach for reducing energy consumption, has yielded lots of innovative outcomes. The need to spark effective innovations has become crucial. Yet, there has been no systematic examination of the green buildings field. This study provides a novel network-based and longitudinal perspective for examining the innovative collaboration of different types of organizations. Secondary data were collected from 223 projects receiving Green Building Innovation Awards (GBIA) in China. By using the social network analysis (SNA) method, the following results were obtained. First, collaborative networks of greenbuilding innovation exhibit a salient feature of being scale-free, indicating a trend of path dependence in partner selections. Second, compared with the degree and closeness centrality, the betweenness centrality of those core organizations is growing faster over time. Unexpectedly, consulting enterprises, rather than design institutes or universities, are inclined to act as ?bridges? during the innovative collaboration process. Thirdly, the average number of collaborations per GBIA organization is similar to that of theoretical disciplines (e.g., mathematics) but lower than that of experimental disciplines (e.g., medicine). With decreases in transitivity over time, the heterogeneity of networks has increased and the connections among different organizations are relying more on a few key enterprises or institutions. On this basis, a policy framework is presented that incorporates four governance strategies: ?deactivation,? ?framing,? ?mobilizing,? and ?synthesizing.? The findings shed new light on the development of innovation networks and the alignment of strategic decision-makings to facilitate the transformation of energy consumption in the built environment.</t>
  </si>
  <si>
    <t>[Wang, Ge; Hu, Wenbo; Nie, Qingwei; Lei, Heqian] Huazhong Agr Univ, Coll Publ Adm, 1 Shizishan St, Wuhan 430070, Peoples R China; [Wang, Ge] Huazhong Agr Univ, Rural Revitalizat Inst, 1 Shizishan St, Wuhan 430070, Peoples R China; [Wang, Ge] Shanghai Jiao Tong Univ, Antai Coll Econ &amp; Management, 1954 Huashan Rd, Shanghai 200030, Peoples R China; [Li, Yang] Tongji Univ, Sch Econ &amp; Management, 1500 Siping Rd, Shanghai 200092, Peoples R China; [Zuo, Jian] Univ Adelaide, Sch Architecture &amp; Built Environm, North Terrace, Adelaide, SA 5005, Australia</t>
  </si>
  <si>
    <t>Li, Y (corresponding author), Tongji Univ, Sch Econ &amp; Management, 1500 Siping Rd, Shanghai 200092, Peoples R China.</t>
  </si>
  <si>
    <t>liyang_tongji@tongji.edu.cn</t>
  </si>
  <si>
    <t>Wang, Ge/AAY-5473-2021</t>
  </si>
  <si>
    <t>, Wenbo Hu/0000-0002-4534-3942; Li, Yang/0000-0003-3969-8218; Wang, Ge/0000-0001-5417-6819</t>
  </si>
  <si>
    <t>National Natural Science Foundation of China [71901101, 71971161]; Fellowship of China Postdoctoral Science Foundation [2020M671134]; Fundamental Research Funds for the Central Universities, China [2662018QD006]; Opening Foundation of Rural Revitalization Institute of Huazhong Agricultural University [2020XCZX06]</t>
  </si>
  <si>
    <t>National Natural Science Foundation of China(National Natural Science Foundation of China (NSFC)); Fellowship of China Postdoctoral Science Foundation(China Postdoctoral Science Foundation); Fundamental Research Funds for the Central Universities, China(Fundamental Research Funds for the Central Universities); Opening Foundation of Rural Revitalization Institute of Huazhong Agricultural University</t>
  </si>
  <si>
    <t>This paper was supported by the National Natural Science Foundation of China (Project Numbers: 71901101 and 71971161), the Fellowship of China Postdoctoral Science Foundation (Project Number: 2020M671134), the Fundamental Research Funds for the Central Universities, China (Program Number: 2662018QD006), and the Opening Foundation of Rural Revitalization Institute of Huazhong Agricultural University (Project Number: 2020XCZX06).</t>
  </si>
  <si>
    <t>RENEW SUST ENERG REV</t>
  </si>
  <si>
    <t>Renew. Sust. Energ. Rev.</t>
  </si>
  <si>
    <t>10.1016/j.rser.2021.110875</t>
  </si>
  <si>
    <t>RJ6JX</t>
  </si>
  <si>
    <t>WOS:000637707800009</t>
  </si>
  <si>
    <t>Egbetokun, A; Olofinyehun, A</t>
  </si>
  <si>
    <t>Egbetokun, Abiodun; Olofinyehun, Adedayo</t>
  </si>
  <si>
    <t>Dataset on the production, dissemination and uptake of social science research in Nigeria</t>
  </si>
  <si>
    <t>Article; Data Paper</t>
  </si>
  <si>
    <t>Social science research; Research production; Research dissemination; Research uptake; Development; Nigeria</t>
  </si>
  <si>
    <t>This dataset presents data collected from three surveys, each among researchers, research administrators and policymakers across the six geopolitical zones in Nigeria. The data were collected from 513 researchers, 118 research administrators and 60 policymakers drawn from randomly selected organizations that are implicated in Social Science Research (SSR) in Nigeria, which include: 53 universities; 5 research institutes; 17 government Ministries, Departments and Agencies (MDAs) and donors; 9 private consultancies; 26 civil society organisations, private consultancies; and 7 Houses of Assembly. The surveys assessed several factors that impart the production, dissemination and uptake of social science research (SSR) in Nigeria, including research personnel, funding, infrastructure, mentoring, communication practices and products, policy-friendliness, among many others. The data are important in understanding the status of SSR and its potential to influence sustainable development in a typical developing country like Nigeria. The usefulness of the data is many folds as every stakeholder in the research-policy-development nexus is implicated. Ultimately, the data is useful in characterizing SSR system and formulating policies to boost its status and potential. (C) 2021 The Authors. Published by Elsevier Inc.</t>
  </si>
  <si>
    <t>[Egbetokun, Abiodun; Olofinyehun, Adedayo] Natl Ctr Technol Management, Ife, Nigeria</t>
  </si>
  <si>
    <t>Olofinyehun, A (corresponding author), Natl Ctr Technol Management, Ife, Nigeria.</t>
  </si>
  <si>
    <t>aaegbetokun@gmail.com; dayo4excellence@yahoo.co.uk</t>
  </si>
  <si>
    <t>Egbetokun, Abiodun/G-1146-2011</t>
  </si>
  <si>
    <t>Egbetokun, Abiodun/0000-0002-2069-7648</t>
  </si>
  <si>
    <t>Global Development Network (GDN) , India, under the Doing Research Assessment (DRA) programme</t>
  </si>
  <si>
    <t>The data collection was supported by the Global Development Network (GDN) , India, under the Doing Research Assessment (DRA) programme.</t>
  </si>
  <si>
    <t>10.1016/j.dib.2021.106932</t>
  </si>
  <si>
    <t>RX7VY</t>
  </si>
  <si>
    <t>WOS:000647429200001</t>
  </si>
  <si>
    <t>Finkelstein, K; Wirth, EF; Chung, KW; Shaddrix, BS; Pisarski, EC; Rios, C</t>
  </si>
  <si>
    <t>Finkelstein, Kenneth; Wirth, Edward F.; Chung, K. W.; Shaddrix, B. S.; Pisarski, E. C.; Rios, C.</t>
  </si>
  <si>
    <t>Acute Polychlorinated Biphenyl Benthic Invertebrate Toxicity Testing to Support the 2017 Chronic Dose-Response Sediment Injury Model</t>
  </si>
  <si>
    <t>PCBs; Aqueous acute and chronic toxicity; Equilibrium partitioning; PCB sediment dose response; Sediment injury</t>
  </si>
  <si>
    <t>As managers and decision makers evaluate pollutant risk, it is critical that we are able to measure an assessment of the injury. Often, these estimates are difficult to determine for benthic organisms, so in 2017 a chronic polychlorinated biphenyl (PCB) sediment dose-response model to predict benthic invertebrate injury was proposed. Given both natural resource trustee and consultant questions following publication concerning that the aqueous chronic toxicity testing data used in the 2017 model development were primarily from the 1970s and 1980s, this follow-up short communication is meant to provide the user some additional data that are more recent. With the advances in analytical and quantitative environmental chemistry (i.e., better detection limits and congener separation), we chose to complete acute aquatic toxicity testing using 3 estuarine invertebrates and lethal endpoints (20 and 50% lethal concentrations). This acute testing was selected because chronic aquatic testing for PCBs outside of the data used in the 2017 study was not available to us. The aquatic results used in the present study were changed to sediment using equilibrium partitioning, as done in the 2017 chronic model, after using the same organic-carbon partition coefficient and total organic carbon for our equilibrium partitioning (EqP)-measured calculations. Based on these acute aquatic toxicity results and a general acute-to-chronic injury concentration ratio of approximately 10, we found that the 2017 model was valid and, hence, that a 1.0 mu g/g chronic PCB sediment criterion is a reasonable estimation of potential benthic invertebrate injury. This was followed by spiked sediment tests where percent acute sediment injury was compared to the EqP-derived chronic value and the results from 2017; modest agreement is shown. Environ Toxicol Chem 2021;00:1-6. Published 2020. This article is a U.S. Government work and is in the public domain in the USA.</t>
  </si>
  <si>
    <t>[Finkelstein, Kenneth] NOAA, Off Response &amp; Restorat, Boston, MA 02110 USA; [Wirth, Edward F.] NOAA, Natl Ctr Coastal Ocean Sci, Charleston, SC USA; [Chung, K. W.; Shaddrix, B. S.; Pisarski, E. C.] NOAA, CSS, Charleston, SC USA; [Rios, C.] NYU, New York, NY USA</t>
  </si>
  <si>
    <t>Finkelstein, K (corresponding author), NOAA, Off Response &amp; Restorat, Boston, MA 02110 USA.</t>
  </si>
  <si>
    <t>Ken.Finkelstein@NOAA.gov</t>
  </si>
  <si>
    <t>Research Experiences for Undergraduates program of the US National Science Foundation [DBI-1757899]</t>
  </si>
  <si>
    <t>Research Experiences for Undergraduates program of the US National Science Foundation</t>
  </si>
  <si>
    <t>C. Rios completed this work based on support through the Research Experiences for Undergraduates program of the US National Science Foundation under award DBI-1757899 to the Marine Biology Program, College of Charleston. The scientific results and conclusions, as well as any opinions expressed herein, are those of the author(s) and do not necessarily reflect the views of the National Oceanic and Atmospheric Administration or the Department of Commerce. The mention of any commercial products is not meant as an endorsement by the agency or department.</t>
  </si>
  <si>
    <t>ENVIRON TOXICOL CHEM</t>
  </si>
  <si>
    <t>Environ. Toxicol. Chem.</t>
  </si>
  <si>
    <t>10.1002/etc.4977</t>
  </si>
  <si>
    <t>Environmental Sciences; Toxicology</t>
  </si>
  <si>
    <t>Environmental Sciences &amp; Ecology; Toxicology</t>
  </si>
  <si>
    <t>RC0XM</t>
  </si>
  <si>
    <t>WOS:000626983400001</t>
  </si>
  <si>
    <t>Overland, I; Bourmistrov, A; Dale, B; Irlbacher-Fox, S; Juraev, J; Podgaiskii, E; Stammler, F; Tsani, S; Vakulchuk, R; Wilson, EC</t>
  </si>
  <si>
    <t>Overland, Indra; Bourmistrov, Anatoli; Dale, Brigt; Irlbacher-Fox, Stephanie; Juraev, Javlon; Podgaiskii, Eduard; Stammler, Florian; Tsani, Stella; Vakulchuk, Roman; Wilson, Emma C.</t>
  </si>
  <si>
    <t>The Arctic Environmental Responsibility Index: A method to rank heterogenous extractive industry companies for governance purposes</t>
  </si>
  <si>
    <t>environmental governance; environmental responsibility; extractive industries; index methodology; mining; oil and gas</t>
  </si>
  <si>
    <t>CORPORATE SOCIAL-RESPONSIBILITY; GAS COMPANIES; PERFORMANCE; OIL; TRANSPARENCY; INDICATORS; RUSSIA; DISCLOSURE; RATINGS; WORLD</t>
  </si>
  <si>
    <t>The Arctic Environmental Responsibility Index (AERI) covers 120 oil, gas, and mining companies involved in resource extraction north of the Arctic Circle in Alaska, Canada, Greenland, Finland, Norway, Russia, and Sweden. It is based on an international expert perception survey among 173 members of the International Panel on Arctic Environmental Responsibility (IPAER), whose input is processed using segmented string relative ranking (SSRR) methodology. Equinor, Total, Aker BP, ConocoPhillips, and BP are seen as the most environmentally responsible companies, whereas Dalmorneftegeophysica, Zarubejneft, ERIELL, First Ore-Mining Company, and Stroygaz Consulting are seen as the least environmentally responsible. Companies operating in Alaska have the highest average rank, whereas those operating in Russia have the lowest average rank. Larger companies tend to rank higher than smaller companies, state-controlled companies rank higher than privately controlled companies, and oil and gas companies higher than mining companies. The creation of AERI demonstrates that SSRR is a low-cost way to overcome the challenge of indexing environmental performance and contributing to environmental governance across disparate industrial sectors and states with divergent environmental standards and legal and political systems.</t>
  </si>
  <si>
    <t>[Overland, Indra; Vakulchuk, Roman] Norwegian Inst Int Affairs NUPI, Ctr Energy Res, Oslo, Norway; [Bourmistrov, Anatoli] Nord Univ, Nord Univ Business Sch, Bodo, Norway; [Dale, Brigt] Nordland Res Inst, Res Grp Environm &amp; Soc, Bodo, Norway; [Irlbacher-Fox, Stephanie] Carleton Univ, Sch Publ Policy &amp; Adm, Ottawa, ON, Canada; [Juraev, Javlon] Westminster Int Univ Tashkent, Sch Business &amp; Econ, Tashkent, Uzbekistan; [Podgaiskii, Eduard] Russian State Hydrometeorol Univ, Fac Meteorol, St Petersburg, Russia; [Stammler, Florian] Univ Lapland, Arctic Ctr, Rovaniemi, Finland; [Tsani, Stella] Univ Ioannina, Dept Econ, Ioannina, Greece; [Stammler, Florian; Wilson, Emma C.] Univ Cambridge, Scott Polar Res Inst, Cambridge, England</t>
  </si>
  <si>
    <t>Overland, I (corresponding author), Norwegian Inst Int Affairs NUPI, Hambros Plass 2D, N-0130 Oslo, Norway.</t>
  </si>
  <si>
    <t>indra.overland@nupi.no</t>
  </si>
  <si>
    <t>Juraev, Javlon/A-6976-2019; Podgaiskii, Eduard/AAJ-9705-2021; Overland, Indra/AAY-6935-2021; Tsani, Stella/I-5167-2015</t>
  </si>
  <si>
    <t>Juraev, Javlon/0000-0003-2581-4652; Podgaiskii, Eduard/0000-0002-7534-9990; Overland, Indra/0000-0002-5955-4759; Tsani, Stella/0000-0002-7302-4930</t>
  </si>
  <si>
    <t>Norges Forskningsrad [257664]</t>
  </si>
  <si>
    <t>Norges Forskningsrad, Grant/Award Number: 257664</t>
  </si>
  <si>
    <t>10.1002/bse.2698</t>
  </si>
  <si>
    <t>RW0FZ</t>
  </si>
  <si>
    <t>WOS:000626845700001</t>
  </si>
  <si>
    <t>Yasnitsky, LN; Yasnitsky, VL; Alekseev, AO</t>
  </si>
  <si>
    <t>Yasnitsky, Leonid N.; Yasnitsky, Vitaly L.; Alekseev, Aleksander O.</t>
  </si>
  <si>
    <t>The Complex Neural Network Model for Mass Appraisal and Scenario Forecasting of the Urban Real Estate Market Value That Adapts Itself to Space and Time</t>
  </si>
  <si>
    <t>COMPLEXITY</t>
  </si>
  <si>
    <t>In the modern scientific literature, there are many reports about the successful application of neural network technologies for solving complex applied problems, in particular, for modeling the urban real estate market. There are neural network models that can perform mass assessment of real estate objects taking into account their construction and operational characteristics. However, these models are static because they do not take into account the changing economic situation over time. Therefore, they quickly become outdated and need frequent updates. In addition, if they are designed for a specific city, they are not suitable for other cities. On the other hand, there are several dynamic models taking into account the overall state of the economy and designed to predict and study the overall price situation in real estate markets. Such dynamic models are not intended for mass real estate appraisals. The aim of this article is to develop a methodology and create a complex model that has the properties of both static and dynamic models. Moreover, our comprehensive model should be suitable for evaluating real estate in many cities at once. This aim is achieved since our model is based on a neural network trained on examples considering both construction and operational characteristics, as well as geographical and environmental characteristics, along with time-changing macroeconomic parameters that describe the economic state of a specific region, country, and the world. A set of examples for training and testing the neural network were formed on the basis of statistical data of real estate markets in a number of Russian cities for the period from 2006 to 2020. Thus, many examples included the data relating to the periods of the economic calm for Russia, along with the periods of crisis, recovery, and growth of the Russian and global economy. Due to this, the model remains relevant with the changes of the international economic situation and it takes into account the specifics of regions. The model proved to be suitable for solving the following tasks: industrial economic analysis, company strategic and operational management, analytical and consulting support of investment, and construction activities of professional market participants. The model can also be used by government agencies authorized to conduct public cadastral assessment for calculating property taxes.</t>
  </si>
  <si>
    <t>[Yasnitsky, Leonid N.] Higher Sch Econ, Fac Business Informat, Perm 614070, Russia; [Yasnitsky, Leonid N.] Perm State Univ, Fac Mech &amp; Math, Perm 614990, Russia; [Yasnitsky, Vitaly L.; Alekseev, Aleksander O.] Perm Natl Res Polytech Univ, Civil Engn Fac, Perm 614990, Russia</t>
  </si>
  <si>
    <t>Yasnitsky, LN (corresponding author), Higher Sch Econ, Fac Business Informat, Perm 614070, Russia.;Yasnitsky, LN (corresponding author), Perm State Univ, Fac Mech &amp; Math, Perm 614990, Russia.</t>
  </si>
  <si>
    <t>yasn@psu.ru; yasnitskiy@mail.ru; alekseev@cems.pstu.ru</t>
  </si>
  <si>
    <t>Alekseev, Aleksandr/H-9966-2013; Yasnitsky, Leonid/E-3593-2015</t>
  </si>
  <si>
    <t>Alekseev, Aleksandr/0000-0001-5033-6694; Yasnitsky, Leonid/0000-0002-8212-3826</t>
  </si>
  <si>
    <t>Russian Foundation for Basic Research [19-010-00307]</t>
  </si>
  <si>
    <t>Russian Foundation for Basic Research(Russian Foundation for Basic Research (RFBR))</t>
  </si>
  <si>
    <t>The authors express their deep gratitude to the authoritative experts in the field of property valuation and appraisal: Gennady Moiseevich Sternik, Sergey Sternik, and Eugene Iosifovich Neiman for their support and useful advice. The research and publication of the article were funded by the Russian Foundation for Basic Research (Grant no. 19-010-00307)  Development of an Intelligent Self-adaptive System for Mass Estimation and Scenario Forecasting of the Market Value of Residential Real Estate in the Regions of the Russian Federation.</t>
  </si>
  <si>
    <t>WILEY-HINDAWI</t>
  </si>
  <si>
    <t>ADAM HOUSE, 3RD FL, 1 FITZROY SQ, LONDON, WIT 5HE, ENGLAND</t>
  </si>
  <si>
    <t>1076-2787</t>
  </si>
  <si>
    <t>1099-0526</t>
  </si>
  <si>
    <t>Complexity</t>
  </si>
  <si>
    <t>MAR 3</t>
  </si>
  <si>
    <t>10.1155/2021/5392170</t>
  </si>
  <si>
    <t>Mathematics, Interdisciplinary Applications; Multidisciplinary Sciences</t>
  </si>
  <si>
    <t>Mathematics; Science &amp; Technology - Other Topics</t>
  </si>
  <si>
    <t>QX4ZB</t>
  </si>
  <si>
    <t>WOS:000629355300005</t>
  </si>
  <si>
    <t>Degravel, D; Tun, CHM</t>
  </si>
  <si>
    <t>Degravel, Daniel; Tun, Christina Hui Min</t>
  </si>
  <si>
    <t>Burma Drinx Group (A): Strategizing for CEO Succession in a Family Business</t>
  </si>
  <si>
    <t>FIIB BUSINESS REVIEW</t>
  </si>
  <si>
    <t>Conglomerate; family business; CEO succession; succession planning; organizational change; Myanmar</t>
  </si>
  <si>
    <t>Burma Drinx Group, a large family-owned conglomerate in Myanmar, an Asian country in economic and political transition, is about to reinvent itself to achieve success and adaptation to its evolving context. Based on internal and external information about the firm, the case states the challenges and issues that Burma Drinx Group (thereafter BDG) is experiencing as a family-owned conglomerate operating in a 'non-friendly' business environment and in a turbulent political and economic context. It focuses on the group CEO Aung Win's succession. The reader is invited to understand the specificities of BDG's internal environment, and to manage the idiosyncrasies of this family business conglomerate regarding CEO Win's succession. Beyond the succession issue, BDG's decision-makers face critical challenges for the future and have to make bold and courageous decisions to build on the success of the organization. The case proposes a consulting-case style where analysis and reflection are required to understand the challenges and to provide relevant solutions to the top management of the company. Material from the academic literature about succession is offered as a resource to the reader.</t>
  </si>
  <si>
    <t>[Degravel, Daniel] Calif State Univ Northridge, 18111 Nordhoff St, Los Angeles, CA 91330 USA; [Tun, Christina Hui Min] 3T Co Ltd Myanmar, Yangon, Myanmar</t>
  </si>
  <si>
    <t>Degravel, D (corresponding author), Calif State Univ Northridge, 18111 Nordhoff St, Los Angeles, CA 91330 USA.</t>
  </si>
  <si>
    <t>Daniel.degravel@csun.edu; tun.christina@gmail.com</t>
  </si>
  <si>
    <t>SAGE PUBLICATIONS INDIA  PVT LTD</t>
  </si>
  <si>
    <t>NEW DELHI</t>
  </si>
  <si>
    <t>B-1-I-1 MOHAN CO-OPERATIVE INDUSTRIAL AREA, MATHURA RD, POST BAG NO 7, NEW DELHI 110 044, INDIA</t>
  </si>
  <si>
    <t>2319-7145</t>
  </si>
  <si>
    <t>2455-2658</t>
  </si>
  <si>
    <t>FIIB BUS REV</t>
  </si>
  <si>
    <t>FIIB Bus. Rev.</t>
  </si>
  <si>
    <t>10.1177/2319714520975924</t>
  </si>
  <si>
    <t>WL7AM</t>
  </si>
  <si>
    <t>WOS:000710554000003</t>
  </si>
  <si>
    <t>da Silva, JR; Ifa, S; Magalhaes, JRD</t>
  </si>
  <si>
    <t>da Silva, Jonatha Rodrigues; Ifa, Sergio; da Silva Magalhaes, Joyce Rodrigues</t>
  </si>
  <si>
    <t>FOR A CRITIC AND CITIZEN EDUCATION: REFLEXIONS ABOUT THE GENDER AND SEXUALITY APPROACH AT SCHOOLS</t>
  </si>
  <si>
    <t>Citizen Education; Gender Ideology; Human Rights</t>
  </si>
  <si>
    <t>This article aims to understand how sexuality has historically been addressed in basic schools, and the current proposals for making these approaches, for that, I raise my theoretical framework consulting Santos Filho (2015), Louro ([1997] 2003), Butler ([1990] 2017) and Fideles Junior (2015) on gender and sex/sexuality studies and Silva (2019), Moita Lopes (2006, 1999, 2010) and Pennycook (2006) on the field of Applied Linguistics and the space of these themes in studies of/in language. Futhermore, I propose a reading of the aforementioned gender studies and a critical look at educational policies. I still problematize the fanciful vision of gender ideology agreed by extreme right groups. In the end, I present some considerations about the importance of the debate about gender and sexuality (and other social issues such as racism, machismo, sexism, for example) in the school environment, about the role of the English Language in this scenario and raise new reflections so that teachers dialogue on emerging social issues, contributing to a critical and citizen education.</t>
  </si>
  <si>
    <t>[da Silva, Jonatha Rodrigues] Rede Municipal Ensino, Maceio, Alagoas, Brazil; [Ifa, Sergio] PPGLL UFAL, Maceio, Alagoas, Brazil; [da Silva Magalhaes, Joyce Rodrigues] Univ Estadual Alagoas UNEAL, Maceio, Alagoas, Brazil</t>
  </si>
  <si>
    <t>da Silva, JR (corresponding author), Rede Municipal Ensino, Maceio, Alagoas, Brazil.</t>
  </si>
  <si>
    <t>jonathaletras@gmail.com; sergio.letras@gmail.com; joycersmagalhaes@gmail.com</t>
  </si>
  <si>
    <t>FUNDACAO UNIV TOCANTINS</t>
  </si>
  <si>
    <t>PALMAS-TOCANTINS</t>
  </si>
  <si>
    <t>PRO-REITORIA PESQUISA &amp; POS-GRADUACAO 108 SUL ALAMEDA 11 LOTE 03 CX POSTAL 173, PALMAS-TOCANTINS, CEP77020-122, BRAZIL</t>
  </si>
  <si>
    <t>HUMANID INOV</t>
  </si>
  <si>
    <t>Humanid. Inov.</t>
  </si>
  <si>
    <t>TL1SC</t>
  </si>
  <si>
    <t>WOS:000674633900010</t>
  </si>
  <si>
    <t>Leer, J; Gaither, S; Gassman-Pines, A</t>
  </si>
  <si>
    <t>Leer, Jane; Gaither, Sarah; Gassman-Pines, Anna</t>
  </si>
  <si>
    <t>Behavioral Science Interventions: Integrating the Decision Task, Context, and Individual Differences to Inform Policy</t>
  </si>
  <si>
    <t>TRANSLATIONAL ISSUES IN PSYCHOLOGICAL SCIENCE</t>
  </si>
  <si>
    <t>behavioral science; decision-making; policy; nudge; parenting</t>
  </si>
  <si>
    <t>RACIAL SOCIALIZATION; HOME VISITATION; SOCIAL RISK; CHILDREN; PREDICTORS; PROGRAMS; POVERTY; FAMILY; MODEL</t>
  </si>
  <si>
    <t>Interest in applying evidence from psychological science to strengthen public policy has increased in recent years. The governments of at least 20 countries have nudge units, or teams of researchers and policymakers dedicated to applying insights from psychological science to improve public policy. Many international agencies and consulting firms have followed suit, and other disciplines are also increasingly interested in using psychological science to better understand decision-making. We argue that policymakers should use psychology to adopt an integrative understanding of behavior as shaped by three factors: features of the decision task (e.g., how choices are framed), the context (e.g., access to institutional resources), and individual differences (e.g., race and ethnicity). Identifying which factor to focus on requires an understanding of the interdependent nature of these factors. As a test case, we show how this integrative model of decision-making can be used to support parents' ability to provide nurturing and stimulating early learning environments. We argue that for behaviors that parents want to do, but need an extra nudge to follow-through, targeting the decision task is effective. In situations of cumulative risk, policies should ease contextual constraints such as economic hardship, or support context-level strengths, such as peer networks. Finally, considering individual differences such as race and ethnicity through a strengths-based, cultural, and historical lens can increase the effectiveness of parenting interventions by allowing policymakers to tailor interventions appropriately.</t>
  </si>
  <si>
    <t>[Leer, Jane; Gassman-Pines, Anna] Duke Univ, Sanford Sch Publ Policy, POB 90315, Durham, NC 27701 USA; [Leer, Jane; Gaither, Sarah; Gassman-Pines, Anna] Duke Univ, Dept Psychol &amp; Neurosci, Durham, NC 27701 USA</t>
  </si>
  <si>
    <t>Leer, J (corresponding author), Duke Univ, Sanford Sch Publ Policy, POB 90315, Durham, NC 27701 USA.</t>
  </si>
  <si>
    <t>jane.leer@duke.edu</t>
  </si>
  <si>
    <t>Leer, Jane/0000-0002-7594-217X; Gaither, Sarah/0000-0002-9833-9218</t>
  </si>
  <si>
    <t>EDUCATIONAL PUBLISHING FOUNDATION-AMERICAN PSYCHOLOGICAL ASSOC</t>
  </si>
  <si>
    <t>750 FIRST ST, NE, WASHINGTON, DC 20002-4242 USA</t>
  </si>
  <si>
    <t>2332-2136</t>
  </si>
  <si>
    <t>2332-2179</t>
  </si>
  <si>
    <t>TRANSL ISS PSYCH SCI</t>
  </si>
  <si>
    <t>Transl. Iss. Psychol. Sci.</t>
  </si>
  <si>
    <t>10.1037/tps0000243</t>
  </si>
  <si>
    <t>Psychology; Psychology, Multidisciplinary</t>
  </si>
  <si>
    <t>SM0KY</t>
  </si>
  <si>
    <t>WOS:000657302900005</t>
  </si>
  <si>
    <t>Kubina, M; Sulyova, D; Vodak, J</t>
  </si>
  <si>
    <t>Kubina, Milan; Sulyova, Dominika; Vodak, Josef</t>
  </si>
  <si>
    <t>Comparison of Smart City Standards, Implementation and Cluster Models of Cities in North America and Europe</t>
  </si>
  <si>
    <t>Smart Cities; sustainable development; smart governance; quality of life; cluster</t>
  </si>
  <si>
    <t>Sustainability in Smart Cities is a current and trendy topic in a global sense. The primary impetus for writing this article was to create a general implementation model for the smart governance of European Smart Cities based on the American best practice. The ambition is to be able to modify the generally created model to meet the local conditions of all countries. The aim of the article is to point out the essential elements and differences between the implementation standards, models and clusters in the cities of North America and Europe, including their benefits and limitations. This article compared standards, implementation and cluster models for Smart Cities in North America and Europe through a secondary analysis from Arcadis and IDC consultants, standards agencies, and relevant sources. In addition, comparisons and summaries of the results were used. The results of this article point out the fundamental differences between the American and European approaches to building Smart Cities. American models are more centrist-oriented to people and complex in their simplicity, thus achieving a higher degree of reputation. Europeans are less consistent and top-down oriented. The new model will make European Smart Cities more focused on the needs and expectations of all stakeholders. The main results of this article are the answers to the research questions and the general implementation model, the verification of which will take place in practice in the future.</t>
  </si>
  <si>
    <t>[Kubina, Milan; Sulyova, Dominika; Vodak, Josef] Univ Zilina, Fac Management Sci &amp; Informat, Univerzitna 8215-1, Zilina 01026, Slovakia</t>
  </si>
  <si>
    <t>Sulyova, D (corresponding author), Univ Zilina, Fac Management Sci &amp; Informat, Univerzitna 8215-1, Zilina 01026, Slovakia.</t>
  </si>
  <si>
    <t>milan.kubina@fri.uniza.sk; dominika.sulyova@fri.uniza.sk; josef.vodak@fri.uniza.sk</t>
  </si>
  <si>
    <t>Kubina, Ing. Milan/AAF-5955-2021; Šulyová, Dominika/AAZ-9913-2021; Zwolińska-Ligaj, Magdalena Anna/AAJ-3271-2021; Šulyová, Dominika/AAZ-9907-2021</t>
  </si>
  <si>
    <t>Kubina, Ing. Milan/0000-0002-0214-3836; Šulyová, Dominika/0000-0002-7341-2175; Zwolińska-Ligaj, Magdalena Anna/0000-0001-6770-7092; Šulyová, Dominika/0000-0002-7341-2175</t>
  </si>
  <si>
    <t>Operational Programme Integrated Infrastructure [ITMS2014+: 313011V422]; European Regional Development Fund</t>
  </si>
  <si>
    <t>Operational Programme Integrated Infrastructure; European Regional Development Fund(European Commission)</t>
  </si>
  <si>
    <t>This publication was realized with support of the Operational Programme Integrated Infrastructure in the frame of the project: Intelligent systems for UAV real-time operation and data processing, code ITMS2014+: 313011V422 and co-financed by the European Regional Development Fund.</t>
  </si>
  <si>
    <t>10.3390/su13063120</t>
  </si>
  <si>
    <t>RV3AI</t>
  </si>
  <si>
    <t>WOS:000645709700001</t>
  </si>
  <si>
    <t>Polletta, F; DoCarmo, T; Ward, KM; Callahan, J</t>
  </si>
  <si>
    <t>Polletta, Francesca; DoCarmo, Tania; Ward, Kelly Marie; Callahan, Jessica</t>
  </si>
  <si>
    <t>PERSONAL STORYTELLING IN PROFESSIONALIZED SOCIAL MOVEMENTS</t>
  </si>
  <si>
    <t>MOBILIZATION</t>
  </si>
  <si>
    <t>ORGANIZATIONS; FOUNDATIONS; NARRATIVES; EXPERTISE; VOICE</t>
  </si>
  <si>
    <t>Professionalized movement organizations today rely on outside expertise in fundraising, recruitment, lobbying, management, and public messaging. We argue that the risks that accompany that development have less to do with experts' mixed loyalties to the movement than with the tendency of expert discourse to remake political problems into technical ones, thereby obscuring the dilemmatic choices movement groups must make. We focus on expert discourse around personal storytelling, a strategy that has become popular for raising funds, advocating for policy, and building public support. Our interviews with activists and consultants and content analysis of stories they rated as successful point to an expert discourse that emphatically rejects victim storytelling. Instead, activists are instructed to tell stories of hope and resilience, avoid referring to the graphic details of abuse, and only hint at their emotional pain. Experts justify these strategies as the best way to avoid exploiting storytellers, and only coincidentally as also appealing to audiences. However, we argue that, rather than superseding the tension between empowering movement participants and persuading those outside the movement, storytelling as currently practiced has reproduced that tension.</t>
  </si>
  <si>
    <t>[Polletta, Francesca; Callahan, Jessica] Univ Calif Irvine, Sociol, Irvine, CA 92697 USA; [DoCarmo, Tania] Univ Massachusetts, Legal Studies, Amherst, MA 01003 USA; [Ward, Kelly Marie] Univ Wisconsin Madison, Gender &amp; Womens Studies &amp; Sociol, Madison, WI USA</t>
  </si>
  <si>
    <t>Polletta, F (corresponding author), Univ Calif Irvine, Sociol, Irvine, CA 92697 USA.</t>
  </si>
  <si>
    <t>polletta@uci.edu</t>
  </si>
  <si>
    <t>DoCarmo, Tania/0000-0002-9128-7646</t>
  </si>
  <si>
    <t>Open Society Foundations</t>
  </si>
  <si>
    <t>Thanks to the Open Society Foundations for supporting the research on which this article draws and to the interviewees who so graciously took the time to talk with us. For valuable comments on earlier versions of the article, we are grateful to Edwin Amenta, Paul DiMaggio, Mobilization editor Neal Caren, three anonymous reviewers, and participants in the UCLA Movements, Organizations, and Markets Workshop and the NYU Culture Workshop.</t>
  </si>
  <si>
    <t>SAN DIEGO STATE UNIV</t>
  </si>
  <si>
    <t>SAN DIEGO</t>
  </si>
  <si>
    <t>DEPT SOCIOLOGY, SAN DIEGO, CA 92182 USA</t>
  </si>
  <si>
    <t>1086-671X</t>
  </si>
  <si>
    <t>Mobilization</t>
  </si>
  <si>
    <t>10.17813/1086-671X-26-1-65</t>
  </si>
  <si>
    <t>Sociology</t>
  </si>
  <si>
    <t>RF4YE</t>
  </si>
  <si>
    <t>WOS:000634845100004</t>
  </si>
  <si>
    <t>Shin, DA</t>
  </si>
  <si>
    <t>Shin, Dong Ah</t>
  </si>
  <si>
    <t>Health insurance policies for magnetic resonance imaging tests in Korea</t>
  </si>
  <si>
    <t>JOURNAL OF THE KOREAN MEDICAL ASSOCIATION</t>
  </si>
  <si>
    <t>Korean</t>
  </si>
  <si>
    <t>Health policy; Health insurance; Reimbursement mechanisms; Magnetic resonance imaging</t>
  </si>
  <si>
    <t>On August 9, 2017, the government announced a policy to strengthen health insurance coverage. The main goal is to increase the health insurance coverage rate and lower the national medical expense burden by an average of 18% by 2022. This policy was proposed without consulting doctors, a major medical care provider, and raised the impression of populism. It is a concern that this policy may place an additional financial burden on the medical clinics, which are already suffering due to poor financial circumstances. Although the policy is already in progress, it is necessary to carefully review whether the government and the medical community can afford it in terms of the national healthcare financial burden and the implementation possibility of this policy. There is no disagreement on the efficient supply of qualified medical care. However, it must be a sustainable system in Korea. Simply increasing the coverage rate does not increase the quality of healthcare. This study aims to analyze the government's health insurance policy for magnetic resonance imaging tests and suggest proper countermeasures.</t>
  </si>
  <si>
    <t>[Shin, Dong Ah] Yonsei Univ, Dept Neurosurg, Coll Med, Seoul, South Korea</t>
  </si>
  <si>
    <t>Shin, DA (corresponding author), Yonsei Univ, Dept Neurosurg, Coll Med, Seoul, South Korea.</t>
  </si>
  <si>
    <t>cistern@yuhs.ac.kr</t>
  </si>
  <si>
    <t>KOREAN MEDICAL ASSOC</t>
  </si>
  <si>
    <t>302-75 INCHON-1 DONG, YONGSAN-GU, SEOUL, 140-721, SOUTH KOREA</t>
  </si>
  <si>
    <t>1975-8456</t>
  </si>
  <si>
    <t>2093-5951</t>
  </si>
  <si>
    <t>J KOREAN MED ASSOC</t>
  </si>
  <si>
    <t>J. Korean Med. Assoc.</t>
  </si>
  <si>
    <t>10.5124/jkma.2021.64.3.172</t>
  </si>
  <si>
    <t>RA4HU</t>
  </si>
  <si>
    <t>WOS:000631379100001</t>
  </si>
  <si>
    <t>Lai, JY; Staddon, S; Hamilton, A</t>
  </si>
  <si>
    <t>Lai, Jia Yen; Staddon, Sam; Hamilton, Alistair</t>
  </si>
  <si>
    <t>Technical experts' perspectives of justice-related norms: Lessons from everyday environmental practices in Indonesia</t>
  </si>
  <si>
    <t>Intermediary actor; Policy implementation; Norms; Environmental justice; Impact assessment</t>
  </si>
  <si>
    <t>The involvement of technical experts in environmental management and their perspectives on environmental justice issues can influence how justice notions become integrated into sub-national policies and programs. In other words, the justice-related norms perceived by technical experts have a huge impact on the delivery of justice for society and local environmental practices. Environmental Impact Assessment (EIA) as the world's most widespread environmental policy tool, provides an opportunity for exploring the incorporation of justice in everyday environmental practices. Specifically, how justice concerns related to global sustainability goals might be promoted or shutdown at the sub-national level through the actions of the technical experts involved i.e., those referred to here as 'intermediary actors.' This article reports on research which used semi-structured interviews to investigate the justice-related norms prioritized and promoted by intermediary actors, namely consultants, academics, and governmental officers, in the technical review process of EIA in Indonesia. It also examined the facilitating or constraining factors for negotiating and mobilizing those norms in the project debates of EIA at the sub-national level. We find that the intermediaries engaged with prioritized issues of justice unevenly, as they prioritized distributive and procedural justice over recognitional concerns. Our findings also uncovered crucial structural factors that have preserved existing unequal power relationships in a decentralized environmental governance system. Traditional and authoritative customs underlying environmental policies and practices therefore have significantly influenced the prioritization of justice-related norms. These social and cultural contexts have also restricted an upward mobilization of justice concerns from the sub-national to national and international governance levels. This study argues that the intermediaries need various institutional, physical, and social resources to advance global sustainability and justice agendas at the sub-national level via existing national environmental management tools.</t>
  </si>
  <si>
    <t>[Lai, Jia Yen; Staddon, Sam] Univ Edinburgh, Sch Geosci, Drummond St, Edinburgh EH8 9XP, Midlothian, Scotland; [Hamilton, Alistair] Scotlands Rural Coll, Peter Wilson Bldg,Kings Bldg,West Mains Rd, Edinburgh EH9 3JG, Midlothian, Scotland</t>
  </si>
  <si>
    <t>Lai, JY (corresponding author), Univ Edinburgh, Sch Geosci, Drummond St, Edinburgh EH8 9XP, Midlothian, Scotland.</t>
  </si>
  <si>
    <t>jy.lai@ed.ac.uk</t>
  </si>
  <si>
    <t>Lai, Jia Yen/O-1595-2016</t>
  </si>
  <si>
    <t>Lai, Jia Yen/0000-0002-8156-8997; Hamilton, Alistair/0000-0002-5671-0971</t>
  </si>
  <si>
    <t>University of Edinburgh's Global Research Scholarship; Principal's Career Development PhD Scholarships; Elizabeth Sinclair Irvine Bequest; Centenary Agroforestry 89 Fund</t>
  </si>
  <si>
    <t>We greatly appreciate the interviewees who generously shared their perspectives and gave valuable time to this research. This work was made possible by the University of Edinburgh's Global Research Scholarship and the Principal's Career Development PhD Scholarships. The fieldwork was partly funded by the Elizabeth Sinclair Irvine Bequest and Centenary Agroforestry 89 Fund. We are thankful for the assistance of the local hosts in Indonesia: the Center for Agricultural and Rural Development Studies of the Bogor Agricultural University (PSP3-IPB), the Oil Palm Adaptive Landscapes (OPAL) project and the Centre for International Forestry Research (CIFOR). Our gratitude to the anonymous reviewers for their constructive comments on the manuscript.</t>
  </si>
  <si>
    <t>10.1016/j.landusepol.2020.105234</t>
  </si>
  <si>
    <t>QS8ML</t>
  </si>
  <si>
    <t>WOS:000626147500007</t>
  </si>
  <si>
    <t>Loizia, P; Voukkali, I; Chatziparaskeva, G; Navarro-Pedreno, J; Zorpas, AA</t>
  </si>
  <si>
    <t>Loizia, Pantelitsa; Voukkali, Irene; Chatziparaskeva, Georgia; Navarro-Pedreno, Jose; Zorpas, Antonis A.</t>
  </si>
  <si>
    <t>Measuring the Level of Environmental Performance on Coastal Environment before and during the COVID-19 Pandemic: A Case Study from Cyprus</t>
  </si>
  <si>
    <t>COVID-19; key performance indicators; waste strategies; clean coast index; waste accumulation index; waste accumulation rate; waste strategies; microplastics; level of services</t>
  </si>
  <si>
    <t>PLASTIC POLLUTION; WASTE; FRAMEWORK; PREVENTION; BEACH; EMISSIONS; ENERGY</t>
  </si>
  <si>
    <t>Tourism activities are considered, among others, the backbone of the local economies. However, tourism activities lead to adverse environmental impacts, especially in coastal zones. Coastal areas are considered and recognized as of strategic importance due to the fact that several activities take place, from leisure to business. At the same time, coastal areas are under pressure from tourist activities, and the waste generated is a very serious issue. Therefore, there are limited studies related to the environmental dimensions of the COVID-19 pandemic in the coastal environment. This paper provides answers to the hypothesis that the pandemic lockdown scenario would improve environmental performance due to reduced usage and, therefore, waste, taking into account specific key performance indicators (KPIs) as these KPIs are used to evaluate the performance of an area. The results showed that the study area improved, as did the selected KPIs, i.e., clean coast index (CCI), waste accumulation rate (WAR), and waste accumulation index (WAI). Additionally, according to the final results, the concentration of micro-, meso- and macroplastics on the beach reduced, and the main issues remained the solutions on cigarette butts, straws, and other plastic containers. Furthermore, the final results are considered very useful to local authorities, stakeholders, consultants, policymakers, and any other competent authorities, to reschedule their waste management strategies, to improve waste infrastructures and their level of services (LOS), as well as, to suggest frequent awareness-raising activities to their visitors on how to protect the coastal environment, taking into account a pandemic scenario, as well as, the policy alternative impacts on EU coastal zones 2000-2050.</t>
  </si>
  <si>
    <t>[Loizia, Pantelitsa; Voukkali, Irene] Inst Environm Technol &amp; Sustainable Dev, Dept Res &amp; Dev ENVITECH, POB 34073, CY-5309 Paralimni, Cyprus; [Loizia, Pantelitsa; Voukkali, Irene; Chatziparaskeva, Georgia; Zorpas, Antonis A.] Open Univ Cyprus, Fac Pure &amp; Appl Sci, Lab Chem Engn &amp; Engn Sustainabil, Environm Conservat &amp; Management, POB 12794, CY-2252 Nicosia, Cyprus; [Navarro-Pedreno, Jose] Univ Miguel Hernandez Elche UMH, Dept Agrochem &amp; Environm, Ave Univ S-N Edificio Alcudia, Elche 03202, Spain</t>
  </si>
  <si>
    <t>Zorpas, AA (corresponding author), Open Univ Cyprus, Fac Pure &amp; Appl Sci, Lab Chem Engn &amp; Engn Sustainabil, Environm Conservat &amp; Management, POB 12794, CY-2252 Nicosia, Cyprus.</t>
  </si>
  <si>
    <t>pantelitsa-loizia@hotmail.com; irenevoukkali@envitech.org; georgia.chatziparaskeva1@ouc.ac.cy; jonavar@umh.es; antoniszorpas@yahoo.com</t>
  </si>
  <si>
    <t>Navarro-Pedreño, Jose/A-7830-2010</t>
  </si>
  <si>
    <t>Navarro-Pedreño, Jose/0000-0002-4765-2191</t>
  </si>
  <si>
    <t>10.3390/su13052485</t>
  </si>
  <si>
    <t>QW5FD</t>
  </si>
  <si>
    <t>WOS:000628674600001</t>
  </si>
  <si>
    <t>[Waliszewski, Krzysztof; Warchlewska, Anna] Poznan Univ Econ &amp; Business, Al Niepodleglosci 10, PL-61875 Poznan, Poland</t>
  </si>
  <si>
    <t>Waliszewski, K (corresponding author), Poznan Univ Econ &amp; Business, Al Niepodleglosci 10, PL-61875 Poznan, Poland.</t>
  </si>
  <si>
    <t>Warchlewska, Anna/AAK-5347-2021; Waliszewski, Krzysztof/AAV-4347-2020</t>
  </si>
  <si>
    <t>10.9770/jesi.2021.8.3(42)</t>
  </si>
  <si>
    <t>QK1LE</t>
  </si>
  <si>
    <t>WOS:000620140400041</t>
  </si>
  <si>
    <t>Mandai, SS; de Souza, MMP</t>
  </si>
  <si>
    <t>Mandai, Silvia Sayuri; de Souza, Marcelo Marini Pereira</t>
  </si>
  <si>
    <t>Guidelines for the analysis of the inclusion of biodiversity in Environmental Impact Statements</t>
  </si>
  <si>
    <t>Biodiversity impact assessment; Convention on Biological Diversity; Environmental Impact Assessment; Environmental policy instruments</t>
  </si>
  <si>
    <t>Article 14 of the Convention on Biological Diversity (CBD) calls for the inclusion of impacts on biodiversity in Environmental Impact Assessment (EIA), which is a significant instrument for site-specific impact prediction. In view of the shortcomings reported for Environmental Impact Statements (EISs), guidelines with indicators could improve the consideration of biological diversity in EISs. This study aims to establish guidelines for the analysis of the inclusion of biodiversity in EISs using a systematic approach based on scientific papers, CBD, and a survey with 43 EIA practitioners from universities, government agencies, environmental consulting companies, business segment, and the third sector. The guidelines comprise 60 indicators arranged into eight categories about the project's characteristics, methods, baseline, impact assessment, alternatives, as well as mitigation, compensation, and monitoring measures. The guidelines also include the levels of biological diversity (ecosystem, species, and genetic diversity), the three elements of biodiversity (composition, structure, and key processes), and the main anthropogenic threats. Thus, the guidelines represent a methodological contribution to EIA that could support decision making and future systematic reviews of EISs.</t>
  </si>
  <si>
    <t>[Mandai, Silvia Sayuri] Univ Sao Paulo, Sch Arts Sci &amp; Humanities, 1000 Arlindo Bettio St, BR-03828000 Sao Paulo, SP, Brazil; [de Souza, Marcelo Marini Pereira] Univ Sao Paulo, Fac Philosophy Sci &amp; Letters Ribeirao Preto, 3900 Bandeirantes Ave, BR-14040901 Sao Paulo, Brazil</t>
  </si>
  <si>
    <t>Mandai, SS (corresponding author), Univ Sao Paulo, Sch Arts Sci &amp; Humanities, 1000 Arlindo Bettio St, BR-03828000 Sao Paulo, SP, Brazil.</t>
  </si>
  <si>
    <t>silvia.mandai@usp.br; mps@usp.br</t>
  </si>
  <si>
    <t>Mandai, Silvia Sayuri/AAG-3328-2019</t>
  </si>
  <si>
    <t>Mandai, Silvia Sayuri/0000-0002-9260-5327</t>
  </si>
  <si>
    <t>Coordenacao de Aperfeicoamento de Pessoal de Nivel Superior - Brazil (CAPES) [001]</t>
  </si>
  <si>
    <t>Coordenacao de Aperfeicoamento de Pessoal de Nivel Superior - Brazil (CAPES)(Coordenacao de Aperfeicoamento de Pessoal de Nivel Superior (CAPES))</t>
  </si>
  <si>
    <t>This study was financed in part by the Coordenacao de Aperfeicoamento de Pessoal de Nivel Superior - Brazil (CAPES) - Finance Code 001.</t>
  </si>
  <si>
    <t>10.1016/j.eiar.2020.106523</t>
  </si>
  <si>
    <t>QC3DS</t>
  </si>
  <si>
    <t>WOS:000614713900007</t>
  </si>
  <si>
    <t>Safety science; Safety Management System (SMS); Societal context; Enabling context</t>
  </si>
  <si>
    <t>3 MILE ISLAND; UNCERTAINTY</t>
  </si>
  <si>
    <t>[Bieder, Corinne] Univ Toulouse, ENAC Ecole Natl Aviat Civile, Toulouse, France</t>
  </si>
  <si>
    <t>Bieder, C (corresponding author), Univ Toulouse, ENAC Ecole Natl Aviat Civile, Toulouse, France.</t>
  </si>
  <si>
    <t>corinne.bieder@enac.fr</t>
  </si>
  <si>
    <t>SAFETY SCI</t>
  </si>
  <si>
    <t>Saf. Sci.</t>
  </si>
  <si>
    <t>Engineering, Industrial; Operations Research &amp; Management Science</t>
  </si>
  <si>
    <t>Engineering; Operations Research &amp; Management Science</t>
  </si>
  <si>
    <t>PV7UM</t>
  </si>
  <si>
    <t>Harrison, M</t>
  </si>
  <si>
    <t>Harrison, Mark</t>
  </si>
  <si>
    <t>Optimising engagement between forensics &amp; policing: Avoiding the dialogue of the deaf</t>
  </si>
  <si>
    <t>Forensics; Crime; Detective; Investigator; Communication; Ecology</t>
  </si>
  <si>
    <t>SCIENCE; PARTNERSHIPS; LEADERSHIP; BENEFITS; MYCOLOGY; PITFALLS; SAMPLES</t>
  </si>
  <si>
    <t>Forensic science is increasing in the scale and scope of available or emergent capabilities to aid criminal investigations. Concurrently, investigations are increasing in complexity, with disciplines such as forensic ecology having an input into police work. The many specialisms comprising forensic ecology are helping authorities to counteract the trans-national and inter-jurisdictional criminal operations which are driven by global interconnectedness and the Internet. These factors, when combined with a rise in public oversight, and the media's unrealistic expectation that all crimes are solvable, produce a challenging environment for police investigators. This paper explores the author's experience of effective communication between police investigators and forensic practitioners and reflects on an emergent consultancy model of engagement. This option presents a change in the police operating environment, often with improved investigative outcomes. (c) 2020 Published by Elsevier B.V.</t>
  </si>
  <si>
    <t>[Harrison, Mark] Charles Sturt Univ, Bathurst, NSW, Australia; [Harrison, Mark] Initiat Forens Geol IFG, Law Enforcement Adviser Int Union Geol Sci IUGS, Brisbane, Qld, Australia</t>
  </si>
  <si>
    <t>Harrison, M (corresponding author), Initiat Forens Geol IFG, Law Enforcement Adviser Int Union Geol Sci IUGS, Brisbane, Qld, Australia.</t>
  </si>
  <si>
    <t>mharrison@csu.edu.au</t>
  </si>
  <si>
    <t>Harrison, Mark/0000-0001-7394-1918</t>
  </si>
  <si>
    <t>ELSEVIER IRELAND LTD</t>
  </si>
  <si>
    <t>CLARE</t>
  </si>
  <si>
    <t>ELSEVIER HOUSE, BROOKVALE PLAZA, EAST PARK SHANNON, CO, CLARE, 00000, IRELAND</t>
  </si>
  <si>
    <t>FORENSIC SCI INT</t>
  </si>
  <si>
    <t>Forensic Sci.Int.</t>
  </si>
  <si>
    <t>10.1016/j.forsciint.2020.110605</t>
  </si>
  <si>
    <t>FEB 2021</t>
  </si>
  <si>
    <t>Medicine, Legal</t>
  </si>
  <si>
    <t>Legal Medicine</t>
  </si>
  <si>
    <t>RC8HE</t>
  </si>
  <si>
    <t>WOS:000633034200007</t>
  </si>
  <si>
    <t>Parthasarathy, M; Khuntia, J; Stacey, R</t>
  </si>
  <si>
    <t>Parthasarathy, Madhavan; Khuntia, Jiban; Stacey, Rulon</t>
  </si>
  <si>
    <t>Impact of Remote and Virtual Care Models on the Sustainability of Small Health Care Businesses: Perceptual Analysis of Small Clinics, Physician Offices, and Pharmacies in Colorado</t>
  </si>
  <si>
    <t>clinics; Colorado; COVID-19; electronic physician visits; entrepreneur; pharmacies; physician offices; small business; telehealth; telemedicine</t>
  </si>
  <si>
    <t>Background: Lockdowns and shelter-in-place orders during COVID-19 have accelerated the adoption of remote and virtual care (RVC) models, potentially including telehealth, telemedicine, and internet-based electronic physician visits (e-visits) for remote consultation, diagnosis, and care, deterring small health care businesses including clinics, physician offices, and pharmacies from aligning resources and operations to new RVC realities. Current perceptions of small health care businesses toward remote care, particularly perceptions of whether RVC adoption will synergistically improve business sustainability, would highlight the pros and cons of rapidly adopting RVC technology among policy makers. Objective: This study aimed to assess the perceptions of small health care businesses regarding the impact of RVC on their business sustainability during COVID-19, gauge their perceptions of their current levels of adoption of and satisfaction with RVC models and analyze how well that aligns with their perceptions of the current business scenario (SCBS), and determine whether these perceptions influence their view of their midterm sustainability (SUST). Methods: We randomly sampled small clinics, physician offices, and pharmacies across Colorado and sought assistance from a consulting firm to collect survey data in July 2020. Focal estimated study effects were compared across the three groups of small businesses to draw several insights. Results: In total, 270 respondents, including 82 clinics, 99 small physician offices, and 89 pharmacies, across Colorado were included. SRVC and SCBS had direct, significant, and positive effects on SUST. However, we investigated the effect of the interaction between SRVC and SCBS to determine whether RVC adoption aligns with their perceptions of the current business scenario and whether this interaction impacts their perception of business sustainability. Effects differed among the three groups. The interaction term SRVC x SCBS was significant and positive for clinics (P=.02), significant and negative for physician offices (P=.05), and not significant for pharmacies (P=.76). These variations indicate that while clinics positively perceived RVC alignment with the current business scenario, the opposite held true for small physician offices. Conclusions: As COVID-19 continues to spread worldwide and RVC adoption progresses rapidly, it is critical to understand the impact of RVC on small health care businesses and their perceptions of long-term survival. Small physician practices cannot harness RVC developments and, in contrast with clinics, consider it incompatible with business survival during and after COVID-19. If small health care firms cannot compete with RVC (or synergistically integrate RVC platforms into their current business practices) and eventually become nonoperational, the resulting damage to traditional health care services may be severe, particularly for critical care delivery and other important services that RVC cannot effectively replace. Our results have implications for public policy decisions such as incentive-aligned models, policy-initiated incentives, and payer-based strategies for improved alignment between RVC and existing models.</t>
  </si>
  <si>
    <t>[Parthasarathy, Madhavan; Khuntia, Jiban; Stacey, Rulon] Univ Colorado, 1475 Lawrence St, Denver, CO 80202 USA</t>
  </si>
  <si>
    <t>Parthasarathy, M (corresponding author), Univ Colorado, 1475 Lawrence St, Denver, CO 80202 USA.</t>
  </si>
  <si>
    <t>madhavan.parthasarathy@ucdenver.edu</t>
  </si>
  <si>
    <t>Stacey, Rulon/0000-0001-7853-9813</t>
  </si>
  <si>
    <t>FEB 25</t>
  </si>
  <si>
    <t>e23658</t>
  </si>
  <si>
    <t>10.2196/23658</t>
  </si>
  <si>
    <t>QM2DR</t>
  </si>
  <si>
    <t>WOS:000621590700012</t>
  </si>
  <si>
    <t>Dawbin, TM; Sam, MP; Stenling, C</t>
  </si>
  <si>
    <t>Dawbin, Timothy M.; Sam, Michael P.; Stenling, Cecilia</t>
  </si>
  <si>
    <t>National sport organisation responses to independent reviews</t>
  </si>
  <si>
    <t>INTERNATIONAL JOURNAL OF SPORT POLICY AND POLITICS</t>
  </si>
  <si>
    <t>National Sports Organisations; reviews; audit; consultants; new Zealand; modernisation</t>
  </si>
  <si>
    <t>Government sport agencies maintain an enduring interest in National Sport Organisations (NSOs) and deploy a number of tools to make them more effective and efficient. Independent, consultant-led reviews are increasingly used to assess aspects of capability, sustainability, governance, management, and programme delivery. However, it is unknown how NSOs respond to these instruments and the latter's capacity to induce substantive change. This research investigates how and why NSOs respond to independent reviews of their organisations, whether purposefully, passively or politically. Drawing from documents and interviews with NSO officials, findings demonstrate that NSOs respond both purposefully and passively to recommendations advising centralised control over their networks. While there is evidence that responses to reviews invite further state involvement, the mix of responses, along with the finding that 'reviews beget reviews', suggests NSOs maintain considerable agency to 'muddle through' recommendations. This study speaks to why reviews may be repeated and why they may face increasing scepticism.</t>
  </si>
  <si>
    <t>[Dawbin, Timothy M.; Sam, Michael P.] Univ Otago, Sch Phys Educ Sport &amp; Exercise Sci, Dunedin 9016, New Zealand; [Stenling, Cecilia] Umea Univ, Dept Educ, Umea, Sweden; [Stenling, Cecilia] Univ Otago, Ctr Sports Policy &amp; Polit, Dunedin, New Zealand</t>
  </si>
  <si>
    <t>Dawbin, TM (corresponding author), Univ Otago, Sch Phys Educ Sport &amp; Exercise Sci, Dunedin 9016, New Zealand.</t>
  </si>
  <si>
    <t>timothy.dawbin@otago.ac.nz</t>
  </si>
  <si>
    <t>Dawbin, Timothy/0000-0002-6819-8469; Sam, Michael/0000-0002-2625-4426; stenling, cecilia/0000-0002-9619-801X</t>
  </si>
  <si>
    <t>1940-6940</t>
  </si>
  <si>
    <t>1940-6959</t>
  </si>
  <si>
    <t>INT J SPORT POLICY P</t>
  </si>
  <si>
    <t>Int. J. Sport Policy Polit.</t>
  </si>
  <si>
    <t>10.1080/19406940.2021.1877168</t>
  </si>
  <si>
    <t>QT0HR</t>
  </si>
  <si>
    <t>WOS:000620470600001</t>
  </si>
  <si>
    <t>Suris-Regueiro, JC; Santiago, JL; Gonzalez-Martinez, XM; Garza-Gil, MD</t>
  </si>
  <si>
    <t>Suris-Regueiro, Juan C.; Santiago, Jose L.; Gonzalez-Martinez, Xose M.; Dolores Garza-Gil, M.</t>
  </si>
  <si>
    <t>An applied framework to estimate the direct economic impact of Marine Spatial Planning</t>
  </si>
  <si>
    <t>Impact evaluation methodology; Direct economic impacts; Marine planning</t>
  </si>
  <si>
    <t>ECOSYSTEM-BASED MANAGEMENT; SEA USE MANAGEMENT; DECISION-SUPPORT; ENVIRONMENT; BENEFITS; TOOLS</t>
  </si>
  <si>
    <t>The complex nature of the Marine Spatial Planning (MSP) requires the integration and consideration of multiple elements, ranging from the ecological and environmental to the socio-economic as well as the political, institutional or cultural. To succeed, the public policies demand techniques and tools that allow to evaluate the effects or impacts on the society. By applying an empirical approach, this paper presents a framework to evaluate the direct economic impacts linked to the implementation of MSP policies in three case studies: Belgium, Germany and Norway. The methodological procedure is sequenced in 4 phases: identification of the sectors involved, data collection, construction of counterfactual scenarios and estimate of impacts after consulting the stakeholders. With the application of this framework to the case studies, an estimate was made of the variations in the value of production for each marine sector that can be directly attributed to the implementation of the MSP. In general, they were positive in the three cases analysed. In the medium scenario, cumulative final direct impacts of euro 1875 million were estimated in the German case (2010-2016 period), euro 929 million in the Belgian case (2014-2016) and euro 2262 million in the Norwegian case (2013-2016). These results can serve as the basis for further estimations of indirect and induced impacts of the implementation of spatial management policies in a blue economy context.</t>
  </si>
  <si>
    <t>[Suris-Regueiro, Juan C.; Gonzalez-Martinez, Xose M.; Dolores Garza-Gil, M.] Univ Vigo, Fac Econ &amp; Business Sci, Dept Appl Econ, ERENEA ECOBAS, Vigo 36310, Galicia, Spain; [Santiago, Jose L.] CETMAR Fdn, Technol Ctr Sea, Eduardo Cabello S-N, Vigo 36208, Galicia, Spain</t>
  </si>
  <si>
    <t>Suris-Regueiro, JC (corresponding author), Univ Vigo, Fac Econ &amp; Business Sci, Dept Appl Econ, ERENEA ECOBAS, Vigo 36310, Galicia, Spain.</t>
  </si>
  <si>
    <t>jsuris@uvigo.gal; jsantiago@cetmar.org; xmgonzalez@uvigo.es; dgarza@uvigo.es</t>
  </si>
  <si>
    <t>Suris-Regueiro, Juan C./L-4720-2014</t>
  </si>
  <si>
    <t>Suris-Regueiro, Juan C./0000-0002-7675-9553; Santiago, Jose L./0000-0002-1379-9478</t>
  </si>
  <si>
    <t>Xunta de Galicia [ED431C2018/48, ED431E2018/07]; European Regional Development Fund [ED431C2018/48, ED431E2018/07]; Spanish Government's Ministry of Science, Innovation and Universities [RTI2018-099225-B-100]</t>
  </si>
  <si>
    <t>Xunta de Galicia(Xunta de GaliciaEuropean Commission); European Regional Development Fund(European Commission); Spanish Government's Ministry of Science, Innovation and Universities</t>
  </si>
  <si>
    <t>This work was supported by Xunta de Galicia and European Regional Development Fund (ED431C2018/48 and ED431E2018/07); the Spanish Government's Ministry of Science, Innovation and Universities (RTI2018-099225-B-100).</t>
  </si>
  <si>
    <t>10.1016/j.marpol.2021.104443</t>
  </si>
  <si>
    <t>SG7NY</t>
  </si>
  <si>
    <t>WOS:000653628000016</t>
  </si>
  <si>
    <t>Hampton, S; Fawcett, T; Rosenow, J; Michaelis, C; Mayne, R</t>
  </si>
  <si>
    <t>Hampton, Sam; Fawcett, Tina; Rosenow, Jan; Michaelis, Charles; Mayne, Ruth</t>
  </si>
  <si>
    <t>Evaluation in an Emergency: Assessing Transformative Energy Policy amidst the Climate Crisis Comment</t>
  </si>
  <si>
    <t>TRANSITION</t>
  </si>
  <si>
    <t>Sam Hampton is a researcher at the Environmental Change Institute, Oxford University and freelance sustainability consultant. His research focuses on the governance of the energy transition. He specializes in energy policy evaluation, low carbon innovation, and sustainability for small and medium-sized enterprises. Tina Fawcett is a researcher at the Environmental Change Institute, Oxford University. Her research concerns energy use by households and organizations and uses a multi-disciplinary approach to understand current patterns of use and to identify opportunities and policies for reducing energy use and carbon emissions. Jan Rosenow is Director of European Programmes at Regulatory Assistance Project (RAP); Honorary Research Associate at Oxford University's Environmental Change Institute, an Associate Fellow at Sussex Energy Group of SPRU, University of Sussex and at Free University of Berlin. His work focuses on energy and climate policy and regulation and market design. Charlie Michaelis is Director of Strategy Development Solutions. He has over 25 years' experience of assisting government and the public sector to evaluate policies and programs. He specializes in energy efficiency, renewable energy, environment, business support, and transport. Ruth Mayne is a senior researcher at Oxfam GB currently working on climate justice and how change happens.</t>
  </si>
  <si>
    <t>[Hampton, Sam; Fawcett, Tina] Univ Oxford, Environm Change Inst, Oxford, England; [Rosenow, Jan] Regulatory Assistance Project, Brussels, Belgium; [Michaelis, Charles] Oxfam GB, Oxford, England; [Mayne, Ruth] Strategy Dev Solut Ltd, Kingswinford, W Midlands, England</t>
  </si>
  <si>
    <t>Hampton, S (corresponding author), Univ Oxford, Environm Change Inst, Oxford, England.</t>
  </si>
  <si>
    <t>samuel.hampton@ouce.ox.ac.uk</t>
  </si>
  <si>
    <t>Rosenow, Jan/GOJ-9750-2022</t>
  </si>
  <si>
    <t>Hampton, Sam/0000-0003-0596-9710</t>
  </si>
  <si>
    <t>Innovate UK of Energy Superhub Oxford [104779]; UK Research and Innovation (Centre for Research into Energy Demand Solutions) [EP/R035288/1]</t>
  </si>
  <si>
    <t>Innovate UK of Energy Superhub Oxford(UK Research &amp; Innovation (UKRI)Innovate UK); UK Research and Innovation (Centre for Research into Energy Demand Solutions)</t>
  </si>
  <si>
    <t>This article has been enabled by funding from Innovate UK, funders of Energy Superhub Oxford (project reference 104779), and from UK Research and Innovation (Centre for Research into Energy Demand Solutions, grant agreement number EP/R035288/1).</t>
  </si>
  <si>
    <t>CELL PRESS</t>
  </si>
  <si>
    <t>50 HAMPSHIRE ST, FLOOR 5, CAMBRIDGE, MA 02139 USA</t>
  </si>
  <si>
    <t>Joule</t>
  </si>
  <si>
    <t>10.1016/j.joule.2020.12.019</t>
  </si>
  <si>
    <t>Chemistry, Physical; Energy &amp; Fuels; Materials Science, Multidisciplinary</t>
  </si>
  <si>
    <t>Chemistry; Energy &amp; Fuels; Materials Science</t>
  </si>
  <si>
    <t>QX2VC</t>
  </si>
  <si>
    <t>WOS:000629204800001</t>
  </si>
  <si>
    <t>Royal, S; Lehoux, N; Blanchet, P</t>
  </si>
  <si>
    <t>Royal, Sebastien; Lehoux, Nadia; Blanchet, Pierre</t>
  </si>
  <si>
    <t>New home warranty schemes: developing a theoretical comparative framework using qualitative content analysis</t>
  </si>
  <si>
    <t>New home warranty; Residential construction; Defects; New-build housing</t>
  </si>
  <si>
    <t>RESIDENTIAL BUILDINGS; LITERATURE-REVIEWS; PRODUCT WARRANTY; RISK-MANAGEMENT; CONSTRUCTION; DEFECTS; REWORK</t>
  </si>
  <si>
    <t>Purpose The housing construction industry is one of the most lucrative sectors for developed countries. However, homebuyers are often vulnerable when left with latent building defects in their new-build house. Many nations have thus implemented new home warranty schemes to protect consumers and stimulate residential production. These warranty programs vary excessively from state to state given the distinct nature of environments. Previous studies have attempted to compare one with another but did not apply a consistent comparative method when doing so. Therefore, the purpose of this study is to identify the characteristics defining a new home warranty and to develop a standardised comparative framework. Design/methodology/approach After evaluating the characteristics outlined in multiple home warranty programs, a qualitative content analysis method was used to establish coding, categories and themes in order to create the framework. The methodology relied mostly on cross-referencing from academic papers, methodical reviews, government documents and professional consultant reports. Findings This paper reviewed warranty schemes from six countries: Canada, United Kingdom, Australia, Japan, France and Malaysia. The findings suggest that home warranty programs are defined by five main themes: political involvement; homeowner protection; financial sustainability; quality management; and dispute resolution. At the end, the research created a comparative framework of 101 codes that could be used to accurately measure the efficiency of a home warranty scheme. Originality/value Gathering all defining characteristics of new housing warranties into a unique comparative framework rectifies a gap in the literature. Such a flexible tool will aid future practitioners in the field to undertake comparative case study analysis through qualitative research methods.</t>
  </si>
  <si>
    <t>[Royal, Sebastien; Lehoux, Nadia] Laval Univ, Dept Mech Engn, Quebec City, PQ, Canada; [Blanchet, Pierre] Laval Univ, Dept Wood &amp; Forest Sci, Quebec City, PQ, Canada</t>
  </si>
  <si>
    <t>Royal, S (corresponding author), Laval Univ, Dept Mech Engn, Quebec City, PQ, Canada.</t>
  </si>
  <si>
    <t>sebastien.royal.1@ulaval.ca; Nadia.Lehoux@gmc.ulaval.ca; Pierre.Blanchet@sbf.ulaval.ca</t>
  </si>
  <si>
    <t>Royal, Sebastien/0000-0003-3922-256X</t>
  </si>
  <si>
    <t>10.1108/IJBPA-10-2020-0090</t>
  </si>
  <si>
    <t>QJ9FO</t>
  </si>
  <si>
    <t>WOS:000619988900001</t>
  </si>
  <si>
    <t>Armadans-Tremolosa, I; Guilera, G; Heras, ML; Castrechini, A; Selva-O'Callaghan, A</t>
  </si>
  <si>
    <t>Armadans-Tremolosa, I; Guilera, G.; Las Heras, M.; Castrechini, A.; Selva-O'Callaghan, A.</t>
  </si>
  <si>
    <t>Functioning in adult patients with idiopathic inflammatory myopathy: Exploring the role of environmental factors using focus groups</t>
  </si>
  <si>
    <t>QUALITY-OF-LIFE; ICF LINKING RULES; CLASSIFICATION; POLYMYOSITIS; DISABILITY; AGREEMENT</t>
  </si>
  <si>
    <t>Objective Health-related quality of life is impaired in idiopathic inflammatory myopathies. This study aimed to identify the main areas of the health-related quality of life environment domain that are affected in patients with myositis. Methods A qualitative study was performed using focus groups and applying the International Classification of Functioning, Disability, and Health. Participants were recruited from a cohort of 323 adult inflammatory myopathy patients consulting at a reference center for idiopathic inflammatory myopathy in Spain, selected by the maximum variation strategy, and placed in focus groups with 5 to 7 patients per group. The number of focus groups required was determined by data saturation. Results Twenty-five patients distributed in 4 focus groups were interviewed. The verbatim provided 54 categories directly related with environmental factors. Those associated with products or substances for personal consumption (e110), health professionals (e355), health services, systems and policies (e580), products and technology for personal use in daily living (e115), and immediate family (e310) were the ones most frequently reported. Conclusion The results of this study led to identification of several environmental factors that affect the health-related quality of life of patients with myositis. Remedial interventions should be designed to address some of these factors.</t>
  </si>
  <si>
    <t>[Armadans-Tremolosa, I; Las Heras, M.; Castrechini, A.] Univ Barcelona, Dept Social Psychol &amp; Quantitat Psychol, PsicoSAO Res Grp Social Environm &amp; Org Psychol, Barcelona, Spain; [Guilera, G.] Univ Barcelona, Dept Social Psychol &amp; Quantitat Psychol, Barcelona, Spain; [Guilera, G.] Univ Barcelona, Inst Neurosci, Barcelona, Spain; [Selva-O'Callaghan, A.] Univ Autonoma Barcelona, Vall dHebron Gen Hosp, Dept Med, Syst Autoimmune Dis Unit, Barcelona, Spain</t>
  </si>
  <si>
    <t>Selva-O'Callaghan, A (corresponding author), Univ Autonoma Barcelona, Vall dHebron Gen Hosp, Dept Med, Syst Autoimmune Dis Unit, Barcelona, Spain.</t>
  </si>
  <si>
    <t>aselva@vhebron.net</t>
  </si>
  <si>
    <t>Castrechini, Angela/H-3650-2015; Armadans, Immaculada/AAA-1268-2022</t>
  </si>
  <si>
    <t>Castrechini, Angela/0000-0003-3241-5254; Armadans, Immaculada/0000-0003-2690-0544; Selva-O'Callaghan, Albert/0000-0003-2823-9761</t>
  </si>
  <si>
    <t>Instituto de Salud Carlos III; European Regional Development Fund (ERDF) [PI15/02100]</t>
  </si>
  <si>
    <t>Instituto de Salud Carlos III(Instituto de Salud Carlos IIIEuropean Commission); European Regional Development Fund (ERDF)(European Commission)</t>
  </si>
  <si>
    <t>This work was supported in part by the Instituto de Salud Carlos III and the European Regional Development Fund (ERDF) (grant number PI15/02100).</t>
  </si>
  <si>
    <t>e0244959</t>
  </si>
  <si>
    <t>10.1371/journal.pone.0244959</t>
  </si>
  <si>
    <t>QH4VJ</t>
  </si>
  <si>
    <t>WOS:000618274000084</t>
  </si>
  <si>
    <t>Farrugia, A; Muhammad, QR; Ravichandran, NT; Ali, M; Marangoni, G; Ahmad, J</t>
  </si>
  <si>
    <t>Farrugia, Alexia; Muhammad, Qazi Rahim; Ravichandran, Niranjan T.; Ali, Majid; Marangoni, Gabriele; Ahmad, Jawad</t>
  </si>
  <si>
    <t>Proposed training pathway with initial experience to set up robotic hepatobiliary and pancreatic service</t>
  </si>
  <si>
    <t>JOURNAL OF ROBOTIC SURGERY</t>
  </si>
  <si>
    <t>Robotic surgery; HPB surgery; Minimally invasive surgery; Pancreatic surgery; Hepatectomy</t>
  </si>
  <si>
    <t>Although robot-assisted hepatobiliary and pancreatic (HPB) surgery has gained momentum over the last 2 decades, only a handful of units in the world perform major robotic resections. Adaptation of robotic surgery in the UK lags behind its European counterparts and this is mainly because of cost implications in a publicly funded National Health Service (NHS). We describe our experience of setting up a robotic HPB programme with clinical outcomes and propose a training pathway that would help prospective centres in setting up their own robotic HPB service with robust clinical governance oversight. After gaining colleagues' and departmental support, approval from the hospital clinical governance, finance department and new intervention procedure committee was sought. A team of two consultant surgeons, three assistants and three theatre staff went through a structured training programme sponsored mainly by the industry. Surgeon training consisted of online modules, simulation, wet lab, cadaveric training, case observations, proctored procedures followed by independent practice. All major cases were recorded and videos reviewed to improve performance. A total of 111 procedures were successfully completed with robotic assistance between April 2018 and March 2020. The programme started with robot-assisted cholecystectomy as index procedure and progressed on to more complex liver and pancreatic resections including major hepatectomy and Whipple's procedure. The training pathway followed by our team has been effective in setting up a safe robotic HPB programme and could be considered as a roadmap to start new Robotic HPB services.</t>
  </si>
  <si>
    <t>[Farrugia, Alexia; Muhammad, Qazi Rahim; Ravichandran, Niranjan T.; Ali, Majid; Marangoni, Gabriele; Ahmad, Jawad] Univ Hosp Coventry &amp; Warwickshire, Clifford Bridge Rd, Coventry CV2 2DX, W Midlands, England</t>
  </si>
  <si>
    <t>Ahmad, J (corresponding author), Univ Hosp Coventry &amp; Warwickshire, Clifford Bridge Rd, Coventry CV2 2DX, W Midlands, England.</t>
  </si>
  <si>
    <t>Alexia.farrugia1@nhs.net; Qazi.muhammad@uhcw.nhs.uk; niranjanravichan@gmail.com; Majid.Ali@uhcw.nhs.uk; Gabriele.Marangoni@uhcw.nhs.uk; jawad.ahmad@uhcw.nhs.uk</t>
  </si>
  <si>
    <t>1863-2483</t>
  </si>
  <si>
    <t>1863-2491</t>
  </si>
  <si>
    <t>J ROBOT SURG</t>
  </si>
  <si>
    <t>J. Robot. Surg.</t>
  </si>
  <si>
    <t>10.1007/s11701-021-01207-6</t>
  </si>
  <si>
    <t>ZF6GZ</t>
  </si>
  <si>
    <t>WOS:000617115700001</t>
  </si>
  <si>
    <t>Sutton, T; Devine, RA; Lamont, BT; Holmes, RM</t>
  </si>
  <si>
    <t>Sutton, Trey; Devine, Richard A.; Lamont, Bruce T.; Holmes, R. Michael, Jr.</t>
  </si>
  <si>
    <t>RESOURCE DEPENDENCE, UNCERTAINTY, AND THE ALLOCATION OF CORPORATE POLITICAL ACTIVITY ACROSS MULTIPLE JURISDICTIONS</t>
  </si>
  <si>
    <t>ACADEMY OF MANAGEMENT JOURNAL</t>
  </si>
  <si>
    <t>CAMPAIGN CONTRIBUTIONS; STAKEHOLDER; FIRM; DETERMINANTS; MANAGEMENT; INDUSTRY; MARKET; MONEY; DEINSTITUTIONALIZATION; ORGANIZATIONS</t>
  </si>
  <si>
    <t>This paper contributes to the resource dependence theory and corporate political activity literatures by distinguishing dependence from uncertainty and explaining how two different types of uncertainty have opposite effects on dependence management. We explain how some environmental factors increase the state uncertainty associated with firms' dependence on government jurisdictions, whereas other factors increase response uncertainty. We hypothesize that, due to the historical influence of the media and social movement organizations on politics, negative national media tenor and oppositional social movement organization resources increase state uncertainty (i.e., government's likely behavior toward firms becomes less predictable), strengthening the relationship between firms' dependence on jurisdictions and their use of political contributions in those jurisdictions. Further, we hypothesize that top management team turnover and politician turnover increase response uncertainty (i.e., the effectiveness of firms' efforts to manage their dependence becomes less clear), weakening the relationship between dependence and political contributions. We find support for our theory in an examination of state-level political contributions of firms in environmentally intensive industries from 2009 to 2016. Interviews with senior executives, political consultants, and senior government employees directly involved in corporate political activity help illustrate the hypothesized relationships.</t>
  </si>
  <si>
    <t>[Sutton, Trey] Univ Richmond, Management, Robins Sch Business, Richmond, VA 23173 USA; [Devine, Richard A.] Depaul Univ, Management, Driehaus Coll Business, Chicago, IL 60604 USA; [Lamont, Bruce T.] Florida State Univ, Business Adm, Tallahassee, FL 32306 USA; [Holmes, R. Michael, Jr.] Florida State Univ, Strateg Management, Tallahassee, FL 32306 USA</t>
  </si>
  <si>
    <t>Sutton, T (corresponding author), Univ Richmond, Management, Robins Sch Business, Richmond, VA 23173 USA.</t>
  </si>
  <si>
    <t>asutton@richmond.edu; rdevine2@depaul.edu; blamont@fsu.edu; mholmes@fsu.edu</t>
  </si>
  <si>
    <t>Vogt, Julia E./0000-0002-6004-7770</t>
  </si>
  <si>
    <t>ACAD MANAGEMENT</t>
  </si>
  <si>
    <t>BRIARCLIFF MANOR</t>
  </si>
  <si>
    <t>PACE UNIV, PO BOX 3020, 235 ELM RD, BRIARCLIFF MANOR, NY 10510-8020 USA</t>
  </si>
  <si>
    <t>0001-4273</t>
  </si>
  <si>
    <t>1948-0989</t>
  </si>
  <si>
    <t>ACAD MANAGE J</t>
  </si>
  <si>
    <t>Acad. Manage. J.</t>
  </si>
  <si>
    <t>10.5465/amj.2017.1258</t>
  </si>
  <si>
    <t>RB6RL</t>
  </si>
  <si>
    <t>WOS:000632236900002</t>
  </si>
  <si>
    <t>Moslein, F; Sorensen, KE</t>
  </si>
  <si>
    <t>Moslein, Florian; Sorensen, Karsten Engsig</t>
  </si>
  <si>
    <t>Sustainable Corporate Governance: A Way Forward</t>
  </si>
  <si>
    <t>EUROPEAN COMPANY LAW</t>
  </si>
  <si>
    <t>directors' duties; corporate governance; sustainability</t>
  </si>
  <si>
    <t>Rarely has the report of a private consultancy caused so many reactions, in particular, criticism, in such a short period of time, as the 'Study on directors' duties and sustainable corporate governance' that Ernst and Young recently prepared for the European Commission DG Justice and Consumers (EY report). (Ernst &amp; Young, Study on directors' duties and sustainable corporate governance, July 2020, available at, https://op. europa.eu/de/publication-detail/-/publication/e47928a2-d20b-11ea-adf7-01aa75ed71a1/language-en). In addition to the responses of various groups of scholars from both Europe and the US, (See, for instance Paul Kruger Andersen, Andri Begthorsson et al. Response to the Study on Directors' Duties and Sustainable Corporate Governance by Nordic Company Law Scholars (7 October 2020). Nordic &amp; European Company Law Working Paper No. 20-12, available at, https://ssrn.com/abstract=3709762; Mark J. Roe, Holger Spamann, Jesse M. Fried and Charles C. Y. Wang, The European Commission's Sustainable Corporate Governance Report: A Critique (14 October 2020). European Corporate Governance Institute - Law Working Paper 553/2020, available at, https://ssrn.com/abstract=3711652) the Oxford Business Law Blog has launched a specific new series (More details and all contributions available at https://www.law.ox.ac.uk/business-law blog?terms_15=All&amp;terms_16=All&amp;author=All&amp;date%5Bvalue%5D%5Bmonth%5D=&amp;field_display_date_value_1%5Bvalue%5D%5Byear%5D=&amp;keywords=Directors%E2%80%99+Duties+and+Sustainable+Corporate+Governance&amp;jurisdiction=All&amp;sort_order=DESC&amp;sort_by=field_display_date_value&amp;terms=) and the European Corporate Governance Institute has organized a three-day policy workshop, in order to bring together the presentations of over 20 distinguished scholars. (Programme and presentations available at https://ecgi.global/content/directors%E2%80%99-duties-and-sustainable-corporate-governance#!event-programme). This intensive debate demonstrates the importance of the topic for future EU policymaking in the area of corporate governance. In this piece, we argue that the main reason the EY report has attracted so much criticism is because it simply started out on the wrong foot. However, this shortcoming should not induce the Commission to misjudge company law's potential for sustainability. We discuss various measures that target both directors and shareholders, but also other stakeholders. Adopting these measures promises to be the way forward for a more sustainable, corporate governance framework.</t>
  </si>
  <si>
    <t>[Moslein, Florian] Philipps Univ, Marburg, Germany; [Sorensen, Karsten Engsig] Aarhus Univ, Aarhus, Denmark</t>
  </si>
  <si>
    <t>Moslein, F (corresponding author), Philipps Univ, Marburg, Germany.</t>
  </si>
  <si>
    <t>florian.moeslein@jura.uni-marburg.de; kes@law.au.dk</t>
  </si>
  <si>
    <t>KLUWER LAW INT</t>
  </si>
  <si>
    <t>ALPHEN AAN DEN RIJN</t>
  </si>
  <si>
    <t>ZUIDPOOLSINGEL 2, PO BOX 316, 2400 AH ALPHEN AAN DEN RIJN, NETHERLANDS</t>
  </si>
  <si>
    <t>1572-4999</t>
  </si>
  <si>
    <t>1875-6530</t>
  </si>
  <si>
    <t>EUR CO LAW</t>
  </si>
  <si>
    <t>Eur. Co. Law</t>
  </si>
  <si>
    <t>QP1AK</t>
  </si>
  <si>
    <t>WOS:000623568700002</t>
  </si>
  <si>
    <t>Blight, IC</t>
  </si>
  <si>
    <t>Blight, I. C.</t>
  </si>
  <si>
    <t>HS2 railway, UK - route development to hybrid bill: a collaborative approach</t>
  </si>
  <si>
    <t>environment; infrastructure planning; project management</t>
  </si>
  <si>
    <t>In January 2012 the UK government announced that powers would be sought for a London-to-West Midlands high-speed rail line based on a refined version of a 220 km route that was consulted upon in 2011. At the same time, High Speed Two (HS2) Ltd, the agency responsible for implementing the project, appointed a development partner for the London-to-West Midlands phase (phase 1) to assist HS2 and to manage and supervise the HS2 consultants. Later, 16 professional service companies were appointed to undertake the design, engineering, environmental and land referencing work necessary for the hybrid bill. Together, this joint team prepared the High Speed Rail (London-West Midlands) Bill, including an environmental statement, and deposited it into parliament in November 2013, only 22 months after route announcement. This paper describes the collaborative working practices that were employed to achieve this successful outcome.</t>
  </si>
  <si>
    <t>[Blight, I. C.] CH2M, London, England; [Blight, I. C.] HS2, Birmingham, W Midlands, England</t>
  </si>
  <si>
    <t>Blight, IC (corresponding author), CH2M, London, England.;Blight, IC (corresponding author), HS2, Birmingham, W Midlands, England.</t>
  </si>
  <si>
    <t>lan.Blight@hs2.org.uk</t>
  </si>
  <si>
    <t>ICE PUBLISHING</t>
  </si>
  <si>
    <t>WESTMINISTER</t>
  </si>
  <si>
    <t>INST CIVIL ENGINEERS, 1 GREAT GEORGE ST, WESTMINISTER SW 1P 3AA, ENGLAND</t>
  </si>
  <si>
    <t>1751-7710</t>
  </si>
  <si>
    <t>P I CIVIL ENG-TRANSP</t>
  </si>
  <si>
    <t>Proc. Inst. Civil Eng.-Transp.</t>
  </si>
  <si>
    <t>10.1680/jtran.18.00011</t>
  </si>
  <si>
    <t>Engineering, Civil; Transportation Science &amp; Technology</t>
  </si>
  <si>
    <t>QJ3OV</t>
  </si>
  <si>
    <t>WOS:000619602400006</t>
  </si>
  <si>
    <t>Vogt, L</t>
  </si>
  <si>
    <t>Vogt, Lindsay</t>
  </si>
  <si>
    <t>Water, Modern and Multiple: Enriching the Idea of Water Through Enumeration Amidst Water Scarcity in Bengaluru</t>
  </si>
  <si>
    <t>Enumeration; measurement; audit cultures; groundwater; water scarcity; NGO; development; Bengaluru; India</t>
  </si>
  <si>
    <t>GROUNDWATER OVERDRAFT; POLITICS; INDICATORS; NARRATIVES; SCIENCE; NUMBER; INDIA; RIVER</t>
  </si>
  <si>
    <t>Numeric abstractions relied upon by modern water management are reductive by design, but their political effects need not be reductionist, as an example from Bengaluru attests. Prompted by a water supply crisis that briefly shut down an IT corridor, one multinational corporation looked to a small environmental consultancy named Avaani, and its customised enumerative technologies - metering, tariff design, water audits and environmental balance ledgers - to mitigate water scarcity and its corresponding business interruptions. This occasioned the meeting and merging of two understandings of water: the modern water stripped of place and history that is so sought by the corporation in its daily water provisioning, and the water that is imbued with moral imperatives and local histories and which is tended by the non-profit organisation. As the enumerative idioms of Avaani soon proliferated throughout the corporation and its public outreach, the non-profit largely avoided the reduction, alienation and abstraction that characterises governmental enumeration; it did so in two ways: by using data collection as a 'spin-off' to curate and compound friendly encounters between people and water, and by embedding water accounting with moral considerations. This case shows how enumerative regimes, depending on their design and deployment, may contribute to a more multiple and multiply contextualised sense of water, even in situations of water scarcity where reductionist measurement tends to abound.</t>
  </si>
  <si>
    <t>[Vogt, Lindsay] Univ Zurich, Dept Social Anthropol &amp; Cultural Studies ISEK, Zurich, Switzerland</t>
  </si>
  <si>
    <t>Vogt, L (corresponding author), Univ Zurich, Dept Social Anthropol &amp; Cultural Studies ISEK, Zurich, Switzerland.</t>
  </si>
  <si>
    <t>lindsay.vogt@uzh.ch</t>
  </si>
  <si>
    <t>University of California, Santa Barbara</t>
  </si>
  <si>
    <t>University of California, Santa Barbara(University of California System)</t>
  </si>
  <si>
    <t>Above all, I must express gratitude to the individuals and organisations who partook in this research and whose participation made it possible. I would also like to thank Casey Walsh, the contributors to this Special Issue, the editors and editorial staff at Water Alternatives, and two anonymous reviewers who significantly strengthened this article with their feedback. I am also indebted to Mary Hancock, Smriti Srinivas, and Martha Kaplan for their close and critical readings of earlier versions. Much gratitude is also due to my colleagues at the University of Zurich for recent suggestions, especially Stefan Binder, Katyayani Dalmia, Tanja Luchsinger, Johannes Quack, and Mascha Schultz. Funding for this research was provided by the University of California, Santa Barbara.</t>
  </si>
  <si>
    <t>WATER ALTERNATIVES ASSOC</t>
  </si>
  <si>
    <t>MONTPELLIER</t>
  </si>
  <si>
    <t>VILLA D ASSAS, 457 AVENUE DU PERE SOULAS, MONTPELLIER, 34090, FRANCE</t>
  </si>
  <si>
    <t>WATER ALTERN</t>
  </si>
  <si>
    <t>Water Altern.</t>
  </si>
  <si>
    <t>Environmental Studies; Water Resources</t>
  </si>
  <si>
    <t>QE6TH</t>
  </si>
  <si>
    <t>WOS:000616338400007</t>
  </si>
  <si>
    <t>Hague, C</t>
  </si>
  <si>
    <t>Hague, Cliff</t>
  </si>
  <si>
    <t>THE FESTIVALISATION OF EDINBURGH: CONSTRUCTING ITS GOVERNANCE</t>
  </si>
  <si>
    <t>SCOTTISH AFFAIRS</t>
  </si>
  <si>
    <t>Edinburgh Festivals; Overtourism; Tourism; Governance; Local government; Growth coalitions</t>
  </si>
  <si>
    <t>POLITICAL-ECONOMY; GROWTH</t>
  </si>
  <si>
    <t>Edinburgh has forged a global brand as the Festival City. The international cultural festival began in 1947, but was contentious in the city for a long period. In the 1990s a wider array of festivals were promoted by the local council. Then in a third stage, from the mid-1990s the festivals became anchored in the city's tourism offer, and achieved year upon year of growth, to widespread acclaim by the cultural and tourism industries and local politicians. A shared corporate culture was built in which national and local political and cultural bodies planned and delivered change through stakeholder partnerships. Private consultants are found to have played an important role in framing policy and prioritising the economic benefits of the festivals. The paper analyses these governance relationships, as a form of growth coalition. However, it sets the local actions in the context of international economic and political changes, noting also how the 2008 financial and economic crisis impacted on Edinburgh, and the subsequent period of austerity imposed on the local council. The result has been the festivalisation of the city, through intensification and extension of the festivals and associated commercial cultural events, and the commodification of public spaces. Those driving this process paid little attention to concerns about the impacts on the local and wider environment, or the capacity of parts of the city to absorb visitor numbers. The paper is the first part of a double article. The second part, to be published in a later issue, looks at why and how the hegemonic governance structures were challenged by civil society, and how the Covid-19 crisis that began in 2020 impacted on the growth trajectory.</t>
  </si>
  <si>
    <t>[Hague, Cliff] Heriot Watt Univ, Planning &amp; Spatial Dev, Edinburgh, Midlothian, Scotland; [Hague, Cliff] Acad Social Sci, London, England; [Hague, Cliff] Royal Town Planning Inst, London, England; [Hague, Cliff] Commonwealth Assoc Planners, Edinburgh, Midlothian, Scotland; [Hague, Cliff] Built Environm Forum Scotland, Edinburgh, Midlothian, Scotland; [Hague, Cliff] Cockburn Assoc, Edinburghs Civ Trust, Edinburgh, Midlothian, Scotland</t>
  </si>
  <si>
    <t>Hague, C (corresponding author), Heriot Watt Univ, Planning &amp; Spatial Dev, Edinburgh, Midlothian, Scotland.;Hague, C (corresponding author), Acad Social Sci, London, England.</t>
  </si>
  <si>
    <t>EDINBURGH UNIV PRESS</t>
  </si>
  <si>
    <t>THE TUN-HOLYROOD RD, 12 2F JACKSONS ENTRY, EDINBURGH EH8 8PJ, SCOTLAND</t>
  </si>
  <si>
    <t>0966-0356</t>
  </si>
  <si>
    <t>2053-888X</t>
  </si>
  <si>
    <t>SCOTT AFF</t>
  </si>
  <si>
    <t>Scott. Aff.</t>
  </si>
  <si>
    <t>10.3366/scot.2021.0351</t>
  </si>
  <si>
    <t>Political Science</t>
  </si>
  <si>
    <t>QH2SG</t>
  </si>
  <si>
    <t>WOS:000618126800002</t>
  </si>
  <si>
    <t>Gondhalekar, D; Drewes, JE</t>
  </si>
  <si>
    <t>Gondhalekar, Daphne; Drewes, Jorg E.</t>
  </si>
  <si>
    <t>Infrastructure Shaming and Consequences for Management of Urban WEF Security Nexus in China and India</t>
  </si>
  <si>
    <t>climate change; natural resources conservation; urban Water-Energy-Food (WEF) security Nexus; water reclamation with integrated resource recovery; China; India</t>
  </si>
  <si>
    <t>Worldwide, consumption of resources such as water, energy and food continues to rise exponentially despite environmental and climatic change related challenges. Centralized sewerage systems continue to be implemented worldwide despite being very water and energy intensive, and although this is not always the best option for regions facing water scarcity. Deploying the Water-Energy-Food (WEF) Nexus approach, particularly through alternative technology options that can support decentralized water reclamation with integrated resource recovery, can enable resource conservation and more effective management of the WEF security Nexus for local governments with limited capacities. However, a certain pattern of business as usual infrastructure development and investment linked to infrastructure shaming continuously reinforces implementation of centralized sewerage systems, thereby hampering deployment of alternative technology options. This study uses two typical case study towns, Shaxi in China and Leh in India, to describe this pattern. The study finds that alternative technology approaches were in place in both towns. Yet after international consulting companies got involved, centralized sewerage systems were implemented despite limited water availability and large segments of the population not having flush toilets. This study discusses management of the WEF security Nexus implications thereof in the context of cities worldwide and a systemic socio-technical transition to a circular economy.</t>
  </si>
  <si>
    <t>[Gondhalekar, Daphne; Drewes, Jorg E.] Tech Univ Munich TUM, Dept Civil Geo &amp; Environm Engn, Chair Urban Water Syst Engn, D-80333 Munich, Germany</t>
  </si>
  <si>
    <t>Gondhalekar, D (corresponding author), Tech Univ Munich TUM, Dept Civil Geo &amp; Environm Engn, Chair Urban Water Syst Engn, D-80333 Munich, Germany.</t>
  </si>
  <si>
    <t>d.gondhalekar@tum.de; jdrewes@tum.de</t>
  </si>
  <si>
    <t>Drewes, Jorg E./0000-0003-2520-7596; Gondhalekar, Daphne/0000-0002-4265-6505</t>
  </si>
  <si>
    <t>Marie Curie International Reintegration Grant within the 7th European Community Framework Programme [PIRG06-GA-2009-256555]; German Research Foundation (DFG) [KE 1710/1-1]</t>
  </si>
  <si>
    <t>Marie Curie International Reintegration Grant within the 7th European Community Framework Programme(European Commission); German Research Foundation (DFG)(German Research Foundation (DFG))</t>
  </si>
  <si>
    <t>This research is supported by a Marie Curie International Reintegration Grant within the 7th European Community Framework Programme (PIRG06-GA-2009-256555) and the German Research Foundation (DFG) (KE 1710/1-1).</t>
  </si>
  <si>
    <t>10.3390/w13030267</t>
  </si>
  <si>
    <t>QD6BX</t>
  </si>
  <si>
    <t>WOS:000615602200001</t>
  </si>
  <si>
    <t>Environmental externalities; External costs; Environmental Debt; Methods of economic evaluation; Management accounting</t>
  </si>
  <si>
    <t>[Collatto, Dalila Cisco] Inst Fed Sul Riograndense IFSUL, Grad Program Prod Engn &amp; Syst PPGEPS UNISINOS, Res Grp Modeling Learning GMAP UNISINOS, Av Copacabana 100, BR-93216120 Sapucaia Do Sul, RS, Brazil; [Lacerda, Daniel Pacheco; Knak, Simone Santos] Univ Vale Rio Dos Sinos UNISINOS, Res Grp Modeling Learning GMAP UNISINOS, Grad Program Prod Engn &amp; Syst PPGEPS UNISINOS, Av Unisinos 950, BR-93022000 Sao Leopoldo, RS, Brazil; [Ott, Ernani] Univ Vale Rio Dos Sinos UNISINOS, Grad Program Accounting PPGEPS UNISINOS, Av Unisinos 950, BR-93022000 Sao Leopoldo, RS, Brazil; [Campos, Lucila M. S.] Univ Fed Santa Catarina, Grad Program Prod Engn PPGEP UFSC, Dept Prod Engn &amp; Syst EPS, Campus Univ Trindade,Caixa Postal 476, BR-88040900 Florianopolis, SC, Brazil; [Reginato, Luciane] Fac Econ Adm &amp; Contabilidade USP, Dept Contabilidade Atuaria USP, Grad Program Controllership &amp; Accounting USP, Av Prof Luciano Gualberto 908,FEA 3,Sala 230, BR-05508010 Sao Paulo, SP, Brazil</t>
  </si>
  <si>
    <t>Collatto, DC (corresponding author), Inst Fed Sul Rio Grandense IFSUL, Av Copacabana 100, BR-93216120 Sapucaia Do Sul, RS, Brazil.</t>
  </si>
  <si>
    <t>dcollatto@sapucaia.ifsul.edu.br; dlacerda@unisinos.br; lucila.campos@ufsc.br; lucianereginato@usp.br; simone@ensinger.com.br</t>
  </si>
  <si>
    <t>Lacerda, Daniel P/G-1553-2013; Lacerda, Daniel Pacheco/M-9173-2019; de Souza Campos, Lucila M./D-4322-2012</t>
  </si>
  <si>
    <t>Lacerda, Daniel P/0000-0002-8011-3376; Lacerda, Daniel Pacheco/0000-0002-8011-3376; de Souza Campos, Lucila M./0000-0002-1610-7617; Reginato, Luciane/0000-0003-1812-4311</t>
  </si>
  <si>
    <t>National Council for Scientific and Technological Development (CNPq); Coordination for the Improvement of Higher Education Personnel (CAPES)</t>
  </si>
  <si>
    <t>National Council for Scientific and Technological Development (CNPq)(Conselho Nacional de Desenvolvimento Cientifico e Tecnologico (CNPQ)); Coordination for the Improvement of Higher Education Personnel (CAPES)(Coordenacao de Aperfeicoamento de Pessoal de Nivel Superior (CAPES))</t>
  </si>
  <si>
    <t>The authors are grateful to The National Council for Scientific and Technological Development (CNPq) and Coordination for the Improvement of Higher Education Personnel (CAPES) for the support received to conduct this research.</t>
  </si>
  <si>
    <t>PU0SL</t>
  </si>
  <si>
    <t>Environmental DNA; EDNA; Management; Ecosystem; Fisheries</t>
  </si>
  <si>
    <t>BIODIVERSITY; EDNA; QUANTIFICATION; POPULATION; OCCUPANCY; ABUNDANCE; FUTURE; RATES; TOOL</t>
  </si>
  <si>
    <t>[Gilbey, John] Freshwater Fisheries Lab, Marine Scotland, Faskally, Scotland; [Carvalho, Gary] Bangor Univ, Sch Biol Sci, Mol Ecol &amp; Fisheries Genet Lab, Deiniol Rd, Bangor, Gwynedd, Wales; [Castilho, Rita] Univ Algarve, Ctr Marine Sci, CCMAR, Campus Gambelas, P-8005139 Faro, Portugal; [Coscia, Ilaria] Univ Salford, Sch Sci Engn &amp; Environm, Peel Bldg, Salford, Lancs, England; [Coulson, Mark W.] Fisheries &amp; Oceans Canada, 200 Kent St, Ottawa, ON, Canada; [Dahle, Geir] Inst Marine Res, POB 1870, NO-5817 Bergen, Norway; [Derycke, Sofie] Flanders Res Inst Agr Fisheries &amp; Food ILVO, Aquat Environm &amp; Qual, Ankerstr 1, B-8400 Oostende, Belgium; [Francisco, Sara M.; Robalo, Joana I.; Silva, Goncalo] Inst Univ, MARE Marine &amp; Environm Sci Ctr, ISPA, Rua Jardim Tabaco 34, P-1149041 Lisbon, Portugal; [Helyar, Sarah J.] Queens Univ Belfast, Sch Biol Sci, Inst Global Food Secur, Belfast, Antrim, North Ireland; [Johansen, Torild; Junge, Claudia] Inst Marine Res, Tromso, Norway; [Layton, Kara K. S.] Univ Aberdeen, Sch Biol Sci, Aberdeen, Scotland; [Martinsohn, Jann] EC Joint Res Ctr, Water &amp; Marine Resources, TP051 Bldg 5a,Via Enrico Fermi 2749, I-21027 Ispra, Italy; [Matejusova, Iveta] Marine Scotland, Marine Lab, Victoria Rd, Aberdeen, Scotland; [Rodriguez-Ezpeleta, Naiara] Basque Res &amp; Technol Alliance BRTA, AZTI, Marine Res, Txatxarramendi Ugartea Z-G, E-48395 Sukarrieta, Bizkaia, Spain; [Strammer, Ilona] Catholic Univ Louvain, Pl l Univ 1, B-1348 Louvain La Neuve, Belgium; [Vasemagi, Anti] Swedish Univ Agr Sci, Dept Aquat Resources, SE-70215 Drottningholm, Sweden; [Volckaert, Filip A. M.] Katholieke Univ Leuven, Lab Biodivers &amp; Evolutionary Genom, Charles Deberiotstraat 32,Box 2439, B-3000 Leuven, Belgium</t>
  </si>
  <si>
    <t>Gilbey, J (corresponding author), Freshwater Fisheries Lab, Marine Scotland, Faskally, Scotland.</t>
  </si>
  <si>
    <t>John.Gilbey@gov.scot</t>
  </si>
  <si>
    <t>Castilho, Rita/B-6185-2008; Rodriguez-Ezpeleta, Naiara/B-7138-2014; Francisco, Sara/K-8239-2013; Robalo, Joana/N-9960-2014; silva, Goncalo/M-3418-2013</t>
  </si>
  <si>
    <t>Castilho, Rita/0000-0003-0727-3688; Rodriguez-Ezpeleta, Naiara/0000-0001-6735-6755; Francisco, Sara/0000-0003-0907-7453; Layton, Kara/0000-0002-4302-3048; Robalo, Joana/0000-0002-7470-0574; Carvalho, Gary/0000-0002-9509-7284; silva, Goncalo/0000-0001-6700-6720</t>
  </si>
  <si>
    <t>Spanish Ministry of Science, Innovation and Universities through the EDAMAME (Environmental DNA based approaches for marine and aquatic monitoring and evaluation) project [CTM2017-89500-R]; Scientific Research Network Eco-evolutionary dynamics in natural and anthropogenic communities (Research Foundation - Flanders) [W 0.037.10N]</t>
  </si>
  <si>
    <t>Spanish Ministry of Science, Innovation and Universities through the EDAMAME (Environmental DNA based approaches for marine and aquatic monitoring and evaluation) project; Scientific Research Network Eco-evolutionary dynamics in natural and anthropogenic communities (Research Foundation - Flanders)</t>
  </si>
  <si>
    <t>This review is the result of discussion within the ICES Working Group on the Application of Genetics in Fisheries and Aquaculture (ICES-WGAGFA) and the authors wish to thank members for a most stimulating scientific environment. NRE's contribution has been funded by the Spanish Ministry of Science, Innovation and Universities through the EDAMAME (Environmental DNA based approaches for marine and aquatic monitoring and evaluation) project (code CTM2017-89500-R). FAMV acknowledges the Scientific Research Network Eco-evolutionary dynamics in natural and anthropogenic communities (grant W 0.037.10N of the Research Foundation - Flanders).</t>
  </si>
  <si>
    <t>PU2VR</t>
  </si>
  <si>
    <t>Green Submitted, Green Accepted</t>
  </si>
  <si>
    <t>Environmental innovation; Eco-innovators; Eco-adopters; Forestry service sector; Slovakia</t>
  </si>
  <si>
    <t>MANAGEMENT; OPERATIONS; BARRIERS; INDUSTRY; PRODUCT; SIZE; PERSPECTIVES; CAPABILITY; COMPANIES; DRIVERS</t>
  </si>
  <si>
    <t>[Sterbova, Martina] Forest Res Inst Zvolen, Natl Forest Ctr, Dept Forest Policy Econ &amp; Forest Management, TG Masaryka 22, SK-96001 Zvolen, Slovakia; [Sterbova, Martina; Vybostok, Jozef; Salka, Jaroslav] Tech Univ Zvolen, Fac Forestry, Dept Econ &amp; Management Forestry, TG Masaryka 24, SK-96001 Zvolen, Slovakia</t>
  </si>
  <si>
    <t>Sterbova, M (corresponding author), Forest Res Inst Zvolen, Natl Forest Ctr, Dept Forest Policy Econ &amp; Forest Management, TG Masaryka 22, SK-96001 Zvolen, Slovakia.</t>
  </si>
  <si>
    <t>martina.sterbova@nlcsk.org; xvybostokj@tuzvo.sk; salka@tuzvo.sk</t>
  </si>
  <si>
    <t>Šálka, Jaroslav/D-5456-2015; Výbošťok, Jozef/AID-5754-2022</t>
  </si>
  <si>
    <t>Šálka, Jaroslav/0000-0002-1638-1085; Výbošťok, Jozef/0000-0002-0038-5911; Sterbova, Martina/0000-0002-5896-211X</t>
  </si>
  <si>
    <t>Slovak Research and Development Agency [APVV-17-0231]; Cultural and Educational Agency of the Ministry of Education, Science, Research and Sport of the SR by VEGA [1/0665/20]; KEGA [009TU Z-4]</t>
  </si>
  <si>
    <t>Slovak Research and Development Agency(Slovak Research and Development Agency); Cultural and Educational Agency of the Ministry of Education, Science, Research and Sport of the SR by VEGA; KEGA</t>
  </si>
  <si>
    <t>This work was supported by the Slovak Research and Development Agency under research project APVV-17-0231: Testing novel policies and business models for provision of selected forest ecosystem services and by the Cultural and Educational Agency of the Ministry of Education, Science, Research and Sport of the SR by VEGA, project no. 1/0665/20 InnoWaFor: Innovation potential of payments for ecosystem services -water and forests and by KEGA no. 009TU Z-4/2019 Modernization of environmental economics education at technical universities in the Slovak republic.</t>
  </si>
  <si>
    <t>FOREST POLICY ECON</t>
  </si>
  <si>
    <t>Forest Policy Econ.</t>
  </si>
  <si>
    <t>Economics; Environmental Studies; Forestry</t>
  </si>
  <si>
    <t>Business &amp; Economics; Environmental Sciences &amp; Ecology; Forestry</t>
  </si>
  <si>
    <t>PR1WK</t>
  </si>
  <si>
    <t>Whelehan, DF; Connelly, TM; Ridgway, PF</t>
  </si>
  <si>
    <t>Whelehan, Dale F.; Connelly, Tara M.; Ridgway, Paul F.</t>
  </si>
  <si>
    <t>COVID-19 and surgery: A thematic analysis of unintended consequences on performance, practice and surgical training</t>
  </si>
  <si>
    <t>SURGEON-JOURNAL OF THE ROYAL COLLEGES OF SURGEONS OF EDINBURGH AND IRELAND</t>
  </si>
  <si>
    <t>Surgical performance; COVID-19; Surgical practice; Surgical wellbeing</t>
  </si>
  <si>
    <t>Purpose: The shift in the national focus and allocation of resources to the management of COVID19 has led to significant changes to surgical practice including the delay of elective surgery. The aim of this study was to explore the implications of such changes on surgeons. Method: Using a qualitative study design, semi-structured interviews were conducted with general surgery consultants and non-consultant hospital doctors from a major tertiary hospital in the Dublin region between March-May 2020. Data collection proceeded iteratively using a thematic analysis approach with quality controls such as memoing and collaborative analysis. Results: Fourteen surgeons (8 male, 6 female) were interviewed. The majority (n = 11, 78.6%) were NCHDs. Significant themes determined included 'impacts' on a variety of constructs such as performance, self-reported fatigue and wellbeing. Training themes elucidated included the effects of the cancellation of elective admissions on reduced operative exposure for trainees. Senior surgical staff were particularly focused on increased complexity in patient management. New policy requirements such as personal protective equipment use and novel rotas have had implications for aspects of work engagement. The pandemic and subsequent national restrictions imposed has afforded opportunities for improved well-being but also resulted in greater solitude in surgeons. Conclusions: Rhetoric surrounding fatigue management and virus control dominates the conversation on the relationship between COVID-19 and surgery. Tipping the balance back to parity of fatigue management with service delivery in surgery will be key for sustainability of the surgical workforce. (C) 2020 Royal College of Surgeons of Edinburgh (Scottish charity number SC005317) and Royal College of Surgeons in Ireland. Published by Elsevier Ltd. All rights reserved.</t>
  </si>
  <si>
    <t>Univ Dublin, Trinity Coll Dublin, Sch Med, Discipline Surg, Dublin, Ireland; Tallaght Univ Hosp, Dept Surg, Dublin, Ireland</t>
  </si>
  <si>
    <t>Whelehan, DF (corresponding author), Trinity Coll Dublin, Sch Med, Discipline Surg, Dublin, Ireland.</t>
  </si>
  <si>
    <t>whelehd@tcd.ie</t>
  </si>
  <si>
    <t>Whelehan, Dale/ABE-7785-2020</t>
  </si>
  <si>
    <t>Whelehan, Dale/0000-0003-0179-4933</t>
  </si>
  <si>
    <t>ROYAL COLLEGE SURGEONS EDINBURGH</t>
  </si>
  <si>
    <t>NICOLSON ST, EDINBURGH EH8 9DW, SCOTLAND</t>
  </si>
  <si>
    <t>1479-666X</t>
  </si>
  <si>
    <t>2405-5840</t>
  </si>
  <si>
    <t>SURG-J R COLL SURG E</t>
  </si>
  <si>
    <t>Surg. J. R. Coll. Surg. Edinb. Irel.</t>
  </si>
  <si>
    <t>E20</t>
  </si>
  <si>
    <t>E27</t>
  </si>
  <si>
    <t>10.1016/j.surge.2020.07.006</t>
  </si>
  <si>
    <t>TA0ST</t>
  </si>
  <si>
    <t>Green Submitted, Bronze, Green Published</t>
  </si>
  <si>
    <t>WOS:000666966000004</t>
  </si>
  <si>
    <t>James, HM; Papoutsi, C; Wherton, J; Greenhalgh, T; Shaw, SE</t>
  </si>
  <si>
    <t>James, Hannah M.; Papoutsi, Chrysanthi; Wherton, Joseph; Greenhalgh, Trisha; Shaw, Sara E.</t>
  </si>
  <si>
    <t>Spread, Scale-up, and Sustainability of Video Consulting in Health Care: Systematic Review and Synthesis Guided by the NASSS Framework</t>
  </si>
  <si>
    <t>delivery of health care; remote consultation; telemedicine; videoconferencing; spread and scale-up; sustainability; mobile phone; COVID-19; remote care; consultation; review</t>
  </si>
  <si>
    <t>TELEHEALTH; TELEMEDICINE; IMPLEMENTATION; DIFFUSION; INTERVENTIONS; CONSULTATIONS; FEASIBILITY; VETERANS; TELECARE; LESSONS</t>
  </si>
  <si>
    <t>Background: COVID-19 has thrust video consulting into the limelight, as health care practitioners worldwide shift to delivering care remotely. Evidence suggests that video consulting is acceptable, safe, and effective in selected conditions and settings. However, research to date has mostly focused on initial adoption, with limited consideration of how video consulting can be mainstreamed and sustained. Objective: This study sought to do the following: (1) review and synthesize reported opportunities, challenges, and lessons learned in the scale-up, spread, and sustainability of video consultations, and (2) identify transferable insights that can inform policy and practice. Methods: We identified papers through systematic searches in PubMed, CINAHL, and Web of Science. Included articles reported on synchronous, video-based consultations that had spread to more than one setting beyond an initial pilot or feasibility stage, and were published since 2010. We used the Nonadoption, Abandonment, and challenges to the Scale-up, Spread, and Sustainability (NASSS) framework to synthesize findings relating to 7 domains: an understanding of the health condition(s) for which video consultations were being used, the material properties of the technological platform and relevant peripherals, the value proposition for patients and developers, the role of the adopter system, organizational factors, wider macro-level considerations, and emergence over time. Results: We identified 13 papers describing 10 different video consultation services in 6 regions, covering the following: (1) video-to-home services, connecting providers directly to the patient; (2) hub-and-spoke models, connecting a provider at a central hub to a patient at a rural center; and (3) large-scale top-down evaluations scaled up or spread across a national health administration. Services covered rehabilitation, geriatrics, cancer surgery, diabetes, and mental health, as well as general specialist care and primary care. Potential enablers of spread and scale-up included embedded leadership and the presence of a telehealth champion, appropriate reimbursement mechanisms, user-friendly technology, pre-existing staff relationships, and adaptation (of technology and services) over time. Challenges tended to be related to service development, such as the absence of a long-term strategic plan, resistance to change, cost and reimbursement issues, and the technical experience of staff. There was limited articulation of the challenges to scale-up and spread of video consultations. This was combined with a lack of theorization, with papers tending to view spread and scale-up as the sum of multiple technical implementations, rather than theorizing the distinct processes required to achieve widespread adoption. Conclusions: There remains a significant lack of evidence that can support the spread and scale-up of video consulting. Given the recent pace of change due to COVID-19, a more definitive evidence base is urgently needed to support global efforts and match enthusiasm for extending use.</t>
  </si>
  <si>
    <t>[James, Hannah M.] Univ Waterloo, Dept Knowledge Integrat, Waterloo, ON, Canada; [Papoutsi, Chrysanthi; Wherton, Joseph; Greenhalgh, Trisha; Shaw, Sara E.] Univ Oxford, Nuffield Dept Primary Care Hlth Sci, Oxford, England</t>
  </si>
  <si>
    <t>Shaw, SE (corresponding author), Univ Oxford, Nuffield Dept Primary Care Hlth Sci, Radcliffe Observ Quarter, Oxford, England.</t>
  </si>
  <si>
    <t>sara.shaw@phc.ox.ac.uk</t>
  </si>
  <si>
    <t>Greenhalgh, Trisha/B-1825-2015</t>
  </si>
  <si>
    <t>Greenhalgh, Trisha/0000-0003-2369-8088; Shaw, Sara/0000-0002-7014-4793; James, Hannah/0000-0001-5832-708X; Papoutsi, Chrysanthi/0000-0003-1189-7100</t>
  </si>
  <si>
    <t>Wellcome Trust Senior Investigator Award [WT104830MA]; Health Foundation [2133488]; NIHR Biomedical Research Centre (BRC), Oxford, United Kingdom [NIHR-BRC-1215-20008]; ESRC [ES/V010069/1] Funding Source: UKRI</t>
  </si>
  <si>
    <t>Wellcome Trust Senior Investigator Award(Wellcome Trust); Health Foundation; NIHR Biomedical Research Centre (BRC), Oxford, United Kingdom; ESRC(UK Research &amp; Innovation (UKRI)Economic &amp; Social Research Council (ESRC))</t>
  </si>
  <si>
    <t>This study formed the basis of an unfunded bachelor's dissertation project. HJ devised the study with SS; led the process of identifying and reviewing papers, with support from SS and JW; and wrote an initial first draft of the paper for her dissertation. Following the start of the COVID-19 pandemic, CP, SS, and HJ theorized spread, scale-up, and sustainability; updated the search; and further built up the analysis with input from TG and JW. All authors contributed to drafts and approved the final version of the paper. Our thanks go to library services at the University of Waterloo for support with searching.; Input on the review from TG, SS, JW, and CP is supported by a Wellcome Trust Senior Investigator Award to TG (grant reference WT104830MA) and funding from the Health Foundation for research on Video consulting during and beyond the COVID-19 pandemic: implications for scale up and sustainability (grant reference 2133488). SS and TG are partly funded by the NIHR Biomedical Research Centre (BRC), Oxford, United Kingdom (grant reference number NIHR-BRC-1215-20008). The views expressed are those of the authors and not necessarily those of the NIHR or the Department of Health and Social Care.</t>
  </si>
  <si>
    <t>JAN 26</t>
  </si>
  <si>
    <t>e23775</t>
  </si>
  <si>
    <t>10.2196/23775</t>
  </si>
  <si>
    <t>PY6EA</t>
  </si>
  <si>
    <t>WOS:000612134900001</t>
  </si>
  <si>
    <t>Nigeria; Small business; Success; Failure; Lussier model; United Nations SDGs</t>
  </si>
  <si>
    <t>[Adeola, Ogechi] Pan Atlantic Univ, Lagos Business Sch, Lagos, Nigeria; [Gyimah, Prince] Akenten Appiah Menka Univ Skills Training &amp; Entre, Dept Accounting Studies Educ, Kumasi, Ghana; [Appiah, Kingsley Opoku] Kwame Nkrumah Univ Sci &amp; Technol, Dept Accounting &amp; Finance, Kumasi, Ghana; [Lussier, Robert N.] Springfield Coll, Dept Business Management, Springfield, MA USA</t>
  </si>
  <si>
    <t>Gyimah, P (corresponding author), Akenten Appiah Menka Univ Skills Training &amp; Entre, Dept Accounting Studies Educ, Kumasi, Ghana.</t>
  </si>
  <si>
    <t>pgyimah@uew.edu.gh</t>
  </si>
  <si>
    <t>Appiah, Kingsley Opoku/AAJ-2189-2021; appiah, kingsley/AAL-7042-2021; Gyimah, Prince/AAW-3077-2021</t>
  </si>
  <si>
    <t>appiah, kingsley/0000-0003-4915-1259; Gyimah, Prince/0000-0002-4750-1326</t>
  </si>
  <si>
    <t>WORLD J ENTREP MANAG</t>
  </si>
  <si>
    <t>World J. Entrep. Manag. Sustain. Dev.</t>
  </si>
  <si>
    <t>FEB 3</t>
  </si>
  <si>
    <t>QF5WB</t>
  </si>
  <si>
    <t>Joo, SH; Choi, H</t>
  </si>
  <si>
    <t>Joo, Sung Hee; Choi, Heechul</t>
  </si>
  <si>
    <t>Field grand challenge with emerging superbugs and the novel coronavirus (SARS-CoV-2) on plastics and in water</t>
  </si>
  <si>
    <t>JOURNAL OF ENVIRONMENTAL CHEMICAL ENGINEERING</t>
  </si>
  <si>
    <t>Novel coronavirus (SARS-CoV-2); Superbug; Plastic; Water supply; Field challenge</t>
  </si>
  <si>
    <t>ESCHERICHIA-COLI; PATHOGENS</t>
  </si>
  <si>
    <t>This opinion paper reports field grand challenges associated with plastic and water contaminated with the novel coronavirus (severe acute respiratory syndrome coronavirus 2, SARS-CoV-2) and superbugs, given the emergency of public health and environmental protection from the presence of lethal viruses and bacteria. Two primary focuses of detection and treatment methods for superbugs and the novel coronavirus (SARS-CoV-2) are investigated, and the future outlook is provided based on grand challenges identified in the water field. Applying conventional treatment technologies to treat superbugs or the novel coronavirus (SARS-CoV-2) has brought negative results, including ineffective treatment, formation of toxic byproducts, and limitation of long-term performance. Existing detection methods are not feasible to apply in terms of sensitivity, difficulty of applications in field samples, speed, and accuracy at the time of sample collection. Few studies are found on superbugs or adsorption of the novel coronavirus (SARS-CoV-2) on plastic, as well as effects of superbugs or the novel coronavirus (SARS-CoV-2) on treatment of plastic waste and wastewater. With the need for and directions of further research and challenges discussed in this paper, we believe that this opinion paper offers information useful to a wide audience, including scientists, policy makers, consultants, public health workers, and field engineers in the water sector.</t>
  </si>
  <si>
    <t>[Joo, Sung Hee; Choi, Heechul] Gwangju Inst Sci &amp; Technol GIST, Sch Earth Sci &amp; Environm Engn, 123 Cheomdangwagi Ro, Oryong Dong, South Korea</t>
  </si>
  <si>
    <t>Joo, SH (corresponding author), Gwangju Inst Sci &amp; Technol GIST, Sch Earth Sci &amp; Environm Engn, 123 Cheomdangwagi Ro, Oryong Dong, South Korea.</t>
  </si>
  <si>
    <t>joo.sunghee@gmail.com</t>
  </si>
  <si>
    <t>National Research Foundation of Korea</t>
  </si>
  <si>
    <t>National Research Foundation of Korea(National Research Foundation of Korea)</t>
  </si>
  <si>
    <t>This work was supported by the National Research Foundation of Korea [grant number, 2019H1D3A2A01102129], and Prof./Dr. Joo gratefully acknowledges a Brain Pool Scholars Award provided by the National Research Foundation of Korea.</t>
  </si>
  <si>
    <t>2213-2929</t>
  </si>
  <si>
    <t>2213-3437</t>
  </si>
  <si>
    <t>J ENVIRON CHEM ENG</t>
  </si>
  <si>
    <t>J. Environ. Chem. Eng.</t>
  </si>
  <si>
    <t>10.1016/j.jece.2020.104721</t>
  </si>
  <si>
    <t>Engineering, Environmental; Engineering, Chemical</t>
  </si>
  <si>
    <t>QD0UN</t>
  </si>
  <si>
    <t>WOS:000615243900002</t>
  </si>
  <si>
    <t>Shah, AM; Yan, XB; Tariq, S; Ali, M</t>
  </si>
  <si>
    <t>Shah, Adnan Muhammad; Yan, Xiangbin; Tariq, Samia; Ali, Mudassar</t>
  </si>
  <si>
    <t>What patients like or dislike in physicians: Analyzing drivers of patient satisfaction and dissatisfaction using a digital topic modeling approach</t>
  </si>
  <si>
    <t>INFORMATION PROCESSING &amp; MANAGEMENT</t>
  </si>
  <si>
    <t>Patient satisfaction; Patient dissatisfaction; Text mining; Topic modeling; LDA; Sentiment analysis</t>
  </si>
  <si>
    <t>SERVICE QUALITY; CUSTOMER SATISFACTION; SENTIMENT; REVIEWS; CHINA; CARE; CONSUMERS; EMOTIONS</t>
  </si>
  <si>
    <t>A large volume of patients? opinions?as online doctor reviews (ODRs)?are available online in order to access, analyze, and improve patients? perceptions about the quality of care; however, this development needs to be explored further. Drawing on the two-factor theory, this paper aims to mine ODRs to explore the different determinants of patient satisfaction (PS) and patient dissatisfaction (PD) toward the United Kingdom healthcare services. This study collects reviews from a publicly available medical website Iwantgreatcare.org from January 2014 to December 2018, followed by the text mining method based on combining SentiNet and LDA to disclose the semantics of patients? healthcare experiences. The proposed method found latent topics across the high-risk and low-risk disease category that revealed new insights into what patients value when consulting a physician and what they dislike. For high-risk and low-risk diseases, the determinants of PS were more specific to the hospital business process (hospital environment, location, hospital cafeteria servicescape, parking availability, and medical process, etc.) and doctor-related aspects (physician knowledge, competence, and attitudes, etc.). In contrast, patients? concerns were most commonly related to their treatment experience and staff bedside manners for both disease categories. Finally, the classification results revealed that the proposed model, which analyzes patient opinion toward different aspects of care, outperformed other stateof-the-art models, with the highest classification F1-score of 88%. The study findings provide a clue for doctors, hospitals, and government officials to enhance PS and minimize PD by addressing their needs and improve the quality of care across different types of diseases, particularly in the current pandemic era of COVID-19.</t>
  </si>
  <si>
    <t>[Shah, Adnan Muhammad; Yan, Xiangbin; Ali, Mudassar] Harbin Inst Technol, Sch Management, Dept Management Sci &amp; Engn, Harbin, Peoples R China; [Tariq, Samia] London South Bank Univ, Sch Business, London, England</t>
  </si>
  <si>
    <t>Shah, AM (corresponding author), Harbin Inst Technol, Sch Management, Dept Management Sci &amp; Engn, Harbin, Peoples R China.</t>
  </si>
  <si>
    <t>adnanshah486@gmail.com; xbyan@hit.edu.cn; tariqs8@lsbu.ac.uk; mudassar.ali@hit.edu.cn</t>
  </si>
  <si>
    <t>Yan, xiangbin/AAF-8402-2019; Shah, Adnan/D-5424-2017; ali, Mudassar/AAP-8451-2021; Shah, Adnan/AAF-4027-2021</t>
  </si>
  <si>
    <t>Shah, Adnan/0000-0002-9638-3514; ali, Mudassar/0000-0002-8869-2421; Shah, Adnan/0000-0002-9638-3514</t>
  </si>
  <si>
    <t>National Natural Science Foundation, People's Republic of China [71531013, 71729001]</t>
  </si>
  <si>
    <t>National Natural Science Foundation, People's Republic of China(National Natural Science Foundation of China (NSFC))</t>
  </si>
  <si>
    <t>This research is supported by the National Natural Science Foundation, People's Republic of China (No.71531013, 71729001).</t>
  </si>
  <si>
    <t>0306-4573</t>
  </si>
  <si>
    <t>1873-5371</t>
  </si>
  <si>
    <t>INFORM PROCESS MANAG</t>
  </si>
  <si>
    <t>Inf. Process. Manage.</t>
  </si>
  <si>
    <t>10.1016/j.ipm.2021.102516</t>
  </si>
  <si>
    <t>Computer Science, Information Systems; Information Science &amp; Library Science</t>
  </si>
  <si>
    <t>RC8HJ</t>
  </si>
  <si>
    <t>WOS:000633034700008</t>
  </si>
  <si>
    <t>Alley cropping systems; Agriculture; Ecological Focus Areas; Technology acceptance model 2; Partial-least-squares-method</t>
  </si>
  <si>
    <t>USER ACCEPTANCE; INFORMATION-TECHNOLOGY; LAND-USE; ADOPTION; AGROFORESTRY; INNOVATION; SUSTAINABILITY; PARTICIPATION; DETERMINANTS; COPPICE</t>
  </si>
  <si>
    <t>[Otter, Verena] Wageningen Univ, Business Management &amp; Org Grp, Hollandseweg 1, NL-6706 KN Wageningen, Netherlands; [Beer, Lara] Univ Goettingen, Dept Agr Econ &amp; Rural Dev, Agribusiness Management, Pl Goettinger Sieben 5, D-37073 Gottingen, Germany</t>
  </si>
  <si>
    <t>Otter, V (corresponding author), Wageningen Univ, Business Management &amp; Org Grp, Hollandseweg 1, NL-6706 KN Wageningen, Netherlands.</t>
  </si>
  <si>
    <t>verena.otter@wur.nl</t>
  </si>
  <si>
    <t>Deutsche Bundesstiftung Umwelt (DBU)</t>
  </si>
  <si>
    <t>This work is supported by the Deutsche Bundesstiftung Umwelt (DBU). The authors express their gratitude to the DBU for the financial support.</t>
  </si>
  <si>
    <t>PO5AP</t>
  </si>
  <si>
    <t>Circular economy; European Green Deal; Waste strategy development; Area metabolism; SWOT analysis; PESTEL analysis; Indicators</t>
  </si>
  <si>
    <t>MUNICIPAL SOLID-WASTE; ISLAND DEVELOPING STATES; SUSTAINABLE DEVELOPMENT; EMPIRICAL-RESEARCH; DPSIR FRAMEWORK; MANAGEMENT; PREVENTION; IMPACT; INDEXES; SERVICE</t>
  </si>
  <si>
    <t>[Loizia, Pantelitsa; Voukkali, Irene] Inst Environm Technol &amp; Sustainable Dev ENVITECH, Dept Res &amp; Dev, POB 34073, CY-5309 Paralimni, Cyprus; [Loizia, Pantelitsa; Voukkali, Irene; Zorpas, Antonis A.; Chatziparaskeva, Georgia; Vardopoulos, Ioannis; Doula, Maria] Open Univ Cyprus, Fac Pure &amp; Appl Sci, Lab Chem Engn &amp; Engn Sustainabil, Environm Conservat &amp; Management, POB 12794, CY-2252 Nicosia, Cyprus; [Pedreno, Jose Navarro] Univ Miguel Hernandez Elche UMH, Dept Agrochem &amp; Environm, Av Univ S-N,Edificio Alcudia, Elche 03202, Spain; [Inglezakis, Vassilis J.] Univ Strathclyde, Dept Chem &amp; Proc Engn, 75 Montrose St, Glasgow G1 1XJ, Lanark, Scotland</t>
  </si>
  <si>
    <t>pantelitsaloiza@envitech.org; voukkei@yahoo.gr; antonis.zorpas@ouc.ac.cy; jonavar@umh.es; chatgeor@hotmail.com; vasileios.inglezakis@strath.ac.uk; ivardopoulos@post.com; mdoula@otenet.gr</t>
  </si>
  <si>
    <t>Vardopoulos, Ioannis/AAA-1448-2019; Inglezakis, Vassilis J./F-8554-2013</t>
  </si>
  <si>
    <t>Vardopoulos, Ioannis/0000-0002-7593-4188; Inglezakis, Vassilis J./0000-0002-0195-0417; Doula, Maria/0000-0002-1927-9051</t>
  </si>
  <si>
    <t>OQ2JX</t>
  </si>
  <si>
    <t>Wiziack, JC; dos Santos, VMPD</t>
  </si>
  <si>
    <t>Wiziack, Joao Carlos; dos Santos, Vitor Manuel Pereira Duarte</t>
  </si>
  <si>
    <t>Evaluating an integrated cognitive competencies model to enhance teachers' application of technology in large-scale educational contexts</t>
  </si>
  <si>
    <t>Transforming pedagogy; Integrated cognitive competencies; Self-efficacy; Institutional complexity; Teaching and learning; Critical pedagogy</t>
  </si>
  <si>
    <t>INSTITUTIONAL THEORY PERSPECTIVE; DESIGN SCIENCE RESEARCH; PRESERVICE TEACHERS; UNIFIED THEORY; ACCEPTANCE; COMPLEXITY</t>
  </si>
  <si>
    <t>There are cultural and educational barriers that hinder the adoption of technologies in educational practice. This is mainly owed to how the majority of teachers are still digital immigrants lacking adequate preparation to work in an environment of fast-paced innovation and without the corresponding updates of cognitive technology. In order to mitigate this problem, in this paper we present an alternative framework that intends to increase the effectiveness of technological application in broader educational contexts bringing together three constructs causally relating the domains of Cognitive and Motivational Competencies (CMC) - relating to people; Organisational Institutional Complexity (OIC) - educational systems and Behavioural Intentional Use of Technology (BIUT) relating to adoption of attitudes. Measurement indicators were applied to evaluate each construct in order to better predict teaching behaviour in a broader educational context. The framework evaluation was performed by two focus groups composed of experienced, highly specialised education consultants who assessed the pedagogical, technological, teacher's behaviour and overall institutional/organisational environment involving the proposed alternative solutions. The discussions and results show that participants agreed on the proposed framework's usefulness and its contributions to help teachers mediate the gaps between school and the outside world, all the while considering political and administrative barriers. The evaluators also highlight the structured motivational and self-efficacy aspects that must involve teachers and other stakeholders concerned with adopting a new social action profile for the benefit of collectives. The next work to follow this paper will be a dissemination proposal concerning the Brazilian National Educational Plan, a technological adoption that effectively meets Education's institutional principles in this country.</t>
  </si>
  <si>
    <t>[Wiziack, Joao Carlos; dos Santos, Vitor Manuel Pereira Duarte] NOVA, Informat Management Sch, Campus Campolide, P-1070312 Lisbon, Portugal; [Wiziack, Joao Carlos] Univ Sao Paulo, Sch Commun &amp; Arts, ECA USP, Sao Paulo, Brazil</t>
  </si>
  <si>
    <t>Wiziack, JC (corresponding author), NOVA, Informat Management Sch, Campus Campolide, P-1070312 Lisbon, Portugal.;Wiziack, JC (corresponding author), Univ Sao Paulo, Sch Commun &amp; Arts, ECA USP, Sao Paulo, Brazil.</t>
  </si>
  <si>
    <t>jwiziack2@gmail.com</t>
  </si>
  <si>
    <t>Santos, Vitor/0000-0002-4223-7079</t>
  </si>
  <si>
    <t>Heliyon</t>
  </si>
  <si>
    <t>e05928</t>
  </si>
  <si>
    <t>10.1016/j.heliyon.2021.e05928</t>
  </si>
  <si>
    <t>QH1NR</t>
  </si>
  <si>
    <t>WOS:000618043700024</t>
  </si>
  <si>
    <t>Corporate sustainability; Systematic literature review; Policy; Practice; Implementation gap; Stakeholders</t>
  </si>
  <si>
    <t>SOCIAL-RESPONSIBILITY; ENVIRONMENTAL-POLICY; ENERGY-POLICY; BARRIERS; GOVERNANCE; CSR; STRATEGIES; GREEN; IMPLEMENTATION; MANAGEMENT</t>
  </si>
  <si>
    <t>[Ahmed, Mushtaq] Shaheed Zulfiqar Ali Bhutto Inst Sci &amp; Technol, House R-46,Survey 103, Karachi, Pakistan; [Mubarik, Muhammad Shujaat] Inst Business Management, Coll Business Management, Karachi, Pakistan; [Shahbaz, Muhammad] Beijing Inst Technol, Dept Int Trade &amp; Finance, Sch Management &amp; Econ, Beijing, Peoples R China</t>
  </si>
  <si>
    <t>Ahmed, M (corresponding author), Shaheed Zulfiqar Ali Bhutto Inst Sci &amp; Technol, House R-46,Survey 103, Karachi, Pakistan.</t>
  </si>
  <si>
    <t>mushtaqa1@yahoo.com</t>
  </si>
  <si>
    <t>Mubarik, Muhammad Shujaat/0000-0003-1207-6427; Faraz Mubarak, Muhammad/0000-0002-0742-1540</t>
  </si>
  <si>
    <t>ENVIRON SCI POLLUT R</t>
  </si>
  <si>
    <t>Environ. Sci. Pollut. Res.</t>
  </si>
  <si>
    <t>QI2QM</t>
  </si>
  <si>
    <t>Ardeleanu, NN; Breaban, IG</t>
  </si>
  <si>
    <t>Ardeleanu, Nicoleta-Nona; Breaban, Iuliana-Gabriela</t>
  </si>
  <si>
    <t>Biodiversity policies, opportunities for restoring the economy</t>
  </si>
  <si>
    <t>PRESENT ENVIRONMENT AND SUSTAINABLE DEVELOPMENT</t>
  </si>
  <si>
    <t>Biodiversity Strategy; Natura 2000; ecosystem approach; economic impact</t>
  </si>
  <si>
    <t>The purpose of this paper is to analyze the strategic and legal framework of the various areas directly dependent on the protection of biodiversity and the ecosystem approach in the funding programmes related to them. Data were collected by consulting a variety of sources, including articles, project results, European and national legislation, strategies and funding programs in the fields of Water, Forestry, Biodiversity, Climate Change, Fisheries and Aquaculture, Agriculture and Rural Development, Energy and Regional Development. The results showed that, in the areas analyzed, there are no efficient tools for the integration of ecosystem services and natural capital. The level of integration of the ecosystem approach in the analyzed areas compared to the state of ecosystems in Romania indicates that there are not enough measures to protect natural capital through sustainable management. Both inter-institutional integration and coordination are needed to streamline the management of natural capital and the correct analysis and implementation of a payment system for ecosystem services.</t>
  </si>
  <si>
    <t>[Ardeleanu, Nicoleta-Nona; Breaban, Iuliana-Gabriela] Alexandru Ioan Cuza Univ, Fac Geog &amp; Geol, Iasi, Romania</t>
  </si>
  <si>
    <t>Ardeleanu, NN (corresponding author), Alexandru Ioan Cuza Univ, Fac Geog &amp; Geol, Iasi, Romania.</t>
  </si>
  <si>
    <t>ardeleanunonanic@gmail.com; iulianab2001@gmail.com</t>
  </si>
  <si>
    <t>Gabriela, Breaban Iuliana/AAD-2276-2019</t>
  </si>
  <si>
    <t>Gabriela, Breaban Iuliana/0000-0002-9201-1860</t>
  </si>
  <si>
    <t>ALEXANDRU IOAN CUZA UNIV PRESS, FAC GEOGRAPHY &amp; GEOLOGY</t>
  </si>
  <si>
    <t>IASI</t>
  </si>
  <si>
    <t>STR PINILUI NR 1A, IASI, ROMANIA</t>
  </si>
  <si>
    <t>1843-5971</t>
  </si>
  <si>
    <t>2284-7820</t>
  </si>
  <si>
    <t>PRESENT ENV SUST DEV</t>
  </si>
  <si>
    <t>Present Environ. Sustain. Dev.</t>
  </si>
  <si>
    <t>10.15551/pesd2021152013</t>
  </si>
  <si>
    <t>YJ0TS</t>
  </si>
  <si>
    <t>WOS:000744252400014</t>
  </si>
  <si>
    <t>Hassanaly, P; Dufour, JC</t>
  </si>
  <si>
    <t>Hassanaly, Parina; Dufour, Jean Charles</t>
  </si>
  <si>
    <t>Analysis of the Regulatory, Legal, and Medical Conditions for the Prescription of Mobile Health Applications in the United States, The European Union, and France</t>
  </si>
  <si>
    <t>MEDICAL DEVICES-EVIDENCE AND RESEARCH</t>
  </si>
  <si>
    <t>national and international laws and regulations; medical device; evaluation of technologies; mHealth; prescription feasibility</t>
  </si>
  <si>
    <t>ARTIFICIAL-INTELLIGENCE; APPS; PHYSICIANS; MHEALTH; DEVICES; CARE</t>
  </si>
  <si>
    <t>Introduction: Mobile health (mHealth) is now considered an important approach to extend traditional health services and to meet the growing medical needs. The prescribability of mHealth applications is a complex problem because it depends on a large number of factors and concerns a wide range of disciplines and actors in the industrial, health, normative, and regulatory domains. Objective: Our study correlated data from the scientific literature with data on regulatory developments in the United States, the European Union, and France with the aim of identifying the conditions for the prescription of mHealth applications. Methods: The search method adopted was the systematic literature review process by Brereton et al. All empirical evidence from the relevant fields of study was gathered and then evaluated to answer our predefined research questions. The WoS and PubMed databases were queried for the period between 1 January 1975 and 30 November 2020. A total of 165 articles (15 with a direct focus and 150 with an indirect focus on mHealth prescribing) were analyzed/cross-referenced. The ScienceDirect database was consulted to complement the collected data when needed. Data published by international and national regulatory bodies were analyzed in light of the scientific data obtained from the WoS, PubMed, and ScienceDirect databases. Results: The International Medical Device Regulators Forum has ensured the international structuring of the regulatory field in collaboration with participating countries. The creation and updating of databases have allowed the tracking of medical device versions/upgrades and incidents. The regulatory organizations of the United States, the European Union, and France are currently consulting healthcare personnel, manufacturers, and patients to establish evaluation criteria for usability and quality of instructions for use that take into consideration patients' level of literacy. These organizations are also providing support to manufacturers who wish to file marketing applications. Marketing, privacy, and cybersecurity measures are evolving with developments in technology and state cooperation policies. The prescription of mHealth applications will gain social acceptance only if consistency and coordination are ensured at all stages of the process: from pre design, through verification of medical effectiveness, to ethical consideration during data collection and use, and on to marketing. Conclusion: The conditions for mHealth prescribability include the adaptation of international regulation by the different states, the state provision of marketing support, and the evaluation of mHealth applications. For mHealth to gain social acceptance, increased collaboration among physicians, manufacturers, and information technology stakeholders is needed. Once this is achieved, MHealth can become the cornerstone of successful health care reform.</t>
  </si>
  <si>
    <t>[Hassanaly, Parina] Aix Marseille Univ, Inserm IRD, SESSTIM,ISSPAM, Sci Econ &amp; Sociales Sante &amp; Traitement Informat M, Marseille, France; [Dufour, Jean Charles] Aix Marseille Univ, Hop Timone,BioSTIC,Inserm,SESSTIM,ISSPAM, AP HP,Sci Econ &amp; Soc Sante &amp; Traitement Informat, Biostat &amp; Technol Informat &amp; Commun,IRD, Marseille, France</t>
  </si>
  <si>
    <t>Hassanaly, P (corresponding author), Aix Marseille Univ, Fac Med, 27 Blvd Jean Moulin, F-13005 Marseille, France.</t>
  </si>
  <si>
    <t>parina.hassanaly@univ-amu.fr</t>
  </si>
  <si>
    <t>Dufour, Jean-Charles/ABF-5662-2021</t>
  </si>
  <si>
    <t>Dufour, Jean-Charles/0000-0003-2392-1817; Hassanaly, Parina/0000-0003-2392-5308</t>
  </si>
  <si>
    <t>French National Research Agency [ANR-17-CE19-002]</t>
  </si>
  <si>
    <t>French National Research Agency(French National Research Agency (ANR))</t>
  </si>
  <si>
    <t>This work was supported by the French National Research Agency (reference #ANR-17-CE19-002) .</t>
  </si>
  <si>
    <t>DOVE MEDICAL PRESS LTD</t>
  </si>
  <si>
    <t>ALBANY</t>
  </si>
  <si>
    <t>PO BOX 300-008, ALBANY, AUCKLAND 0752, NEW ZEALAND</t>
  </si>
  <si>
    <t>1179-1470</t>
  </si>
  <si>
    <t>MED DEVICES-EVID RES</t>
  </si>
  <si>
    <t>MED. DEVICES-EVID. RES.</t>
  </si>
  <si>
    <t>10.2147/MDER.S328996</t>
  </si>
  <si>
    <t>Engineering, Biomedical</t>
  </si>
  <si>
    <t>XG3YK</t>
  </si>
  <si>
    <t>WOS:000724691700001</t>
  </si>
  <si>
    <t>Fernandes, MD; Costa, VMHD; Ubeda, CL; Achcar, JA</t>
  </si>
  <si>
    <t>Fernandes, Matheus Dominguez; Henriques de Miranda Costa, Vera Mariza; Ubeda, Cristina Lourenco; Achcar, Jorge Alberto</t>
  </si>
  <si>
    <t>Knowledge sharing among teachers at atechnical school in the state of Sao Paulo</t>
  </si>
  <si>
    <t>NAVUS-REVISTA DE GESTAO E TECNOLOGIA</t>
  </si>
  <si>
    <t>knowledge sharing; academic environment; technical school</t>
  </si>
  <si>
    <t>MANAGEMENT-PRACTICES; HIGHER-EDUCATION; ORGANIZATIONS; PERFORMANCE; DIAGNOSIS; MODEL</t>
  </si>
  <si>
    <t>Knowledge Management (KM) aims to be a procedure for creating, organizing and accessing the knowledge existing in the organization. Any and all companies, regardless of their productive nature, must invest in the control of organizational knowledge, not as a main purpose, but as a practice capable of improving production and its results. This article aims to identify, in the perception of teachers of a state technical school, some of them members of the management team, the incidence of knowledge sharing (CC) actions, present in the SECI conversion process (socialization, externalization, combination and internalization). This is qualitative quantitative, descriptive, applied research, carried out from 2018 to 2020, which uses field study as a strategy. The field investigation was carried out by consulting institutional documents and, in November and December 2019, applying a questionnaire to high school/technical teachers and the institution's management and teaching staff. The state technical school, object of the research, is located in the northern region of the state of Sao Paulo and is administered by the Centro Paula Souza (CPS), an autarchy of the Government of the State of SP. The results indicated that the stages of externalization and combination are the ones that stand out the most, leaving the occurrence of constant records of pedagogical activities and aggregation of existing information. On the other hand, internal training actions and appreciation of the mission and organizational values need improvement. The investigation is relevant, not only because of the possibility of applying its results, but also because there are few studies dealing with KM in the academic area.</t>
  </si>
  <si>
    <t>[Fernandes, Matheus Dominguez] Escola Tecn Estadual Sao Paulo ETEC, Sao Paulo, Brazil; [Henriques de Miranda Costa, Vera Mariza; Achcar, Jorge Alberto] Univ Araraquara UNIARA, Araraquara, SP, Brazil; [Ubeda, Cristina Lourenco] Univ Fed Sao Carlos UFSCar, Sao Carlos, Brazil</t>
  </si>
  <si>
    <t>Fernandes, MD (corresponding author), Escola Tecn Estadual Sao Paulo ETEC, Sao Paulo, Brazil.</t>
  </si>
  <si>
    <t>matheus.fernandes44@etec.sp.gov.br; verammcosta@uol.com.br; cristina-ubeda@ufscar.br; achcar@fmrp.usp.br</t>
  </si>
  <si>
    <t>CENTRO UNIV SENAC</t>
  </si>
  <si>
    <t>FLORIANOPOLIS</t>
  </si>
  <si>
    <t>RUA FELIPE SCHMIDT 785, CENTRO, FLORIANOPOLIS, SC 88010-002, BRAZIL</t>
  </si>
  <si>
    <t>2237-4558</t>
  </si>
  <si>
    <t>NAVUS-REV GEST TECNO</t>
  </si>
  <si>
    <t>Navus-Rev. Gest. Tecnol.</t>
  </si>
  <si>
    <t>JAN-DEC</t>
  </si>
  <si>
    <t>10.22279/navus.2021.v11.p01-20.1615</t>
  </si>
  <si>
    <t>WV9MK</t>
  </si>
  <si>
    <t>WOS:000717553200001</t>
  </si>
  <si>
    <t>Rao, AVN</t>
  </si>
  <si>
    <t>Rao, A. V. Nageswara</t>
  </si>
  <si>
    <t>Exploring the factors for enhancing supply chain responsiveness in logistics industry: a case study of select logistics companies in Delhi NCR Region</t>
  </si>
  <si>
    <t>INTERNATIONAL JOURNAL OF INDIAN CULTURE AND BUSINESS MANAGEMENT</t>
  </si>
  <si>
    <t>digital initiatives; information sharing; supplier network; supply chain responsiveness; SCR; systems innovation</t>
  </si>
  <si>
    <t>PERFORMANCE; MANAGEMENT; RESILIENCE; BEHAVIOR; IMPACT</t>
  </si>
  <si>
    <t>The article examines the various factors which play a key role in enhancing supply chain responsiveness in logistics industry. Digital initiatives, systems innovation, information sharing are taken as independent variables and supply chain responsiveness as dependent variable which includes supplier network responsiveness, delivery and service quality. The policy of the government and the changing global business environment are taken as intervening variables. The structured questionnaire is pre-tested with consultants, practitioners, and academicians who have expertise in the area of supply chain management. The target respondents are managers who are involved in the supply chain operations of the organisation. After initial scrutiny, the valid questionnaires are 100 which are further analysed and interpreted using factor analysis whereby select questions are grouped as 15 factors. Further, correlation and regression analysis is carried out among the supply chain variables. The statistical results indicate the significant positive effect of independent variables digital initiatives, systems innovation and information sharing on enhancing supply chain responsiveness in the logistics industry.</t>
  </si>
  <si>
    <t>[Rao, A. V. Nageswara] Sharda Univ, Sch Business Studies, Greater Noida 201306, UP, India</t>
  </si>
  <si>
    <t>Rao, AVN (corresponding author), Sharda Univ, Sch Business Studies, Greater Noida 201306, UP, India.</t>
  </si>
  <si>
    <t>avnageshwara.rao@sharda.ac.in</t>
  </si>
  <si>
    <t>Amuduri, Nagesh varaha/ABF-3065-2021</t>
  </si>
  <si>
    <t>Amuduri, Nagesh varaha/0000-0001-7035-4435</t>
  </si>
  <si>
    <t>INDERSCIENCE ENTERPRISES LTD</t>
  </si>
  <si>
    <t>GENEVA</t>
  </si>
  <si>
    <t>WORLD TRADE CENTER BLDG, 29 ROUTE DE PRE-BOIS, CASE POSTALE 856, CH-1215 GENEVA, SWITZERLAND</t>
  </si>
  <si>
    <t>1753-0806</t>
  </si>
  <si>
    <t>1753-0814</t>
  </si>
  <si>
    <t>INT J INDIAN CULT BU</t>
  </si>
  <si>
    <t>Int. J. Indian Cult. Bus. Manag.</t>
  </si>
  <si>
    <t>10.1504/IJICBM.2021.118880</t>
  </si>
  <si>
    <t>WU6BH</t>
  </si>
  <si>
    <t>WOS:000716628400004</t>
  </si>
  <si>
    <t>Dalui, P; Elghaish, F; Brooks, T; McIlwaine, S</t>
  </si>
  <si>
    <t>Dalui, Prasenjit; Elghaish, Faris; Brooks, Tara; McIlwaine, Stephen</t>
  </si>
  <si>
    <t>INTEGRATED PROJECT DELIVERY WITH BIM: A METHODICAL APPROACH WITHIN THE UK CONSULTING SECTOR</t>
  </si>
  <si>
    <t>JOURNAL OF INFORMATION TECHNOLOGY IN CONSTRUCTION</t>
  </si>
  <si>
    <t>IPD; BIM; Barriers and Challenges; Collaborative approach; emerging technologies</t>
  </si>
  <si>
    <t>DESIGN; IMPLEMENTATION; INFRASTRUCTURE; CHALLENGES</t>
  </si>
  <si>
    <t>The aim of this study is to identify the advantages and limitations in the implementation of the Building Information Modelling (BIM) and Integrated Project Delivery (IPD) in the UK consulting sector. A literature review critically analyses the existing literature, (including online articles and publications owing to the current and fast-moving nature of the topic in question). Next, a qualitative research approach was employed through interviews which targeted BIM professionals across the AEC sector in the UK. Barriers to BIM were found to include lack of enthusiasm for potential opportunities for BIM and IPD. Cultural factors which act against BIM and IPD implementation include, willingness to adopt BIM environment, software cost, high-end user maintenance cost. Furthermore, a need was determined for UK government support and encouragement for the use of BIM and IPD for smaller projects. This study recommends that schools take steps to improve career advice and guidance for students in relation to construction, specifically increasing awareness of the opportunities available related to BIM and working professionals to increase awareness of and employment in BIM through training and apprentices as appropriately. Finally, the paper concludes that BIM and IPD should be more widely adopted within AEC industries in the UK to maximise benefits from both systems.</t>
  </si>
  <si>
    <t>[Dalui, Prasenjit; Elghaish, Faris; Brooks, Tara; McIlwaine, Stephen] Queens Univ Belfast, Sch Nat &amp; Built Environm, Belfast, Antrim, North Ireland</t>
  </si>
  <si>
    <t>Dalui, P (corresponding author), Queens Univ Belfast, Sch Nat &amp; Built Environm, Belfast, Antrim, North Ireland.</t>
  </si>
  <si>
    <t>pdalui01@qub.ac.uk; F.elghaish@qub.ac.uk; T.Brooks@qub.ac.uk; S.McIlwaine@qub.ac.uk</t>
  </si>
  <si>
    <t>McIlwaine, Stephen/0000-0001-5245-6737; Brooks, Tara/0000-0003-3734-4416</t>
  </si>
  <si>
    <t>INT COUNCIL RESEARCH &amp; INNOVATION BUILDING &amp; CONSTRUCTION</t>
  </si>
  <si>
    <t>ROTTERDAM</t>
  </si>
  <si>
    <t>KRUISPLEIN 25 G, PO BOX 1837, ROTTERDAM, 3000 BV, NETHERLANDS</t>
  </si>
  <si>
    <t>1874-4753</t>
  </si>
  <si>
    <t>J INF TECHNOL CONSTR</t>
  </si>
  <si>
    <t>J. Inf. Technol. Constr.</t>
  </si>
  <si>
    <t>10.36680/j.itcon.2021.049</t>
  </si>
  <si>
    <t>Engineering, Civil</t>
  </si>
  <si>
    <t>WV2AK</t>
  </si>
  <si>
    <t>WOS:000717039000001</t>
  </si>
  <si>
    <t>Saif, AM; Abd Rahman, A; Mostafa, R</t>
  </si>
  <si>
    <t>Saif, Abu Naser Mohammad; Abd Rahman, Azmawani; Mostafa, Rehnuma</t>
  </si>
  <si>
    <t>POST-IMPLEMENTATION CHALLENGES OF ERP ADOPTION IN APPAREL INDUSTRY OF DEVELOPING COUNTRY</t>
  </si>
  <si>
    <t>LOGFORUM</t>
  </si>
  <si>
    <t>ERP; post-implementation; challenges; apparel; industry; bibliometric; qualitative</t>
  </si>
  <si>
    <t>SYSTEMS; METAANALYSIS; ENTERPRISES; INFORMATION; TECHNOLOGY; IMPACT</t>
  </si>
  <si>
    <t>Background: In the current tenure of fourth industrial revolution (Industry 4.0), time has come to revisit the issues of post-implementation challenges of Enterprise Resource Planning (ERP) systems in the apparel industry of developing countries around the globe. This bibliometric review aims to identify the post-implementation challenges of ERP in apparel industry of a developing country. Methods and procedures: Total 4854 published papers during the period 2000-2021 from the databases of Scopus and ScienceDirect were scanned to identify the relevant 52 publications using PRISMA flow diagram. Full bibliometric information was synthesized to create term co-occurrence network map using VOSviewer1.6.16. Later, cross-mapping the bibliometric terms from the meta-analyses with the six in-depth qualitative interviews conducted in a developing country, authors established themes through three levels of association. Results: Results of this study have portrayed three themes; technical, operational, and human. Apparel industry of developing country faces technical, operational, and human challenges at the post-implementation phase of ERP adoption. Conclusions: Technical, operational, and human are the major categories of challenges that need to be addressed to sustain the ERP implementation for developing countries. So, practitioners at the industry level, consultants, policymakers in the apparel industry, IT experts along with other knowledge workers should pay attention to these issues to build ERP systems more stable. Finally, the qualitative paper ends with the direction for further research in this specific field of enterprise information systems.</t>
  </si>
  <si>
    <t>[Saif, Abu Naser Mohammad; Abd Rahman, Azmawani] Univ Putra Malaysia, Sch Business &amp; Econ, Upm Serdang 43400, Selangor, Malaysia; [Mostafa, Rehnuma] Univ Dhaka, Fac Business Studies, Dept Management, Dhaka 1000, Bangladesh; [Saif, Abu Naser Mohammad] Univ Dhaka, Dept Management Informat Syst, Dhaka 1000, Bangladesh</t>
  </si>
  <si>
    <t>Saif, AM (corresponding author), Univ Putra Malaysia, Sch Business &amp; Econ, Upm Serdang 43400, Selangor, Malaysia.;Saif, AM (corresponding author), Univ Dhaka, Dept Management Informat Syst, Dhaka 1000, Bangladesh.</t>
  </si>
  <si>
    <t>saif@du.ac.bd; azar@upm.edu.my; rehnuma5n@gmail.com</t>
  </si>
  <si>
    <t>Saif, Abu Naser Mohammad/ABC-2857-2021</t>
  </si>
  <si>
    <t>Saif, Abu Naser Mohammad/0000-0001-7078-6780</t>
  </si>
  <si>
    <t>POZNAN SCH LOGISTICS</t>
  </si>
  <si>
    <t>POZNAN</t>
  </si>
  <si>
    <t>UL E ESTKOWSKIEGO 6, POZNAN, 61-755, POLAND</t>
  </si>
  <si>
    <t>1895-2038</t>
  </si>
  <si>
    <t>1734-459X</t>
  </si>
  <si>
    <t>LogForum</t>
  </si>
  <si>
    <t>10.17270/J.LOG.2021.624</t>
  </si>
  <si>
    <t>WH9XP</t>
  </si>
  <si>
    <t>WOS:000708023000005</t>
  </si>
  <si>
    <t>Prieto-Sandoval, V; Torres-Guevara, LE; Ormazabal, M; Jaca, C</t>
  </si>
  <si>
    <t>Prieto-Sandoval, Vanessa; Torres-Guevara, Luz Elba; Ormazabal, Marta; Jaca, Carmen</t>
  </si>
  <si>
    <t>Beyond the Circular Economy Theory: Implementation Methodology for Industrial SMEs</t>
  </si>
  <si>
    <t>JOURNAL OF INDUSTRIAL ENGINEERING AND MANAGEMENT-JIEM</t>
  </si>
  <si>
    <t>circular economy implementation; strategic management; sustainable improvement; SMEs; storyboarding</t>
  </si>
  <si>
    <t>SUSTAINABILITY; STRATEGY; LINKING; IMPACT; CHINA</t>
  </si>
  <si>
    <t>Purpose: The circular economy has multiple benefits and opportunities to achieve sustainability and a better future for the next generations. The purpose of this paper is to propose a methodology that guides step-by-step any industrial SMEs in the transition from the linear to a circular model. Small and medium enterprises (SMEs) have a crucial role in the sustainable development transition, considering that they represent most of the world's companies. Design/methodology/approach: To develop this methodology, two research techniques were used: a focus group and storyboarding. Findings: The resulting methodology, called Ecopyme, comprises five steps: 1) Firm identity, 2) Diagnosis, 3) Planning, 4) Get the ball rolling, and 5) Assessment and feedback. In addition, two key criteria that must be included in the whole process were identified: value creation in the firm through a circular economy and organization commitment from the top management to the staff. Research limitations/implications: The Ecopyme methodology has two limitations: It does not propose either implementation tools or involve consumers and actors at the meso (e.g., eco-industrial parks) and macro (e.g., cities, provinces, countries) levels. Practical implications: This study will help policymakers understand the SMEs' perspective and remove barriers that may hinder the paradigm shift. The methodology is also a useful tool for consultants and entrepreneurs to incorporate the circular economy (CE) principles into their business. Originality/value: In the CE literature, little attention has been paid to proposing a structured methodology to implement CE in SMEs. Thus, the study provides a step-by-step methodology that guides any industrial SMEs to transition from linear to circular. Also, it provides additional evidence concerning the importance of human commitment in changing firms' paradigm because people can encourage the adoption of responsible production practices if firms commit CEOs, sustainability managers, and staff.</t>
  </si>
  <si>
    <t>[Prieto-Sandoval, Vanessa] Pontificia Univ Javeriana, Sch Econ &amp; Business, Bogota, Colombia; [Torres-Guevara, Luz Elba] Univ La Sabana, Int Sch Econ &amp; Adm Sci, Chia, Cundinamarca, Colombia; [Ormazabal, Marta; Jaca, Carmen] Univ Navarra, TECNUN Sch Engn, Pamplona, Spain</t>
  </si>
  <si>
    <t>Torres-Guevara, LE (corresponding author), Univ La Sabana, Int Sch Econ &amp; Adm Sci, Chia, Cundinamarca, Colombia.</t>
  </si>
  <si>
    <t>juliethv.prieto@javenana.edu.co; luz.torres3@unisabana.edu.co; mormazabal@tecnun.es; cjaca@tecnun.es</t>
  </si>
  <si>
    <t>; Ormazabal, Marta/M-2395-2014</t>
  </si>
  <si>
    <t>Torres-Guevara, Luz Elba/0000-0002-1263-513X; Prieto Sandoval, Julieth Vanessa/0000-0001-9937-7710; Ormazabal, Marta/0000-0002-3602-3912</t>
  </si>
  <si>
    <t>Spanish National Programme for Fostering Excellence in Scientific and Technical Research; European Regional Development Fund [DPI2015-70832-R]; Project Desafios y oportunidades de la implementacion de la Economia Circular en las empresas - Pontificia Universidad Javeriana [ID00009299]; Project Implementacion de la economia circular en el sector industrial ubicado en la Provincia de Sabana Centro y sus alrededores - Universidad de La Sabana [EICEA-117-2018]</t>
  </si>
  <si>
    <t>Spanish National Programme for Fostering Excellence in Scientific and Technical Research; European Regional Development Fund(European Commission); Project Desafios y oportunidades de la implementacion de la Economia Circular en las empresas - Pontificia Universidad Javeriana; Project Implementacion de la economia circular en el sector industrial ubicado en la Provincia de Sabana Centro y sus alrededores - Universidad de La Sabana</t>
  </si>
  <si>
    <t>The article is based on research funded by the Spanish National Programme for Fostering Excellence in Scientific and Technical Research and The European Regional Development Fund: DPI2015-70832-R (MINECO/FEDER), the Project Desafios y oportunidades de la implementacion de la Economia Circular en las empresas sponsored by Pontificia Universidad Javeriana ID00009299 and the Project Implementacion de la economia circular en el sector industrial ubicado en la Provincia de Sabana Centro y sus alrededores -EICEA-117-2018 sponsored by Universidad de La Sabana.</t>
  </si>
  <si>
    <t>OMNIASCIENCE</t>
  </si>
  <si>
    <t>BARCELONA</t>
  </si>
  <si>
    <t>TERRASSA, BARCELONA, 00000, SPAIN</t>
  </si>
  <si>
    <t>2013-8423</t>
  </si>
  <si>
    <t>2013-0953</t>
  </si>
  <si>
    <t>J IND ENG MANAG-JIEM</t>
  </si>
  <si>
    <t>J. Ind. Eng. Manag.-JIEM</t>
  </si>
  <si>
    <t>10.3926/jiem.3413</t>
  </si>
  <si>
    <t>UF5IV</t>
  </si>
  <si>
    <t>WOS:000688608600002</t>
  </si>
  <si>
    <t>Sciarelli, M; Cosimato, S; Landi, G; Iandolo, F</t>
  </si>
  <si>
    <t>Sciarelli, Mauro; Cosimato, Silvia; Landi, Giovanni; Iandolo, Francesca</t>
  </si>
  <si>
    <t>Socially responsible investment strategies for the transition towards sustainable development: the importance of integrating and communicating ESG</t>
  </si>
  <si>
    <t>TQM JOURNAL</t>
  </si>
  <si>
    <t>Socially responsible investments (SRI); Sustainable development; Environmental; Social and governance (ESG); Key investors information documents (KIID)</t>
  </si>
  <si>
    <t>CORPORATE SUSTAINABILITY; INVESTING SRI; GOVERNANCE; MANAGEMENT; FUNDS; PERFORMANCE; MAINSTREAM</t>
  </si>
  <si>
    <t>PurposeRecently, socially and responsible investments (SRI) have constantly grown becoming a highly discussed issue. Therefore, the main purpose of this paper is to better understand if environmental social governance (ESG) criteria integration in investment strategies can support the transition of finance toward a more sustainable growth.Design/methodology/approachAn explorative analysis based on a multiple case study has been conducted and addressed by a content analysis on the Key Investors Information Documents (KIIDs) that the sample companies published for 2020.FindingsThe achieved results demonstrated that the case companies differently integrated ESG into their SRI; thus, if some of them are quite near to a full integration, the others demonstrated less than a full commitment with ESG. This seems to be mainly due to the different approach that asset management companies (AMCs) and/or managers have adopted for integrating ESG criteria.Research limitations/implicationsEven though the achieved results offered some interesting insights for asset managers, the explorative and qualitative nature of this study and the small sample investigated somewhat limits it.Practical implicationsAMCs, consultants and managers in developing and implementing their SRI strategy could be much more focused on the importance of ESG integration for the transition toward a more responsible and sustainable finance (micro-level) as well as a more sustainable development (macro-level).Originality/valueThe paper provides new insights into the essence of SRI strategies and their potential to contribute to sustainable development. Thus, it tries to shed new lights on the role that ESG can have to stimulate and support investment decisions and, in so doing, contributing to make finance grow more sustainable.</t>
  </si>
  <si>
    <t>[Sciarelli, Mauro; Cosimato, Silvia; Landi, Giovanni] Univ Naples Federico II, Dept Econ Management Inst DEMI, Naples, Italy; [Iandolo, Francesca] Univ Roma La Sapienza, Dept Management, Rome, Italy</t>
  </si>
  <si>
    <t>Cosimato, S (corresponding author), Univ Naples Federico II, Dept Econ Management Inst DEMI, Naples, Italy.</t>
  </si>
  <si>
    <t>silvia.cosimato@unina.it</t>
  </si>
  <si>
    <t>Iandolo, Francesca/AFK-0311-2022; Iandolo, Francesca/AAF-7345-2022</t>
  </si>
  <si>
    <t>Iandolo, Francesca/0000-0002-2366-4892; Iandolo, Francesca/0000-0002-2366-4892</t>
  </si>
  <si>
    <t>1754-2731</t>
  </si>
  <si>
    <t>1754-274X</t>
  </si>
  <si>
    <t>TQM J</t>
  </si>
  <si>
    <t>TQM J.</t>
  </si>
  <si>
    <t>10.1108/TQM-08-2020-0180</t>
  </si>
  <si>
    <t>TU2FE</t>
  </si>
  <si>
    <t>WOS:000680854700002</t>
  </si>
  <si>
    <t>Demko, M; Kosar, N; Kuzo, N; Jo, P</t>
  </si>
  <si>
    <t>Demko, M.; Kosar, N.; Kuzo, N.; Jo, Pochopien</t>
  </si>
  <si>
    <t>DEVELOPMENT OF THE MARKETING COMMUNICATIONS OF COMMERCIAL BANKS THROUGH A SEGMENT-ORIENTED APPROACH</t>
  </si>
  <si>
    <t>FINANCIAL AND CREDIT ACTIVITY-PROBLEMS OF THEORY AND PRACTICE</t>
  </si>
  <si>
    <t>Ukrainian</t>
  </si>
  <si>
    <t>marketing communication policy; commercial bank; segment-oriented approach; advertising; personal sale; public relations; sales promotion measures</t>
  </si>
  <si>
    <t>In the conditions of fierce competition in the market of banking products, commercial banks should develop measures to attract attention of customers and to develop their loyalty to the banking institution, the develop its brand and to increase its capital. It has been established on the basis of the analysis of secondary marketing information that the bank's marketing communications play a significant role in this, but it is important to ensure the growth of their efficiency. This can be achieved using a segment-oriented approach to their development. The goal of the present article is to establish the preferences in different segments of the banking product market as far as certain marketing policy tools of the banking institution's communications are concerned as well as to identify the features of the banking product market segmentation that reflect the difference in such preferences. The results of the collection and processing of the primary marketing information obtained from customer surveys and processed using the criterion allowed to establish the dependence of the impact of marketing communications tools of commercial banks on customers depending on their age and the actual absence depending on the customer gender. During information collection and processing all respondents were divided into three groups: of 18-35, 36-60, and above 60, depending on their age. Taking into account the results of the survey, the recommended structure of marketing communication components for banking institutions depending on the affiliation of customers to a certain market segment was developed, the means of dissemination of information appeals, recommended measures aimed at dissemination and their main content were identified. The analysis revealed that some tools of marketing communications of banking institutions affect customers belonging to different market segments. Here we primarily speak about personal sale and consulting customers during personal sale, implementation of the bank's measures aimed at environmental protection, increased rates for deposit products. At the same time, it has been established that other bank marketing communication tools have an impact only on a certain target customer group. In particular, advertising on television and radio can be important for providing information to people above 60, and information on bank websites - to younger people. Public relations measures also differ in terms of the efficiency of their impact on respondents of different age. To be more specific, health care funding measures are more important for the elderly people, while assistance provision to the needy is more important for young and middle-aged people.</t>
  </si>
  <si>
    <t>[Demko, M.] Ivan Franko Natl Univ Lviv, Fac Econ, Dept Mkt, Lvov, Ukraine; [Kosar, N.; Kuzo, N.] Lviv Polytech Natl Univ, Lvov, Ukraine; [Jo, Pochopien] Higher Sch Finance &amp; Law Bielsko Biala, Bielsko Biala, Poland</t>
  </si>
  <si>
    <t>Demko, M (corresponding author), Ivan Franko Natl Univ Lviv, Fac Econ, Dept Mkt, Lvov, Ukraine.</t>
  </si>
  <si>
    <t>mariana.demko@lnu.edu.ua; nataliia.s.kosar@lpnu.ua; natalia.y.kyzjo@lpnu.ua; jpochopien@wsfip.edu.pl</t>
  </si>
  <si>
    <t>Demko, Mariana/ABD-3058-2021; Kosar, Nataliia/U-8513-2017; Kuzo, Nataliia/U-8504-2017</t>
  </si>
  <si>
    <t>Kalynovskyy, Andriy/0000-0001-7927-3033; Demko, Mariana/0000-0001-7081-9001</t>
  </si>
  <si>
    <t>BANKING UNIV</t>
  </si>
  <si>
    <t>LVIV</t>
  </si>
  <si>
    <t>ST SICHEVYKH STREITSOV, 11, LVIV, UKRAINE</t>
  </si>
  <si>
    <t>2306-4994</t>
  </si>
  <si>
    <t>2310-8770</t>
  </si>
  <si>
    <t>FINANC CREDIT ACT</t>
  </si>
  <si>
    <t>Financ. Credit Act.</t>
  </si>
  <si>
    <t>TL1NB</t>
  </si>
  <si>
    <t>WOS:000674620700004</t>
  </si>
  <si>
    <t>Sysoieva, I; Pozniakovska, N; Balaziuk, O; Miklukha, O; Akimova, L; Pohrishchuk, B</t>
  </si>
  <si>
    <t>Sysoieva, I; Pozniakovska, N.; Balaziuk, O.; Miklukha, O.; Akimova, L.; Pohrishchuk, B.</t>
  </si>
  <si>
    <t>SOCIAL INNOVATIONS IN THE EDUCATIONAL SPACE AS A DRIVER OF ECONOMIC DEVELOPMENT OF MODERN SOCIETY</t>
  </si>
  <si>
    <t>social sphere; innovations; innovation project; rating of world innovations; investments; sustainable development; innovations in education</t>
  </si>
  <si>
    <t>The main provisions of the conceptualization of the introduction of social innovations in education and science, which constitute the internal content and is one of the main essential forms of economic development of modern society, are substantiated. It has been studied that the leading countries in terms of the number of the most innovative companies in the world are industrialized countries, high-income countries, as the United Kingdom (not a member of the EU since 2020), Ireland, Cyprus. However, Bulgaria, Italy, Malta, Germany, Portugal, Slovakia, Hungary, Croatia and the Czech Republic remain the least educated countries in recent years. There is a need for in-depth reforms of the education system and focusing on additional research missions. and business activities. It has been proven that one of the most important and widespread elements of the architecture of innovation infrastructure in the world, which is a supply component, is higher education institutions (HEIs), and the largest number of leading universities is in the United States and the United States. Kingdom. The role of social initiatives in increasing the competitiveness of Ukrainian higher education institutions is highlighted. budget funds in the future. The normative basis for such implementation may be the EU Public Procurement Directive. Based on a study of foreign experience in innovation, it was found that to stimulate innovation of domestic enterprises is important to improve the legislation governing issues related to innovation; improvement of innovation structure: creation of innovation centers, consulting centers, innovation banks; development of development programs and active state support of innovatively active enterprises and financial stimulation of competitiveness of Ukrainian universities and increase of motivational incentives for teachers of educational institutions.</t>
  </si>
  <si>
    <t>[Sysoieva, I; Balaziuk, O.; Pohrishchuk, B.] Vinnytsia Training &amp; Res Inst Econ WUNU, Vinnytsia, Ukraine; [Pozniakovska, N.; Miklukha, O.; Akimova, L.] Natl Univ Water &amp; Environm Engn, Rivne, Ukraine</t>
  </si>
  <si>
    <t>Sysoieva, I (corresponding author), Vinnytsia Training &amp; Res Inst Econ WUNU, Vinnytsia, Ukraine.</t>
  </si>
  <si>
    <t>innas1853@gmail.com; n.m.poznyakovska@nuwm.edu.ua; kseniya_balazuk@ukr.net; o.l.miklukha@nuwm.edu.ua; l.m.akimova@nuwm.edu.ua; b.pogrishchuk@wunu.edu.ua</t>
  </si>
  <si>
    <t>Pozniakovska, Nataliia/N-7550-2018; Pohrishchuk, Borys/ABB-2963-2021; Sysoieva, Inna/AAP-9465-2020; Akimova Liudmyla .M., Акімова Людмила./A-9831-2017; Balazyuk, Oksana/R-2066-2019</t>
  </si>
  <si>
    <t>Pozniakovska, Nataliia/0000-0003-4016-8935; Pohrishchuk, Borys/0000-0001-6974-1083; Sysoieva, Inna/0000-0003-0567-1658; Akimova Liudmyla .M., Акімова Людмила./0000-0002-2747-2775; Balazyuk, Oksana/0000-0002-8673-0869; Olesia, Miklukha/0000-0003-0618-3277</t>
  </si>
  <si>
    <t>WOS:000674620700053</t>
  </si>
  <si>
    <t>Pachenkov, O; Voronkova, L</t>
  </si>
  <si>
    <t>Pachenkov, Oleg; Voronkova, Lilia</t>
  </si>
  <si>
    <t>'NEW URBAN ACTIVISM' AND 'PUBLIC POLICY' IN RUSSIA (CASE OF SAINT PETERSBURG)</t>
  </si>
  <si>
    <t>activism; city; politics; public sphere; public space; urbanism</t>
  </si>
  <si>
    <t>In the recent decade, specialists observe a growth - in number and scale - of all sorts of grass root activities connected to the urban development and urban environment in contemporary cities. By these activities we mean a growing popularity of DIY movements and projects, a growth of demand for horizontal (non-hierarchical) connections, forms of actions and organization, a popularity of various participatory mechanisms. Our 10-years long observation (form inside as consultants for activist groups, and from outside as researchers) allows distinguishing several common vectors in the transformation of grass root urban activist movements in the recent years. We identify, for instance, a transformation from protective 'initiatives against' to the productive 'initiatives for', from struggle to cooperation. We argue that these transformations constitute a phenomenon we call the new urban activism. Drawing from interviews with urban activists of Saint Petersburg, as well as from our observation of their projects, we show how dramatism of protective urban activism has transformed - via DIY and tactical urbanism movements popular in Russian cities in the early 2000s - into a rather festive and joyful activity. In the last part, we also address the issue of 'political apathy.' To conceptualize observed processes, we employ the theoretical approach suggested by Hanna Arendt. We look at the activity of the new urban activism through the perspective of vita activa and argue that the new activism constitutes a sphere of public policy, as an alternative to the conventional Real-politik, reminding politika that refers to an ancient polis where city was the main concern of citizens.</t>
  </si>
  <si>
    <t>[Pachenkov, Oleg] European Univ St Petersburg, Ctr Urbanism &amp; Participat UP, St Petersburg, Russia; [Voronkova, Lilia] Ctr Independent Social Res, St Petersburg, Russia</t>
  </si>
  <si>
    <t>Pachenkov, O (corresponding author), European Univ St Petersburg, Ctr Urbanism &amp; Participat UP, St Petersburg, Russia.</t>
  </si>
  <si>
    <t>pachenkov@yahoo.com; lilia.voron@gmail.com</t>
  </si>
  <si>
    <t>NATL RESEARCH UNIV HIGHER SCH ECONOMICS</t>
  </si>
  <si>
    <t>SHABOLOVKA, 26, MOSCOW, 119049, RUSSIA</t>
  </si>
  <si>
    <t>J SOC POLICY STUD</t>
  </si>
  <si>
    <t>J. Soc. Policy Stud.</t>
  </si>
  <si>
    <t>10.17323/727-0634-2021-19-2-253-268</t>
  </si>
  <si>
    <t>Social Issues</t>
  </si>
  <si>
    <t>TI2UP</t>
  </si>
  <si>
    <t>WOS:000672650700006</t>
  </si>
  <si>
    <t>da Silva, MP; Rossi, JD; Trindade, AC</t>
  </si>
  <si>
    <t>da Silva, Marcelo Pereira; Rossi, Jessica de Cassia; Trindade, Ana Carolina</t>
  </si>
  <si>
    <t>Ethos, image and organizational reputation in digital media: the Rede Globo's audiovisual discourse on YouTube</t>
  </si>
  <si>
    <t>REVISTA INTERNACIONAL DE RELACIONES PUBLICAS</t>
  </si>
  <si>
    <t>Organization Communication; Reputation; Digital Media; Ethos; Rede Globo</t>
  </si>
  <si>
    <t>Society, countries, chaps and organizations are going through an atypical moment in history because of the Covid-19 pandemic, which highlights the need to strategically propose local, regional and planetary solutions for phenomena that affect the health and the economy. In this context, the communication of organizations is driven by the frenetic circulation of content and meanings disseminated by digital media, a phenomenon that has changed - and continues to change - the modes of subjectivation, conversation and sociability, as it elevates the actors, the shares to infinity and the connections. This challenging environment constitutes a favorable territory for building relationships, but also foments of conflicts and reputational crises that may involve people, governments, institutions, brands, organizations, etc. Hence, the current scenario shows that the production of information and the building of relationships through digital media reflect on identity, image and reputation. We highlight the existence of a fine line that can become unfavorable through controversial and contradictory communicative actions, given that the contents are disseminated and subject to all kinds of evaluation by the inhabitants of the online ecosystem. The organizational performance must align ethical, transparent and coherent principles with corporate and public objectives, as well as paying attention to the rapid changes on the contemporary society. The monitoring of communication becomes a fundamental tool so that, given the fast connections made possible by the development of digital technologies and media, organizations can prevent and manage possible crises and conflicts. These theoretical-pragmatic scenario reinforce the nature of the Public Relations activity as a true sine qua non, as poorly planned speeches and strategies can trigger negative reactions when produced in a time of heightened social sensitivity. In conclusion, the scenario also points to challenges related to the surveillance of citizens, which cover issues related to security, integrity and privacy. Thus, the objective of this article is to analyze, discursively, based on the notion of ethos, two audiovisual utterances from Rede Globo de Televisao on its official Youtube channel, in July 2020, entitled: Globo - Qualidade tambem e respeito and Globo - Qualidade tambem e brasilidade. The methodological procedures correspond to bibliographic research, discussing themes such as digital media, public relations, identity, image, reputation and organizations, and principles of discourse analysis, discussing the production of meaning effects in images of the self (ethos) that can produce cognitive dissonance in the audience. We investigated surveys carried out and made available by the Public Relations consultancy entitled Edelman to understand the trust of citizens in the Brazilian media, which show that more than half of the interviewees distrust the mass media. We infer that ethical, honesty and truth issues become central to reputation due to the acceleration of mediatization processes, marked by interactivity, participation, and clashes, launching organizations into an ocean of vulnerability characterized by praise, boycotts and cancellations who place the strategic management of public relations as imperative in the face of reverberations and negative conversations about the image and reputation of organizations on the digital media.</t>
  </si>
  <si>
    <t>[da Silva, Marcelo Pereira] Pontificia Univ Catolica Campinas, Campinas, SP, Brazil; [Rossi, Jessica de Cassia] Ctr Univ Sagrado Coracao Bauru, Cursos Comunicacao, Bauru, SP, Brazil; [Trindade, Ana Carolina] Univ Estadual Paulista, Sao Paulo, SP, Brazil</t>
  </si>
  <si>
    <t>da Silva, MP (corresponding author), Pontificia Univ Catolica Campinas, Campinas, SP, Brazil.</t>
  </si>
  <si>
    <t>marcelosilva_rp@hotmail.com; jessicacrossi@yahoo.com.br; carolinatrin@gmail.com</t>
  </si>
  <si>
    <t>da Silva, Marcelo Pereira/AAY-6600-2021; Trindade, Ana Carolina/H-2176-2018</t>
  </si>
  <si>
    <t>Trindade, Ana Carolina/0000-0001-6214-9343</t>
  </si>
  <si>
    <t>UNIV MALAGA, INST INVESTIGACION RELACIONES PUBLICAS</t>
  </si>
  <si>
    <t>MALAGA</t>
  </si>
  <si>
    <t>CAMPUS TEATINOS, MALAGA, 29071, SPAIN</t>
  </si>
  <si>
    <t>2174-3681</t>
  </si>
  <si>
    <t>REV INT RELAC PUBLIC</t>
  </si>
  <si>
    <t>Rev. Int. Relac. Publicas</t>
  </si>
  <si>
    <t>10.5783/RIRP-21-2021-09-167-188</t>
  </si>
  <si>
    <t>TA4TZ</t>
  </si>
  <si>
    <t>WOS:000667243700009</t>
  </si>
  <si>
    <t>Wong, ME</t>
  </si>
  <si>
    <t>Wong, May Ee</t>
  </si>
  <si>
    <t>Revisiting Jane Jacobs's Urban Complexity in Global Sustainability City Discourse</t>
  </si>
  <si>
    <t>ARCHITECTURE_MPS</t>
  </si>
  <si>
    <t>global sustainable city; urban complexity; Jane Jacobs; metabolic urbanism; The Crystal; urban innovation; eco-cities; smart cities; neoliberal urban imaginary; planetary solution</t>
  </si>
  <si>
    <t>AGE</t>
  </si>
  <si>
    <t>Since the 1990s, a recurrent trope of the 'global sustainable city' has emerged in popular and professional discussions of globalization, sustainable development and urban innovation. Published in commercial publications and grey literature on policy, design and global trends, the trope is also articulated in a genre of trade books by urban consultants and in public showcases that project the city as a socially, economically and environmentally beneficial entity - a sustainable complex system that is even promoted to be humanity's best hope for solving the global ecological problems of the twenty-first century. This article traces how urbanist Jane Jacobs's notion of urban complexity becomes an allusive reference in examples of popular global sustainability discourse that present the city as an evolutionary self-organizing entity of systemic networks and physical flows. It examines urban economist Edward Glaeser's Triumph of the City: How Our Greatest Invention Makes Us Richer, Smarter, and Greener (2011), urbanist Leo Hollis's Cities Are Good for You: The Genius of the Metropolis (2013) and urban strategist Jeb Brugmann's Welcome to the Urban Revolution (2009), as well as the smart building showcase of engineering multinational conglomerate Siemens, The Crystal. The article demonstrates how the trope of urban complexity is mobilized to project the city as a generic scalable entity of creativity and energy efficiency. It becomes the basis of an infrastructural imaginary of neoliberal innovation that supports entrepreneurial and ' smart-eco' agendas of urban design and governance that promise - but have yet to deliver - planetary ecological amelioration.</t>
  </si>
  <si>
    <t>[Wong, May Ee] Univ Calif Davis, Cultural Studies, Davis, CA 95616 USA</t>
  </si>
  <si>
    <t>Wong, ME (corresponding author), Univ Calif Davis, Cultural Studies, Davis, CA 95616 USA.</t>
  </si>
  <si>
    <t>myewong@ucdavis.edu</t>
  </si>
  <si>
    <t>University of California Davis Humanities Institute</t>
  </si>
  <si>
    <t>The research for this article was accomplished thanks to the funding of the University of California Davis Humanities Institute and through the supervision of Simon Sadler. Christina Cogdell, Caren Kaplan and Julie Sze also provided their comments on earlier instantiations of this research. I would like to thank Matt Wade for his comments on the initial draft of this article, and Rachel Bok for her insights on global urban policy, which have contributed to the development of this article.</t>
  </si>
  <si>
    <t>UCL PRESS</t>
  </si>
  <si>
    <t>UNIV COLLEGE LONDON, GOWER ST, LONDON, WC1E 6 BT, ENGLAND</t>
  </si>
  <si>
    <t>2050-9006</t>
  </si>
  <si>
    <t>AMPS</t>
  </si>
  <si>
    <t>Architecture_MPS</t>
  </si>
  <si>
    <t>10.14324/111.444.amps.2021v19i1.003</t>
  </si>
  <si>
    <t>ST1XM</t>
  </si>
  <si>
    <t>WOS:000662244100003</t>
  </si>
  <si>
    <t>Srica, V</t>
  </si>
  <si>
    <t>Srica, Velimir</t>
  </si>
  <si>
    <t>STRATEGIC HARMONY - A SOLUTION TO FIXING THE BROKEN WORLD?</t>
  </si>
  <si>
    <t>The brokec world; strategic harmony model; mindset change; trust; empathy; sustainability; transparency</t>
  </si>
  <si>
    <t>The article is a review of key ideas and proposals from the book EmpowerUs: From Crisis to Strategic Harmony (Kitsap Publishing, 2020). In the preface to the book Philip Kotler, the Father of modern marketing and one of the most influential global management experts points out that there are many fixing the world books, and this is one of the best. The authors are Ira Kaufman, a transformation strategist and consultant from the USA, and Velimir Srica, a leadership consultant and professor of management information systems from Croatia. Both are well known experts on management of change, digital transformation, and leadership development. The article provides an overview of the Strategic Harmony model and its application. After explaining the key issues of the broken world, the text focuses on proposed solutions. First, it describes the Change Drivers and their role in initiating necessary transformation. Then, it discusses the importance of mindset change, based on so called TEST values (Trust, Empathy, Sustainability, and Transparency). The article provides a model of transformative leadership enabling leaders in business, government, science, education, culture, medicine, and other human activities to become Catalyzers of change and lead their institutions toward Strategic Harmony.</t>
  </si>
  <si>
    <t>[Srica, Velimir] Univ Zagreb, Sch Econ &amp; Management, Zagreb, Croatia</t>
  </si>
  <si>
    <t>Srica, V (corresponding author), Univ Zagreb, Sch Econ &amp; Management, Zagreb, Croatia.</t>
  </si>
  <si>
    <t>MEDICINSKA NAKLADA</t>
  </si>
  <si>
    <t>ZAGREB</t>
  </si>
  <si>
    <t>VLASKA 69, HR-10000 ZAGREB, CROATIA</t>
  </si>
  <si>
    <t>PSYCHIAT DANUB</t>
  </si>
  <si>
    <t>Psychiatr. Danub.</t>
  </si>
  <si>
    <t>TA3UY</t>
  </si>
  <si>
    <t>WOS:000667177200011</t>
  </si>
  <si>
    <t>Razali, N; Khalil, N; Bohari, AAM; Husin, HN</t>
  </si>
  <si>
    <t>Razali, Nurazri; Khalil, Natasha; Bohari, Asmah Alia Mohamad; Husin, Husrul Nizam</t>
  </si>
  <si>
    <t>Green Procurement in Construction: Analysis of the Readiness Level and Key Catalyst among Construction Enablers</t>
  </si>
  <si>
    <t>INTERNATIONAL JOURNAL OF SUSTAINABLE CONSTRUCTION ENGINEERING AND TECHNOLOGY</t>
  </si>
  <si>
    <t>Green procurement; construction; readiness level; barriers; key catalyst</t>
  </si>
  <si>
    <t>GOVERNMENT PROCUREMENT; PUBLIC PROCUREMENT; FRAMEWORK</t>
  </si>
  <si>
    <t>In the concern of sustainability and increasing awareness of environmental degradation, the Malaysian government has promoted numerous initiatives on green growth and green procurement (GP) to maintain and minimize the ecological effects in construction. However, this initiative is still in the infancy stage as to date, there is no specific guideline delineated to the construction industry, and it has yet to be enforced by the government to the construction practitioners. In construction, green procurement is a new area, and immediate actions are needed upon the principles, guidelines, and policy and implementation framework. Hence, this research aims to analyse the readiness level, barriers, and key catalysts among construction enablers towards adopting green procurement in the construction industry. Questionnaires were distributed to 102 construction enablers, focusing on quantity surveying firms in the Klang Valley area (Kuala Lumpur and Selangor), and 87 returned the responses. The analysis uses descriptive statistics via mean score, and the standard deviation was used to measure the variables and the mean's dispersion. It is revealed that the consultants are ready to adopt green procurement. However, GP's implementation's top challenges are lack of internal expertise, low awareness about green procurement, and lack of established best practices, standardized procedures and guidelines. It can be summarized that promoting GP and its implementation requires government support in policies, initiatives, and incentives. As the current practice is fragmented. ideally, GP's adoption in construction projects needs to conform to the acceptable standards that enable specific provisions to acquire eco-friendly sustainable construction.</t>
  </si>
  <si>
    <t>[Razali, Nurazri; Khalil, Natasha; Bohari, Asmah Alia Mohamad; Husin, Husrul Nizam] Univ Teknol MARA, Fac Architecture Planning &amp; Surveying, Dept Quant Surveying, Perak Branch, Seri Iskandar 32610, Perak, Malaysia</t>
  </si>
  <si>
    <t>Khalil, N (corresponding author), Univ Teknol MARA, Fac Architecture Planning &amp; Surveying, Dept Quant Surveying, Perak Branch, Seri Iskandar 32610, Perak, Malaysia.</t>
  </si>
  <si>
    <t>natas582@uitm.edu.my</t>
  </si>
  <si>
    <t>UNIV TUN HUSSEIN ONN MALAYSIA</t>
  </si>
  <si>
    <t>JOHOR</t>
  </si>
  <si>
    <t>86400 PARIT RAJA, BATU PAHAT, JOHOR, 00000, MALAYSIA</t>
  </si>
  <si>
    <t>2180-3242</t>
  </si>
  <si>
    <t>INT J SUSTAIN CONSTR</t>
  </si>
  <si>
    <t>Int. J. Sustain. Constr. Eng Technol.</t>
  </si>
  <si>
    <t>10.30880/ijscet.2021.12.01.001</t>
  </si>
  <si>
    <t>SO3FO</t>
  </si>
  <si>
    <t>WOS:000658861900001</t>
  </si>
  <si>
    <t>Narino, AH; Cossio, NS; Castro, GR; Castro, AH</t>
  </si>
  <si>
    <t>Hernandez Narino, Arialys; Sablon Cossio, Neyfe; Ramos Castro, Guillermo; Hernandez Castro, Adalberto</t>
  </si>
  <si>
    <t>DEVELOPING AN IMPROVEMENT STRATEGY IN HEALTH RESEARCH INNOVATION AND QUALITY BASED ON TECHNOLOGY WATCH ADOPTION: A CUBAN CASE STUDY</t>
  </si>
  <si>
    <t>INTERNATIONAL JOURNAL OF INNOVATION</t>
  </si>
  <si>
    <t>Technology watch; Innovation; Quality management; R&amp;D projects; Healthcare</t>
  </si>
  <si>
    <t>CARE; MANAGEMENT; KNOWLEDGE</t>
  </si>
  <si>
    <t>Objective: To develop an improvement strategy on research, innovation and quality of health, based on technology watch adoption. Method: A non experimental study that comprehends descriptive and bibliometric analysis was used, along with the implementation of technology watch procedure to support the strategy. Originality/Relevance: Technology watch along with strategic intelligence are acknowledged to be key tools in innovation processes as well as in strengthening National Science Technology and Innovation Systems (Guagliano, Villanueva, Perez and Sanchez Rico, 2019); its use has spread to numerous public and private companies, government agencies, consulting institutions, universities and research centers which are being interested in anticipating the continous and emerging challenges from the changing environment and hence making proper strategic decisions (Guagliano, Massaro and Rodriguez Bianchi, 2015); particularly in health care its applications are extended to technology assessment, care services improvement and academic research capacity planning and strengthening (Carrillo Zambrano, Paez Leal, Suarez and Luna-Gonzalez, 2018). Specifically, Research, Quality and Innovation management at a local health system in Cuba, needs to generate high value-added information and knowledge to enhance performance and accurate decision making. Results: Here we show how the development of technology watch enhance and support the formulation of research, development and innovation projects; and standardization of healthcare services and processes, which were selected as relevant variables in a previous prospective study. Social / management contributions: The results are aligned with the Cuban healthcare strategic goals, for among its current demands, it prioritizes the generation of high-impact scientific and innovative results, as well as the development of a quality strategy that portrays, among its core objectives, health services continuous improvement, based on developing standards, Clinical Practice Guidelines and therapeutic protocols. Theoretical/Methodological contributions: The adoption of Technology and Innovation management and knowledge-based techniques may offer valuable benefits within research and quality of healthcare context.</t>
  </si>
  <si>
    <t>[Hernandez Narino, Arialys; Ramos Castro, Guillermo] Univ Ciencias Med Matanzas, Matanzas, Cuba; [Hernandez Narino, Arialys] Univ Matanzas, Matanzas, Cuba; [Sablon Cossio, Neyfe] Univ Tecn Manabi, Manabi, Ecuador; [Hernandez Castro, Adalberto] Clin Avendano, Miraflores, Peru</t>
  </si>
  <si>
    <t>Narino, AH (corresponding author), Univ Ciencias Med Matanzas, Matanzas, Cuba.;Narino, AH (corresponding author), Univ Matanzas, Matanzas, Cuba.</t>
  </si>
  <si>
    <t>arialishn.mtz@infomed.sld.cu; nsabloncossio@gmail.com; gramos.mtz@infomed.sld.cu; acastro@clinicaavendaanoperu.com</t>
  </si>
  <si>
    <t>Nariño, Arialys Hernández/AAQ-1644-2021; Sablon-Cossio, Neyfe/S-6977-2018</t>
  </si>
  <si>
    <t>Nariño, Arialys Hernández/0000-0002-0180-4866; Sablon-Cossio, Neyfe/0000-0002-6691-0037</t>
  </si>
  <si>
    <t>UNIV NOVE JULHO</t>
  </si>
  <si>
    <t>SAO PAULO</t>
  </si>
  <si>
    <t>AV FRANCISCO MATARAZZO 612, AGUA BRANCA, SAO PAULO, C05001-100, BRAZIL</t>
  </si>
  <si>
    <t>2318-9975</t>
  </si>
  <si>
    <t>INT J INNOV</t>
  </si>
  <si>
    <t>Int. J. Innov.</t>
  </si>
  <si>
    <t>10.5585/iji.v9i1.18103</t>
  </si>
  <si>
    <t>RT7VQ</t>
  </si>
  <si>
    <t>WOS:000644666000002</t>
  </si>
  <si>
    <t>Bogatyrov, O; Baula, O; Liutak, O; Galaziuk, N</t>
  </si>
  <si>
    <t>Bogatyrov, O.; Baula, O.; Liutak, O.; Galaziuk, N.</t>
  </si>
  <si>
    <t>CONCEPTUAL FOUNDATIONS OF FINANCIAL SUPPORT FOR INCREASING THE INNOVATIVE COMPONENT OF UKRAINE'S INTERNATIONAL COMPETITIVENESS</t>
  </si>
  <si>
    <t>innovation; Global Innovation Index; financial support for innovative development; international competitiveness; cluster</t>
  </si>
  <si>
    <t>The article describes the dynamics of Ukraine's position in the Global Innovation Index for 2015-2019. It is revealed that the domestic economy has a high educational and scientific potential, is able to produce various innovations in the form of ideas, scientific developments, patents; the bottlenecks of Ukraine in the state of innovative development are the state of cluster development, the share of foreign direct investment in GDP, the online service of the government, the use of information and communication technologies, the availability of joint agreements on strategic alliances, the state of domestic lending to the private sector, the export of goods of the creative economy, the volume of microfinance loans, the presence of firms offering formal training, the state of cooperation between universities and production, agreements with venture capital. It is proved that the problem of improving the financial mechanism for ensuring innovation processes in the economic system of Ukraine requires a priority solution. Developments on increasing the innovative component of increasing Ukraine's international competitiveness are impossible without adequate financial support. The article examines the foreign experience of state support for innovation activities. It is revealed that in developed countries - the world's leading innovation leaders, public policy provides for direct funding of scientific research and through tax measures encourages private sector R&amp;D spending. The concept of financial support for increasing the innovative component of Ukraine's international competitiveness, which should be implemented at the strategic, tactical and operational levels, is proposed. To ensure a sustainable level of international competitiveness of the country through increasing the innovation component, it is important to implement a system of measures to monitor threats even at the stage of their origin and prevent the spread of their negative impact. Therefore, the methods and tools for implementing the proposed concept contain components of threat prevention: economic (tax incentives; transfers;direct budget investments; grants; concessional lending; cooperation with foreign institutions, etc.), organizational (development of innovative infrastructure; consulting assistance; personnel support; creation of clusters using the potential of education, business, government, public; creation of regional clusters with innovation and industry production, etc.), institutional (techno parks, business incubators, analytical centres, etc.), regulatory (strategies, concepts, plans, programs) and social levers (conducting business trainings, implementing joint social projects, etc.).</t>
  </si>
  <si>
    <t>[Bogatyrov, O.] Kyiv Natl Econ Univ, Kiev, Ukraine; [Baula, O.; Liutak, O.; Galaziuk, N.] Lutsk Natl Tech Univ, Dept Int Econ Relat, Lutsk, Ukraine</t>
  </si>
  <si>
    <t>Bogatyrov, O (corresponding author), Kyiv Natl Econ Univ, Kiev, Ukraine.</t>
  </si>
  <si>
    <t>bogatyrev_77@ukr.net; o.baula@lntu.edu.ua; olenalutak@gmail.com; o.baula@lntu.edu.ua</t>
  </si>
  <si>
    <t>Baula, Olena/U-6191-2017; Liutak, Olena/Y-2638-2018</t>
  </si>
  <si>
    <t>Baula, Olena/0000-0003-2609-0211; Liutak, Olena/0000-0002-4293-0586</t>
  </si>
  <si>
    <t>RU4PN</t>
  </si>
  <si>
    <t>WOS:000645131200035</t>
  </si>
  <si>
    <t>Belay, S; Goedert, J; Woldesenbet, A; Rokooei, S</t>
  </si>
  <si>
    <t>Belay, Solomon; Goedert, James; Woldesenbet, Asregedew; Rokooei, Saeed</t>
  </si>
  <si>
    <t>A Hybrid Delphi-AHP Based Analysis of Construction Project-Specific Success Factors in Emerging Markets: The Case of Ethiopia</t>
  </si>
  <si>
    <t>Critical success factors; construction projects; Delphi survey; AHP; developing countries</t>
  </si>
  <si>
    <t>Literature highlights that the success of construction projects differs in various attributes. However, only a few empirical studies have been conducted to examine the inter-sectorial aspects of critical success factors in developing countries. Hence, this study aims to investigate the comparative analysis of success factors in public and private sectors across the Ethiopian construction industry. A structured questionnaire matrix was prepared based on the hierarchical model developed through a systematic literature review. Then, the present study introduced a Delphi-Analytic Hierarchy Process (AHP) technique to analyze successful attributes in the Ethiopian construction sector. The two rounds of Delphi-AHP survey were conducted through a panel of experts working in different construction firms including owner, consultant, contractor, and academia. The result indicates that the top three ranked critical success factors (CSFs) in the private sector are clear project goals, financial capacity of contractor, and competency of consulting firm. However, CSFs such as adequacy of funds, political environment, and clear project goals are the major CSFs in public construction sector. More so, the findings reveal that there was a consensus among respondents on the rankings of success factors. The study provides practical implications and key recommendations regarding CSFs to enhance project management performance in the Ethiopian construction sector.</t>
  </si>
  <si>
    <t>[Belay, Solomon; Woldesenbet, Asregedew] Bahir Dar Univ, Fac Civil &amp; Water Resources Engn, Bahir Dar, Ethiopia; [Goedert, James] Univ Nebraska, Durham Sch Architectural Engn &amp; Construct, Peter Kiewit Inst, 1110 S 67th St, Omaha, NE 68182 USA; [Rokooei, Saeed] Mississippi State Univ, Coll Architecture Art &amp; Design, 123-D Howell Bldg, Starkville, MS 39759 USA</t>
  </si>
  <si>
    <t>Belay, S (corresponding author), Bahir Dar Univ, Fac Civil &amp; Water Resources Engn, Bahir Dar, Ethiopia.</t>
  </si>
  <si>
    <t>solomon.melaku@bdu.edu.et; jgoedert1@unl.edu; asregedew@gmail.com; srokooei@caad.msstate.edu</t>
  </si>
  <si>
    <t>Belay, Solomon/AAJ-4176-2021</t>
  </si>
  <si>
    <t>Belay, Solomon/0000-0002-5931-9089</t>
  </si>
  <si>
    <t>TAYLOR &amp; FRANCIS AS</t>
  </si>
  <si>
    <t>OSLO</t>
  </si>
  <si>
    <t>KARL JOHANS GATE 5, NO-0154 OSLO, NORWAY</t>
  </si>
  <si>
    <t>COGENT ENG</t>
  </si>
  <si>
    <t>Cogent Eng.</t>
  </si>
  <si>
    <t>10.1080/23311916.2021.1891701</t>
  </si>
  <si>
    <t>QU0DT</t>
  </si>
  <si>
    <t>WOS:000626956400001</t>
  </si>
  <si>
    <t>Mateen, BA; Wilde, H; Dennis, JM; Duncan, A; Thomas, N; McGovern, A; Denaxas, S; Keeling, M; Vollmer, S</t>
  </si>
  <si>
    <t>Mateen, Bilal Akhter; Wilde, Harrison; Dennis, John M.; Duncan, Andrew; Thomas, Nick; McGovern, Andrew; Denaxas, Spiros; Keeling, Matt; Vollmer, Sebastian</t>
  </si>
  <si>
    <t>Hospital bed capacity and usage across secondary healthcare providers in England during the first wave of the COVID-19 pandemic: a descriptive analysis</t>
  </si>
  <si>
    <t>COVID-19; intensive critical care; public health; health policy</t>
  </si>
  <si>
    <t>Objective In this study, we describe the pattern of bed occupancy across England during the peak of the first wave of the COVID-19 pandemic. Design Descriptive survey. Setting All non-specialist secondary care providers in England from 27 March27to 5 June 2020. Participants Acute (non-specialist) trusts with a type 1 (ie, 24 hours/day, consultant-led) accident and emergency department (n=125), Nightingale (field) hospitals (n=7) and independent sector secondary care providers (n=195). Main outcome measures Two thresholds for 'safe occupancy' were used: 85% as per the Royal College of Emergency Medicine and 92% as per NHS Improvement. Results At peak availability, there were 2711 additional beds compatible with mechanical ventilation across England, reflecting a 53% increase in capacity, and occupancy never exceeded 62%. A consequence of the repurposing of beds meant that at the trough there were 8.7% (8508) fewer general and acute beds across England, but occupancy never exceeded 72%. The closest to full occupancy of general and acute bed (surge) capacity that any trust in England reached was 99.8%. For beds compatible with mechanical ventilation there were 326 trust-days (3.7%) spent above 85% of surge capacity and 154 trust-days (1.8%) spent above 92%. 23 trusts spent a cumulative 81 days at 100% saturation of their surge ventilator bed capacity (median number of days per trust=1, range: 1-17). However, only three sustainability and transformation partnerships (aggregates of geographically co-located trusts) reached 100% saturation of their mechanical ventilation beds. Conclusions Throughout the first wave of the pandemic, an adequate supply of all bed types existed at a national level. However, due to an unequal distribution of bed utilisation, many trusts spent a significant period operating above 'safe-occupancy' thresholds despite substantial capacity in geographically co-located trusts, a key operational issue to address in preparing for future waves.</t>
  </si>
  <si>
    <t>[Mateen, Bilal Akhter] Univ Warwick, Warwick Med Sch, Coventry, W Midlands, England; [Mateen, Bilal Akhter; Duncan, Andrew; Denaxas, Spiros; Vollmer, Sebastian] Alan Turing Inst, London, England; [Mateen, Bilal Akhter; Denaxas, Spiros] UCL, Inst Hlth Informat, London, England; [Wilde, Harrison; Vollmer, Sebastian] Univ Warwick, Dept Stat, Coventry, W Midlands, England; [Dennis, John M.; Thomas, Nick; McGovern, Andrew] Univ Exeter, Inst Biomed &amp; Clin Sci, Exeter, Devon, England; [Duncan, Andrew] Imperial Coll London, Dept Stat, London, England; [Thomas, Nick; McGovern, Andrew] Royal Devon &amp; Exeter NHS Fdn Trust, Diabet &amp; Endocrinol, Exeter, Devon, England; [Denaxas, Spiros] Hlth Data Res UK, London, England; [Keeling, Matt] Univ Warwick, Zeeman Inst Syst Biol &amp; Infect Dis Epidemiol Res, Coventry, W Midlands, England</t>
  </si>
  <si>
    <t>Mateen, BA (corresponding author), Univ Warwick, Warwick Med Sch, Coventry, W Midlands, England.;Mateen, BA (corresponding author), Alan Turing Inst, London, England.;Mateen, BA (corresponding author), UCL, Inst Hlth Informat, London, England.</t>
  </si>
  <si>
    <t>bilal.mateen@nhs.net</t>
  </si>
  <si>
    <t>Keeling, Matt J/J-9280-2012</t>
  </si>
  <si>
    <t>Keeling, Matt J/0000-0003-4639-4765; Denaxas, Spiros/0000-0001-9612-7791; Wilde, Harrison/0000-0002-4391-8204; Dennis, John/0000-0002-7171-732X; Mateen, Bilal Akhter/0000-0003-4423-6472</t>
  </si>
  <si>
    <t>UK Research and Innovation; Alan Turing Institute (EPSRC) [EP/N510129]; Research England's Expanding Excellence in England (E3) fund; University of Warwick IAA funding; Feuer International Scholarship in Artificial Intelligence; NIHR Exeter Clinical Research Facility</t>
  </si>
  <si>
    <t>UK Research and Innovation(UK Research &amp; Innovation (UKRI)); Alan Turing Institute (EPSRC)(UK Research &amp; Innovation (UKRI)Engineering &amp; Physical Sciences Research Council (EPSRC)); Research England's Expanding Excellence in England (E3) fund; University of Warwick IAA funding; Feuer International Scholarship in Artificial Intelligence; NIHR Exeter Clinical Research Facility</t>
  </si>
  <si>
    <t>The study was funded by UK Research and Innovation. BAM, SV and SD are supported by The Alan Turing Institute (EPSRC grant EP/N510129). JMD is supported by an Independent Fellowship funded by Research England's Expanding Excellence in England (E3) fund. SV is supported by the University of Warwick IAA funding. HW is supported by the Feuer International Scholarship in Artificial Intelligence. JMD, NT and AM are supported by the NIHR Exeter Clinical Research Facility.</t>
  </si>
  <si>
    <t>e042945</t>
  </si>
  <si>
    <t>10.1136/bmjopen-2020-042945</t>
  </si>
  <si>
    <t>QB9ND</t>
  </si>
  <si>
    <t>WOS:000614461300002</t>
  </si>
  <si>
    <t>Oni, S; Oni, AA; Gberevbie, DE; Ayodele, OT</t>
  </si>
  <si>
    <t>Oni, Samuel; Oni, Aderonke A.; Gberevbie, Daniel E.; Ayodele, Olaniyi Trust</t>
  </si>
  <si>
    <t>E-parliament and constituency representation in Nigeria</t>
  </si>
  <si>
    <t>COGENT ARTS &amp; HUMANITIES</t>
  </si>
  <si>
    <t>E-parliament; National Assembly; constituency; interactivity; SDGs; Nigeria</t>
  </si>
  <si>
    <t>FRAMEWORK; DEMOCRACY</t>
  </si>
  <si>
    <t>The legislature plays important roles of domesticating and monitoring the implementation of Sustainable Development Goals (SDGs) and as well, ensuring that government is accountable to the public for national progress on them. These hallowed responsibilities require that legislators are in constant communication and dialogue with the citizens they represent. E-parliament has been seeing to enhance the relationship between legislators and their constituencies, thus enhancing their democratic values. The study engaged a mixed method involving content analysis and case study design. Information were drawn through content analysis of the Nigerian National Assembly (NASS) website and literature search. The aim is to determine the accessibility, usability, and usefulness of the NASS website for citizens-legislature interactions to enhance inclusive governance. Results of the analysis reveal that implementation of e-parliament in Nigeria is still majorly at the stage of information provisioning with low supporting tools for interacting and consulting the constituents. The paper argues that, despite the numerous challenges being encountered in the application of ICTs tools, e-parliament is fundamental to reducing the wide gap between citizens and their representatives in Nigeria. With e-parliament, government's policies and programmes and their implementation are in agreement with citizens aspirations and expectations which are considered pivotal to realizing SDGs in Nigeria.</t>
  </si>
  <si>
    <t>[Oni, Samuel] Amer Univ Nigeria, Dept Polit Sci &amp; Int Relat, Ota, Ogun State, Nigeria; [Oni, Aderonke A.] Covenant Univ, Comp &amp; Informat Sci, Ota, Nigeria; [Gberevbie, Daniel E.; Ayodele, Olaniyi Trust] Covenant Univ, Polit Sci &amp; Int Relat, Ota, Nigeria</t>
  </si>
  <si>
    <t>Oni, S (corresponding author), Covenant Univ, Dept Polit Sci &amp; Int Relat, Ota, Ogun State, Nigeria.</t>
  </si>
  <si>
    <t>samuel.oni@covenantuniversity.edu.ng; aderonke.oni@covenantuniversity.edu.ng; daniel.gberevbie@covenantuniversity.edu.ng; olaniyi.ayodele@covenantuniversity.edu.ng</t>
  </si>
  <si>
    <t>Oni, Aderonke A./N-1775-2013; Oni, Samuel/AAR-7021-2021</t>
  </si>
  <si>
    <t>Oni, Samuel/0000-0003-3513-0844</t>
  </si>
  <si>
    <t>Covenant University; Covenant University Cluster on E-government and e-business</t>
  </si>
  <si>
    <t>This work was greatly supported by Covenant University and the Covenant University Cluster on E-government and e-business. We are profoundly grateful to Covenant University for being the financial sponsor of this publication and its presentation.</t>
  </si>
  <si>
    <t>2331-1983</t>
  </si>
  <si>
    <t>COGENT ARTS HUMANITE</t>
  </si>
  <si>
    <t>Cogent Art Humanities</t>
  </si>
  <si>
    <t>10.1080/23311983.2021.1878590</t>
  </si>
  <si>
    <t>QK4VK</t>
  </si>
  <si>
    <t>WOS:000620384500001</t>
  </si>
  <si>
    <t>Hadeed, SA; Henry-Campbell, S</t>
  </si>
  <si>
    <t>Hadeed, Salma A.; Henry-Campbell, Suzette</t>
  </si>
  <si>
    <t>Perspectives in HRD-Expatriate Experiences and the Role HRD plays in Cultural Awareness in International Companies</t>
  </si>
  <si>
    <t>NEW HORIZONS IN ADULT EDUCATION AND HUMAN RESOURCE DEVELOPMENT</t>
  </si>
  <si>
    <t>Expatriate; cultural awareness; training and development; experience; international companies</t>
  </si>
  <si>
    <t>The purpose of this paper is to examine underlying factors that hinder the expatriate experience and the ways quality-controlled training methods can be delivered to them in order to acclimatize into different cultures. Companies see transatlantic business expansion as a critical piece of their agenda in the quest for greater market share. In this environment, the Human Resource professional is a consultant, tasked with stripping away the transactional approach to managing the expatriate process and replacing it with systems, policies and programs. An integrated learning and development plan can support the preparatory obligations from the perspective of the company.</t>
  </si>
  <si>
    <t>smoha003@fiu.edu</t>
  </si>
  <si>
    <t>1939-4225</t>
  </si>
  <si>
    <t>NEW HORIZ ADULT EDUC</t>
  </si>
  <si>
    <t>New Horiz. Adult Educ. Hum. Resour. Dev.</t>
  </si>
  <si>
    <t>10.1002/nha3.20306</t>
  </si>
  <si>
    <t>Industrial Relations &amp; Labor</t>
  </si>
  <si>
    <t>QC9ST</t>
  </si>
  <si>
    <t>WOS:000615170900006</t>
  </si>
  <si>
    <t>Hutchinson, J; Timimi, S; McKay, N</t>
  </si>
  <si>
    <t>Hutchinson, Jo; Timimi, Sami; McKay, Neil</t>
  </si>
  <si>
    <t>Trends in SEN identification: contexts, causes and consequences</t>
  </si>
  <si>
    <t>JOURNAL OF RESEARCH IN SPECIAL EDUCATIONAL NEEDS</t>
  </si>
  <si>
    <t>This policy seminar addressed these current issues and questions: i. Are there shifts from an interactive to within-child model of identification? And if so, what are the factors that are contributing to this? ii. What are the changing relationships between parents, schools and LAs and their influence on identification practice? And iii. What kind of identification and assessment framework do we need for the future? The first speaker Jo Hutchinson, from the Education Policy Institute, presented on 'How fairly and effectively special educational needs and disabilities (SEND) are identified?' in which she summarised her interim findings about school attainment and inclusion questions. One of her key findings was that about four in ten children have some interaction with the SEND system over the course of their schooling. This is a lot more than the commonly held assumptions about SEN incidence (one in five or six). Further analysis indicated that factors that best predicted the identification of SEN Support in primary schools were measures of deprivation and prior attainment. There were moderate effects for absences, ethnicity, looked after child status and child in need status. Lesser but still significant factors were sex, months of birth, EAL status and school mobility. The communication language and literacy scale of the Early Years Foundation Stage Profile was the best predictor of being identified with SEND at the SEN Support level. Also, analysis showed that most of variation in SEN Support identification was predicted by school variations, indicating that individual effects were halved once school factors were taken into account. Analyses for secondary and SEN at the EHC Plan level were still be completed. Dr Sami Timimi, Consultant Child and Adolescent Psychiatrist, presented on 'the social construction of autism'. In his presentation, he deconstructs the 'common sense' understanding of autism to argue that it is a construct that lacks a coherent basis in science and can result in therapeutically unhelpful dynamics. In presenting a historical background to psychiatric diagnosis, he argues that there is no such thing as a psychiatric diagnosis of autism. Part of this argument is that concepts like ASD do not even work well as a descriptive classification as they operate as 'thin descriptions', overlooking what matters about individual people. He concluded his presentation by pointing out that an ASD diagnosis can be a ticket to services but also a reason to exclude from services and that it can disempower parents and teachers by accident. The third presenter Neil McKay, a consultant and trainer, presented on 'dyslexia - definitions and identification'. Though he started by acknowledging the problems with the IQ discrepancy diagnosis of dyslexia, he took a particular perspective on the 'dyslexia debate' based on his teaching and advisory practice. He questioned whether a dyslexia diagnosis unlocks provision at the expense of others, arguing that all children with a reading difficulty regardless of IQ should be encouraged to seek intervention. His central point was that Elliott and Grigorenko (who question dyslexia) rely on a narrow view of reading by concentrating on accuracy. This is the basis for the argument that, because dyslexic and non-dyslexic poor readers show almost identical patterns of difficulty, dyslexia does not exist. McKay's position is to focus on 'unexpected difficulties' by interpreting unexpected difficulties as being about comprehension, a position which derives from practitioners' experience of children with 'unexpectedly good' comprehension despite poor-reading accuracy. He advocates the Scottish HMIE concept of dyslexia as 'marked differences in certain areas, especially with regard to oral versus text-based skills'. From this stance, he concludes that high-quality teaching based on validated synthetic phonic approaches empowers most learners, regardless of label, to learn to read. But, it is the unexpected gap between reading accuracy and higher order comprehension and thinking skills that often typifies the dyslexic learner. In the group discussions, there were common themes about an increase in prevalence of several conditions, with some questions about whether this was due to getting better at diagnosing particular types of need and/or that only by a focus on a within-child model of identification would parents be taken seriously. Several groups believed that the role of parental expectations was central to this increased prevalence and the growing tensions between parents, schools and authorities. The kind of identification and assessment framework that was supported in several groups involved these features: multidisciplinary, collaborative, independent from budget holders, transparent, one aiming to build parental trust in the system and one that is values driven. There was some concern about whether there was proper scrutiny of environmental factors, and if not, whether this can lead to adopting a reduced within-child model and a sense of learned helplessness in schools. A graduated response was endorsed by some as an appropriate model for an identification framework.</t>
  </si>
  <si>
    <t>1471-3802</t>
  </si>
  <si>
    <t>J RES SPEC EDUC NEED</t>
  </si>
  <si>
    <t>J. Res. Spec. Educ. Needs</t>
  </si>
  <si>
    <t>10.1111/1471-3802.12496</t>
  </si>
  <si>
    <t>Education, Special</t>
  </si>
  <si>
    <t>QC8MN</t>
  </si>
  <si>
    <t>WOS:000615085600002</t>
  </si>
  <si>
    <t>environmental consultants; environmental regulation; regulatory intermediaries</t>
  </si>
  <si>
    <t>POLITICAL-ECONOMY; INTERMEDIARIES; LAW; PRIVATIZATION; EXPERTISE; POLICY</t>
  </si>
  <si>
    <t>[Owen, Dave] Univ Calif San Francisco, Hastings Coll Law, 200 McAllister St, San Francisco, CA 94102 USA</t>
  </si>
  <si>
    <t>Owen, D (corresponding author), Univ Calif San Francisco, Hastings Coll Law, 200 McAllister St, San Francisco, CA 94102 USA.</t>
  </si>
  <si>
    <t>owendave@uchastings.edu</t>
  </si>
  <si>
    <t>Owen, Dave/0000-0002-4767-2790</t>
  </si>
  <si>
    <t>PN0SC</t>
  </si>
  <si>
    <t>Building code; Amendment; Earthquake; New Zealand; Resilience; Benefits</t>
  </si>
  <si>
    <t>[Nwadike, Amarachukwu Nnadozie; Wilkinson, Suzanne] Massey Univ, Sch Built Environm, Auckland, New Zealand</t>
  </si>
  <si>
    <t>Nwadike, AN (corresponding author), Massey Univ, Sch Built Environm, Auckland, New Zealand.</t>
  </si>
  <si>
    <t>a.nwadike@massey.ac.nz; s.wilkinson@masey.qc.nz</t>
  </si>
  <si>
    <t>Ministry of Business, Innovation and Employment (MBIE), New Zealand</t>
  </si>
  <si>
    <t>Ministry of Business, Innovation and Employment (MBIE), New Zealand(New Zealand Ministry of Business, Innovation and Employment (MBIE))</t>
  </si>
  <si>
    <t>This study was (partially) supported by Ministry of Business, Innovation and Employment (MBIE), New Zealand. Data availability statement: Some or all data, models or code that support the findings of this study are available from the corresponding author upon reasonable request.</t>
  </si>
  <si>
    <t>YV5EP</t>
  </si>
  <si>
    <t>Zermeno, MGG; de la Garza, LYA</t>
  </si>
  <si>
    <t>Gomez Zermeno, Marcela Georgina; Aleman de la Garza, Lorena Yadira</t>
  </si>
  <si>
    <t>Open laboratories for social innovation: A strategy for research and innovation in education for peace and sustainable developmentSustainable development is an issue of high relevance for all countries, and universities play a fundamental role in promotin</t>
  </si>
  <si>
    <t>INTERNATIONAL JOURNAL OF SUSTAINABILITY IN HIGHER EDUCATION</t>
  </si>
  <si>
    <t>Higher education; Sustainable development; Social innovation; Laboratories; Educational innovation; Education for peace</t>
  </si>
  <si>
    <t>Purpose Sustainable development is an issue of high relevance for all countries and universities play a fundamental role in promoting the participation of society members in achieving this objective. This study aims to conduct an open laboratory of social innovation (OPENLAB_SI) inside a university with society stakeholders, as a research and innovation tool that facilitates addressing the complexity of social problems through the principles of openness, experimentation, inclusion, diversity, participation and collaboration. The aim was to encompass innovation with the active participation of citizens in processes of experimentation, exchange and creativity to impact their social reality through collective designs for more sustainable futures done by and for communities. Design/methodology/approach This paper presents a case study conducted during an OPENLAB_SI, which applied innovative, socio-educational strategies intending to promote the social appropriation of renewable energies to help the sustainable development of urban, rural and marginalized areas. In our open lab, a total of 67 participants attended, including university students from various public and private institutions of higher education. Also, civil organizations participated, as well as consultants, teachers, government representatives and university professors. Experts from various disciplines who work in businesses, foundations, universities and government spoke on the topics that were addressed. Findings Among the notable principal findings is the collaborative work done voluntarily by all the participants who, instead of working with a proposal designed beforehand by one group or another, recognized that an OPENLAB_SI leads to the creation of links between society, academia, business and government. Originality/value In the OPENLAB_SI through the exchange of experiences and best practices, aimed at more robust networking and improvement in the acquisition of scientific and technological skills and abilities, the participants became actively involved in the generation of collective knowledge. The main contribution of this paper is to present an open laboratory into the social innovation space that can be replicated such a living lab model in other contexts to contribute to pursuit the sustainable development goals with education for sustainable development as a key catalyst for transformation.</t>
  </si>
  <si>
    <t>[Gomez Zermeno, Marcela Georgina] Tecnol Monterrey, Sch Humanities &amp; Educ, Educ, Monterrey, Nuevo Leon, Mexico; [Aleman de la Garza, Lorena Yadira] Tecnol Monterrey, Sch Humanities &amp; Educ, Continuing Educ Dept, Monterrey, Nuevo Leon, Mexico</t>
  </si>
  <si>
    <t>Zermeno, MGG (corresponding author), Tecnol Monterrey, Sch Humanities &amp; Educ, Educ, Monterrey, Nuevo Leon, Mexico.</t>
  </si>
  <si>
    <t>marcela.gomez@tec.mx; lorena.aleman@tec.mx</t>
  </si>
  <si>
    <t>Zermeño, Marcela Georgina Gomez/F-7262-2019</t>
  </si>
  <si>
    <t>Zermeño, Marcela Georgina Gomez/0000-0002-5427-2891</t>
  </si>
  <si>
    <t>National Council for Science and Technology (CONACyT); Writing Lab of the Tecnologico de Monterrey</t>
  </si>
  <si>
    <t>National Council for Science and Technology (CONACyT)(Consejo Nacional de Ciencia y Tecnologia (CONACyT)); Writing Lab of the Tecnologico de Monterrey</t>
  </si>
  <si>
    <t>The authors would like to acknowledge the financial funding of the National Council for Science and Technology (CONACyT) and the support of the Writing Lab of the Tecnologico de Monterrey during this educational research project.</t>
  </si>
  <si>
    <t>1467-6370</t>
  </si>
  <si>
    <t>1758-6739</t>
  </si>
  <si>
    <t>INT J SUST HIGHER ED</t>
  </si>
  <si>
    <t>Int. J. Sustain. High. Educ.</t>
  </si>
  <si>
    <t>JAN 25</t>
  </si>
  <si>
    <t>10.1108/IJSHE-05-2020-0186</t>
  </si>
  <si>
    <t>Green &amp; Sustainable Science &amp; Technology; Education &amp; Educational Research</t>
  </si>
  <si>
    <t>Science &amp; Technology - Other Topics; Education &amp; Educational Research</t>
  </si>
  <si>
    <t>PZ7RR</t>
  </si>
  <si>
    <t>WOS:000600952100001</t>
  </si>
  <si>
    <t>[Mukherjee, Parameswari] Univ S Florida, Dept Commun, 4202 E Fowler Ave,CIS 3070, Tampa, FL 33620 USA; [Sastry, Shaunak] Univ Cincinnati, Dept Commun, Cincinnati, OH USA</t>
  </si>
  <si>
    <t>Mukherjee, P (corresponding author), Univ S Florida, Dept Commun, 4202 E Fowler Ave,CIS 3070, Tampa, FL 33620 USA.</t>
  </si>
  <si>
    <t>parameswari@usf.edu</t>
  </si>
  <si>
    <t>/0000-0003-1280-4228</t>
  </si>
  <si>
    <t>HEALTH COMMUN</t>
  </si>
  <si>
    <t>Health Commun.</t>
  </si>
  <si>
    <t>MAY 12</t>
  </si>
  <si>
    <t>Communication; Health Policy &amp; Services</t>
  </si>
  <si>
    <t>Communication; Health Care Sciences &amp; Services</t>
  </si>
  <si>
    <t>0I1BD</t>
  </si>
  <si>
    <t>LaDonna, KA; Watling, CJ; Cristancho, SM; Burm, S</t>
  </si>
  <si>
    <t>LaDonna, Kori A.; Watling, Christopher J.; Cristancho, Sayra M.; Burm, Sarah</t>
  </si>
  <si>
    <t>Exploring patients' and physicians' perspectives about competent health advocacy</t>
  </si>
  <si>
    <t>MEDICAL EDUCATION</t>
  </si>
  <si>
    <t>PERCEPTIONS; INVOLVEMENT; COMMUNITY; EDUCATION; STUDENTS</t>
  </si>
  <si>
    <t>Introduction Many residency programmes struggle to demonstrate how they prepare trainees to become competent health advocates. To meaningfully teach and assess it, we first need to understand what 'competent' health advocacy (HA) is and what competently enacting it requires. Attempts at clarifying HA have largely centred around the perspectives of consultant physicians and trainees. Without patients' perspectives, we risk training learners to advocate in ways that may be misaligned with patients' needs and goals. Therefore, the purpose of our research was to generate a multi-perspective understanding about the meaning of competence for the HA role. Methods We used constructivist grounded theory to explore patients' and physicians' perspectives about competent health advocacy. Data were collected using photo elicitation; patients (n = 10) and physicians (n = 14) took photographs depicting health advocacy that were used to inform semi-structured interviews. Themes were identified using constant comparative analysis. Results Physician participants associated HA with disruption or political activism, suggesting that competence hinged on medical and systems expertise, a conducive learning environment, and personal and professional characteristics including experience, status and political savvy. Patient participants, however, equated physician advocacy with patient centredness, perceiving that competent HAs are empathetic and attentive listeners. In contrast to patients, few physicians identified as advocates, raising questions about their ability to train or to thoughtfully assess learners' abilities. Conclusion Few participants perceived HA as a fundamental physician role-at least not as it is currently defined in curricular frameworks. Misperceptions that HA is primarily disruptive may be the root cause of the HA problem; solving it may rely on focusing training on bolstering skills like empathy and listening not typically associated with the HA role. Since there may be no competency where the patient voice is more critical, we need to explore opportunities for patients to facilitate learning for the HA role.</t>
  </si>
  <si>
    <t>[LaDonna, Kori A.] Univ Ottawa, Dept Innovat Med Educ, 850 Peter Morand Crescent, Ottawa, ON K1G 5Z3, Canada; [LaDonna, Kori A.] Univ Ottawa, Dept Med, 850 Peter Morand Crescent, Ottawa, ON K1G 5Z3, Canada; [Watling, Christopher J.; Cristancho, Sayra M.] Western Univ, Schulich Sch Med &amp; Dent, Ctr Educ Res Innovat, London, ON, Canada; [Watling, Christopher J.] Western Univ, Schulich Sch Med &amp; Dent, Dept Oncol, London, ON, Canada; [Cristancho, Sayra M.] Western Univ, Schulich Sch Med &amp; Dent, Dept Surg, London, ON, Canada; [Burm, Sarah] Dalhousie Univ, Div Med Educ, Halifax, NS, Canada</t>
  </si>
  <si>
    <t>LaDonna, KA (corresponding author), Univ Ottawa, Dept Innovat Med Educ, 850 Peter Morand Crescent, Ottawa, ON K1G 5Z3, Canada.;LaDonna, KA (corresponding author), Univ Ottawa, Dept Med, 850 Peter Morand Crescent, Ottawa, ON K1G 5Z3, Canada.</t>
  </si>
  <si>
    <t>kladonna@uottawa.ca</t>
  </si>
  <si>
    <t>Burm, Sarah/0000-0002-0767-2278; Cristancho, Sayra M/0000-0002-8738-2130</t>
  </si>
  <si>
    <t>Royal College of Physicians and Surgeons of Canada</t>
  </si>
  <si>
    <t>0308-0110</t>
  </si>
  <si>
    <t>1365-2923</t>
  </si>
  <si>
    <t>MED EDUC</t>
  </si>
  <si>
    <t>Med. Educ.</t>
  </si>
  <si>
    <t>10.1111/medu.14408</t>
  </si>
  <si>
    <t>Education, Scientific Disciplines; Health Care Sciences &amp; Services</t>
  </si>
  <si>
    <t>Education &amp; Educational Research; Health Care Sciences &amp; Services</t>
  </si>
  <si>
    <t>QW9VM</t>
  </si>
  <si>
    <t>WOS:000596627800001</t>
  </si>
  <si>
    <t>Sadeghi-Bazargani, H; Amir-Behghadami, M; Gholizadeh, M; Janati, A; Rahmani, F</t>
  </si>
  <si>
    <t>Sadeghi-Bazargani, Homayoun; Amir-Behghadami, Mehrdad; Gholizadeh, Masoumeh; Janati, Ali; Rahmani, Farzad</t>
  </si>
  <si>
    <t>Preparedness of non-hospital health centers to manage patients with life-threatening emergency conditions: findings from a qualitative study</t>
  </si>
  <si>
    <t>Non-hospital health centers; Preparedness; Life-threatening emergency; Qualitative study</t>
  </si>
  <si>
    <t>CARE</t>
  </si>
  <si>
    <t>Background Management of Life-threatening Emergency (LTE) patients in urban and rural areas is an important challenge, which can affect pre-hospital mortality rate. Therefore, Non-hospital Health Center (NHHC) must be prepared to manage such emergency cases that may occur in the geographic area where these centers act. The aim of this study was to explore domains related to the preparedness of NHHCs to manage LTE patients through resorting to healthcare providers' and experts' perspectives. Methods A qualitative exploratory study was applied using Semi-Structured Interviews (SSIs) and Focus Group Discussions (FGDs). Prior to beginning data collection, the study and its objectives were explained to the participants and their informed consents were obtained. Then, SSIs and FGDs were conducted by two trained researchers using an interview guide, which was developed through literature review and consulting experts. In total, 12 SSIs were done with the providers at different NHHCs in Tabriz. In addition, 2 FGDs were conducted with the specialists in Emergency Medicine (EM) and Primary Health Care (PHC), and the executives of health centers, with over 5 years of work experience, and Emergency Medical Services (EMS) experts. Purposive sampling method was used in this study. All SSIs and FGDs were audio recorded and subsequently transcribed. Framework Analysis was employed to manually analyze the interview transcripts from all the SSIs and FGDs. Results The interview transcripts analysis resulted in the emergence of 3 themes and 11 sub-themes, categorized according to Donabedian's triple model. 5 sub-themes were related to input, including medical equipment and supplies, environmental infrastructures of the centers, emergency medicines, human resource, and protocols, guidelines and policies. 4 sub-themes were related to process, including providing clinical services, medicine storage capacity, maintenance of equipment, and management process. Finally, 2 sub-themes were related to outcome, which were patients' satisfaction with the quality of care and improved survival of LTE patients. Conclusions The results of this study can provide a new perspective for health managers and policy makers on how to evaluate the preparedness of NHHCs in managing LTE patients. In addition, it will be used to develop instruments to measure the preparedness of these centers.</t>
  </si>
  <si>
    <t>[Sadeghi-Bazargani, Homayoun; Amir-Behghadami, Mehrdad; Gholizadeh, Masoumeh; Janati, Ali] Tabriz Univ Med Sci, Student Res Comm SRC, Tabriz, Iran; [Sadeghi-Bazargani, Homayoun] Tabriz Univ Med Sci, Rd Traff Injury Res Ctr, Tabriz, Iran; [Amir-Behghadami, Mehrdad] Tabriz Univ Med Sci, Hlth Management &amp; Safety Promot Res Inst, Tabriz Hlth Serv Management Res Ctr, Tabriz, Iran; [Amir-Behghadami, Mehrdad; Gholizadeh, Masoumeh; Janati, Ali] Tabriz Univ Med Sci, Sch Management &amp; Med Informat, Dept Hlth Serv Management, Iranian Ctr Excellence Hlth Management, Tabriz, Iran; [Rahmani, Farzad] Tabriz Univ Med Sci, Sina Med Res &amp; Training Hosp, Emergency Med Dept, Tabriz, Iran</t>
  </si>
  <si>
    <t>Amir-Behghadami, M (corresponding author), Tabriz Univ Med Sci, Student Res Comm SRC, Tabriz, Iran.;Amir-Behghadami, M (corresponding author), Tabriz Univ Med Sci, Hlth Management &amp; Safety Promot Res Inst, Tabriz Hlth Serv Management Res Ctr, Tabriz, Iran.</t>
  </si>
  <si>
    <t>Behghadami.m@gmail.com</t>
  </si>
  <si>
    <t>Rahmani, Farzad/AAX-6928-2020</t>
  </si>
  <si>
    <t>Rahmani, Farzad/0000-0001-5582-9156; Amir-Behghadami, Mehrdad/0000-0001-6723-6438</t>
  </si>
  <si>
    <t>Tabriz University of Medical Sciences, Tabriz, Iran [59656]</t>
  </si>
  <si>
    <t>Tabriz University of Medical Sciences, Tabriz, Iran</t>
  </si>
  <si>
    <t>This study is a part of Mehrdad Amir-Behghadami's MSc dissertation which was financially supported by Tabriz University of Medical Sciences, Tabriz, Iran. (Grant number: 59656). The funding body had no role in making the decision to design of the study; collection, analysis, and interpretation of data; nor writing the manuscript. The funder only provided funding for conducting the study.</t>
  </si>
  <si>
    <t>DEC 7</t>
  </si>
  <si>
    <t>10.1186/s12913-020-05981-1</t>
  </si>
  <si>
    <t>PE0BR</t>
  </si>
  <si>
    <t>WOS:000598039300003</t>
  </si>
  <si>
    <t>Project management; Decision-making; Construction; Fuzzy Delphi method; Multi-criteria decision-making; Delay factors; Best-worst method; Construction projects</t>
  </si>
  <si>
    <t>[Kazemi, Aliyeh] Univ Tehran, Fac Management, Dept Ind Management, Tehran, Iran; [Kim, Eun-Seok] Queen Mary Univ London, Sch Business &amp; Management, Dept Business Analyt &amp; Appl Econ, London, England; [Kazemi, Mohammad-Hossein] Kharazmi Univ, Fac Engn, Dept Civil Engn, Tehran, Iran</t>
  </si>
  <si>
    <t>Kazemi, A (corresponding author), Univ Tehran, Fac Management, Dept Ind Management, Tehran, Iran.</t>
  </si>
  <si>
    <t>aliyehkazemi@ut.ac.ir; e.kim@qmul.ac.uk; std_mh.kazemi@khu.ac.ir</t>
  </si>
  <si>
    <t>National Iranian Oil Engineering and Construction Company (NIOEC)</t>
  </si>
  <si>
    <t>This research was supported by the National Iranian Oil Engineering and Construction Company (NIOEC).</t>
  </si>
  <si>
    <t>INT J ENERGY SECT MA</t>
  </si>
  <si>
    <t>Int. J. Energy Sect. Manag.</t>
  </si>
  <si>
    <t>ZW4GB</t>
  </si>
  <si>
    <t>Bangladesh; Blockchain technology adoption; Hybrid model based on TAM and SDT; Taxing system; Transparency and effectiveness</t>
  </si>
  <si>
    <t>SELF-DETERMINATION THEORY; MOBILE COMMERCE ADOPTION; USER ACCEPTANCE; INFORMATION-TECHNOLOGY; PERCEIVED EASE; PLS-SEM; BANKING; MODEL; DETERMINANTS; SATISFACTION</t>
  </si>
  <si>
    <t>[Kabir, Mohammad Rokibul] East Delta Univ, Sch Business Adm, Chittagong, Bangladesh; [Kabir, Mohammad Rokibul] Univ Malaysia Perlis, Sch Business Innovat &amp; Technopreneurship, Pau, Perlis, Malaysia</t>
  </si>
  <si>
    <t>Kabir, MR (corresponding author), East Delta Univ, Sch Business Adm, Chittagong, Bangladesh.;Kabir, MR (corresponding author), Univ Malaysia Perlis, Sch Business Innovat &amp; Technopreneurship, Pau, Perlis, Malaysia.</t>
  </si>
  <si>
    <t>rokibul.k@eastdelta.edu.bd</t>
  </si>
  <si>
    <t>J GLOB OPER STRATEG</t>
  </si>
  <si>
    <t>J. Glob. Oper. Strateg. Sourc.</t>
  </si>
  <si>
    <t>MAR 23</t>
  </si>
  <si>
    <t>RA6XE</t>
  </si>
  <si>
    <t>design; environmental practices; chemicals; engagement; intervention; politics; power; governance</t>
  </si>
  <si>
    <t>RISK; TECHNOLOGIES; INFORMATION; RELEVANT; PEOPLE</t>
  </si>
  <si>
    <t>[Kokai, Akos; Iles, Alastair] Univ Calif Berkeley, Dept Environm Sci Policy &amp; Management, Berkeley, CA 94720 USA; [Rosen, Christine Meisner] Univ Calif Berkeley, Haas Sch Business, Berkeley, CA 94720 USA</t>
  </si>
  <si>
    <t>Kokai, A (corresponding author), Univ Calif Berkeley, Dept Environm Sci Policy &amp; Management, Berkeley, CA 94720 USA.</t>
  </si>
  <si>
    <t>akokai@berkeley.edu</t>
  </si>
  <si>
    <t>Kokai, Akos/0000-0002-0335-7780</t>
  </si>
  <si>
    <t>National Science Foundation [1135364]; National Science Foundation IGERT Fellowship at the Berkeley Center for Green Chemistry</t>
  </si>
  <si>
    <t>National Science Foundation(National Science Foundation (NSF)); National Science Foundation IGERT Fellowship at the Berkeley Center for Green Chemistry</t>
  </si>
  <si>
    <t>The author(s) disclosed receipt of the following financial support for the research, authorship, and/or publication of this article: This material is based upon work supported by the National Science Foundation under Grant Number 1135364. In addition, AK was supported by a National Science Foundation IGERT Fellowship at the Berkeley Center for Green Chemistry. Any opinions, findings, and conclusions or recommendations expressed in this material are those of the authors and do not necessarily reflect the views of the National Science Foundation.</t>
  </si>
  <si>
    <t>SCI TECHNOL HUM VAL</t>
  </si>
  <si>
    <t>Sci. Technol. Hum. Values</t>
  </si>
  <si>
    <t>UU7JZ</t>
  </si>
  <si>
    <t>Boyapati, R; Glen, P; Garg, M</t>
  </si>
  <si>
    <t>Boyapati, R.; Glen, P.; Garg, M.</t>
  </si>
  <si>
    <t>We need to drive change for the future and support junior trainees whilst maintaining the highest training standards</t>
  </si>
  <si>
    <t>Oral &amp; Maxillofacial surgery; OMFS</t>
  </si>
  <si>
    <t>The oral and maxillofacial surgery (OMFS) community in the UK has always felt distinguished to be the only surgical specialty requiring dual qualification. There is no doubt that OMFS recruitment in the UK is in crisis, and we believe that the time has arrived to review the long training pathway. Policy-makers should think of alternative options to make the training programme more sustainable whilst maintaining the highest standards. The problem is serious, and the onus is on all consultants and higher surgical trainees. An urgent multi-pronged, structured approach is required to improve recruitment. It is important to find ways to reduce the training time whilst supporting trainees through their second degree. Consultants and higher surgical trainees need to come forward to participate in the BAOMS working group to create regional career mentors and part-time career development posts for potential trainees. We need to drive change for the future and support junior trainees whilst maintaining the highest training standards. (c) 2020 The British Association of Oral and Maxillofacial Surgeons. Published by Elsevier Ltd. All rights reserved.</t>
  </si>
  <si>
    <t>[Boyapati, R.; Glen, P.; Garg, M.] BAOMS, London, England</t>
  </si>
  <si>
    <t>Boyapati, R (corresponding author), BAOMS, London, England.</t>
  </si>
  <si>
    <t>raghusurgdent@doctors.org.uk</t>
  </si>
  <si>
    <t>Boyapati, Raghuram/0000-0001-8282-2742</t>
  </si>
  <si>
    <t>10.1016/j.bjoms.2020.08.022</t>
  </si>
  <si>
    <t>QC9JM</t>
  </si>
  <si>
    <t>WOS:000615146800034</t>
  </si>
  <si>
    <t>co-management; network governance; small-scale fishing; territorial use rights for fishing; management and exploitation areas for benthic resources</t>
  </si>
  <si>
    <t>LEGAL PLURALISM; ADAPTIVE COMANAGEMENT; FOREST COMANAGEMENT; STRUCTURAL-ANALYSIS; NATURAL-RESOURCES; BENTHIC RESOURCES; MARINE MANAGEMENT; COASTAL FISHERIES; LATERAL CONTROL; TURF SYSTEM</t>
  </si>
  <si>
    <t>[Albornoz, Cristian; Glueckler, Johannes] Heidelberg Univ, Inst Geog, Econ Geog Grp, D-69120 Heidelberg, Germany</t>
  </si>
  <si>
    <t>Albornoz, C (corresponding author), Heidelberg Univ, Inst Geog, Econ Geog Grp, D-69120 Heidelberg, Germany.</t>
  </si>
  <si>
    <t>albornoz@uni-heidelberg.de; glueckler@uni-heidelberg.de</t>
  </si>
  <si>
    <t>Albornoz, Cristian/AAI-6850-2021; Glückler, Johannes/K-3807-2018</t>
  </si>
  <si>
    <t>Albornoz, Cristian/0000-0002-5476-2508; Glückler, Johannes/0000-0002-2507-1556</t>
  </si>
  <si>
    <t>German Academic Exchange Service (DAAD) [91609001]; Kurt-Hiehle Foundation</t>
  </si>
  <si>
    <t>German Academic Exchange Service (DAAD)(Deutscher Akademischer Austausch Dienst (DAAD)); Kurt-Hiehle Foundation</t>
  </si>
  <si>
    <t>This research was funded by the German Academic Exchange Service (DAAD), grant number 91609001 and the Kurt-Hiehle Foundation</t>
  </si>
  <si>
    <t>Environments</t>
  </si>
  <si>
    <t>PK8XY</t>
  </si>
  <si>
    <t>public administration; volunteerism; sustainable partnership; development</t>
  </si>
  <si>
    <t>CIVIL-SOCIETY; STATE; COPRODUCTION; RELIGIOSITY; EXPENDITURE; SERVICES; GAP</t>
  </si>
  <si>
    <t>[Pevnaya, Maria V.; Drozdova, Anna A.] Ural Fed Univ, Inst Publ Adm &amp; Entrepreneurship, Ekaterinburg 620002, Russia; [Cernicova-Buca, Mariana] Politehn Univ Timisoara, Dept Commun &amp; Foreign Languages, Timisoara 300006, Romania</t>
  </si>
  <si>
    <t>Pevnaya, MV (corresponding author), Ural Fed Univ, Inst Publ Adm &amp; Entrepreneurship, Ekaterinburg 620002, Russia.;Cernicova-Buca, M (corresponding author), Politehn Univ Timisoara, Dept Commun &amp; Foreign Languages, Timisoara 300006, Romania.</t>
  </si>
  <si>
    <t>m.v.pevnaya@urfu.ru; usovet_info@mail.ru; mariana.cernicova@upt.ro</t>
  </si>
  <si>
    <t>Cernicova-Buca, Mariana/AAY-1685-2020; Cernicova-Buca, Mariana M./N-6787-2014; Drozdova, Anna A/L-4435-2016; Pevnaya, Maria/AAA-6886-2019</t>
  </si>
  <si>
    <t>Cernicova-Buca, Mariana/0000-0002-5736-9576; Cernicova-Buca, Mariana M./0000-0002-5736-9576; Drozdova, Anna A/0000-0002-1599-8446; Pevnaya, Maria/0000-0003-3591-1181</t>
  </si>
  <si>
    <t>RFBR [20-011-00471]; Act 211 Government of the Russian Federation [02, A03.21.0006]</t>
  </si>
  <si>
    <t>RFBR(Russian Foundation for Basic Research (RFBR)); Act 211 Government of the Russian Federation</t>
  </si>
  <si>
    <t>The reported study was funded by RFBR, project number 20-011-00471.The research was supported by Act 211 Government of the Russian Federation, contract No 02.A03.21.0006.</t>
  </si>
  <si>
    <t>PL5PM</t>
  </si>
  <si>
    <t>environmental; social; and governance (ESG) indicators; ESG rating agencies; goal setting; organizational performance; sustainable development</t>
  </si>
  <si>
    <t>CORPORATE SOCIAL-RESPONSIBILITY; SELF-DETERMINATION THEORY; DECISION-MAKING; SUSTAINABILITY; CSR; DISCLOSURE; ETHICS; DIVERSITY; IMPACT; ACCOUNTABILITY</t>
  </si>
  <si>
    <t>[Veenstra, Esmee M.; Ellemers, Naomi] Univ Utrecht, Dept Social Hlth &amp; Org Psychol, POB 80140, NL-3508 TC Utrecht, Netherlands</t>
  </si>
  <si>
    <t>Veenstra, EM (corresponding author), Univ Utrecht, Dept Social Hlth &amp; Org Psychol, POB 80140, NL-3508 TC Utrecht, Netherlands.</t>
  </si>
  <si>
    <t>e.m.veenstra@uu.nl; N.Ellemers@uu.nl</t>
  </si>
  <si>
    <t>Ellemers, Naomi/0000-0001-9810-1165; Veenstra, Esmee/0000-0003-3871-8213</t>
  </si>
  <si>
    <t>research program Sustainable Cooperation-Roadmaps to Resilient Societies (SCOOP); Netherlands Organization for Scientific Research (NWO); Dutch Ministry of Education, Culture, and Science (OCW) [024.003.025]</t>
  </si>
  <si>
    <t>research program Sustainable Cooperation-Roadmaps to Resilient Societies (SCOOP); Netherlands Organization for Scientific Research (NWO)(Netherlands Organization for Scientific Research (NWO)); Dutch Ministry of Education, Culture, and Science (OCW)</t>
  </si>
  <si>
    <t>This study is part of the research program Sustainable Cooperation-Roadmaps to Resilient Societies (SCOOP). The authors are grateful to the Netherlands Organization for Scientific Research (NWO) and the Dutch Ministry of Education, Culture, and Science (OCW) for generously funding this research in the context of its 2017 Gravitation Program (grant number 024.003.025).</t>
  </si>
  <si>
    <t>PL7HD</t>
  </si>
  <si>
    <t>4IR; 4IR leadership; Construction; Effective leadership; South Africa</t>
  </si>
  <si>
    <t>EMOTIONAL INTELLIGENCE; TRAITS; STYLES; PERSONALITY</t>
  </si>
  <si>
    <t>[Alade, Kehinde; Windapo, Abimbola Olukemi] Univ Cape Town, Construct Econ &amp; Management, Cape Town, South Africa; [Alade, Kehinde] Fed Univ Technol Akure, Akure, Nigeria</t>
  </si>
  <si>
    <t>Alade, K (corresponding author), Univ Cape Town, Construct Econ &amp; Management, Cape Town, South Africa.;Alade, K (corresponding author), Fed Univ Technol Akure, Akure, Nigeria.</t>
  </si>
  <si>
    <t>aladekenny01@gmail.com; abimbola.windapo@uct.ac.za</t>
  </si>
  <si>
    <t>Windapo, Abimbola/I-6159-2019</t>
  </si>
  <si>
    <t>Windapo, Abimbola/0000-0002-3162-6546; Alade, Kehinde/0000-0002-1644-2714</t>
  </si>
  <si>
    <t>NRF [120843]; TETFUND; UCT WUN-ARUA</t>
  </si>
  <si>
    <t>NRF; TETFUND; UCT WUN-ARUA</t>
  </si>
  <si>
    <t>Authors would like to thank the construction industry development board (cidb) for allowing access to their database for the study. Further, this work was supported by NRF (Grant Number-120843), TETFUND and UCT WUN-ARUA. Opinions expressed and conclusions arrived at, are those of the authors and are not necessarily to be attributed to the NRF, TETFUND or UCT WUN-ARUA.</t>
  </si>
  <si>
    <t>SU2HH</t>
  </si>
  <si>
    <t>Authority; epistemic governance; international organizations; OECD; scientization</t>
  </si>
  <si>
    <t>CONSULTANTS; DIFFUSION; EXPANSION; EDUCATION; POLITICS; PISA</t>
  </si>
  <si>
    <t>[Rautalin, Marjaana; Syvatera, Jukka; Vento, Eetu] Tampere Univ, Fac Social Sci, FI-33014 Tampere, Finland</t>
  </si>
  <si>
    <t>Rautalin, M (corresponding author), Tampere Univ, Fac Social Sci, FI-33014 Tampere, Finland.</t>
  </si>
  <si>
    <t>marjaana.rautalin@tuni.fi</t>
  </si>
  <si>
    <t>Syvatera, Jukka/0000-0001-5387-667X; Rautalin, Marjaana/0000-0002-9037-2793</t>
  </si>
  <si>
    <t>Academy of Finland [276076, 307755]</t>
  </si>
  <si>
    <t>Academy of Finland(Academy of Finland)</t>
  </si>
  <si>
    <t>The authors received financial support from the Academy of Finland (decision numbers 276076 and 307755).</t>
  </si>
  <si>
    <t>INT SOCIOL</t>
  </si>
  <si>
    <t>Int. Sociol.</t>
  </si>
  <si>
    <t>PG7JT</t>
  </si>
  <si>
    <t>South Africa; Life cycle assessment; Water footprint; Carbon footprint; Sustainability</t>
  </si>
  <si>
    <t>ENVIRONMENTAL ASSESSMENT; VALUE CHAIN; ENERGY; MINE; AVAILABILITY; IMPACTS; SUSTAINABILITY; PRODUCTIVITIES; MANAGEMENT; FRAMEWORK</t>
  </si>
  <si>
    <t>[Harding, Kevin G.; Goga, Taahira] Univ Witwatersrand, Ind &amp; Min Water Res Unit, Sch Chem &amp; Met Engn, Johannesburg, South Africa; [Friedrich, Elena] Univ KwaZulu Natal, Civil Engn Programme, Durban, South Africa; [Jordaan, Henry] Univ Free State, Dept Agr Econ, Bloemfontein, South Africa; [le Roux, Betsie; van der Laan, Michael] Univ Pretoria, Dept Plant &amp; Soil Sci, Pretoria, South Africa; [Notten, Philippa] Green House, Cape Town, South Africa; [Russo, Valentina] Univ Cape Town, Dept Chem Engn, Environm &amp; Proc Engn Res Grp, Cape Town, South Africa; [Suppen-Reynaga, Nydia] Ctr LCA &amp; Sustainable Design, Mexico City, DF, Mexico</t>
  </si>
  <si>
    <t>Harding, KG (corresponding author), Univ Witwatersrand, Ind &amp; Min Water Res Unit, Sch Chem &amp; Met Engn, Johannesburg, South Africa.</t>
  </si>
  <si>
    <t>kevin.harding@wits.ac.za; friedriche@ukzn.ac.za; jordaanh@ufs.ac.za; pippa@tgh.co.za; valentina.russo78@icloud.com; nsuppen@centroacv.mx; Michael.vanderlaan@up.ac.za</t>
  </si>
  <si>
    <t>Harding, Kevin/G-2724-2010; Russo, Valentina/AAT-7464-2021</t>
  </si>
  <si>
    <t>Harding, Kevin/0000-0003-2708-4323; Russo, Valentina/0000-0001-8691-4193; Friedrich, Elena/0000-0003-3190-2413; Notten, Philippa/0000-0003-1023-3054; Goga, Taahira/0000-0002-4990-6669; van der Laan, Michael/0000-0001-8656-623X</t>
  </si>
  <si>
    <t>INT J LIFE CYCLE ASS</t>
  </si>
  <si>
    <t>Int. J. Life Cycle Assess.</t>
  </si>
  <si>
    <t>QA4RF</t>
  </si>
  <si>
    <t>Jongen, C; Campbell, S; McCalman, J; Fagan, R; Pearson, K; Andrews, S</t>
  </si>
  <si>
    <t>Jongen, Crystal; Campbell, Sandra; McCalman, Janya; Fagan, Ruth; Pearson, Kingsley; Andrews, Suzanne</t>
  </si>
  <si>
    <t>Transitioning to Aboriginal community control of primary health care: the process and strategies of one community-controlled health organisation in Queensland</t>
  </si>
  <si>
    <t>BMC FAMILY PRACTICE</t>
  </si>
  <si>
    <t>Aboriginal community control; Transition to community control; Primary health care; Self-determination; Health equity; Social and cultural determinants of health</t>
  </si>
  <si>
    <t>Background Aboriginal Community Controlled Health Services (ACCHSs) play a critical role in providing culturally appropriate, accessible primary healthcare (PHC) for Aboriginal and Torres Strait Islander peoples in Australia. The success of many ACCHSs has led to increased policy support for their growth and development, including the transition of state government administered PHC services to Aboriginal community control in select communities. However, there is minimal published literature available which evaluates such transitions. This paper reports on an evaluation of one ACCHS (Gurriny Yealamucka Health Service)'s experience of transitioning local PHC services to community control in Yarrabah, Queensland, with a focus on the processes and strategies which were implemented to achieve successful transition. Methods Data was collected from interviews with key personnel involved in the transition and organisational documents from the evaluation period. Face-to-face or telephone interviews were conducted with 14 key stakeholders, audio-recorded and transcribed with written consent. Historical organisational documents were provided by Gurriny. All interview transcripts and documents were imported into NVIVO, coded and analysed using grounded theory methods. Results Gurriny's journey of achieving community control of PHC in Yarrabah entailed an almost 30 year process of building and demonstrating organisational capacity. The first stage (1986 to 2004) was focused on establishing and developing a community-controlled health service and the second stage (2005-14) on preparing for the transition. Formal handover occurred in June 2014. Stage one strategies included: addressing community social and emotional wellbeing; consulting the community; collaborating with researchers; and, strategically building services, organisation capacity and stakeholder trust. Stage two strategies were: communicating and engaging with stakeholders; ensuring strong governance; planning and developing the services and workforce; assuring quality; and, financial planning, management and modelling. Conclusion Achieving successful transition to community control of PHC for Gurriny entailed a lengthy process of substantial, ongoing organisational growth and development. Gurriny's experience provides a framework for both governments and the ACCHS sector to inform future transitions of PHC services to Aboriginal community control.</t>
  </si>
  <si>
    <t>[Jongen, Crystal; Campbell, Sandra; McCalman, Janya] Cent Queensland Univ, Sch Hlth Med &amp; Appl Sci, Cairns, Australia; [Jongen, Crystal; Campbell, Sandra; McCalman, Janya] Cent Queensland Univ, Ctr Indigenous Hlth Equ Res CIHER, Cairns, Australia; [Fagan, Ruth; Pearson, Kingsley; Andrews, Suzanne] Gurriny Yealamucka Hlth Serv Aboriginal Corp, Yarrabah, Australia</t>
  </si>
  <si>
    <t>McCalman, J (corresponding author), Cent Queensland Univ, Sch Hlth Med &amp; Appl Sci, Cairns, Australia.;McCalman, J (corresponding author), Cent Queensland Univ, Ctr Indigenous Hlth Equ Res CIHER, Cairns, Australia.</t>
  </si>
  <si>
    <t>j.mccalman@cqu.edu.au</t>
  </si>
  <si>
    <t>McCalman, Janya/0000-0002-3022-3980</t>
  </si>
  <si>
    <t>Queensland Health</t>
  </si>
  <si>
    <t>The evaluation of transition to community control in Yarrabah was funded by Queensland Health. No funding grant number is available.</t>
  </si>
  <si>
    <t>1471-2296</t>
  </si>
  <si>
    <t>BMC FAM PRACT</t>
  </si>
  <si>
    <t>BMC Fam. Pract.</t>
  </si>
  <si>
    <t>10.1186/s12875-020-01300-z</t>
  </si>
  <si>
    <t>Primary Health Care; Medicine, General &amp; Internal</t>
  </si>
  <si>
    <t>OX9CH</t>
  </si>
  <si>
    <t>WOS:000593853300001</t>
  </si>
  <si>
    <t>Sustainability KPIs; Diffusion of innovation; Developing country; Sri Lanka</t>
  </si>
  <si>
    <t>MANAGEMENT; CORPORATE; EFFICIENCY; ADOPTION; TECHNOLOGY; STANDARDS; COMPANIES; SYSTEMS</t>
  </si>
  <si>
    <t>[Thoradeniya, Prabanga; Ferreira, Aldonio] Monash Univ, Monash Business Sch, Melbourne, Vic, Australia; [Lee, Janet; Tan, Rebecca] Australian Natl Univ, Res Sch Accounting, Canberra, ACT, Australia</t>
  </si>
  <si>
    <t>Thoradeniya, P (corresponding author), Monash Univ, Monash Business Sch, Melbourne, Vic, Australia.</t>
  </si>
  <si>
    <t>prabanga.thoradeniya@moash.edu</t>
  </si>
  <si>
    <t>Thoradeniya, Prabanga/AAZ-9878-2021</t>
  </si>
  <si>
    <t>Thoradeniya, Prabanga/0000-0001-8365-0364</t>
  </si>
  <si>
    <t>ACCOUNT AUDIT ACCOUN</t>
  </si>
  <si>
    <t>Account . Audit Account.</t>
  </si>
  <si>
    <t>SR1BP</t>
  </si>
  <si>
    <t>Green, WN; Baird, IG</t>
  </si>
  <si>
    <t>Green, W. Nathan; Baird, Ian G.</t>
  </si>
  <si>
    <t>The contentious politics of hydropower dam impact assessments in the Mekong River basin</t>
  </si>
  <si>
    <t>hydropower; Dams; Contentious politics; Impact assessment; Scale; Mekong basin</t>
  </si>
  <si>
    <t>PAK-MUN-DAM; GEOPOLITICS; SCALE; WATER; GEOGRAPHIES; MIGRATIONS; CATFISH; SPACE; GATES</t>
  </si>
  <si>
    <t>Since the 1990s, many large hydropower dams have been built in the Mekong River Basin. There has been considerable concern about resettlement and compensation linked to reservoir flooding, as well as the impacts of dams on wild-capture fisheries, riparian livelihoods, and aquatic biodiversity and ecosystems. Anti-dam activists in the Mekong Basin have contested these impacts by claiming that dam impact assessments limit the spatial scale of recognized impact areas in order to reduce both the political backlash against projects and the costs of dam development. In this article, we consider the contentious politics of hydropower dam impact assessments in order to understand how the spatial strategies of anti-dam activists influence the recognized scale of dam impacts. We analyze three of the most contested hydropower projects in the Mekong River Basin: the operational Pak Mun dam in northeastern Thailand, the recently completed Lower Sesan 2 dam in northeastern Cambodia, and the planned Sambor dam on the mainstream Mekong River in Cambodia. We argue that the recognized scale of impacts is in part an outcome of anti-dam activists' different spatial imaginaries and associated scale frames-along with those of state actors, business interests, and project consultants-that inform activist strategies for mobilizing geographically dispersed people to make claims about dam impacts. Although activists have sometimes challenged the spatial extent of project impact assessments, they have also sometimes inadvertently adopted strategies to contest dams that have reproduced project scale frames favorable to dam proponents.</t>
  </si>
  <si>
    <t>[Green, W. Nathan] Natl Univ Singapore, Dept Geog, AS2 03-011 Arts Link, Singapore 117570, Singapore; [Baird, Ian G.] Univ Wisconsin, Dept Geog, 550 N Pk St, Madison, WI 53706 USA</t>
  </si>
  <si>
    <t>Green, WN (corresponding author), Natl Univ Singapore, Dept Geog, AS2 03-011 Arts Link, Singapore 117570, Singapore.</t>
  </si>
  <si>
    <t>geowng@nus.edu.sg; ibaird@wisc.edu</t>
  </si>
  <si>
    <t>Baird, Ian G./AAA-4727-2021; Green, W. Nathan/AAU-6799-2020</t>
  </si>
  <si>
    <t>Baird, Ian G./0000-0001-7747-2485; Green, W. Nathan/0000-0002-0498-5623</t>
  </si>
  <si>
    <t>Andrew W. Mellon Foundation [16308]</t>
  </si>
  <si>
    <t>Andrew W. Mellon Foundation</t>
  </si>
  <si>
    <t>Thanks to all the people who provided us with information used in this paper, including Ham Oudom, Meach Mean, Nang Noy, Sar Mory, Tim Malay, and Sim Socheath. The fieldwork for this research conducted in Cambodia in July 2018 was funded by a Andrew W. Mellon Foundation grant for the Humanities Without Walls (HWW) initiative, which supported project #16308 titled Political Ecology as Practice: A Regional Approach to the Anthropocene. The maps were prepared by the Cart Lab at the Department of Geography, University of Wisconsin-Madison.</t>
  </si>
  <si>
    <t>POLIT GEOGR</t>
  </si>
  <si>
    <t>Polit. Geogr.</t>
  </si>
  <si>
    <t>10.1016/j.polgeo.2020.102272</t>
  </si>
  <si>
    <t>Geography; Political Science</t>
  </si>
  <si>
    <t>Geography; Government &amp; Law</t>
  </si>
  <si>
    <t>PK3TZ</t>
  </si>
  <si>
    <t>WOS:000602373100017</t>
  </si>
  <si>
    <t>Dubeux, LS; Alves, CKD; Felisberto, E; Medeiros, GDR; Avila, SG; Barca, DAAV; Zanetta, BL; Santos, MBS</t>
  </si>
  <si>
    <t>Dubeux, Luciana Santos; de Almeida Alves, Cinthia Kalyne; Felisberto, Eronildo; Raschke Medeiros, Gabriella de Almeida; Avila, Sofia Guerra; Accioly Varella Barca, Danila Augusta; Zanetta, Bruno Lopes; Silveira Santos, Monica Baeta</t>
  </si>
  <si>
    <t>Institutionalization of health surveillance evaluation practices: improving the management through modeling of interventions</t>
  </si>
  <si>
    <t>VIGILANCIA SANITARIA EM DEBATE-SOCIEDADE CIENCIA &amp; TECNOLOGIA</t>
  </si>
  <si>
    <t>Health Evaluation; Institutionalization; Health Surveillance</t>
  </si>
  <si>
    <t>SUSTAINABILITY; PERFORMANCE; POLICY</t>
  </si>
  <si>
    <t>Introduction: In Brazil, the incorporation of evaluative theory in the National Health Surveillance System has been fostering management processes focused on the evaluation of results through modeling of health surveillance (HS) actions and construction of effectiveness indicators. In the state and municipal levels, it has been highlighted the project Institutionalization of evaluative practices: the strategic management of health surveillance based on evidence which proposes fostering strategies of evaluative practices in the management of HS. Objective: To present the results of the theoretical modeling of four Brazilian HS institutions. Method: An evaluability study based on Leviton et al., between July and December 2019, in the state HS institutions of Minas Gerais and Santa Catarina and in the municipal ones of Belo Horizonte and Florianopolis. The modeling was developed in four workshops, considering the role of technicians and managers of institutions who formed Local Steering Committees for development of logic models, under tutorial work of consultants. Results: The design of the health surveillance actions allowed to describe its components, the strategic actions and the expected effects. Despite the organizational diversity of the HS institutions, the following components prevailed in the four logical models: management; regulation; control and monitoring of health risk; communication and health education. Conclusions: From the modeling, users incorporated information about operationalization of the intervention. It is expected, thereafter, that they will be capable of influencing thinking, practices and rules of collective action of others in order to qualify decision-making and subsidize institutional process changes.</t>
  </si>
  <si>
    <t>[Dubeux, Luciana Santos; Felisberto, Eronildo; Avila, Sofia Guerra] Inst Med Integral Prof Fernando Figueira Superint, Recife, PE, Brazil; [de Almeida Alves, Cinthia Kalyne] Univ Fed Pernambuco, Recife, PE, Brazil; [Raschke Medeiros, Gabriella de Almeida] Univ Fed Santa Catarina, Florianopolis, SC, Brazil; [Accioly Varella Barca, Danila Augusta; Zanetta, Bruno Lopes; Silveira Santos, Monica Baeta] Hosp Alemao Oswaldo Cruz, Sao Paulo, SP, Brazil</t>
  </si>
  <si>
    <t>Dubeux, LS (corresponding author), Inst Med Integral Prof Fernando Figueira Superint, Recife, PE, Brazil.</t>
  </si>
  <si>
    <t>lucianadubeux@gmail.com</t>
  </si>
  <si>
    <t>FUNDACAO OSWALDO CRUZ, INST NACIONAL CONTROLE QUALIDADE &amp;  SAUDE</t>
  </si>
  <si>
    <t>RIO DE JANEIRO RJ</t>
  </si>
  <si>
    <t>AVENIDA BRASIL, 4 365, RIO DE JANEIRO RJ, 21040-360, BRAZIL</t>
  </si>
  <si>
    <t>2317-269X</t>
  </si>
  <si>
    <t>VIGIL SANIT DEBATE</t>
  </si>
  <si>
    <t>Vigil. Sanit. Debate</t>
  </si>
  <si>
    <t>10.22239/2317-269x.01698</t>
  </si>
  <si>
    <t>PA3OX</t>
  </si>
  <si>
    <t>WOS:000595548700004</t>
  </si>
  <si>
    <t>Alghushami, AH; Zakaria, NH; Aji, ZM</t>
  </si>
  <si>
    <t>Alghushami, Abdullah Hussein; Zakaria, Nur Haryani; Aji, Zahurin Mat</t>
  </si>
  <si>
    <t>Factors Influencing Cloud Computing Adoption in Higher Education Institutions of Least Developed Countries: Evidence from Republic of Yemen</t>
  </si>
  <si>
    <t>APPLIED SCIENCES-BASEL</t>
  </si>
  <si>
    <t>cloud computing adoption; technology; organization and environment (TOE) model; structural equation modelling (SEM); higher education institutions (HEIs); least developed countries (LDCs)</t>
  </si>
  <si>
    <t>CULTURAL ISSUES; PLS-SEM; SMES; DETERMINANTS; TECHNOLOGIES; ACCEPTANCE; MANAGEMENT; MODELS; PERSPECTIVE; PERCEPTION</t>
  </si>
  <si>
    <t>Cloud-based technology, which is now well established, helps in reducing costs and providing accessibility, reliability and flexibility. However, the Yemen higher educational institutions (HEIs) have not yet embraced the technology due to security and privacy concerns, lack of trust, negative cultural attitudes (i.e., tribalism), and most importantly, lack of digital devices experience in educational settings as well as lack of knowledge and technical know-how. Thus, this study proposes a conceptual model of cloud computing adoption in Yemen HEIs by investigating the influence of technology, organization and environment (TOE) factors. In addition, this study investigates the moderating effect of tribalism culture in the relationships between the identified factors and cloud computing adoption. The study employed the quantitative approach to determine the factors that influence cloud computing adoption in Yemen HEIs through a questionnaire survey. Data were collected from 328 respondents in 38 HEIs and analyzed using partial least square (PLS) structural equation modelling (SEM). The results indicate that relative advantage, reliability, compatibility, security, technology readiness, top management support, regulatory policy and competitive pressure have positive significant impacts on the cloud computing adoption, except tribalism culture with negative significant impact. The study also found that tribalism culture moderates the relationship between compatibility, reliability, security, relative advantage, regulatory policy and cloud computing adoption. This study contributes to the TOE adoption model by including the cultural factor as a moderator towards cloud computing adoption in Yemen HEIs. The study also provides a model and insights for HEIs, technology consultants, vendors and policy makers in better understanding of the factors that influence cloud computing adoption in least developed countries (LDCs), specifically, Yemen.</t>
  </si>
  <si>
    <t>[Alghushami, Abdullah Hussein] Community Coll Qatar, Dept Informat Technol, Doha 7344, Qatar; [Zakaria, Nur Haryani; Aji, Zahurin Mat] Univ Utara Malaysia, Coll Arts &amp; Sci, Sch Comp, Kedah 06010, Malaysia</t>
  </si>
  <si>
    <t>Alghushami, AH (corresponding author), Community Coll Qatar, Dept Informat Technol, Doha 7344, Qatar.</t>
  </si>
  <si>
    <t>abdullah.alghushami@ccq.edu.qa; haryani@uum.edu.my; zahurin@uum.edu.my</t>
  </si>
  <si>
    <t>Alghushami, Abdullah/0000-0001-9199-9267</t>
  </si>
  <si>
    <t>2076-3417</t>
  </si>
  <si>
    <t>APPL SCI-BASEL</t>
  </si>
  <si>
    <t>Appl. Sci.-Basel</t>
  </si>
  <si>
    <t>10.3390/app10228098</t>
  </si>
  <si>
    <t>Chemistry, Multidisciplinary; Engineering, Multidisciplinary; Materials Science, Multidisciplinary; Physics, Applied</t>
  </si>
  <si>
    <t>Chemistry; Engineering; Materials Science; Physics</t>
  </si>
  <si>
    <t>OZ4JV</t>
  </si>
  <si>
    <t>WOS:000594895300001</t>
  </si>
  <si>
    <t>Portelli, MS; Conrad, E; Galdies, C</t>
  </si>
  <si>
    <t>Portelli, Maria-Stella; Conrad, Elisabeth; Galdies, Charles</t>
  </si>
  <si>
    <t>Developing an Environmental Justice Index for Small Island States: The Case of Malta</t>
  </si>
  <si>
    <t>spatial analysis; geographic information systems; GIS; composite indicator; Maltese islands; environmental burden; social vulnerability</t>
  </si>
  <si>
    <t>CLIMATE-CHANGE; INDICATORS; HEALTH; SUSTAINABILITY; VULNERABILITY; FOOTPRINT; ISSUES; EQUITY; POLICY; AREAS</t>
  </si>
  <si>
    <t>By focusing predominantly on cities or larger regions, environmental justice (EJ) studies have tended to overlook the challenges faced by small island states. This study explores the feasibility of constructing an EJ index for Malta, as a case study of these territories. EJ issues were identified by consulting relevant literature and local experts. Based on this, five environmental variables (air pollution, noise pollution, lack of greenery, overcrowding and overdevelopment, and proximity to locally unwanted land uses) and three social variables (education, unemployment, and health) were selected for inclusion in the index. For the identified variables, indicators were chosen and calculated for each locality, while using a Geographic Information System to process and visualize spatial data. Cumulative environmental burden and social vulnerability scores were calculated based on quintile ranking of indicators. After normalization, cumulative scores were aggregated to derive the EJ index. The preliminary evaluation of EJ distribution in Malta demonstrated significant spatial differences. A statistically significant positive correlation of moderate strength between cumulative environmental burden and social vulnerability scores showed that EJ issues are present in Malta, notwithstanding its small size. Despite limitations, this exploratory index provides a basis for further EJ research in small island states.</t>
  </si>
  <si>
    <t>[Portelli, Maria-Stella; Conrad, Elisabeth; Galdies, Charles] Univ Malta, Inst Earth Syst, MSD-2080 Msida, Malta</t>
  </si>
  <si>
    <t>Portelli, MS (corresponding author), Univ Malta, Inst Earth Syst, MSD-2080 Msida, Malta.</t>
  </si>
  <si>
    <t>maria-stella.portelli.09@um.edu.mt; charles.galdies@um.edu.mt; charles.galdies@um.edu.mt</t>
  </si>
  <si>
    <t>Portelli, Maria-Stella/0000-0003-1701-4428; Conrad, Elisabeth/0000-0002-3576-9288</t>
  </si>
  <si>
    <t>Endeavour Scholarship Scheme (Malta); European Union-European Social Fund (ESF)-Operational Programme II-Cohesion Policy 2014-2020 Investing in human capital to create more opportunities and promote the well-being of society</t>
  </si>
  <si>
    <t>This research was partially funded by the Endeavour Scholarship Scheme (Malta). Scholarships are part-financed by the European Union-European Social Fund (ESF)-Operational Programme II-Cohesion Policy 2014-2020 Investing in human capital to create more opportunities and promote the well-being of society.</t>
  </si>
  <si>
    <t>10.3390/su12229519</t>
  </si>
  <si>
    <t>OY9FC</t>
  </si>
  <si>
    <t>WOS:000594543600001</t>
  </si>
  <si>
    <t>co-design; transdisciplinary practices; public participation geographic information system (PPGIS); softGIS; parks planning; Delta; structured decision-making</t>
  </si>
  <si>
    <t>GIS PPGIS; CONSERVATION; LANDSCAPE; SOFTGIS; PLACE</t>
  </si>
  <si>
    <t>[Milligan, Brett] Univ Calif Davis UC Davis, Dept Human Ecol, Landscape Architecture, Davis, CA 95616 USA; [Kraus-Polk, Alejo] Univ Calif Davis UC Davis, Dept Human Ecol, Geog Grad Grp, Davis, CA 95616 USA; [Huang, Yiwei] Purdue Univ, Hort &amp; Landscape Architecture, W Lafayette, IN 47907 USA</t>
  </si>
  <si>
    <t>Milligan, B (corresponding author), Univ Calif Davis UC Davis, Dept Human Ecol, Landscape Architecture, Davis, CA 95616 USA.</t>
  </si>
  <si>
    <t>bmilligan@ucdavis.edu; akrauspolk@ucdavis.edu; huan1655@purdue.edu</t>
  </si>
  <si>
    <t>Huang, Yiwei/GNP-5734-2022</t>
  </si>
  <si>
    <t>Milligan, Brett/0000-0002-7608-9035; Kraus-Polk, Alejo/0000-0002-5063-2060</t>
  </si>
  <si>
    <t>Safe Drinking Water, Water Quality and Supply, Flood Control, River and Coastal Protection Bond Act of 2006 (Proposition 84); California Department ofWater Resources [4600012167]</t>
  </si>
  <si>
    <t>Safe Drinking Water, Water Quality and Supply, Flood Control, River and Coastal Protection Bond Act of 2006 (Proposition 84); California Department ofWater Resources</t>
  </si>
  <si>
    <t>Funding for the Franks Tract Futures project was provided by the Safe Drinking Water, Water Quality and Supply, Flood Control, River and Coastal Protection Bond Act of 2006 (Proposition 84). Alejo Kraus-Polk and Brett Milligan were funded by the California Department ofWater Resources under grant number 4600012167.</t>
  </si>
  <si>
    <t>OX3BR</t>
  </si>
  <si>
    <t>Heat pump; COP; Pinch analysis; Integration; Unit operations; Feasibility assessment; Nomogram</t>
  </si>
  <si>
    <t>ENERGY EFFICIENCY; SYSTEMS; PART; NETWORKS; CRITERIA; OPPORTUNITIES; GENERATION; SELECTION; SITES</t>
  </si>
  <si>
    <t>[Schlosser, F.; Vogelsang, J.; Hesselbach, J.] Univ Kassel, Dept Sustainable Prod &amp; Proc, Kurt Wolters Str 3, D-34125 Kassel, Germany; [Jesper, M.] Univ Kassel, Dept Solar &amp; Syst Engn, Kurt Wolters Str 3, D-34109 Kassel, Germany; [Schlosser, F.; Walmsley, T. G.] Univ Waikato, Sch Engn, Sustainable Energy Water &amp; Resilient Syst Grp, Hamilton, New Zealand; [Arpagaus, C.] NTB Univ Appl Sci Technol Buchs, Inst Energy Syst, Werdenbergstr 4, CH-9471 Buchs, Switzerland</t>
  </si>
  <si>
    <t>Schlosser, F (corresponding author), Univ Kassel, Dept Sustainable Prod &amp; Proc, Kurt Wolters Str 3, D-34125 Kassel, Germany.</t>
  </si>
  <si>
    <t>schlosser@upp-kassel.de</t>
  </si>
  <si>
    <t>Walmsley, Timothy Gordon/G-9987-2019</t>
  </si>
  <si>
    <t>Walmsley, Timothy Gordon/0000-0002-9192-0771; Jesper, Mateo/0000-0001-7475-2377; Arpagaus, Cordin/0000-0003-4022-9347</t>
  </si>
  <si>
    <t>OG0SQ</t>
  </si>
  <si>
    <t>Bureaucratic politics; Water; Patronage; Irrigation; Asia; Pakistan</t>
  </si>
  <si>
    <t>WATER USER ASSOCIATIONS; POLICY IMPLEMENTATION; CANAL IRRIGATION; CORRUPTION; SYSTEM; SOUTH; GOVERNANCE; AFRICA</t>
  </si>
  <si>
    <t>[Ali, Sameen A. Mohsin] Lahore Univ Management Sci, Dept Humanities &amp; Social Sci, Lahore, Pakistan</t>
  </si>
  <si>
    <t>Ali, SAM (corresponding author), Lahore Univ Management Sci, Dept Humanities &amp; Social Sci, Lahore, Pakistan.</t>
  </si>
  <si>
    <t>sameen.ali@lums.edu.pk</t>
  </si>
  <si>
    <t>WORLD DEV</t>
  </si>
  <si>
    <t>World Dev.</t>
  </si>
  <si>
    <t>Development Studies; Economics</t>
  </si>
  <si>
    <t>Development Studies; Business &amp; Economics</t>
  </si>
  <si>
    <t>NH5LR</t>
  </si>
  <si>
    <t>Outsourcing; Iran; Privatization; Water and Wastewater Industry; Abandoned projects</t>
  </si>
  <si>
    <t>DECISION-MAKING PROCESSES; CRITICAL SUCCESS FACTORS; CONSTRUCTION PROJECTS; PARTNERSHIP PROJECTS; HONG-KONG; MANAGEMENT; IMPLEMENTATION; RESUSCITATION; STRATEGIES; GOVERNMENT</t>
  </si>
  <si>
    <t>[Sarvari, Hadi; Amini, Mohammadreza] Islamic Azad Univ, Dept Civil Engn, Isfahan Khorasgan Branch, Esfahan, Iran; [Cristofaro, Matteo] Univ Roma Tor Vergata, Dept Management &amp; Law, Rome, Italy; [Chan, Daniel W. M.] Hong Kong Polytech Univ, Dept Bldg &amp; Real Estate, Hung Hom, Kowloon, Hong Kong, Peoples R China; [Noor, Norhazilan Md.] Univ Teknol Malaysia, Construct Res Ctr, Sch Civil Engn, Johor Baharu, Malaysia</t>
  </si>
  <si>
    <t>Cristofaro, M (corresponding author), Univ Roma Tor Vergata, Dept Management &amp; Law, Rome, Italy.</t>
  </si>
  <si>
    <t>h.sarvari@khuisf.ac.ir; matteo.cristofaro@uniroma2.it; daniel.w.m.chan@polyu.edu.hk; norhazilan@utm.my</t>
  </si>
  <si>
    <t>Noor, Norhazilan Md/K-5703-2012; Sarvari, Hadi/J-2361-2014; CHAN, Daniel WM/O-2825-2014</t>
  </si>
  <si>
    <t>Noor, Norhazilan Md/0000-0002-1374-0919; Sarvari, Hadi/0000-0001-7621-1603; CHAN, Daniel WM/0000-0001-8297-3006; Amini, Mohammad Reza/0000-0003-4693-5090</t>
  </si>
  <si>
    <t>J FACIL MANAG</t>
  </si>
  <si>
    <t>J. Facil. Manag.</t>
  </si>
  <si>
    <t>OF2CL</t>
  </si>
  <si>
    <t>Master planning; urban development; sustainable urbanism; smart urban planning; Gulf Region</t>
  </si>
  <si>
    <t>CITY; TOURISM; DUBAI; MEGAPROJECTS; BEHAVIOR; HERITAGE; CULTURE; IMPACT; QATAR; WORLD</t>
  </si>
  <si>
    <t>[Zaidan, Esmat] Qatar Univ, Coll Arts &amp; Sci, Dept Int Affairs, Doha, Qatar; [Abulibdeh, Ammar] Qatar Univ, Coll Arts &amp; Sci, Dept Humanities, Doha, Qatar</t>
  </si>
  <si>
    <t>Abulibdeh, A (corresponding author), Qatar Univ, Coll Arts &amp; Sci, Dept Humanities, Doha, Qatar.</t>
  </si>
  <si>
    <t>ammar_abulibdeh@hotmail.com</t>
  </si>
  <si>
    <t>Qatar National Research Fund (a member of the Qatar Foundation) [NPRP11S-1228-170142]; Qatar National Library</t>
  </si>
  <si>
    <t>Qatar National Research Fund (a member of the Qatar Foundation); Qatar National Library</t>
  </si>
  <si>
    <t>This publication was made possible by an NPRP award [NPRP11S-1228-170142] from the Qatar National Research Fund (a member of the Qatar Foundation). The statements made herein are the sole responsibility of the authors. Open Access funding provided by the Qatar National Library.</t>
  </si>
  <si>
    <t>PLAN PRACT RES</t>
  </si>
  <si>
    <t>Plan. Pract. Res.</t>
  </si>
  <si>
    <t>Regional &amp; Urban Planning</t>
  </si>
  <si>
    <t>QT0OB</t>
  </si>
  <si>
    <t>Sustainability and green buildings; Drivers; Barriers; Construction technology; Support mechanism; GFRG (glass fiber-reinforced gypsum)</t>
  </si>
  <si>
    <t>GREENHOUSE-GAS EMISSIONS; SHEAR-STRENGTH; BARRIERS; DESIGN; EFFICIENCY; SELECTION; BEHAVIOR; SYSTEM; CHINA; PHASE</t>
  </si>
  <si>
    <t>[Garg, Ruchi; Chhikara, Ritu] BML Munjal Univ, Sch Management, Gurgaon, India; [Singh, Ramendra] IIMC, Kolkata, India; [Agrawal, Gautam; Talwar, Vishal; Mehra, Vedant] BML Munjal Univ, Gurgaon, India</t>
  </si>
  <si>
    <t>Garg, R (corresponding author), BML Munjal Univ, Sch Management, Gurgaon, India.</t>
  </si>
  <si>
    <t>ruchigarg13@gmail.com; ritu.chhikara@bmu.edu.in; ramendra@iimcal.ac.in; gautam.18pd@bmu.edu.in; vishal.talwar@bmu.edu.in; vedant.mehra.16bk@bmu.edu.in</t>
  </si>
  <si>
    <t>MAR 20</t>
  </si>
  <si>
    <t>QZ8CL</t>
  </si>
  <si>
    <t>Lee, ES; Lee, PSS; Chew, EAL; Muthulingam, G; Koh, HL; Tan, SY; Ding, YY</t>
  </si>
  <si>
    <t>Lee, Eng Sing; Lee, Poay Sian Sabrina; Chew, Evelyn Ai Ling; Muthulingam, Gayathri; Koh, Hui Li; Tan, Shu Yun; Ding, Yew Yoong</t>
  </si>
  <si>
    <t>Video Consultations for Older Adults With Multimorbidity During the COVID-19 Pandemic: Protocol for an Exploratory Qualitative Study</t>
  </si>
  <si>
    <t>JMIR RESEARCH PROTOCOLS</t>
  </si>
  <si>
    <t>COVID-19; multimorbidity; older adults; telemedicine; video consultation; elderly; telehealth; morbidity; protocol; chronic disease; high risk; qualitative</t>
  </si>
  <si>
    <t>TELEMEDICINE; CARE</t>
  </si>
  <si>
    <t>Background: Multimorbidity, the coexistence of multiple chronic conditions in an individual, is a growing public health challenge. Amidst the COVID-19 pandemic, physical distancing remains an indispensable measure to limit the spread of the virus. This pertains especially to those belonging to high-risk groups, namely older adults with multimorbidity. In-person visits are discouraged for this cohort; hence, there is a need for an alternative form of consultation such as video consultations to continue the provision of care. Objective: The potential of video consultations has been explored in several studies. However, the emergence of COVID-19 presents us with an unprecedented opportunity to explore the use of this technological innovation in a time when physical distancing is imperative. This study will evaluate the sustainability of video consultations on a micro-, meso-, and macro-level by assessing the views of patients, physicians, and organizational and national policymakers, respectively. Methods: The NASSS (nonadoption, abandonment, scale-up, spread, and sustainability) framework was designed as a guide for the development of health care technologies. In this study, the implementation of and experiences related to video consultations will be studied using the NASSS framework. Individual in-depth interviews or focus group discussions will be conducted with participants using the Zoom platform. Data will be analyzed by at least two investigators trained in qualitative methodology, organized thematically, and coded in two phases-an initial phase and a focused selective phase. All disagreements will be resolved by consulting the larger research team until consensus is reached. Results: This study was approved for funding from the Geriatric Education and Research Institute. Ethics approval was obtained from the National Healthcare Group Domain Specific Review Board (reference #2020/00760). Study recruitment commenced in July 2020. The results of the data analysis are expected to be available by the end of the year. Conclusions: This study aims to evaluate the adoption and sustainability of video consultations for older adults with multimorbidity during the pandemic as well as post COVID-19. The study will yield knowledge that will challenge the current paradigm on how care is being delivered for community-dwelling older adults with multimorbidity. Findings will be shared with administrators in the health care sector in order to enhance the safety and quality of these video consultations to improve patient care for this group of population.</t>
  </si>
  <si>
    <t>[Lee, Eng Sing; Lee, Poay Sian Sabrina; Chew, Evelyn Ai Ling; Muthulingam, Gayathri; Koh, Hui Li; Tan, Shu Yun] Natl Healthcare Grp Polyclin, Clin Res Unit, 3 Fusionopolis Link,Nexus One North, Singapore 138543, Singapore; [Ding, Yew Yoong] Geriatr Educ &amp; Res Inst, Singapore, Singapore; [Ding, Yew Yoong] Tan Tock Seng Hosp, Dept Geriatr Med, Singapore, Singapore</t>
  </si>
  <si>
    <t>Lee, ES (corresponding author), Natl Healthcare Grp Polyclin, Clin Res Unit, 3 Fusionopolis Link,Nexus One North, Singapore 138543, Singapore.</t>
  </si>
  <si>
    <t>eng_sing_lee@nhgp.com.sg</t>
  </si>
  <si>
    <t>Lee, Eng Sing/0000-0003-4963-535X; Chew, Evelyn/0000-0003-3837-2195; Lee, Poay Sian Sabrina/0000-0002-4660-514X; Tan, Shu Yun/0000-0003-0307-9546</t>
  </si>
  <si>
    <t>Geriatric Education and Research Institute (GERI) under the COVID-19 Grant [CG004]; Singapore Ministry of Health's National Medical Research Council [CGAug16C019]</t>
  </si>
  <si>
    <t>Geriatric Education and Research Institute (GERI) under the COVID-19 Grant; Singapore Ministry of Health's National Medical Research Council(National Medical Research Council, Singapore)</t>
  </si>
  <si>
    <t>The study was funded by the Geriatric Education and Research Institute (GERI) under the COVID-19 Grant (project reference: CG004). This research was also supported by the Singapore Ministry of Health's National Medical Research Council under the Centre Programme (reference: CGAug16C019). The authors would like to thank Ms Lee Thong Shuen for her assistance in formatting the initial draft of the manuscript.</t>
  </si>
  <si>
    <t>1929-0748</t>
  </si>
  <si>
    <t>JMIR RES PROTOC</t>
  </si>
  <si>
    <t>JMIR RES. Protoc.</t>
  </si>
  <si>
    <t>e22679</t>
  </si>
  <si>
    <t>10.2196/22679</t>
  </si>
  <si>
    <t>OH4WE</t>
  </si>
  <si>
    <t>WOS:000582576000036</t>
  </si>
  <si>
    <t>advertising; marketing; regulation; policy; children; adolescent; digital; online; TV</t>
  </si>
  <si>
    <t>EXPOSURE; TELEVISION; DEFENSE</t>
  </si>
  <si>
    <t>[Tatlow-Golden, Mimi] Open Univ, Fac Wellbeing Educ &amp; Language Studies, Milton Keynes MK7 6AA, Bucks, England; [Parker, Daniel] Living Loud, Brighton BN1 3SU, Sussex, England</t>
  </si>
  <si>
    <t>Tatlow-Golden, M (corresponding author), Open Univ, Fac Wellbeing Educ &amp; Language Studies, Milton Keynes MK7 6AA, Bucks, England.</t>
  </si>
  <si>
    <t>mimi.tatlow-golden@open.ac.uk; danparker@livingloud.org.uk</t>
  </si>
  <si>
    <t>World Health Organization; UNICEF; Royal Society of Arts; Oral Health Promotion Professional Development Group; European Commission; UK Department of Health Social Care; Open University; Veg Power CIC; Obesity Health Alliance</t>
  </si>
  <si>
    <t>World Health Organization(World Health Organization); UNICEF; Royal Society of Arts; Oral Health Promotion Professional Development Group; European Commission(European CommissionEuropean Commission Joint Research Centre); UK Department of Health Social Care; Open University; Veg Power CIC; Obesity Health Alliance</t>
  </si>
  <si>
    <t>Obesity Health Alliance (OHA) to Mimi Tatlow-Golden and Dan Parker. M.T.-G. has received funding for research reviews and advisory consultation on issues relating to marketing of unhealthy items from the World Health Organization and from UNICEF. D.P. has received funding from the Royal Society of Arts, the Oral Health Promotion Professional Development Group, Obesity Health Alliance, the European Commission, the UK Department of Health &amp; Social Care, Veg Power CIC and The Open University.</t>
  </si>
  <si>
    <t>ON3EJ</t>
  </si>
  <si>
    <t>Martinez, N; Komendantova, N</t>
  </si>
  <si>
    <t>Martinez, Nain; Komendantova, Nadejda</t>
  </si>
  <si>
    <t>The effectiveness of the social impact assessment (SIA) in energy transition management: Stakeholders' insights from renewable energy projects in Mexico</t>
  </si>
  <si>
    <t>Social impacts; Impact assessment; Renewable energy; Energy transitions; Sociotechnical transitions</t>
  </si>
  <si>
    <t>WIND ENERGY; ACCEPTANCE RESEARCH; CLIMATE-CHANGE; POWER; STATE; IMPLEMENTATION; PARTICIPATION; PERSPECTIVE; REGION; EIA</t>
  </si>
  <si>
    <t>Social opposition to renewable energy (RE) projects has become a significant issue both for the deployment of RE technologies and the social justice of this process. However, the policy tools oriented to address this issue have received little research attention, particularly in the Global South. Thus, this research analyses the effectiveness of the social impact assessment (SIA) in Mexico's RE sector. In 2014 the government of Mexico introduced the SIA in response to the social conflicts around RE projects. The SIA has generated some favorable changes in the sector's social management. Yet, its effectiveness is constrained by diverse issues related to its institutional and regulatory design, government implementation, practices of companies and consultants, and restricted social involvement. Moreover, the sector's socio-technical arrangement (priorities, organization, experience, and policies) strongly influences the performance of SIAs and accounts for the lack of consideration of social aspects in project design and planning. We argue that without a substantial internalization of the social dimension in the priorities, policy, and planning of RE, the SIA would be limited to a problem-fixing role, which would constrain the effective management of social impacts.</t>
  </si>
  <si>
    <t>[Martinez, Nain] Univ Calif Berkeley, Dept Environm Sci Policy &amp; Management, 130 Mulford Hall, Berkeley, CA 94720 USA; [Martinez, Nain; Komendantova, Nadejda] Int Inst Appl Syst Anal IIASA, Adv Syst Anal Program, Laxenburg, Austria</t>
  </si>
  <si>
    <t>Martinez, N (corresponding author), Univ Calif Berkeley, Dept Environm Sci Policy &amp; Management, 130 Mulford Hall, Berkeley, CA 94720 USA.</t>
  </si>
  <si>
    <t>nain.martinez@berkeley.edu</t>
  </si>
  <si>
    <t>Komendantova, Nadejda/AAI-1536-2021</t>
  </si>
  <si>
    <t>Komendantova, Nadejda/0000-0003-2568-6179</t>
  </si>
  <si>
    <t>UC MEXUS-CONACYT</t>
  </si>
  <si>
    <t>UC MEXUS-CONACYT(Consejo Nacional de Ciencia y Tecnologia (CONACyT))</t>
  </si>
  <si>
    <t>The authors are grateful to UC MEXUS-CONACYT for providing a fellowship for a doctoral dissertation in which this article is part of the outputs; the Young Scientist Summer Program at International Institute for Applied System Analysis, in which part of this research was conducted; and Iniciativa Clim.atica de M.exico for facilitating the fieldwork. Moreover, we have benefited from discussion with Matthew Potts and his laboratory at the Department of Environmental Science, Policy &amp; Management at UC, Berkeley. Any opinions, findings, and conclusions or recommendations expressed in this material are those of the author(s).</t>
  </si>
  <si>
    <t>ENERG POLICY</t>
  </si>
  <si>
    <t>10.1016/j.enpol.2020.111744</t>
  </si>
  <si>
    <t>Economics; Energy &amp; Fuels; Environmental Sciences; Environmental Studies</t>
  </si>
  <si>
    <t>Business &amp; Economics; Energy &amp; Fuels; Environmental Sciences &amp; Ecology</t>
  </si>
  <si>
    <t>OC8ZD</t>
  </si>
  <si>
    <t>WOS:000579443800029</t>
  </si>
  <si>
    <t>Ilmenite; Rutile; Zircon; Titanium; Sustainable mining; Mineral production</t>
  </si>
  <si>
    <t>RESOURCES; TITANIUM</t>
  </si>
  <si>
    <t>[Perks, Cameron; Mudd, Gavin] RMIT Univ, Sch Engn, 124 La Trobe St, Melbourne, Vic 3000, Australia</t>
  </si>
  <si>
    <t>Perks, C (corresponding author), RMIT Univ, Sch Engn, 124 La Trobe St, Melbourne, Vic 3000, Australia.</t>
  </si>
  <si>
    <t>s3680819@student.rmit.edu.au</t>
  </si>
  <si>
    <t>RMIT University, School of Engineering</t>
  </si>
  <si>
    <t>This work was supported by RMIT University, School of Engineering, Stipend Scholarship for PhD candidates.</t>
  </si>
  <si>
    <t>MINER ECON</t>
  </si>
  <si>
    <t>Miner. Econ.</t>
  </si>
  <si>
    <t>UT8UC</t>
  </si>
  <si>
    <t>Data-driven marketing; Customer centric; Value proposition; Digital data; Marketing metrics; Marketing analytics; Marketing dashboard; Digital marketing and marketing investment; ROMI (return on marketing investment) and diffusion of innovation</t>
  </si>
  <si>
    <t>BIG DATA; BUSINESS</t>
  </si>
  <si>
    <t>[Grandhi, Balakrishna; Saleem, Kashaf] SP Jain Sch Global Management, Dubai Campus, Dubai, U Arab Emirates; [Patwa, Nitin] SP Jain Sch Global Management, Dept Management, Dubai Campus, Dubai, U Arab Emirates</t>
  </si>
  <si>
    <t>Patwa, N (corresponding author), SP Jain Sch Global Management, Dept Management, Dubai Campus, Dubai, U Arab Emirates.</t>
  </si>
  <si>
    <t>balakrishna.grandhi@spjain.org; nitin.patwa@spjain.org; kashaf.saleem@live.com</t>
  </si>
  <si>
    <t>EUROMED J BUS</t>
  </si>
  <si>
    <t>EuroMed J. Bus.</t>
  </si>
  <si>
    <t>OCT 13</t>
  </si>
  <si>
    <t>WF9NY</t>
  </si>
  <si>
    <t>Critical influencing factors; Waste-to-energy project; Site selection failure; Not in my back yard effect</t>
  </si>
  <si>
    <t>INCINERATION INDUSTRY; CONSTRUCTION PROJECTS; PUBLIC-PARTICIPATION; DEMATEL APPROACH; NIMBY; ACCEPTANCE; MODEL; PLANT; FRAMEWORK; IDENTIFICATION</t>
  </si>
  <si>
    <t>[Cong, Xuhui; Wang, Liang; Ma, Li] Dalian Univ Technol, Dept Construct Management, Dalian, Peoples R China; [Ma, Li] Dalian Univ Technol, Sch Business, Dalian, Peoples R China; [Skibnewski, M.] Univ Maryland, College Pk, MD 20742 USA</t>
  </si>
  <si>
    <t>Wang, L (corresponding author), Dalian Univ Technol, Dept Construct Management, Dalian, Peoples R China.</t>
  </si>
  <si>
    <t>congxuhui@mail.dlut.edu.cn; wltruth@163.com; cm_mali@126.com; mirek@umd.edu</t>
  </si>
  <si>
    <t>Fundamental Research Funds for the Central Universities [DUT18RW208]; National Social Science Funding Program [15BGL023]</t>
  </si>
  <si>
    <t>Fundamental Research Funds for the Central Universities(Fundamental Research Funds for the Central Universities); National Social Science Funding Program</t>
  </si>
  <si>
    <t>We would like to give our appreciation to the anonymous reviewers and editors. This study was supported by the Fundamental Research Funds for the Central Universities (DUT18RW208) and the National Social Science Funding Program (15BGL023).</t>
  </si>
  <si>
    <t>JUN 25</t>
  </si>
  <si>
    <t>TD7WA</t>
  </si>
  <si>
    <t>Environmental management accounting; Environmental focused human resources management; Technological capabilities; Institutional theory; Theory of resource slack; MENA Region</t>
  </si>
  <si>
    <t>CORPORATE SOCIAL-RESPONSIBILITY; SUPPLY CHAIN MANAGEMENT; PERFORMANCE EVIDENCE; SYSTEM ADOPTION; STRATEGY; COST; DISCLOSURE; COMPANIES; FIRMS; EMA</t>
  </si>
  <si>
    <t>[Asiri, Nasser] King Khalid Univ, Coll Business, Dept Accounting, POB 3247, Abha 61471, Saudi Arabia; [Khan, Tehmina; Kend, Michael] RMIT Univ, Coll Business &amp; Law, Sch Accounting Informat Syst &amp; Supply Chain, GPO Box 2476, Melbourne, Vic 3001, Australia</t>
  </si>
  <si>
    <t>Asiri, N (corresponding author), King Khalid Univ, Coll Business, Dept Accounting, POB 3247, Abha 61471, Saudi Arabia.</t>
  </si>
  <si>
    <t>alkaushi@kku.edu.sa</t>
  </si>
  <si>
    <t>Asiri, Nasser/AAZ-6570-2021; Kend, Michael/L-1165-2019</t>
  </si>
  <si>
    <t xml:space="preserve">Asiri, Nasser/0000-0003-1667-896X; </t>
  </si>
  <si>
    <t>MB6IN</t>
  </si>
  <si>
    <t>Journalism; journalism models; reporting; obsession; activism; professionalism</t>
  </si>
  <si>
    <t>CIVIC JOURNALISM</t>
  </si>
  <si>
    <t>[Ginosar, Avshalom] Acad Coll Yezreel Valley, Jezreel Valley, Israel; [Reich, Zvi] Ben Gurion Univ Negev, Beer Sheva, Israel</t>
  </si>
  <si>
    <t>Ginosar, A (corresponding author), Acad Coll Yezreel Valley, Jezreel Valley, Israel.</t>
  </si>
  <si>
    <t>avshalomg@yvc.ac.il</t>
  </si>
  <si>
    <t>JOURNAL PRACT</t>
  </si>
  <si>
    <t>Journal. Pract.</t>
  </si>
  <si>
    <t>APR 21</t>
  </si>
  <si>
    <t>0U4FJ</t>
  </si>
  <si>
    <t>infant and early childhood mental health consultation; consultative alliance; teacher-child relationship; teacher well-being</t>
  </si>
  <si>
    <t>SOCIAL-EMOTIONAL DEVELOPMENT; SCHOOL READINESS; EFFICACY BELIEFS; SELF-EFFICACY; EVIDENCE BASE; BEHAVIOR; KINDERGARTEN; PRESCHOOL; RISK; ATTACHMENT</t>
  </si>
  <si>
    <t>[Davis, Annie E.; Barrueco, Sandra] Catholic Univ Amer, Dept Psychol, 620 Michigan Ave NE, Washington, DC 20064 USA; [Davis, Annie E.; Perry, Deborah F.] Georgetown Univ, Ctr Child &amp; Human Dev, 3300 Whitehaven St NW,Suite 3300,Box 571485, Washington, DC 20007 USA</t>
  </si>
  <si>
    <t>Davis, AE (corresponding author), Catholic Univ Amer, Dept Psychol, 620 Michigan Ave NE, Washington, DC 20064 USA.</t>
  </si>
  <si>
    <t>56davisa@cua.edu</t>
  </si>
  <si>
    <t>Perry, Deborah/0000-0002-1114-0207</t>
  </si>
  <si>
    <t>First Things First, the Arizona Early Childhood Development and Health Board</t>
  </si>
  <si>
    <t>This research team is grateful to First Things First, the Arizona Early Childhood Development and Health Board, for funding the initial collection of these data. The funder was not involved in the study design, data collection, data analysis, manuscript writing, or submission for publication. The content is solely the responsibility of the author and does not necessarily reflect the official views of First Things First. Next, we appreciate the partnership of Southwest Human Development and Indigo Cultural Center, Inc. in gathering and sharing these data. In particular, we acknowledge Drs. Eva Marie Shivers and Alison Steier for their input regarding procedure, study design, and local context. In addition, we appreciate the input from the RAINE group in the planning of this study. Finally, we are indebted to the families, teachers, and consultants who participated in the original study and generously shared their time and perspectives.</t>
  </si>
  <si>
    <t>INFANT MENT HEALTH J</t>
  </si>
  <si>
    <t>Infant Ment. Health J.</t>
  </si>
  <si>
    <t>Psychology, Developmental</t>
  </si>
  <si>
    <t>QZ7CU</t>
  </si>
  <si>
    <t>Angola; Challenges; Post-disaster reconstruction (PDR); Project management; Public sector</t>
  </si>
  <si>
    <t>CRITICAL SUCCESS FACTORS; HOUSING RECONSTRUCTION; BUILDING BACK; DISASTER; INFRASTRUCTURE; RECOVERY; PROCUREMENT; EARTHQUAKE; LESSONS; ACEH</t>
  </si>
  <si>
    <t>[Sospeter, Nyamagere Gladys; Rwelamila, Pantaleo M. D.] Univ South Africa, Grad Sch Business Leadership, Midrand, South Africa; [Sospeter, Nyamagere Gladys] Ardhi Univ, Dar Es Salaam, Tanzania; [Gimbi, Joaqium] Prov Off, Uige, State Of Uige, Angola; [Gimbi, Joaqium] Kimpa Vita Publ Univ, Uige, Angola</t>
  </si>
  <si>
    <t>Sospeter, NG (corresponding author), Univ South Africa, Grad Sch Business Leadership, Midrand, South Africa.;Sospeter, NG (corresponding author), Ardhi Univ, Dar Es Salaam, Tanzania.</t>
  </si>
  <si>
    <t>nyamagere@yahoo.com; Rwelapmd@unisa.ac.za; joaqgimbi@hotmail.com</t>
  </si>
  <si>
    <t>INT J MANAG PROJ BUS</t>
  </si>
  <si>
    <t>Int. J. Manag. Proj. Bus.</t>
  </si>
  <si>
    <t>APR 6</t>
  </si>
  <si>
    <t>RK2GN</t>
  </si>
  <si>
    <t>Beattie, M; Morrison, C; MacGilleEathain, R; Gray, N; Anderson, J</t>
  </si>
  <si>
    <t>Beattie, Michelle; Morrison, Clare; MacGilleEathain, Rebecah; Gray, Nicola; Anderson, Julie</t>
  </si>
  <si>
    <t>Near Me at Home: codesigning the use of video consultations for outpatient appointments in patients' homes</t>
  </si>
  <si>
    <t>outpatients; community-based participatory research; focus groups; healthcare quality improvement</t>
  </si>
  <si>
    <t>IMPROVE; QUALITY</t>
  </si>
  <si>
    <t>Reforming the delivery of outpatient appointments (OPA) was high on the healthcare policy agenda prior to COVID-19. The current pandemic exacerbates the financial and associated resource limitations of OPA. Videoconsulting provides a safe method of real-time contact for some remotely residing patients with hospital-based clinicians. One factor in failing to move from introduction of service change to its general adoption may be lack of patient and public involvement. This project, based in the largest Island in the Inner Hebrides of Scotland, aimed to codesign the use of the NHS Near Me video consulting platform for OPA to take place in the patient's home. A codesign model was used as a framework. This included: step 1-presenting a process flow map of the current system of using Near Me to public participants and establishing their ideas on various steps in the process, step 2-conducting numerous Plan, Do, Study, Act (PDSA) tests and creating a current process flow diagram based on learning and step 3-conducting telephone interviews and thematic analysis of transcripts (n=7) to explore participants' perceptions of being involved in the codesign process. Twenty-five adaptations were made to the Near Me at Home video appointment process from participants' PDSA testing. Four themes were identified from thematic analysis of participants' feedback of the codesign process, namely: altruistic motivation, valuing community voices, the usefulness of the PDSA cycles and the power of 'word of mouth'. By codesigning the use of Near Me with people living in a remote area of Scotland, multiple adaptations were made to the processes to suit the context in which Near Me at Home will be used. Learning from testing and adapting with the public will likely be useful for others embarking on codesign approaches to improve spread and sustainability of quality improvement projects.</t>
  </si>
  <si>
    <t>[Beattie, Michelle] Univ Highlands &amp; Isl, Dept Nursing &amp; Midwifery, Inverness, Scotland; [Morrison, Clare] NHS Highland, North &amp; West Highland, Ross Shire, Scotland; [Morrison, Clare] Scottish Govt, Technol Enabled Care Programme, Edniburgh, Scotland; [MacGilleEathain, Rebecah] Univ Highlands &amp; Isl, Nursing &amp; Midwifery, Inverness, Scotland; [Gray, Nicola; Anderson, Julie] Univ Dundee, Scottish Improvement Sci Collaborating Ctr, Sch Hlth Sci, Dundee, Scotland</t>
  </si>
  <si>
    <t>Beattie, M (corresponding author), Univ Highlands &amp; Isl, Dept Nursing &amp; Midwifery, Inverness, Scotland.</t>
  </si>
  <si>
    <t>michelle.beattie@uhi.ac.uk</t>
  </si>
  <si>
    <t>Health Foundation; Scottish Government's Technology Enabled Care programme</t>
  </si>
  <si>
    <t>The project was awarded 30 pound 000 through the Q Exchange funding programme, Health Foundation. The Near Me platform is funded for use in NHS Scotland by the Scottish Government's Technology Enabled Care programme.</t>
  </si>
  <si>
    <t>e001035</t>
  </si>
  <si>
    <t>10.1136/bmjoq-2020-001035</t>
  </si>
  <si>
    <t>TI1NM</t>
  </si>
  <si>
    <t>WOS:000672549900036</t>
  </si>
  <si>
    <t>Green-McKenzie, J; Somasundaram, P; Lawler, T; O'Hara, E; Shofer, FS</t>
  </si>
  <si>
    <t>Green-McKenzie, Judith; Somasundaram, Parvathi; Lawler, Timothy; O'Hara, Edward; Shofer, Frances S.</t>
  </si>
  <si>
    <t>Prevalence of Burnout in Occupational and Environmental Medicine Physicians in the United States</t>
  </si>
  <si>
    <t>JOURNAL OF OCCUPATIONAL AND ENVIRONMENTAL MEDICINE</t>
  </si>
  <si>
    <t>burnout; depersonalization; employee health; emotional exhaustion; invisible occupational hazard; Karasek-Johnson; Maslach Burnout Inventory; occupational hazard; occupational medicine physician; occupational health and safety; preventive medicine; reduced personal accomplishment; social support</t>
  </si>
  <si>
    <t>WORK-LIFE BALANCE; SOCIAL SUPPORT; SATISFACTION; DEPRESSION; VALIDITY; STRAIN</t>
  </si>
  <si>
    <t>Objective: To determine prevalence and key drivers of burnout in Occupational and Environmental Medicine physicians in the United States. Methods: A nationwide survey of Occupational Medicine physicians was conducted using the Qualtrics (R) platform. Burnout, measured by the Maslach Burnout Inventory (R), Social Support, and Job Satisfaction were assessed. Results: The response rate was 46%, the overall burnout prevalence 38%, and most respondents were men (69%). The mean age and mean years in practice were 56 years and 20 years respectively. Physicians working in government/military (48%) and private medical center group settings (46%) were significantly more likely to report burnout, with consultants (15%) reporting the lowest rate. Conclusions: Although the overall burnout prevalence is lower in Occupational Medicine physicians compared with most specialties, the rate varies significantly by practice setting (15% to 48%) affirming the impact of organizational factors.</t>
  </si>
  <si>
    <t>[Green-McKenzie, Judith; Somasundaram, Parvathi; Lawler, Timothy; O'Hara, Edward] Bayhlth Occupat Med, Div Occupat Med, Dover, DE USA; [Somasundaram, Parvathi] Bayhlth Occupat Med, Dover, DE USA; [Lawler, Timothy] Sharp Rees Stealy Med Grp, San Diego, CA USA; [O'Hara, Edward] EMR CPR, Fremont, CA USA; [Shofer, Frances S.] Univ Penn, Perelman Sch Med, Epidemiol &amp; Biostat, Dept Emergency Med, Philadelphia, PA 19104 USA</t>
  </si>
  <si>
    <t>Green-McKenzie, J (corresponding author), Univ Penn, Dept Emergency Med, Div Occupat Med, Perelman Sch Med, 3400 Spruce St, Philadelphia, PA 19104 USA.</t>
  </si>
  <si>
    <t>Judith.mckenzie@pennmmedicine.edu</t>
  </si>
  <si>
    <t>McKenzie, Judith/0000-0003-3994-6568</t>
  </si>
  <si>
    <t>National Institute of Occupational Safety and Health [5-TO1-0H008628]; Health Resources and Services Administration [D33HP25770-01-00]</t>
  </si>
  <si>
    <t>National Institute of Occupational Safety and Health(United States Department of Health &amp; Human ServicesCenters for Disease Control &amp; Prevention - USANational Institute for Occupational Safety &amp; Health (NIOSH)); Health Resources and Services Administration(United States Department of Health &amp; Human ServicesUnited States Health Resources &amp; Service Administration (HRSA))</t>
  </si>
  <si>
    <t>This research was supported in part by two training grants, on which JGM was the PI, from the National Institute of Occupational Safety and Health -grant number: 5-TO1-0H008628 and the Health Resources and Services Administration -grant number: D33HP25770-01-00. The opinions expressed in this article are the authors own and do not necessarily reflect the view of the granting agencies.</t>
  </si>
  <si>
    <t>1076-2752</t>
  </si>
  <si>
    <t>1536-5948</t>
  </si>
  <si>
    <t>J OCCUP ENVIRON MED</t>
  </si>
  <si>
    <t>J. Occup. Environ. Med.</t>
  </si>
  <si>
    <t>10.1097/JOM.0000000000001913</t>
  </si>
  <si>
    <t>QI3RI</t>
  </si>
  <si>
    <t>WOS:000618897000016</t>
  </si>
  <si>
    <t>Apel, P; Rousselle, C; Lange, R; Sissoko, F; Kolossa-Gehring, M; Ougier, E</t>
  </si>
  <si>
    <t>Apel, Petra; Rousselle, Christophe; Lange, Rosa; Sissoko, Fatoumata; Kolossa-Gehring, Marike; Ougier, Eva</t>
  </si>
  <si>
    <t>Human biomonitoring initiative (HBM4EU) - Strategy to derive human biomonitoring guidance values (HBM-GVs) for health risk assessment</t>
  </si>
  <si>
    <t>INTERNATIONAL JOURNAL OF HYGIENE AND ENVIRONMENTAL HEALTH</t>
  </si>
  <si>
    <t>Human biomonitoring; Internal exposure; Body burden; Biomarker; Risk assessment; Health-based guidance values; Human biomonitoring guidance values; HBM-GV; HBM4EU</t>
  </si>
  <si>
    <t>EQUIVALENTS; POPULATION; URINE; VARIABILITY; CHEMICALS</t>
  </si>
  <si>
    <t>The European Joint Program HBM4EU is a joint effort of 30 countries and the European Environment Agency, co-funded under the European Commission's Horizon 2020 program, for advancing and implementing human biomonitoring (HBM) on a European scale and for providing scientific evidence for chemical policy making. One important outcome will be a Europe-wide improvement and harmonization of health risk assessment following the coordinated derivation or update of health-related guidance values referring to the internal body burden. These guidance values named HBM guidance values or HBM-GVs can directly be compared with HBM data. They are derived within HBM4EU for priority substances identified by the HBM4EU chemicals prioritization strategy based on existing needs to answer policy relevant questions as raised by national and EU policy makers. HBM-GVs refer to both the general population and occupationally exposed adults. Reports including the detailed reasoning for the values' proposals are subjected to a consultation process within all partner countries of the consortium to reach a broad scientific consensus on the derivation approach and on the derived values. The final HBM-GVs should be applied first within the HBM4EU project, but may also be useful for regulators and risk assessors outside this project. The subsequent adoption of derived HBM-GVs at EU-level needs to be discussed and decided within the responsible EU bodies. Nevertheless, the establishment of HBM-GVs as part of HBM4EU is already a step forward in strengthening HBM-based policy efforts for public and occupational health. The strategy for deriving HBM-GVs which is based on already existing approaches from the German HBM Commission, the French Agency for Food, Environmental and Occupational Health &amp; Safety (ANSES) as well as from the US-based scientific consultant Summit Toxicology, the allocation of a level of confidence to the derived values, and the consultation process within the project are comprehensively described to enlighten the work accomplished under the HBM4EU initiative.</t>
  </si>
  <si>
    <t>[Apel, Petra; Lange, Rosa; Kolossa-Gehring, Marike] German Environm Agcy UBA, Correnspl 1, D-14195 Berlin, Germany; [Rousselle, Christophe; Sissoko, Fatoumata; Ougier, Eva] French Agcy Food Environm &amp; Occupat Hlth &amp; Safety, Paris, France</t>
  </si>
  <si>
    <t>Apel, P (corresponding author), German Environm Agcy UBA, Correnspl 1, D-14195 Berlin, Germany.</t>
  </si>
  <si>
    <t>petra.apel@uba.de</t>
  </si>
  <si>
    <t>Kolossa-Gehring, Marike/0000-0001-8644-7564; ougier, eva/0000-0002-3080-606X</t>
  </si>
  <si>
    <t>European Union [733032]</t>
  </si>
  <si>
    <t>This project has received funding from the European Union's Horizon 2020 research and innovation program under grant agreement No 733032 HBM4EU, and received co-funding from the author's organisations. The authors thank all other participants that contributed to this work.</t>
  </si>
  <si>
    <t>1438-4639</t>
  </si>
  <si>
    <t>1618-131X</t>
  </si>
  <si>
    <t>INT J HYG ENVIR HEAL</t>
  </si>
  <si>
    <t>Int. J. Hyg. Environ. Health.</t>
  </si>
  <si>
    <t>10.1016/j.ijheh.2020.113622</t>
  </si>
  <si>
    <t>Public, Environmental &amp; Occupational Health; Infectious Diseases</t>
  </si>
  <si>
    <t>OK1CW</t>
  </si>
  <si>
    <t>WOS:000584390300022</t>
  </si>
  <si>
    <t>building information modeling; geographic information systems; real estate appraisal; cost approach; smart cities</t>
  </si>
  <si>
    <t>SPATIAL DEPENDENCE; PRICES</t>
  </si>
  <si>
    <t>[Arcuri, Natale] Univ Calabria, Dept Mech Energy &amp; Management Engn, I-87036 Arcavacata Di Rende, Italy; [De Ruggiero, Manuela; Salvo, Francesca; Zinno, Raffaele] Univ Calabria, Dept Environm Engn, I-87036 Arcavacata Di Rende, Italy</t>
  </si>
  <si>
    <t>De Ruggiero, M (corresponding author), Univ Calabria, Dept Environm Engn, I-87036 Arcavacata Di Rende, Italy.</t>
  </si>
  <si>
    <t>natale.arcuri@unical.it; manueladeruggiero@gmail.com; francesca.salvo@unical.it; raffaele.zinno@unical.it</t>
  </si>
  <si>
    <t>Arcuri, Natale/AFU-6821-2022; Zinno, Raffaele/AGJ-8150-2022</t>
  </si>
  <si>
    <t>Arcuri, Natale/0000-0003-2322-6523; Zinno, Raffaele/0000-0003-1533-6968; , Salvo Francesca/0000-0002-3085-3966</t>
  </si>
  <si>
    <t>University of Calabria, Italy [ARS01_00836]</t>
  </si>
  <si>
    <t>University of Calabria, Italy</t>
  </si>
  <si>
    <t>This research received a funding from the project ARS01_00836 COGITO-COGnitive dynamIc sysTem to allow buildings to learn and adapt, University of Calabria, Italy</t>
  </si>
  <si>
    <t>OK0AG</t>
  </si>
  <si>
    <t>van Eekelen, R; Eijkemans, MJ; Mochtar, M; Mol, F; Mol, BW; Groen, H; van Wely, M</t>
  </si>
  <si>
    <t>van Eekelen, R.; Eijkemans, M. J.; Mochtar, M.; Mol, F.; Mol, B. W.; Groen, H.; van Wely, M.</t>
  </si>
  <si>
    <t>Cost-effectiveness of medically assisted reproduction or expectant management for unexplained subfertility: when to start treatment?</t>
  </si>
  <si>
    <t>HUMAN REPRODUCTION</t>
  </si>
  <si>
    <t>medically assisted reproduction; unexplained subfertility; IVF; IUI; expectant management; cost-effectiveness; decision analytic model; Markov model; decision tree</t>
  </si>
  <si>
    <t>SPONTANEOUS PREGNANCY; EXTERNAL VALIDATION; ONGOING PREGNANCY; LIVE BIRTH; PREDICTION; COUPLES; TRIALS; IVF</t>
  </si>
  <si>
    <t>STUDY QUESTION Over a time period of 3 years, which order of expectant management (EM), IUI with ovarian stimulation (IUI-OS) and IVF is the most cost-effective for couples with unexplained subfertility with the female age below 38 years? SUMMARY ANSWER If a live birth is considered worth Euro32 000 or less, 2 years of EM followed by IVF was the most cost-effective, whereas above Euro32 000 this was 1 year of EM, 1 year of IUI-OS and then 1 year of IVF. WHAT IS KNOWN ALREADY IUI-OS and IVF are commonly used fertility treatments for unexplained subfertility although many couples can conceive naturally, as no identifiable barrier to conception could be found by definition. Few countries have guidelines on when to proceed with medically assisted reproduction (MAR), mostly based on the expected probability of live birth after treatment, but there is a lack of evidence to support the strategies proposed by these guidelines. The increased uptake of IUI-OS and IVF over the past decades and costs related to reimbursement of these treatments are pressing concerns to health service providers. For MAR to remain affordable, sustainable and a responsible use of public funds, guidance is needed on the cost-effectiveness of treatment strategies for unexplained subfertility, including EM. STUDY DESIGN, SIZE, DURATION We developed a decision analytic Markov model that follows couples with unexplained subfertility of which the woman is under 38 years of age for a time period of 3 years from completion of the fertility workup onwards. We divided the time axis of 3 years into three separate periods, each comprising 1 year. The model was based on contemporary evidence, most notably the dynamic prediction model for natural conception, which was combined with MAR treatment effects from a network meta-analysis on randomized controlled trials. We changed the order of options for managing unexplained subfertility for the 1 year periods to yield five different treatment policies in total: IVF-EM-EM (immediate IVF), EM-IVF-EM (delayed IVF), EM-EM-IVF (postponed IVF), IUIOS-IVF-EM (immediate IUI-OS) and EM-IUIOS-IVF (delayed IUI-OS). PARTICIPANTS/MATERIALS, SETTING, METHODS The main outcomes per policy over the 3-year period were the probability of live birth, the average treatment and delivery costs, the probability of multiple pregnancy, the incremental cost-effectiveness ratio (ICER) and finally, which policy yields the highest net benefit in which costs for a policy were deducted from the health effects, i.e. live births gained. We chose the Dutch societal perspective, but the model can be easily modified for other locations or other perspectives. The probability of live birth after EM was taken from the dynamic prediction model for natural conception and updated for Years 2 and 3. The relative effects of IUI-OS and IVF in terms of odds ratios, taken from the network meta-analysis, were applied to the probability of live birth after EM. We applied standard discounting procedures for economic analyses for Years 2 and 3. The uncertainty around effectiveness, costs and other parameters was assessed by probabilistic sensitivity analysis in which we drew values from distributions and repeated this procedure 20 000 times. In addition, we changed model assumptions to assess their influence on our results. MAIN RESULTS AND THE ROLE OF CHANCE From IVF-EM-EM to EM-IUIOS-IVF, the probability of live birth varied from approximately 54-64% and the average costs from approximately Euro4000 to Euro9000. The policies IVF-EM-EM and EM-IVF-EM were dominated by EM-EM-IVF as the latter yielded a higher cumulative probability of live birth at a lower cost. The policy IUIOS-IVF-EM was dominated by EM-IUIOS-IVF as the latter yielded a higher cumulative probability of live birth at a lower cost. After removal of policies that were dominated, the ICER for EM-IUIOS-IVF was approximately Euro31 000 compared to EM-EM-IVF. The range of ICER values between the lowest 25% and highest 75% of simulation replications was broad. The net benefit curve showed that when we assume a live birth to be worth approximately Euro20 000 or less, the policy EM-EM-IVF had the highest probability to achieve the highest net benefit. Between Euro20 000 and Euro50 000 monetary value per live birth, it was uncertain whether EM-EM-IVF was better than EM-IUIOS-IVF, with the turning point of Euro32 000. When we assume a monetary value per live birth over Euro50 000, the policy with the highest probability to achieve the highest net benefit was EM-IUIOS-IVF. Results for subgroups with different baseline prognoses showed the same policies dominated and the same two policies that were the most likely to achieve the highest net benefit but at different threshold values for the assumed monetary value per live birth. LIMITATIONS, REASONS FOR CAUTION Our model focused on population level and was thus based on average costs for the average number of cycles conducted. We also based the model on a number of key assumptions. We changed model assumptions to assess the influence of these assumptions on our results. The change in relative effectiveness of IVF over time was found to be highly influential on results and their interpretation. WIDER IMPLICATIONS OF THE FINDINGS EM-EM-IVF and EM-IUIOS-IVF followed by IVF were the most cost-effective policies. The choice depends on the monetary value assigned to a live birth. The results of our study can be used in discussions between clinicians, couples and policy makers to decide on a sustainable treatment protocol based on the probability of live birth, the costs and the limitations of MAR treatment. STUDY FUNDING/COMPETING INTEREST(S) This work was supported by the ZonMw Doelmatigheidsonderzoek (80-85200-98-91072). The funder had no role in the design, conduct or reporting of this work. B.W.M. is supported by a NHMRC Practitioner Fellowship (GNT1082548). B.W.M. reports consultancy for ObsEva, Merck KGaA and Guerbet and travel and research support from ObsEva, Merck and Guerbet. TRIAL REGISTRATION NUMBER N/A.</t>
  </si>
  <si>
    <t>[van Eekelen, R.; Mochtar, M.; Mol, F.; van Wely, M.] Locat Acad Med Ctr, Amsterdam UMC, Ctr Reprod Med, NL-1105 AZ Amsterdam, Netherlands; [Eijkemans, M. J.] Univ Med Ctr Utrecht, Dept Biostat &amp; Res Support, Julius Ctr, NL-3584 CX Utrecht, Netherlands; [Mol, B. W.] Monash Med Ctr, Dept Obstet &amp; Gynaecol, Clayton, Vic 3800, Australia; [Groen, H.] Univ Groningen, Univ Med Ctr Groningen, Dept Epidemiol, NL-9713 GZ Groningen, Netherlands</t>
  </si>
  <si>
    <t>van Eekelen, R (corresponding author), Acad Med Ctr, Ctr Reprod Med, Meibergdreef 9, NL-1105 AZ Amsterdam, Netherlands.</t>
  </si>
  <si>
    <t>r.vaneekelen@amsterdamumc.nl</t>
  </si>
  <si>
    <t>Groen, Henk/0000-0002-6629-318X; van Wely, Madelon/0000-0001-8263-213X; Mol, Ben Willem/0000-0001-8337-550X</t>
  </si>
  <si>
    <t>ZonMw, call Doelmatigheidsonderzoek (cost-effectiveness) [80-85200-9891072]; NHMRC Practitioner Fellowship [GNT1082548]</t>
  </si>
  <si>
    <t>ZonMw, call Doelmatigheidsonderzoek (cost-effectiveness); NHMRC Practitioner Fellowship(National Health and Medical Research Council (NHMRC) of Australia)</t>
  </si>
  <si>
    <t>This work was supported by a grant from ZonMw, call Doelmatigheidsonderzoek (cost-effectiveness), number 80-85200-9891072. The funder had no role in the design, conduct or reporting of this work. B.W.M. is supported by a NHMRC Practitioner Fellowship (GNT1082548).</t>
  </si>
  <si>
    <t>0268-1161</t>
  </si>
  <si>
    <t>1460-2350</t>
  </si>
  <si>
    <t>HUM REPROD</t>
  </si>
  <si>
    <t>Hum. Reprod.</t>
  </si>
  <si>
    <t>10.1093/humrep/deaa158</t>
  </si>
  <si>
    <t>Obstetrics &amp; Gynecology; Reproductive Biology</t>
  </si>
  <si>
    <t>OH6JR</t>
  </si>
  <si>
    <t>WOS:000582696900011</t>
  </si>
  <si>
    <t>solid biofuels; heating sector; barriers to market entry; solutions</t>
  </si>
  <si>
    <t>[Schmidt-Baum, Torsten; Thraen, Daniela] Deutsch Biomasseforschungszentrum Gemeinnutzige G, Torgauer Str 116, D-04347 Leipzig, Germany; [Thraen, Daniela] Helmholtz Zentrum Umweltforsch GmbH UFZ, Permoserstr 15, D-04318 Leipzig, Germany</t>
  </si>
  <si>
    <t>Schmidt-Baum, T (corresponding author), Deutsch Biomasseforschungszentrum Gemeinnutzige G, Torgauer Str 116, D-04347 Leipzig, Germany.</t>
  </si>
  <si>
    <t>daniela.thraen@ufz.de; torsten.schmidt-baum@dbfz.de</t>
  </si>
  <si>
    <t>European Research Council (ERC) under the European Union's Horizon 2020 research and innovation program [646495]</t>
  </si>
  <si>
    <t>European Research Council (ERC) under the European Union's Horizon 2020 research and innovation program(European Research Council (ERC))</t>
  </si>
  <si>
    <t>The research was funded by the European Research Council (ERC) under the European Union's Horizon 2020 research and innovation program, grant number 646495.</t>
  </si>
  <si>
    <t>OD6IA</t>
  </si>
  <si>
    <t>Soderholm, K; Soderholm, P</t>
  </si>
  <si>
    <t>Soderholm, Kristina; Soderholm, Patrik</t>
  </si>
  <si>
    <t>Industrial Energy Transitions and the Dynamics of Innovation Systems: The Swedish Pulp and Paper Industry, 1970-2010</t>
  </si>
  <si>
    <t>energy transitions; energy efficiency; R&amp;D; pulp and paper industry; policy</t>
  </si>
  <si>
    <t>RESEARCH-AND-DEVELOPMENT; DEEP DECARBONIZATION; SECTORAL SYSTEMS; POLICY; TECHNOLOGY; EFFICIENCY; PERSPECTIVE; SUSTAINABILITY; BIOREFINERIES; COLLABORATION</t>
  </si>
  <si>
    <t>This article provides a sectoral innovation system perspective of the development of energy efficient and clean process technologies in the Swedish pulp and paper industry. Specifically, the analysis elaborates the importance of knowledge development, actor networks, and institutions (including policy) for progressing and diffusing novel technologies related to energy use. The empirical analysis also sheds light on how significant changes in the sectoral innovation system have influenced the relevant research, development and demonstration activities in the Swedish pulp and paper industry over the period 1970-2010. The results are based on various sources-e.g., industry magazines, reports from industrial consultants and associations, minutes from meetings-and illustrate the importance of well-functioning innovation systems for successful technological development and diffusion processes. They display, in particular, the importance of joint, industry-wide R&amp;D activities, trust-based state-industry relationships, government R&amp;D expenditures, and intense information sharing. One important implication is that the role of policy stretches beyond the funding of basic R&amp;D. Policy also involves measures that strengthen existing actor networks, build competence, and secure the existence of research institutes that provide a bridge between basic knowledge generation (at the universities) on the one hand, and industrial application on the other.</t>
  </si>
  <si>
    <t>[Soderholm, Kristina] Lulea Univ Technol, Dept Business Adm Technol &amp; Social Sci ETS, Hist Unit, Technol &amp; Social Sci, S-97187 Lulea, Sweden; [Soderholm, Patrik] Lulea Univ Technol, Econ Unit, Dept Business Adm Technol &amp; Social Sci ETS, S-97187 Lulea, Sweden</t>
  </si>
  <si>
    <t>Soderholm, P (corresponding author), Lulea Univ Technol, Econ Unit, Dept Business Adm Technol &amp; Social Sci ETS, S-97187 Lulea, Sweden.</t>
  </si>
  <si>
    <t>kristina.soderholm@ltu.se; patrik.soderholm@ltu.se</t>
  </si>
  <si>
    <t>Soderholm, Kristina/0000-0001-5712-0589; Soderholm, Patrik/0000-0003-2264-7043</t>
  </si>
  <si>
    <t>Swedish Energy Agency; Swedish Research Council Formas</t>
  </si>
  <si>
    <t>Swedish Energy Agency(Swedish Energy AgencyMaterials &amp; Energy Research Center (MERC)); Swedish Research Council Formas(Swedish Research CouncilSwedish Research Council Formas)</t>
  </si>
  <si>
    <t>The research undertaken in preparation for this article was funded by the Swedish Energy Agency and the Swedish Research Council Formas.</t>
  </si>
  <si>
    <t>10.3390/environments7090070</t>
  </si>
  <si>
    <t>OA9VY</t>
  </si>
  <si>
    <t>WOS:000578128100001</t>
  </si>
  <si>
    <t>Kano model; patient's satisfaction; primary healthcare; quality attributes</t>
  </si>
  <si>
    <t>[Howsawi, Abdulaziz A.] Armed Forces Med Serv, Dept Med Adm, Riyadh, Saudi Arabia; [Althageel, Mamdouh F.] King Salman Hosp, Minist Hlth, Dept Family Med, Riyadh, Saudi Arabia; [Mohaideen, Noorulzaman K.] Minist Hlth, Dept Publ Hlth, Riyadh, Saudi Arabia; [Alzahrani, Abdulaziz S.] Minist Hlth, Cent Second Hlth Cluster, Dept Family Med, Riyadh, Saudi Arabia; [Alkhadir, Mohamed A.] Minist Hlth, Gen Directorate Hlth Affairs, Dept Publ Hlth, Tabuk, Saudi Arabia; [Alaqeel, Sulaiman M.] Natl Guard Hlth Affairs, Dept Pediat Surg, Riyadh, Saudi Arabia; [Alkathiri, Moath A.] Natl Guard Hlth Affairs, Dept Family &amp; Community Med, Riyadh, Saudi Arabia; [Hawsawi, Rayan A.] Umm Al Qura Univ, Coll Dent, Dept Restorat Dent, Mecca, Saudi Arabia</t>
  </si>
  <si>
    <t>Howsawi, AA (corresponding author), Minist Def, Armed Forces Med Serv, Dept Med Adm, POB 64295, Riyadh 11536, Saudi Arabia.</t>
  </si>
  <si>
    <t>azozhos@gmail.com</t>
  </si>
  <si>
    <t>WOLTERS KLUWER INDIA PVT LTD , A-202, 2ND FLR, QUBE, C T S  NO 1498A-2 VILLAGE MAROL, ANDHERI EAST, MUMBAI, 400059, INDIA</t>
  </si>
  <si>
    <t>J FAM COMMUNITY MED</t>
  </si>
  <si>
    <t>J. Fam. Community Med.</t>
  </si>
  <si>
    <t>NZ4US</t>
  </si>
  <si>
    <t>Barriers to care; quality of care; medical imaging; Ghana; effective communication</t>
  </si>
  <si>
    <t>SATISFACTION</t>
  </si>
  <si>
    <t>[Gadeka, Dominic Dormenyo; Esena, Reuben K.] Univ Ghana, Sch Publ Hlth, Legon, Ghana</t>
  </si>
  <si>
    <t>Gadeka, DD (corresponding author), Univ Ghana, Sch Publ Hlth, Dept Hlth Policy Planning &amp; Management, POB LG 13, Legon, Ghana.</t>
  </si>
  <si>
    <t>dgadeka@gmail.com</t>
  </si>
  <si>
    <t>Gadeka, Dominic Dormenyo/0000-0002-1583-4572</t>
  </si>
  <si>
    <t>J MED IMAGING RADIAT</t>
  </si>
  <si>
    <t>J. Med. Imaging Radiat. Sci.</t>
  </si>
  <si>
    <t>Radiology, Nuclear Medicine &amp; Medical Imaging</t>
  </si>
  <si>
    <t>NY9GQ</t>
  </si>
  <si>
    <t>Akpinar, G; Demir, MC</t>
  </si>
  <si>
    <t>Akpinar, Guleser; Demir, Mehmet Cihat</t>
  </si>
  <si>
    <t>Pediatric firearm injuries: A 5 year single-center experience</t>
  </si>
  <si>
    <t>ANNALS OF CLINICAL AND ANALYTICAL MEDICINE</t>
  </si>
  <si>
    <t>Emergency; Firearm injury; Violence; Childhood</t>
  </si>
  <si>
    <t>MORTALITY</t>
  </si>
  <si>
    <t>Aim: Firearm-related injuries are causes of severe morbidity and mortality among pediatric injuries. An average number of pediatric firearm violence incidents for the USA is about 20 000 annually. In this study, we aimed to evaluate firearm injuries in the pediatric population. We aimed to contribute to national data on firearm violence characteristics. Material and Method: In total, eleven patients admitted to the emergency department during a 5-year period with firearm injury were evaluated. The Glasgow Coma Scale (GCS), Injury Severity Score (ISS), injured body part, consulting knowledge, hospital stay duration, and the healing and mortality rates of the patients were described. Results: The majority of the victims were male (n=8, 72.7%), the average age was 12.7 years, the average GC and IS scores at the presentation were 14.6 and 27.45, respectively. The cause of rime was not reported in a significant number of the cases (n8, 72.7%), and extremities were the most wounded area. No mortality was reported in the study. Discussion: Firearm injuries are one of the common medicolegal issues. Because of violence in society, children may frequently be subjected to firearm injuries during incidents of crossfire, peer violence, and family conflicts. To date, there is limited information on short-term clinical outcomes and resource utilization in pediatric patients who sustain a firearm injury. Firearm-related injury is a life-threatening emergency that contributes to 0.3% of the total pediatric mortality in childhood for our country. Evaluation of firearm violence characteristics will lead to a better understanding of the incidences and will aid in establishing preventive policies.</t>
  </si>
  <si>
    <t>[Akpinar, Guleser; Demir, Mehmet Cihat] Duzce Univ, Dept Emergency Med, Sch Med, Konuralp Campus, TR-81620 Duzce, Turkey</t>
  </si>
  <si>
    <t>Akpinar, G (corresponding author), Duzce Univ, Dept Emergency Med, Sch Med, Konuralp Campus, TR-81620 Duzce, Turkey.</t>
  </si>
  <si>
    <t>guleserakpinarduman@gmail.com</t>
  </si>
  <si>
    <t>Demir, Mehmet Cihat/A-9087-2017</t>
  </si>
  <si>
    <t>Demir, Mehmet Cihat/0000-0002-0106-3383</t>
  </si>
  <si>
    <t>BAYRAKOL MEDICAL PUBLISHER</t>
  </si>
  <si>
    <t>ANKARA</t>
  </si>
  <si>
    <t>EMRAH MAHALLESI, GULGUN CADDESI, NO 62-58, KECIOREN, ANKARA, 06010, TURKEY</t>
  </si>
  <si>
    <t>2667-663X</t>
  </si>
  <si>
    <t>ANN CLIN ANAL MED</t>
  </si>
  <si>
    <t>Ann. Clin. Anal. Med.</t>
  </si>
  <si>
    <t>10.4328/ACAM.20249</t>
  </si>
  <si>
    <t>NT1BC</t>
  </si>
  <si>
    <t>WOS:000572684300019</t>
  </si>
  <si>
    <t>Angola; critical success factors; post-disaster reconstruction projects; project management and public projects</t>
  </si>
  <si>
    <t>MANAGEMENT; INFRASTRUCTURE; CHALLENGES</t>
  </si>
  <si>
    <t>[Sospeter, Nyamagere Gladys] Ardhi Univ, Dar Es Salaam, Tanzania; [Rwetamila, Pantaleo Daniel] Univ South Africa, Grad Sch Business Leadership, Pretoria, South Africa; [Gimbi, Joaquim] Angola &amp; Kimpa Vita Publ Univ, Govt Uige Prov, Econ Dev Cabinet, Cidade Do Uige, Angola</t>
  </si>
  <si>
    <t>Sospeter, NG (corresponding author), Ardhi Univ, Dar Es Salaam, Tanzania.</t>
  </si>
  <si>
    <t>nyamagere@yahoo.com; rwelapmd@unisa.ac.za; jggimbi@hotmail.com</t>
  </si>
  <si>
    <t>UNIV TECHNOLOGY, SYDNEY-UTS EPRESS</t>
  </si>
  <si>
    <t>SYDNEY</t>
  </si>
  <si>
    <t>BROADWAY, PO BOX 123, SYDNEY, NSW 2007, AUSTRALIA</t>
  </si>
  <si>
    <t>CONSTR ECON BUILD</t>
  </si>
  <si>
    <t>Constr. Econ. Build.</t>
  </si>
  <si>
    <t>NQ3JU</t>
  </si>
  <si>
    <t>Mangiuca, A</t>
  </si>
  <si>
    <t>Mangiuca, Adrian</t>
  </si>
  <si>
    <t>Nanoracks Low Earth Orbit Commercialization Study: Experiences and Outcomes</t>
  </si>
  <si>
    <t>NEW SPACE-THE JOURNAL OF SPACE ENTREPRENEURSHIP AND INNOVATION</t>
  </si>
  <si>
    <t>low Earth orbit; commercialization; public private partnerships</t>
  </si>
  <si>
    <t>This article discusses the conclusions and implications of Nanoracks' NASA-CommissionedLow Earth Orbit Commercialization Study, or LEOCOM. The objective of LEOCOM was to leverage Nanoracks' decade of expertise as a user of the International Space Station as a commercial platform to describe the commercial future of the low Earth orbit (LEO) economic ecosystem. To complete this study, Nanoracks collected a team of 13 commercial suppliers, service providers, users, and consultants. The data these partners provided were utilized by Nanoracks and combined with existing information on current markets to generate a set of key policy and market recommendations. The LEOCOM study specifically focused on the role that platforms play as lynchpins in the LEO economy. In particular, Nanoracks used theOutpostplatform as a baseline. Outposts are a Nanoracks concept for creating habitable volume from spent upper stages of multiple launch vehicles, in the case of the LEOCOM study, from United Launch Alliance (ULA) Centaur III and Centaur V stages. Once on orbit, robotic arms autonomously convert the stages after fuel venting, utilizing materials brought up to orbit in mission modules to complete full repurposing of the tanks before astronaut ingress. Although this is one among several platforms being considered by Nanoracks for future crewed platforms, costs associated with repurposing provide the core inputs to the financial model. As a result of this study, Nanoracks generated a higher resolution view of complexities involved in ensuring the sustainability of a LEO commercial marketplace. Coloring these conclusions was an underlining assumption that most actors would require some amount of government investment before attaining true sustainability, since a self-sustaining LEO economydoes not yet existin any appreciable form analogous to vibrant terrestrial markets. In this context, various critical insights were gleaned about the manner in which public and commercial actors could work together to efficiently set appropriate and long-term expectations of stability for government and private investor participation. Along with this analysis, Nanoracks took the unprecedented step of engaging key NASA staff in aPolicy Simulation. This simulation focused on 3 hypothetical scenarios that Nanoracks wrote in consultation with NASA, and those were composed with Nanoracks' best assumptions about what forms future real-world policy challenges might take. The purpose of this exercise was not necessarily to receive a response from NASA regarding any particular challenge, but rather to analyze the processes that NASA undertook to answer policy questions likely to arise in the operation of a commercial LEO space station.</t>
  </si>
  <si>
    <t>[Mangiuca, Adrian] Nanoracks LLC, 1424K St NW,2nd Floor, Washington, DC 20009 USA</t>
  </si>
  <si>
    <t>Mangiuca, A (corresponding author), Nanoracks LLC, 1424K St NW,2nd Floor, Washington, DC 20009 USA.</t>
  </si>
  <si>
    <t>amangiuca@nanoracks.com</t>
  </si>
  <si>
    <t>National Aeronautics and Space Administration [80JSC018C0024]</t>
  </si>
  <si>
    <t>National Aeronautics and Space Administration(National Aeronautics &amp; Space Administration (NASA))</t>
  </si>
  <si>
    <t>Funding Source for the LEO Commercialization Study was the National Aeronautics and Space Administration. The contract number was: 80JSC018C0024</t>
  </si>
  <si>
    <t>MARY ANN LIEBERT, INC</t>
  </si>
  <si>
    <t>NEW ROCHELLE</t>
  </si>
  <si>
    <t>140 HUGUENOT STREET, 3RD FL, NEW ROCHELLE, NY 10801 USA</t>
  </si>
  <si>
    <t>2168-0256</t>
  </si>
  <si>
    <t>2168-0264</t>
  </si>
  <si>
    <t>NEW SPACE</t>
  </si>
  <si>
    <t>New Space</t>
  </si>
  <si>
    <t>10.1089/space.2020.0003</t>
  </si>
  <si>
    <t>Engineering, Aerospace</t>
  </si>
  <si>
    <t>NQ0AW</t>
  </si>
  <si>
    <t>WOS:000570532400006</t>
  </si>
  <si>
    <t>sustainable development; goals; sustainability; deliberative democracy; public participation; political trust; government; mini-public; participatory budgeting; Australia</t>
  </si>
  <si>
    <t>STRUCTURED PUBLIC INVOLVEMENT; CITIZEN PARTICIPATION; DELIBERATIVE DEMOCRACY; WICKED PROBLEMS; GENERAL-THEORY; FRAMEWORK; FAIRNESS; PREFERENCES; TECHNOLOGY; GOVERNANCE</t>
  </si>
  <si>
    <t>[Weymouth, Robert; Hartz-Karp, Janette; Marinova, Dora] Curtin Univ, Sustainabil Policy CUSP Inst, Perth, WA 6102, Australia</t>
  </si>
  <si>
    <t>Weymouth, R (corresponding author), Curtin Univ, Sustainabil Policy CUSP Inst, Perth, WA 6102, Australia.</t>
  </si>
  <si>
    <t>robert.weymouth@postgrad.curtin.edu.au; J.Hartz-Karp@curtin.edu.au; D.Marinova@curtin.edu.au</t>
  </si>
  <si>
    <t>Australian Research Council Linkage grant [LP100200803]</t>
  </si>
  <si>
    <t>Australian Research Council Linkage grant(Australian Research Council)</t>
  </si>
  <si>
    <t>This research received financial support provided by the Australian Research Council Linkage grant (No. LP100200803).</t>
  </si>
  <si>
    <t>NO7OX</t>
  </si>
  <si>
    <t>Tabriz, AA; Flocke, SA; Shires, D; Dyer, KE; Schreiber, M; Lafata, JE</t>
  </si>
  <si>
    <t>Tabriz, Amir Alishahi; Flocke, Susan A.; Shires, Deirdre; Dyer, Karen E.; Schreiber, Michelle; Elston Lafata, Jennifer</t>
  </si>
  <si>
    <t>Logic model framework for considering the inputs, processes and outcomes of a healthcare organisation-research partnership</t>
  </si>
  <si>
    <t>BMJ QUALITY &amp; SAFETY</t>
  </si>
  <si>
    <t>delivery system science; health care stakeholder engagement; implementation science; knowledge co-production; quality improvement</t>
  </si>
  <si>
    <t>KNOWLEDGE TRANSLATION; IMPLEMENTATION; PERCEPTIONS; LEADERSHIP; DIFFUSION; PATIENT; SYSTEM; POWER</t>
  </si>
  <si>
    <t>Background The published literature provides few insights regarding how to develop or consider the effects of knowledge co-production partnerships in the context of delivery system science. Objective To describe how a healthcare organisation-university-based research partnership was developed and used to design, develop and implement a practice-integrated decision support tool for patients with a physician recommendation for colorectal cancer screening. Design Instrumental case study. Participants Data were ascertained from project documentation records and semistructured questionnaires sent to 16 healthcare organisation leaders and staff, research investigators and research staff members. Results Using a logic model framework, we organised the key inputs, processes and outcomes of a healthcare organisation-university-based research partnership. In addition to pragmatic researchers, partnership inputs included a healthcare organisation with a supportive practice environment and an executive-level project sponsor, a mid-level manager to serve as the organisational champion and continual access to organisational employees with relevant technical, policy and system/process knowledge. During programme design and implementation, partnership processes included using project team meetings, standing organisational meetings and one-on-one consultancies to provide platforms for shared learning and problem solving. Decision-making responsibility was shared between the healthcare organisation and research team. We discuss the short-term outcomes of the partnership, including how the partnership affected the current research team's knowledge and health system initiatives. Conclusion Using a logic model framework, we have described how a healthcare organisation-university-based research team partnership was developed. Others interested in developing, implementing and evaluating knowledge co-production partnerships in the context of delivery system science projects can use the experiences to consider ways to develop, implement and evaluate similar co-production partnerships.</t>
  </si>
  <si>
    <t>[Tabriz, Amir Alishahi] UNC Eshelman Sch Pharm, Div Pharmaceut Outcomes &amp; Policy, Chapel Hill, NC USA; [Flocke, Susan A.] Case Western Reserve Univ, Ctr Community Hlth Integrat, Cleveland, OH 44106 USA; [Flocke, Susan A.] Oregon Hlth &amp; Sci Univ, Dept Family Med, Portland, OR 97201 USA; [Shires, Deirdre] Michigan State Univ, Sch Social Work, E Lansing, MI 48824 USA; [Dyer, Karen E.] VA Greater Los Angeles Healthcare Syst, VA HSR&amp;D Ctr Study Healthcare Innovat Implementat, Los Angeles, CA USA; [Schreiber, Michelle] Henry Ford Hlth Syst, Detroit, MI USA; [Schreiber, Michelle] Ctr Medicare &amp; Medicaid Serv, Baltimore, MD USA; [Elston Lafata, Jennifer] Univ N Carolina, Div Pharmaceut Outcomes &amp; Policy, Chapel Hill, NC 27599 USA</t>
  </si>
  <si>
    <t>Lafata, JE (corresponding author), Univ N Carolina, Div Pharmaceut Outcomes &amp; Policy, Chapel Hill, NC 27599 USA.</t>
  </si>
  <si>
    <t>jel@email.unc.edu</t>
  </si>
  <si>
    <t>Elston Lafata, Jennifer/0000-0002-8550-6195; Dyer, Karen/0000-0002-9279-8675</t>
  </si>
  <si>
    <t>Division of Cancer Prevention, National Cancer Institute [R01CA197205]</t>
  </si>
  <si>
    <t>Division of Cancer Prevention, National Cancer Institute(United States Department of Health &amp; Human ServicesNational Institutes of Health (NIH) - USANIH National Cancer Institute (NCI))</t>
  </si>
  <si>
    <t>This study was funded by the Division of Cancer Prevention, National Cancer Institute (grant number R01CA197205).</t>
  </si>
  <si>
    <t>2044-5415</t>
  </si>
  <si>
    <t>2044-5423</t>
  </si>
  <si>
    <t>BMJ QUAL SAF</t>
  </si>
  <si>
    <t>BMJ Qual. Saf.</t>
  </si>
  <si>
    <t>10.1136/bmjqs-2019-010059</t>
  </si>
  <si>
    <t>NK9ES</t>
  </si>
  <si>
    <t>WOS:000567032500009</t>
  </si>
  <si>
    <t>Grid independence; Energy matching; Grid interaction; Performance assessment; Policy scenarios; Design decision making</t>
  </si>
  <si>
    <t>DEMAND-SIDE MANAGEMENT; ZERO-ENERGY BUILDINGS; SELF-CONSUMPTION; PV GENERATION; STORAGE; IMPACT; POWER; INDICATORS; RESOLUTION; SYSTEMS</t>
  </si>
  <si>
    <t>[Mohammadi, Zahra; Hoes, Pieter Jan; Hensen, Jan L. M.] Eindhoven Univ Technol TU e, Dept Built Environm, Unit Bldg Phys &amp; Serv, Eindhoven, Netherlands</t>
  </si>
  <si>
    <t>Mohammadi, Z (corresponding author), Eindhoven Univ Technol TU e, Dept Built Environm, Unit Bldg Phys &amp; Serv, Eindhoven, Netherlands.</t>
  </si>
  <si>
    <t>z.mohammadi@tue.nl</t>
  </si>
  <si>
    <t>PIT/VABI; SPARK consortium; TKI EnerGO TRECO-office</t>
  </si>
  <si>
    <t>The support of PIT/VABI, the SPARK consortium, and TKI EnerGO TRECO-office is greatly appreciated. This research was carried out as part of the IEA-EBC Annex 67 (Energy Flexible Buildings).</t>
  </si>
  <si>
    <t>MA2LB</t>
  </si>
  <si>
    <t>Collaborative governance; Regional water planning; Natural language processing</t>
  </si>
  <si>
    <t>ENVIRONMENTAL OUTCOMES; MANAGEMENT; IMPLEMENTATION; PARTICIPATION; FRAMEWORK; ISSUE; POWER</t>
  </si>
  <si>
    <t>[Bell, Emily] Duke Univ, Nicholas Sch Environm, Durham, NC 27708 USA; [Scott, Tyler A.] Univ Calif Davis, Dept Environm Sci &amp; Policy, Davis, CA 95616 USA</t>
  </si>
  <si>
    <t>Bell, E (corresponding author), Duke Univ, Nicholas Sch Environm, Durham, NC 27708 USA.</t>
  </si>
  <si>
    <t>emily.bell@duke.edu; Davis.tascott@ucdavis.edu</t>
  </si>
  <si>
    <t>LY0WW</t>
  </si>
  <si>
    <t>Diversity; Inclusive leadership; Inclusive culture; Organizational inclusion; Leader behavior; Organizational outcome</t>
  </si>
  <si>
    <t>QUALITATIVE RESEARCH; MEMBER EXCHANGE; MEDIATING ROLE; SELF-ESTEEM; DIVERSITY; WORK; PERFORMANCE; MANAGEMENT; WORKPLACE; BREAKING</t>
  </si>
  <si>
    <t>[Kuknor, Sunaina; Bhattacharya, Shubhasheesh] Symbiosis Int Univ, Symbiosis Inst Int Business, Symbiosis Inst Business Management Pune, Pune, Maharashtra, India</t>
  </si>
  <si>
    <t>Kuknor, S (corresponding author), Symbiosis Int Univ, Symbiosis Inst Int Business, Symbiosis Inst Business Management Pune, Pune, Maharashtra, India.</t>
  </si>
  <si>
    <t>sunainakuknor@sibmpune.edu.in; shubhasheeshbhattacharya@siib.ac.in</t>
  </si>
  <si>
    <t>Bhattacharya, Shubhasheesh/GNP-1916-2022; Bhattacharya, Shubhasheesh/U-2155-2017</t>
  </si>
  <si>
    <t>Bhattacharya, Shubhasheesh/0000-0003-4955-6758; Bhattacharya, Shubhasheesh/0000-0003-4955-6758; Kuknor, Sunaina/0000-0001-9901-2172</t>
  </si>
  <si>
    <t>EUR BUS REV</t>
  </si>
  <si>
    <t>Eur. Bus. Rev.</t>
  </si>
  <si>
    <t>MAR 26</t>
  </si>
  <si>
    <t>RJ7ZE</t>
  </si>
  <si>
    <t>Mayberry, D; Hatcher, S; Cowley, F</t>
  </si>
  <si>
    <t>Mayberry, Dianne; Hatcher, Sue; Cowley, Frances</t>
  </si>
  <si>
    <t>New skills, networks and challenges: the changing face of animal production science in Australia</t>
  </si>
  <si>
    <t>ANIMAL PRODUCTION SCIENCE</t>
  </si>
  <si>
    <t>consultants; farming systems; graduates; multi-disciplinary</t>
  </si>
  <si>
    <t>LIVESTOCK; MANAGEMENT; SALT; EWES</t>
  </si>
  <si>
    <t>Livestock producers are facing increasing pressure to reduce the environmental and animal-welfare impacts of production, while also managing the challenge of an increasingly variable climate and diminishing resources. This perspective paper highlights the role for animal scientists to contribute to the sustainability of future livestock systems. We argue the need for a broader, more inclusive and more integrated concept of animal science, better connections among scientists, producers, consumers and policy makers, and more support for the next generation of animal scientists. Animal scientists have an important role to play in providing the evidence to support the social licence of livestock production and inform decisions made by policy makers and consumers regarding the production and consumption of livestock products. Animal scientists can also assist producers to adapt to social, environmental and political challenges that affect their livelihoods and the way they farm. Traditionally, animal science has focussed on species- and discipline-specific areas of research such as ruminant nutrition, genetics or reproductive physiology. While this fundamental research remains essential to understand the underlying biology of livestock production and improve production efficiency, it needs to be better integrated into research applied at and beyond the herd or flock level. Systems thinkers who can apply this knowledge across farm, regional and national scales also have an important role in providing information to key decision makers, from farmers to national government. Better engagement with the social and economic sciences can inform how animal scientists and extension services interact with producers to understand constraints to production as well as adoption of new technology and co-develop evidence-based solutions. Underlying this, the demographics of those who study and work in animal science are changing. Australian animal industries require the best and brightest minds to overcome future challenges and engaging these students as the new face of Australian animal science is an essential step towards sustainable future livestock systems.</t>
  </si>
  <si>
    <t>[Mayberry, Dianne] CSIRO Agr &amp; Food, Queensland Biosci Precinct, 306 Carmody Rd, St Lucia, Qld 4067, Australia; [Hatcher, Sue] Makin Outcomes, POB 8358, Orange East, NSW 2800, Australia; [Hatcher, Sue] Charles Sturt Univ, Graham Ctr Agr Innovat, Boorooma St, North Wagga Wagga, NSW 2678, Australia; [Cowley, Frances] Univ New England, Sch Environm &amp; Rural Sci, Elm Ave, Armidale, NSW 2351, Australia</t>
  </si>
  <si>
    <t>Mayberry, D (corresponding author), CSIRO Agr &amp; Food, Queensland Biosci Precinct, 306 Carmody Rd, St Lucia, Qld 4067, Australia.</t>
  </si>
  <si>
    <t>dianne.mayberry@csiro.au</t>
  </si>
  <si>
    <t>Hatcher, Sue/C-7170-2011</t>
  </si>
  <si>
    <t>Hatcher, Sue/0000-0002-9047-6832; Cowley, Frances/0000-0002-6475-1503; Mayberry, Dianne/0000-0003-1584-8066</t>
  </si>
  <si>
    <t>1836-0939</t>
  </si>
  <si>
    <t>1836-5787</t>
  </si>
  <si>
    <t>ANIM PROD SCI</t>
  </si>
  <si>
    <t>Anim. Prod. Sci.</t>
  </si>
  <si>
    <t>10.1071/AN20115</t>
  </si>
  <si>
    <t>PT9KK</t>
  </si>
  <si>
    <t>WOS:000561932300001</t>
  </si>
  <si>
    <t>Amphibians; Application; Conservation genetics; Conservation practice; eDNA metabarcoding; Gene flow</t>
  </si>
  <si>
    <t>ENVIRONMENTAL DNA; MIGRATION RATES; MICROSATELLITE; INDIVIDUALS; INFERENCE; PATTERNS; PACKAGE; COMPLEX; RADSEQ; FLOW</t>
  </si>
  <si>
    <t>[Holderegger, Rolf; Csencsics, Daniela; Rellstab, Christian] WSL Swiss Fed Res Inst, Zurcherstr 111, CH-8903 Birmensdorf, Switzerland; [Holderegger, Rolf] Swiss Fed Inst Technol, Dept Environm Syst Sci, CH-8092 Zurich, Switzerland; [Schmidt, Benedikt R.] Univ Zurich, Dept Evolutionary Biol &amp; Environm Studies, CH-8057 Zurich, Switzerland; [Schmidt, Benedikt R.] Info Fauna Karch, CH-2000 Neuchatel, Switzerland; [Gruenig, Christoph] Microsynth Ecogen GmbH, CH-9436 Balgach, Switzerland; [Meier, Robert; Gassner, Martin] ARNAL AG, CH-9100 Herisau, Switzerland; [Stapfer, Andre] HSR High Sch Appl Sci Rapperswil, CH-8640 Rapperswil Jona, Switzerland</t>
  </si>
  <si>
    <t>Holderegger, R (corresponding author), WSL Swiss Fed Res Inst, Zurcherstr 111, CH-8903 Birmensdorf, Switzerland.;Holderegger, R (corresponding author), Swiss Fed Inst Technol, Dept Environm Syst Sci, CH-8092 Zurich, Switzerland.</t>
  </si>
  <si>
    <t>rolf.holderegger@wsl.ch; benedikt.schmidt@ieu.uzh.ch; christoph.gruenig@microsynth.ch; robert.meier@arnal.ch; daniela.csencsics@icloud.com; martin.gassner@arnal.ch; christian.rellstab@wsl.ch; andre.stapfer@hsr.ch</t>
  </si>
  <si>
    <t>Rellstab, Christian/D-6460-2012; Schmidt, Benedikt R./B-8491-2008</t>
  </si>
  <si>
    <t>Rellstab, Christian/0000-0002-0221-5975; Schmidt, Benedikt R./0000-0002-4023-1001</t>
  </si>
  <si>
    <t>Lib4RI - Library for the Research Institutes within the ETH Domain: Eawag, Empa, PSI WSL; InnoSuisse [19204.1 PFLS-LS]; Swiss Federal Office for the Environment BAFU; Swiss canton of Argovia; Swiss canton of Appenzell Ausserrhoden; Swiss canton of Berne; Swiss canton of Geneva; Swiss canton of Lucerne; Swiss canton of Ob- and Nidwalden; Swiss canton of Schaffhausen; Swiss canton of Thurgau; Swiss canton of Uri; Swiss canton of Zug; Swiss canton of Zurich; Austrian state Salzburg</t>
  </si>
  <si>
    <t>Lib4RI - Library for the Research Institutes within the ETH Domain: Eawag, Empa, PSI WSL; InnoSuisse; Swiss Federal Office for the Environment BAFU; Swiss canton of Argovia; Swiss canton of Appenzell Ausserrhoden; Swiss canton of Berne; Swiss canton of Geneva; Swiss canton of Lucerne; Swiss canton of Ob- and Nidwalden; Swiss canton of Schaffhausen; Swiss canton of Thurgau; Swiss canton of Uri; Swiss canton of Zug; Swiss canton of Zurich; Austrian state Salzburg</t>
  </si>
  <si>
    <t>Open Access funding provided by Lib4RI - Library for the Research Institutes within the ETH Domain: Eawag, Empa, PSI &amp; WSL. We thank InnoSuisse (Grant 19204.1 PFLS-LS), the Swiss Federal Office for the Environment BAFU, the Swiss cantons of Argovia, Appenzell Ausserrhoden, Berne, Geneva, Lucerne, Ob- and Nidwalden, Schaffhausen, Thurgau, Uri, Zug and Zurich and the Austrian state Salzburg for financial support. We thank Michael Buchalsky and Irene Biebach for the provision of microsatellite data, and two reviewers for helpful comments on an earlier version of the manuscript.</t>
  </si>
  <si>
    <t>CONSERV GENET RESOUR</t>
  </si>
  <si>
    <t>Conserv. Genet. Resour.</t>
  </si>
  <si>
    <t>Biodiversity Conservation; Genetics &amp; Heredity</t>
  </si>
  <si>
    <t>Biodiversity &amp; Conservation; Genetics &amp; Heredity</t>
  </si>
  <si>
    <t>NX1OM</t>
  </si>
  <si>
    <t>Green Published, Green Accepted, hybrid</t>
  </si>
  <si>
    <t>Mental health; young people; prevention; schools; population</t>
  </si>
  <si>
    <t>[Hoare, Erin; Berk, Michael] Deakin Univ, Sch Med, IMPACT, Barwon Hlth, Geelong, Vic, Australia; [Hoare, Erin] Deakin Univ, Food &amp; Mood Ctr, Sch Med, IMPACT,Barwon Hlth, Geelong, Vic, Australia; [Thorp, Andrew; Bartholomeusz-Raymond, Nadine; McCoy, Alicia] Beyond Blue, Melbourne, Vic, Australia; [Berk, Michael] Univ Melbourne, Natl Ctr Excellence Youth Mental Hlth, Florey Inst, Orygen, Parkville, Vic, Australia; [Berk, Michael] Univ Melbourne, Dept Psychiat, Parkville, Vic, Australia</t>
  </si>
  <si>
    <t>Hoare, E (corresponding author), Deakin Univ, Food &amp; Mood Ctr, Sch Med, IMPACT,Barwon Hlth, Geelong, Vic, Australia.</t>
  </si>
  <si>
    <t>erin.hoare1@deakin.edu.au</t>
  </si>
  <si>
    <t>Berk, Michael/0000-0002-5554-6946; McCoy, Alicia/0000-0002-3811-4551; Hoare, Erin/0000-0001-6186-0221</t>
  </si>
  <si>
    <t>Australian Government's Department of Health, National Support for Child and Youth Mental Health program; National Health and Medical Research Council Early Career Fellowship [APP1156909]; National Health and Medical Research Council (NHMRC) Senior Principal Research Fellowship [APP1059660, APP1156072]</t>
  </si>
  <si>
    <t>Australian Government's Department of Health, National Support for Child and Youth Mental Health program; National Health and Medical Research Council Early Career Fellowship(National Health and Medical Research Council (NHMRC) of Australia); National Health and Medical Research Council (NHMRC) Senior Principal Research Fellowship(National Health and Medical Research Council (NHMRC) of Australia)</t>
  </si>
  <si>
    <t>The author(s) disclosed receipt of the following financial support for the research, authorship and/or publication of this article: Be You is funded by the Australian Government's Department of Health, National Support for Child and Youth Mental Health program. E.H. is supported by a National Health and Medical Research Council Early Career Fellowship (APP1156909). M.B. is supported by a National Health and Medical Research Council (NHMRC) Senior Principal Research Fellowship (APP1059660 and APP1156072).</t>
  </si>
  <si>
    <t>AUST NZ J PSYCHIAT</t>
  </si>
  <si>
    <t>Aust. N. Z. J. Psych.</t>
  </si>
  <si>
    <t>ON6NK</t>
  </si>
  <si>
    <t>Process evaluation; Partnership; Collaboration; Global health research; Expectations</t>
  </si>
  <si>
    <t>DISPARITIES; GOVERNANCE; FRAMEWORK</t>
  </si>
  <si>
    <t>[Kalbarczyk, Anna; Rao, Aditi; Decker, Ellie; Alonge, Olakunle O.] Johns Hopkins Bloomberg Sch Publ Hlth, Dept Int Hlth, 615 N Wolfe St, Baltimore, MD 21205 USA; [Mahendradhata, Yodi] Univ Gadjah Mada, Fac Med Publ Hlth &amp; Nursing, Yogyakarta, Indonesia; [Majumdar, Piyusha] Indian Inst Hlth Management Res, Jaipur, Rajasthan, India; [Anwar, Humayra Binte] BRAC Univ, BRAC James P Grant Sch Publ Hlth, Dhaka, Bangladesh; [Akinyemi, Oluwaseun O.] Univ Ibadan, Coll Med, Dept Hlth Policy &amp; Management, Ibadan, Nigeria; [Rahimi, Ahmad Omid] Global Innovat Consultancy Serv, Kabul, Afghanistan; [Kayembe, Patrick] Univ Kinshasa, Sch Publ Hlth, Kinshasa, DEM REP CONGO</t>
  </si>
  <si>
    <t>Kalbarczyk, A (corresponding author), Johns Hopkins Bloomberg Sch Publ Hlth, Dept Int Hlth, 615 N Wolfe St, Baltimore, MD 21205 USA.</t>
  </si>
  <si>
    <t>akalbarc@jhu.edu</t>
  </si>
  <si>
    <t>Mahendradhata, Yodi/0000-0002-4522-1785; Akinyemi, Oluwaseun/0000-0003-4135-1459; Rao, Aditi/0000-0003-4966-5778; Majumdar, Piyusha/0000-0003-0373-7887; Kalbarczyk, Anna/0000-0002-6143-8634; Alonge, Olakunle/0000-0001-7642-2806; Decker, Ellie/0000-0003-1317-9276</t>
  </si>
  <si>
    <t>Bill and Melinda Gates Foundation - Bill and Melinda Gates Foundation</t>
  </si>
  <si>
    <t>This study is funded by the Bill and Melinda Gates Foundation. The funder did not play any role in writing the protocol, interpreting the data, or in writing this manuscript. The funder provided and coordinated external peer-review for the study proposal. Publication costs were funded by the Bill and Melinda Gates Foundation.</t>
  </si>
  <si>
    <t>NE7KN</t>
  </si>
  <si>
    <t>Polish</t>
  </si>
  <si>
    <t>life cycle assessment; LCA; environmental footprint; environmental performance</t>
  </si>
  <si>
    <t>[Niemczewska, Joanna] Panstwowy Inst Badawczy, Inst Nafty &amp; Gazu, Zakladzie Inzynierii Strzelniczej &amp; Srodowiskowej, Ul Lubicz 25 A, PL-31503 Krakow, Poland; [Zaleska-Bartosz, Joanna] Panstwowy Inst Badawczy, Inst Nafty &amp; Gazu, Zakladu Ocen Srodowiskowych, Ul Lubicz 25 A, PL-31503 Krakow, Poland</t>
  </si>
  <si>
    <t>Niemczewska, J (corresponding author), Panstwowy Inst Badawczy, Inst Nafty &amp; Gazu, Zakladzie Inzynierii Strzelniczej &amp; Srodowiskowej, Ul Lubicz 25 A, PL-31503 Krakow, Poland.</t>
  </si>
  <si>
    <t>joanna.niemczewska@inig.pl; zaleska-bartosz@inig.pl</t>
  </si>
  <si>
    <t>INST OIL &amp; GAS</t>
  </si>
  <si>
    <t>KRAKOW</t>
  </si>
  <si>
    <t>UL LUBICZ 25 A, KRAKOW, 31503, POLAND</t>
  </si>
  <si>
    <t>NAFT-GAZ</t>
  </si>
  <si>
    <t>Naft.-Gaz</t>
  </si>
  <si>
    <t>Engineering, Petroleum</t>
  </si>
  <si>
    <t>PC0XS</t>
  </si>
  <si>
    <t>groundwater use; rainwater harvesting; residential development; urban infill; water efficiency; water sensitive urban design (WSUD)</t>
  </si>
  <si>
    <t>IMPACT; ENERGY; SYSTEM; HOME</t>
  </si>
  <si>
    <t>[Byrne, Joshua; Breadsell, Jessica K.] Curtin Univ, Curtin Univ Sustainabil Policy Inst, Perth, WA 6102, Australia; [Taylor, Mark; Wheeler, Tom] Josh Byrne &amp; Associates, Fremantle, WA 6160, Australia</t>
  </si>
  <si>
    <t>Breadsell, JK (corresponding author), Curtin Univ, Curtin Univ Sustainabil Policy Inst, Perth, WA 6102, Australia.</t>
  </si>
  <si>
    <t>joshua.byrne@curtin.edu.au; mark@joshbyrne.com.au; wheelertom03@gmail.com; Jessica.breadsell@curtin.edu.au</t>
  </si>
  <si>
    <t>Byrne, Josh/AAP-6000-2021; Breadsell, Jessica/GLU-8702-2022</t>
  </si>
  <si>
    <t>Cooperative Research Centre for Low Carbon Living, an Australian Government initiative; Water Corporation</t>
  </si>
  <si>
    <t>This research received funding from the Cooperative Research Centre for Low Carbon Living, an Australian Government initiative, and was also supported byWater Corporation.</t>
  </si>
  <si>
    <t>OC1HJ</t>
  </si>
  <si>
    <t>Farm advisory services; Knowledge-intensive business services; Pesticides; Potato; Health; France</t>
  </si>
  <si>
    <t>ADVISORY SERVICES; EXTENSION SERVICES; KNOWLEDGE; MANAGEMENT; ADVISERS; COMMERCIALIZATION; FRAGMENTATION; TRANSITION; CHALLENGES; PROVISION</t>
  </si>
  <si>
    <t>[Dhiab, H.; Labarthe, P.; Laurent, C.] Inrae, Umr Sad Apt, 16 Rue Claude Bernard, F-75231 Paris 5, France; [Dhiab, H.] Community Coll Qatar, Off 71,Lusail Female Campus, Lusail, Qatar; [Labarthe, P.] Inrae, Umr Agir, BP 52627, F-31326 Castanet Tolosan, France</t>
  </si>
  <si>
    <t>Laurent, C (corresponding author), Inrae, Umr Sad Apt, 16 Rue Claude Bernard, F-75231 Paris 5, France.</t>
  </si>
  <si>
    <t>hana_dhiab@yahoo.com; pierre.labarthe@inrae.fr; catherine.laurent@inrae.fr</t>
  </si>
  <si>
    <t>French National Institute for Agronomic Research (INRA); INRA meta programme Sustainable management of crop health [Smach P102-11]</t>
  </si>
  <si>
    <t>French National Institute for Agronomic Research (INRA); INRA meta programme Sustainable management of crop health</t>
  </si>
  <si>
    <t>This work was financed by the French National Institute for Agronomic Research (INRA) which is a public research institute. It has benefited from a grant from the INRA meta programme Sustainable management of crop health (Smach P102-11).</t>
  </si>
  <si>
    <t>Food Policy</t>
  </si>
  <si>
    <t>Agricultural Economics &amp; Policy; Economics; Food Science &amp; Technology; Nutrition &amp; Dietetics</t>
  </si>
  <si>
    <t>Agriculture; Business &amp; Economics; Food Science &amp; Technology; Nutrition &amp; Dietetics</t>
  </si>
  <si>
    <t>NN4RJ</t>
  </si>
  <si>
    <t>Acoustic measurements; Sound absorption coefficient; Measurement uncertainty; Building materials; Sustainability; Small-scale reverberation room</t>
  </si>
  <si>
    <t>COEFFICIENTS; CHAMBER; FIELD; TIME</t>
  </si>
  <si>
    <t>[Shtrepi, Louena] Politecn Torino, Turin, Italy; [Prato, Andrea] INRiM Ist Nazl Ric Metrol, Turin, Italy</t>
  </si>
  <si>
    <t>Shtrepi, L (corresponding author), Dept Energy DENERG, Corso Duca Abruzzi 24, I-10129 Turin, Italy.</t>
  </si>
  <si>
    <t>louena.shtrepi@polito.it; a.prato@inrim.it</t>
  </si>
  <si>
    <t>Prato, Andrea/0000-0003-3733-4189; Shtrepi, Louena/0000-0002-0794-9695</t>
  </si>
  <si>
    <t>APPL ACOUST</t>
  </si>
  <si>
    <t>Appl. Acoust.</t>
  </si>
  <si>
    <t>Acoustics</t>
  </si>
  <si>
    <t>LJ3QR</t>
  </si>
  <si>
    <t>Clinical ethics; Organizational ethics; Physician assisted suicide; Euthanasia; Medical aid in dying</t>
  </si>
  <si>
    <t>INFORMED-CONSENT; EUTHANASIA</t>
  </si>
  <si>
    <t>[Cherry, Mark J.] St Edwards Univ, Sch Arts &amp; Humanities, Dept Philosophy, 3001 S Congress Ave, Austin, TX 78704 USA</t>
  </si>
  <si>
    <t>Cherry, MJ (corresponding author), St Edwards Univ, Sch Arts &amp; Humanities, Dept Philosophy, 3001 S Congress Ave, Austin, TX 78704 USA.</t>
  </si>
  <si>
    <t>markc@stedwards.edu</t>
  </si>
  <si>
    <t>Cherry, Mark/AAL-7173-2021</t>
  </si>
  <si>
    <t>HEC Forum</t>
  </si>
  <si>
    <t>Ethics</t>
  </si>
  <si>
    <t>MZ5PL</t>
  </si>
  <si>
    <t>Construction project; Oil and gas; Yemen; Risk factors</t>
  </si>
  <si>
    <t>COST OVERRUNS; INFRASTRUCTURE PROJECTS; DEVELOPING-COUNTRIES; MANAGEMENT PRACTICES; DELAY; TIME; PERFORMANCE; INDUSTRY; IMPACT; MODEL</t>
  </si>
  <si>
    <t>[Kassem, Mukhtar A.; Khoiry, Muhamad Azry; Hamzah, Noraini] Univ Kebangsaan Malaysia, Fac Engn &amp; Built Environm, Dept Civil Engn, Bangi, Malaysia</t>
  </si>
  <si>
    <t>Kassem, MA (corresponding author), Univ Kebangsaan Malaysia, Fac Engn &amp; Built Environm, Dept Civil Engn, Bangi, Malaysia.</t>
  </si>
  <si>
    <t>mukhtarkas@gmail.com</t>
  </si>
  <si>
    <t>RW8JJ</t>
  </si>
  <si>
    <t>combined assurance; determinants; integrated thinking and reporting; stakeholder; sustainability</t>
  </si>
  <si>
    <t>SOCIAL-RESPONSIBILITY ASSURANCE; ENVIRONMENTAL DISCLOSURE; 3RD-PARTY ASSURANCE; CORPORATE; QUALITY; INSIGHTS; GOVERNANCE; LEGITIMACY; IMPACT; CSR</t>
  </si>
  <si>
    <t>[Maroun, Warren; Prinsloo, Andre] Univ Witwatersrand, Sch Accountancy, Johannesburg, South Africa</t>
  </si>
  <si>
    <t>Maroun, W (corresponding author), Univ Witwatersrand, Sch Accountancy, Johannesburg, South Africa.</t>
  </si>
  <si>
    <t>warren.maroun@wits.ac.za</t>
  </si>
  <si>
    <t>National Research Foundation of South Africa [11825]</t>
  </si>
  <si>
    <t>National Research Foundation of South Africa(National Research Foundation - South Africa)</t>
  </si>
  <si>
    <t>National Research Foundation of South Africa, Grant/Award Number: 11825</t>
  </si>
  <si>
    <t>PA2UD</t>
  </si>
  <si>
    <t>Climate change governance; emission trading; hybrid organization; social network analysis; China</t>
  </si>
  <si>
    <t>ENVIRONMENTAL GOVERNANCE; BRIDGING ORGANIZATIONS; GUANGDONG; EVOLUTION; COMANAGEMENT; POLITICS; POLICIES; ENERGY; RIVER</t>
  </si>
  <si>
    <t>[Chen, Kang] Qianhai Inno Tech Investment Holdings Co Ltd, Shenzhen, Peoples R China; [Lo, Alex Y.] Victoria Univ Wellington, New Zealand Climate Change Res Inst, Sch Geog Environm &amp; Earth Sci, Room 128,Cotton Bldg,21 Kelburn Parade,POB 600, Wellington 6140, New Zealand</t>
  </si>
  <si>
    <t>Lo, AY (corresponding author), Victoria Univ Wellington, New Zealand Climate Change Res Inst, Sch Geog Environm &amp; Earth Sci, Room 128,Cotton Bldg,21 Kelburn Parade,POB 600, Wellington 6140, New Zealand.</t>
  </si>
  <si>
    <t>alex.lo@vuw.ac.nz</t>
  </si>
  <si>
    <t>National Natural Science Foundation of China [41601605]</t>
  </si>
  <si>
    <t>This work was supported by National Natural Science Foundation of China [grant number 41601605]. The useful advice and support provided by the China Emissions Exchange throughout the research process are greatly appreciated.</t>
  </si>
  <si>
    <t>J ENVIRON POL PLAN</t>
  </si>
  <si>
    <t>J. Environ. Pol. Plan.</t>
  </si>
  <si>
    <t>Development Studies; Regional &amp; Urban Planning</t>
  </si>
  <si>
    <t>Development Studies; Public Administration</t>
  </si>
  <si>
    <t>PT2NJ</t>
  </si>
  <si>
    <t>Oware, KM; Mallikarjunappa, T</t>
  </si>
  <si>
    <t>Oware, Kofi Mintah; Mallikarjunappa, T.</t>
  </si>
  <si>
    <t>Assurance service and performance. Effect of CEO characteristics</t>
  </si>
  <si>
    <t>MEDITARI ACCOUNTANCY RESEARCH</t>
  </si>
  <si>
    <t>Financial performance; CEO tenure; Resource dependency theory; Social performance disclosure; Assurance service providers; CEO age</t>
  </si>
  <si>
    <t>SUSTAINABILITY ASSURANCE; ENVIRONMENTAL DISCLOSURE; CORPORATE GOVERNANCE; RESOURCE DEPENDENCE; SOCIAL DISCLOSURES; AGE; IMPACT; EXPERIENCE; OWNERSHIP; INSIGHTS</t>
  </si>
  <si>
    <t>Purpose The purpose of this study is to investigate the impact of the choice of an assurance service provider on financial and social performance in an emerging economy. The study also examines whether the chief executive officer's (CEO) characteristics influence the choice of an assurance service provider. Design/methodology/approach This study uses descriptive statistics, ordinary least square and probit regression to examine the 800 firm-year observations for the period 2010-2019 and with the Indian stock market as a testing ground. Findings The study shows that the engagement of assurance service providers reduces financial performance (stock price returns and Tobin'sq). The study also shows that consulting firms and auditing firms improve the social performance disclosure of the firm in an emerging economy. However, consulting firms outweigh auditing firms in improving social performance disclosure. Also, the implementation of mandatory reporting may slightly impede instead of an increase in social performance disclosure in an emerging economy. The study also shows that ageing CEOs prefer consulting firms over auditing firms in assurance service provision. Finally, the study shows that an extended stay in office by a CEO improves the choice of consulting firms, but the effect has a near-neutral significance. Originality/value The choice of CEO characteristics as an independent variable adds to the factors or drivers that cause the choice of an assurance service provider in an emerging economy. Also, the measurement variable of stock price returns and Tobin'sqexpands the financial performance measurement in the relationship with assurance service providers.</t>
  </si>
  <si>
    <t>[Oware, Kofi Mintah] Mangalore Univ, Dept Business Adm, Konaje, India; [Mallikarjunappa, T.] Cent Univ Kerala, Int Business Sch Business Studies, Dept Commerce, Kasaragod, India</t>
  </si>
  <si>
    <t>Oware, KM (corresponding author), Mangalore Univ, Dept Business Adm, Konaje, India.</t>
  </si>
  <si>
    <t>owaremintah@hotmail.wm</t>
  </si>
  <si>
    <t>oware, kofi Mintah/AAP-3417-2020; Thathaiah, Mallikarjunappa/ABC-9585-2021</t>
  </si>
  <si>
    <t>oware, kofi Mintah/0000-0003-1136-2894; Thathaiah, Mallikarjunappa/0000-0001-6993-052X</t>
  </si>
  <si>
    <t>2049-372X</t>
  </si>
  <si>
    <t>2049-3738</t>
  </si>
  <si>
    <t>MEDITARI ACCOUNT RES</t>
  </si>
  <si>
    <t>Meditari Account. Res.</t>
  </si>
  <si>
    <t>10.1108/MEDAR-03-2020-0802</t>
  </si>
  <si>
    <t>RI3YT</t>
  </si>
  <si>
    <t>WOS:000553189000001</t>
  </si>
  <si>
    <t>Silver, HC; Zinsser, KM</t>
  </si>
  <si>
    <t>Silver, H. Callie; Zinsser, Katherine M.</t>
  </si>
  <si>
    <t>The Interplay among Early Childhood Teachers' Social and Emotional Well-Being, Mental Health Consultation, and Preschool Expulsion</t>
  </si>
  <si>
    <t>EARLY EDUCATION AND DEVELOPMENT</t>
  </si>
  <si>
    <t>BEHAVIOR PROBLEMS; YOUNG-CHILDREN; MATERNAL DEPRESSION; EDUCATION-PROGRAMS; TRAUMATIC EVENTS; SCHOOL CLIMATE; CARE QUALITY; PERCEPTIONS; CLASSROOM; RATINGS</t>
  </si>
  <si>
    <t>Research Findings The present study examines the associations between various elements of a teacher's social-emotional well-being and context and her requests for the permanent removal of a child from her classroom. Specifically, the current study explores teachers' perceptions of their emotional intelligence, levels of depression, classroom-level externalizing behaviors, and center climate. Using self-report survey data from teachers at community-based preschools in a large Midwestern city (N= 124), logistic regressions predicting teachers' expulsion requests shed light on associated factors. Findings indicate that teachers with greater levels of depression are more likely to request that a child be expelled from their care but that this association is attenuated by their centers' utilization of infant/early childhood mental health consultation services. Teacher-reported emotional intelligence, perceptions of their students' externalizing behaviors, and center climate were not significantly associated with expulsion requests.Practice or Policy: This study contributes to our growing understanding of two pressing issues in early childhood education: teacher well-being and exclusionary discipline. Findings suggest that attending to teacher mental health and early childhood mental health consultants may be important in reducing rates of exclusionary discipline in early education settings.</t>
  </si>
  <si>
    <t>[Silver, H. Callie; Zinsser, Katherine M.] Univ Illinois, Dept Psychol, Chicago, IL 60607 USA</t>
  </si>
  <si>
    <t>Silver, HC (corresponding author), Univ Illinois, Dept Psychol, Chicago, IL 60607 USA.</t>
  </si>
  <si>
    <t>hsilve2@uic.edu</t>
  </si>
  <si>
    <t>Zinsser, Katherine/0000-0002-5946-020X</t>
  </si>
  <si>
    <t>NAEd/Spencer Foundation Postdoctoral Fellowship</t>
  </si>
  <si>
    <t>This study was funded by a NAEd/Spencer Foundation Postdoctoral Fellowship awarded to Dr. Katherine M. Zinsser.</t>
  </si>
  <si>
    <t>1040-9289</t>
  </si>
  <si>
    <t>1556-6935</t>
  </si>
  <si>
    <t>EARLY EDUC DEV</t>
  </si>
  <si>
    <t>Early Educ. Dev.</t>
  </si>
  <si>
    <t>10.1080/10409289.2020.1785267</t>
  </si>
  <si>
    <t>Education &amp; Educational Research; Psychology, Educational; Psychology, Developmental</t>
  </si>
  <si>
    <t>Education &amp; Educational Research; Psychology</t>
  </si>
  <si>
    <t>NI5RE</t>
  </si>
  <si>
    <t>WOS:000547646600001</t>
  </si>
  <si>
    <t>Allsopp, L; Sterling, DA; Spence, E; Aryal, S</t>
  </si>
  <si>
    <t>Allsopp, Leslie; Sterling, David A.; Spence, Emily; Aryal, Subhash</t>
  </si>
  <si>
    <t>Dissemination of Evidence-Based School Asthma Management Programs: Piloting Asthma 411 in an Urban Texas School District</t>
  </si>
  <si>
    <t>JOURNAL OF SCHOOL HEALTH</t>
  </si>
  <si>
    <t>asthma; standing delegated order; stock albuterol; dissemination and implementation; absenteeism; consolidated framework for implementation research</t>
  </si>
  <si>
    <t>UNITED-STATES; ACADEMIC-ACHIEVEMENT; CONSULTING PHYSICIAN; HEALTH-PROGRAMS; PUBLIC-HEALTH; EDUCATION; IMPLEMENTATION; DISPARITIES; SUSTAINABILITY; ABSENTEEISM</t>
  </si>
  <si>
    <t>BACKGROUND The dissemination and implementation (D&amp;I) of evidence-based initiative (EBIs) is critical to improved public health. The Asthma 411 EBI was piloted in Texas from 2013 to 2015. The pilot's evaluation assessed its effectiveness and identified approaches to support D&amp;I of school-health EBIs. METHODS The pilot study was conducted in two schools; service categories included: a consulting physician, enhanced school asthma services, and support for links to community health resources. Data was collected on Emergency Medical Service (EMS) calls, aggregated nursing services, demographic characteristics, availability of medication provided through existing policies, and informal interviews. RESULTS During the pilot, school-day asthma-related Emergency Medical Service (EMS) calls were eliminated. Documented asthma self-management education, authorization for rescue medication, and efforts to communicate with parents and health providers increased. Between year-1 and year-2, the gap between unadjusted, weighted mean absences among students with and without asthma was reduced by 1.1 days. However, this difference was not seen in a fully adjusted negative, binomial regression model. CONCLUSIONS Evaluation of the Asthma 411 pilot suggests many EBI benefits were retained and identifies factors that may facilitate D&amp;I of school health EBIs. Future research will clarify impacts on absenteeism and determine if observed benefits are sustained.</t>
  </si>
  <si>
    <t>[Allsopp, Leslie] Univ North Texas, Hlth Sci Ctr, SaferCare Texas, 3500 Camp Bowie Blvd, Ft Worth, TX 76107 USA; [Sterling, David A.] Univ North Texas, Hlth Sci Ctr, Biostat &amp; Epidemiol, 3500 Camp Bowie Blvd, Ft Worth, TX 76107 USA; [Spence, Emily] Univ North Texas, Hlth Sci Ctr, Community Engagement &amp; Hlth Equ, 3500 Camp Bowie Blvd, Ft Worth, TX 76107 USA; [Spence, Emily] Univ North Texas, Hlth Sci Ctr, 3500 Camp Bowie Blvd, Ft Worth, TX 76107 USA; [Aryal, Subhash] Univ Penn, Sch Nursing, BECCA Lab, Philadelphia, PA 19104 USA; [Aryal, Subhash] Univ Penn, Sch Nursing, Philadelphia, PA 19104 USA; [Aryal, Subhash] SaferCare Texas, 3500 Camp Bowie Blvd, Ft Worth, TX 76107 USA</t>
  </si>
  <si>
    <t>Allsopp, L (corresponding author), Univ North Texas, Hlth Sci Ctr, SaferCare Texas, 3500 Camp Bowie Blvd, Ft Worth, TX 76107 USA.</t>
  </si>
  <si>
    <t>leslieallsopp@unthsc.edu</t>
  </si>
  <si>
    <t>Ongoing support has been provided by an anonymous community donor [Not Applicable] Funding Source: Medline; The pilot was funded in part by GlaxoSmithKline and Boehringer Ingelheim Funding Source: Medline</t>
  </si>
  <si>
    <t>Ongoing support has been provided by an anonymous community donor; The pilot was funded in part by GlaxoSmithKline and Boehringer Ingelheim</t>
  </si>
  <si>
    <t>0022-4391</t>
  </si>
  <si>
    <t>1746-1561</t>
  </si>
  <si>
    <t>J SCHOOL HEALTH</t>
  </si>
  <si>
    <t>J. Sch. Health</t>
  </si>
  <si>
    <t>10.1111/josh.12909</t>
  </si>
  <si>
    <t>Education &amp; Educational Research; Education, Scientific Disciplines; Health Care Sciences &amp; Services; Public, Environmental &amp; Occupational Health</t>
  </si>
  <si>
    <t>Education &amp; Educational Research; Health Care Sciences &amp; Services; Public, Environmental &amp; Occupational Health</t>
  </si>
  <si>
    <t>ML9IS</t>
  </si>
  <si>
    <t>WOS:000546353900001</t>
  </si>
  <si>
    <t>Bin Aslam, H; Alarcon, P; Yaqub, T; Iqbal, M; Hasler, B</t>
  </si>
  <si>
    <t>Bin Aslam, Hassaan; Alarcon, Pablo; Yaqub, Tahir; Iqbal, Munir; Hasler, Barbara</t>
  </si>
  <si>
    <t>A Value Chain Approach to Characterize the Chicken Sub-sector in Pakistan</t>
  </si>
  <si>
    <t>FRONTIERS IN VETERINARY SCIENCE</t>
  </si>
  <si>
    <t>Pakistan; chickens; production systems; mapping; value chains</t>
  </si>
  <si>
    <t>MEAT INDUSTRY; POULTRY; FRAMEWORK; VIRUSES; NAIROBI; POLICY</t>
  </si>
  <si>
    <t>The chicken industry of Pakistan is a major livestock sub-sector, playing a pivotal role in economic growth and rural development. This study aimed to characterize and map the structure of broiler and layer production systems, associated value chains, and chicken disease management in Pakistan. Qualitative data were collected in 23 key informant interviews and one focus group discussion on the types of production systems, inputs, outputs, value addition, market dynamics, and disease management. Quantitative data on proportions of commodity flows were also obtained. Value chain maps were generated to illustrate stakeholder groups and their linkages, as well as flows of birds and products. Thematic analysis was conducted to explain the functionality of the processes, governance, and disease management. Major chicken production systems were: (1) Environmentally controlled production (97-98%) and (2) Open-sided house production (2-3%). Broiler management systems were classified as (I) Independent broiler production; (II) Partially integrated broiler production; and (III) Fully integrated broiler production, accounting for 65-75, 15-20, and 10-15% of commercial broiler meat supply, respectively. The management systems for layers were classified as (I) Partially integrated layer production and (II) Independent layer production, accounting for 10 and 80-85% in the egg production, respectively. The share of backyard birds for meat and eggs was 10-15%. Independent, and integrated systems for chicken production could be categorized in terms of value chain management, dominance of actors, type of finished product and target customers involved. Integrated systems predominantly targeted high-income customers and used formal infrastructure. Numerous informal chains were identified in independent and some partially integrated systems, with middlemen playing a key role in the distribution of finished birds and eggs. Structural deficiencies in terms of poor farm management, lack of regulations for ensuring good farming practices and price fixing of products were key themes identified. Both private and public stakeholders were found to have essential roles in passive disease surveillance, strategy development and provision of health consultancies. This study provides a foundation for policy-makers and stakeholders to investigate disease transmission, its impact and control and the structural deficiencies identified could inform interventions to improve performance of the poultry sector in Pakistan.</t>
  </si>
  <si>
    <t>[Bin Aslam, Hassaan; Alarcon, Pablo; Hasler, Barbara] Royal Vet Coll RVC, Dept Pathobiol &amp; Populat Sci, Vet Epidemiol Econ &amp; Publ Hlth Grp, London, England; [Bin Aslam, Hassaan; Iqbal, Munir] Pirbright Inst, Avian Influenza Virus Grp, Woking, Surrey, England; [Bin Aslam, Hassaan; Yaqub, Tahir] Univ Vet &amp; Anim Sci, Dept Microbiol, Lahore, Pakistan</t>
  </si>
  <si>
    <t>Bin Aslam, H (corresponding author), Royal Vet Coll RVC, Dept Pathobiol &amp; Populat Sci, Vet Epidemiol Econ &amp; Publ Hlth Grp, London, England.;Bin Aslam, H (corresponding author), Pirbright Inst, Avian Influenza Virus Grp, Woking, Surrey, England.;Bin Aslam, H (corresponding author), Univ Vet &amp; Anim Sci, Dept Microbiol, Lahore, Pakistan.</t>
  </si>
  <si>
    <t>hbinaslam@rvc.ac.uk</t>
  </si>
  <si>
    <t>Haesler, Barbara/I-5485-2014</t>
  </si>
  <si>
    <t>Haesler, Barbara/0000-0001-6073-9526; Iqbal, Munir/0000-0001-5165-5339</t>
  </si>
  <si>
    <t>Biotechnology and Biological Sciences Research Council (BBSRC); Department for International Development; Economic &amp; Social Research Council; Medical Research Council; Natural Environment Research Council; Defense Science &amp; Technology Laboratory [BB/L018853/1, BB/S013792/1, BB/N503563/1]; BBSRC [BB/L018853/1, BB/S011269/1, BB/S013792/1, BBS/E/I/00007030, BB/R012679/1, 1815378] Funding Source: UKRI</t>
  </si>
  <si>
    <t>Biotechnology and Biological Sciences Research Council (BBSRC)(UK Research &amp; Innovation (UKRI)Biotechnology and Biological Sciences Research Council (BBSRC)); Department for International Development; Economic &amp; Social Research Council(UK Research &amp; Innovation (UKRI)Economic &amp; Social Research Council (ESRC)); Medical Research Council(UK Research &amp; Innovation (UKRI)Medical Research Council UK (MRC)European Commission); Natural Environment Research Council(UK Research &amp; Innovation (UKRI)Natural Environment Research Council (NERC)); Defense Science &amp; Technology Laboratory; BBSRC(UK Research &amp; Innovation (UKRI)Biotechnology and Biological Sciences Research Council (BBSRC))</t>
  </si>
  <si>
    <t>This work was funded by the Biotechnology and Biological Sciences Research Council (BBSRC), the Department for International Development, the Economic &amp; Social Research Council, the Medical Research Council, the Natural Environment Research Council, and the Defense Science &amp; Technology Laboratory, under the Zoonosis and Emerging Livestock Systems (ZELS) award nos. BB/L018853/1, BB/S013792/1, and BBSRC ZELS-AS award no. BB/N503563/1.</t>
  </si>
  <si>
    <t>2297-1769</t>
  </si>
  <si>
    <t>FRONT VET SCI</t>
  </si>
  <si>
    <t>Front. Vet. Sci.</t>
  </si>
  <si>
    <t>10.3389/fvets.2020.00361</t>
  </si>
  <si>
    <t>Veterinary Sciences</t>
  </si>
  <si>
    <t>MR7NL</t>
  </si>
  <si>
    <t>gold, Green Published, Green Accepted</t>
  </si>
  <si>
    <t>WOS:000553777600001</t>
  </si>
  <si>
    <t>Currie, K; Laidlaw, R; Ness, V; Gozdzielewska, L; Malcom, W; Sneddon, J; Seaton, RA; Flowers, P</t>
  </si>
  <si>
    <t>Currie, Kay; Laidlaw, Rebecca; Ness, Valerie; Gozdzielewska, Lucyna; Malcom, William; Sneddon, Jacqueline; Seaton, Ronald Andrew; Flowers, Paul</t>
  </si>
  <si>
    <t>Mechanisms affecting the implementation of a national antimicrobial stewardship programme; multi-professional perspectives explained using normalisation process theory</t>
  </si>
  <si>
    <t>ANTIMICROBIAL RESISTANCE AND INFECTION CONTROL</t>
  </si>
  <si>
    <t>Antimicrobial stewardship programme; Multi-professional perspectives; Qualitative research; Normalisation process theory</t>
  </si>
  <si>
    <t>ANTIBIOTIC STEWARDSHIP; CARE; INTERVENTIONS; HOSPITALS; BEHAVIOR; BARRIERS; NURSE</t>
  </si>
  <si>
    <t>Background Antimicrobial stewardship (AMS) describes activities concerned with safe-guarding antibiotics for the future, reducing drivers for the major global public health threat of antimicrobial resistance (AMR), whereby antibiotics are less effective in preventing and treating infections. Appropriate antibiotic prescribing is central to AMS. Whilst previous studies have explored the effectiveness of specific AMS interventions, largely from uni-professional perspectives, our literature search could not find any existing evidence evaluating the processes of implementing an integrated national AMS programme from multi-professional perspectives. Methods This study sought to explain mechanisms affecting the implementation of a national antimicrobial stewardship programme, from multi-professional perspectives. Data collection involved in-depth qualitative telephone interviews with 27 implementation lead clinicians from 14/15 Scottish Health Boards and 15 focus groups with doctors, nurses and clinical pharmacists (n = 72) from five Health Boards, purposively selected for reported prescribing variation. Data was first thematically analysed, barriers and enablers were then categorised, and Normalisation Process Theory (NPT) was used as an interpretive lens to explain mechanisms affecting the implementation process. Analysis addressed the NPT questions 'which group of actors have which problems,in which domains, and what sort of problems impact on the normalisation of AMS into everyday hospital practice'. Results Results indicated that major barriers relate to organisational context and resource availability. AMS had coherence for implementation leads and prescribing doctors; less so for consultants and nurses who may not access training. Conflicting priorities made obtaining buy-in from some consultants difficult; limited role perceptions meant few nurses or clinical pharmacists engaged with AMS. Collective individual and team action to implement AMS could be constrained by lack of medical continuity and hierarchical relationships. Reflexive monitoring based on audit results was limited by the capacity of AMS Leads to provide direct feedback to practitioners. Conclusions This study provides original evidence of barriers and enablers to the implementation of a national AMS programme, from multi-professional, multi-organisational perspectives. The use of a robust theoretical framework (NPT) added methodological rigour to the findings. Our results are of international significance to healthcare policy makers and practitioners seeking to strengthen the sustainable implementation of hospital AMS programmes in comparable contexts.</t>
  </si>
  <si>
    <t>[Currie, Kay; Laidlaw, Rebecca; Ness, Valerie; Gozdzielewska, Lucyna; Flowers, Paul] Glasgow Caledonian Univ, Glasgow, Lanark, Scotland; [Malcom, William] Hlth Protect Scotland, Glasgow, Lanark, Scotland; [Sneddon, Jacqueline] Healthcare Improvement Scotland, Glasgow, Lanark, Scotland; [Seaton, Ronald Andrew] Queen Elizabeth Univ Hosp, NHS Greater Glasgow &amp; Clyde, Glasgow, Lanark, Scotland</t>
  </si>
  <si>
    <t>Currie, K (corresponding author), Glasgow Caledonian Univ, Glasgow, Lanark, Scotland.</t>
  </si>
  <si>
    <t>k.currie@gcu.ac.uk</t>
  </si>
  <si>
    <t>Sneddon, Jacqueline/AAE-8788-2021</t>
  </si>
  <si>
    <t>Sneddon, Jacqueline/0000-0003-1926-9491</t>
  </si>
  <si>
    <t>Health Protection Scotland</t>
  </si>
  <si>
    <t>This study was funded by Health Protection Scotland, in order to generate evidence for policy development. The Clinical Lead from the funding body (WM) was involved in advising on background information, practicalities of design for participant access, interpreting the clinical context of the findings, and commenting on drafts of the manuscript.</t>
  </si>
  <si>
    <t>2047-2994</t>
  </si>
  <si>
    <t>ANTIMICROB RESIST IN</t>
  </si>
  <si>
    <t>Antimicrob. Resist. Infect. Control</t>
  </si>
  <si>
    <t>JUL 2</t>
  </si>
  <si>
    <t>10.1186/s13756-020-00767-w</t>
  </si>
  <si>
    <t>Public, Environmental &amp; Occupational Health; Infectious Diseases; Microbiology; Pharmacology &amp; Pharmacy</t>
  </si>
  <si>
    <t>MJ8ZV</t>
  </si>
  <si>
    <t>gold, Green Accepted, Green Published, Green Submitted</t>
  </si>
  <si>
    <t>WOS:000548377000001</t>
  </si>
  <si>
    <t>Petitimbert, R; Guimont, C</t>
  </si>
  <si>
    <t>Petitimbert, Remy; Guimont, Clemence</t>
  </si>
  <si>
    <t>Political consequences of biodiversity offsetting implementation : a neo-managerial overlooked tool</t>
  </si>
  <si>
    <t>DEVELOPPEMENT DURABLE &amp; TERRITOIRES</t>
  </si>
  <si>
    <t>French</t>
  </si>
  <si>
    <t>offsetting; New Public Management; quantification; substituability; irreversible consequences</t>
  </si>
  <si>
    <t>Since the biodiversity law in 2016, biological offsetting, which is traduced by consulting firms, is an adaptation of performance logic induced by New Public Management. Biodiversity offsets are determined by consulting firms. It is based on quantification and substitutability of biodiversity, which contributes to reduce complexity of interdependencies between natural environment and social environment in order to respond to NPM goals of efficiency and results. It aims at promote economical value of biodiversity at the expense of ecosystemic value. In a context of biodiversity crisis, we should emphasize the shifting between biodiversity offsetting tool (in order to contain biodiversity crisis) and their irreversible ecological consequences.</t>
  </si>
  <si>
    <t>[Petitimbert, Remy] Univ Lille, Sci Polit, Lille, France; [Petitimbert, Remy; Guimont, Clemence] Univ Lille, Lille, France; [Guimont, Clemence] Univ Lorraine, ATER, Inst Adm &amp; Entreprises, Nancy, France</t>
  </si>
  <si>
    <t>Petitimbert, R (corresponding author), Univ Lille, Sci Polit, Lille, France.;Petitimbert, R (corresponding author), Univ Lille, Lille, France.</t>
  </si>
  <si>
    <t>RESEAU DEVELOPPEMENT DURABLE &amp; TERRITOIRES FRAGILES</t>
  </si>
  <si>
    <t>VILLENEUVE D ASCQ</t>
  </si>
  <si>
    <t>RESEAU DEVELOPPEMENT DURABLE &amp; TERRITOIRES FRAGILES, VILLENEUVE D ASCQ, 00000, FRANCE</t>
  </si>
  <si>
    <t>1772-9971</t>
  </si>
  <si>
    <t>DEV DURABLE TERRIT</t>
  </si>
  <si>
    <t>Dev. Durable Territ.</t>
  </si>
  <si>
    <t>10.4000/developpementdurable.17493</t>
  </si>
  <si>
    <t>OR5JY</t>
  </si>
  <si>
    <t>WOS:000589507600009</t>
  </si>
  <si>
    <t>Construction Sector; Cost Analysis; Pakistan; Stakeholders</t>
  </si>
  <si>
    <t>PROJECTS; OVERRUNS; DELAY</t>
  </si>
  <si>
    <t>[Shaikh, Fazal Ali; Odhano, Nasurullah] Univ Sindh, Allama II Kazi Campus, Jamshoro 76080, Sindh, Pakistan; [Kaliannan, Suaathi] Univ Tun Hussein Onn Malaysia, Parit Raja 86400, Johor, Malaysia</t>
  </si>
  <si>
    <t>Shaikh, FA (corresponding author), Univ Sindh, Allama II Kazi Campus, Jamshoro 76080, Sindh, Pakistan.</t>
  </si>
  <si>
    <t>fazalshaikhpk@gmail.com</t>
  </si>
  <si>
    <t>C EJ PUBLISHING GROUP</t>
  </si>
  <si>
    <t>TEHRAN</t>
  </si>
  <si>
    <t>DR KAVIANPOUR OFF, 3RD FL CIVIL ENGINEERING FAC, K N TOOSI UNIV TECHNOLOGY, TEHRAN, 00000, IRAN</t>
  </si>
  <si>
    <t>CIV ENG J-TEHRAN</t>
  </si>
  <si>
    <t>Civ. Eng, J.-Tehran</t>
  </si>
  <si>
    <t>MY8UC</t>
  </si>
  <si>
    <t>global economic slowdown; Latin America; socio-economic stagnation; the elephant curve; middle class situation; mass protests; COVID-19 effect</t>
  </si>
  <si>
    <t>[Yakovlev, Petr P.; Yakovleva, Nailya M.] Russian Acad Sci, Inst Latin Amer Studies, 21-16 B Ordynka Str, Moscow 115035, Russia; [Yakovlev, Petr P.] Plekhanov Russian Univ Econ, 36 Stremyanny Per, Moscow 117997, Russia</t>
  </si>
  <si>
    <t>Yakovlev, PP (corresponding author), Russian Acad Sci, Inst Latin Amer Studies, 21-16 B Ordynka Str, Moscow 115035, Russia.;Yakovlev, PP (corresponding author), Plekhanov Russian Univ Econ, 36 Stremyanny Per, Moscow 117997, Russia.</t>
  </si>
  <si>
    <t>petrp.yakovlev@yandex.ru; nel-yakovleva@yandex.ru</t>
  </si>
  <si>
    <t>ML6NI</t>
  </si>
  <si>
    <t>Environmental valuation; Pragmatic sociology; Forest conservation; Oil palm; High carbon stock; Local communities</t>
  </si>
  <si>
    <t>SUSTAINABLE PALM OIL; ROUND-TABLE; DEGRADATION; STANDARDS; KNOWLEDGE</t>
  </si>
  <si>
    <t>[Cheyns, Emmanuelle] Univ Montpellier, Ciheam, Montpellier Supagro, Cirad UMR MOISA,Cirad,Inra, TA C-99-15,73 Rue Jean Francois Breton, F-34398 Montpellier 5, France; [Silva-Castaneda, Laura] Catholic Univ Louvain, Ctr Etud Dev, 1 Pl Montesquieu, B-1348 Louvain La Neuve, Belgium; [Silva-Castaneda, Laura] Univ Paris Est, IFRIS, LISIS, 5 Blvd Descartes, F-77454 Marne La Vallee 02, France; [Aubert, Pierre-Marie] Inst Dev Durable &amp; Relat Int Iddri, 27 Rue St Guillaume, F-75337 Paris 07, France</t>
  </si>
  <si>
    <t>Cheyns, E (corresponding author), Univ Montpellier, Ciheam, Montpellier Supagro, Cirad UMR MOISA,Cirad,Inra, TA C-99-15,73 Rue Jean Francois Breton, F-34398 Montpellier 5, France.</t>
  </si>
  <si>
    <t>emmanuelle.cheyns@cirad.fr; laurasilvacasta@gmail.com; pierremarie.aubert@iddri.org</t>
  </si>
  <si>
    <t>AUBERT, Pierre-Marie/0000-0002-0177-8127</t>
  </si>
  <si>
    <t>French government [ANR-10-LABX-14-01, ANR-11-AGRO-0007]</t>
  </si>
  <si>
    <t>French government</t>
  </si>
  <si>
    <t>This research received funding from the French government in the framework of the programme Investissements d'avenir and of the project SPOP managed by the French national agency for research, respectively under the references ANR-10-LABX-14-01 and ANR-11-AGRO-0007.</t>
  </si>
  <si>
    <t>LZ3TB</t>
  </si>
  <si>
    <t>alcohol; care; teams; alcohol strategy; sustainable development goals</t>
  </si>
  <si>
    <t>LANCET STANDING COMMISSION; LIVER-DISEASE; EMERGENCY-DEPARTMENT; MISUSING PATIENTS; CONSUMPTION; INTERVENTION; METAANALYSIS; OBESITY; BURDEN; IMPACT</t>
  </si>
  <si>
    <t>[Moriarty, Kieran John] British Soc Gastroenterol, London NW1 4LB, England</t>
  </si>
  <si>
    <t>Moriarty, KJ (corresponding author), British Soc Gastroenterol, London NW1 4LB, England.</t>
  </si>
  <si>
    <t>drkieranmoriarty@aol.com</t>
  </si>
  <si>
    <t>FRONTLINE GASTROENTE</t>
  </si>
  <si>
    <t>Frontline Gastroenterol.</t>
  </si>
  <si>
    <t>Gastroenterology &amp; Hepatology</t>
  </si>
  <si>
    <t>MB9UV</t>
  </si>
  <si>
    <t>chillers; energy efficiency; India</t>
  </si>
  <si>
    <t>[Mukherjee, P. K.; Gibbs, Eric; Walia, Archana; Taylor, Colin] CLASP, Policy &amp; Anal, New Delhi, India</t>
  </si>
  <si>
    <t>Gibbs, E (corresponding author), CLASP, Climate, New Delhi 20005, India.</t>
  </si>
  <si>
    <t>egibbs@clasp.ngo</t>
  </si>
  <si>
    <t>ClimateWorks Foundation; John D. and Catherine T. MacArthur Foundation; United States Department of Energy</t>
  </si>
  <si>
    <t>ClimateWorks Foundation; John D. and Catherine T. MacArthur Foundation; United States Department of Energy(United States Department of Energy (DOE))</t>
  </si>
  <si>
    <t>ClimateWorks Foundation; The John D. and Catherine T. MacArthur Foundation; United States Department of Energy</t>
  </si>
  <si>
    <t>WILEY PERIODICALS, INC</t>
  </si>
  <si>
    <t>ONE MONTGOMERY ST, SUITE 1200, SAN FRANCISCO, CA 94104 USA</t>
  </si>
  <si>
    <t>WIRES ENERGY ENVIRON</t>
  </si>
  <si>
    <t>Wiley Interdiscip. Rev. Energy Environ.</t>
  </si>
  <si>
    <t>LY4NS</t>
  </si>
  <si>
    <t>Development; Bangladesh; climate change; embankments; knowledge production</t>
  </si>
  <si>
    <t>[Dewan, Camelia] Univ Oslo, Dept Social Anthropol, Oslo, Norway</t>
  </si>
  <si>
    <t>Dewan, C (corresponding author), Univ Oslo, Dept Social Anthropol, Oslo, Norway.</t>
  </si>
  <si>
    <t>camelia.dewan@sai.uio.no</t>
  </si>
  <si>
    <t>Dewan, Camelia/AAU-8930-2020</t>
  </si>
  <si>
    <t>Dewan, Camelia/0000-0003-3377-2413</t>
  </si>
  <si>
    <t>Bloomsbury Colleges through Birkbeck College; Bloomsbury Colleges through SOAS; Norwegian Research Council [275204/F10]; Norges Forskningsrad</t>
  </si>
  <si>
    <t>Bloomsbury Colleges through Birkbeck College; Bloomsbury Colleges through SOAS; Norwegian Research Council(Research Council of NorwayEuropean Commission); Norges Forskningsrad</t>
  </si>
  <si>
    <t>This research was funded by Bloomsbury Colleges through a PhD studentship at Birkbeck College and SOAS (2013-2017); and writing up through the Norwegian Research Council under [grant number 275204/F10]; Norges Forskningsrad.</t>
  </si>
  <si>
    <t>MAY 27</t>
  </si>
  <si>
    <t>1U3NA</t>
  </si>
  <si>
    <t>Nazam, M; Hashim, M; Baig, SA; Abrar, M; Shabbir, R</t>
  </si>
  <si>
    <t>Nazam, Muhammad; Hashim, Muhammad; Baig, Sajjad Ahmad; Abrar, Muhammad; Shabbir, Rizwan</t>
  </si>
  <si>
    <t>Modeling the key barriers of knowledge management adoption in sustainable supply chain</t>
  </si>
  <si>
    <t>Sustainability; Food sector; Knowledge management; Barriers; Fuzzy AHP</t>
  </si>
  <si>
    <t>PERFORMANCE-MEASUREMENT; GREEN; CONSUMPTION; AHP; INNOVATION; FRAMEWORK; SELECTION; INITIATIVES; CAPABILITY; PRESSURES</t>
  </si>
  <si>
    <t>Purpose The food industry is crucial in delivering healthy products for life saving of the society. The identification of key barriers of knowledge management (KM) is desired to enhance the sustainability of the industry. KM has been seen as a part of sustainable development by reducing the bullwhip effect in the entire supply chain. The core objective of the existing research is to prioritize the essential factors of KM adoption in sustainable supply chain (SSC) based on fuzzy analytical hierarchy process (FAHP) method. Design/methodology/approach In order to fulfill objectives of this study, an extensive review of literature and a questionnaire-based field visits were conducted. A total of five major barriers categories and 22 sub-barriers categories were identified in food sector of Pakistan using experts' inputs. This study employed fuzzy analytical hierarchy process (FAHP). Findings Managerial barriers, innovation and technological barriers categories are found to be highly prioritized among others. Further, the sensitivity analysis is applied to check the incremental changes of ranked barriers. This prioritization of barriers and incremental changes in them is expected to serve food sector for long-term sustainability and competitive advantage for importers and exporters. Finally, the findings of this research are very helpful for industrial experts, practitioners, consultants and government officials in effectively developing policies regarding KM adoption in line with sustainable goals. Research limitations/implications The present work is conducted in the Pakistani context; however, the benchmark model may be tested and applied to other developing countries to compare the outcomes. For further research, the identified barriers may also be evaluated to establish their inter-relationships, using ISM, DEMATEL, ANP, etc. Similarly, the results of this study can also be compared with that of other fuzzy multi-criteria techniques like fuzzy TOPSIS, fuzzy VIKOR, fuzzy ELECTRE, fuzzy PROMETHEE, or fuzzy VIKOR. Practical implications This research study can facilitate policymakers, government bodies, stakeholders and supply chain professionals to recognize the key barriers they may encounter in adopting KM practices in their SSC. Additionally, this work helps managers to evaluate the identified barriers by computing their relative importance in adopting KM practices at managerial levels like strategically, tactically and operationally activities in business. This study also facilitates industrial management in formulating policies and action plans in case of implementation, eliminating the barriers in adoption of KM, and SSC successfully. Originality/value Few research studies were conducted on KM adoption in industries of China, India, Turkey, Saudi Arabia and Malaysia, but due to workforce diversity these industries have dissimilar views of experts about KM adoption. This study significantly contributed to fill the existing literature gap for prioritization of key barriers against KM implementation in Pakistani context.</t>
  </si>
  <si>
    <t>[Nazam, Muhammad] Univ Agr Faisalabad, Inst Business Management Sci, Faisalabad, Pakistan; [Hashim, Muhammad; Baig, Sajjad Ahmad] Natl Text Univ, Dept Management Sci, Faisalabad, Pakistan; [Abrar, Muhammad; Shabbir, Rizwan] Govt Coll Univ Faisalabad, Lyallpur Business Sch, Faisalabad, Pakistan</t>
  </si>
  <si>
    <t>Hashim, M (corresponding author), Natl Text Univ, Dept Management Sci, Faisalabad, Pakistan.</t>
  </si>
  <si>
    <t>nazim_ehsas@yahoo.com; hashimscu@gmail.com; sajjad@ntu.edu.pk; abrarphd@gmail.com; rizwanshabbir@gcuf.edu.pk</t>
  </si>
  <si>
    <t>ABRAR, MUHAMMAD/C-2302-2015; baig, sajjad ahmad/X-8065-2018; nazam, muhammad/G-4765-2014; HASHIM, MUHAMMAD/G-4544-2018</t>
  </si>
  <si>
    <t>ABRAR, MUHAMMAD/0000-0002-1128-5350; baig, sajjad ahmad/0000-0002-7569-5383; nazam, muhammad/0000-0002-0454-4676; Shabbir, Rizwan/0000-0003-0859-7465; HASHIM, MUHAMMAD/0000-0001-9871-6880</t>
  </si>
  <si>
    <t>SEP 14</t>
  </si>
  <si>
    <t>10.1108/JEIM-09-2019-0271</t>
  </si>
  <si>
    <t>PD9LQ</t>
  </si>
  <si>
    <t>WOS:000546078700001</t>
  </si>
  <si>
    <t>Wright, J; Mata, T</t>
  </si>
  <si>
    <t>Wright, Jack; Mata, Tiago</t>
  </si>
  <si>
    <t>Epistemic Consultants and the Regulation of Policy Knowledge in the Obama Administration</t>
  </si>
  <si>
    <t>MINERVA</t>
  </si>
  <si>
    <t>Expertise; Governance; Big data; Open government; Dispersed knowledge; Behavioral economics</t>
  </si>
  <si>
    <t>INFORMATION; ENERGY; POLITICS; SCIENCE; STS</t>
  </si>
  <si>
    <t>The agencies of the government of the United States of America, such as the Food and Drug Administration or the Environmental Protection Agency, intervene in American society through the collection, processing, and diffusion of information. The Presidency of Barack Obama was notable for updating and redesigning the US government's information infrastructure. The White House enhanced mass consultation through open government and big data initiatives to evaluate policy effectiveness, and it launched new ways of communicating with the citizenry. In this essay we argue that these programs spelled out an emergent epistemology based on two assumptions: dispersed knowledge and a critique of judgment. These programs have redefined the evidence required to justify and design regulatory policy and conferred authority to a new kind of expert, which we call epistemic consultants.</t>
  </si>
  <si>
    <t>[Wright, Jack] Univ Cambridge, Ctr Res Arts Humanities &amp; Social Sci, 7 West Rd, Cambridge CB3 9DP, England; [Mata, Tiago] UCL, Sci &amp; Technol Studies, Gower St, London WC1E 6BT, England</t>
  </si>
  <si>
    <t>Wright, J (corresponding author), Univ Cambridge, Ctr Res Arts Humanities &amp; Social Sci, 7 West Rd, Cambridge CB3 9DP, England.</t>
  </si>
  <si>
    <t>Jw675@cam.ac.uk</t>
  </si>
  <si>
    <t>Mata, Tiago/0000-0002-6423-299X; Wright, Jack/0000-0001-6003-4251</t>
  </si>
  <si>
    <t>0026-4695</t>
  </si>
  <si>
    <t>1573-1871</t>
  </si>
  <si>
    <t>Minerva</t>
  </si>
  <si>
    <t>10.1007/s11024-020-09411-8</t>
  </si>
  <si>
    <t>Education &amp; Educational Research; History &amp; Philosophy Of Science; Social Sciences, Interdisciplinary</t>
  </si>
  <si>
    <t>Education &amp; Educational Research; History &amp; Philosophy of Science; Social Sciences - Other Topics</t>
  </si>
  <si>
    <t>OL1WY</t>
  </si>
  <si>
    <t>WOS:000543003100001</t>
  </si>
  <si>
    <t>Redmond, P; Munir, K; Alabi, O; Grimes, T; Clyne, B; Hughes, C; Fahey, T</t>
  </si>
  <si>
    <t>Redmond, Patrick; Munir, Khalid; Alabi, Oludare; Grimes, Tamasine; Clyne, Barbara; Hughes, Carmel; Fahey, Tom</t>
  </si>
  <si>
    <t>Barriers and facilitators of medicines reconciliation at transitions of care in Ireland - a qualitative study</t>
  </si>
  <si>
    <t>Medicines reconciliation; Patient safety; Qualitative research; Health plan implementation; Continuity of patient care; organization &amp; administration</t>
  </si>
  <si>
    <t>MEDICATION RECONCILIATION; DISCHARGE; POSTDISCHARGE</t>
  </si>
  <si>
    <t>BackgroundMedication error at transitions of care is common. The implementation of medicines reconciliation processes to improve this issue has been recommended by many regulatory and safety organisations. The aim of this study was to gain insight from healthcare professionals on the barriers and facilitators to the medicines reconciliation implementation process.MethodsSemi-structured interviews were conducted in Ireland with a wide range of healthcare professionals (HCPs) involved with medicines reconciliation at transitions of care. Thematic analysis was undertaken using an adaptation of a combined theoretical framework of Grol, Cabana and Sluisveld to classify the barriers and facilitators to implementation of medicines reconciliation.ResultsThirty-five participants were interviewed, including eleven community pharmacists (CPs), eight hospital pharmacists (HPs), nine hospital consultants (HCs), five general practitioners (GPs), and two non-consultant hospital doctors (NCHDs). Themes were categorized into barriers and facilitators. Barriers included resistance from existing professional cultures, staff interest and training, poor communication and minimal information and communications technology (ICT) support. Solutions (facilitators) suggested included supporting effective multidisciplinary teams, greater involvement of pharmacists in medicines reconciliation, ICT solutions (linked prescribing databases, decision support systems) and increased funding to provide additional (e.g. admission and discharge reconciliation) and more advanced services (e.g. community pharmacist delivered medicines use review).ConclusionsMedicines reconciliation is advocated as a solution to the known problem of medication error at transitions of care. This study identifies the key challenges and potential solutions that policy makers, managers and HCPs should consider when reviewing the practices and processes of medicines reconciliation in their own organisations.</t>
  </si>
  <si>
    <t>[Redmond, Patrick; Munir, Khalid; Alabi, Oludare; Clyne, Barbara; Hughes, Carmel; Fahey, Tom] Royal Coll Surgeons Ireland, HRB Ctr Primary Care Res, Dublin, Ireland; [Redmond, Patrick] Kings Coll London, Sch Populat Hlth &amp; Environm Sci, London, England; [Grimes, Tamasine] Trinity Coll Dublin, Sch Pharm &amp; Pharmaceut Sci, Dublin, Ireland; [Hughes, Carmel] Queens Univ Belfast, Sch Pharm, Belfast, Antrim, North Ireland</t>
  </si>
  <si>
    <t>Redmond, P (corresponding author), Royal Coll Surgeons Ireland, HRB Ctr Primary Care Res, Dublin, Ireland.;Redmond, P (corresponding author), Kings Coll London, Sch Populat Hlth &amp; Environm Sci, London, England.</t>
  </si>
  <si>
    <t>patrick.redmond@kcl.ac.uk</t>
  </si>
  <si>
    <t>Fahey, Tom/C-9367-2012; redmond, patrick/M-5419-2016</t>
  </si>
  <si>
    <t>Fahey, Tom/0000-0002-5896-5783; Grimes, Tamasine/0000-0002-7154-3243; redmond, patrick/0000-0002-3929-2018; Clyne, Barbara/0000-0002-1186-9495</t>
  </si>
  <si>
    <t>Health Research Board (HRB) [HRC/2007/1]</t>
  </si>
  <si>
    <t>Health Research Board (HRB)</t>
  </si>
  <si>
    <t>The HRB Centre for Primary Care Research is supported by Health Research Board (HRB) grant HRC/2007/1. The funder had no role in the design, data collection, analysis, interpretation or writing of this study. PR was an HRB PhD SPHeRE scholar and HRB Cochrane Fellow.</t>
  </si>
  <si>
    <t>JUN 23</t>
  </si>
  <si>
    <t>10.1186/s12875-020-01188-9</t>
  </si>
  <si>
    <t>ME8GY</t>
  </si>
  <si>
    <t>WOS:000544892500002</t>
  </si>
  <si>
    <t>Antenatal care; policy-maker; implementation; evidence-based; policy-making; user-testing; toolkit; guidance; WHO guidelines; stakeholder engagement</t>
  </si>
  <si>
    <t>HEALTH-CARE</t>
  </si>
  <si>
    <t>[Barreix, Maria; Tuncalp, Ozge] WHO, Dept Sexual &amp; Reprod Hlth &amp; Res, 20 Ave Appia, CH-1211 Geneva, Switzerland; [Lawrie, Theresa A.] Evidence Based Med Consultancy Ltd, Bath, Avon, England; [Kidula, Nancy] WHO Reg Off Africa WHO AFRO, Reprod Maternal Hlth &amp; Ageing Team, UHC Life Course Cluster, Harare, Zimbabwe; [Tall, Fatim] WHO Reg Off Africa WHO AFRO, Reprod Maternal Hlth &amp; Ageing Team, UHC Life Course Cluster, Ouagadougou, Burkina Faso; [Bucagu, Maurice] WHO Country Off WHO CO, Dept Maternal Newborn Child &amp; Adolescent Hlth &amp; A, 20 Ave Appia, CH-1211 Geneva, Switzerland; [Chahar, Ram] WHO Country Off India, Maternal &amp; Reprod Hlth Team, New Delhi, India</t>
  </si>
  <si>
    <t>Barreix, M (corresponding author), WHO, Dept Sexual &amp; Reprod Hlth &amp; Res, 20 Ave Appia, CH-1211 Geneva, Switzerland.</t>
  </si>
  <si>
    <t>barreixm@who.int</t>
  </si>
  <si>
    <t>Tunçalp, Ӧzge/Y-2724-2018</t>
  </si>
  <si>
    <t>Tunçalp, Ӧzge/0000-0002-5370-682X; Tall, Fatim/0000-0002-3510-6302; Chahar, Ram/0000-0001-7652-4829</t>
  </si>
  <si>
    <t>Sanofi Espoir Foundation - Bill and Melinda Gates Foundation</t>
  </si>
  <si>
    <t>The toolkit development work was funded by a grant from the Sanofi Espoir Foundation. The country adaptation process in four countries was funded by a grant from the Bill and Melinda Gates Foundation.</t>
  </si>
  <si>
    <t>MC6UX</t>
  </si>
  <si>
    <t>Alam, S; Moula, ME; Lahdelma, R</t>
  </si>
  <si>
    <t>Alam, Sadaf; Moula, Munjur E.; Lahdelma, Risto</t>
  </si>
  <si>
    <t>Social acceptability of using low carbon building: a survey exploration</t>
  </si>
  <si>
    <t>INTERNATIONAL JOURNAL OF SUSTAINABLE ENERGY</t>
  </si>
  <si>
    <t>Low carbon buildings; net zero energy buildings; economic feasibility; energy efficiency; social acceptability</t>
  </si>
  <si>
    <t>WILLINGNESS-TO-PAY; ENERGY; CONSTRUCTION; ACCEPTANCE; POLICIES; SUSTAINABILITY; TECHNOLOGIES; INNOVATION; EMISSIONS; BARRIERS</t>
  </si>
  <si>
    <t>Enhancement of buildings energy efficiency has typically been approached by viewing the buildings from a social acceptance perspective focusing on multi-level stakeholders. In order to examine social acceptance in terms of public's opinion and knowledge about using low carbon buildings, a multiple-choice questionnaire was designed with four groups of questions: background information, community perspective, social perspective, and market perspective. The study showed that 59.72% of the seventy respondents' opinion were using low carbon building (LCB) can help to reduce greenhouse gas emissions. In general, more than 53% of the respondents were willing to upgrade their accommodation to LCB. However, 70% respondents were not ready to hire any consultant because majority of have the problem in paying the upfront cost for LCB.</t>
  </si>
  <si>
    <t>[Alam, Sadaf; Moula, Munjur E.; Lahdelma, Risto] Aalto Univ, Sch Engn, Dept Mech Engn, Espoo, Finland; [Moula, Munjur E.] Aalto Univ, Sch Engn, Dept Built Environm, Espoo, Finland; [Moula, Munjur E.] Northern Univ Bangladesh, Fac Business, Dhaka, Bangladesh; [Lahdelma, Risto] Aalto Univ, Sch Sci, Dept Math &amp; Syst Anal, Espoo, Finland</t>
  </si>
  <si>
    <t>Alam, S (corresponding author), Aalto Univ, Sch Engn, Dept Mech Engn, Espoo, Finland.</t>
  </si>
  <si>
    <t>er.sadafalam@gmail.com</t>
  </si>
  <si>
    <t>Lahdelma, Risto/E-9458-2010</t>
  </si>
  <si>
    <t>Lahdelma, Risto/0000-0001-7882-2918; E.Moula, Md.Munjur/0000-0001-8710-4985</t>
  </si>
  <si>
    <t>1478-6451</t>
  </si>
  <si>
    <t>1478-646X</t>
  </si>
  <si>
    <t>INT J SUSTAIN ENERGY</t>
  </si>
  <si>
    <t>Int. J. Sustain. Energy</t>
  </si>
  <si>
    <t>NOV 25</t>
  </si>
  <si>
    <t>10.1080/14786451.2020.1781852</t>
  </si>
  <si>
    <t>OG1JY</t>
  </si>
  <si>
    <t>WOS:000547979600001</t>
  </si>
  <si>
    <t>Wu, JY</t>
  </si>
  <si>
    <t>Wu, Julia Yonghua</t>
  </si>
  <si>
    <t>Impact of natural disasters on New Zealand regional family businesses: perspectives of baby boomer family business owners</t>
  </si>
  <si>
    <t>JOURNAL OF ENTERPRISING COMMUNITIES-PEOPLE AND PLACES IN THE GLOBAL ECONOMY</t>
  </si>
  <si>
    <t>Family business; Succession; Resilience; Baby boomers</t>
  </si>
  <si>
    <t>SOCIOEMOTIONAL WEALTH; COMMUNITY RESILIENCE; CONTROLLED FIRMS; AGENCY; POSTDISASTER; STEWARDSHIP; PERFORMANCE; RETIREMENT; IDENTITY; TIES</t>
  </si>
  <si>
    <t>Purpose This paper aims to describe what baby boomer family business owners in New Zealand perceive the implications of earthquakes on their business and succession planning. The current study focuses on how some businesses have survived significant uncontrollable contingencies, for instance, natural disasters. This paper also documents the insight of what baby boomer family business owners value in their succession planning. Design/methodology/approach Qualitative method was undertaken, comprising face-to-face in-depth interviews with 18 participants, who are baby boomers family business owners in New Zealand. Findings Driven by the unique social and political conditions in New Zealand, baby boomer family business owner's revealed unique mind-sets and motivations that are oriented in their family value and/or the sense of self-fulfillment. As a result, they are able to adapt to uncertainties and reflect on their adaptability. Although approaching their retirement age and survived earthquakes, most interviewees neither have any urgency to establish or execute succession plans nor are they prepared for contingencies. A profitable trade sale has been identified as a preferred exit strategy. Research limitations/implications The current study is aimed to fill in the gap of exploring how some baby boomers' family businesses in New Zealand survived deadly earthquakes and how they approach their own succession planning. Practical implications It is hoped that this research will contribute to the well-being of family businesses and be of value to practitioners who provide professional advises for family firms and those who aspire to a career in family businesses. This paper also aims to shed light on the implication of aging population and government policies on family businesses. The findings are, therefore, useful for academics, professional consultants, advisors and regulators. Originality/value However, natural disasters, social unrest and many uncontrollable events disrupt business operations and can be viewed as uncontrollable contingencies. Ageing population and generation-based similarities are also common to many countries and communities. Nonetheless, the interdisciplinary research on ageing population is scant in the context of financial planning, management accounting or taxation at the firm level. This paper also calls for more in-depth exploration on the implications of demographical factors on the organisations and their success or demise.</t>
  </si>
  <si>
    <t>[Wu, Julia Yonghua] Univ Canterbury, Dept Accounting &amp; Informat Syst, Christchurch, New Zealand</t>
  </si>
  <si>
    <t>Wu, JY (corresponding author), Univ Canterbury, Dept Accounting &amp; Informat Syst, Christchurch, New Zealand.</t>
  </si>
  <si>
    <t>julia.wu@canterbury.ac.nz</t>
  </si>
  <si>
    <t>Wu, Julia Yonghua/0000-0003-4808-6053</t>
  </si>
  <si>
    <t>1750-6204</t>
  </si>
  <si>
    <t>1750-6212</t>
  </si>
  <si>
    <t>J ENTERP COMMUNITIES</t>
  </si>
  <si>
    <t>J. Enterp. Communities</t>
  </si>
  <si>
    <t>10.1108/JEC-10-2019-0111</t>
  </si>
  <si>
    <t>ZO6BT</t>
  </si>
  <si>
    <t>WOS:000541895900001</t>
  </si>
  <si>
    <t>INVESTMENT; FINANCE; BANKS</t>
  </si>
  <si>
    <t>[Steffen, Bjarne; Egli, Florian; Schmidt, Tobias S.] Swiss Fed Inst Technol, Dept Humanities Social &amp; Polit Sci, Energy Polit Grp, CH-8092 Zurich, Switzerland; [Steffen, Bjarne; Schmidt, Tobias S.] Swiss Fed Inst Technol, Inst Sci Technol &amp; Policy, CH-8092 Zurich, Switzerland; [Pahle, Michael] Potsdam Inst Climate Impact Res, D-14473 Potsdam, Germany</t>
  </si>
  <si>
    <t>Steffen, B; Schmidt, TS (corresponding author), Swiss Fed Inst Technol, Dept Humanities Social &amp; Polit Sci, Energy Polit Grp, CH-8092 Zurich, Switzerland.;Steffen, B; Schmidt, TS (corresponding author), Swiss Fed Inst Technol, Inst Sci Technol &amp; Policy, CH-8092 Zurich, Switzerland.</t>
  </si>
  <si>
    <t>bjarne.steffen@gess.ethz.ch; tobiasschmidt@ethz.ch</t>
  </si>
  <si>
    <t>European Union's Horizon 2020 research and innovation program project INNOPATHS [730403]; Swiss State Secretariat for Education, Research and Innovation (SERI) [16.0222]</t>
  </si>
  <si>
    <t>European Union's Horizon 2020 research and innovation program project INNOPATHS; Swiss State Secretariat for Education, Research and Innovation (SERI)</t>
  </si>
  <si>
    <t>This work was conducted as part of the European Union's Horizon 2020 research and innovation program project INNOPATHS under grant agreement no. 730403. As such, it was supported by the Swiss State Secretariat for Education, Research and Innovation (SERI) under contract number 16.0222. The opinions expressed and arguments employed herein do not necessarily reflect the official views of the Swiss Government.</t>
  </si>
  <si>
    <t>MB3GC</t>
  </si>
  <si>
    <t>Decision making; Nigeria; Real estate funds; Real estate; Asset allocation; Allocation decisions</t>
  </si>
  <si>
    <t>PROPERTY INVESTMENT; MANAGEMENT; MARKET</t>
  </si>
  <si>
    <t>[Ekemode, Benjamin Gbolahan; Olaleye, Abel] Obafemi Awolowo Univ, Dept Estate Management, Ife, Nigeria</t>
  </si>
  <si>
    <t>Ekemode, BG (corresponding author), Obafemi Awolowo Univ, Dept Estate Management, Ife, Nigeria.</t>
  </si>
  <si>
    <t>gbolaekemode@yahoo.com</t>
  </si>
  <si>
    <t>Ekemode, Benjamin Gbolahan/AAJ-3442-2021; Olaleye, Abel/A-7608-2012</t>
  </si>
  <si>
    <t>Ekemode, Benjamin Gbolahan/0000-0003-0838-0952; Olaleye, Abel/0000-0002-2705-4813</t>
  </si>
  <si>
    <t>PROP MANAG</t>
  </si>
  <si>
    <t>Prop. Manag.</t>
  </si>
  <si>
    <t>LT1OV</t>
  </si>
  <si>
    <t>Environmental impact assessment; Rwandan industries; Impact assessment regulations; Effectiveness; Compliance challenges</t>
  </si>
  <si>
    <t>AGRICULTURAL SOIL; BIOREMEDIATION; PARTICIPATION; RISK</t>
  </si>
  <si>
    <t>[Harelimana, Vincent; Gao, Zhu Jun] Hohai Univ, Minist Educ Geomech &amp; Embankment Engn, Key Lab, 01 Xikang Rd, Nanjing 210098, Peoples R China; [Nyiranteziryayo, Ernestine] China Univ Geosci, Dept Environm Sci, 388 Lumo Rd, Wuhan 430072, Hubei, Peoples R China; [Nwankwegu, Amechi S.] Hohai Univ, Coll Environm, Minist Educ, Key Lab Integrated Regulat &amp; Resource Dev Shallow, Nanjing 210098, Peoples R China</t>
  </si>
  <si>
    <t>Harelimana, V (corresponding author), Hohai Univ, Minist Educ Geomech &amp; Embankment Engn, Key Lab, 01 Xikang Rd, Nanjing 210098, Peoples R China.</t>
  </si>
  <si>
    <t>havayini@gmail.com</t>
  </si>
  <si>
    <t>LC4VJ</t>
  </si>
  <si>
    <t>Webber, S; Leitner, H; Sheppard, E</t>
  </si>
  <si>
    <t>Webber, Sophie; Leitner, Helga; Sheppard, Eric</t>
  </si>
  <si>
    <t>Wheeling Out Urban Resilience: Philanthrocapitalism, Marketization, and Local Practice</t>
  </si>
  <si>
    <t>complex; Indonesia; neoliberalism; philanthrocapitalism; policy mobility; urban resilience</t>
  </si>
  <si>
    <t>CLIMATE-CHANGE; POLICY; ADAPTATION; CITIES; CITY; CONSULTANTS; ASSEMBLAGE; NETWORKS; THINKING</t>
  </si>
  <si>
    <t>In this article, we examine how urban resilience has emerged as a global urban policy project, offering solutions for cities about how they can adapt to and recover from shocks and stresses, particularly those associated with climate change. We conceptualize this as a multicentric global urban resilience complex, catalyzed until recently by the Rockefeller Foundation's 100 Resilient Cities initiative in concert with the World Bank. The complex is comprised of three components: (1) a global network of foundations, multilateral agencies, nongovernmental organizations, and private-sector goods and services providers, wielding differential power and influence; (2) measurement and assessment devices that both mobilize and define resilience; and (3) initiatives to marketize urban resilience as producing a dividend also for private-sector firms and investors. Northern institutions define what should be done, downscaling this as a sequence of practices, participatory agenda setting, strategizing, and implementation to be followed by cities. Examining how the complex has come to ground in Semarang and Jakarta, Indonesia, we identify ways in which it is reproduced but also criticized and contested. If the complex in many ways is driven by philanthrocapitalist and neoliberal norms and aspirations, its programs also are subject to critique and contestations at the local scale.</t>
  </si>
  <si>
    <t>[Webber, Sophie] Univ Sydney, Sch Geosci, Sydney, NSW, Australia; [Leitner, Helga; Sheppard, Eric] Univ Calif Los Angeles, Dept Geog, Los Angeles, CA 90024 USA</t>
  </si>
  <si>
    <t>Webber, S (corresponding author), Univ Sydney, Sch Geosci, Sydney, NSW, Australia.</t>
  </si>
  <si>
    <t>sophie.webber@sydney.edu.au; hleitner@geog.ucla.edu; esheppard@geog.ucla.edu</t>
  </si>
  <si>
    <t>Webber, Sophie/0000-0002-7597-4622</t>
  </si>
  <si>
    <t>Social Sciences and Humanities Research Council of Canada; U.S. National Science Foundation Directorate for Social, Behavioral and Economic Sciences [BCS-1636437]; American Association of Geographers; UCLA International Institute</t>
  </si>
  <si>
    <t>Social Sciences and Humanities Research Council of Canada(Social Sciences and Humanities Research Council of Canada (SSHRC)); U.S. National Science Foundation Directorate for Social, Behavioral and Economic Sciences; American Association of Geographers; UCLA International Institute</t>
  </si>
  <si>
    <t>The research that informs this article was funded by the Social Sciences and Humanities Research Council of Canada, the U.S. National Science Foundation Directorate for Social, Behavioral and Economic Sciences (Grant No. BCS-1636437), the American Association of Geographers, and the UCLA International Institute.</t>
  </si>
  <si>
    <t>JUN 8</t>
  </si>
  <si>
    <t>10.1080/24694452.2020.1774349</t>
  </si>
  <si>
    <t>QC5EA</t>
  </si>
  <si>
    <t>WOS:000555163600001</t>
  </si>
  <si>
    <t>University-industry; Knowledge transfer; Entrepreneurial academic; Academic entrepreneur; Entrepreneurial university; Spin-offs</t>
  </si>
  <si>
    <t>UNIVERSITY-INDUSTRY LINKAGES; ECONOMIC-DEVELOPMENT; SCIENTISTS; COMMERCIALIZATION; PARTNERSHIPS; COOPERATION; BEHAVIORS; BARRIERS; IMPACTS; SUPPORT</t>
  </si>
  <si>
    <t>[Davey, Todd] Telecom Business Sch, Inst Mines, LITEM, Evry, France; [Davey, Todd; Galan-Muros, Victoria] Innovat Futures Inst, Granada, Spain</t>
  </si>
  <si>
    <t>Davey, T (corresponding author), Telecom Business Sch, Inst Mines, LITEM, Evry, France.;Davey, T (corresponding author), Innovat Futures Inst, Granada, Spain.</t>
  </si>
  <si>
    <t>todd.davey@imt-bs.eu</t>
  </si>
  <si>
    <t>Davey, Todd/0000-0001-9210-4293</t>
  </si>
  <si>
    <t xml:space="preserve"> [EAC/10/2015]</t>
  </si>
  <si>
    <t>The author would like to express appreciation to Pablo D'Este for his timely and valuable advice for this paper as well as to Adisa Ejubovic for her support. The survey was carried out as part of the project The State of University-Business Cooperation in Europe conducted from 2016 to 2018 by a consortium led by the Science-to-Business Marketing Research Centre, Germany for the DG Education and Culture, European Commission (EAC/10/2015).</t>
  </si>
  <si>
    <t>J MANAG DEV</t>
  </si>
  <si>
    <t>J. Manag. Dev.</t>
  </si>
  <si>
    <t>OZ1BI</t>
  </si>
  <si>
    <t>Kaplan, L; Klein, T; Wilson, M; Graves, J</t>
  </si>
  <si>
    <t>Kaplan, Louise; Klein, Tracy; Wilson, Marian; Graves, Janessa</t>
  </si>
  <si>
    <t>Knowledge, Practices, and Attitudes of Washington State Health Care Professionals Regarding Medical Cannabis</t>
  </si>
  <si>
    <t>CANNABIS AND CANNABINOID RESEARCH</t>
  </si>
  <si>
    <t>attitudes and practices; health care professionals; knowledge; medical cannabis; public policy; regulation</t>
  </si>
  <si>
    <t>PHYSICIANS ATTITUDES; MEDICINAL CANNABIS; MARIJUANA; PROVIDERS; BELIEFS; PAIN</t>
  </si>
  <si>
    <t>Introduction: Health care providers in Washington State practice in a unique environment where both medical and recreational cannabis use are legal. Five types of health care providers can authorize medical cannabis. State-certified medical cannabis consultants may advise patients in a cannabis retail store regarding use and consumption. Washington State's health care professionals' perspectives about medical cannabis can inform policy-makers nationwide who are navigating challenges posed by legalization of medical and recreational cannabis. Materials and Methods: A cross-sectional mixed-mode survey using a 26-item questionnaire was administered to a random sample of actively licensed health care professionals legally permitted to provide medical cannabis authorizations in Washington State. We describe participant demographics and summarize responses to survey questions. We report comparisons across provider types using Fisher's exact tests with a level of significance of p&lt;0.01. Results: Among the 1440 health care professionals invited to participate in the study, 310 respondents met eligibility criteria (response rate 24%). Only 57 respondents (18.4%) indicated having ever issued a medical cannabis authorization. Among them, 6, all naturopaths, had provided more than 500. Over half (58%) reported that they did not feel they had the knowledge and skills necessary to provide authorizations. Depending on the condition, 29-93% of respondents correctly identified conditions that qualified a patient to receive a medical cannabis authorization. Very few knew that employers are not required to provide accommodations for medical cannabis. Health care professionals (64.8%) served as the most frequent source of information regarding cannabis risks and benefits. Over half (62%) strongly or somewhat agreed that the Drug Enforcement Agency should reschedule cannabis to make it legal at the federal level. Conclusion: A wide range of knowledge was exhibited within our sample of health care professionals regarding qualifying conditions for medical cannabis. As more states adopt comprehensive medical cannabis laws, health care professionals must be prepared to provide information to patients regarding the effects, risks, and benefits of cannabis. Standardized education could ensure that health care professionals are prepared to responsibly promote the use of cannabis when indicated for medically appropriate symptoms and conditions. A rational approach to medical cannabis is needed to assure that unforeseen consequences are mitigated.</t>
  </si>
  <si>
    <t>[Kaplan, Louise; Klein, Tracy] Washington State Univ, Coll Nursing, 14264 NE Salmon Creek Ave,VLIB 210, Vancouver, WA 98686 USA; [Wilson, Marian; Graves, Janessa] Washington State Univ, Coll Nursing, Spokane, WA USA</t>
  </si>
  <si>
    <t>Kaplan, L (corresponding author), Washington State Univ, Coll Nursing, 14264 NE Salmon Creek Ave,VLIB 210, Vancouver, WA 98686 USA.</t>
  </si>
  <si>
    <t>kaplanla@wsu.edu</t>
  </si>
  <si>
    <t>Graves, Janessa M./J-2596-2019; Wilson, Marian/AAD-4446-2022</t>
  </si>
  <si>
    <t>Graves, Janessa M./0000-0002-7659-2634; Wilson, Marian/0000-0002-6308-2571</t>
  </si>
  <si>
    <t>State of Washington Initiative Measure [502]</t>
  </si>
  <si>
    <t>State of Washington Initiative Measure</t>
  </si>
  <si>
    <t>This investigation was supported, in part, by funds provided by the State of Washington Initiative Measure No. 502.</t>
  </si>
  <si>
    <t>2578-5125</t>
  </si>
  <si>
    <t>2378-8763</t>
  </si>
  <si>
    <t>CANNABIS CANNABINOID</t>
  </si>
  <si>
    <t>Cannabis Cannabinoid Res.</t>
  </si>
  <si>
    <t>10.1089/can.2019.0051</t>
  </si>
  <si>
    <t>Pharmacology &amp; Pharmacy</t>
  </si>
  <si>
    <t>QE3ZU</t>
  </si>
  <si>
    <t>WOS:000616148300007</t>
  </si>
  <si>
    <t>shale exploration; air pollution; ethics; environmental justice</t>
  </si>
  <si>
    <t>LIFE-CYCLE ASSESSMENT; CLIMATE-CHANGE; UNCONVENTIONAL OIL; UNITED-KINGDOM; PUBLIC-HEALTH; CHEMICAL-MIXTURES; SPATIAL-ANALYSIS; RISK-ASSESSMENT; FRACKING; IMPACTS</t>
  </si>
  <si>
    <t>[Watterson, Andrew] Univ Stirling, Occupat &amp; Environm Hlth Res Grp, Fac Hlth Sci, Stirling FK9 4LA, Scotland; [Dinan, William] Univ Stirling, Commun Media &amp; Culture, Fac Arts &amp; Humanities, Stirling FK9 4LA, Scotland</t>
  </si>
  <si>
    <t>Watterson, A (corresponding author), Univ Stirling, Occupat &amp; Environm Hlth Res Grp, Fac Hlth Sci, Stirling FK9 4LA, Scotland.</t>
  </si>
  <si>
    <t>aew1@stir.ac.uk; william.dinan1@stir.ac.uk</t>
  </si>
  <si>
    <t>University of Stirling, Scotland</t>
  </si>
  <si>
    <t>The University of Stirling, Scotland, funded the study.</t>
  </si>
  <si>
    <t>ML3YR</t>
  </si>
  <si>
    <t>'Post-AIDS'; Global health; SDGs; HIV exceptionalism; Representation</t>
  </si>
  <si>
    <t>EXCEPTIONALISM</t>
  </si>
  <si>
    <t>[O'Connell, Grainne] CIEE London Global Inst, 46-47 Russell Sq, London WC1B 4JP, England</t>
  </si>
  <si>
    <t>O'Connell, G (corresponding author), CIEE London Global Inst, 46-47 Russell Sq, London WC1B 4JP, England.</t>
  </si>
  <si>
    <t>gra_oconnell@hotmail.com</t>
  </si>
  <si>
    <t>J MED HUMANIT</t>
  </si>
  <si>
    <t>J. Med. Humanit.</t>
  </si>
  <si>
    <t>LQ1TP</t>
  </si>
  <si>
    <t>Neuroscience; Public health; Disability; Medical imaging; Radiology; Clinical research; Health promotion; Diagnostics; Road traff ic accident; Traumatic brain injury; Neuro-ophthalmic injury; CT scan; Clinical audit; Vision loss</t>
  </si>
  <si>
    <t>GLOBE; MANIFESTATIONS; CT</t>
  </si>
  <si>
    <t>[Gorleku, Philip N.; Edzie, Emmanuel K.] Univ Cape Coast, Sch Med Sci, Dept Med Imaging, Coll Hlth &amp; Allied Sci, Cape Coast, Ghana; [Gorleku, Philip N.; Edzie, Emmanuel K.; Setorglo, Jacob; Piersson, Albert D.; Ocansey, Stephen; Morny, Enyam K. A.; Armah, Celso D. G.] PMB Univ Cape Coast, Cape Coast, Ghana; [Dzefi-Tettey, Klenam] Korle Bu Teaching Hosp, Dept Radiol, Accra, Ghana; [Dzefi-Tettey, Klenam] PMB, Accra, Ghana; [Setorglo, Jacob] Univ Cape Coast, Sch Med Sci, Dept Med Biochem, Coll Hlth &amp; Allied Sci, Cape Coast, Ghana; [Piersson, Albert D.] Univ Cape Coast, Sch Allied Hlth Sci, Dept Imaging Technol &amp; Sonog, Coll Hlth &amp; Allied Sci, Cape Coast, Ghana; [Ocansey, Stephen; Morny, Enyam K. A.; Armah, Celso D. G.] Univ Cape Coast, Sch Allied Hlth Sci, Dept Optometry, Coll Hlth &amp; Allied Sci, Cape Coast, Ghana</t>
  </si>
  <si>
    <t>Gorleku, PN (corresponding author), Univ Cape Coast, Sch Med Sci, Dept Med Imaging, Coll Hlth &amp; Allied Sci, Cape Coast, Ghana.;Gorleku, PN (corresponding author), PMB Univ Cape Coast, Cape Coast, Ghana.</t>
  </si>
  <si>
    <t>pgorleku@ucc.edu.gh</t>
  </si>
  <si>
    <t>EDZIE, EMMANUEL KOBINA MESI/0000-0002-5485-2386; Ocansey, Stephen/0000-0002-3992-0969; DZEFI-TETTEY, KLENAM/0000-0002-6322-5341; Morny, Enyam/0000-0002-3008-2970; Gorleku, Philip/0000-0002-6225-2284</t>
  </si>
  <si>
    <t>MG1LG</t>
  </si>
  <si>
    <t>Chakraborty, S</t>
  </si>
  <si>
    <t>Chakraborty, Sweta</t>
  </si>
  <si>
    <t>How Risk Perceptions, Not Evidence, Have Driven Harmful Policies on COVID-19</t>
  </si>
  <si>
    <t>EUROPEAN JOURNAL OF RISK REGULATION</t>
  </si>
  <si>
    <t>PATIENT NONCOMPLIANCE; SOCIAL AMPLIFICATION; HIGH-CHOLESTEROL; COMMUNICATION; TRUST; STATINS; USERS; MEDIA; MASS</t>
  </si>
  <si>
    <t>A number of virological, epidemiological and ethnographic arguments suggest that COVID-19 has a zoonotic origin. The pangolin, a species threatened with extinction due to poaching for both culinary purposes and traditional Chinese pharmacopoeia, is now suspected of being the missing link in the transmission to humans of a virus that probably originated in a species of bat. Our predation of wild fauna and the reduction in their habitats have thus ended up creating new interfaces that favour the transmission of pathogens (mainly viruses) to humans. Domesticated animals and wild fauna thus constitute a reservoir for almost 80% of emerging human diseases (SARS-CoV, MERS-CoV, Ebola). These diseases are all zoonotic in origin. As if out of a Chinese fairy tale, the bat and the pangolin have taught us a lesson: within an increasingly interdependent world, environmental crises will become ever more intertwined with health crises. Questions relating to public health will no longer be confined to the secrecy of the physician's consulting room or the sanitised environment of the hospital. They are now being played out in the arena of international trade, ports and airports and distribution networks. Simply put, all human activity creates new interfaces that facilitate the transmission of pathogens from an animal reservoir to humans. This pluri-disciplinary article highlights that environmental changes, such as the reduction in habitats for wild fauna and the intemperate trade in fauna, are the biggest causes of the emergence of new diseases. Against this background, it reviews the different measures taken to control, eradicate and prevent the emergence of animal diseases in a globalised world.</t>
  </si>
  <si>
    <t>[Chakraborty, Sweta] Adapt Thrive, New York, NY 10017 USA; [Chakraborty, Sweta] EcoHlth Alliances Young Profess Council, New York, NY 10001 USA</t>
  </si>
  <si>
    <t>Chakraborty, S (corresponding author), Adapt Thrive, New York, NY 10017 USA.;Chakraborty, S (corresponding author), EcoHlth Alliances Young Profess Council, New York, NY 10001 USA.</t>
  </si>
  <si>
    <t>sweta@adapttothrive.com</t>
  </si>
  <si>
    <t>1867-299X</t>
  </si>
  <si>
    <t>2190-8249</t>
  </si>
  <si>
    <t>EUR J RISK REGUL</t>
  </si>
  <si>
    <t>Eur. J. Risk Regul.</t>
  </si>
  <si>
    <t>10.1017/err.2020.37</t>
  </si>
  <si>
    <t>LR8FX</t>
  </si>
  <si>
    <t>WOS:000535933100006</t>
  </si>
  <si>
    <t>Brazilian metropolitan area; economic processes; calculative practices; financialisation; governance; infrastructure; planning</t>
  </si>
  <si>
    <t>FINANCIALIZATION; FINANCE; FRAMEWORK; CRISIS; CITY</t>
  </si>
  <si>
    <t>[Klink, Jeroen; Empinotti, Vanessa Lucena; Aversa, Marcelo] Univ Fed ABC, Ave Estados 5001, BR-09210170 Santo Andre, SP, Brazil</t>
  </si>
  <si>
    <t>Klink, J (corresponding author), Univ Fed ABC, Ave Estados 5001, BR-09210170 Santo Andre, SP, Brazil.</t>
  </si>
  <si>
    <t>jeroen.klink1963@gmail.com</t>
  </si>
  <si>
    <t>URBAN STUD</t>
  </si>
  <si>
    <t>Urban Stud.</t>
  </si>
  <si>
    <t>Environmental Studies; Urban Studies</t>
  </si>
  <si>
    <t>Environmental Sciences &amp; Ecology; Urban Studies</t>
  </si>
  <si>
    <t>LP5CI</t>
  </si>
  <si>
    <t>patient experience; quality improvement; data practices; ethnography; England</t>
  </si>
  <si>
    <t>SOFT INTELLIGENCE; CARE; COMMODIFICATION; CHALLENGES; FEEDBACK; QUALITY; SAFETY; WORK</t>
  </si>
  <si>
    <t>[Montgomery, Catherine M.] Univ Edinburgh, Ctr Biomed Self &amp; Soc, 23 Buccleuch Pl, Edinburgh EH8 9LN, Midlothian, Scotland; [Chisholm, Alison] Univ Oxford, Nuffield Dept Primary Care Hlth Sci, Oxford, England; [Parkin, Stephen] Kings Coll London, Inst Psychiat Psychol &amp; Neurosci, Natl Addict Ctr, London, England; [Locock, Louise] Univ Aberdeen, Hlth Serv Res Unit, Aberdeen, Scotland</t>
  </si>
  <si>
    <t>Montgomery, CM (corresponding author), Univ Edinburgh, Ctr Biomed Self &amp; Soc, 23 Buccleuch Pl, Edinburgh EH8 9LN, Midlothian, Scotland.</t>
  </si>
  <si>
    <t>catherine.montgomery@ed.ac.uk</t>
  </si>
  <si>
    <t>Parkin, Stephen/ABG-3943-2021</t>
  </si>
  <si>
    <t>NIHR Health Services and Delivery Research Programme [14/156/06]; Wellcome Trust [209519/Z/17/Z]; Oxford NIHR Biomedical Research Centre</t>
  </si>
  <si>
    <t>NIHR Health Services and Delivery Research Programme; Wellcome Trust(Wellcome TrustEuropean Commission); Oxford NIHR Biomedical Research Centre(National Institute for Health Research (NIHR))</t>
  </si>
  <si>
    <t>The authors would like to thank the ward teams and senior management teams at the six participating case study sites, as well as the US-PEx team of investigators and lay panel members. All authors were employed by the Nuffield Department of Primary Care Health Sciences at the University of Oxford at the time of undertaking the research. The views expressed are those of the authors and do not necessarily reflect the views and opinions of the authors' institutions. This research was funded by the NIHR Health Services and Delivery Research Programme 14/156/06, with scholarship by CM supported in part by the Wellcome Trust through (grant number 209519/Z/17/Z). LL was supported by Oxford NIHR Biomedical Research Centre. The views expressed are those of the authors and not necessarily those of the NHS, the NIHR or the Department of Health and Social Care.</t>
  </si>
  <si>
    <t>SOCIOL HEALTH ILL</t>
  </si>
  <si>
    <t>Sociol. Health Ill.</t>
  </si>
  <si>
    <t>Public, Environmental &amp; Occupational Health; Social Sciences, Biomedical; Sociology</t>
  </si>
  <si>
    <t>Public, Environmental &amp; Occupational Health; Biomedical Social Sciences; Sociology</t>
  </si>
  <si>
    <t>MI1RE</t>
  </si>
  <si>
    <t>Discourse analysis; UK food policy; sustainability; organic; meat; waste</t>
  </si>
  <si>
    <t>ECOLOGICAL MODERNIZATION; CLIMATE-CHANGE; DISCOURSE; SECURITY</t>
  </si>
  <si>
    <t>[Ehgartner, Ulrike] Univ Manchester, Sustainable Consumpt Inst SCI, Manchester, Lancs, England</t>
  </si>
  <si>
    <t>Ehgartner, U (corresponding author), Univ Manchester, Sustainable Consumpt Inst, Alliance Manchester Business Sch, Booth St West, Manchester M15 6PB, Lancs, England.</t>
  </si>
  <si>
    <t>ulrike.ehgartner@manchester.ac.uk</t>
  </si>
  <si>
    <t>Sustainable Consumption Institute (SCI) at the University of Manchester</t>
  </si>
  <si>
    <t>This work was funded by the Sustainable Consumption Institute (SCI) at the University of Manchester.</t>
  </si>
  <si>
    <t>MN6GW</t>
  </si>
  <si>
    <t>Bilevel equilibrium model; location-allocation problem; medical waste; risk management</t>
  </si>
  <si>
    <t>FUZZY RANDOM-VARIABLES; FACILITY LOCATION; PROGRAMMING APPROACH; MATHEMATICAL-MODEL; ASSIGNMENT PROBLEM; GENETIC ALGORITHM; ROUTING PROBLEM; NETWORK DESIGN; MANAGEMENT; ENVIRONMENT</t>
  </si>
  <si>
    <t>[Yao, Liming; Xu, Zhongwen; Zeng, Ziqiang] Sichuan Univ, Business Sch, Chengdu 610064, Peoples R China</t>
  </si>
  <si>
    <t>Zeng, ZQ (corresponding author), Sichuan Univ, Business Sch, Chengdu 610064, Peoples R China.</t>
  </si>
  <si>
    <t>zengziqiang@scu.edu.cn</t>
  </si>
  <si>
    <t>Zeng, Ziqiang/AAC-2831-2022</t>
  </si>
  <si>
    <t>Zeng, Ziqiang/0000-0003-1782-2804</t>
  </si>
  <si>
    <t>National Natural Science Foundation of China [71971150, 71501137, 71771157, 71301109]; Sichuan Science and Technology Program [2019JDR0167]; Sichuan Social Science Planning Fund Office [SC18TJ014]; General Program of China Postdoctoral Science Foundation [2015M572480, 2017M610609]; International Postdoctoral Exchange Fellowship Program of China Postdoctoral Council [20150028]; project of Research Center for System Sciences and Enterprise Development [Xq16B05]; Fundamental Research Funds for the Central Universities of China; Sichuan University [2019hhs-16, skqy201647, 20826041C4201, SXYPY202004]</t>
  </si>
  <si>
    <t>National Natural Science Foundation of China(National Natural Science Foundation of China (NSFC)); Sichuan Science and Technology Program; Sichuan Social Science Planning Fund Office; General Program of China Postdoctoral Science Foundation; International Postdoctoral Exchange Fellowship Program of China Postdoctoral Council; project of Research Center for System Sciences and Enterprise Development; Fundamental Research Funds for the Central Universities of China(Fundamental Research Funds for the Central Universities); Sichuan University(Sichuan University)</t>
  </si>
  <si>
    <t>This research was funded by the National Natural Science Foundation of China (Grant Nos. 71971150, 71501137, 71771157, 71301109), the Sichuan Science and Technology Program (Grant No. 2019JDR0167), the Sichuan Social Science Planning Fund Office (Grant No. SC18TJ014), the General Program of China Postdoctoral Science Foundation (Grant Nos. 2015M572480, 2017M610609), the International Postdoctoral Exchange Fellowship Program of China Postdoctoral Council (Grant No. 20150028), the project of Research Center for System Sciences and Enterprise Development (Grant No. Xq16B05), the Fundamental Research Funds for the Central Universities of China, and Sichuan University (Grant Nos. 2019hhs-16, skqy201647, 20826041C4201, SXYPY202004).</t>
  </si>
  <si>
    <t>RISK ANAL</t>
  </si>
  <si>
    <t>Risk Anal.</t>
  </si>
  <si>
    <t>Public, Environmental &amp; Occupational Health; Mathematics, Interdisciplinary Applications; Social Sciences, Mathematical Methods</t>
  </si>
  <si>
    <t>Public, Environmental &amp; Occupational Health; Mathematics; Mathematical Methods In Social Sciences</t>
  </si>
  <si>
    <t>NS0UT</t>
  </si>
  <si>
    <t>accountability; downward; microenterprise; NGOs; participatory approach</t>
  </si>
  <si>
    <t>DOWNWARD ACCOUNTABILITY; RURAL-DEVELOPMENT; NGOS; EMPOWERMENT; POVERTY; BANGLADESH; RESPONSES; SALIENCE; PROJECTS; HEALTH</t>
  </si>
  <si>
    <t>[Chu, Vien] Univ Newcastle, Newcastle Business Sch, 409 Hunter St, Newcastle, NSW 2300, Australia; [Luke, Belinda] Queensland Univ Technol, Sch Accountancy, Brisbane, Qld, Australia</t>
  </si>
  <si>
    <t>Chu, V (corresponding author), Univ Newcastle, Newcastle Business Sch, 409 Hunter St, Newcastle, NSW 2300, Australia.</t>
  </si>
  <si>
    <t>vien.chu@newcastle.edu.au</t>
  </si>
  <si>
    <t>Luke, Belinda/0000-0003-3077-662X</t>
  </si>
  <si>
    <t>FINANC ACCOUNT MANAG</t>
  </si>
  <si>
    <t>Financ. Account. Manag.</t>
  </si>
  <si>
    <t>YO9WU</t>
  </si>
  <si>
    <t>Construction solid wastes; Civil construction; Indicators of sustainability</t>
  </si>
  <si>
    <t>DEMOLITION WASTE; CIRCULAR ECONOMY; MANAGING CONSTRUCTION; PERFORMANCE; BARRIERS; IMPACTS</t>
  </si>
  <si>
    <t>[Paschoalin Filho, Joao Alexandre; Bezerra, Claudia Maria da Silva] Univ Nine July, Sao Paulo, Brazil; [Guerner Dias, Antonio Jose] Univ Porto, Porto, Portugal</t>
  </si>
  <si>
    <t>Paschoalin, JA (corresponding author), Univ Nine July, Sao Paulo, Brazil.</t>
  </si>
  <si>
    <t>paschoalinfilho@yahoo.com; claudiamsbezerra@gmail.com; agdias@fc.up.pt</t>
  </si>
  <si>
    <t>Guerner Dias, Antonio/L-1146-2014</t>
  </si>
  <si>
    <t>Guerner Dias, Antonio/0000-0002-1848-2234; Bezerra, Claudia/0000-0002-0315-1694</t>
  </si>
  <si>
    <t>MANAG ENVIRON QUAL</t>
  </si>
  <si>
    <t>Manag. Environ. Qual.</t>
  </si>
  <si>
    <t>OI4GB</t>
  </si>
  <si>
    <t>Organophosphate contaminants; Bibliometric analysis; Web of science; Scopus</t>
  </si>
  <si>
    <t>ESTER FLAME RETARDANTS; TOP-CITED ARTICLES; PESTICIDE EXPOSURE; URINARY METABOLITES; ORGANOCHLORINE PESTICIDES; OXIDATIVE STRESS; DNA-DAMAGE; IN-VITRO; BIOSENSOR; CHILDREN</t>
  </si>
  <si>
    <t>[Olisah, Chijioke; Adams, Janine B.] Nelson Mandela Univ, Inst Coastal &amp; Marine Res, Bot Dept, ZA-6031 Port Elizabeth, South Africa; [Adams, Janine B.] Nelson Mandela Univ, DST NRF Res Chair Shallow Water Ecosyst, ZA-6031 Port Elizabeth, South Africa</t>
  </si>
  <si>
    <t>Olisah, C (corresponding author), Nelson Mandela Univ, Inst Coastal &amp; Marine Res, Bot Dept, ZA-6031 Port Elizabeth, South Africa.</t>
  </si>
  <si>
    <t>olisah.chijioke@gmail.com</t>
  </si>
  <si>
    <t>DST/NRF Research Chair funding [84375]</t>
  </si>
  <si>
    <t>DST/NRF Research Chair funding</t>
  </si>
  <si>
    <t>The authors were supported by DST/NRF Research Chair funding (Unique Grant Number 84375).</t>
  </si>
  <si>
    <t>ENVIRON GEOCHEM HLTH</t>
  </si>
  <si>
    <t>Environ. Geochem. Health</t>
  </si>
  <si>
    <t>Engineering, Environmental; Environmental Sciences; Public, Environmental &amp; Occupational Health; Water Resources</t>
  </si>
  <si>
    <t>Engineering; Environmental Sciences &amp; Ecology; Public, Environmental &amp; Occupational Health; Water Resources</t>
  </si>
  <si>
    <t>ON7AN</t>
  </si>
  <si>
    <t>Molyneux, P; Reghezza, A; Torriero, C; Williams, J</t>
  </si>
  <si>
    <t>Molyneux, Philip; Reghezza, Alessio; Torriero, Chiara; Williams, Jonathan</t>
  </si>
  <si>
    <t>Banks' noninterest income and securities holdings in a low interest rate environment: The case of Italy</t>
  </si>
  <si>
    <t>EUROPEAN FINANCIAL MANAGEMENT</t>
  </si>
  <si>
    <t>fee and commission income; Italian banking sector; low interest rates; securities; unconventional monetary policy</t>
  </si>
  <si>
    <t>UNCONVENTIONAL MONETARY-POLICY; INTEREST MARGINS; PROFITABILITY; RISK; DIVERSIFICATION; IMPACT</t>
  </si>
  <si>
    <t>Using a sample of 440 Italian banks over the period 2007-2016, we find that low interest rates motivate banks to expand their fee and commission income and to restructure their securities portfolios. A granular breakdown suggests that banks grow noninterest income in various ways, including portfolio management, brokerage and consultancy services and increase fee income from current account and payment services. In addition, banks rebalance securities portfolios away from those held for trading to securities available for sale and held to maturity. Our findings allude to different behavior between large and small banks: while larger banks increase brokerage, consultancy and portfolio management services, smaller banks generate fees from customer current accounts.</t>
  </si>
  <si>
    <t>[Molyneux, Philip] Univ Sharjah, Coll Business Adm, Sharjah, U Arab Emirates; [Reghezza, Alessio; Williams, Jonathan] Bangor Univ, Bangor Business Sch, Hen Goleg, Bangor, Gwynedd, Wales; [Torriero, Chiara] Banca Italia, Dipartimento Vigilanza Bancaria &amp; Finanziaria, Via Nazl 187, I-00184 Rome, Italy</t>
  </si>
  <si>
    <t>Torriero, C (corresponding author), Banca Italia, Dipartimento Vigilanza Bancaria &amp; Finanziaria, Via Nazl 187, I-00184 Rome, Italy.</t>
  </si>
  <si>
    <t>chiara.torriero@bancaditalia.it</t>
  </si>
  <si>
    <t>Williams, Jonathan/ABD-9924-2021</t>
  </si>
  <si>
    <t>Williams, Jonathan/0000-0002-5954-2547; Reghezza, Alessio/0000-0002-1724-5827</t>
  </si>
  <si>
    <t>Schiavone-Tantazzi family</t>
  </si>
  <si>
    <t>We thank John Doukas (the editor) and an anonymous referee for their insightful comments and suggestions. Reghezza acknowledges financial support from the Schiavone-Tantazzi family from whom he received a scholarship titled Dott. Giuseppe Tantazzi issued by the Rotary Club Genoa (distretto 2032). The views expressed in this paper are those of the authors and should not be attributed to the organization they represent.</t>
  </si>
  <si>
    <t>1354-7798</t>
  </si>
  <si>
    <t>1468-036X</t>
  </si>
  <si>
    <t>EUR FINANC MANAG</t>
  </si>
  <si>
    <t>Eur. Financ. Manag.</t>
  </si>
  <si>
    <t>10.1111/eufm.12268</t>
  </si>
  <si>
    <t>PR0NT</t>
  </si>
  <si>
    <t>WOS:000533558300001</t>
  </si>
  <si>
    <t>[Bokhove, Onno; Hicks, Tiffany; Kent, Tomas] Univ Leeds, Sch Math, Leeds LS2 9JT, W Yorkshire, England; [Bokhove, Onno; Hicks, Tiffany; Kent, Tomas] Univ Leeds, Leeds Inst Fluid Dynam, Leeds LS2 9JT, W Yorkshire, England; [Zweers, Wout] Wowlab, Enschede, Netherlands</t>
  </si>
  <si>
    <t>Bokhove, O (corresponding author), Univ Leeds, Sch Math, Leeds LS2 9JT, W Yorkshire, England.;Bokhove, O (corresponding author), Univ Leeds, Leeds Inst Fluid Dynam, Leeds LS2 9JT, W Yorkshire, England.</t>
  </si>
  <si>
    <t>o.bokhove@leeds.ac.uk</t>
  </si>
  <si>
    <t>EPSRC [EP/P002331/1]; EPSRC [EP/M008525/1] Funding Source: UKRI</t>
  </si>
  <si>
    <t>EPSRC(UK Research &amp; Innovation (UKRI)Engineering &amp; Physical Sciences Research Council (EPSRC)); EPSRC(UK Research &amp; Innovation (UKRI)Engineering &amp; Physical Sciences Research Council (EPSRC))</t>
  </si>
  <si>
    <t>This research has been supported by the EPSRC (grant no. EP/M008525/1) and the EPSRC (grant no. EP/P002331/1).</t>
  </si>
  <si>
    <t>HYDROL EARTH SYST SC</t>
  </si>
  <si>
    <t>Hydrol. Earth Syst. Sci.</t>
  </si>
  <si>
    <t>Geosciences, Multidisciplinary; Water Resources</t>
  </si>
  <si>
    <t>Geology; Water Resources</t>
  </si>
  <si>
    <t>LQ8FA</t>
  </si>
  <si>
    <t>NARCISSISM; THE IDEAL; SHAME; RESSENTIMENT</t>
  </si>
  <si>
    <t>GRIEVANCE; SHAME</t>
  </si>
  <si>
    <t>[Hoggett, Paul] UWE, Social Policy, Bristol, Avon, England; [Hoggett, Paul] Severnside Inst Psychotherapy, Bristol, Avon, England</t>
  </si>
  <si>
    <t>Hoggett, P (corresponding author), UWE, Social Policy, Bristol, Avon, England.;Hoggett, P (corresponding author), Severnside Inst Psychotherapy, Bristol, Avon, England.</t>
  </si>
  <si>
    <t>paul.hoggett@uwe.ac.uk</t>
  </si>
  <si>
    <t>BRIT J PSYCHOTHER</t>
  </si>
  <si>
    <t>Brit. J. Psychother.</t>
  </si>
  <si>
    <t>MQ5AL</t>
  </si>
  <si>
    <t>Waste strategy; Strategy development; Prevention strategy; Zero waste approach; Circular economy; European Green Deal; SWOT analysis; PFSTEL analysis; LCA</t>
  </si>
  <si>
    <t>MUNICIPAL SOLID-WASTE; ENVIRONMENTAL FOOTPRINT; SUSTAINABLE TOURISM; RURAL TOURISM; INDICATORS; HIERARCHY; IMPLEMENTATION; CHALLENGES; EFFICIENCY; BEHAVIORS</t>
  </si>
  <si>
    <t>[Zorpas, Antonis A.] Open Univ Cyprus, Fac Pure &amp; Appl Sci Environm Conservat &amp; Manageme, Lab Chem Engn &amp; Engn Sustainabil, Giannou Kranidioti Ave 33, CY-2220 Nicosia, Cyprus</t>
  </si>
  <si>
    <t>Zorpas, AA (corresponding author), Open Univ Cyprus, Fac Pure &amp; Appl Sci Environm Conservat &amp; Manageme, Lab Chem Engn &amp; Engn Sustainabil, Giannou Kranidioti Ave 33, CY-2220 Nicosia, Cyprus.</t>
  </si>
  <si>
    <t>antoniszorpas@yahoo.com</t>
  </si>
  <si>
    <t>KU8UM</t>
  </si>
  <si>
    <t>Y</t>
  </si>
  <si>
    <t>N</t>
  </si>
  <si>
    <t>Muslemani, H; Liang, X; Kaesehage, K; Wilson, J</t>
  </si>
  <si>
    <t>Muslemani, Hasan; Liang, Xi; Kaesehage, Katharina; Wilson, Jeffrey</t>
  </si>
  <si>
    <t>Business Models for Carbon Capture, Utilization and Storage Technologies in the Steel Sector: A Qualitative Multi-Method Study</t>
  </si>
  <si>
    <t>PROCESSES</t>
  </si>
  <si>
    <t>carbon capture; utilization and storage; business model; steel sector; decarbonization</t>
  </si>
  <si>
    <t>OF-THE-ART; ENERGY EFFICIENCY IMPROVEMENT; EMISSION REDUCTION POTENTIALS; COAL-FIRED POWER; CO2 CAPTURE; SHIP TRANSPORT; CCS; IRON; COST; SUSTAINABILITY</t>
  </si>
  <si>
    <t>Carbon capture, utilization, and storage (CCUS) is a combination of technologies capable of achieving large-scale reductions in carbon dioxide emissions across a variety of industries. Its application to date has however been mostly limited to the power sector, despite emissions from other industrial sectors accounting for around 30% of global anthropogenic CO(2)emissions. This paper explores the challenges of and requirements for implementing CCUS in non-power industrial sectors in general, and in the steel sector in particular, to identify drivers for the technology's commercialization. To do so we first conducted a comprehensive literature review of business models of existing large-scale CCUS projects. We then collected primary qualitative data through a survey questionnaire and semi-structured interviews with global CCUS experts from industry, academia, government, and consultancies. Our results reveal that the revenue model is the most critical element to building successful CCUS business models, around which the following elements are structured: funding sources, capital &amp; ownership structure, and risk management/allocation. One promising mechanism to subsidize the additional costs associated with the introduction of CCUS to industry is the creation of a 'low-carbon product market', while the creation of clear risk-allocation systems along the full CCUS chain is particularly highlighted. The application of CCUS as an enabling emission reduction technology is further shown to be a factor of consumer and shareholder pressures, pressing environmental standards, ethical resourcing, resource efficiency, and first-mover advantages in an emerging market. This paper addresses the knowledge gap which exists in identifying viable CCUS business models in the industrial sector which, with the exception of a few industry reports, remains poorly explored in the academic literature.</t>
  </si>
  <si>
    <t>[Muslemani, Hasan; Liang, Xi; Kaesehage, Katharina] Univ Edinburgh, Business Sch, 29 Buccleuch Pl, Edinburgh EH8 9JS, Midlothian, Scotland; [Wilson, Jeffrey] Univ Waterloo, Sch Environm Enterprise &amp; Dev, Waterloo, ON N2L 3G1, Canada</t>
  </si>
  <si>
    <t>Muslemani, H (corresponding author), Univ Edinburgh, Business Sch, 29 Buccleuch Pl, Edinburgh EH8 9JS, Midlothian, Scotland.</t>
  </si>
  <si>
    <t>H.Muslemani@ed.ac.uk; Xi.Liang@ed.ac.uk; Kathi.Kaesehage@ed.ac.uk; Jeffrey.Wilson@uwaterloo.ca</t>
  </si>
  <si>
    <t>Liang, Xi/0000-0002-0674-2246</t>
  </si>
  <si>
    <t>Low Carbon College (LCC) at the University of Edinburgh; BHP; Low Carbon College (LCC) at Shanghai Jiao Tong University</t>
  </si>
  <si>
    <t>This research was funded jointly by a collaborative fund provided by the Low Carbon College (LCC) at the University of Edinburgh and Shanghai Jiao Tong University, and a BHP-funded Industrial CCUS project at the University of Edinburgh.</t>
  </si>
  <si>
    <t>2227-9717</t>
  </si>
  <si>
    <t>Processes</t>
  </si>
  <si>
    <t>10.3390/pr8050576</t>
  </si>
  <si>
    <t>Engineering, Chemical</t>
  </si>
  <si>
    <t>MA2MZ</t>
  </si>
  <si>
    <t>WOS:000541752600029</t>
  </si>
  <si>
    <t>Environmental impact assessment (EIA); Environmental impact statement (EIS); Practice; Social impact assessment (SIA); Sustainability; Transport infrastructure planning</t>
  </si>
  <si>
    <t>ENVIRONMENTAL-IMPACT; QUALITATIVE RESEARCH; PUBLIC-PARTICIPATION; DATA SATURATION; ASSESSMENT SIA; LANDSCAPE; EXCLUSION; ACCESSIBILITY; MANAGEMENT; PROJECTS</t>
  </si>
  <si>
    <t>[Antonson, Hans] KMV Forum AB, Hastholmsvagen 28, S-13130 Nacka, Sweden; [Antonson, Hans] Lund Univ, Dept Human Geog, SE-22362 Lund, Sweden; [Levin, Lena] VTI Swedish Natl Rd &amp; Transport Res Inst, SE-58195 Linkoping, Sweden; [Levin, Lena] K2 Swedish Knowledge Ctr Publ Transport, Bruksgatan 8, S-22237 Lund, Sweden</t>
  </si>
  <si>
    <t>Levin, L (corresponding author), VTI Swedish Natl Rd &amp; Transport Res Inst, SE-58195 Linkoping, Sweden.;Levin, L (corresponding author), K2 Swedish Knowledge Ctr Publ Transport, Bruksgatan 8, S-22237 Lund, Sweden.</t>
  </si>
  <si>
    <t>lena.levin@vti.se</t>
  </si>
  <si>
    <t>Swedish Research Council for Environment, Agricultural Sciences and Spatial Planning, Formas [2015-1140]</t>
  </si>
  <si>
    <t>Swedish Research Council for Environment, Agricultural Sciences and Spatial Planning, Formas(Swedish Research Council Formas)</t>
  </si>
  <si>
    <t>This article was provided to the Research Network on Transportation in Society: Actors, Processes, Politics (FAST), and in close connection to the new R&amp;D area for interdisciplinary research on everyday life of transportation users', at the K2 Swedish Centre for Research and Education on Public Transport in Sweden. The research was funded by The Swedish Research Council for Environment, Agricultural Sciences and Spatial Planning, Formas (#2015-1140).</t>
  </si>
  <si>
    <t>PROG PLANN</t>
  </si>
  <si>
    <t>Prog. Plan.</t>
  </si>
  <si>
    <t>Environmental Studies; Regional &amp; Urban Planning</t>
  </si>
  <si>
    <t>Environmental Sciences &amp; Ecology; Public Administration</t>
  </si>
  <si>
    <t>LT0RG</t>
  </si>
  <si>
    <t>Circular economy tool; Eco-innovation; Ecolabeling; Environmental certificates; EU Flower; Spain</t>
  </si>
  <si>
    <t>ECO-LABELS; CONSUMER PREFERENCES; CIRCULAR ECONOMY; TRADE; PRODUCTS</t>
  </si>
  <si>
    <t>[Prieto-Sandova, Vanessa; Ormazabal, Marta; Jaca, Carmen] Univ Navarra, Sch Engn, TECNUN, Manuel de Lardizabal 15, San Sebastian 20018, Spain; [Mejia-Villa, Andres] Univ La Sabana, EICEA, Chia, Colombia</t>
  </si>
  <si>
    <t>Mejia-Villa, A (corresponding author), Univ La Sabana, EICEA, Chia, Colombia.</t>
  </si>
  <si>
    <t>andresmv@unisabana.edu.co</t>
  </si>
  <si>
    <t>Jaca, Carmen/A-2667-2013; Mejia-Villa, Andres/AAB-5435-2020</t>
  </si>
  <si>
    <t>Jaca, Carmen/0000-0002-8438-5387; Mejia-Villa, Andres/0000-0002-1880-3827</t>
  </si>
  <si>
    <t>Spanish National Program for Fostering Excellence in Scientific and Technical Research; European Regional Development Fund [DPI2015-70832-R]; University of La Sabana, Colombia [EICEA 117 2018]</t>
  </si>
  <si>
    <t>Spanish National Program for Fostering Excellence in Scientific and Technical Research; European Regional Development Fund(European Commission); University of La Sabana, Colombia</t>
  </si>
  <si>
    <t>This research is part of the EcoPyme project, which has been sponsored by the Spanish National Program for Fostering Excellence in Scientific and Technical Research and The European Regional Development Fund: DPI2015-70832-R (MINECO/FEDER). Likewise, this investigation is part of the project Implementation of the circular economy in the industrial sector located in the province of Sabana Centro and its surroundings (EICEA 117 2018) which is funded by University of La Sabana, Colombia. Moreover, the authors would like to thank the EU Ecolabel Help Desk, the Spanish Ministry for the Ecological Transition, and the regional EU Ecolabel offices for their help with data collection.</t>
  </si>
  <si>
    <t>LK4AP</t>
  </si>
  <si>
    <t>Sayce, SL; Hossain, SM</t>
  </si>
  <si>
    <t>Sayce, Sarah Louise; Hossain, Syeda Marjia</t>
  </si>
  <si>
    <t>The initial impacts of Minimum Energy Efficiency Standards (MEES) in England</t>
  </si>
  <si>
    <t>Energy performance certificates; Minimum Energy Efficiency Standards; Market impact; Valuers; Asset management</t>
  </si>
  <si>
    <t>PROPERTY VALUATION; SUSTAINABILITY; RATINGS; MARKET; PRICES</t>
  </si>
  <si>
    <t>Purpose The paper investigates the initial impacts on asset management and valuation practice of the Minimum Energy Efficiency Standard (MEES) introduced in England and Wales from April 2018 for new lettings. Design/methodology/approach The paper reports findings from a small-scale pilot study of valuers, asset managers, lawyers and building consultants. Interviews were conducted over the summer of 2019 and explored the impact on practice and market values and perceived links to the carbon reduction agenda. Data were analysed thematically manually and using NVivo software. Findings Participants welcomed MEES but many had doubts about the use of energy performance certificates (EPCs) as the appropriate baseline measure. Compliance was perceived as too easy; further, enforcement is not occurring. Vanguard investors have aligned portfolios for carbon reduction; others have not. Lease practices are changing with landlords seeking greater control over tenant behaviours. Valuers reported that whilst MEES consideration is embedded in due diligence processes, there is limited value impact. Research limitations/implications The study is limited by its small-scale and that the MEES regulations are not yet fully implemented. However, the research provides early findings and lays out recommendations for future research by identifying areas in which the regulations are/are not proving effective to date. Practical implications The findings will inform investors, consultants and policy makers. Social implications Achieving energy efficiency in buildings is critical to driving down carbon emission; it also has economic and social benefits through cost savings and reducing fuel poverty. Originality/value Believed to be the first post-implementation qualitative study of MEES.</t>
  </si>
  <si>
    <t>[Sayce, Sarah Louise; Hossain, Syeda Marjia] Univ Reading, Henley Business Sch, Whiteknights Campus, Reading, Berks, England</t>
  </si>
  <si>
    <t>Sayce, SL (corresponding author), Univ Reading, Henley Business Sch, Whiteknights Campus, Reading, Berks, England.</t>
  </si>
  <si>
    <t>s.l.sayce@reading.ac.uk; s.m.hossain@pgr.reading.ac.uk</t>
  </si>
  <si>
    <t>Reading Real Estate Foundation</t>
  </si>
  <si>
    <t>The authors wish to acknowledge the the financial support of the Reading Real Estate Foundation. They also wish to thank the interviewees who were so generous with their time.</t>
  </si>
  <si>
    <t>J PROP INVEST FINANC</t>
  </si>
  <si>
    <t>J. Prop. Invest. Finance</t>
  </si>
  <si>
    <t>10.1108/JPIF-01-2020-0013</t>
  </si>
  <si>
    <t>PB2NM</t>
  </si>
  <si>
    <t>WOS:000529700500001</t>
  </si>
  <si>
    <t>Meyerson, BE; Agley, JD; Jayawardene, W; Eldridge, LA; Arora, P; Smith, C; Vadiei, N; Kennedy, A; Moehling, T</t>
  </si>
  <si>
    <t>Meyerson, B. E.; Agley, J. D.; Jayawardene, W.; Eldridge, L. A.; Arora, P.; Smith, C.; Vadiei, N.; Kennedy, A.; Moehling, T.</t>
  </si>
  <si>
    <t>PharmNet Res Team</t>
  </si>
  <si>
    <t>Feasibility and acceptability of a proposed pharmacy-based harm reduction intervention to reduce opioid overdose, HIV and hepatitis C</t>
  </si>
  <si>
    <t>RESEARCH IN SOCIAL &amp; ADMINISTRATIVE PHARMACY</t>
  </si>
  <si>
    <t>Pharmacy practice; Harm reduction; Consolidated framework for implementation research; Opioid overdose reduction; Syringe access; Naloxone access; HIV; Hepatitis C</t>
  </si>
  <si>
    <t>IMPLEMENTATION RESEARCH; CONSOLIDATED FRAMEWORK; COMMUNITY PHARMACY; RISK; ABUSE; BEHAVIORS; EDUCATION; THERAPY; PROGRAM; POLICY</t>
  </si>
  <si>
    <t>Background: Evidence-based harm reduction intervention components which might benefit pharmacy patients have not been integrated and studied. Objective: To investigate the feasibility and acceptability of a proposed pharmacy-based harm reduction intervention to reduce opioid overdose, HIV and hepatitis C called PharmNet. Methods: Indiana managing pharmacists were surveyed in 2018 to assess the feasibility and acceptability of an intervention for opioid misuse screening, brief intervention, syringe and naloxone dispensing, and referrals provision. The Consolidated Framework for Implementation Research informed the survey development and analysis. Results: The sample included 303 (30.8%) pharmacists; 215 (70.9%) provided detailed written comments. Intervention Characteristics: 83.3% believed PharmNet would benefit patients, and that staff could deliver the intervention with adequate training (70.0%). Inner Setting: While 77.2% believed their pharmacy culture supported practice change, 57.5% of chain pharmacists believed their pharmacies would not have time for PharmNet. Outer Setting: 73.3% believed additional addiction and overdose screening is needed in their community, and pharmacies should offer new services to help reduce opioid overdose and addiction among their patients (79.5%). A vast majority (97.7%) were asked by patients in the past 2 years about syringe related issues; 67.7% were asked about syringes for non-prescription injection drug use. Individuals Involved: While 62.4% believed PharmNet was within pharmacy scope of practice and 90.1% were comfortable consulting about syringe use, pharmacists reported that they had limited control over the implementation environment. Process: 38.0% of pharmacists indicated interest in advising the development of PharmNet. Conclusions: An implementation trial of a modified version of PharmNet is likely feasible; yet will be challenged by structural pressures particularly in chain pharmacies. Successful implementation will involve the development of resources and policy components to manage outer and inner setting characteristics and align the intervention to the implementation environment.</t>
  </si>
  <si>
    <t>[Meyerson, B. E.; Agley, J. D.; Jayawardene, W.; Eldridge, L. A.; PharmNet Res Team] Indiana Univ, Sch Publ Hlth Bloomington, Bloomington, IN 47405 USA; [Meyerson, B. E.] Indiana Univ, Sch Publ Hlth Bloomington, Rural Ctr AIDS STD Prevent, 1025 E 7th St, Bloomington, IN 47405 USA; [Agley, J. D.; Jayawardene, W.; Eldridge, L. A.] Indiana Univ, Sch Publ Hlth Bloomington, Inst Res Addict Behav, Bloomington, IN USA; [Arora, P.; Smith, C.] Butler Univ, Coll Pharm &amp; Hlth Sci, Indianapolis, IN 46208 USA; [Vadiei, N.; Kennedy, A.] Univ Arizona, Coll Pharm, Tucson, AZ 85721 USA; [Moehling, T.] Purdue Univ, Weldon Sch Biomed Engn, W Lafayette, IN 47907 USA; [Moehling, T.] Purdue Univ, Publ Hlth Grad Program, W Lafayette, IN 47907 USA; [Meyerson, B. E.] Univ Arizona, Southwest Inst Res Women, Tucson, AZ USA</t>
  </si>
  <si>
    <t>Meyerson, BE (corresponding author), Indiana Univ, Sch Publ Hlth Bloomington, Rural Ctr AIDS STD Prevent, 1025 E 7th St, Bloomington, IN 47405 USA.</t>
  </si>
  <si>
    <t>bmeyerson@email.arizona.edu</t>
  </si>
  <si>
    <t>Agley, Jon/0000-0003-2345-8850; Moehling, Taylor/0000-0002-1848-7078</t>
  </si>
  <si>
    <t>Indiana University Grand Challenge: Responding to the Addictions Crisis</t>
  </si>
  <si>
    <t>This study was funded by the Indiana University Grand Challenge: Responding to the Addictions Crisis.</t>
  </si>
  <si>
    <t>1551-7411</t>
  </si>
  <si>
    <t>1934-8150</t>
  </si>
  <si>
    <t>RES SOC ADMIN PHARM</t>
  </si>
  <si>
    <t>Res. Soc. Adm. Pharm.</t>
  </si>
  <si>
    <t>10.1016/j.sapharm.2019.08.026</t>
  </si>
  <si>
    <t>Public, Environmental &amp; Occupational Health; Pharmacology &amp; Pharmacy</t>
  </si>
  <si>
    <t>LF0GS</t>
  </si>
  <si>
    <t>WOS:000527106000011</t>
  </si>
  <si>
    <t>Policy transfer; Sustainable urban mobility; Institutions; New institutional economics; Developing cities</t>
  </si>
  <si>
    <t>TRANSPORT POLICY; PEAK CAR; ISTANBUL; DIFFUSION; IMPLEMENTATION; CONVERGENCE; ISOMORPHISM; SUCCESS</t>
  </si>
  <si>
    <t>[Canitez, Fatih] Istanbul Tech Univ, Dept Management Engn, Istanbul, Turkey</t>
  </si>
  <si>
    <t>Canitez, F (corresponding author), Istanbul Tech Univ, Dept Management Engn, Istanbul, Turkey.</t>
  </si>
  <si>
    <t>fatihcanitez40@gmail.com</t>
  </si>
  <si>
    <t>Transp. Policy</t>
  </si>
  <si>
    <t>Economics; Transportation</t>
  </si>
  <si>
    <t>Business &amp; Economics; Transportation</t>
  </si>
  <si>
    <t>LF4CW</t>
  </si>
  <si>
    <t>Li, WJ; Clark, B; Taylor, JA; Kendall, H; Jones, G; Li, ZH; Jin, S; Zhao, CJ; Yang, GJ; Shuai, CM; Cheng, X; Chen, J; Yang, H; Frewer, LJ</t>
  </si>
  <si>
    <t>Li, Wenjing; Clark, Beth; Taylor, James A.; Kendall, Helen; Jones, Glyn; Li, Zhenhong; Jin, Shan; Zhao, Chunjiang; Yang, Guijun; Shuai, Chuanmin; Cheng, Xin; Chen, Jing; Yang, Hao; Frewer, Lynn J.</t>
  </si>
  <si>
    <t>A hybrid modelling approach to understanding adoption of precision agriculture technologies in Chinese cropping systems</t>
  </si>
  <si>
    <t>COMPUTERS AND ELECTRONICS IN AGRICULTURE</t>
  </si>
  <si>
    <t>Precision farming; Reduced inputs; Technology adoption; Small-holder agriculture; Agricultural service providers; Structural equation modelling</t>
  </si>
  <si>
    <t>INFORMATION-TECHNOLOGY; PLS-SEM; ACCEPTANCE; MANAGEMENT; DECISION</t>
  </si>
  <si>
    <t>Precision agriculture has the potential to deliver improved and more sustainable food production. Despite the various Chinese policy initiatives to strengthen national food security, there is evidence that the adoption of precision agriculture technologies in China has been much lower when compared to other developed agricultural economies. This study therefore aims to explore factors that determine Chinese farmers' adoption of precision agriculture technologies in cropping systems and to provide recommendations on technology promotion in the future. The current status of precision agriculture adoption by smallholder farmers within crop farming systems in the North China Plain was explored. An integrated model of Adapted Unified Theory of Acceptance and Usage of Technology (AUT(2)) was developed to explain individual farmers' intention to adopt precision agriculture. 456 surveys were conducted via face to face interviews in the North China Plain and structural equation modelling analysis was used to estimate the proposed AUT(2) model. The results showed that perceived need for technology characteristics (PNTC), perceived benefits, perception of the efficacy of facilitating conditions and perceived risks of adoption have significant impacts on farmers' intention to adopt precision agriculture. The facilitating conditions (e.g. knowledge, resources and access to consultant services) were the best predictor improving Chinese farmers' willingness to adopt these technologies. Policy makers and service providers need to consider these factors in the promotion of technologies.</t>
  </si>
  <si>
    <t>[Li, Wenjing; Clark, Beth; Taylor, James A.; Kendall, Helen; Jones, Glyn; Jin, Shan; Frewer, Lynn J.] Newcastle Univ, Sch Nat &amp; Environm Sci, Newcastle Upon Tyne NE1 7RU, Tyne &amp; Wear, England; [Taylor, James A.] Univ Montpellier, Montpellier SupAgro, INRAE, UMR ITAP, F-34000 Montpellier, France; [Jones, Glyn] FERA Sci Ltd, Natl Agrifood Innovat Campus, York YO41 1LZ, N Yorkshire, England; [Li, Zhenhong] Newcastle Univ, Sch Engn, Newcastle Upon Tyne NE1 7RU, Tyne &amp; Wear, England; [Zhao, Chunjiang; Yang, Guijun; Yang, Hao] Natl Engn Res Ctr Informat Technol Agr, Beijing Nongke Mans, Shuang Hua Yuan Middle Rd 11, Beijing 100097, Peoples R China; [Shuai, Chuanmin; Cheng, Xin] China Univ Geosci, Sch Econ &amp; Management, Wuhan 430074, Peoples R China; [Chen, Jing] Chinese Acad Agr Sci, 12 Zhongguancun St, Beijing 100081, Peoples R China</t>
  </si>
  <si>
    <t>Frewer, LJ (corresponding author), Newcastle Univ, Sch Nat &amp; Environm Sci, Newcastle Upon Tyne NE1 7RU, Tyne &amp; Wear, England.</t>
  </si>
  <si>
    <t>wli_academic@163.com; beth.clark@newcastle.ac.uk; james.taylor@inrae.fr; Helen.Kendall@newcastle.ac.uk; glyn.d.jones@fera.co.uk; zhenhong.li@newcastle.ac.uk; s.jin13@newcastle.ac.uk; zhaocj@nercita.org.cn; yanggj@nercita.org.cn; shuaicm@cug.edu.cn; cxjournal@163.com; chenjing@caas.cn; yangh@nercita.org.cn; lynn.frewer@newcastle.ac.uk</t>
  </si>
  <si>
    <t>Li, Zhenhong/F-8705-2010; Clark, Beth/A-5561-2015; CHENG, Xin/E-6584-2016</t>
  </si>
  <si>
    <t>Li, Zhenhong/0000-0002-8054-7449; Jin, Shan/0000-0001-7531-9997; Yang, Hao/0000-0001-8506-7295; Taylor, James/0000-0001-9709-8689; Clark, Beth/0000-0002-9828-6806; Yang, Guijun/0000-0002-6425-8321; CHENG, Xin/0000-0003-0773-8078</t>
  </si>
  <si>
    <t>UK-China Research and Innovation Partnership Fund (Newton Programme: PAFiC-Precision Agriculture for Family-farms in China project, National Natural Science Foundation of China (NSFC) [61661136003]; Science and Technology Facilities Council (STFC) of United Kingdom [ST/N006801/1]; National Key Research and Development Program of China [2017YFE0122500]; China Scholarship Council (CSC) [201706410040]; STFC [ST/N006801/1] Funding Source: UKRI</t>
  </si>
  <si>
    <t>UK-China Research and Innovation Partnership Fund (Newton Programme: PAFiC-Precision Agriculture for Family-farms in China project, National Natural Science Foundation of China (NSFC); Science and Technology Facilities Council (STFC) of United Kingdom(UK Research &amp; Innovation (UKRI)Science &amp; Technology Facilities Council (STFC)); National Key Research and Development Program of China; China Scholarship Council (CSC)(China Scholarship Council); STFC(UK Research &amp; Innovation (UKRI)Science &amp; Technology Facilities Council (STFC))</t>
  </si>
  <si>
    <t>This research was funded by the UK-China Research and Innovation Partnership Fund (Newton Programme: PAFiC-Precision Agriculture for Family-farms in China project, National Natural Science Foundation of China (NSFC) (No. 61661136003) &amp; Science and Technology Facilities Council (STFC) of United Kingdom (No. ST/N006801/1), the National Key Research and Development Program of China (No. 2017YFE0122500) and China Scholarship Council (CSC) (No. 201706410040). We are grateful for the translation work made by Ms. Xuemin Wang, Dr. Ya'nan Li and Ms. Yanfeng Chen. We also thank Dr. Zhenhai Li with logistical organisation with the survey, the coordinators at provincial and village level, and all the farmers who contributed to the surveys.</t>
  </si>
  <si>
    <t>0168-1699</t>
  </si>
  <si>
    <t>1872-7107</t>
  </si>
  <si>
    <t>COMPUT ELECTRON AGR</t>
  </si>
  <si>
    <t>Comput. Electron. Agric.</t>
  </si>
  <si>
    <t>10.1016/j.compag.2020.105305</t>
  </si>
  <si>
    <t>Agriculture, Multidisciplinary; Computer Science, Interdisciplinary Applications</t>
  </si>
  <si>
    <t>Agriculture; Computer Science</t>
  </si>
  <si>
    <t>LC4VU</t>
  </si>
  <si>
    <t>WOS:000525324700029</t>
  </si>
  <si>
    <t>Panitz, R; Gluckler, J</t>
  </si>
  <si>
    <t>Panitz, Robert; Glueckler, Johannes</t>
  </si>
  <si>
    <t>Network stability in organizational flux: The case of in-house management consulting</t>
  </si>
  <si>
    <t>SOCIAL NETWORKS</t>
  </si>
  <si>
    <t>Knowledge networks; Management consulting; Social network analysis; Network stability; Organizational flux; Network statics</t>
  </si>
  <si>
    <t>ABSORPTIVE-CAPACITY; PERFORMANCE; INNOVATION; DYNAMICS; EMBEDDEDNESS; PERSPECTIVE; RESILIENCE; GOVERNANCE; MECHANISMS; PATTERNS</t>
  </si>
  <si>
    <t>This article explores the effects of organizational flux on the statics of interpersonal knowledge exchange structures. In our empirical case, organizational flux refers to high rates of personnel turnover, temporary project work, constant recombination of team memberships, and short-term collaboration. Network statics refers to the balance between forces composing and decomposing a network. Set in continuously changing organizational compositions of an in-house management-consulting unit, our study offers insights into the relationship between organizational characteristics and informal networks between experts. Against conventional intuition, we find a dense and stable structure of knowledge exchange. Furthermore, we elaborate on the two concepts of organizational flux and network statics, by comparing the observed structures with theoretical (random graphs) and empirical references (other empirical cases), and by using ERG models to account for different factors of organization, social balance, and individual attributes.</t>
  </si>
  <si>
    <t>[Panitz, Robert; Glueckler, Johannes] Heidelberg Univ, Heidelberg, Germany</t>
  </si>
  <si>
    <t>Panitz, R (corresponding author), Heidelberg Univ, Heidelberg, Germany.</t>
  </si>
  <si>
    <t>panitz@uni-heidelberg.de; glueckler@uni-heidelberg.de</t>
  </si>
  <si>
    <t>Glückler, Johannes/K-3807-2018; Panitz, Robert/ABC-4230-2021</t>
  </si>
  <si>
    <t>Glückler, Johannes/0000-0002-2507-1556; Panitz, Robert/0000-0002-8312-6228</t>
  </si>
  <si>
    <t>0378-8733</t>
  </si>
  <si>
    <t>1879-2111</t>
  </si>
  <si>
    <t>SOC NETWORKS</t>
  </si>
  <si>
    <t>Soc. Networks</t>
  </si>
  <si>
    <t>10.1016/j.socnet.2019.11.002</t>
  </si>
  <si>
    <t>Anthropology; Sociology</t>
  </si>
  <si>
    <t>KK1AC</t>
  </si>
  <si>
    <t>WOS:000512481500014</t>
  </si>
  <si>
    <t>Nation brand; Country brand; Brand index</t>
  </si>
  <si>
    <t>SOFT POWER; EQUITY; DETERMINANTS; REPUTATION</t>
  </si>
  <si>
    <t>[Lahrech, Abdelmounaim] British Univ Dubai, Fac Business &amp; Law, Dubai, U Arab Emirates; [Juusola, Katariina] MODUL Univ Dubai, Dept Int Management, Dubai, U Arab Emirates; [AlAnsaari, Mohamed Eisa] British Univ Dubai, Dubai, U Arab Emirates</t>
  </si>
  <si>
    <t>Juusola, K (corresponding author), MODUL Univ Dubai, Dept Int Management, Dubai, U Arab Emirates.</t>
  </si>
  <si>
    <t>abdelmounaim.lahrech@buid.ac.ae; katariina.juusola@modul.ac.ae; 2016156010@student.buid.ac.ae</t>
  </si>
  <si>
    <t>Juusola, Katariina/0000-0001-6907-8410</t>
  </si>
  <si>
    <t>INT MARKET REV</t>
  </si>
  <si>
    <t>Int. Market. Rev.</t>
  </si>
  <si>
    <t>LP1TA</t>
  </si>
  <si>
    <t>Green buildings; Ghana; Construction economics; Africa; Market barriers; Sustainability</t>
  </si>
  <si>
    <t>SUSTAINABLE CONSTRUCTION; TECHNOLOGIES ADOPTION; DEVELOPING-COUNTRIES; BARRIERS; DRIVERS; PROCUREMENT; AUSTRALIA; DELIVERY; CHINA</t>
  </si>
  <si>
    <t>[Addy, Michael; Adinyira, Emmanuel; Danku, James Cofie; Dadzoe, Florence] Kwame Nkrumah Univ Sci &amp; Technol, Dept Construct Technol &amp; Management, Kumasi, Ghana</t>
  </si>
  <si>
    <t>Addy, M (corresponding author), Kwame Nkrumah Univ Sci &amp; Technol, Dept Construct Technol &amp; Management, Kumasi, Ghana.</t>
  </si>
  <si>
    <t>mljaddy@yahoo.co.uk; rasadii@gmail.com; jmcdanku@yahoo.com; florentino7dadzoe@gmail.com</t>
  </si>
  <si>
    <t>DANKU, JAMES COFIE/AAO-7016-2020; Addy, Michael/AFS-4078-2022</t>
  </si>
  <si>
    <t>SMART SUSTAIN BUILT</t>
  </si>
  <si>
    <t>Smart Sustain. Built Environ.</t>
  </si>
  <si>
    <t>SV4OW</t>
  </si>
  <si>
    <t>Farvis, J; Hay, S</t>
  </si>
  <si>
    <t>Farvis, John; Hay, Stephen</t>
  </si>
  <si>
    <t>Undermining teaching: How education consultants view the impact of high-stakes test preparation on teaching</t>
  </si>
  <si>
    <t>POLICY FUTURES IN EDUCATION</t>
  </si>
  <si>
    <t>High-stakes testing (HST); Foucault; neoliberalism; globalization; New York schools</t>
  </si>
  <si>
    <t>POLICY-MAKING; ACCOUNTABILITY; REFORM; STATE; POWER</t>
  </si>
  <si>
    <t>The outcomes of high-stakes tests (HST) in New York schools have consequences for teachers and administrators, as students' results became quality indicators for school administration and instruction. Education consultant's views offer an independent perspective of the HST environment. Data were collected from education consultants through a survey and interviews. Findings linked HST with reduced teacher control in instructional planning, curriculum narrowing and increased test preparation. These practices were associated with decreased collaboration and increased teacher and administrator stress. Foucault's governmentality and concepts of neoliberal education policy framed aspects of the study. This study indicates that the consequences of HST require critical interrogation as HST practices have adverse impacts on teacher and administrator agency and student outcomes.</t>
  </si>
  <si>
    <t>[Farvis, John] Griffith Univ, 58 Cassowary St, Freshwater, Qld 4879, Australia; [Hay, Stephen] Griffith Univ, Educ, Freshwater, Qld, Australia; [Hay, Stephen] Griffith Univ, Griffith Inst Educ Res, Freshwater, Qld, Australia</t>
  </si>
  <si>
    <t>Farvis, J (corresponding author), Griffith Univ, 58 Cassowary St, Freshwater, Qld 4879, Australia.</t>
  </si>
  <si>
    <t>john.farvis@griffithuni.edu.au</t>
  </si>
  <si>
    <t>Farvis, John/ABG-8233-2020</t>
  </si>
  <si>
    <t>Farvis, John/0000-0002-1401-7546</t>
  </si>
  <si>
    <t>1478-2103</t>
  </si>
  <si>
    <t>POLICY FUTURES EDUC</t>
  </si>
  <si>
    <t>Policy Futures Educ.</t>
  </si>
  <si>
    <t>10.1177/1478210320919541</t>
  </si>
  <si>
    <t>OV4JA</t>
  </si>
  <si>
    <t>WOS:000532375700001</t>
  </si>
  <si>
    <t>Doidge, S; Doyle, J; Hogan, T</t>
  </si>
  <si>
    <t>Doidge, Scott; Doyle, John; Hogan, Trevor</t>
  </si>
  <si>
    <t>The university in the global age: reconceptualising the humanities and social sciences for the twenty-first century.</t>
  </si>
  <si>
    <t>EDUCATIONAL PHILOSOPHY AND THEORY</t>
  </si>
  <si>
    <t>Humanities; social sciences; university research cultures; research impact; digital disruption</t>
  </si>
  <si>
    <t>IMPACT</t>
  </si>
  <si>
    <t>By any metric, the twentieth century university was a successful institution. However, in the twenty-first century, ongoing neoliberal educational reform has been accompanied by a growing epistemological crisis in the meaning and value of the humanities and social sciences (HaSS). Concerns have been expressed in two main forms. The governors of tertiary education systems governments, private investors, university managers and consultancy firms-have focused on how HaSS can adapt to the perceived research needs of the 21st century. At the same time, a competing set of discourses has been generated by scholars and researchers employed within the critical HaSS themselves. This article considers what these differing perspectives mean for reconceptualising HaSS for the twenty-first century. After surveying the contemporary climate, this article examines the findings of key reports on the future of the humanities from the United States, the United Kingdom and Australia. Alongside those of Western Europe, these university systems are arguably the key drivers for the global university system. It is argued that these reports provide an opportunity for emerging universities to reflect on their research priorities and developmental strategies. The article concludes with some reflections on the wider consequences of the globalising of the university system, the increase of China's influence in Asia, and ponders the prospect of post-human/ist futures of the humanities.</t>
  </si>
  <si>
    <t>[Doidge, Scott] La Trobe Univ, Melbourne, Vic, Australia; [Doyle, John] La Trobe Univ, Sch Humanities &amp; Social Sci, Melbourne, Vic, Australia; [Hogan, Trevor] La Trobe Univ, Sociol, Melbourne, Vic, Australia</t>
  </si>
  <si>
    <t>Doidge, S (corresponding author), La Trobe Univ, Melbourne, Vic, Australia.</t>
  </si>
  <si>
    <t>scott.doidge@acu.edu.au</t>
  </si>
  <si>
    <t>0013-1857</t>
  </si>
  <si>
    <t>1469-5812</t>
  </si>
  <si>
    <t>EDUC PHILOS THEORY</t>
  </si>
  <si>
    <t>Educ. Philos. Theory</t>
  </si>
  <si>
    <t>SEP 18</t>
  </si>
  <si>
    <t>10.1080/00131857.2020.1752186</t>
  </si>
  <si>
    <t>MN0TX</t>
  </si>
  <si>
    <t>WOS:000540118900001</t>
  </si>
  <si>
    <t>Lingard, B</t>
  </si>
  <si>
    <t>Lingard, Bob</t>
  </si>
  <si>
    <t>The changing and complex entanglements of research and policy making in education: issues for environmental and sustainability education</t>
  </si>
  <si>
    <t>ENVIRONMENTAL EDUCATION RESEARCH</t>
  </si>
  <si>
    <t>Globalisation; policy-making; policy; education for sustainable development; research</t>
  </si>
  <si>
    <t>POLITICS; CRITIQUE; WORLD</t>
  </si>
  <si>
    <t>This paper focuses on the complex, entangled relationships between research and policy and suggests this is a very important topic in the contemporary era of so-called, 'evidence-based' or 'research-based' policy in education. The paper argues that we can only ever have 'evidence-informed' and 'research-informed' policy because all policy is an admixture of facts (research), politics (discourses, values, ideologies) and professional knowledges, a position readily apparent in respect of ESE and broader climate policy. The paper also argues that post-truth contexts and the politics of affect provide a significant backdrop to research/policy relationships with specific salience in respect of environmental and sustainability education (ESE) research and policy, given the conflictual politics surrounding this domain. The distinction between research for and of policy is used analytically in the paper. While research for policy, often conducted by private consultancies, might have a more direct and immediate impact on policy, it is suggested that research of policy, often conducted by academic researchers, and indeed research of a critical kind, potentially can have long-term impact, affecting the assumptive worlds of policy makers, often in unacknowledged ways. Globalization has resulted in the global circulation of policy ideas and thus research can affect policy at varying levels in contemporary policy processes of the restructured/rescaled state. Some consideration is also given to the rise of big data and policy as numbers. The paper discusses implications of such developments for considerations of research/policy relationships, particularly in relation to ESE. The paper concludes by suggesting the current climate emergency demands activist research and researchers in the ESE domain and also activist teachers and students.</t>
  </si>
  <si>
    <t>[Lingard, Bob] Australian Catholic Univ, Inst Learning Sci &amp; Teacher Educ, Brisbane Campus,Level 4,229 Elizabeth St, Brisbane, Qld 4000, Australia</t>
  </si>
  <si>
    <t>Lingard, B (corresponding author), Australian Catholic Univ, Inst Learning Sci &amp; Teacher Educ, Brisbane Campus,Level 4,229 Elizabeth St, Brisbane, Qld 4000, Australia.</t>
  </si>
  <si>
    <t>Robert.Lingard@acu.edu.au</t>
  </si>
  <si>
    <t>1350-4622</t>
  </si>
  <si>
    <t>1469-5871</t>
  </si>
  <si>
    <t>ENVIRON EDUC RES</t>
  </si>
  <si>
    <t>Environ. Educ. Res.</t>
  </si>
  <si>
    <t>10.1080/13504622.2020.1752625</t>
  </si>
  <si>
    <t>Education &amp; Educational Research; Environmental Studies</t>
  </si>
  <si>
    <t>Education &amp; Educational Research; Environmental Sciences &amp; Ecology</t>
  </si>
  <si>
    <t>RV7XK</t>
  </si>
  <si>
    <t>WOS:000527650100001</t>
  </si>
  <si>
    <t>Africa; Benin; corruption; enabling environment; government accounting</t>
  </si>
  <si>
    <t>GOOD GOVERNANCE; NEOPATRIMONIALISM; REFLECTIONS; MANAGEMENT; FRAMEWORK; STATE</t>
  </si>
  <si>
    <t>[Lassou, Philippe J. C.] Univ Guelph, Dept Management, Guelph, ON N1G 2W1, Canada; [Hopper, Trevor] Univ Sussex, Sch Business, Brighton, E Sussex, England; [Hopper, Trevor] Stockholm Sch Econ, Stockholm, Sweden; [Hopper, Trevor] Victoria Univ Wellington, Sch Accounting &amp; Commercial Law, Wellington, New Zealand; [Soobaroyen, Teerooven] Univ Essex, Essex Business Sch, Colchester, Essex, England</t>
  </si>
  <si>
    <t>Lassou, PJC (corresponding author), Univ Guelph, Dept Management, Guelph, ON N1G 2W1, Canada.</t>
  </si>
  <si>
    <t>plassou@uoguelph.ca</t>
  </si>
  <si>
    <t>Lassou, Philippe/0000-0002-0408-2117</t>
  </si>
  <si>
    <t>Social Sciences and Humanities Research Council of Canada (SSHRC) [430-2018-00851]; University of Southampton</t>
  </si>
  <si>
    <t>Social Sciences and Humanities Research Council of Canada (SSHRC)(Social Sciences and Humanities Research Council of Canada (SSHRC)CGIAR); University of Southampton</t>
  </si>
  <si>
    <t>Social Sciences and Humanities Research Council of Canada (SSHRC), Grant/Award Number: 430-2018-00851; University of Southampton, Grant/Award Number: Annual Adventures in Research (AAiR)</t>
  </si>
  <si>
    <t>RO0WK</t>
  </si>
  <si>
    <t>Executive director; NGO; Chile; Governance; Boards of directors</t>
  </si>
  <si>
    <t>NONPROFIT ORGANIZATIONS; PUBLIC-INTEREST; SELF-REGULATION; ACCOUNTABILITY; SECTOR; DISCOURSE; ROUTINES; BUSINESS; BOARDS; CODES</t>
  </si>
  <si>
    <t>[Diaz, Daniel A.; Rees, Christopher J.] Univ Manchester, Global Dev Inst, Manchester, Lancs, England</t>
  </si>
  <si>
    <t>Diaz, DA (corresponding author), Univ Manchester, Global Dev Inst, Manchester, Lancs, England.</t>
  </si>
  <si>
    <t>daniel.diazvera@manchester.ac.uk</t>
  </si>
  <si>
    <t>Diaz Vera, Daniel A./0000-0002-0811-4091</t>
  </si>
  <si>
    <t>EMPL RELAT</t>
  </si>
  <si>
    <t>Empl. Relat.</t>
  </si>
  <si>
    <t>Industrial Relations &amp; Labor; Management</t>
  </si>
  <si>
    <t>MG4BO</t>
  </si>
  <si>
    <t>Ursus maritimus; Climate change; Denning; Habitat; Traditional ecological knowledge</t>
  </si>
  <si>
    <t>WESTERN HUDSON-BAY; URSUS-MARITIMUS; HABITAT LOSS; ICE; CONSERVATION; MANAGEMENT; SUCCESS; BIOLOGY</t>
  </si>
  <si>
    <t>[Florko, Katie R. N.; Breiter, C-Jae C.; Petersen, Stephen D.] Assiniboine Pk Zoo, Leatherdale Int Polar Bear Conservat Ctr, Conservat &amp; Res Dept, Winnipeg, MB R3P 2N9, Canada; [Florko, Katie R. N.] Univ British Columbia, Inst Oceans &amp; Fisheries, Vancouver, BC V6T 1Z4, Canada; [Derocher, Andrew E.; Sahanatien, Vicki] Univ Alberta, Dept Biol Sci, Edmonton, AB T6G 2E9, Canada; [Ghazal, Maha] Univ Manitoba, Dept Environm &amp; Geog, Winnipeg, MB R3E 0W2, Canada; [Hedman, Daryll; Trim, Vicki] Manitoba Agr &amp; Resource Dev, Wildlife &amp; Fisheries Branch, Water Stewardship &amp; Biodivers Div, Thompson, MB R8N 1X4, Canada; [Higdon, Jeff W.] Higdon Wildlife Consulting, Winnipeg, MB R3G 3C9, Canada; [Richardson, Evan S.] Environm &amp; Climate Change Canada, Sci &amp; Technol Branch, Wildlife Res Div, Winnipeg, MB R3C 4W2, Canada; [Sahanatien, Vicki] POB 1584, Iqaluit, NU, Canada</t>
  </si>
  <si>
    <t>Florko, KRN (corresponding author), Assiniboine Pk Zoo, Leatherdale Int Polar Bear Conservat Ctr, Conservat &amp; Res Dept, Winnipeg, MB R3P 2N9, Canada.;Florko, KRN (corresponding author), Univ British Columbia, Inst Oceans &amp; Fisheries, Vancouver, BC V6T 1Z4, Canada.</t>
  </si>
  <si>
    <t>katieflorko@gmail.com</t>
  </si>
  <si>
    <t>Florko, Katie/AAU-9391-2020; Derocher, Andrew/J-4469-2012</t>
  </si>
  <si>
    <t>Florko, Katie/0000-0003-3829-7447; Derocher, Andrew/0000-0002-1104-7774; Petersen, Stephen/0000-0002-3929-809X</t>
  </si>
  <si>
    <t>World Wildlife Fund (WWF) Canada; Assiniboine Park Conservancy; Project Learning Tree</t>
  </si>
  <si>
    <t>This research was funded in part by World Wildlife Fund (WWF) Canada; the results and recommendations presented in this paper do not necessarily represent the official position of WWF-Canada. We also gratefully acknowledge financial support from the Assiniboine Park Conservancy and Project Learning Tree. We thank Heather Penner for data compilation assistance, Geoff York for support during initial project work, and David Yurkowski and two anonymous reviewers for helpful comments on earlier versions of the manuscript.</t>
  </si>
  <si>
    <t>POLAR BIOL</t>
  </si>
  <si>
    <t>Polar Biol.</t>
  </si>
  <si>
    <t>Biodiversity Conservation; Ecology</t>
  </si>
  <si>
    <t>Biodiversity &amp; Conservation; Environmental Sciences &amp; Ecology</t>
  </si>
  <si>
    <t>LK4GY</t>
  </si>
  <si>
    <t>economic change (GDP); longevity; climate change (temperature); mortality modelling; forecasting</t>
  </si>
  <si>
    <t>TIME-SERIES; STOCHASTIC MORTALITY; CLIMATE-CHANGE; TEMPERATURE; FLUCTUATIONS; UNCERTAINTY; EXTENSION; WEATHER; ENGLAND; TRENDS</t>
  </si>
  <si>
    <t>[Dutton, Lydia; Seklecka, Malgorzata] Univ Liverpool, Dept Math Sci, Liverpool, Merseyside, England; [Pantelous, Athanasios A.] Monash Univ, Dept Econometr &amp; Business Stat, Melbourne, Vic, Australia; [Seklecka, Malgorzata] Zurich Insurance Grp Ltd, Grp Accumulat Management, Fareham, England</t>
  </si>
  <si>
    <t>Pantelous, AA (corresponding author), Monash Univ, Monash Business Sch, Dept Econometr &amp; Business Stat, Wellington Rd,20 Chancellors walk, Clayton, Vic 3800, Australia.</t>
  </si>
  <si>
    <t>athanasios.pantelous@monash.edu</t>
  </si>
  <si>
    <t>J FORECASTING</t>
  </si>
  <si>
    <t>J. Forecast.</t>
  </si>
  <si>
    <t>Economics; Management</t>
  </si>
  <si>
    <t>PG4QB</t>
  </si>
  <si>
    <t>environmental platform; GIS; spatial data; sustainable development; Trinex; water-energy nexus</t>
  </si>
  <si>
    <t>[Mosalam, Heba Ahmed] Heliopolis Univ Sustainable Dev, Electromichan, 3 Belbis Cairo Desrt Rd, Cairo 2834, Egypt; [El-Barad, Mohamed] Ain Shams Univ, Dept Engn Sci, Inst Environm Studies &amp; Res ISER, Cairo, Egypt; [El-Barad, Mohamed] Egyptian Russian Univ, Construct Dept, Fac Engn, Cairo 11829, Egypt</t>
  </si>
  <si>
    <t>Mosalam, HA (corresponding author), Heliopolis Univ Sustainable Dev, Electromichan, 3 Belbis Cairo Desrt Rd, Cairo 2834, Egypt.</t>
  </si>
  <si>
    <t>heba.mosalam@hu.edu.eg</t>
  </si>
  <si>
    <t>Mosalam, Heba/0000-0003-2929-528X</t>
  </si>
  <si>
    <t>ALLIANCE HOUSE, 12 CAXTON ST, LONDON SW1H0QS, ENGLAND</t>
  </si>
  <si>
    <t>WATER SCI TECHNOL</t>
  </si>
  <si>
    <t>Water Sci. Technol.</t>
  </si>
  <si>
    <t>MM3ZV</t>
  </si>
  <si>
    <t>Wastewater analysis; Sewage epidemiology; Music festival; Nightlife; MDMA; Drug checking</t>
  </si>
  <si>
    <t>[Benaglia, Lisa; Udrisard, Robin; Bannwarth, Anne; Gibson, Aline; Esseiva, Pierre; Delemont, Olivier] Univ Lausanne, Ecole Sci Criminelles, CH-1015 Lausanne, Switzerland; [Been, Frederic] KWR Watercycle Res Inst, NL-3433 BB Nieuwegein, Netherlands; [Lai, Foon Yin] Swedish Univ Agr Sci SLU, Dept Aquat Sci &amp; Assessment, Box 7050, SE-75007 Uppsala, Sweden</t>
  </si>
  <si>
    <t>Benaglia, L (corresponding author), Univ Lausanne, Ecole Sci Criminelles, CH-1015 Lausanne, Switzerland.</t>
  </si>
  <si>
    <t>lisa.benaglia@gmail.com</t>
  </si>
  <si>
    <t>ME8CK</t>
  </si>
  <si>
    <t>public-private partnership; public sector; management efficiency; infrastructure; whole lifecycle</t>
  </si>
  <si>
    <t>[Wang, Nannan] Dalian Maritime Univ, Sch Maritime Econ &amp; Management, 1 Linghaird, Dalian 116026, Peoples R China; [Ma, Minxun; Liu, Yunfei] Shandong Univ, Sch Management, 27 Shan Nan Rd, Jinan 250100, Peoples R China</t>
  </si>
  <si>
    <t>Wang, NN (corresponding author), Dalian Maritime Univ, Sch Maritime Econ &amp; Management, 1 Linghaird, Dalian 116026, Peoples R China.</t>
  </si>
  <si>
    <t>wangnannan@dlmu.edu.cn</t>
  </si>
  <si>
    <t>National Social Science Foundation, China [19VHQ009]</t>
  </si>
  <si>
    <t>National Social Science Foundation, China</t>
  </si>
  <si>
    <t>This research is funded by the National Social Science Foundation, China, (grant no. 19VHQ009).</t>
  </si>
  <si>
    <t>LL4WR</t>
  </si>
  <si>
    <t>circular economy; architecture; building industry; barriers; drivers; architects; clients; material</t>
  </si>
  <si>
    <t>[Kanters, Jouri] Lund Univ, Dept Architecture &amp; Built Environm, Div Energy &amp; Bldg Design, S-22100 Lund, Sweden</t>
  </si>
  <si>
    <t>Kanters, J (corresponding author), Lund Univ, Dept Architecture &amp; Built Environm, Div Energy &amp; Bldg Design, S-22100 Lund, Sweden.</t>
  </si>
  <si>
    <t>jouri.kanters@ebd.lth.se</t>
  </si>
  <si>
    <t>Kanters, Jouri/0000-0002-4731-7203</t>
  </si>
  <si>
    <t>ARQ Forsk [2019-8]</t>
  </si>
  <si>
    <t>ARQ Forsk</t>
  </si>
  <si>
    <t>This research was funded by ARQ Forsk, grant number 2019-8.</t>
  </si>
  <si>
    <t>LO8PR</t>
  </si>
  <si>
    <t>Microsimulation; Health impact modelling; Environmental risks; Deprivation; Air pollution</t>
  </si>
  <si>
    <t>SYSTEMATIC ANALYSIS; GLOBAL BURDEN; 195 COUNTRIES; TERRITORIES; MORTALITY; DISEASE</t>
  </si>
  <si>
    <t>[Ibbetson, Andrew; Hutchinson, Emma] London Sch Hyg &amp; Trop Med, London, England; [Symonds, Phil] UCL, Inst Environm Design &amp; Engn, London, England</t>
  </si>
  <si>
    <t>Ibbetson, A (corresponding author), London Sch Hyg &amp; Trop Med, London, England.</t>
  </si>
  <si>
    <t>andrew.ibbetson1@lshtm.ac.uk</t>
  </si>
  <si>
    <t>Shao, Ruitai/AAU-7642-2021</t>
  </si>
  <si>
    <t>Ibbetson, Andrew/0000-0001-6238-3455; Symonds, Phil/0000-0002-6290-5417</t>
  </si>
  <si>
    <t>Wellcome Trust 'Complex Urban Systems for Sustainability and Health' (CUSSH) project [205207/Z/16/Z, 209387/Z/17/Z]; National Institute for Health Research Health Protection Research Unit (NIHR HPRU) on Environmental Change and Health; EPSRC [EP/P022405/1] Funding Source: UKRI</t>
  </si>
  <si>
    <t>Wellcome Trust 'Complex Urban Systems for Sustainability and Health' (CUSSH) project; National Institute for Health Research Health Protection Research Unit (NIHR HPRU) on Environmental Change and Health; EPSRC(UK Research &amp; Innovation (UKRI)Engineering &amp; Physical Sciences Research Council (EPSRC))</t>
  </si>
  <si>
    <t>This work was supported by the Wellcome Trust `Complex Urban Systems for Sustainability and Health' (CUSSH) project [205207/Z/16/Z and 209387/Z/17/Z]; the National Institute for Health Research Health Protection Research Unit (NIHR HPRU) on Environmental Change and Health. The project is led by the London School of Hygiene and Tropical Medicine in partnership with Public Health England (PHE), and in collaboration with the University of Exeter, University College London, and the Met Office. The views expressed are those of the author(s) and not necessarily those of the NHS, the NIHR, the Department of Health or PHE.</t>
  </si>
  <si>
    <t>LJ0WL</t>
  </si>
  <si>
    <t>Green Published, Green Accepted, gold</t>
  </si>
  <si>
    <t>Larrinaga, C; Rossi, A; Luque-Vilchez, M; Nunez-Nickel, M</t>
  </si>
  <si>
    <t>Larrinaga, Carlos; Rossi, Adriana; Luque-Vilchez, Mercedes; Nunez-Nickel, Manuel</t>
  </si>
  <si>
    <t>Institutionalization of the Contents of Sustainability Assurance Services: A Comparison Between Italy and United States</t>
  </si>
  <si>
    <t>Sustainability assurance content; Disclosure practices; Assurance patterns; Normativity; Italy; United States</t>
  </si>
  <si>
    <t>ENVIRONMENTAL DISCLOSURES; GOVERNANCE; DETERMINANTS; STATEMENTS; LEVEL; RESPONSIBILITY; RELIABILITY; LEGITIMACY; DYNAMICS; QUALITY</t>
  </si>
  <si>
    <t>A descriptive-exploratory analysis of assurance practices is presented in this paper, by analysing the patterns of sustainability assurance reporting in two national contexts with different levels of assurance activity (Italy and the U.S.) over a period of 11 years (2003/2013). The study is based on theoretical insights drawn from institutional sociology and normativity production. It is framed both in the Italian situation, where assurance statements consistently include a narrow set of formal and procedural communications, and in an unsettled situation in the U.S., where assurance activity is more incipient, but where experimentation in substantial assurance disclosure practices has more room to develop. Its main implication is that the diffusion of sustainability assurance and the creation of sustainability assurance disclosure norms are not without its cost: information quality does not increase with patterned practice. The results also point towards the noteworthy role of specific professionals in the earlier and later stages of assurance practice norms. They reveal a significant influence of non-Big4 firms (mainly certification bodies and consulting and engineering firms) in the diffusion of sustainability assurance disclosure norms. In contrast, the Big4 firms appear to be positively associated with the narrowing down of the assurance focus to a selected subset of this activity in later stages of the development of the assurance norm. In this regard, this study provides insight into the circumstantial-but relevant-carrier role of the Big4 firms in determining what assurance means.</t>
  </si>
  <si>
    <t>[Larrinaga, Carlos; Luque-Vilchez, Mercedes] Univ Burgos, Dept Econ &amp; Adm Empresas, Plaza Infanta Elena, Burgos 09001, Spain; [Rossi, Adriana] Univ Gabriele dAnnunzio Chieti &amp; Pescara, Dept Econ Studies, Viale Pineta 4, I-65129 Pescara, Italy; [Nunez-Nickel, Manuel] Univ Carlos III Madrid, Dept Business Adm, C Madrid 126, Madrid 28903, Spain</t>
  </si>
  <si>
    <t>Larrinaga, C (corresponding author), Univ Burgos, Dept Econ &amp; Adm Empresas, Plaza Infanta Elena, Burgos 09001, Spain.</t>
  </si>
  <si>
    <t>carlos.larrinaga@ubu.es; adriana.rossi@unich.it; mlvilches@ubu.es; mnunez@emp.uc3m.es</t>
  </si>
  <si>
    <t>Núñez-Nickel, Manuel/K-8101-2017; Luque-Vílchez, Mercedes/AAB-7787-2022; Larrinaga, Carlos/A-7649-2008</t>
  </si>
  <si>
    <t>Larrinaga, Carlos/0000-0002-7000-4619; Luque-Vilchez, Mercedes/0000-0001-8392-8573</t>
  </si>
  <si>
    <t>Secretaria de Estado de Investigacion, Desarrollo e Innovacion [ECO2015-65782-P]; Consejeria de Educacion, Junta de Castilla y Leon [BU058P17]</t>
  </si>
  <si>
    <t>Secretaria de Estado de Investigacion, Desarrollo e Innovacion; Consejeria de Educacion, Junta de Castilla y Leon(Junta de Castilla y Leon)</t>
  </si>
  <si>
    <t>This study was funded by Secretaria de Estado de Investigacion, Desarrollo e Innovacion (Grant Number ECO2015-65782-P) and Consejeria de Educacion, Junta de Castilla y Leon (Grant Number BU058P17).</t>
  </si>
  <si>
    <t>J BUS ETHICS</t>
  </si>
  <si>
    <t>J. Bus. Ethics</t>
  </si>
  <si>
    <t>10.1007/s10551-018-4014-z</t>
  </si>
  <si>
    <t>Business; Ethics</t>
  </si>
  <si>
    <t>Business &amp; Economics; Social Sciences - Other Topics</t>
  </si>
  <si>
    <t>KX0AW</t>
  </si>
  <si>
    <t>WOS:000521547000007</t>
  </si>
  <si>
    <t>CONVENTION THEORY; COTTON; GLOBAL PRODUCTION NETWORKS; GOVERNANCE; MULTI-STAKEHOLDER INITIATIVES; STANDARDS</t>
  </si>
  <si>
    <t>CORPORATE SOCIAL-RESPONSIBILITY; VALUE CHAINS; GOVERNANCE; STANDARDS; TRANSFORMATION; DYNAMICS; POLITICS; JUSTICE; POWER</t>
  </si>
  <si>
    <t>[Riisgaard, Lone] Roskilde Univ Soc &amp; Business, Univ Vej 1 Postbox 260, DK-4000 Roskilde, Denmark; [Lund-Thomsen, Peter] Copenhagen Business Sch, Dept Management Soc &amp; Commun, Dalgas Have 15, Frederiksberg, Denmark; [Coe, Neil M.] Natl Univ Singapore, Dept Geog, 10 Arts Link, Singapore, Singapore</t>
  </si>
  <si>
    <t>Riisgaard, LONE (corresponding author), Roskilde Univ Soc &amp; Business, Univ Vej 1 Postbox 260, DK-4000 Roskilde, Denmark.</t>
  </si>
  <si>
    <t>loner@ruc.dk; pl.msc@cbs.dk; geonmc@nus.edu.sg</t>
  </si>
  <si>
    <t>Coe, Neil M./AAN-8902-2020; Riisgaard, Lone/Y-4324-2018</t>
  </si>
  <si>
    <t>Coe, Neil M./0000-0001-7720-5061; Riisgaard, Lone/0000-0002-8827-3227</t>
  </si>
  <si>
    <t>GLOBAL NETW</t>
  </si>
  <si>
    <t>Glob. Netw.</t>
  </si>
  <si>
    <t>Anthropology; Geography; Sociology</t>
  </si>
  <si>
    <t>KT2LH</t>
  </si>
  <si>
    <t>Aspeteg, J; Bergek, A</t>
  </si>
  <si>
    <t>Aspeteg, Joakim; Bergek, Anna</t>
  </si>
  <si>
    <t>The value creation of diffusion intermediaries: Brokering mechanisms and trade-offs in solar and wind power in Sweden</t>
  </si>
  <si>
    <t>Innovation intermediary; Broker; Intermediation; Business model; Value capture</t>
  </si>
  <si>
    <t>RENEWABLE ELECTRICITY TECHNOLOGIES; INNOVATION INTERMEDIARIES; BUSINESS MODELS; SUSTAINABILITY; ACTORS; ORGANIZATIONS; TRANSITIONS; TYPOLOGY; SYSTEM; LEVEL</t>
  </si>
  <si>
    <t>This paper focuses on diffusion-oriented innovation intermediaries (diffusion intermediaries), i.e. actors that function as brokers between technology adopters and the providers of resources needed to implement a new technology that is available more or less off-the-shelf. It investigates how such actors create value for adopters of new technologies as well as the trade-offs they face. An interview-based, qualitative survey of 14 Swedish consultants and project developers involved in solar PV and wind power reveals that diffusion intermediaries create value mainly through technology transfer and coordination of various actors throughout the planning and implementation of turnkey projects. There is evidence of trade-offs related to value capture as well as between different value dimensions (e.g. between quality control and legitimacy). These findings have important implications for the design of strategies and policies to leverage value creation and handle trade-offs to avoid negative effects on projects, companies, and the overall diffusion of cleaner technologies. (C) 2019 Elsevier Ltd. All rights reserved.</t>
  </si>
  <si>
    <t>[Aspeteg, Joakim; Bergek, Anna] Chalmers Univ Technol, Dept Technol Management &amp; Econ, SE-41296 Gothenburg, Sweden</t>
  </si>
  <si>
    <t>Bergek, A (corresponding author), Chalmers Univ Technol, Dept Technol Management &amp; Econ, SE-41296 Gothenburg, Sweden.</t>
  </si>
  <si>
    <t>anna.bergek@chalmers.se</t>
  </si>
  <si>
    <t>Bergek, Anna/A-3279-2009</t>
  </si>
  <si>
    <t>Bergek, Anna/0000-0003-1952-902X</t>
  </si>
  <si>
    <t>Swedish Energy Agency [40642e1]</t>
  </si>
  <si>
    <t>Swedish Energy Agency(Swedish Energy AgencyMaterials &amp; Energy Research Center (MERC))</t>
  </si>
  <si>
    <t>Funding from the Swedish Energy Agency (grant number 40642e1) is gratefully acknowledged. The funder has not been involved in study design, in the collection, analysis and interpretation of data, in the writing of the article, or in the decision to submit the article for publication.</t>
  </si>
  <si>
    <t>10.1016/j.jclepro.2019.119640</t>
  </si>
  <si>
    <t>KH7IL</t>
  </si>
  <si>
    <t>WOS:000510823700125</t>
  </si>
  <si>
    <t>political climate; polarization; countertransference; treatment alliance</t>
  </si>
  <si>
    <t>[Goldsmith, Barbara L.] Widener Univ, Inst Grad Clin Psychol, 1 Univ Pl,Bruce Hall, Chester, PA 19013 USA</t>
  </si>
  <si>
    <t>Goldsmith, BL (corresponding author), Widener Univ, Inst Grad Clin Psychol, 1 Univ Pl,Bruce Hall, Chester, PA 19013 USA.</t>
  </si>
  <si>
    <t>blgoldsmith@gmail.com</t>
  </si>
  <si>
    <t>J HUMANIST PSYCHOL</t>
  </si>
  <si>
    <t>J. Humanist. Psychol.</t>
  </si>
  <si>
    <t>NV7OJ</t>
  </si>
  <si>
    <t>Colven, E</t>
  </si>
  <si>
    <t>Colven, Emma</t>
  </si>
  <si>
    <t>Friction; expertise; policy mobilities; policy failure; flood risk management</t>
  </si>
  <si>
    <t>URBAN-POLICY MOBILITIES; GREAT-GARUDA; CITIES; GEOGRAPHIES; POLITICS; KNOWLEDGE; MOVE</t>
  </si>
  <si>
    <t>In 2014, a consortium of Dutch firms revealed the master plan for Jakarta's Great Garuda Sea Wall project, combining urban development and flood risk management. Though a ground-breaking ceremony was held, little progress has since been made, and the yet-to-be materialized project faces an uncertain future. Taking this project as its case study, this article examines the efforts of Dutch consultants to realize the proposed Great Garuda Sea Wall project in Jakarta, and the frictions encountered during this process. This article contributes to a growing scholarship in policy mobilities that interrogates instances of policy failure. I begin from the premise that there are valuable insights to be gleaned by examining projects and policies that occupy the space in between failure and success. By using the lens of friction, this article aims to think beyond these categories and their limitations. I demonstrate how friction can be simultaneously productive and disruptive to policymaking and mobilizing, therefore complicating binary representations of success and failure. Abandoning these limiting categories holds the possibility of enriching policy mobilities scholarship by opening up space for analyses of the messy and indeterminate processes that are central to policymaking, and which categories of success and failure are unable to capture. This is especially important for understanding policymaking in the context of the global South where projects often remain unrealized and such categories are less analytically useful.</t>
  </si>
  <si>
    <t>[Colven, Emma] Univ Oklahoma, Dept Int &amp; Area Studies, Norman, OK 73019 USA</t>
  </si>
  <si>
    <t>Colven, E (corresponding author), Univ Oklahoma, Dept Int &amp; Area Studies, David L Boren Coll Int Studies, 729 Elm Ave,Farzaneh Hall,Room 317, Norman, OK 73019 USA.</t>
  </si>
  <si>
    <t>emmacolven@ou.edu</t>
  </si>
  <si>
    <t>Colven, Emma/0000-0002-4072-6303</t>
  </si>
  <si>
    <t>UCLA International Institute; UCLA Department of Geography; UCLA Urban Humanities Initiative</t>
  </si>
  <si>
    <t>I am grateful to all those who gave me their time and shared their insights. Thank you to Eugene McCann and Jamie Peck for inviting me to present an earlier version of this paper in their session at the 2019 AAG meeting. I am grateful to Helga Leitner, Rhys Machold, Sam Nowak, Eric Sheppard and Matt Wade for providing thoughtful, detailed comments on earlier drafts. Rachel Bok provided her insights and support in developing the ideas presented here. Thank you also to the three anonymous reviewers for their extremely constructive comments and suggestions. Any errors and omissions are of course my own. Fieldwork for this article was supported by the UCLA International Institute, UCLA Department of Geography, and UCLA Urban Humanities Initiative.</t>
  </si>
  <si>
    <t>ENVIRON PLAN C-POLIT</t>
  </si>
  <si>
    <t>Env. Plan. C-Polit. Space</t>
  </si>
  <si>
    <t>10.1177/2399654420911947</t>
  </si>
  <si>
    <t>Environmental Studies; Geography; Regional &amp; Urban Planning; Public Administration</t>
  </si>
  <si>
    <t>Environmental Sciences &amp; Ecology; Geography; Public Administration</t>
  </si>
  <si>
    <t>NA0TB</t>
  </si>
  <si>
    <t>WOS:000523876300001</t>
  </si>
  <si>
    <t>Koch, S</t>
  </si>
  <si>
    <t>Koch, Susanne</t>
  </si>
  <si>
    <t>The Local Consultant Will Not Be Credible: How Epistemic Injustice Is Experienced and Practised in Development Aid</t>
  </si>
  <si>
    <t>SOCIAL EPISTEMOLOGY</t>
  </si>
  <si>
    <t>Epistemic injustice; credibility excess; imaginary; development experts</t>
  </si>
  <si>
    <t>KNOWLEDGE; INTERVIEW</t>
  </si>
  <si>
    <t>This paper uses the concept of epistemic injustice to shed light on the discriminatory treatment of experts in and by development aid. While the literature on epistemic justice is largely based on philosophical reasoning, I provide an empirical case study which substantiates theoretical claims with findings from social science research. Drawing on expert interviews conducted in South Africa and Tanzania, I reveal how epistemic injustice is experienced, practiced and institutionalised in a field which claims to work towards global justice. Focusing on aid-related advisory processes, the paper highlights how epistemic authority therein is tied to identity-based prejudice. The systematic credibility deficit policy experts from aid-receiving countries suffer is closely interrelated with the credibility excess so-called 'international' experts profit from. Their privilege is backed by an imaginary that maintains the idea of Northern epistemic superiority and sustained by prevailing employment and procurement practices of donor organisations. The paper suggests that the concurrence of testimonial and hermeneutical injustice prevents experts from the Global South from taking the lead in interpreting their own societies' realities. This, I argue, is not only detrimental to the countries whose knowers are marginalised but also a root cause of persisting global inequality.</t>
  </si>
  <si>
    <t>[Koch, Susanne] Tech Univ Munich, Chair Forest &amp; Environm Policy, Hans Carl von Carlowitz Pl 2, D-85354 Freising Weihenstephan, Germany</t>
  </si>
  <si>
    <t>Koch, S (corresponding author), Tech Univ Munich, Chair Forest &amp; Environm Policy, Hans Carl von Carlowitz Pl 2, D-85354 Freising Weihenstephan, Germany.</t>
  </si>
  <si>
    <t>susanne.koch@tum.de</t>
  </si>
  <si>
    <t>Koch, Susanne/0000-0002-6830-9077</t>
  </si>
  <si>
    <t>German Research Council [WE 972/30-1]</t>
  </si>
  <si>
    <t>German Research Council(German Research Foundation (DFG))</t>
  </si>
  <si>
    <t>This work was supported by the German Research Council [Grant Number WE 972/30-1].</t>
  </si>
  <si>
    <t>0269-1728</t>
  </si>
  <si>
    <t>1464-5297</t>
  </si>
  <si>
    <t>SOC EPISTEMOL</t>
  </si>
  <si>
    <t>Soc. Epistemol.</t>
  </si>
  <si>
    <t>10.1080/02691728.2020.1737749</t>
  </si>
  <si>
    <t>History &amp; Philosophy Of Science; Philosophy; Social Sciences, Interdisciplinary</t>
  </si>
  <si>
    <t>History &amp; Philosophy of Science; Philosophy; Social Sciences - Other Topics</t>
  </si>
  <si>
    <t>MN6IW</t>
  </si>
  <si>
    <t>WOS:000519915500001</t>
  </si>
  <si>
    <t>RANDOM FOREST; CLASSIFICATION; ALGORITHM</t>
  </si>
  <si>
    <t>[Mahdianpari, Masoud; Mohammadimanesh, Fariba] C CORE, St John, NF A1B 3X5, Canada; [Mahdianpari, Masoud; Mohammadimanesh, Fariba; Gill, Eric] Mem Univ Newfoundland, Dept Elect &amp; Comp Engn, St John, NF A1B 3X5, Canada; [Salehi, Bahram] SUNY Coll Environm Sci &amp; Forestry, Environm Resources Engn, Syracuse, NY 13210 USA; [Brisco, Brian] Canada Ctr Mapping &amp; Earth Observat, Ottawa, ON K1S 5K2, Canada; [Homayouni, Saeid] Inst Natl Rech Sci, Ctr Eau Terre Environm, Quebec City, PQ G1K 9A9, Canada; [DeLancey, Evan R.] Univ Alberta, Alberta Biodivers Monitoring Inst, Edmonton, AB T6G 2E9, Canada; [Bourgeau-Chavez, Laura] Michigan Technol Univ, Michigan Tech Res Inst, Ann Arbor, MI USA</t>
  </si>
  <si>
    <t>Mahdianpari, M (corresponding author), C CORE, St John, NF A1B 3X5, Canada.;Mahdianpari, M (corresponding author), Mem Univ Newfoundland, Dept Elect &amp; Comp Engn, St John, NF A1B 3X5, Canada.</t>
  </si>
  <si>
    <t>masoud.mahdianpari@c-core.ca</t>
  </si>
  <si>
    <t>Bourgeau-Chavez, Laura/0000-0001-7127-279X; Mahdianpari, Masoud/0000-0002-7234-959X; Salehi, Bahram/0000-0002-7742-5475; Mohammadimanesh, Fariba/0000-0002-9472-2324</t>
  </si>
  <si>
    <t>InnovateNL [RDC 5404-2108-101]; Natural Sciences and Engineering Research Council of Canada [NSERC RGPIN2015-05027]; Natural Resources Canada [NRCan - 3000694092]</t>
  </si>
  <si>
    <t>InnovateNL; Natural Sciences and Engineering Research Council of Canada(Natural Sciences and Engineering Research Council of Canada (NSERC)CGIAR); Natural Resources Canada(Natural Resources CanadaCanadian Forest Service)</t>
  </si>
  <si>
    <t>This project was undertaken with the financial support of the Research &amp; Development Corporation of Government of Newfoundland and Labrador (now InnovateNL) under Grant to M. Mahdianpari [RDC 5404-2108-101], Natural Sciences and Engineering Research Council of Canada under Grant to B. Salehi [NSERC RGPIN2015-05027], and Natural Resources Canada under Grant [NRCan - 3000694092] to M. Mahdianpari.</t>
  </si>
  <si>
    <t>TAYLOR &amp; FRANCIS INC</t>
  </si>
  <si>
    <t>530 WALNUT STREET, STE 850, PHILADELPHIA, PA 19106 USA</t>
  </si>
  <si>
    <t>CAN J REMOTE SENS</t>
  </si>
  <si>
    <t>Can. J. Remote Sens.</t>
  </si>
  <si>
    <t>Remote Sensing</t>
  </si>
  <si>
    <t>LE0YU</t>
  </si>
  <si>
    <t>Multi-criteria decision making; Systematic evaluation; Green degree; Environmental evaluation; Environmental supervision</t>
  </si>
  <si>
    <t>GROUP DECISION-MAKING; FAILURE MODE; SELECTION; EMISSIONS; TOPSIS; MANAGEMENT; WEIGHTS; PROJECT</t>
  </si>
  <si>
    <t>[Liu, Xu; Tian, Guangdong] Shandong Univ, Sch Mech Engn, Minist Educ, Key Lab High Efficiency &amp; Clean Mech Manufacture, Jinan 250061, Peoples R China; [Liu, Xu; Tian, Guangdong] Shandong Univ, Natl Demonstrat Ctr Expt Mech Engn Educ, Jinan 250061, Peoples R China; [Liu, Xu] Jilin Univ, Transportat Coll, Changchun 130022, Peoples R China; [Fathollahi-Fard, Amir Mohammad] Amirkabir Univ Technol, Dept Ind Engn &amp; Management Syst, Tehran, Iran; [Fathollahi-Fard, Amir Mohammad] Univ Quebec, Dept Elect Engn, Ecole Technol Super, Montreal, PQ, Canada; [Mojtahedi, Mohammad] Univ New South Wales, Fac Built Environm, Sydney, NSW, Australia</t>
  </si>
  <si>
    <t>Tian, GD (corresponding author), Shandong Univ, Sch Mech Engn, Minist Educ, Key Lab High Efficiency &amp; Clean Mech Manufacture, Jinan 250061, Peoples R China.;Tian, GD (corresponding author), Shandong Univ, Natl Demonstrat Ctr Expt Mech Engn Educ, Jinan 250061, Peoples R China.</t>
  </si>
  <si>
    <t>alicesulu42@gmail.com; tiangd2013@163.com; amirfard@aut.ac.ir; m.mojtahedi@unsw.edu.au</t>
  </si>
  <si>
    <t>CLEAN TECHNOL ENVIR</t>
  </si>
  <si>
    <t>Clean Technol. Environ. Policy</t>
  </si>
  <si>
    <t>KT6HC</t>
  </si>
  <si>
    <t>Capacities; EIA; EPA; Procedural effectiveness; Performance; Punjab</t>
  </si>
  <si>
    <t>ENVIRONMENTAL-IMPACT ASSESSMENT; CONSULTANTS; CHALLENGES; QUALITY; IMPLEMENTATION; CAPACITIES; AGENCY; CHINA</t>
  </si>
  <si>
    <t>[Khan, Mehreen; Ahmad, Sajid Rashid] Univ Punjab, Coll Earth &amp; Environm Sci, Dept Environm Sci, Lahore, Pakistan; [Chaudhry, Muhammad Nawaz] Lahore Sch Econ, Dept Environm Sci &amp; Policy, Barki Rd, Lahore, Pakistan; [Saif, Samia] Environm Consultancies &amp; Opt, 3rd Floor,31 Commercial Area, Lahore, Pakistan; [Mehmood, Asim] Global ECO Lab, 2nd &amp; 3rd Floor,4-5 Commercial Area, Lahore, Pakistan</t>
  </si>
  <si>
    <t>Khan, M (corresponding author), Univ Punjab, Coll Earth &amp; Environm Sci, Dept Environm Sci, Lahore, Pakistan.</t>
  </si>
  <si>
    <t>mehreen.haider26@gmail.com; muhammadnawazchaudhry@yahoo.com; principal.cees@pu.edu.pk; saamia@eco-intl.org; asim@eco-intl.org</t>
  </si>
  <si>
    <t>KO0CJ</t>
  </si>
  <si>
    <t>Norris, ME; O'Toole, B</t>
  </si>
  <si>
    <t>Norris, Meghan E.; O'Toole, Bonnie</t>
  </si>
  <si>
    <t>EXPLORING CAREER PATHS BEYOND ACADEMIA FOR PSYCHOLOGICAL SCIENTISTS</t>
  </si>
  <si>
    <t>CONSULTING PSYCHOLOGY JOURNAL-PRACTICE AND RESEARCH</t>
  </si>
  <si>
    <t>start-up; entrepreneurship; business basics; consulting; careers</t>
  </si>
  <si>
    <t>Many people with advanced degrees in psychology have expressed interest in working outside of academia. Indeed, based on data from the American Psychological Association (2018), 67.9% of doctoral holders were working outside of academia. This pattern continues, data from the National Center for Science and Engineering Statistics within the National Science Foundation (2017) indicated that approximately 65% of respondents who held a doctorate or professional degree in psychology indicated that they worked outside of an educational institution. Paralleling the American data, approximately 72.5% of Canadian advanced-degree holders in the psychological sciences reported working outside of academia (Canadian Psychological Association, 2016). With the majority of advanced-degree holders working outside of academia, there is a need to support professionals who are interested in exploring more industry-focused and entrepreneurial career paths. This article serves as a general guide on the basics of transitioning from an academic work environment to an industry work environment for those with an advanced degree in the psychological sciences. It is important to note that municipal, provincial/state, and national laws can vary greatly. Though this article provides legal issues for your consideration, it is not intended as legal advice. Rather, it is written as an early introduction to some of the concepts you might consider when transitioning into industry work in Canada and the United States. We recommend touching base with your local government business office, lawyer, or chartered accountant (as relevant) to ensure you are compliant with all laws and regulations.</t>
  </si>
  <si>
    <t>[Norris, Meghan E.] Queens Univ, Dept Psychol, 62 Arch St, Kingston, ON K7L 3N6, Canada; [O'Toole, Bonnie] Market Pursuits Business Dev Inc, Halifax, NS, Canada</t>
  </si>
  <si>
    <t>Norris, ME (corresponding author), Queens Univ, Dept Psychol, 62 Arch St, Kingston, ON K7L 3N6, Canada.</t>
  </si>
  <si>
    <t>meghan.norris@queensu.ca</t>
  </si>
  <si>
    <t>Nova Scotia Department of Labour and Advanced Education</t>
  </si>
  <si>
    <t>This article is written as a result of the training and opportunities created through Centre for Women in Business and The Nova Scotia Department of Labour and Advanced Education. We would like to thank the many individuals in these organizations who are working to grow opportunities and connections. We hope this article carries forward to others the support that you have provided to us! We would also like to thank Dr. Steven Smith for his thoughtful feedback during the development of this article.</t>
  </si>
  <si>
    <t>AMER PSYCHOLOGICAL ASSOC</t>
  </si>
  <si>
    <t>750 FIRST ST NE, WASHINGTON, DC 20002-4242 USA</t>
  </si>
  <si>
    <t>1065-9293</t>
  </si>
  <si>
    <t>1939-0149</t>
  </si>
  <si>
    <t>CONSULT PSYCH J</t>
  </si>
  <si>
    <t>Consult. Psychol. J.- Pract. Res.</t>
  </si>
  <si>
    <t>10.1037/cpb0000155</t>
  </si>
  <si>
    <t>Psychology, Applied</t>
  </si>
  <si>
    <t>WY6UH</t>
  </si>
  <si>
    <t>WOS:000719413900003</t>
  </si>
  <si>
    <t>Ureta, S; Lekan, T; von Hardenberg, WG</t>
  </si>
  <si>
    <t>Ureta, Sebastian; Lekan, Thomas; von Hardenberg, W. Graf</t>
  </si>
  <si>
    <t>Baselining nature: An introduction</t>
  </si>
  <si>
    <t>ENVIRONMENT AND PLANNING E-NATURE AND SPACE</t>
  </si>
  <si>
    <t>Baselines; baselining; environmental assessment; environmental degradation; environmental remediation; Anthropocene</t>
  </si>
  <si>
    <t>Baselines are one of the most ubiquitous, yet unrecognized, components of contemporary environmental regulation. Usually understood as the 'natural' or 'historical' state of a species population, ecosystem, or climatic zone, baselines become reified through regulatory processes, management schemes, and consultant reports that attempt to assess and/or mitigate the effects of environmental change. Though the natural sciences have long recognized the existence of a 'shifting baseline syndrome', the environmental social sciences and humanities have thus far paid scant attention to the concrete baselining practices that assemble data, technologies, and affect to produce ecological benchmarks for regulatory science, policy, and law. This special issue will serve as a gateway forum for inquiry about baselines in the environmental social sciences, environmental humanities, and science and technology studies. Drawing on case studies, the essays present baselining as an uneven process shaped by tensions between nostalgia and novelty, between democracy and expertise, and between the agencies of human and non-human actors operating at multiple geographic and temporal scales. Besides producing theoretically informed and empirically rich case studies, the authors suggest alternative pathways for conceptualizing and utilizing baselines in the Anthropocene.</t>
  </si>
  <si>
    <t>[Ureta, Sebastian] Univ Alberto Hurtado, Santiago, Chile; [Lekan, Thomas] Univ South Carolina, Columbia, SC 29208 USA; [von Hardenberg, W. Graf] Max Planck Inst Hist Sci, Berlin, Germany</t>
  </si>
  <si>
    <t>Ureta, S (corresponding author), Univ Alberto Hurtado, Dept Sociol, Almirante Barroso 10, Santiago, Chile.</t>
  </si>
  <si>
    <t>sureta@uahurtado.cl</t>
  </si>
  <si>
    <t>Graf von Hardenberg, Wilko/0000-0002-8704-6997; Ureta, Sebastian/0000-0003-3169-4992</t>
  </si>
  <si>
    <t>Max Planck Institute for the History of Science (MPIWG) in Berlin, Germany</t>
  </si>
  <si>
    <t>This special issue is a continuation of the work started by the workshop `Shifting Baselines, Altered Horizons: Politics, Practice, and Knowledge in Environmental Science and Policy' held at and generously funded by the Max Planck Institute for the History of Science (MPIWG) in Berlin, Germany on 21-22 June 2018.</t>
  </si>
  <si>
    <t>2514-8486</t>
  </si>
  <si>
    <t>2514-8494</t>
  </si>
  <si>
    <t>ENVIRON PLAN E-NAT</t>
  </si>
  <si>
    <t>Environ. Plan. E-Nat. Space</t>
  </si>
  <si>
    <t>10.1177/2514848619898092</t>
  </si>
  <si>
    <t>Environmental Studies; Geography</t>
  </si>
  <si>
    <t>Environmental Sciences &amp; Ecology; Geography</t>
  </si>
  <si>
    <t>VK8CU</t>
  </si>
  <si>
    <t>WOS:000755970100001</t>
  </si>
  <si>
    <t>Meschede, C; Mainka, A</t>
  </si>
  <si>
    <t>Meschede, Christine; Mainka, Agnes</t>
  </si>
  <si>
    <t>Including Citizen Participation Formats for Drafting and Implementing Local Sustainable Development Strategies</t>
  </si>
  <si>
    <t>URBAN SCIENCE</t>
  </si>
  <si>
    <t>citizen participation; decision-making; Germany; smart sustainable municipalities; sustainable development goals; sustainable development strategy</t>
  </si>
  <si>
    <t>DEVELOPMENT GOALS; FUTURE; ORGANIZATIONS; CONTRIBUTE; CITIES</t>
  </si>
  <si>
    <t>Since the publication of the United Nations' Sustainable Development Goals, governance for sustainable development has grown and several national, regional and local sustainable development strategies have been adopted. A sustainable development strategy can serve as a political control instrument and management tool. For the development and implementation of such a strategy at the local level, municipalities might use citizen participation approaches. There exist manifold ways of consulting civil society, representing different levels of decision-making power. The analysis of this article is divided into two parts. First, we report on a case study of the pilot project Global Sustainable Municipalities located in North Rhine-Westphalia, Germany and assess the current status of the use of citizen participation formats for adopting a local sustainable development strategy. Second, we developed a model of citizen participation approaches during different phases of adopting a sustainable development strategy. The purpose of this model is to assess the potential decision-making power of citizens during the phases and to help municipalities to get an orientation on participation possibilities. The results show that most municipalities count on participation mainly in the implementation phase of the strategy, less during developing it. Our model, however, demonstrates participation possibilities for each of the phases.</t>
  </si>
  <si>
    <t>[Meschede, Christine; Mainka, Agnes] Heinrich Heine Univ Dusseldorf, Dept Informat Sci, D-40223 Dusseldorf, Germany</t>
  </si>
  <si>
    <t>Meschede, C (corresponding author), Heinrich Heine Univ Dusseldorf, Dept Informat Sci, D-40223 Dusseldorf, Germany.</t>
  </si>
  <si>
    <t>christine.meschede@hhu.de; agnes.mainka@hhu.de</t>
  </si>
  <si>
    <t>Meschede, Christine/0000-0002-1282-2517</t>
  </si>
  <si>
    <t>Heinrich Heine University Dusseldorf</t>
  </si>
  <si>
    <t>We would like to thank our interview partners for providing valuable insights into their experience with the respective sustainable development strategies and citizen participation. We acknowledge the support for publishing open access by the Heinrich Heine University Dusseldorf.</t>
  </si>
  <si>
    <t>2413-8851</t>
  </si>
  <si>
    <t>URBAN SCI</t>
  </si>
  <si>
    <t>Urban Sci.</t>
  </si>
  <si>
    <t>10.3390/urbansci4010013</t>
  </si>
  <si>
    <t>Environmental Sciences; Environmental Studies; Geography; Regional &amp; Urban Planning; Urban Studies</t>
  </si>
  <si>
    <t>QL2QY</t>
  </si>
  <si>
    <t>WOS:000620927300012</t>
  </si>
  <si>
    <t>Developers; transnational urbanism; Johannesburg; China; planning approval</t>
  </si>
  <si>
    <t>PROPERTY DEVELOPMENT; MEGAPROJECTS; BUSINESS; CITY; NETWORKS; PROJECTS; MARKETS</t>
  </si>
  <si>
    <t>[Ballard, Richard] Univ Johannesburg, Gauteng City Reg Observ, Johannesburg, South Africa; [Ballard, Richard] Univ Witwatersrand, Johannesburg, South Africa; [Harrison, Philip] Univ Witwatersrand, Sch Architecture &amp; Planning, Johannesburg, South Africa</t>
  </si>
  <si>
    <t>Ballard, R (corresponding author), Gauteng City Reg Observ, 11 Jorissen St,Private Bag 3, ZA-2050 Johannesburg, Johannesburg, South Africa.</t>
  </si>
  <si>
    <t>Richard.ballard@gcro.ac.za</t>
  </si>
  <si>
    <t>Harrison, P.J/AAS-7460-2021</t>
  </si>
  <si>
    <t>ENVIRON PLANN A</t>
  </si>
  <si>
    <t>Environ. Plan. A</t>
  </si>
  <si>
    <t>KI3NM</t>
  </si>
  <si>
    <t>Construction; Case study; Environment; Green building; Sustainability; Property development</t>
  </si>
  <si>
    <t>TECHNOLOGIES ADOPTION; BARRIERS; MANAGEMENT</t>
  </si>
  <si>
    <t>[Masia, Thendo; Kajimo-Shakantu, Kahilu; Opawole, Akintayo] Univ Free State, Fac Nat &amp; Agr Sci, Dept Quant Surveying &amp; Construct Management, Bloemfontein, South Africa</t>
  </si>
  <si>
    <t>Opawole, A (corresponding author), Univ Free State, Fac Nat &amp; Agr Sci, Dept Quant Surveying &amp; Construct Management, Bloemfontein, South Africa.</t>
  </si>
  <si>
    <t>tayoappmail@gmail.com</t>
  </si>
  <si>
    <t>LF2CU</t>
  </si>
  <si>
    <t>Zhuang, TZ; Qian, QK; Visscher, H; Elsinga, MG</t>
  </si>
  <si>
    <t>Zhuang, Taozhi; Qian, Queena K.; Visscher, HenkJ; Elsinga, Marja G.</t>
  </si>
  <si>
    <t>An analysis of urban renewal decision-making in China from the perspective of transaction costs theory: the case of Chongqing</t>
  </si>
  <si>
    <t>JOURNAL OF HOUSING AND THE BUILT ENVIRONMENT</t>
  </si>
  <si>
    <t>Urban renewal; Decision making; Transaction costs; China</t>
  </si>
  <si>
    <t>PUBLIC-PARTICIPATION; ENVIRONMENTAL-POLICY; TCS; REDEVELOPMENT; CONSTRUCTION; DEVELOPERS; PROJECTS; SHENZHEN</t>
  </si>
  <si>
    <t>In China, there is a growing number of urban renewal projects due to the rapid growth of the economy and urbanization. To meet the needs of urban development, urban renewal requires a sound decision-making approach involving various stakeholder groups. However, current urban renewal decision-making is criticized for poor efficiency, equity, and resulting in many unintended adverse outcomes. It is claimed that high-level transaction costs (e.g., a great deal of time spent on negotiation and coordination) are the factors hidden behind the problems. However, few studies have analyzed urban renewal decision-making in a transaction costs perspective. Using the case of Chongqing, this paper aims at adopting transaction costs theory to understand the administrative process of urban renewal decision-making in China. This research focuses on four key stakeholder groups: municipal government, district government, local administrative organizations, and the consulting parties. A transaction costs analytical framework is established. First, the decision-making stages of urban renewal and involved key stakeholder groups are clarified. Second, the transactions done by different stakeholder groups in each stage is identified, thus to analyze what types of transaction costs are generated. Third, the relative levels of transaction costs among different stakeholder groups were measured based on the interview. The empirical analysis reveals how transaction costs occur and affect urban renewal decision-making. Finally, policy implications were proposed to reduce transaction costs in order to enhance urban renewal.</t>
  </si>
  <si>
    <t>[Zhuang, Taozhi; Qian, Queena K.; Visscher, HenkJ; Elsinga, Marja G.] Delft Univ Technol, Fac Architecture &amp; Built Environm, POB 5043, NL-2600 GA Delft, Netherlands</t>
  </si>
  <si>
    <t>Zhuang, TZ (corresponding author), Delft Univ Technol, Fac Architecture &amp; Built Environm, POB 5043, NL-2600 GA Delft, Netherlands.</t>
  </si>
  <si>
    <t>t.zhuang@tudelft.nl; k.qian@tudelft.nl; H.J.Visscher@tudelft.nl; M.G.Elsinga@tudelft.nl</t>
  </si>
  <si>
    <t>China Scholarship Council; Delft University of Technology; Delft Technology Fellowship (2014-2019)</t>
  </si>
  <si>
    <t>China Scholarship Council(China Scholarship Council); Delft University of Technology; Delft Technology Fellowship (2014-2019)</t>
  </si>
  <si>
    <t>This work is supported by the China Scholarship Council and the Delft University of Technology. The second author is grateful for the Delft Technology Fellowship (2014-2019) for its generous funding support.</t>
  </si>
  <si>
    <t>1566-4910</t>
  </si>
  <si>
    <t>1573-7772</t>
  </si>
  <si>
    <t>J HOUS BUILT ENVIRON</t>
  </si>
  <si>
    <t>J. Hous. Built Environ.</t>
  </si>
  <si>
    <t>10.1007/s10901-020-09733-9</t>
  </si>
  <si>
    <t>Environmental Studies; Regional &amp; Urban Planning; Urban Studies</t>
  </si>
  <si>
    <t>Environmental Sciences &amp; Ecology; Public Administration; Urban Studies</t>
  </si>
  <si>
    <t>OH9AX</t>
  </si>
  <si>
    <t>WOS:000516228700001</t>
  </si>
  <si>
    <t>Conrad, JL; Grove, PM</t>
  </si>
  <si>
    <t>Conrad, Joseph L.; Grove, Patrick M.</t>
  </si>
  <si>
    <t>Timber Security Practices, Vulnerabilities, and Challenges in the Southern United States</t>
  </si>
  <si>
    <t>SOCIETY &amp; NATURAL RESOURCES</t>
  </si>
  <si>
    <t>Consulting forester; forest harvesting; timber theft; timber trespass; unlawful harvest</t>
  </si>
  <si>
    <t>FOREST LAW-ENFORCEMENT; GOVERNANCE; SERVICES; BUSINESS; PROGRAMS; MARKET</t>
  </si>
  <si>
    <t>A single timber theft incident can cost family forest landowners thousands of dollars. Preventing illegal timber harvesting is also an important component of sustainability. A survey of consulting foresters and interviews with investigators, prosecutors, and forest industry were conducted to document timber theft detections, resolutions, and security measures. Complete questionnaires were received from 430 foresters from 11 southern states (37% response rate). Interviews were conducted with five investigators, two prosecuting attorneys, and 10 forest industry representatives. Almost half (47%) of consulting foresters had encountered at least one timber theft incident in the previous 3 years, but losses represented &lt;1% of timber harvest value. State forestry agencies investigated approximately 100 cases per year, while local law enforcement rarely investigated these cases. Timber theft cases were most often resolved outside of court with very few cases prosecuted. Vigilance by foresters and law enforcement is necessary to prevent timber theft.</t>
  </si>
  <si>
    <t>[Conrad, Joseph L.] Univ Georgia, Warnell Sch Forestry &amp; Nat Resources, 190 East Green St, Athens, GA 30602 USA; [Grove, Patrick M.] Int Paper Co, Oglethorpe, GA USA</t>
  </si>
  <si>
    <t>Conrad, JL (corresponding author), Univ Georgia, Warnell Sch Forestry &amp; Nat Resources, 190 East Green St, Athens, GA 30602 USA.</t>
  </si>
  <si>
    <t>jlconrad@uga.edu</t>
  </si>
  <si>
    <t>University of Georgia Research Foundation, Inc.; United States Department of Agriculture National Institute of Food and Agriculture McIntire Stennis project [1018443]</t>
  </si>
  <si>
    <t>University of Georgia Research Foundation, Inc.; United States Department of Agriculture National Institute of Food and Agriculture McIntire Stennis project</t>
  </si>
  <si>
    <t>This research was supported by a grant from the University of Georgia Research Foundation, Inc. and by the United States Department of Agriculture National Institute of Food and Agriculture McIntire Stennis project 1018443.</t>
  </si>
  <si>
    <t>0894-1920</t>
  </si>
  <si>
    <t>1521-0723</t>
  </si>
  <si>
    <t>SOC NATUR RESOUR</t>
  </si>
  <si>
    <t>Soc. Nat. Resour.</t>
  </si>
  <si>
    <t>10.1080/08941920.2020.1725988</t>
  </si>
  <si>
    <t>Development Studies; Environmental Studies; Regional &amp; Urban Planning; Sociology</t>
  </si>
  <si>
    <t>Development Studies; Environmental Sciences &amp; Ecology; Public Administration; Sociology</t>
  </si>
  <si>
    <t>MT6TT</t>
  </si>
  <si>
    <t>WOS:000513977100001</t>
  </si>
  <si>
    <t>Taofeeq, MD; Adeleke, AQ; Lee, CK</t>
  </si>
  <si>
    <t>Taofeeq, Moshood D.; Adeleke, A. Q.; Lee, Chia-Kuang</t>
  </si>
  <si>
    <t>Government policy as a key moderator to contractors' risk attitudes among Malaysian construction companies</t>
  </si>
  <si>
    <t>Government policies; Organizational control theory; PLS-SEM; Contractor's risk attitude; Individual factor</t>
  </si>
  <si>
    <t>SUSTAINABILITY; PERSONALITY; PERFORMANCE; PERCEPTION; VARIABLES; SUPPORT</t>
  </si>
  <si>
    <t>Purpose The main parties in construction projects are the engineers, clients, architects, contractors, material suppliers, and consultants such as the project managers. They play the most important roles in implementing construction projects, and their activities have a significant impact on their risk attitudes during the execution of projects. Because each participant has their particular interests, by proprietary information, each participant is driven to achieve maximum benefit, which can result in improper behaviour concerning each other. The risk in this situation is that there would be a moral hazard and adverse selection based on information asymmetry among principal construction participants especially contractors; this outcome is called risk attitudes. Behaviour is affected by various risk factors and the successful implementation of construction projects depends on effective management of the key risk factors part of which is a personal factor. The purpose of this paper is to identify the critical factors affecting contractors' risk attitudes among Malaysian construction companies with the moderating role of government policy. Organizational control theory and expected utility theory were used to develop the theoretical framework. The study investigated G7 contractors in the Malaysian construction industry. Data were collected through the use of a questionnaire. Design/methodology/approach The research analysis was based on structural equation modelling (SEM), and the research model was ascertained through the Smart PLS 3.0 software (Ringle et al., 2012). Partial least square-SEM is an appropriate analysis that was used to assess the results in the current research because its algorithm permits the unrestricted computation of cause-effect relationship models that use both reflective and formative measurement models. This study uses the quantitative method to identify the individual factors influencing contractors' risk attitude and the moderating role of government policy among construction companies in Malaysia. This study also focussed on the G7 contractors operating in the Malaysia construction industry that specializes in building, bridge and road construction projects. The duration of the data collection was between two and three weeks. The questionnaire was prepared both in Malay and English languages to allow the respondents to respond most conveniently. Before the copies of the questionnaire were distributed, the selected contractors' committees were duly informed about the details of the survey procedures. The adopted Likert scale was originally a five-point scale that ranges from very low to very high with low or high in between. Findings The result of this study moderately supports the hypothesized relationships proposed in the theoretical model. In particular, the results recommended that personal factors that affect risk attitudes (working experience, emotional intelligence, professional competence and physical health) have a significant relation with contractors' risk attitudes in the construction companies in Malaysia. Also, it has been found that government policy (rules and regulations) are important determinants of risk attitudes. Research limitations/implications The study focussed on individual factors affecting contractors' risk attitudes in the construction company's in Malaysia. Therefore, the dimensions of factors affecting risk attitudes can be used in another aspect of construction projects such as management factors, economic factors and technical factors. Therefore, further research might investigate other grades of Malaysian construction companies apart from Grade 7 contractors to know if there is a similarity in the results; other grades of the contractors might have potential positive contributions to the construction industry as well. Practical implications With consider to the practical, the current research findings have several contributions for the contractors and project managers. The research results demonstrate that government policy plays an important role in the construction industry and organizational support will also help contractors to control their attitudes in working place. Individual factor has a direct relationship with contractor risk attitudes (CRA), project managers must ensure that the government policy has an impact in all their workers and offered is competitive, fair and by their employees' contribution. Apart from that managers should also focus on organizational goals especially in managing professional and skilled contractors in the companies. Employees who perceived their employers as uncaring or not supporting their needs and wellbeing may not be happy working with the organization and the tendency for them to change their attitudes towards risk will be high. Social implications This study also contributes knowledge by lending empirical support to the organizational control theory and expected utility theory system's effect on CRA and confirming that changing one individual attitude will change the whole equilibrium. This is useful to aid in further synthesis of organizational control theory and expected utility theory in construction companies. Originality/value This study is the first attempt at evaluating the direct and moderating effect relationships among individual factor affecting risk attitudes, government policy and CRA in Malaysian construction companies. These findings also prop up the applicability of the organizational control theory and expected utility theory within the context of construction companies in Malaysia. Also, this study contributed to the literature on psychology by subjective (psychological) measures of individuals' behaviour and decisions. In the CRA literature, there has been much discussion on personal characteristics to understand behaviours such as attitudes of a contractor towards risk and morals.</t>
  </si>
  <si>
    <t>[Taofeeq, Moshood D.] Univ Malaysia Pahang, Fac Ocean Engn Technol &amp; Informat, Engn &amp; Engn Trades, Gambang, Malaysia; [Adeleke, A. Q.] Univ Malaysia Pahang, Fac Ind Management, Project Management, Gambang, Malaysia; [Lee, Chia-Kuang] Univ Malaysia Pahang, Fac Ind Management, Gambang, Malaysia</t>
  </si>
  <si>
    <t>Taofeeq, MD (corresponding author), Univ Malaysia Pahang, Fac Ocean Engn Technol &amp; Informat, Engn &amp; Engn Trades, Gambang, Malaysia.</t>
  </si>
  <si>
    <t>taofeeqmoshood@gmail.com; adekunle@ump.edu.my; chia@ump.edu.my</t>
  </si>
  <si>
    <t>Lee, Chia Kuang/ABI-6893-2020; MOSHOOD, TAOFEEQ DUROJAYE/AAX-3450-2021</t>
  </si>
  <si>
    <t>Lee, Chia Kuang/0000-0001-6063-8071; MOSHOOD, TAOFEEQ DUROJAYE/0000-0003-1918-712X</t>
  </si>
  <si>
    <t>10.1108/JEDT-08-2019-0192</t>
  </si>
  <si>
    <t>OP9IE</t>
  </si>
  <si>
    <t>WOS:000513582500001</t>
  </si>
  <si>
    <t>citywide inclusive sanitation; sanitation; urban; onsite sanitation; sewerage; sanitation financing; sanitation services; sanitation institutions</t>
  </si>
  <si>
    <t>[Gambrill, Martin; Gilsdorf, Rebecca J.; Kotwal, Nandita] World Bank, 1818 H St NW, Washington, DC 20433 USA</t>
  </si>
  <si>
    <t>Gambrill, M (corresponding author), World Bank, 1818 H St NW, Washington, DC 20433 USA.</t>
  </si>
  <si>
    <t>mgambrill@worldbank.org</t>
  </si>
  <si>
    <t>FRONT ENV SCI-SWITZ</t>
  </si>
  <si>
    <t>Front. Environ. Sci.</t>
  </si>
  <si>
    <t>KT4EF</t>
  </si>
  <si>
    <t>Park, J; Ten Hoor, GA; Cho, J; Kim, S</t>
  </si>
  <si>
    <t>Park, Jiyoung; Ten Hoor, G. A.; Cho, Jeonghyun; Kim, Soobin</t>
  </si>
  <si>
    <t>Service Providers' Perspectives on Barriers of Healthy Eating to Prevent Obesity among Low-income Children Attending Community Childcare Centers in South Korea: A Qualitative Study</t>
  </si>
  <si>
    <t>ECOLOGY OF FOOD AND NUTRITION</t>
  </si>
  <si>
    <t>Feeding behavior; focus groups; health status disparities; pediatric obesity</t>
  </si>
  <si>
    <t>SELF-REGULATION; BEHAVIORS; SUSTAINABILITY; INTERVENTION; CONSULTANTS; OVERWEIGHT; DEPRESSION; PROVISION</t>
  </si>
  <si>
    <t>This study aimed to identify individual and socio-ecological barriers in managing healthy eating among low-income children from the perspective of community childcare (CCC) center workers (n = 18) through focus group interviews. They perceived the increase in obesity among low-income children. The interviews revealed that the child's eating habits are affected by not only individual determinants including self-regulation and risk awareness but also environmental factors such as family, CCC centers, policy and social structure. To enhance children's health and behavior, it is necessary to consider the interactions among systems at a variety of levels, for example, local community and health care policies.</t>
  </si>
  <si>
    <t>[Park, Jiyoung; Cho, Jeonghyun] Inje Univ, Coll Med, Inst Hlth Sci, Dept Nursing, 75 Bokji Ro, Busan 47392, South Korea; [Ten Hoor, G. A.] Maastricht Univ, Dept Work &amp; Social Psychol, Maastricht, Netherlands; [Kim, Soobin] Univ Pittsburgh, Sch Social Work, Pittsburgh, PA 15260 USA</t>
  </si>
  <si>
    <t>Cho, J (corresponding author), Inje Univ, Coll Med, Inst Hlth Sci, Dept Nursing, 75 Bokji Ro, Busan 47392, South Korea.</t>
  </si>
  <si>
    <t>jhcho@inje.ac.kr</t>
  </si>
  <si>
    <t>Cho, Jeonghyun/0000-0003-4492-1197; ten Hoor, Gill/0000-0001-5500-1893; Park, Jiyoung/0000-0003-1374-9187; Kim, Soobin/0000-0002-8575-1844</t>
  </si>
  <si>
    <t>National Research Foundation of Korea (NRF) - Korea government (MSIP) [2015R1C1A1A01052892]</t>
  </si>
  <si>
    <t>National Research Foundation of Korea (NRF) - Korea government (MSIP)</t>
  </si>
  <si>
    <t>This work was supported by the National Research Foundation of Korea (NRF) grant funded by the Korea government (MSIP) [No. 2015R1C1A1A01052892].</t>
  </si>
  <si>
    <t>0367-0244</t>
  </si>
  <si>
    <t>1543-5237</t>
  </si>
  <si>
    <t>ECOL FOOD NUTR</t>
  </si>
  <si>
    <t>Ecol. Food Nutr.</t>
  </si>
  <si>
    <t>10.1080/03670244.2020.1722948</t>
  </si>
  <si>
    <t>NJ3AP</t>
  </si>
  <si>
    <t>WOS:000512930800001</t>
  </si>
  <si>
    <t>Al Barwani, AS</t>
  </si>
  <si>
    <t>Al Barwani, Ahmed Said</t>
  </si>
  <si>
    <t>Role of Oman Water Society in water resources conservation</t>
  </si>
  <si>
    <t>Article; Proceedings Paper</t>
  </si>
  <si>
    <t>WSTA 13th Gulf Water Conference - Water in the GCC - Challenges and Innovative Solutions</t>
  </si>
  <si>
    <t>MAR 12-14, 2019</t>
  </si>
  <si>
    <t>KUWAIT</t>
  </si>
  <si>
    <t>WSTA</t>
  </si>
  <si>
    <t>Oman Water Society (OWS); Water conservation; Public participation</t>
  </si>
  <si>
    <t>Oman Water Society (OWS) is a non-profitable non-governmental organization (NGO) found by professionals working in both the government and private sectors who are involved in the water management, water supply, and water projects. OWS was an official launch on April 14, 2010. The society aims to establish a platform for professionals with interest in water to exchanging ideas, researches, discuss challenges, enhancing their knowledge and expose themselves to the latest technology in the field. It is to the interest of the country as well as the Water Sector to have all (stakeholders) or at least most of the professionals working in the water and wastewater field in this society. Being an NGO, Oman Water Society (OWS) is becoming the focal point for all water-related issues to be discussed. Local, regional as well as International organizations are participating in events organized by the Society. Oman Water Society organized a series of seminars conducted by experts in the water sector. It has also organized several workshops in water-related issues and training programs to the young engineers in the on-going projects by coordination with the consultants and contractors working the water projects. The society is encouraging all interested parties to participate in the above- mentioned events. In addition to that, the public sector very well addresses to take part in such activities although for non-members. Country related topics are given priority in delivering the water seminars and events. For instance cyclones, climate changes, groundwater, desalinization, agricultural development and other new water resources te innovations. OWS believes such related topics will not only encourage professionals to participate but also the other stakeholders (i.e., public, farmers, etc.). Moreover, young professionals are considered to be an available source to increase the number of associates within the society. Therefore, OWS is focusing on such new/young professionals by introducing society to them. The society is offering them associates membership until they obtain the full membership after their graduation. Oman Water Society is working hard to achieve its goals by approaching specialists in the concerned public and private sectors. As well, it is looking forward to connecting with all segments of society in order to create a link between all partners concerned with the water sector, whether they are from the water consumers or decision makers. The OWS is doing this in order to intensify efforts in all aspects of water resources and its preservation. The venues of most of the symposiums and seminars organized by OWS are selected at the governorate where particular water-related problem or challenges in order to have all concerned stakeholders including the general public. As a result of these efforts, it has been possible to tackle many water--related challenges and come up with good recommendations. Furthermore, good networking is taking place during the OWS events, which are playing a role in setting goals for water management and conservation in the country.</t>
  </si>
  <si>
    <t>[Al Barwani, Ahmed Said] Oman Water Soc, POB 2723, Ruwi 112, Oman</t>
  </si>
  <si>
    <t>Al Barwani, AS (corresponding author), Oman Water Soc, POB 2723, Ruwi 112, Oman.</t>
  </si>
  <si>
    <t>ahmed.albarwani@gmail.com</t>
  </si>
  <si>
    <t>10.5004/dwt.2020.25551</t>
  </si>
  <si>
    <t>Science Citation Index Expanded (SCI-EXPANDED); Conference Proceedings Citation Index - Science (CPCI-S)</t>
  </si>
  <si>
    <t>ME9RS</t>
  </si>
  <si>
    <t>WOS:000544992300063</t>
  </si>
  <si>
    <t>infographics; user-centered design; Andean water governance; Peru; water harvesting; indigenous knowledge</t>
  </si>
  <si>
    <t>DECISION-SUPPORT-SYSTEMS; PARTICIPATORY DESIGN; DATA VISUALIZATION; LAND-USE; SCIENCE; KNOWLEDGE; INFORMATION; POLICY; RESILIENCE; USABILITY</t>
  </si>
  <si>
    <t>[Grainger, Sam; Ochoa-Tocachi, Boris F.; Buytaert, Wouter] Imperial Coll London, Dept Civil &amp; Environm Engn, London, England; [Grainger, Sam; Ochoa-Tocachi, Boris F.; Buytaert, Wouter] Imperial Coll London, Grantham Inst Climate Change &amp; Environm, London, England; [Grainger, Sam] Maynooth Univ, Dept Geog, Irish Climate Anal &amp; Res UnitS, Maynooth, Kildare, Ireland; [Ochoa-Tocachi, Boris F.; Antiporta, Javier; Buytaert, Wouter] Reg Initiat Hydrol Monitoring Andean Ecosyst iMHE, Lima, Peru; [Antiporta, Javier] Consortium Sustainable Dev Andean Ecoreg CONDESAN, Lima, Peru; [Dewulf, Art] Wageningen Univ &amp; Res, Publ Adm &amp; Policy Grp, Wageningen, Netherlands</t>
  </si>
  <si>
    <t>Grainger, S (corresponding author), Imperial Coll London, Dept Civil &amp; Environm Engn, London, England.;Grainger, S (corresponding author), Imperial Coll London, Grantham Inst Climate Change &amp; Environm, London, England.;Grainger, S (corresponding author), Maynooth Univ, Dept Geog, Irish Climate Anal &amp; Res UnitS, Maynooth, Kildare, Ireland.</t>
  </si>
  <si>
    <t>sam.grainger@mu.ie</t>
  </si>
  <si>
    <t>Buytaert, Wouter/AFU-2595-2022; Ochoa-Tocachi, Boris F./H-8323-2019</t>
  </si>
  <si>
    <t>Buytaert, Wouter/0000-0001-6994-4454; Ochoa-Tocachi, Boris F./0000-0002-4990-8429; Grainger, Sam/0000-0003-0116-5758; Dewulf, Art/0000-0002-4171-7644</t>
  </si>
  <si>
    <t>UK Research and Innovation (UKRI); UK Department for International Development [NE/K010239/1]; Science and Solutions for a Changing Planet Doctoral Training Partnership (NERC) [NE/L002515/1]; Imperial College President's PhD Scholarship; NERC [NE/K010123/1, NE/K010239/1] Funding Source: UKRI</t>
  </si>
  <si>
    <t>UK Research and Innovation (UKRI); UK Department for International Development; Science and Solutions for a Changing Planet Doctoral Training Partnership (NERC); Imperial College President's PhD Scholarship; NERC(UK Research &amp; Innovation (UKRI)Natural Environment Research Council (NERC))</t>
  </si>
  <si>
    <t>The authors gratefully acknowledge the community of Huamantanga, the city of Lima, and their authorities who have provided important and constant consent and support to our fieldwork. We would also like to thank Ziga Kropivsek and colleagues at Soapbox communications Ltd for contributing their professional expertise during the poster design process. The authors also acknowledge the valuable support received from Bert De Bievre, Katarzyna Cieslik, Katya Perez, and Luisa Sarapura Romero while conducting research activities in Peru. This study was supported by the UK Research and Innovation (UKRI) and the UK Department for International Development (grant NE/K010239/1). S. G. and B. O. T. were part of the Science and Solutions for a Changing Planet Doctoral Training Partnership (NERC grant NE/L002515/1). B. O. T. also acknowledges funding from an Imperial College President's PhD Scholarship.</t>
  </si>
  <si>
    <t>AMER GEOPHYSICAL UNION</t>
  </si>
  <si>
    <t>2000 FLORIDA AVE NW, WASHINGTON, DC 20009 USA</t>
  </si>
  <si>
    <t>WATER RESOUR RES</t>
  </si>
  <si>
    <t>Water Resour. Res.</t>
  </si>
  <si>
    <t>Environmental Sciences; Limnology; Water Resources</t>
  </si>
  <si>
    <t>Environmental Sciences &amp; Ecology; Marine &amp; Freshwater Biology; Water Resources</t>
  </si>
  <si>
    <t>LR4NE</t>
  </si>
  <si>
    <t>eco-innovation; implementation; multidimensional; agriculture; cluster analysis</t>
  </si>
  <si>
    <t>OF-THE-LITERATURE; ENVIRONMENTAL INNOVATION; SUSTAINABLE INNOVATION; CLEANER TECHNOLOGIES; EMPIRICAL-EVIDENCE; MANAGEMENT; DETERMINANTS; PERFORMANCE; POLICY; GREEN</t>
  </si>
  <si>
    <t>[Garcia-Granero, Eva M.; Piedra-Munoz, Laura; Galdeano-Gomez, Emilio] Univ Almeria, Dept Econ &amp; Business, Mediterranean Res Ctr Econ &amp; Sustainable Dev, CIMEDES, Agrifood Campus Int Excellence,Cei A3, Almeria 04120, Spain</t>
  </si>
  <si>
    <t>Piedra-Munoz, L (corresponding author), Univ Almeria, Dept Econ &amp; Business, Mediterranean Res Ctr Econ &amp; Sustainable Dev, CIMEDES, Agrifood Campus Int Excellence,Cei A3, Almeria 04120, Spain.</t>
  </si>
  <si>
    <t>evaggranero@gmail.com; lapiedra@ual.es; galdeano@ual.es</t>
  </si>
  <si>
    <t>Piedra-Muñoz, Laura/J-9422-2017</t>
  </si>
  <si>
    <t>Piedra-Muñoz, Laura/0000-0002-5281-698X; Galdeano Gomez, Emilio/0000-0001-5414-4331; Garcia-Granero, Eva M./0000-0001-8159-1428</t>
  </si>
  <si>
    <t>Spanish MCINN [ECO2017-82347-P]; European Commission (NEFERTITI) [772705]; CEMyRI; EMME project [AMIF/2017/AG/INTE/821726]</t>
  </si>
  <si>
    <t>Spanish MCINN(Spanish Government); European Commission (NEFERTITI)(European Commission); CEMyRI; EMME project</t>
  </si>
  <si>
    <t>This research was partially funded by Spanish MCINN (project ECO2017-82347-P) and European Commission (NEFERTITI project No. 772705). The authors are also grateful for the support received from CEMyRI and EMME project (AMIF/2017/AG/INTE/821726).</t>
  </si>
  <si>
    <t>KY2GF</t>
  </si>
  <si>
    <t>environment protection; health protection; safety; risk; ecosystems; contaminants; recycling; drinking water; regulation; governance</t>
  </si>
  <si>
    <t>PRIMARY SUBSTRATE COMPOSITION; RECYCLED WATER SCHEMES; ATTENUATION</t>
  </si>
  <si>
    <t>[Dillon, Peter; Page, Declan; Vanderzalm, Joanne] CSIRO Land &amp; Water Waite Labs, Waite Rd, Urrbrae, SA 5064, Australia; [Dillon, Peter; Simmons, Craig] Flinders Univ S Australia, NCGRT, Adelaide, SA 5001, Australia; [Dillon, Peter] Flinders Univ S Australia, Coll Sci &amp; Engn, Adelaide, SA 5001, Australia; [Toze, Simon] Univ Adelaide, Sch Civil Environm &amp; Min Engn, Adelaide, SA 5005, Australia; [Hose, Grant] CSIRO Land &amp; Water, Ecosci Precinct, Boggo Rd, Dutton Park, Qld 4102, Australia; [Martin, Russell] Macquarie Univ, Dept Biol Sci, Sydney, NSW 2109, Australia; [Johnston, Karen] Wallbridge Gilbert Aztec, Adelaide, SA 5000, Australia; [Higginson, Simon] Managed Recharge, Perth, WA 6000, Australia; [Higginson, Simon; Morris, Ryan] Water Corp, Perth, WA 6000, Australia; [Morris, Ryan] RDM Hydro Pty Ltd, Tarragindi, Qld 4121, Australia</t>
  </si>
  <si>
    <t>Dillon, P (corresponding author), CSIRO Land &amp; Water Waite Labs, Waite Rd, Urrbrae, SA 5064, Australia.;Dillon, P (corresponding author), Flinders Univ S Australia, NCGRT, Adelaide, SA 5001, Australia.;Dillon, P (corresponding author), Flinders Univ S Australia, Coll Sci &amp; Engn, Adelaide, SA 5001, Australia.</t>
  </si>
  <si>
    <t>pdillon500@gmail.com; declan.page@csiro.au; Joanne.Vanderzalm@csiro.au; Simon.Toze@csiro.au; Craig.Simmons@groundwater.com.au; grant.hose@mq.edu.au; RMartin@wga.com.au; karen.johnston@managedRecharge.com.au; Simon.Higginson@watercorporation.com.au; ryan@rdmhydro.com.au</t>
  </si>
  <si>
    <t>Page, Declan W/F-2566-2011; Vanderzalm, Joanne L/F-2339-2011; Simmons, Craig T/H-7458-2015</t>
  </si>
  <si>
    <t>Page, Declan W/0000-0002-4902-3911; Simmons, Craig T/0000-0001-5399-6292; Vanderzalm, Joanne/0000-0002-8288-6014; Hose, Grant/0000-0003-2106-5543</t>
  </si>
  <si>
    <t>NCGRT</t>
  </si>
  <si>
    <t>The NCGRT supported a distinguished lectureship in 2015 for the lead author that covered travel costs to facilitate the MAR survey. Otherwise there was no external funding for this research paper.</t>
  </si>
  <si>
    <t>KU6TF</t>
  </si>
  <si>
    <t>Marques, G; Miranda, N; Bhoi, AK; Garcia-Zapirain, B; Hamrioui, S; Diez, ID</t>
  </si>
  <si>
    <t>Marques, Goncalo; Miranda, Nuno; Bhoi, Akash Kumar; Garcia-Zapirain, Begonya; Hamrioui, Sofiane; de la Torre Diez, Isabel</t>
  </si>
  <si>
    <t>Internet of Things and Enhanced Living Environments: Measuring and Mapping Air Quality Using Cyber-physical Systems and Mobile Computing Technologies</t>
  </si>
  <si>
    <t>SENSORS</t>
  </si>
  <si>
    <t>air quality; enhanced living environments; internet of things; mobile computing; mobile health</t>
  </si>
  <si>
    <t>CO2 EMISSIONS; SMARTPHONE USAGE; THERMAL COMFORT; URBAN FORM; INDOOR; POLLUTION; HEALTH; EXPOSURE; SCHOOLS; PEOPLE</t>
  </si>
  <si>
    <t>This paper presents a real-time air quality monitoring system based on Internet of Things. Air quality is particularly relevant for enhanced living environments and well-being. The Environmental Protection Agency and the World Health Organization have acknowledged the material impact of air quality on public health and defined standards and policies to regulate and improve air quality. However, there is a significant need for cost-effective methods to monitor and control air quality which provide modularity, scalability, portability, easy installation and configuration features, and mobile computing technologies integration. The proposed method allows the measuring and mapping of air quality levels considering the spatial-temporal information. This system incorporates a cyber-physical system for data collection and mobile computing software for data consulting. Moreover, this method provides a cost-effective and efficient solution for air quality supervision and can be installed in vehicles to monitor air quality while travelling. The results obtained confirm the implementation of the system and present a relevant contribution to enhanced living environments in smart cities. This supervision solution provides real-time identification of unhealthy behaviours and supports the planning of possible interventions to increase air quality.</t>
  </si>
  <si>
    <t>goncalosantosmarques@gmail.com; nuno-miranda@sapo.pt; akash.b@smit.smu.edu.in; mbgarciazapi@deusto.es; sofiane.hamrioui@univ-nantes.fr; isator@tel.uva.es</t>
  </si>
  <si>
    <t>Bhoi, Akash Kumar/G-8518-2016; De la Torre, Isabel/B-7064-2008; Marques, Goncalo/N-1805-2018; /L-5619-2014</t>
  </si>
  <si>
    <t>Bhoi, Akash Kumar/0000-0003-2759-3224; De la Torre, Isabel/0000-0003-3134-7720; Marques, Goncalo/0000-0001-5834-6571; Miranda, Nuno/0000-0002-8620-3671; /0000-0002-9356-1186</t>
  </si>
  <si>
    <t>Basque Government grant SaludAIR [IT905-16]</t>
  </si>
  <si>
    <t>Basque Government grant SaludAIR(Basque Government)</t>
  </si>
  <si>
    <t>This research was funded by Basque Government grant SaludAIR and IT905-16.</t>
  </si>
  <si>
    <t>1424-8220</t>
  </si>
  <si>
    <t>SENSORS-BASEL</t>
  </si>
  <si>
    <t>Sensors</t>
  </si>
  <si>
    <t>10.3390/s20030720</t>
  </si>
  <si>
    <t>Chemistry, Analytical; Engineering, Electrical &amp; Electronic; Instruments &amp; Instrumentation</t>
  </si>
  <si>
    <t>Chemistry; Engineering; Instruments &amp; Instrumentation</t>
  </si>
  <si>
    <t>KR7HH</t>
  </si>
  <si>
    <t>WOS:000517786200144</t>
  </si>
  <si>
    <t>Third mission; Commercialization of academic research; Community engagement activities; Knowledge transfer office; Routines; Higher education institutions; Universities</t>
  </si>
  <si>
    <t>TECHNOLOGY-TRANSFER OFFICES; ORGANIZATIONAL ROUTINES; INTELLECTUAL PROPERTY; UK UNIVERSITIES; SPIN-OFFS; PERFORMANCE; MANAGEMENT; INDUSTRY; IMPACT; CAPABILITIES</t>
  </si>
  <si>
    <t>[Zhou, Ruoying; Tang, Puay] Univ Leicester, Sch Business, Univ Rd, Leicester LE1 7RH, Leics, England</t>
  </si>
  <si>
    <t>Zhou, RY (corresponding author), Univ Leicester, Sch Business, Univ Rd, Leicester LE1 7RH, Leics, England.</t>
  </si>
  <si>
    <t>rz81@leicester.ac.uk</t>
  </si>
  <si>
    <t>Technovation</t>
  </si>
  <si>
    <t>Engineering, Industrial; Management; Operations Research &amp; Management Science</t>
  </si>
  <si>
    <t>Engineering; Business &amp; Economics; Operations Research &amp; Management Science</t>
  </si>
  <si>
    <t>KW9OM</t>
  </si>
  <si>
    <t>management; green space; sustainable development; organizational; participatory management; urban sustainable; green development</t>
  </si>
  <si>
    <t>ENVIRONMENTAL-MANAGEMENT; NATURAL-RESOURCE</t>
  </si>
  <si>
    <t>[Bagheri, Maryam; Mirdamadi, Seyed Mehdi; Hosseini, Seyed Jamal Farajollah; Lashgarara, Farhad] Islamic Azad Univ, Dept Agr Extens &amp; Educ, Sci &amp; Res Branch, Tehran, Iran</t>
  </si>
  <si>
    <t>Mirdamadi, SM (corresponding author), Islamic Azad Univ, Dept Agr Extens &amp; Educ, Sci &amp; Res Branch, Tehran, Iran.</t>
  </si>
  <si>
    <t>Mirdamadi.mehdi@gmail.com</t>
  </si>
  <si>
    <t>Hosseini, Seyed Jamal farajallah/AAT-9916-2021</t>
  </si>
  <si>
    <t>SCIENTIFIC ISSUES NATL CENTRE AGRARIAN SCIENCES</t>
  </si>
  <si>
    <t>SOFIA</t>
  </si>
  <si>
    <t>125, TSARIGRADSKO SHOSSE BUL, BLOCK 1, SOFIA, 1113, BULGARIA</t>
  </si>
  <si>
    <t>BULG J AGRIC SCI</t>
  </si>
  <si>
    <t>Bulg. J. Agric. Sci.</t>
  </si>
  <si>
    <t>KR7VR</t>
  </si>
  <si>
    <t>Abadzi, H</t>
  </si>
  <si>
    <t>Abadzi, Helen</t>
  </si>
  <si>
    <t>Accountability Features and Their Implications for Education Policies</t>
  </si>
  <si>
    <t>COMPARATIVE EDUCATION REVIEW</t>
  </si>
  <si>
    <t>OUTCOME ACCOUNTABILITY; SELF-EVALUATION; DIMENSIONS; CONSEQUENCES; INFORMATION; EVOLUTION; STRATEGY; POWER</t>
  </si>
  <si>
    <t>Despite significant investments, lower-income countries face a learning crisis. A clamor has thus arisen worldwide for greater accountability of those involved in service delivery. To obtain new insights, the UNESCO Global Education Monitoring Report was dedicated to accountability in 2017, and the research on this topic was reviewed. A summary is published herein. Accountability seems strongest in explicit hierarchies with direct principal-agent relations, as in an army, and when individual contributions are identified. It is enhanced when tasks are clearly defined, information is sufficient, and sanctions for violators are significant and credible. People may demonstrate better judgment if they are accountable for procedures, such as teachers using class time efficiently. By contrast, accountability for difficult outcomes, such as students' actual memory consolidation, results in avoidance and efforts to limit one's role. Conditions inherent in the education sector may compromise accountability. Government officials, who frequently change, are accountable to groups, whose staff and consultants also change. At the school level, parents rarely have principal-agent relations with staff, so the latter may feel little obligation to teach. In complex organizational settings, accountability could be enhanced by identifying individual contributions to a task, providing comparison standards, imposing significant and enforceable sanctions, and focusing on processes and decisions rather than strictly on outcomes. The Sustainable Development Goals will be more easily fulfilled if governments and donors can mitigate the effects of this little-understood phenomenon.</t>
  </si>
  <si>
    <t>[Abadzi, Helen] Univ Texas Arlington, World Bank, Arlington, TX 76019 USA</t>
  </si>
  <si>
    <t>Abadzi, H (corresponding author), Univ Texas Arlington, World Bank, Arlington, TX 76019 USA.</t>
  </si>
  <si>
    <t>habadzi@uta.edu</t>
  </si>
  <si>
    <t>UNIV CHICAGO PRESS</t>
  </si>
  <si>
    <t>CHICAGO</t>
  </si>
  <si>
    <t>1427 E 60TH ST, CHICAGO, IL 60637-2954 USA</t>
  </si>
  <si>
    <t>0010-4086</t>
  </si>
  <si>
    <t>1545-701X</t>
  </si>
  <si>
    <t>COMP EDUC REV</t>
  </si>
  <si>
    <t>Comp. Educ. Rev.</t>
  </si>
  <si>
    <t>10.1086/706822</t>
  </si>
  <si>
    <t>KO7AS</t>
  </si>
  <si>
    <t>WOS:000515701900004</t>
  </si>
  <si>
    <t>Australia; China; Environmental impact assessment (EIA); Queensland; Nepal</t>
  </si>
  <si>
    <t>PUBLIC-PARTICIPATION; EIA SYSTEM; FOLLOW-UP; CONSULTANTS; PROJECTS; TALK</t>
  </si>
  <si>
    <t>[Aryal, Suman; Maraseni, Tek] Univ Southern Queensland, ILSE, Toowoomba, Qld 4350, Australia; [Aryal, Suman] iiREC, Toowoomba, Qld, Australia; [Aryal, Suman; Dhakal, Yub Raj] Siddhartha Environm Serv, Lalitpur, Nepal; [Qu, Jianshang; Zeng, Jingjing] Chinese Acad Sci, China Informat Ctr Global Change, Sci Informat Ctr Resources &amp; Environm, Lanzhou, Peoples R China; [de Bruyn, Lisa Lobry] Univ New England, Sch Rural &amp; Environm Sci, Armidale, NSW 2350, Australia</t>
  </si>
  <si>
    <t>Aryal, S (corresponding author), Siddhartha Environm Serv, Lalitpur, Nepal.</t>
  </si>
  <si>
    <t>aaryalsuman@gmail.com</t>
  </si>
  <si>
    <t>Lobry de Bruyn, A/Prof Lisa/A-5515-2011</t>
  </si>
  <si>
    <t>Lobry de Bruyn, A/Prof Lisa/0000-0003-0173-2863; Maraseni, Tek/0000-0001-9361-1983</t>
  </si>
  <si>
    <t>ENVIRON MONIT ASSESS</t>
  </si>
  <si>
    <t>Environ. Monit. Assess.</t>
  </si>
  <si>
    <t>KM2JE</t>
  </si>
  <si>
    <t>Datt, R; Luo, L; Tang, QL</t>
  </si>
  <si>
    <t>Datt, Rina; Luo, Le; Tang, Qingliang</t>
  </si>
  <si>
    <t>Corporate choice of providers of voluntary carbon assurance</t>
  </si>
  <si>
    <t>Accounting Versus Nonaccounting Firm; Assurance Provider; Climate Change; Competence; Independence</t>
  </si>
  <si>
    <t>SOCIAL-RESPONSIBILITY; SUSTAINABILITY REPORTS; CLIMATE-CHANGE; ENVIRONMENTAL DISCLOSURES; MANAGEMENT-SYSTEMS; EMISSIONS; GOVERNANCE; DETERMINANTS; STATEMENTS; QUALITY</t>
  </si>
  <si>
    <t>This study investigates corporate incentives for the choice of assurance providers of accounting firms versus nonaccounting firms. Based on an international sample of 3,635 firm-year observations for the period of 2010-2014, we find that firms subject to greater legitimacy and stakeholder pressure (e.g., those with higher carbon emissions in countries with stringent climate protection and stakeholder-orientation) are more likely to choose accounting firms as their assurance provider. We also find supporting evidence that firms with a desire to improve carbon management mechanisms (e.g., firms that adopt carbon reduction incentives with higher carbon transparency) show a tendency to choose consulting firms specializing in climate change management. The overall findings suggest that the choice of assurance provider is a strategic decision, which aligns with a firm's overall corporate social responsibility goal. Our results should help practitioners, managers, and regulators understand the emerging audit practice and market.</t>
  </si>
  <si>
    <t>[Datt, Rina; Tang, Qingliang] Western Sydney Univ, Sydney, NSW, Australia; [Luo, Le] Univ Newcastle, Callaghan, NSW, Australia</t>
  </si>
  <si>
    <t>Luo, L (corresponding author), Univ Newcastle, Callaghan, NSW, Australia.</t>
  </si>
  <si>
    <t>laura.luo@newcastle.edu.au</t>
  </si>
  <si>
    <t>Luo, Le/V-3948-2019</t>
  </si>
  <si>
    <t>Luo, Le/0000-0002-6931-2200; Datt, Rina/0000-0002-7132-7102</t>
  </si>
  <si>
    <t>INT J AUDIT</t>
  </si>
  <si>
    <t>Int. J. Audit</t>
  </si>
  <si>
    <t>10.1111/ijau.12184</t>
  </si>
  <si>
    <t>JAN 2020</t>
  </si>
  <si>
    <t>KJ2JW</t>
  </si>
  <si>
    <t>WOS:000507096000001</t>
  </si>
  <si>
    <t>Yousuf, MU; Shere, SM</t>
  </si>
  <si>
    <t>Yousuf, Muhammad Uzair; Shere, Syed Muneeb</t>
  </si>
  <si>
    <t>A novel computational methodology to estimate solar energy on building rooftops</t>
  </si>
  <si>
    <t>ENVIRONMENTAL PROGRESS &amp; SUSTAINABLE ENERGY</t>
  </si>
  <si>
    <t>3D modeling; rooftop; shadow analysis; solar potential</t>
  </si>
  <si>
    <t>LIDAR DATA; HONG-KONG; GIS; PARALLELIZATION; RADIATION; AREA</t>
  </si>
  <si>
    <t>Precise estimation of solar radiation is essential for sustainable development and renewable energy consumption. Building rooftops are appropriate locations for solar energy devices. Traditional solar potential estimation approaches usually adopt technologies such as light detection and ranging, which are expensive and available only for existing sites. In this paper, a novel methodology is presented to estimate the solar radiation components for any building rooftop surrounded by obstacles, using the ray-triangle-intersection method and discretization of 3D sky vault into sky elements. The proposed methodology accepts a 3D model, including all significant obstacles that produce a triangulated surface mesh and a discrete map. This mesh and map are utilized with solar angles and radiation data to estimate direct and diffuse radiation on the surfaces of the 3D structures. To validate the proposed algorithm, we discuss two case studies. Finally, the 3D radiation maps are generated using solar irradiation data for Karachi, illustrating the effects of nearby obstacles. Several optimizations are applied to the developed algorithm for reducing computational cost. The significant advantage of the methodology is that the skymap is location-independent. A skymap generated once can be used for the same 3D model located anywhere in the world, with the appropriate solar angles data. This work will benefit consultants, governments, and households in the efficient use of solar energy potential for both existing rooftops and future constructions.</t>
  </si>
  <si>
    <t>[Yousuf, Muhammad Uzair; Shere, Syed Muneeb] NED Univ Engn &amp; Technol, Dept Mech Engn, Karachi, Pakistan; [Yousuf, Muhammad Uzair] Massey Univ, Dept Mech &amp; Elect Engn, Palmerston North, New Zealand</t>
  </si>
  <si>
    <t>Yousuf, MU (corresponding author), NED Univ Engn &amp; Technol, Dept Mech Engn, Karachi, Pakistan.</t>
  </si>
  <si>
    <t>uzairned@hotmail.com</t>
  </si>
  <si>
    <t>Yousuf, Muhammad Uzair/0000-0003-2177-6804</t>
  </si>
  <si>
    <t>1944-7442</t>
  </si>
  <si>
    <t>1944-7450</t>
  </si>
  <si>
    <t>ENVIRON PROG SUSTAIN</t>
  </si>
  <si>
    <t>Environ. Prog. Sustain. Energy</t>
  </si>
  <si>
    <t>e13385</t>
  </si>
  <si>
    <t>10.1002/ep.13385</t>
  </si>
  <si>
    <t>Green &amp; Sustainable Science &amp; Technology; Engineering, Environmental; Engineering, Chemical; Environmental Sciences</t>
  </si>
  <si>
    <t>NE2OW</t>
  </si>
  <si>
    <t>WOS:000506441100001</t>
  </si>
  <si>
    <t>Energy intensity; Carbon intensity; Energy efficiency; Energy productivity; Think tanks; Policy</t>
  </si>
  <si>
    <t>RESEARCH MEDIATORS; KNOWLEDGE BROKERS; THINK TANKS; POLICY; TECHNOLOGY; EFFICIENCY; ECONOMIES; TARGETS; IMPACT; WORLD</t>
  </si>
  <si>
    <t>[Rodriguez, Miguel] Univ Vigo, Fac Ciencias Empresariais &amp; Turismo, Orense 32004, Spain; [Pansera, Mario] Univ Bristol, 12 Priory Rd, Bristol BS8 1TU, Avon, England; [Cabanelas Lorenzo, Pablo] Univ Vigo, Fac Ciencias Econ &amp; Empresariais, Campus Vigo, Vigo 36310, Spain</t>
  </si>
  <si>
    <t>Pansera, M (corresponding author), Univ Bristol, 12 Priory Rd, Bristol BS8 1TU, Avon, England.</t>
  </si>
  <si>
    <t>miguel.r@uvigo.es; Mario.pansera@bristol.ac.uk; pcabanelas@uvigo.es</t>
  </si>
  <si>
    <t>pansera, mario/S-1124-2018; Cabanelas, Pablo/E-9651-2016; Rodríguez, Miguel/AAG-3435-2020</t>
  </si>
  <si>
    <t>pansera, mario/0000-0002-3806-1381; Cabanelas, Pablo/0000-0002-4661-0141; Rodríguez, Miguel/0000-0001-8344-1116</t>
  </si>
  <si>
    <t>Spanish Ministry for Science and Education [ECO2016-76625-R]; Galician government [GRC2017/063]</t>
  </si>
  <si>
    <t>Spanish Ministry for Science and Education(Spanish Government); Galician government</t>
  </si>
  <si>
    <t>This study was supported by the Spanish Ministry for Science and Education [Project ECO2016-76625-R] and the Galician government [Project GRC2017/063].</t>
  </si>
  <si>
    <t>JQ2UJ</t>
  </si>
  <si>
    <t>Khan, M; Chaudhry, MN; Ahmad, SR; Saif, S</t>
  </si>
  <si>
    <t>Khan, Mehreen; Chaudhry, Muhammad Nawaz; Ahmad, Sajid Rashid; Saif, Samia</t>
  </si>
  <si>
    <t>The role of and challenges facing non-governmental organizations in the environmental impact assessment process in Punjab, Pakistan</t>
  </si>
  <si>
    <t>Challenges; EIA; NGOs; Pakistan; roles</t>
  </si>
  <si>
    <t>PUBLIC-PARTICIPATION; EIA SYSTEMS; NGOS; PERFORMANCE; GOVERNANCE; CONSULTANTS; ENGAGEMENT; CAPACITIES; PROJECTS</t>
  </si>
  <si>
    <t>Considering the ineffective environmental impact assessment (EIA) process and limited public participation, it is important to evaluate the role played by informal regulators like Non-Governmental Organizations (NGOs) in EIA in raising the voice of communities and promoting sustainable development. This study aims to identify the NGOs that are involved in the EIA process in Punjab. It also aims to evaluate how effectively the NGOs play their roles as watchdog, information provider and pressure group as well as discuss the challenges they face in EIA. Semi-structured interviews are used as a data collection method. Results of the study revealed that very few NGOs are involved in the EIA process. The role of NGOs as watchdog is not prominent because they are rarely involved in public participation and scoping. Only one international NGO has played a key role as an information provider. Some local NGOs functioned as pressure groups against environmentally damaging development projects. The key challenges faced by NGOs include lack of financial and technical resources and support from the state and society.</t>
  </si>
  <si>
    <t>[Khan, Mehreen; Ahmad, Sajid Rashid] Univ Punjab, Coll Earth &amp; Environm Sci, Dept Environm Sci, Lahore, Pakistan; [Chaudhry, Muhammad Nawaz] Lahore Sch Econ, Dept Environm Sci &amp; Policy, Lahore, Pakistan; [Saif, Samia] Environm Consultancies &amp; Opt, Lahore, Pakistan</t>
  </si>
  <si>
    <t>IMPACT ASSESS PROJ A</t>
  </si>
  <si>
    <t>Impact Assess. Proj. Apprais.</t>
  </si>
  <si>
    <t>10.1080/14615517.2019.1684096</t>
  </si>
  <si>
    <t>LP4IJ</t>
  </si>
  <si>
    <t>WOS:000534281800006</t>
  </si>
  <si>
    <t>Civil service; politicization; policy advisory systems; post-bureaucratic state; Whitehall paradigm</t>
  </si>
  <si>
    <t>THINK TANKS; GOVERNANCE; ADVISERS; MODEL</t>
  </si>
  <si>
    <t>[Diamond, Patrick] Queen Mary Univ London, SPIR, Arts One Bldg, London, England</t>
  </si>
  <si>
    <t>Diamond, P (corresponding author), Queen Mary Univ London, SPIR, Arts One Bldg, London, England.</t>
  </si>
  <si>
    <t>PUBLIC MONEY MANAGE</t>
  </si>
  <si>
    <t>Public Money Manage.</t>
  </si>
  <si>
    <t>JR6SW</t>
  </si>
  <si>
    <t>Small Innovative Entrepreneurship; Projects; Programs; Strategy; Startup</t>
  </si>
  <si>
    <t>[Petrunenko, Iaroslav] Natl Univ Odesa Law Acad, Dept Econ Law &amp; Procedure, Odesa, Ukraine; [Plotnikova, Mariia F.] Zhytomyr Natl Agroecol Univ, Fac Econ &amp; Management, Dept Innovat Entrepreneurship &amp; Investment Act, Zhytomyr, Ukraine; [Nieliepova, Alona] Natl Univ Life &amp; Environm Sci Ukraine, Fac Informat Technol, Dept Informat Syst &amp; Technol, Kiev, Ukraine; [Bilousko, Tamila Y.] Kharkiv Natl Agr Univ, Fac Management &amp; Econ, Dept Mkt Entrepreneurship &amp; Prod Org, Kharkiv, Ukraine; [Mazur, Anastasiia, V] Ivan Franko Natl Univ Lviv, Fac Econ, Dept Management, Lvov, Ukraine; [Goncharenko, Iryna M.] Kyiv Natl Univ Technol &amp; Design, Fac Entrepreneurship &amp; Law, Dept Entrepreneurship &amp; Business, Kiev, Ukraine</t>
  </si>
  <si>
    <t>Mazur, AV (corresponding author), Ivan Franko Natl Univ Lviv, Fac Econ, Dept Management, Lvov, Ukraine.</t>
  </si>
  <si>
    <t>anastas555@i.ua</t>
  </si>
  <si>
    <t>Oliinyk, Volodymyr/F-6132-2019; Petrunenko, Iaroslav/B-8162-2019; Plotnikova, Maria/U-9731-2017</t>
  </si>
  <si>
    <t>Petrunenko, Iaroslav/0000-0002-1186-730X; Plotnikova, Maria/0000-0003-2852-3009</t>
  </si>
  <si>
    <t>UNIV SAN GREGORIO PORTOVIEJO</t>
  </si>
  <si>
    <t>PORTOVIEJO</t>
  </si>
  <si>
    <t>AVENIDA METROPOLITANA NO 2005 &amp; AVE OLIMPIC, PORTOVIEJO, MANABI 130105, ECUADOR</t>
  </si>
  <si>
    <t>REV SAN GREGORIO</t>
  </si>
  <si>
    <t>Rev. San Gregorio</t>
  </si>
  <si>
    <t>PG9FR</t>
  </si>
  <si>
    <t>Tollefson, J; Panikkar, B</t>
  </si>
  <si>
    <t>Tollefson, Jonathan; Panikkar, Bindu</t>
  </si>
  <si>
    <t>Contested extractivism: impact assessment, public engagement, and environmental knowledge production in Alaska's Yukon-Kuskokwim Delta</t>
  </si>
  <si>
    <t>JOURNAL OF POLITICAL ECOLOGY</t>
  </si>
  <si>
    <t>Environmental Impact Statement; mining; truth claims; Donlin Gold mine; Alaska</t>
  </si>
  <si>
    <t>BRISTOL BAY; POLITICAL ECOLOGY; POWER; PARTICIPATION; GOVERNANCE; STORIES; SCIENCE; PLACE; LAND; RISK</t>
  </si>
  <si>
    <t>For large extractive mineral projects, Environmental Impact Statement (EIS) processes function in part as a procedural tool to adjudicate the legitimacy of divergent environmental truth claims. Successful anti-extraction movements work to litigate divergent knowledge claims in the public arena, but few anti-extraction communities have access to a broad public audience. This article examines the proposed Donlin Gold mine in southwestern Alaska, a locally divisive yet publicly invisible extraction controversy, to understand how communities contest the boundaries of knowledge production and legitimacy set out by EIS procedures without the benefit of broad public awareness. Through a multi-method analysis of the public engagement segment of Donlin's Draft EIS, we find that anti-Donlin activists worked to construct environmental knowledge that drew jointly on claims to local knowledge and scientific expertise through a temporary assemblage of local activists and external consultants. The contested epistemic understandings of residents, expert consultants, and state and federal regulators further reveal the role of regulatory processes in constructing and maintaining boundaries of epistemic legitimacy, while also pointing to emergent possibilities for social action based in locally-situated environmental truth claims.</t>
  </si>
  <si>
    <t>[Tollefson, Jonathan] Brown Univ, Dept Sociol, Providence, RI 02912 USA; [Panikkar, Bindu] Univ Vermont, Rubenstein Sch Environm &amp; Nat Resources, Burlington, VT 05405 USA</t>
  </si>
  <si>
    <t>Tollefson, J (corresponding author), Brown Univ, Dept Sociol, Providence, RI 02912 USA.</t>
  </si>
  <si>
    <t>jonathan.tollefson@brown.edu; bindu.panikkar@uvm.edu</t>
  </si>
  <si>
    <t>UNIV ARIZONA LIBRARIES</t>
  </si>
  <si>
    <t>UNIV ARIZONA LIBRARIES, TUCSON, AZ 85721 USA</t>
  </si>
  <si>
    <t>1073-0451</t>
  </si>
  <si>
    <t>J POLIT ECOL</t>
  </si>
  <si>
    <t>J. Polit. Ecol.</t>
  </si>
  <si>
    <t>QD8XR</t>
  </si>
  <si>
    <t>WOS:000615795400004</t>
  </si>
  <si>
    <t>PPPs; Sustainability; Infrastructure; Developing countries; Projects; Socially and culturally sustainable architecture and urban design</t>
  </si>
  <si>
    <t>PROCUREMENT; INDICATORS</t>
  </si>
  <si>
    <t>[Babatunde, Solomon Olusola; Abubakar, Uthman Olawande] Obafemi Awolowo Univ, Dept Quant Surveying, Ife, Nigeria; [Ekundayo, Damilola] Univ Salford, Sch Sci Engn &amp; Environm, Salford, Greater Manches, England; [Udcaja, Chika] London South Bank Univ, Sch Built Environm &amp; Architecture, London, England</t>
  </si>
  <si>
    <t>Babatunde, SO (corresponding author), Obafemi Awolowo Univ, Dept Quant Surveying, Ife, Nigeria.</t>
  </si>
  <si>
    <t>sobabatunde8O@gmail.com</t>
  </si>
  <si>
    <t>Udeaja, Chika/0000-0002-6405-9664</t>
  </si>
  <si>
    <t>OPEN HOUSE INT</t>
  </si>
  <si>
    <t>GREAT BRITAIN</t>
  </si>
  <si>
    <t>URBAN INTERNATIONAL PRESS, PO BOX 74, GATESHEAD, TYNE &amp; WEAR, GREAT BRITAIN, NE9 5UZ, ENGLAND</t>
  </si>
  <si>
    <t>Open House Int.</t>
  </si>
  <si>
    <t>Architecture; Environmental Studies; Urban Studies</t>
  </si>
  <si>
    <t>Architecture; Environmental Sciences &amp; Ecology; Urban Studies</t>
  </si>
  <si>
    <t>PL8VF</t>
  </si>
  <si>
    <t>Green Accepted, Green Submitted</t>
  </si>
  <si>
    <t>Sponsorship; Triple Helix; Sport mega-events; Sport management</t>
  </si>
  <si>
    <t>TRIPLE-HELIX; INNOVATION</t>
  </si>
  <si>
    <t>[Pena, Bianca Gama; Da Costa, Lamartine; Araujo, Carla Rocha] Univ Estado Rio De Janeiro, Phys Educ &amp; Sci Post Grad Program, Rio De Janeiro, Brazil; [Da Silva, Carlos A. Figueiredo] Univ Salgado de Oliveira, Phys Educ &amp; Sci Post Grad Program, Rio De Janeiro, Brazil</t>
  </si>
  <si>
    <t>Pena, BG (corresponding author), Univ Estado Rio De Janeiro, Phys Educ &amp; Sci Post Grad Program, Rio De Janeiro, Brazil.</t>
  </si>
  <si>
    <t>biancagamapena@gmail.com</t>
  </si>
  <si>
    <t>da Silva, Carlos Alberto Figueiredo/D-9258-2015</t>
  </si>
  <si>
    <t>da Silva, Carlos Alberto Figueiredo/0000-0002-7429-932X</t>
  </si>
  <si>
    <t>UNIV ALICANTE</t>
  </si>
  <si>
    <t>ALICANTE</t>
  </si>
  <si>
    <t>APARTADO DE CORREOS 99, ALICANTE, 3080, SPAIN</t>
  </si>
  <si>
    <t>J HUM SPORT EXERC</t>
  </si>
  <si>
    <t>J. Hum. Sport Exerc.</t>
  </si>
  <si>
    <t>PA6IF</t>
  </si>
  <si>
    <t>Risks related to human resources; globalization 4.0; work 4.0; digital working environment risks</t>
  </si>
  <si>
    <t>[Popescu, Sorin] Tech Univ Cluj Napoca, Res Ctr Qual Engn &amp; Management, Cluj Napoca, Romania; [Popescu, Sorin] Tech Univ Cluj Napoca, DTC Cluj Napoca, Cluj Napoca, Romania; [Santa, Roxana; Ilesan, Hannelore] Tech Univ Cluj Napoca, Ind Engn &amp; Management, Cluj Napoca, Romania; [Teleaba, Florian] Tech Univ Cluj Napoca, 28 Memorandumului St, Cluj Napoca, Romania; [Santa, Roxana] Robert Bosch Car Multimedia, Hildesheim, Germany; [Teleaba, Florian] Kearney Romania, Bucharest, Romania; [Ilesan, Hannelore] HeartPoint Global Ireland, Dublin, Ireland</t>
  </si>
  <si>
    <t>Popescu, S (corresponding author), Tech Univ Cluj Napoca, 28 Memorandumului St, Cluj Napoca, Romania.</t>
  </si>
  <si>
    <t>sorin.popescu@muri.utcluj.ro</t>
  </si>
  <si>
    <t>Popescu, Sorin C/0000-0002-8155-8801</t>
  </si>
  <si>
    <t>IOS PRESS</t>
  </si>
  <si>
    <t>NIEUWE HEMWEG 6B, 1013 BG AMSTERDAM, NETHERLANDS</t>
  </si>
  <si>
    <t>HUM SYST MANAGE</t>
  </si>
  <si>
    <t>Hum. Syst. Manag.</t>
  </si>
  <si>
    <t>OW3PO</t>
  </si>
  <si>
    <t>Urban management; social innovation; citizen participation; governance</t>
  </si>
  <si>
    <t>STRATEGIES</t>
  </si>
  <si>
    <t>[Garcia Castro, David] Univ Basque Country, UPV EHU, Dept Econ Financiera 2, Fac Econ &amp; Empresa, C Comandante Izarduy 23, Vitoria 01006, Spain; [de Elizagarate Gutierrez, Victoria] Univ Basque Country, UPV EHU, Dept Econ Financiera 2, Fac Econ &amp; Empresa, Plaza Onati 1, Donostia San Sebastian 20008, Spain; [Kazak, Jan; Szewranski, Szymon; Kaczmarek, Iwona] Wroclaw Univ Enviromental &amp; Life Sci, Dept Econ Espacial, Norwida 25, PL-50375 Wroclaw, Poland; [Wang, Tong] Eindhoven Univ Technol, Dept Espacio Urbano, NL-5600 MB Eindhoven, Netherlands</t>
  </si>
  <si>
    <t>Castro, DG (corresponding author), Univ Basque Country, UPV EHU, Dept Econ Financiera 2, Fac Econ &amp; Empresa, C Comandante Izarduy 23, Vitoria 01006, Spain.</t>
  </si>
  <si>
    <t>david.garciac@ehu.eus; victoria.elizagarate@ehu.eus; jan.kazak@up.wroc.pl; szymon.szewranski@up.wroc.pl; iwona.kaczmarek@up.wroc.pl; t.wang@tue.nl</t>
  </si>
  <si>
    <t>Kazak, Jan/S-7783-2016; Kaczmarek, Iwona/AAF-6457-2020</t>
  </si>
  <si>
    <t>Kazak, Jan/0000-0002-1864-9954; Kaczmarek, Iwona/0000-0002-0738-484X; Wang, Tong/0000-0003-2599-5000</t>
  </si>
  <si>
    <t>UNIV PAIS VASCO, INST ECONOMIA APLICADA EMPRESA</t>
  </si>
  <si>
    <t>BILBAO</t>
  </si>
  <si>
    <t>AVE LEHENDAKARI AGIRRE, 8, BILBAO, 48015, SPAIN</t>
  </si>
  <si>
    <t>CUAD GEST</t>
  </si>
  <si>
    <t>Cuad. Gest.</t>
  </si>
  <si>
    <t>Business; Business, Finance</t>
  </si>
  <si>
    <t>OU9QC</t>
  </si>
  <si>
    <t>Vargas, BRV</t>
  </si>
  <si>
    <t>Vargas Vargas, Bryan Roberto</t>
  </si>
  <si>
    <t>The Transformation of a Capital Neighborhood: The Experience from the Residents of Barrio Escalante together with the Gastronomic Commerce</t>
  </si>
  <si>
    <t>TERRITORIOS</t>
  </si>
  <si>
    <t>Urban planning; profits; city government; urban environment; urbanpopulation; population decrease; gentrification</t>
  </si>
  <si>
    <t>The purpose of this article is to narrate the experience of the residents of barrio Escalante, located in district El Carmen in the capital San Jose of Costa Rica. This settlement dates from the first half of the 20th century and in the last decade it goes through a series of urban transformations mainly: the changes in land use; the profile of the city and the vocation to commercial and tourist activities. This article shows the results of a survey applied to residents during the last semester of 2018 as well as in-depth interviews. As important results are: the difficulties to reside in the neighborhood; the lack of citizen participation and political decisions about the city without consulting those who inhabit it.</t>
  </si>
  <si>
    <t>[Vargas Vargas, Bryan Roberto] Univ Estatal Distancia Costa Rica, Ctr Agenda Joven Derechos &amp; Ciudadania, San Jose, Costa Rica</t>
  </si>
  <si>
    <t>Vargas, BRV (corresponding author), Univ Estatal Distancia Costa Rica, Ctr Agenda Joven Derechos &amp; Ciudadania, San Jose, Costa Rica.</t>
  </si>
  <si>
    <t>bvar-gas@uned.ac.cr</t>
  </si>
  <si>
    <t>Vargas Vargas, Bryan Roberto/0000-0002-1324-4421</t>
  </si>
  <si>
    <t>UNIV ROSARIO</t>
  </si>
  <si>
    <t>BOGOTA</t>
  </si>
  <si>
    <t>PROGRAMA PSICOLOGIA, FAC MED, CARRERA 24 63 C-69 QUINTA DE MUTIS, BOGOTA, 00000, COLOMBIA</t>
  </si>
  <si>
    <t>0123-8418</t>
  </si>
  <si>
    <t>2215-7484</t>
  </si>
  <si>
    <t>Territorios</t>
  </si>
  <si>
    <t>10.12804/revistas.urosario.edu.co/territorios/a.7810</t>
  </si>
  <si>
    <t>NK4UR</t>
  </si>
  <si>
    <t>WOS:000566727500006</t>
  </si>
  <si>
    <t>Architecture; Sergio Ferro; mutiroes; Self-management; Right-to-housing</t>
  </si>
  <si>
    <t>[Amaral, Bernardo] Univ Coimbra, Fac Ciencias &amp; Tecnol, Dept Arquitetura, Edificio Colegio Artes, P-3000193 Coimbra, Portugal</t>
  </si>
  <si>
    <t>Amaral, B (corresponding author), Univ Coimbra, Fac Ciencias &amp; Tecnol, Dept Arquitetura, Edificio Colegio Artes, P-3000193 Coimbra, Portugal.</t>
  </si>
  <si>
    <t>bernardo.amaral@student.fct.uc.pt</t>
  </si>
  <si>
    <t>UNIV LISBOA, CENTRO ESTUDOS GEOGRAFICOS</t>
  </si>
  <si>
    <t>LISBOA</t>
  </si>
  <si>
    <t>INST GEOGRAFIA &amp; ORDENAMENTO TERRITORIO IGOT, RUA BRANCA EDMEE MARQUES, LISBOA, 1600-276, PORTUGAL</t>
  </si>
  <si>
    <t>FINISTERRA</t>
  </si>
  <si>
    <t>Finisterra</t>
  </si>
  <si>
    <t>NB8UL</t>
  </si>
  <si>
    <t>INDUSTRY</t>
  </si>
  <si>
    <t>peterreed.42@gmail.com</t>
  </si>
  <si>
    <t>Ambix</t>
  </si>
  <si>
    <t>History &amp; Philosophy Of Science</t>
  </si>
  <si>
    <t>Science Citation Index Expanded (SCI-EXPANDED); Arts &amp;amp; Humanities Citation Index (A&amp;amp;HCI)</t>
  </si>
  <si>
    <t>History &amp; Philosophy of Science</t>
  </si>
  <si>
    <t>MX0VH</t>
  </si>
  <si>
    <t>strategic management; regional governance; spatial development; rural municipality; post-NPM; municipal district</t>
  </si>
  <si>
    <t>PRIORITIES</t>
  </si>
  <si>
    <t>[Dvoryadkina, Elena B.; Belousova, Elizaveta A.] Ural State Univ Econ, Reg Municipal Econ &amp; Governance Dept, 62-45 8 Marta Narodnoy Voli St, Ekaterinburg 620144, Russia</t>
  </si>
  <si>
    <t>Dvoryadkina, EB (corresponding author), Ural State Univ Econ, Reg Municipal Econ &amp; Governance Dept, 62-45 8 Marta Narodnoy Voli St, Ekaterinburg 620144, Russia.</t>
  </si>
  <si>
    <t>dvoryadkina@usue.ru; belousova-unir@usue.ru</t>
  </si>
  <si>
    <t>Belousova, Elizaveta/0000-0001-5355-5243</t>
  </si>
  <si>
    <t>Russian Foundation for Basic Research (RFFI) [20-010-00824]</t>
  </si>
  <si>
    <t>Russian Foundation for Basic Research (RFFI)(Russian Foundation for Basic Research (RFBR))</t>
  </si>
  <si>
    <t>The paper is funded by the Russian Foundation for Basic Research (RFFI) within the framework of the scientific project no. 20-010-00824 Incremental approach to the formation and implementation of socio-economic development strategies for the Russian Federation regions of different hierarchical levels: uniform rules of strategizing.</t>
  </si>
  <si>
    <t>URAL STATE UNIV ECONOMICS</t>
  </si>
  <si>
    <t>YEKATERINBURG</t>
  </si>
  <si>
    <t>8 MARTA/NARODNOY VOLI ST., 62/45, OFFICE 355, YEKATERINBURG, 620144, RF, RUSSIA</t>
  </si>
  <si>
    <t>Upravlenets</t>
  </si>
  <si>
    <t>MH2KA</t>
  </si>
  <si>
    <t>Smart Government; Smart Governance; e-Government; e-Participation</t>
  </si>
  <si>
    <t>IOT</t>
  </si>
  <si>
    <t>[Bradul, Natalya V.; Lebezova, Ella M.] Donetsk Acad Management &amp; Publ Serv Head Donetsk, Informat Technol Dept, 163a Chelyuskintsev St, UA-83015 Donetsk, Ukraine</t>
  </si>
  <si>
    <t>Bradul, NV (corresponding author), Donetsk Acad Management &amp; Publ Serv Head Donetsk, Informat Technol Dept, 163a Chelyuskintsev St, UA-83015 Donetsk, Ukraine.</t>
  </si>
  <si>
    <t>k_it@donampa.ru; ellis54@rambler.ru</t>
  </si>
  <si>
    <t>Lebezova, Ella/AAJ-7847-2021</t>
  </si>
  <si>
    <t>Lebezova, Ella/0000-0001-5285-6300</t>
  </si>
  <si>
    <t>Koh, E; Fakfare, P</t>
  </si>
  <si>
    <t>Koh, Edward; Fakfare, Pipatpong</t>
  </si>
  <si>
    <t>Overcoming over-tourism: the closure of Maya Bay</t>
  </si>
  <si>
    <t>INTERNATIONAL JOURNAL OF TOURISM CITIES</t>
  </si>
  <si>
    <t>Stakeholder engagement; Sustainable tourism; Maya Bay; Over-tourism</t>
  </si>
  <si>
    <t>Purpose - The temporary closure of Maya Bay - located at Phi Phi Le Island in Thailand's Krabi province - was an executive decision made to overcome problems of over-tourism'' and degradation of the marine ecosystems. The purpose of this paper is to assess the process of stakeholder engagement by the Thai authorities before they arrived at decisions on the closure of Maya Bay. Design/methodology/approach - A multi-method qualitative research through in-depth interviews and netnography was designed to examine opinions of participants within the context of investigation. Findings - The key findings revolve around the central research question of how are stakeholders managed and consulted to overcome `over-tourism' in Maya Bay?''. The research question can be subdivided into three parts - the identification of over-tourism,'' the process of engaging and consulting with stakeholders on solutions to deal with over-tourism,'' and the final decision on selected approaches to overcome over-tourism.'' Originality/value - The researchers draw upon the views from the five groups of stakeholders to propose recommendations on tackling over-tourism'' issues that local governments and destination management agencies might face. A business, residents, authorities, visitors and environmentalists (BRAVE) stakeholders framework is proposed by integrating five main stakeholder categories businesses (B), residents (R), authorities (A), visitors (V) and environmentalists (E). This BRAVE'' stakeholders model is then used to assess the various stakeholders' positions on the issue of overtourism'' in Maya Bay, including a cost-benefit analysis in an over-tourism'' situation. Particular attention is placed on how different stakeholders work together and converge on a decision accepted by all.</t>
  </si>
  <si>
    <t>[Koh, Edward] Hong Kong Polytech Univ, Sch Hotel &amp; Tourism Management, Kowloon, Hong Kong, Peoples R China; [Fakfare, Pipatpong] Bangkok Univ, Sch Humanities &amp; Tourism Management, Bangkok, Thailand</t>
  </si>
  <si>
    <t>Fakfare, P (corresponding author), Bangkok Univ, Sch Humanities &amp; Tourism Management, Bangkok, Thailand.</t>
  </si>
  <si>
    <t>pipatpong.f@bu.ac.th</t>
  </si>
  <si>
    <t>koh, Edward/AAI-9124-2020; Fakfare, Pipatpong/AAC-8600-2020</t>
  </si>
  <si>
    <t>koh, Edward/0000-0002-0230-453X; Fakfare, Pipatpong/0000-0003-3446-384X</t>
  </si>
  <si>
    <t>2056-5607</t>
  </si>
  <si>
    <t>2056-5615</t>
  </si>
  <si>
    <t>INT J TOUR CITIES</t>
  </si>
  <si>
    <t>Int. J. Tour. Cities</t>
  </si>
  <si>
    <t>10.1108/IJTC-02-2019-0023</t>
  </si>
  <si>
    <t>MH0DZ</t>
  </si>
  <si>
    <t>WOS:000546402700002</t>
  </si>
  <si>
    <t>digital visualisation; property development; urban Africa; urban inequality; urban planning</t>
  </si>
  <si>
    <t>[Watson, Vanessa] Univ Cape Town, Sch Architecture Planning &amp; Geomat, ZA-7700 Cape Town, South Africa</t>
  </si>
  <si>
    <t>Watson, V (corresponding author), Univ Cape Town, Sch Architecture Planning &amp; Geomat, ZA-7700 Cape Town, South Africa.</t>
  </si>
  <si>
    <t>vanessa.watson@uct.ac.za</t>
  </si>
  <si>
    <t>MG7YF</t>
  </si>
  <si>
    <t>Captures; Indigenous consultation; Water; Fight from below</t>
  </si>
  <si>
    <t>[del Carmen Mendez-Garcia, Elia Maria] Inst Politecn Nacl, Oaxaca, Oaxaca, Mexico</t>
  </si>
  <si>
    <t>Mendez-Garcia, EMD (corresponding author), Inst Politecn Nacl, Oaxaca, Oaxaca, Mexico.</t>
  </si>
  <si>
    <t>emendezg@ipn.mx</t>
  </si>
  <si>
    <t>UNIV JAEN, SERV PUBLICACIONES</t>
  </si>
  <si>
    <t>JAEN</t>
  </si>
  <si>
    <t>CAMPUS LAGUNILLAS S-N, EDIFICIO BIBLIOTECA, 2A PLANTA, JAEN, 23071, SPAIN</t>
  </si>
  <si>
    <t>AQUA TERRIT</t>
  </si>
  <si>
    <t>AQUA TERRIT.</t>
  </si>
  <si>
    <t>MG7AM</t>
  </si>
  <si>
    <t>Williams, J; Fugar, F; Adinyira, E</t>
  </si>
  <si>
    <t>Williams, Justice; Fugar, Frank; Adinyira, Emmanuel</t>
  </si>
  <si>
    <t>Assessment of health and safety culture maturity in the construction industry in developing economies: A case of Ghanaian construction industry</t>
  </si>
  <si>
    <t>Health and safety culture; Developing countries; Safety maturity ladder; Construction industry; Safety climate; Construction project management; Building technology; Construction management; Safety management</t>
  </si>
  <si>
    <t>CLIMATE; ISSUES</t>
  </si>
  <si>
    <t>Purpose The degree to which accidents happen or are prevented in any organisation is the function of both the health and safety culture and the safety culture maturity level of the organisation. Therefore, this paper aims to determine the state of health and safety culture in the construction industry in developing economies and to assess their category on the safety maturity ladder using the Ghanaian construction industry as an example. This is to help construction companies in developing countries become conscious of the state of health and safety in the industry so they can be motivated to improve along the ladder. Design/methodology/approach In total, 250 contractors made up of 155 building contractor,s and 95 road contractors took part in the survey. The sample size was determined by Yamane's (1967) formula with stratified simple random sampling technique adopted in selecting the companies in the survey. This paper also uses (Guttman Scale) Scalogram analysis to measure the state of health and safety culture in the Ghanaian construction industry. Findings The results show that health and safety culture of the Ghanaian construction industry is at the first level, the pathological stage. Even though Ghanaian contractors have health and safety policies and codes of conduct in place, safety is not seen as a key business risk. Consequently, management and most frontline staff do not emphasise the importance of integration of safety measures in the various activities on the site. Thus, safety is not seen as unavoidable and a part of the construction activity. Practical implications The findings of this study inform state authorities, consultants and contractors of areas that they need to focus more on improving health and safety culture in developing countries. This would go a long way in protecting construction workers in the industry. Originality/value This study, to the best of the authors' current knowledge, is the first of its kind in the Ghanaian construction industry. The study brings to the fore the actual state of health and safety in the construction industry in developing countries such as Ghana. The value of the findings lies in the fact that it will provide the motivation for construction companies in developing countries to develop a commitment to safety, and to provide appropriate and effective safety improvement techniques to progress to the subsequent stages of the safety culture maturity ladder.</t>
  </si>
  <si>
    <t>[Williams, Justice; Fugar, Frank; Adinyira, Emmanuel] Kwame Nkrumah Univ Sci &amp; Technol, Dept Construct Technol &amp; Management, Kumasi, Ghana</t>
  </si>
  <si>
    <t>Williams, J (corresponding author), Kwame Nkrumah Univ Sci &amp; Technol, Dept Construct Technol &amp; Management, Kumasi, Ghana.</t>
  </si>
  <si>
    <t>wjusticee30@yahoo.com; frankfugar@yahoo.com; rasadii@yahoo.com</t>
  </si>
  <si>
    <t>10.1108/JEDT-06-2019-0151</t>
  </si>
  <si>
    <t>MB3GG</t>
  </si>
  <si>
    <t>WOS:000542493200007</t>
  </si>
  <si>
    <t>Construction project; Time delay; Cost overrun; Oman</t>
  </si>
  <si>
    <t>tariq.alamri@rai.usc.es</t>
  </si>
  <si>
    <t>Marey-Perez, Manuel Fco/A-1944-2011; Amri, Tariq Al/ABF-6609-2020; Amri, Tariq Al/AAC-7486-2021</t>
  </si>
  <si>
    <t xml:space="preserve">Marey-Perez, Manuel Fco/0000-0002-8947-8355; Amri, Tariq Al/0000-0003-2984-1797; </t>
  </si>
  <si>
    <t>GROWING SCIENCE</t>
  </si>
  <si>
    <t>611, 141 DAVISVILLE AVE, TORONTO, ON M4S 1G7, CANADA</t>
  </si>
  <si>
    <t>J PROJ MANAGE</t>
  </si>
  <si>
    <t>J. Proj. Manag.</t>
  </si>
  <si>
    <t>Engineering, Industrial; Management</t>
  </si>
  <si>
    <t>LZ7BF</t>
  </si>
  <si>
    <t>Habitat III Conference; Sustainable Development; Housing of Social Interest; Land regularization; Gentrification</t>
  </si>
  <si>
    <t>[Pereira, Reginaldo] Univ Comunitaria Regiao Chapeco UNOCHAPECO, Programa Posgrad Stricto Sensu UNOCHAPECO, Chapeco, SC, Brazil; [Pereira, Reginaldo; Bissani, Karen] Univ Comunitaria Regiao Chapeco UNOCHAPECO, Grp Pesquisa Direito Democracia &amp; Participacao Ci, Chapeco, SC, Brazil; [Pereira, Reginaldo] Univ Comunitaria Regiao Chapeco UNOCHAPECO, Rede Pesquisa Nanotecnol Soc &amp; Ambiente RENANOSOM, Chapeco, SC, Brazil</t>
  </si>
  <si>
    <t>Pereira, R (corresponding author), Univ Comunitaria Regiao Chapeco UNOCHAPECO, Programa Posgrad Stricto Sensu UNOCHAPECO, Chapeco, SC, Brazil.;Pereira, R (corresponding author), Univ Comunitaria Regiao Chapeco UNOCHAPECO, Grp Pesquisa Direito Democracia &amp; Participacao Ci, Chapeco, SC, Brazil.;Pereira, R (corresponding author), Univ Comunitaria Regiao Chapeco UNOCHAPECO, Rede Pesquisa Nanotecnol Soc &amp; Ambiente RENANOSOM, Chapeco, SC, Brazil.</t>
  </si>
  <si>
    <t>rpereira@unochapeco.edu.br; kbissani@gmail.com</t>
  </si>
  <si>
    <t>UNIV ESTADO RIO JANEIRO</t>
  </si>
  <si>
    <t>RUA SAO FRANCISCO XAVIER, 524-BLOCO F, RIO DE JANEIRO RJ, 20559-900, BRAZIL</t>
  </si>
  <si>
    <t>REV DIREITO CID</t>
  </si>
  <si>
    <t>Rev. Direito Cid.</t>
  </si>
  <si>
    <t>LX7EY</t>
  </si>
  <si>
    <t>Distributed generation; Public services; Electric energy; Sustainable development; National Agency of Electric Energy</t>
  </si>
  <si>
    <t>[Soethe, Ghabriel Campigotto] Pontificia Univ Catolica Parana, Direito Econ &amp; Desenvolvimento Pela Pontificia, Curitiba, Parana, Brazil; [Blanchet, Luiz Alberto] Pontificia Univ Catolica Parana, Direito Adm Cursos Grad &amp; Posgrad, Curitiba, Parana, Brazil</t>
  </si>
  <si>
    <t>Soethe, GC (corresponding author), Pontificia Univ Catolica Parana, Direito Econ &amp; Desenvolvimento Pela Pontificia, Curitiba, Parana, Brazil.</t>
  </si>
  <si>
    <t>ghabriel.cs@outlook.com; blanchet@blanchet.adv.br</t>
  </si>
  <si>
    <t>EDITORA FORUM</t>
  </si>
  <si>
    <t>MINAS GERAIS</t>
  </si>
  <si>
    <t>AV AFONSO PENA 2770, 15-16 ANDAR, BAIRRO FUNCIONARIOS, BELO HORIZONTE, MINAS GERAIS, 00000, BRAZIL</t>
  </si>
  <si>
    <t>A C-REV DIREITO ADM</t>
  </si>
  <si>
    <t>A C-Rev. Direito Adm. Const.</t>
  </si>
  <si>
    <t>LX7VK</t>
  </si>
  <si>
    <t>Juana of Aragon; Infanta's household; court; book of account; social environment; Crown of Aragon</t>
  </si>
  <si>
    <t>CROWN</t>
  </si>
  <si>
    <t>[Velasco Marta, Irene] Univ Zaragoza, Fac Filosofia &amp; Letras, Dept Hist Medieval Ciencias &amp; Tecn Historiog &amp; Es, C San Juan Bosco 7, Zaragoza 50009, Spain</t>
  </si>
  <si>
    <t>Marta, IV (corresponding author), Univ Zaragoza, Fac Filosofia &amp; Letras, Dept Hist Medieval Ciencias &amp; Tecn Historiog &amp; Es, C San Juan Bosco 7, Zaragoza 50009, Spain.</t>
  </si>
  <si>
    <t>ivelasco@unizar.es</t>
  </si>
  <si>
    <t>CONSEJO SUPERIOR INVESTIGACIONES CIENTIFICAS-CSIC</t>
  </si>
  <si>
    <t>MADRID</t>
  </si>
  <si>
    <t>VITRUVIO 8, 28006 MADRID, SPAIN</t>
  </si>
  <si>
    <t>ANU ESTUD MEDIEV</t>
  </si>
  <si>
    <t>Anu. Estud. Mediev.</t>
  </si>
  <si>
    <t>History; Medieval &amp; Renaissance Studies</t>
  </si>
  <si>
    <t>History; Arts &amp; Humanities - Other Topics</t>
  </si>
  <si>
    <t>LW5BM</t>
  </si>
  <si>
    <t>building information modelling; technology acceptance model; TAM-TOE model; decision making trial and evaluation laboratory; construction organization</t>
  </si>
  <si>
    <t>TECHNOLOGY ACCEPTANCE MODEL; USER ACCEPTANCE</t>
  </si>
  <si>
    <t>[Qin, Xuan; Lyu, Kuncan; Mo, Yiyi] Xiamen Univ, Huaqiao Univ, Coll Civil Engn, Xiamen, Peoples R China; [Shi, Ye] Univ New South Wales, Fac Built Environm, Sydney, NSW, Australia</t>
  </si>
  <si>
    <t>Qin, X (corresponding author), Xiamen Univ, Huaqiao Univ, Coll Civil Engn, Xiamen, Peoples R China.</t>
  </si>
  <si>
    <t>hdwq@hqu.edu.cn</t>
  </si>
  <si>
    <t>MO, Yiyi/0000-0002-9531-4285</t>
  </si>
  <si>
    <t>Fujian Soft Science Fund BIM Adoption Model and Application Strategy Research of Construction Industry Enterprises Based on Industry Diffusion Characteristics [2016R0062]</t>
  </si>
  <si>
    <t>Fujian Soft Science Fund BIM Adoption Model and Application Strategy Research of Construction Industry Enterprises Based on Industry Diffusion Characteristics</t>
  </si>
  <si>
    <t>This study is supported by the Fujian Soft Science Fund BIM Adoption Model and Application Strategy Research of Construction Industry Enterprises Based on Industry Diffusion Characteristics (2016R0062).</t>
  </si>
  <si>
    <t>VILNIUS GEDIMINAS TECH UNIV</t>
  </si>
  <si>
    <t>VILNIUS</t>
  </si>
  <si>
    <t>SAULETEKIO AL 11, VILNIUS, LT-10223, LITHUANIA</t>
  </si>
  <si>
    <t>J CIV ENG MANAG</t>
  </si>
  <si>
    <t>J. Civ. Eng. Manag.</t>
  </si>
  <si>
    <t>LD5NQ</t>
  </si>
  <si>
    <t>sustainable human resource management; HRM; sustainable development; sustainable development of enterprises; enterprises; management</t>
  </si>
  <si>
    <t>PERFORMANCE</t>
  </si>
  <si>
    <t>[Drela, Karolina] Univ Szczecin, Fac Econ Finance &amp; Management, Inst Management, 8 Cukrowa, PL-71004 Szczecin, Poland</t>
  </si>
  <si>
    <t>Drela, K (corresponding author), Univ Szczecin, Fac Econ Finance &amp; Management, Inst Management, 8 Cukrowa, PL-71004 Szczecin, Poland.</t>
  </si>
  <si>
    <t>karolina.drela@usz.edu.pl</t>
  </si>
  <si>
    <t xml:space="preserve"> [001/RID/2018/19];  [PLN 10,684,000.00]</t>
  </si>
  <si>
    <t xml:space="preserve">; </t>
  </si>
  <si>
    <t>The project is financed within the framework of the program of the Minister of Science and Higher Education under the name Regional Excellence Initiative in the years 2019-2022; project number 001/RID/2018/19; the amount of financing PLN 10,684,000.00.</t>
  </si>
  <si>
    <t>MARITIME UNIV SZCZECIN</t>
  </si>
  <si>
    <t>SZCZECIN</t>
  </si>
  <si>
    <t>WALY CHROBREGO 1, SZCZECIN, 70-500, POLAND</t>
  </si>
  <si>
    <t>SCI J MARIT UNIV SZC</t>
  </si>
  <si>
    <t>Sci. J. Marit. Univ. Szczec.</t>
  </si>
  <si>
    <t>Engineering, Marine</t>
  </si>
  <si>
    <t>KZ5HN</t>
  </si>
  <si>
    <t>environmental management systems; outcomes; key factors of success; ownership; private; public; ISO 14001; Arab countries; gulf; UAE</t>
  </si>
  <si>
    <t>ENVIRONMENTAL-MANAGEMENT SYSTEMS; IMPLEMENTATION; ISO-14001; PERFORMANCE; FIRMS; RANKING; IMPACT; GREEN; EMS</t>
  </si>
  <si>
    <t>[Waxin, Marie-France] AUS, Sch Business Adm, Dept Management, POB 26666, Sharjah, U Arab Emirates; [Knuteson, Sandra L.; Bartholomew, Aaron] AUS, Coll Arts &amp; Sci, Dept Biol Chem &amp; Environm Sci, POB 26666, Sharjah, U Arab Emirates</t>
  </si>
  <si>
    <t>Knuteson, SL (corresponding author), AUS, Coll Arts &amp; Sci, Dept Biol Chem &amp; Environm Sci, POB 26666, Sharjah, U Arab Emirates.</t>
  </si>
  <si>
    <t>mwaxin@aus.edu; sknuteson@aus.edu; abartholomew@aus.edu</t>
  </si>
  <si>
    <t>Bartholomew, Aaron/ABB-8216-2020; Knuteson, Sandra L/C-4289-2008</t>
  </si>
  <si>
    <t>KX5YC</t>
  </si>
  <si>
    <t>Water accessibility assessment; Freshwater marshes; Yellow River Delta National Nature Reserve; WAI model</t>
  </si>
  <si>
    <t>[Li, Heying; Fan, Yunbao; Gong, Zhaoning; Zhou, Demin] Capital Normal Univ, Coll Resource Environm &amp; Tourism, State Key Lab Incubat Base Urban Environm Proc &amp;, Beijing 100048, Peoples R China</t>
  </si>
  <si>
    <t>Zhou, DM (corresponding author), Capital Normal Univ, Coll Resource Environm &amp; Tourism, 105 West Third Ring North Rd, Beijing 100048, Peoples R China.</t>
  </si>
  <si>
    <t>zhoudemin@neigae.ac.cn</t>
  </si>
  <si>
    <t>National Key R&amp;D Program of China [2017YFC0505903]; National Natural Science Foundation of China [NSFC41671509]</t>
  </si>
  <si>
    <t>National Key R&amp;D Program of China; National Natural Science Foundation of China(National Natural Science Foundation of China (NSFC))</t>
  </si>
  <si>
    <t>This research is funded by National Key R&amp;D Program of China (2017YFC0505903) and the National Natural Science Foundation of China (NSFC41671509).</t>
  </si>
  <si>
    <t>INT CENTRE ECOLOGY, POLISH ACAD SCIENCES</t>
  </si>
  <si>
    <t>LOMIANKI</t>
  </si>
  <si>
    <t>DZIEKANOW LESNY, LOMIANKI, 00000, POLAND</t>
  </si>
  <si>
    <t>ECOHYDROL HYDROBIOL</t>
  </si>
  <si>
    <t>Ecohydrol. Hydrobiol.</t>
  </si>
  <si>
    <t>Ecology; Water Resources</t>
  </si>
  <si>
    <t>KM5OP</t>
  </si>
  <si>
    <t>Assemblage; Uncertainty; Experiment; Oil; Corporate social responsibility; Policy mobilities</t>
  </si>
  <si>
    <t>POLICY; GEOGRAPHIES; NEOLIBERALISM; GOVERNANCE; DIFFERENCE; ASSEMBLAGE; PETROLEUM; CSR; AGE</t>
  </si>
  <si>
    <t>[Taber, Peter] Univ Utah, Div Epidemiol, 295 Chipeta Way, Salt Lake City, UT 84132 USA</t>
  </si>
  <si>
    <t>Taber, P (corresponding author), Univ Utah, Div Epidemiol, 295 Chipeta Way, Salt Lake City, UT 84132 USA.</t>
  </si>
  <si>
    <t>Wenner-Gren Dissertation Fieldwork Grant [8504]; Dissertation Research Grant from the University of Arizona's Social and Behavioral Sciences Research Institute</t>
  </si>
  <si>
    <t>Wenner-Gren Dissertation Fieldwork Grant; Dissertation Research Grant from the University of Arizona's Social and Behavioral Sciences Research Institute</t>
  </si>
  <si>
    <t>I am particularly grateful to Dr. David Neill for the opportunity to observe and discuss his work at length, and to the staff of Ecuador's National Herbarium for similarly going out of their way to accommodate and participate in my research. Thanks also go to the consultants who gave their time to help me understand their field, and to the Ecuadorian and American biologists who facilitated my introduction to it. I extend my appreciation to one American and one Ecuadorian consultancy with offices in Quito for their willingness to discuss the history of their business, and the access they granted me to their respective libraries. I thank Mr. Douglas McMeekin for his time. Comments from two anonymous reviewers significantly sharpened the argument presented here. The research was conducted with financial support from Wenner-Gren Dissertation Fieldwork Grant #8504 and a Dissertation Research Grant from the University of Arizona's Social and Behavioral Sciences Research Institute.&lt;SUP&gt;4&lt;/SUP&gt;</t>
  </si>
  <si>
    <t>KK1AG</t>
  </si>
  <si>
    <t>CORPORATE-SOCIAL-RESPONSIBILITY; LEGAL-SYSTEM; REPUTATION; LAW; MARKET; COMMUNICATION; LITIGATION; GOVERNANCE; MECHANISMS; DISCLOSURE</t>
  </si>
  <si>
    <t>[Parella, Kishanthi] Washington &amp; Lee Univ, Sch Law, Lexington, VA 24450 USA</t>
  </si>
  <si>
    <t>Parella, K (corresponding author), Washington &amp; Lee Univ, Sch Law, Lexington, VA 24450 USA.</t>
  </si>
  <si>
    <t>NOTRE DAME LAW SCHOOL</t>
  </si>
  <si>
    <t>NOTRE DAME</t>
  </si>
  <si>
    <t>NOTRE DAME LAW SCHOOL, ROOM B1, NOTRE DAME, IN 46556 USA</t>
  </si>
  <si>
    <t>NOTRE DAME LAW REV</t>
  </si>
  <si>
    <t>Notre Dame Law Rev.</t>
  </si>
  <si>
    <t>KG2CS</t>
  </si>
  <si>
    <t>Performance outcomes; Procurement; Construction consultants; Property and facilities management; Selection criteria; Sustainabiltiy; Procurement</t>
  </si>
  <si>
    <t>[Lam, Terence Y. M.] Univ New South Wales, Fac Built Environm, Sydney, NSW, Australia</t>
  </si>
  <si>
    <t>Lam, TYM (corresponding author), Univ New South Wales, Fac Built Environm, Sydney, NSW, Australia.</t>
  </si>
  <si>
    <t>y.m.lam@unsw.edu.au</t>
  </si>
  <si>
    <t>Royal Institution of Chartered Surveyors (RICS) Research Trust</t>
  </si>
  <si>
    <t>The data used for this study is extracted from part of a research project funded by the Royal Institution of Chartered Surveyors (RICS) Research Trust. The author is very thankful to the Trust.</t>
  </si>
  <si>
    <t>Facilities</t>
  </si>
  <si>
    <t>KD0NR</t>
  </si>
  <si>
    <t>Consumer reform movements; critical juncture theory; fact-checking; journalism studies; political communication</t>
  </si>
  <si>
    <t>NEWS</t>
  </si>
  <si>
    <t>[Amazeen, Michelle A.] Boston Univ, Boston, MA 02215 USA</t>
  </si>
  <si>
    <t>Amazeen, MA (corresponding author), Boston Univ, Dept Mass Commun Advertising &amp; Publ Relat, 640 Commonwealth Ave, Boston, MA 02215 USA.</t>
  </si>
  <si>
    <t>mamazeen@bu.edu</t>
  </si>
  <si>
    <t>Journalism</t>
  </si>
  <si>
    <t>KB1BI</t>
  </si>
  <si>
    <t>STATUTORY APPROACH; COASTAL DEFENSE; EVOLUTION; SCIENCE; FLOOD</t>
  </si>
  <si>
    <t>[Ballinger, Rhoda C.] Cardiff Univ, Sch Earth &amp; Ocean Sci, Main Bldg,Pk Pl, Cardiff CF10 3AT, S Glam, Wales; [Dodds, Wendy] Tidal Lagoon Power, Pillar &amp; Lucy House,Merchants Rd, Gloucester GL2 5RG, England</t>
  </si>
  <si>
    <t>Ballinger, RC (corresponding author), Cardiff Univ, Sch Earth &amp; Ocean Sci, Main Bldg,Pk Pl, Cardiff CF10 3AT, S Glam, Wales.</t>
  </si>
  <si>
    <t>BallingerRC@Cardiff.ac.uk; wendy.dodds@tidallagoonpower.com</t>
  </si>
  <si>
    <t>JW8TI</t>
  </si>
  <si>
    <t>Tatarinov, VV; Tatarinov, VS</t>
  </si>
  <si>
    <t>Tatarinov, Vadym V.; Tatarinov, Vadym S.</t>
  </si>
  <si>
    <t>HIGHER EDUCATION REFORM AND PROBLEMS OF ITS IMPLEMENTATION IN UKRAINE</t>
  </si>
  <si>
    <t>ACADEMY REVIEW</t>
  </si>
  <si>
    <t>higher education; university science; reform; financing; small and medium business</t>
  </si>
  <si>
    <t>The article defines the importance of education as the most important branch of the economy. The main problems of higher education reform have been identified. Suggestions have been made to address some of the problems of higher education reform. 1. Education and science are becoming the most important sectors of the world economy and the main factors contributing to the accumulation of human capital. 2. Poor funding for education and science in Ukraine threatens the economic security of the country and does not ensure the accumulation of human capital to the level necessary for the transition to a knowledge economy. 3. In order to provide conditions for the accumulation of human capital, the state must: - recognize education and science as leading sectors of the economy; - to determine the list of priority scientific areas where the creation of a unique product is possible; - to ensure the advance development of the educational and scientific sphere at the expense of a radical change in funding, taking into account foreign experience, especially in priority areas; - stimulate big business to finance education and science; - to create in the field of higher education conditions that provide incentives for both students and teachers to improve the quality of training; - to promote the involvement of the mass media in the process of popularizing the quality education and prestige of scientists, engineers, professors and teaching staff of higher education institutions; - promote the prestige and importance of higher technical education among young people; - promote and support the interaction between university science and business. 4. In order to create civilized competition in the economy, to ensure sustainable demand for research and development and the efficient use of human capital, the state must: - to prioritize the development of small and medium-sized manufacturing enterprises; - to create electronic resources by regions for information and consulting support of investment and innovation activity of small and medium enterprises; - use foreign experience in creating and operating small and medium business support programs; - develop cooperation with international organizations on financing small and medium-sized enterprises; - to activate through the mass media the population to participate in the creation and development of small and medium-sized enterprises; - to create conditions for active growth of capitalization in the system of financial credit and investment support of innovative activity by creation of funds of financial support of innovatively active enterprises; - simplify tax administration and reporting on business results for small and medium-sized enterprises; - intensify the involvement of small and medium-sized manufacturing businesses in the execution of government orders.</t>
  </si>
  <si>
    <t>[Tatarinov, Vadym V.; Tatarinov, Vadym S.] Kremenchuk Inst Alfred Nobel Univ, Dnipro, Ukraine</t>
  </si>
  <si>
    <t>Tatarinov, VV (corresponding author), Kremenchuk Inst Alfred Nobel Univ, Dnipro, Ukraine.</t>
  </si>
  <si>
    <t>vadtatarinov@ukr.net; vadtatariniv2012@yandex.ru</t>
  </si>
  <si>
    <t>ALFRED NOBEL UNIV</t>
  </si>
  <si>
    <t>DNIPRO</t>
  </si>
  <si>
    <t>SICHESLAVSKA NABEREZHNA ST, 18, DNIPRO, 49000, UKRAINE</t>
  </si>
  <si>
    <t>2074-5354</t>
  </si>
  <si>
    <t>2522-9745</t>
  </si>
  <si>
    <t>ACAD REV</t>
  </si>
  <si>
    <t>Acad. Rev.</t>
  </si>
  <si>
    <t>10.32342/2074-5354-2020-1-52-6</t>
  </si>
  <si>
    <t>Business, Finance; Economics; Management</t>
  </si>
  <si>
    <t>VL2VO</t>
  </si>
  <si>
    <t>WOS:000823345800006</t>
  </si>
  <si>
    <t>Environmental management; Integrated watershed management; Measure implementation; Public participation; Soil compaction; Soil conservation</t>
  </si>
  <si>
    <t>STAKEHOLDER PARTICIPATION; MANAGEMENT-PRACTICES; ADOPTION; ENGAGEMENT; FRAMEWORK; OUTCOMES; DESIGN; BASIN</t>
  </si>
  <si>
    <t>[Adhami, Maryam; Sadeghi, Seyed Hamidreza] Tarbiat Modares Univ, Dept Watershed Management Engn, Fac Nat Resources, Int Campus, Noor 4641776489, Mazandaran, Iran; [Duttmann, Rainer] Christian Albrechts Univ Kiel, Dept Geog, CAU, D-24098 Kiel, Germany; [Sheikhmohammady, Majid] Tarbiat Modares Univ, Fac Ind &amp; Syst Engn, Tehran, Iran</t>
  </si>
  <si>
    <t>Sadeghi, SH (corresponding author), Tarbiat Modares Univ, Dept Watershed Management Engn, Fac Nat Resources, Int Campus, Noor 4641776489, Mazandaran, Iran.</t>
  </si>
  <si>
    <t>sadeghi@modares.ac.ir; duttmann@geographie.uni-kiel.de; msheikhm@modares.ac.ir</t>
  </si>
  <si>
    <t>Agrohydrology Research Group of Tarbiat Modares University, Iran [IG-39713]</t>
  </si>
  <si>
    <t>Agrohydrology Research Group of Tarbiat Modares University, Iran</t>
  </si>
  <si>
    <t>The current research has been prepared based on the facilities collaboratively provided by Tarbiat Modares University, Iran, and University of Kiel, Germany, during the Dr. M. Adhami's sabbatical research whose valuable supports of both universities are acknowledged. The partial support of the Agrohydrology Research Group of Tarbiat Modares University (grant No. IG-39713), Iran, with regard to the corresponding author is also thanked.</t>
  </si>
  <si>
    <t>JS8VX</t>
  </si>
  <si>
    <t>Tobias, D; Alix, O; Olivier, H; Nathalie, RG; Pierre-Nicolas, C</t>
  </si>
  <si>
    <t>Tobias, Douet; Alix, Ohl; Olivier, Hugli; Nathalie, Romain-Glassey; Pierre-Nicolas, Carron</t>
  </si>
  <si>
    <t>Current prevalence of self-reported interpersonal violence among adult patients seen at a university hospital emergency department in Switzerland</t>
  </si>
  <si>
    <t>SWISS MEDICAL WEEKLY</t>
  </si>
  <si>
    <t>violence; interpersonal violence; emergency department; screening</t>
  </si>
  <si>
    <t>INTIMATE PARTNER VIOLENCE; INJURY; WOMEN</t>
  </si>
  <si>
    <t>OBJECTIVE: To evaluate the current prevalence of self-reported interpersonal violence amongst patients consulting at the emergency department (ED) of a university hospital and to describe the characteristics of the violence sustained. METHODS: Ours was a cross-sectional study using a modified version of the Partner Violence Screen questionnaire, which was distributed to every patient over 16 years old consulting at the ED between the 1st and 30th September 2016. Excluded were those incapable of decision-making, unable to understand owing to language difficulties, or in police detention. Questions pertained to violence endured during the year prior to their attendance at the ED and, where relevant, the date, place, and type of violence (physical or psychological), the perpetrator and the means used (firearms or other weapons). Demographic details were taken from the hospital records. RESULTS: Of 628 patients included (participation rate 86%), 19% were victims of violence, for 27% of whom it was the motive for ED attendance. The median age of these victims of violence was 28 years (interquartile range 22-43), 39% were female, 71% single and 38% foreign nationals. Typical characteristics of self-reported violence were: (1) violence sustained within the previous 24 h (26%); (2) perpetrators unknown (35%); (3) occurrence at a cafe, bar, restaurant or nightclub (32%); (4) use of knives (19%); (5) prior consumption of alcohol by the victims themselves (28%). Females were more susceptible to domestic violence than males (45 vs 7%), the latter mostly reporting public violence (64 vs 43% in women). CONCLUSION: The prevalence of self-reported interpersonal violence has reached one patient in five in our ED. Our results underline the importance of screening for this, as well as providing the means to offer specific follow-up.</t>
  </si>
  <si>
    <t>[Tobias, Douet; Alix, Ohl; Olivier, Hugli; Pierre-Nicolas, Carron] Univ Lausanne, Lausanne Univ Hosp, Emergency Dept, Lausanne, Switzerland; [Nathalie, Romain-Glassey] Univ Lausanne, Lausanne Univ Hosp, Univ Ctr Legal Med CURML, Med Violence Unit, Lausanne, Switzerland</t>
  </si>
  <si>
    <t>Alix, O (corresponding author), CHU Vaudois, Emergency Dept, Chemin Charmilles 3, CH-1004 Lausanne, Switzerland.</t>
  </si>
  <si>
    <t>al-ix.ohl@gmail.com</t>
  </si>
  <si>
    <t>Hugli, Olivier/AAA-7057-2020</t>
  </si>
  <si>
    <t>Romain-Glassey, Nathalie/0000-0001-6043-0000</t>
  </si>
  <si>
    <t>E M H SWISS MEDICAL PUBLISHERS LTD</t>
  </si>
  <si>
    <t>MUTTENZ</t>
  </si>
  <si>
    <t>FARNSBURGERSTR 8, CH-4132 MUTTENZ, SWITZERLAND</t>
  </si>
  <si>
    <t>1424-7860</t>
  </si>
  <si>
    <t>1424-3997</t>
  </si>
  <si>
    <t>SWISS MED WKLY</t>
  </si>
  <si>
    <t>Swiss Med. Wkly.</t>
  </si>
  <si>
    <t>w20147</t>
  </si>
  <si>
    <t>10.4414/smw.2019.20147</t>
  </si>
  <si>
    <t>JX0NI</t>
  </si>
  <si>
    <t>WOS:000503440400003</t>
  </si>
  <si>
    <t>[Chi, Primus Che] KEMRI Wellcome Trust Res Programme, Dept Hlth Syst &amp; Res Eth, Kilifi, Kenya; [Chi, Primus Che; Ostby, Gudrun] Peace Res Inst Oslo PRIO, Oslo, Norway; [Bulage, Patience] Univ KwaZulu Natal, Hlth Econ &amp; HIV AIDS Res Div HEARD, Durban, South Africa</t>
  </si>
  <si>
    <t>Chi, PC (corresponding author), KEMRI Wellcome Trust Res Programme, Dept Hlth Syst &amp; Res Eth, Kilifi, Kenya.;Chi, PC (corresponding author), Peace Res Inst Oslo PRIO, Oslo, Norway.</t>
  </si>
  <si>
    <t>pchi@kemri-wellcome.org</t>
  </si>
  <si>
    <t>Norwegian Research Council [230861, ES548591]; Research Council of Norway [230861, ES548591]</t>
  </si>
  <si>
    <t>Norwegian Research Council(Research Council of NorwayEuropean Commission); Research Council of Norway(Research Council of Norway)</t>
  </si>
  <si>
    <t>PCC and GO received financial support from the Norwegian Research Council (https://www.forskningsradet.no/en/) as part of the projects: Armed Conflict and Maternal Health in Sub-Saharan Africa (Project number 230861) and Development Aid, Effectiveness, and Inequalities in Conflict-Affected Societies (Project number ES548591). The funders had no role in study design, data collection and analysis, decision to publish, or preparation of the manuscript.; The authors thank all the participants who took off time to participate in the interviews. We are grateful to Ryan Briggs (Department of Political Science, University of Guelph, Canada) and Arnim Langer (Centre for Research on Peace and Development, University of Leuven, Belgium) for their comments on the draft manuscript. Our gratitude also goes to the two peer reviews (Professor Ted Schrecker at Newcastle University and an anonymous reviewer) for their constructive comments. Primus Che Chi and Gudrun Ostby received financial support to conduct this study from two Research Council of Norway funded projects: Armed Conflict and Maternal Health in Sub-Saharan Africa (Project number 230861) and Development Aid, Effectiveness, and Inequalities in Conflict-Affected Societies (Project number ES548591).</t>
  </si>
  <si>
    <t>LP3RM</t>
  </si>
  <si>
    <t>Open heart surgery; independence; local team; medical mission</t>
  </si>
  <si>
    <t>CARDIAC-SURGERY</t>
  </si>
  <si>
    <t>[Nwafor, Ikechukwu A.; Eze, John C.] Univ Nigeria, Fac Med Sci, Ituku Ozalla Campus, Enugu, Nigeria; [Nwafor, Maureen N.] Univ Nigeria, Intens Care Pharm, Teaching Hosp, Ituku Ozalla, Enugu, Nigeria</t>
  </si>
  <si>
    <t>Nwafor, IA (corresponding author), Univ Nigeria, Dept Surg, Teaching Hosp, Ituku Ozalla, Enugu, Nigeria.</t>
  </si>
  <si>
    <t>igbochinanya2@yahoo.com</t>
  </si>
  <si>
    <t>Nwafor, Ikechukwu Andrew/0000-0002-7387-6949</t>
  </si>
  <si>
    <t>CARDIOL YOUNG</t>
  </si>
  <si>
    <t>Cardiol. Young</t>
  </si>
  <si>
    <t>Cardiac &amp; Cardiovascular Systems; Pediatrics</t>
  </si>
  <si>
    <t>Cardiovascular System &amp; Cardiology; Pediatrics</t>
  </si>
  <si>
    <t>KI4TH</t>
  </si>
  <si>
    <t>Section 136; police Mental Health Act; repeated detention; suicide and suicide prevention; trauma; personality disorder; lived experience</t>
  </si>
  <si>
    <t>BORDERLINE PERSONALITY-DISORDER; POSTTRAUMATIC-STRESS-DISORDER; SECTION 136; PATTERNS; PEOPLE; TRUST; RISK</t>
  </si>
  <si>
    <t>[Warrington, Claire] Univ Brighton, Sch Appl Social Sci, Falmer BN1 9PH, England</t>
  </si>
  <si>
    <t>Warrington, C (corresponding author), Univ Brighton, Sch Appl Social Sci, Falmer BN1 9PH, England.</t>
  </si>
  <si>
    <t>c.warrington2@brighton.ac.uk</t>
  </si>
  <si>
    <t>Wellcome Trust [10867/1/Z/15/Z]; Economic and Social Research Council (UK) [ES/T009276/1]; ESRC [ES/T009276/1] Funding Source: UKRI</t>
  </si>
  <si>
    <t>Wellcome Trust(Wellcome TrustEuropean Commission); Economic and Social Research Council (UK)(UK Research &amp; Innovation (UKRI)Economic &amp; Social Research Council (ESRC)); ESRC(UK Research &amp; Innovation (UKRI)Economic &amp; Social Research Council (ESRC))</t>
  </si>
  <si>
    <t>This research was funded by Wellcome Trust, grant number 10867/1/Z/15/Z. This manuscript was prepared thanks to the support of the Economic and Social Research Council (UK), grant number ES/T009276/1.</t>
  </si>
  <si>
    <t>KC6HG</t>
  </si>
  <si>
    <t>Afrikaans</t>
  </si>
  <si>
    <t>Afrikaans; science; subject jargon; language of learning and education; internet; subject specialist; schools; curriculum</t>
  </si>
  <si>
    <t>[Durand, Francois] Univ Johannesburg, Dept Dierkunde, Johannesburg, South Africa</t>
  </si>
  <si>
    <t>Durand, F (corresponding author), Univ Johannesburg, Dept Dierkunde, Johannesburg, South Africa.</t>
  </si>
  <si>
    <t>fdurand@uj.ac.za</t>
  </si>
  <si>
    <t>SUID-AFRIKAANSE AKAD VIR WETENSKAP EN KUNS, SEKRETARIS</t>
  </si>
  <si>
    <t>PRETORIA</t>
  </si>
  <si>
    <t>P. O. BOX 538, PRETORIA, 00000, SOUTH AFRICA</t>
  </si>
  <si>
    <t>TYDSKR GEESTESWET</t>
  </si>
  <si>
    <t>Tydskr. Geesteswet.</t>
  </si>
  <si>
    <t>KC7XZ</t>
  </si>
  <si>
    <t>Derks, M; Romijn, H</t>
  </si>
  <si>
    <t>Derks, Milou; Romijn, Henny</t>
  </si>
  <si>
    <t>Sustainable performance challenges of rural microgrids: Analysis of incentives and policy framework in Indonesia</t>
  </si>
  <si>
    <t>ENERGY FOR SUSTAINABLE DEVELOPMENT</t>
  </si>
  <si>
    <t>Rural electrification; Energy policy implications; Indonesia; Goal displacement; Replication strategy; Upscaling</t>
  </si>
  <si>
    <t>RENEWABLE ENERGY PROJECTS; DEVELOPING-COUNTRIES; GOAL DISPLACEMENT; ELECTRICITY ACCESS; POWER PROJECTS; VILLAGE GRIDS; MINI-GRIDS; ELECTRIFICATION; SYSTEMS; PROGRAMS</t>
  </si>
  <si>
    <t>Rural off grid electrification systems powered by renewable energy have become popular in the Global South. Unfortunately, many microgrids have experienced trouble during their first years of operation, leading to premature system deterioration. In this paper we trace these problems to institutional issues associated with goal displacement in implementing organizations and, relatedly, ineffective programme upscaling, which have remained under-researched in the rural renewable energy literature thus far. Using literature about implementation of large infrastructure projects, political economy of policy making, and replication of innovations as our conceptual lens, we examine a government-initiated microgrid programme in Indonesia. Early project failure was found to be linked to a one-sided policy focus on expanding the number of installed systems, instead of ensuring service quality. This focus is driven by political campaign strategies in which microgrid technologies are used as instruments for political legitimation, and pressure from aid donors to achieve early quantifiable results. It leads higher governmental echelons to care about reaching pre-set installation targets rather than ensuring that lower-level governments face incentives to focus on maintenance and repair. The focus on quantitative expansion also explains a lack of incentives or pressures to address a persistent lack of clarity about responsibilities of each government level, local communities, consultants, and contractors. Similar patterns can be noted in other countries, suggesting the findings have broader relevance for understanding key determinants of microgrid unsustainability in the Global South. To improve governance, pressure needs to be brought on the government by the general public, academia, NGOs and the press through increased public exposure of early system deterioration. These actions should be grounded in research that seeks to understand the complex causes of the problem, considering the whole scope of interlinked incentives and policies, before trying to tackle it. (C) 2019 International Energy Initiative. Published by Elsevier Inc. All rights reserved.</t>
  </si>
  <si>
    <t>[Derks, Milou] Eindhoven Univ Technol, Sch Innovat Sci, Dept Informat &amp; Math, POB 513, NL-5600 MB Eindhoven, Netherlands; [Derks, Milou] TNO, Netherlands Org Appl Sci Res, Anna van Buerenpl 1, NL-2595 DA The Hague, Netherlands; [Romijn, Henny] Eindhoven Univ Technol, Sch Innovat Sci, POB 513, NL-5600 MB Eindhoven, Netherlands</t>
  </si>
  <si>
    <t>Derks, M (corresponding author), Jacob van Deventerstr 4, NL-5641 TZ Eindhoven, Netherlands.</t>
  </si>
  <si>
    <t>milou.derks@tno.nl; h.a.romijn@tue.nl</t>
  </si>
  <si>
    <t>Romijn, Henny/AAY-5681-2020</t>
  </si>
  <si>
    <t>Romijn, Henny/0000-0002-0447-5914; Derks, Milou/0000-0001-8681-9743</t>
  </si>
  <si>
    <t>0973-0826</t>
  </si>
  <si>
    <t>2352-4669</t>
  </si>
  <si>
    <t>ENERGY SUSTAIN DEV</t>
  </si>
  <si>
    <t>Energy Sustain Dev.</t>
  </si>
  <si>
    <t>10.1016/j.esd.2019.08.003</t>
  </si>
  <si>
    <t>JZ5ZH</t>
  </si>
  <si>
    <t>WOS:000505180700004</t>
  </si>
  <si>
    <t>Public affairs; Public relations; Consultants; Membership-based groups; Advocacy strategies; Media strategy</t>
  </si>
  <si>
    <t>INTEREST GROUP STRATEGIES; HEAVENLY CHORUS; EUROPEAN-UNION; INTEREST ORGANIZATIONS; CIVIL-SOCIETY; ADVOCACY; ACCESS; PR; MEDIATIZATION; CORPORATISM</t>
  </si>
  <si>
    <t>[Vesa, Juho; Karimo, Aasa] Univ Helsinki, POB 18,Unioninkatu 35,POB 54,Unioninkatu 37, FIN-00014 Helsinki, Finland</t>
  </si>
  <si>
    <t>Vesa, J (corresponding author), Univ Helsinki, POB 18,Unioninkatu 35,POB 54,Unioninkatu 37, FIN-00014 Helsinki, Finland.</t>
  </si>
  <si>
    <t>juho.vesa@helsinki.fi; aasa.karimo@helsinki.fi</t>
  </si>
  <si>
    <t>Academy of Finland [309934]; Kone Foundation; Finnish Government's Analysis, Assessment and Research Activities ('KAMU' project)</t>
  </si>
  <si>
    <t>Academy of Finland(Academy of Finland); Kone Foundation; Finnish Government's Analysis, Assessment and Research Activities ('KAMU' project)</t>
  </si>
  <si>
    <t>This research was funded by the Academy of Finland (grant nr. 309934), the Kone Foundation (postdoctoral grant for Vesa), and the Finnish Government's Analysis, Assessment and Research Activities ('KAMU' project). We would like to thank Anu Kantola (the principal investigator of the 'KAMU' project), Mika Vehka for his assistance in conducting the survey, Helena Blomberg and Christian Kroll for helping to translate the survey into Swedish, the three anonymous reviewers for their excellent comments, and everyone else who helped with the survey, gave us information, or commented on earlier versions of the article.</t>
  </si>
  <si>
    <t>PALGRAVE MACMILLAN LTD</t>
  </si>
  <si>
    <t>BASINGSTOKE</t>
  </si>
  <si>
    <t>BRUNEL RD BLDG, HOUNDMILLS, BASINGSTOKE RG21 6XS, HANTS, ENGLAND</t>
  </si>
  <si>
    <t>INTEREST GROUPS ADVO</t>
  </si>
  <si>
    <t>Interest Groups Advocacy</t>
  </si>
  <si>
    <t>JV1WT</t>
  </si>
  <si>
    <t>Nicholson, BD; Aveyard, P; Bankhead, CR; Hamilton, W; Hobbs, FDR; Lay-Flurrie, S</t>
  </si>
  <si>
    <t>Nicholson, B. D.; Aveyard, P.; Bankhead, C. R.; Hamilton, W.; Hobbs, F. D. R.; Lay-Flurrie, S.</t>
  </si>
  <si>
    <t>Determinants and extent of weight recording in UK primary care: an analysis of 5 million adults' electronic health records from 2000 to 2017</t>
  </si>
  <si>
    <t>BMC MEDICINE</t>
  </si>
  <si>
    <t>Weight recording; Primary care; Electronic health records; Cohort study; Observational research</t>
  </si>
  <si>
    <t>OVERWEIGHT; EPIDEMIOLOGY; OBESITY; IDENTIFICATION; MULTIMORBIDITY</t>
  </si>
  <si>
    <t>Background: Excess weight and unexpected weight loss are associated with multiple disease states and increased morbidity and mortality, but weight measurement is not routine in many primary care settings. The aim of this study was to characterise who has had their weight recorded in UK primary care, how frequently, by whom and in relation to which clinical events, symptoms and diagnoses. Methods: A longitudinal analysis of UK primary care electronic health records (EHR) data from 2000 to 2017. Descriptive statistics were used to summarise weight recording in terms of patient sociodemographic characteristics, health professional encounters, clinical events, symptoms and diagnoses. Negative binomial regression was used to model the likelihood of having a weight record each year, and Cox regression to the likelihood of repeated weight recording. Results: A total of 14,049,871 weight records were identified in the EHR of 4,918,746 patients during the study period, representing 26,998,591 person-years of observation. Around a third of patients had a weight record each year. Forty-nine percent of weight records were repeated within a year with an average time to a repeat weight record of 1.92 years. Weight records were most often taken by nursing staff (38-42%) and GPs (37-39%) as part of a routine clinical care, such as chronic disease reviews (16%), medication reviews (6-8%) and health checks (6-7%), or were associated with consultations for contraception (5-8%), respiratory disease (5%) and obesity (1%). Patient characteristics independently associated with an increased likelihood of weight recording were as follows: female sex, younger and older adults, non-drinkers, ex-smokers, low or high BMI, being more deprived, diagnosed with a greater number of comorbidities and consulting more frequently. The effect of policy-level incentives to record weight did not appear to be sustained after they were removed. Conclusion: Weight recording is not a routine activity in UK primary care. It is recorded for around a third of patients each year and is repeated on average every 2 years for these patients. It is more common in females with higher BMI and in those with comorbidity. Incentive payments and their removal appear to be associated with increases and decreases in weight recording.</t>
  </si>
  <si>
    <t>[Nicholson, B. D.; Aveyard, P.; Bankhead, C. R.; Hobbs, F. D. R.; Lay-Flurrie, S.] Univ Oxford, Nuffield Dept Primary Care Hlth Sci, Radcliffe Observ Quarter, Oxford OX2 6GG, England; [Hamilton, W.] Univ Exeter, Sch Med, Exeter, Devon, England</t>
  </si>
  <si>
    <t>Nicholson, BD (corresponding author), Univ Oxford, Nuffield Dept Primary Care Hlth Sci, Radcliffe Observ Quarter, Oxford OX2 6GG, England.</t>
  </si>
  <si>
    <t>brian.nicholson@phc.ox.ac.uk</t>
  </si>
  <si>
    <t>Aveyard, Paul/0000-0002-1802-4217; Hamilton, William/0000-0003-1611-1373; Lay-Flurrie, Sarah/0000-0003-1094-8455</t>
  </si>
  <si>
    <t>National Institute for Health Research (NIHR) [DRF-2015-08-18]; NIHR Oxford Biomedical Research Centre; CLAHRC; Cancer Research UK Population Research Catalyst award [C8640/A23385]; National Institute for Health Research (NIHR) School for Primary Care Research; NIHR Collaboration for Leadership in Health Research and Care (CLARHC) Oxford; NIHR Oxford Biomedical Research Centre (BRC,)UHT); NIHR Oxford Medtech and In-Vitro Diagnostics Co-operative (MIC)</t>
  </si>
  <si>
    <t>National Institute for Health Research (NIHR)(National Institute for Health Research (NIHR)); NIHR Oxford Biomedical Research Centre(National Institute for Health Research (NIHR)); CLAHRC; Cancer Research UK Population Research Catalyst award; National Institute for Health Research (NIHR) School for Primary Care Research(National Institute for Health Research (NIHR)); NIHR Collaboration for Leadership in Health Research and Care (CLARHC) Oxford; NIHR Oxford Biomedical Research Centre (BRC,)UHT); NIHR Oxford Medtech and In-Vitro Diagnostics Co-operative (MIC)</t>
  </si>
  <si>
    <t>BDN is supported by National Institute for Health Research (NIHR) Doctoral Research Fellowship number (DRF-2015-08-18). PA is an NIHR senior investigator and is funded by NIHR Oxford Biomedical Research Centre and the CLAHRC. WH is the co-Principal Investigator of the multi-institutional CanTest Research Collaborative funded by a Cancer Research UK Population Research Catalyst award (C8640/A23385). FDRH acknowledges his partfunding from the National Institute for Health Research (NIHR) School for Primary Care Research, the NIHR Collaboration for Leadership in Health Research and Care (CLARHC) Oxford, the NIHR Oxford Biomedical Research Centre (BRC,)UHT), and the NIHR Oxford Medtech and In-Vitro Diagnostics Co-operative (MIC). The views expressed are those of the authors and not necessarily those of the NHS, the NIHR, or the Department of Health.</t>
  </si>
  <si>
    <t>1741-7015</t>
  </si>
  <si>
    <t>BMC MED</t>
  </si>
  <si>
    <t>BMC Med.</t>
  </si>
  <si>
    <t>NOV 29</t>
  </si>
  <si>
    <t>10.1186/s12916-019-1446-y</t>
  </si>
  <si>
    <t>JR9AI</t>
  </si>
  <si>
    <t>WOS:000499908700001</t>
  </si>
  <si>
    <t>User involvement; Leadership; Process mapping; Governance structures; Organizational development for effective clinical governance; First Nations; Indigenous peoples health</t>
  </si>
  <si>
    <t>HEALTH; CARE</t>
  </si>
  <si>
    <t>[Berland, Alex] A Berland Inc, Vancouver, BC, Canada</t>
  </si>
  <si>
    <t>Berland, A (corresponding author), A Berland Inc, Vancouver, BC, Canada.</t>
  </si>
  <si>
    <t>aberland@telus.net</t>
  </si>
  <si>
    <t>INT J HEALTH GOV</t>
  </si>
  <si>
    <t>Int. J. Health Gov.</t>
  </si>
  <si>
    <t>JF0OW</t>
  </si>
  <si>
    <t>Mining; Agenda 2030; Sustainable development; Geospatial information; Remote sensing</t>
  </si>
  <si>
    <t>MINE; INDICATORS; GHANA; COMMUNITIES; RECLAMATION; DISTURBANCE; TECHNOLOGY; ECOSYSTEMS; AREAS</t>
  </si>
  <si>
    <t>[Moomen, Abdul-Wadood; Bertolotto, Michela] Univ Coll Dublin, Sch Comp Sci, Dublin 4, Ireland; [Moomen, Abdul-Wadood; Lacroix, Pierre] Univ Geneva, Inst Environm Sci, Global Resource Informat Div GRID Geneva, Bd Carl Vogt 66, CH-1211 Geneva, Switzerland; [Lacroix, Pierre] Univ Geneva, EnviroSPACE Lab, Inst Environm Sci, Bd Carl Vogt 66, CH-1211 Geneva, Switzerland; [Jensen, David] UNEP, Environm Cooperat Peacebldg, Int Environm House,11 Chemin Anemones, CH-1219 Chatelaine, Switzerland</t>
  </si>
  <si>
    <t>Moomen, AW (corresponding author), Univ Coll Dublin, Sch Comp Sci, Dublin 4, Ireland.</t>
  </si>
  <si>
    <t>abdul-wadood.moomen@ucd.ie</t>
  </si>
  <si>
    <t>Moomen, Abdul-Wadood/0000-0002-6842-5078; LACROIX, Pierre/0000-0002-9096-4414; Bertolotto, Michela/0000-0003-0122-7656</t>
  </si>
  <si>
    <t>European Union [713279]; Irish Research Council</t>
  </si>
  <si>
    <t>European Union(European Commission); Irish Research Council(Irish Research Council for Science, Engineering and Technology)</t>
  </si>
  <si>
    <t>This project has received funding from the European Union's Horizon 2020 research and innovation programme under the Marie Sklodowska-Curie grant agreement No 713279; and cofounded by the Irish Research Council.</t>
  </si>
  <si>
    <t>IZ6YK</t>
  </si>
  <si>
    <t>Urban planning; Quality of life; Housing system reforms; Household preferences; Housing attribute; Low-income buyers; Urban areas; Quality of life</t>
  </si>
  <si>
    <t>AFFORDABILITY; PREFERENCES; CITIES; POLICY; PRICE</t>
  </si>
  <si>
    <t>[Ghumare, Pavan Namdeo; Chauhan, Krupesh A.; Yadav, Sanjay Kumar M.] Sardar Vallabhbhai Natl Inst Technol, Dept Civil Engn, Surat, India</t>
  </si>
  <si>
    <t>Ghumare, PN (corresponding author), Sardar Vallabhbhai Natl Inst Technol, Dept Civil Engn, Surat, India.</t>
  </si>
  <si>
    <t>ghumare.pncivilengg@gmail.com; kac@ced.svnit.ac.in; smy@ced.svnit.ac.in</t>
  </si>
  <si>
    <t>INT J HOUS MARK ANAL</t>
  </si>
  <si>
    <t>Int. J. Hous. Mark. Anal.</t>
  </si>
  <si>
    <t>MC0RZ</t>
  </si>
  <si>
    <t>Aksoy, S; Durmusoglu, Y</t>
  </si>
  <si>
    <t>Aksoy, Selim; Durmusoglu, Yalcin</t>
  </si>
  <si>
    <t>Improving competitiveness level of Turkish intermodal ports in the Frame of Green Port Concept: a case study</t>
  </si>
  <si>
    <t>MARITIME POLICY &amp; MANAGEMENT</t>
  </si>
  <si>
    <t>Port competitiveness; port community system; green port concept; simulation modelling</t>
  </si>
  <si>
    <t>PERFORMANCE; IMPLEMENTATION; EFFICIENCY; MARITIME; POLICY</t>
  </si>
  <si>
    <t>Port logistics is one of the major sectors influenced by fast globalisation due to technological innovations. . While positive impacts of a port spread wider area, negative impacts intensify in the location of port. To lead the regional economic development by increasing the competition levels of the ports, while minimizing the negative impacts is the main issue in this study. In order to increase the competitiveness and performance level of the port, it has been proposed to implement the Port Community System (PCS) and the dry port railway connection. In order to reduce the harmful gas emission values of ships in port, usage of renewable and environmentally friendly energy generated by Organic Rankine Cycle (ORC) method as an Onshore Power Supply System (OPS) has been proposed. Different scenarios have been modelled for before and after cases of each proposal by using Arena simulation software and results have been evaluated through Boston Consulting Group (BCG) portfolio analyses method. This article is a revised and expanded version of a paper entitled 'A Study on Improving Competitiveness Level of Turkish Ports in the Frame of Green Port Concept' presented at International Conference on Technology, Engineering and Science (ICONTES), Antalya/Turkey, October 26-29, 2017.</t>
  </si>
  <si>
    <t>[Aksoy, Selim] Istanbul Tech Univ TRNC, Maritime Transportat Management Engn Dept, Namik Kemal Mah Fazil Polat Pasa Bulvari, Famagusta, Northern Cyprus, Turkey; [Durmusoglu, Yalcin] Istanbul Tech Univ, Maritime Fac, Marine Engn Dept, Istanbul, Turkey</t>
  </si>
  <si>
    <t>Aksoy, S (corresponding author), Istanbul Tech Univ TRNC, Maritime Transportat Management Engn Dept, Namik Kemal Mah Fazil Polat Pasa Bulvari, Famagusta, Northern Cyprus, Turkey.</t>
  </si>
  <si>
    <t>aksoyselim@itu.edu.tr</t>
  </si>
  <si>
    <t>Durmusoglu, Yalcin/AAC-2491-2020</t>
  </si>
  <si>
    <t>Durmusoglu, Yalcin/0000-0002-4744-5168; Aksoy, Selim/0000-0001-8844-3460</t>
  </si>
  <si>
    <t>0308-8839</t>
  </si>
  <si>
    <t>1464-5254</t>
  </si>
  <si>
    <t>MARIT POLICY MANAG</t>
  </si>
  <si>
    <t>Marit. Policy Manag.</t>
  </si>
  <si>
    <t>10.1080/03088839.2019.1688876</t>
  </si>
  <si>
    <t>Transportation</t>
  </si>
  <si>
    <t>KK3QV</t>
  </si>
  <si>
    <t>WOS:000495813400001</t>
  </si>
  <si>
    <t>Bio-based material; Energy consumption and management; Energy efficiency and saving; Food processing; Renewable source; Waste recycling</t>
  </si>
  <si>
    <t>ENERGY EFFICIENCY IMPROVEMENT; CEMENT INDUSTRY; REDUCTION; RESIDUES; OPPORTUNITIES</t>
  </si>
  <si>
    <t>[De Corato, Ugo] Italian Natl Agcy New Technol, Energy &amp; Sustainable Econ Dev ENEA, Terr Off Bari, Via Giulio Petroni 15-F, I-70124 Bari, Italy; [Cancellara, Fernando Antonio] Italian Natl Agcy New Technol, Energy &amp; Sustainable Econ Dev ENEA, Dept Energy Efficiency Unit, Div Syst Projects &amp; Solut Energy Efficiency,Terr, Via Giulio Petroni 15-F, I-70124 Bari, Italy</t>
  </si>
  <si>
    <t>De Corato, U (corresponding author), Italian Natl Agcy New Technol, Energy &amp; Sustainable Econ Dev ENEA, Terr Off Bari, Via Giulio Petroni 15-F, I-70124 Bari, Italy.</t>
  </si>
  <si>
    <t>ugo.decorato@enea.it</t>
  </si>
  <si>
    <t>, Ugo De Corato/0000-0001-9972-1390</t>
  </si>
  <si>
    <t>IU3DX</t>
  </si>
  <si>
    <t>Aviation; Climate change; EU emissions trading scheme; Carbon offset and reduction scheme for international aviation; Environmental policy</t>
  </si>
  <si>
    <t>DELPHI METHOD; CAPACITY; IMPACT; ETS</t>
  </si>
  <si>
    <t>[Efthymiou, Marina] Dublin City Univ, Business Sch, Dublin 9, Ireland; [Papatheodorou, Andreas] Univ Aegean, Dept Business Adm, 8 Michalon St, Chios 82132, Greece</t>
  </si>
  <si>
    <t>Efthymiou, M (corresponding author), Dublin City Univ, Business Sch, Dublin 9, Ireland.</t>
  </si>
  <si>
    <t>marina.efthymiou@dcu.ie</t>
  </si>
  <si>
    <t>land cover/land use; GIS; remote sensing; Lower Mekong region; Hindu Kush region</t>
  </si>
  <si>
    <t>EARTH SYSTEM; BIODIVERSITY; PRODUCT; SCIENCE; CARBON</t>
  </si>
  <si>
    <t>[Saah, David; Johnson, Gary] Univ San Francisco, Geospatial Anal Lab, San Francisco, CA USA; [Saah, David; Tenneson, Karis; Cutter, Peter; Poortinga, Ate; Aekakkararungroj, Aekkapol; Bhandari, Biplov; Chishtie, Farrukh] Spatial Informat Grp LLC, Pleasanton, CA 94566 USA; [Saah, David; Cutter, Peter; Poortinga, Ate; Nguyen, Quyen H.; Khanal, Nishanta; Chishtie, Farrukh] SERVIR Mekong, Bangkok, Thailand; [Matin, Mir; Uddin, Kabir; Clinton, Nicholas] Int Ctr Integrated Mt Dev, Kathmandu, Nepal; [Nguyen, Quyen H.; Aekakkararungroj, Aekkapol; Bhandari, Biplov; Chishtie, Farrukh] Asian Disaster Preparedness Ctr, Bangkok, Thailand; [Patterson, Matthew; Housman, Ian W.; Maus, Paul] RedCastle Resources Inc, US Forest Serv, USDA, Geospatial Technol &amp; Applicat Ctr GTAC, Salt Lake City, UT USA; [Markert, Kel; Flores, Africa; Anderson, Eric; Weigel, Amanda; Ellenberg, Walter L.] Univ Alabama Huntsville, Earth Syst Sci Ctr, Huntsville, AL USA; [Markert, Kel; Flores, Africa; Anderson, Eric; Weigel, Amanda; Ellenberg, Walter L.] NASA, SERVIR Sci Coordinat Off, Marshall Space Flight Ctr, Huntsville, AL USA; [Bhargava, Radhika] Google Inc, Mountain View, CA USA; [Potapov, Peter; Tyukavina, Alexandra] Univ Maryland, Dept Geog Sci, College Pk, MD 20742 USA; [Ganz, David] RECOFTC Ctr People &amp; Forests, Bangkok, Thailand</t>
  </si>
  <si>
    <t>Chishtie, F (corresponding author), Spatial Informat Grp LLC, Pleasanton, CA 94566 USA.;Chishtie, F (corresponding author), SERVIR Mekong, Bangkok, Thailand.;Chishtie, F (corresponding author), Asian Disaster Preparedness Ctr, Bangkok, Thailand.</t>
  </si>
  <si>
    <t>farrukh.chishtie@adpc.net</t>
  </si>
  <si>
    <t>Bhandari, Biplov/GLN-6731-2022; Uddin, Kabir/M-5019-2019</t>
  </si>
  <si>
    <t>Bhandari, Biplov/0000-0001-6169-8236; Uddin, Kabir/0000-0003-2711-5791; Poortinga, Ate/0000-0001-9647-2317; Anderson, Eric/0000-0001-5056-4347; Potapov, Peter/0000-0003-3977-0021; Tyukavina, Alexandra/0000-0003-3872-9844</t>
  </si>
  <si>
    <t>US Agency for International Development (USAID); National Aeronautics and Space Administration (NASA) initiative SERVIR; USAID Regional Development Mission for Asia</t>
  </si>
  <si>
    <t>US Agency for International Development (USAID)(United States Agency for International Development (USAID)); National Aeronautics and Space Administration (NASA) initiative SERVIR; USAID Regional Development Mission for Asia</t>
  </si>
  <si>
    <t>We thank the participating agencies, civil society organizations, and university partners for sharing the key challenges they face in creating and using geospatial data to inform decision making and for scoping out design criteria to guide the collaborative development of a shared regional land cover monitoring system. Support for this work was provided through the joint US Agency for International Development (USAID) and National Aeronautics and Space Administration (NASA) initiative SERVIR and the USAID Regional Development Mission for Asia.</t>
  </si>
  <si>
    <t>LR6WG</t>
  </si>
  <si>
    <t>Keele, S</t>
  </si>
  <si>
    <t>Keele, Svenja</t>
  </si>
  <si>
    <t>Consultants and the business of climate services: implications of shifting from public to private science</t>
  </si>
  <si>
    <t>CLIMATIC CHANGE</t>
  </si>
  <si>
    <t>CHANGE ADAPTATION; INFORMATION USABILITY; KNOWLEDGE; POLICY; NETWORKS; PROJECTS; GEOGRAPHIES; EXPERTISE; RISK</t>
  </si>
  <si>
    <t>There has been a global trend away from delivering 'climate information' towards producing 'climate services' for decision-makers. The rationale for this shift is said to be the demand for timely and actionable climate knowledge, whilst the means of its delivery involves a shift from public good to more privatised forms of climate science. This paper identifies important implications of this shift to climate services by examining the role of consultants, drawing on an in-depth study of adaptation consultants in Australia. The role of consultants is instructive, not just because these private sector experts are engaged in climate services, but also because publicly funded climate science agencies are increasingly encouraged to behave as consulting firms do. Four imperatives of knowledge businesses-to be client-focussed, solutions-oriented, resource-efficient and self-replicating-are described. The paper argues that an emphasis on climate services shifts the incentives for climate science away from the public interest towards the ongoing pursuit of profit. There is a subsequent diversion of effort away from publicly accessible and transparent climate information to private knowledge for discrete clients. Climate services also emphasise knowledge for climate solutions as opposed to the politically charged identification of climate risks. The paper concludes with a warning that the trend towards climate services undermines the knowledge required for societies to adequately respond to the scale, speed and severity of climate change. At the heart of this issue is a climate services paradox: how to achieve customisation without exclusion.</t>
  </si>
  <si>
    <t>[Keele, Svenja] Univ Melbourne, Melbourne Sustainable Soc Inst, Melbourne, Vic, Australia; [Keele, Svenja] Univ Melbourne, Sch Geog, Melbourne, Vic, Australia</t>
  </si>
  <si>
    <t>Keele, S (corresponding author), Univ Melbourne, Melbourne Sustainable Soc Inst, Melbourne, Vic, Australia.;Keele, S (corresponding author), Univ Melbourne, Sch Geog, Melbourne, Vic, Australia.</t>
  </si>
  <si>
    <t>svenja.keele@unimelb.edu.au</t>
  </si>
  <si>
    <t>Keele, Svenja/0000-0001-8363-9165</t>
  </si>
  <si>
    <t>Australian Postgraduate Award</t>
  </si>
  <si>
    <t>Australian Postgraduate Award(Australian Government)</t>
  </si>
  <si>
    <t>I would like to acknowledge the receipt of an Australian Postgraduate Award that supported this research project, and the supervisory guidance from Professor Ruth Fincher and Associate Professor Lauren Rickards. This article has benefitted from generous readings by Dr. Sophie Webber, Dr. Sonia Graham, Dr. Sarah Rogers and ElissaWaters as well as three anonymous reviewers although all errors remain the author's own.</t>
  </si>
  <si>
    <t>0165-0009</t>
  </si>
  <si>
    <t>1573-1480</t>
  </si>
  <si>
    <t>Clim. Change</t>
  </si>
  <si>
    <t>10.1007/s10584-019-02385-x</t>
  </si>
  <si>
    <t>JZ5UO</t>
  </si>
  <si>
    <t>WOS:000505168400002</t>
  </si>
  <si>
    <t>Climate change adaptation; Tracking; Planning; Implementation; Financing; Conference abstracts</t>
  </si>
  <si>
    <t>BARRIERS; PERSPECTIVES; RESILIENCE</t>
  </si>
  <si>
    <t>[Palutikof, Jean P.; Boulter, Sarah L.; Stadler, Frank; Vidaurre, Ana C. Perez] Griffith Univ, Natl Climate Change Adaptat Res Facil, Gold Coast, Qld 4222, Australia; [Palutikof, Jean P.; Boulter, Sarah L.] Griffith Univ, Cities Res Inst, Gold Coast, Qld 4222, Australia; [Stadler, Frank] Griffith Univ, Dept Business Strategy &amp; Innovat, Gold Coast, Qld 4222, Australia</t>
  </si>
  <si>
    <t>Palutikof, JP (corresponding author), Griffith Univ, Natl Climate Change Adaptat Res Facil, Gold Coast, Qld 4222, Australia.</t>
  </si>
  <si>
    <t>j.palutikof@griffith.edu.au; s.boulter@griffith.edu.au; f.stadler@griffith.edu.au; anacecilia88@hotmail.com</t>
  </si>
  <si>
    <t>Stadler, Frank/0000-0002-9158-2792; Palutikof, Jean/0000-0002-5248-6925</t>
  </si>
  <si>
    <t>JO5DY</t>
  </si>
  <si>
    <t>Solar photovoltaic; Battery energy storage system; End-of-life; Product stewardship; Stakeholder survey; Australia</t>
  </si>
  <si>
    <t>PRODUCT STEWARDSHIP; WASTE MANAGEMENT; DRIVERS; POLICY; WATER</t>
  </si>
  <si>
    <t>[Salim, Hengky K.; Stewart, Rodney A.; Sahin, Oz] Griffith Univ, Sch Engn &amp; Built Environm, Southport, Qld 4222, Australia; [Salim, Hengky K.; Stewart, Rodney A.; Sahin, Oz] Griffith Univ, Cities Res Inst, Southport, Qld 4222, Australia; [Sahin, Oz] Griffith Univ, Griffith Climate Change Response Program, Southport, Qld 4222, Australia; [Dudley, Michael] Sustainabil Victoria, Melbourne, Vic 3000, Australia</t>
  </si>
  <si>
    <t>Stewart, RA (corresponding author), Griffith Univ, Sch Engn &amp; Built Environm, Southport, Qld 4222, Australia.</t>
  </si>
  <si>
    <t>r.stewart@griffith.edu.au</t>
  </si>
  <si>
    <t>Salim, Hengky/L-5744-2017; Stewart, Rodney/H-5561-2018</t>
  </si>
  <si>
    <t>Salim, Hengky/0000-0002-5388-2460; Stewart, Rodney/0000-0002-6013-3505; Sahin, Oz/0000-0002-1914-5379</t>
  </si>
  <si>
    <t>Sustainability Victoria; Griffith University through the Griffith University Postgraduate Research Scholarship (GUPRS)</t>
  </si>
  <si>
    <t>The authors would like to acknowledge Sustainability Victoria for contributing and supporting this research project. The authors would also like to thank anonymous expert review panel as well as survey respondents in which this research would not have been possible without their valuable insights. Finally, Hengky K. Salim would like to acknowledge Griffith University for funding this research project through the Griffith University Postgraduate Research Scholarship (GUPRS).</t>
  </si>
  <si>
    <t>JA8ZY</t>
  </si>
  <si>
    <t>Construction industry; construction projects; drivers; environmental sustainability; Ghana</t>
  </si>
  <si>
    <t>GREEN; LEADERSHIP; INNOVATION; PERSPECTIVE; BUILDINGS</t>
  </si>
  <si>
    <t>[Opoku, De-Graft Joe; Agyekum, Kofi; Ayarkwa, Joshua] Kwame Nkrumah Univ Sci &amp; Technol, Dept Construct Technol &amp; Management, Kumasi, Ghana</t>
  </si>
  <si>
    <t>Opoku, DGJ (corresponding author), Kwame Nkrumah Univ Sci &amp; Technol, Dept Construct Technol &amp; Management, Kumasi, Ghana.</t>
  </si>
  <si>
    <t>joedeggie2000@gmail.com</t>
  </si>
  <si>
    <t>Agyekum, Kofi/R-1479-2018; Opoku, De-Graft Joe/AAD-7615-2019; Opoku, De-Graft Joe/AAT-4793-2020; Agyekum, Kofi/AAP-6023-2021</t>
  </si>
  <si>
    <t xml:space="preserve">Agyekum, Kofi/0000-0002-7903-5390; Opoku, De-Graft Joe/0000-0003-2557-5268; </t>
  </si>
  <si>
    <t>0Z0ZA</t>
  </si>
  <si>
    <t>Construction; Gender; Workplace; Quantity surveyors; Stress response strategies</t>
  </si>
  <si>
    <t>CONSTRUCTION-INDUSTRY; OCCUPATIONAL STRESS; PROFESSIONALS; INTERVENTIONS; OUTCOMES; IMPACT</t>
  </si>
  <si>
    <t>[Ojo, Grace Kehinde; Adeyeye, Grace Mayowa] Obafemi Awolowo Univ, Fac Environm Design &amp; Management, Dept Quant Surveying, Ife, Nigeria; [Opawole, Akintayo; Kajimo-Shakantu, Kahilu] Univ Free State, Fac Nat &amp; Agr Sci, Dept Quant Surveying &amp; Construct Management, Bloemfontein, South Africa</t>
  </si>
  <si>
    <t>opawolea@ufs.ac.za</t>
  </si>
  <si>
    <t>IV8OI</t>
  </si>
  <si>
    <t>Water Sensitive Urban Design (WSUD); Urban planning; location choice; GIS-MCDA; Ecosystem services; Sustainable urban water management</t>
  </si>
  <si>
    <t>MULTICRITERIA DECISION-ANALYSIS; SENSITIVITY-ANALYSIS; GIS; UNCERTAINTY; MANAGEMENT; DESIGN; IMPLEMENTATION; INUNDATION; SYSTEMS; MODEL</t>
  </si>
  <si>
    <t>[Kuller, Martijn; Bach, Peter M.] Monash Univ, Dept Civil Engn, Monash Infrastruct Res Inst, Clayton, Vic 3800, Australia; [Kuller, Martijn; Deletic, Ana] Univ New South Wales Sydney, Sch Civil &amp; Environm Engn, Sydney, NSW 2052, Australia; [Bach, Peter M.] Swiss Fed Inst Aquat Sci &amp; Technol Eawag, Uberlandstr 133, CH-8600 Dubendorf, Switzerland; [Bach, Peter M.] Swiss Fed Inst Technol, Inst Environm Engn, CH-8093 Zurich, Switzerland; [Roberts, Simon; Browne, Dale] E2DesignLab, Carlow House,289 Flinders Lane, Melbourne, Vic 3000, Australia</t>
  </si>
  <si>
    <t>Kuller, M (corresponding author), Monash Univ, Dept Civil Engn, Monash Infrastruct Res Inst, Clayton, Vic 3800, Australia.</t>
  </si>
  <si>
    <t>martijnkuller@gmail.com</t>
  </si>
  <si>
    <t>Kuller, Martijn/AAE-1604-2019; Bach, Peter Marcus/I-4618-2019; Deletic, Ana/CAG-2385-2022</t>
  </si>
  <si>
    <t>Australia-Indonesia Centre [SRP16 52057764]; Melbourne Water</t>
  </si>
  <si>
    <t>Australia-Indonesia Centre(Ministry of Research and Technology of the Republic of Indonesia (RISTEK)); Melbourne Water</t>
  </si>
  <si>
    <t>The authors express their gratitude towards the City of Darebin for providing us with crucial data and Melbourne Water for funding the Darebin prioritisation study thatwe used for tool validation and testing. This work was supported by the Australia-Indonesia Centre under the project code RCC-BrownMON: Urban Water Cluster and fund code SRP16 52057764. Funding sources did not have any involvement in the research. Author contribution: The design and scoping of the research was done byMartijn Kuller, PeterM. Bach and Ana Deletic, while the research and development of the presented tool was performed by Martijn Kullerwith the support of PeterM. Bach. Testing of the tool was conducted by Martijn Kuller with the support and data input from Simon Roberts and Dale Browne. The articlewaswritten byMartijn Kuller and reviewed by all authors. All authors have approved the final article.</t>
  </si>
  <si>
    <t>IN9WD</t>
  </si>
  <si>
    <t>Moderated mediation; Business performance; Organizational innovation; Environmental dynamism; Entrepreneurial leadership; Nepali SMEs</t>
  </si>
  <si>
    <t>CORPORATE ENTREPRENEURSHIP; FIRM PERFORMANCE; TECHNOLOGY; ORIENTATION; DIMENSIONS; MANAGEMENT; BEHAVIOR; VENTURES; OUTCOMES</t>
  </si>
  <si>
    <t>[Paudel, Samundra] Kathmandu Univ, Sch Management KUSOM, Lalitpur, Nepal</t>
  </si>
  <si>
    <t>Paudel, S (corresponding author), Kathmandu Univ, Sch Management KUSOM, Lalitpur, Nepal.</t>
  </si>
  <si>
    <t>paudelsamu@gmail.com</t>
  </si>
  <si>
    <t>S ASIAN J BUS STUD</t>
  </si>
  <si>
    <t>South Asian J. Bus. Stud.</t>
  </si>
  <si>
    <t>JK8GP</t>
  </si>
  <si>
    <t>Happell, B; Platania-Phung, C; Watkins, A; Scholz, B; Curtis, J; Goss, J; Niyonsenga, T; Stanton, R</t>
  </si>
  <si>
    <t>Happell, Brenda; Platania-Phung, Chris; Watkins, Andrew; Scholz, Brett; Curtis, Jackie; Goss, John; Niyonsenga, Theophile; Stanton, Robert</t>
  </si>
  <si>
    <t>Developing an Evidence-Based Specialist Nursing Role to Improve the Physical Health Care of People with Mental Illness</t>
  </si>
  <si>
    <t>ISSUES IN MENTAL HEALTH NURSING</t>
  </si>
  <si>
    <t>Evaluation; health inequalities; mental health; mental health nursing; physical health; physical health nurse consultant psychosis</t>
  </si>
  <si>
    <t>SERVICE USERS; EXPERIENCES; ACCESS; NURSES; INTERVENTION; PERSPECTIVES; CONSULTANT; MANAGEMENT; MORTALITY; ATTITUDES</t>
  </si>
  <si>
    <t>The substantial physical health disadvantage experienced by people diagnosed with mental illness is now identified in a growing body of research evidence. The recent promulgation of improved physical health care as a goal of contemporary Australian Mental Health Policy should provide impetus for initiatives and strategies to address this inequity. To date increased knowledge of the problem has not resulted in obvious and sustained changes. The aim of this article is to introduce the role of the Physical Health Nurse Consultant as a potential strategy. The potential contribution and value of this role is considered by reviewing the evidence from the perspective of multiple stakeholders and considering the suitability of nursing to meet the complex needs involved in improving physical health. The requirement for a multi-faceted and comprehensive evaluation is also articulated. A robust, prospective and long-term evaluation plan includes physical health measures, changes in health behaviours, cost-benefit analysis and consumer acceptability to ensure the intervention is effective in the long term. This thorough approach is essential to provide the level of evidence required to facilitate changes at the practice and policy levels. The specialist nursing role presented in this article, subject to the comprehensive evaluation proposed, could become an integral component of a comprehensive approach to addressing physical health inequities in people with mental illness.</t>
  </si>
  <si>
    <t>[Happell, Brenda; Platania-Phung, Chris] Univ Newcastle, Sch Nursing &amp; Midwifery, Univ Dr, Callaghan, NSW 2308, Australia; [Watkins, Andrew] NSW Hlth, Keeping Body Mind Program, Bondi Jct, Australia; [Scholz, Brett] Australian Natl Univ, Coll Hlth &amp; Med, ANU Med Sch, Canberra, ACT, Australia; [Curtis, Jackie] Univ New South Wales, South Eastern Sydney Local Hlth Dist, Youth Mental Hlth, Sydney, NSW, Australia; [Goss, John] Univ Canberra, UC Hlth Res Inst, Ctr Res &amp; Act Publ Hlth, Canberra, ACT, Australia; [Niyonsenga, Theophile] Univ Canberra, UC Hlth Res Inst, Canberra, ACT, Australia; [Stanton, Robert] Cent Queensland Univ, Sch Hlth Med &amp; Appl Sci, Rockhampton, Qld, Australia</t>
  </si>
  <si>
    <t>Happell, B (corresponding author), Univ Newcastle, Sch Nursing &amp; Midwifery, Univ Dr, Callaghan, NSW 2308, Australia.</t>
  </si>
  <si>
    <t>brenda.happell@newcastle.edu.au</t>
  </si>
  <si>
    <t>Scholz, Brett/AAB-5196-2019; Stanton, Rob/AAJ-5157-2020; Happell, Brenda/AAD-4149-2019; Niyonsenga, Theophile/C-3759-2014</t>
  </si>
  <si>
    <t>Scholz, Brett/0000-0003-2819-994X; Watkins, Andrew/0000-0003-3452-8682; Niyonsenga, Theophile/0000-0002-6723-0316</t>
  </si>
  <si>
    <t>0161-2840</t>
  </si>
  <si>
    <t>1096-4673</t>
  </si>
  <si>
    <t>ISSUES MENT HEALTH N</t>
  </si>
  <si>
    <t>Issues Ment. Health Nurs.</t>
  </si>
  <si>
    <t>OCT 3</t>
  </si>
  <si>
    <t>10.1080/01612840.2019.1584655</t>
  </si>
  <si>
    <t>Nursing; Psychiatry</t>
  </si>
  <si>
    <t>JB3PZ</t>
  </si>
  <si>
    <t>WOS:000488470500003</t>
  </si>
  <si>
    <t>value drivers; value engineering; green buildings; construction; sustainable buildings; project management</t>
  </si>
  <si>
    <t>[Alattyih, Wael; Haider, Husnain] Qassim Univ, Coll Engn, Civil Engn Dept, Buraydah 51452, Saudi Arabia; [Boussabaine, Halim] British Univ Dubai, Fac Business &amp; Law, Dubai 345015, U Arab Emirates</t>
  </si>
  <si>
    <t>Alattyih, W (corresponding author), Qassim Univ, Coll Engn, Civil Engn Dept, Buraydah 51452, Saudi Arabia.</t>
  </si>
  <si>
    <t>alattyih@qec.edu.sa; husnain@qec.edu.sa; halim@buid.ac.ae</t>
  </si>
  <si>
    <t>Haider, Husnain/AAL-6796-2021</t>
  </si>
  <si>
    <t>Haider, Husnain/0000-0002-8600-8315</t>
  </si>
  <si>
    <t>Qassim University, Ministry of Education, Saudi Arabia</t>
  </si>
  <si>
    <t>The research was sponsored by Qassim University, Ministry of Education, Saudi Arabia.</t>
  </si>
  <si>
    <t>JP6US</t>
  </si>
  <si>
    <t>STAT test; GIS enactment; China; human geography pedagogy; higher geography education</t>
  </si>
  <si>
    <t>HIGHER-EDUCATION; SCIENCE; GIS</t>
  </si>
  <si>
    <t>[Liu, Ran; Lu, Minghua; Xu, Yanhua] Capital Normal Univ, Coll Resource Environm &amp; Tourism, Beijing 100048, Peoples R China; [Greene, Richard; Li, Xiaojuan; Wang, Tao] Capital Normal Univ, Coll Geospatial Informat Sci &amp; Technol, Beijing 100048, Peoples R China</t>
  </si>
  <si>
    <t>Li, XJ (corresponding author), Capital Normal Univ, Coll Geospatial Informat Sci &amp; Technol, Beijing 100048, Peoples R China.</t>
  </si>
  <si>
    <t>liu.ran.space@hotmail.com; richgreene@cnu.edu.cn; xiaojuanli@vip.sina.com; wangt@cnu.edu.cn; lmhannie@vip.sina.com; yanhuaxu@cnu.edu.cn</t>
  </si>
  <si>
    <t>Greene, Richard A/J-7051-2014</t>
  </si>
  <si>
    <t>Greene, Richard A/0000-0003-0247-523X; Xu, Yanhua/0000-0001-8822-8891</t>
  </si>
  <si>
    <t>Youth Foundation for National Natural Science Foundation of China (NSFC) [41701188]; Youth Foundation for Humanities and Social Sciences, Ministry of Education of China [16YJCZH060]</t>
  </si>
  <si>
    <t>Youth Foundation for National Natural Science Foundation of China (NSFC)(National Natural Science Foundation of China (NSFC)); Youth Foundation for Humanities and Social Sciences, Ministry of Education of China(Ministry of Education, China)</t>
  </si>
  <si>
    <t>This research was funded by a grant from the Youth Foundation for National Natural Science Foundation of China (NSFC project number: 41701188) and a grant from the Youth Foundation for Humanities and Social Sciences, Ministry of Education of China (Project number: 16YJCZH060; project title: socio-spatial mobility and spatial justice of migrant workers -a case study on Beijing, China).</t>
  </si>
  <si>
    <t>land certification; tenure security; sustainable land-use; agroforestry</t>
  </si>
  <si>
    <t>TENURE INSECURITY; INVESTMENT; DETERMINANTS; CHALLENGES; SECURITY; ADOPTION</t>
  </si>
  <si>
    <t>[Mengesha, Ayelech Kidie; Mansberger, Reinfried] Univ Nat Resources &amp; Life Sci Vienna, Inst Surveying Remote Sensing &amp; Land Informat, Peter Jordan Str 82, A-1190 Vienna, Austria; [Damyanovic, Doris] Univ Nat Resources &amp; Life Sci Vienna, Inst Landscape Planning, Peter Jordan Str 65, A-1180 Vienna, Austria; [Stoeglehner, Gernot] Univ Nat Resources &amp; Life Sci Vienna, Inst Spatial Planning Environm Planning &amp; Land Re, Peter Jordan Str 82, A-1190 Vienna, Austria; [Mengesha, Ayelech Kidie] Debre Markos Univ, Inst Land Adm, Debre Markos 269, Ethiopia</t>
  </si>
  <si>
    <t>Mengesha, AK (corresponding author), Univ Nat Resources &amp; Life Sci Vienna, Inst Surveying Remote Sensing &amp; Land Informat, Peter Jordan Str 82, A-1190 Vienna, Austria.;Mengesha, AK (corresponding author), Debre Markos Univ, Inst Land Adm, Debre Markos 269, Ethiopia.</t>
  </si>
  <si>
    <t>ayelech.mengesha@students.boku.ac.at; mansberger@boku.ac.at; doris.damyanovic@boku.ac.at; gernot.stoeglehner@boku.ac.at</t>
  </si>
  <si>
    <t>Mansberger, Reinfried/H-7021-2019; Mengesha, Ayelech Kidie/AAK-1724-2020</t>
  </si>
  <si>
    <t>Austrian Development Cooperation within the Austrian Partnership Program in Higher Education and Research for Development (APPEAR) [113]</t>
  </si>
  <si>
    <t>Austrian Development Cooperation within the Austrian Partnership Program in Higher Education and Research for Development (APPEAR)</t>
  </si>
  <si>
    <t>This research was enabled by a scholarship funded by the Austrian Development Cooperation within the Austrian Partnership Program in Higher Education and Research for Development (APPEAR). Project no. 113 Implementation of Academic Land Administration Education in Ethiopia for Supporting Sustainable Development (EduLAND2).</t>
  </si>
  <si>
    <t>Carlo, AD; Baden, AC; McCarty, RL; Ratzliff, ADH</t>
  </si>
  <si>
    <t>Carlo, Andrew D.; Baden, Andrea Corage; McCarty, Rachelle L.; Ratzliff, Anna D. H.</t>
  </si>
  <si>
    <t>Early Health System Experiences with Collaborative Care (CoCM) Billing Codes: a Qualitative Study of Leadership and Support Staff</t>
  </si>
  <si>
    <t>JOURNAL OF GENERAL INTERNAL MEDICINE</t>
  </si>
  <si>
    <t>mental health; payment policy; integrated care; collaborative care; qualitative research</t>
  </si>
  <si>
    <t>POSTTRAUMATIC-STRESS-DISORDER; DEPRESSION</t>
  </si>
  <si>
    <t>BACKGROUND: Although collaborative care (CoCM) is an evidence-based and widely adopted model, reimbursement challenges have limited implementation efforts nationwide. In recent years, Medicare and other payers have activated CoCM-specific codes with the primary aim of facilitating financial sustainability. OBJECTIVE: To investigate and describe the experiences of early adopters and explorers of Medicare's CoCM codes. DESIGN AND PARTICIPANTS: Fifteen interviews were conducted between October 2017 and May 2018 with 25 respondents representing 12 health care organizations and 2 payers. Respondents included dually boarded medicine/psychiatry physicians, psychiatrists, primary care physicians (PCPs), psychologists, a registered nurse, administrative staff, and billing staff. APPROACH: A semi-structured interview guide was used to address health care organization characteristics, CoCM services, patient consent, CoCM operational components, and CoCM billing processes. All interviews were recorded, transcribed, coded, and analyzed using a content analysis approach conducted jointly by the research team. KEY RESULTS: Successful billing required buy-in from key, interdisciplinary stakeholders. In planning for CoCM billing implementation, several organizations hired licensed clinical social workers (LICSWs) as behavioral health care managers to maximize billing flexibility. Respondents reported a number of consent-related difficulties, but these were not primary barriers. Workflow changes required for billing the CoCMcodes (e.g., tracking cumulative treatment minutes, once-monthly code entry) were described as arduous, but also stimulated creative solutions. Since CoCM codes incorporate the work of the psychiatric consultant into one payment to primary care, organizations employed strategies such as inter-departmental ledger transfers. When challenges arose from variations in the local payer mix, some organizations billed CoCM codes exclusively, while others elected to use a mixture of CoCM and traditional fee-for-service (FFS) codes. For most organizations, it was important to demonstrate financial sustainability from the CoCM codes. CONCLUSIONS: With deliberate planning, persistence, and widespread organizational buy-in, successful utilization of newly available FFS CoCM billing codes is achievable.</t>
  </si>
  <si>
    <t>[Carlo, Andrew D.; Baden, Andrea Corage; Ratzliff, Anna D. H.] Univ Washington, Sch Med, Dept Psychiat &amp; Behav Sci, Seattle, WA 98195 USA; [McCarty, Rachelle L.] Univ Washington, Sch Nursing, Dept Biobehav Nursing &amp; Hlth Informat, Seattle, WA 98195 USA</t>
  </si>
  <si>
    <t>Carlo, AD (corresponding author), Univ Washington, Sch Med, Dept Psychiat &amp; Behav Sci, Seattle, WA 98195 USA.</t>
  </si>
  <si>
    <t>adc42@uw.edu</t>
  </si>
  <si>
    <t>Carlo, Andrew D./AAC-2133-2020</t>
  </si>
  <si>
    <t>Carlo, Andrew D./0000-0002-4349-9644</t>
  </si>
  <si>
    <t>NIH [6T32MH073553-15]; NATIONAL INSTITUTE OF MENTAL HEALTH [T32MH073553] Funding Source: NIH RePORTER</t>
  </si>
  <si>
    <t>NIH(United States Department of Health &amp; Human ServicesNational Institutes of Health (NIH) - USA); NATIONAL INSTITUTE OF MENTAL HEALTH(United States Department of Health &amp; Human ServicesNational Institutes of Health (NIH) - USANIH National Institute of Mental Health (NIMH))</t>
  </si>
  <si>
    <t>Dr. Carlo, the corresponding author, was supported by an NIH-funded post-doctoral fellowship at the University of Washington entitled Training Geriatric Mental Health Services Researchers (NIH project number 6T32MH073553-15).</t>
  </si>
  <si>
    <t>233 SPRING ST, NEW YORK, NY 10013 USA</t>
  </si>
  <si>
    <t>0884-8734</t>
  </si>
  <si>
    <t>1525-1497</t>
  </si>
  <si>
    <t>J GEN INTERN MED</t>
  </si>
  <si>
    <t>J. Gen. Intern. Med.</t>
  </si>
  <si>
    <t>10.1007/s11606-019-05195-0</t>
  </si>
  <si>
    <t>JL4CF</t>
  </si>
  <si>
    <t>WOS:000495477900045</t>
  </si>
  <si>
    <t>CPTED; youth at risk; public space recovery; prevention of gender-based violence; tactical urbanism</t>
  </si>
  <si>
    <t>ENVIRONMENTAL-DESIGN; PREVENTION</t>
  </si>
  <si>
    <t>[Montemayor, Gabriel Diaz] Univ Arkansas, Fay Jones Sch Architecture &amp; Design, Fayetteville, AR 72701 USA</t>
  </si>
  <si>
    <t>Montemayor, GD (corresponding author), Univ Arkansas, Fay Jones Sch Architecture &amp; Design, Fayetteville, AR 72701 USA.</t>
  </si>
  <si>
    <t>gabogaz@gmail.com</t>
  </si>
  <si>
    <t>JI5RS</t>
  </si>
  <si>
    <t>green buildings; sustainable building; green building technologies; green building rating systems</t>
  </si>
  <si>
    <t>INDOOR ENVIRONMENT QUALITY; ENERGY-CONSUMPTION; TECHNOLOGIES ADOPTION; THERMAL PERFORMANCE; OFFICE BUILDINGS; DESIGN; CONSTRUCTION; BARRIERS; SYSTEMS; STRATEGIES</t>
  </si>
  <si>
    <t>[Zhang, Yinqi; Wang, He; Gao, Weijun] Univ Kitakyushu, Sch Environm Engn, Kitakyushu, Fukuoka 8080135, Japan; [Gao, Weijun] Qingdao Univ Technol, iSMART, Qingdao 266033, Shandong, Peoples R China; [Wang, Fan] Heriot Watt Univ, Ctr Excellence Sustainable Dev Bldg Design, Royal Acad Engn, Edinburgh EH14 4AS, Midlothian, Scotland; [Zhou, Nan] Lawrence Berkeley Natl Lab, Berkeley, CA 94720 USA; [Kammen, Daniel M.] Univ Calif Berkeley, Energy &amp; Resources Grp, Berkeley, CA 94720 USA; [Ying, Xiaoyu] Zhejiang Univ City Coll, Dept Engn, Hangzhou 310015, Zhejiang, Peoples R China</t>
  </si>
  <si>
    <t>Gao, WJ (corresponding author), Univ Kitakyushu, Sch Environm Engn, Kitakyushu, Fukuoka 8080135, Japan.;Gao, WJ (corresponding author), Qingdao Univ Technol, iSMART, Qingdao 266033, Shandong, Peoples R China.</t>
  </si>
  <si>
    <t>yinqiz90@gmail.com; wangheawork@gmail.com; gaoweijun@me.com; fan.wang@hw.ac.uk; NZhou@lbl.gov; kammen@berkeley.edu; yingxiaoyu@zucc.edu.cn</t>
  </si>
  <si>
    <t xml:space="preserve"> [17K06719]</t>
  </si>
  <si>
    <t>This research was funded by Grant-in-Aid for Scientific Research (C), grant number 17K06719.</t>
  </si>
  <si>
    <t>Morris, J; McGuinness, M</t>
  </si>
  <si>
    <t>Morris, Jonathan; McGuinness, Martina</t>
  </si>
  <si>
    <t>Liberalisation of the English water industry: What implications for consumer engagement, environmental protection, and water security?</t>
  </si>
  <si>
    <t>UTILITIES POLICY</t>
  </si>
  <si>
    <t>Sustainability; Liberalisation; Water management; Water governance</t>
  </si>
  <si>
    <t>POLICY; SECTOR</t>
  </si>
  <si>
    <t>The implementation of the 2014 Water Act in England unbundled the customer-facing retail and customer service responsibilities from the infrastructure and maintenance wholesale operations for commercial consumers. This study explores the implications of such radical reform of the water supply network the ability to engage with consumers, maintain and develop environmental protections, and ensure security of water supplies. Individual interviews with 23 stakeholders from water supply companies, local authorities, environmental regulators, and consultants, and business representatives reveal a tension between the multiple water supply actors and the ability to deliver cost savings for commercial consumers.</t>
  </si>
  <si>
    <t>[Morris, Jonathan; McGuinness, Martina] Univ Sheffield, Management Sch, Western Bank, Sheffield S10 2TN, S Yorkshire, England; [Morris, Jonathan] Tech Univ Dresden, Chair Sustainabil Management &amp; Environm Accountin, Munchner Pl 1-3, D-10602 Dresden, Germany</t>
  </si>
  <si>
    <t>Morris, J (corresponding author), Univ Sheffield, Management Sch, Western Bank, Sheffield S10 2TN, S Yorkshire, England.;Morris, J (corresponding author), Tech Univ Dresden, Chair Sustainabil Management &amp; Environm Accountin, Munchner Pl 1-3, D-10602 Dresden, Germany.</t>
  </si>
  <si>
    <t>jonathan_clive.morris@tu-dresden.de</t>
  </si>
  <si>
    <t>Morris, Jonathan/AAD-4537-2020</t>
  </si>
  <si>
    <t>Morris, Jonathan/0000-0002-7980-5164</t>
  </si>
  <si>
    <t>UK's Natural Environment Research Council [NE/L010453/1]; NERC [NE/L010453/1] Funding Source: UKRI</t>
  </si>
  <si>
    <t>UK's Natural Environment Research Council(UK Research &amp; Innovation (UKRI)Natural Environment Research Council (NERC)); NERC(UK Research &amp; Innovation (UKRI)Natural Environment Research Council (NERC))</t>
  </si>
  <si>
    <t>The authors gratefully acknowledge the support of the UK's Natural Environment Research Council in funding the research from which this paper is derived. Grant reference: NE/L010453/1.</t>
  </si>
  <si>
    <t>0957-1787</t>
  </si>
  <si>
    <t>1878-4356</t>
  </si>
  <si>
    <t>UTIL POLICY</t>
  </si>
  <si>
    <t>Util. Policy</t>
  </si>
  <si>
    <t>10.1016/j.jup.2019.100939</t>
  </si>
  <si>
    <t>Energy &amp; Fuels; Environmental Sciences; Environmental Studies</t>
  </si>
  <si>
    <t>Energy &amp; Fuels; Environmental Sciences &amp; Ecology</t>
  </si>
  <si>
    <t>JA1GL</t>
  </si>
  <si>
    <t>WOS:000487565400002</t>
  </si>
  <si>
    <t>DeJonge, P; Martin, ET; Hayashi, M; Hashikawa, AN</t>
  </si>
  <si>
    <t>DeJonge, Peter; Martin, Emily T.; Hayashi, Michael; Hashikawa, Andrew N.</t>
  </si>
  <si>
    <t>Variation in surface decontamination practices among Michigan child care centers compared to state and national guidelines</t>
  </si>
  <si>
    <t>AMERICAN JOURNAL OF INFECTION CONTROL</t>
  </si>
  <si>
    <t>child care; decontamination; American Academy of Pediatrics; daycare</t>
  </si>
  <si>
    <t>SELF-REPORTED COMPLIANCE; INFECTIONS; FOMITES; RISK</t>
  </si>
  <si>
    <t>Background: Environmental decontamination is one of the most effective methods to prevent transmission of infectious pathogens in child care centers (CCCs). Alongside state recommendations, national organizations-including the American Academy of Pediatrics (AAP)-offer best-practice policies. In Michigan, these sets of guidelines differ, and the extent to which CCC practices agree with either set of protocols is unknown. Methods: A survey of environmental decontamination practices was administered at a professional meeting of CCC directors (N = 24) in a single Michigan county. CCC practices (eg, products, locations, frequencies) were compared to state and AAP guidelines. Bivariate analyses investigated CCC characteristics as predictors of decontamination policy agreement. Results: CCC agreement with established policy was slightly higher for national AAP guidelines (66%) than Michigan standards (59%). The use of an outside child care health consultant was strongly associated with a significantly higher level of agreement with state decontamination policy (P = .01). Conclusion: We noted substantial disagreement between county CCC practices and state national guidelines, regardless of CCC size or director experience. Results highlight opportunities to improve CCC director familiarity with current state and nationally advised protocols, to consolidate state licensing and AAP guidelines, and to promote the use of child care health consultants. (C) 2019 Association for Professionals in Infection Control and Epidemiology, Inc. Published by Elsevier Inc.</t>
  </si>
  <si>
    <t>[DeJonge, Peter; Martin, Emily T.; Hayashi, Michael] Univ Michigan, Dept Epidemiol, Sch Publ Hlth, 1415 Washington Hts, Ann Arbor, MI 48109 USA; [Hashikawa, Andrew N.] Univ Michigan, Michigan Med, Dept Emergency Med, Ann Arbor, MI 48109 USA</t>
  </si>
  <si>
    <t>DeJonge, P (corresponding author), Univ Michigan, Dept Epidemiol, Sch Publ Hlth, 1415 Washington Hts, Ann Arbor, MI 48109 USA.</t>
  </si>
  <si>
    <t>peterdej@umich.edu</t>
  </si>
  <si>
    <t>MOSBY-ELSEVIER</t>
  </si>
  <si>
    <t>360 PARK AVENUE SOUTH, NEW YORK, NY 10010-1710 USA</t>
  </si>
  <si>
    <t>0196-6553</t>
  </si>
  <si>
    <t>1527-3296</t>
  </si>
  <si>
    <t>AM J INFECT CONTROL</t>
  </si>
  <si>
    <t>Am. J. Infect. Control</t>
  </si>
  <si>
    <t>10.1016/j.ajic.2019.03.019</t>
  </si>
  <si>
    <t>IZ3RP</t>
  </si>
  <si>
    <t>WOS:000487003300005</t>
  </si>
  <si>
    <t>Urban extension; Greater Accra; affordable housing; urban planning</t>
  </si>
  <si>
    <t>GHANA; TRANSFORMATION; INFORMALITY; GOVERNANCE; AFRICA; CITIES</t>
  </si>
  <si>
    <t>[Grant, Richard] Univ Miami, Dept Geog, 115R Campo Sano Bldg, Coral Gables, FL 33124 USA; [Grant, Richard] Univ Johannesburg, Sch Tourism &amp; Hospitality Management, Coll Business &amp; Econ, Johannesburg, South Africa; [Oteng-Ababio, Martin] Univ Ghana, Dept Geog &amp; Resource Dev, Legon, Ghana; [Sivilien, Jessy] Univ Miami, Sch Educ &amp; Human Dev, Community &amp; Program Dev, Coral Gables, FL 33124 USA</t>
  </si>
  <si>
    <t>Grant, R (corresponding author), Univ Miami, Dept Geog, 115R Campo Sano Bldg, Coral Gables, FL 33124 USA.</t>
  </si>
  <si>
    <t>rgrant@miami.edu</t>
  </si>
  <si>
    <t>INT PLAN STUD</t>
  </si>
  <si>
    <t>Int. Plan. Stud.</t>
  </si>
  <si>
    <t>JF4GV</t>
  </si>
  <si>
    <t>Green engagement; Government sustainable support; Subjective norms; Attitudes toward green behaviour; Perceived behavioural control; Environmental concern</t>
  </si>
  <si>
    <t>PARTIAL LEAST-SQUARES; TECHNOLOGIES ADOPTION; DEVELOPING-COUNTRIES; PLANNED BEHAVIOR; SUBJECTIVE NORMS; MEDIATING ROLE; ENGAGEMENT; CONSUMERS; DETERMINANTS; PROCUREMENT</t>
  </si>
  <si>
    <t>[Saleh, Redhwan Mohammed] Minist Qatar, Construct Sect, Doha, Qatar; [Al-Swidi, Abdullah] Qatar Univ, Coll Business &amp; Econ, Doha, Qatar</t>
  </si>
  <si>
    <t>Saleh, RM (corresponding author), Minist Qatar, Construct Sect, Doha, Qatar.</t>
  </si>
  <si>
    <t>rmsaleh81@gmail.com; swidi@qu.edu.qa</t>
  </si>
  <si>
    <t>IU5WG</t>
  </si>
  <si>
    <t>financial political power; Big Four accountancy firms; financial regulation; European Union; Financial Transaction Tax</t>
  </si>
  <si>
    <t>POWER; INTERESTS; MARKETS; TAX</t>
  </si>
  <si>
    <t>[Kalaitzake, Manolis] Max Planck Inst Study Societies, Cologne, Germany</t>
  </si>
  <si>
    <t>Kalaitzake, M (corresponding author), Max Planck Inst Study Societies, Cologne, Germany.</t>
  </si>
  <si>
    <t>kal@mpifg.de</t>
  </si>
  <si>
    <t>BUS POLIT</t>
  </si>
  <si>
    <t>Bus. Polit.</t>
  </si>
  <si>
    <t>International Relations; Political Science</t>
  </si>
  <si>
    <t>International Relations; Government &amp; Law</t>
  </si>
  <si>
    <t>KK8RE</t>
  </si>
  <si>
    <t>Jaric, I; Quetier, F; Meinard, Y</t>
  </si>
  <si>
    <t>Jaric, Ivan; Quetier, Fabien; Meinard, Yves</t>
  </si>
  <si>
    <t>Procrustean beds and empty boxes: On the magic of creating environmental data</t>
  </si>
  <si>
    <t>Biodiversity databases; Knowledge-gaps; Conservation policies; Data sharing policies</t>
  </si>
  <si>
    <t>BIAS</t>
  </si>
  <si>
    <t>This article explores a dark side of the current enthusiasm for compiling large datasets in support of evidence-based conservation, at various scales. We use a series of concrete examples to show how data gathered in biodiversity databases can be poorly informative for the design and implementation of effective conservation strategies and actions. This is due to two mechanisms. The first is the use of ill-advised formats, compelling contributors to fill in data which are at odds with the ecological information that they are truly able to capture. The second corresponds to the fact that, unless knowledge gaps are explicitly and emphatically highlighted, the elaboration of databases bestows visibility on knowledge and invisibility on knowledge gaps. Given these risks, we call for a cultural shift among conservation practitioners, consultants and others, to embrace the idea that documenting and acknowledging knowledge gaps and uncertainties is just as important as compiling data and taking known information into account. We also propose a series of concrete reforms to address these risks. In particular, we point the need for procedural improvements in the process through which conservation databases are elaborated and we suggest introducing differentiated data sharing policies for conservation databases.</t>
  </si>
  <si>
    <t>[Jaric, Ivan] Czech Acad Sci, Biol Ctr, Inst Hydrobiol, Sadkach 702-7, CZ-37005 Ceske Budejovice, Czech Republic; [Jaric, Ivan] Univ South Bohemia, Fac Sci, Dept Ecosyst Biol, Branisovska 1645-31a, CZ-37005 Ceske Budejovice, Czech Republic; [Quetier, Fabien] Biotope, 22 Blvd Foch, F-34140 Meze, France; [Meinard, Yves] Univ Paris 09, Paris Sci &amp; Lettres Res Univ, CNRS, UMR 17243,LAMSADE, Pl Lattre Tassigny, F-75016 Paris, France</t>
  </si>
  <si>
    <t>Meinard, Y (corresponding author), Univ Paris 09, Paris Sci &amp; Lettres Res Univ, CNRS, UMR 17243,LAMSADE, Pl Lattre Tassigny, F-75016 Paris, France.</t>
  </si>
  <si>
    <t>yves.meinard@lamsade.dauphine.fr</t>
  </si>
  <si>
    <t>Quétier, Fabien/U-3432-2019; Jaric, Ivan/R-4048-2016</t>
  </si>
  <si>
    <t>Quétier, Fabien/0000-0002-3767-0353; Jaric, Ivan/0000-0002-2185-297X</t>
  </si>
  <si>
    <t>J.E. Purkyne Fellowship of the Czech Academy of Sciences</t>
  </si>
  <si>
    <t>We thank C. Dehais, V. Devictor, M. Lelievre, M. Martin and G. Thebaud for their comments on earlier versions of this manuscript, and R. Delarze, A. van Hase, J.-J. Lazare, C. Pinto Gomez, J.-P. Theurillat and the experts of the European Topic Center on Biological Diversity for sharing their insights and information. IJ's work was supported by the J.E. Purkyne Fellowship of the Czech Academy of Sciences.</t>
  </si>
  <si>
    <t>BIOL CONSERV</t>
  </si>
  <si>
    <t>Biol. Conserv.</t>
  </si>
  <si>
    <t>10.1016/j.biocon.2019.07.006</t>
  </si>
  <si>
    <t>Biodiversity Conservation; Ecology; Environmental Sciences</t>
  </si>
  <si>
    <t>JB1IS</t>
  </si>
  <si>
    <t>WOS:000488314700028</t>
  </si>
  <si>
    <t>Anderson, C; Passey, R; De Valck, J; Shah, R</t>
  </si>
  <si>
    <t>Anderson, Carina; Passey, Robert; De Valck, Jeremy; Shah, Rakibuzzaman</t>
  </si>
  <si>
    <t>Towards Zero Emissions Noosa</t>
  </si>
  <si>
    <t>Noosa; community; zero emissions; renewable energy; modeling; toolbox of options</t>
  </si>
  <si>
    <t>CLIMATE-CHANGE; POLICIES</t>
  </si>
  <si>
    <t>This paper reports on a case study of the community group Zero Emissions Noosa, whose goal is for 100% renewable electricity in the Noosa Shire (Queensland, Australia) by 2026. Described within this paper are the processes used by Zero Emissions Noosa to set up their zero emissions plan, involving community engagement and the use of an external consultant. The external consultant was employed to produce a detailed report outlining how to successfully achieve zero emissions from electricity in the Noosa Shire by 2026. This paper explains how and why the community engagement process used to produce the report was just as important as the outcomes of the report itself. Modeling was undertaken, and both detailed and contextual information was provided. Inclusion of the community in developing the scenario parameters for the modeling had a number of benefits including establishing the context within which their actions would occur and focusing their efforts on options that were technically feasible, financially viable and within their capabilities to implement. This provided a focal point for the community in calling meetings and contacting stakeholders. Rather than prescribing a particular course of action, it also resulted in a toolbox of options, a range of possible solutions that is flexible enough to fit into whatever actions are preferred by the community. The approach and outcomes discussed in this paper should, therefore, be useful to other communities with similar carbon emission reduction goals.</t>
  </si>
  <si>
    <t>[Anderson, Carina] CQUniversity, Sch Nursing Midwifery &amp; Social Sci, Noosa, Qld 4566, Australia; [Anderson, Carina] Zero Emiss Noosa Inc, Noosa, Qld 4567, Australia; [Passey, Robert] UNSW, Sch Photovolta &amp; Renewable Energy Engn, Sydney, NSW 2052, Australia; [De Valck, Jeremy] CQUniversity, Sch Business &amp; Law, Brisbane, Qld 4000, Australia; [Shah, Rakibuzzaman] CQUniversity, Sch Engn &amp; Technol, Perth, WA 6000, Australia</t>
  </si>
  <si>
    <t>Anderson, C (corresponding author), CQUniversity, Sch Nursing Midwifery &amp; Social Sci, Noosa, Qld 4566, Australia.;Anderson, C (corresponding author), Zero Emiss Noosa Inc, Noosa, Qld 4567, Australia.</t>
  </si>
  <si>
    <t>c.anderson@cqu.edu.au</t>
  </si>
  <si>
    <t>Anderson, Carina/AAH-7114-2021; De Valck, Jeremy/K-4976-2018</t>
  </si>
  <si>
    <t>De Valck, Jeremy/0000-0002-5233-426X; Anderson, Carina/0000-0001-7805-6205; Shah, Rakibuzzaman/0000-0001-8314-0225</t>
  </si>
  <si>
    <t>10.3390/su11174679</t>
  </si>
  <si>
    <t>IZ1WC</t>
  </si>
  <si>
    <t>Green Accepted, gold, Green Submitted, Green Published</t>
  </si>
  <si>
    <t>WOS:000486877700167</t>
  </si>
  <si>
    <t>industrial land redevelopment; stakeholders' expectations; social sustainability; China</t>
  </si>
  <si>
    <t>URBAN-RENEWAL; SUSTAINABLE DEVELOPMENT; REGENERATION; SITES; CITY; COLLABORATION; PERSPECTIVES; INFORMATION; PERFORMANCE; GOVERNANCE</t>
  </si>
  <si>
    <t>[He, Fang; Wu, Wendong; Yi, Yuan] Tongji Univ, Sch Econ &amp; Management, Siping Rd 1500, Shanghai 200092, Peoples R China; [Zhuang, Taozhi] Delft Univ Technol, Fac Architecture &amp; Built Environm, POB 5043, NL-2600 GA Delft, Netherlands</t>
  </si>
  <si>
    <t>Wu, WD (corresponding author), Tongji Univ, Sch Econ &amp; Management, Siping Rd 1500, Shanghai 200092, Peoples R China.</t>
  </si>
  <si>
    <t>wuwendong1007@163.com</t>
  </si>
  <si>
    <t>National Natural Science Foundation of China [71473179]</t>
  </si>
  <si>
    <t>This research was funded by National Natural Science Foundation of China (Project No. 71473179).</t>
  </si>
  <si>
    <t>biomass; loblolly pine; analytical hierarchy process; stakeholder survey; regression analysis</t>
  </si>
  <si>
    <t>ANALYTIC HIERARCHY PROCESS; WOODY BIOMASS; NONFORESTED LAND; FOREST; OWNERS; WILLINGNESS; PREFERENCES; PLANTATION; FEEDSTOCK</t>
  </si>
  <si>
    <t>[Smith, Meghann; Gia Nguyen; Wieczerak, Taylor; Wolde, Bernabas; Lal, Pankaj] Montclair State Univ, Coll Sci &amp; Math, Clean Energy &amp; Sustainabil Analyt Ctr, 1 Normal Ave, Montclair, NJ 07043 USA; [Munsell, John] Virginia Polytech Inst &amp; State Univ, Coll Nat Resources &amp; Environm, Dept Forest Resources &amp; Environm Conservat, 800 Washington St SW, Blacksburg, VA 24061 USA</t>
  </si>
  <si>
    <t>Smith, M; Lal, P (corresponding author), Montclair State Univ, Coll Sci &amp; Math, Clean Energy &amp; Sustainabil Analyt Ctr, 1 Normal Ave, Montclair, NJ 07043 USA.</t>
  </si>
  <si>
    <t>smithm85@montclair.edu; nguyeng2@montclair.edu; wieczerakt1@montclair.edu; woldeb@montclair.edu; lalp@montclair.edu; jfmunsel@vt.edu</t>
  </si>
  <si>
    <t>Nguyen, Huynh Truong Gia/0000-0002-8187-3529</t>
  </si>
  <si>
    <t>National Science Foundation [1555123]; National Institute of Food and Agriculture [2012-67009-19742]</t>
  </si>
  <si>
    <t>National Science Foundation(National Science Foundation (NSF)); National Institute of Food and Agriculture(United States Department of Agriculture (USDA)National Institute of Food and Agriculture)</t>
  </si>
  <si>
    <t>This research was funded in part by the National Science Foundation (1555123) and the National Institute of Food and Agriculture (2012-67009-19742).</t>
  </si>
  <si>
    <t>JA6VA</t>
  </si>
  <si>
    <t>sustainable real estate; office market; smart building; green building; Industry 4; 0; analytic hierarchy process; MCDM</t>
  </si>
  <si>
    <t>TECHNOLOGIES; PREFERENCES; CRITERIA; INTERNET; THINGS</t>
  </si>
  <si>
    <t>[Gluszak, Michal; Zieba, Malgorzata] Cracow Univ Econ, Dept Real Estate &amp; Investment Econ, Ul Rakowicka 27, PL-31510 Krakow, Poland; [Gawlik, Remigiusz] Cracow Univ Econ, Dept Int Econ Relat, Ul Rakowicka 27, PL-31510 Krakow, Poland</t>
  </si>
  <si>
    <t>Gluszak, M (corresponding author), Cracow Univ Econ, Dept Real Estate &amp; Investment Econ, Ul Rakowicka 27, PL-31510 Krakow, Poland.</t>
  </si>
  <si>
    <t>gluszakm@uek.krakow.pl</t>
  </si>
  <si>
    <t>Ministry of Science and Higher Education of the Republic of Poland [021/RID/2018/19]; Faculty of Economics and International Relations of Cracow University of Economics</t>
  </si>
  <si>
    <t>Ministry of Science and Higher Education of the Republic of Poland(Ministry of Science and Higher Education, Poland); Faculty of Economics and International Relations of Cracow University of Economics</t>
  </si>
  <si>
    <t>This research was funded by the Ministry of Science and Higher Education of the Republic of Poland within Regional Initiative of Excellence Programme for 2019-2022 (Project no.: 021/RID/2018/19) and by the Faculty of Economics and International Relations of Cracow University of Economics in frames of a grant awarded to maintain its research potential.</t>
  </si>
  <si>
    <t>ADM SCI</t>
  </si>
  <si>
    <t>Adm. Sci.</t>
  </si>
  <si>
    <t>JA6YH</t>
  </si>
  <si>
    <t>Green Submitted, gold, Green Published</t>
  </si>
  <si>
    <t>environment; floods &amp; floodworks; sustainability</t>
  </si>
  <si>
    <t>[Old, Joanne; McKnight, David] Environm Agcy, Wallingford, Oxon, England; [Bennett, Richard] Wild Oxfordshire, Abingdon, Oxon, England; [Grzybek, Roland] Thames Reg Flood &amp; Coastal Comm, London, England</t>
  </si>
  <si>
    <t>Old, J (corresponding author), Environm Agcy, Wallingford, Oxon, England.</t>
  </si>
  <si>
    <t>joanne.old@environment-agency.gov.uk</t>
  </si>
  <si>
    <t>Environment Agency, Centre for Ecology and Hydrology, Atkins and Hydraulics Research Wallingford in the monitoring and modelling programmes; Robert Oates at the Thames Regional Flood and Coastal Committee</t>
  </si>
  <si>
    <t>The authors would like to acknowledge the invaluable contributions of all the partner organisations in the Evenlode Catchment Partnership, in particular Vaughan Lewis (Windrush AEC Ltd), David Gasca (Atkins), Hilary Phillips, Anne Miller and Ann Berkeley (Wild Oxfordshire), Laurence King (West Oxfordshire District Council), Sophie Edwards and Helena Soteriou (Thames Water) and Sharon Williams (Wychwood Project); the time, patience and enthusiasm of the landowners and communities (Milton Parish Council, Bruern Estate and Honeydale Farm) notably David Astor, Matt Childs and Chris Trotman; the support of the Environment Agency, Centre for Ecology and Hydrology, Atkins and Hydraulics Research Wallingford in the monitoring and modelling programmes; and Robert Oates at the Thames Regional Flood and Coastal Committee members for their initial investment and ongoing financial support for this lowland pilot scheme.</t>
  </si>
  <si>
    <t>P I CIVIL ENG-ENG SU</t>
  </si>
  <si>
    <t>Proc. Inst. Civ. Eng.-Eng. Sustain.</t>
  </si>
  <si>
    <t>Green &amp; Sustainable Science &amp; Technology; Engineering, Civil</t>
  </si>
  <si>
    <t>Science &amp; Technology - Other Topics; Engineering</t>
  </si>
  <si>
    <t>IX6MB</t>
  </si>
  <si>
    <t>hydraulics &amp; hydrodynamics; river engineering; sustainability</t>
  </si>
  <si>
    <t>HYDROLOGICAL CONNECTIVITY; BELFORD CATCHMENT; QUALITY; CLIMATE</t>
  </si>
  <si>
    <t>[Norbury, Michael; Shaw, David] Univ Liverpool, Sch Environm Sci, Liverpool, Merseyside, England; [Norbury, Michael] Mersey Forest, Nat Flood Management, Warrington, Cheshire, England; [Jones, Peter] Waterco Consultants, Ruthin, Wales</t>
  </si>
  <si>
    <t>Norbury, M (corresponding author), Univ Liverpool, Sch Environm Sci, Liverpool, Merseyside, England.;Norbury, M (corresponding author), Mersey Forest, Nat Flood Management, Warrington, Cheshire, England.</t>
  </si>
  <si>
    <t>m.norbury@liverpool.ac.uk</t>
  </si>
  <si>
    <t>Shaw, David P/0000-0001-9054-6952; Norbury, Michael/0000-0002-0394-2592</t>
  </si>
  <si>
    <t>NERC KTP [KTP009107]</t>
  </si>
  <si>
    <t>NERC KTP</t>
  </si>
  <si>
    <t>This work was funded as part of an NERC KTP (KTP009107). The authors also acknowledge the feedback of other partners who have contributed to the project: St Helens MBC, Natural England, Groundwork, the Environment Agency and Newcastle University.</t>
  </si>
  <si>
    <t>Consultants; Engineers</t>
  </si>
  <si>
    <t>[Kerr, Donald] Wet Tek Execut Search, New Paltz, NY 12561 USA</t>
  </si>
  <si>
    <t>Kerr, D (corresponding author), Wet Tek Execut Search, New Paltz, NY 12561 USA.</t>
  </si>
  <si>
    <t>don@wet-tek.com</t>
  </si>
  <si>
    <t>J AM WATER WORKS ASS</t>
  </si>
  <si>
    <t>J. Am. Water Work Assoc.</t>
  </si>
  <si>
    <t>IU7ZG</t>
  </si>
  <si>
    <t>Rehhausen, A</t>
  </si>
  <si>
    <t>Rehhausen, Anke</t>
  </si>
  <si>
    <t>The art of underperforming SEA - Symptomatic narratives from Germany</t>
  </si>
  <si>
    <t>Strategic environmental assessment; Germany; Evaluation; Procedural effectiveness; Quality</t>
  </si>
  <si>
    <t>STRATEGIC ENVIRONMENTAL ASSESSMENT; GOVERNANCE; FRAMEWORK; QUALITY; LESSONS; POLICY; STATE; SOUTH</t>
  </si>
  <si>
    <t>SEA spread around the world as has SEA effectiveness research. International SEA evaluations show mixed findings on SEA effectiveness. In this article, the quality and procedural effectiveness of SEA in Germany is analysed pursuing the hypothesis that SEA is influenced by planning and administrative traditions that tend to counteract to more ambitious SEA approaches. Three SEA case studies were analysed according to a set of criteria and indicators based on international research outcomes involving SEA integration into decision-making, scoping, selection and assessment of alternatives, cumulative effects assessment, tiering, public participation, and monitoring. The analysis draws on documents analysis and interviews with representatives from responsible agencies and involved SEA consultancies. The analysis shows that SEA is facilitating informed decision-making as the responsible agencies used the SEA, the interaction with consultancies, and the participation processes as a source of information. However, the case studies show various degrees of SEA quality in Germany based on the evaluated criteria and indicators. Results demonstrate that procedural effectiveness is limited. Unclear legal regulations, an expert-based planning approach instead of a collaborative approach, and organisational constraints limit the SEA quality. Furthermore, SEA performance is highly influenced by administrations' legalistic tradition, the expert-based planning culture, the home-grown planning system, and the bounded importance of SEA consultancies in the era of staff cuts and under-resourced agencies. Thus, the recommendations aim to strengthen a more collaborative planning approach, to build SEA capacity within SEA responsible agencies, and to clarify SEA regulations. The overall question for SEA evaluation research and practice may be how more collaborative planning approaches can effectively be implemented in planning and SEA practice through institutional learning.</t>
  </si>
  <si>
    <t>[Rehhausen, Anke] Tech Univ Berlin, Environm Assessment &amp; Planning Res Grp, EB 5,Str 17 Juni 145, D-10623 Berlin, Germany</t>
  </si>
  <si>
    <t>Rehhausen, A (corresponding author), Tech Univ Berlin, Environm Assessment &amp; Planning Res Grp, EB 5,Str 17 Juni 145, D-10623 Berlin, Germany.</t>
  </si>
  <si>
    <t>anke.rehhausen@tu-berlin.de</t>
  </si>
  <si>
    <t>German Federal Environmental Foundation</t>
  </si>
  <si>
    <t>The German Federal Environmental Foundation funded this work with a PhD-scholarship on SEA evaluation in Germany.</t>
  </si>
  <si>
    <t>10.1016/j.eiar.2019.106280</t>
  </si>
  <si>
    <t>IT0CC</t>
  </si>
  <si>
    <t>WOS:000482513300002</t>
  </si>
  <si>
    <t>Forsyth, P; Moir, L; Speirits, I; McGlynn, S; Ryan, M; Watson, A; Reid, F; Rush, C; Murphy, C</t>
  </si>
  <si>
    <t>Forsyth, Paul; Moir, Lynsey; Speirits, Iain; McGlynn, Steve; Ryan, Margaret; Watson, Anne; Reid, Fiona; Rush, Christopher; Murphy, Clare</t>
  </si>
  <si>
    <t>Improving medication optimisation in left ventricular systolic dysfunction after acute myocardial infarction</t>
  </si>
  <si>
    <t>Pharmacist; Evidence-Based Medicine; Multidisciplinary Team; Quality Improvement; Professional Development</t>
  </si>
  <si>
    <t>Glasgow city has the highest cardiovascular disease (CVD) mortality rate in the UK. Patients with left ventricular systolic dysfunction after acute myocardial infarction represent a 'high-risk' cohort for adverse CVD outcomes. The optimisation of secondary prevention medication in this group is often suboptimal. Our aim was to improve the use and target dosing of ACE inhibitors (ACEI), angiotensin II receptor blockers (ARBs) and beta-blockers in such patients, through pharmacist-led clinics and cardiology multidisciplinary team collaboration. Retrospective audits characterised baseline care. Prospective pharmacist-led clinics were piloted and rolled out across seven hospitals and primary care localities over four Plan-Do-Study-Act cycles. 'Hub' and 'spoke' clinics utilised independent prescribing pharmacists with different levels of cardiology experience. Pharmacists were trained through a bespoke training programme-'Teach and Treat'. Consultant cardiologists provided senior support and governance. Patients attending prospective pharmacist-led clinics were more likely to be prescribed an ACEI (or ARB) and beta-blocker (n=856/885 (97%) vs n=233/255 (91%), p&lt;0.001and n=813/885 (92%) vs n=224/255 (88%), p=0.048, respectively) and be on target dose of ACEI (or ARB) and beta-blocker (n=585/885 (66%) vs n=64/255 (25%), p&lt;0.001and n=218/885 (25%) vs n=17/255 (7%), p&lt;0.001, respectively) compared with baseline. The mean dose of ACEI (or ARB) and beta-blocker was also higher (79% vs 48% of target dose, p&lt;0.001%and 48% vs 33% of target dose, p&lt;0.001, respectively) compared with baseline. Use of secondary prevention medication was significantly improved by pharmacist and cardiology collaboration. These improvements were sustained across a 4-year period, supported by a novel approach called 'Teach and Treat' which linked training to defined clinical service delivery. Further work is needed to assess the impact of the programme on long-term CVD outcomes.</t>
  </si>
  <si>
    <t>[Forsyth, Paul; Moir, Lynsey; Speirits, Iain; McGlynn, Steve; Ryan, Margaret] NHS Greater Glasgow &amp; Clyde, Serv Pharm, Glasgow G76 7AT, Lanark, Scotland; [Watson, Anne; Reid, Fiona] NHS Educ Scotland, Pharm, Glasgow, Lanark, Scotland; [Rush, Christopher; Murphy, Clare] Royal Alexandra Hosp, Cardiol, Paisley, Renfrew, Scotland</t>
  </si>
  <si>
    <t>Forsyth, P (corresponding author), NHS Greater Glasgow &amp; Clyde, Serv Pharm, Glasgow G76 7AT, Lanark, Scotland.</t>
  </si>
  <si>
    <t>paul.forsyth@nhs.net</t>
  </si>
  <si>
    <t>NHS Education for Scotland</t>
  </si>
  <si>
    <t>NHS Education for Scotland (pilot and training).</t>
  </si>
  <si>
    <t>e000676</t>
  </si>
  <si>
    <t>10.1136/bmjoq-2019-000676</t>
  </si>
  <si>
    <t>VK2XS</t>
  </si>
  <si>
    <t>WOS:000672549200045</t>
  </si>
  <si>
    <t>Interactions; Commercialization; Entrepreneurship; Process studies; Quadruple helix</t>
  </si>
  <si>
    <t>TRIPLE-HELIX; INNOVATION SYSTEM; SOCIAL NETWORKS; KNOWLEDGE; ENTREPRENEURSHIP; UNIVERSITY; GROWTH; COMPETITIVENESS; LESSONS; POLICY</t>
  </si>
  <si>
    <t>[Garcia-Teran, Jessica; Skoglund, Annika] Uppsala Univ, Ind Engn &amp; Management, Box 534, S-75121 Uppsala, Sweden</t>
  </si>
  <si>
    <t>Garcia-Teran, J (corresponding author), Uppsala Univ, Ind Engn &amp; Management, Box 534, S-75121 Uppsala, Sweden.</t>
  </si>
  <si>
    <t>jessica.garcia@angstrom.uu.se</t>
  </si>
  <si>
    <t>J KNOWL ECON</t>
  </si>
  <si>
    <t>J. Knowl. Econ.</t>
  </si>
  <si>
    <t>IO1MG</t>
  </si>
  <si>
    <t>Structural steelwork; Project lifecycle; Hong Kong; Driving factors; Barriers</t>
  </si>
  <si>
    <t>GREEN BUILDING TECHNOLOGIES; DEVELOPING-COUNTRIES; CONSTRUCTION; CONCRETE; BARRIERS; MARKET</t>
  </si>
  <si>
    <t>[Yang, Yang; Chan, Albert Ping Chuen; Darko, Amos] Hong Kong Polytech Univ, Dept Bldg &amp; Real Estate, Hung Hom, Hong Kong 999077, Peoples R China; [Gao, Ran] Cent Univ Finance &amp; Econ, Sch Management Sci &amp; Engn, Beijing 102206, Peoples R China; [Zahoor, Hafiz] Natl Univ Sci &amp; Technol, Coll Civil Engn, Risalpur Campus, Risalpur 24080, Pakistan</t>
  </si>
  <si>
    <t>Yang, Y (corresponding author), Hong Kong Polytech Univ, Dept Bldg &amp; Real Estate, Hung Hom, Hong Kong 999077, Peoples R China.</t>
  </si>
  <si>
    <t>yyang@polyu.edu.hk; albert.chan@polyu.edu.hk; amos.darko@connect.polyu.hk; ran.gao@cufe.edu.cn; hafiz.zahoor@mce.nust.edu.pk</t>
  </si>
  <si>
    <t>Chan, Albert/I-4650-2012; Zahoor, Hafiz/B-4403-2018; Darko, Amos/C-4721-2018</t>
  </si>
  <si>
    <t>Chan, Albert/0000-0002-4853-6440; Zahoor, Hafiz/0000-0003-0560-6784; Darko, Amos/0000-0002-7978-6039; Yang, Yang/0000-0002-3648-6001</t>
  </si>
  <si>
    <t>Chinese National Engineering Research Centre for Steel Construction (Hong Kong Branch), the Hong Kong Special Administrative Region [1-BBYR]</t>
  </si>
  <si>
    <t>Chinese National Engineering Research Centre for Steel Construction (Hong Kong Branch), the Hong Kong Special Administrative Region</t>
  </si>
  <si>
    <t>This paper forms a part of a research project entitled Marketing Strategies for the Development of the Steel Industry in Hong Kong, from which other deliverables have been produced with different objectives and scopes. This project is funded by the Chinese National Engineering Research Centre for Steel Construction (Hong Kong Branch) (No. 1-BBYR), the Hong Kong Special Administrative Region. The contributions of other team members including Prof K.F. Chung, Prof Joseph Mak, Prof Michael Yam, Dr. Ivan Lau, and Mr. Eric Siu are also highly appreciated. The authors wish to acknowledge the organizations and professionals who participated in the data collection. The authors also wish to thank the editors and anonymous reviewers for their valuable comments.</t>
  </si>
  <si>
    <t>IH7IC</t>
  </si>
  <si>
    <t>stormwater; inter-municipal cooperation; privatization; water quality</t>
  </si>
  <si>
    <t>MARKET-BASED GOVERNANCE; SERVICE DELIVERY; PUBLIC-SERVICES; GOVERNMENT; DECENTRALIZATION; INFRASTRUCTURE; QUALITY; ECOLOGY; STATES</t>
  </si>
  <si>
    <t>[Armstrong, Andrea] Lafayette Coll, Program Sci, Easton, PA 18042 USA; [Jackson-Smith, Douglas] Ohio State Univ, Coll Food Agr &amp; Environm Sci, Wooster, OH USA</t>
  </si>
  <si>
    <t>Armstrong, A (corresponding author), Lafayette Coll, Program Sci, Easton, PA 18042 USA.</t>
  </si>
  <si>
    <t>armstral@lafayette.edu</t>
  </si>
  <si>
    <t>Jackson-Smith, Douglas/AAQ-8400-2021</t>
  </si>
  <si>
    <t>Jackson-Smith, Douglas/0000-0002-0671-5862</t>
  </si>
  <si>
    <t>United States National Science Foundation [OIA-1208732]</t>
  </si>
  <si>
    <t>United States National Science Foundation(National Science Foundation (NSF))</t>
  </si>
  <si>
    <t>This work was supported by the United States National Science Foundation [grant number OIA-1208732].</t>
  </si>
  <si>
    <t>J ENVIRON PLANN MAN</t>
  </si>
  <si>
    <t>J. Environ. Plan. Manag.</t>
  </si>
  <si>
    <t>JA2OZ</t>
  </si>
  <si>
    <t>Gillin, N; Smith, D</t>
  </si>
  <si>
    <t>Gillin, Nicola; Smith, David</t>
  </si>
  <si>
    <t>Overseas recruitment activities of NHS Trusts 2015-2018: Findings from FOI requests to 19 Acute NHS Trusts in England</t>
  </si>
  <si>
    <t>NURSING INQUIRY</t>
  </si>
  <si>
    <t>Brexit; freedom of information; international recruitment; migration; national health service; overseas nurses</t>
  </si>
  <si>
    <t>NURSE MIGRATION</t>
  </si>
  <si>
    <t>Migrant nurses form an increasing proportion of the nursing workforce, with the United Kingdom (UK) being the third most popular destination for overseas nurses in the world. The migrant nurse workforce is highly susceptible to policy changes at the macro or professional level of the donor and recipient countries. Freedom of information requests were issued to 19 National Health Service [NHS] Trusts in England to determine their involvement in overseas nurse recruitment activity from 1998 onwards. These indicate a notable shift away from active European Union (EU) recruitment and towards overseas countries particularly the Philippines and India. Reasons given were as follows: diminishing returns from EU sources, high attrition among EU nurses and the introduction of English language tests for EU nurses in July 2016. This led to Trusts revisiting their recruitment strategies by increasing more direct/less resource-intensive methods and expanding their focus outside of the EU. Trusts frequently utilised private recruitment companies for their recruitment drives, including consulting and influencing the Trusts' workforce strategies. Policy adjustments have numerous influences on the composition of the overseas nursing workforce. While the NHS continues its efforts in expanding its international nursing workforce, this should not be at the expense of ethical and sustainable recruitment practices, which may be compromised indirectly as a result.</t>
  </si>
  <si>
    <t>[Gillin, Nicola; Smith, David] Anglia Ruskin Univ, Fac Hlth Educ Med &amp; Social Care, Bishop Hall Lane, Chelmsford CM1 1SQ, Essex, England</t>
  </si>
  <si>
    <t>Gillin, N; Smith, D (corresponding author), Anglia Ruskin Univ, Fac Hlth Educ Med &amp; Social Care, Bishop Hall Lane, Chelmsford CM1 1SQ, Essex, England.</t>
  </si>
  <si>
    <t>nicola.gillin@anglia.ac.uk; david.smith1@anglia.ac.uk</t>
  </si>
  <si>
    <t>Smith, David/0000-0001-7688-0030</t>
  </si>
  <si>
    <t>Sociology of Health and Illness Research Grant Development Award [2018/19]</t>
  </si>
  <si>
    <t>Sociology of Health and Illness Research Grant Development Award</t>
  </si>
  <si>
    <t>The authors acknowledge the support of a Sociology of Health and Illness Research Grant Development Award 2018/19.</t>
  </si>
  <si>
    <t>1320-7881</t>
  </si>
  <si>
    <t>1440-1800</t>
  </si>
  <si>
    <t>NURS INQ</t>
  </si>
  <si>
    <t>Nurs. Inq.</t>
  </si>
  <si>
    <t>e12320</t>
  </si>
  <si>
    <t>10.1111/nin.12320</t>
  </si>
  <si>
    <t>AUG 2019</t>
  </si>
  <si>
    <t>Nursing</t>
  </si>
  <si>
    <t>KG4EB</t>
  </si>
  <si>
    <t>WOS:000483283800001</t>
  </si>
  <si>
    <t>Colombia; eco-label; essential biodiversity variables (EBVs); high conservation value; Latin America; RSPO; voluntary certification schemes</t>
  </si>
  <si>
    <t>[Furumo, Paul R.] Univ Puerto Rico Rio Piedras, Dept Environm Sci, San Juan, PR 00931 USA; [Barrera-Gonzalez, Edgar I.] Corp Ctr Invest Palma Aceite Cenipalma, Bogota, Colombia; [Espinosa, Juan C.; Gomez-Zuluaga, Gustavo A.] Federac Nacl Cultivadores Palma Aceite Fedepalma, Bogota, Colombia; [Mitchell Aide, T.] Univ Puerto Rico Rio Piedras, Dept Biol, San Juan, PR 00931 USA; [Furumo, Paul R.] Stanford Univ, Earth Syst Sci, Stanford, CA 94305 USA</t>
  </si>
  <si>
    <t>Furumo, PR (corresponding author), Univ Puerto Rico Rio Piedras, Dept Environm Sci, San Juan, PR 00931 USA.;Furumo, PR (corresponding author), Stanford Univ, Earth Syst Sci, Stanford, CA 94305 USA.</t>
  </si>
  <si>
    <t>pfurumo@gmail.com</t>
  </si>
  <si>
    <t>Furumo, Paul/0000-0001-6499-1745</t>
  </si>
  <si>
    <t>National Geographic Society [CP-093R-17]</t>
  </si>
  <si>
    <t>National Geographic Society(National Geographic Society)</t>
  </si>
  <si>
    <t>Field interviews for this study were carried out in part with the support of the National Geographic Society under the grant #CP-093R-17.</t>
  </si>
  <si>
    <t>FRONT FOR GLOB CHANG</t>
  </si>
  <si>
    <t>Front. For. Glob. Change</t>
  </si>
  <si>
    <t>Ecology; Forestry</t>
  </si>
  <si>
    <t>Environmental Sciences &amp; Ecology; Forestry</t>
  </si>
  <si>
    <t>KQ3KG</t>
  </si>
  <si>
    <t>Facilities management; Sustainable buildings; Craftspeople; Domestication; Energy calculators; Energy consulting</t>
  </si>
  <si>
    <t>TECHNOLOGY-PUSH; SUCCESS; TRANSITIONS; PERFORMANCE; GOVERNANCE; INNOVATION</t>
  </si>
  <si>
    <t>[Soraa, Roger Andre; Fyhn, Hakon; Solli, Joran] NTNU Norwegian Univ Sci &amp; Technol, Dept Interdisciplinary Studies Culture, Trondheim, Norway</t>
  </si>
  <si>
    <t>Soraa, RA (corresponding author), NTNU Norwegian Univ Sci &amp; Technol, Dept Interdisciplinary Studies Culture, Trondheim, Norway.</t>
  </si>
  <si>
    <t>roger.soraa@ntnu.no</t>
  </si>
  <si>
    <t>II7KK</t>
  </si>
  <si>
    <t>Lewis, I; Corcoran, SL; Juma, S; Kaplan, I; Little, D; Pinnock, H</t>
  </si>
  <si>
    <t>Lewis, Ingrid; Corcoran, Su Lyn; Juma, Said; Kaplan, Ian; Little, Duncan; Pinnock, Helen</t>
  </si>
  <si>
    <t>Time to stop polishing the brass on the Titanic: moving beyond quick-and-dirty' teacher education for inclusion, towards sustainable theories of change</t>
  </si>
  <si>
    <t>INTERNATIONAL JOURNAL OF INCLUSIVE EDUCATION</t>
  </si>
  <si>
    <t>Theory of change; sustainability; teacher education; teacher training</t>
  </si>
  <si>
    <t>SCHOOLS</t>
  </si>
  <si>
    <t>Interest in inclusive education in the global south has grown significantly since the adoption of the Salamanca Statement in 1994. Increasingly, those who fund and provide education want to be seen taking action on inclusion generally and disability inclusion specifically. However, the much-welcomed enthusiasm to respond to global commitments is not always matched with the necessary expertise and commitment to longer-term action and change. The growth in inclusive education policies and pilot projects in the last decade is hard to miss, but changes resulting from these interventions are often less apparent. Why is that? Drawing on the Enabling Education Network's 22 years of experience as a global inclusive education network and consultancy provider, we present alternative pathways for change in teacher education for inclusion. We stress that change in teaching practice remains limited not because inclusive education is a fundamentally flawed concept, but because too much focus is given to quick-and-dirty' trainings that quickly yield donor-pleasing statistics and publicity-attracting case studies, but fail to elicit sufficiently extensive and sustainable change to education systems and cultures.</t>
  </si>
  <si>
    <t>[Lewis, Ingrid; Corcoran, Su Lyn; Juma, Said; Kaplan, Ian; Little, Duncan; Pinnock, Helen] Enabling Educ Network EENET, Mottram, England; [Corcoran, Su Lyn] Manchester Metropolitan Univ, Sch Teacher Educ &amp; Profess Dev, Manchester, Lancs, England; [Juma, Said] State Univ Zanzibar, Zanzibar, Tanzania; [Kaplan, Ian] Norwegian Afghanistan Comm, Kabul, Afghanistan</t>
  </si>
  <si>
    <t>Lewis, I; Corcoran, SL (corresponding author), Enabling Educ Network EENET, Mottram, England.;Corcoran, SL (corresponding author), Manchester Metropolitan Univ, Sch Teacher Educ &amp; Profess Dev, Manchester, Lancs, England.</t>
  </si>
  <si>
    <t>ingridlewis@eenet.org.uk; su.corcoran@mmu.ac.uk</t>
  </si>
  <si>
    <t>Corcoran, Su/0000-0002-3513-2770</t>
  </si>
  <si>
    <t>1360-3116</t>
  </si>
  <si>
    <t>1464-5173</t>
  </si>
  <si>
    <t>INT J INCLUSIVE EDUC</t>
  </si>
  <si>
    <t>Int. J. Incl. Educ.</t>
  </si>
  <si>
    <t>10.1080/13603116.2019.1624847</t>
  </si>
  <si>
    <t>IH8CU</t>
  </si>
  <si>
    <t>WOS:000474733100005</t>
  </si>
  <si>
    <t>Adams, AM; Ahmed, R; Shuvo, TA; Yusuf, SS; Akhter, S; Anwar, I</t>
  </si>
  <si>
    <t>Adams, Alayne Mary; Ahmed, Rushdia; Shuvo, Tanzir Ahmed; Yusuf, Sifat Shahana; Akhter, Sadika; Anwar, Iqbal</t>
  </si>
  <si>
    <t>Exploratory qualitative study to understand the underlying motivations and strategies of the private for-profit healthcare sector in urban Bangladesh</t>
  </si>
  <si>
    <t>UNIVERSAL; TRUST; INEQUALITIES; INSURANCE; DHAKA; POOR; RISK</t>
  </si>
  <si>
    <t>Objectives This paper explores the underlying motivations and strategies of formal small and medium-sized formal private for-profit sector hospitals and clinics in urban Bangladesh and their implications for quality and access. Methods This exploratory qualitative study was conducted in Dhaka, Sylhet and Khulna City Corporations. Data collection methods included key informant interviews (20) with government and private sector leaders, in-depth interviews (30) with clinic owners, managers and providers and exit interviews (30) with healthcare clients. Results Profit generation is a driving force behind entry into the private healthcare business and the provision of services. However, non-financial motivations are also emphasised such as aspirations to serve the disadvantaged, personal ambition, desire for greater social status, obligations to continue family business and adverse family events. The discussion of private sector motivations and strategies is framed using the Business Policy Model. This model is comprised of three components: products and services, and efforts to make these attractive including patient-friendly discounts and service-packages, and building 'good' doctor-patient relationships; the market environment, cultivated using medical brokers and referral fees to bring in fresh clientele, and receipt of pharmaceutical incentives; and finally, organisational capabilities, in this case overcoming human resource shortages by relying on medical staff from the public sector, consultant specialists, on-call and less experienced doctors in training, unqualified nursing staff and referring complicated cases to public facilities. Conclusions In the context of low public sector capacity and growing healthcare demands in urban Bangladesh, private for-profit engagement is critical to achieving universal health coverage (UHC). Given the informality of the sector, the nascent state of healthcare financing, and a weak regulatory framework, the process of engagement must be gradual. Further research is needed to explore how engagement in UHC can be enabled while maintaining profitability. Incentives that support private sector efforts to improve quality, affordability and accountability are a first step in building this relationship.</t>
  </si>
  <si>
    <t>[Adams, Alayne Mary] Georgetown Univ, Dept Int Hlth, Washington, DC USA; [Adams, Alayne Mary; Ahmed, Rushdia] BRAC Univ, BRAC James P Grant Sch Publ Hlth, Dhaka, Bangladesh; [Adams, Alayne Mary; Ahmed, Rushdia; Yusuf, Sifat Shahana; Akhter, Sadika; Anwar, Iqbal] Icddr B, Hlth Syst &amp; Populat Studies Div, Dhaka, Bangladesh; [Shuvo, Tanzir Ahmed] Univ South Carolina, Dept Hlth Serv Policy &amp; Management, Columbia, SC 29208 USA</t>
  </si>
  <si>
    <t>Ahmed, R (corresponding author), BRAC Univ, BRAC James P Grant Sch Publ Hlth, Dhaka, Bangladesh.;Ahmed, R (corresponding author), Icddr B, Hlth Syst &amp; Populat Studies Div, Dhaka, Bangladesh.</t>
  </si>
  <si>
    <t>ahmed.rushdia@yahoo.com</t>
  </si>
  <si>
    <t>Yusuf, Sifat/0000-0002-9458-139X; AHMED, RUSHDIA/0000-0001-6917-3266; Yusuf, Salim/0000-0003-4776-5601</t>
  </si>
  <si>
    <t>DFID [01020]</t>
  </si>
  <si>
    <t>DFID</t>
  </si>
  <si>
    <t>Funding was received by AMA from DFID for this work; grant number: 01020.</t>
  </si>
  <si>
    <t>e026586</t>
  </si>
  <si>
    <t>10.1136/bmjopen-2018-026586</t>
  </si>
  <si>
    <t>IW8US</t>
  </si>
  <si>
    <t>WOS:000485269700379</t>
  </si>
  <si>
    <t>heritage conservation; social sustainability; cultural landscape; public participation</t>
  </si>
  <si>
    <t>HERITAGE; FORM</t>
  </si>
  <si>
    <t>[Lau, Leung Kwok Prudence; Chow, Pak Yin Ophios] Educ Univ Hong Kong, Dept Cultural &amp; Creat Arts, Tai Po, Hong Kong, Peoples R China</t>
  </si>
  <si>
    <t>Lau, LKP (corresponding author), Educ Univ Hong Kong, Dept Cultural &amp; Creat Arts, Tai Po, Hong Kong, Peoples R China.</t>
  </si>
  <si>
    <t>plklau@eduhk.hk</t>
  </si>
  <si>
    <t>Education University of Hong Kong Teaching Development Grant [T0211]</t>
  </si>
  <si>
    <t>Education University of Hong Kong Teaching Development Grant</t>
  </si>
  <si>
    <t>This research was funded by The Education University of Hong Kong Teaching Development Grant, grant number T0211.</t>
  </si>
  <si>
    <t>IW8FS</t>
  </si>
  <si>
    <t>good governance; biological pest control; constellation analysis; irrigated agriculture; sustainable land management; stakeholder involvement; Brazil</t>
  </si>
  <si>
    <t>EARTH SYSTEM GOVERNANCE; ECOSYSTEM SERVICES; ENVIRONMENTAL GOVERNANCE; INSTITUTIONAL ANALYSIS; WATER GOVERNANCE; LIFE STAGES; LANDSCAPE; AMPHIBIANS; BIODIVERSITY; DIVERSITY</t>
  </si>
  <si>
    <t>[Rodorff, Verena; Siegmund-Schultze, Marianna; Hoelz, Sonja; Koeppel, Johann] Berlin Inst Technol TU Berlin, Environm Assessment &amp; Planning Res Grp, Secr EB 5,Str 17 Juni 145, D-10623 Berlin, Germany; [Guschal, Maike] Museum Zool, Senckenberg Nat Hist Collect Dresden, Konigsbrucker Landstr 159, D-01109 Dresden, Germany</t>
  </si>
  <si>
    <t>Rodorff, V (corresponding author), Berlin Inst Technol TU Berlin, Environm Assessment &amp; Planning Res Grp, Secr EB 5,Str 17 Juni 145, D-10623 Berlin, Germany.</t>
  </si>
  <si>
    <t>verena.rodorff@tu-berlin.de</t>
  </si>
  <si>
    <t>Rodorff, Verena/0000-0001-8828-5503; Koppel, Johann/0000-0002-9372-773X; Siegmund-Schultze, Marianna/0000-0002-6774-5205</t>
  </si>
  <si>
    <t>German Ministry of Education and Research (BMBF) [01LL0904A, 01LL0904E]; German Research Foundation; Open Access Publication Fund of TU Berlin</t>
  </si>
  <si>
    <t>German Ministry of Education and Research (BMBF)(Federal Ministry of Education &amp; Research (BMBF)); German Research Foundation(German Research Foundation (DFG)); Open Access Publication Fund of TU Berlin</t>
  </si>
  <si>
    <t>This research was funded by the German Ministry of Education and Research (BMBF) in the frame of the INNOVATE Project under grant numbers 01LL0904A and 01LL0904E. We acknowledge support by the German Research Foundation and the Open Access Publication Fund of TU Berlin.</t>
  </si>
  <si>
    <t>IV7UO</t>
  </si>
  <si>
    <t>Global Maritime Supply Chains; Containerized freight; Value creation; Fuzzy AHP</t>
  </si>
  <si>
    <t>REVERSE LOGISTICS ADOPTION; MANAGEMENT-PRACTICES; DECISION-MAKING; NETWORK DESIGN; OPERATIONS-RESEARCH; FLEET DEPLOYMENT; PORT EFFICIENCY; SERVICE QUALITY; BALLAST-WATER; SHIP SIZE</t>
  </si>
  <si>
    <t>[Garg, Chandra Prakash; Kashav, Vishal] UPES, Sch Business, Dept Transportat Management, Dehra Dun, India</t>
  </si>
  <si>
    <t>Garg, CP (corresponding author), UPES, Sch Business, Dept Transportat Management, Dehra Dun, India.</t>
  </si>
  <si>
    <t>cpgarg86@gmail.com</t>
  </si>
  <si>
    <t>IU9NR</t>
  </si>
  <si>
    <t>Small hydropower; Indigenous rights; Renewable energy; Collaborative research; Ethnography; Water</t>
  </si>
  <si>
    <t>RENEWABLE ENERGY; ENVIRONMENTAL IMPLICATIONS; TRADITIONAL KNOWLEDGE; SCALE HYDROPOWER; CONFLICTS; PROJECTS; REGION; FRAGMENTATION; TRANSITION; CHALLENGES</t>
  </si>
  <si>
    <t>[Kelly, Sarah] Pontificia Univ Catolica Chile, CONICYT FONDAP 15110017, Ctr Invest Gest Integrada Riesgo Desastres CIGIDE, Edificio Heenan Briones,3Er Piso, Santiago, Chile; [Kelly, Sarah] Dartmouth Coll, Dept Anthropol, Silsby Hall, Hanover, NH 03755 USA</t>
  </si>
  <si>
    <t>Kelly, S (corresponding author), Pontificia Univ Catolica Chile, Ctr Invest Gest Integrada Riesgo Desastres, Edificio Hernan Briones,3Er Piso, Santiago, Chile.</t>
  </si>
  <si>
    <t>sarah.kelly@cigiden.cl</t>
  </si>
  <si>
    <t>Fulbright Scholarship; Inter-American Grassroots Development Fellowship; Association of Pacific Coast Geographers; University of Arizona's Carson Scholars program and Climate Assessment of the Southwest; PEO International; Conference for Latin Americanist Geographers</t>
  </si>
  <si>
    <t>This research is indebted to the collaboration of the Alianza Territorial Puelwillimapu. I am also grateful for the collaboration of Jose Miguel Valdez Negroni, who made the maps and provided invaluable support as a research assistant. Grant Gutierrez, Dr. Francisco Molina, and Dr. Lucero Radonic provided important comments on drafts. A profound thank you to my dissertation committee for their support and comments on an earlier version of this work: Advisor Dr. Carl Bauer and committee members Drs. Jeffrey Banister, Diana Liverman, and Sallie Marston. This work received funding from the Fulbright Scholarship, Inter-American Grassroots Development Fellowship, PEO International, Conference for Latin Americanist Geographers, Association of Pacific Coast Geographers, and the University of Arizona's Carson Scholars program and Climate Assessment of the Southwest.</t>
  </si>
  <si>
    <t>ID6LJ</t>
  </si>
  <si>
    <t>Project management; Relationship management; Contractual governance; Large projects; Public projects; Relational governance</t>
  </si>
  <si>
    <t>CONSTRUCTION; EMBEDDEDNESS; GUANXI; CONTRACTS; SUCCESS; FIRMS</t>
  </si>
  <si>
    <t>[Ke, Yongjian] Univ Technol Sydney, Ultimo, Australia; [Ling, Florence Y. Y.] Natl Univ Singapore, Dept Bldg, Singapore, Singapore; [Ning, Yan] Southeast Univ, Nanjing, Jiangsu, Peoples R China; [Zhang, Zhe] Natl Univ Singapore, Singapore, Singapore</t>
  </si>
  <si>
    <t>Ke, YJ (corresponding author), Univ Technol Sydney, Ultimo, Australia.</t>
  </si>
  <si>
    <t>Yongjian.Ke@uts.edu.au</t>
  </si>
  <si>
    <t>BUILT ENVIRON PROJ A</t>
  </si>
  <si>
    <t>Built Environ. Proj. Asset Manag.</t>
  </si>
  <si>
    <t>IO2SL</t>
  </si>
  <si>
    <t>Job search methods; employment; unemployment; Ghana</t>
  </si>
  <si>
    <t>EMPLOYMENT; NETWORKS; OUTCOMES; WORK; RACE</t>
  </si>
  <si>
    <t>[Affum-Osei, Emmanuel] Chinese Univ Hong Kong, Dept Psychol, Sino Bldg,RM 338, Hong Kong, Peoples R China; [Asante, Eric Adom] Lingnan Univ, Dept Management, Tuen Mun, Hong Kong, Peoples R China; [Forkouh, Solomon Kwarteng] Kumasi Tech Univ, Dept Entrepreneurship &amp; Finance Management, Kumasi, Ghana; [Aboagye, Michael] Zhejiang Normal Univ, Int Inst Child Study, Jinhua, Zhejiang, Peoples R China; [Aboagye, Michael] Zhejiang Normal Univ, Coll Presch Teacher Educ, Jinhua, Zhejiang, Peoples R China; [Antwi, Collins Opoku] Univ Shanghai Sci &amp; Technol, Business Sch, Shanghai, Peoples R China</t>
  </si>
  <si>
    <t>Affum-Osei, E (corresponding author), Chinese Univ Hong Kong, Dept Psychol, Sino Bldg,RM 338, Hong Kong, Peoples R China.</t>
  </si>
  <si>
    <t>affumosei@link.cuhk.edu.hk</t>
  </si>
  <si>
    <t>Asante, Eric Adom/0000-0003-3887-3694; Antwi, Collins Opoku/0000-0001-6359-4668; Aboagye, Michael Osei/0000-0002-0730-3288; Affum-Osei, Emmanuel/0000-0003-1488-0291</t>
  </si>
  <si>
    <t>LABOR HIST-UK</t>
  </si>
  <si>
    <t>Labor Hist.</t>
  </si>
  <si>
    <t>History; History Of Social Sciences; Industrial Relations &amp; Labor</t>
  </si>
  <si>
    <t>History; Social Sciences - Other Topics; Business &amp; Economics</t>
  </si>
  <si>
    <t>JE3QV</t>
  </si>
  <si>
    <t>Anti-politics; sanitation; urban development; urbanisation; Myanmar; Mandalay</t>
  </si>
  <si>
    <t>[Sanchez, Jeremie] Univ Lausanne, Inst Geog &amp; Sustainabil, Lausanne, Switzerland</t>
  </si>
  <si>
    <t>Sanchez, J (corresponding author), Univ Lausanne, Inst Geog &amp; Sustainabil, Lausanne, Switzerland.</t>
  </si>
  <si>
    <t>jeremie.sanchez@hotmail.com</t>
  </si>
  <si>
    <t>University of Lausanne</t>
  </si>
  <si>
    <t>I wish to thank Rene Veron for his comments on earlier drafts of this paper, as well as two anonymous reviewers for their insightful contributions. I am also deeply grateful to the people who enabled my research in Myanmar, whose names can unfortunately not be mentioned here. Any flaws this paper might hold remain mine alone. My research is funded by the University of Lausanne.</t>
  </si>
  <si>
    <t>THIRD WORLD Q</t>
  </si>
  <si>
    <t>Third World Q.</t>
  </si>
  <si>
    <t>Development Studies</t>
  </si>
  <si>
    <t>JJ5BK</t>
  </si>
  <si>
    <t>SEA; effectiveness; Czech Republic</t>
  </si>
  <si>
    <t>[Musil, Michal; Smutny, Martin] Integra Consulting Ltd, Prague, Czech Republic</t>
  </si>
  <si>
    <t>Musil, M (corresponding author), Integra Consulting Ltd, Prague, Czech Republic.</t>
  </si>
  <si>
    <t>michal.musil@integracons.com</t>
  </si>
  <si>
    <t>IK4OJ</t>
  </si>
  <si>
    <t>Strategic environmental assessment; SEA; sustainability appraisal; effective; effectiveness; substantive; normative; pluralist; transactive</t>
  </si>
  <si>
    <t>STRATEGIC ENVIRONMENTAL ASSESSMENT; UK; APPRAISAL</t>
  </si>
  <si>
    <t>[Therivel, Riki] Oxford Brookes Univ, Oxford, England</t>
  </si>
  <si>
    <t>Therivel, R (corresponding author), Oxford Brookes Univ, Oxford, England.</t>
  </si>
  <si>
    <t>riki@levett-therivel.co.uk</t>
  </si>
  <si>
    <t>Epistemic communities; environmental governance; public relations; international networks; sustainability</t>
  </si>
  <si>
    <t>EPISTEMIC COMMUNITIES; PUBLIC-RELATIONS; PERSPECTIVES</t>
  </si>
  <si>
    <t>[Aronczyk, Melissa] Rutgers State Univ, Sch Commun &amp; Informat, New Brunswick, NJ 08901 USA; [Espinoza, Maria, I] Rutgers State Univ, Sociol, New Brunswick, NJ USA</t>
  </si>
  <si>
    <t>Aronczyk, M (corresponding author), Rutgers State Univ, Sch Commun &amp; Informat, New Brunswick, NJ 08901 USA.</t>
  </si>
  <si>
    <t>melissa.aronczyk@rutgers.edu</t>
  </si>
  <si>
    <t>National Science Foundation [1558264]</t>
  </si>
  <si>
    <t>National Science Foundation(National Science Foundation (NSF))</t>
  </si>
  <si>
    <t>This work was supported by the National Science Foundation under Grant 1558264.</t>
  </si>
  <si>
    <t>ENVIRON SOCIOL</t>
  </si>
  <si>
    <t>Envir. Sociol.</t>
  </si>
  <si>
    <t>IG0ZZ</t>
  </si>
  <si>
    <t>Scandinavian countries; entrepreneurship; model; digitalization; innovation policy</t>
  </si>
  <si>
    <t>[Takmasheva, L.] Yugra State Univ, Sci Polit, Inst Digital Econ, 16 Chekhov St, Khanty Mansiysk 628011, Russia; [Takmasheva, L.] Yugra State Univ, Inst Digital Econ, 16 Chekhov St, Khanty Mansiysk 628011, Russia; [Tyaglov, S.] Rostov State Econ Univ, Dept Reg Econ Ind &amp; Enterprises, 69 Bolshaya Sadovaya St, Rostov Na Donu 344002, Russia</t>
  </si>
  <si>
    <t>Takmasheva, L (corresponding author), Yugra State Univ, Sci Polit, Inst Digital Econ, 16 Chekhov St, Khanty Mansiysk 628011, Russia.;Takmasheva, L (corresponding author), Yugra State Univ, Inst Digital Econ, 16 Chekhov St, Khanty Mansiysk 628011, Russia.</t>
  </si>
  <si>
    <t>I_Takmasheva@ugrasu.ru; tyaglov-sg@rambler.ru</t>
  </si>
  <si>
    <t>ROSSIISKAYA AKAD NAUK, INST EVROPY</t>
  </si>
  <si>
    <t>MOKHOVAYA UL DOM 11, STR 3B, MOSCOW, 125993, RUSSIA</t>
  </si>
  <si>
    <t>CONTEMP EUR</t>
  </si>
  <si>
    <t>Contemp. Eur.</t>
  </si>
  <si>
    <t>Area Studies</t>
  </si>
  <si>
    <t>JM8GI</t>
  </si>
  <si>
    <t>Gautham, M; Bruxvoort, K; Iles, R; Subharwal, M; Gupta, S; Jain, M; Goodman, C</t>
  </si>
  <si>
    <t>Gautham, Meenakshi; Bruxvoort, Katia; Iles, Richard; Subharwal, Manish; Gupta, Sanjay; Jain, Manish; Goodman, Catherine</t>
  </si>
  <si>
    <t>Investigating the nature of competition facing private healthcare facilities: the case of maternity care in Uttar Pradesh, India</t>
  </si>
  <si>
    <t>HEALTH POLICY AND PLANNING</t>
  </si>
  <si>
    <t>Private sector; private providers; delivery care; maternal health; economics; competition; India; Uttar Pradesh; public-private engagement</t>
  </si>
  <si>
    <t>QUALITY; SECTOR; INCOME; MORTALITY; PROVIDERS; COVERAGE; MARKETS; SYSTEM; BIRTHS</t>
  </si>
  <si>
    <t>The private healthcare sector in low- and middle-income countries is increasingly seen as of public health importance, with widespread interest in improving private provider engagement. However, there is relatively little literature providing an in-depth understanding of the operation of private providers. We conducted a mixed methods analysis of the nature of competition faced by private delivery providers in Uttar Pradesh, India, where maternal mortality remains very high. We mapped health facilities in five contrasting districts, surveyed private facilities providing deliveries and conducted in-depth interviews with facility staff, allied providers (e.g. ambulance drivers, pathology laboratories) and other key informants. Over 3800 private facilities were mapped, of which 8% reported providing deliveries, mostly clustered in cities and larger towns. 89% of delivery facilities provided C-sections, but over half were not registered. Facilities were generally small, and the majority were independently owned, mostly by medical doctors and, to a lesser extent, AYUSH (non-biomedical) providers and others without formal qualifications. Recent growth in facility numbers had led to intense competition, particularly among mid-level facilities where customers were more price sensitive. In all facilities, nearly all payment was out-of-pocket, with very low-insurance coverage. Non-price competition was a key feature of the market and included location (preferably on highways or close to government facilities), medical infrastructure, hotel features, staff qualifications and reputation, and marketing. There was heavy reliance on visiting consultants such as obstetricians, surgeons and anaesthetists, and payment of hefty commission payments to agents who brought clients to the facility, for both new patients and those transferring from public facilities. Building on these insights, strategies for private sector engagement could include a foundation of universal facility registration, adaptation of accreditation schemes to lower-level facilities, improved third-party payment mechanisms and strategic purchasing, and enhanced patient information on facility availability, costs and quality.</t>
  </si>
  <si>
    <t>[Gautham, Meenakshi; Bruxvoort, Katia; Goodman, Catherine] London Sch Hyg &amp; Trop Med, Fac Publ Hlth &amp; Policy, Dept Global Hlth &amp; Dev, 15-17 Tavistock Pl, London WC1H 9SH, England; [Bruxvoort, Katia] Kaiser Permanente Southern Calif, Dept Res &amp; Evaluat, 100 S Los Robles, Pasadena, CA 91101 USA; [Iles, Richard] Washington State Univ, Sch Econ Sci, Pullman, WA 99164 USA; [Subharwal, Manish; Gupta, Sanjay; Jain, Manish] IMPACT Partners Social Dev, JE-1-1, New Delhi 110017, India</t>
  </si>
  <si>
    <t>Gautham, M (corresponding author), London Sch Hyg &amp; Trop Med, Fac Publ Hlth &amp; Policy, Dept Global Hlth &amp; Dev, 15-17 Tavistock Pl, London WC1H 9SH, England.</t>
  </si>
  <si>
    <t>meenakshi.gautham@lshtm.ac.uk</t>
  </si>
  <si>
    <t>Iles, Richard/ABA-2871-2020</t>
  </si>
  <si>
    <t>Iles, Richard/0000-0003-4232-783X; Gautham, Meenakshi/0000-0002-3975-2328; Goodman, Catherine/0000-0002-2241-3485; Bruxvoort, Katia/0000-0001-8277-2431</t>
  </si>
  <si>
    <t>MSD, through its MSD for Mothers programme</t>
  </si>
  <si>
    <t>This research was supported by funding from MSD, through its MSD for Mothers programme. MSD for Mothers is an initiative of Merck &amp; Co., Inc., Kenilworth, NJ, USA. MSD had no role in the design, collection, analysis and interpretation of data, in writing the manuscript, or in decisions to submit for publication. The content of the manuscript is solely the responsibility of the authors and does not represent the official views of MSD.</t>
  </si>
  <si>
    <t>0268-1080</t>
  </si>
  <si>
    <t>1460-2237</t>
  </si>
  <si>
    <t>HEALTH POLICY PLANN</t>
  </si>
  <si>
    <t>Health Policy Plan.</t>
  </si>
  <si>
    <t>10.1093/heapol/czz056</t>
  </si>
  <si>
    <t>JH8TU</t>
  </si>
  <si>
    <t>Green Submitted, hybrid, Green Published, Green Accepted</t>
  </si>
  <si>
    <t>WOS:000493041300006</t>
  </si>
  <si>
    <t>[Dabner, Justin] James Cook Univ, Law Sch, Cairns, Australia</t>
  </si>
  <si>
    <t>Dabner, J (corresponding author), James Cook Univ, Law Sch, Cairns, Australia.</t>
  </si>
  <si>
    <t>LAWBOOK CO LTD</t>
  </si>
  <si>
    <t>PYRMONT</t>
  </si>
  <si>
    <t>LEVEL 6, 19 HARRIS ST, PYRMONT, NSW 2009, AUSTRALIA</t>
  </si>
  <si>
    <t>ENVIRON PLAN LAW J</t>
  </si>
  <si>
    <t>Environ. Plan. Law J.</t>
  </si>
  <si>
    <t>IU9GT</t>
  </si>
  <si>
    <t>Technology; Policies; Organizational change; Sustainable FM; Challenges and barriers; Stakeholders and end user involvement</t>
  </si>
  <si>
    <t>ENERGY; BUILDINGS; CONSTRUCTION; STAKEHOLDERS; RENOVATION; KNOWLEDGE; FRAMEWORK; DESIGN; USERS</t>
  </si>
  <si>
    <t>[Store-Valen, Marit] Norwegian Univ Sci &amp; Technol, Dept Civil &amp; Environm Engn, Trondheim, Norway; [Buser, Martine] Chalmers Univ Technol, Dept Construct Management, Gothenburg, Sweden</t>
  </si>
  <si>
    <t>Store-Valen, M (corresponding author), Norwegian Univ Sci &amp; Technol, Dept Civil &amp; Environm Engn, Trondheim, Norway.</t>
  </si>
  <si>
    <t>marit.valen@ntnu.no; buser@chalmers.se</t>
  </si>
  <si>
    <t>IO2MT</t>
  </si>
  <si>
    <t>evidence-based design; healthcare design; behavioral analysis; spatial analysis; psychosocial; healthcare service design; public space system design; value-based healthcare</t>
  </si>
  <si>
    <t>IMAGERY; SYNTAX</t>
  </si>
  <si>
    <t>[Lacanna, Giuseppe; Wagenaa, Cor] Delft Univ Technol, Dept Architecture, Delft, Netherlands; [Lacanna, Giuseppe] UIA Publ Hlth Grp, Paris, France; [Avermaete, Tom] Swiss Fed Inst Technol, Dept Architecture, Zurich, Switzerland; [Swami, Viren] Anglia Ruskin Univ, Dept Social Psychol, Cambridge, England</t>
  </si>
  <si>
    <t>Lacanna, G (corresponding author), Delft Univ Technol, Dept Architecture, EBD Hosp Planning &amp; Healthcare Syst Analyt, Delft, Netherlands.</t>
  </si>
  <si>
    <t>g.lacanna@tudelft.nl</t>
  </si>
  <si>
    <t>Avermaete, Tom/0000-0001-7359-7475</t>
  </si>
  <si>
    <t>HERD-HEALTH ENV RES</t>
  </si>
  <si>
    <t>Herd-Health Env. Res. Des. J.</t>
  </si>
  <si>
    <t>IJ3DW</t>
  </si>
  <si>
    <t>Flood resilience; Flood risk management; Bangkok; Developing country; Framing</t>
  </si>
  <si>
    <t>GLOBAL ENVIRONMENTAL-CHANGE; URBAN POLITICAL ECOLOGY; PLANNING-THEORY; CITIES; CHALLENGES; ROTTERDAM</t>
  </si>
  <si>
    <t>[Laeni, Naim; van den Brink, Margo; Arts, Jos] Univ Groningen, Fac Spatial Sci, Dept Spatial Planning &amp; Environm, POB 800, NL-9700 AV Groningen, Netherlands</t>
  </si>
  <si>
    <t>Laeni, N (corresponding author), Univ Groningen, Fac Spatial Sci, Dept Spatial Planning &amp; Environm, POB 800, NL-9700 AV Groningen, Netherlands.</t>
  </si>
  <si>
    <t>n.laeni@rug.nl</t>
  </si>
  <si>
    <t>ID5TC</t>
  </si>
  <si>
    <t>Jokipii, A; Di Meo, F</t>
  </si>
  <si>
    <t>Jokipii, Annukka; Di Meo, Fabrizio</t>
  </si>
  <si>
    <t>Internal audit function characteristics and external auditors' co-sourcing in different institutional contexts</t>
  </si>
  <si>
    <t>co-sourcing; fees; IAF autonomy; IAF expertise; IAF focus; internal audit; internal audit function; mandatory; voluntary</t>
  </si>
  <si>
    <t>CORPORATE GOVERNANCE; QUALITY; COMMITTEE; RELIANCE; DEMAND; FEES</t>
  </si>
  <si>
    <t>We examine the association between several characteristics of an internal audit function (IAF) and fees paid to external auditors to support internal audit activities (co-sourcing). We also analyze how this relation is influenced by the mandatory or voluntary implementation of IAFs. By using data from the Common Body of Knowledge (CBOK) study, which was conducted by the Institute of Internal Auditors Research Foundation in 2015, we find that more consulting-oriented IAFs and more autonomous IAFs are likely to pay higher co-sourcing fees, whereas IAFs with greater expertise are likely to pay lower co-sourcing fees. Although results related to consulting activities hold regardless of the institutional context, the negative association between IAF expertise and co-sourcing fees paid to support internal audit activities only holds in mandatory IAF environments, and the positive association between IAF autonomy and co-sourcing fees paid only holds where IAF is voluntary.</t>
  </si>
  <si>
    <t>[Jokipii, Annukka] Univ Vaasa, Accounting &amp; Finance, POB 700, Vaasa 65101, Finland; [Di Meo, Fabrizio] Univ Alcala, Dept Econ &amp; Business, Financial Accounting, Alcala De Henares, Madrid, Spain</t>
  </si>
  <si>
    <t>Jokipii, A (corresponding author), Univ Vaasa, Accounting &amp; Finance, POB 700, Vaasa 65101, Finland.</t>
  </si>
  <si>
    <t>annukka.jokipii@uwasa.fi</t>
  </si>
  <si>
    <t>Jokipii, Annukka/AAX-6072-2020</t>
  </si>
  <si>
    <t>Di Meo, Fabrizio/0000-0002-0679-6607</t>
  </si>
  <si>
    <t>10.1111/ijau.12162</t>
  </si>
  <si>
    <t>IK4IU</t>
  </si>
  <si>
    <t>WOS:000476551300009</t>
  </si>
  <si>
    <t>Circular economy; Circular business model; Sustainable business model; Business model innovation; Sustainability transitions</t>
  </si>
  <si>
    <t>ECONOMY; SERVICE; MANAGEMENT; INNOVATION; FRAMEWORK; LIFE</t>
  </si>
  <si>
    <t>[Hofmann, Florian] Fraunhofer Inst Reliabil &amp; Microintegrat, Dept Environm &amp; Reliabil Engn, Gustav Meyer Allee 25, D-13355 Berlin, Germany; [Hofmann, Florian] Tech Univ Berlin, Fac Econ &amp; Management, Dept Strateg Leadership &amp; Global Management, Str 17 Juni 135, D-10623 Berlin, Germany</t>
  </si>
  <si>
    <t>Hofmann, F (corresponding author), Fraunhofer Inst Reliabil &amp; Microintegrat, Dept Environm &amp; Reliabil Engn, Gustav Meyer Allee 25, D-13355 Berlin, Germany.</t>
  </si>
  <si>
    <t>florian.hofmann@izm.fraunhofer.de</t>
  </si>
  <si>
    <t>Heinrich Boll Stiftung - The Green Political Foundation, Germany; German Federal Ministry of Education and Research in the frame of the Research for Sustainability program</t>
  </si>
  <si>
    <t>This research is supported and funded by Heinrich Boll Stiftung - The Green Political Foundation, Germany. I would like to thank Dodo zu Knyphausen-Aufsess and three anonymous reviewers for their constructive comments on this research. Furthermore, I am a participant of the interdisciplinary researcher group Obsolescence as a challenge for sustainability which is funded from July 2016 to June 2021 by the German Federal Ministry of Education and Research in the frame of the Research for Sustainability program. Special thanks to the group members for the inspiring exchange of ideas and thoughts.</t>
  </si>
  <si>
    <t>HZ9BX</t>
  </si>
  <si>
    <t>WORKPLACE VIOLENCE; SEXUAL-HARASSMENT; PHYSICIAN; PREVALENCE; PATIENT; ABUSE</t>
  </si>
  <si>
    <t>[Marco, Catherine A.] Wright State Univ, Dept Emergency Med, Dayton, OH 45435 USA; [Geiderman, Joel M.] Cedars Sinai Med Ctr, Dept Emergency Med, Ruth &amp; Harry Roman Emergency Dept, Los Angeles, CA 90048 USA; [Schears, Raquel M.] Univ Cent Florida, Coll Med, Dept Emergency Med, Orlando, FL 32816 USA; [Derse, Arthur R.] Med Coll Wisconsin, Ctr Bioeth &amp; Med Humanities, Milwaukee, WI 53226 USA; [Derse, Arthur R.] Med Coll Wisconsin, Dept Emergency Med, Milwaukee, WI 53226 USA</t>
  </si>
  <si>
    <t>Marco, CA (corresponding author), Wright State Univ, Dept Emergency Med, Dayton, OH 45435 USA.</t>
  </si>
  <si>
    <t>cmarco2@aol.com</t>
  </si>
  <si>
    <t>Marco, Catherine/0000-0002-6115-1174</t>
  </si>
  <si>
    <t>ACAD EMERG MED</t>
  </si>
  <si>
    <t>Acad. Emerg. Med.</t>
  </si>
  <si>
    <t>Emergency Medicine</t>
  </si>
  <si>
    <t>JM2NI</t>
  </si>
  <si>
    <t>Hazardous compounds; Cosmetics; Toxicity; Human health; Biological risks; Adverse effects; Chronic diseases</t>
  </si>
  <si>
    <t>BENZALKONIUM CHLORIDE BAC; PHTHALATE EXPOSURE; OCULAR SURFACE; IMIDAZOLIDINYL UREA; GLAUCOMA PATIENTS; METHYL PARABEN; CARE PRODUCTS; TRACE-METALS; BISPHENOL-A; COSMETICS</t>
  </si>
  <si>
    <t>[Bilal, Muhammad] Huaiyin Inst Technol, Sch Life Sci &amp; Food Engn, Huaian 223003, Peoples R China; [Iqbal, Hafiz M. N.] Tecnol Monterrey, Sch Engn &amp; Sci, Campus Monterrey,Ave Eugenio Garza Sada 2501, Monterrey 64849, NL, Mexico</t>
  </si>
  <si>
    <t>Bilal, M (corresponding author), Huaiyin Inst Technol, Sch Life Sci &amp; Food Engn, Huaian 223003, Peoples R China.;Iqbal, HMN (corresponding author), Tecnol Monterrey, Sch Engn &amp; Sci, Campus Monterrey,Ave Eugenio Garza Sada 2501, Monterrey 64849, NL, Mexico.</t>
  </si>
  <si>
    <t>bilaluaf@hotmail.com; hafiz.iqbal@tec.mx</t>
  </si>
  <si>
    <t>Bilal, Muhammad/AAH-6461-2020; Iqbal, Hafiz M.N./J-5423-2014</t>
  </si>
  <si>
    <t>Bilal, Muhammad/0000-0001-5388-3183; Iqbal, Hafiz M.N./0000-0003-4855-2720</t>
  </si>
  <si>
    <t>ELSEVIER SCIENCE BV</t>
  </si>
  <si>
    <t>PO BOX 211, 1000 AE AMSTERDAM, NETHERLANDS</t>
  </si>
  <si>
    <t>HT6NV</t>
  </si>
  <si>
    <t>digital soil mapping; soil functions; soil biodiversity; ecosystem services; soil multi-functionality</t>
  </si>
  <si>
    <t>ECOSYSTEM SERVICES; COMMUNITY COMPOSITION; MICROBIAL BIOMASS; LAND-USE; FRAMEWORK; SCALE; IMPLEMENTATION; RESPIRATION; COMPONENTS; PROFILES</t>
  </si>
  <si>
    <t>[Rutgers, Michiel; van Wijnen, Harm J.; Schouten, Ton] Natl Inst Publ Hlth &amp; Environm RIVM, Antonie van Leeuwenhoeklaan 9, NL-3721 MA Bilthoven, Netherlands; [van Leeuwen, Jeroen P.] WUR, Biometris, POB 16, NL-6700 AA Wageningen, Netherlands; [Vrebos, Dirk] Univ Antwerp, Dept Biol, Ecosyst Management Res Grp, Univ Pl 1c, B-2610 Antwerp, Belgium; [de Goede, Ron G. M.] Wageningen Univ &amp; Res, Soil Biol Grp, POB 16, NL-6700 AA Wageningen, Netherlands</t>
  </si>
  <si>
    <t>Rutgers, M (corresponding author), Natl Inst Publ Hlth &amp; Environm RIVM, Antonie van Leeuwenhoeklaan 9, NL-3721 MA Bilthoven, Netherlands.</t>
  </si>
  <si>
    <t>michiel.rutgers@rivm.nl; jeroen.p.van.leeuwen@gmail.com; dirk.vrebos@uantwerpen.be; Harm.van.wijnen@rivm.nl; ton.schouten@rivm.nl; ron.degoede@wur.nl</t>
  </si>
  <si>
    <t>van Leeuwen, Jeroen Peter/0000-0002-2444-6723; Vrebos, Dirk/0000-0002-8115-0304</t>
  </si>
  <si>
    <t>EU-FP7 project EcoFINDERS [264465]; EU H2020 project LANDMARK [635201]; Ministry of Infrastructure and Water Management [M/607604, M/607406, E/607063]; Province of Noord-Brabant [M/607604, M/607406, E/607063]</t>
  </si>
  <si>
    <t>EU-FP7 project EcoFINDERS; EU H2020 project LANDMARK; Ministry of Infrastructure and Water Management; Province of Noord-Brabant</t>
  </si>
  <si>
    <t>We thank Ece Aksoy for scientific support and the data of the potential soil biodiversity map of Europe. We obtained data from the EU-FP7 project EcoFINDERS (grant number 264465). The work was partly done within the EU H2020 project LANDMARK (grant number 635201). We thank LANDMARK consortium members for their valuable contributions to the discussions on the modelling and mapping of soil functions. The work was also partly done within the RIVM projects with the Biological Indicator for Soil Quality (BiSQ) and the Netherlands Soil Monitoring Network (NSMN). The RIVM projects M/607604, M/607406 and E/607063 were commissioned by the Ministry of Infrastructure and Water Management and the Province of Noord-Brabant.</t>
  </si>
  <si>
    <t>SOIL SYST</t>
  </si>
  <si>
    <t>Soil Syst.</t>
  </si>
  <si>
    <t>Soil Science</t>
  </si>
  <si>
    <t>JH7YI</t>
  </si>
  <si>
    <t>interdisciplinarity; design thinking; knowledge management; innovation; public spaces</t>
  </si>
  <si>
    <t>[de Mendonca, Maria Collier; Trauer, Eduardo; Perassi, Richard; Costa, Eduardo] Fed Univ Santa Catarina UFSC, Knowledge Engn &amp; Management Postgrad Programme, Florianopolis, SC, Brazil</t>
  </si>
  <si>
    <t>de Mendonca, MC (corresponding author), Fed Univ Santa Catarina UFSC, Knowledge Engn &amp; Management Postgrad Programme, Florianopolis, SC, Brazil.</t>
  </si>
  <si>
    <t>mariacmendonca@gmail.com; eduardo@etrauer.com; richard.perassi@uol.com.br; educostainovacao@gmail.com</t>
  </si>
  <si>
    <t>de Mendonça, Maria Collier/C-4055-2015</t>
  </si>
  <si>
    <t>de Mendonça, Maria Collier/0000-0003-2352-4520</t>
  </si>
  <si>
    <t>PONTIFICIA UNIV CATOLICA SAO PAULO-PUC-SP</t>
  </si>
  <si>
    <t>RUA LUIS FELIPE ATALHA 9, ALTO MOOCA, SAO PAULO, SP 03180-070, BRAZIL</t>
  </si>
  <si>
    <t>RISUS</t>
  </si>
  <si>
    <t>IY7RM</t>
  </si>
  <si>
    <t>Brimblecombe, N; Nolan, F; Khoo, ME; Culloty, L; O'Connor, K; McGregor-Johnson, L</t>
  </si>
  <si>
    <t>Brimblecombe, Neil; Nolan, Fiona; Khoo, Mary-Ellen; Culloty, Leon; O'Connor, Kate; McGregor-Johnson, Lindsay</t>
  </si>
  <si>
    <t>The nurse consultant in mental health services: A national, mixed methods study of an advanced practice role</t>
  </si>
  <si>
    <t>JOURNAL OF PSYCHIATRIC AND MENTAL HEALTH NURSING</t>
  </si>
  <si>
    <t>advanced practice; learning disabilities; non-medical prescribing; nursing role; workforce issues</t>
  </si>
  <si>
    <t>EDUCATION</t>
  </si>
  <si>
    <t>Accessible summaryWhat is known on the subject? Internationally, systematic reviews have identified evidence of equal or improved clinical outcomes comparing advanced practitioner treatment with medical treatment as usual, across a range of specialities. Studies of nurse consultants in the United Kingdom have largely been non-empirical. Most studies specifically related to nurse consultant roles in mental health services are case studies or reports of views on this role. What this paper adds to existing knowledge? The study demonstrates that nurse consultant numbers vary over time and by clinical specialty. This is influenced by the value invested in the role by local nursing leadership and by national policy change. A lack of role clarity affects the uptake and sustainability of advanced practice roles internationally and is also an issue for the nurse consultant role in England's mental health services. What are the implications for practice? Successfully introducing advanced practice nursing roles in mental health services requires role clarity and support from local nurse directors. The continued absence of robust evidence as to the clinical/cost-effectiveness of nurse consultant roles in mental health settings places an onus on individual posts to generate data to justify the role at a time of financial constraint. Detailed post holder characteristics reported in this paper provide a basis for future comparison with other advanced practice roles in mental health services and other specialties nationally and internationally. The nurse consultant is an advanced practice role providing expert clinical practice, consultancy and professional leadership. To date, few studies have examined this role within mental health services and none have described the professional characteristics of post holders. The main aims of the study were to identify changes in nurse consultant numbers in mental health services, identify post holder characteristics and factors influencing number of posts. We used a triangulated mixed methods approach comprised of a longitudinal examination of national workforce data, a national cross-sectional survey of post holder characteristics and semi-structured interviews with directors of nursing. Of 58 mental health organizations, 51 (88%) responded, identifying 123 nurse consultant posts, and a range of 0-12 posts per organization. One in 229 mental health nurses and 1 in 186 learning disability nurses were nurse consultant. An average of 40% of nurse consultants' work time was reported as being in clinical practice. Themes identified as important in relation to role sustainability were cost and value, contribution of individual post holders, role clarity and domains of work. Nurse consultants are represented to a greater extent in the mental health service workforce than in nursing generally, but their roles often lack clarity. Attitudes of local professional leaders and national policies are likely to affect post numbers. Developing and sustaining nurse consultant roles requires role clarity and active support from nurse leaders. Roles need to demonstrate their value to the clinical systems in which they work. IntroductionAimsMethodResultsDiscussionImplications for practice</t>
  </si>
  <si>
    <t>[Brimblecombe, Neil] London South Bank Univ, Dept Hlth &amp; Social Care, 103 Borough Rd, London SE1 0AA, England; [Nolan, Fiona] Univ Essex, Colchester, Essex, England; [Khoo, Mary-Ellen] Hertfordshire Partnership Univ NHS Fdn Trust, Hatfield, Herts, England; [Culloty, Leon; O'Connor, Kate; McGregor-Johnson, Lindsay] Camden &amp; Islington NHS Fdn Trust, London, England</t>
  </si>
  <si>
    <t>Brimblecombe, N (corresponding author), London South Bank Univ, Dept Hlth &amp; Social Care, 103 Borough Rd, London SE1 0AA, England.</t>
  </si>
  <si>
    <t>Brimblen@lsbu.ac.uk</t>
  </si>
  <si>
    <t>Brimblecombe, Neil/H-8590-2019; Nolan, Fiona/U-3558-2018</t>
  </si>
  <si>
    <t>Brimblecombe, Neil/0000-0001-9873-777X; Nolan, Fiona/0000-0002-6633-341X</t>
  </si>
  <si>
    <t>National Mental Health Nurse Directors Forum</t>
  </si>
  <si>
    <t>1351-0126</t>
  </si>
  <si>
    <t>1365-2850</t>
  </si>
  <si>
    <t>J PSYCHIATR MENT HLT</t>
  </si>
  <si>
    <t>J. Psychiatr. Ment. Health Nurs.</t>
  </si>
  <si>
    <t>10.1111/jpm.12533</t>
  </si>
  <si>
    <t>IJ0WN</t>
  </si>
  <si>
    <t>WOS:000475620800002</t>
  </si>
  <si>
    <t>food system; food security; sustainable agriculture; regenerative agriculture; food system actors; challenges; successes; food supply</t>
  </si>
  <si>
    <t>SOIL HEALTH; POLICY; AGRICULTURE; SECURITY</t>
  </si>
  <si>
    <t>[Sambell, Ros; Andrew, Lesley; Godrich, Stephanie; Devine, Amanda] Edith Cowan Univ, Sch Med &amp; Hlth Sci, Joondalup 6027, Australia; [Wolfgang, Justin] Perth Nat Resource Management, Perth, WA 6104, Australia; [Vandenbroeck, Dieter] Commonland, NL-103 Amsterdam, Netherlands; [Stubley, Katie] Univ Western Australia, Ctr Social Impact, Crawley 6009, Australia; [Rose, Nick] William Angliss Inst, Fac Higher Educ, Melbourne, Vic 3000, Australia; [Rose, Nick] Australian Food Network, Sustain, Melbourne, Vic 3000, Australia; [Newman, Lenore] Univ Fraser Valley, Geog &amp; Environm, Abbotsford, BC V2S 7M8, Canada; [Horwitz, Pierre] Edith Cowan Univ, Sch Sci, Ctr Ecosyst Management, Joondalup 6027, Australia</t>
  </si>
  <si>
    <t>Sambell, R (corresponding author), Edith Cowan Univ, Sch Med &amp; Hlth Sci, Joondalup 6027, Australia.</t>
  </si>
  <si>
    <t>r.sambell@ecu.edu.au; l.andrew@ecu.edu.au; s.godrich@ecu.edu.au; justin.wolfgang@perthnrm.com; dieter.vandenbroeck@commonland.com; kathryn.dobb@uwa.edu.au; nick@sustainaustralia.org; Lenore.Newman@ufv.ca; p.horwitz@ecu.edu.au; a.devine@ecu.edu.au</t>
  </si>
  <si>
    <t>Godrich, Stephanie/0000-0003-3067-8253; Horwitz, Pierre/0000-0002-8689-7888; Sambell, Ros/0000-0002-8799-3441; Devine, Amanda/0000-0001-6978-6249</t>
  </si>
  <si>
    <t>Edith Cowan University; Heart Foundation WA Division; Perth Natural Resource Management, WA</t>
  </si>
  <si>
    <t>This study was funded by an Edith Cowan University Collaborative Enhancement Scheme grant, the Heart Foundation WA Division and Perth Natural Resource Management, WA.</t>
  </si>
  <si>
    <t>IE1GB</t>
  </si>
  <si>
    <t>governance assessment; indigenous consultation; Mexico; procedural legitimacy; REDD plus readiness</t>
  </si>
  <si>
    <t>WOMENS PARTICIPATION; LAND; IMPLEMENTATION; MANAGEMENT; FORESTRY; GENDER; PERCEPTIONS; CONTEXT; AMAZON; CARBON</t>
  </si>
  <si>
    <t>[Spiric, J.; Ramirez, M., I; Skutsch, M.] Univ Nacl Autonoma Mexico, Ctr Invest Geog Ambiental, Morelia 58190, Michoacan, Mexico</t>
  </si>
  <si>
    <t>Spiric, J (corresponding author), Univ Nacl Autonoma Mexico, Ctr Invest Geog Ambiental, Morelia 58190, Michoacan, Mexico.</t>
  </si>
  <si>
    <t>jspiric@ciga.unam.mx; isabelrr@ciga.unam.mx; mskutsch@ciga.unam.mx</t>
  </si>
  <si>
    <t>PAPIIT-UNAM [IN302918]; CONACyT Catedra 1539 projects; UNAM; DGAPA</t>
  </si>
  <si>
    <t>PAPIIT-UNAM(Programa de Apoyo a Proyectos de Investigacion e Innovacion Tecnologica (PAPIIT)Universidad Nacional Autonoma de Mexico); CONACyT Catedra 1539 projects; UNAM(Universidad Nacional Autonoma de Mexico); DGAPA</t>
  </si>
  <si>
    <t>The authors would like to thank four anonymous reviewers for their careful reading of the manuscript and constructive suggestions on how to improve it. The authors acknowledge the financial and research support of the Postdoctoral Fellowship Program, UNAM, DGAPA, as well as PAPIIT-UNAM IN302918 and CONACyT Catedra 1539 projects in carrying out this work.</t>
  </si>
  <si>
    <t>COMMONWEALTH FORESTRY ASSOC</t>
  </si>
  <si>
    <t>CRAVEN ARRMS</t>
  </si>
  <si>
    <t>CRIB, DINCHOPE, CRAVEN ARRMS SY7 9JJ, SHROPSHIRE, ENGLAND</t>
  </si>
  <si>
    <t>INT FOREST REV</t>
  </si>
  <si>
    <t>Int. For. Rev.</t>
  </si>
  <si>
    <t>ID6RR</t>
  </si>
  <si>
    <t>Sustainable Development; Rural development; Diversification; Non-farm rural activities; Rural tourism; Public-Private Partnership</t>
  </si>
  <si>
    <t>GLOBAL JUSTICE; POVERTY; ADDRESS; HEALTH</t>
  </si>
  <si>
    <t>[Budiman, Ibnu] Wageningen Univ, Global Change &amp; Global Eth, NL-6708 PB Wageningen, Netherlands</t>
  </si>
  <si>
    <t>Budiman, I (corresponding author), Wageningen Univ, Global Change &amp; Global Eth, NL-6708 PB Wageningen, Netherlands.</t>
  </si>
  <si>
    <t>Budimanibnu26@gmail.com</t>
  </si>
  <si>
    <t>LPDP (Indonesia Endowment Fund for Education)</t>
  </si>
  <si>
    <t>I would like to thank Anna Seidel, Henk van den Belt, the interviewees, and LPDP (Indonesia Endowment Fund for Education) for your support to this paper.</t>
  </si>
  <si>
    <t>KASSEL UNIV PRESS GMBH</t>
  </si>
  <si>
    <t>KASSEL</t>
  </si>
  <si>
    <t>DIAGONALE 10, D-34127 KASSEL, GERMANY</t>
  </si>
  <si>
    <t>FUTURE FOOD</t>
  </si>
  <si>
    <t>Future Food</t>
  </si>
  <si>
    <t>Food Science &amp; Technology</t>
  </si>
  <si>
    <t>IB2WA</t>
  </si>
  <si>
    <t>Social sustainability; Food sustainability; Ethics</t>
  </si>
  <si>
    <t>[Sharpe, Rosalind] City Univ London, Ctr Food Policy, Northampton Sq, London EC1V 0MU, England; [Barling, David] Univ Hertfordshire, Ctr Agr Food &amp; Environm Management, Hatfield AL10 9AB, Herts, England</t>
  </si>
  <si>
    <t>Sharpe, R (corresponding author), City Univ London, Ctr Food Policy, Northampton Sq, London EC1V 0MU, England.</t>
  </si>
  <si>
    <t>Rosalind.Sharpe@city.ac.uk; D.barling@herts.ac.uk</t>
  </si>
  <si>
    <t>studentship from City, University of London</t>
  </si>
  <si>
    <t>The authors are grateful to the interviewees who participated in this study. The research was partly funded by a studentship from City, University of London.</t>
  </si>
  <si>
    <t>AGR HUM VALUES</t>
  </si>
  <si>
    <t>Agric. Human Values</t>
  </si>
  <si>
    <t>Agriculture, Multidisciplinary; History &amp; Philosophy Of Science; Sociology</t>
  </si>
  <si>
    <t>Science Citation Index Expanded (SCI-EXPANDED); Social Science Citation Index (SSCI); Conference Proceedings Citation Index - Social Science &amp;amp; Humanities (CPCI-SSH); Conference Proceedings Citation Index - Science (CPCI-S)</t>
  </si>
  <si>
    <t>Agriculture; History &amp; Philosophy of Science; Sociology</t>
  </si>
  <si>
    <t>HY1TM</t>
  </si>
  <si>
    <t>hybrid, Green Published, Green Accepted</t>
  </si>
  <si>
    <t>Ostrea edulis; Berlin Oyster Recommendation; biogenic reef; ecosystem service; biodiversity</t>
  </si>
  <si>
    <t>OSTREA-EDULIS L.; FLAT OYSTER; WADDEN SEA; STRANGFORD-LOUGH; BASE-LINE; BONAMIA; POPULATIONS; MANAGEMENT; REEFS; TRANSFORMATIONS</t>
  </si>
  <si>
    <t>[Pogoda, Bernadette] Alfred Wegener Inst Helmholtz Ctr Polar &amp; Marine, Am Handelshafen 12, D-27570 Bremerhaven, Germany; [Brown, Janet] ASSG, Stirling FK8 2BN, Scotland; [Hancock, Boze] URI Grad Sch Oceanog, Nat Conservancy, 215 South Ferry Rd, Narragansett, RI 02882 USA; [Preston, Joanne] Univ Portsmouth, Inst Marine Sci, Portsmouth PO4 9LY, Hants, England; [Pouvreau, Stephane] Univ Brest, IFREMER, CNRS, IRD,LEMAR, F-29840 Argenton En Landunvez, France; [Kamermans, Pauline] Wageningen Univ &amp; Res, Wageningen Marine Res, POB 77, NL-4400 AB Yerseke, Netherlands; [Sanderson, William] Heriot Watt Univ, EGIS, Ctr Marine Biodivers &amp; Biotechnol, Edinburgh, Midlothian, Scotland; [Sanderson, William] St Abbs Marine Stn, St Abbs, Scotland; [von Nordheim, Henning] Fed Agcy Nat Conservat, Directorate Marine Nat Conservat, D-18581 Putbus, Germany</t>
  </si>
  <si>
    <t>Pogoda, B (corresponding author), Alfred Wegener Inst Helmholtz Ctr Polar &amp; Marine, Am Handelshafen 12, D-27570 Bremerhaven, Germany.</t>
  </si>
  <si>
    <t>bernadette.pogoda@awi.de</t>
  </si>
  <si>
    <t>Pogoda, Bernadette/0000-0003-3997-426X; Sanderson, William/0000-0003-1686-0585; Pouvreau, Stephane/0000-0003-2402-7366; Preston, Joanne/0000-0002-2268-4998</t>
  </si>
  <si>
    <t>Blue Marine Foundation; European Maritime Fund; German Federal Program for Biological Diversity; FEAMP Aquaculture Innovation; Marine Conservation Society; Marine Directorate of the German Federal Agency for Nature Conservation; Natural Resources Wales; ARK Natuurontwikkeling</t>
  </si>
  <si>
    <t>We thank the funding institutions, ARK Natuurontwikkeling, Blue Marine Foundation, European Maritime Fund, German Federal Program for Biological Diversity, FEAMP Aquaculture Innovation, Marine Conservation Society, Marine Directorate of the German Federal Agency for Nature Conservation and Natural Resources Wales, for the substantial support of oyster restoration projects. We also acknowledge our industry project partners Cochet-Environnement, CRC Bretagne, ESITC-Caen, Glenmorangie, MDL Marinas, WindMW. Furthermore, we would like to thank the members of the Native Oyster Restoration Alliance (NORA) for their valuable contributions to the Berlin Oyster Recommendation and for sharing their knowledge and thoughts. Two anonymous reviewers helped to improve the manuscript; we thank them for their constructive criticism and helpful comments.</t>
  </si>
  <si>
    <t>EDP SCIENCES S A</t>
  </si>
  <si>
    <t>LES ULIS CEDEX A</t>
  </si>
  <si>
    <t>17, AVE DU HOGGAR, PA COURTABOEUF, BP 112, F-91944 LES ULIS CEDEX A, FRANCE</t>
  </si>
  <si>
    <t>AQUAT LIVING RESOUR</t>
  </si>
  <si>
    <t>Aquat. Living Resour.</t>
  </si>
  <si>
    <t>IA8RD</t>
  </si>
  <si>
    <t>Green Published, hybrid, Green Submitted</t>
  </si>
  <si>
    <t>sustainable business model; sustainable forest management; forest certification; business model innovation</t>
  </si>
  <si>
    <t>CERTIFICATION; INNOVATION; FRAMEWORK; INDUSTRY</t>
  </si>
  <si>
    <t>[Lee, Jun-Yen; Chang, Ching-Hsing] Natl Chiayi Univ, Dept BioBusiness Management, Chiayi 600, Taiwan</t>
  </si>
  <si>
    <t>Chang, CH (corresponding author), Natl Chiayi Univ, Dept BioBusiness Management, Chiayi 600, Taiwan.</t>
  </si>
  <si>
    <t>leejy@mail.ncyu.edu.tw; chc@mail.ncyu.edu.tw</t>
  </si>
  <si>
    <t>IA4FF</t>
  </si>
  <si>
    <t>Policy failure; health; workforce; austerity</t>
  </si>
  <si>
    <t>[Kiernan, Fiona] Univ Coll Dublin, Sch Econ, Dublin, Ireland; [Kiernan, Fiona] Univ Coll Dublin, Geary Inst, Dublin, Ireland</t>
  </si>
  <si>
    <t>Kiernan, F (corresponding author), Univ Coll Dublin, Sch Econ, Dublin, Ireland.;Kiernan, F (corresponding author), Univ Coll Dublin, Geary Inst, Dublin, Ireland.</t>
  </si>
  <si>
    <t>DE GRUYTER POLAND SP Z O O, BOGUMILA ZUGA 32A STR, 01-811 WARSAW, POLAND</t>
  </si>
  <si>
    <t>ADMINSTRATION</t>
  </si>
  <si>
    <t>Administration</t>
  </si>
  <si>
    <t>IC7WS</t>
  </si>
  <si>
    <t>Ethnographic research; Beliefs; Person-centered care; Health professionals in epilepsy care; Integrated care; Chronic disease</t>
  </si>
  <si>
    <t>SYSTEMS THINKING; REQUIRES</t>
  </si>
  <si>
    <t>[Byrne, John-Paul; Saris, A. Jamie] Natl Univ Ireland NUI Maynooth, Dept Anthropol, Maynooth, Kildare, Ireland; [Power, Robert; Kiersey, Rachel; Varley, Jarlath; Fitzsimons, Mary] Royal Coll Surgeons Ireland, Res &amp; Innovat, 111 St Stephens Green,Ardilaun House, Dublin 2, Ireland; [Doherty, Colin P.] St James Hosp, Dept Neurol, Jamess St, Dublin 8, Ireland; [Doherty, Colin P.] Trinity Coll Dublin, Sch Med, Dublin 2, Ireland; [Lambert, Veronica] Dublin City Univ, Sch Nursing &amp; Human Sci, Dublin 9, Ireland</t>
  </si>
  <si>
    <t>Fitzsimons, M (corresponding author), Royal Coll Surgeons Ireland, RCSI Inst Res, Ardilaun House B,Level 2,111 St Stephens Green, Dublin D02 VN51 2, Ireland.</t>
  </si>
  <si>
    <t>marybfitzsimons@rcsi.ie</t>
  </si>
  <si>
    <t>Byrne, John-Paul/0000-0002-9961-8710; Lambert, Veronica/0000-0003-4396-5462; Saris, A. Jamie/0000-0001-9891-3286; Varley, Jarlath/0000-0002-2383-9322; Doherty, Colin/0000-0002-8869-8567; Kiersey, Rachel/0000-0001-6541-6734</t>
  </si>
  <si>
    <t>Health Research Board Ireland (Research Collaborative for Quality and Patient Safety Grant) [RCQPS-2015-1]</t>
  </si>
  <si>
    <t>Health Research Board Ireland (Research Collaborative for Quality and Patient Safety Grant)</t>
  </si>
  <si>
    <t>This research was funded by the Health Research Board Ireland (Research Collaborative for Quality and Patient Safety Grant no. RCQPS-2015-1).</t>
  </si>
  <si>
    <t>ACADEMIC PRESS INC ELSEVIER SCIENCE</t>
  </si>
  <si>
    <t>525 B ST, STE 1900, SAN DIEGO, CA 92101-4495 USA</t>
  </si>
  <si>
    <t>EPILEPSY BEHAV</t>
  </si>
  <si>
    <t>Epilepsy Behav.</t>
  </si>
  <si>
    <t>Behavioral Sciences; Clinical Neurology; Psychiatry</t>
  </si>
  <si>
    <t>Behavioral Sciences; Neurosciences &amp; Neurology; Psychiatry</t>
  </si>
  <si>
    <t>HY1YP</t>
  </si>
  <si>
    <t>Curley, JM; Warner, CH</t>
  </si>
  <si>
    <t>Curley, Justin M.; Warner, Christopher H.</t>
  </si>
  <si>
    <t>Maximizing the Division Psychiatrist's Garrison Prevention Role to Meet the US Army's 21st Century Readiness Expectations</t>
  </si>
  <si>
    <t>COMBAT TEAM STRUCTURE; MENTAL-HEALTH</t>
  </si>
  <si>
    <t>Introduction: The division psychiatrist has been a bedrock U.S. Army institution for nearly 100 years. The role of the position in combat is well established, but its role in garrison has historically been less well defined. Prevention of behavioral health casualties has long been a governing objective of the division psychiatrist and forms the cornerstone of the behavioral health (BH) readiness concept. Accordingly, the Army's increased emphasis on readiness mandates that the division psychiatrist maximize BH force readiness through applied prevention methods. This process begins in garrison, and the crucible of recent protracted conflict has yielded effective BH screening principles applied in that environment. Despite this achievement, an evolving operational environment threatens the blanket effectiveness of BH screening and prevention in garrison. This article examines the historical evolution of the division psychiatrist's role in garrison, elucidates division psychiatry BH readiness principles in garrison, and expands on previously documented division psychiatry led efforts to maximize BH readiness levels. Materials and Methods: A historical review of the division psychiatrist was conducted in order to analyze the role of the position in BH prevention operations. Identified division psychiatry preventive lessons are leveraged against current BH readiness challenges resulting in proposed solutions from a division psychiatry perspective. Results: The historical trajectory of the division psychiatrist's role in garrison prevention operations has advanced significantly in the last 17 years. With the advent of evidence-based BH readiness findings, the division psychiatrist's garrison readiness duties have expanded to include analysis of unit BH readiness levels. By applying pre-deployment screening principles in new ways to existing BH readiness platforms, the division psychiatrist can analyze BH readiness levels much earlier than immediately prior to deployment. The resultant BH readiness feedback allows for individualized readiness improvements for the BH systems that serve Army units. The division psychiatrist is the natural proponent of such readiness efforts, and will require staff officer, consultant, liaison, and trainer skill sets in order to be successful. Conclusions: The division psychiatrist's role must adapt to a changing operational environment in order to preserve and build on historical successes. The recommended end state would see the division psychiatrist maintaining a robust pre/post-deployment BH screening process and organizing the regular analysis of BH readiness levels to optimize existing BH clinical platforms. Systematically pursued, this would not only maximize BH readiness, but dramatically enhance safety and the provision of resources towards soldier health and welfare across the Army. The division psychiatrist should lead this effort.</t>
  </si>
  <si>
    <t>[Curley, Justin M.] Walter Reed Army Inst Res, Dept Mil Psychiat, 503 Robert Grant Ave, Silver Spring, MD 20910 USA; [Warner, Christopher H.] Natl War Coll, 300 D St, Washington, DC 20319 USA</t>
  </si>
  <si>
    <t>Curley, JM (corresponding author), Walter Reed Army Inst Res, Dept Mil Psychiat, 503 Robert Grant Ave, Silver Spring, MD 20910 USA.</t>
  </si>
  <si>
    <t>E183</t>
  </si>
  <si>
    <t>E191</t>
  </si>
  <si>
    <t>10.1093/milmed/usz017</t>
  </si>
  <si>
    <t>HY5SU</t>
  </si>
  <si>
    <t>WOS:000468188900011</t>
  </si>
  <si>
    <t>agglomeration; urbanisation; Ethiopia; housing; informality; method; urban expansion</t>
  </si>
  <si>
    <t>[Lamson-Hall, Patrick; Angel, Shlomo; Tafesse, Tsigereda] NYU, 60 Fifth Ave, New York, NY 10012 USA</t>
  </si>
  <si>
    <t>Lamson-Hall, P (corresponding author), NYU, 60 Fifth Ave, New York, NY 10012 USA.</t>
  </si>
  <si>
    <t>plamsonh@stern.nyu.edu</t>
  </si>
  <si>
    <t>Cities Alliance</t>
  </si>
  <si>
    <t>The author(s) disclosed receipt of the following financial support for the research, authorship, and/or publication of this article: This research was funded in part by Cities Alliance.</t>
  </si>
  <si>
    <t>HR3JC</t>
  </si>
  <si>
    <t>Distributed energy photovoltaic; Investment model; Consulting services; Business model</t>
  </si>
  <si>
    <t>SELF-CONSUMPTION; PV INTEGRATION; GENERATION; BARRIERS; IMPACTS; STORAGE</t>
  </si>
  <si>
    <t>[Pang, Yuexia; He, Yongxiu] North China Elect Power Univ, Sch Econ &amp; Management, Beijing 102206, Peoples R China; [Pang, Yuexia; He, Yongxiu] North China Elect Power Univ, Beijing Key Lab New Energy &amp; Low Carbon Dev, Beijing 102206, Peoples R China; [Cai, Hua] Purdue Univ, Ind Engn, W Lafayette, IN 47907 USA; Purdue Univ, Environm &amp; Ecol Engn, W Lafayette, IN 47907 USA</t>
  </si>
  <si>
    <t>Pang, YX (corresponding author), North China Elect Power Univ, Sch Econ &amp; Management, Beijing 102206, Peoples R China.</t>
  </si>
  <si>
    <t>pangyuexia@sina.com</t>
  </si>
  <si>
    <t>China Scholarship Council; Fundamental Research Funds for the Central Universities [2017XS096]</t>
  </si>
  <si>
    <t>China Scholarship Council(China Scholarship Council); Fundamental Research Funds for the Central Universities(Fundamental Research Funds for the Central Universities)</t>
  </si>
  <si>
    <t>The paper was supported by China Scholarship Council, and the Fundamental Research Funds for the Central Universities (2017XS096).</t>
  </si>
  <si>
    <t>HQ0UL</t>
  </si>
  <si>
    <t>Tokarczyk-Dorociak, K; Kazak, JK; Anna, H; Szewranski, S; Swiader, M</t>
  </si>
  <si>
    <t>Tokarczyk-Dorociak, Katarzyna; Kazak, Jan K.; Anna, Haladyj; Szewranski, Szymon; Swiader, Malgorzata</t>
  </si>
  <si>
    <t>Effectiveness of strategic environmental assessment in Poland</t>
  </si>
  <si>
    <t>SEA; effectiveness; legal framework; practice</t>
  </si>
  <si>
    <t>The paper presents the results of an evaluation of the effectiveness of SEA obtained as a result of a survey with the participation of stakeholders. In Poland, several hundred SEAs are conducted annually at the local and regional levels and several at the national level. Although the survey demonstrated that SEA is evaluated as effective or quite effective, the respondents pointed to several irregularities in the non-procedural dimension of effectiveness. The main ones in terms of substantive effectiveness are that SEA is rarely used to help develop plans/programmes and procedures are highly politicised. Moreover, low effectiveness in terms of variant assessment and cumulative impacts and nearly non-existent monitoring of the actual effects of implementing plans/programmes influence substantive effectiveness significantly. The respondents pointed to the problem resulting from the fact that plan-makers are unwilling to take into account the SEA recommended changes. They also emphasised that there are certain attempts to put pressure on SEA consultants to make the conclusions less stringent. Respondents indicate that in Poland the costs associated with conducting SEA often outweigh the profits. The research shows that the society is properly informed about SEA, but public involvement is still low.</t>
  </si>
  <si>
    <t>[Tokarczyk-Dorociak, Katarzyna] Wroclaw Univ Environm &amp; Life Sci, Fac Environm Engn &amp; Geodesy, Inst Landscape Architecture, Wroclaw, Poland; [Kazak, Jan K.; Szewranski, Szymon; Swiader, Malgorzata] Wroclaw Univ Environm &amp; Life Sci, Fac Environm Engn &amp; Geodesy, Dept Spatial Econ, Wroclaw, Poland; [Anna, Haladyj] John Paul II Catholic Univ Lublin, Fac Law Canon Law &amp; Adm, Dept Environm Management Law, Lublin, Poland</t>
  </si>
  <si>
    <t>Tokarczyk-Dorociak, K (corresponding author), Wroclaw Univ Environm &amp; Life Sci, Inst Landscape Architecture, Grunwaldzka St 53, PL-50363 Wroclaw, Poland.</t>
  </si>
  <si>
    <t>katarzyna.tokarczyk-dorociak@upwr.edu.pl</t>
  </si>
  <si>
    <t>Świąder, Małgorzata/A-3891-2017; Szewrański, Szymon/A-5697-2017; Kazak, Jan/S-7783-2016; Tokarczyk-Dorociak, Katarzyna/ABD-4204-2021</t>
  </si>
  <si>
    <t>Świąder, Małgorzata/0000-0003-3398-4985; Szewrański, Szymon/0000-0003-4652-7978; Kazak, Jan/0000-0002-1864-9954; Tokarczyk-Dorociak, Katarzyna/0000-0001-7581-3047; Haladyj, Anna/0000-0002-8827-3657</t>
  </si>
  <si>
    <t>10.1080/14615517.2019.1601441</t>
  </si>
  <si>
    <t>WOS:000465917300001</t>
  </si>
  <si>
    <t>Innovation obstacles; Innovation barriers; Innovation adoption; Contextual determinants; Construction industry; Products; New product development; Road industry</t>
  </si>
  <si>
    <t>ORGANIZATIONAL INNOVATION; DIFFUSION; INVOLVEMENT; PROCUREMENT; CLIENTS; OPPORTUNITIES; INFORMATION; FRAMEWORK; DRIVERS; IMPACT</t>
  </si>
  <si>
    <t>[Rose, Timothy] Queensland Univ Technol, Fac Sci &amp; Engn, Brisbane, Qld, Australia; [Manley, Karen; Widen, Kristian] Halmstad Univ, Ctr Innovat Entrepreneurship &amp; Learning, Halmstad, Sweden</t>
  </si>
  <si>
    <t>Manley, K (corresponding author), Halmstad Univ, Ctr Innovat Entrepreneurship &amp; Learning, Halmstad, Sweden.</t>
  </si>
  <si>
    <t>ih6@bigpond.com</t>
  </si>
  <si>
    <t>Widén, Kristian/E-8184-2019</t>
  </si>
  <si>
    <t>Widén, Kristian/0000-0002-7585-0718; Manley, Karen/0000-0003-1796-3244; Rose, Timothy/0000-0003-2368-6714</t>
  </si>
  <si>
    <t>Australian Research Council [LP0990553]; Queensland Government, Department of Transport and Main Roads [LP0990553]</t>
  </si>
  <si>
    <t>Australian Research Council(Australian Research Council); Queensland Government, Department of Transport and Main Roads</t>
  </si>
  <si>
    <t>This research was funded by the Australian Research Council (LP0990553) and Queensland Government, Department of Transport and Main Roads (LP0990553).</t>
  </si>
  <si>
    <t>HT7KP</t>
  </si>
  <si>
    <t>Recycled water; water management; urban water use; sustainability; public health</t>
  </si>
  <si>
    <t>WASTE-WATER; PUBLIC ACCEPTANCE; POTABLE REUSE; PERCEPTIONS; SUPPORT</t>
  </si>
  <si>
    <t>[Sokolow, Sharona; Cole, Brian L.] Univ Calif Los Angeles, Dept Environm Hlth Sci, Fielding Sch Publ Hlth, Los Angeles, CA 90095 USA; [Sokolow, Sharona] Univ Penn, Ctr Publ Hlth Initiat, Philadelphia, PA 19104 USA; [Godwin, Hilary] Univ Washington, Sch Publ Hlth, Seattle, WA 98195 USA</t>
  </si>
  <si>
    <t>Cole, BL (corresponding author), Univ Calif Los Angeles, Dept Environm Hlth Sci, Fielding Sch Publ Hlth, Los Angeles, CA 90095 USA.</t>
  </si>
  <si>
    <t>blcole@ucla.edu</t>
  </si>
  <si>
    <t>JE0RL</t>
  </si>
  <si>
    <t>Urban liveability; water access; land ownership; collective claims; Kampala; Uganda</t>
  </si>
  <si>
    <t>SUSTAINABLE DEVELOPMENT; SERVICE DELIVERY; LOCAL DEMOCRACY; CITY; QUALITY; STATE; DETERMINANTS; OPPOSITION; GOVERNANCE; LIVABILITY</t>
  </si>
  <si>
    <t>[Nastar, Maryam] Lund Univ, Ctr Sustainabil Studies LUCSUS, Box 170, SE-22100 Lund, Sweden; [Isoke, Jennifer] Uganda Christian Univ, Dept Civil &amp; Environm Engn, Mukono, Uganda; [Kulabako, Robinah] Makerere Univ, Dept Civil &amp; Environm Engn, Kampala, Uganda; [Silvestri, Giorgia] Erasmus Univ, Dutch Res Inst Transit DRIFT, Rotterdam, Netherlands</t>
  </si>
  <si>
    <t>Nastar, M (corresponding author), Lund Univ, Ctr Sustainabil Studies LUCSUS, Box 170, SE-22100 Lund, Sweden.</t>
  </si>
  <si>
    <t>maryam.nastar@lucsus.lu.se</t>
  </si>
  <si>
    <t>Nakawunde Kulabako, Robinah/0000-0003-4934-1116</t>
  </si>
  <si>
    <t>UK Department for International Development (DFID); Economic and Social Research Council (ESRC); Natural and Environment Research Council (NERC) under the UPGro Programme, NERC [NE/M008045/1]; NERC [NE/M008045/1] Funding Source: UKRI</t>
  </si>
  <si>
    <t>UK Department for International Development (DFID); Economic and Social Research Council (ESRC)(UK Research &amp; Innovation (UKRI)Economic &amp; Social Research Council (ESRC)); Natural and Environment Research Council (NERC) under the UPGro Programme, NERC; NERC(UK Research &amp; Innovation (UKRI)Natural Environment Research Council (NERC))</t>
  </si>
  <si>
    <t>The work described above was carried out in the framework of the T-GroUP project. T-GroUP was funded by the UK Department for International Development (DFID), the Economic and Social Research Council (ESRC), and the Natural and Environment Research Council (NERC) under the UPGro Programme, NERC grant number NE/M008045/1.</t>
  </si>
  <si>
    <t>LOCAL ENVIRON</t>
  </si>
  <si>
    <t>Local Environ.</t>
  </si>
  <si>
    <t>Green &amp; Sustainable Science &amp; Technology; Environmental Studies; Geography; Regional &amp; Urban Planning; Urban Studies</t>
  </si>
  <si>
    <t>Science &amp; Technology - Other Topics; Environmental Sciences &amp; Ecology; Geography; Public Administration; Urban Studies</t>
  </si>
  <si>
    <t>HM8GU</t>
  </si>
  <si>
    <t>Belt and Road Initiative; political risks; big data; spatial distribution; kernel density estimation; bivariate Moran's I</t>
  </si>
  <si>
    <t>VIOLENCE</t>
  </si>
  <si>
    <t>[Zhang, Chuchu] Fudan Univ, Sch Int Relat &amp; Publ Affairs, Shanghai 200433, Peoples R China; [Zhang, Chuchu] Univ Cambridge, Dept Polit &amp; Int Studies, Cambridge CB2 1TN, England; [Xiao, Chaowei] Univ Cambridge, Dept Land Econ, Cambridge CB2 1TN, England; [Liu, Helin] Huazhong Univ Sci &amp; Technol, Sch Architecture &amp; Urban Planning, Wuhan 430074, Hubei, Peoples R China; [Liu, Helin] Huazhong Univ Sci &amp; Technol, Smart Planning &amp; Design Collaborat Innovat Res Ct, Wuhan 430074, Hubei, Peoples R China; [Liu, Helin] Huazhong Univ Sci &amp; Technol, Hubei New Urbanizat Engn Technol Res Ctr, Wuhan 430074, Hubei, Peoples R China</t>
  </si>
  <si>
    <t>Xiao, CW (corresponding author), Univ Cambridge, Dept Land Econ, Cambridge CB2 1TN, England.</t>
  </si>
  <si>
    <t>cz297@cam.ac.uk; cx223@cam.ac.uk; hl362@hust.edu.cn</t>
  </si>
  <si>
    <t>Liu, Helin/AAL-5430-2021; Liu, Helin/AAX-2196-2021</t>
  </si>
  <si>
    <t>Intelligent Planning Support System Research fund [D1218006]; Technology Innovation Foundation of Hubei Province [2017ADC073]</t>
  </si>
  <si>
    <t>Intelligent Planning Support System Research fund; Technology Innovation Foundation of Hubei Province</t>
  </si>
  <si>
    <t>The authors of this work would like to give special thanks for the funding support from: (1) The Intelligent Planning Support System Research fund (Grant No. D1218006); (2) The Technology Innovation Foundation of Hubei Province (Grant No. 2017ADC073).</t>
  </si>
  <si>
    <t>HX9TU</t>
  </si>
  <si>
    <t>Green Published, gold, Green Submitted</t>
  </si>
  <si>
    <t>Gilbert, GL; Kerridge, I</t>
  </si>
  <si>
    <t>Gilbert, Gwendolyn L.; Kerridge, Ian</t>
  </si>
  <si>
    <t>The politics and ethics of hospital infection prevention and control: a qualitative case study of senior clinicians' perceptions of professional and cultural factors that influence doctors' attitudes and practices in a large Australian hospital</t>
  </si>
  <si>
    <t>Infection prevention; Healthcare-associated infections; Clinical autonomy; Leadership; Accountability; Unprofessional behaviour</t>
  </si>
  <si>
    <t>HEALTH-CARE WORKERS; HAND HYGIENE PRACTICE; ROLE-MODELS; ACCOUNTABILITY; PHYSICIANS; GUIDELINES; SAFETY; PRECAUTIONS; LEADERSHIP; MORTALITY</t>
  </si>
  <si>
    <t>BackgroundHospital infection prevention and control (IPC) programs are designed to minimise rates of preventable healthcare-associated infection (HAI) and acquisition of multidrug resistant organisms, which are among the commonest adverse effects of hospitalisation. Failures of hospital IPC in recent years have led to nosocomial and community outbreaks of emerging infections, causing preventable deaths and social disruption. Therefore, effective IPC programs are essential, but can be difficult to sustain in busy clinical environments. Healthcare workers' adherence to routine IPC practices is often suboptimal, but there is evidence that doctors, as a group, are consistently less compliant than nurses. This is significant because doctors' behaviours disproportionately influence those of other staff and their peripatetic practice provides more opportunities for pathogen transmission. A better understanding of what drives doctors' IPC practices will contribute to development of new strategies to improve IPC, overall.MethodsThis qualitative case study involved in-depth interviews with senior clinicians and clinician-managers/directors (16 doctors and 10 nurses) from a broad range of specialties, in a large Australian tertiary hospital, to explore their perceptions of professional and cultural factors that influence doctors' IPC practices, using thematic analysis of data.ResultsProfessional/clinical autonomy; leadership and role modelling; uncertainty about the importance of HAIs and doctors' responsibilities for preventing them; and lack of clarity about senior consultants' obligations emerged as major themes. Participants described marked variation in practices between individual doctors, influenced by, inter alia, doctors' own assessment of patients' infection risk and their beliefs about the efficacy of IPC policies. Participants believed that most doctors recognise the significance of HAIs and choose to [mostly] observe organisational IPC policies, but a minority show apparent contempt for accepted rules, disrespect for colleagues who adhere to, or are expected to enforce, them and indifference to patients whose care is compromised.ConclusionsFailure of healthcare and professional organisations to address doctors' poor IPC practices and unprofessional behaviour, more generally, threatens patient safety and staff morale and undermines efforts to minimise the risks of dangerous nosocomial infection.</t>
  </si>
  <si>
    <t>[Gilbert, Gwendolyn L.; Kerridge, Ian] Univ Sydney, Sydney Hlth Eth, Level 1,Bldg 1,Med Fdn Bldg,92-94 Parramatta Rd, Camperdown, NSW 2050, Australia; [Gilbert, Gwendolyn L.] Westmead Inst Med Res, Marie Bashir Inst Infect Dis &amp; Biosecur, 176 Hawkesbury Rd, Westmead, NSW 2145, Australia; [Kerridge, Ian] Royal North Shore Hosp, Dept Haematol, Reserve Rd, St Leonards, NSW 2065, Australia</t>
  </si>
  <si>
    <t>Gilbert, GL (corresponding author), Univ Sydney, Sydney Hlth Eth, Level 1,Bldg 1,Med Fdn Bldg,92-94 Parramatta Rd, Camperdown, NSW 2050, Australia.;Gilbert, GL (corresponding author), Westmead Inst Med Res, Marie Bashir Inst Infect Dis &amp; Biosecur, 176 Hawkesbury Rd, Westmead, NSW 2145, Australia.</t>
  </si>
  <si>
    <t>lyn.gilbert@sydney.edu.au</t>
  </si>
  <si>
    <t>Gilbert, Gwendolyn/0000-0001-7490-6727</t>
  </si>
  <si>
    <t>10.1186/s12913-019-4044-y</t>
  </si>
  <si>
    <t>HS2DI</t>
  </si>
  <si>
    <t>WOS:000463670900003</t>
  </si>
  <si>
    <t>Rajeh, M; Nicolau, B; Qutob, A; Pluye, P; Esfandiari, S</t>
  </si>
  <si>
    <t>Rajeh, M.; Nicolau, B.; Qutob, A.; Pluye, P.; Esfandiari, S.</t>
  </si>
  <si>
    <t>A Survey of the Barriers Affecting the Career Practice and Promotions of Female Dentists in Saudi Arabia</t>
  </si>
  <si>
    <t>JDR CLINICAL &amp; TRANSLATIONAL RESEARCH</t>
  </si>
  <si>
    <t>dentistry; profession; work performance; workplace</t>
  </si>
  <si>
    <t>GENDER-DIFFERENCES; ACADEMIC MEDICINE; WOMEN</t>
  </si>
  <si>
    <t>Introduction: Over the last 40 y, the proportion of women in the profession of dentistry has been growing steadily. The extant literature, although limited, demonstrates that gender differences exist in choice of specialization, practice pattern, and professional attitudes, revealing that women are more likely to work in primary dental care and are less prominent in other dental specialties. Female Saudi dentists, working in the government sector, tend to occupy lower positions in the occupational hierarchy, are paid less, and are less likely to hold consultant positions as compared with men. Objectives: The objectives of this study were to identify barriers faced by female dentists practicing in Saudi Arabia in seeking professional advancement and to determine the variables that influenced respondents' promotions. Methods: In February 2017, a web-based cross-sectional survey was emailed to all female dentists registered with the Saudi Dental Society (N = 2,651). Completed questionnaires (N = 130, response rate = 7.1%) were analyzed with simple summary statistics and a logistic regression analysis to evaluate the association between the dependent variable (promotion) and independent variables (family, environmental, interpersonal, and cultural factors). Results: Most female dentists believed that family, environmental, and cultural factors are challenges to their career practice and progression. Other factors included interpersonal challenges, such as gender discrimination and male dominance in the field of dentistry. Results of the regression analysis revealed that family and environmental factors were significant predictors of whether female dentists would be promoted. Conclusion: Saudi female dentists continue to face significant obstacles in their career practice and advancement. Their role in the workplace needs to be recognized. Factors that obstruct their career advancement should be well understood by dental institutions and efforts should be made to move more female dentists into leadership positions. Knowledge Transfer Statement: Policy makers can use the results of this study to develop strategies to overcome the barriers faced by female dentists in Saudi Arabia with respect to their professional and personal (family) needs. This study could lead to the development of employment incentives and a supportive workplace for female dentists.</t>
  </si>
  <si>
    <t>[Rajeh, M.; Nicolau, B.; Esfandiari, S.] McGill Univ, Fac Dent, Oral Hlth &amp; Soc Res Unit, 2001 McGill Coll Ave,Suite 500, Montreal, PQ H3A 2B2, Canada; [Rajeh, M.] Umm Al Qura Univ, Fac Dent, Prevent Dent, Mecca, Saudi Arabia; [Qutob, A.] King Abdulaziz Univ, Fac Dent, Dept Prevent Dent, Jeddah, Saudi Arabia; [Pluye, P.] McGill Univ, Dept Family Med, Montreal, PQ, Canada</t>
  </si>
  <si>
    <t>Esfandiari, S (corresponding author), McGill Univ, Fac Dent, Oral Hlth &amp; Soc Res Unit, 2001 McGill Coll Ave,Suite 500, Montreal, PQ H3A 2B2, Canada.</t>
  </si>
  <si>
    <t>Shahrokh.esfandiari@mcgill.ca</t>
  </si>
  <si>
    <t>2380-0844</t>
  </si>
  <si>
    <t>2380-0852</t>
  </si>
  <si>
    <t>JDR CLIN TRANSL RES</t>
  </si>
  <si>
    <t>JDR Clin. Transl. Res.</t>
  </si>
  <si>
    <t>10.1177/2380084418815458</t>
  </si>
  <si>
    <t>Dentistry, Oral Surgery &amp; Medicine</t>
  </si>
  <si>
    <t>JC9MC</t>
  </si>
  <si>
    <t>WOS:000489598100011</t>
  </si>
  <si>
    <t>Childhood Obesity; Child Nutrition Programmes; Global Consulting Companies; Kindergartens; Nutrition Education</t>
  </si>
  <si>
    <t>HEALTH-PROMOTION; EDUCATION; SCHOOL; PRESCHOOL; IMPLEMENTATION; BEHAVIORS; TEACHERS; STUDENTS; PARENTS; WEIGHT</t>
  </si>
  <si>
    <t>[Eid, Noura M. S.] King Abdulaziz Univ, Dept Clin Nutr, Fac Appl Med Sci, Jeddah, Saudi Arabia</t>
  </si>
  <si>
    <t>Eid, NMS (corresponding author), King Abdulaziz Univ, Dept Clin Nutr, Fac Appl Med Sci, Jeddah, Saudi Arabia.</t>
  </si>
  <si>
    <t>Ooaeid2@kau.edu.sa</t>
  </si>
  <si>
    <t>United Consulting Group (UCG)</t>
  </si>
  <si>
    <t>We would like to give our sincere appreciation to the interviewers at the United Consulting Group (UCG) for their hard work in collecting data and all respondents who supported our research</t>
  </si>
  <si>
    <t>ENVIRO RESEARCH PUBLISHERS</t>
  </si>
  <si>
    <t>BHOPAL</t>
  </si>
  <si>
    <t>14 GREEN HOUSE, PRINCE COLONY, SHAHJAHANABAD, BHOPAL, MADHYA PRADESH 462 001, INDIA</t>
  </si>
  <si>
    <t>CURR RES NUTR FOOD S</t>
  </si>
  <si>
    <t>Curr. Res. Nutr. Food Sci.</t>
  </si>
  <si>
    <t>IV6BH</t>
  </si>
  <si>
    <t>Ilmenite; Rutile; Zircon; Titanium; Resources; Sustainable mining</t>
  </si>
  <si>
    <t>ROGALAND ANORTHOSITE PROVINCE; APATITE-MAGNETITE DEPOSIT; TELLNES ILMENITE DEPOSIT; SPATIAL-DISTRIBUTION; RUSSIA MINERALOGY; MURRAY BASIN; TECHNOLOGY; ANDALUSITE</t>
  </si>
  <si>
    <t>Cameron.perks@student.rmit.edu.au</t>
  </si>
  <si>
    <t>Mudd, Gavin/0000-0001-7115-1330; Perks, Cameron/0000-0002-0726-6034</t>
  </si>
  <si>
    <t>RMIT University, School of Engineering Stipend Scholarship for PhD candidates</t>
  </si>
  <si>
    <t>This work was supported by RMIT University, School of Engineering Stipend Scholarship for PhD candidates.</t>
  </si>
  <si>
    <t>ORE GEOL REV</t>
  </si>
  <si>
    <t>Ore Geol. Rev.</t>
  </si>
  <si>
    <t>Geology; Mineralogy; Mining &amp; Mineral Processing</t>
  </si>
  <si>
    <t>IB3UZ</t>
  </si>
  <si>
    <t>Environmental impact assessment; Environmental consulting companies; Mineral governance; Mining industry; Guatemala</t>
  </si>
  <si>
    <t>IMPACT; PARTICIPATION; CORRUPTION; AGREEMENTS; MANAGEMENT</t>
  </si>
  <si>
    <t>[Dougherty, Michael L.] Illinois State Univ, Dept Sociol &amp; Anthropol, Campus Box 4660, Normal, IL 61790 USA</t>
  </si>
  <si>
    <t>Dougherty, ML (corresponding author), Illinois State Univ, Dept Sociol &amp; Anthropol, Campus Box 4660, Normal, IL 61790 USA.</t>
  </si>
  <si>
    <t>mdoughe@ilstu.edu</t>
  </si>
  <si>
    <t>U4 Anti-Corruption Resource Center, an Illinois State University Summer Faculty Fellowship; Illinois State University Office of International Studies and Programs International Faculty Travel Grant</t>
  </si>
  <si>
    <t>The author acknowledges funding from the U4 Anti-Corruption Resource Center, an Illinois State University Summer Faculty Fellowship, a sabbatical leave, and an Illinois State University Office of International Studies and Programs International Faculty Travel Grant.</t>
  </si>
  <si>
    <t>HW6JH</t>
  </si>
  <si>
    <t>Environmental management; Environmental management system; Drivers; Challenges; ISO 14001; Emerging countries; Arab countries</t>
  </si>
  <si>
    <t>GREEN SUPPLY CHAIN; ISO-14001; ADOPTION; REGULATIONS; FACILITIES; QUALITY; FIRMS</t>
  </si>
  <si>
    <t>[Waxin, Marie-France; Knuteson, Sandra L.; Bartholomew, Aaron] Amer Univ Sharjah, POB 26666, Sharjah, U Arab Emirates</t>
  </si>
  <si>
    <t>Knuteson, SL (corresponding author), Amer Univ Sharjah, POB 26666, Sharjah, U Arab Emirates.</t>
  </si>
  <si>
    <t>sknuteson@aus.edu</t>
  </si>
  <si>
    <t>Knuteson, Sandra L/C-4289-2008; Waxin, Marie-France/X-1282-2018; Bartholomew, Aaron/ABB-8216-2020</t>
  </si>
  <si>
    <t>American University of Sharjah</t>
  </si>
  <si>
    <t>The authors' appreciation goes out to all the participating companies, environmental managers and the research assistants that helped with this project, and the financial support of the American University of Sharjah.</t>
  </si>
  <si>
    <t>ENVIRON MANAGE</t>
  </si>
  <si>
    <t>Environ. Manage.</t>
  </si>
  <si>
    <t>HW5JE</t>
  </si>
  <si>
    <t>Collaborative learning; Governance; Landscape; Sustainability; Rural and regional development</t>
  </si>
  <si>
    <t>BIODIVERSITY CONSERVATION; WOOD PRODUCTION; GOVERNANCE; CERTIFICATION; OUTCOMES; SWEDEN; POLICY; WEST; IMPLEMENTATION; OBJECTIVES</t>
  </si>
  <si>
    <t>[Angelstam, Per; Elbakidze, Marine] Swedish Univ Agr Sci, Fac Forest Sci, Sch Forest Management, POB 43, SE-73921 Skinnskatteberg, Sweden; [Axelsson, Robert] Western Visayas Integrated Learning Ctr, Iloilo, Philippines; [Khoroshev, Alexander] Moscow Lomonosov State Univ, Dept Phys Geog &amp; Landscape Sci, 1 Leninskiye Gory,GSP 1, Moscow 119991, Russia; [Pedroli, Bas] Wageningen Univ, Land Use Planning Grp, POB 47, NL-6700 AA Wageningen, Netherlands; [Tysiachniouk, Maria] Ctr Independent Social Res, St Petersburg, Russia; [Zabubenin, Evgeny] LLC IKEA TORG, Microreg IKEA, Moscow 141400, Russia; [Tysiachniouk, Maria] Wageningen Univ, Environm Policy Grp, POB 47, NL-6700 AA Wageningen, Netherlands; [Khoroshev, Alexander] Schelinska Gatan 4, SE-73232 Arboga, Sweden; [Zabubenin, Evgeny] IKEA Sweden AB, POB 702, SE-34381 Almhult, Sweden</t>
  </si>
  <si>
    <t>Angelstam, P (corresponding author), Swedish Univ Agr Sci, Fac Forest Sci, Sch Forest Management, POB 43, SE-73921 Skinnskatteberg, Sweden.</t>
  </si>
  <si>
    <t>per.angelstam@slu.se; marine.elbakidze@slu.se; robert@manrax.com; bas.pedroli@wur.nl; evgeny.zabubenin@ikea.com</t>
  </si>
  <si>
    <t>Khoroshev, Alexander/ABC-8127-2020; Angelstam, Per/AAN-9211-2020; Tysiachniouk, Maria/Y-8418-2019; Pedroli, Bas/E-1352-2016</t>
  </si>
  <si>
    <t>Marcus and Amelia Wallenbergs Minnesfond (2005-12); Swedish Research Council Formas [2011-1737, 2017: 1342, 2017-826]; Swedish Institute [10976/2013]; SIDA; EU InterReg</t>
  </si>
  <si>
    <t>Marcus and Amelia Wallenbergs Minnesfond (2005-12); Swedish Research Council Formas(Swedish Research CouncilSwedish Research Council Formas); Swedish Institute; SIDA; EU InterReg</t>
  </si>
  <si>
    <t>This long-term work was funded by grants from Marcus and Amelia Wallenbergs Minnesfond (2005-12) and the Swedish Research Council Formas [grant numbers 2011-1737, 2017: 1342] to Per Angelstam, by the Swedish Institute [grant number 10976/2013] and the Swedish Research Council Formas [grant number 2017-826] to Marine Elbakidze, and based on participation in development projects with Russia funded by SIDA and EU InterReg. We thank Peter Besseau and Brian Bonnell for providing data about Gassinski Model Forest and for valuable comments; Mark Johnstone, Christa Mooney, Yurij Pautov and Johan Svensson for contributing to the analysis of the temporal dynamic of circumboreal Model Forest initiatives; and Fatima Cruz and the reviewers for constructive comments.</t>
  </si>
  <si>
    <t>HL5XS</t>
  </si>
  <si>
    <t>Kruger, W; Stritzke, S; Trotter, PA</t>
  </si>
  <si>
    <t>Kruger, Wikus; Stritzke, Susann; Trotter, Philipp A.</t>
  </si>
  <si>
    <t>De-risking solar auctions in sub-Saharan Africa - A comparison of site selection strategies in South Africa and Zambia</t>
  </si>
  <si>
    <t>Renewable energy procurement; Competitive tendering; Energy governance; Investment risks; Sustainable development</t>
  </si>
  <si>
    <t>MULTICRITERIA DECISION-MAKING; WIND POWER; ENVIRONMENTAL IMPACTS; ENERGY; IMPLEMENTATION; LOCATION; BARRIERS; SYSTEM; SECTOR; NIMBY</t>
  </si>
  <si>
    <t>While auctions are becoming increasingly popular for tendering renewable energy projects to private developers in Africa, their specific project risk implications are not yet fully understood. This paper identifies project risks arising from two types of auction schemes. It compares an approach where the government pre-selects the sites for future renewable energy plants in Zambia's Scaling Solar initiative to one where project developers choose, secure and conduct due diligence on their sites before bidding in South Africa's Africa's Renewable Energy Independent Power Producers Procurement Programme (REI4P). Semi-structured interviews with developers who have participated in both schemes reveal notably different risk profiles. Despite contrary intentions, site specific risks have been perceived as the highest overall project risk in the government-led site selection process in Zambia. Specifically, site-specific risks were driven by several severe technical issues such as geotechnical, grid connection and solar irradiation uncertainties. In contrast, in South Africa's developer-led site selection process, site-specific risks have been reported to be important, but less pronounced, and more evenly distributed among technical, economic, legal, permitting and social risk factors. This paper recommends an auction design which minimises project risks for all stakeholders. Where governments pre-select sites, closely consulting the private sector is advisable prior to bidding to identify and mitigate technical and other site-specific risks.</t>
  </si>
  <si>
    <t>[Kruger, Wikus] Univ Cape Town, Grad Sch Business, ZA-8002 Cape Town, South Africa; [Stritzke, Susann; Trotter, Philipp A.] Univ Oxford, Smith Sch Enterprise &amp; Environm, Oxford OX1 3QY, England</t>
  </si>
  <si>
    <t>Kruger, W (corresponding author), Univ Cape Town, Grad Sch Business, ZA-8002 Cape Town, South Africa.</t>
  </si>
  <si>
    <t>wikus.kruger@gsb.uct.ac.za</t>
  </si>
  <si>
    <t>Trotter, Philipp/T-6260-2019</t>
  </si>
  <si>
    <t>Kruger, Wikus/0000-0002-0979-8181; Trotter, Philipp/0000-0003-0590-4546; Stritzke, Susann/0000-0001-7354-1092</t>
  </si>
  <si>
    <t>British Academy [GF 160016]; UK Department for International Development [P000022908]</t>
  </si>
  <si>
    <t>British Academy; UK Department for International Development</t>
  </si>
  <si>
    <t>This work was supported by the British Academy [Grant number GF 160016 Making Light Work]; and the UK Department for International Development [Grant number P000022908].</t>
  </si>
  <si>
    <t>10.1016/j.rser.2019.01.041</t>
  </si>
  <si>
    <t>HK9FE</t>
  </si>
  <si>
    <t>WOS:000458294500032</t>
  </si>
  <si>
    <t>HEALTH IMPACT; NUCLEAR</t>
  </si>
  <si>
    <t>[Kopack, Robert A.] Univ Toronto, Dept Geog &amp; Planning, Toronto, ON M5S 3G3, Canada</t>
  </si>
  <si>
    <t>Kopack, RA (corresponding author), Univ Toronto, Dept Geog &amp; Planning, Toronto, ON M5S 3G3, Canada.</t>
  </si>
  <si>
    <t>robert.kopack@mail.utoronto.ca</t>
  </si>
  <si>
    <t>Department of Geography at the University of North Carolina at Chapel Hill</t>
  </si>
  <si>
    <t>Much gratitude to Robert Lewis and Matt Farish for helping this article come together with their unmatched thoroughness to detail, insight, and patience. Many thanks to Magdalena Stawkowski for her invaluable comments and intellectual community. My sincere appreciation to Lynne Viola and the terrific reading group that she sponsors who closely read this article in Toronto; to the Department of Geography at the University of North Carolina at Chapel Hill, Scott Kirsch and John Pickles, who sponsored a guest lecture to present this work; to my colleagues at the University of Toronto, Kilian McCormack, Lazar Konforti, and Travis Bost. My deepest thanks to Dima and Yulia Kalmykov, Dana Yermalyonok, and other colleagues in Karaganda, without whom this research would never have been possible. To all of those I spoke with in Kazakhstan about Baikonur whose names have been changed, thank you so much. This work is a testament to your time, generosity, and trust. My sincere thanks to the special issue editor James McCarthy, managing editor Jennifer Cassidento, and the anonymous peer reviewers for their work.</t>
  </si>
  <si>
    <t>HP7UF</t>
  </si>
  <si>
    <t>Environmental planning; collaborative governance; consultants; IWRM</t>
  </si>
  <si>
    <t>STAKEHOLDER PARTICIPATION; PUBLIC-PARTICIPATION; WATERSHED MANAGEMENT; INSTITUTIONS; QUALITY; COMANAGEMENT; PERFORMANCE; LEGITIMACY; FRAMEWORK; IMPACTS</t>
  </si>
  <si>
    <t>[Scott, Tyler A.] Univ Calif Davis, Dept Environm Sci &amp; Policy, Davis, CA 95616 USA; [Carter, David P.] Univ Utah, Dept Polit Sci, Salt Lake City, UT USA</t>
  </si>
  <si>
    <t>Scott, TA (corresponding author), Univ Calif Davis, Environm Sci &amp; Policy, 2141 Wickson Hall, Davis, CA 95616 USA.</t>
  </si>
  <si>
    <t>HM0TI</t>
  </si>
  <si>
    <t>Montano, M; Fischer, TB</t>
  </si>
  <si>
    <t>Montano, Marcelo; Fischer, Thomas B.</t>
  </si>
  <si>
    <t>Towards a more effective approach to the development and maintenance of SEA guidance</t>
  </si>
  <si>
    <t>Strategic Environmental Assessment guidance; effectiveness; quality standards; legal requirements; flexibility</t>
  </si>
  <si>
    <t>STRATEGIC ENVIRONMENTAL ASSESSMENT; IMPACT ASSESSMENT; CRITERIA</t>
  </si>
  <si>
    <t>Written guidance can contribute to the development of effective SEA, delivering relevant information for those involved in policy, plan and programme making processes. Generally speaking, guidance should aim at setting best practice standards. However, to date, how guidance is impacting on SEA effectiveness and how it is best developed and maintained has not been explored to any great extent. As a consequence, it has remained unclear how a key ingredient of effective SEA, namely the support of an enabling context, should be approached. In this paper, we look at the perceived relevance of written guidance for the delivery of effective SEA, based on a two-stage survey with 26 practitioners (all with over 10 years of experience) from the UK and the Republic of Ireland, conducted between 2015 and 2017. Survey participants included representatives of the regulatory, consultancy and academic sectors. Our findings indicate that guidance can promote SEA effectiveness if it: (a) aims to go beyond basic legislative requirements; (b) is able to respond to the specific situation of application; (c) can establish a minimum standard for SEA; and (d) is able to stimulate the advancement of quality standards within a tiered approach to SEA.</t>
  </si>
  <si>
    <t>[Montano, Marcelo] Univ Sao Paulo, Sao Carlos Sch Engn, Res Cluster Environm Policy Instruments, Sao Carlos, SP, Brazil; [Fischer, Thomas B.] Univ Liverpool, Sch Environm Sci, Environm Assessment &amp; Management Res Ctr, Liverpool, Merseyside, England</t>
  </si>
  <si>
    <t>Montano, M (corresponding author), Univ Sao Paulo, Sao Carlos Sch Engn, Res Cluster Environm Policy Instruments, Sao Carlos, SP, Brazil.</t>
  </si>
  <si>
    <t>minduim@sc.usp.br</t>
  </si>
  <si>
    <t>Fischer, Thomas/ABD-5130-2021; Montaño, Marcelo/V-6481-2019</t>
  </si>
  <si>
    <t>Montaño, Marcelo/0000-0003-0001-8801</t>
  </si>
  <si>
    <t>Fundacao de Amparo a Pesquisa do Estado de Sao Paulo [2017/00095-2]</t>
  </si>
  <si>
    <t>Fundacao de Amparo a Pesquisa do Estado de Sao Paulo(Fundacao de Amparo a Pesquisa do Estado de Sao Paulo (FAPESP))</t>
  </si>
  <si>
    <t>This work was supported by the Fundacao de Amparo a Pesquisa do Estado de Sao Paulo [2017/00095-2].</t>
  </si>
  <si>
    <t>10.1080/14615517.2018.1550185</t>
  </si>
  <si>
    <t>HL4IH</t>
  </si>
  <si>
    <t>WOS:000458680400003</t>
  </si>
  <si>
    <t>AIRBRUSHED THIN IDEAL; EATING-DISORDERS; BODY-IMAGE; MEDICAL COMPLICATIONS; DISCLAIMER LABELS; ANOREXIA-NERVOSA; BULIMIA-NERVOSA; PREVALENCE; COMORBIDITY; DISSATISFACTION</t>
  </si>
  <si>
    <t>[McBride, Caitlin; Costello, Nancy] Michigan State Univ, Coll Law, E Lansing, MI 48824 USA; [Ambwani, Suman] Dickinson Coll, Dept Psychol, Carlisle, PA 17013 USA; [Wilhite, Brcannc; Austin, S. Bryn] Harvard TH Chan Sch Publ Hlth, Dept Social &amp; Behav Sci, Boston, MA USA; [Austin, S. Bryn] Boston Childrens Hosp, Div Adolescent &amp; Young Adult Med, Boston, MA USA; [Austin, S. Bryn] Harvard Med Sch, Dept Pediat, Boston, MA 02115 USA</t>
  </si>
  <si>
    <t>McBride, C (corresponding author), Michigan State Univ, Coll Law, E Lansing, MI 48824 USA.</t>
  </si>
  <si>
    <t>AM J LAW MED</t>
  </si>
  <si>
    <t>Am. J. Law Med.</t>
  </si>
  <si>
    <t>II8NK</t>
  </si>
  <si>
    <t>active labour market policies; employability; job-search; young job seekers; youth unemployment</t>
  </si>
  <si>
    <t>SELF-PERCEIVED EMPLOYABILITY; DECISION-MAKING; MENTAL-HEALTH; BARRIERS; UNEMPLOYMENT; WORK; IDENTITY; RECRUITMENT; EXPERIENCES; EMPLOYERS</t>
  </si>
  <si>
    <t>[Moore, Katherine] Queensland Univ Technol, Sch Management, Brisbane, Qld, Australia</t>
  </si>
  <si>
    <t>Moore, K (corresponding author), QUT Business Sch, Brisbane, Qld, Australia.</t>
  </si>
  <si>
    <t>k3.moore@qut.edu.au</t>
  </si>
  <si>
    <t>AUST J SOC ISSUES</t>
  </si>
  <si>
    <t>Aust. J. Soc. Iss.</t>
  </si>
  <si>
    <t>HQ2BP</t>
  </si>
  <si>
    <t>Energy advice; Craftspeople; Retrofit; Domestic energy consumption; Construction; Framing theory; System of professions</t>
  </si>
  <si>
    <t>[Fyhn, Hakon] NTNU Social Res, Dragvoll Alle 38B, Trondheim, Norway; [Soraa, Roger Andre; Solli, Joran] NTNU, N-7091 Trondheim, Norway</t>
  </si>
  <si>
    <t>Fyhn, H (corresponding author), NTNU Social Res, Dragvoll Alle 38B, Trondheim, Norway.</t>
  </si>
  <si>
    <t>hakon.fyhn@ntnu.no; roger.soraa@ntnu.no; joran.solli@ntnu.no</t>
  </si>
  <si>
    <t>Norwegian Research Council [235514]</t>
  </si>
  <si>
    <t>Norwegian Research Council(Research Council of NorwayEuropean Commission)</t>
  </si>
  <si>
    <t>This works was supported by the Norwegian Research Council project 'Crafting Climate Transitions from Below' (235514).</t>
  </si>
  <si>
    <t>HN8KO</t>
  </si>
  <si>
    <t>flood risk; flooding; climate change; climate resilience; India; Kolkata; Mumbai; disaster mitigation; resilience</t>
  </si>
  <si>
    <t>CLIMATE-CHANGE; POLITICAL ECOLOGY; RISK; ADAPTATION; CITY; INFORMALITY; KOLKATA</t>
  </si>
  <si>
    <t>[Weinstein, Liza] Northeastern Univ, Dept Sociol &amp; Anthropol, 360 Huntington Ave, Boston, MA 02115 USA; [Rumbach, Andrew] Univ Colorado, Dept Urban &amp; Reg Planning, 1250 14th St,Suite 2000, Denver, CO 80202 USA; [Sinha, Saumitra] H-1-3 Hauz Khas, New Delhi 110016, India</t>
  </si>
  <si>
    <t>Weinstein, L (corresponding author), Northeastern Univ, Dept Sociol &amp; Anthropol, 360 Huntington Ave, Boston, MA 02115 USA.</t>
  </si>
  <si>
    <t>l.weinstein@neu.edu; andrew.rumbach@ucdenver.edu; ss3472@cornell.edu</t>
  </si>
  <si>
    <t>INT J URBAN REGIONAL</t>
  </si>
  <si>
    <t>Int. J. Urban Reg. Res.</t>
  </si>
  <si>
    <t>Geography; Regional &amp; Urban Planning; Urban Studies</t>
  </si>
  <si>
    <t>Geography; Public Administration; Urban Studies</t>
  </si>
  <si>
    <t>HN1IB</t>
  </si>
  <si>
    <t>D'Acunto, LE; Zollner, PA</t>
  </si>
  <si>
    <t>D'Acunto, Laura E.; Zollner, Patrick A.</t>
  </si>
  <si>
    <t>Factors influencing endangered bat conservation management by professional foresters</t>
  </si>
  <si>
    <t>Bat management; Endangered species; Environmental guidelines; Voluntary management</t>
  </si>
  <si>
    <t>SELF-REGULATION; UNITED-STATES; SOCIAL NORMS; PRIVATE; POLICY; VALUES; ROOST; NONRESPONSE; PROTECTION; ATTITUDES</t>
  </si>
  <si>
    <t>Integration of conservation efforts that benefit endangered species in forest lands of the U.S. are highly dependent on the decisions made by professional foresters. Federal guidelines generally do not require private landowners to search for endangered species before conducting forest management activities. Because private lands make up 85% of Indiana's forests, recommendations by professional foresters can influence a large proportion of the management decisions made on Indiana bat (Myotis sodalis) habitat in the state. Thus, we wanted to determine what factors lead professional foresters in Indiana to adopt management strategies that benefit bat conservation. We conducted an online survey of Indiana consultant and state foresters to address two main objectives: (1) to assess forester understanding of guidelines for adequate bat habitat, and (2) to identify the factors that influence professional forester intention to manage forests to improve bat habitat quality. For a subset of survey respondents, we also determined whether forester intent to manage for Indiana bat habitat translated to on-the-ground behavior via an assessment of their stands marked for single-tree selection harvest. We found that most respondents knew some of the forest management guidelines for the Indiana bat, but few were familiar with all guidelines. Through structural equation modeling, we determined that intention to manage forests for the Indiana bat was influenced most by whether foresters believed following the guidelines would strongly influence the conservation of the species. We found a difference in the relative strength (path loading) of this factor between government and consultant foresters. We assessed the management decisions of a subsample of our survey respondents and found that respondent's decisions aligned with their intention to maintain or create Indiana bat habitat. We suggest two strategies can be employed to improve the habitat management occurring on private lands in Indiana: (1) increasing forester knowledge of federal guidelines and (2) providing evidence to foresters that these guidelines directly contribute to Indiana bat conservation.</t>
  </si>
  <si>
    <t>[D'Acunto, Laura E.; Zollner, Patrick A.] Purdue Univ, Dept Forestry &amp; Nat Resources, 195 Marsteller St, W Lafayette, IN 47907 USA</t>
  </si>
  <si>
    <t>D'Acunto, LE (corresponding author), Purdue Univ, Dept Forestry &amp; Nat Resources, 195 Marsteller St, W Lafayette, IN 47907 USA.</t>
  </si>
  <si>
    <t>ldacunto@purdue.edu; pzollner@purdue.edu</t>
  </si>
  <si>
    <t>D'Acunto, Laura/0000-0001-6227-0143</t>
  </si>
  <si>
    <t>USDA National Institute of Food and Agriculture McIntire Stennis project [1010322]</t>
  </si>
  <si>
    <t>USDA National Institute of Food and Agriculture McIntire Stennis project</t>
  </si>
  <si>
    <t>We thank Liz Jackson and Scott Haulton for their help in identifying survey recipients; the 5 anonymous foresters who allowed us to assess their timber stands; Joy O'Keefe for allowing us to access known Indiana bat roosts; and Linda Prokopy and Sarah Church for early suggestions on survey design. We thank Rob Swihart, Elizabeth Flaherty, Mike Jenkins, Joy O'Keefe, and Zhao Ma for reviewing early versions of this manuscript. This work was supported by the USDA National Institute of Food and Agriculture McIntire Stennis project #1010322.</t>
  </si>
  <si>
    <t>FOREST ECOL MANAG</t>
  </si>
  <si>
    <t>For. Ecol. Manage.</t>
  </si>
  <si>
    <t>10.1016/j.foreco.2018.12.025</t>
  </si>
  <si>
    <t>HK1HY</t>
  </si>
  <si>
    <t>WOS:000457657100016</t>
  </si>
  <si>
    <t>Bourdieu; critical realism; entrepreneurship; networks; reflexivity; self-employment</t>
  </si>
  <si>
    <t>POLISH ENTREPRENEURS; FORMS</t>
  </si>
  <si>
    <t>[Vincent, Steve] Newcastle Univ, Work &amp; Org, Business Sch, 5 Barrack Rd, Newcastle Upon Tyne NE1 4SE, Tyne &amp; Wear, England; [Pagan, Victoria] Newcastle Univ, Strateg Management, Business Sch, 5 Barrack Rd, Newcastle Upon Tyne NE1 4SE, Tyne &amp; Wear, England</t>
  </si>
  <si>
    <t>Vincent, S (corresponding author), Newcastle Univ, Business Sch, 5 Barrack Rd, Newcastle Upon Tyne NE1 4SE, Tyne &amp; Wear, England.</t>
  </si>
  <si>
    <t>steve.vincent@newastle.ac.uk; victoria.pagan@newcastle.ac.uk</t>
  </si>
  <si>
    <t>HUM RELAT</t>
  </si>
  <si>
    <t>Hum. Relat.</t>
  </si>
  <si>
    <t>Management; Social Sciences, Interdisciplinary</t>
  </si>
  <si>
    <t>HI4CT</t>
  </si>
  <si>
    <t>Dougherty, HC; Ahmadi, A; Oltjen, JW; Mitloehner, FM; Kebreab, E</t>
  </si>
  <si>
    <t>Dougherty, H. C.; Ahmadi, A.; Oltjen, J. W.; Mitloehner, F. M.; Kebreab, E.</t>
  </si>
  <si>
    <t>Review: Modeling production and environmental impacts of small ruminants-Incorporation of existing ruminant modeling techniques, and future directions for research and extension</t>
  </si>
  <si>
    <t>APPLIED ANIMAL SCIENCE</t>
  </si>
  <si>
    <t>sheep; environmental assessment; ruminant nutrition; model development; grazing</t>
  </si>
  <si>
    <t>GREENHOUSE-GAS EMISSIONS; EVALUATING CATTLE DIETS; LIFE-CYCLE ASSESSMENT; CORNELL NET CARBOHYDRATE; PROTEIN SYSTEM; CARBON FOOTPRINT; LACTATING COW; MILK-PRODUCTION; LAND-USE; METABOLISM</t>
  </si>
  <si>
    <t>Mathematical models are a useful part of extension and researcher collaboration with producers and policymakers. Although many models of large ruminant production exist, with a wide variety of objectives and users, the range available to small ruminant producers is limited. This review summarizes the current state of models available to small ruminant research, identifies data gaps that could be filled to improve representation of current small ruminant production practices, and suggests a framework that could be used to develop a suite of models to improve small ruminant research at the research and consultant levels and research and teaching levels and to improve system-level assessment of environmental impacts.</t>
  </si>
  <si>
    <t>[Dougherty, H. C.; Ahmadi, A.; Oltjen, J. W.; Mitloehner, F. M.; Kebreab, E.] Univ Calif Davis, Dept Anim Sci, Davis, CA 95616 USA</t>
  </si>
  <si>
    <t>Dougherty, HC (corresponding author), Univ Calif Davis, Dept Anim Sci, Davis, CA 95616 USA.</t>
  </si>
  <si>
    <t>hollandchdougherty@gmail.com</t>
  </si>
  <si>
    <t>Dougherty, Holland/X-4717-2019</t>
  </si>
  <si>
    <t>Dougherty, Holland/0000-0001-9918-4986</t>
  </si>
  <si>
    <t>James Beard Foundation National Scholars Program; Sesnon Endowed Chair Program at the University of California, Davis</t>
  </si>
  <si>
    <t>James Beard Foundation National Scholars Program; Sesnon Endowed Chair Program at the University of California, Davis(University of California System)</t>
  </si>
  <si>
    <t>The authors thank MaryVail Baucom for suggestions regarding an earlier draft of the manuscript, Luis Tedeschi of Texas A&amp;M for additional information regarding the RNS model, and Jay Angerer of Texas A&amp;M AgriLife Research &amp; Extension-Blackland for additional information regarding the NUTBAL model. The authors acknowledge funding from the James Beard Foundation National Scholars Program as well as from the Sesnon Endowed Chair Program at the University of California, Davis.</t>
  </si>
  <si>
    <t>2590-2873</t>
  </si>
  <si>
    <t>2590-2865</t>
  </si>
  <si>
    <t>APPL ANIM SCI</t>
  </si>
  <si>
    <t>Appl. Anim. Sci.</t>
  </si>
  <si>
    <t>10.15232/aas.2018-01753</t>
  </si>
  <si>
    <t>LV0ZG</t>
  </si>
  <si>
    <t>WOS:000538171600014</t>
  </si>
  <si>
    <t>flexible work arrangements; flexible working; paradox; paradoxical tensions; psychological contract; workplace flexibility</t>
  </si>
  <si>
    <t>FLEXIBLE WORKING ARRANGEMENTS; HUMAN-RESOURCE PRACTICES; PSYCHOLOGICAL CONTRACT; PERCEIVED FLEXIBILITY; I-DEALS; LIFE; PERFORMANCE; MANAGEMENT; COMMITMENT; ATTITUDES</t>
  </si>
  <si>
    <t>[Canibano, Almudena] ESCP Europe, Human Resource Management, Madrid, Spain</t>
  </si>
  <si>
    <t>Canibano, A (corresponding author), ESCP Europe, Dept Management, Madrid Campus,Arroyofresno 1, Madrid 28035, Spain.</t>
  </si>
  <si>
    <t>acanibano@escpeurope.eu</t>
  </si>
  <si>
    <t>Cañibano, Almudena/GLT-7190-2022</t>
  </si>
  <si>
    <t>Canibano, Almudena/0000-0001-6053-4088</t>
  </si>
  <si>
    <t>Fundacion Ramon Areces</t>
  </si>
  <si>
    <t>This research was supported by funding from Fundacion Ramon Areces.</t>
  </si>
  <si>
    <t>Circular economy; Circularity indicators; Taxonomy; Selection tool</t>
  </si>
  <si>
    <t>SUSTAINABILITY INDICATORS; PRODUCT DESIGN; ECO-INNOVATION; CHINA; PERFORMANCE; LEVEL; CATEGORIZATION; IMPLEMENTATION; STRATEGIES; MANAGEMENT</t>
  </si>
  <si>
    <t>[Saidani, Michael; Yannou, Bernard; Leroy, Yann; Cluzel, Francois] Univ Paris Saclay, Lab Genie Ind, Cent Supelec, Paris, France; [Kendall, Alissa] Univ Calif Davis, Dept Civil &amp; Environm Engn, Davis, CA 95616 USA</t>
  </si>
  <si>
    <t>Saidani, M (corresponding author), Univ Paris Saclay, Lab Genie Ind, Cent Supelec, Paris, France.</t>
  </si>
  <si>
    <t>michael.saidani@centralesupelec.fr</t>
  </si>
  <si>
    <t>Kendall, Alissa/0000-0003-1964-9080; Saidani, Michael/0000-0002-8269-4477</t>
  </si>
  <si>
    <t>HB5MP</t>
  </si>
  <si>
    <t>Environmental management; Environmental performance; Institutional theory; Institutional factors</t>
  </si>
  <si>
    <t>SUPPLY CHAIN MANAGEMENT; CORPORATE SOCIAL-RESPONSIBILITY; FINANCIAL PERFORMANCE; MANUFACTURING PERFORMANCE; SUSTAINABLE DEVELOPMENT; SYMBOLIC MANAGEMENT; FIRM PERFORMANCE; GREEN; INDUSTRY; IMPACT</t>
  </si>
  <si>
    <t>[Yang, Yefei] Beijing Jiaotong Univ, Dept Logist Management, Beijing, Peoples R China; [Lau, Antonio K. W.] Kyung Hee Univ, Sch Management, Seoul, South Korea; [Lee, Peter K. C.; Yeung, Andy C. L.; Cheng, T. C. Edwin] Hong Kong Polytech Univ, Dept Logist &amp; Maritime Studies, Kowloon, Hong Kong, Peoples R China</t>
  </si>
  <si>
    <t>Lau, AKW (corresponding author), Kyung Hee Univ, Sch Management, Seoul, South Korea.</t>
  </si>
  <si>
    <t>antoniolau@khu.ac.kr</t>
  </si>
  <si>
    <t>jam, amir/O-6460-2019; Lau, Antonio K.W./AAP-5941-2021; Cheng, T. C. E./D-5688-2015</t>
  </si>
  <si>
    <t>Cheng, T. C. E./0000-0001-5127-6419; Yang, Yefei/0000-0002-0617-4162; Lau, Antonio/0000-0002-2748-4282; LEE, Ka Chun/0000-0001-6435-800X</t>
  </si>
  <si>
    <t>Fundamental Funds for Humanities and Social Science of Beijing Jiaotong University [B17JB00020]; National Natural Science Foundation of China [71661167009]; Hong Kong Polytechnic University; Kyung Hee University [20140695]</t>
  </si>
  <si>
    <t>Fundamental Funds for Humanities and Social Science of Beijing Jiaotong University; National Natural Science Foundation of China(National Natural Science Foundation of China (NSFC)); Hong Kong Polytechnic University(Hong Kong Polytechnic University); Kyung Hee University</t>
  </si>
  <si>
    <t>This study is supported in part by the Fundamental Funds for Humanities and Social Science of Beijing Jiaotong University (Grant No. B17JB00020), National Natural Science Foundation of China (Grant No. 71661167009) and The Hong Kong Polytechnic University (Project Code: G-UADS). This work was supported by Kyung Hee University (Grant No. 20140695).</t>
  </si>
  <si>
    <t>INT J OPER PROD MAN</t>
  </si>
  <si>
    <t>Int. J. Oper. Prod. Manage.</t>
  </si>
  <si>
    <t>HE3UZ</t>
  </si>
  <si>
    <t>Vallejo, B; Oyelaran-Oyeyinka, B; Ozor, N; Bolo, M</t>
  </si>
  <si>
    <t>Vallejo, Bertha; Oyelaran-Oyeyinka, Banji; Ozor, Nicholas; Bolo, Maurice</t>
  </si>
  <si>
    <t>Open Innovation and Innovation Intermediaries in Sub-Saharan Africa</t>
  </si>
  <si>
    <t>Innovation policy; innovation intermediaries; science-technology and innovation (STI); open innovation; public-private partnerships in research and innovation (PPPs in RI); Science Granting Councils (SGCs); sub-Saharan Africa</t>
  </si>
  <si>
    <t>RESEARCH-AND-DEVELOPMENT; PUBLIC-PRIVATE PARTNERSHIPS; TECHNOLOGY-TRANSFER; ORGANIZATIONS; KNOWLEDGE; POLICY; SYSTEMS; CONSULTANTS; LINKS</t>
  </si>
  <si>
    <t>This study explores the innovation intermediaries' landscape in sub-Saharan Africa, considering Science Granting Councils (SGCs) as the key intermediaries in the system. Based on extensive desk research, personal interviews, and an online survey, the study discusses the roles and functions performed by SGCs as intermediators and influences of science, technology, and innovation (STI) policy. The results of the analysis corroborate the need for institutional and systemic changes to enable SGCs to perform their role. The realities, resources, and constraints at the local level cry out for the adaptation of current and future partnerships to the local context. The study concludes that only by tailoring partnerships to the development of capacity at the local level can SGCs perform effectively as influencers of national STI policy and mediators of partnerships with foreign development actors.</t>
  </si>
  <si>
    <t>[Vallejo, Bertha] Tilburg Univ, Tilburg Sch Econ &amp; Management, NL-5000 LE Tilburg, Netherlands; [Vallejo, Bertha] UNU MERIT, NL-6211 AX Maastricht, Netherlands; [Vallejo, Bertha] El Colegio Frontera Norte, Social Studies Dept, Tijuana 22560, Mexico; [Oyelaran-Oyeyinka, Banji] African Dev Bank, 01 BP 1387, Abidjan 01, Cote Ivoire; [Ozor, Nicholas] African Technol Policy Studies Network, Nairobi 00100, Kenya; [Bolo, Maurice] Scinnovent Ctr, Nairobi 00100, Kenya</t>
  </si>
  <si>
    <t>Vallejo, B (corresponding author), Tilburg Univ, Tilburg Sch Econ &amp; Management, NL-5000 LE Tilburg, Netherlands.;Vallejo, B (corresponding author), UNU MERIT, NL-6211 AX Maastricht, Netherlands.;Vallejo, B (corresponding author), El Colegio Frontera Norte, Social Studies Dept, Tijuana 22560, Mexico.</t>
  </si>
  <si>
    <t>bvallejo@tilburguniversity.edu; banjioyeyinka@gmail.com; nozor@atpsnet.org; bolo@scinnovent.org</t>
  </si>
  <si>
    <t>Vallejo, Bertha/S-2774-2018; Vallejo, Bertha/C-4351-2015</t>
  </si>
  <si>
    <t>Vallejo, Bertha/0000-0002-5875-7343; Vallejo, Bertha/0000-0002-5875-7343</t>
  </si>
  <si>
    <t>theme four of the Science Granting Councils Initiative - IDRC; DFID; NRF South Africa</t>
  </si>
  <si>
    <t>theme four of the Science Granting Councils Initiative - IDRC; DFID; NRF South Africa(National Research Foundation - South Africa)</t>
  </si>
  <si>
    <t>The research was funded under theme four of the Science Granting Councils Initiative supported by IDRC, DFID, and NRF South Africa. Our deep gratitude goes to those interviewed who shared with us their experiences, knowledge, and time. The usual caveats apply.</t>
  </si>
  <si>
    <t>10.3390/su11020392</t>
  </si>
  <si>
    <t>HJ4FR</t>
  </si>
  <si>
    <t>WOS:000457129900096</t>
  </si>
  <si>
    <t>Advocacy; brand; experiential; sales; sustainability</t>
  </si>
  <si>
    <t>[Borders, Aberdeen Leila; Lester, Deborah H.] Kennesaw State Univ, Dept Mkt &amp; Profess Sales, 560 Parliament Garden Way MD0406, Kennesaw, GA 30144 USA</t>
  </si>
  <si>
    <t>Borders, AL (corresponding author), Kennesaw State Univ, Dept Mkt &amp; Profess Sales, 560 Parliament Garden Way MD0406, Kennesaw, GA 30144 USA.</t>
  </si>
  <si>
    <t>aborder4@kennesaw.edu</t>
  </si>
  <si>
    <t>J GLOB SCHOLARS MARK</t>
  </si>
  <si>
    <t>J. Glob. Scholars Mark. Sci.</t>
  </si>
  <si>
    <t>HH6OS</t>
  </si>
  <si>
    <t>ONLINE SAMPLE; MENTAL-HEALTH; TRANSGENDER; EXPERIENCES; GENDER; GAY; CONSULTATION; SPECTRUM; OUTNESS; CLIMATE</t>
  </si>
  <si>
    <t>[Goldberg, Abbie E.] Clark Univ, Psychol, Worcester, MA 01610 USA; [Beemyn, Genny] Univ Massachusetts, Stonewall Ctr, Amherst, MA 01003 USA</t>
  </si>
  <si>
    <t>Goldberg, AE (corresponding author), Clark Univ, Dept Psychol, 950 Main St, Worcester, MA 01610 USA.</t>
  </si>
  <si>
    <t>agoldberg@clarku.edu</t>
  </si>
  <si>
    <t>Goldberg, Abbie/0000-0001-7654-4539</t>
  </si>
  <si>
    <t>Clark University</t>
  </si>
  <si>
    <t>This work was supported by a Clark University Dean of Research grant.</t>
  </si>
  <si>
    <t>J EDUC PSYCHOL CONS</t>
  </si>
  <si>
    <t>J. Educ. Psychol. Consult.</t>
  </si>
  <si>
    <t>HF2MC</t>
  </si>
  <si>
    <t>Review; Book Chapter</t>
  </si>
  <si>
    <t>APPARENT ELECTRICAL-CONDUCTIVITY; SALT-AFFECTED SOILS; ELECTROMAGNETIC INDUCTION TECHNIQUES; SITE-SPECIFIC MANAGEMENT; YELLOW-RIVER DELTA; LATERALLY CONSTRAINED INVERSION; TIME-DOMAIN REFLECTOMETRY; GROUND-PENETRATING RADAR; CATION-EXCHANGE CAPACITY; AVAILABLE WATER-CONTENT</t>
  </si>
  <si>
    <t>[Corwin, D. L.; Scudiero, E.] ARS, USDA, US Salin Lab, Riverside, CA 92507 USA; [Scudiero, E.] Univ Calif Riverside, Dept Environm Sci, Riverside, CA 92521 USA</t>
  </si>
  <si>
    <t>Corwin, DL (corresponding author), ARS, USDA, US Salin Lab, Riverside, CA 92507 USA.</t>
  </si>
  <si>
    <t>dennis.corwin@ars.usda.gov</t>
  </si>
  <si>
    <t>Scudiero, Elia/0000-0003-4944-721X</t>
  </si>
  <si>
    <t>ACADEMIC PRESS LTD-ELSEVIER SCIENCE LTD</t>
  </si>
  <si>
    <t>125 LONDON WALL, LONDON EC2Y 5AS, ENGLAND</t>
  </si>
  <si>
    <t>2213-6789</t>
  </si>
  <si>
    <t>ADV AGRON</t>
  </si>
  <si>
    <t>Adv. Agron.</t>
  </si>
  <si>
    <t>Agronomy; Soil Science</t>
  </si>
  <si>
    <t>Book Citation Index – Science (BKCI-S); Science Citation Index Expanded (SCI-EXPANDED)</t>
  </si>
  <si>
    <t>BO4ZM</t>
  </si>
  <si>
    <t>Ataei, P; Sadighi, H; Chizari, M; Abbasi, E</t>
  </si>
  <si>
    <t>Ataei, P.; Sadighi, H.; Chizari, M.; Abbasi, E.</t>
  </si>
  <si>
    <t>Analysis of Farmers' Social Interactions to Apply Principles of Conservation Agriculture in Iran: Application of Social Network Analysis</t>
  </si>
  <si>
    <t>JOURNAL OF AGRICULTURAL SCIENCE AND TECHNOLOGY</t>
  </si>
  <si>
    <t>Extension planners; Pioneer farmers; Social power and influence; Sustainable agriculture</t>
  </si>
  <si>
    <t>INFORMATION-SOURCES; ADOPTION; SYSTEMS; MANAGEMENT; EXTENSION; KNOWLEDGE; IMPLEMENTATION; PARTICIPATION; PROFITABILITY; DETERMINANTS</t>
  </si>
  <si>
    <t>Implementation of Conservation Agriculture (CA) project is a process of multi-participation that involves actors from agricultural researchers and scientists, extension agents, private consulting firms, pioneer farmers, rural cooperatives, family members, peer farmers, etc. The social interactions between farmers and actors drive the CA development Therefore, this study analyzes the social network structures and characteristics of various actors by social network analysis in seven processes of applying CA in Iran. The research sample was composed of farmers who participated in the CA project in three provinces of Fars, Golestan, and Khuzestan (n= 133). The research instrument was a questionnaire that was designed as a matrix. The findings showed that pioneer farmers, CA farmers, and family members were the main actors in the farmers' social network It can be concluded that these actors were the main social power in applying CA principles by farmers and they constituted the main centrality of the farmers' social network It means that farmers are more likely to interact with local actors, and they interact less with the government and the actors outside the rural community. Therefore, it can be recommended that social power should be identified and project management should be organized through them in attempts to implement CA.</t>
  </si>
  <si>
    <t>[Ataei, P.; Sadighi, H.; Chizari, M.; Abbasi, E.] Tarbiat Modares Univ, Coll Agr, Dept Agr Extens &amp; Educ, Tehran, Iran</t>
  </si>
  <si>
    <t>Sadighi, H (corresponding author), Tarbiat Modares Univ, Coll Agr, Dept Agr Extens &amp; Educ, Tehran, Iran.</t>
  </si>
  <si>
    <t>Sadigh_h@modares.ac.ir</t>
  </si>
  <si>
    <t>TARBIAT MODARES UNIV</t>
  </si>
  <si>
    <t>JALAL-ALE-AHMAD AVE, PO BOX 14115-336, TEHRAN, 00000, IRAN</t>
  </si>
  <si>
    <t>1680-7073</t>
  </si>
  <si>
    <t>J AGR SCI TECH-IRAN</t>
  </si>
  <si>
    <t>J. Agric. Sci. Technol.</t>
  </si>
  <si>
    <t>Agriculture, Multidisciplinary</t>
  </si>
  <si>
    <t>JY8BW</t>
  </si>
  <si>
    <t>WOS:000504634300002</t>
  </si>
  <si>
    <t>Maritime silk road; bilateral relations; multipolarity; geopolitics; globalism; FOCAC; East African Community; African Union</t>
  </si>
  <si>
    <t>[Lumumba-Kasongo, Tukumbi] Wells Coll, Dept Polit Sci, 108 Cleveland Hall, Aurora, CO 13026 USA; [Lumumba-Kasongo, Tukumbi] Wells Coll, Dept Int Studies, 108 Cleveland Hall, Aurora, CO 13026 USA</t>
  </si>
  <si>
    <t>Lumumba-Kasongo, T (corresponding author), Wells Coll, Dept Polit Sci, 108 Cleveland Hall, Aurora, CO 13026 USA.;Lumumba-Kasongo, T (corresponding author), Wells Coll, Dept Int Studies, 108 Cleveland Hall, Aurora, CO 13026 USA.</t>
  </si>
  <si>
    <t>tukumbilumumbakasongo@gmail.com</t>
  </si>
  <si>
    <t>BRILL ACADEMIC PUBLISHERS</t>
  </si>
  <si>
    <t>LEIDEN</t>
  </si>
  <si>
    <t>PLANTIJNSTRAAT 2, P O BOX 9000, 2300 PA LEIDEN, NETHERLANDS</t>
  </si>
  <si>
    <t>AFR ASIAN STUD</t>
  </si>
  <si>
    <t>Afr. Asian Stud.</t>
  </si>
  <si>
    <t>JN9GS</t>
  </si>
  <si>
    <t>Supply Chain Management; Risk Management; Drug; Top Supplier Selection Indexes; Fuzzy TOPSIS Method</t>
  </si>
  <si>
    <t>RISK-MANAGEMENT; ISSUES</t>
  </si>
  <si>
    <t>[Narenjian, Alireza] Islamic Azad Univ, Tabriz Branch, Fac Vet Med, Tabriz, Iran; [Riahi, Ahmad] Payam Noor Univ, Dept Management, Isfahan Branch, Tehran, Iran; [Kheirabadi, Maryam Asadollahi] Islamic Azad Univ, Khorasgan Branch, Dept Management, Esfahan, Iran</t>
  </si>
  <si>
    <t>Riahi, A (corresponding author), Payam Noor Univ, Dept Management, Isfahan Branch, Tehran, Iran.</t>
  </si>
  <si>
    <t>riahi.ahmad.k@gmail.com</t>
  </si>
  <si>
    <t>TUENGR GROUP</t>
  </si>
  <si>
    <t>PATHUMTAN</t>
  </si>
  <si>
    <t>88-244 MOO 3 KLONG NO 2 KLONG-LUANG, PATHUMTAN, 12120, THAILAND</t>
  </si>
  <si>
    <t>INT TRANS J ENG MANA</t>
  </si>
  <si>
    <t>Int. Trans. J. Eng. Manag. Appl. Sci. Technol.</t>
  </si>
  <si>
    <t>JK1YL</t>
  </si>
  <si>
    <t>case study; cohousing projects; housing for the elderly; neighbourhood; social innovation</t>
  </si>
  <si>
    <t>[Hacke, Ulrike; Mueller, Kornelia] Inst Wohnen &amp; Umwelt GmbH IWU, Rheinstr 65, D-64295 Darmstadt, Germany; [Duetschke, Elisabeth] Competence Ctr Energy Technol &amp; Energy Syst, Fraunhofer Inst Syst &amp; Innovat Res ISI, Karlsruhe, Germany</t>
  </si>
  <si>
    <t>Hacke, U (corresponding author), Inst Wohnen &amp; Umwelt GmbH IWU, Rheinstr 65, D-64295 Darmstadt, Germany.</t>
  </si>
  <si>
    <t>u.hacke@iwu.de; k.mueller@iwu.de; elisabeth.duetschke@isi.fraunhofer.de</t>
  </si>
  <si>
    <t>German Federal Ministry of Education and Research (BMBF)</t>
  </si>
  <si>
    <t>German Federal Ministry of Education and Research (BMBF)(Federal Ministry of Education &amp; Research (BMBF))</t>
  </si>
  <si>
    <t>We thank the German Federal Ministry of Education and Research (BMBF) for the financial support of the TransNIK project within the Social-Ecological Research (SOEF) funding priority of the BMBF and the SOEF funding measure Sustainable Economy.</t>
  </si>
  <si>
    <t>OEKOM VERLAG</t>
  </si>
  <si>
    <t>WALTHERSTR 29, MUNICH, 80337, GERMANY</t>
  </si>
  <si>
    <t>GAIA</t>
  </si>
  <si>
    <t>JE6PK</t>
  </si>
  <si>
    <t>Health; Alcohol; Social determinants; United Kingdom</t>
  </si>
  <si>
    <t>BEHAVIORAL DETERMINANTS; VIOLENCE</t>
  </si>
  <si>
    <t>[Rajput, Sheeraz Ali] NHS Leicester City Clin Commissioning Grp, Leicester, Leics, England; [Aziz, Muhammad Owais] Clarkson Univ, Potsdam, NY 13676 USA; [Aziz, Muhammad Owais] St Lawrence Coll, Cornwall, ON, Canada; [Siddiqui, Muhammad A.] Saskatchewan Hlth Author, Dept Res, Regina, SK, Canada</t>
  </si>
  <si>
    <t>Rajput, SA (corresponding author), NHS Leicester City Clin Commissioning Grp, Leicester, Leics, England.</t>
  </si>
  <si>
    <t>sheeraz.rajput@nhs.net</t>
  </si>
  <si>
    <t>Aziz, Muhammad Owais/AAR-2691-2021</t>
  </si>
  <si>
    <t>/0000-0003-0432-1621</t>
  </si>
  <si>
    <t>PREX SPA</t>
  </si>
  <si>
    <t>MILAN</t>
  </si>
  <si>
    <t>VIA A FAVA 25, MILAN, 20125, ITALY</t>
  </si>
  <si>
    <t>EPIDEMIOL BIOSTAT PU</t>
  </si>
  <si>
    <t>Epidemiol. Biostat. Public Health</t>
  </si>
  <si>
    <t>IZ7MR</t>
  </si>
  <si>
    <t>agriculture; climate change; regulation; Europe; innovation</t>
  </si>
  <si>
    <t>GLOBAL POLITICAL-ECONOMY; INSTITUTE</t>
  </si>
  <si>
    <t>[Oui, Jeanne] Ctr Alexandre Koyre, 27 Rue Damesme, FR-75013 Paris, France</t>
  </si>
  <si>
    <t>Oui, J (corresponding author), Ctr Alexandre Koyre, 27 Rue Damesme, FR-75013 Paris, France.</t>
  </si>
  <si>
    <t>jeanne.oui@ehess.fr</t>
  </si>
  <si>
    <t>SOC ANTHROPOLOGIE CONNAISSANCES</t>
  </si>
  <si>
    <t>MARNE LA VALLEE, CEDEX 02</t>
  </si>
  <si>
    <t>C/O MARC BARBIER, UNIV PARIS MARNE VALEE, CITE DESCARTES CHAMPS MARNE, MARNE LA VALLEE, CEDEX 02, 77 454, FRANCE</t>
  </si>
  <si>
    <t>REV ANTHROPOL CONNAI</t>
  </si>
  <si>
    <t>Rev. Anthropol. Connaiss.</t>
  </si>
  <si>
    <t>IX5XK</t>
  </si>
  <si>
    <t>Vesuvius; natural disaster; environment; risk; post-development; mitigation; emergency</t>
  </si>
  <si>
    <t>[Gugg, Giovanni] Univ Naples Federico II, Dept Engn, Piazzale Tecchio 80, I-80125 Naples, NA, Italy; [Gugg, Giovanni] Univ Nice Cote dAzur, LAPCOS Lab Anthropol &amp; Psychol Clin Cognitives &amp;, 24 Ave Diables Bleus, F-06357 Nice, France</t>
  </si>
  <si>
    <t>Gugg, G (corresponding author), Univ Naples Federico II, Dept Engn, Piazzale Tecchio 80, I-80125 Naples, NA, Italy.;Gugg, G (corresponding author), Univ Nice Cote dAzur, LAPCOS Lab Anthropol &amp; Psychol Clin Cognitives &amp;, 24 Ave Diables Bleus, F-06357 Nice, France.</t>
  </si>
  <si>
    <t>giovanni.gugg@unina.it</t>
  </si>
  <si>
    <t>AMER INST MATHEMATICAL SCIENCES-AIMS</t>
  </si>
  <si>
    <t>SPRINGFIELD</t>
  </si>
  <si>
    <t>PO BOX 2604, SPRINGFIELD, MO 65801-2604 USA</t>
  </si>
  <si>
    <t>AIMS GEOSCI</t>
  </si>
  <si>
    <t>AIMS Geosci.</t>
  </si>
  <si>
    <t>Geosciences, Multidisciplinary</t>
  </si>
  <si>
    <t>Geology</t>
  </si>
  <si>
    <t>IW0YE</t>
  </si>
  <si>
    <t>social services; knowledge; technological innovation; social innovation; multi-actor collaboration; third sector</t>
  </si>
  <si>
    <t>fernando@fantova.net</t>
  </si>
  <si>
    <t>UNIV COMPLUTENSE MADRID, SERVICIO PUBLICACIONES</t>
  </si>
  <si>
    <t>CIUDAD UNIV, OBISPO TREJO 3, MADRID, 28040, SPAIN</t>
  </si>
  <si>
    <t>CUAD TRAB SOC</t>
  </si>
  <si>
    <t>Cuad. Trab. Soc.</t>
  </si>
  <si>
    <t>Social Work</t>
  </si>
  <si>
    <t>IQ1ND</t>
  </si>
  <si>
    <t>Brice, WD; Katzenstein, J; Norman, TJ</t>
  </si>
  <si>
    <t>Brice, William David; Katzenstein, James; Norman, Thomas J.</t>
  </si>
  <si>
    <t>Consulting Higher Education in Africa: A Strategic Case Study</t>
  </si>
  <si>
    <t>INTERNATIONAL REVIEW OF ENTREPRENEURSHIP</t>
  </si>
  <si>
    <t>Africa; entrepreneurship; business education; developing economy; educational entrepreneurship; transferring capability</t>
  </si>
  <si>
    <t>As part of a research project grant from the Mervin M. Dymally African-American Political and Economic Institute, this paper is a case study of US College (USC), a new entrepreneurial private college in Ethiopia, and its developing relationship with California State University Dominguez Hills (CSUDH). USC is struggling to create sustainability in an underdeveloped but rapidly growing economy and CSUDH is assisting it in incorporating world-class curriculum and standards. The challenges of developing an entrepreneurial twinning relationship between the two universities, to the mutual benefit of both, are explored. How will CSUDH faculty help a struggling Ethiopian college entrepreneurially develop the ability to deliver a first-world level of education; in a reciprocal relationship that also enhances CSUDH?</t>
  </si>
  <si>
    <t>[Brice, William David; Katzenstein, James; Norman, Thomas J.] Calif State Univ Dominguez Hills, Coll Business Adm &amp; Publ Policy, 1000 E Victoria St, Carson, CA 90747 USA</t>
  </si>
  <si>
    <t>Brice, WD (corresponding author), Calif State Univ Dominguez Hills, Coll Business Adm &amp; Publ Policy, 1000 E Victoria St, Carson, CA 90747 USA.</t>
  </si>
  <si>
    <t>wbrice@csudh.edu</t>
  </si>
  <si>
    <t>SENATE HALL ACAD PUBL</t>
  </si>
  <si>
    <t>DUBLIN</t>
  </si>
  <si>
    <t>PO BOX 8261 SHANKILL, CO, DUBLIN, 00000, IRELAND</t>
  </si>
  <si>
    <t>2009-2822</t>
  </si>
  <si>
    <t>INT REV ENTREP</t>
  </si>
  <si>
    <t>Int. Rev. Entrep.</t>
  </si>
  <si>
    <t>IM2JB</t>
  </si>
  <si>
    <t>WOS:000477817700005</t>
  </si>
  <si>
    <t>carrying capacity; climate; decision support tools; extension; grazing</t>
  </si>
  <si>
    <t>[Stone, G.; Dalla Pozza, R.; Carter, J.; McKeon, G.] Queensland Govt, Environm &amp; Sci, GPO Box 2454, Brisbane, Qld 4001, Australia</t>
  </si>
  <si>
    <t>Stone, G (corresponding author), Queensland Govt, Environm &amp; Sci, GPO Box 2454, Brisbane, Qld 4001, Australia.</t>
  </si>
  <si>
    <t>Grant.Stone@qld.gov.au</t>
  </si>
  <si>
    <t>Department of Agriculture and Fisheries' Drought and Climate Adaptation Program (DCAP)</t>
  </si>
  <si>
    <t>Funding for this redevelopment project was provided under the Department of Agriculture and Fisheries' Drought and Climate Adaptation Program (DCAP). Rainfall data and SOI data are sourced from the Australian Bureau of Meteorology; IPO data are provided by Andrew Coleman (UK Met Office), with appropriate acknowledgement of all sources. We acknowledge Neil Flood and Alan Peacock (1997 unpublished) as the being the original developers of the 'Twelve-month Australian rainfall - relative to historical records' poster. We thank The Rangeland Journal for the opportunity to combine two 'Lightning Presentations' from the 19th Biennial Conference into one paper submission.</t>
  </si>
  <si>
    <t>RANGELAND J</t>
  </si>
  <si>
    <t>Rangeland J.</t>
  </si>
  <si>
    <t>Ecology</t>
  </si>
  <si>
    <t>IK7UI</t>
  </si>
  <si>
    <t>Grecksch, K</t>
  </si>
  <si>
    <t>Grecksch, Kevin</t>
  </si>
  <si>
    <t>Scenarios for resilient drought and water scarcity management in England and Wales</t>
  </si>
  <si>
    <t>Explorative scenarios; water governance; drought; water scarcity; England; Wales</t>
  </si>
  <si>
    <t>GUIDE</t>
  </si>
  <si>
    <t>Current drought and water scarcity management in England and Wales is reactive rather than proactive and the array of instruments and measures focuses primarily on what to do when in a drought, but less on how to prevent a drought or to plan ahead for a drought. This paper presents the results of a workshop that was held in late 2016 with stakeholders and researchers from UK drought and water scarcity management - the environment ministry (Department for Environment, Food and Rural Affairs), the Environment Agency, water companies, the economic regulator and water consultancies using the explorative scenario technique. The workshop offered the opportunity for unconstrained blue-sky thinking about drought management options based on the question What can happen? and it is useful in cases where there is fairly good knowledge regarding how the system works at present, but one is interested in exploring the consequences of alternative developments in drought management. The workshop developed four scenarios on the topic of resilient drought and water scarcity management in England and Wales in 2065: (1) 'Accepting decline', (2) 'Rising to the challenge', (3) 'Enjoying their luck' and (4) 'Passive acceptance'. The corresponding narratives are presented as are limits of the workshop but also potential uses of the scenarios.</t>
  </si>
  <si>
    <t>[Grecksch, Kevin] Univ Oxford, Ctr Sociolegal Studies, Manor Rd Bldg,Manor Rd, Oxford OX1 3UQ, England</t>
  </si>
  <si>
    <t>Grecksch, K (corresponding author), Univ Oxford, Ctr Sociolegal Studies, Manor Rd Bldg,Manor Rd, Oxford OX1 3UQ, England.</t>
  </si>
  <si>
    <t>kevin.grecksch@csls.ox.ac.uk</t>
  </si>
  <si>
    <t>Grecksch, Kevin/AAA-1826-2021</t>
  </si>
  <si>
    <t>Grecksch, Kevin/0000-0002-1913-0134</t>
  </si>
  <si>
    <t>UK Natural Environment Research Council [NE/L010364/1]</t>
  </si>
  <si>
    <t>UK Natural Environment Research Council(UK Research &amp; Innovation (UKRI)Natural Environment Research Council (NERC))</t>
  </si>
  <si>
    <t>This work was supported by UK Natural Environment Research Council [grant number NE/L010364/1].</t>
  </si>
  <si>
    <t>INT J RIVER BASIN MA</t>
  </si>
  <si>
    <t>Int. J. River Basin Manag.</t>
  </si>
  <si>
    <t>10.1080/15715124.2018.1461106</t>
  </si>
  <si>
    <t>IA9BV</t>
  </si>
  <si>
    <t>WOS:000469853400007</t>
  </si>
  <si>
    <t>Media practices; teenagers; viewing; video; television; media studies</t>
  </si>
  <si>
    <t>[Ershov, Yuri M.] Natl Res Tomsk State Univ, Sch Journalism, 36 Lenin Ave, Tomsk 634050, Russia; [Ershov, Yuri M.] Natl Res Tomsk State Univ, Televis &amp; Radio Journalism Dept, 36 Lenin Ave, Tomsk 634050, Russia</t>
  </si>
  <si>
    <t>Ershov, YM (corresponding author), Natl Res Tomsk State Univ, Sch Journalism, 36 Lenin Ave, Tomsk 634050, Russia.;Ershov, YM (corresponding author), Natl Res Tomsk State Univ, Televis &amp; Radio Journalism Dept, 36 Lenin Ave, Tomsk 634050, Russia.</t>
  </si>
  <si>
    <t>ershov@newsman.tsu.ru</t>
  </si>
  <si>
    <t>BAIKAL STATE UNIV</t>
  </si>
  <si>
    <t>IRKUTSK</t>
  </si>
  <si>
    <t>11 LENIN ST, IRKUTSK, 664003, RUSSIA</t>
  </si>
  <si>
    <t>THEOR PRACT ISSUES J</t>
  </si>
  <si>
    <t>Theor. Pract. Issues Journal.</t>
  </si>
  <si>
    <t>HY8LW</t>
  </si>
  <si>
    <t>Cooperative dimension; Portfolio matrix Boston Consulting Group; POs; Internal Governance; Hybrid models</t>
  </si>
  <si>
    <t>AGRICULTURAL COOPERATIVES; RIGHTS</t>
  </si>
  <si>
    <t>[Colom Gorgues, Antonio; Cos Sanchez, Pilar; Florensa Guiu, Rosa M.] Univ Lleida, Lleida, Spain</t>
  </si>
  <si>
    <t>Gorgues, AC (corresponding author), Univ Lleida, Lleida, Spain.</t>
  </si>
  <si>
    <t>antonio_colom@hotmail.com; cspilar@aegern.udl.es; rmflorensa@aegern.udl.es</t>
  </si>
  <si>
    <t>REVESCO-REV ESTUD CO</t>
  </si>
  <si>
    <t>REVESCO-Rev. Estud. Coop.</t>
  </si>
  <si>
    <t>HX0JE</t>
  </si>
  <si>
    <t>Green Accepted, Green Submitted, Green Published, gold</t>
  </si>
  <si>
    <t>Li, Q; Lan, L; Zeng, NY; You, L; Yin, J; Zhou, XB; Meng, Q</t>
  </si>
  <si>
    <t>Li, Quan; Lan, Lan; Zeng, Nianyin; You, Lei; Yin, Jin; Zhou, Xiaobo; Meng, Qun</t>
  </si>
  <si>
    <t>A Framework for Big Data Governance to Advance RHINs: A Case Study of China</t>
  </si>
  <si>
    <t>Big data governance; framework; regional health information networks (RHINs)</t>
  </si>
  <si>
    <t>HEALTH; INFORMATION; POLICY</t>
  </si>
  <si>
    <t>The emergence of big data presents a serious challenge to the fast growth of regional health information networks (RHINs) globally. In China, many constructors of RHINs have spontaneously and independently created governance measures, which may be valuable as a point of reference for other countries. This paper aimed to propose a big data governance framework for healthcare data based on the governance activities associated with the processing of RHINs in China. Typical methodology for RHIN case studies in China, including rich personal experience in nationwide consulting, literature review, expert consultation, and interpretative structural modeling methods, was adopted. Based on the analysis of ten typical RHIN case studies, healthcare big data governance practices in China were summarized. A framework with 3 domains and 12 elements was proposed, which include a drive domain (big data strategy planning, laws and regulations, open transaction, and industry support), capability domain (healthcare big data organization, collection, storage, process and analysis, and usage), and support domain (healthcare big data resource planning, standards system, and privacy and security protection). We obtained 12 guidelines for healthcare big data governance. A big data governance framework with 3 domains and 12 elements was presented based on Chinese practice, which might serve as valuable references for the cross-dimensional development of RHINs, provide overall guidance for the sustainable development of regional health informatization, and contribute to realizing the business value of healthcare big data.</t>
  </si>
  <si>
    <t>[Li, Quan; Meng, Qun] Sun Yat Sen Univ, Sch Publ Hlth, Guangzhou 510275, Guangdong, Peoples R China; [Lan, Lan; Yin, Jin; Zhou, Xiaobo] Sichuan Univ, West China Hosp, West China Biomed Big Data Ctr, Chengdu 610041, Sichuan, Peoples R China; [Zeng, Nianyin] Xiamen Univ, Dept Instrumental &amp; Elect Engn, Xiamen 361005, Peoples R China; [You, Lei; Zhou, Xiaobo] Univ Texas Hlth Sci Ctr Houston, Sch Biomed Informat, Houston, TX 77030 USA; [Meng, Qun] Natl Hlth Commiss Peoples Republ China, Comprehens Supervis Bur, Beijing 100044, Peoples R China</t>
  </si>
  <si>
    <t>Meng, Q (corresponding author), Sun Yat Sen Univ, Sch Publ Hlth, Guangzhou 510275, Guangdong, Peoples R China.;Zhou, XB (corresponding author), Sichuan Univ, West China Hosp, West China Biomed Big Data Ctr, Chengdu 610041, Sichuan, Peoples R China.;Zhou, XB (corresponding author), Univ Texas Hlth Sci Ctr Houston, Sch Biomed Informat, Houston, TX 77030 USA.;Meng, Q (corresponding author), Natl Hlth Commiss Peoples Republ China, Comprehens Supervis Bur, Beijing 100044, Peoples R China.</t>
  </si>
  <si>
    <t>zhouxb2015@163.com; mengqun@nhfpc.gov.cn</t>
  </si>
  <si>
    <t>; Zeng, Nianyin/A-5094-2019</t>
  </si>
  <si>
    <t>Li, Quan/0000-0003-1866-3622; Zeng, Nianyin/0000-0002-6957-2942</t>
  </si>
  <si>
    <t>Sichuan Science and Technology Program [2019YFS0147]</t>
  </si>
  <si>
    <t>Sichuan Science and Technology Program</t>
  </si>
  <si>
    <t>This work was supported in part by the Sichuan Science and Technology Program under Grant 2019YFS0147.</t>
  </si>
  <si>
    <t>10.1109/ACCESS.2019.2910838</t>
  </si>
  <si>
    <t>HW6AU</t>
  </si>
  <si>
    <t>WOS:000466771300001</t>
  </si>
  <si>
    <t>Daruvala, R; Ghosh, M; Fratazzi, F; Norzan, SA; Laha, A; Ahmed, R; Panda, S; Datta, SS</t>
  </si>
  <si>
    <t>Daruvala, Rhea; Ghosh, Maupali; Fratazzi, Francesca; Norzan, Siti Adibah; Laha, Anirban; Ahmed, Rosina; Panda, Samiran; Datta, Soumitra Shankar</t>
  </si>
  <si>
    <t>Emotional Exhaustion in Cancer Clinicians: A Mixed Methods Exploration</t>
  </si>
  <si>
    <t>INDIAN JOURNAL OF MEDICAL AND PAEDIATRIC ONCOLOGY</t>
  </si>
  <si>
    <t>Burnout; cancer; emotional exhaustion; oncology; work-life balance; depression</t>
  </si>
  <si>
    <t>HOSPITAL CONSULTANTS; MENTAL-HEALTH; BURNOUT; PRACTITIONERS; STRESS; SATISFACTION; SPECIALTY; INDIA</t>
  </si>
  <si>
    <t>Objectives: The aim of the current study was to explore the associations of emotional exhaustion in oncology clinicians and perceptions of doctors about their work-life balance in a developing country. Methods: The current study used quantitative semi-structured interviews and qualitative in-depth interviews to explore emotional exhaustion and burnout in doctors in a tertiary care cancer center. Sociodemographic details, Maslach Burnout Inventory, and Patient Health Questionnaire were used for the quantitative analysis. Results: Increased work pressure (adjusted odds ratio [AOR]: 5.39, 95% confidence interval [CI]: 2.01-14.47, P &lt; 0.01), reduced job-related satisfaction (AOR: 3.56, 95% CI: 1.37-9.25, P &lt; 0.01), being a woman (AOR: 3.4, 95% CI: 1.2-9.5, P &lt; 0.01), and having higher anxiety and depression scores (AOR: 2.89, 95% CI: 1.11-7.46, P = 0.03) were independently associated with higher levels of emotional exhaustion. In the qualitative interviews, many doctors felt working in oncology a satisfying as well as stressful experience. Dealing with palliative and end-of-life situations and counseling patients and their family members about various treatment options contributed to the stress. Male and female clinicians viewed work-hfe balance differently. Female doctors charted a larger area of influence for which they felt responsible in work and life. Conclusion: Increased work pressure, reduced job satisfaction, and increased affective symptoms contribute to emotional exhaustion in oncology clinicians, and the risk increases especially in female doctors. Having gender-sensitive and employee-friendly policies will likely help in having a nurturing work environment.</t>
  </si>
  <si>
    <t>[Daruvala, Rhea; Ghosh, Maupali; Datta, Soumitra Shankar] Tata Med Ctr, Dept Palliat Care &amp; Psychooncol, Major Arterial Rd, Kolkata 700160, W Bengal, India; [Laha, Anirban] Tata Med Ctr, Dept Internal Med, Major Arterial Rd, Kolkata, India; [Ahmed, Rosina] Tata Med Ctr, Dept Surg Oncol, Major Arterial Rd, Kolkata, India; [Fratazzi, Francesca] Newcastle Univ, Business Sch, Newcastle Upon Tyne, Tyne &amp; Wear, England; [Norzan, Siti Adibah] Newcastle Univ, Dept Combined Honours, Newcastle Upon Tyne NE1 7RU, Tyne &amp; Wear, England; [Panda, Samiran] Natl AIDS Res Inst, MIDC, 73 G Block, Pune, Maharashtra, India; [Datta, Soumitra Shankar] UCL, Gynaecol Canc Res Ctr, EGA Inst Womens Hlth, London W1T 7DN, England</t>
  </si>
  <si>
    <t>Datta, SS (corresponding author), Tata Med Ctr, Dept Palliat Care &amp; Psychooncol, Major Arterial Rd, Kolkata 700160, W Bengal, India.</t>
  </si>
  <si>
    <t>ssdatta2000@yahoo.com</t>
  </si>
  <si>
    <t>Datta, Soumitra Shankar/AAC-7827-2019</t>
  </si>
  <si>
    <t>Datta, Soumitra Shankar/0000-0003-1674-5093</t>
  </si>
  <si>
    <t>Newcastle Business School, University of Newcastle</t>
  </si>
  <si>
    <t>The authors thank the Newcastle Business School, University of Newcastle, for supporting the visiting interns (FF and SAN) through the Global Experience Opportunity Programme.</t>
  </si>
  <si>
    <t>0971-5851</t>
  </si>
  <si>
    <t>0975-2129</t>
  </si>
  <si>
    <t>INDIAN J MED PAEDIAT</t>
  </si>
  <si>
    <t>Indian J. Med. Paediatr. Oncol.</t>
  </si>
  <si>
    <t>10.4103/ijmpo.ijmpo_168_17</t>
  </si>
  <si>
    <t>Oncology</t>
  </si>
  <si>
    <t>HU2ZN</t>
  </si>
  <si>
    <t>WOS:000465141300023</t>
  </si>
  <si>
    <t>Gholifar, E; Abbasi, E; Rezaei, A</t>
  </si>
  <si>
    <t>Gholifar, E.; Abbasi, E.; Rezaei, A.</t>
  </si>
  <si>
    <t>Sustainable Aquaculture System: Institutional Scientific Collaboration Network in Alborz Watershed, Iran</t>
  </si>
  <si>
    <t>Alborz basin; Betweenness centrality; Social diversity; Social network analysis</t>
  </si>
  <si>
    <t>GOVERNANCE; MARINE</t>
  </si>
  <si>
    <t>The current research aimed to explore application of social network theory toward sustainable aquaculture system through Institutional Scientific Collaboration Network study conducted by interviews with key informants and follow-up organizational surveys at Alborz Watershed scale. The study was descriptive and explanatory, using social network analysis as a most analytical tool to systematically describe certain aspects of the social diversity and complexity of institutional scientific collaboration network. The needed data for social network analysis related to scientific collaborations in the form of research and scientific consulting, technical support, and implementation of joint project networks and was collected through a questionnaire. Research results revealed that the number of central actors in research and scientific consulting network was less than the other two networks. In this study, some powerful organizations such as the Institute of Ecology of the Caspian Sea and Shahid Rajai and Shahid Bahonar Reproduction Center had satisfactory research and scientific consultancy cooperation, as well as technical support for joint projects with other organizations, such as the Provincial Department of Fisheries, and Research Center for Agriculture and Natural Resources, which reflected dynamics of the organizations in the network These three organizations can play a key role in the distribution of information, knowledge, and inter-sectoral cooperation among different institutions and can take responsibility of this process. If so, these organizations can develop a sustainable aquaculture in the basin of the Alborz Dam, based on scientific principles and in an interactive and dynamic path and, consequently, activate the implementation of projects and conducting scientific and executive studies by these organizations within the network Although the approach is developed and tested using empirical social network data in the basin of Alborz watershed, the results can generally be useful for other regions and scales as welL Also, research finding could help in improving sustainable management through strengthening of intuitional scientific collaboration network and providing better understanding of the scientific needs and real interactions of diverse actors.</t>
  </si>
  <si>
    <t>[Gholifar, E.; Abbasi, E.] Tarbiat Modares Univ, Fac Agr, Dept Agr Extens &amp; Educ, Tehran, Iran; [Rezaei, A.] Univ Tehran, Coll Agr, Dept Agr Extens &amp; Educ, Karaj, Iran</t>
  </si>
  <si>
    <t>Abbasi, E (corresponding author), Tarbiat Modares Univ, Fac Agr, Dept Agr Extens &amp; Educ, Tehran, Iran.</t>
  </si>
  <si>
    <t>enayat.abbasi@modares.ac.ir</t>
  </si>
  <si>
    <t>Rezaei, Abdolmotalleb/AAU-1654-2021</t>
  </si>
  <si>
    <t>Tarbiat Modares University</t>
  </si>
  <si>
    <t>The authors hereby express their special gratitude to all the experts in the studied organizations who completed the study questionnaires with great patience as well as the interviewers who did their best in terms of data collection. We also appreciate the officials at Tarbiat Modares University for funding some parts of this project.</t>
  </si>
  <si>
    <t>HT9AX</t>
  </si>
  <si>
    <t>WOS:000464857900004</t>
  </si>
  <si>
    <t>sapropelic mud; balneal; integrated tourism; Natura 2000; Techirghiol</t>
  </si>
  <si>
    <t>SUSTAINABLE TOURISM; MANAGEMENT</t>
  </si>
  <si>
    <t>[Almasan, R. E.; Ionescu, E. V.; Iliescua, M. G.; Oprea, C.] Balneal &amp; Rehabil Sanat Techirghiol, 34-40 Dr Victor Climescu St, Techirghiol, Romania; [Ionescu, E. V.; Iliescua, M. G.; Oprea, C.; Iliescu, D. M.] Ovidius Univ Constanta, Fac Med, 1 Univ St, Constanta, Romania; [Nenciu, M. I.; Golumbeanu, M.] Natl Inst Marine Res &amp; Dev Grigore Antipa Constan, 300 Mamaia Blvd, Constanta 900581, Romania</t>
  </si>
  <si>
    <t>Ionescu, EV; Iliescu, MG (corresponding author), Balneal &amp; Rehabil Sanat Techirghiol, 34-40 Dr Victor Climescu St, Techirghiol, Romania.;Ionescu, EV; Iliescu, MG (corresponding author), Ovidius Univ Constanta, Fac Med, 1 Univ St, Constanta, Romania.</t>
  </si>
  <si>
    <t>elena_valentina_ionescu@yahoo.com; iliescumadalina@gmail.com</t>
  </si>
  <si>
    <t>Țucmeanu, Roxana Elena/AAT-8633-2020; Iliescu, Madalina Gabriela/V-2031-2017; Ionescu, Elena-Valentina/AAE-4108-2021; Iliescu, Dan M/N-9920-2017; Valentina, Ionescu Elena/AAT-8569-2020</t>
  </si>
  <si>
    <t xml:space="preserve">Iliescu, Madalina Gabriela/0000-0002-8573-3160; Iliescu, Dan M/0000-0001-7747-187X; </t>
  </si>
  <si>
    <t>SCIBULCOM LTD</t>
  </si>
  <si>
    <t>PO BOX 249, 1113 SOFIA, BULGARIA</t>
  </si>
  <si>
    <t>J ENVIRON PROT ECOL</t>
  </si>
  <si>
    <t>J. Environ. Prot. Ecol.</t>
  </si>
  <si>
    <t>HR8KW</t>
  </si>
  <si>
    <t>Agent Orange; Vietnam; subjectivity; dialogic relation</t>
  </si>
  <si>
    <t>[Uesugi, Tak] Okayama Univ, Okayama, Japan</t>
  </si>
  <si>
    <t>Uesugi, T (corresponding author), Okayama Univ, Okayama, Japan.</t>
  </si>
  <si>
    <t>ASOC ANTROPOLOGOS IBEROAMERICANOS  EN RED</t>
  </si>
  <si>
    <t>CALLE FELIZ BOIX 9, MADRID, 28026, SPAIN</t>
  </si>
  <si>
    <t>AIBR-REV ANTROPOL IB</t>
  </si>
  <si>
    <t>AIBR-Rev. Antropol. Iberoam.</t>
  </si>
  <si>
    <t>HK7XT</t>
  </si>
  <si>
    <t>wetland; Google Earth Engine; Sentinel-1; Sentinel-2; random forest; cloud computing; geo-big data</t>
  </si>
  <si>
    <t>RANDOM FOREST CLASSIFIER; REMOTE-SENSING DATA; WATER INDEX NDWI; SAR DATA; DIFFERENCE; IMAGES; ACCURACY; CHINA</t>
  </si>
  <si>
    <t>[Mahdianpari, Masoud; Mohammadimanesh, Fariba] C CORE, 1 Morrissey Rd, St John, NF A1B 3X5, Canada; [Mahdianpari, Masoud; Mohammadimanesh, Fariba; Gill, Eric] Mem Univ Newfoundland, Dept Elect &amp; Comp Engn, St John, NF A1C 5S7, Canada; [Salehi, Bahram] SUNY Coll Environm Sci &amp; Forestry, Environm Resources Engn, Syracuse, NY 13210 USA; [Homayouni, Saeid] Univ Ottawa, Dept Geog Environm &amp; Geomat, Ottawa, ON K1N 6N5, Canada</t>
  </si>
  <si>
    <t>Mahdianpari, M (corresponding author), C CORE, 1 Morrissey Rd, St John, NF A1B 3X5, Canada.;Mahdianpari, M (corresponding author), Mem Univ Newfoundland, Dept Elect &amp; Comp Engn, St John, NF A1C 5S7, Canada.</t>
  </si>
  <si>
    <t>m.mahdianpari@mun.ca; bsalehi@esf.edu; f.mohammadimanesh@mun.ca; Saeid.Homayouni@uottawa.ca; ewgill@mun.ca</t>
  </si>
  <si>
    <t>Salehi, Bahram/AAC-9970-2019; Homayouni, Saeid/AAL-4959-2020</t>
  </si>
  <si>
    <t>Salehi, Bahram/0000-0002-7742-5475; Homayouni, Saeid/0000-0002-0214-5356; Gill, Eric/0000-0001-8329-0821; Mohammadimanesh, Fariba/0000-0002-9472-2324; Mahdianpari, Masoud/0000-0002-7234-959X</t>
  </si>
  <si>
    <t>InnovateNL [RDC 5404-2108-101]; Natural Sciences and Engineering Research Council of Canada [NSERC RGPIN2015-05027]</t>
  </si>
  <si>
    <t>InnovateNL; Natural Sciences and Engineering Research Council of Canada(Natural Sciences and Engineering Research Council of Canada (NSERC)CGIAR)</t>
  </si>
  <si>
    <t>This project was undertaken with the financial support of the Research &amp; Development Corporation of Government of Newfoundland and Labrador (now InnovateNL) under Grant to M. Mahdianpari (RDC 5404-2108-101) and the Natural Sciences and Engineering Research Council of Canada under Grant to B. Salehi (NSERC RGPIN2015-05027).</t>
  </si>
  <si>
    <t>REMOTE SENS-BASEL</t>
  </si>
  <si>
    <t>Remote Sens.</t>
  </si>
  <si>
    <t>Environmental Sciences; Geosciences, Multidisciplinary; Remote Sensing; Imaging Science &amp; Photographic Technology</t>
  </si>
  <si>
    <t>Environmental Sciences &amp; Ecology; Geology; Remote Sensing; Imaging Science &amp; Photographic Technology</t>
  </si>
  <si>
    <t>HK4NP</t>
  </si>
  <si>
    <t>[Campbell, Christopher] Willoughby &amp; Hoefer PA, Columbia, SC 29201 USA; [Ana, Coimbra Trigo] PLMJ Law Firm, Lisbon, Portugal</t>
  </si>
  <si>
    <t>Campbell, C (corresponding author), Willoughby &amp; Hoefer PA, Columbia, SC 29201 USA.</t>
  </si>
  <si>
    <t>chris.campbelljd@gmail.com</t>
  </si>
  <si>
    <t>J INT ARBITR</t>
  </si>
  <si>
    <t>J. Int. Arbitr.</t>
  </si>
  <si>
    <t>HJ5VT</t>
  </si>
  <si>
    <t>Socio-ecological production landscapes and seascapes (SEPLS); Landscape scenarios; MLP-MCA model; Story-and-simulation approach (SAS); Mangroves</t>
  </si>
  <si>
    <t>ECOSYSTEM SERVICES; CLIMATE-CHANGE; URBAN; SUSTAINABILITY; CONSERVATION; IMPACT; AREAS; AQUACULTURE; ADAPTATION; STRATEGIES</t>
  </si>
  <si>
    <t>[DasGupta, Rajarshi; Hashimoto, Shizuka; Okuro, Toshiya; Basu, Mrittika] Univ Tokyo, Grad Sch Agr &amp; Life Sci, Dept Ecosyst Studies, Lab Landscape Ecol &amp; Planning,Bunkyo Ku, Yayoi 1-1-1, Tokyo 1138657, Japan; [DasGupta, Rajarshi; Hashimoto, Shizuka] Inst Global Environm Strategies, Hayama, Kanagawa, Japan; [Basu, Mrittika] United Nations Univ, Inst Adv Study Sustainabil, Tokyo, Japan</t>
  </si>
  <si>
    <t>DasGupta, R (corresponding author), Univ Tokyo, Grad Sch Agr &amp; Life Sci, Dept Ecosyst Studies, Lab Landscape Ecol &amp; Planning,Bunkyo Ku, Yayoi 1-1-1, Tokyo 1138657, Japan.;DasGupta, R (corresponding author), Inst Global Environm Strategies, Hayama, Kanagawa, Japan.</t>
  </si>
  <si>
    <t>dasgupta@iges.or.jp</t>
  </si>
  <si>
    <t>Dasgupta, Rajarshi/AAF-7822-2021; BITOUN, RACHEL/AAC-9538-2021; Okuro, Toshiya/AAP-8431-2020; DasGupta, Rajarshi/AAX-2695-2021; HASHIMOTO, Shizuka/P-5317-2019</t>
  </si>
  <si>
    <t>Okuro, Toshiya/0000-0003-2618-9828; DasGupta, Rajarshi/0000-0003-0051-5090; HASHIMOTO, Shizuka/0000-0003-4423-9374; Basu, Mrittika/0000-0001-6588-9689</t>
  </si>
  <si>
    <t>Ministry of the Environment, Japan [S-15]; JSPS KAKENHI [17KT0076]; 'Research and Social Implementation of Ecosystem-based Disaster Risk Reduction as Climate Change Adaptation in Shrinking Societies' of the Research Institute for Humanity and Nature, Japan; Japan Society for Promotion of Sciences (JSPS)</t>
  </si>
  <si>
    <t>Ministry of the Environment, Japan(Ministry of the Environment, Japan); JSPS KAKENHI(Ministry of Education, Culture, Sports, Science and Technology, Japan (MEXT)Japan Society for the Promotion of ScienceGrants-in-Aid for Scientific Research (KAKENHI)); 'Research and Social Implementation of Ecosystem-based Disaster Risk Reduction as Climate Change Adaptation in Shrinking Societies' of the Research Institute for Humanity and Nature, Japan; Japan Society for Promotion of Sciences (JSPS)(Ministry of Education, Culture, Sports, Science and Technology, Japan (MEXT)Japan Society for the Promotion of Science)</t>
  </si>
  <si>
    <t>This research was supported by the Environment Research and Technology Development Fund [S-15 Predicting and Assessing Natural Capital and Ecosystem Services (PANCES)] of the Ministry of the Environment, Japan, JSPS KAKENHI Grant Number 17KT0076 and 'Research and Social Implementation of Ecosystem-based Disaster Risk Reduction as Climate Change Adaptation in Shrinking Societies' of the Research Institute for Humanity and Nature, Japan. The first and the fourth authors also thankfully acknowledge the postdoctoral fellowship provided by the Japan Society for Promotion of Sciences (JSPS). The authors would also like to thank all the district administrative and forest officials of South 24 Parganas for providing various policy documents, maps and reports from time to time.</t>
  </si>
  <si>
    <t>SPRINGER JAPAN KK</t>
  </si>
  <si>
    <t>TOKYO</t>
  </si>
  <si>
    <t>SHIROYAMA TRUST TOWER 5F, 4-3-1 TORANOMON, MINATO-KU, TOKYO, 105-6005, JAPAN</t>
  </si>
  <si>
    <t>SUSTAIN SCI</t>
  </si>
  <si>
    <t>Sustain. Sci.</t>
  </si>
  <si>
    <t>Green &amp; Sustainable Science &amp; Technology; Environmental Sciences</t>
  </si>
  <si>
    <t>HJ2ED</t>
  </si>
  <si>
    <t>conservation; pilot studies; architect-planners; Bath; Chester; Chichester; York; continuity; modernity</t>
  </si>
  <si>
    <t>IDEAS</t>
  </si>
  <si>
    <t>[Gold, John R.] Oxford Brookes Univ, Dept Social Sci, Gipsy Lane, Oxford OX3 0BP, England; [Pendlebury, John] Newcastle Univ, Sch Architecture Planning &amp; Landscape, Urban Conservat, Newcastle Upon Tyne NE1 7RU, Tyne &amp; Wear, England</t>
  </si>
  <si>
    <t>Gold, JR (corresponding author), Oxford Brookes Univ, Dept Social Sci, Gipsy Lane, Oxford OX3 0BP, England.</t>
  </si>
  <si>
    <t>jrgold@brookes.ac.uk; john.pendle-bury@newcastle.ac.uk</t>
  </si>
  <si>
    <t>LIVERPOOL UNIV PRESS</t>
  </si>
  <si>
    <t>LIVERPOOL</t>
  </si>
  <si>
    <t>4 CAMBRIDGE ST, LIVERPOOL L69 7ZU, ENGLAND</t>
  </si>
  <si>
    <t>TOWN PLAN REV</t>
  </si>
  <si>
    <t>Town Plan. Rev.</t>
  </si>
  <si>
    <t>HI0ZS</t>
  </si>
  <si>
    <t>Biodiversity; community engagement; conflict resolution; Democratic Republic of Congo; DRC; Itombwe Reserve; protected area establishment</t>
  </si>
  <si>
    <t>PROTECTED AREAS; CONSERVATION; CONGO; BIODIVERSITY; MASSIF</t>
  </si>
  <si>
    <t>[Kujirakwinja, D.; Plumptre, A. J.; Twendilonge, A.; Mitamba, G.; Ayebare, S.; Tshombe, R.] Wildlife Conservat Soc, 2300 Southern Blvd, Bronx, NY 10460 USA; [Mubalama, L.] WWF, Bukavu, DEM REP CONGO; [Wasso, J. D. D.] Africapacity, Bukavu, DEM REP CONGO; [Kisumbu, O.; Shamavu, B.] Reseau Associat Conservat Communautaire Massif It, Bukavu, DEM REP CONGO; [Bitomwa, O.] Itombwe Nat Reserve, Inst Congolais Conservat Nat, Bukavu, DEM REP CONGO; [Plumptre, A. J.] Univ Cambridge, Cambridge Conservat Initiat, Dept Zool, Conservat Sci Grp, Pembroke St, Cambridge, England</t>
  </si>
  <si>
    <t>Plumptre, AJ (corresponding author), Wildlife Conservat Soc, 2300 Southern Blvd, Bronx, NY 10460 USA.</t>
  </si>
  <si>
    <t>aplumptre@wcs.org</t>
  </si>
  <si>
    <t>Critical Ecosystem Partnership Fund [62610]; IUCN Save Our Species Programme [2011A-012]; United States Agency for International Development [64788]; U.S. Fish and Wildlife Service [F12AP00192]</t>
  </si>
  <si>
    <t>Critical Ecosystem Partnership Fund; IUCN Save Our Species Programme; United States Agency for International Development(United States Agency for International Development (USAID)); U.S. Fish and Wildlife Service(US Fish &amp; Wildlife Service)</t>
  </si>
  <si>
    <t>We are grateful for the support for the establishment of Itombwe Natural Reserve provided by the Critical Ecosystem Partnership Fund (Grant 62610), Institut Congolais pour la Conservation de la Nature, the IUCN Save Our Species Programme (2011A-012), Prince Albert Monaco II Foundation, Rainforest Foundation UK, Rainforest Foundation Norway, Rainforest Trust, the United States Agency for International Development (64788), U.S. Fish and Wildlife Service (F12AP00192), WCS and WWF. We are also grateful for the comments received from two anonymous reviewers.</t>
  </si>
  <si>
    <t>32 AVENUE OF THE AMERICAS, NEW YORK, NY 10013-2473 USA</t>
  </si>
  <si>
    <t>Oryx</t>
  </si>
  <si>
    <t>HF5WD</t>
  </si>
  <si>
    <t>Behavioural change; Closed loop recycling; Waste valorisation/recycling; Semi-structured interview; Questionnaire survey</t>
  </si>
  <si>
    <t>DEMOLITION WASTE; CHARGING SCHEME; MANAGEMENT; WOOD; DETERMINANTS; CONSUMPTION; RECOVERY; ATTITUDE; CEMENT; IMPACT</t>
  </si>
  <si>
    <t>[Mak, Tiffany M. W.; Yu, Iris K. M.; Wang, Lei; Hsu, Shu-Chien; Tsang, Daniel C. W.; Li, C. N.; Yeung, Tiffany L. Y.; Zhang, Rong; Poon, Chi Sun] Hong Kong Polytech Univ, Dept Civil &amp; Environm Engn, Hong Kong, Peoples R China</t>
  </si>
  <si>
    <t>Tsang, DCW; Poon, CS (corresponding author), Hong Kong Polytech Univ, Dept Civil &amp; Environm Engn, Hong Kong, Peoples R China.</t>
  </si>
  <si>
    <t>dan.tsang@polyu.edu.hk; chi-sun.poon@polyu.edu.hk</t>
  </si>
  <si>
    <t>Wang, Lei/C-8138-2018; Hsu, Shu-Chien/AAD-3314-2020; Tsang, Daniel C.W./E-5442-2012; Yu, Iris KM/Y-7434-2019</t>
  </si>
  <si>
    <t>Wang, Lei/0000-0002-0336-7241; Hsu, Shu-Chien/0000-0002-7232-9839; Tsang, Daniel C.W./0000-0002-6850-733X; Yu, Iris KM/0000-0003-2494-8974; Poon, Chi Sun/0000-0003-4912-3936</t>
  </si>
  <si>
    <t>Hong Kong Construction Industry Council (K-ZJJS); Hong Kong Research Grants Council [PolyU 15223517]</t>
  </si>
  <si>
    <t>Hong Kong Construction Industry Council (K-ZJJS); Hong Kong Research Grants Council(Hong Kong Research Grants Council)</t>
  </si>
  <si>
    <t>We appreciate the financial support from the Hong Kong Construction Industry Council (K-ZJJS) and the Hong Kong Research Grants Council (PolyU 15223517) for this study. We extend special thanks to our interviewees from (in alphabetical order) AECOM Asia Company Ltd., ATAL Engineering Ltd., Civil Engineering and Development Department, Construction Industry Council, Environmental Protection Department, Gammon Construction Ltd., Hong Kong Productivity Council, Hong Kong Waste Management Association, and Ove Arup &amp; Partners Hong Kong Ltd.</t>
  </si>
  <si>
    <t>WASTE MANAGE</t>
  </si>
  <si>
    <t>Waste Manage.</t>
  </si>
  <si>
    <t>HF6TO</t>
  </si>
  <si>
    <t>van der Velde, M; Biavetti, I; El-Aydam, M; Niemeyer, S; Santini, F; van den Berg, M</t>
  </si>
  <si>
    <t>van der Velde, Marijn; Biavetti, Irene; El-Aydam, Mohamed; Niemeyer, Stefan; Santini, Fabien; van den Berg, Maurits</t>
  </si>
  <si>
    <t>Use and relevance of European Union crop monitoring and yield forecasts</t>
  </si>
  <si>
    <t>AGRICULTURAL SYSTEMS</t>
  </si>
  <si>
    <t>CLIMATE; SUSTAINABILITY; WEATHER; MAIZE; WHEAT</t>
  </si>
  <si>
    <t>Since 1993, the JRC has put in operation a crop monitoring and yield forecasting system for Europe, the results of which are published in the JRC MARS Bulletin (currently every month). This paper outlines how the agrometeorological analyses, country-specific overviews of crop conditions, and crop yield forecasts reported in the Bulletin are used and how these respond to the diverse needs of different types of stakeholders. Stakeholders from more than 32 countries download the JRC MARS Bulletin, in peak-season up to 1500 downloads occur in the first days after publication. The readership of the Bulletin is diverse, coming from governments (e.g. Ministries of Agriculture), private companies (e.g. commodity traders, banking), media, and research and academia. On the list of stakeholders that want to be notified of the release of the Bulletin, roughly 37% originate from business, 35% from research and development, 22% from government, and 6% from the media. The primary user is the Directorate General for Agriculture and Rural Development (DG-AGRI) of the European Commission, which uses the forecasts to quantify the production estimates for crop supply balance sheets and to identify regions with exceptional (mostly weather related) challenges that might require a policy response. The information for wheat, maize and rice is shared through the Agricultural Market Information System (AMIS) thus contributing to increased global market transparency and better governance of agriculture and food policies. The largest business use is in market information, financial, and consultancy services, followed by commodity trading. Examples of use in media reports as well as online feedback to those, e.g. by farmer's organizations, are also presented. Downloads of the Bulletin peak in the month before harvest at the time when the forecasts can be of most value for stakeholder decision-making.</t>
  </si>
  <si>
    <t>[van der Velde, Marijn; Biavetti, Irene; Niemeyer, Stefan; van den Berg, Maurits] European Commiss, Joint Res Ctr, Via E Fermi 2749, Ispra, Italy; [El-Aydam, Mohamed; Santini, Fabien] European Commiss, DG Agr &amp; Rural Dev, Rue Loi 130, Brussels, Belgium</t>
  </si>
  <si>
    <t>van der Velde, M (corresponding author), European Commiss, Joint Res Ctr, Via E Fermi 2749, Ispra, Italy.</t>
  </si>
  <si>
    <t>marijn.van-der-velde@ec.europa.eu</t>
  </si>
  <si>
    <t>van der Velde, Marijn/B-3305-2009</t>
  </si>
  <si>
    <t>van der Velde, Marijn/0000-0002-9103-7081</t>
  </si>
  <si>
    <t>0308-521X</t>
  </si>
  <si>
    <t>1873-2267</t>
  </si>
  <si>
    <t>AGR SYST</t>
  </si>
  <si>
    <t>Agric. Syst.</t>
  </si>
  <si>
    <t>10.1016/j.agsy.2018.05.001</t>
  </si>
  <si>
    <t>HE7TW</t>
  </si>
  <si>
    <t>WOS:000453643900022</t>
  </si>
  <si>
    <t>Lesh, JP</t>
  </si>
  <si>
    <t>Lesh, James P.</t>
  </si>
  <si>
    <t>From Modern to Postmodern Skyscraper Urbanism and the Rise of Historic Preservation in Sydney, Melbourne, and Perth, 1969-1988</t>
  </si>
  <si>
    <t>skyscrapers; historic preservation; urban conservation; urban heritage; modernism; neoliberalism; political economy; Melbourne; Sydney; Perth; urban history</t>
  </si>
  <si>
    <t>From the late 1960s to the mid-1980s, the Australian city transitioned from modern to postmodern skyscraper urbanism. This article examines three Australian skyscrapers spanning this transition: the Mutual Life &amp; Citizens Assurance Company (MLC) Centre in Sydney (1977), the Rialto Towers in Melbourne (1986), and the Bond Tower in Perth (1988). Despite a backlash against skyscrapers, in part brought about by heritage activists, these prominent and sizable towers were realized in historic environments. With the authorization of heritage regulators and consultants, tower builders made architectural and functional compromises for preservation, to the dissatisfaction of activists. Local and transnational forces coalesced to bring about this mode of skyscraper development, including improved construction technologies, the continued association of towers with boosterism, an intensification of economic processes, and advancements in participatory urbanism. These Australian developments exemplify the changing relationship between postmodern skyscrapers, heritage conservation, and urban planning and design.</t>
  </si>
  <si>
    <t>[Lesh, James P.] Univ Melbourne, Melbourne, Vic, Australia</t>
  </si>
  <si>
    <t>Lesh, JP (corresponding author), POB 303, Brunswick East, Vic 3057, Australia.</t>
  </si>
  <si>
    <t>j.lesh@unimelb.edu.au</t>
  </si>
  <si>
    <t>Lesh, James/0000-0003-0897-2018</t>
  </si>
  <si>
    <t>Australian Government Research Training Program</t>
  </si>
  <si>
    <t>Australian Government Research Training Program(Australian Government)</t>
  </si>
  <si>
    <t>The author disclosed receipt of the following financial support for the research, authorship, and/or publication of this article: The author received financial support through the Australian Government Research Training Program.</t>
  </si>
  <si>
    <t>J URBAN HIST</t>
  </si>
  <si>
    <t>J. Urban Hist.</t>
  </si>
  <si>
    <t>10.1177/0096144217737063</t>
  </si>
  <si>
    <t>History; History Of Social Sciences; Urban Studies</t>
  </si>
  <si>
    <t>History; Social Sciences - Other Topics; Urban Studies</t>
  </si>
  <si>
    <t>HF3LB</t>
  </si>
  <si>
    <t>WOS:000454135500007</t>
  </si>
  <si>
    <t>Vico-Bosch, A; Rebollo-Catalan, A</t>
  </si>
  <si>
    <t>Vico-Bosch, Alba; Rebollo-Catalan, Angeles</t>
  </si>
  <si>
    <t>WOMEN'S LEARNING ON INTERNET AND SOCIAL NETWORKS: VALIDATION AND GENERAL RESULTS OF A SCALE</t>
  </si>
  <si>
    <t>EDUCACION XX1</t>
  </si>
  <si>
    <t>Social networks sites; learning; women's studies; internet; reliability; validation</t>
  </si>
  <si>
    <t>EDUCATION; SKILLS; SITES; MEDIA; ENVIRONMENTS; COMPUTER; SUPPORT; WALLS; NEEDS; ICT</t>
  </si>
  <si>
    <t>Reports and policies of digital inclusion on an international level highlight the importance of increasing the role of women in the knowledge society by promoting their skills in the use of the internet and social networks. This paper presents three scales used to measure their learning and some preliminary results obtained with them. We applied scales composed of 10 items each, which measure motives, strategies and learning resources respectively to 1,340 Spanish women aged 18 to 65, selected through stratified sampling by quotas considering age and employment status. The results indicate an optimal construct validity and a high reliability index of the three scales (motives, alpha = .890, strategies, alpha = .900, and resources, alpha = .872). The results show that women learn to use social networks and the internet for a wide variety of reasons, highlighting at a specific level the performance of administrative procedures, the development of hobbies or the management of their training. We also find that women deploy a variety of strategies using more frequently autonomous learning actions with support from friends and family, consulting websites and videotutorials, observing how other people do it and experimenting with technology itself. In conclusion, the scales are valuable to know how women learn about the internet and social networks. This study opens the way to rethinking the training offer aimed at increasing the visibility and prominence of women in the knowledge society, considering the nature and diversity of learning.</t>
  </si>
  <si>
    <t>[Vico-Bosch, Alba; Rebollo-Catalan, Angeles] Univ Seville, Dept Metodos Invest &amp; Diagnost Educ, Seville, Spain</t>
  </si>
  <si>
    <t>Vico-Bosch, A (corresponding author), Univ Seville, C Pirotecnia S-N, Seville 41013, Spain.</t>
  </si>
  <si>
    <t>avico@us.es; rebollo@us.es</t>
  </si>
  <si>
    <t>Rebollo-Catalan, Ángeles/E-9322-2013</t>
  </si>
  <si>
    <t>UNIV NACIONAL EDUCACION DISTANCIA</t>
  </si>
  <si>
    <t>PO SENDA REY,BRAVO MURILLO 38, MADRID, 7-28040, SPAIN</t>
  </si>
  <si>
    <t>1139-613X</t>
  </si>
  <si>
    <t>2174-5374</t>
  </si>
  <si>
    <t>EDUC XX1</t>
  </si>
  <si>
    <t>Educ. XX1</t>
  </si>
  <si>
    <t>10.5944/educXX1.21469</t>
  </si>
  <si>
    <t>HA1VK</t>
  </si>
  <si>
    <t>WOS:000450015300017</t>
  </si>
  <si>
    <t>Environmental innovations; Intermediation; Public support; Business development organisations</t>
  </si>
  <si>
    <t>TECHNOLOGY; UNIVERSITY; LEVEL</t>
  </si>
  <si>
    <t>[Kanda, Wisdom; Hjelm, Olof] Linkoping Univ, Dept Management &amp; Engn, Environm Technol &amp; Management, SE-58183 Linkoping, Sweden; [Clausen, Jens] Borderstep Inst Innovat &amp; Sustainabil, Prinz Albrecht Ring 12, D-30657 Hannover, Germany; [Bienkowska, Dzamila] Linkoping Univ, Dept Management &amp; Engn, Project Innovat &amp; Entrepreneurship, SE-58183 Linkoping, Sweden</t>
  </si>
  <si>
    <t>Kanda, W (corresponding author), Linkoping Univ, Dept Management &amp; Engn, Environm Technol &amp; Management, SE-58183 Linkoping, Sweden.</t>
  </si>
  <si>
    <t>wisdom.kanda@liu.se; olof.hjelm@liu.se; clausen@boderstep.de; dzamila.bienkowska@liu.se</t>
  </si>
  <si>
    <t>Formas (The Swedish Research Council for Environment, Agricultural Sciences and Spatial Planning); European Unions' Interreg programme</t>
  </si>
  <si>
    <t>Formas (The Swedish Research Council for Environment, Agricultural Sciences and Spatial Planning)(Swedish Research Council Formas); European Unions' Interreg programme</t>
  </si>
  <si>
    <t>We are grateful to Formas (The Swedish Research Council for Environment, Agricultural Sciences and Spatial Planning) for funding project SHIFT through ECO-INOVERA and the European Unions' Interreg programme for funding project SUPER from which this article is developed. Our sincere gratitude also goes to the intermediaries who have participated in our study. An earlier draft of this article was presented at the Global Cleaner Production and Sustainable Consumption Conference, November 1-4, 2015, Sitges-Barcelona, Spain.</t>
  </si>
  <si>
    <t>GZ1MX</t>
  </si>
  <si>
    <t>Child Nutrition Programs; Kindergarten Schools; Nutrition Consulting Companies; Nutrition Meal Programs</t>
  </si>
  <si>
    <t>OBESITY; HEALTH; MEDIA</t>
  </si>
  <si>
    <t>HJ3ZV</t>
  </si>
  <si>
    <t>Model-data interaction; Groundwater modeling; Uncertainty analysis; Data assimilation; Data fusion</t>
  </si>
  <si>
    <t>ENSEMBLE KALMAN FILTER; MONTE-CARLO METHODS; HYDROGEOLOGICAL DECISION-ANALYSIS; CONTAMINANT SOURCE LOCATION; WATER-RESOURCES MANAGEMENT; STEADY-STATE CONDITIONS; DATA ASSIMILATION; UNCERTAINTY ANALYSIS; HYDRAULIC CONDUCTIVITY; PARAMETER-ESTIMATION</t>
  </si>
  <si>
    <t>[Rajabi, Mohammad Mandi] Tarbiat Modares Univ, Civil &amp; Environm Engn Fac, POB 14115-397, Tehran, Iran; [Ataie-Ashtiani, Behzad] Sharif Univ Technol, Dept Civil Engn, POB 11155-9313, Tehran, Iran; [Ataie-Ashtiani, Behzad; Simmons, Craig T.] Flinders Univ S Australia, Coll Sci &amp; Engn, Natl Ctr Groundwater Res &amp; Training, GPO Box 2100, Adelaide, SA 5001, Australia</t>
  </si>
  <si>
    <t>Rajabi, MM (corresponding author), Tarbiat Modares Univ, Civil &amp; Environm Engn Fac, POB 14115-397, Tehran, Iran.</t>
  </si>
  <si>
    <t>mmrajabi@modares.ac.ir; ataie@sharif.edu; craig.simmons@flinders.edu.au</t>
  </si>
  <si>
    <t>Simmons, Craig T/H-7458-2015; Ataie-Ashtiani, Behzad/AAM-7707-2021; Ashtiani, Behzad Ataie/AAM-7567-2021</t>
  </si>
  <si>
    <t>Simmons, Craig T/0000-0001-5399-6292; Ataie-Ashtiani, Behzad/0000-0002-1339-3734; Rajabi, Mohammad Mahdi/0000-0002-2181-6637</t>
  </si>
  <si>
    <t>National Centre for Groundwater Research and Training, Australia; Research Office of the Sharif University of Technology, Iran</t>
  </si>
  <si>
    <t>The authors wish to thank the Editor-in-Chief, Professor Geoff Syme and two anonymous reviewers for their valuable comments which helped to improve the final manuscript. Behzad Ataie-Ashtiani and Craig T. Simmons acknowledge support from the National Centre for Groundwater Research and Training, Australia. Behzad Ataie-Ashtiani also appreciates the support of the Research Office of the Sharif University of Technology, Iran.</t>
  </si>
  <si>
    <t>J HYDROL</t>
  </si>
  <si>
    <t>J. Hydrol.</t>
  </si>
  <si>
    <t>Engineering, Civil; Geosciences, Multidisciplinary; Water Resources</t>
  </si>
  <si>
    <t>HG1XH</t>
  </si>
  <si>
    <t>Mayer, I</t>
  </si>
  <si>
    <t>Mayer, Igor</t>
  </si>
  <si>
    <t>Assessment of Teams in a Digital Game Environment</t>
  </si>
  <si>
    <t>SIMULATION &amp; GAMING</t>
  </si>
  <si>
    <t>serious games; team assessment; team training; validation</t>
  </si>
  <si>
    <t>PERFORMANCE; CONSTRUCT; COHESION; TEAMWORK; QUALITY</t>
  </si>
  <si>
    <t>Background. Despite the increasing pervasiveness of digital entertainment and serious games in organisational life, there is little evidence for the validity of game-based team training and assessment. Aim. The authors used the game, TEAMUP for a series of team training and assessment sessions, while at the same time researching the internal validity of the game for this purpose. Method. A total of 106 sets of data on games played by teams of professionals (police officers, auditors, consultants, etc.) and undergraduates and postgraduates (in aerospace engineering, entrepreneurship, etc.) were gathered for analysis through pre- and post-game questionnaires focusing on constructs for team quality, such as psychological safety and team cohesiveness. In addition, a large quantity of such data as time to complete task, distance and avoidable mistakes were logged to measure in-game team performance. Correlation and regression analyses were conducted to find relationships between team structure factors, team quality constructs and in-game performance measures. Results. The main finding is that the in-game performance measure 'avoidable mistakes' (a proxy for task quality) correlates markedly and pervasively with 'team cohesiveness'. More important, the findings support the premise that in-game assessment can be internally valid for team research and assessment purposes.</t>
  </si>
  <si>
    <t>[Mayer, Igor] Breda Univ Appl Sci, Mgr Hopmansstr 1,POB 3917, NL-4817 JT Breda, Netherlands</t>
  </si>
  <si>
    <t>Mayer, I (corresponding author), Breda Univ Appl Sci, Mgr Hopmansstr 1,POB 3917, NL-4817 JT Breda, Netherlands.</t>
  </si>
  <si>
    <t>i.s.mayer@hotmail.com</t>
  </si>
  <si>
    <t>1046-8781</t>
  </si>
  <si>
    <t>1552-826X</t>
  </si>
  <si>
    <t>SIMULAT GAMING</t>
  </si>
  <si>
    <t>Simul. Gaming</t>
  </si>
  <si>
    <t>10.1177/1046878118770831</t>
  </si>
  <si>
    <t>Education &amp; Educational Research; Psychology, Social; Social Sciences, Interdisciplinary</t>
  </si>
  <si>
    <t>Education &amp; Educational Research; Psychology; Social Sciences - Other Topics</t>
  </si>
  <si>
    <t>HE6QL</t>
  </si>
  <si>
    <t>WOS:000453535000002</t>
  </si>
  <si>
    <t>Offsets; Black cockatoo; Ground-truthing; Ecological effectiveness</t>
  </si>
  <si>
    <t>NO NET LOSS</t>
  </si>
  <si>
    <t>[Thorn, Sian; Hobbs, Richard J.; Valentine, Leonie E.] Univ Western Australia, Sch Biol Sci, Crawley, WA 6162, Australia</t>
  </si>
  <si>
    <t>Hobbs, RJ (corresponding author), Univ Western Australia, Sch Biol Sci, Crawley, WA 6162, Australia.</t>
  </si>
  <si>
    <t>sian.thorn@research.uwa.edu.au; richard.hobbs@uwa.edu.au; leonie.valentine@uwa.edu.au</t>
  </si>
  <si>
    <t>Valentine, Leonie Ellen/0000-0003-1479-0755; Hobbs, Richard J/0000-0003-4047-3147; Thorn, Sian/0000-0002-3537-2547</t>
  </si>
  <si>
    <t>ARC Centre of Excellence for Environmental Decisions; National Environmental Science Program - Threatened Species Recovery Hub (NESP-TSR); University of Western Australia's School of Biological Sciences</t>
  </si>
  <si>
    <t>ARC Centre of Excellence for Environmental Decisions(Australian Research Council); National Environmental Science Program - Threatened Species Recovery Hub (NESP-TSR); University of Western Australia's School of Biological Sciences</t>
  </si>
  <si>
    <t>We acknowledge funding support from the ARC Centre of Excellence for Environmental Decisions, the National Environmental Science Program - Threatened Species Recovery Hub (NESP-TSR) and the University of Western Australia's School of Biological Sciences. The Western Australian Department of Biodiversity, Conservation and Attractions provided access to the offset sites. We thank Ben Byrne, Alan Wright, Harry Moore, Erika Roper, Andrew Bossie, Misha Lavoie and Brooke Richards for assistance, and 2 anonymous referees for helpful comments on the initial manuscript.</t>
  </si>
  <si>
    <t>HD8OA</t>
  </si>
  <si>
    <t>Flooding; Green infrastructure; Poverty; Africa; Political influence; Informal settlements</t>
  </si>
  <si>
    <t>CLIMATE-CHANGE ADAPTATION; PERIURBAN AGRICULTURE; INFORMAL SETTLEMENTS; ENVIRONMENTAL-CHANGE; WASTE-WATER; LAND-USE; MANAGEMENT; CITIES; PARTICIPATION; SANITATION</t>
  </si>
  <si>
    <t>[Douglas, Ian] Univ Manchester, Sch Environm Educ &amp; Dev, Manchester M13 9PL, Lancs, England</t>
  </si>
  <si>
    <t>Douglas, I (corresponding author), Univ Manchester, Sch Environm Educ &amp; Dev, Manchester M13 9PL, Lancs, England.</t>
  </si>
  <si>
    <t>ian.douglas@manchester.ac.uk</t>
  </si>
  <si>
    <t>HA0KG</t>
  </si>
  <si>
    <t>Single European Sky; Functional Airspace Blocks; Air Navigation Service Providers; Environmental performance regulation; Delphi method; Aviation policy</t>
  </si>
  <si>
    <t>AIR; PERFORMANCE</t>
  </si>
  <si>
    <t>wang, toby/AFU-6392-2022; Efthymiou, Marina/Q-6891-2019; Papatheodorou, Andreas/T-8784-2019</t>
  </si>
  <si>
    <t>TRANSPORT RES A-POL</t>
  </si>
  <si>
    <t>Transp. Res. Pt. A-Policy Pract.</t>
  </si>
  <si>
    <t>Economics; Transportation; Transportation Science &amp; Technology</t>
  </si>
  <si>
    <t>HE0FA</t>
  </si>
  <si>
    <t>Thai</t>
  </si>
  <si>
    <t>Impact Assessment; Para-rubber Industry; Research Project; Achievement</t>
  </si>
  <si>
    <t>[Kongmanee, Chaiya; Satsue, Palakorn] Prince Songkla Univ, Fac Econ, Dept Agr Econ, Hat Yai 90110, Thailand; [Phitthayaphinant, Purawich] Thaksin Univ, Fac Technol &amp; Community Dev, Phatthalung 93210, Thailand</t>
  </si>
  <si>
    <t>Phitthayaphinant, P (corresponding author), Thaksin Univ, Fac Technol &amp; Community Dev, Phatthalung 93210, Thailand.</t>
  </si>
  <si>
    <t>chaiya.k@psu.ac.th; palakorn.sa@psu.ac.th; p_paratsanant@yahoo.co.th</t>
  </si>
  <si>
    <t>KASERSART UNIV, FAC ECONOMICS</t>
  </si>
  <si>
    <t>BANGKOK</t>
  </si>
  <si>
    <t>CENTER APPLIED ECONOMICS RESEARCH, 50 PHAHON YOTHIN RD, JATUJAK, BANGKOK, 10900, THAILAND</t>
  </si>
  <si>
    <t>APPL ECON J</t>
  </si>
  <si>
    <t>Appl. Econ. J.</t>
  </si>
  <si>
    <t>VJ4XT</t>
  </si>
  <si>
    <t>Yunus, EN; Ernawati, E</t>
  </si>
  <si>
    <t>Yunus, Erlinda N.; Ernawati, Erni</t>
  </si>
  <si>
    <t>Productivity paradox? The impact of office redesign on employee productivity</t>
  </si>
  <si>
    <t>INTERNATIONAL JOURNAL OF PRODUCTIVITY AND PERFORMANCE MANAGEMENT</t>
  </si>
  <si>
    <t>Privacy; Friendship; Collaboration; Productivity; Open office; Generation Y</t>
  </si>
  <si>
    <t>OPEN-PLAN OFFICE; PERCEIVED PRODUCTIVITY; PHYSICAL-ENVIRONMENT; JOB-SATISFACTION; WORK; PERFORMANCE; WORKPLACE; PRIVACY; NOISE; PREFERENCES</t>
  </si>
  <si>
    <t>Purpose The purpose of this paper is twofold: first, to investigate the relationship between office redesign and employee productivity; and second to highlight the impact of privacy on work productivity across different generations. Design/methodology/approach This study examines open-office policy more comprehensively by integrating socio-behavioral and physical aspects of the office, and by using a mixed-method approach that incorporates most significant change, factor analysis and hierarchical regression analysis. Using a census method, the respondents were all consultants and trainers in an educational institution who were experiencing office design changes from a combi, cellular-like office to a more open, non-territorial office. Findings Three variables emerged as impacts of office redesign perceived by respondents: friendship, collaboration and privacy. Collaboration and privacy exert a positive influence on work productivity, while friendship does not. The relationship between privacy and work productivity is stronger for the Generation Y than for senior employees, namely, the Baby Boomers and Generation X. Research limitations/implications This study examines the impacts of office redesign in one organization. Future studies should advance the findings by empirically testing the theoretical model in broader contexts. Future studies could also enrich the literature by bringing cultural aspects into the discussion and comparing Asian-based and European or Western-based findings. Practical implications For Gen Y employees who prefer freedom, mobility and flexibility to personalization in their workplace, the open office could be a better solution for organizations that aim for both work productivity and efficiency. Originality/value This study provides an empirical value by using a mixed method of qualitative and quantitative research. This study further contrasts the different perspectives of an office redesign between younger and older generations.</t>
  </si>
  <si>
    <t>[Yunus, Erlinda N.; Ernawati, Erni] Sekolah Tinggi Manajemen PPM, Dept Operat Management, Jakarta, Indonesia</t>
  </si>
  <si>
    <t>Yunus, EN (corresponding author), Sekolah Tinggi Manajemen PPM, Dept Operat Management, Jakarta, Indonesia.</t>
  </si>
  <si>
    <t>erl@ppm-manajemen.ac.id</t>
  </si>
  <si>
    <t>Yunus, Erlinda/AAW-2262-2021</t>
  </si>
  <si>
    <t>1741-0401</t>
  </si>
  <si>
    <t>1758-6658</t>
  </si>
  <si>
    <t>INT J PRODUCT PERFOR</t>
  </si>
  <si>
    <t>Int. J. Product Perform. Manag.</t>
  </si>
  <si>
    <t>10.1108/IJPPM-12-2017-0350</t>
  </si>
  <si>
    <t>HB8JZ</t>
  </si>
  <si>
    <t>WOS:000451336200025</t>
  </si>
  <si>
    <t>Political consequences of biodiversity offsetting implementation: a neomanagerial overlooked tool</t>
  </si>
  <si>
    <t>[Petitimbert, Remy] Univ Lille, Sci Polit, Lille, France; [Guimont, Clemence] Univ Lille, Lille, France; [Guimont, Clemence] Univ Lorraine, Inst Adm &amp; Entreprises, Nancy, France</t>
  </si>
  <si>
    <t>Petitimbert, R (corresponding author), Univ Lille, Sci Polit, Lille, France.</t>
  </si>
  <si>
    <t>10.4000/developpementdurable.12781</t>
  </si>
  <si>
    <t>II9BS</t>
  </si>
  <si>
    <t>WOS:000475490400007</t>
  </si>
  <si>
    <t>Airport Construction Industry; Manager Competencies; Project Success; Localized Model</t>
  </si>
  <si>
    <t>PROFILES</t>
  </si>
  <si>
    <t>[Roshani, Alireza; Gerami, Mohsen; Rezaeifar, Omid] Semnan Univ, Fac Civil Engn, Semnan, Iran; [Roshani, Alireza] Naco 3T Consortium, Tehran, Iran</t>
  </si>
  <si>
    <t>Gerami, M (corresponding author), Semnan Univ, Fac Civil Engn, Semnan, Iran.</t>
  </si>
  <si>
    <t>mgerami@semnan.ac.ir</t>
  </si>
  <si>
    <t>Gerami, Mohsen/AAA-6195-2022; Rezaifar, Omid/AAS-4352-2021</t>
  </si>
  <si>
    <t>Rezaifar, Omid/0000-0002-4753-7775</t>
  </si>
  <si>
    <t>HF4DC</t>
  </si>
  <si>
    <t>Coal floor; Water inrush; Analytic hierarchy process (AHP); GIS; Vulnerability index method (VIM)</t>
  </si>
  <si>
    <t>NUMERICAL-SIMULATION; GROUNDWATER; AQUIFERS; MINE; VULNERABILITY; EVOLUTION; MODEL; SEAM</t>
  </si>
  <si>
    <t>[Dai, Gelian; Xue, Xiaoyuan; Xu, Ke; Dong, Lei; Niu, Chao] Xian Univ Sci &amp; Technol, Coll Geol &amp; Environm, 58 Yanta Rd, Xian 710054, Shaanxi, Peoples R China; [Dai, Gelian] Minist Land &amp; Resources, Key Lab Coal Resources Explorat &amp; Comprehens Util, 26 Wenjing Rd, Xian 710054, Shaanxi, Peoples R China</t>
  </si>
  <si>
    <t>Xu, K (corresponding author), Xian Univ Sci &amp; Technol, Coll Geol &amp; Environm, 58 Yanta Rd, Xian 710054, Shaanxi, Peoples R China.</t>
  </si>
  <si>
    <t>xuke9270@126.com</t>
  </si>
  <si>
    <t>China National Science Foundation [41472234]; Ministry of Land and Resources Key Laboratory of Coal Resources Exploration and Comprehensive Utilization; PhD Research Startup Foundation of Xi'an University of Science and Technology [2017QDJ012]; Young Teachers' Fostering Foundation of Xi'an University of Science and Technology [201607]</t>
  </si>
  <si>
    <t>China National Science Foundation(National Natural Science Foundation of China (NSFC)); Ministry of Land and Resources Key Laboratory of Coal Resources Exploration and Comprehensive Utilization; PhD Research Startup Foundation of Xi'an University of Science and Technology; Young Teachers' Fostering Foundation of Xi'an University of Science and Technology</t>
  </si>
  <si>
    <t>This research is financially supported by the China National Science Foundation (Grant 41472234) and the Ministry of Land and Resources Key Laboratory of Coal Resources Exploration and Comprehensive Utilization and by the PhD Research Startup Foundation of Xi'an University of Science and Technology (Grant 2017QDJ012) and the Young Teachers' Fostering Foundation of Xi'an University of Science and Technology (Grant 201607).</t>
  </si>
  <si>
    <t>ARAB J GEOSCI</t>
  </si>
  <si>
    <t>Arab. J. Geosci.</t>
  </si>
  <si>
    <t>HB3ZH</t>
  </si>
  <si>
    <t>ETA system effectiveness; Greek EIA system; E-environmental registry; Environmental information</t>
  </si>
  <si>
    <t>ENVIRONMENTAL-IMPACT ASSESSMENT; PUBLIC-PARTICIPATION</t>
  </si>
  <si>
    <t>[Pediaditi, Kalliope] Int Hellen Univ, Sch Econ Business Adm &amp; Legal Studies, 14th Km Thessaloniki N Moudania, Thermi 57001, Greece; [Banias, Georgios; Lampridi, Maria] Ctr Res &amp; Technol Hellas, Inst Bioecon &amp; Agritechnol, Thessaloniki 57001, Greece; [Sartzetakis, Eftychios] Univ Macedonia, Dept Econ, 156 Egnatia St, Thessaloniki 54636, Greece</t>
  </si>
  <si>
    <t>Banias, G (corresponding author), Ctr Res &amp; Technol Hellas, Inst Bioecon &amp; Agritechnol, Thessaloniki 57001, Greece.</t>
  </si>
  <si>
    <t>g.banias@certh.gr</t>
  </si>
  <si>
    <t>Georgios, Banias/L-6960-2019; Sartzetakis, Eftichios S/J-1938-2016</t>
  </si>
  <si>
    <t>Georgios, Banias/0000-0003-2641-5776; Sartzetakis, Eftichios S/0000-0001-7997-7575; Lampridi, Maria/0000-0002-3215-7972</t>
  </si>
  <si>
    <t>360 PARK AVE SOUTH, NEW YORK, NY 10010-1710 USA</t>
  </si>
  <si>
    <t>GX1LZ</t>
  </si>
  <si>
    <t>Practitioners; Scoping; Information management; Knowledge management; Environmental impact assessment</t>
  </si>
  <si>
    <t>ENVIRONMENTAL-IMPACT ASSESSMENT; KNOWLEDGE MANAGEMENT; CHALLENGES; SCALE; OPPORTUNITIES; PERCEPTIONS; COMPONENTS; FRAMEWORK; WILDLIFE</t>
  </si>
  <si>
    <t>[Alves Dibo, Ana Paula; Sanchez, Luis Enrique] Univ Sao Paulo, Escola Politecn, Dept Min &amp; Petr Engn, Sao Paulo, Brazil; [Noble, Bram F.] Univ Saskatchewan, Dept Geog &amp; Planning, Saskatoon, SK, Canada</t>
  </si>
  <si>
    <t>Dibo, APA (corresponding author), Univ Sao Paulo, Escola Politecn, Dept Min &amp; Petr Engn, Sao Paulo, Brazil.</t>
  </si>
  <si>
    <t>anapauladibo@gmail.com</t>
  </si>
  <si>
    <t>Sánchez, L.E./K-8471-2012</t>
  </si>
  <si>
    <t>Sánchez, L.E./0000-0001-6779-8481</t>
  </si>
  <si>
    <t>Brazilian Coordination for the Improvement of Higher Education Personnel (CAPES)</t>
  </si>
  <si>
    <t>Brazilian Coordination for the Improvement of Higher Education Personnel (CAPES)(Coordenacao de Aperfeicoamento de Pessoal de Nivel Superior (CAPES))</t>
  </si>
  <si>
    <t>We thank all participants that responded our survey and shared their views on the topic. This research was supported by a grant of the Brazilian Coordination for the Improvement of Higher Education Personnel (CAPES) to the first author.</t>
  </si>
  <si>
    <t>GZ3SP</t>
  </si>
  <si>
    <t>Lee, JE; Sung, JH; Sarpong, D; Efird, JT; Tchounwou, PB; Ofili, E; Norris, K</t>
  </si>
  <si>
    <t>Lee, Jae Eun; Sung, Jung Hye; Sarpong, Daniel; Efird, Jimmy T.; Tchounwou, Paul B.; Ofili, Elizabeth; Norris, Keith</t>
  </si>
  <si>
    <t>Knowledge Management for Fostering Biostatistical Collaboration within a Research Network: The RTRN Case Study</t>
  </si>
  <si>
    <t>strategic approach; research collaboration; knowledge management; research network; capacity building; RTRN</t>
  </si>
  <si>
    <t>BUSINESS-GOVERNMENT COLLABORATION; QUALITY IMPROVEMENT; HEALTH; IMPACT; CARE; LEADERSHIP; SCIENCE</t>
  </si>
  <si>
    <t>Purpose: While the intellectual and scientific rationale for research collaboration has been articulated, a paucity of information is available on a strategic approach to facilitate the collaboration within a research network designed to reduce health disparities. This study aimed to (1) develop a conceptual model to facilitate collaboration among biostatisticians in a research network; (2) describe collaborative engagement performed by the Network's Data Coordinating Center (DCC); and (3) discuss potential challenges and opportunities in engaging the collaboration. Methods: Key components of the strategic approach will be developed through a systematic literature review. The Network's initiatives for the biostatistical collaboration will be described in the areas of infrastructure, expertise and knowledge management and experiential lessons will be discussed. Results: Components of the strategic approach model included three Ps (people, processes and programs) which were integrated into expert management, infrastructure management and knowledge management, respectively. Ongoing initiatives for collaboration with non-DCC biostatisticians included both web-based and face-to-face interaction approaches: Network's biostatistical capacities and needs assessment, webinar statistical seminars, mobile statistical workshop and clinics, adjunct appointment program, one-on-one consulting, and on-site workshop. The outreach program, as a face-to-face interaction approach, especially resulted in a useful tool for expertise management and needs assessment as well as knowledge exchange. Conclusions: Although fostering a partnered research culture, sustaining senior management commitment and ongoing monitoring are a challenge for this collaborative engagement, the proposed strategies centrally performed by the DCC may be useful in accelerating the pace and enhancing the quality of the scientific outcomes within a multidisciplinary clinical and translational research network.</t>
  </si>
  <si>
    <t>[Lee, Jae Eun; Tchounwou, Paul B.] Jackson State Univ, Mississippi E Ctr, Res Ctr Minor Inst Translat Res Network Data Coor, 1230 Raymond Rd, Jackson, MS 39204 USA; [Lee, Jae Eun; Sung, Jung Hye] Jackson State Univ, Coll Publ Serv, Dept Biostatist &amp; Epidemiol, 350 W Woodrow Wilson Dr Jackson Med Mall, Jackson, MS 39213 USA; [Sarpong, Daniel] Xavier Univ, Ctr Minor Hlth &amp; Hlth Dispar Res &amp; Educ, 1 Drexel Dr, New Orleans, LA 70125 USA; [Efird, Jimmy T.] Univ Newcastle UoN, Sch Med &amp; Publ Hlth, CCEB, Callaghan, NSW 2308, Australia; [Ofili, Elizabeth] Morehouse Sch Med, Clin Res Ctr &amp; Clin &amp; Translat Res, 720 Westview Dr, Atlanta, GA 30310 USA; [Norris, Keith] UCLA, David Geffen Sch Med, Dept Med, 911 Broxton Ave,Room 103, Los Angeles, CA 90024 USA</t>
  </si>
  <si>
    <t>Lee, JE (corresponding author), Jackson State Univ, Mississippi E Ctr, Res Ctr Minor Inst Translat Res Network Data Coor, 1230 Raymond Rd, Jackson, MS 39204 USA.;Lee, JE (corresponding author), Jackson State Univ, Coll Publ Serv, Dept Biostatist &amp; Epidemiol, 350 W Woodrow Wilson Dr Jackson Med Mall, Jackson, MS 39213 USA.</t>
  </si>
  <si>
    <t>jae.e.lee@jsums.edu; jung.h.lee@jsums.edu; dsarpong@xula.edu; jimmy.efird@stanfordalumni.org; paul.b.tchounwou@jsums.edu; eofili@msm.edu; knorris@ucla.edu</t>
  </si>
  <si>
    <t>Tchounwou, Paul/0000-0002-3407-6674; Norris, Keith/0000-0003-3071-0700</t>
  </si>
  <si>
    <t>National Institute on Minority Health and Health Disparities, National Institutes of Health [U54MD008149]; NIH [UL1TR000124, P30-AG021684]; NATIONAL INSTITUTE ON AGING [P30AG021684] Funding Source: NIH RePORTER; National Institute on Minority Health and Health Disparities [U54MD008149] Funding Source: NIH RePORTER</t>
  </si>
  <si>
    <t>National Institute on Minority Health and Health Disparities, National Institutes of Health; NIH(United States Department of Health &amp; Human ServicesNational Institutes of Health (NIH) - USA); NATIONAL INSTITUTE ON AGING(United States Department of Health &amp; Human ServicesNational Institutes of Health (NIH) - USANIH National Institute on Aging (NIA)); National Institute on Minority Health and Health Disparities(United States Department of Health &amp; Human ServicesNational Institutes of Health (NIH) - USANIH National Institute on Minority Health &amp; Health Disparities (NIMHD))</t>
  </si>
  <si>
    <t>This study is supported by grant number U54MD008149 (RCMI Translational Research Network) from the National Institute on Minority Health and Health Disparities, National Institutes of Health. Dr. Keith Norris is supported, in part, by NIH Grants UL1TR000124 and P30-AG021684.</t>
  </si>
  <si>
    <t>10.3390/ijerph15112533</t>
  </si>
  <si>
    <t>HC2OB</t>
  </si>
  <si>
    <t>WOS:000451640500207</t>
  </si>
  <si>
    <t>Mousavi, MPS; Sohrabpour, Z; Anderson, EL; Stemig-Vindedahl, A; Golden, D; Christenson, G; Lust, K; Buhlmann, P</t>
  </si>
  <si>
    <t>Mousavi, Maral P. S.; Sohrabpour, Zahra; Anderson, Evan L.; Stemig-Vindedahl, Amanda; Golden, David; Christenson, Gary; Lust, Katherine; Buhlmann, Philippe</t>
  </si>
  <si>
    <t>Stress and Mental Health in Graduate School: How Student Empowerment Creates Lasting Change</t>
  </si>
  <si>
    <t>JOURNAL OF CHEMICAL EDUCATION</t>
  </si>
  <si>
    <t>Graduate Education/Research; Collaborative/Cooperative Learning Student/Career Counseling Student-Centered Learning; Curriculum</t>
  </si>
  <si>
    <t>This article describes an ongoing initiative of the Department of Chemistry (Chem. Dept.) at the University of Minnesota (UMN) to support the mental health of graduate students. With the increasing pressure on students to carry out novel research, publish articles, learn a broad range of skills, and look for career opportunities, the levels of stress, anxiety, and depression among graduate students are on the rise. For tackling these issues, the UMN Chem. Dept. has adopted an approach that heavily relies on the involvement of graduate students and student empowerment. This contribution describes the results of a collaboration between a student group (Community of Chemistry Graduate Students, CCGS), the director of graduate studies of the Chem. Dept., and mental health professionals at the UMN campus health service, to provide strategies for ensuring a welcoming and productive departmental climate. It describes the events that CCGS has hosted to help to improve the mental health of students, and raise awareness and stimulate open discussions about this topic. As an early intervention strategy, the UMN Chem. Dept. revised several policies to ensure that students receive frequent feedback from their advisors. Through the collaboration of the CCGS, UMN Chem. Dept., and UMN campus health service, a survey for the evaluation of mental health and stress factors in graduate studies was developed. Findings of the survey attest to the stigma associated with mental health, as more than 40% of the graduate students responded that they did not consider consulting with a therapist, counselor, or physician even when they felt that their health was affected by the level of stress in their lives. The results also show the importance of an open and friendly environment for students who struggle with stress and mental health, as they were most likely to approach a friend rather than advisor, counselor, or physician.</t>
  </si>
  <si>
    <t>[Mousavi, Maral P. S.; Sohrabpour, Zahra; Anderson, Evan L.; Stemig-Vindedahl, Amanda; Buhlmann, Philippe] Univ Minnesota, Dept Chem, Minneapolis, MN 55455 USA; [Golden, David; Christenson, Gary; Lust, Katherine] Univ Minnesota, Boynton Hlth, Minneapolis, MN 55455 USA; [Mousavi, Maral P. S.] Harvard Univ, Dept Chem &amp; Chem Biol, 12 Oxford St, Cambridge, MA 02138 USA; [Sohrabpour, Zahra] Yale Univ, Dept Chem, 225 Prospect St, New Haven, CT 06511 USA</t>
  </si>
  <si>
    <t>Buhlmann, P (corresponding author), Univ Minnesota, Dept Chem, Minneapolis, MN 55455 USA.;Lust, K (corresponding author), Univ Minnesota, Boynton Hlth, Minneapolis, MN 55455 USA.</t>
  </si>
  <si>
    <t>lustx001@umn.edu; buhlmann@umn.edu</t>
  </si>
  <si>
    <t>Sohrabpour, Zahra/AAH-4064-2021; Buhlmann, Philippe/J-3157-2015</t>
  </si>
  <si>
    <t>Sohrabpour, Zahra/0000-0002-3773-8186; Buhlmann, Philippe/0000-0001-9302-4674; Anderson, Evan/0000-0002-2506-1147</t>
  </si>
  <si>
    <t>Department of Chemistry at the University of Minnesota; Gleysteen family; University of Minnesota; Lester C. and Joan M. Krogh Endowed Fellowship; ACS Division of Analytical Chemistry and Eastman Summer Fellowship; Boynton Health</t>
  </si>
  <si>
    <t>Department of Chemistry at the University of Minnesota; Gleysteen family; University of Minnesota(University of Minnesota System); Lester C. and Joan M. Krogh Endowed Fellowship; ACS Division of Analytical Chemistry and Eastman Summer Fellowship; Boynton Health</t>
  </si>
  <si>
    <t>We acknowledge the Department of Chemistry at the University of Minnesota, Boynton Health, and Prof. Peter W. Carr for generously providing financial support for CCGS activities. We acknowledge Prof. William B. Tolman, former chair of the Department of Chemistry, University of Minnesota, for his continuous support and advice on student empowerment and community engagement. M.P.S.M. acknowledges the Gleysteen family for a Graham N. Gleysteen Excellence Fellowship and the University of Minnesota for a Doctoral Dissertation Fellowship. E.L.A. acknowledges a Lester C. and Joan M. Krogh Endowed Fellowship and an ACS Division of Analytical Chemistry and Eastman Summer Fellowship. We also thank Cody Roemhildt for his assistance in designing Figure 2.</t>
  </si>
  <si>
    <t>0021-9584</t>
  </si>
  <si>
    <t>1938-1328</t>
  </si>
  <si>
    <t>J CHEM EDUC</t>
  </si>
  <si>
    <t>J. Chem. Educ.</t>
  </si>
  <si>
    <t>10.1021/acs.jchemed.8b00188</t>
  </si>
  <si>
    <t>Chemistry, Multidisciplinary; Education, Scientific Disciplines</t>
  </si>
  <si>
    <t>Chemistry; Education &amp; Educational Research</t>
  </si>
  <si>
    <t>HB7GZ</t>
  </si>
  <si>
    <t>WOS:000451246800005</t>
  </si>
  <si>
    <t>agricultural stakeholders; extension; multivariate analysis; socio-ecological systems; mental models; sustainable agriculture</t>
  </si>
  <si>
    <t>WEED MANAGEMENT; MENTAL MODELS; KNOWLEDGE</t>
  </si>
  <si>
    <t>[McKenzie, Sean; Parkinson, Hilary; Mangold, Jane; Menalled, Fabian] Montana State Univ, Dept Land Resources &amp; Environm Sci, Bozeman, MT 59717 USA; [Burrows, Mary] Montana State Univ, Dept Plant Sci &amp; Plant Pathol, Bozeman, MT 59717 USA; [Ahmed, Selena] Montana State Univ, Dept Hlth &amp; Human Dev, Bozeman, MT 59717 USA</t>
  </si>
  <si>
    <t>Menalled, F (corresponding author), Montana State Univ, Dept Land Resources &amp; Environm Sci, Bozeman, MT 59717 USA.</t>
  </si>
  <si>
    <t>mckenzie1986@gmail.com; parkinson.h@gmail.com; jane.mangold@montana.edu; mburrows@montana.edu; selena.ahmed@montana.edu; menalled@montana.edu</t>
  </si>
  <si>
    <t>Ahmed, Selena/0000-0001-5779-0697; burrows, mary/0000-0003-3765-0405</t>
  </si>
  <si>
    <t>Montana Western Sustainable Agriculture Research [NSF RII Track-2 FEC OIA 1632810]; Education Professional Development Program; NIFA-Organic Research and Education Initiative [2012-51300-20004]; NIFA-ORG [2015-51106-23970]</t>
  </si>
  <si>
    <t>Montana Western Sustainable Agriculture Research; Education Professional Development Program; NIFA-Organic Research and Education Initiative; NIFA-ORG</t>
  </si>
  <si>
    <t>Support for this research was provided by the Montana Western Sustainable Agriculture Research, NSF RII Track-2 FEC OIA 1632810, and Education Professional Development Program and the NIFA-Organic Research and Education Initiative grant number 2012-51300-20004 and NIFA-ORG grant number 2015-51106-23970.</t>
  </si>
  <si>
    <t>HC1AQ</t>
  </si>
  <si>
    <t>uncertainty; transaction cost; construction projects; risk; Pakistan</t>
  </si>
  <si>
    <t>DELAY FACTORS; PERFORMANCE; CONTRACTS; MODEL</t>
  </si>
  <si>
    <t>[Ali, Zaigham; Zhu, Fangwei; Hussain, Shahid] Dalian Univ Technol, Fac Management &amp; Econ, Dalian 116024, Peoples R China; [Ali, Zaigham] Karakoram Int Univ, Dept Business Management, Gilgit Baltistan 15100, Pakistan</t>
  </si>
  <si>
    <t>Ali, Z; Zhu, FW (corresponding author), Dalian Univ Technol, Fac Management &amp; Econ, Dalian 116024, Peoples R China.;Ali, Z (corresponding author), Karakoram Int Univ, Dept Business Management, Gilgit Baltistan 15100, Pakistan.</t>
  </si>
  <si>
    <t>zaigham.ali@kiu.edu.pk; zhufw@dlut.edu.cn; shahidkhoja@mail.dlut.edu.cn</t>
  </si>
  <si>
    <t>National Natural Science Foundation of China [71372085]</t>
  </si>
  <si>
    <t>This research was funded by National Natural Science Foundation of China under Grant No. 71372085.</t>
  </si>
  <si>
    <t>HB8AU</t>
  </si>
  <si>
    <t>Unconventional gas; Energy justice; Mexico; Fracking; Extractivist imperative</t>
  </si>
  <si>
    <t>UNITED-STATES; RURAL CITIES; OIL; POLICY; WATER; ENVIRONMENT; FRACKING; SECURITY; POLITICS; LESSONS</t>
  </si>
  <si>
    <t>[Silva Ontiveros, Letizia] Univ Nacl Autonoma Mexico, Inst Geog, Dept Econ Geog, Mexico City, DF, Mexico; [Munro, Paul G.; Melo Zurita, Maria de Lourdes] Univ New South Wales, Fac Arts &amp; Social Sci, Environm Humanities Program, Kensington, NSW, Australia</t>
  </si>
  <si>
    <t>Munro, PG (corresponding author), Univ New South Wales, Fac Arts &amp; Social Sci, Environm Humanities Program, Kensington, NSW, Australia.</t>
  </si>
  <si>
    <t>lsilva@igg.unam.mx; paul.munro@unsw.edu.au; m.melozurita@unsw.edu.au</t>
  </si>
  <si>
    <t>Melo Zurita, Maria de Lourdes/0000-0002-8842-5542; Munro, Paul George/0000-0003-3768-0006; Silva, Letizia/0000-0002-9836-1618</t>
  </si>
  <si>
    <t>HA5XY</t>
  </si>
  <si>
    <t>WESTERN-AUSTRALIA; BITES; COMMUNICATION; ATTITUDES; RISK</t>
  </si>
  <si>
    <t>[Fraser-Baxter, Sam; Medvecky, Fabien] Univ Otago, Dunedin, New Zealand</t>
  </si>
  <si>
    <t>Fraser-Baxter, S (corresponding author), Univ Otago, Dunedin, New Zealand.</t>
  </si>
  <si>
    <t>sam_fraserbaxter@hotmail.com</t>
  </si>
  <si>
    <t>GX9DS</t>
  </si>
  <si>
    <t>assurance; corporate governance; internal audit; sustainability</t>
  </si>
  <si>
    <t>EXTERNAL AUDITORS; SUSTAINABILITY REPORTS; SOURCING ARRANGEMENTS; CORPORATE GOVERNANCE; MANAGEMENT; COMMITTEES; RELIANCE; PERCEPTIONS; POWER; ORGANIZATIONS</t>
  </si>
  <si>
    <t>[Soh, Dominic S. B.] Macquarie Univ, Fac Business &amp; Econ, Dept Accounting &amp; Corp Governance, Sydney, NSW, Australia; [Martinov-Bennie, Nonna] Univ South Africa, Dept Financial Governance, Pretoria, South Africa</t>
  </si>
  <si>
    <t>Soh, DSB (corresponding author), Macquarie Univ, Fac Business &amp; Econ, Dept Accounting &amp; Corp Governance, Sydney, NSW, Australia.</t>
  </si>
  <si>
    <t>dominic.soh@mq.edu.au</t>
  </si>
  <si>
    <t>Faculty of Business and Economics at Macquarie University; Accounting and Finance Association of Australia and New Zealand</t>
  </si>
  <si>
    <t>Accounting and Finance Association of Australia and New Zealand; Faculty of Business and Economics at Macquarie University</t>
  </si>
  <si>
    <t>GY8CQ</t>
  </si>
  <si>
    <t>Theoretical Domains Framework (TDF); dementia; antipsychotics; qualitative; nursing home; behavioral and psychological symptoms of dementia (BPSD)</t>
  </si>
  <si>
    <t>THEORETICAL DOMAINS FRAMEWORK; OLDER HOSPITALIZED-PATIENTS; LONG-TERM-CARE; PSYCHOLOGICAL SYMPTOMS; PEOPLE; RISK; INTERVENTION; POLYPHARMACY; METAANALYSIS; ASSOCIATION</t>
  </si>
  <si>
    <t>[Walsh, Kieran A.; Timmons, Suzanne] Univ Coll Cork, Sch Med, Ctr Gerontol &amp; Rehabil, Cork, Ireland; [Walsh, Kieran A.; Fleming, Aoife; Byrne, Stephen] Univ Coll Cork, Sch Pharm, Pharmaceut Care Res Grp, Cork T12 YN60, Ireland; [Walsh, Kieran A.; Browne, John] Univ Coll Cork, Sch Publ Hlth, Cork, Ireland; [Sinnott, Carol] Univ Cambridge, Sch Clin Med, Healthcare Improvement Studies THIS Inst, Cambridge, England; [Fleming, Aoife] Mercy Univ Hosp, Dept Pharm, Cork, Ireland; [Mc Sharry, Jenny] Natl Univ Ireland Galway, Sch Psychol, Hlth Behav Change Res Grp, Galway, Ireland</t>
  </si>
  <si>
    <t>Walsh, KA (corresponding author), Univ Coll Cork, Sch Pharm, Pharmaceut Care Res Grp, Cork T12 YN60, Ireland.</t>
  </si>
  <si>
    <t>kieranwalsh@umail.ucc.ie</t>
  </si>
  <si>
    <t>Walsh, Kieran A/0000-0002-4386-3012; Mc Sharry, Jennifer/0000-0001-5459-1588; Sinnott, Carol/0000-0002-8620-7461; Timmons, Suzanne/0000-0001-7790-9552; Fleming, Aoife/0000-0001-5330-951X</t>
  </si>
  <si>
    <t>Health Research Board (Ireland); Atlantic Philanthropies, a limited life foundation; National Institute for Health Research UK, School for Primary Care Research (NIHR SPCR); SPHeRE Program [SPHeRE/2013/1]</t>
  </si>
  <si>
    <t>Health Research Board (Ireland); Atlantic Philanthropies, a limited life foundation; National Institute for Health Research UK, School for Primary Care Research (NIHR SPCR); SPHeRE Program</t>
  </si>
  <si>
    <t>KW is funded by the Health Research Board (Ireland) and Atlantic Philanthropies, a limited life foundation, and this research was conducted as part of the SPHeRE Program under Grant No. SPHeRE/2013/1. CS is funded, through a clinical lectureship, by the National Institute for Health Research UK, School for Primary Care Research (NIHR SPCR).</t>
  </si>
  <si>
    <t>J AM MED DIR ASSOC</t>
  </si>
  <si>
    <t>J. Am. Med. Dir. Assoc.</t>
  </si>
  <si>
    <t>Geriatrics &amp; Gerontology</t>
  </si>
  <si>
    <t>GY3CN</t>
  </si>
  <si>
    <t>Consultants; Challenges; Environmental Impact Assessment; EPA; Proponents; Punjab</t>
  </si>
  <si>
    <t>ENVIRONMENTAL-IMPACT ASSESSMENT; ASSESSMENT SYSTEM; QUALITY</t>
  </si>
  <si>
    <t>[Khan, Mehreen X.; Ahmad, Sajid Rashid] Univ Punjab, Dept Environm Sci, Coll Earth &amp; Environm Sci, Lahore, Pakistan; [Chaudhary, Muhammad Nawaz] Lahore Sch Econ, Dept Environm Sci &amp; Policy, Barki Rd, Lahore, Pakistan; [Saif, Samia] Environm Consultancies &amp; Opt, 3d Floor,31 Commercial Area, Lahore, Pakistan; [Mehmood, Asim] Global ECO Lab, 2nd &amp; 3rd Floor,4-5 Commercial Area, Lahore, Pakistan</t>
  </si>
  <si>
    <t>Khan, M (corresponding author), Univ Punjab, Dept Environm Sci, Coll Earth &amp; Environm Sci, Lahore, Pakistan.</t>
  </si>
  <si>
    <t>Task complexity; Environmental review; Engineering design; National Environmental Policy Act (NEPA); Transportation infrastructure projects</t>
  </si>
  <si>
    <t>PROJECT COMPLEXITY; DECISION-MAKING; NEPA; MODEL</t>
  </si>
  <si>
    <t>[An, Yehyun] Korea Res Inst Human Settlements, 5 Gukchaegyeonguwon Ro, Sejong Si 30149, South Korea; [Rogers, Juan; Kingsley, Gordon; Matisoff, Daniel C.; Mistur, Evan] Georgia Inst Technol, Sch Publ Policy, 685 Cherry St NW, Atlanta, GA 30332 USA; [Ashuri, Baabak] Georgia Inst Technol, Sch Bldg Construct, 280 Ferst Dr, Atlanta, GA 30332 USA; [Ashuri, Baabak] Georgia Inst Technol, Sch Civil &amp; Environm Engn, 280 Ferst Dr, Atlanta, GA 30332 USA</t>
  </si>
  <si>
    <t>Kingsley, G (corresponding author), Georgia Inst Technol, Sch Publ Policy, 685 Cherry St NW, Atlanta, GA 30332 USA.</t>
  </si>
  <si>
    <t>anyehyun@krihs.re.kr; jdrogers@gatech.edu; gkingsley@gatech.edu; matisoff@gatech.edu; evanmistur@gatech.edu; baabak@gatech.edu</t>
  </si>
  <si>
    <t>Georgia Department of Transportation through GDOT Research Project [15-06]</t>
  </si>
  <si>
    <t>Georgia Department of Transportation through GDOT Research Project</t>
  </si>
  <si>
    <t>This study was funded by the Georgia Department of Transportation through GDOT Research Project 15-06: Strategies for Communicating Quality Expectations for Environmental Service Contracts. We gratefully acknowledge the men and women at GDOT for making themselves available for interviews, providing data, and assisting on the project. The views and conclusions presented in this paper, as well as any errors in the research or interpretations, are solely those of the authors and do not represent the views of the GDOT.</t>
  </si>
  <si>
    <t>GT3FG</t>
  </si>
  <si>
    <t>Carbon market; ETS; Maturity; FA-AHP; Evaluation</t>
  </si>
  <si>
    <t>EMISSION TRADING SCHEME; EFFICIENCY; DESIGN</t>
  </si>
  <si>
    <t>[Yi, Lan; Li, Zhao-peng; Yang, Li; Liu, Jie; Liu, Yi-ran] Shaanxi Normal Univ, Int Business Sch, Xian 710119, Shaanxi, Peoples R China</t>
  </si>
  <si>
    <t>Yi, L (corresponding author), Shaanxi Normal Univ, Int Business Sch, Xian 710119, Shaanxi, Peoples R China.</t>
  </si>
  <si>
    <t>yilan@snnu.edu.cn</t>
  </si>
  <si>
    <t>key program of National Social Science Foundation of China Research on the maturity of China's carbon market and environmental regulation policy [14AZD051]; National Natural Science Foundation of China Modelling Carbon Price Drivers with Optimized Smart Methods [71101133]; Program for New Century Excellent Talents in University Carbon finance innovation-Research on the price formation mechanism of international carbon market [NCET-11-0725]</t>
  </si>
  <si>
    <t>key program of National Social Science Foundation of China Research on the maturity of China's carbon market and environmental regulation policy; National Natural Science Foundation of China Modelling Carbon Price Drivers with Optimized Smart Methods; Program for New Century Excellent Talents in University Carbon finance innovation-Research on the price formation mechanism of international carbon market</t>
  </si>
  <si>
    <t>This paper is supported by the key program of National Social Science Foundation of China Research on the maturity of China's carbon market and environmental regulation policy [grant number 14AZD051]; National Natural Science Foundation of China Modelling Carbon Price Drivers with Optimized Smart Methods [grant number 71101133]; Program for New Century Excellent Talents in University Carbon finance innovation-Research on the price formation mechanism of international carbon market [grant number NCET-11-0725].</t>
  </si>
  <si>
    <t>GR8KP</t>
  </si>
  <si>
    <t>Traditional livelihoods; Environmental Impact Assessment; Land-use; Mining; Wind farms; Finland</t>
  </si>
  <si>
    <t>CLIMATE-CHANGE; VULNERABILITY; COMMUNITIES; MANAGEMENT; RESOURCES; BARRIERS; CANADA</t>
  </si>
  <si>
    <t>[Landauer, Mia] Univ Lapland, Arctic Ctr, POB 122 Pohjoisranta 4, Rovaniemi 96101, Finland; [Landauer, Mia; Komendantova, Nadejda] IIASA, Risk &amp; Resilience Program, Schlosspl 1, A-2361 Laxenburg, Austria; [Komendantova, Nadejda] Swiss Fed Inst Technol, Swiss Fed Inst Technol, Inst Environm Decis, Univ Str 16, CH-8092 Zurich, Switzerland</t>
  </si>
  <si>
    <t>Landauer, M (corresponding author), Univ Lapland, Arctic Ctr, POB 122 Pohjoisranta 4, Rovaniemi 96101, Finland.</t>
  </si>
  <si>
    <t>mia.landauer@ulapland.fi; komendan@iiasa.ac.at</t>
  </si>
  <si>
    <t>Komendantova, Nadejda/0000-0003-2568-6179; Landauer, Mia/0000-0002-7153-8495</t>
  </si>
  <si>
    <t>Postdoctoral Program of the International Institute for Applied Systems Analysis (IIASA), Austria; Nordic Centre of Excellence in Arctic Research 'Reindeer Husbandry in a Globalizing North' (ReiGN) - NordForsk</t>
  </si>
  <si>
    <t>The Postdoctoral Program of the International Institute for Applied Systems Analysis (IIASA), Austria supported this research. We would like to thank all stakeholders who contributed their time and expertise during the interviews. We are also grateful for the additional support of the Nordic Centre of Excellence in Arctic Research 'Reindeer Husbandry in a Globalizing North' (ReiGN) funded by NordForsk. Special thanks to two anonymous reviewers and Dr. Heli Saarikoski (Finnish Environment Institute SYKE) for their very constructive and helpful comments that greatly contributed to improving the final version of the paper, and Ms. Melissa Evans who provided English language support.</t>
  </si>
  <si>
    <t>ACADEMIC PRESS LTD- ELSEVIER SCIENCE LTD</t>
  </si>
  <si>
    <t>24-28 OVAL RD, LONDON NW1 7DX, ENGLAND</t>
  </si>
  <si>
    <t>J ENVIRON MANAGE</t>
  </si>
  <si>
    <t>J. Environ. Manage.</t>
  </si>
  <si>
    <t>GQ9AE</t>
  </si>
  <si>
    <t>Water framework directive; Sustainable water governance; Collaborative learning; Knowledge management; Communities of practice</t>
  </si>
  <si>
    <t>RESOURCES MANAGEMENT; SCIENCE; PARTICIPATION; GOVERNANCE; UNCERTAINTY; TRANSPORT; IMPLEMENTATION; COMMUNITIES; NUTRIENT; POLITICS</t>
  </si>
  <si>
    <t>[Dawson, Lucas; Persson, Klas; Jarsjo, Jerker] Stockholm Univ, Dept Phys Geog, S-10691 Stockholm, Sweden; [Balfors, Berit; Mortberg, Ulla] KTH Royal Inst Technol, Dept Sustainable Dev, S-10044 Stockholm, Sweden</t>
  </si>
  <si>
    <t>Dawson, L (corresponding author), Stockholm Univ, Dept Phys Geog, S-10691 Stockholm, Sweden.</t>
  </si>
  <si>
    <t>lucas.dawson@natgeo.su.se; balfors@kth.se; mortberg@kth.se; jerker.jarsjo@natgeo.su.se</t>
  </si>
  <si>
    <t>Mörtberg, Ulla/I-6527-2012; Balfors, Berit/A-7691-2018</t>
  </si>
  <si>
    <t>Mörtberg, Ulla/0000-0002-1640-8946; Dawson, Lucas/0000-0002-2325-1609; Balfors, Berit/0000-0003-0214-3921</t>
  </si>
  <si>
    <t>Bolin Centre for Climate Research; Foundation for Baltic and East European Studies; ERA-Net Cofund WaterWorks 2015: WaterJPI 2016 Joint Call for Transnational Collaborative Research Projects (Swedish Research Council FORMAS project) [2017-00105]; FORMAS [2011-1737]; Swedish Institute [10976/2013]</t>
  </si>
  <si>
    <t>Bolin Centre for Climate Research; Foundation for Baltic and East European Studies; ERA-Net Cofund WaterWorks 2015: WaterJPI 2016 Joint Call for Transnational Collaborative Research Projects (Swedish Research Council FORMAS project)(Swedish Research Council Formas); FORMAS(Swedish Research Council Formas); Swedish Institute</t>
  </si>
  <si>
    <t>This study was funded by the Bolin Centre for Climate Research, the Foundation for Baltic and East European Studies, the ERA-Net Cofund WaterWorks 2015: WaterJPI 2016 Joint Call for Transnational Collaborative Research Projects (the Swedish Research Council FORMAS project number 2017-00105; LEAP) and by funding from FORMAS [grant number 2011-1737] to Per Angelstam and from the Swedish Institute [grant number 10976/2013] to Marine Elbakidze.</t>
  </si>
  <si>
    <t>green building; green technical capability; sustainability; Thailand's Rating of Energy and Environmental Sustainability (TREES); developing country</t>
  </si>
  <si>
    <t>CRITICAL SUCCESS FACTORS; CONSTRUCTION PROJECTS; MANAGEMENT; CHALLENGES; DELIVERY; INDUSTRY; IMPACT</t>
  </si>
  <si>
    <t>[Shen, Wenxin; Tang, Wenzhe; Siripanan, Atthaset; Lei, Zhen] Tsinghua Univ, Dept Hydraul Engn, State Key Lab Hydrosci &amp; Engn, Beijing 100084, Peoples R China; [Duffield, Colin F.; Hui, Felix Kin Peng] Univ Melbourne, Dept Infrastruct Engn, Melbourne, Vic 3010, Australia</t>
  </si>
  <si>
    <t>Tang, WZ (corresponding author), Tsinghua Univ, Dept Hydraul Engn, State Key Lab Hydrosci &amp; Engn, Beijing 100084, Peoples R China.</t>
  </si>
  <si>
    <t>cwx14@mails.tsinghua.edu.cn; twz@mail.tsinghua.edu.cn; atthasetandrew@gmail.com; leizhen765466353@126.com; colinfd@unimelb.edu.au; kin.hui@unimelb.edu.au</t>
  </si>
  <si>
    <t>Duffield, Colin F/E-7522-2015; Shen, Wenxin/CAF-3233-2022; Hui, Felix Kin Peng/T-3752-2018</t>
  </si>
  <si>
    <t>National Natural Science Foundation of China [51579135, 51379104]; State Key Laboratory of Hydroscience and Engineering [2013-KY-5, 2015-KY-5]; Major Science and Technology Research Project of Power China [DJ-ZDZX-2015-01-02, DJ-ZDZX-2015-01-07]</t>
  </si>
  <si>
    <t>National Natural Science Foundation of China(National Natural Science Foundation of China (NSFC)); State Key Laboratory of Hydroscience and Engineering; Major Science and Technology Research Project of Power China</t>
  </si>
  <si>
    <t>This research was funded by the National Natural Science Foundation of China (Grant No. 51579135, No. 51379104), State Key Laboratory of Hydroscience and Engineering (Grant No. 2013-KY-5, No. 2015-KY-5), and Major Science and Technology Research Project of Power China (Grant No. DJ-ZDZX-2015-01-02, No. DJ-ZDZX-2015-01-07).</t>
  </si>
  <si>
    <t>GY4UB</t>
  </si>
  <si>
    <t>Agricultural advice; Rural extension; Farm management; Agricultural finance; Financial management; Farmer-advisor relationships; Dairy; Agricultural entrepreneurship; Agricultural Knowledge and Innovation Systems (AKIS)</t>
  </si>
  <si>
    <t>AGRICULTURAL EXTENSION SERVICES; ADVISORY SERVICES; ENTREPRENEURIAL SKILLS; KNOWLEDGE EXCHANGE; BUSINESS ADVICE; TRUST; INFORMATION; FAMILY; COMMERCIALIZATION; ACCOUNTANTS</t>
  </si>
  <si>
    <t>[Hilkens, Aniek; Reid, Janet I.; Gray, David I.] Massey Univ, Sch Agr &amp; Environm, Private Bag 11222, Palmerston North 4442, New Zealand; [Klerkx, Laurens] Wageningen Univ, Knowledge Technol &amp; Innovat Grp, Wageningen, Netherlands</t>
  </si>
  <si>
    <t>Hilkens, A (corresponding author), Massey Univ, Sch Agr &amp; Environm, Private Bag 11222, Palmerston North 4442, New Zealand.</t>
  </si>
  <si>
    <t>a.hilkens@massey.ac.nz; J.I.Reid@massey.ac.nz; laurens.klerkx@wur.nl; D.I.Gray@massey.ac.nz</t>
  </si>
  <si>
    <t>Klerkx, Laurens/ABD-4957-2021</t>
  </si>
  <si>
    <t>AgriOne, New Zealand; AgResearch, New Zealand</t>
  </si>
  <si>
    <t>The authors would like to thank all the participants for participating in the research and are grateful to AgriOne, New Zealand and AgResearch, New Zealand for financial support of the research.</t>
  </si>
  <si>
    <t>1873-1392</t>
  </si>
  <si>
    <t>J RURAL STUD</t>
  </si>
  <si>
    <t>J. Rural Stud.</t>
  </si>
  <si>
    <t>Geography; Regional &amp; Urban Planning</t>
  </si>
  <si>
    <t>Geography; Public Administration</t>
  </si>
  <si>
    <t>GX9DA</t>
  </si>
  <si>
    <t>Mainstreaming; Water; Agriculture; Malawi; Zambia; Tanzania</t>
  </si>
  <si>
    <t>INTERPLAY; ENERGY; MALAWI</t>
  </si>
  <si>
    <t>[England, Matthew I.; Dougill, Andrew J.; Stringer, Lindsay C.; Afionis, Stavros] Univ Leeds, Sustainabil Res Inst, Sch Earth &amp; Environm, Leeds LS2 9JT, W Yorkshire, England; [Vincent, Katharine E.] Kulima Integrated Dev Solut Pty Ltd, Postnet Suite H79,Private Bag X9118, ZA-3200 Pietermaritzburg, South Africa; [Vincent, Katharine E.] Univ Witwatersrand WITS, Sch Architecture &amp; Planning, Private Bag 3, ZA-2050 Johannesburg, South Africa; [Pardoe, Joanna] London Sch Econ &amp; Polit Sci, Grantham Res Inst, London, England; [Kalaba, Felix K.] Copperbelt Univ, Sch Nat Resources, Kitwe, Zambia; [Mkwambisi, David D.] Lilongwe Univ Agr &amp; Nat Resources, Dept Environm Management Sci, Lilongwe, Malawi; [Namaganda, Emilinah] Wageningen Univ, Dept Environm Sci, Wageningen, Netherlands</t>
  </si>
  <si>
    <t>Dougill, AJ (corresponding author), Univ Leeds, Sustainabil Res Inst, Sch Earth &amp; Environm, Leeds LS2 9JT, W Yorkshire, England.</t>
  </si>
  <si>
    <t>m.i.england@leeds.ac.uk; a.j.dougill@leeds.ac.uk; l.stringer@leeds.ac.uk; katharine@kulima.com; j.pardoe@lse.ac.uk; kanungwe@gmail.com; ddmkwambisi@gmail.com; emnamaganda@gmail.com; s.afionis@leeds.ac.uk</t>
  </si>
  <si>
    <t>Kalaba, Felix Kanungwe/AAE-8838-2019; Vincent, Katharine/L-5669-2019</t>
  </si>
  <si>
    <t>Vincent, Katharine/0000-0003-3152-1522; Afionis, Stavros/0000-0002-0434-5108; Namaganda, Emilinah/0000-0003-3095-5484</t>
  </si>
  <si>
    <t>Future Climate for Africa (FCFA) programme as part of the UMFULA regional consortium project [NE/M020207/1]; Natural Environmental Research Council (NERC); UK Department for International Development (DFID); NERC [NE/M020398/1, NE/M020010/1] Funding Source: UKRI</t>
  </si>
  <si>
    <t>Future Climate for Africa (FCFA) programme as part of the UMFULA regional consortium project; Natural Environmental Research Council (NERC)(UK Research &amp; Innovation (UKRI)Natural Environment Research Council (NERC)); UK Department for International Development (DFID); NERC(UK Research &amp; Innovation (UKRI)Natural Environment Research Council (NERC))</t>
  </si>
  <si>
    <t>This work was funded by Future Climate for Africa (FCFA) programme as part of the UMFULA regional consortium project (NE/M020207/1). The FCFA programme is funded jointly by the Natural Environmental Research Council (NERC) and UK Department for International Development (DFID).</t>
  </si>
  <si>
    <t>REG ENVIRON CHANGE</t>
  </si>
  <si>
    <t>Reg. Envir. Chang.</t>
  </si>
  <si>
    <t>GU4EK</t>
  </si>
  <si>
    <t>health impact assessment; prospective assessment; assessment effectiveness</t>
  </si>
  <si>
    <t>TRANSPORTATION NOISE; AIR-POLLUTION; LIFE LOST; SWITZERLAND; EXPOSURE</t>
  </si>
  <si>
    <t>[Cantoreggi, Nicola; Simos, Jean] Univ Geneva, Inst Sante Globale, 9 Chemin Mines, CH-1202 Geneva, Switzerland</t>
  </si>
  <si>
    <t>Cantoreggi, N (corresponding author), Univ Geneva, Inst Sante Globale, 9 Chemin Mines, CH-1202 Geneva, Switzerland.</t>
  </si>
  <si>
    <t>nicola.cantoreggi@unige.ch</t>
  </si>
  <si>
    <t>JOHN LIBBEY EUROTEXT LTD</t>
  </si>
  <si>
    <t>MONTROUGE</t>
  </si>
  <si>
    <t>127 AVE DE LA REPUBLIQUE, 92120 MONTROUGE, FRANCE</t>
  </si>
  <si>
    <t>ENVIRON RISQUE SANTE</t>
  </si>
  <si>
    <t>Environ. Risque Sante</t>
  </si>
  <si>
    <t>HD9VP</t>
  </si>
  <si>
    <t>Supply chain risk; risk assessment matrix; Shannon fuzzy entropy; home appliance industry</t>
  </si>
  <si>
    <t>MANAGEMENT; PERFORMANCE; MODEL</t>
  </si>
  <si>
    <t>[Shahin, Arash; Kianersi, Arezou] Univ Isfahan, Dept Management, Esfahan 8174673441, Iran; [Shali, Azarakhsh] Univ Isfahan, Qual Management Res Grp, Esfahan 8174673441, Iran</t>
  </si>
  <si>
    <t>Shali, A (corresponding author), Univ Isfahan, Qual Management Res Grp, Esfahan 8174673441, Iran.</t>
  </si>
  <si>
    <t>shahin@ase.ui.ac.ir; arashshahin@hotmail.com; azarakhsh.sh@gmail.com</t>
  </si>
  <si>
    <t>shahin, Arash/G-2955-2011</t>
  </si>
  <si>
    <t>shahin, Arash/0000-0002-7857-9476</t>
  </si>
  <si>
    <t>WORLD SCIENTIFIC PUBL CO PTE LTD</t>
  </si>
  <si>
    <t>SINGAPORE</t>
  </si>
  <si>
    <t>5 TOH TUCK LINK, SINGAPORE 596224, SINGAPORE</t>
  </si>
  <si>
    <t>J ADV MANUF SYST</t>
  </si>
  <si>
    <t>J. Adv. Manuf. Syst.</t>
  </si>
  <si>
    <t>GO6OO</t>
  </si>
  <si>
    <t>craftspeople; energy practices; green-collar worker; environment policy; energy consulting; buildings in transition</t>
  </si>
  <si>
    <t>PASSIVE HOUSE; NORWAY; MANAGEMENT; BUILDINGS; ENGINEERS; STANDARD; MARKET</t>
  </si>
  <si>
    <t>[Soraa, Roger Andre] NTNU Norwegian Univ Sci &amp; Technol, Trondheim, Norway; [Soraa, Roger Andre] Norwegian Univ Sci &amp; Technol, NTNU, Dept Interdisciplinary Studies Culture, NO-7491 Trondheim, Norway</t>
  </si>
  <si>
    <t>Soraa, RA (corresponding author), NTNU Norwegian Univ Sci &amp; Technol, Trondheim, Norway.;Soraa, RA (corresponding author), Norwegian Univ Sci &amp; Technol, NTNU, Dept Interdisciplinary Studies Culture, NO-7491 Trondheim, Norway.</t>
  </si>
  <si>
    <t>INTELLECT LTD</t>
  </si>
  <si>
    <t>THE MILL, PARNALL RD, BRISTOL, BS16 3JG, ENGLAND</t>
  </si>
  <si>
    <t>CRAFT RES</t>
  </si>
  <si>
    <t>Craft Res.</t>
  </si>
  <si>
    <t>Art</t>
  </si>
  <si>
    <t>GZ5YX</t>
  </si>
  <si>
    <t>Beck, A; Boggs, JM; Alem, A; Coleman, KJ; Rossom, RC; Neely, C; Williams, MD; Ferguson, R; Solberg, LI</t>
  </si>
  <si>
    <t>Beck, Arne; Boggs, Jennifer M.; Alem, Angelika; Coleman, Karen J.; Rossom, Rebecca C.; Neely, Claire; Williams, Mark D.; Ferguson, Robert; Solberg, Leif I.</t>
  </si>
  <si>
    <t>Large-Scale Implementation of Collaborative Care Management for Depression and Diabetes and/or Cardiovascular Disease</t>
  </si>
  <si>
    <t>JOURNAL OF THE AMERICAN BOARD OF FAMILY MEDICINE</t>
  </si>
  <si>
    <t>Cardiovascular Diseases; Depression; Diabetes Mellitus; Organizational Innovation; Quality Improvement; Registries; Surveys and Questionnaires</t>
  </si>
  <si>
    <t>BEHAVIORAL HEALTH-CARE; OUTCOMES; IMPROVE; MODELS; TRIAL</t>
  </si>
  <si>
    <t>Background: Collaborative care models have been shown to improve mental and physical health, but their effectiveness varies. Implementation science frameworks identify measures at the structural (eg, sociocultural context, public policies), organizational, provider, innovation, and patient levels that may facilitate or impede collaborative care effectiveness. Objective: To describe commonalities and variation in multilevel measures associated with the implementation of Care of Mental, Physical, and Substance-Use Syndromes (COMPASS), a large-scale collaborative care intervention for depression, diabetes, and cardiovascular disease. Design: Qualitative study using semistructured descriptive data obtained from annual site visit reports and supplemental site surveys. Participants: COMPASS care teams from 8 health care systems serving 3854 patients with active depression and poorly controlled diabetes and/or cardiovascular disease. Intervention: COMPASS included weekly case reviews with a consulting physician and psychiatrist, a patient-tracking registry, and monitoring of hospital and emergency department use. Main Measures: Site visit reports were analyzed with Atlas.ti software to qualitatively describe implementation measures and their variation across sites. Key Results: Nine measures were identified that impacted implementation efforts across health systems: (1) challenges in health systems' organizational environments, (2) prior care coordination experience, (3) physician engagement, (4) care team trust and cohesion, (5) care manager training and experience, (6) patient enrollment length, attainment of clinical targets, and frequency/content of care manager contacts, (7) patient-tracking registries, (8) quality improvement and outcomes monitoring reports, and (9) patients' social needs. Conclusions: Understanding multilevel measures impacting COMPASS implementation could increase the success of future collaborative care implementation efforts.</t>
  </si>
  <si>
    <t>[Beck, Arne; Boggs, Jennifer M.] Kaiser Permanente Colorado, Inst Hlth Res, Denver, CO USA; [Alem, Angelika; Coleman, Karen J.] Kaiser Permanente Southern Calif, Dept Res &amp; Evaluat, Pasadena, CA USA; [Neely, Claire] Inst Clin Syst Improvement, Bloomington, MN USA; [Williams, Mark D.] Mayo Clin, Div Integrated Behav Hlth, Psychiat &amp; Psychol, Rochester, MN USA; [Ferguson, Robert] Pittsburgh Reg Hlth Initiat, Pittsburgh, PA USA; [Rossom, Rebecca C.; Solberg, Leif I.] HealthPartners Inst, Minneapolis, MN USA</t>
  </si>
  <si>
    <t>Beck, A (corresponding author), Kaiser Permanente Colorado, Inst Hlth Res, 2550 S Parker Rd,Suite 200, Aurora, CO 80014 USA.</t>
  </si>
  <si>
    <t>Arne.beck@kp.org</t>
  </si>
  <si>
    <t>Rossom, Rebecca/R-7103-2019</t>
  </si>
  <si>
    <t>Rossom, Rebecca/0000-0002-9531-914X; Solberg, Leif/0000-0001-5509-1139</t>
  </si>
  <si>
    <t>Department of Health and Human Services, Centers for Medicare &amp; Medicaid Services [1C1CMS33-1048-01-00]</t>
  </si>
  <si>
    <t>Department of Health and Human Services, Centers for Medicare &amp; Medicaid Services</t>
  </si>
  <si>
    <t>This project was supported by Grant 1C1CMS33-1048-01-00 from the Department of Health and Human Services, Centers for Medicare &amp; Medicaid Services. The contents of this publication are solely the responsibility of the authors and do not necessarily represent the official views of the US Department of Health and Human Services or any of its agencies. The research presented here was conducted by the awardee. Findings might or might not be consistent with or confirmed by the independent evaluation contractor.</t>
  </si>
  <si>
    <t>AMER BOARD FAMILY MEDICINE</t>
  </si>
  <si>
    <t>LEXINGTON</t>
  </si>
  <si>
    <t>2228 YOUNG DR, LEXINGTON, KY 40505 USA</t>
  </si>
  <si>
    <t>1557-2625</t>
  </si>
  <si>
    <t>1558-7118</t>
  </si>
  <si>
    <t>J AM BOARD FAM MED</t>
  </si>
  <si>
    <t>J. Am. Board Fam. Med.</t>
  </si>
  <si>
    <t>10.3122/jabfm.2018.05.170102</t>
  </si>
  <si>
    <t>GT0ED</t>
  </si>
  <si>
    <t>WOS:000444100700007</t>
  </si>
  <si>
    <t>Davis, J</t>
  </si>
  <si>
    <t>Davis, John</t>
  </si>
  <si>
    <t>Communicating Economic Concepts and Research in a Challenging Environment</t>
  </si>
  <si>
    <t>JOURNAL OF AGRICULTURAL ECONOMICS</t>
  </si>
  <si>
    <t>Agri-Food; Brexit; Communication; Economics; Outreach</t>
  </si>
  <si>
    <t>POLICY EVALUATION; MAKERS; BREXIT</t>
  </si>
  <si>
    <t>This address explores the communication challenges facing the economics profession and agri-food and rural economists in particular against a background of reputational damage to the profession and an apparent loss of trust in experts. It argues that a common thread linking many of the challenges is the need for more effective models of communication so that our economic concepts, ideas and research findings can be more timely, better understood and, most importantly, have greater impact. Five important challenges are examined: loss of trust in experts; emotions and decision making; the role of the media; the roles of agri-food and rural economists; and competition from other disciplines and interests. A good practice communications framework is then proposed embodying ten important communication principles: understanding the target audience; understanding the political context of decision makers; generating a robust evidence base; building reputation and credibility; need for cross disciplinary working; consulting with stakeholder groups; getting the timing right; producing high quality presentations; making use of social media; and being prepared for challenges. Four stereotypical categories of communication incorporating different standards of rigour and relevance are identified: Ivory tower; Gold Standard; Populist; and Quicksand. Responses by the Agricultural Economics Society and the European Association of Agricultural Economists to the need for more accessible communications via the development of the innovative outreach journal EuroChoices are outlined.</t>
  </si>
  <si>
    <t>[Davis, John] AFBI, Econ, Belfast, Antrim, North Ireland; [Davis, John] Queens Univ, Belfast, Antrim, North Ireland</t>
  </si>
  <si>
    <t>Davis, J (corresponding author), AFBI, Econ, Belfast, Antrim, North Ireland.;Davis, J (corresponding author), Queens Univ, Belfast, Antrim, North Ireland.</t>
  </si>
  <si>
    <t>john.davis@afbini.gov.uk</t>
  </si>
  <si>
    <t>0021-857X</t>
  </si>
  <si>
    <t>1477-9552</t>
  </si>
  <si>
    <t>J AGR ECON</t>
  </si>
  <si>
    <t>J. Agric. Econ.</t>
  </si>
  <si>
    <t>10.1111/1477-9552.12300</t>
  </si>
  <si>
    <t>Agricultural Economics &amp; Policy; Economics</t>
  </si>
  <si>
    <t>Agriculture; Business &amp; Economics</t>
  </si>
  <si>
    <t>GU3NT</t>
  </si>
  <si>
    <t>WOS:000445186800001</t>
  </si>
  <si>
    <t>Fishery; MCDA; Promethee; Coastal Development Plans; Fisheries local action groups</t>
  </si>
  <si>
    <t>MULTICRITERIA DECISION-ANALYSIS; STAKEHOLDER PARTICIPATION; PROMETHEE; MARINE; COMANAGEMENT; SYSTEM; VALUES</t>
  </si>
  <si>
    <t>[De Boni, Annalisa; Roma, Rocco] Univ Bari A Moro, Agr &amp; Environm Sci Dept, Via G Amendola 165-A, I-70126 Bari, Italy; [Palmisano, Giovanni Ottomano] Int Ctr Adv Mediterranean Agron Studies CIHEAM Ba, Via Ceglie 9, I-70010 Valenzano, BA, Italy</t>
  </si>
  <si>
    <t>De Boni, A (corresponding author), Univ Bari A Moro, Agr &amp; Environm Sci Dept, Via G Amendola 165-A, I-70126 Bari, Italy.</t>
  </si>
  <si>
    <t>annalisa.deboni@uniba.it; rocco.roma@uniba.it; ottomano@iamb.it</t>
  </si>
  <si>
    <t>Palmisano, Giovanni Ottomano/H-7644-2019; Roma, Rocco/AGE-1180-2022; De Boni, Annalisa/U-9144-2017</t>
  </si>
  <si>
    <t>OCEAN COAST MANAGE</t>
  </si>
  <si>
    <t>Ocean Coastal Manage.</t>
  </si>
  <si>
    <t>Oceanography; Water Resources</t>
  </si>
  <si>
    <t>GT8NG</t>
  </si>
  <si>
    <t>Sustainability transition agency; Transition actors; Transition work; Environmental policy; Consulting engineers</t>
  </si>
  <si>
    <t>SUSTAINABILITY TRANSITIONS; MULTILEVEL PERSPECTIVE; MANAGEMENT; TECHNOLOGIES; ACTORS; FIELD</t>
  </si>
  <si>
    <t>[Sorensen, Knut H.; Lagesen, Vivian Anette; Hojem, Thea Sofie Melhuus] Norwegian Univ Sci &amp; Technol, Dept Interdisciplinary Studies Culture, N-7491 Trondheim, Norway</t>
  </si>
  <si>
    <t>Sorensen, KH (corresponding author), Norwegian Univ Sci &amp; Technol, Dept Interdisciplinary Studies Culture, N-7491 Trondheim, Norway.</t>
  </si>
  <si>
    <t>knut.sorensen@ntnu.no; vivian.lagesen@ntnu.no; thea.hojem@ntnu.no</t>
  </si>
  <si>
    <t>Research Council of Norway [183575]</t>
  </si>
  <si>
    <t>Research Council of Norway(Research Council of Norway)</t>
  </si>
  <si>
    <t>Research Council of Norway has supported the research (grant no. 183575). We are grateful for very useful comments from the editor and two anonymous reviewers.</t>
  </si>
  <si>
    <t>ENVIRON INNOV SOC TR</t>
  </si>
  <si>
    <t>Environ. Innov. Soc. Trans.</t>
  </si>
  <si>
    <t>GR2YH</t>
  </si>
  <si>
    <t>Triple Helix; Innovation barriers; Innovation activities; Traceability; Causality</t>
  </si>
  <si>
    <t>UNIVERSITY; KNOWLEDGE; NETWORKS; INSTITUTIONS; COOPERATION; TECHNOLOGY; DYNAMICS; ADOPTION; GROWTH; MODEL</t>
  </si>
  <si>
    <t>[Jesus Luengo-Valderrey, Maria] Univ Basque Country, Leioa, Spain</t>
  </si>
  <si>
    <t>Luengo-Valderrey, MJ (corresponding author), Univ Basque Country, Leioa, Spain.</t>
  </si>
  <si>
    <t>ASOC UNIV PUBLICAS ANDALUCIA-AUPA</t>
  </si>
  <si>
    <t>CADIZ</t>
  </si>
  <si>
    <t>C ANCHA 16, UNIV CADIZ, CADIZ, 11001, SPAIN</t>
  </si>
  <si>
    <t>REV ESTUD REG</t>
  </si>
  <si>
    <t>Rev. Estud. Reg.</t>
  </si>
  <si>
    <t>IT9BH</t>
  </si>
  <si>
    <t>Residential heating; Space heating; Retrofit; Fuel switching</t>
  </si>
  <si>
    <t>EFFICIENCY INVESTMENTS; IRRELEVANT ALTERNATIVES; HOMEOWNERS DECISIONS; ECONOMETRIC-ANALYSIS; EMPIRICAL-EVIDENCE; DETERMINANTS; CHOICE; CONSUMPTION; HOUSEHOLDS; EXPENDITURES</t>
  </si>
  <si>
    <t>[Curtis, John; McCoy, Daire; Aravena, Claudia] Sir John Rogersons Quay, Econ &amp; Social Res Inst, Dublin, Ireland; [Curtis, John] Univ Dublin, Trinity Coll Dublin, Dublin, Ireland; [McCoy, Daire] London Sch Econ &amp; Polit Sci LSE, Grantham Res Inst Climate Change &amp; Environm, London, England; [Aravena, Claudia] Heriot Watt Univ, Edinburgh, Midlothian, Scotland</t>
  </si>
  <si>
    <t>Curtis, J (corresponding author), Sir John Rogersons Quay, Econ &amp; Social Res Inst, Dublin, Ireland.</t>
  </si>
  <si>
    <t>john.curtis@esri.ie</t>
  </si>
  <si>
    <t>Science Foundation Ireland [12/RC/2302]; Gas Networks Ireland through the Gas Innovation Group [2015-SR-002]; Science Foundation Ireland (SFI) through MaREI - Marine Renewable Energy Ireland Research cluster; ESRI's Energy Policy Research Centre; Grantham Institute for Climate Change and the Environment; ESRC Centre for Climate Change Economics and Policy [ES/K006576/1]</t>
  </si>
  <si>
    <t>Science Foundation Ireland(Science Foundation IrelandEuropean Commission); Gas Networks Ireland through the Gas Innovation Group; Science Foundation Ireland (SFI) through MaREI - Marine Renewable Energy Ireland Research cluster(Science Foundation Ireland); ESRI's Energy Policy Research Centre; Grantham Institute for Climate Change and the Environment; ESRC Centre for Climate Change Economics and Policy(UK Research &amp; Innovation (UKRI)Economic &amp; Social Research Council (ESRC))</t>
  </si>
  <si>
    <t>This research is supported by Science Foundation Ireland under Grant No. 12/RC/2302. The research was part funded by Gas Networks Ireland through the Gas Innovation Group Grant No. 2015-SR-002 and by Science Foundation Ireland (SFI) through MaREI - Marine Renewable Energy Ireland Research cluster. Funding from the ESRI's Energy Policy Research Centre is also gratefully acknowledged. This research has also been supported by the Grantham Institute for Climate Change and the Environment and the ESRC Centre for Climate Change Economics and Policy under grant number ES/K006576/1. This paper also benefited greatly from comments by the editor of this journal and two anonymous reviewers.</t>
  </si>
  <si>
    <t>GO6DC</t>
  </si>
  <si>
    <t>hybrid, Green Accepted</t>
  </si>
  <si>
    <t>Capacity building; impact; interventions; mental health; primary health care; refugee settings</t>
  </si>
  <si>
    <t>RESOURCES; PAKISTAN</t>
  </si>
  <si>
    <t>[Echeverri, C.] Global Mental Hlth Consultant, New York, NY USA; [Le Roy, J.] Global Mental Hlth Consultant, Leuven, Belgium; [Worku, B.] Addis Ababa Univ, Coll Hlth Sci, Sch Med, Dept Psychiat, Addis Ababa, Ethiopia; [Venteyoger, P.] Publ Hlth Sect, Refugees, Geneva, Switzerland</t>
  </si>
  <si>
    <t>Echeverri, C (corresponding author), Global Mental Hlth Consultant, New York, NY USA.</t>
  </si>
  <si>
    <t>caro_edieverri@yahoo.fr</t>
  </si>
  <si>
    <t>Public Health Section of UNHCR in Geneva</t>
  </si>
  <si>
    <t>The authors would like to thank Riet Kroeze of the War Trauma Foundation for the provision of reports and checking drafts of this paper for factual inconsistencies. CE would like to thank the refugees and staff of the different operations for their collaboration and support during the evaluation. The research reported in this publication is supported by the Public Health Section of UNHCR in Geneva. The content is solely the responsibility of the authors and does not necessarily represent the official views of UNHCR.</t>
  </si>
  <si>
    <t>GLOB MENT HEALTH</t>
  </si>
  <si>
    <t>Glob. Ment. Health</t>
  </si>
  <si>
    <t>GR7FG</t>
  </si>
  <si>
    <t>COMPLEX PRODUCTS; BUILDING SECTOR; ORGANIZATIONS; MANAGEMENT; CONSTRUCTION; FIRMS; GOVERNANCE; BARRIERS; OPPORTUNITIES; ENVIRONMENTS</t>
  </si>
  <si>
    <t>[Bossink, Bart] Vrije Univ Amsterdam, Fac Sci, Div Sci Business &amp; Innovat, De Boelelaan 1081-1087, NL-1081 HV Amsterdam, Netherlands</t>
  </si>
  <si>
    <t>Bossink, B (corresponding author), Vrije Univ Amsterdam, Fac Sci, Div Sci Business &amp; Innovat, De Boelelaan 1081-1087, NL-1081 HV Amsterdam, Netherlands.</t>
  </si>
  <si>
    <t>b.a.g.bossink@vu.nl</t>
  </si>
  <si>
    <t>GM3IE</t>
  </si>
  <si>
    <t>Clarke, R; Wigan, M</t>
  </si>
  <si>
    <t>Clarke, Roger; Wigan, Marcus</t>
  </si>
  <si>
    <t>The information infrastructures of 1985 and 2018: The sociotechnical context of computer law &amp; security</t>
  </si>
  <si>
    <t>COMPUTER LAW &amp; SECURITY REVIEW</t>
  </si>
  <si>
    <t>Infrastructural resilience; Consumer rights; Human rights; Accountability; Income distribution; Societal and political resilience</t>
  </si>
  <si>
    <t>BIG DATA; TECHNOLOGY; PROSPECTS; MEDIA</t>
  </si>
  <si>
    <t>This article identifies key features of the sociotechnical contexts of computer law and security at the times of this journal's establishment in 1985, and of its 200th Issue in 2018. The infrastructural elements of devices, communications, data and actuator technologies are considered first. Social actors as individuals, and in groups, communities, societies and polities, together with organisations and economies, are then interleaved with those technical elements. This provides a basis for appreciation of the very different challenges that confront us now in comparison with the early years of post-industrialism. (C) 2018 Xamax Consultancy Pty Ltd and Marcus Wigan. Published by Elsevier Ltd. All rights reserved.</t>
  </si>
  <si>
    <t>[Clarke, Roger] Xamax Consultancy Pty Ltd, 78 Sidaway St, Canberra, ACT 2611, Australia; [Clarke, Roger] Univ NSW Law, Sydney, NSW, Australia; [Clarke, Roger] Australian Natl Univ, Res Sch Comp Sci, Canberra, ACT, Australia; [Wigan, Marcus] Oxford Systemat, Melbourne, Vic, Australia</t>
  </si>
  <si>
    <t>Clarke, R (corresponding author), Xamax Consultancy Pty Ltd, 78 Sidaway St, Canberra, ACT 2611, Australia.</t>
  </si>
  <si>
    <t>Roger.Clarke@xamax.com.au</t>
  </si>
  <si>
    <t>wigan, marcus/S-7279-2019</t>
  </si>
  <si>
    <t>Wigan, Marcus/0000-0002-8529-0785</t>
  </si>
  <si>
    <t>ELSEVIER ADVANCED TECHNOLOGY</t>
  </si>
  <si>
    <t>OXFORD FULFILLMENT CENTRE THE BOULEVARD, LANGFORD LANE, KIDLINGTON, OXFORD OX5 1GB, OXON, ENGLAND</t>
  </si>
  <si>
    <t>0267-3649</t>
  </si>
  <si>
    <t>COMPUT LAW SECUR REV</t>
  </si>
  <si>
    <t>Comput. Law Secur. Rev.</t>
  </si>
  <si>
    <t>10.1016/j.clsr.2018.05.006</t>
  </si>
  <si>
    <t>GQ4PK</t>
  </si>
  <si>
    <t>WOS:000441655000003</t>
  </si>
  <si>
    <t>Musiyarira, H; Hollenberg, T; Shava, P</t>
  </si>
  <si>
    <t>Musiyarira, H.; Hollenberg, T.; Shava, P.</t>
  </si>
  <si>
    <t>Enhancing sustainability of minerals engineering programmes through the development of a Minerals Resource Centre</t>
  </si>
  <si>
    <t>JOURNAL OF THE SOUTHERN AFRICAN INSTITUTE OF MINING AND METALLURGY</t>
  </si>
  <si>
    <t>sustainability; mining education; research and development; centre of excellence</t>
  </si>
  <si>
    <t>Depressed mineral commodity prices have a significant impact on the minerals industry, particularly from a sustainability perspective. In this regard, tertiary institutions across the world offering minerals education face enormous sustainability challenges. This problem is not limited to the developing world. The Department of Mining and Process Engineering (DMPE) at the Namibia University of Science and Technology (MUST) was established in 2009 with the objective of developing a critical human resource base for Namibia's mining industry. Despite the current challenges, the DMPE has the potential to make a significant contribution to the future of Namibia and the country's Vision 2030 skills imperatives. This paper presents the DMPE's strategy to ensure sustainability through mapping out a trajectory to provide quality minerals engineering programmes and strengthen capacity for the local industry through consultancy, research, and development. In the short to medium term, the DMPE aims to enhance its research capacity through the development of postgraduate programmes and the establishment of a national centre of excellence - the Namibia Resource Engineering Centre (NREC). The NREC's envisaged mission is to be an internationally recognized centre of excellence for research, consultancy, innovation, and technology transfer in resource engineering. The NREC will become a key enabler of national development through partnerships with the resource industry, government organizations, and communities. The sustainability of institutions offering minerals engineering programmes depends on their ability to deliver value to local industry.</t>
  </si>
  <si>
    <t>[Musiyarira, H.; Hollenberg, T.; Shava, P.] Namibia Univ Sci &amp; Technol, Dept Min &amp; Proc Engn, Windhoek, Namibia</t>
  </si>
  <si>
    <t>Musiyarira, H (corresponding author), Namibia Univ Sci &amp; Technol, Dept Min &amp; Proc Engn, Windhoek, Namibia.</t>
  </si>
  <si>
    <t>MUSIYARIRA, HARMONY/0000-0003-2433-6142</t>
  </si>
  <si>
    <t>SOUTHERN  AFRICAN INST MINING METALLURGY</t>
  </si>
  <si>
    <t>MARSHALLTOWN         L</t>
  </si>
  <si>
    <t>5 HOLLARD ST, 5TH FLOOR, CHAMBER OF MINES BUILDING, PO BOX 61127, MARSHALLTOWN         L 2107, SOUTH AFRICA</t>
  </si>
  <si>
    <t>2225-6253</t>
  </si>
  <si>
    <t>2411-9717</t>
  </si>
  <si>
    <t>J S AFR I MIN METALL</t>
  </si>
  <si>
    <t>J. S. Afr. Inst. Min. Metall.</t>
  </si>
  <si>
    <t>10.17159/2411-9717/2018/v118n8a8</t>
  </si>
  <si>
    <t>Metallurgy &amp; Metallurgical Engineering; Mining &amp; Mineral Processing</t>
  </si>
  <si>
    <t>GT8VO</t>
  </si>
  <si>
    <t>WOS:000444818200008</t>
  </si>
  <si>
    <t>PHYSICIAN COMMUNICATION; HEALTH; HESITANCY</t>
  </si>
  <si>
    <t>[Kaufman, Jessica; Ryan, Rebecca; Hill, Sophie] La Trobe Univ, Ctr Hlth Commun &amp; Participat, Sch Psychol &amp; Publ Hlth, Melbourne, Vic, Australia</t>
  </si>
  <si>
    <t>Kaufman, J (corresponding author), La Trobe Univ, Ctr Hlth Commun &amp; Participat, Sch Psychol &amp; Publ Hlth, Melbourne, Vic, Australia.</t>
  </si>
  <si>
    <t>j.kaufman@latrobe.edu.au</t>
  </si>
  <si>
    <t>Global Health and Vaccination Research (GLOBVAC) program of the Research Council of Norway (COMMVAC 2) [220873]; Cochrane Infrastructure Grant by National Health and Medical Research Council (NHMRC)</t>
  </si>
  <si>
    <t>Global Health and Vaccination Research (GLOBVAC) program of the Research Council of Norway (COMMVAC 2); Cochrane Infrastructure Grant by National Health and Medical Research Council (NHMRC)(National Health and Medical Research Council (NHMRC) of Australia)</t>
  </si>
  <si>
    <t>JK and SH were supported by the Global Health and Vaccination Research (GLOBVAC) program of the Research Council of Norway (COMMVAC 2 project grant number 220873). SH and RR received funding from a Cochrane Infrastructure Grant provided by the National Health and Medical Research Council (NHMRC). The funders had no role in study design, data collection and analysis, decision to publish, or preparation of the manuscript.</t>
  </si>
  <si>
    <t>GO9GY</t>
  </si>
  <si>
    <t>circular economy; hidden curriculum; university estate; material flow; environmental management</t>
  </si>
  <si>
    <t>HIGHER-EDUCATION; SUSTAINABLE DEVELOPMENT; CAMPUS SUSTAINABILITY; IMPACT; MANAGEMENT; COLLEGE; DESIGN; INSTITUTIONS; PERFORMANCE; ENVIRONMENT</t>
  </si>
  <si>
    <t>[Nunes, Ben Tirone; Pollard, Simon J. T.; Burgess, Paul J.; de los Rios, Irel Carolina] Cranfield Univ, Sch Water Energy &amp; Environm, Cranfield MK43 0AL, Beds, England; [Ellis, Gareth] Cranfield Univ, Energy &amp; Environm Team, Cranfield MK43 0AL, Beds, England; [Charnley, Fiona] Cranfield Univ, Ctr Competit Creat Design C4D, Cranfield MK43 0AL, Beds, England</t>
  </si>
  <si>
    <t>Charnley, F (corresponding author), Cranfield Univ, Ctr Competit Creat Design C4D, Cranfield MK43 0AL, Beds, England.</t>
  </si>
  <si>
    <t>mail@benjamintironenunes.com; s.pollard@cranfield.ac.uk; P.Burgess@cranfield.ac.uk; r.g.ellis@cranfield.ac.uk; i.hdelosrios@gmail.com; f.j.charnley@cranfield.ac.uk</t>
  </si>
  <si>
    <t>Burgess, Paul/0000-0001-8210-3430; Pollard FREng, Simon/0000-0001-8188-3324; Charnley, Fiona/0000-0001-5533-5375</t>
  </si>
  <si>
    <t>Facilities professional services unit of Cranfield University's Board for Energy and the Environment</t>
  </si>
  <si>
    <t>This research was funded through the Facilities professional services unit of Cranfield University for the University's Board for Energy and the Environment. Cranfield's commitment to environmental sustainability and the hidden curriculum is available here: https://www.cranfield.ac.uk/about/environmental-credentials.</t>
  </si>
  <si>
    <t>GW3CI</t>
  </si>
  <si>
    <t>HISTORY</t>
  </si>
  <si>
    <t>[Hannig, Nicolai] Ludwig Maximilians Univ Munchen, Neuere &amp; Neueste Geschichte &amp; Akadem Rat, Lehrstuhl Zeitgeschichte, Geschwister Sch Pl 1, D-80539 Munich, Germany</t>
  </si>
  <si>
    <t>Hannig, N (corresponding author), Ludwig Maximilians Univ Munchen, Neuere &amp; Neueste Geschichte &amp; Akadem Rat, Lehrstuhl Zeitgeschichte, Geschwister Sch Pl 1, D-80539 Munich, Germany.</t>
  </si>
  <si>
    <t>VIERTELJAHR ZEITGES</t>
  </si>
  <si>
    <t>VIERTELJAHRSH. ZEITGESCH.</t>
  </si>
  <si>
    <t>History</t>
  </si>
  <si>
    <t>GV0LG</t>
  </si>
  <si>
    <t>Conflicts; Small-scale fisheries; Ilha Grande Bay; Rio de Janeiro</t>
  </si>
  <si>
    <t>[Pinto Joventino, Fatima Karine] FIPERJ, Rio De Janeiro, RJ, Brazil; [Formiga Johnsson, Rosa Maria] Univ Estado Rio De Janeiro, Dept Engn Sanitaria &amp; Meio Ambiente, Rio De Janeiro, RJ, Brazil</t>
  </si>
  <si>
    <t>Joventino, FKP (corresponding author), FIPERJ, Rio De Janeiro, RJ, Brazil.</t>
  </si>
  <si>
    <t>karine.fiperj@gmail.com; formiga.uerj@gmail.com</t>
  </si>
  <si>
    <t>UNIV FED MARANHAO, CENTRO CIENCIAS HUMANAS</t>
  </si>
  <si>
    <t>SAN LUIS</t>
  </si>
  <si>
    <t>PPGSOC, AV PORTUGUESES, NO 1966, PREDIO CCH BLOCO 6, TERREO SALA 3-CAMPUS UNIV BANCA, SAN LUIS, CEP65085-580, BRAZIL</t>
  </si>
  <si>
    <t>REV POS CIENC SOC</t>
  </si>
  <si>
    <t>Rev. Pos Cienc. Soc.</t>
  </si>
  <si>
    <t>HJ7JN</t>
  </si>
  <si>
    <t>NHS; LISTS; COUNTRIES; ECONOMICS; SERVICES; SURGERY; QUEUES; ACCESS</t>
  </si>
  <si>
    <t>[Sheard, Sally] Univ Liverpool, Dept Publ Hlth &amp; Policy, Liverpool L69 3GB, Merseyside, England</t>
  </si>
  <si>
    <t>Sheard, S (corresponding author), Univ Liverpool, Dept Publ Hlth &amp; Policy, Liverpool L69 3GB, Merseyside, England.</t>
  </si>
  <si>
    <t>sheard@liv.ac.uk</t>
  </si>
  <si>
    <t>Wellcome Trust [104845/Z/14/Z]</t>
  </si>
  <si>
    <t>Wellcome Trust(Wellcome TrustEuropean Commission)</t>
  </si>
  <si>
    <t>A version of this paper was presented as the keynote address at the 80th anniversary conference of Associated Medical Services, Toronto, 11 May 2017. The author thanks Greg Marchildon, Colleen Flood, Dan Fox and the two anonymous reviewers for their feedback. The research was conducted as part of the author's Senior Investigator Award from the Wellcome Trust (ref: 104845/Z/14/Z).</t>
  </si>
  <si>
    <t>HEALTH ECON POLICY L</t>
  </si>
  <si>
    <t>Health Econ. Policy Law</t>
  </si>
  <si>
    <t>HI0QF</t>
  </si>
  <si>
    <t>SCIENCE; REFLECTIONS; LIMITS</t>
  </si>
  <si>
    <t>[Johnston, Sean F.] Univ Glasgow, Sci Technol &amp; Soc, Glasgow, Lanark, Scotland</t>
  </si>
  <si>
    <t>Johnston, SF (corresponding author), Univ Glasgow, Sci Technol &amp; Soc, Glasgow, Lanark, Scotland.</t>
  </si>
  <si>
    <t>British Academy [SG132088]</t>
  </si>
  <si>
    <t>British Academy</t>
  </si>
  <si>
    <t>Sean F. Johnston is professor of science, technology, and society at the University of Glasgow, UK. He acknowledges gratefully the funding for this work by the British Academy under Grant SG132088. He wishes to thank Margaret Allard for helpful access to the Alvin Weinberg Papers at the Children's Museum of Oak Ridge, Tennessee, as well as Timothy J. Gawne (Oak Ridge National Laboratory) and former colleagues Tom Row, Steve Stow, and Alex Zucker on Weinberg's career.</t>
  </si>
  <si>
    <t>JOHNS HOPKINS UNIV PRESS</t>
  </si>
  <si>
    <t>BALTIMORE</t>
  </si>
  <si>
    <t>JOURNALS PUBLISHING DIVISION, 2715 NORTH CHARLES ST, BALTIMORE, MD 21218-4363 USA</t>
  </si>
  <si>
    <t>TECHNOL CULT</t>
  </si>
  <si>
    <t>Technol. Cult.</t>
  </si>
  <si>
    <t>Science Citation Index Expanded (SCI-EXPANDED); Social Science Citation Index (SSCI); Arts &amp;amp; Humanities Citation Index (A&amp;amp;HCI)</t>
  </si>
  <si>
    <t>GU2LA</t>
  </si>
  <si>
    <t>Mobile health application; Self-management; Telecare; Design Science; Usability</t>
  </si>
  <si>
    <t>DESIGN SCIENCE RESEARCH; HOME TELECARE; CARE; TELEMEDICINE; TELEHEALTH; PATIENT; TECHNOLOGIES; SATISFACTION; METHODOLOGY; STRATEGIES</t>
  </si>
  <si>
    <t>[Kao, Hao-Yun; Wei, Chun-Wang; Wu, Wen-Hsiung] Kaohsiung Med Univ, Dept Healthcare Adm &amp; Med Informat, 100 Shih Chuan 1st Rd, Kaohsiung 807, Taiwan; [Yu, Min-Chun] Natl Kaohsiung Univ Appl Sci, Dept Business Adm, 415 Chien Kung Rd, Kaohsiung 807, Taiwan; [Liang, Tyng-Yeu] Natl Kaohsiung Univ Appl Sci, Dept Elect Engn, 415 Chien Kung Rd, Kaohsiung 807, Taiwan; [Wu, Yenchun Jim] Natl Taipei Univ Educ, Coll Innovat &amp; Entrepreneurship, 31 Shida Rd, Taipei 10645, Taiwan; [Wu, Yenchun Jim] Natl Taiwan Normal Univ, 31 Shida Rd, Taipei 10645, Taiwan</t>
  </si>
  <si>
    <t>Wu, YJ (corresponding author), Natl Taipei Univ Educ, Coll Innovat &amp; Entrepreneurship, 31 Shida Rd, Taipei 10645, Taiwan.;Wu, YJ (corresponding author), Natl Taiwan Normal Univ, 31 Shida Rd, Taipei 10645, Taiwan.</t>
  </si>
  <si>
    <t>haoyun@kmu.edu.tw; cwwei@kmu.edu.tw; yminchun@cc.kuas.edu.tw; lty@mail.ee.kuas.edu.tw; whwu@kmu.edu.tw; wuyenchun@gmail.com</t>
  </si>
  <si>
    <t>Kao, Hao-Yun/AAZ-5597-2021; Hao-Yun, Kao/AGD-6394-2022</t>
  </si>
  <si>
    <t>Kao, Hao-Yun/0000-0002-9390-9314; Wu, Yenchun/0000-0001-5479-2873; Wei, Chun-Wang/0000-0002-8231-0007</t>
  </si>
  <si>
    <t>Ministry of Science and Technology, Taiwan [MOST 105-2511-S-037-002, MOST 106-2511-S-037-003, MOST 106-2511-S-003-029-MY3]; National Sun Yat-sen University in Taiwan [NSYSUKMU106-I005]; Kaohsiung Medical University in Taiwan [NSYSUKMU106-I005]</t>
  </si>
  <si>
    <t>Ministry of Science and Technology, Taiwan(Ministry of Science and Technology, Taiwan); National Sun Yat-sen University in Taiwan; Kaohsiung Medical University in Taiwan</t>
  </si>
  <si>
    <t>This project is supported by Ministry of Science and Technology, Taiwan (MOST 105-2511-S-037-002 &amp; MOST 106-2511-S-037-003 &amp; MOST 106-2511-S-003-029-MY3) and affiliated grant NSYSUKMU106-I005 from National Sun Yat-sen University and Kaohsiung Medical University in Taiwan.</t>
  </si>
  <si>
    <t>TELEMAT INFORM</t>
  </si>
  <si>
    <t>Telemat. Inform.</t>
  </si>
  <si>
    <t>GI8AL</t>
  </si>
  <si>
    <t>state-owned enterprise (SOE); performance evaluation; diversification management; grey relational analysis (GRA)</t>
  </si>
  <si>
    <t>SOCIAL-RESPONSIBILITY; CORPORATE; STRATEGY</t>
  </si>
  <si>
    <t>[Ho, Li-Hsing; Tsai, Chen-Cheng] Chung Hua Univ, Program Technol Management, Hsinchu 30041, Taiwan</t>
  </si>
  <si>
    <t>Tsai, CC (corresponding author), Chung Hua Univ, Program Technol Management, Hsinchu 30041, Taiwan.</t>
  </si>
  <si>
    <t>ho@chu.edu.tw; chengcheng.chu.edu@gmail.com</t>
  </si>
  <si>
    <t>GP5WQ</t>
  </si>
  <si>
    <t>Biographical-Item</t>
  </si>
  <si>
    <t>[McComb, Jen] Murdoch Univ, Sch Vet &amp; Life Sci, Murdoch, WA 6150, Australia</t>
  </si>
  <si>
    <t>McComb, J (corresponding author), Murdoch Univ, Sch Vet &amp; Life Sci, Murdoch, WA 6150, Australia.</t>
  </si>
  <si>
    <t>jmccomb@murdoch.edu.au</t>
  </si>
  <si>
    <t>HIST REC AUST SCI</t>
  </si>
  <si>
    <t>Hist. Rec. Aust. Sci.</t>
  </si>
  <si>
    <t>GO9CR</t>
  </si>
  <si>
    <t>Policy mobilities; Tax Increment Financing; urban policy; value capture</t>
  </si>
  <si>
    <t>BUSINESS IMPROVEMENT DISTRICTS; SUSTAINABLE URBANISM; GLOBAL CIRCUITS; GEOGRAPHIES; CITY; GENTRIFICATION; INFRASTRUCTURE; REDEVELOPMENT; CIRCULATION; GOVERNANCE</t>
  </si>
  <si>
    <t>[Ward, Kevin] Univ Manchester, Manchester, Lancs, England</t>
  </si>
  <si>
    <t>Ward, K (corresponding author), Univ Manchester, Sch Environm Educ &amp; Dev, Oxford Rd, Manchester M13 9PL, Lancs, England.</t>
  </si>
  <si>
    <t>kevin.ward@manchester.ac.uk</t>
  </si>
  <si>
    <t>EUR URBAN REG STUD</t>
  </si>
  <si>
    <t>Eur. Urban Reg. Stud.</t>
  </si>
  <si>
    <t>Social Science Citation Index (SSCI); Conference Proceedings Citation Index - Social Science &amp;amp; Humanities (CPCI-SSH)</t>
  </si>
  <si>
    <t>GO0DU</t>
  </si>
  <si>
    <t>Stormwater harvesting; MCDA; Decision making; Stakeholder engagement</t>
  </si>
  <si>
    <t>MAKING FRAMEWORK; MULTICRITERIA; MANAGEMENT; GREENFIELD; SYSTEMS; DESIGN; AREAS; TOOL; AHP</t>
  </si>
  <si>
    <t>[Inamdar, P. M.; Sharma, A. K.; Perera, B. J. C.] Victoria Univ, Coll Engn &amp; Sci, POB 14428, Melbourne, Vic 8001, Australia; [Sharma, A. K.; Perera, B. J. C.] Victoria Univ, Inst Sustainabil &amp; Innovat, POB 14428, Melbourne, Vic 8001, Australia; [Inamdar, P. M.] Dept Primary Ind, Level 10,Valentine Ave,Locked Bag 5123, Parramatta, NSW 2124, Australia; [Cook, Stephen] CSIRO, Land &amp; Water, Melbourne, Vic, Australia</t>
  </si>
  <si>
    <t>Inamdar, PM (corresponding author), Dept Primary Ind, Level 10,Valentine Ave,Locked Bag 5123, Parramatta, NSW 2124, Australia.</t>
  </si>
  <si>
    <t>prasad.inamdar@dpi.nsw.gov.au</t>
  </si>
  <si>
    <t>Cook, Stephen/B-4156-2010; Cook, Stephen/ABB-8673-2020; Cook, Stephen/G-7216-2011; Perera, Chris/J-7130-2019; Sharma, Ashok kumar/A-4945-2008</t>
  </si>
  <si>
    <t>Cook, Stephen/0000-0002-9623-7031; Cook, Stephen/0000-0002-9623-7031; Sharma, Ashok kumar/0000-0002-0172-5033</t>
  </si>
  <si>
    <t>College of Engineering and Science of Victoria University, Melbourne</t>
  </si>
  <si>
    <t>The authors are grateful to College of Engineering and Science of Victoria University, Melbourne, for supporting this research as part of completed PhD project. Finally, the authors would like to thank the surface water modelling unit of Department of Primary Industries (DPI) NSW for encouragement. It is to be acknowledged that DPI NSW is not associated or endorsing any component of this research material or its results.</t>
  </si>
  <si>
    <t>GM3KH</t>
  </si>
  <si>
    <t>Dieye, F</t>
  </si>
  <si>
    <t>Dieye, Fatou</t>
  </si>
  <si>
    <t>The Land of a Thousand Hills: Rwanda's New Urban Agenda</t>
  </si>
  <si>
    <t>ARCHITECTURAL DESIGN</t>
  </si>
  <si>
    <t>Daniel Wyss; Fatou Dieye; Tafali-Etage 8 Million Rwanda Francs (FRW) House; Gikondo; Kigali; Skat Consulting; Swiss Agency for Development and Cooperation's Promoting Off-farm Employment; Climate Responsive Construction Material Production (PROECCO) project; Green Growth and Climate Resilience: A National Strategy on Climate Change and Low Carbon Development; Light Earth Designs (LED); Batsinda II; Umuganda; Ministry of Infrastructure; Social Security Board; Rwanda Housing Authority; Integrated Development Approach Model Village Program (IDP); Massachusetts Institute of Technology (MIT) School of Architecture and Planning; Umusambi House</t>
  </si>
  <si>
    <t>When a country's urbanisation rate far outstrips its construction industry's capacity to build, ambitious yet practical solutions are called for. Spurred by government initiatives, Rwanda has recently seen a number of these emerge, involving specialist teams from around the world working closely with communities. Fatou Dieye, who is coordinating one such project for the Swiss Agency for Development and Cooperation, highlights a few. The resulting flexible prototypes employ locally available materials and skill sets, and fit the country's socio-cultural patterns and terrain.</t>
  </si>
  <si>
    <t>[Dieye, Fatou] Swiss Agcy Dev &amp; Cooperat, Promoting Off Farm Employment Climate Respons Con, Bern, Switzerland; [Dieye, Fatou] Urban Planning &amp; Construct One Stop Ctr, City Kigalis Off, Affordable Housing &amp; Neighborhood Dev Unit, Kigali, Rwanda</t>
  </si>
  <si>
    <t>Dieye, F (corresponding author), Swiss Agcy Dev &amp; Cooperat, Promoting Off Farm Employment Climate Respons Con, Bern, Switzerland.</t>
  </si>
  <si>
    <t>0003-8504</t>
  </si>
  <si>
    <t>1554-2769</t>
  </si>
  <si>
    <t>ARCHIT DESIGN</t>
  </si>
  <si>
    <t>Archit. Des.</t>
  </si>
  <si>
    <t>10.1002/ad.2328</t>
  </si>
  <si>
    <t>GL2FQ</t>
  </si>
  <si>
    <t>WOS:000436933600015</t>
  </si>
  <si>
    <t>Khavjou, OA; Honeycutt, AA; Yarnoff, B; Bradley, C; Soler, R; Orenstein, D</t>
  </si>
  <si>
    <t>Khavjou, Olga A.; Honeycutt, Amanda A.; Yarnoff, Benjamin; Bradley, Christina; Soler, Robin; Orenstein, Diane</t>
  </si>
  <si>
    <t>Costs of community-based interventions from the Community Transformation Grants</t>
  </si>
  <si>
    <t>PREVENTIVE MEDICINE</t>
  </si>
  <si>
    <t>Chronic disease; Tobacco; Obesity; Costs and cost analysis; Cost allocation; Centers for Disease Control and Prevention</t>
  </si>
  <si>
    <t>PHYSICAL-ACTIVITY INTERVENTIONS; SMOKING; PREVENTION; IMPACT</t>
  </si>
  <si>
    <t>Limited data are available on the costs of evidence-based community-wide prevention programs. The objective of this study was to estimate the per-person costs of strategies that support policy, systems, and environmental changes implemented under the Community Transformation Grants (CTG) program. We collected cost data from 29 CTG awardees and estimated program costs as spending on labor; consultants; materials, travel, and services; overhead activities; partners; and the value of in-kind contributions. We estimated costs per person reached for 20 strategies. We assessed how per-person costs varied with the number of people reached. Data were collected in 2012-2015, and the analysis was conducted in 2015-2016. Two of the tobacco-free living strategies cost less than $1.20 per person and reached over 6 million people each. Four of the healthy eating strategies cost less than $1.00 per person, and one of them reached over 6.5 million people. One of the active living strategies cost $ 2.20 per person and reached over 7 million people. Three of the clinical and community preventive services strategies cost less than $2.30 per person, and one of them reached almost 2 million people. Across all 20 strategies combined, an increase of 10,000 people in the number of people reached was associated with a $ 0.22 reduction in the per-person cost. Results demonstrate that interventions, such as tobacco-free indoor policies, which have been shown to improve health outcomes have relatively low per-person costs and are able to reach a large number of people.</t>
  </si>
  <si>
    <t>[Khavjou, Olga A.; Honeycutt, Amanda A.; Yarnoff, Benjamin; Bradley, Christina] RTI Int, 3040 E Cornwallis Rd,POB 12194, Res Triangle Pk, NC 27709 USA; [Soler, Robin; Orenstein, Diane] Ctr Dis Control &amp; Prevent, Atlanta, GA USA</t>
  </si>
  <si>
    <t>Khavjou, OA (corresponding author), RTI Int, 3040 E Cornwallis Rd,POB 12194, Res Triangle Pk, NC 27709 USA.</t>
  </si>
  <si>
    <t>okhavjou@rti.org</t>
  </si>
  <si>
    <t>Bradley, Christina/0000-0001-7165-9564; khavjou, olga/0000-0003-0805-0769; Honeycutt, Amanda/0000-0003-0166-1399; Yarnoff, Benjamin/0000-0002-5147-1588</t>
  </si>
  <si>
    <t>0091-7435</t>
  </si>
  <si>
    <t>1096-0260</t>
  </si>
  <si>
    <t>PREV MED</t>
  </si>
  <si>
    <t>Prev. Med.</t>
  </si>
  <si>
    <t>10.1016/j.ypmed.2018.04.025</t>
  </si>
  <si>
    <t>Public, Environmental &amp; Occupational Health; Medicine, General &amp; Internal</t>
  </si>
  <si>
    <t>Public, Environmental &amp; Occupational Health; General &amp; Internal Medicine</t>
  </si>
  <si>
    <t>GG7HC</t>
  </si>
  <si>
    <t>WOS:000432868100020</t>
  </si>
  <si>
    <t>environmental regulations; organic fertilizer; dairy slurry; dairy stakeholders; technology adoption; waste technologies; dairy grazing systems</t>
  </si>
  <si>
    <t>FARMER PERCEPTIONS; NITROGEN; CHALLENGES; EMISSIONS; ADOPTION; BUDGETS; DENMARK; EUROPE; CYCLE</t>
  </si>
  <si>
    <t>[Herrero, Maria A.; Pereyra, Ana M.] Univ Buenos Aires, Fac Ciencias Vet, Bases Agr, Prod Anim, Buenos Aires, DF, Argentina; [Palhares, Julio C. P.] Embrapa Pecuaria Sudeste, Grp Water &amp; Waste Management, Sao Carlos, SP, Brazil; [Salazar, Francisco J.] Inst Nacl Tecnol Agr, Inst Invest Agr, Osorno, Chile; [Charlon, Veronica; Tieri, Maria P.] Inst Nacl Tecnol Agr, Estn Expt Agr Rafaela, Prod Anim, Rafaela, Santa Fe, Argentina; [Tieri, Maria P.] Univ Tecnol Nacl, Adm Agr, Rafaela, Argentina</t>
  </si>
  <si>
    <t>Herrero, MA (corresponding author), Univ Buenos Aires, Fac Ciencias Vet, Bases Agr, Prod Anim, Buenos Aires, DF, Argentina.</t>
  </si>
  <si>
    <t>malejandra.herrero@gmail.com</t>
  </si>
  <si>
    <t>Palhares, Julio Cesar Pascale/K-5014-2012</t>
  </si>
  <si>
    <t>CONICyT - CHILE Programa de Cooperacion internacional Proyectos de apoyo a la formacion de Redes Internacionales entre Centros e Investigacion (2016-2017) RedManure South: research network on effluents and water of dairy grazing systems in South America co; UBACyT Program 2014-2017 project [20020130100498BA]; INTA, Argentina [PNPA 1126043]</t>
  </si>
  <si>
    <t>CONICyT - CHILE Programa de Cooperacion internacional Proyectos de apoyo a la formacion de Redes Internacionales entre Centros e Investigacion (2016-2017) RedManure South: research network on effluents and water of dairy grazing systems in South America co; UBACyT Program 2014-2017 project; INTA, Argentina</t>
  </si>
  <si>
    <t>CONICyT - CHILE Programa de Cooperacion internacional Proyectos de apoyo a la formacion de Redes Internacionales entre Centros e Investigacion (2016-2017) RedManure South: research network on effluents and water of dairy grazing systems in South America countries. UBACyT Program 2014-2017 project 20020130100498BA CyT-UBA and INTA, Argentina project PNPA 1126043.</t>
  </si>
  <si>
    <t>FRONT SUSTAIN FOOD S</t>
  </si>
  <si>
    <t>Front. Sustain. Food Syst.</t>
  </si>
  <si>
    <t>JV0SM</t>
  </si>
  <si>
    <t>Open and disruptive innovation; Principal component analysis; Paradigm shifts; New curricula; Strategy, vision and missions</t>
  </si>
  <si>
    <t>EDUCATION; PRODUCT</t>
  </si>
  <si>
    <t>[Saguy, I. Sam] Hebrew Univ Jerusalem, Robert H Smith Fac Agr Food &amp; Environm, POB 12, IL-76100 Rehovot, Israel; [Roos, Yrjo H.] Univ Coll Cork, Cork, Ireland; [Cohen, Eli] Ben Gurion Univ Negev, Dept Management, Beer Sheva, Israel; [Cohen, Eli] Univ South Australia, Sch Mkt, Ehrenberg Bass Inst Mkt Sci, Adelaide, SA, Australia</t>
  </si>
  <si>
    <t>Saguy, IS (corresponding author), Hebrew Univ Jerusalem, Robert H Smith Fac Agr Food &amp; Environm, POB 12, IL-76100 Rehovot, Israel.</t>
  </si>
  <si>
    <t>sam.saguy@mail.huji.ac.il; yrjo.roos@ucc.ie; elico@bgu.ac.il</t>
  </si>
  <si>
    <t>INNOV FOOD SCI EMERG</t>
  </si>
  <si>
    <t>Innov. Food Sci. Emerg. Technol.</t>
  </si>
  <si>
    <t>GT2XR</t>
  </si>
  <si>
    <t>Ruser, A</t>
  </si>
  <si>
    <t>Ruser, Alexander</t>
  </si>
  <si>
    <t>What to Think About Think Tanks: Towards a Conceptual Framework of Strategic Think Tank Behaviour</t>
  </si>
  <si>
    <t>INTERNATIONAL JOURNAL OF POLITICS CULTURE AND SOCIETY</t>
  </si>
  <si>
    <t>Think tanks; Strategic consulting; Knowledge society; Comparative analysis; Political discourse</t>
  </si>
  <si>
    <t>CLIMATE-CHANGE; INTELLECTUALS; SCIENTISTS; SCIENCE; IDEAS; WORLD</t>
  </si>
  <si>
    <t>Expert advice is gaining importance in advanced-knowledge societies. The demand for scientific knowledge increases as political decision-makers look for answers to cope with the ever more complex challenges of a globalised world. At the same time, scientific evidence has become a strategic resource capable of justifying world-views and political positions. Against this background, the 'global spread' of think tanks seems to respond to this growing demand for scientific expertise. Defining what a think tank is, let alone what they do and if they are able to effectively shape political ideas, is still a controversial issue. This contribution outlines a conceptual framework for analysing the strategies of different types of think tanks in distinct institutional environments. Starting with classical typologies to distinguish between organisations, those which adhere to standards of scientific inquiry at one end of a continuum and ideologically biased institutes at the other, the analytical model takes into account distinct 'points of intervention' and systematically considers the respective institutional and ideological environment. The first dimension allows for distinguishing between distinct effects of political ideas: They can influence decision-making as concepts in the foreground or as underlying assumptions in the background of policy debates. At the cognitive level, they can function either as programmes (foreground), serving as policy prescriptions for the political elite necessary to formulate actual agendas, or as paradigms (background). Considering different 'knowledge regimes' permits to test the influence of respective institutional and normative settings and simultaneously assess the assumptions and convictions underlying these models and typologies.</t>
  </si>
  <si>
    <t>[Ruser, Alexander] Zeppelin Univ, Ctr Polit Commun, D-88045 Friedrichshafen, Germany</t>
  </si>
  <si>
    <t>Ruser, A (corresponding author), Zeppelin Univ, Ctr Polit Commun, D-88045 Friedrichshafen, Germany.</t>
  </si>
  <si>
    <t>Alexander.Ruser@zu.de</t>
  </si>
  <si>
    <t>Ruser, Alexander/I-9341-2019</t>
  </si>
  <si>
    <t>0891-4486</t>
  </si>
  <si>
    <t>1573-3416</t>
  </si>
  <si>
    <t>INT J POLITICS CULT</t>
  </si>
  <si>
    <t>Int. J. Politics Cult. Soc.</t>
  </si>
  <si>
    <t>10.1007/s10767-018-9278-x</t>
  </si>
  <si>
    <t>HC4OO</t>
  </si>
  <si>
    <t>WOS:000451783300005</t>
  </si>
  <si>
    <t>environmental management; eco-efficiency; healthcare sector; data envelopment assessment; importance-performance analysis</t>
  </si>
  <si>
    <t>HOSPITAL WASTE MANAGEMENT; DATA ENVELOPMENT ANALYSIS; CARE; PERFORMANCE; EFFICIENCY; COUNTRIES; SYSTEMS; UNITS</t>
  </si>
  <si>
    <t>[Kim, Jong-Ryool] Minist Environm, Sejong City 30103, South Korea; [Jeon, Eui-Chan] Sejong Univ, Dept Environm &amp; Energy, Seoul 05006, South Korea; [Cho, Seongmoon] Korea Environm Ind &amp; Technol Inst, Seoul 03367, South Korea; [Kim, Hana] Sejong Univ, Corp Course Climate Change, 209 Neungdong Ro, Seoul 05006, South Korea</t>
  </si>
  <si>
    <t>Kim, H (corresponding author), Sejong Univ, Corp Course Climate Change, 209 Neungdong Ro, Seoul 05006, South Korea.</t>
  </si>
  <si>
    <t>jrkim124@msn.com; ecjeon@sejong.ac.kr; smcho@keiti.re.kr; hanakim0729@sejong.ac.kr</t>
  </si>
  <si>
    <t>Jeon, Eui-Chan/AAA-6876-2021; Jeon, Eui-Chan/AAX-2624-2020; kang, seongmin/L-2411-2016</t>
  </si>
  <si>
    <t>Korea Ministry of Environment (MOE) as Graduate School Specialized in Climate Change</t>
  </si>
  <si>
    <t>This work has been financially supported by Korea Ministry of Environment (MOE) as Graduate School Specialized in Climate Change.</t>
  </si>
  <si>
    <t>GK9LE</t>
  </si>
  <si>
    <t>Delivery of health care; Health personnel; Neonatal intensive care unit; Palliative care; Parents</t>
  </si>
  <si>
    <t>END-OF-LIFE; EXTREMELY PREMATURE-INFANTS; NURSES KNOWLEDGE; PARENTS EXPERIENCES; EDUCATION; NEEDS; ATTITUDES; BARRIERS; BEREAVEMENT; IMPACT</t>
  </si>
  <si>
    <t>[Salmani, Naiire; Mandegari, Zahra; Bagheri, Imaneh; Tafti, Bahareh Fallah] Shahid Sadoughi Univ Med Sci, Meybod Nursing Sch, Yazd, Iran; [Rassouli, Maryam] Shahid Beheshti Univ Med Sci, Sch Nursing &amp; Midwifery, Tehran, Iran</t>
  </si>
  <si>
    <t>Rassouli, M (corresponding author), Shahid Beheshti Univ Med Sci, Sch Nursing &amp; Midwifery, Tehran, Iran.</t>
  </si>
  <si>
    <t>rassouli.m@gmail.com</t>
  </si>
  <si>
    <t>Rassouli, Maryam/J-8513-2018; Fallah, Bahare/AAV-9869-2020</t>
  </si>
  <si>
    <t xml:space="preserve">Rassouli, Maryam/0000-0002-5607-8064; </t>
  </si>
  <si>
    <t>MASHHAD UNIV MED SCIENCES</t>
  </si>
  <si>
    <t>MASHHAD</t>
  </si>
  <si>
    <t>VICE-CHANCELLOR FOR RES CTR OFF IJBMS, DANESHGAH ST, PO BOX 9138813944 - 445, MASHHAD, 00000, IRAN</t>
  </si>
  <si>
    <t>IRAN J NEONATOL</t>
  </si>
  <si>
    <t>Iran. J. Neonatol.</t>
  </si>
  <si>
    <t>GH8LR</t>
  </si>
  <si>
    <t>Brostrom, A; McKelvey, M</t>
  </si>
  <si>
    <t>Brostrom, Anders; McKelvey, Maureen</t>
  </si>
  <si>
    <t>Engaging Experts: Science-Policy Interactions and the Introduction of Congestion Charging in Stockholm</t>
  </si>
  <si>
    <t>Organizational learning; Science-based policy; Evidence-based policy; Interaction; Cognitive distance; Congestion charges</t>
  </si>
  <si>
    <t>BOUNDARY ORGANIZATIONS; KNOWLEDGE; FRAMEWORK; EXPLOITATION; EXPLORATION; RESEARCHERS; UNIVERSITY; DIVERSITY; DISTANCE; WORK</t>
  </si>
  <si>
    <t>This article analyzes the conditions for mobilizing the science base for development of public policy. It does so by focusing upon the science-policy interface, specifically the processes of direct interaction between scientists and scientifically trained experts, on the one hand, and agents of policymaking organizations, on the other. The article defines two dimensions - cognitive distance and expert autonomy - which are argued to influence knowledge exchange, in such a way as to shape the outcome. A case study on the implementation of congestion charges in Stockholm, Sweden, illustrates how the proposed framework pinpoints three central issues for understanding these processes: (1) Differentiating the roles of, e.g., a science-based consultancy firm and an academic environment in policy formation; (2) Examining the fit between the organizational form of the science-policy interface and the intended goals; and (3) Increasing our understanding of when policymaker agents themselves need to develop scientific competence in order to interact effectively with scientific experts.</t>
  </si>
  <si>
    <t>[Brostrom, Anders] KTH Royal Inst Technol, Dept Ind Econ &amp; Management, Stockholm, Sweden; [McKelvey, Maureen] Univ Gothenburg, Sch Business Econ &amp; Law, Dept Econ &amp; Soc, Inst Innovat &amp; Entrepreneurship, Gothenburg, Sweden</t>
  </si>
  <si>
    <t>Brostrom, A (corresponding author), KTH Royal Inst Technol, Dept Ind Econ &amp; Management, Stockholm, Sweden.</t>
  </si>
  <si>
    <t>andbr@kth.se</t>
  </si>
  <si>
    <t>Broström, Anders/P-4580-2019</t>
  </si>
  <si>
    <t>Broström, Anders/0000-0003-0820-2769; McKelvey, Maureen/0000-0002-1457-7922</t>
  </si>
  <si>
    <t>10.1007/s11024-017-9331-3</t>
  </si>
  <si>
    <t>GF4UY</t>
  </si>
  <si>
    <t>WOS:000431960500003</t>
  </si>
  <si>
    <t>Adaptation; Climate change; Spring-water; Stakeholders; Water</t>
  </si>
  <si>
    <t>ADAPTIVE CAPACITY; WATER MANAGEMENT; NETWORKS; BARRIERS; POLICY; PARTICIPATION; VULNERABILITY; PERCEPTIONS; GOVERNANCE; ENGAGEMENT</t>
  </si>
  <si>
    <t>[Azhoni, Adani; Goyal, Manish Kumar] Indian Inst Technol, Dept Civil Engn, Gauhati 781039, India; [Goyal, Manish Kumar] Indian Inst Technol, Discipline Civil Engn, Indore 453552, Madhya Pradesh, India</t>
  </si>
  <si>
    <t>Goyal, MK (corresponding author), Indian Inst Technol, Dept Civil Engn, Gauhati 781039, India.;Goyal, MK (corresponding author), Indian Inst Technol, Discipline Civil Engn, Indore 453552, Madhya Pradesh, India.</t>
  </si>
  <si>
    <t>mkgoyal@iiti.ac.in</t>
  </si>
  <si>
    <t>Azhoni, A./0000-0001-9198-3273; Goyal, Manish Kumar/0000-0001-9777-6128</t>
  </si>
  <si>
    <t>Department of Science &amp; Technology, Government of India under SPLICE-NMSKCC [DST/CCP/MRDP/98/2017(G)]</t>
  </si>
  <si>
    <t>Department of Science &amp; Technology, Government of India under SPLICE-NMSKCC</t>
  </si>
  <si>
    <t>We are grateful to the Department of Science &amp; Technology, Government of India for sponsoring this research project (DST/CCP/MRDP/98/2017(G)) under SPLICE-NMSKCC Program. We are also grateful to the interview respondents from twelve government departments, development agencies and research institutions and three farmers for their valuable inputs and perspectives on the climate change impacts in Sikkim.</t>
  </si>
  <si>
    <t>GA2YS</t>
  </si>
  <si>
    <t>Engelbrecht, MC; Kigozi, G; van Rensburg, APJ; van Rensburg, DHCJ</t>
  </si>
  <si>
    <t>Engelbrecht, Michelle C.; Kigozi, Gladys; van Rensburg, Andre P. Janse; van Rensburg, Dingie H. C. J.</t>
  </si>
  <si>
    <t>Tuberculosis infection control practices in a high-burden metro in South Africa: A perpetual bane for efficient primary health care service delivery</t>
  </si>
  <si>
    <t>AFRICAN JOURNAL OF PRIMARY HEALTH CARE &amp; FAMILY MEDICINE</t>
  </si>
  <si>
    <t>DRUG-RESISTANT TUBERCULOSIS; WORKERS; HOSPITALS</t>
  </si>
  <si>
    <t>Background: Tuberculosis (TB) prevention, including infection control, is a key element in the strategy to end the global TB epidemic. While effective infection control requires all health system components to function well, this is an area that has not received sufficient attention in South Africa despite the availability of policy and guidelines. Aim: To describe the state of implementation of TB infection control measures in a high-burden metro in South Africa. Setting: The research was undertaken in a high TB-and HIV-burdened metropolitan area of South Africa. More specifically, the study sites were primary health care facilities (PHC), that among other services also diagnosed TB. Methods: A cross-sectional survey, focusing on the World Health Organization levels of infection control, which included structured interviews with nurses providing TB diagnosis and treatment services as well as observations, at all 41 PHC facilities in a high TB-burdened and HIV-burdened metro of South Africa. Results: Tuberculosis infection control was poorly implemented, with few facilities scoring 80% and above on compliance with infection control measures. Facility controls: 26 facilities (63.4%) had an infection control committee and 12 (29.3%) had a written infection control plan. Administrative controls: 26 facilities (63.4%) reported separating coughing and non-coughing patients, while observations revealed that only 11 facilities (26.8%) had separate waiting areas for (presumptive) TB patients. Environmental controls: most facilities used open windows for ventilation (n = 30; 73.2%); however, on the day of the visit, only 12 facilities (30.3%) had open windows in consulting rooms. Personal protective equipment: 9 facilities (22%) did not have any disposable respirators in stock and only 9 respondents (22%) had undergone fit testing. The most frequently reported barrier to implementing good TB infection control practices was lack of equipment (n = 22; 40%) such as masks and disposable respirators, as well as the structure or layout of the PHC facilities. The main recommendation to improve TB infection control was education for patients and health care workers (n = 18; 33.3%). Conclusion: All levels of the health care system should be engaged to address TB prevention and infection control in PHC facilities. Improved infection control will address the nosocomial spread of TB in health facilities and keep health care workers and patients safe from infection.</t>
  </si>
  <si>
    <t>[Engelbrecht, Michelle C.; Kigozi, Gladys; van Rensburg, Andre P. Janse; van Rensburg, Dingie H. C. J.] Univ Free State, Ctr Hlth Syst Res &amp; Dev, Bloemfontein, South Africa; [van Rensburg, Andre P. Janse] Univ Ghent, Dept Sociol, Hlth &amp; Demog Res Unit, Ghent, Belgium; [van Rensburg, Andre P. Janse] Stellenbosch Univ, Dept Polit Sci, Stellenbosch, South Africa</t>
  </si>
  <si>
    <t>Engelbrecht, MC (corresponding author), Univ Free State, Ctr Hlth Syst Res &amp; Dev, Bloemfontein, South Africa.</t>
  </si>
  <si>
    <t>engelmc@ufs.ac.za</t>
  </si>
  <si>
    <t>/AAD-1624-2020</t>
  </si>
  <si>
    <t>/0000-0001-8880-2232</t>
  </si>
  <si>
    <t>AOSIS</t>
  </si>
  <si>
    <t>CAPE TOWN</t>
  </si>
  <si>
    <t>POSTNET SUITE 55, PRIVATE BAG X22, TYGERVALLEY, CAPE TOWN, 00000, SOUTH AFRICA</t>
  </si>
  <si>
    <t>2071-2928</t>
  </si>
  <si>
    <t>2071-2936</t>
  </si>
  <si>
    <t>AFR J PRIM HEALTH CA</t>
  </si>
  <si>
    <t>Afr. J. Prim. Health Care Fam. Med.</t>
  </si>
  <si>
    <t>a1628</t>
  </si>
  <si>
    <t>10.4102/phcfm.vl10il.1628</t>
  </si>
  <si>
    <t>GN0EN</t>
  </si>
  <si>
    <t>WOS:000438633200001</t>
  </si>
  <si>
    <t>Social participation; Organised activities; Older adults; Low and middle income countries; Healthy ageing; Active ageing</t>
  </si>
  <si>
    <t>DWELLING OLDER-ADULTS; QUALITY-OF-LIFE; HEALTH OUTCOMES; PUBLIC-HEALTH; LOW-VISION; COMMUNITY; PEOPLE; DETERMINANTS; DEPRESSION; SUPPORT</t>
  </si>
  <si>
    <t>[Marsh, Celeste; Agius, Paul A.; Durrant, Kelly; Luchters, Stanley; Holmes, Wendy] Burnet Inst, Melbourne, Vic, Australia; [Agius, Paul A.; Durrant, Kelly; Luchters, Stanley] Monash Univ, Dept Epidemiol &amp; Prevent Med, Melbourne, Vic, Australia; [Agius, Paul A.] La Trobe Univ, Judith Lumley Ctr, Melbourne, Vic, Australia; [Luchters, Stanley] Univ Ghent, Int Ctr Reprod Hlth, Dept Obstet &amp; Gynecol, Ghent, Belgium; [Jayakody, Gamini] Cent Prov Hlth Dept, Kandy, Sri Lanka; [Shajehan, Roshan; Abeywickrema, Chandima] PALM Fdn, Nuwara Eliya, Sri Lanka</t>
  </si>
  <si>
    <t>Marsh, C (corresponding author), Burnet Inst, Melbourne, Vic, Australia.</t>
  </si>
  <si>
    <t>celeste.marsh@gmail.com</t>
  </si>
  <si>
    <t>Luchters, Stanley/0000-0001-5235-5629; Agius, Paul/0000-0002-6075-8548</t>
  </si>
  <si>
    <t>Fred Hollows Foundation</t>
  </si>
  <si>
    <t>We are grateful to The Fred Hollows Foundation for funding support. The Fred Hollows Foundation did not have a role in the design, collection, analysis, and interpretation of data; in the writing of the manuscript; or in the decision to submit the manuscript for publication. The authors gratefully acknowledge the contribution to this work of the Victorian Operational Infrastructure Support Program received by the Burnet Institute.</t>
  </si>
  <si>
    <t>BIOMED CENTRAL LTD</t>
  </si>
  <si>
    <t>236 GRAYS INN RD, FLOOR 6, LONDON WC1X 8HL, ENGLAND</t>
  </si>
  <si>
    <t>GG5FP</t>
  </si>
  <si>
    <t>Werner, I</t>
  </si>
  <si>
    <t>Werner, Inge</t>
  </si>
  <si>
    <t>The Swiss Ecotox Centre: bridging the gap between research and application</t>
  </si>
  <si>
    <t>ENVIRONMENTAL SCIENCES EUROPE</t>
  </si>
  <si>
    <t>Ecotoxicology; Environmental risk; Chemicals; Societal needs; Science-policy interface</t>
  </si>
  <si>
    <t>WATER; MICROPOLLUTANTS; TOXICITY; SEDIMENT; SAMPLES</t>
  </si>
  <si>
    <t>The Swiss Centre for Applied Ecotoxicology (Ecotox Centre) was created in recognition of the urgent societal need to provide expertise, education and tools for assessing the risks and effects of anthropogenic chemicals in the environment. Founded in 2008, the Ecotox Centre conducts applied, practice-oriented research in the areas of aquatic (water and sediment) and terrestrial (with focus on soil) ecotoxicology, and provides further education and consulting services to its stakeholders. To date, its most important activities focus on (1) the validation and standardization of bioassays for use in monitoring of water, sediment or soil quality and (2) the development of tools for retrospective risk assessment, including approaches to assess mixture risk.</t>
  </si>
  <si>
    <t>[Werner, Inge] Swiss Ctr Appl Ecotoxicol, Uberlandstr 133, CH-8600 Dubendorf, Switzerland</t>
  </si>
  <si>
    <t>Werner, I (corresponding author), Swiss Ctr Appl Ecotoxicol, Uberlandstr 133, CH-8600 Dubendorf, Switzerland.</t>
  </si>
  <si>
    <t>inge.werner@oekotoxzentrum.ch</t>
  </si>
  <si>
    <t>Swiss Centre for Applied Ecotoxicology</t>
  </si>
  <si>
    <t>Funding for writing this article was provided by the Swiss Centre for Applied Ecotoxicology.</t>
  </si>
  <si>
    <t>2190-4715</t>
  </si>
  <si>
    <t>ENVIRON SCI EUR</t>
  </si>
  <si>
    <t>Environ. Sci Eur.</t>
  </si>
  <si>
    <t>10.1186/s12302-018-0147-z</t>
  </si>
  <si>
    <t>GG7NQ</t>
  </si>
  <si>
    <t>WOS:000432885400001</t>
  </si>
  <si>
    <t>Embodied carbon; Life cycle assessment; Buildings; Industry academia collaboration</t>
  </si>
  <si>
    <t>ENERGY MEASUREMENT; BUILDINGS; CONSTRUCTION; MITIGATION; EMISSIONS; SECTOR; LCA</t>
  </si>
  <si>
    <t>[Pomponi, Francesco] Edinburgh Napier Univ, REBEL, 10 Colinton Rd, Edinburgh EH10 5DT, Midlothian, Scotland; [Moncaster, Alice] Open Univ, Sch Engn &amp; Innovat, Milton Keynes MK6 7AA, Bucks, England; [De Wolf, Catherine] Ecole Polytech Fed Lausanne, Struct Xplorat Lab, CH-1015 Lausanne, Switzerland</t>
  </si>
  <si>
    <t>Pomponi, F (corresponding author), Edinburgh Napier Univ, REBEL, 10 Colinton Rd, Edinburgh EH10 5DT, Midlothian, Scotland.</t>
  </si>
  <si>
    <t>f.pomponi@napier.ac.uk</t>
  </si>
  <si>
    <t>Pomponi, Francesco/0000-0003-3132-2523; Moncaster, Alice/0000-0002-6092-2686; /0000-0003-2130-0590</t>
  </si>
  <si>
    <t>UK Engineering and Physical Sciences Research Council (EPSRC) [EP/N509024/1]; Innovate UK; EPSRC [EP/N509024/1] Funding Source: UKRI</t>
  </si>
  <si>
    <t>UK Engineering and Physical Sciences Research Council (EPSRC)(UK Research &amp; Innovation (UKRI)Engineering &amp; Physical Sciences Research Council (EPSRC)); Innovate UK(UK Research &amp; Innovation (UKRI)Innovate UK); EPSRC(UK Research &amp; Innovation (UKRI)Engineering &amp; Physical Sciences Research Council (EPSRC))</t>
  </si>
  <si>
    <t>The academic work described here was financially supported by the UK Engineering and Physical Sciences Research Council (EPSRC) Grant no. EP/N509024/1. The industry-academia project was awarded, and partially financially supported by, Innovate UK. The authors express their gratitude to all members of the project team as well as the professionals who gave up their time throughout the sixteen months of the project duration for insightful and stimulating conversations.</t>
  </si>
  <si>
    <t>ELSEVIER SCIENCE SA</t>
  </si>
  <si>
    <t>PO BOX 564, 1001 LAUSANNE, SWITZERLAND</t>
  </si>
  <si>
    <t>ENERG BUILDINGS</t>
  </si>
  <si>
    <t>Energy Build.</t>
  </si>
  <si>
    <t>Construction &amp; Building Technology; Energy &amp; Fuels; Engineering, Civil</t>
  </si>
  <si>
    <t>Construction &amp; Building Technology; Energy &amp; Fuels; Engineering</t>
  </si>
  <si>
    <t>GD6PK</t>
  </si>
  <si>
    <t>Morgenstern, NR</t>
  </si>
  <si>
    <t>Morgenstern, N. R.</t>
  </si>
  <si>
    <t>Geotechnical Risk, Regulation, and Public Policy</t>
  </si>
  <si>
    <t>SOILS AND ROCKS</t>
  </si>
  <si>
    <t>safety culture; slopes; water dams; tailings dams; risk analysis; performance-based design</t>
  </si>
  <si>
    <t>LANDSLIDE</t>
  </si>
  <si>
    <t>At this time, there is a crisis associated with concern over the safety of tailings dams and lack of trust in their design and performance. This crisis has resulted from recent high-profile failures of dams at locations with strong technical experience, conscientious operators, and established regulatory procedures. It is the primary intent of this Lecture to assess the underlying cause(s) for this crisis, review the response to it by various agencies, and to make recommendations on how to overcome it. The Lecture begins with a review of the evolving safety culture associated with slope stability problems as exemplified by the achievements in Hong Kong. This is particularly relevant here because Victor de Mello was a key contributor to the recommendations made in 1976 that initiated the development of the Hong Kong Slope Safety System. The Lecture then addresses the evolution of the safety culture associated with water dams. While there is a long history of concern with respect to water dam safety, these concerns were intensified by several catastrophic dam failures that occurred in the USA in the 1970s. The evolution of regulatory systems from that time is recorded, as is the later trend to adopt risk-based safety assessment and regulation. However, the process that has emerged has been much affected by the Oroville Dam Spillway incident, and dam safety practice is being re-assessed by many. This Lecture summarizes some of the major findings arising from the analysis of this incident and makes recommendations to move to more performance-based risk-informed design and safety reviews that are constrained by reliable evidence to a greater degree than is currently the case. Turning to the evolving safety culture for tailings dams, this emerged with rational dam design procedures in the 1970s, more or less as an appendage to water dam design. The growth of environmental legislation related to surface water quality had a considerable impact as well. Hence, a twin regulatory regime emerged in the 1970s. The regulatory regime for tailings dams is typically more regional than national. The failure rate for tailings dams has generally been proportionately higher than water dams and thus has received considerable attention in the technical literature, however without measurable results. The recent failures of major dams in technically advanced regions of the world, operated by mature mining organizations and designed by recognized consulting engineers, has created a crisis in terms of a loss of confidence and trust associated with the design, construction, operation, and closure of tailings storage facilities. Responses to these failures are analyzed, and all are found wanting, particularly since the widespread evidence for weak engineering is inadequately recognized. The Lecture proposes a system for Performance-Based Risk-Informed Safe Design, Construction, Operation, and Closure of tailings storage facilities. It further urges the International Council on Mining and Metals (ICMM) to support the proposed system and facilitate its adoption in practice.</t>
  </si>
  <si>
    <t>[Morgenstern, N. R.] Univ Alberta, Edmonton, AB, Canada</t>
  </si>
  <si>
    <t>Morgenstern, NR (corresponding author), Univ Alberta, Edmonton, AB, Canada.</t>
  </si>
  <si>
    <t>norbert.morgenstern@ualberta.ca</t>
  </si>
  <si>
    <t>BRAZILIAN SOC SOIL MECHANICS &amp; GEOTECHNICAL ENGINEERING</t>
  </si>
  <si>
    <t>AV PROF ALMEIDA PRADO, 532, IPT, PREDIO 54, SAO PAULO, 05508-901, BRAZIL</t>
  </si>
  <si>
    <t>1980-9743</t>
  </si>
  <si>
    <t>SOILS ROCKS</t>
  </si>
  <si>
    <t>Soils Rocks</t>
  </si>
  <si>
    <t>MAY-AUG</t>
  </si>
  <si>
    <t>10.28927/SR.412107</t>
  </si>
  <si>
    <t>HF4JV</t>
  </si>
  <si>
    <t>WOS:000454200400001</t>
  </si>
  <si>
    <t>McElwaine, P; McCormack, J; Brennan, C; Coetzee, H; Cotter, P; Doyle, R; Hickey, A; Horgan, F; Loughnane, C; Macey, C; Marsden, P; McCabe, D; Mulcahy, R; Noone, I; Shelley, E; Stapleton, T; Williams, D; Kelly, P; Harbison, J</t>
  </si>
  <si>
    <t>McElwaine, P.; McCormack, J.; Brennan, C.; Coetzee, H.; Cotter, P.; Doyle, R.; Hickey, A.; Horgan, F.; Loughnane, C.; Macey, C.; Marsden, P.; McCabe, D.; Mulcahy, R.; Noone, I.; Shelley, E.; Stapleton, T.; Williams, D.; Kelly, P.; Harbison, J.</t>
  </si>
  <si>
    <t>Thrombolysis for stroke in Ireland: increasing access and maintaining safety in a challenging environment</t>
  </si>
  <si>
    <t>IRISH JOURNAL OF MEDICAL SCIENCE</t>
  </si>
  <si>
    <t>Ischaemic stroke; National Audit; Patient safety; Service organisation; Stroke; Thrombolysis</t>
  </si>
  <si>
    <t>ACUTE ISCHEMIC-STROKE; IMPLEMENTATION; ALTEPLASE</t>
  </si>
  <si>
    <t>In the setting of a national audit of acute stroke services, we examined the delivery of thrombolytic therapy for ischaemic stroke and whether current practice was achieving safe outcomes and consistent delivery for patients. Data obtained from the recent national stroke audit was compared against previous Irish audit, the most recent SSNAP UK stroke audit and the Safe Implementation of Thrombolysis in Stroke-Monitoring Study (SITS-MOST) study. Thrombolysis was provided in 27 acute hospitals throughout Ireland during the period assessed with 82% (22/27) providing 24/7 access, the remaining sites using redirect policies. Decision to thrombolyse was made by stroke trained consultants in 63% (17/27) of units, with general physicians and emergency medicine consultants covering the other units. Thrombolysis rate for non-haemorrhagic stroke was 11% (n = 80/742, CI 95% +/- 2.23) versus a 1% rate in the 2008 audit. Sites receiving patients through a redirect policy had the highest thrombolysis rate, an average of 24%. Nearly 30% of cases were thrombolysed on the weekend. Eighty-three percent of cases were managed in a stroke unit at some time during admission versus 54% of the national total cases. Thirty-seven percent of patients were ae&lt;yen&gt;80 years old. The mortality rate was 11.3% versus the national mortality rate for non-thrombolysed ischaemic strokes of 10% (p &gt; 0.5), and this is comparable to the SITS-MOST 2007 study 3-month mortality rate of 11.3% (p &gt; 0.5). Stroke thrombolysis is being effectively and safely provided in acute stroke services in Ireland despite regular involvement of non-specialist staff. There is still potential to improve thrombolysis rate.</t>
  </si>
  <si>
    <t>[McElwaine, P.; McCormack, J.; Brennan, C.; Kelly, P.; Harbison, J.] Hlth Serv Execut, Natl Clin Programme Stroke, Dublin, Ireland; [McElwaine, P.; McCormack, J.; McCabe, D.; Stapleton, T.; Harbison, J.] Univ Dublin, Trinity Coll, Dublin, Ireland; [McElwaine, P.] Trinity Coll Dublin, Mercers Inst, St Jamess Hosp, Dept Med Gerontol, Dublin D08 RT2X, Ireland; [McCormack, J.; Loughnane, C.; Macey, C.] Irish Heart Fdn, Dublin, Ireland; [Brennan, C.; Marsden, P.; Shelley, E.] Hlth Serv Execut, Dept Publ Hlth, Tullamore, Ireland; [Coetzee, H.; Cotter, P.; Doyle, R.; Noone, I.; Kelly, P.] Ireland East Hosp Grp, Dublin, Ireland; [Coetzee, H.; Cotter, P.; Doyle, R.; Noone, I.; Kelly, P.] Univ Coll Dublin, Dublin, Ireland; [Hickey, A.; Horgan, F.; Williams, D.] Royal Coll Surgeons Ireland, Dublin, Ireland; [McCabe, D.; Harbison, J.] Dublin Midlands Hosp Grp, Dublin, Ireland; [Mulcahy, R.] South South West Hosp Grp, Waterford, Ireland</t>
  </si>
  <si>
    <t>McElwaine, P (corresponding author), Hlth Serv Execut, Natl Clin Programme Stroke, Dublin, Ireland.;McElwaine, P (corresponding author), Univ Dublin, Trinity Coll, Dublin, Ireland.;McElwaine, P (corresponding author), Trinity Coll Dublin, Mercers Inst, St Jamess Hosp, Dept Med Gerontol, Dublin D08 RT2X, Ireland.</t>
  </si>
  <si>
    <t>mcelwaip@tcd.ie</t>
  </si>
  <si>
    <t>Stapleton, Tadhg/G-4181-2017</t>
  </si>
  <si>
    <t>Stapleton, Tadhg/0000-0001-9139-6060; McCabe, Dominick J.H./0000-0003-0493-4516</t>
  </si>
  <si>
    <t>Irish National Lottery [N/A] Funding Source: Medline</t>
  </si>
  <si>
    <t>Irish National Lottery</t>
  </si>
  <si>
    <t>SPRINGER LONDON LTD</t>
  </si>
  <si>
    <t>236 GRAYS INN RD, 6TH FLOOR, LONDON WC1X 8HL, ENGLAND</t>
  </si>
  <si>
    <t>0021-1265</t>
  </si>
  <si>
    <t>1863-4362</t>
  </si>
  <si>
    <t>IRISH J MED SCI</t>
  </si>
  <si>
    <t>Irish J. Med. Sci.</t>
  </si>
  <si>
    <t>10.1007/s11845-017-1661-5</t>
  </si>
  <si>
    <t>GE6HA</t>
  </si>
  <si>
    <t>WOS:000431325400002</t>
  </si>
  <si>
    <t>environmental management system (EMS); Eco-Management and Audit Scheme (EMAS); hospital; barrier; expert interviews</t>
  </si>
  <si>
    <t>AUDIT SCHEME EMAS; HEALTH-CARE; ECO-MANAGEMENT; EMPLOYEE MOTIVATION; UNITED-STATES; ISO 14001; PERFORMANCE; SUSTAINABILITY; ORGANIZATIONS; FIRMS</t>
  </si>
  <si>
    <t>[Seifert, Christin] Tech Univ Dresden, Fac Business &amp; Econ, Chair Environm Management &amp; Accounting, D-01062 Dresden, Germany</t>
  </si>
  <si>
    <t>Seifert, C (corresponding author), Tech Univ Dresden, Fac Business &amp; Econ, Chair Environm Management &amp; Accounting, D-01062 Dresden, Germany.</t>
  </si>
  <si>
    <t>christin.seifert1@tu-dresden.de</t>
  </si>
  <si>
    <t>German Research Foundation; Open Access Publication Funds of the TU Dresden</t>
  </si>
  <si>
    <t>German Research Foundation(German Research Foundation (DFG)); Open Access Publication Funds of the TU Dresden</t>
  </si>
  <si>
    <t>I acknowledge support by the German Research Foundation and the Open Access Publication Funds of the TU Dresden.</t>
  </si>
  <si>
    <t>GJ7RP</t>
  </si>
  <si>
    <t>Korea Inst Ocean Sci &amp; Technol,Korea Soc Coastal Disaster Prevent,JCR,Coastal Educ &amp; Res Fdn</t>
  </si>
  <si>
    <t>Coastal flood modeling; combined impacts; process-oriented collaboration</t>
  </si>
  <si>
    <t>[Sorensen, Carlo; Knudsen, Per] DTU Space, Geodesy, Lyngby, Denmark; [Sorensen, Carlo; Sorensen, Per] Coastal Author, Coast &amp; Climate, Lemvig, Denmark; [Damgaard, Thomas] Lemvig Municipal, Nat &amp; Environm, Lemvig, Denmark; [Molgaard, Mads R.] Geodata &amp; Subsurface Models Geo, Lyngby, Denmark; [Jensen, Juergen] Univ Siegen, Res Inst Water &amp; Environm, Siegen, Germany</t>
  </si>
  <si>
    <t>Sorensen, C (corresponding author), DTU Space, Geodesy, Lyngby, Denmark.;Sorensen, C (corresponding author), Coastal Author, Coast &amp; Climate, Lemvig, Denmark.</t>
  </si>
  <si>
    <t>carlos@space.dtu.dk</t>
  </si>
  <si>
    <t>Knudsen, Per/0000-0003-4640-6746; Sorensen, Carlo Sass/0000-0001-5754-6440</t>
  </si>
  <si>
    <t>Innovation Fund Denmark [1355-00193]</t>
  </si>
  <si>
    <t>All co-workers are acknowledged for their enthusiasm in meeting Thyboron's climate challenges! Thomas B. Andersen &amp; Pernille A. Marker (Geo) and Marianne Skov &amp; Charlotte S. Schow (Ramboll) are thanked for geo- and hydrological modeling work, and Petar Marinkovic (PPO. Labs), John Dehls (NGU) and Yngvar Larsen (NORUT) are acknowledged and thanked for processing S-1 data. Contains modified Copernicus Sentinel-1 data. Co-funding for the work presented was kindly provided by Innovation Fund Denmark (Grant no. 1355-00193).</t>
  </si>
  <si>
    <t>COASTAL EDUCATION &amp; RESEARCH FOUNDATION</t>
  </si>
  <si>
    <t>COCONUT CREEK</t>
  </si>
  <si>
    <t>5130 NW 54TH STREET, COCONUT CREEK, FL 33073 USA</t>
  </si>
  <si>
    <t>J COASTAL RES</t>
  </si>
  <si>
    <t>J. Coast. Res.</t>
  </si>
  <si>
    <t>Environmental Sciences; Geography, Physical; Geosciences, Multidisciplinary</t>
  </si>
  <si>
    <t>Environmental Sciences &amp; Ecology; Physical Geography; Geology</t>
  </si>
  <si>
    <t>GP8PE</t>
  </si>
  <si>
    <t>Durkee, MJ</t>
  </si>
  <si>
    <t>Durkee, Melissa J.</t>
  </si>
  <si>
    <t>International Lobbying Law</t>
  </si>
  <si>
    <t>YALE LAW JOURNAL</t>
  </si>
  <si>
    <t>ADMINISTRATIVE-LAW; ENVIRONMENTAL-LAW; POLITICS; RULEMAKING; GOVERNANCE; TREATIES</t>
  </si>
  <si>
    <t>An idiosyncratic array of international rules allows consultants to gain special access to international officials and lawmakers. Historically, many of these consultants were public-interest associations like Amnesty International. For this reason, the access rules have been celebrated as a way to democratize international organizations, enhancing their legitimacy and that of the rules they produce. But a focus on the classic public-law virtues of democracy and legitimacy produces a theory at odds with the facts: Many of these international consultants are now industry and trade associations like the World Coal Association, whose principal purpose is to lobby for their corporate clients. The presence of these corporate lobbyists challenges the conventional view, which I call strong legitimacy optimism, by focusing a set of longstanding critiques: Consultant associations are not always representatives of the global public and consultation is not robust participation in governance. Moreover, the access rules both overregulate and underregulate access to lawmakers. This critique is particularly salient in the context of business lobbying, where the access rules do not balance the costs and benefits of business access to international lawmaking and governance. This Article introduces a theory of international lobbying law. Reframing the international access rules as a body of lobbying regulations delivers explanatory and normative payoffs by identifying (i) the full array of actors who obtain access (public interest and private sector alike); (2) the quantum of access that the current system delivers (informal lobbying, not participation in governance); and (3) new regulatory strategies. Specifically, two regulatory models emerge. One draws on the flawed but best-available registration and disclosure norms of domestic lobbying regulation. The other is a multistakeholder model pioneered by twenty-first-century public-private partnership organizations. The Article develops an original typology to organize and identify features of the international access rules across diverse international organizations, thereby clarifying the regulatory tradeoffs that accompany each choice. Perhaps counterintuitively, reformers should likely eschew the most common middle-of-the-road access models-which are grounded in the flawed legitimacy optimism view- and instead choose among the two divergent regulatory models, with that choice driven by organizational mission.</t>
  </si>
  <si>
    <t>[Durkee, Melissa J.] Univ Washington, Sch Law, Seattle, WA 98195 USA</t>
  </si>
  <si>
    <t>Durkee, MJ (corresponding author), Univ Washington, Sch Law, Seattle, WA 98195 USA.</t>
  </si>
  <si>
    <t>YALE LAW J CO INC</t>
  </si>
  <si>
    <t>NEW HAVEN</t>
  </si>
  <si>
    <t>401-A YALE STATION, NEW HAVEN, CT 06520 USA</t>
  </si>
  <si>
    <t>0044-0094</t>
  </si>
  <si>
    <t>1939-8611</t>
  </si>
  <si>
    <t>YALE LAW J</t>
  </si>
  <si>
    <t>Yale Law J.</t>
  </si>
  <si>
    <t>GM4ER</t>
  </si>
  <si>
    <t>WOS:000438068500001</t>
  </si>
  <si>
    <t>perceptions of climate change; socio-ecological factors; Northern Great Plains</t>
  </si>
  <si>
    <t>CHANGE BELIEFS; ADAPTATION; FARMERS; RESPONSES; VIEWS; POLITICIZATION; MITIGATION; RESOURCES; IDEOLOGY; NEVADA</t>
  </si>
  <si>
    <t>[Grimberg, Bruna Irene] Montana State Univ, Dept Cell Biol &amp; Neurosci, Bozeman, MT 59717 USA; [Ahmed, Selena] Montana State Univ, Food &amp; Hlth Lab, Sustainable Food Syst Program, Dept Hlth &amp; Human Dev, Bozeman, MT 59717 USA; [Ellis, Colter] Montana State Univ, Dept Sociol &amp; Anthropol, Bozeman, MT 59717 USA; [Miller, Zachariah] Montana State Univ, Western Agr Res Ctr, Corvalis, MT 59828 USA; [Menalled, Fabian] Montana State Univ, Dept Land Resources &amp; Environm Sci, Bozeman, MT 59717 USA</t>
  </si>
  <si>
    <t>Grimberg, BI (corresponding author), Montana State Univ, Dept Cell Biol &amp; Neurosci, Bozeman, MT 59717 USA.</t>
  </si>
  <si>
    <t>grimberg@montana.edu; selena.ahmed@montana.edu; colter.ellis@montana.edu; Zachariah.miller@montana.edu; menalled@montana.edu</t>
  </si>
  <si>
    <t>Ahmed, Selena/0000-0001-5779-0697; Menalled, Fabian/0000-0002-3381-4815</t>
  </si>
  <si>
    <t>USDA-WSARE [MW16-004]; NSF RII Track-2 FEC OIA [1632810]</t>
  </si>
  <si>
    <t>USDA-WSARE; NSF RII Track-2 FEC OIA</t>
  </si>
  <si>
    <t>This research was funded by USDA-WSARE grant number MW16-004 and by NSF RII Track-2 FEC OIA grant number 1632810.</t>
  </si>
  <si>
    <t>Liu, XJ; Liao, SM; Rao, ZH; Liu, G</t>
  </si>
  <si>
    <t>Liu, Xiao-jun; Liao, Sheng-ming; Rao, Zheng-hua; Liu, Gang</t>
  </si>
  <si>
    <t>An input-output model for energy accounting and analysis of industrial production processes: a case study of an integrated steel plant</t>
  </si>
  <si>
    <t>JOURNAL OF IRON AND STEEL RESEARCH INTERNATIONAL</t>
  </si>
  <si>
    <t>Input-output model; Energy consumption; Energy accounting; Embodied energy; Industrial production process; Integrated steelmaking process</t>
  </si>
  <si>
    <t>LIFE-CYCLE ASSESSMENT; TRADE; CHINA; MILL</t>
  </si>
  <si>
    <t>To promote sustainability, it has become increasingly vital to properly account material and energy flows in industrial production processes. Therefore, a generic process-level input-output (IO) model was developed to provide an integrated energy (material) accounting and analysis approach for industrial production processes. By extending the existing process-level IO models, the production, usage, export and loss of by-products were explicitly considered in the proposed IO model. Moreover, the by-products allocation procedures were incorporated into the proposed IO model to reflect individual contributions of products to energy consumption. Finally, the proposed model enabled calculating embodied energy of main products and total energy consumption under hierarchical accounting scope. Plant managers, energy management consultants, governmental officials and academic researchers could use this input-output model to account material and energy flows, thus calculating energy consumption indicators of a production process with their specific system boundary requirements. The accounting results could be further used for energy labeling, identifying bottlenecks of production activities, evaluating industrial symbiosis effects, improving materials and energy utilization efficiency, etc. The model could also be used as a planning tool to determine the effect that a particular change of technology and supply chains may have on the industrial production processes. The proposed model was tested and applied in a real integrated steel mill, which also provided the reference results for related researches. At last, some concepts, computational issues and limitations of the proposed model were discussed.</t>
  </si>
  <si>
    <t>[Liu, Xiao-jun; Liao, Sheng-ming; Rao, Zheng-hua; Liu, Gang] Cent S Univ, Sch Energy Sci &amp; Engn, Changsha 410083, Hunan, Peoples R China</t>
  </si>
  <si>
    <t>Liu, XJ (corresponding author), Cent S Univ, Sch Energy Sci &amp; Engn, Changsha 410083, Hunan, Peoples R China.</t>
  </si>
  <si>
    <t>liuxiaojun.energy@qq.com</t>
  </si>
  <si>
    <t>Liu, Gang/F-8485-2012</t>
  </si>
  <si>
    <t>Liu, Gang/0000-0003-4315-4520</t>
  </si>
  <si>
    <t>Science-Technology Plan Foundation of Hunan Province, China [2012GK2025]; Fundamental Research Funds for the Central South University [2013zzts039]</t>
  </si>
  <si>
    <t>Science-Technology Plan Foundation of Hunan Province, China; Fundamental Research Funds for the Central South University</t>
  </si>
  <si>
    <t>The research was supported by the Science-Technology Plan Foundation of Hunan Province, China (2012GK2025) and by the Fundamental Research Funds for the Central South University under Grant Number 2013zzts039. The authors also wish to thank the Hunan Valin Xiangtan Iron and Steel Co., Ltd. for providing and verifying the production data.</t>
  </si>
  <si>
    <t>1006-706X</t>
  </si>
  <si>
    <t>2210-3988</t>
  </si>
  <si>
    <t>J IRON STEEL RES INT</t>
  </si>
  <si>
    <t>J. Iron Steel Res. Int.</t>
  </si>
  <si>
    <t>10.1007/s42243-018-0064-9</t>
  </si>
  <si>
    <t>Metallurgy &amp; Metallurgical Engineering</t>
  </si>
  <si>
    <t>GJ5BO</t>
  </si>
  <si>
    <t>WOS:000435396400006</t>
  </si>
  <si>
    <t>Rossi, F</t>
  </si>
  <si>
    <t>Rossi, Federica</t>
  </si>
  <si>
    <t>The drivers of efficient knowledge transfer performance: evidence from British universities</t>
  </si>
  <si>
    <t>CAMBRIDGE JOURNAL OF ECONOMICS</t>
  </si>
  <si>
    <t>University performance; Knowledge transfer; Data envelopment analysis; Efficiency; HEBCI survey</t>
  </si>
  <si>
    <t>TECHNOLOGY-TRANSFER OFFICES; INTELLECTUAL PROPERTY; INDUSTRY; UK; IMPACT; POLICY; INNOVATION; SCIENCE; LINKAGES; EUROPE</t>
  </si>
  <si>
    <t>Using data from the UK, this study explores the institutional and environmental factors that influence universities' efficiency in knowledge transfer. While studies of universities' knowledge transfer performance have so far focused on patent commercialisation and research contracting with industry, it is increasingly acknowledged that universities engage in a broader range of knowledge transfer activities, including consulting, public engagement and provision of knowledge-intensive services. When these are taken into account, less research-intensive universities, and those with a greater share of staff in the arts and humanities, improve their relative efficiency. More specialised, older and larger institutions are more efficient performers, while research intensity is no longer a strong predictor of efficiency.</t>
  </si>
  <si>
    <t>[Rossi, Federica] Birkbeck Univ London, London, England</t>
  </si>
  <si>
    <t>Rossi, F (corresponding author), Birkbeck Univ London, Dept Management, Malet St, London WC1E 7HX, England.</t>
  </si>
  <si>
    <t>f.rossi@bbk.ac.uk</t>
  </si>
  <si>
    <t>Rossi, Federica/0000-0002-5869-4469</t>
  </si>
  <si>
    <t>0309-166X</t>
  </si>
  <si>
    <t>1464-3545</t>
  </si>
  <si>
    <t>CAMB J ECON</t>
  </si>
  <si>
    <t>Cambr. J. Econ.</t>
  </si>
  <si>
    <t>10.1093/cje/bex054</t>
  </si>
  <si>
    <t>GE5BV</t>
  </si>
  <si>
    <t>WOS:000431234300006</t>
  </si>
  <si>
    <t>water quality; role-playing; game; consulting</t>
  </si>
  <si>
    <t>GAMES</t>
  </si>
  <si>
    <t>[Sampson, Christie] Clemson Univ, Dept Biol Sci, Clemson, SC 29634 USA; [Garcia-Chance, Lauren] Clemson Univ, Inst Environm Toxicol, Clemson, SC USA; [Linard, Erica] Rincon Consultants, Santa Barbara, CA USA</t>
  </si>
  <si>
    <t>Sampson, C (corresponding author), Clemson Univ, Dept Biol Sci, Clemson, SC 29634 USA.</t>
  </si>
  <si>
    <t>csampso@clemson.edu; elinard@g.clemson.edu; lgarci3@clemson.edu</t>
  </si>
  <si>
    <t>Clemson University Extension office; Pickens County Stormwater Partners; Pickens County 4-H</t>
  </si>
  <si>
    <t>We would like to thank Cathleen Reas and Charly McConnell from the Clemson University Extension office and Pickens County Stormwater Partners for their funding support and valuable input; Janine Sutter and Pickens County 4-H for their financial support; members of the Clemson University Biological Sciences Graduate Student Association and Environmental Toxicology Graduate Student Association for their assistance in administering the initial runs of the scenario game; Charles Conard and the AP Environmental Science students at D.W. Daniel High School for testing the game; the reviewers of this manuscript and Dr. David Tonkyn for their edits.</t>
  </si>
  <si>
    <t>NATL ASSOC BIOLOGY TEACHERS INC</t>
  </si>
  <si>
    <t>12030 SUNRISE VALLEY DR, #110, RESTON, VA 20191 USA</t>
  </si>
  <si>
    <t>AM BIOL TEACH</t>
  </si>
  <si>
    <t>Am. Biol. Teach.</t>
  </si>
  <si>
    <t>Biology; Education, Scientific Disciplines</t>
  </si>
  <si>
    <t>Life Sciences &amp; Biomedicine - Other Topics; Education &amp; Educational Research</t>
  </si>
  <si>
    <t>GD8ZK</t>
  </si>
  <si>
    <t>Research agenda; Bottom-up; Societal challenges; Land use; Soil management; Stakeholder</t>
  </si>
  <si>
    <t>[Bartke, Stephan; Grimski, Detlef] Umweltbundesamt, Worlitzer Pl 1, D-06844 Dessau Rosslau, Germany; [Bartke, Stephan; Schroeter-Schlaack, Christoph] UFZ Helmholtz Ctr Environm Res, Permoser Str 15, D-04318 Leipzig, Germany; [Boekhold, Alexandra E.] RIVM, POB 1, NL-3720 BA Bilthoven, Netherlands; [Brils, Jos; Maring, Linda] Deltares, Postbus 85467, NL-3508 AL Utrecht, Netherlands; [Ferber, Uwe] StadtLand UG, Stieglitzstr 84, D-04229 Leipzig, Germany; [Gorgon, Justyna] Instytut Ekol Terenow Uprzemyslowionych, Kossutha 6, PL-40844 Katowice, Poland; [Guerin, Valerie; Villeneuve, Jacques] French Geol Survey, 3 Ave Claude Guillemin,BP 36009, F-45060 Orleans 2, France; [Makeschin, Franz] Dresden Int Univ, Freiberger Str 37, D-01067 Dresden, Germany; [Nathanail, C. Paul] Univ Nottingham, Univ Pk, Nottingham NG7 2RD, England; [Zeyer, Josef] Swiss Fed Inst Technol, Biogeochem Schadstoffdyn IF, CHN G 47, Univ Str 16, CH-8092 Zurich, Switzerland</t>
  </si>
  <si>
    <t>Bartke, S (corresponding author), Umweltbundesamt, Worlitzer Pl 1, D-06844 Dessau Rosslau, Germany.</t>
  </si>
  <si>
    <t>stephan.bartke@uba.de; sandra.boekhold@rivm.nl; Jos.Brils@deltares.nl; detlef.grimski@uba.de; uwe.ferber@stadtland.eu; jgorgon@ietu.pl; v.guerin@brgm.fr; makeschin@t-online.de; linda.maring@deltares.nl; Paul.Nathanail@nottingham.ac.uk; j.villeneuve@brgm.fr; josef.zeyer@env.ethz.ch; christoph.schroeter-schlaack@ufz.de</t>
  </si>
  <si>
    <t>GUERIN, Valérie/AAR-8519-2020; Nathanail, Paul/AAK-9346-2021; Bartke, Stephan/W-4331-2017</t>
  </si>
  <si>
    <t>GUERIN, Valérie/0000-0003-3158-2245; Bartke, Stephan/0000-0003-1528-3050; Justyna, Gorgon/0000-0003-3970-6476</t>
  </si>
  <si>
    <t>European Commission's Horizon Collaboration and Support Action INSPIRATION [642372]</t>
  </si>
  <si>
    <t>European Commission's Horizon Collaboration and Support Action INSPIRATION</t>
  </si>
  <si>
    <t>The work was funded by the European Commission's Horizon-2020 Collaboration and Support Action INSPIRATION (www.inspiration-h2020.eu - Grant Agreement number 642372). The sponsor had no influence on the study design and no involvement in the collection, analysis or interpretation of the data.</t>
  </si>
  <si>
    <t>FX8MN</t>
  </si>
  <si>
    <t>Checklist; Macrozoobenthos; Germany; North Sea; Baltic Sea; Marine; Brackish; Freshwater</t>
  </si>
  <si>
    <t>MACROFAUNA COMMUNITIES; HABITAT CHARACTERISTICS; FISHING EFFORT; DOGGER BANK; BIODIVERSITY; INVENTORY; HELGOLAND; PATTERNS; CLIMATE; REGIONS</t>
  </si>
  <si>
    <t>[Zettler, Michael L.] Leibniz Inst Balt Sea Res Warnemunde, Seestr 15, D-18119 Rostock, Germany; [Beermann, Jan; Dannheim, Jennifer; Ebbe, Brigitte; Gusky, Manuela; Rachor, Eike] Helmholtz Ctr Polar &amp; Marine Res, Alfred Wegener Inst, Dept Funct Ecol, Handelshafen 12, D-27570 Bremerhaven, Germany; [Beermann, Jan; Dannheim, Jennifer; Ebbe, Brigitte; Gusky, Manuela] Carl von Ossietzky Univ Oldenburg, HIFMB, Ammerlander Heerstr 231, D-23129 Oldenburg, Germany; [Beermann, Jan] Helmholtz Ctr Polar &amp; Marine Res, Biol Anstalt Helgoland, Alfred Wegener Inst, Helgoland, Germany; [Grotjahn, Michael; Schroeder, Alexander; Witt, Jan] Coastal Def &amp; Nat Conservat Agcy, Dept Oldenburg Lower Saxony Water Management NLWK, Ratsherr Schulze Str 10, D-26122 Oldenburg, Germany; [Guenther, Carmen-Pia] BioConsult Schuchardt &amp; Scholle GBR, Klenkendorf 5, D-27442 Gnarrenburg, Germany; [Kind, Britta; Kuhlenkamp, Ralph] PHYCOMARIN, Bredenbergsweg 1, D-21149 Hamburg, Germany; [Kroencke, Ingrid] Senckenberg Meer, Dept Marine Res, Sudstrand 40, D-26382 Wilhelmshaven, Germany; [Orendt, Claus] Orendt Hydrobiol WaterBioAssessment, Brandvorwerkstr 66, D-04275 Leipzig, Germany; [Schanz, Anja; Schueler, Lisa] Inst Appl Ecosyst Res IfAO, Alte Dorfstr 11, D-18184 Neu Broderstorf, Germany; [Rachor, Eike] Finkenweg 27, D-27612 Loxstedt, Germany</t>
  </si>
  <si>
    <t>Zettler, ML (corresponding author), Leibniz Inst Balt Sea Res Warnemunde, Seestr 15, D-18119 Rostock, Germany.</t>
  </si>
  <si>
    <t>michael.zettler@io-warnemuende.de</t>
  </si>
  <si>
    <t>Zettler, Michael Lothar/0000-0002-5437-5495; Dannheim, Jennifer/0000-0002-3737-5872; Beermann, Jan/0000-0001-5894-6817</t>
  </si>
  <si>
    <t>HELGOLAND MAR RES</t>
  </si>
  <si>
    <t>Helgoland Mar. Res.</t>
  </si>
  <si>
    <t>Marine &amp; Freshwater Biology; Oceanography</t>
  </si>
  <si>
    <t>GG0LZ</t>
  </si>
  <si>
    <t>Wilson, V; Barclay, S; Pervin, S</t>
  </si>
  <si>
    <t>Wilson, V.; Barclay, S.; Pervin, S.</t>
  </si>
  <si>
    <t>The referral and management process of patients sustaining peri-anaesthetic dento-alveolar trauma: an audit</t>
  </si>
  <si>
    <t>BRITISH DENTAL JOURNAL</t>
  </si>
  <si>
    <t>DENTAL INJURIES</t>
  </si>
  <si>
    <t>Background Newcastle Dental Hospital receives referrals regarding patients who sustained dento-alveolar trauma during general anaesthesia (GA). This audit was undertaken to assess whether referrals are managed appropriately and if improvements could be made, to improve the quality of patient care. Aims To assess the proportion of patients who were referred and assessed within the timeframe laid down by the Trust. To establish whether patients would benefit from an improved pre-anaesthetic dental assessment. To determine if there is a possible correlation between pre-existing dental disease and peri-anaesthetic dento-alveolar trauma. Standards Ninety percent of patients to be treated appropriately; meeting the timeframes, following correct referral mechanisms and given the appropriate information. Methods Patients were identified following dento-alveolar trauma during GA by referrals to the Restorative Dentistry Department. Results The current referral pathway is not being followed appropriately. There was a variable timeframe to wait until initial consultant clinic appointment and the standard was not met. The most common time of injury occurred during intubation. There is a suggested link between periodontal disease and a greater risk of sustaining dental injury. Recommendations This audit highlighted the need for a revised referral policy and for staff to ensure it is followed.</t>
  </si>
  <si>
    <t>[Wilson, V.; Barclay, S.; Pervin, S.] Newcastle Dent Hosp, Restorat Dent Dept, Richardson Rd, Newcastle Upon Tyne NE2 4AZ, Tyne &amp; Wear, England</t>
  </si>
  <si>
    <t>Wilson, V (corresponding author), Newcastle Dent Hosp, Restorat Dent Dept, Richardson Rd, Newcastle Upon Tyne NE2 4AZ, Tyne &amp; Wear, England.</t>
  </si>
  <si>
    <t>victoriawilson225@gmail.com</t>
  </si>
  <si>
    <t>NATURE PUBLISHING GROUP</t>
  </si>
  <si>
    <t>MACMILLAN BUILDING, 4 CRINAN ST, LONDON N1 9XW, ENGLAND</t>
  </si>
  <si>
    <t>0007-0610</t>
  </si>
  <si>
    <t>1476-5373</t>
  </si>
  <si>
    <t>BRIT DENT J</t>
  </si>
  <si>
    <t>Br. Dent. J.</t>
  </si>
  <si>
    <t>APR 13</t>
  </si>
  <si>
    <t>10.1038/sj.bdj.2018.224</t>
  </si>
  <si>
    <t>GD1MP</t>
  </si>
  <si>
    <t>WOS:000430264300025</t>
  </si>
  <si>
    <t>Ling, FYY; Goh, XY</t>
  </si>
  <si>
    <t>Ling, Florence Yean Yng; Goh, Xiaoyin</t>
  </si>
  <si>
    <t>Managing Stressors Faced by Cost Engineers</t>
  </si>
  <si>
    <t>Stressors; Cost engineers; Singapore; Urbanized environment</t>
  </si>
  <si>
    <t>HONG-KONG; ROLE-CONFLICT; WORK STRESS; CONSTRUCTION PROFESSIONALS; ESTIMATION PERFORMANCE; OCCUPATIONAL STRESS; WORKPLACE STRESS; SOCIAL SUPPORT; BURNOUT; BEHAVIOR</t>
  </si>
  <si>
    <t>Construction professionals work under stressful conditions. This study examines the stressors faced by cost engineers in Singapore. The specific objectives are to identify the major type of stressors that cost engineers face and to study how stressors affect cost engineers with different demographic characteristics. The research was based on a questionnaire survey and data collected from cost engineers working for consultants and contractors. The main stressors causing cost engineers stress are work overload and work-home conflict. Cost engineers with different demographic characteristics are affected by different types of stressors. The following categories of cost engineers are found to be more affected by certain stressors than others: those who are in a relationship, those who live with elderly dependents or have children, and those who work longer overtime. Cost engineers of different age groups and different seniority levels are influenced by certain stressors to significantly different degrees. The findings may help firms to craft appropriate policies to minimize the stressors that cost engineers face at work, such as limiting overtime work and having timely communication to alleviate their stress. (c) 2017 American Society of Civil Engineers.</t>
  </si>
  <si>
    <t>[Ling, Florence Yean Yng] Natl Univ Singapore, Dept Bldg, 4 Architecture Dr, Singapore 117566, Singapore; [Goh, Xiaoyin] Surbana Jurong Consultants Private Ltd, 168 Jalan Bukit Merah, Singapore 150168, Singapore</t>
  </si>
  <si>
    <t>Ling, FYY (corresponding author), Natl Univ Singapore, Dept Bldg, 4 Architecture Dr, Singapore 117566, Singapore.</t>
  </si>
  <si>
    <t>bdglyy@nus.edu.sg; xyin.goh@gmail.com</t>
  </si>
  <si>
    <t>1943-5541</t>
  </si>
  <si>
    <t>J PROF ISS ENG ED PR</t>
  </si>
  <si>
    <t>J. Prof. Issues Eng. Educ. Pract.</t>
  </si>
  <si>
    <t>10.1061/(ASCE)EI.1943-5541.0000354</t>
  </si>
  <si>
    <t>Education, Scientific Disciplines; Engineering, Multidisciplinary</t>
  </si>
  <si>
    <t>Education &amp; Educational Research; Engineering</t>
  </si>
  <si>
    <t>FW8XE</t>
  </si>
  <si>
    <t>WOS:000425619500004</t>
  </si>
  <si>
    <t>Knowledge and Technology Transfer; carbon captured and utilization; waste-to-energy; uninformed transfer; national acceptability; local acceptability</t>
  </si>
  <si>
    <t>POLICY; IMPLEMENTATION; DETERMINANTS; FRAMEWORK</t>
  </si>
  <si>
    <t>[Huh, Taewook] Korea Adv Inst Sci &amp; Technol, Moon Soul Grad Sch Future Strategy, Daejeon 34141, South Korea; [Kim, Hyung-Ju] Green Technol Ctr, Policy Res Div, Seoul 04554, South Korea</t>
  </si>
  <si>
    <t>Huh, T (corresponding author), Korea Adv Inst Sci &amp; Technol, Moon Soul Grad Sch Future Strategy, Daejeon 34141, South Korea.</t>
  </si>
  <si>
    <t>twhuh@kaist.ac.kr; hjkim@gtck.re.kr</t>
  </si>
  <si>
    <t>research program of Global Cooperation Case Studies on Green Technology Convergence for Climate Change Responses of the Green Technology Center-Korea (GTC-K) [F15330, F16330]</t>
  </si>
  <si>
    <t>research program of Global Cooperation Case Studies on Green Technology Convergence for Climate Change Responses of the Green Technology Center-Korea (GTC-K)</t>
  </si>
  <si>
    <t>This research was supported by the research program of Global Cooperation Case Studies on Green Technology Convergence for Climate Change Responses (F15330, F16330) of the Green Technology Center-Korea (GTC-K).</t>
  </si>
  <si>
    <t>GJ3IY</t>
  </si>
  <si>
    <t>sustainability; green buildings; green development; green environment; rating tools; low carbon living; livable cities; sustainable cities; sustainability assessment tools</t>
  </si>
  <si>
    <t>DECISION-MAKING; BUILT ENVIRONMENT; WASTE MANAGEMENT; CONSTRUCTION; ENERGY; MODEL</t>
  </si>
  <si>
    <t>[Martek, Igor; Hosseini, M. Reza; Shrestha, Asheem; Seaton, Stewart] Deakin Univ, Sch Architecture &amp; Built Environm, Geelong, Vic 3220, Australia; [Zavadskas, Edmundas Kazimieras] Vilnius Gediminas Tech Univ, Fac Civil Engn, Inst Sustainable Construct, Sauletekio Ave 11, LT-10223 Vilnius, Lithuania</t>
  </si>
  <si>
    <t>Hosseini, MR (corresponding author), Deakin Univ, Sch Architecture &amp; Built Environm, Geelong, Vic 3220, Australia.</t>
  </si>
  <si>
    <t>igor.martek@Deakin.edu.au; reza.hosseini@Deakin.edu.au; asheem.shrestha@deakin.edu.au; edmundas.zavadskas@vgtu.lt; s.seaton@deakin.edu.au</t>
  </si>
  <si>
    <t>Shrestha, Asheem/I-8879-2019; Hosseini, M. Reza/AAA-4859-2021; Zavadskas, Edmundas Kazimieras/Q-6048-2018</t>
  </si>
  <si>
    <t>Shrestha, Asheem/0000-0001-6080-4068; Hosseini, M. Reza/0000-0001-8675-736X; Zavadskas, Edmundas Kazimieras/0000-0002-3201-949X</t>
  </si>
  <si>
    <t>successful Integral Design Futures (IDF) funding scheme's program: Charting Pre-Design Sustainability Indicators (School of Architecture and Built Environment, Deakin University)</t>
  </si>
  <si>
    <t>This paper provides a background to the successful Integral Design Futures (IDF) funding scheme's 2017 program: Charting Pre-Design Sustainability Indicators (School of Architecture and Built Environment, Deakin University).</t>
  </si>
  <si>
    <t>gold, Green Submitted, Green Published</t>
  </si>
  <si>
    <t>environmental protection; fresh produce; management; model; treatment; wash-water; wastewater</t>
  </si>
  <si>
    <t>FRESH; WASTEWATERS; SANITATION; IMPACTS; SYSTEM; REUSE</t>
  </si>
  <si>
    <t>[Mundi, Gurvinder S.; Zytner, Richard G.; Gharabaghi, Bahram] Univ Guelph, Sch Engn, 50 Stone Rd East, Guelph, ON N1G 2W1, Canada; [Warriner, Keith] Univ Guelph, Dept Food Sci, 50 Stone Rd East, Guelph, ON N1G 2W1, Canada</t>
  </si>
  <si>
    <t>Zytner, RG (corresponding author), Univ Guelph, Sch Engn, 50 Stone Rd East, Guelph, ON N1G 2W1, Canada.</t>
  </si>
  <si>
    <t>rzytner@uoguelph.ca</t>
  </si>
  <si>
    <t>Zytner, Richard/AAA-1760-2019; Bonakdari, Hossein/B-9305-2018; Bonakdari, Hossein/AAW-5398-2021; Gharabaghi, Bahram/F-9977-2016</t>
  </si>
  <si>
    <t>Zytner, Richard/0000-0002-6049-9400; Bonakdari, Hossein/0000-0001-6169-3654; Gharabaghi, Bahram/0000-0003-0454-2811</t>
  </si>
  <si>
    <t>OMAFRA</t>
  </si>
  <si>
    <t>The authors gratefully acknowledge both financial and technical support received from our research partner OMAFRA (Deanna Nemeth, Rebecca Shortt, and Tim Brook) and the many vegetable and fruit organizations, cooperators, producers, and processors who participated in the studies accumulating this paper. The authors greatly appreciate the assistance of the many coop and summer students for their hard work: Deanne Durward, Ryan Good, Shreya Ghose, Laurissa Christie, Lindsay Johnston and Duncan Hartwick.</t>
  </si>
  <si>
    <t>GJ8TP</t>
  </si>
  <si>
    <t>Green Submitted, Bronze</t>
  </si>
  <si>
    <t>venture capital; sustainability; enablers; Saudi Arabia</t>
  </si>
  <si>
    <t>SOCIALLY RESPONSIBLE INVESTMENT; SUPPLY CHAIN MANAGEMENT; FINANCIAL PERFORMANCE; DECISION-MAKING; FUZZY DEMATEL; HIGH-GROWTH; BARRIERS; ENERGY; CAPABILITIES; INNOVATION</t>
  </si>
  <si>
    <t>[Antarciuc, Elena; Almarri, Jaber; Agyemang, Martin] Dalian Univ Technol, Fac Management &amp; Econ, 2 Linggong Rd, Dalian 116024, Peoples R China; [Zhu, Qinghua; Feng, Yunting] Shanghai Jiao Tong Univ, Antai Coll Econ &amp; Management, 1954 Huashan Rd, Shanghai 200030, Peoples R China; [Zhao, Senlin] Shanghai Maritime Univ, Sch Econ &amp; Management, 1550 Haigang Ave, Shanghai 201306, Peoples R China</t>
  </si>
  <si>
    <t>Antarciuc, E (corresponding author), Dalian Univ Technol, Fac Management &amp; Econ, 2 Linggong Rd, Dalian 116024, Peoples R China.;Zhu, QH (corresponding author), Shanghai Jiao Tong Univ, Antai Coll Econ &amp; Management, 1954 Huashan Rd, Shanghai 200030, Peoples R China.</t>
  </si>
  <si>
    <t>eantarciuc@mail.dlut.edu.cn; qhzhu@sjtu.edu.cn; jaber15@live.com; slzhao@shmtu.edu.cn; fengyt@sjtu.edu.cn; martinon463@gmail.com</t>
  </si>
  <si>
    <t>National Natural Science Foundation of China [71632007, 71690241, 71472021]; Ministry of Higher Education of Saudi Arabia</t>
  </si>
  <si>
    <t>National Natural Science Foundation of China(National Natural Science Foundation of China (NSFC)); Ministry of Higher Education of Saudi Arabia</t>
  </si>
  <si>
    <t>National Natural Science Foundation of China (71632007, 71690241, and 71472021) and Ministry of Higher Education of Saudi Arabia supported this work.</t>
  </si>
  <si>
    <t>Development; Environment Sector; Knowledge Transfer Channels</t>
  </si>
  <si>
    <t>[Lashari, Jagul Huma; Bhutto, Arabella; Abro, Qazi Muhammad Moinnuddin; Memon, Zahid Ali; Naqvi, Iffat Batool] Mehran Univ Engn &amp; Technol, Mehran Univ, Inst Sci Technol &amp; Dev, Jamshoro, Pakistan</t>
  </si>
  <si>
    <t>Lashari, JH (corresponding author), Mehran Univ Engn &amp; Technol, Mehran Univ, Inst Sci Technol &amp; Dev, Jamshoro, Pakistan.</t>
  </si>
  <si>
    <t>huma.lashari@yahoo.com</t>
  </si>
  <si>
    <t>Bhutto, Arabella/ABG-9129-2021</t>
  </si>
  <si>
    <t>Higher Education Commission of Pakistan</t>
  </si>
  <si>
    <t>Higher Education Commission of Pakistan(Higher Education Commission of Pakistan)</t>
  </si>
  <si>
    <t>This research is part of PhD research Funded by Higher Education Commission of Pakistan. Authors are thankful for cooperation of PhD faculty members of HEIs in Sindh offering degrees in field of environment for sharing their valuable time for interviews.</t>
  </si>
  <si>
    <t>MEHRAN UNIV ENGINEERING &amp; TECHNOLOGY</t>
  </si>
  <si>
    <t>JAMSHORO</t>
  </si>
  <si>
    <t>C/O MS MUMTAZ S MEMON, LIBRARIAN, JAMSHORO, 00000, PAKISTAN</t>
  </si>
  <si>
    <t>MEHRAN UNIV RES J EN</t>
  </si>
  <si>
    <t>Mehran Univ. Res. J. Eng. Technol.</t>
  </si>
  <si>
    <t>GD4QJ</t>
  </si>
  <si>
    <t>customer value; environmental policy; sustainable development; stakeholder engagement</t>
  </si>
  <si>
    <t>CORPORATE SOCIAL-RESPONSIBILITY; WASTE MANAGEMENT; PERSPECTIVE; CSR; PERFORMANCE; ENVIRONMENT; RESOURCES; PRINCIPLE; FIRM</t>
  </si>
  <si>
    <t>[Anbarasan, Periyasami; Sushil] Indian Inst Technol Delhi, Dept Management Studies, New Delhi, India</t>
  </si>
  <si>
    <t>Anbarasan, P (corresponding author), Indian Inst Technol Delhi, Dept Management Studies, New Delhi, India.</t>
  </si>
  <si>
    <t>jeevakarunyam@gmail.com</t>
  </si>
  <si>
    <t>Sushil, Sushil/A-5454-2019; , Sushil/M-7320-2019; Anbarasan, P./Y-3547-2018</t>
  </si>
  <si>
    <t>Sushil, Sushil/0000-0002-3118-5461; , Sushil/0000-0002-3118-5461; Anbarasan, P./0000-0002-8027-8197; SINGH Botany, Prof (Dr) RAJ/0000-0002-0613-1525</t>
  </si>
  <si>
    <t>FY4AL</t>
  </si>
  <si>
    <t>Pentini, AA</t>
  </si>
  <si>
    <t>Pentini, Anna Aluffi</t>
  </si>
  <si>
    <t>The potential space of Donald Winnicott in intercultural education: an italian early education project</t>
  </si>
  <si>
    <t>EDUCAR EM REVISTA</t>
  </si>
  <si>
    <t>Italian</t>
  </si>
  <si>
    <t>Intercultural pedagogy; Early childhood education; Potential space; Migration; Incubator of continuity; Social integration</t>
  </si>
  <si>
    <t>This article seeks to highlight the Italian situation concerning a particular pedagogical early childhood approach by describing an intercultural project' that was planned, implemented, monitored and supported from a social pedagogical perspective over the course of twenty years in Rome'. The principle concepts on which the project was based are that of the 'potential space' (Winnicott 1971, 1989) applied to intercultural pedagogy and that of support for parenting skills. In view of current educational policies in Italy' some forms of practice which were developed in the course of this project, thanks to the constant pedagogical support and consultancy it received, can be extrapolated in order to promote a pedagogical dimension that appreciates and welcomes diversity and helps educational institutions, including those of early childhood education, to become democratic environments that promote equality among children.</t>
  </si>
  <si>
    <t>[Pentini, Anna Aluffi] Univ Rome Tre, Dipartimento Sci Formaz, Rome, Italy</t>
  </si>
  <si>
    <t>Pentini, AA (corresponding author), Univ Rome Tre, Dipartimento Sci Formaz, Rome, Italy.</t>
  </si>
  <si>
    <t>anna.aluffipentini@uniroma3.it</t>
  </si>
  <si>
    <t>EDITORA UNIV FEDERAL PARANA, CENTRO POLITECNICO</t>
  </si>
  <si>
    <t>CX POSTAL 19029, CURITIBA, PARANA, 00000, BRAZIL</t>
  </si>
  <si>
    <t>0104-4060</t>
  </si>
  <si>
    <t>1984-0411</t>
  </si>
  <si>
    <t>EDUC REV-CURITIBA</t>
  </si>
  <si>
    <t>Educ. Rev.-Braz.</t>
  </si>
  <si>
    <t>10.1590/0104-4060.57815</t>
  </si>
  <si>
    <t>GD4JE</t>
  </si>
  <si>
    <t>WOS:000430468600017</t>
  </si>
  <si>
    <t>Ultee, L; Arnott, JC; Bassis, J; Lemos, MC</t>
  </si>
  <si>
    <t>Ultee, Lizz; Arnott, James C.; Bassis, Jeremy; Lemos, Maria Carmen</t>
  </si>
  <si>
    <t>From Ice Sheets to Main Streets: Intermediaries Connect Climate Scientists to Coastal Adaptation</t>
  </si>
  <si>
    <t>EARTHS FUTURE</t>
  </si>
  <si>
    <t>Science usability; Sea level; Climate adaptation; Public scholarship</t>
  </si>
  <si>
    <t>ENVIRONMENTAL ASSESSMENTS; BOUNDARY ORGANIZATIONS; INFORMATION; INSTITUTIONS; USABILITY; KNOWLEDGE; SCIENCE; POLICY</t>
  </si>
  <si>
    <t>Despite the societal relevance of sea-level research, a knowledge-to-action gap remains between researchers and coastal communities. In the agricultural and water-management sectors, intermediaries such as consultants and extension agencies have a long and well-documented history of helping to facilitate the application of scientific knowledge on the ground. However, the role of such intermediaries in adaptation to sea-level rise, though potentially of vital importance, has been less thoroughly explored. In this commentary, we describe three styles of science intermediation that can connect researchers working on sea-level projections with decision-makers relying on those projections. We illustrate these styles with examples of recent and ongoing contexts for the application of sea-level research, at different spatial scales and political levels ranging from urban development projects to international organizations. Our examples highlight opportunities and drawbacks for the researchers involved and communities adapting to rising seas.</t>
  </si>
  <si>
    <t>[Ultee, Lizz; Bassis, Jeremy] Univ Michigan, Dept Climate &amp; Space Sci, Ann Arbor, MI 48109 USA; [Arnott, James C.; Lemos, Maria Carmen] Univ Michigan, Sch Environm &amp; Sustainabil SEAS, Ann Arbor, MI 48109 USA; [Arnott, James C.] Aspen Global Change Inst, Basalt, CO USA</t>
  </si>
  <si>
    <t>Ultee, L (corresponding author), Univ Michigan, Dept Climate &amp; Space Sci, Ann Arbor, MI 48109 USA.</t>
  </si>
  <si>
    <t>ehultee@umich.edu</t>
  </si>
  <si>
    <t>Bassis, Jeremy N/J-1706-2012; Bassis, Jeremy/ABB-8628-2021; Arnott, James/O-1029-2015</t>
  </si>
  <si>
    <t>Bassis, Jeremy N/0000-0003-2946-7176; Bassis, Jeremy/0000-0003-2946-7176; Ultee, Lizz/0000-0002-8780-3089; Lemos, Maria Carmen/0000-0001-6686-730X; Arnott, James/0000-0003-3989-6724</t>
  </si>
  <si>
    <t>Office of Polar Programs (OPP) [1341568] Funding Source: National Science Foundation</t>
  </si>
  <si>
    <t>Office of Polar Programs (OPP)(National Science Foundation (NSF)NSF - Directorate for Geosciences (GEO))</t>
  </si>
  <si>
    <t>2328-4277</t>
  </si>
  <si>
    <t>Earth Future</t>
  </si>
  <si>
    <t>10.1002/2018EF000827</t>
  </si>
  <si>
    <t>Environmental Sciences; Geosciences, Multidisciplinary; Meteorology &amp; Atmospheric Sciences</t>
  </si>
  <si>
    <t>Environmental Sciences &amp; Ecology; Geology; Meteorology &amp; Atmospheric Sciences</t>
  </si>
  <si>
    <t>GD0ED</t>
  </si>
  <si>
    <t>WOS:000430171600001</t>
  </si>
  <si>
    <t>European social law; Better Regulation agenda; European; social policy; REFIT</t>
  </si>
  <si>
    <t>[Laulom, Sylvaine] Univ Lumiere Lyon 2, Lyon, France</t>
  </si>
  <si>
    <t>Laulom, S (corresponding author), Univ Lumiere Lyon 2, Labour Law, 4 Bis Rue Univ, F-69365 Lyon 07, France.</t>
  </si>
  <si>
    <t>Sylvaine.laulom@univ-lyon2.fr</t>
  </si>
  <si>
    <t>EUR LABOUR LAW J</t>
  </si>
  <si>
    <t>Eur. Labour Law J.</t>
  </si>
  <si>
    <t>VJ4PC</t>
  </si>
  <si>
    <t>Macombe, C; Loeillet, D; Gillet, C</t>
  </si>
  <si>
    <t>Macombe, Catherine; Loeillet, Denis; Gillet, Charles</t>
  </si>
  <si>
    <t>Extended community of peers and robustness of social LCA</t>
  </si>
  <si>
    <t>Case studies; Conventions; Robustness; SLCA; Uncertainties</t>
  </si>
  <si>
    <t>LIFE-CYCLE ASSESSMENT; ENVIRONMENTAL FOOTPRINT-BREAKTHROUGH; DIFFERENT LCIA METHODS; POLICY IMPLEMENTATION; UNCERTAINTY ANALYSIS; IMPACT ASSESSMENT; DECISION-MAKING; VARIABILITY; ASSESSMENTS; BREAKDOWN</t>
  </si>
  <si>
    <t>This paper questions the robustness of social life cycle analysis (LCA), based on four social LCA case studies. To improve robustness of social LCA, it is a necessity to fight against its weaknesses. The paper addresses three questions: (1) what are its weaknesses? (2) How can they be combated? There are solutions suggested by the Conventions theory. The Conventions theory asserts that people are capable of adopting conventions (agreements between members of a group) to define what is fair and what is not, depending on the problem. The suggested solution consists in creating a new group (which has been called extended community of peers), which will define a new convention adapted to each new situation. The third question is, therefore, (3) do we need to resort to an extended community of peers to combat the social LCA weaknesses? To contribute to these debates, we discuss the classification of weaknesses defined by the Roy's decision-making assistance methods: (1) not dealing with the lack of knowledge, (2) attributing undue preferential meaning to certain data, (3) implementing misleading models, and (4) using meaningless technical parameters. We discuss the literature about creating new conventions thanks to peer involvement. To determine whether the creation of an extended community of peers influences the robustness, we will analyse four case studies (social LCA) which we conducted in 2011, 2012 and 2013. The first ones were conducted in Southern territories, relating to various agricultural products (banana, meat, orange). Another case study comes from a northern region, with the objective of comparing direct local supply systems and large-scale supply chains of various agricultural products. About weaknesses in LCA, we highlight that environmental LCA authors have identified in their own works the same weakness points as Roy had done for other decision-making tools. We display that these weaknesses are present also in the Guidelines for SLCA of Products (UNEP-SETAC 2009). About fighting these weaknesses, building an extended community of peers may be a solution, but a conditional one. We cannot draw a general conclusion from such a small number of cases. However, in both case studies where a real community of peers was formed, the initial convention changed, and many weaknesses were mitigated. These changes did not occur in the other two cases, where no community of peers was mobilised. In particular, a relevant and plausible impact assessment was provided in the former two cases, while this was impossible in the latter two. The community of peers seems to function by comparison of a variety of viewpoints. Nevertheless, peer involvement is not the ultimate weapon against the weaknesses of social LCA, as we experienced it. These difficulties highlight the importance of the role of the consultants/researchers conducting the study. It is up to them to distinguish the situations which will lead to failure, from those which are manageable. It is up to them to generate the evaluative question, provide facts and negotiate. The creation of a community of peers does not guarantee that problems will be solved. The consultants and researchers have a particular responsibility in decrypting the power games and unfounded beliefs. Introducing the extended community of peers into the LCA landscape goes against the quest for standardisation. But specifying which convention was chosen does not impair the genericity of the method. On the contrary, the researcher's critique of their own methods is an integral part of the scientific approach.</t>
  </si>
  <si>
    <t>[Macombe, Catherine] IRSTEA, UMR ITAP, 361 Rue Jean Francois Breton, F-34196 Montpellier, France; [Loeillet, Denis] CIRAD, UR GECO, TA B-26 PS4 Blvd Lironde, F-34398 Montpellier 5, France; [Gillet, Charles] CEP Epsil Hom, Montpellier, France</t>
  </si>
  <si>
    <t>Macombe, C (corresponding author), IRSTEA, UMR ITAP, 361 Rue Jean Francois Breton, F-34196 Montpellier, France.</t>
  </si>
  <si>
    <t>catherine.macombe@irstea.fr</t>
  </si>
  <si>
    <t>10.1007/s11367-016-1226-2</t>
  </si>
  <si>
    <t>FV9PH</t>
  </si>
  <si>
    <t>WOS:000424920100010</t>
  </si>
  <si>
    <t>Simpson, N; Mentor-Lalu, V</t>
  </si>
  <si>
    <t>Simpson, Nick; Mentor-Lalu, Vivien</t>
  </si>
  <si>
    <t>Ctr Law Soc</t>
  </si>
  <si>
    <t>On the record Talking about Day Zero and beyond: the impact of the water crisis on questions of vulnerability, risk and security</t>
  </si>
  <si>
    <t>SOUTH AFRICAN CRIME QUARTERLY-SACQ</t>
  </si>
  <si>
    <t>Few Capetonians would argue against the claim that the City has been rocked by the current water crisis that many have dubbed the most severe in modern history. Discussions about water saving techniques, membership of the 'Water Warriors' club, dinner party comparisons of family daily usage figures, discussion of toilet habits (to flush or not to flush?) and frenzied buying to secure 25-litre water containers have become part of daily life for those of us faced by the imminent (but previously unconscionable) threat of our taps running dry. Even the 'proudly oily' 1 premier of the Western Cape has boasted that she only showers every three days to help beat back Day Zero. But the water crisis has not only raised important questions about residents' rights to, and responsibility for, the water they use. It has also brought to the surface interesting issues about criminality and crime control, and our individual and collective relationship to water. Stories of violence and incivility at water collection points and in supermarkets have captured attention on social media, and city dwellers have hotly debated the threat of organised crime, laws against rebottling and reselling of municipal water, and the Western Cape government's Water Disaster Plan, which gives the police and army responsibility for maintaining safety and order at water collection points. Of course, while questions of water saving, risk and safety feel quite new to many Capetonians, scholars, activists and policymakers (including criminologists) have been writing about these issues for much longer. The Centre for Law and Society approached two scholars/activists to discuss the water crisis and its impact on questions of vulnerability, risk and security. Nick Simpson, an environmental and human development consultant (and post-doctoral scholar at the University of Cape Town), discussed questions of criminology in the age of the Anthropocene, and Vivienne Mentor-Lalu, a researcher/facilitator for the Women and Democracy Initiative at the Dullah Omar Institute at the University of the Western Cape, spoke to us about the gendered impact of the drought. Nolundi Luwaya, Kelley Moult, Diane Jefthas and Vitima Jere contributed to this piece.</t>
  </si>
  <si>
    <t>INST SECURITY STUDIES</t>
  </si>
  <si>
    <t>MSUNDUZI</t>
  </si>
  <si>
    <t>PO BOX 716, MSUNDUZI, 3231, SOUTH AFRICA</t>
  </si>
  <si>
    <t>1991-3877</t>
  </si>
  <si>
    <t>S AFR CRIME Q</t>
  </si>
  <si>
    <t>S. Afr. Crime Q.</t>
  </si>
  <si>
    <t>10.17159/2413-3108/2018/v0n63a4706</t>
  </si>
  <si>
    <t>Criminology &amp; Penology</t>
  </si>
  <si>
    <t>GG9FH</t>
  </si>
  <si>
    <t>WOS:000433005800006</t>
  </si>
  <si>
    <t>Kotireddy, R; Hoes, PJ; Hensen, JLM</t>
  </si>
  <si>
    <t>Kotireddy, Rajesh; Hoes, Pieter-Jan; Hensen, Jan L. M.</t>
  </si>
  <si>
    <t>A methodology for performance robustness assessment of low-energy buildings using scenario analysis</t>
  </si>
  <si>
    <t>APPLIED ENERGY</t>
  </si>
  <si>
    <t>Robust design; Low-energy buildings; Future scenarios; Occupant behavior; Performance assessment; Robustness assessment; Design decision making</t>
  </si>
  <si>
    <t>DECISION-MAKING; OPTIMAL-DESIGN; OPTIMIZATION PROBLEMS; COOLING SYSTEMS; CLIMATE-CHANGE; UNCERTAINTY; BEHAVIOR; COMFORT; IMPACT</t>
  </si>
  <si>
    <t>Uncertainties in building operation and external factors such as occupant behavior, climate change, policy changes etc. impact building performance, resulting in possible performance deviation during operation compared to the predicted performance in the design phase. Multiple low-energy building configurations can lead to similar optimal performance under deterministic conditions, but can have different magnitudes of performance deviation under these uncertainties. Low-energy buildings must be robust so that these uncertainties do not result in significant variations in energy use, cost and comfort. However, these uncertainties are rarely considered in the design of low-energy buildings and hence, the decision making process may result in designs that are sensitive to uncertainties and might not perform as intended. Therefore, to reduce this sensitivity, performance robustness assessment of low-energy buildings considering uncertainties should be assessed in the design phase. The probability of occurrences of these uncertainties are usually unknown and hence, scenarios are essential to assess the performance robustness of buildings. Therefore, a non-probabilistic robustness assessment methodology, based on scenario analysis, is developed to identify robust designs. Maximum performance regret calculated using the minimax regret method is used as the measure of performance robustness. In this approach, the preferred robust design is based on optimal performance and performance robustness. The proposed methodology is demonstrated using a case study with a policymaker as the decision maker. The proposed methodology can be used by designers and consultants to aid decision makers in the design phase to identify robust low-energy building designs that deliver preferred performance in the future operation.</t>
  </si>
  <si>
    <t>[Kotireddy, Rajesh; Hoes, Pieter-Jan; Hensen, Jan L. M.] Eindhoven Univ Technol, Dept Built Environm, Bldg Phys &amp; Serv, POB 513, NL-5600 MB Eindhoven, Netherlands</t>
  </si>
  <si>
    <t>Kotireddy, R (corresponding author), Eindhoven Univ Technol, Dept Built Environm, Bldg Phys &amp; Serv, POB 513, NL-5600 MB Eindhoven, Netherlands.</t>
  </si>
  <si>
    <t>r.r.kotireddy@tue.nl</t>
  </si>
  <si>
    <t>Hensen, Jan LM/0000-0002-7528-4234; Hoes, Pieter-Jan/0000-0002-8092-8751; Kotireddy, Rajesh/0000-0001-6113-2005</t>
  </si>
  <si>
    <t>0306-2619</t>
  </si>
  <si>
    <t>1872-9118</t>
  </si>
  <si>
    <t>APPL ENERG</t>
  </si>
  <si>
    <t>Appl. Energy</t>
  </si>
  <si>
    <t>10.1016/j.apenergy.2017.12.066</t>
  </si>
  <si>
    <t>Energy &amp; Fuels; Engineering, Chemical</t>
  </si>
  <si>
    <t>Energy &amp; Fuels; Engineering</t>
  </si>
  <si>
    <t>FW3IS</t>
  </si>
  <si>
    <t>WOS:000425200700031</t>
  </si>
  <si>
    <t>Water Policy; Drinking Water; Water Distribution; Water Resources; Governance; Chile</t>
  </si>
  <si>
    <t>CLIMATE-CHANGE; ADAPTIVE COMANAGEMENT; MANAGEMENT; RESOURCES</t>
  </si>
  <si>
    <t>[Sanchez Galvis, Luz Karime; Boso Gaspar, Alex; Montalba Navarro, Rene; Vallejos-Romero, Arturo] Univ La Frontera, Dept Ciencias Agron &amp; Recursos Nat, Nucleo Cient Tecnol Ciencias Sociales &amp; Humanidad, Francisco Salazar 1145, Temuco, Ix Region, Chile</t>
  </si>
  <si>
    <t>Galvis, LKS (corresponding author), Univ La Frontera, Dept Ciencias Agron &amp; Recursos Nat, Nucleo Cient Tecnol Ciencias Sociales &amp; Humanidad, Francisco Salazar 1145, Temuco, Ix Region, Chile.</t>
  </si>
  <si>
    <t>l.sanchez07@ufromail.cl; alex.boso@ufrontera.cl; rene.montalba@ufrontera.cl; arturo.vallejos@ufrontera.cl</t>
  </si>
  <si>
    <t>Boso, Àlex/AAC-2007-2021; Montalba, Rene/AAP-1279-2020</t>
  </si>
  <si>
    <t>CLAD-LATINOAMERICANO ADMINISTRACION DESARROLLO</t>
  </si>
  <si>
    <t>CARACAS</t>
  </si>
  <si>
    <t>AV PRINCIPAL LOS CHORROS, CRUCE CON AV 6, CASA CLAD, URB LOS CHORROS, PO 4181, CARACAS 1071, CARACAS, 1010-A, VENEZUELA</t>
  </si>
  <si>
    <t>REV CLAD REFORMA DEM</t>
  </si>
  <si>
    <t>Rev. CLAD Reforma Democr.</t>
  </si>
  <si>
    <t>HH2QA</t>
  </si>
  <si>
    <t>Vacchiano, G; Berretti, R; Romano, R; Motta, R</t>
  </si>
  <si>
    <t>Vacchiano, Giorgio; Berretti, Roberta; Romano, Raoul; Motta, Renzo</t>
  </si>
  <si>
    <t>Voluntary carbon credits from improved forest management: policy guidelines and case study</t>
  </si>
  <si>
    <t>IFOREST-BIOGEOSCIENCES AND FORESTRY</t>
  </si>
  <si>
    <t>Carbon Stocks; Carbon Credits; Biomass; Coppice; Ecosystem Services; Forest Management Plan; Climate Change Mitigation; Retention Forestry</t>
  </si>
  <si>
    <t>SEQUESTRATION; ALTERNATIVES; STANDS; MODEL</t>
  </si>
  <si>
    <t>Human activities have the potential to enhance carbon sequestration by the world's forests and contribute to climate change mitigation. Voluntary carbon trading is currently the only option to pursue and reward carbon sequestration by forestry activities. Carbon credits for enhanced sequestration can be sold to partners wishing to offset their own emissions. Here we illustrate the steps taken to design guidelines for the generation of voluntary carbon credits by improved forest management in Piemonte, Italy. The guidelines have been developed in a joint effort by academia, regional administrations, forest owners and professional consultants. In particular, we show how to compute the baseline and the additionality of credit-generating forest management activities, and how to reconcile the generation of forest carbon credits with law requirements, technical limitations, and the provision of other ecosystem services. To illustrate the profitability of carbon credit generation, we simulated the application of carbon credit guidelines to two forest-rich mountain watersheds in the southern part of the Piemonte region. The two dominating tree species are beech (Fagus sylvatica L.) and chestnut (Castanea sativa Mill.). We computed current forest carbon stock and carbon credits generated in 20 years under business as usual and an alternative biomass retention scenario. The IFM resulted in an avoided harvest of 39,362 m(3) for a net total of 64,014 MgCO(2)e after subtracting harvest emissions, or 38 Mg ha(-1) throughout the permanence period of 20 years. These steps can be replicated in other mountain regions where there is interest in promoting this ecosystem service as an alternative or an addition to production-oriented forest management.</t>
  </si>
  <si>
    <t>[Vacchiano, Giorgio; Motta, Renzo] Univ Torino, Dipartimento Sci Agr Forestali &amp; Alimentari, Largo Braccini 2, I-10095 Grugliasco, TO, Italy; [Berretti, Roberta; Romano, Raoul] Consiglio Ric Agr &amp; Anal Econ Agr CREA, Ctr Ric Polit &amp; Bioecon, VPo 14, I-00198 Rome, Italy</t>
  </si>
  <si>
    <t>Vacchiano, G (corresponding author), Univ Torino, Dipartimento Sci Agr Forestali &amp; Alimentari, Largo Braccini 2, I-10095 Grugliasco, TO, Italy.</t>
  </si>
  <si>
    <t>gvacchiano@gmail.com</t>
  </si>
  <si>
    <t>Vacchiano, Giorgio/H-3645-2019; Motta, Renzo/B-5542-2008; Vacchiano, Giorgio/C-4494-2008</t>
  </si>
  <si>
    <t>Motta, Renzo/0000-0002-1631-3840; Vacchiano, Giorgio/0000-0001-8100-0659</t>
  </si>
  <si>
    <t>Change.org petition Salviamo la ricerca italiana</t>
  </si>
  <si>
    <t>The authors wish to acknowledge Regione Piemonte and IPLA S.p.A for provision of regional forest inventory data, and Marco Allocco, Guido Blanchard, Alberto Dotta, Franco Molteni, Fabio Petrella, and Pier Giorgio Terzuolo for the opportunity to collaborate to the preparation of regional guidelines for carbon credit generations. The authors support the campaign #ricercaprecaria for the full implementation of the European Charter for Researchers and the acknowledgement of all researchers as workers, and the Change.org petition Salviamo la ricerca italiana (http://www.change.org/p/salviamo-la-ricerca-italiana) for the increase of research funding in Italy to levels requested by the EU Lisbon strategy.</t>
  </si>
  <si>
    <t>SISEF-SOC ITALIANA SELVICOLTURA ECOL FORESTALE</t>
  </si>
  <si>
    <t>POTENZA</t>
  </si>
  <si>
    <t>DEPT PROD VEGETALE, VIA ATENEO LUCANO 10, POTENZA, 85100, ITALY</t>
  </si>
  <si>
    <t>1971-7458</t>
  </si>
  <si>
    <t>IFOREST</t>
  </si>
  <si>
    <t>iForest</t>
  </si>
  <si>
    <t>10.3832/ifor2431-010</t>
  </si>
  <si>
    <t>FT1XN</t>
  </si>
  <si>
    <t>WOS:000422931000001</t>
  </si>
  <si>
    <t>Norton, RK; David, NP; Buckman, S; Koman, PD</t>
  </si>
  <si>
    <t>Norton, Richard K.; David, Nina P.; Buckman, Stephen; Koman, Patricia D.</t>
  </si>
  <si>
    <t>Overlooking the coast: Limited local planning for coastal area management along Michigan's Great Lakes</t>
  </si>
  <si>
    <t>Coastal area management; Plan content evaluation; Participant action research; Great Lakes</t>
  </si>
  <si>
    <t>HAZARD MITIGATION PLANS; ORDINARY HIGH WATER; NORTH-CAROLINA; QUALITY; IMPLEMENTATION; CONFORMANCE; DECISIONS; MANDATES; GROWTH; STATES</t>
  </si>
  <si>
    <t>This paper presents an evaluation of local efforts to manage Great Lakes coastal shorelands through master plans, focusing on Michigan localities. We framed the analysis around the concepts of capacity, knowledge, and commitment. We conducted plan content evaluations, structured surveys of local officials, and multiple unstructured interviews of local officials and citizens through a participatory action research (PAR) program. We analyzed those data, along with census data, using descriptive statistics, correlations, regression analyses, and triangulation of observations. We found that Michigan's coastal localities are largely failing to consider their coastal areas in their planning, or to adopt meaningful plan policies to manage them, for at least four reasons: damaging erosion and storm events have been relatively infrequent; localities rely on the state to address coastal issues; insurance programs effectively indemnify them when a storm does happen; and to some extent shoreland owners push back against proactive local management. To the extent localities are planning, higher overall plan quality is associated with having in-house planning staff (a measure of both capacity and knowledge) and development pressure (knowledge and commitment). To the extent plans address their coastal areas specifically, the adoption of plan policies advancing coastal area management is associated directly with having higher median house values (capacity), in-house planning staff (capacity and knowledge), and development pressure (knowledge and commitment). Focus on coastal management is inversely associated, however, with the use of planning consultants. Higher plan quality is correlated significantly with the adoption of more robust plan policies overall. In sum, having knowledge about coastal dynamics appears important in explaining local planning efforts, but having the capacity to act on that knowledge and the commitment to do so are equally or more important.</t>
  </si>
  <si>
    <t>[Norton, Richard K.] Univ Michigan, Taubman Coll Architecture &amp; Urban Planning, Urban &amp; Reg Planning Program, 2000 Bonisteel Blvd, Ann Arbor, MI 48109 USA; [David, Nina P.] Univ Delaware, Sch Publ Policy &amp; Adm, Newark, DE 19716 USA; [Buckman, Stephen] Univ S Florida, Sch Publ Affairs, Tampa, FL USA; [Koman, Patricia D.] Univ Michigan, Sch Publ Hlth, Environm Hlth Sci, Ann Arbor, MI 48109 USA</t>
  </si>
  <si>
    <t>Norton, RK (corresponding author), Univ Michigan, Taubman Coll Architecture &amp; Urban Planning, Urban &amp; Reg Planning Program, 2000 Bonisteel Blvd, Ann Arbor, MI 48109 USA.</t>
  </si>
  <si>
    <t>rknorton@umich.edu; npdavid@udel.edu; sbuckman@usf.edu; tkoman@umich.edu</t>
  </si>
  <si>
    <t>; Buckman, Stephen/B-4750-2009</t>
  </si>
  <si>
    <t>Koman, Patricia Diane/0000-0002-8445-6333; Buckman, Stephen/0000-0001-7798-4827</t>
  </si>
  <si>
    <t>University of Michigan (UM) Center for Local, State, and Urban Policy; UM Taubman College of Architecture and Urban Planning; UM Graham Sustainability Institute; Michigan Coastal Zone Management Program, Office of the Great Lakes; U.S. National Oceanic and Atmospheric Administration, U.S. Department of Commerce</t>
  </si>
  <si>
    <t>This work was supported in part by grants from the University of Michigan (UM) Center for Local, State, and Urban Policy; UM Taubman College of Architecture and Urban Planning; UM Graham Sustainability Institute; Michigan Coastal Zone Management Program, Office of the Great Lakes; and U.S. National Oceanic and Atmospheric Administration, U.S. Department of Commerce. None of the funders directed: the research design employed for this study; the collection, analysis, or interpretation of data; the writing of this article; or the decision to submit this article for publication. The findings and conclusions presented here are those of the authors and do not necessarily reflect those of the funders.</t>
  </si>
  <si>
    <t>10.1016/j.landusepol.2017.11.049</t>
  </si>
  <si>
    <t>FU1XS</t>
  </si>
  <si>
    <t>WOS:000423643400016</t>
  </si>
  <si>
    <t>renewable energy; solar energy; diffusion; innovation-adoption; stakeholders; Lebanon</t>
  </si>
  <si>
    <t>DIFFUSION; INNOVATIONS; HOUSEHOLDS; SYSTEMS; BARRIERS; MODELS; VALUES</t>
  </si>
  <si>
    <t>[Elmustapha, Houda; Bressers, Hans] Univ Twente, Dept Governance &amp; Technol Sustainabil CSTM, Inst Innovat &amp; Governance Studies IGS, Fac Behav Management &amp; Social Sci BMS, NL-7500 AE Enschede, Netherlands; [Hoppe, Thomas] Delft Univ Technol, Fac Technol Policy &amp; Management TPM, Dept Multiactor Syst MAS, OG, Jaffalaan 5, NL-2628 BX Delft, Netherlands</t>
  </si>
  <si>
    <t>Elmustapha, H (corresponding author), Univ Twente, Dept Governance &amp; Technol Sustainabil CSTM, Inst Innovat &amp; Governance Studies IGS, Fac Behav Management &amp; Social Sci BMS, NL-7500 AE Enschede, Netherlands.</t>
  </si>
  <si>
    <t>h.elmustapha@utwente.nl; T.Hoppe@tudelft.nl; j.t.a.bressers@utwente.nl</t>
  </si>
  <si>
    <t>Hoppe, Thomas/W-7895-2019; Elmustapha, Houda/AAJ-4663-2020</t>
  </si>
  <si>
    <t>FX3BB</t>
  </si>
  <si>
    <t>roles of non-governmental organizations; NGOs; cross-sector social partnerships; social change; sustainable development goals; SDG #17; SDG #8; broker; enabler; facilitator</t>
  </si>
  <si>
    <t>PUBLIC-PRIVATE PARTNERSHIPS; MANAGEMENT; INNOVATION</t>
  </si>
  <si>
    <t>[Yan, Xinya] Univ Waterloo, SEED, Local Econ Dev Program, 200 Univ Ave W, Waterloo, ON N2L 3G1, Canada; [Lin, Haiying] Northern Illinois Univ, Coll Business, Management Dept, De Kalb, IL 60115 USA; [Clarke, Amelia] Univ Waterloo, SEED, 200 Univ Ave W, Waterloo, ON N2L 3G1, Canada</t>
  </si>
  <si>
    <t>Lin, HY (corresponding author), Northern Illinois Univ, Coll Business, Management Dept, De Kalb, IL 60115 USA.</t>
  </si>
  <si>
    <t>x3yan@uwaterloo.ca; hlin2@niu.edu; Amelia.Clarke@uwaterloo.ca</t>
  </si>
  <si>
    <t>Clarke, Amelia/ABF-8122-2020; Clarke, Amelia/AAR-4460-2021</t>
  </si>
  <si>
    <t>Clarke, Amelia/0000-0003-0166-3204; Clarke, Amelia/0000-0003-0166-3204</t>
  </si>
  <si>
    <t>Social Sciences and Humanities Research Council of Canada (SSHRC) Insight Grant (SSHRC) [435-2012-1557]</t>
  </si>
  <si>
    <t>Social Sciences and Humanities Research Council of Canada (SSHRC) Insight Grant (SSHRC)</t>
  </si>
  <si>
    <t>Financial support for this project was provided by the Social Sciences and Humanities Research Council of Canada (SSHRC) Insight Grant (SSHRC #435-2012-1557 entitled Cross-Sector Solutions to Complex Environmental Issues).</t>
  </si>
  <si>
    <t>Auerbach, SR; Everitt, MD; Butts, RJ; Rosenthal, DN; Law, YM</t>
  </si>
  <si>
    <t>Auerbach, Scott R.; Everitt, Melanie D.; Butts, Ryan J.; Rosenthal, David N.; Law, Yuk M.</t>
  </si>
  <si>
    <t>The Pediatric Heart Failure Workforce: An International, Multicenter Survey</t>
  </si>
  <si>
    <t>PEDIATRIC CARDIOLOGY</t>
  </si>
  <si>
    <t>Pediatrics; Heart failure; Congenital heart disease; Survey</t>
  </si>
  <si>
    <t>UNITED-STATES; NURSE-PRACTITIONER; POLICY STATEMENT; TASK-FORCE; TRANSPLANTATION; CARDIOMYOPATHY; CARDIOLOGY; SOCIETY; HOSPITALIZATIONS; EPIDEMIOLOGY</t>
  </si>
  <si>
    <t>Our objective was to understand the scope of pediatric heart failure (HF) and the current staffing environment of HF programs. An online survey was distributed to members of the Pediatric Heart Transplant Study and the Pediatric Council of the International Society for Heart and Lung Transplantation. All participants received the primary 23-question survey. Additionally, HF program directors received a 32-question supplemental survey. Of 235 invitations sent, there were 69 (29%) primary surveys and 34 program director surveys completed (24 U.S. programs, 9 outside non-U.S., and one non-specified location). A formal HF program was reported by 88% of directors. There were 150 [IQR 50-200] outpatients/institution and 40% [25-50] of patients had congenital heart disease. Inpatient HF census was 3 [2-4] patients. Most programs (70%) used a consulting service model to provide HF specialty care, while only 10 (30%) utilized an inpatient HF service. Inpatient HF service programs had a higher daily inpatient census versus consult service model programs (4 [3-7] vs. 2 [1-4], respectively; p = 0.022) and had a higher number of full-time equivalents dedicated to HF (5.5 [2-7] vs. 2.5 [1-4], respectively; p = 0.024). Only 47% of programs report a general fellowship rotation devoted to HF. Advanced practice providers (APP) were utilized in 15 programs, nurse coordinators in 2, and both in 3. Most HF programs are formalized, utilize APP, and have inadequate HF staffing to utilize a separate inpatient HF service. Exposure of general pediatric cardiology fellows to HF care is variable between institutions.</t>
  </si>
  <si>
    <t>[Auerbach, Scott R.; Everitt, Melanie D.] Univ Colorado, Sch Med, Dept Pediat, Colorado Heart Inst,Div Cardiol,Childrens Hosp, Aurora, CO 80045 USA; [Butts, Ryan J.] Med Univ South Carolina, Dept Pediat, Div Cardiol, 171 Ashley Ave, Charleston, SC 29425 USA; [Rosenthal, David N.] Stanford Univ, Dept Pediat, Div Pediat Cardiol, Palo Alto, CA 94304 USA; [Law, Yuk M.] Univ Washington, Dept Pediat, Childrens Hosp, Div Cardiol, Seattle, WA 98195 USA; [Law, Yuk M.] Univ Washington, Reg Med Ctr, Seattle, WA 98195 USA</t>
  </si>
  <si>
    <t>Auerbach, SR (corresponding author), Univ Colorado, Sch Med, Dept Pediat, Colorado Heart Inst,Div Cardiol,Childrens Hosp, Aurora, CO 80045 USA.</t>
  </si>
  <si>
    <t>scott.auerbach@childrenscolorado.org</t>
  </si>
  <si>
    <t>Rosenthal, David/0000-0002-6342-2759</t>
  </si>
  <si>
    <t>0172-0643</t>
  </si>
  <si>
    <t>1432-1971</t>
  </si>
  <si>
    <t>PEDIATR CARDIOL</t>
  </si>
  <si>
    <t>Pediatr. Cardiol.</t>
  </si>
  <si>
    <t>10.1007/s00246-017-1756-9</t>
  </si>
  <si>
    <t>FV0UQ</t>
  </si>
  <si>
    <t>WOS:000424275400012</t>
  </si>
  <si>
    <t>Hanus, N; Wong-Parodi, G; Small, MJ; Grossmann, I</t>
  </si>
  <si>
    <t>Hanus, Nichole; Wong-Parodi, Gabrielle; Small, Mitchell J.; Grossmann, Iris</t>
  </si>
  <si>
    <t>The role of psychology and social influences in energy efficiency adoption</t>
  </si>
  <si>
    <t>Energy efficiency; Commercial buildings; Expert elicitation; Psychological influences; Barriers</t>
  </si>
  <si>
    <t>ELECTRICITY CONSUMPTION; CLIMATE-CHANGE; DIFFUSION; BARRIERS; FEEDBACK; IMPACT; ORGANIZATIONS; HOUSEHOLDS; BEHAVIOR; GAP</t>
  </si>
  <si>
    <t>Current energy efficiency policy and incentive programs tend to target economic motivations, which may misalign with other potentially important motivations arising from situational factors, individual differences, and social context. Thus, in this research, we review areas of work that have focused on psychological and social influences to energy efficiency adoption in commercial buildings. We then conduct an empirical scoping study interviewing 10 commercial building owners/managers (decision makers) and 10 experts/consultants (decision influencers) regarding perceived motives and barriers to energy efficient investments, decision-maker attributes, and the social context of the decision. Potential factors that emerge from the interviews, which are not yet extensively discussed in the energy efficiency literature, include owners/managers' resistance to change and the influence of investment funding origins on the decision. Our results also suggest potential heterogeneity in energy efficiency decision-making philosophies between the two groups. Interviewed owners/managers prioritize corporate social responsibility (CSR) and prefer internal consulting (e.g., building engineers). Conversely, experts/consultants do not emphasize CSR and are more concerned with external policies. These findings suggest that accounting for the decision maker and the social context in which decisions are made could enhance the design of commercial sector energy efficiency programs.</t>
  </si>
  <si>
    <t>[Hanus, Nichole; Wong-Parodi, Gabrielle; Small, Mitchell J.; Grossmann, Iris] Carnegie Mellon Univ, Dept Engn &amp; Publ Policy, 129 Baker Hall,5000 Forbes Ave, Pittsburgh, PA 15213 USA; [Small, Mitchell J.] Carnegie Mellon Univ, Civil &amp; Environm Engn, 119 Porter Hall,5000 Forbes Ave, Pittsburgh, PA 15213 USA; [Grossmann, Iris] Chatham Univ, Falk Sch Sustainabil &amp; Environm, Woodland Rd, Pittsburgh, PA 15232 USA</t>
  </si>
  <si>
    <t>Wong-Parodi, G (corresponding author), Carnegie Mellon Univ, Dept Engn &amp; Publ Policy, 129 Baker Hall,5000 Forbes Ave, Pittsburgh, PA 15213 USA.</t>
  </si>
  <si>
    <t>gwongpar@cmu.edu</t>
  </si>
  <si>
    <t>Wong-Parodi, Gabrielle/0000-0001-5207-7489</t>
  </si>
  <si>
    <t>Department of Engineering and Public Policy, Carnegie Mellon University; Emerson and Elizabeth Pugh Fund</t>
  </si>
  <si>
    <t>This study was funded by the Department of Engineering and Public Policy, Carnegie Mellon University and from the Emerson and Elizabeth Pugh Fund.</t>
  </si>
  <si>
    <t>ENERG EFFIC</t>
  </si>
  <si>
    <t>Energy Effic.</t>
  </si>
  <si>
    <t>10.1007/s12053-017-9568-6</t>
  </si>
  <si>
    <t>Green &amp; Sustainable Science &amp; Technology; Energy &amp; Fuels; Environmental Studies</t>
  </si>
  <si>
    <t>Science &amp; Technology - Other Topics; Energy &amp; Fuels; Environmental Sciences &amp; Ecology</t>
  </si>
  <si>
    <t>FT0HH</t>
  </si>
  <si>
    <t>WOS:000422803500005</t>
  </si>
  <si>
    <t>Urban resilience; Climate-related disasters; Coastal adaptation; Maladaptation; Gold Coast; Sunshine Coast</t>
  </si>
  <si>
    <t>CHANGE ADAPTATION; LOCAL-GOVERNMENT; POLICY; CHALLENGES; FRAMEWORK; VULNERABILITY; INDICATORS; MANAGEMENT; PLANNERS; BARRIERS</t>
  </si>
  <si>
    <t>[Torabi, Elnaz; Dedekorkut-Howes, Aysin; Howes, Michael] Griffith Univ, Cities Res Inst, Gold Coast Campus,Parklands Dr, Nathan, Qld 4222, Australia</t>
  </si>
  <si>
    <t>Torabi, E (corresponding author), Griffith Univ, Cities Res Inst, Gold Coast Campus,Parklands Dr, Nathan, Qld 4222, Australia.</t>
  </si>
  <si>
    <t>elnaz.torabi@griffithuni.edu.au; a.dedekorkut@griffith.edu.au; m.howes@griffith.edu.au</t>
  </si>
  <si>
    <t>FR9SZ</t>
  </si>
  <si>
    <t>PROPERTY DEVELOPMENT; POLICY MOBILITIES; KNOWLEDGE; GEOGRAPHIES; CIRCUITS; CONSULTANTS; NETWORKS; BUSINESS</t>
  </si>
  <si>
    <t>[Robin, Enora] UCL, Dept Sci Technol Engn &amp; Publ Policy, City Leadership Lab, London W1T 6EY, England; [Brill, Frances] UCL, Dept Geog, Pearson Bldg,Gower St, London WC1E 6BT, England</t>
  </si>
  <si>
    <t>Robin, E (corresponding author), UCL, Dept Sci Technol Engn &amp; Publ Policy, City Leadership Lab, London W1T 6EY, England.</t>
  </si>
  <si>
    <t>enora.robin.15@ucl.ac.uk</t>
  </si>
  <si>
    <t>Robin, Enora/0000-0002-0327-1549; Brill, Frances/0000-0002-5438-7605</t>
  </si>
  <si>
    <t>PALGR COMMUN</t>
  </si>
  <si>
    <t>Palgr. Commun.</t>
  </si>
  <si>
    <t>GP4EH</t>
  </si>
  <si>
    <t>Lyon, AR; Cook, CR; Brown, EC; Locke, J; Davis, C; Ehrhart, M; Aarons, GA</t>
  </si>
  <si>
    <t>Lyon, Aaron R.; Cook, Clayton R.; Brown, Eric C.; Locke, Jill; Davis, Chayna; Ehrhart, Mark; Aarons, Gregory A.</t>
  </si>
  <si>
    <t>Assessing organizational implementation context in the education sector: confirmatory factor analysis of measures of implementation leadership, climate, and citizenship</t>
  </si>
  <si>
    <t>IMPLEMENTATION SCIENCE</t>
  </si>
  <si>
    <t>Implementation leadership; Implementation climate; Implementation citizenship; Schools; Education; Reliability; Structural validity</t>
  </si>
  <si>
    <t>BEHAVIORAL HEALTH-SERVICES; EXPERT RECOMMENDATIONS; SCHOOLS; INTERVENTIONS; ADOLESCENTS; VALIDITY; SETTINGS; CONSULTATION; COMMUNITIES; VALIDATION</t>
  </si>
  <si>
    <t>Background: A substantial literature has established the role of the inner organizational setting on the implementation of evidence-based practices in community contexts, but very little of this research has been extended to the education sector, one of the most common settings for the delivery of mental and behavioral health services to children and adolescents. The current study examined the factor structure, psychometric properties, and interrelations of an adapted set of pragmatic organizational instruments measuring key aspects of the organizational implementation context in schools: (1) strategic implementation leadership, (2) strategic implementation climate, and (3) implementation citizenship behavior. Method: The Implementation Leadership Scale (ILS), Implementation Climate Scale (ICS), and Implementation Citizenship Behavior Scale (ICBS) were adapted by a research team that included the original scale authors and experts in the implementation of evidence-based practices in schools. These instruments were then administered to a geographically representative sample (n = 196) of school-based mental/ behavioral health consultants to assess the reliability and structural validity via a series of confirmatory factor analyses. Results: Overall, the original factor structures for the ILS, ICS, and ICBS were confirmed in the current sample. The one exception was poor functioning of the Rewards subscale of the ICS, which was removed in the final ICS model. Correlations among the revised measures, evaluated as part of an overarching model of the organizational implementation context, indicated both unique and shared variance. Conclusions: The current analyses suggest strong applicability of the revised instruments to implementation of evidencebased mental and behavioral practices in the education sector. The one poorly functioning subscale (Rewards on the ICS) was attributed to typical educational policies that do not allow for individual financial incentives to personnel. Potential directions for future expansion, revision, and application of the instruments in schools are discussed.</t>
  </si>
  <si>
    <t>[Lyon, Aaron R.; Locke, Jill; Davis, Chayna] Univ Washington, 6200 NE 74th St,Suite 100, Seattle, WA 98115 USA; [Cook, Clayton R.] Univ Minnesota, 250 Educ Sci Bldg,56 East River Rd, Minneapolis, MN 55455 USA; [Brown, Eric C.] Univ Miami, Miller Sch Med, Dept Publ Hlth Sci, 1120 NW 14th St,Off 104, Miami, FL 33136 USA; [Ehrhart, Mark] Univ Cent Florida, 4111 Pictor Lane, Orlando, FL 32816 USA; [Aarons, Gregory A.] Univ Calif San Diego, 9500 Gilman Dr 0812, La Jolla, CA 92093 USA; [Aarons, Gregory A.] Child &amp; Adolescent Serv Res Ctr, 9500 Gilman Dr 0812, La Jolla, CA 92093 USA</t>
  </si>
  <si>
    <t>Lyon, AR (corresponding author), Univ Washington, 6200 NE 74th St,Suite 100, Seattle, WA 98115 USA.</t>
  </si>
  <si>
    <t>lyona@uw.edu</t>
  </si>
  <si>
    <t>University of Washington Center for Child and Family Wellbeing; National Institute of Mental Health [K08MH095939, K01MH100199]; Institute of Education Sciences [R305A160114]; NATIONAL INSTITUTE OF MENTAL HEALTH [K08MH095939, K01MH100199] Funding Source: NIH RePORTER</t>
  </si>
  <si>
    <t>University of Washington Center for Child and Family Wellbeing; National Institute of Mental Health(United States Department of Health &amp; Human ServicesNational Institutes of Health (NIH) - USANIH National Institute of Mental Health (NIMH)); Institute of Education Sciences(US Department of EducationInstitute of Education Sciences (IES)); NATIONAL INSTITUTE OF MENTAL HEALTH(United States Department of Health &amp; Human ServicesNational Institutes of Health (NIH) - USANIH National Institute of Mental Health (NIMH))</t>
  </si>
  <si>
    <t>This publication was supported in part by funding from the University of Washington Center for Child and Family Wellbeing. Additional funding was provided by grants K08MH095939 (Lyon) and K01MH100199 (Locke) awarded from the National Institute of Mental Health, as well as R305A160114 (Lyon and Cook) awarded by the Institute of Education Sciences. The content is solely the responsibility of the authors and does not necessarily represent the official views of the National Institutes of Health or Institute of Education Sciences.</t>
  </si>
  <si>
    <t>1748-5908</t>
  </si>
  <si>
    <t>IMPLEMENT SCI</t>
  </si>
  <si>
    <t>Implement. Sci.</t>
  </si>
  <si>
    <t>JAN 8</t>
  </si>
  <si>
    <t>10.1186/s13012-017-0705-6</t>
  </si>
  <si>
    <t>FS6IS</t>
  </si>
  <si>
    <t>WOS:000419901700001</t>
  </si>
  <si>
    <t>Carbon market; China; policy impact; market efficiency; event analysis</t>
  </si>
  <si>
    <t>PILOT; DESIGN</t>
  </si>
  <si>
    <t>[Chen, Bo] Cent Univ Econ &amp; Finance, Inst Finance &amp; Econ, Beijing 100081, Peoples R China; [Bian, Chenyu] Peking Univ, Natl Sch Dev, Beijing, Peoples R China; [Shen, Wei] Inst Dev Studies, Brighton, E Sussex, England</t>
  </si>
  <si>
    <t>Chen, B (corresponding author), Cent Univ Econ &amp; Finance, Inst Finance &amp; Econ, Beijing 100081, Peoples R China.</t>
  </si>
  <si>
    <t>bchen@cufe.edu.cn</t>
  </si>
  <si>
    <t>CHIN J POPUL RESOUR</t>
  </si>
  <si>
    <t>Chin. J. Popul. Resour. Environ.</t>
  </si>
  <si>
    <t>IA8OY</t>
  </si>
  <si>
    <t>analytic neutrality; immigration; politics; transgenerational trauma</t>
  </si>
  <si>
    <t>[Starr, Karen E.] Suffolk Inst Psychotherapy &amp; Psychoanal, Boston, MA USA; [Starr, Karen E.] Training Inst Mental Hlth, New York, NY USA; [Starr, Karen E.] CUNY, Grad Ctr, New York, NY USA</t>
  </si>
  <si>
    <t>Starr, KE (corresponding author), 77 Pk Ave 1C, New York, NY 10016 USA.</t>
  </si>
  <si>
    <t>drkarenstarr@gmail.com</t>
  </si>
  <si>
    <t>PSYCHOANAL SELF CONT</t>
  </si>
  <si>
    <t>Psychoanal. Self Context</t>
  </si>
  <si>
    <t>Psychology, Psychoanalysis</t>
  </si>
  <si>
    <t>HI3DI</t>
  </si>
  <si>
    <t>Corporate benefit; mutual benefit; relational paradigm; dialogic public relations; symmetrical public relations</t>
  </si>
  <si>
    <t>[Boztepe Taskiran, Hatun] Istanbul Univ, Fac Commun, Dept Publ Relat &amp; Advertising, Istanbul, Turkey</t>
  </si>
  <si>
    <t>Boztepe Taskiran, H (corresponding author), Istanbul Univ, Fac Commun, Dept Publ Relat &amp; Advertising, Istanbul, Turkey.</t>
  </si>
  <si>
    <t>hatun.boztepe@istanbul.edu.tr</t>
  </si>
  <si>
    <t>Taşkıran, Hatun Boztepe/AAD-9080-2020</t>
  </si>
  <si>
    <t>ISTANBUL UNIV</t>
  </si>
  <si>
    <t>ISTANBUL</t>
  </si>
  <si>
    <t>VETERINER FAKULTESI, ISTANBUL, 00000, TURKEY</t>
  </si>
  <si>
    <t>CONNECTIST</t>
  </si>
  <si>
    <t>Connectist</t>
  </si>
  <si>
    <t>HF9LT</t>
  </si>
  <si>
    <t>conflict management; conflict management methods; consulting; constructive conflict; organizational environment; entrepreneurship</t>
  </si>
  <si>
    <t>[Gainetdinova, Elvira N.; Zalyaev, Rustem I.] Kazan Fed Univ, Inst Social &amp; Philosoph Sci &amp; Mass Commun, 18 Kremlyovskaya St, Kazan 420008, Russia</t>
  </si>
  <si>
    <t>Gainetdinova, EN (corresponding author), Kazan Fed Univ, Inst Social &amp; Philosoph Sci &amp; Mass Commun, 18 Kremlyovskaya St, Kazan 420008, Russia.</t>
  </si>
  <si>
    <t>respectEly@yandex.ru; rustemzalyaev@mail.ru</t>
  </si>
  <si>
    <t>MAGNANIMITAS</t>
  </si>
  <si>
    <t>HRADEC KRALOVE</t>
  </si>
  <si>
    <t>CESKOSLOVENSKE ARMADY 300, HRADEC KRALOVE, 500 03, CZECH REPUBLIC</t>
  </si>
  <si>
    <t>AD ALTA-INTERDISCIP</t>
  </si>
  <si>
    <t>AD ALTA-J. Interdiscip. Res.</t>
  </si>
  <si>
    <t>HE0NQ</t>
  </si>
  <si>
    <t>SMEs; Services; Adoption; ACTORS; ANT; EICT</t>
  </si>
  <si>
    <t>INTEGRATIVE FRAMEWORK; ORGANIZATIONAL-CHANGE; USER ACCEPTANCE; ICT; MODEL; PERSPECTIVE; MANAGEMENT; DIFFUSION; ARTIFACT</t>
  </si>
  <si>
    <t>[Eze, Sunday Chinedu] Landmark Univ, Dept Business Studies, Omu Aran, Nigeria; [Chinedu-Eze, Vera Chinwedu] Michael Okpara Univ Agr, Dept Agribusiness &amp; Management, Umuahia, Nigeria</t>
  </si>
  <si>
    <t>Eze, SC (corresponding author), Landmark Univ, Dept Business Studies, Omu Aran, Nigeria.</t>
  </si>
  <si>
    <t>eze.sunday2010@gmail.com; veradezy@hotmail.com</t>
  </si>
  <si>
    <t>Eze, Sunday/AAS-7554-2021</t>
  </si>
  <si>
    <t>Eze, Sunday/0000-0001-5707-8536</t>
  </si>
  <si>
    <t>Bottom Line</t>
  </si>
  <si>
    <t>GJ7HV</t>
  </si>
  <si>
    <t>Sustainability; Sustainable development; Adoption; Construction organizations; Conceptual model; Sustainable procurement; Organizational model</t>
  </si>
  <si>
    <t>PLS-SEM; PERSPECTIVE; DIFFUSION; BUSINESS; PROJECTS; COUNTRIES; FIRMS; TOOL; UK</t>
  </si>
  <si>
    <t>[Agbesi, Kwaku] Procurement, Social Investment Fund, Accra, Ghana; [Fugar, Frank D.; Adjei-Kumi, Theophilus] Kwame Nkrumah Univ Sci &amp; Technol, Bldg Technol, Kumasi, Ghana</t>
  </si>
  <si>
    <t>Agbesi, K (corresponding author), Procurement, Social Investment Fund, Accra, Ghana.</t>
  </si>
  <si>
    <t>gbesie@yahoo.co.uk</t>
  </si>
  <si>
    <t>GY4JZ</t>
  </si>
  <si>
    <t>Liu, LX; Zhang, M; Hendry, LC; Bu, ML; Wang, S</t>
  </si>
  <si>
    <t>Liu, Lingxuan; Zhang, Min; Hendry, Linda C.; Bu, Maoliang; Wang, Shi</t>
  </si>
  <si>
    <t>Supplier Development Practices for Sustainability: A Multi-Stakeholder Perspective</t>
  </si>
  <si>
    <t>sustainable development; supply chain management; sustainable collaboration; capacity building; stakeholder engagement; environmental NGOs</t>
  </si>
  <si>
    <t>BUYING FIRMS; MANAGEMENT; PERFORMANCE; GOVERNANCE; STRATEGY; DRIVERS; CHAINS</t>
  </si>
  <si>
    <t>Supplier development for sustainability is a critical element of sustainable supply chain management and requires extensive multi-stakeholder collaboration. This article establishes a conceptual four-stage framework to analyse the collaborative mechanisms of supplier development practices, and presents an exploratory, qualitative analysis to identify the major contributors of sustainable supplier development practices, such as NGOs, industrial associations, consulting firms etc. Based on semi-structured interviews about 63 organizations from different regions and industries, this article identifies three types of contributor: drivers, facilitators and inspectors. Instead of traditional stakeholder engagement processes, these contributors actively collaborate with buying firms and suppliers to design, implement and evaluate sustainable supplier development programs. The article then provides a matrix to describe the supply chain coverage and supplier performance of supplier development practices, given the absence or positive involvement of facilitators and inspectors. We conclude our study by suggesting future research directions as well as discussing managerial implications. Copyright (c) 2017 John Wiley &amp; Sons, Ltd and ERP Environment</t>
  </si>
  <si>
    <t>[Liu, Lingxuan; Hendry, Linda C.] Univ Lancaster, Sch Management, Lancaster, England; [Zhang, Min] Univ East Anglia, Norwich Business Sch, Norwich, Norfolk, England; [Bu, Maoliang] Nanjing Univ, Sch Business, Nanjing, Jiangsu, Peoples R China; [Bu, Maoliang] Nanjing Hopkins Ctr, Nanjing, Jiangsu, Peoples R China; [Wang, Shi] Nanjing Univ, Sch Environm, Nanjing, Jiangsu, Peoples R China</t>
  </si>
  <si>
    <t>Liu, LX (corresponding author), Univ Lancaster, Sch Management, Lancaster, England.</t>
  </si>
  <si>
    <t>lingxuan.liu@lancaster.ac.uk</t>
  </si>
  <si>
    <t>BU, Maoliang/B-3777-2008</t>
  </si>
  <si>
    <t>BU, Maoliang/0000-0002-3290-4181; Hendry, Linda/0000-0003-4186-4908</t>
  </si>
  <si>
    <t>10.1002/bse.1987</t>
  </si>
  <si>
    <t>FX1NX</t>
  </si>
  <si>
    <t>WOS:000425820100007</t>
  </si>
  <si>
    <t>Stakeholder; Case study; Social network analysis; Green building project</t>
  </si>
  <si>
    <t>SOCIAL NETWORK; MANAGEMENT; DESIGN</t>
  </si>
  <si>
    <t>[Mok, Ka Yan; Shen, Geoffrey Qiping] Hong Kong Polytech Univ, Dept Bldg &amp; Real Estate, Kowloon, Hong Kong, Peoples R China; [Yang, Rebecca] RMIT Univ, Sch Property Construct &amp; Project Management, Melbourne, Vic, Australia</t>
  </si>
  <si>
    <t>Mok, KY (corresponding author), Hong Kong Polytech Univ, Dept Bldg &amp; Real Estate, Kowloon, Hong Kong, Peoples R China.</t>
  </si>
  <si>
    <t>margaret.mok@connect.polyu.hk</t>
  </si>
  <si>
    <t>Shen, Geoffrey Qiping/A-1250-2014</t>
  </si>
  <si>
    <t>Shen, Geoffrey Qiping/0000-0002-3111-2019; Yang, Rebecca/0000-0002-0418-1967</t>
  </si>
  <si>
    <t>GX6PM</t>
  </si>
  <si>
    <t>Supplier quality development; Kano's model; order winners; critical criteria; expert ratings</t>
  </si>
  <si>
    <t>[Noshad, Khosrow] Concordia Univ, Fac Engn &amp; Comp Sci, Montreal, PQ, Canada; [Awasthi, Anjali] Concordia Univ, CIISE, Montreal, PQ, Canada</t>
  </si>
  <si>
    <t>Awasthi, A (corresponding author), Concordia Univ, CIISE, Montreal, PQ, Canada.</t>
  </si>
  <si>
    <t>awasthi@ciise.concordia.ca</t>
  </si>
  <si>
    <t>INT J MANAG SCI ENG</t>
  </si>
  <si>
    <t>Int. J. Manag. Sci. Eng. Manag.</t>
  </si>
  <si>
    <t>Operations Research &amp; Management Science</t>
  </si>
  <si>
    <t>GJ8AE</t>
  </si>
  <si>
    <t>Singer-Brodowski, M; Grossmann, K; Bartke, S; Huning, S; Weinsziehr, T; Hagemann, N</t>
  </si>
  <si>
    <t>Singer-Brodowski, Mandy; Grossmann, Katrin; Bartke, Stephan; Huning, Sandra; Weinsziehr, Theresa; Hagemann, Nina</t>
  </si>
  <si>
    <t>Competency-oriented education for sustainable development: Lessons from five courses on energy poverty</t>
  </si>
  <si>
    <t>Higher education for sustainable development; Competency development; Energy poverty; Problem- and project-based learning; Wicked-sustainability problems</t>
  </si>
  <si>
    <t>FUEL POVERTY; DEFINITIONS; CLIMATE; POLICY</t>
  </si>
  <si>
    <t>Purpose Energy poverty can be seen as a relatively new, but typical sustainability problem in which various dimensions (ecology, society and economy) are interlinked and in part conflict with each other. Moreover, the variety of involved stakeholders (planners, tenants, housing companies, private landlords, energy consultants, etc.) represents conflicting aims for solving this problem. This paper aims to present a systematic linkage between higher education for sustainable development (HESD) and education about energy poverty yet. Design/methodology/approach A qualitative comparative case study approach with a similar didactic approach is used. Findings Based on the literature about HESD and an overall model in general didactics, ten criteria were identified and used for an overall reflection about similar courses dealing with the topic of energy poverty. The criteria covered the learning goals, the didactical approaches and the institutional support in the forms of organisation in the courses. Research limitations/implications There was no competency measurement of the students in the described courses. Practical implications There was no evaluation of the development of students' key competencies for sustainability. However, the reflections of students and teachers revealed a positive development regarding the students' learning process, especially because they worked on a real-world sustainability problem: energy poverty. Originality/value This contribution describes how university courses on energy poverty were designed and implemented at five German universities. Against the background of general criteria for HESD, it reflects on the experiences that the use of this concept evoked. Through a comparison of the five courses against these criteria, the paper outlines strengths and weaknesses of the approach and closes with recommendations and requirements for designing further courses.</t>
  </si>
  <si>
    <t>[Singer-Brodowski, Mandy] Free Univ Berlin, Inst Futur, Berlin, Germany; [Grossmann, Katrin] Fachhsch Erfurt, Erfurt, Germany; [Bartke, Stephan; Hagemann, Nina] Helmholtz Zentrum Umweltforsch GmbH, Fachbereich Sozialwissensch, Leipzig, Germany; [Huning, Sandra] Tech Univ Dortmund, Dortmund, Germany; [Weinsziehr, Theresa] Univ Leipzig, Leipzig, Germany</t>
  </si>
  <si>
    <t>Hagemann, N (corresponding author), Helmholtz Zentrum Umweltforsch GmbH, Fachbereich Sozialwissensch, Leipzig, Germany.</t>
  </si>
  <si>
    <t>nina.hagemann@ufz.de</t>
  </si>
  <si>
    <t>Bartke, Stephan/W-4331-2017</t>
  </si>
  <si>
    <t>Bartke, Stephan/0000-0003-1528-3050; Huning, Sandra/0000-0002-6885-7516</t>
  </si>
  <si>
    <t>10.1108/IJSHE-12-2017-0223</t>
  </si>
  <si>
    <t>HD7CH</t>
  </si>
  <si>
    <t>WOS:000452707400009</t>
  </si>
  <si>
    <t>Sunday, CE; Vera, CCE</t>
  </si>
  <si>
    <t>Sunday, C. Eze; Vera, C. Chinedu-Eze</t>
  </si>
  <si>
    <t>Examining information and communication technology (ICT) adoption in SMEs: A dynamic capabilities approach</t>
  </si>
  <si>
    <t>Dynamic capabilities; Adoption; Emerging ICT; Small service SMEs</t>
  </si>
  <si>
    <t>INNOVATION; MODEL; INVESTMENT; BEHAVIOR; SECTOR; FUTURE</t>
  </si>
  <si>
    <t>Purpose Since the 1980s, a substantial number of theories have contributed extensively to information and communication technology (ICT) adoption. Much of such theories regarded ICT adoption as a one-off action as they specifically focus on factors affecting decision making at one decision point. They tend to play down on the fact that as adoption decision progresses through stages, they are supposedly influenced by the same or different factors. Therefore, the purpose of this paper is to examine the dynamic process of ICT adoption using the concepts of dynamic capabilities. Design/methodology/approach This study used qualitative approach to gain in-depth insight into the dynamic and evolutionary process of emerging information and communication technology (EICT) adoption in UK small service SMEs. Unstructured and semi-structured interviews were conducted in two separate rounds with 26 participants drawn from Crunch Online Data Base and Luton Business Directory. The participants were selected from a sample of 65 drawn from extended classification of professional service businesses proposed by Ramsey et al. (2008). They include managers, government agencies, SMEs consultants and IT vendors; and then purposeful random sampling and snowball sampling were used. Findings The study developed a framework from the concept of dynamic capabilities and found that using the concept of dynamic capabilities to examine the process of EICT adoption helps to unveil the recursive nature of the process and how the factors vary at both single and multiple stages of adoption. Research limitations/implications This study is limited by its focus and other factors. Studying the opinions of small service UK SMEs limits the power of generalizing the identified causal relationships; therefore, extended measures are required on accounts of environmental, cultural, geographical and sectoral differences. While some errors seemed unavoidable when measures appear subjective and prone to common error biases, the study advised on recognizing the over-riding influence of the factor(s) at each stage of the adoption process in order to be proactive in committing resources. Originality/value This work focuses on emerging ICT adoption in SMEs from the dynamic and evolutionary process perspective using the concept of dynamic capability. It advances ICT adoption research by developing a framework to depict that ICT is not a one-off event, rather it is dynamic and interactive in nature and factors influencing adoption vary from one stage or the other.</t>
  </si>
  <si>
    <t>[Sunday, C. Eze] Univ Bedfordshire, Luton, Beds, England; [Vera, C. Chinedu-Eze] Michael Okpara Univ Agr, Umudike, Umuahia, Nigeria</t>
  </si>
  <si>
    <t>Sunday, CE (corresponding author), Univ Bedfordshire, Luton, Beds, England.</t>
  </si>
  <si>
    <t>10.1108/JEIM-12-2014-0125</t>
  </si>
  <si>
    <t>FX6EV</t>
  </si>
  <si>
    <t>WOS:000426176900006</t>
  </si>
  <si>
    <t>risk assessment; risk management; public-private partnership (PPP); fuzzy analytic hierarchy process (F-AHP); China</t>
  </si>
  <si>
    <t>INFRASTRUCTURE; MODEL; PPP</t>
  </si>
  <si>
    <t>[Li, Yan; Wang, Xinyu] China Univ Min &amp; Technol, Sch Management, Xuzhou, Jiangsu, Peoples R China; [Li, Yan] Chinese Postal Serv Grp, Training Ctr, Shijiazhuang, Hebei, Peoples R China</t>
  </si>
  <si>
    <t>Wang, XY (corresponding author), China Univ Min &amp; Technol, Sch Management, Xuzhou, Jiangsu, Peoples R China.</t>
  </si>
  <si>
    <t>wangxinyu@cumt.edu.cn</t>
  </si>
  <si>
    <t>J RISK RES</t>
  </si>
  <si>
    <t>J. Risk Res.</t>
  </si>
  <si>
    <t>GR1JK</t>
  </si>
  <si>
    <t>Food industry; Survey; Environmental management; Overview</t>
  </si>
  <si>
    <t>EMPIRICAL-EVIDENCE; INDUSTRY; SYSTEMS; PERFORMANCE; IMPLEMENTATION; CONSUMPTION; WASTES</t>
  </si>
  <si>
    <t>[Ormazabal, Marta; Viles, Elisabeth; Santos, Javier; Jaca, Carmen] TECNUN, Engn Sch, Dept Ind Management, San Sebastian, Spain</t>
  </si>
  <si>
    <t>Ormazabal, M (corresponding author), TECNUN, Engn Sch, Dept Ind Management, San Sebastian, Spain.</t>
  </si>
  <si>
    <t>mormazabal@tecnun.es</t>
  </si>
  <si>
    <t>Santos, Javier/K-3571-2014; Viles, Elisabeth/J-9903-2019; Santos, Javier/M-8480-2019; Jaca, Carmen/A-2667-2013; Ormazabal, Marta/M-2395-2014; Viles, Elisabeth/H-5208-2011</t>
  </si>
  <si>
    <t>Santos, Javier/0000-0001-7612-0533; Viles, Elisabeth/0000-0002-5080-482X; Santos, Javier/0000-0001-7612-0533; Jaca, Carmen/0000-0002-8438-5387; Ormazabal, Marta/0000-0002-3602-3912; Viles, Elisabeth/0000-0002-5080-482X</t>
  </si>
  <si>
    <t>FQ4VU</t>
  </si>
  <si>
    <t>Economic evaluation; HCV; health economics; health services research; HIV; opioid use disorder; substance use disorders</t>
  </si>
  <si>
    <t>INFECTION</t>
  </si>
  <si>
    <t>[Murphy, Sean M.; Leff, Jared A.; Schackman, Bruce R.] Weill Cornell Med Coll, Dept Healthcare Policy &amp; Res, 425 East 61st St,Suite 301, New York, NY 10065 USA; [Linas, Benjamin P.] Dept Med, Boston, MA USA; [Linas, Benjamin P.; Morgan, Jake R.] Boston Med Ctr, Sect Infect Dis, Boston, MA USA; [Linas, Benjamin P.] Boston Univ, Sch Publ Hlth, Dept Epidemiol, Boston, MA USA; [McCollister, Kathryn] Univ Miami, Miller Sch Med, Dept Publ Hlth Sci, Miami, FL 33136 USA</t>
  </si>
  <si>
    <t>Murphy, SM (corresponding author), Weill Cornell Med Coll, Dept Healthcare Policy &amp; Res, 425 East 61st St,Suite 301, New York, NY 10065 USA.</t>
  </si>
  <si>
    <t>smm2010@med.cornell.edu</t>
  </si>
  <si>
    <t>Morgan, Jake R/H-3487-2019; Leff, Jared A./B-7631-2014</t>
  </si>
  <si>
    <t>Morgan, Jake R/0000-0002-1559-3983; Leff, Jared A./0000-0001-6995-6009; Murphy, Sean M./0000-0001-9104-0670</t>
  </si>
  <si>
    <t>National Institute on Drug Abuse [P30DA040500]; NATIONAL INSTITUTE ON DRUG ABUSE [P30DA040500] Funding Source: NIH RePORTER</t>
  </si>
  <si>
    <t>National Institute on Drug Abuse(United States Department of Health &amp; Human ServicesNational Institutes of Health (NIH) - USANIH National Institute on Drug Abuse (NIDA)European Commission); NATIONAL INSTITUTE ON DRUG ABUSE(United States Department of Health &amp; Human ServicesNational Institutes of Health (NIH) - USANIH National Institute on Drug Abuse (NIDA)European Commission)</t>
  </si>
  <si>
    <t>This study was supported by the National Institute on Drug Abuse (P30DA040500). The content of this article is solely the responsibility of the authors and does not necessarily represent the official views of the funding agencies or the US government.</t>
  </si>
  <si>
    <t>SUBST ABUS</t>
  </si>
  <si>
    <t>Subst. Abus.</t>
  </si>
  <si>
    <t>Substance Abuse</t>
  </si>
  <si>
    <t>HD1QS</t>
  </si>
  <si>
    <t>Green Accepted, hybrid</t>
  </si>
  <si>
    <t>China; India; Mass media; Developing countries; Public policy; Mobile communications systems</t>
  </si>
  <si>
    <t>[Simon, Jean Paul] JPS Publ Policy Consulting, Fontainebleau, France</t>
  </si>
  <si>
    <t>Simon, JP (corresponding author), JPS Publ Policy Consulting, Fontainebleau, France.</t>
  </si>
  <si>
    <t>jpsmultimedia@hotmail.com</t>
  </si>
  <si>
    <t>GY1VO</t>
  </si>
  <si>
    <t>Grassroots Innovations; Micro-Enterprises' Cluster; Sustainability</t>
  </si>
  <si>
    <t>CHALLENGES; BUSINESS</t>
  </si>
  <si>
    <t>[Lin, Yao-Chin; Chen, Wei-Hung] Yuan Ze Univ, Dept Informat Management, Taoyuan, Taiwan; [Chen, Chun-Liang] Natl Taiwan Univ Arts, Grad Sch Creat Ind Design, Taipei, Taiwan</t>
  </si>
  <si>
    <t>Lin, YC (corresponding author), Yuan Ze Univ, Dept Informat Management, Taoyuan, Taiwan.</t>
  </si>
  <si>
    <t>EUROPEAN CENTER SUSTAINABLE DEVELOPMENT</t>
  </si>
  <si>
    <t>ROME</t>
  </si>
  <si>
    <t>VIA DEI FIORI 34, ROME, 00172, ITALY</t>
  </si>
  <si>
    <t>EUR J SUSTAIN DEV</t>
  </si>
  <si>
    <t>Eur. J. Sustain. Dev.</t>
  </si>
  <si>
    <t>GV5AS</t>
  </si>
  <si>
    <t>Economic burden; Kanpur; occupational hazard; treatment</t>
  </si>
  <si>
    <t>INSURANCE</t>
  </si>
  <si>
    <t>[Kashyap, Gyan C.; Singh, Shri K.; Sharma, Santosh K.] Int Inst Populat Sci, Dept Math Demog &amp; Stat, Bombay, Maharashtra, India</t>
  </si>
  <si>
    <t>Sharma, SK (corresponding author), Int Inst Populat Sci, Govandi Stn Rd, Bombay 400088, Maharashtra, India.</t>
  </si>
  <si>
    <t>santoshiips88@gmail.com</t>
  </si>
  <si>
    <t>Sharma, Santosh/AAP-9696-2020; Sharma, Santosh/AAZ-5059-2020; Singh, Shri Kant/AGW-6277-2022</t>
  </si>
  <si>
    <t>GS7FT</t>
  </si>
  <si>
    <t>Flooding; flood management; nutrient management; integrated water resources management</t>
  </si>
  <si>
    <t>CENTRAL UNITED-STATES; RESOURCES MANAGEMENT; INFORMATION-SYSTEM; STAKEHOLDERS; ENGAGEMENT; KNOWLEDGE; SCIENCE; DESIGN; MODELS; POLICY</t>
  </si>
  <si>
    <t>[Weber, Larry J.; Muste, Marian; Bradley, A. Allen; Amado, Antonio Arenas; Demir, Ibrahim; Drake, Chad W.; Krajewski, Witold F.; Loeser, Tony J.; Politano, Marcela S.; Shea, Breanna R.; Thomas, Nicholas W.] Univ Iowa, IIHR Hydrosci &amp; Engn, 100 C Maxwell Stanley Hydraulics Lab, Iowa City, IA 52242 USA</t>
  </si>
  <si>
    <t>Weber, LJ (corresponding author), Univ Iowa, IIHR Hydrosci &amp; Engn, 100 C Maxwell Stanley Hydraulics Lab, Iowa City, IA 52242 USA.</t>
  </si>
  <si>
    <t>larry-weber@uiowa.edu</t>
  </si>
  <si>
    <t>Demir, Ibrahim/0000-0002-0461-1242; Krajewski, Witold/0000-0002-3477-9281; Bradley, Allen/0000-0002-4281-215X; weber, larry/0000-0001-7003-4714</t>
  </si>
  <si>
    <t>U.S. Department of Housing and Urban Development as part of a Disaster Recovery Enhancement Fund (DREF) grant; U.S. Army Corps of Engineers' Institute for Water Resources; U.S. Geological Survey [G15AP00041]</t>
  </si>
  <si>
    <t>U.S. Department of Housing and Urban Development as part of a Disaster Recovery Enhancement Fund (DREF) grant; U.S. Army Corps of Engineers' Institute for Water Resources; U.S. Geological Survey(United States Geological Survey)</t>
  </si>
  <si>
    <t>Funding for the Iowa Watersheds Project was provided by the U.S. Department of Housing and Urban Development as part of a Disaster Recovery Enhancement Fund (DREF) grant to the state of Iowa. Funding for the IoWaDSS platform was provided by the U.S. Army Corps of Engineers' Institute for Water Resources. The funding and extensive collaboration are greatly appreciated; this work was also supported by U.S. Geological Survey [grant number G15AP00041].</t>
  </si>
  <si>
    <t>GM7GW</t>
  </si>
  <si>
    <t>Efficiency; production; business competitiveness; new products</t>
  </si>
  <si>
    <t>[Rojo Gutierrez, Marco Antonio] Univ Int Iberoamer, Ciudad De Mexico, Campeche, Mexico; [Bonilla Jurado, Diego Mauricio; Masaquiza Caiza, Carlos Santiago] BH Consultores, Ambato, Ecuador</t>
  </si>
  <si>
    <t>Gutierrez, MAR (corresponding author), Univ Int Iberoamer, Ciudad De Mexico, Campeche, Mexico.</t>
  </si>
  <si>
    <t>marco.rojo@unini.edu.mx; administracion@bhconsultores.com; ventas@bhconsultores.com</t>
  </si>
  <si>
    <t>UNIV CIENFUEGOS</t>
  </si>
  <si>
    <t>CIENFUEGOS</t>
  </si>
  <si>
    <t>CARRETERA RODAS KM 4, CUATRO CAMINOS, CIENFUEGOS, 00000, CUBA</t>
  </si>
  <si>
    <t>REV UNIV SOC</t>
  </si>
  <si>
    <t>Rev. Univ. Soc.</t>
  </si>
  <si>
    <t>GM2EC</t>
  </si>
  <si>
    <t>Social enterprise; social entrepreneurship; conditions of social entrepreneurship development; state support; Europe; America; Asia</t>
  </si>
  <si>
    <t>[Halunko, Valentyn; Ivanyshchuk, Andriy] Res Inst Publ Law, Kiev, Ukraine; [Popovych, Tereziia] Uzhgorod Natl Univ, Dept Theory &amp; Hist State &amp; Law, Uzhgorod, Ukraine</t>
  </si>
  <si>
    <t>Halunko, V (corresponding author), Res Inst Publ Law, Kiev, Ukraine.</t>
  </si>
  <si>
    <t>halunkov@i.ua; Ivanyshchuk@i.ua; ptp@urk.net</t>
  </si>
  <si>
    <t>T.P., Попович Терезія | Popovych Tereziia | Popovych/0000-0002-8333-3921; Halunko, Valentyn/0000-0003-1619-5028</t>
  </si>
  <si>
    <t>BALTIC JOURNAL ECONOMIC STUDIES</t>
  </si>
  <si>
    <t>RIGA</t>
  </si>
  <si>
    <t>VALDEKU IELA 62-156, RIGA, LV-1058, LATVIA</t>
  </si>
  <si>
    <t>BALT J ECON STUD</t>
  </si>
  <si>
    <t>Balt. J. Econ. Stud.</t>
  </si>
  <si>
    <t>GL9YX</t>
  </si>
  <si>
    <t>Carbon market; development degree; factor analysis-analytic hierarchy process; comprehensive evaluation</t>
  </si>
  <si>
    <t>[Yi, Lan; Li, Zhaopeng; Yang, Li; Liu, Jie] Shaanxi Normal Univ, Int Business Sch, Xian 710119, Shaanxi, Peoples R China; [Packianather, Michael] Cardiff Univ, Sch Engn, Cardiff, S Glam, Wales</t>
  </si>
  <si>
    <t>yilan.china@gmail.com</t>
  </si>
  <si>
    <t>National Natural Science Foundation of China [71101133]; key program of National Social Science Foundation of China [14AZD051]; Program for New Century Excellent Talents in University [NCET-11-0725]</t>
  </si>
  <si>
    <t>National Natural Science Foundation of China(National Natural Science Foundation of China (NSFC)); key program of National Social Science Foundation of China; Program for New Century Excellent Talents in University(Program for New Century Excellent Talents in University (NCET))</t>
  </si>
  <si>
    <t>This paper is supported by National Natural Science Foundation of China Modelling Carbon Price Drivers with Optimized Smart Methods [Grant number: 71101133]; The key program of National Social Science Foundation of China Research on the maturity of China's carbon market and environmental regulation policy [Grant number: 14AZD051]; Program for New Century Excellent Talents in University Carbon finance innovation-Research on the price formation mechanism of international carbon market [Grant number: NCET-11-0725].</t>
  </si>
  <si>
    <t>GL6EI</t>
  </si>
  <si>
    <t>Decision making; IT's; e-business; Technology Management; Agricultural Value Chain</t>
  </si>
  <si>
    <t>[Rodriguez-Lemus, Claudia; Rodrigo Valencia-Perez, Luis; Pena-Aguilar, Juan Manuel] Univ Autonoma Queretaro, Santiago De Queretaro, Mexico</t>
  </si>
  <si>
    <t>Rodriguez-Lemus, C (corresponding author), Univ Autonoma Queretaro, Santiago De Queretaro, Mexico.</t>
  </si>
  <si>
    <t>claulemus@itroque.edu.mx; royvalper@hotmail.com; juan_manuelp@hotmail.com</t>
  </si>
  <si>
    <t>INST TECNOLOGICO COSTA RICA</t>
  </si>
  <si>
    <t>CARTAGO</t>
  </si>
  <si>
    <t>APDO 159, CARTAGO, 7050, COSTA RICA</t>
  </si>
  <si>
    <t>TECNOL MARCHA</t>
  </si>
  <si>
    <t>Tecnol. Marcha</t>
  </si>
  <si>
    <t>GL3MU</t>
  </si>
  <si>
    <t>Affordability; Design for homeowners' satisfaction; Design management; Homebuyers; Housing performance</t>
  </si>
  <si>
    <t>KLANG VALLEY; LIFE-CYCLE; BUILDINGS; PREFERENCES; PROJECTS; CHOICE</t>
  </si>
  <si>
    <t>[Olanrewaju, AbdulLateef; Tan, Seong Yeow] Univ Tunku Abdul Rahman, Fac Engn &amp; Green Technol, Kampar, Malaysia</t>
  </si>
  <si>
    <t>Olanrewaju, A (corresponding author), Univ Tunku Abdul Rahman, Fac Engn &amp; Green Technol, Kampar, Malaysia.</t>
  </si>
  <si>
    <t>abdullateef.olanrewaju@gmail.com</t>
  </si>
  <si>
    <t>FRGS [FRGS/1/2015/TK06/UTAR/02/2]</t>
  </si>
  <si>
    <t>FRGS</t>
  </si>
  <si>
    <t>The research presented in this paper was supported in full by a grant from the FRGS; project: Analytical Investigation of Problems in Housing Supply in Malaysia; Project number: FRGS/1/2015/TK06/UTAR/02/2.</t>
  </si>
  <si>
    <t>GL4WY</t>
  </si>
  <si>
    <t>Mukherji, A</t>
  </si>
  <si>
    <t>Mukherji, Anuradha</t>
  </si>
  <si>
    <t>Resilience at the margins: informal housing recovery in Bachhau, India, after the 2001 Gujarat quake</t>
  </si>
  <si>
    <t>INTERNATIONAL JOURNAL OF HOUSING POLICY</t>
  </si>
  <si>
    <t>informal housing; squatters; housing policy; disaster recovery; Gujarat earthquake</t>
  </si>
  <si>
    <t>DISASTER; VULNERABILITY; TURKEY; RECONSTRUCTION; SETTLEMENTS; GOVERNANCE; SQUATTERS; MUMBAI; HAZARD; WORLD</t>
  </si>
  <si>
    <t>This paper examines informal housing recovery in Bachhau, an urban centre in Kutch district close to the epicentre of the 2001 Gujarat earthquake. Unlike other impacted urban areas, an informal housing recovery programme crafted to meet land tenure and housing needs of squatter households within the town's municipal limits was planned and implemented in Bachhau. The study employs a qualitative case study approach based upon in-depth informant interviews. It examines whether the current urban housing policy paradigm of enabling governance extends to post-disaster housing recovery. The paper argues that a centralised approach to post-disaster governance was put in place after the Gujarat earthquake with State appointed local authorities leading urban reconstruction and inviting select local NGOs to work on housing recovery. In Bachhau, the selected NGO became a de facto informal consultant to the Bachhau Authority, a State appointed local body to implement urban reconstruction in the town, and eventually gatekeepers to the informal housing recovery programme. The paper concludes that although an enabling paradigm might in general dominate housing policy it can be thrown into contestation in the context of an urban disaster.</t>
  </si>
  <si>
    <t>[Mukherji, Anuradha] East Carolina Univ, Dept Geog Planning &amp; Environm, Greenville, NC 27858 USA</t>
  </si>
  <si>
    <t>Mukherji, A (corresponding author), East Carolina Univ, Dept Geog Planning &amp; Environm, Greenville, NC 27858 USA.</t>
  </si>
  <si>
    <t>mukheijia@ecu.edu</t>
  </si>
  <si>
    <t>Mukherji, Anuradha/AAL-2943-2021</t>
  </si>
  <si>
    <t>Mukherji, Anuradha/0000-0003-2315-7062</t>
  </si>
  <si>
    <t>1949-1247</t>
  </si>
  <si>
    <t>1949-1255</t>
  </si>
  <si>
    <t>INT J HOUS POLICY</t>
  </si>
  <si>
    <t>Int. J. Hous. Policy</t>
  </si>
  <si>
    <t>10.1080/14616718.2016.1219648</t>
  </si>
  <si>
    <t>GK9BO</t>
  </si>
  <si>
    <t>WOS:000436531700005</t>
  </si>
  <si>
    <t>Water scarcity; water sustainability index (WSI); office buildings; WSIOC</t>
  </si>
  <si>
    <t>MANAGEMENT</t>
  </si>
  <si>
    <t>[Chandra, Gaurav] Dr Ambedkar Inst Technol Handicapped, Dept Architecture, Kanpur 208024, Uttar Pradesh, India; [Chakraborty, Manjari] Birla Inst Technol, Dept Architecture, Ranchi 835215, Jharkhand, India; [Sinha, A. K.] Birla Inst Technol, Dept Civil Engn, Ranchi 835215, Jharkhand, India</t>
  </si>
  <si>
    <t>Chandra, G (corresponding author), Dr Ambedkar Inst Technol Handicapped, Dept Architecture, Kanpur 208024, Uttar Pradesh, India.</t>
  </si>
  <si>
    <t>gauravchandra1@gmail.com</t>
  </si>
  <si>
    <t>ASIAN J WATER ENVIRO</t>
  </si>
  <si>
    <t>Asian J. Water Environ. Pollut.</t>
  </si>
  <si>
    <t>GG0KO</t>
  </si>
  <si>
    <t>British Plant Communities; ecological research; environmental impact assessment; monitoring; nature protection; progress reports; resource inventory; United Kingdom; users' manual; vegetation mapping</t>
  </si>
  <si>
    <t>GRASSLANDS</t>
  </si>
  <si>
    <t>Rodwell, JS (corresponding author), 7 Derwent Rd, Lancaster LA1 3ES, England.</t>
  </si>
  <si>
    <t>johnrodwell@tiscali.co.uk</t>
  </si>
  <si>
    <t>GEBRUDER BORNTRAEGER</t>
  </si>
  <si>
    <t>STUTTGART</t>
  </si>
  <si>
    <t>JOHANNESSTR 3A, D-70176 STUTTGART, GERMANY</t>
  </si>
  <si>
    <t>Phytocoenologia</t>
  </si>
  <si>
    <t>Plant Sciences; Ecology</t>
  </si>
  <si>
    <t>Plant Sciences; Environmental Sciences &amp; Ecology</t>
  </si>
  <si>
    <t>GE5NE</t>
  </si>
  <si>
    <t>geopolitics; global exigency; negotiations; climate change; tropical deforestation; carbon markets</t>
  </si>
  <si>
    <t>CLIMATE-CHANGE; SCIENCE</t>
  </si>
  <si>
    <t>[Ehrenstein, Vera] Goldsmiths Univ London, Dept Sociol, London SE14 6NW, England</t>
  </si>
  <si>
    <t>Ehrenstein, V (corresponding author), Goldsmiths Univ London, Dept Sociol, London SE14 6NW, England.</t>
  </si>
  <si>
    <t>v.ehrenstein@gold.ac.uk</t>
  </si>
  <si>
    <t>European Research Council [313173]</t>
  </si>
  <si>
    <t>European Research Council(European Research Council (ERC)European Commission)</t>
  </si>
  <si>
    <t>The paper has been written thanks to a European Research Council grant [no. 313173] held by Daniel Neyland.</t>
  </si>
  <si>
    <t>ECON SOC</t>
  </si>
  <si>
    <t>Econ. Soc.</t>
  </si>
  <si>
    <t>Economics; Sociology</t>
  </si>
  <si>
    <t>Business &amp; Economics; Sociology</t>
  </si>
  <si>
    <t>GE9HM</t>
  </si>
  <si>
    <t>Mariano, S</t>
  </si>
  <si>
    <t>Mariano, Stefania</t>
  </si>
  <si>
    <t>Initiating, challenging and improving knowledge in organizational contexts</t>
  </si>
  <si>
    <t>MANAGEMENT RESEARCH REVIEW</t>
  </si>
  <si>
    <t>Case study; Organizational knowledge; Knowledge processes; Knowledge management; Artifacts; Information and knowledge management; Organizational processes</t>
  </si>
  <si>
    <t>SUSTAINED COMPETITIVE ADVANTAGE; FUTURE-RESEARCH DIRECTIONS; INTEGRATIVE FRAMEWORK; MANAGEMENT RESEARCH; MANAGING KNOWLEDGE; DYNAMIC THEORY; ROUTINES; MEMORY; CAPABILITIES; TECHNOLOGY</t>
  </si>
  <si>
    <t>Purpose The purpose of this study is to investigate how organizational knowledge interacts with artifacts and what determinants, driving processes and outcomes govern these interactions in organizational contexts. Design/methodology/approach A case study is used and data collected is from a US engineering and consulting company. Findings Findings suggested three major driving processes specifically initiating, challenging and improving and several related determinants and outcomes that governed the interaction between organizational knowledge and artifacts over time. Research limitations/implications This study has limitations related to the nature and dimension of the case selected. Practical implications This study provides a means to explain how organizations hold existing knowledge and what determinants, driving processes and outcomes govern the interactions between knowledge and artifacts to assist managerial practices and improve performance. Originality/value This paper contributes to the current debate on organizational knowledge and provides some empirical evidence of how knowledge interacts with artifacts in organizational contexts.</t>
  </si>
  <si>
    <t>[Mariano, Stefania] Bangkok Univ, IKI SEA, Management, Bangkok, Thailand</t>
  </si>
  <si>
    <t>Mariano, S (corresponding author), Bangkok Univ, IKI SEA, Management, Bangkok, Thailand.</t>
  </si>
  <si>
    <t>stefania.m@bu.ac.th</t>
  </si>
  <si>
    <t>Mariano, Stefania/AAD-4763-2021</t>
  </si>
  <si>
    <t>Mariano, Stefania/0000-0003-2138-0172</t>
  </si>
  <si>
    <t>2040-8269</t>
  </si>
  <si>
    <t>2040-8277</t>
  </si>
  <si>
    <t>MANAG RES REV</t>
  </si>
  <si>
    <t>Manag. Res. Rev.</t>
  </si>
  <si>
    <t>10.1108/MRR-02-2017-0028</t>
  </si>
  <si>
    <t>GC8AH</t>
  </si>
  <si>
    <t>WOS:000430014800001</t>
  </si>
  <si>
    <t>sustainable supply chain; multicriteria decision-making; sustainability; supply chain management; green supply chain management; DEMATEL; barriers</t>
  </si>
  <si>
    <t>ISM APPROACH; INSTITUTIONAL PRESSURES; PERFORMANCE-MEASUREMENT; REVERSE LOGISTICS; HIERARCHY PROCESS; GSCM PRACTICES; FUZZY DEMATEL; LOW-CARBON; DRIVERS; INITIATIVES</t>
  </si>
  <si>
    <t>[Kaur, Jasneet; Sidhu, Ramneet] Concordia Univ, Fac Engn &amp; Comp Sci, CIISE EV 8 210, Montreal, PQ, Canada; [Awasthi, Anjali] Concordia Univ, Fac Engn &amp; Comp Sci, CIISE EV 7 636, Montreal, PQ, Canada; [Chauhan, Satyaveer; Goyal, Suresh] JMSB Concordia Univ, Supply Chain &amp; Business Technol Management, Montreal, PQ, Canada</t>
  </si>
  <si>
    <t>Awasthi, A (corresponding author), Concordia Univ, Fac Engn &amp; Comp Sci, CIISE EV 7 636, Montreal, PQ, Canada.</t>
  </si>
  <si>
    <t>chauhan, satyaveer/0000-0003-0820-2849</t>
  </si>
  <si>
    <t>INT J PROD RES</t>
  </si>
  <si>
    <t>Int. J. Prod. Res.</t>
  </si>
  <si>
    <t>Engineering, Industrial; Engineering, Manufacturing; Operations Research &amp; Management Science</t>
  </si>
  <si>
    <t>GB2CS</t>
  </si>
  <si>
    <t>civil engineering curriculum; capstone design course; program accreditation; course objectives; outcome assessment</t>
  </si>
  <si>
    <t>PROJECTS</t>
  </si>
  <si>
    <t>[Padmanabhan, G.; Katti, Dinesh; Khan, Eakalak; Peloubet, Francis] North Dakota State Univ, Dept Civil &amp; Environm Engn, Fargo, ND 58105 USA; [Peloubet, Francis] North Dakota State Univ, Hist Technol &amp; Impact Technol Soc, Fargo, ND USA; [Leelaruban, Navaratnam] Moore Engn Inc, West Fargo, ND USA</t>
  </si>
  <si>
    <t>Padmanabhan, G (corresponding author), North Dakota State Univ, Dept Civil &amp; Environm Engn, Fargo, ND 58105 USA.</t>
  </si>
  <si>
    <t>g.padmanabhan@ndus.edu</t>
  </si>
  <si>
    <t>INT J ENG PEDAGOG</t>
  </si>
  <si>
    <t>Int. J. Eng. Pedagog.</t>
  </si>
  <si>
    <t>Education, Scientific Disciplines</t>
  </si>
  <si>
    <t>GB0DW</t>
  </si>
  <si>
    <t>interaction with state bodies; Government Relations; GR-management; lobbying; policy and corporate governance cycles; corporate and functional management strategies; phases of cross-sectoral (cross-areal) GR-management</t>
  </si>
  <si>
    <t>[Degtyarev, A. A.; Bondarev, M. D.; Teteryuk, A. S.] Minist Foreign Affairs Russia, Moscow State Inst Int Relat Univ, Moscow, Russia</t>
  </si>
  <si>
    <t>Degtyarev, AA (corresponding author), Minist Foreign Affairs Russia, Moscow State Inst Int Relat Univ, Moscow, Russia.</t>
  </si>
  <si>
    <t>andrew.a.degtyarev@gmail.com</t>
  </si>
  <si>
    <t>MGIMO UNIV PRESS</t>
  </si>
  <si>
    <t>PROSPEKT VERNADSKOGO, 76, MOSCOW, 119454, RUSSIA</t>
  </si>
  <si>
    <t>MGIMO REV INT RELAT</t>
  </si>
  <si>
    <t>MGIMO Rev. Int. Relat.</t>
  </si>
  <si>
    <t>GA2YV</t>
  </si>
  <si>
    <t>Welfare; Big data</t>
  </si>
  <si>
    <t>COPRODUCTION</t>
  </si>
  <si>
    <t>[Pedersen, John Storm] Univ Southern Denmark, Dept Sociol, Esbjerg, Denmark; [Wilkinson, Adrian] Griffith Univ, Griffith Business Sch, Nathan, Qld, Australia</t>
  </si>
  <si>
    <t>Wilkinson, A (corresponding author), Griffith Univ, Griffith Business Sch, Nathan, Qld, Australia.</t>
  </si>
  <si>
    <t>adrian.wilkinson@griffith.edu.au</t>
  </si>
  <si>
    <t>INT J SOCIOL SOC POL</t>
  </si>
  <si>
    <t>Int. J. Sociol. Soc. Policy</t>
  </si>
  <si>
    <t>FY5OO</t>
  </si>
  <si>
    <t>Green Accepted, Green Submitted, Green Published</t>
  </si>
  <si>
    <t>Small-to-medium-sized enterprises; Capacity building; Needs; Building contractors; Factorial</t>
  </si>
  <si>
    <t>PROBLEMS FACING SMALL; SMES; MANAGEMENT; SURVIVAL</t>
  </si>
  <si>
    <t>[Asante, Joseph] Sunyani Polytech, Sunyani, Ghana; [Kissi, Ernest] Kwame Nkrumah Univ Sci &amp; Technol, Kumasi, Ghana; [Badu, Edward] Kwame Nkrumah Univ Sci &amp; Technol, Dept Bldg Technol, Kumasi, Ghana</t>
  </si>
  <si>
    <t>Kissi, E (corresponding author), Kwame Nkrumah Univ Sci &amp; Technol, Kumasi, Ghana.</t>
  </si>
  <si>
    <t>joeasante73@gmail.com; kisernest@gmail.com; edwardbadu@yahoo.com</t>
  </si>
  <si>
    <t>BENCHMARKING</t>
  </si>
  <si>
    <t>Benchmarking</t>
  </si>
  <si>
    <t>FY0VO</t>
  </si>
  <si>
    <t>ROOFS; GENERATION; RADIATION; GIS</t>
  </si>
  <si>
    <t>[Yousuf, Muhammad Uzair; Siddiqui, Mubashir; Rehman, Naveed Ur] NED Univ Engn &amp; Technol, Dept Mech Engn, Solar Energy Lab, Karachi, Pakistan</t>
  </si>
  <si>
    <t>Siddiqui, M (corresponding author), NED Univ Engn &amp; Technol, Dept Mech Engn, Solar Energy Lab, Karachi, Pakistan.</t>
  </si>
  <si>
    <t>mubashir@neduet.edu.pk</t>
  </si>
  <si>
    <t>AMER INST PHYSICS</t>
  </si>
  <si>
    <t>MELVILLE</t>
  </si>
  <si>
    <t>1305 WALT WHITMAN RD, STE 300, MELVILLE, NY 11747-4501 USA</t>
  </si>
  <si>
    <t>J RENEW SUSTAIN ENER</t>
  </si>
  <si>
    <t>J. Renew. Sustain. Energy</t>
  </si>
  <si>
    <t>FX4HE</t>
  </si>
  <si>
    <t>India; Critical success factors; AHP; Public-private partnerships; Urban drinking water</t>
  </si>
  <si>
    <t>PUBLIC-PRIVATE PARTNERSHIP; CRITICAL SUCCESS FACTORS; ANALYTIC HIERARCHY PROCESS; RISK ALLOCATION; SUPPLY PROJECTS; PRIVATISATION; PERSPECTIVE; CHINA</t>
  </si>
  <si>
    <t>[Swamy, Raghu Rama D. T. V.; Sawhney, Anil] Amity Univ, RICS Sch Built Environm, Noida, India; [Tiwari, Piyush] Univ Melbourne, Fac Architecture Bldg &amp; Planning, Melbourne, Vic, Australia</t>
  </si>
  <si>
    <t>Swamy, RRDTV (corresponding author), Amity Univ, RICS Sch Built Environm, Noida, India.</t>
  </si>
  <si>
    <t>dtvraghu@gmail.com</t>
  </si>
  <si>
    <t>FV3JK</t>
  </si>
  <si>
    <t>Nudging; paternalism; applied economics; risk preferences; investment choices</t>
  </si>
  <si>
    <t>PROSPECT-THEORY</t>
  </si>
  <si>
    <t>[Harrison, Glenn W.] Georgia State Univ, Dept Risk Management &amp; Insurance, Robinson Coll Business, Atlanta, GA 30303 USA; [Harrison, Glenn W.; Ross, Don] Georgia State Univ, Ctr Econ Anal Risk, Robinson Coll Business, Atlanta, GA 30303 USA; [Harrison, Glenn W.; Ross, Don] Univ Cape Town, Sch Econ, Cape Town, South Africa; [Ross, Don] Univ Coll Cork, Sch Sociol &amp; Philosophy, Cork, Ireland</t>
  </si>
  <si>
    <t>Ross, D (corresponding author), Georgia State Univ, Ctr Econ Anal Risk, Robinson Coll Business, Atlanta, GA 30303 USA.;Ross, D (corresponding author), Univ Cape Town, Sch Econ, Cape Town, South Africa.;Ross, D (corresponding author), Univ Coll Cork, Sch Sociol &amp; Philosophy, Cork, Ireland.</t>
  </si>
  <si>
    <t>don.ross@uct.ac.za</t>
  </si>
  <si>
    <t>J ECON METHODOL</t>
  </si>
  <si>
    <t>J. Econ. Methodol.</t>
  </si>
  <si>
    <t>FV0OI</t>
  </si>
  <si>
    <t>Mulcair, G; Pietranton, AA; Williams, C</t>
  </si>
  <si>
    <t>Mulcair, Gail; Pietranton, Arlene A.; Williams, Cori</t>
  </si>
  <si>
    <t>The International Communication Project: Raising global awareness of communication as a human right</t>
  </si>
  <si>
    <t>INTERNATIONAL JOURNAL OF SPEECH-LANGUAGE PATHOLOGY</t>
  </si>
  <si>
    <t>Article 19; United Nations; Universal Declaration of Human Rights; speech-language pathology; audiology; communication rights; World Health Organization; World Bank</t>
  </si>
  <si>
    <t>SUSTAINABLE DEVELOPMENT GOALS</t>
  </si>
  <si>
    <t>Communication as a human right is embedded within Article 19 of the Universal Declaration of Human Rights; however, there is a need to raise global awareness of the communication needs of those with communication disorders. In 2014, the six national speech-language and audiology professional bodies that comprise the Mutual Recognition Agreement (MRA) launched the International Communication Project (ICP) to help raise awareness of communication disorders around the world. Since its inception, the project has engaged close to 50 organisations from diverse regions, and has undertaken a number of initiatives, including development of the Universal Declaration of Communication Rights. A consultancy report was commissioned to inform ICP efforts to influence international policy bodies. As a result, the current focus of the ICP is to identify opportunities to influence the policies of organisations such as the World Health Organization, the United Nations and World Bank to more explicitly acknowledge and address communication as a human right. This commentary paper describes the work of the ICP to date, with an emphasis on the place of communication disorders in current international policy and potential pathways for advocacy.</t>
  </si>
  <si>
    <t>[Mulcair, Gail; Williams, Cori] Speech Pathol Australia, Level 1,114 William St, Melbourne, Vic 3000, Australia; [Pietranton, Arlene A.] Amer Speech Language Hearing Assoc, Rockville, MD USA</t>
  </si>
  <si>
    <t>Williams, C (corresponding author), Speech Pathol Australia, Level 1,114 William St, Melbourne, Vic 3000, Australia.</t>
  </si>
  <si>
    <t>ebp@speechpathologyaustralia.org.au</t>
  </si>
  <si>
    <t>1754-9507</t>
  </si>
  <si>
    <t>1754-9515</t>
  </si>
  <si>
    <t>INT J SPEECH-LANG PA</t>
  </si>
  <si>
    <t>Int. J. Speech-Lang. Pathol.</t>
  </si>
  <si>
    <t>10.1080/17549507.2018.1422023</t>
  </si>
  <si>
    <t>Audiology &amp; Speech-Language Pathology; Linguistics; Rehabilitation</t>
  </si>
  <si>
    <t>FX0XR</t>
  </si>
  <si>
    <t>WOS:000425771500007</t>
  </si>
  <si>
    <t>Urban resilience; urban governance; global resilience complex; Rockefeller 100 Resilient Cities Program</t>
  </si>
  <si>
    <t>[Leitner, Helga; Sheppard, Eric; Colven, Emma] Univ Calif Los Angeles, Dept Geog, Los Angeles, CA 90024 USA; [Webber, Sophie] Univ Sydney, Dept Geog, Sydney, NSW, Australia</t>
  </si>
  <si>
    <t>Leitner, H (corresponding author), Univ Calif Los Angeles, Dept Geog, Los Angeles, CA 90024 USA.</t>
  </si>
  <si>
    <t>hleitner@geog.ucla.edu</t>
  </si>
  <si>
    <t>Colven, Emma/N-2582-2019; Sheppard, Eric/U-4097-2019</t>
  </si>
  <si>
    <t>Colven, Emma/0000-0002-4072-6303; Sheppard, Eric/0000-0002-6635-0965; Webber, Sophie/0000-0002-7597-4622</t>
  </si>
  <si>
    <t>National Science Foundation, Directorate for Social, Behavioral and Economic Sciences [BCS-1636437]</t>
  </si>
  <si>
    <t>National Science Foundation, Directorate for Social, Behavioral and Economic Sciences(National Science Foundation (NSF))</t>
  </si>
  <si>
    <t>This work was supported by the National Science Foundation, Directorate for Social, Behavioral and Economic Sciences [BCS-1636437];</t>
  </si>
  <si>
    <t>URBAN GEOGR</t>
  </si>
  <si>
    <t>Urban Geogr.</t>
  </si>
  <si>
    <t>Geography; Urban Studies</t>
  </si>
  <si>
    <t>GU1FX</t>
  </si>
  <si>
    <t>Sinclair, D; Jayawardena, C; Teare, R</t>
  </si>
  <si>
    <t>Sinclair, Donald; Jayawardena, Chandana (Chandi); Teare, Richard</t>
  </si>
  <si>
    <t>Reflections on the theme issue outcomes: What innovative strategies are needed to develop tourism in Guyana for 2025? CONCLUSION</t>
  </si>
  <si>
    <t>WORLDWIDE HOSPITALITY AND TOURISM THEMES</t>
  </si>
  <si>
    <t>Community tourism; Amazon; Dark tourism; Guyana; Policy &amp; tourism planning</t>
  </si>
  <si>
    <t>Purpose Profiles the WHATT theme issue What innovative strategies are needed to develop tourism in Guyana for 2025?' with reference to the experiences of the theme theme editors and writing team. Design/methodology/approach Uses structured questions to enable the theme editors to reflect on the rationale for the theme issue question, the starting-point, the selection of the writing team and material and the editorial process. Findings Examines the past and current state of tourism from the standpoint of a number of sector components - community-based tourism, policy, human resources, entrepreneurship among others; assesses the local and global environment impacting upon the development of the industry and explores what the theme editors regard as viable paths to a tourism sector in the year 2025. Practical implications This theme issue has a number of practical implications. Scholars and researchers may be inspired to undertake comparative studies of the trajectories of tourism development observed in emergent tourism destinations like Guyana. Those who work in tourism planning and administration will find the retrospections and proposals made of considerable value, even as those, in some cases, provoke lively debate. Originality/value This theme issue adds to the growing corpus of research and writing that focuses upon the Caribbean. While the Caribbean as a whole, or individual States, may have been the subject of research, there has been comparatively little written about Guyana as a tourism destination. This gradual increase in scholarly interest may indeed parallel the growth of the tourism industry in Guyana itself. The raft of consultants' reports is now enriched and diversified in this theme issue that asks the hard questions and makes bold proposals.</t>
  </si>
  <si>
    <t>[Sinclair, Donald] Minist Business, Dept Tourism, Georgetown, Guyana; [Jayawardena, Chandana (Chandi)] Chandi J Associates Inc Consulting, St Catharines, ON, Canada; [Teare, Richard] Worldwide Hospitality &amp; Tourism Themes, St Catharines, ON, Canada</t>
  </si>
  <si>
    <t>Teare, R (corresponding author), Worldwide Hospitality &amp; Tourism Themes, St Catharines, ON, Canada.</t>
  </si>
  <si>
    <t>whatt@gullonline.org</t>
  </si>
  <si>
    <t>1755-4217</t>
  </si>
  <si>
    <t>1755-4225</t>
  </si>
  <si>
    <t>WORLDW HOSP TOUR THE</t>
  </si>
  <si>
    <t>Worldw. Hosp. Tour. Themes</t>
  </si>
  <si>
    <t>10.1108/WHATT-06-2018-0040</t>
  </si>
  <si>
    <t>GY7SD</t>
  </si>
  <si>
    <t>WOS:000448813500010</t>
  </si>
  <si>
    <t>Biosecurity partnerships; Agricultural innovation systems; Functions of innovation systems; Fruit fly; Trade; Crop protection</t>
  </si>
  <si>
    <t>INNOVATION SYSTEMS; DAIRY DEVELOPMENT; FRUIT-FLY; AUSTRALIA; OPPORTUNITIES; PERSPECTIVE; CONSTRAINTS; CHALLENGES; PROGRAM</t>
  </si>
  <si>
    <t>[Kruger, Heleen] Australian Natl Univ, Sch Sociol, Res Sch Social Sci, COP1128,Copland Bldg 24, Acton, ACT 2601, Australia</t>
  </si>
  <si>
    <t>Kruger, H (corresponding author), Australian Natl Univ, Sch Sociol, Res Sch Social Sci, COP1128,Copland Bldg 24, Acton, ACT 2601, Australia.</t>
  </si>
  <si>
    <t>heleen.kruser@anu.edu.au</t>
  </si>
  <si>
    <t>Kruger, Heleen/0000-0002-7312-4624</t>
  </si>
  <si>
    <t>Australian Government's Cooperative Research Centres Program</t>
  </si>
  <si>
    <t>Australian Government's Cooperative Research Centres Program(Australian GovernmentDepartment of Industry, Innovation and ScienceCooperative Research Centres (CRC) Programme)</t>
  </si>
  <si>
    <t>The author would like to acknowledge the support of the Australian Government's Cooperative Research Centres Program. I am grateful to all interviewees and survey participants for their participation. Many thanks to my supervisors for feedback and suggestions, including Prof Darren Halpin (Australian National University), Prof Rolf Gerritsen (Charles Darwin University) and Dr Susie Collins (Australian Government Department of Agriculture and Water Resources (DAWR)). I am most indebted to Dr Pat Barclay for her considered feedback. Thank you to Dr Craig Hull (DAWR) for constructive suggestions. My gratitude also goes to the two anonymous reviewers who provided valuable suggestions to strengthen this article.</t>
  </si>
  <si>
    <t>ROYAL NETHERLANDS SOC AGR SCI</t>
  </si>
  <si>
    <t>WAGENINGEN</t>
  </si>
  <si>
    <t>POSTBOX 79, 6700 WAGENINGEN, NETHERLANDS</t>
  </si>
  <si>
    <t>NJAS-WAGEN J LIFE SC</t>
  </si>
  <si>
    <t>NJAS-Wagen. J. Life Sci.</t>
  </si>
  <si>
    <t>GP4YD</t>
  </si>
  <si>
    <t>Prioritizing Effective Factors; Delays in Reservoirs Construction; Concrete Reservoirs of Drinking Water; AHP</t>
  </si>
  <si>
    <t>[Feyzbakhsh, Shahdad; Lork, Ali Reza] Islamic Azad Univ, Safadasht Branch, Dept Civil Engn, Tehran, Iran; [Telvari, Abdolrasul] Islamic Azad Univ, Ahvaz Branch, Dept Civil Engn, Ahvaz, Iran</t>
  </si>
  <si>
    <t>Telvari, A (corresponding author), Islamic Azad Univ, Ahvaz Branch, Dept Civil Engn, Ahvaz, Iran.</t>
  </si>
  <si>
    <t>Artelvari@iauahvaz.ac.ir</t>
  </si>
  <si>
    <t>FV4CP</t>
  </si>
  <si>
    <t>Public deliberation; Breastfeeding; Community-based participatory research; Health communication</t>
  </si>
  <si>
    <t>PARTICIPATORY COMMUNICATION</t>
  </si>
  <si>
    <t>[Anderson, Jenn; Kuehl, Rebecca A.; Tschetter, Lois] South Dakota State Univ, 115K Pugsley Ctr, Brookings, SD 57007 USA; [Drury, Sara A. Mehltretter] Wabash Coll, Crawfordsville, IN 47933 USA; [Schwaegerl, Mary; Yoder, Julia] Brookings Hlth Syst, Brookings, SD USA; [Gullickson, Heidi; Lamp, Jamison] Brookings Area Chamber Commerce, Brookings, SD USA</t>
  </si>
  <si>
    <t>Anderson, J (corresponding author), South Dakota State Univ, 115K Pugsley Ctr, Brookings, SD 57007 USA.</t>
  </si>
  <si>
    <t>Jennifer.Anderson@sdstate.edu</t>
  </si>
  <si>
    <t>Anderson, Jenn/0000-0002-2881-3703</t>
  </si>
  <si>
    <t>Bush Foundation</t>
  </si>
  <si>
    <t>This project was supported by a 2014 Community Innovation grant from the Bush Foundation (no grant number available).</t>
  </si>
  <si>
    <t>TRANSL BEHAV MED</t>
  </si>
  <si>
    <t>Transl. Behav. Med.</t>
  </si>
  <si>
    <t>FR2JU</t>
  </si>
  <si>
    <t>Green Published, Green Submitted</t>
  </si>
  <si>
    <t>Design parameters; Energy; Near zero energy house; Tropical climates</t>
  </si>
  <si>
    <t>[Latief, Yusuf; Berawi, Mohammed Ali; Riantini, Leni Sagita; Petroceany, Jade Sjafrecia] Univ Indonesia, Civil Engn Dept, Fac Engn, Depok, Indonesia; [Koesalamwardi, Ario Bintang] Univ Agung Podomoro, Construct Engn &amp; Management, Fac Engn, Jakarta, Indonesia</t>
  </si>
  <si>
    <t>Latief, Y (corresponding author), Univ Indonesia, Civil Engn Dept, Fac Engn, Depok, Indonesia.</t>
  </si>
  <si>
    <t>latief73@eng.ui.ac.id</t>
  </si>
  <si>
    <t>Berawi, Mohammed Ali/0000-0002-4781-7494; Latief, Yusuf/0000-0001-8373-9676; Machfudiyanto, Rossy Armyn/0000-0002-6032-2744</t>
  </si>
  <si>
    <t>Ministry of Research, Technology and Higher Education Republic of Indonesia (Kemenristekdikti) [1181/UN2.R12/HKP.05.00/2016]</t>
  </si>
  <si>
    <t>Ministry of Research, Technology and Higher Education Republic of Indonesia (Kemenristekdikti)</t>
  </si>
  <si>
    <t>The authors would like to acknowledge a research grant from Ministry of Research, Technology and Higher Education Republic of Indonesia (Kemenristekdikti) for the funding support of the research project (Hibah Penelitian Unggulan Perguruan Tinggi 2016 Nomor: 1181/UN2.R12/HKP.05.00/2016).</t>
  </si>
  <si>
    <t>UNIV INDONESIA</t>
  </si>
  <si>
    <t>DEPOK</t>
  </si>
  <si>
    <t>DIRECTORATE RESEARCH &amp; PUBLIC SERV, UI CAMPUS, KAMOUS UNIV INDONESIA, DEPOK, 16424, INDONESIA</t>
  </si>
  <si>
    <t>INT J TECHNOL</t>
  </si>
  <si>
    <t>Int. J. Technol.</t>
  </si>
  <si>
    <t>FR0FO</t>
  </si>
  <si>
    <t>Political ecology; Resource conflict; Environmental impact assessment; Mining; Small-scale mining; Artisanal gold mining; Resource geography; Power relations; Techno-politics, hegemony</t>
  </si>
  <si>
    <t>MERCURY MANAGEMENT; ZIMBABWE; GOLD; CONSERVATION; LIVELIHOODS; VIOLENCE; HEGEMONY; SECTOR; AFRICA; GHANA</t>
  </si>
  <si>
    <t>[Spiegel, Samuel J.] Univ Edinburgh, Sch Social &amp; Polit Sci, Edinburgh, Midlothian, Scotland</t>
  </si>
  <si>
    <t>Spiegel, SJ (corresponding author), Univ Edinburgh, Sch Social &amp; Polit Sci, Edinburgh, Midlothian, Scotland.</t>
  </si>
  <si>
    <t>sam.spiegel@ed.ac.uk</t>
  </si>
  <si>
    <t>Spiegel, Samuel/0000-0003-2163-3512</t>
  </si>
  <si>
    <t>ESRC (Economic and Social Research Council) Future Research Leader Award; University of Edinburgh; ESRC [ES/N006240/1] Funding Source: UKRI; Economic and Social Research Council [ES/N006240/1] Funding Source: researchfish</t>
  </si>
  <si>
    <t>ESRC (Economic and Social Research Council) Future Research Leader Award(UK Research &amp; Innovation (UKRI)Economic &amp; Social Research Council (ESRC)); University of Edinburgh; ESRC(UK Research &amp; Innovation (UKRI)Economic &amp; Social Research Council (ESRC)); Economic and Social Research Council(UK Research &amp; Innovation (UKRI)Economic &amp; Social Research Council (ESRC))</t>
  </si>
  <si>
    <t>I would like to express thanks to the large number of people who participated in this research and numerous people who shared comments and encouragement on various earlier iterations of this work. Particular thanks go to three anonymous peer reviewers for Geoforum as well as Padraig Carmody for their very helpful insights and feedback. This study was supported by an ESRC (Economic and Social Research Council) Future Research Leader Award as well as funding from the University of Edinburgh, for which I am also grateful.</t>
  </si>
  <si>
    <t>FQ2UQ</t>
  </si>
  <si>
    <t>SUSTAINABILITY TRANSITIONS; URBAN SUSTAINABILITY; CHANGE ADAPTATION; GOVERNANCE; CITIES; INFRASTRUCTURE; MANAGEMENT; PATHWAYS; POLICY; SPACE</t>
  </si>
  <si>
    <t>[Hjerpe, Mattias; Glaas, Erik] Linkoping Univ, Dept Themat Studies Environm Change, Ctr Climate Sci &amp; Policy Res, SE-58183 Linkoping, Sweden; [Fenton, Paul] Linkoping Univ, Div Environm Technol &amp; Management, SE-58183 Linkoping, Sweden</t>
  </si>
  <si>
    <t>Hjerpe, M (corresponding author), Linkoping Univ, Dept Themat Studies Environm Change, Ctr Climate Sci &amp; Policy Res, SE-58183 Linkoping, Sweden.</t>
  </si>
  <si>
    <t>mattias.hjerpe@liu.se</t>
  </si>
  <si>
    <t>Norrkoping Research and Development Foundation; Swedish Research Council Formas [942-2015-106]</t>
  </si>
  <si>
    <t>Norrkoping Research and Development Foundation; Swedish Research Council Formas(Swedish Research CouncilSwedish Research Council Formas)</t>
  </si>
  <si>
    <t>This research was supported by the Norrkoping Research and Development Foundation and the Swedish Research Council Formas under Grant No. 942-2015-106.</t>
  </si>
  <si>
    <t>CURR OPIN ENV SUST</t>
  </si>
  <si>
    <t>Curr. Opin. Environ. Sustain.</t>
  </si>
  <si>
    <t>GP7OA</t>
  </si>
  <si>
    <t>Foucault; questionnaire; scales; stress; suffering at work; visibility</t>
  </si>
  <si>
    <t>SUBJECTIVITY; STRATEGY; JUSTICE; STRESS; POWER</t>
  </si>
  <si>
    <t>[Allard-Poesi, Florence] Univ Paris Est, Management, Creteil, France; [Allard-Poesi, Florence] Univ Paris Est, Inst Management Res, Creteil, France; [Hollet-Haudebert, Sandrine] Univ Toulon &amp; Var, Sch Management, Mkt, Toulon, France</t>
  </si>
  <si>
    <t>Allard-Poesi, F (corresponding author), Univ Paris Est, Inst Rech Gest, EA 2354, 60 Ave Gen Gaulle, F-94000 Creteil, France.</t>
  </si>
  <si>
    <t>allard-poesi@u-pec.fr; hollet@univ-tln.f</t>
  </si>
  <si>
    <t>HOLLET HAUDEBERT, Sandrine/0000-0002-0897-4876; Allard-Poesi, Florence/0000-0001-7614-2310</t>
  </si>
  <si>
    <t>FM7OW</t>
  </si>
  <si>
    <t>Electromagnetic induction; gamma-ray spectrometry; GIS; digital soil mapping; Google Maps; soil conservation</t>
  </si>
  <si>
    <t>PARTICLE-SIZE FRACTIONS; DEEP DRAINAGE RISK; ANCILLARY DATA; ERROR BUDGET; MACQUARIE VALLEY; SALINITY</t>
  </si>
  <si>
    <t>[Huang, J.; Buchanan, S. M.; Triantafilis, J.] UNSW Sydney, Sch Biol Earth &amp; Environm Sci, Sydney, NSW 2052, Australia; [Bishop, T. F. A.] Univ Sydney, Sydney Inst Agr, Sch Life &amp; Environm Sci, Eveleigh, NSW 2015, Australia</t>
  </si>
  <si>
    <t>Triantafilis, J (corresponding author), UNSW Sydney, Sch Biol Earth &amp; Environm Sci, Sydney, NSW 2052, Australia.</t>
  </si>
  <si>
    <t>j.triantafilis@unsw.edu.au</t>
  </si>
  <si>
    <t>Bishop, Thomas/E-1010-2013; Huang, Jingyi/B-5541-2015; Huang, Jingyi/ABI-5860-2020; Triantafilis, John/C-8895-2012</t>
  </si>
  <si>
    <t>Bishop, Thomas/0000-0002-6723-7323; Huang, Jingyi/0000-0002-1209-9699; Huang, Jingyi/0000-0002-1209-9699; Triantafilis, john/0000-0003-1561-0242</t>
  </si>
  <si>
    <t>Australian Cotton Research and Development Corporation; Australian Cotton Cooperative Research Centre; Natural Heritage Trust Program; New South Wales State Governments Salt Action Program; NHT National Competitive Component</t>
  </si>
  <si>
    <t>Australian Cotton Research and Development Corporation(Cotton R&amp;D Corp); Australian Cotton Cooperative Research Centre(Australian GovernmentDepartment of Industry, Innovation and ScienceCooperative Research Centres (CRC) Programme); Natural Heritage Trust Program; New South Wales State Governments Salt Action Program; NHT National Competitive Component</t>
  </si>
  <si>
    <t>The corresponding author acknowledges the Australian Cotton Research and Development Corporation who funded his PhD as well as the series of projects entitled 'Understanding the salinity threat in irrigated cotton growing areas of Australia' as well as the Australian Cotton Cooperative Research Centre, Natural Heritage Trust Program and the New South Wales State Governments Salt Action Program for the financial support to conduct the EM surveys, soil coring and laboratory analysis as well as the purchase of the EM38 and EM34 instruments. He also acknowledges the support of the various community groups who recommended the research to the various landholders who allowed unrestricted access to their farms. In particular, Mr Jerry Killen (Namoi Valley Water Users Association) and Mr Wal Murray (Gwydir Valley Irrigators Association). Messrs Andrew Huckel, Matthew McRae and Michael Short who organized and conducted most of the EM surveys and collected the soil samples as well as Dr Mohammad Faruque Ahmad, Dr Raj Singh Malik and Dr Ranjith Subasinghe who prepared most of the soil samples for laboratory analysis are also acknowledged. The financial support from the NHT National Competitive Component provided the funds to employ the first, second and third authors and for the development of terraGIS and the sister web page.</t>
  </si>
  <si>
    <t>SOIL USE MANAGE</t>
  </si>
  <si>
    <t>Soil Use Manage.</t>
  </si>
  <si>
    <t>FQ5SY</t>
  </si>
  <si>
    <t>Betterment; Value-capture; Developer obligations; Urban development costs and benefits; Equalisation mechanisms; Economic and financial sustainability</t>
  </si>
  <si>
    <t>INFRASTRUCTURE; TAX; TRANSPORTATION; INVESTMENTS; SYSTEMS; GROWTH; IMPACT</t>
  </si>
  <si>
    <t>[Rebelo, Emilia Malcata] Univ Porto, Fac Engn, Rua Dr Roberto Frias S-N, P-4200465 Oporto, Portugal; [Rebelo, Emilia Malcata] Univ Porto, CITTA Res Ctr Terr Transports &amp; Environm, Oporto, Portugal</t>
  </si>
  <si>
    <t>Rebelo, EM (corresponding author), Univ Porto, Fac Engn, Rua Dr Roberto Frias S-N, P-4200465 Oporto, Portugal.;Rebelo, EM (corresponding author), Univ Porto, CITTA Res Ctr Terr Transports &amp; Environm, Oporto, Portugal.</t>
  </si>
  <si>
    <t>emalcata@fe.up.pt</t>
  </si>
  <si>
    <t>Rebelo, Emília Maria Delgado Domingos Antunes Malcata/X-4251-2019</t>
  </si>
  <si>
    <t>Rebelo, Emília Maria Delgado Domingos Antunes Malcata/0000-0003-4257-9017</t>
  </si>
  <si>
    <t>Portuguese Territory Department (Direcao Geral do Territorio)</t>
  </si>
  <si>
    <t>The author thanks the Portuguese Territory Department (Direcao Geral do Territorio) for all the given support.</t>
  </si>
  <si>
    <t>FM3CF</t>
  </si>
  <si>
    <t>HSE regulations; Cost-benefit analysis; Expected values; Decision-making under uncertainty; Cautionary principle; Petroleum industry</t>
  </si>
  <si>
    <t>[Sorskar, Leif Inge K.; Abrahamsen, Eirik B.] Univ Stavanger, Inst Ind Econ Risk Management &amp; Planning, Kristine Bonnevies Vei 22, N-4021 Stavanger, Norway</t>
  </si>
  <si>
    <t>Sorskar, LIK (corresponding author), Univ Stavanger, Inst Ind Econ Risk Management &amp; Planning, Kristine Bonnevies Vei 22, N-4021 Stavanger, Norway.</t>
  </si>
  <si>
    <t>leif.i.sorskar@uis.no; eirik.b.abrahamsen@uis.no</t>
  </si>
  <si>
    <t>Norwegian Research Council [228335/E30]</t>
  </si>
  <si>
    <t>The authors are grateful to Torleif Husebo for the useful comments. We are also grateful to three anonymous reviewers for their useful comments and suggestions of this article, and to two anonymous reviewers for their remarks to an earlier version of this article. The work has been partly funded by the Norwegian Research Council-as a part of the Petromaks 2 program (Grant number 228335/E30). The support is gratefully acknowledged.</t>
  </si>
  <si>
    <t>EURO J DECIS PROCESS</t>
  </si>
  <si>
    <t>EURO J. Decis. Process.</t>
  </si>
  <si>
    <t>GW4ZN</t>
  </si>
  <si>
    <t>Entrepreneurship; Project Selection; TOWS Analysis; Strategic decision making</t>
  </si>
  <si>
    <t>MATRIX</t>
  </si>
  <si>
    <t>[Kulshrestha, Shobha] Venkateshwara Grp, Int Collaborat &amp; Innovat, Madras, Tamil Nadu, India; [Puri, Parul] Govt India, Minist Skill Dev &amp; Entrepreneurship, NIESBUD, Delhi, India</t>
  </si>
  <si>
    <t>Kulshrestha, S (corresponding author), Venkateshwara Grp, Int Collaborat &amp; Innovat, Madras, Tamil Nadu, India.</t>
  </si>
  <si>
    <t>PACIFIC INST MANAGEMENT</t>
  </si>
  <si>
    <t>RAJASTHAN</t>
  </si>
  <si>
    <t>PACIFIC HILLS, PRATAP NAGAR EXTENSION, AIR PORT RD, UDAIPUR, RAJASTHAN, 313 001, INDIA</t>
  </si>
  <si>
    <t>PAC BUS REV INT</t>
  </si>
  <si>
    <t>Pac. Bus. Rev. Int.</t>
  </si>
  <si>
    <t>GC9JL</t>
  </si>
  <si>
    <t>Stephens, M; Hazard, K; Moser, D; Cox, D; Rose, R; Alkon, A</t>
  </si>
  <si>
    <t>Stephens, Michelle; Hazard, Kimberly; Moser, Debra; Cox, Dana; Rose, Roberta; Alkon, Abbey</t>
  </si>
  <si>
    <t>An Integrated Pest Management Intervention Improves Knowledge, Pest Control, and Practices in Family Child Care Homes</t>
  </si>
  <si>
    <t>family child care home; integrated pest management; child care health consultant; environmental health; pesticides; pediatrics; nurse; public health; intervention</t>
  </si>
  <si>
    <t>INNER-CITY ASTHMA; ALLERGEN EXPOSURE; URBAN CHILDREN; CENTERS; MORBIDITY; SERVICES</t>
  </si>
  <si>
    <t>To reduce young children's exposure to pesticides when attending family child care homes (FCCHs), we developed an integrated pest management (IPM) intervention for FCCH directors. First, we developed IPM educational materials and resources to provide the foundation for an IPM educational intervention for FCCHs. Next, we conducted and evaluated a six-month nurse child care health consultant (CCHC)-led education and consultation IPM intervention to increase IPM knowledge, IPM practices, IPM policies, and decrease the presence or evidence of pests. The pilot intervention study was conducted by three CCHCs in 20 FCCHs in three counties in California. Pre- and post-intervention measures were completed by the FCCH directors and observation measures were completed by the CCHCs. Results indicated significant increases in IPM knowledge, (t-statistic (degrees of freedom), (t(df) = 2.55(10), p &lt; 0.05), increases in IPM practices (t(df) = -6.47(17), p &lt; 0.05), and a 90% reduction in the prevalence of pests. There were no significant differences in changes in IPM practices based on director education, FCCH county, or IPM intervention intensity or duration. A nurse-led IPM education and consultation intervention can reduce exposures of young children attending family child care homes to harmful chemicals.</t>
  </si>
  <si>
    <t>[Stephens, Michelle; Hazard, Kimberly; Moser, Debra; Cox, Dana; Rose, Roberta; Alkon, Abbey] Univ Calif San Francisco, Sch Nursing, San Francisco, CA 94143 USA</t>
  </si>
  <si>
    <t>Stephens, M (corresponding author), Univ Calif San Francisco, Sch Nursing, San Francisco, CA 94143 USA.</t>
  </si>
  <si>
    <t>michelle.stephens@ucsf.edu; kimberly.hazard@ucsf.edu; healthy.set@hotmail.com; danarn95060@gmail.com; bobbie.rose@ucsf.edu; abbey.alkon@ucsf.edu</t>
  </si>
  <si>
    <t>Stephens, Michelle/0000-0003-0006-7160; Hazard, Kimberly/0000-0002-1143-5355; Alkon, Abbey/0000-0003-2024-5729</t>
  </si>
  <si>
    <t>California Department of Pesticide Regulation (DPR), DPR [14-PML-G002]; Robert Wood Johnson Future of Nursing Scholars program</t>
  </si>
  <si>
    <t>California Department of Pesticide Regulation (DPR), DPR; Robert Wood Johnson Future of Nursing Scholars program</t>
  </si>
  <si>
    <t>Funding for this project has been provided in full or in part through a grant awarded by the California Department of Pesticide Regulation (DPR), DPR Grant Number 14-PML-G002. The first author also receives funding from the Robert Wood Johnson Future of Nursing Scholars program. A special thanks to the project's advisory board: Nita Davidson, Belinda Messenger, Andrew Sutherland, and Asa Bradman. We would also like to thank the community members who partnered with our project: Linda Asato, Domenica Benitez, Elizabeth Cook, and Rosie Kennedy. The authors wish to acknowledge research assistant Alicia Swartz for her early work on the grant. Most importantly, thank you to the participating family child care home directors, staff, parents, and children.</t>
  </si>
  <si>
    <t>MDPI AG</t>
  </si>
  <si>
    <t>10.3390/ijerph14111299</t>
  </si>
  <si>
    <t>FO1SQ</t>
  </si>
  <si>
    <t>WOS:000416545200015</t>
  </si>
  <si>
    <t>[Sanwal, Mukul; Wang, Can] Tsinghua Univ, Sch Environm, Beijing, Peoples R China; [Wang, Bo] Univ Int Business &amp; Econ, Beijing, Peoples R China; [Yang, Yuan] Tsinghua Univ, Beijing, Peoples R China</t>
  </si>
  <si>
    <t>Sanwal, M (corresponding author), Tsinghua Univ, Sch Environm, Beijing, Peoples R China.</t>
  </si>
  <si>
    <t>GLOB POLICY</t>
  </si>
  <si>
    <t>Glob. Policy</t>
  </si>
  <si>
    <t>FO0IM</t>
  </si>
  <si>
    <t>Mabillard, V; Vuignier, R</t>
  </si>
  <si>
    <t>Mabillard, Vincent; Vuignier, Renaud</t>
  </si>
  <si>
    <t>The less transparent, the more attractive? A critical perspective on transparency and place branding</t>
  </si>
  <si>
    <t>PLACE BRANDING AND PUBLIC DIPLOMACY</t>
  </si>
  <si>
    <t>place branding; transparency; investment; attractiveness; marketing; Switzerland; nation branding; country branding</t>
  </si>
  <si>
    <t>FOREIGN DIRECT-INVESTMENT; GOVERNMENT</t>
  </si>
  <si>
    <t>According to recent surveys, transparency has become a key issue in business decisions. Foreign firms increasingly view transparent economic policies as crucial in their investment planning. Evidence has shown that clear and predictable environments play an important role in companies' decisions to develop their activities in a specific place. Nowadays, place branding scholars and practitioners alike call for more transparency and responsibility in branding strategies, assuming that trust, enhanced by transparency, is needed to improve the attractiveness of a place. In a study by a major consulting firm, investors in Switzerland specifically mentioned stability and transparency as the most important location factors. However, the country scores poorly in terms of financial transparency. This paradox reveals a degree of confusion about the nature of transparency, which is addressed in this article. We argue that, while transparency of the regulatory framework can effectively improve the attractiveness of a place, opacity of legal requirements may also attract foreign investors. In this sense, transparency of and required by the rules can be at odds. A nuanced approach to transparency and a more detailed analysis are needed to provide a clearer explanation of the relationship between transparency and the attractiveness of a place.</t>
  </si>
  <si>
    <t>[Mabillard, Vincent; Vuignier, Renaud] Univ Lausanne, Swiss Grad Sch Publ Adm IDHEAP, Batiment IDHEAP, CH-1015 Lausanne, Switzerland; [Mabillard, Vincent] ICD, Berlin, Germany; [Vuignier, Renaud] Embassy Switzerland, Washington, DC USA</t>
  </si>
  <si>
    <t>Vuignier, R (corresponding author), Univ Lausanne, Swiss Grad Sch Publ Adm IDHEAP, Batiment IDHEAP, CH-1015 Lausanne, Switzerland.</t>
  </si>
  <si>
    <t>Renaud.Vuignier@unil.ch</t>
  </si>
  <si>
    <t>Vuignier, Renaud/ABI-4902-2020</t>
  </si>
  <si>
    <t>Vuignier, Renaud/0000-0001-6159-7179; Mabillard, Vincent/0000-0002-0064-3685</t>
  </si>
  <si>
    <t>1751-8040</t>
  </si>
  <si>
    <t>1751-8059</t>
  </si>
  <si>
    <t>PLACE BRANDING PUBLI</t>
  </si>
  <si>
    <t>Place Branding Public Dipl.</t>
  </si>
  <si>
    <t>10.1057/s41254-016-0051-5</t>
  </si>
  <si>
    <t>FK0RR</t>
  </si>
  <si>
    <t>WOS:000413188100006</t>
  </si>
  <si>
    <t>Jin, RY; Li, B; Zhou, TY; Wanatowski, D; Piroozfar, P</t>
  </si>
  <si>
    <t>Jin, Ruoyu; Li, Bo; Zhou, Tongyu; Wanatowski, Dariusz; Piroozfar, Poorang</t>
  </si>
  <si>
    <t>An empirical study of perceptions towards construction and demolition waste recycling and reuse in China</t>
  </si>
  <si>
    <t>Construction waste; Sustainability; Recycling; Reuse; Policy; Questionnaire survey</t>
  </si>
  <si>
    <t>AGGREGATE CONCRETE; ECONOMIC-IMPACT; MANAGEMENT; FLOW</t>
  </si>
  <si>
    <t>This study was designed to investigate the recent movement and current stage of China's construction and demolition (C &amp; D) waste recycling and reuse. Specifically, the research aimed to provide the big picture of recent C &amp; D waste diversion practice in China, as well as to offer insights from Chinese field practitioners' perceptions towards benefits, challenges, and recommendations of C &amp;D recycling and reuse. This research was conducted based on a review of existing practice and a holistic approach by collecting feedback of professionals from multiple disciplines through a questionnaire-based survey. Totally 77 valid responses were received from 592 questionnaires sent. Both quantitative data and qualitative information implied that China was still at the early stage of recycling C &amp;D wastes. Lack of client demands was identified as one of the main difficulties in C &amp;D waste diversion. The study revealed that engineers and consultants had a more positive perception on promoting industrial training in C &amp; D waste recycling, while construction management professionals held more conservative opinion on it. It was also found that gaining experience in C &amp; D waste recycling and reuse would offer professionals more positive perception on the quality of products containing recycled contents. It was further implied that although governmental supervision had a high impact on China's current C &amp; D waste management practice, the economic viability should eventually dominate the C &amp; D waste diversion.</t>
  </si>
  <si>
    <t>[Jin, Ruoyu] Univ Brighton, Sch Environm &amp; Technol, Div Built Environm &amp; Civil Engn, Brighton BN2 4GJ, E Sussex, England; [Li, Bo] Univ Nottingham Ningbo China, Dept Civil Engn, 199 Taikang East Rd, Ningbo 315100, Zhejiang, Peoples R China; [Zhou, Tongyu] Univ Nottingham Ningbo China, Dept Architecture &amp; Built Environm, 199 Taikang East Rd, Ningbo 315100, Zhejiang, Peoples R China; [Wanatowski, Dariusz] Univ Leeds, Sch Civil Engn, Fac Engn, Leeds LS2 9JT, W Yorkshire, England; [Piroozfar, Poorang] Univ Brighton, Div Built Environm, Sch Environm &amp; Technol, Brighton BN2 4GJ, E Sussex, England</t>
  </si>
  <si>
    <t>Jin, RY (corresponding author), Univ Brighton, Sch Environm &amp; Technol, Div Built Environm &amp; Civil Engn, Brighton BN2 4GJ, E Sussex, England.</t>
  </si>
  <si>
    <t>jinruoyu@yahoo.com; Bo.Li@nottingham.edu.cn; Tongyu.Zhou@nottingham.edu.cn; d.wan@leeds.ac.uk; A.E.Piroozfar@brighton.ac.uk</t>
  </si>
  <si>
    <t>Jin, Ruoyu/K-6433-2019; Li, Bo/S-6533-2016; PIROOZFAR, Poorang/L-6943-2017; Wanatowski, Dariusz/B-8268-2013; Jin, Ruoyu/A-8520-2017</t>
  </si>
  <si>
    <t>Li, Bo/0000-0002-2246-3765; PIROOZFAR, Poorang/0000-0001-9765-8148; Wanatowski, Dariusz/0000-0002-5809-0374; Jin, Ruoyu/0000-0003-0360-6967; Zhou, Tongyu/0000-0001-5486-7214</t>
  </si>
  <si>
    <t>Ningbo Soft Science Program from the Ningbo Science and Technology Bureau [2016A10056]; Ningbo the Benefit of People Program from the Ningbo Science and Technology Bureau [2015C50049]</t>
  </si>
  <si>
    <t>Ningbo Soft Science Program from the Ningbo Science and Technology Bureau; Ningbo the Benefit of People Program from the Ningbo Science and Technology Bureau</t>
  </si>
  <si>
    <t>The authors would like to acknowledge the Ningbo Soft Science Program (Contract No. 2016A10056) and Ningbo the Benefit of People Program (Contract No. 2015C50049) from the Ningbo Science and Technology Bureau for collectively funding this research.</t>
  </si>
  <si>
    <t>10.1016/j.resconrec.2017.07.034</t>
  </si>
  <si>
    <t>FH6PE</t>
  </si>
  <si>
    <t>WOS:000411298400014</t>
  </si>
  <si>
    <t>Carretero, AG; Gualo, F; Caballero, I; Piattini, M</t>
  </si>
  <si>
    <t>Carretero, Ana G.; Gualo, Fernando; Caballero, Ismael; Piattini, Mario</t>
  </si>
  <si>
    <t>MAMD 2.0: Environment for data quality processes implantation based on ISO 8000-6X and ISO/IEC 33000</t>
  </si>
  <si>
    <t>COMPUTER STANDARDS &amp; INTERFACES</t>
  </si>
  <si>
    <t>16th International Conference on Software Process Improvement and Capability Determination (SPICE)</t>
  </si>
  <si>
    <t>JUN, 2016</t>
  </si>
  <si>
    <t>Dublin City Univ, Dublin, IRELAND</t>
  </si>
  <si>
    <t>Dublin City Univ</t>
  </si>
  <si>
    <t>Data quality; Data governance; Data quality management; Data management; Data improvement; Maturity model</t>
  </si>
  <si>
    <t>MATURITY</t>
  </si>
  <si>
    <t>Organizations are increasingly becoming realized that the higher the levels of quality of data they use in their business processes, the larger the organizational performance can be. Therefore, it is highly recommended to pay special attention to data quality by institutionalizing a set of the best practices related to the disciplines of data-related disciplines, namely, data management, data quality management and data governance. After investigated on the field, and because of our research, we developed MAMD - Modelo Alarcos de Mejora de Datos-, a framework for assessing and improving the levels of data quality in organizations, in which we aligned and established the relationships between the three disciplines. Our aim was to provide organizations with sound artefacts, which can help them to efficiently implement data-related strategies to achieve adequate levels of data quality, and consequently, better organizational performance. Grounding our proposal on a process-oriented approach, we initially developed two components for MAMD: (1) a process reference model addressing the best practices of the previously mentioned data-related disciplines, and (2) an assessment and improvement model of the level of implantation of these practices. The process reference model is based on the principles of ISO 8000-61, which we complemented by adding specifics on data governance processes, and specifics on data management processes. The evaluation model is grounded on ISO 8000-62, and therefore aligned to ISO/IEC 33000. After having tested the usability of MAMD in several case studies, and after having analysed the conclusions raised from the learnt lessons, this paper describes the changes we introduced to the first version of MAMD to make the framework easier to apply (more easily auditable, and more easily implementable by consultancy). The paper also describes the application of the new version of MAMD to a new case study to check the efficiency of the changes. So, the main contribution of this paper is the presentation of the new version of MAMD.</t>
  </si>
  <si>
    <t>[Carretero, Ana G.; Gualo, Fernando; Caballero, Ismael; Piattini, Mario] Escuela Super Informat Paseo Univ 4, Inst Software &amp; Syst Technol, Alarcos Res Grp, Ciudad Real 13071, Spain</t>
  </si>
  <si>
    <t>Carretero, AG (corresponding author), Escuela Super Informat Paseo Univ 4, Inst Software &amp; Syst Technol, Alarcos Res Grp, Ciudad Real 13071, Spain.</t>
  </si>
  <si>
    <t>AnaIsabel.Gomez@uclm.es; Fernando.Gualo@uclm.es; Ismael.Caballero@uclm.es; Mario.Piattini@uclm.es</t>
  </si>
  <si>
    <t>Caballero, Ismael/A-1079-2010; Gualo, Fernando/AAL-3242-2020; Piattini, Mario/F-6271-2013</t>
  </si>
  <si>
    <t>Caballero, Ismael/0000-0002-5189-1427; Gualo, Fernando/0000-0002-7800-7902; Piattini, Mario/0000-0002-7212-8279; Gomez Carretero, Ana Isabel/0000-0001-6547-3907</t>
  </si>
  <si>
    <t>Consejeria de Educacion, Ciencia y Cultura de la Junta de Comunidades de Castilla La Mancha [PEII-2014-048-P]; y Fondo Europeo de Desarrollo Regional FEDER [PEII-2014-048-P]; Ministerio de Economia y Competitividad [TIN2015-63502-C3-1-R]; Fondo Europeo de Desarrollo Regional FEDER [TIN2015-63502-C3-1-R]</t>
  </si>
  <si>
    <t>Consejeria de Educacion, Ciencia y Cultura de la Junta de Comunidades de Castilla La Mancha; y Fondo Europeo de Desarrollo Regional FEDER; Ministerio de Economia y Competitividad(Spanish Government); Fondo Europeo de Desarrollo Regional FEDER(European CommissionSpanish Government)</t>
  </si>
  <si>
    <t>This work has been funded by VILMA project (PEII-2014-048-P) (Consejeria de Educacion, Ciencia y Cultura de la Junta de Comunidades de Castilla La Mancha, y Fondo Europeo de Desarrollo Regional FEDER, PEII-2014-048-P) and SEQUOIA project (TIN2015-63502-C3-1-R) (Ministerio de Economia y Competitividad and Fondo Europeo de Desarrollo Regional FEDER, TIN2015-63502-C3-1-R).</t>
  </si>
  <si>
    <t>0920-5489</t>
  </si>
  <si>
    <t>1872-7018</t>
  </si>
  <si>
    <t>COMPUT STAND INTER</t>
  </si>
  <si>
    <t>Comput. Stand. Interfaces</t>
  </si>
  <si>
    <t>10.1016/j.csi.2016.11.008</t>
  </si>
  <si>
    <t>Computer Science, Hardware &amp; Architecture; Computer Science, Software Engineering</t>
  </si>
  <si>
    <t>EV6OK</t>
  </si>
  <si>
    <t>WOS:000401888500004</t>
  </si>
  <si>
    <t>Baqi, S; Albalbeesi, A; Iftikhar, S; Baig-Ansari, N; Alanazi, M; Alanazi, A</t>
  </si>
  <si>
    <t>Baqi, Shehla; Albalbeesi, Amal; Iftikhar, Sundus; Baig-Ansari, Naila; Alanazi, Mohammad; Alanazi, Awadh</t>
  </si>
  <si>
    <t>Perceptions of gender equality, work environment, support and social issues for women doctors at a university hospital in Riyadh, Kingdom of Saudi Arabia</t>
  </si>
  <si>
    <t>ACADEMIC MEDICINE; SEXUAL-HARASSMENT; PHYSICIANS; DISCRIMINATION; FACULTY; STILL; CHALLENGES; EXPERIENCE</t>
  </si>
  <si>
    <t>The Kingdom of Saudi Arabia (KSA) is an Islamic monarchy and was established in 1932. Saudi women first entered the medical field in 1975 and the country has since seen a steady increase in women pursuing medicine. However, there is limited data on gender related issues for women doctors practicing in Saudi Arabia. Therefore, our study objective was to assess the perception amongst peers regarding gender equality and social issues faced by women doctors in Saudi Arabia. An online anonymous cross-sectional survey was administered in English to doctors at King Khalid Hospital, affiliated to King Saud University, in Riyadh, between April and May of 2016. Of 1015 doctors, 304 (30%) participated, of which 129 (42.4%) were females and 231 (76%) were Saudi nationals. The average age was 32.4 years (+/- SD: 8.7). The majority opined that there was no gender discrimination in salaries (73.7% p-value = 0.4), hospital benefits (62.2% p-value = 0.06) or entry into any field of Medicine/Pediatrics (68.4% p-value = 0.207). However, only a minority believed that there was no gender discrimination for entry into surgery (37.3% p-value =.091). A higher proportion of male doctors agreed that promotion opportunities are equal (66.3% vs 45.7%, p-value = 0.002). However, of 54 consultants, only 18 (33.3%) were women. Over half of the women (52.3%) reported that they never wear the face veil. Only a minority of male and female doctors (12.2%) believed women doctors should wear the veil since they examine male patients. Fewer respondents believed that female doctors face harassment from male doctors (14.5%) whereas 30.7% believed female doctors face harassment from male patients. More females, than males, agreed with the statement that female doctors are as committed to their careers as are males (92.2% vs 67.4%, p-value&lt;0.0001). Of 304 participants, 210 (69.1%) said that they would still choose to become a doctor with approximately equal proportions between males and females (68% vs 70.5%, p-value = 0.79). In conclusion, our survey of male and female doctors at a government university hospital in Saudi Arabia revealed that the majority believed there was gender equality amongst doctors in terms of salaries, benefits, opportunities for promotion and entry into any field of medicine or pediatrics, but not surgery. However, there were significantly fewer women at consultant positions, a deficiency that needs to be addressed.</t>
  </si>
  <si>
    <t>[Baqi, Shehla; Alanazi, Awadh] King Saud Univ, King Khalid Univ Hosp, Coll Med, Dept Med, Riyadh, Saudi Arabia; [Albalbeesi, Amal] King Saud Univ, King Khalid Univ Hosp, Dept Dermatol, Coll Med, Riyadh, Saudi Arabia; [Iftikhar, Sundus; Baig-Ansari, Naila] Ind Hosp, Res Ctr, Karachi, Pakistan; [Alanazi, Mohammad] King Saud Univ, Dept Phys Med &amp; Rehabil, Coll Med, King Khalid Univ Hosp, Riyadh, Saudi Arabia</t>
  </si>
  <si>
    <t>Baqi, S (corresponding author), King Saud Univ, King Khalid Univ Hosp, Coll Med, Dept Med, Riyadh, Saudi Arabia.</t>
  </si>
  <si>
    <t>shehlabaqi@gmail.com</t>
  </si>
  <si>
    <t>Dangal, Ganesh/O-1989-2017</t>
  </si>
  <si>
    <t>Dangal, Ganesh/0000-0002-5834-5525; Iftikhar, Sundus/0000-0001-8568-2722</t>
  </si>
  <si>
    <t>College of Medicine Research Center (CMRC), College of Medicine, King Saud University</t>
  </si>
  <si>
    <t>College of Medicine Research Center (CMRC), College of Medicine, King Saud University(King Saud University)</t>
  </si>
  <si>
    <t>This work was supported by College of Medicine Research Center (CMRC), College of Medicine, King Saud University.</t>
  </si>
  <si>
    <t>OCT 26</t>
  </si>
  <si>
    <t>e0186896</t>
  </si>
  <si>
    <t>10.1371/journal.pone.0186896</t>
  </si>
  <si>
    <t>FK9QH</t>
  </si>
  <si>
    <t>WOS:000413845400070</t>
  </si>
  <si>
    <t>Communication; Behaviour; Internet; Households; Energy consulting</t>
  </si>
  <si>
    <t>EFFICIENCY; CONSUMPTION; FEEDBACK; ADVICE</t>
  </si>
  <si>
    <t>[Kjeang, Are E.; Venkatesh, G.; Stahl, Magnus] Karlstad Univ, Dept Engn &amp; Chem Sci, Karlstad, Sweden; [Palm, Jenny] Lund Univ, Int Inst Ind Environm Econ, IIIEEE, Lund, Sweden</t>
  </si>
  <si>
    <t>Kjeang, AE (corresponding author), Karlstad Univ, Dept Engn &amp; Chem Sci, Karlstad, Sweden.</t>
  </si>
  <si>
    <t>are.kjeang@kau.se</t>
  </si>
  <si>
    <t>Swedish Energy Agency</t>
  </si>
  <si>
    <t>The research was funded by the Swedish Energy Agency.</t>
  </si>
  <si>
    <t>ENERGY SUSTAIN SOC</t>
  </si>
  <si>
    <t>Energy Sustain. Soc.</t>
  </si>
  <si>
    <t>FL6CJ</t>
  </si>
  <si>
    <t>Aquatic centre; Solar heating; Survey; Payback period; Business case</t>
  </si>
  <si>
    <t>SWIMMING POOL WATER; ENERGY PERFORMANCE</t>
  </si>
  <si>
    <t>[Fuller, R.] Deakin Univ, Sch Architecture &amp; Built Environm, Geelong, Vic 3217, Australia; [Rajagopalan, P.; Duverge, J. J.] RMIT Univ, Sch Property Construct &amp; Project Management, Melbourne, Vic 3000, Australia</t>
  </si>
  <si>
    <t>Rajagopalan, P (corresponding author), RMIT Univ, Sch Property Construct &amp; Project Management, Melbourne, Vic 3000, Australia.</t>
  </si>
  <si>
    <t>rjfull@deakin.edu.au; priyadarsini.rajagopalan@rmit.edu.au; jeanjonathan.duverge@rmit.edu.au</t>
  </si>
  <si>
    <t>FI3MF</t>
  </si>
  <si>
    <t>ECONOMIC-DEVELOPMENT; INCENTIVE PROGRAMS; UNITED-STATES; PERFORMANCE; AIRPORTS; US; TRANSPORT; BENEFITS; POLICY</t>
  </si>
  <si>
    <t>[Mills, Russell W.] Bowling Green State Univ, Aviat Studies, 124 Williams Hall, Bowling Green, OH 43403 USA; [Kalaf-Hughes, Nicole] Bowling Green State Univ, Dept Polit Sci, 124 Williams Hall, Bowling Green, OH 43403 USA</t>
  </si>
  <si>
    <t>Mills, RW (corresponding author), Bowling Green State Univ, Aviat Studies, 124 Williams Hall, Bowling Green, OH 43403 USA.</t>
  </si>
  <si>
    <t>millsrw@bgsu.edu; ngkalaf@bgsu.edu</t>
  </si>
  <si>
    <t>J AIR TRANSP MANAG</t>
  </si>
  <si>
    <t>J. Air Transp. Manag.</t>
  </si>
  <si>
    <t>FM3DX</t>
  </si>
  <si>
    <t>Functional outcome; Logistic regression; Prediction; Prognosis; Traumatic spinal cord injury; Walking</t>
  </si>
  <si>
    <t>NEUROLOGICAL CLASSIFICATION; INTERNATIONAL STANDARDS; RECOVERY; GENERALIZABILITY; AMBULATION; ALGORITHM</t>
  </si>
  <si>
    <t>[Hicks, Katharine E.; Roffey, Darren M.; Tsai, Eve C.; Phan, Philippe] Ottawa Hosp, Ottawa Combined Adult Spinal Surg Program, Ottawa, ON K1Y 4E9, Canada; [Zhao, Yichen; Fallah, Nader; Rivers, Carly S.; Noonan, Vanessa K.; Plashkes, Tova] Blusson Spinal Cord Ctr, Rick Hansen Inst, 6400-818 W 10th Ave, Vancouver, BC V5Z 1M9, Canada; [Zhao, Yichen; Fallah, Nader; Noonan, Vanessa K.] Univ British Columbia, 2329 West Mall, Vancouver, BC V6T 1Z4, Canada; [Wai, Eugene K.] Univ Ottawa, Ottawa Hosp, Fac Med, Div Orthopaed Surg,Dept Surg, 1053 Carling Ave, Ottawa, ON K1Y 4E9, Canada; [Wai, Eugene K.; Roffey, Darren M.; Tsai, Eve C.; Phan, Philippe] Ottawa Hosp Res Inst, Clin Epidemiol Program, Ottawa, ON K1Y 4E9, Canada; [Tsai, Eve C.] Univ Ottawa, Ottawa Hosp, Fac Med, Div Neurosurg,Dept Surg, 1053 Carling Ave, Ottawa, ON K1Y 4E9, Canada; [Paquet, Jerome] CHU Quebec, Dept Sci Neurol, Pavillon Enfant Jesus,1401 18e Rue, Quebec City, PQ G1J 1Z4, Canada; [Attabib, Najmedden] Dalhousie Univ, St John Reg Hosp, POB 2100, St John, NB E2L 4L2, Canada; [Marion, Travis] Univ Calgary, Dept Surg, Div Orthopaed, 2500 Univ Dr NW, Calgary, AB T2N 1N4, Canada; [Ahn, Henry] Univ Toronto, St Michaels Hosp, Spine Program, 55 Queen St E,Suite 1008, Toronto, ON M5C 1R6, Canada</t>
  </si>
  <si>
    <t>Phan, P (corresponding author), Ottawa Hosp, Civ Campus,1053 Carling Ave,Room J-155, Ottawa, ON K1Y 4E9, Canada.</t>
  </si>
  <si>
    <t>pphan@toh.ca</t>
  </si>
  <si>
    <t>Tsai, Eve/ABE-6056-2021; Fallah, Nader/D-4145-2012; Tsai, Eve/D-7007-2014</t>
  </si>
  <si>
    <t>Fallah, Nader/0000-0002-7746-4773; Tsai, Eve/0000-0002-8152-349X; /0000-0001-6570-3290</t>
  </si>
  <si>
    <t>AO Spine; AO Trauma; Medtronic</t>
  </si>
  <si>
    <t>AO Spine; AO Trauma; Medtronic(Medtronic)</t>
  </si>
  <si>
    <t>DMR received remuneration for consulting services provided to Palladian Health, LLC and Pacira Pharmaceuticals, Inc (approximately C-D per annum). Neither relationship presents a potential conflict of interest with the submitted work. TM received Educational Fellowship Support from AO Spine, AO Trauma, and Medtronic. VN is an employee of the Rick Hansen Institute.</t>
  </si>
  <si>
    <t>SPINE J</t>
  </si>
  <si>
    <t>Spine Journal</t>
  </si>
  <si>
    <t>Clinical Neurology; Orthopedics</t>
  </si>
  <si>
    <t>Neurosciences &amp; Neurology; Orthopedics</t>
  </si>
  <si>
    <t>FM7QB</t>
  </si>
  <si>
    <t>Health education; Scientific dissemination; Biography; Virginia Schall</t>
  </si>
  <si>
    <t>[Pimenta, Denise Nacif] Fiocruz MS, Grp Pesquisa Clin &amp; Polit Publ Doencas Infecciosa, Ctr Pesquisas Rene Rachou, Av Augusto de Lima 1715, BR-30190002 Belo Horizonte, MG, Brazil; [Struchiner, Miriam] Univ Fed Rio de Janeiro, Lab Tecnol Cognit, Nucleo Tecnol Educ Saude, Rio De Janeiro, RJ, Brazil; [Monteiro, Simone] Fiocruz MS, Inst Oswaldo Cruz, Lab Educ Ambiente &amp; Saude, Rio De Janeiro, RJ, Brazil</t>
  </si>
  <si>
    <t>Pimenta, DN (corresponding author), Fiocruz MS, Grp Pesquisa Clin &amp; Polit Publ Doencas Infecciosa, Ctr Pesquisas Rene Rachou, Av Augusto de Lima 1715, BR-30190002 Belo Horizonte, MG, Brazil.</t>
  </si>
  <si>
    <t>pimentadn@gmail.com</t>
  </si>
  <si>
    <t>ABRASCO</t>
  </si>
  <si>
    <t>RIO DE JANEIRO</t>
  </si>
  <si>
    <t>RUA HESPERIA, 16-PARTE MANGUINHOS, RIO DE JANEIRO, 21050-040, BRAZIL</t>
  </si>
  <si>
    <t>CIENC SAUDE COLETIVA</t>
  </si>
  <si>
    <t>Cienc. Saude Coletiva</t>
  </si>
  <si>
    <t>FK6ZI</t>
  </si>
  <si>
    <t>contribution analysis; inferring causality; mechanism; process tracing; realist evaluation; research evaluation; theory of change</t>
  </si>
  <si>
    <t>IMPACT EVALUATION</t>
  </si>
  <si>
    <t>[Delahais, Thomas] Quadrant Conseil, Paris, France; [Toulemonde, Jacques] Eureval, Ruppertsecken, Germany; [Toulemonde, Jacques] Lyon Univ, Lyon, France</t>
  </si>
  <si>
    <t>Toulemonde, J (corresponding author), 125 Rue Neuve, F-01250 Journans, France.</t>
  </si>
  <si>
    <t>toulemonde.jac@wanadoo.fr</t>
  </si>
  <si>
    <t>EVALUATION-US</t>
  </si>
  <si>
    <t>Evaluation</t>
  </si>
  <si>
    <t>FK0FW</t>
  </si>
  <si>
    <t>nutrition transition; public health nutrition; nutrition education; survey; Vietnam</t>
  </si>
  <si>
    <t>OBESITY; FOOD; TRANSITION; OVERWEIGHT; COUNTRIES; CHILDREN; DISEASE; SCHOOLS; POLICY; INCOME</t>
  </si>
  <si>
    <t>[Thi Hai Quynh Pham; Worsley, Anthony; Lawrence, Mark] Deakin Univ, Sch Exercise &amp; Nutr Sci, 221 Burwood Hwy, Burwood, Vic 3125, Australia; [Marshall, Bernie] Deakin Univ, Sch Hlth &amp; Social Dev, 221 Burwood Hwy, Burwood, Vic 3125, Australia</t>
  </si>
  <si>
    <t>Pham, THQ (corresponding author), Deakin Univ, Sch Exercise &amp; Nutr Sci, 221 Burwood Hwy, Burwood, Vic 3125, Australia.</t>
  </si>
  <si>
    <t>phth@deakin.edu.au</t>
  </si>
  <si>
    <t>Lawrence, Mark/0000-0001-6899-3983</t>
  </si>
  <si>
    <t>School of Exercise and Nutrition Sciences, Deakin University; Vietnamese Government PhD Scholarship</t>
  </si>
  <si>
    <t>This work was supported by the School of Exercise and Nutrition Sciences, Deakin University. Q.P. is supported by a Vietnamese Government PhD Scholarship.</t>
  </si>
  <si>
    <t>HEALTH PROMOT INT</t>
  </si>
  <si>
    <t>Health Promot. Int.</t>
  </si>
  <si>
    <t>Health Policy &amp; Services; Public, Environmental &amp; Occupational Health</t>
  </si>
  <si>
    <t>FJ2OZ</t>
  </si>
  <si>
    <t>Intellectual property rights policies; Academic entrepreneurship; Multilevel models</t>
  </si>
  <si>
    <t>KNOWLEDGE TRANSFER; NATURAL-SCIENCES; UNIVERSITY INVENTIONS; PATENT QUALITY; COMMERCIALIZATION; OWNERSHIP; RESEARCHERS; IMPACT; WEAK; ACT</t>
  </si>
  <si>
    <t>[Halilem, Norrin; Amara, Nabil] Laval Univ, 2325 Rue Terrasse, Quebec City, PQ G1V 0A6, Canada; [Olmos-Penuela, Julia] Univ Valencia, Dept Management, Avda Naranjos S-N, Valencia 46022, Spain; [Olmos-Penuela, Julia] Univ Politecn Valencia, INGENIO, CSIC, Camino Vera S-N, E-46022 Valencia, Spain; [Mohiuddin, Muhammad] Thompson Rivers Univ, 900 McGill Rd, Kamloops, BC V2C 0C8, Canada</t>
  </si>
  <si>
    <t>Halilem, N (corresponding author), Laval Univ, 2325 Rue Terrasse, Quebec City, PQ G1V 0A6, Canada.</t>
  </si>
  <si>
    <t>Norrin.halilem@fsa.ulaval.ca; Nabil.amara@fsa.ulaval.ca; julia.ohnos@uv.es; mmohiuddin@tru.ca</t>
  </si>
  <si>
    <t>Halilem, Norrin/H-2653-2017; Olmos-Peñuela, Julia/K-7945-2014; Mohiuddin, Muhammad/AAX-4327-2020</t>
  </si>
  <si>
    <t>Halilem, Norrin/0000-0001-7970-4884; Olmos-Peñuela, Julia/0000-0001-8524-3551; Mohiuddin, Muhammad/0000-0003-2009-027X; Amara, Nabil/0000-0002-2179-2516</t>
  </si>
  <si>
    <t>Social Sciences and Humanities Research Council; Natural Sciences and Engineering Research Council of Canada</t>
  </si>
  <si>
    <t>Social Sciences and Humanities Research Council(Social Sciences and Humanities Research Council of Canada (SSHRC)); Natural Sciences and Engineering Research Council of Canada(Natural Sciences and Engineering Research Council of Canada (NSERC)CGIAR)</t>
  </si>
  <si>
    <t>The author acknowledges financial assistance and support from the Social Sciences and Humanities Research Council and the Natural Sciences and Engineering Research Council of Canada. Special thanks go to Marie-Eve Blanc from the Universite de Montreal Public Health Research Institute.</t>
  </si>
  <si>
    <t>RES POLICY</t>
  </si>
  <si>
    <t>Res. Policy</t>
  </si>
  <si>
    <t>FI5PB</t>
  </si>
  <si>
    <t>Parise, J; Walker, TR</t>
  </si>
  <si>
    <t>Parise, Jason; Walker, Tony R.</t>
  </si>
  <si>
    <t>Industrial wind turbine post-construction bird and bat monitoring: A policy framework for Canada</t>
  </si>
  <si>
    <t>Wind energy; Bird and bat monitoring; Monitoring guidelines; Atlantic Canada; Uniform monitoring guidance</t>
  </si>
  <si>
    <t>ENVIRONMENTAL ASSESSMENT; ENERGY FACILITIES; FOLLOW-UP; FATALITIES; FARMS; MORTALITY; IMPACTS; BAROTRAUMA; MANAGEMENT; COLLISIONS</t>
  </si>
  <si>
    <t>Electricity generation from wind energy has proliferated throughout North America and will continue to grow. Given Canada's expected increase in wind energy capacity, consideration of the potential adverse impacts to bird and bat populations is prudent given their sensitivity to these projects. The province of Ontario, Canada is currently the leading jurisdiction for wind energy development, and for provincial guidance on pre- and post-construction monitoring. With uniform monitoring guidance in Ontario, wind energy proponents, and third-party consultants, have developed post-construction monitoring protocols that meet provincial guidance, while also providing standardized reporting. In Atlantic Canada, post construction guidelines vary between provinces, depending mostly on guidance from the Environment Canada Canadian Wildlife Service and relevant provincial agencies. To ensure quality post-construction monitoring results in Atlantic Canada and other provinces, it is imperative that all Canadian provinces adopt similar approaches to those employed in Ontario. This paper reviews major causes of bird and bat mortalities; reviews Canadian federal and Ontario provincial bird and bat monitoring guidelines to elucidate gaps between environmental assessment (EA) theory and application; summarizes post construction monitoring protocols from eight bird and bat post-construction monitoring programs used in Ontario; and, proposes recommendations to support future wind development opportunities across Canada and specifically in Atlantic Canada. (C) 2017 Elsevier Ltd. All rights reserved.</t>
  </si>
  <si>
    <t>[Parise, Jason; Walker, Tony R.] Dalhousie Univ, Sch Resource &amp; Environm Studies, Halifax, NS B3H 4R2, Canada; [Parise, Jason] SWEB Dev Inc, 6080 Young St,Suite 106, Halifax, NS B3L 5L2, Canada</t>
  </si>
  <si>
    <t>Parise, J (corresponding author), Dalhousie Univ, Sch Resource &amp; Environm Studies, Halifax, NS B3H 4R2, Canada.</t>
  </si>
  <si>
    <t>jasoncparise@gmail.com</t>
  </si>
  <si>
    <t>Walker BSc, MPhil, PhD, Tony R./ABA-4581-2020</t>
  </si>
  <si>
    <t>Walker BSc, MPhil, PhD, Tony R./0000-0001-9008-0697</t>
  </si>
  <si>
    <t>10.1016/j.jenvman.2017.06.052</t>
  </si>
  <si>
    <t>FD6TY</t>
  </si>
  <si>
    <t>WOS:000407662000027</t>
  </si>
  <si>
    <t>Provan, DJ; Dekker, SWA; Rae, AJ</t>
  </si>
  <si>
    <t>Provan, David J.; Dekker, Sidney W. A.; Rae, Andrew J.</t>
  </si>
  <si>
    <t>Bureaucracy, influence and beliefs: A literature review of the factors shaping the role of a safety professional</t>
  </si>
  <si>
    <t>Safety professional; Safety; Institutional work; Professional practice</t>
  </si>
  <si>
    <t>OCCUPATIONAL-HEALTH; WORKING ENVIRONMENT; TRAINING NEEDS; OHS CONSULTANT; MANAGEMENT; CULTURE; PRACTITIONERS; PERCEPTIONS; COMPETENCE; BEHAVIOR</t>
  </si>
  <si>
    <t>Safety professionals have been working within organizations since the early 1900s. During the past 25 years, societal pressure and political intervention concerning the management of safety risks in organizations has driven dramatic change in safety professional practice. What are the factors that influence the role of safety professionals? This paper reviews more than 100 publications. Thematic analysis identified 25 factors in three categories: institutional, relational, and individual. The review highlights a dearth of empirical research into the practice and role of safety professionals, which may result in some ineffectiveness. Practical implications and an empirical research agenda regarding safety professional practice are proposed. (C) 2017 Elsevier Ltd. All rights reserved.</t>
  </si>
  <si>
    <t>[Provan, David J.; Dekker, Sidney W. A.; Rae, Andrew J.] Griffith Univ, Griffith, NSW, Australia</t>
  </si>
  <si>
    <t>Provan, DJ (corresponding author), Griffith Univ, Sch Humanities, 170 Kessels Rd, Griffith, NSW 4111, Australia.</t>
  </si>
  <si>
    <t>david.provan@griffithuni.edu.au</t>
  </si>
  <si>
    <t>Rae, Andrew/K-2908-2016</t>
  </si>
  <si>
    <t>Rae, Andrew/0000-0002-9540-503X</t>
  </si>
  <si>
    <t>10.1016/j.ssci.2017.06.006</t>
  </si>
  <si>
    <t>FC1AZ</t>
  </si>
  <si>
    <t>WOS:000406571100011</t>
  </si>
  <si>
    <t>Chamoux, A; Vilmant, A</t>
  </si>
  <si>
    <t>Chamoux, Alain; Vilmant, Audrey</t>
  </si>
  <si>
    <t>Considerations on the burn out amidst work</t>
  </si>
  <si>
    <t>BULLETIN DE L ACADEMIE NATIONALE DE MEDECINE</t>
  </si>
  <si>
    <t>VISUAL ANALOG SCALE; JOB BURNOUT; PERCEIVED STRESS; ATHLETE BURNOUT; SATISFACTION; PREVENTION; NURSES; HEALTH; PERFECTIONISM; INTERVENTION</t>
  </si>
  <si>
    <t>Can a burn out condition in the workplace or an occupational burn out syndrome be established ? Overall the number of recognized psychological occupational diseases showed a sevenfold increase in France between 2012 and 2016, from 82 to 563. In spite of dculties due to the lack of a nosological framework, the national network for vigilance and prevention of occupational diseases is able to identify cases related to the description of the overwork classification. They represent 23 % of our patients consulting for a psychological issue. They belong to the professional sectors of health, finance and administration. They fit exposure descriptions such as organizational changes, increased workloads, specific management modalities, inadequate means and objectives, activities requiring sustained attention. The mechanism is chronic stress exceeding the threshold of fatigue for a legitimate reason perceived by the patient as described by Claude Veil in 1959. Special care should be taken to reduce the risk of overwork and to set up a comprehensive prevention policy concerning working conditions and the identification of occupational stress prior to decompensation. Overall, companies should promote organizations combining performance and benevolent management.</t>
  </si>
  <si>
    <t>[Chamoux, Alain] Univ Med Travail &amp; Risques Profess, Strasbourg, France; [Chamoux, Alain] Univ Clermont Auvergne, Inst Hyg Ind Med Travail &amp; Ergon, Clermont Ferrand, France; [Chamoux, Alain] Ctr Hosp Univ Clermont Ferrand, Serv Sante Travail Environm, Clermont Ferrand, France; [Chamoux, Alain] Ville Univ Hop Sante &amp; Securite Travail, Serv Commun, Lille, France; [Vilmant, Audrey] CHU Clermont Ferrand, Med Travail, Clermont Ferrand, France</t>
  </si>
  <si>
    <t>Chamoux, A (corresponding author), Univ Med Travail &amp; Risques Profess, Strasbourg, France.;Chamoux, A (corresponding author), Univ Clermont Auvergne, Inst Hyg Ind Med Travail &amp; Ergon, Clermont Ferrand, France.;Chamoux, A (corresponding author), Ctr Hosp Univ Clermont Ferrand, Serv Sante Travail Environm, Clermont Ferrand, France.;Chamoux, A (corresponding author), Ville Univ Hop Sante &amp; Securite Travail, Serv Commun, Lille, France.</t>
  </si>
  <si>
    <t>ELSEVIER MASSON SAS EDITEUR</t>
  </si>
  <si>
    <t>ISSY LES  MOULINEAUX CEDEX</t>
  </si>
  <si>
    <t>62, RUE CAMILLE DESMOULINS, ISSY LES  MOULINEAUX CEDEX, 92442, FRANCE</t>
  </si>
  <si>
    <t>0001-4079</t>
  </si>
  <si>
    <t>B ACAD NAT MED PARIS</t>
  </si>
  <si>
    <t>Bull. Acad. Natl. Med.</t>
  </si>
  <si>
    <t>7-9</t>
  </si>
  <si>
    <t>10.1016/S0001-4079(19)30389-9</t>
  </si>
  <si>
    <t>GJ3WI</t>
  </si>
  <si>
    <t>WOS:000435229100024</t>
  </si>
  <si>
    <t>Policy; Policy Tools; Probable; Preferred; New Technology-Based Firms; Public Industries</t>
  </si>
  <si>
    <t>SCIENCE PARKS; BIOTECHNOLOGY</t>
  </si>
  <si>
    <t>[Ghoronh, Hassan] Malik Ashtar Univ, Shahin Shahr, Iran; [Tabaian, Seyed Kamel; Bushehri, Ali Reza] Malik Ashtar Univ, Technol Management Fac, Shahin Shahr, Iran; [Ghorbani, Saeed] Malik Ashtar Univ, Future Studies, Shahin Shahr, Iran</t>
  </si>
  <si>
    <t>Ghoronh, H (corresponding author), Malik Ashtar Univ, Shahin Shahr, Iran.</t>
  </si>
  <si>
    <t>Hassan.ghoronh@gmail.com; ktabaian@gmail.com; arb1148@yahoo.com; sgh14@yahoo.com</t>
  </si>
  <si>
    <t>TAMKANG UNIV</t>
  </si>
  <si>
    <t>TAMSUI</t>
  </si>
  <si>
    <t>GRAD SCHOOL LANG LIT, TAMSUI, TAIPEI, TAIWAN</t>
  </si>
  <si>
    <t>J FUTURES STUD</t>
  </si>
  <si>
    <t>J. Futures Stud.</t>
  </si>
  <si>
    <t>FR5ZA</t>
  </si>
  <si>
    <t>[Fairlie, Kate; Burns, Tony] Land Equ Int, Wollongong, NSW, Australia; [Fairlie, Kate] FIG Young Surveyors Network, Copenhagen, Denmark; [Kebede, Solomon] Fed Urban Real Property Registrat &amp; Informat Agcy, Addis Ababa, Ethiopia</t>
  </si>
  <si>
    <t>Fairlie, K (corresponding author), Land Equ Int, Wollongong, NSW, Australia.</t>
  </si>
  <si>
    <t>REED BUSINESS-GEO</t>
  </si>
  <si>
    <t>LEMMER</t>
  </si>
  <si>
    <t>PO BOX 112, LEMMER, 8530 AC, NETHERLANDS</t>
  </si>
  <si>
    <t>GIM INT</t>
  </si>
  <si>
    <t>GIM Int.</t>
  </si>
  <si>
    <t>FO0YX</t>
  </si>
  <si>
    <t>music therapy; clinical practice; global trends; international survey study</t>
  </si>
  <si>
    <t>[Kern, Petra] Univ Louisville, Louisville, KY 40292 USA; [Tague, Daniel B.] Shenandoah Univ, Winchester, VA USA; Univ Louisville, Sch Mus, Louisville, KY 40292 USA</t>
  </si>
  <si>
    <t>petrakern@musictherapy.biz</t>
  </si>
  <si>
    <t>OXFORD UNIV PRESS INC</t>
  </si>
  <si>
    <t>CARY</t>
  </si>
  <si>
    <t>JOURNALS DEPT, 2001 EVANS RD, CARY, NC 27513 USA</t>
  </si>
  <si>
    <t>J MUSIC THER</t>
  </si>
  <si>
    <t>J. Music Ther.</t>
  </si>
  <si>
    <t>Music; Rehabilitation</t>
  </si>
  <si>
    <t>FL6OY</t>
  </si>
  <si>
    <t>urban renewal; stakeholders' expectations; social sustainability; China</t>
  </si>
  <si>
    <t>HONG-KONG; SOCIAL SUSTAINABILITY; CONSTRUCTION PROJECTS; DECISION-MAKING; REGENERATION; BUILDINGS; PARTICIPATION; DESIGN; CITY; INFRASTRUCTURE</t>
  </si>
  <si>
    <t>[Zhuang, Taozhi; Qian, Queena K.; Visscher, Henk J.; Elsinga, Marja G.] Delft Univ Technol, OTB Res Built Environm, Julianalaan 134, NL-2628 BL Delft, Netherlands</t>
  </si>
  <si>
    <t>Zhuang, TZ (corresponding author), Delft Univ Technol, OTB Res Built Environm, Julianalaan 134, NL-2628 BL Delft, Netherlands.</t>
  </si>
  <si>
    <t>China Scholarship Council; OTB Research for the Built Environment, Delft University of Technology; Delft Technology Fellowship</t>
  </si>
  <si>
    <t>China Scholarship Council(China Scholarship Council); OTB Research for the Built Environment, Delft University of Technology; Delft Technology Fellowship</t>
  </si>
  <si>
    <t>This work is supported by the China Scholarship Council and OTB Research for the Built Environment, Delft University of Technology. The second author is grateful for the Delft Technology Fellowship (2014-2019) and for generous funding support.</t>
  </si>
  <si>
    <t>FI0MT</t>
  </si>
  <si>
    <t>Kendall, S</t>
  </si>
  <si>
    <t>Kendall, Stephen</t>
  </si>
  <si>
    <t>Four Decades of Open Building Implementation: Realising Individual Agency in Architectural Infrastructures Designed to Last</t>
  </si>
  <si>
    <t>Baumschlager Eberle; Solids 1&amp;2; Ijburg; Amsterdam; RPHS Architects; Patrimoniums Woningen renovation; Voorburg; Netherlands; John Habraken; SAR (Foundation for Architects Research); Japan; Open Building Network; Frans Van der Werf; Molenvliet-Wilgendonk housing; Papendrecht; Karel Dekker (KD Consultants); Matura Inbouw; Infill Systems BV; Next21; Osaka; Japan; Osaka Gas Company; Professor Yositika Utida; Seattle; Banner Building; Weinstein Architects; PlusHome Arabianranta'; Helsinki; ArkOpen; Tocoman; Sato development company; raw space' projects; Finland; Tiuri &amp; Lommi; Talli; Tila housing block; Esko Kahri; Ulpu Tiuri; Building Information Foundation; Moscow; Catamaran House Project; Vladimir Plotkin (Reserve Architects); Lingotto; ANA Architecten; Multifunk; Frank Bijdendijk; Stadgenoot housing corporation; Solid 11; Tony Fretton; Mark Koehler Architects (MKA); Superlofts; Tom Frantzen Architects; Patch22; Office for Real Estate and Public Buildings of the Swiss Canton of Bern (OPB); Switzerland; System Separation; Japanese government; Act for Promotion of Long-Life Quality Housing; Tokyo; Haseko Corporation; skeleton-infill'; Bridgestone; Chinese government; Institute of Building Standard Design &amp; Research (CBS); (Unity Tech Group); US government; Defense Health Agency</t>
  </si>
  <si>
    <t>The open building' approach grew out of research and early projects starting in the 1960s, aimed at overcoming the rigidity of the prevailing top-down housing process in the Netherlands. Geared to ensuring user control and sustainability in the built stock, it involves coordinating stakeholders in the real estate development process, enabling variety and change to become efficient. Architect, researcher and educator Stephen Kendall explains the approach and describes pioneering projects in Europe, Japan, China, the US and Russia, as well as detailing instances around the world where it has become part of public policy.</t>
  </si>
  <si>
    <t>[Kendall, Stephen] Infill Syst, Philadelphia, PA 19119 USA; [Kendall, Stephen] CIB W104 Commiss, Open Bldg Implementat, Philadelphia, PA USA</t>
  </si>
  <si>
    <t>Kendall, S (corresponding author), Infill Syst, Philadelphia, PA 19119 USA.</t>
  </si>
  <si>
    <t>10.1002/ad.2216</t>
  </si>
  <si>
    <t>FG0OW</t>
  </si>
  <si>
    <t>WOS:000409460400008</t>
  </si>
  <si>
    <t>Robertson-Malt, S; Norton-Westwood, D</t>
  </si>
  <si>
    <t>Robertson-Malt, Suzanne; Norton-Westwood, Deborah</t>
  </si>
  <si>
    <t>Framework of care: communicating the structure and processes of care</t>
  </si>
  <si>
    <t>INTERNATIONAL JOURNAL OF EVIDENCE-BASED HEALTHCARE</t>
  </si>
  <si>
    <t>framework of care; evidence based practice; decision support; clinical pathways; standards of care</t>
  </si>
  <si>
    <t>CLINICAL-PRACTICE GUIDELINES; HEALTH-CARE; STRATEGIC MANAGEMENT; SYSTEMATIC REVIEWS; QUALITY; IMPROVEMENT; INSTRUMENT; APPRAISAL; STANDARDS; FAILURE</t>
  </si>
  <si>
    <t>Aim: This article attempts to present a 'macro view' of the role and nature of an organization's Framework of Care (FrOC). This 'view' arises from a critical reflection on the available literature and the combined professional experience of the authors, who have worked in a variety of healthcare systems and settings in Australia, North America, United Kingdom, and the Middle East. Background: FrOC can be defined as the systems and processes within an organization that structure the delivery of care. These systems and processes are made evident in a series of documents, such as the Mission and Vision statement, Policies and Procedures, Standards of Care, Clinical Practice Guidelines, Clinical Pathways, and Protocols. These frameworks can provide structure for important organizational activities such as clinical audits, quality management and clinical information system (CIS) 'decision support', thereby supporting clinicians in their efforts to deliver high-quality, evidence-based care. How a healthcare organization structures its systems and processes of care directly impacts the patient and caregiver experience-made evident in patient and staff satisfaction with the services provided. Recommendations: Mapping out and understanding an organization's FrOC is a critical first step for interprofessional teams attempting to implement evidence into practice and/or accreditation teams and expert consultants critiquing the performance of an organization. Summary statement What is already known about this topic? The important role that documents relating to care processes play within a healthcare organization for example, policies and procedures. Owing to the complexity of today's healthcare environment, the translation, utilization, and implementation of evidence into clinical practice remains an ongoing challenge. What this paper adds For teams attempting to implement evidence into practice, key criteria of success are dependent on their ability to first understand an organization's FrOC. Highlighted is the essential need of organizations to establish consensus on the definition and purpose of the core elements that encompass the FrOC. The implications of this paper Increasing caregiver knowledge and understanding regarding the variety elements that comprise the FrOC is a critical step in assisting an organization's efforts to standardize the processes of care and implement evidence into practice. Information management teams attempting to build and/or revise clinical information systems and an electronic medical record benefit from a clear understanding of an organization's systems and processes of care.</t>
  </si>
  <si>
    <t>[Robertson-Malt, Suzanne] Cleveland Clin, Educ Evidence Based Practice &amp; Magnet, Abu Dhabi, U Arab Emirates; [Norton-Westwood, Deborah] Sidra Med &amp; Res Ctr, Evidence Based Healthcare, Educ City North Campus,1st Floor, Doha, Qatar</t>
  </si>
  <si>
    <t>Norton-Westwood, D (corresponding author), Sidra Med &amp; Res Ctr, Evidence Based Healthcare, Educ City North Campus,1st Floor, Doha, Qatar.</t>
  </si>
  <si>
    <t>dwestwood@sidra.org</t>
  </si>
  <si>
    <t>1744-1609</t>
  </si>
  <si>
    <t>1744-1595</t>
  </si>
  <si>
    <t>INT J EVID-BASED HEA</t>
  </si>
  <si>
    <t>Int. J. Evid.-Based Healthc.</t>
  </si>
  <si>
    <t>10.1097/XEB.0000000000000114</t>
  </si>
  <si>
    <t>FQ7DQ</t>
  </si>
  <si>
    <t>WOS:000418523400002</t>
  </si>
  <si>
    <t>Rapoport, E; Hult, A</t>
  </si>
  <si>
    <t>Rapoport, Elizabeth; Hult, Anna</t>
  </si>
  <si>
    <t>The travelling business of sustainable urbanism: International consultants as norm-setters</t>
  </si>
  <si>
    <t>Sustainability; urban planning; ecological modernization; Eco-city; policy mobilities</t>
  </si>
  <si>
    <t>ECO-CITIES; ENTREPRENEURIAL CITY; POLICY MOBILITIES; GLOBAL CIRCUITS; CHINA; POLITICS; COMMUNITIES; CIRCULATION; GOVERNANCE; KNOWLEDGE</t>
  </si>
  <si>
    <t>This article examines the international travels of ideas about sustainable urban planning and design through a focus on private sector architecture, planning and engineering consultants. These consultants, who we refer to as the global intelligence corps (GIC), package up their expertise in urban sustainability as a marketable commodity, and apply it on projects around the world. In doing so, the global intelligence corps shape norms about what constitutes good' sustainable urban planning, and contribute to the development of an internationalised travelling model of sustainable urbanism. This article draws on a broad study of the industry (GIC) in sustainable urban planning and design, and two in-depth case studies of Swedish global intelligence corps firms working on Chinese Eco-city projects. Analysis of this material illustrates how the global intelligence corps's work shapes a traveling model of sustainable urbanism, and how this in turn creates and reinforces particular norms in urban planning practice.</t>
  </si>
  <si>
    <t>[Rapoport, Elizabeth] UCL, Boston House,2nd Floor,36-38 Fitzroy Sq, London WI T 6EY, England; [Hult, Anna] Royal Inst Technol, Stockholm, Sweden</t>
  </si>
  <si>
    <t>Rapoport, E (corresponding author), UCL, Boston House,2nd Floor,36-38 Fitzroy Sq, London WI T 6EY, England.</t>
  </si>
  <si>
    <t>e.rapoport@ucl.ac.uk</t>
  </si>
  <si>
    <t>United Kingdom Engineering and Physical Sciences Research Council, Buro Happold Engineering; Royal Institute of Technology -KTH, Stockholm, Sweden; UK Economic and Social Science Research Council [ES/K007742/1]</t>
  </si>
  <si>
    <t>United Kingdom Engineering and Physical Sciences Research Council, Buro Happold Engineering; Royal Institute of Technology -KTH, Stockholm, Sweden; UK Economic and Social Science Research Council</t>
  </si>
  <si>
    <t>The author(s) disclosed receipt of the following financial support for the research, authorship, and/or publication of this article: This work was supported by studentships granted by the United Kingdom Engineering and Physical Sciences Research Council, Buro Happold Engineering and The Royal Institute of Technology -KTH, Stockholm, Sweden and the UK Economic and Social Science Research Council (Grant ES/K007742/1).</t>
  </si>
  <si>
    <t>10.1177/0308518X16686069</t>
  </si>
  <si>
    <t>FB1AM</t>
  </si>
  <si>
    <t>WOS:000405876100006</t>
  </si>
  <si>
    <t>Doh, K; Park, S; Kim, DY</t>
  </si>
  <si>
    <t>Doh, Kyungrok; Park, Sangwon; Kim, Dae-Young</t>
  </si>
  <si>
    <t>Antecedents and consequences of managerial behavior in agritourism</t>
  </si>
  <si>
    <t>TOURISM MANAGEMENT</t>
  </si>
  <si>
    <t>Rural tourism; B&amp;B; Agritourism; Entrepreneurship</t>
  </si>
  <si>
    <t>RURAL TOURISM; FAMILY BUSINESSES; ENTREPRENEURSHIP; GROWTH; FIRMS; FARM; DIVERSIFICATION; PERFORMANCE; ENTERPRISES; ENVIRONMENT</t>
  </si>
  <si>
    <t>Drawing from contingency theory and the concept of entrepreneurship, this study investigates the viability of small-scale agritourism business. Specifically, this paper identifies the antecedents (i.e., external environment and internal conditions) and consequences (i.e., financial and non-financial benefits) of managerial behaviors (i.e., innovation, pro-activeness, and aggressiveness) that exist when operating an agritourism business. Based on responses from the USDA census of agriculture, the results of this research reveal the heterogeneous effects of antecedents that contribute positively and negatively to managerial behavior. The varied influences of managerial behavior on different types of business performance are identified. Also, theoretical implications of the development of agritourism studies as well as managerial implications for owners, consultants, and policymalcers related to the small tourism business in rural areas are provided. (C) 2017 Elsevier Ltd. All rights reserved.</t>
  </si>
  <si>
    <t>[Doh, Kyungrok] Minist Agr Food &amp; Rural Affairs, Food Serv Ind Div, 94,Dasom 2 Ro, Sejong City 339012, South Korea; [Park, Sangwon] Univ Surrey, Sch Hospitality &amp; Tourism Management, 53MS02, Guildford GU2 7XH, Surrey, England; [Kim, Dae-Young] Univ Missouri, Hospitality Management, 115 Eckles Hall, Columbia, MO 65211 USA</t>
  </si>
  <si>
    <t>Kim, DY (corresponding author), Univ Missouri, Hospitality Management, 115 Eckles Hall, Columbia, MO 65211 USA.</t>
  </si>
  <si>
    <t>roadtokr@korea.kr; sangwon.park@surrey.ac.uk; kimdae@missouri.edu</t>
  </si>
  <si>
    <t>KIM, DAE-YOUNG/AAD-2285-2022; Sangwon, Park/AAM-4280-2021; Park, Sangwon/U-7215-2019</t>
  </si>
  <si>
    <t>KIM, DAE-YOUNG/0000-0001-8999-3691; Park, Sangwon/0000-0003-3021-1987</t>
  </si>
  <si>
    <t>0261-5177</t>
  </si>
  <si>
    <t>1879-3193</t>
  </si>
  <si>
    <t>TOURISM MANAGE</t>
  </si>
  <si>
    <t>Tourism Manage.</t>
  </si>
  <si>
    <t>10.1016/j.tourman.2017.03.023</t>
  </si>
  <si>
    <t>Environmental Studies; Hospitality, Leisure, Sport &amp; Tourism; Management</t>
  </si>
  <si>
    <t>Environmental Sciences &amp; Ecology; Social Sciences - Other Topics; Business &amp; Economics</t>
  </si>
  <si>
    <t>EU9ZM</t>
  </si>
  <si>
    <t>WOS:000401398200051</t>
  </si>
  <si>
    <t>del Monte, L; Scatteia, L</t>
  </si>
  <si>
    <t>del Monte, Luca; Scatteia, Luigi</t>
  </si>
  <si>
    <t>A socio-economic impact assessment of the European launcher sector</t>
  </si>
  <si>
    <t>ACTA ASTRONAUTICA</t>
  </si>
  <si>
    <t>In a context where the economic strains are challenging European policies as well as the very fabric of governmental contributions to public life, innovation and efficacy of public policy in research are called upon to support growth in Europe and to sustain employment and entrepreneurial capacities. Governments need evidence that the investments in space, while providing strategic tools to implement sovereign policies, create jobs and build the competitive European economy of the future. This is particularly true when the decisions at stake have a potential bearing on the future of the European space sector for at least the next 30 years, as it has been the case for the ESA Council at ministerial level meeting in December 2014. On that occasion, Ministers took the decision to start the development of a new Ariane 6 launcher and Vega evolutions having a critical bearing on the Member States' strategic industrial capabilities and on the sustainability of the European guaranteed access to space. Given the importance of the subject, and following similar studies undertaken in the past for e.g. the Ariane 1-4 programme, the Agency has requested an independent consulting team to perform a dedicated study to assess ex-post the direct, indirect and induced socio-economic impacts of the Ariane 5 programme (mid-term evaluation) and of the Vega programme (early evaluation) globally, at European level, and within the economies and industries of each ESA Member State. This paper presents the assessment of the socio-economic impacts allowing the evaluation of the return on public investments in launchers through ESA in a wider perspective, going beyond the purely economic terms. The scope of the assessment covered in total approximately 25 ESA programmatic and activity lines and 30,000 commitments from 1986 to end 2012. In the framework of the study, the economic impact of the European launcher programmes is measured through a GDP impact defined as the straight economic activity deriving from the injection of Participating States funding channelled through ESA into the space upstream (manufacturing) industry, and through a cumulative assessment of the enabled revenues (catalytic impacts) arising from Ariane 5 and Vega operations.</t>
  </si>
  <si>
    <t>[del Monte, Luca] European Space Agcy, Paris, France; [Scatteia, Luigi] PriceWaterhouse Coopers Advisory, Paris, France</t>
  </si>
  <si>
    <t>del Monte, L (corresponding author), European Space Agcy, Paris, France.</t>
  </si>
  <si>
    <t>Luca.del.monte@esa.int; scatteia.luigi@fr.pwc.com</t>
  </si>
  <si>
    <t>ESA [11606/96/F/TB CCN, 4000110988-14-F-MOS, 01]</t>
  </si>
  <si>
    <t>ESA(European Space Agency)</t>
  </si>
  <si>
    <t>1 Bramshill Consultancy Ltd. Study on the economic effects of the Ariane 1-4 programmes. Prepared under ESA Contract Number 11606/96/F/TB CCN Number 01 (2001); 2 Socio-Economic Impact Assessment of Access to Space in Europe: an Ex-Post Analysis of the Ariane 5 and Vega Programmes. Prepared under ESA contract Number 4000110988-14-F-MOS (2014) by PricewaterhouseCoopers Strategy &amp;, Cambridge Econometrics.</t>
  </si>
  <si>
    <t>0094-5765</t>
  </si>
  <si>
    <t>1879-2030</t>
  </si>
  <si>
    <t>ACTA ASTRONAUT</t>
  </si>
  <si>
    <t>Acta Astronaut.</t>
  </si>
  <si>
    <t>10.1016/j.actaastro.2017.01.005</t>
  </si>
  <si>
    <t>EZ9HZ</t>
  </si>
  <si>
    <t>WOS:000405042000048</t>
  </si>
  <si>
    <t>Natural Heritage; Tourism; Higher Education Institution; Guerrero; South Mexico</t>
  </si>
  <si>
    <t>nsninog@uagro.mx</t>
  </si>
  <si>
    <t>Gutiérrez, Naú Silverio Niño/AAT-3183-2020; Niño-Gutiérrez, Naú Silverio/W-2654-2017</t>
  </si>
  <si>
    <t>Gutiérrez, Naú Silverio Niño/0000-0001-9250-0798; Niño-Gutiérrez, Naú Silverio/0000-0001-9250-0798</t>
  </si>
  <si>
    <t>ECATEPEC</t>
  </si>
  <si>
    <t>REVISTA ECORFAN, ECATEPEC, 00000, MEXICO</t>
  </si>
  <si>
    <t>REV ECORFAN</t>
  </si>
  <si>
    <t>Rev. Ecorfan</t>
  </si>
  <si>
    <t>FW3RY</t>
  </si>
  <si>
    <t>Environmental management; management framework; public participation; sensitive species; reptiles</t>
  </si>
  <si>
    <t>INCUBATION-TEMPERATURE; CHEMICAL CUES; CITIZEN SCIENCE; HABITAT USE; BEHAVIOR; PINESNAKES; PARTICIPATION; BIODIVERSITY; HIBERNACULA; PHILOPATRY</t>
  </si>
  <si>
    <t>[Burger, Joanna] Div Life Sci, 604 Allison Rd, Piscataway, NJ 08854 USA; [Gochfeld, Michael] Robert Wood Johnson Med Sch, Environm &amp; Community Med, Piscataway, NJ 08854 USA; [Zappalorti, Robert T.; Schneider, David; McCort, Matt] Herpetol Associates Inc, 405 Magnolia Rd, Pemberton, NJ 08068 USA; [DeVito, Emile] New Jersey Conservat Fdn, 170 Longview Rd, Far Hills, NJ 08068 USA</t>
  </si>
  <si>
    <t>Burger, J (corresponding author), Div Life Sci, 604 Allison Rd, Piscataway, NJ 08854 USA.</t>
  </si>
  <si>
    <t>burger@biology.rutgers.edu; mg930@eohsi.rutgers.edu; RZappalort@aol.com; emile@njconservation.org; jeitner@biology.rutgers.edu; pittfield@biology.rutgers.edu; dschneider@herpetologicalassociates.com; mmccort@herpetologicalassociates.com</t>
  </si>
  <si>
    <t>Rutgers University Protocol [E86-017]</t>
  </si>
  <si>
    <t>Rutgers University Protocol</t>
  </si>
  <si>
    <t>We thank the many agencies and individuals who have helped study and preserve Pine Snakes in the New Jersey Pine Barrens, especially Dave Jenkins and Dave Golden of the Endangered and Non-game Species Program, the Division of Parks and Forestry of the New Jersey Department of Environmental Protection, New Jersey Conservation Federation, Nature Conservancy, Rutgers University, Drexel University, Herpetological Associates staff members, and other Burger graduate students, as well as Kris Schantz, Cynthia Coritz, and Walter Bien. This research was performed under Rutgers University Protocol number E86-017, and appropriate state permits. The views, opinions, and data presented in this paper are the responsibility of the authors, and not the funding agencies.</t>
  </si>
  <si>
    <t>MODESTO</t>
  </si>
  <si>
    <t>2525 IOWA  AVE, MODESTO, CA 95358-9467 USA</t>
  </si>
  <si>
    <t>AMPHIB REPTILE CONSE</t>
  </si>
  <si>
    <t>Amphib. Reptile Conserv.</t>
  </si>
  <si>
    <t>FJ4KL</t>
  </si>
  <si>
    <t>Tanis, H; Barker, I</t>
  </si>
  <si>
    <t>Tanis, Hasan; Barker, Ian</t>
  </si>
  <si>
    <t>E-MENTORING AT A DISTANCE: AN APPROACH TO SUPPORT PROFESSIONAL DEVELOPMENT IN WORKPLACES</t>
  </si>
  <si>
    <t>TURKISH ONLINE JOURNAL OF DISTANCE EDUCATION</t>
  </si>
  <si>
    <t>Online education; e-mentoring; computer mediated communication; professional development; workplace learning</t>
  </si>
  <si>
    <t>ONLINE</t>
  </si>
  <si>
    <t>The rapid growth of technology has had a significant effect on educational activities. As a result of this growth, a shift has taken place from a behaviorist teaching style to a constructivist perspective which enables adult learners to build up knowledge collaboratively. Mentoring, a valuable tool within the constructivism approach, can offer a two-way knowledge-sharing environment in which participants can adopt what they learn into their workplaces through a process called transformative learning. Mentoring has now embraced technological advances so that participants can contact each other with synchronous and asynchronous communication tools such as Skype and e-mail respectively. This research project was conducted in a governmental company as a case study in order to study how the participants of mentoring understand their roles, and how they perceive these roles when communicating through Skype and e-mail. The project culminates in suggestions for a new e-mentoring model for practitioners. One of the findings in the research shows that the understanding of the mentoring relationship is diverse, and most participants have confusion about the different meanings of coaching, mentoring and consulting. However, almost all the participants agree that mentors should have a strong position to foster transformative learning in a mentoring process. Although transformative learning has not occurred in the relationships, Skype is a supporting technology for mentors to complement e-mail dialogs by clarification, and building up a trusting relationship. Moreover, some mentors often take an active role to manage and control the relationships as a leading position, but mentees mostly support this action by asking good questions and initiating meetings. Additionally, e-mail is used as a storage tool to review previous conversations, and it is used to re-schedule and initiate online meetings. Lastly, the researcher reflects on the implementation process as practical implications for other practitioners who would like to implement electronic mentoring in workplaces.</t>
  </si>
  <si>
    <t>[Tanis, Hasan] Turkish State Railways, Ankara Training Ctr, Ankara, Turkey; [Barker, Ian] Univ Manchester, Manchester Inst Educ, Manchester, Lancs, England</t>
  </si>
  <si>
    <t>Tanis, H (corresponding author), Turkish State Railways, Ankara Training Ctr, Ankara, Turkey.</t>
  </si>
  <si>
    <t>tanishasan@gmail.com; Ian.Barker@manchester.ac.uk</t>
  </si>
  <si>
    <t>Tanis, Hasan/L-2894-2015</t>
  </si>
  <si>
    <t>Tanis, Hasan/0000-0002-9866-4096</t>
  </si>
  <si>
    <t>ANADOLU UNIV</t>
  </si>
  <si>
    <t>ESKISEHIR</t>
  </si>
  <si>
    <t>FEN BILIMLERI ENSTITUSU, ESKISEHIR, 26470, TURKEY</t>
  </si>
  <si>
    <t>1302-6488</t>
  </si>
  <si>
    <t>TURK ONLINE J DISTAN</t>
  </si>
  <si>
    <t>Turk. Online J. Distance Educ.</t>
  </si>
  <si>
    <t>FL5IS</t>
  </si>
  <si>
    <t>WOS:000414269100009</t>
  </si>
  <si>
    <t>Economic growth; Infrastructure; improvement; Innovative strategies; Transportation; infrastructure; Nigeria</t>
  </si>
  <si>
    <t>ECONOMIC-GROWTH; PUBLIC INFRASTRUCTURE; INVESTMENT; PRODUCTIVITY; RETURNS; MODEL</t>
  </si>
  <si>
    <t>[Yapicioglu, Balkiz] Girne Amer Univ, Fac Architecture Design &amp; Fine Arts, Univ Dr,Mersin 10, TR-99428 Kyrenia, Kibris, Turkey; [Mogbo, Onyebuchi Nwabueze] Univ Lefke, Fac Architecture, Mersin 10, TR-99728 Lefke, Kibris, Turkey; [Yitmen, Ibrahim] Eastern Mediterranean Univ, Dept Civil Engn, Fac Engn, Mersin 10, TR-99628 Famagusta, Kibris, Turkey</t>
  </si>
  <si>
    <t>Yitmen, I (corresponding author), Eastern Mediterranean Univ, Dept Civil Engn, Fac Engn, Mersin 10, TR-99628 Famagusta, Kibris, Turkey.</t>
  </si>
  <si>
    <t>kaylabalkiz@yahoo.com; buchimgb@gmail.com; ibrahim.yitmen@emu.edu.tr</t>
  </si>
  <si>
    <t>SPRINGER INTERNATIONAL PUBLISHING AG</t>
  </si>
  <si>
    <t>INT J CIV ENG</t>
  </si>
  <si>
    <t>Int. J. Civ. Eng.</t>
  </si>
  <si>
    <t>FA6JQ</t>
  </si>
  <si>
    <t>van den Ent, MMVX; Swift, RD; Anaokar, S; Hegg, LA; Eggers, R; Cochi, SL</t>
  </si>
  <si>
    <t>van den Ent, Maya M. V. X.; Swift, Rachel D.; Anaokar, Sameer; Hegg, Lea Anne; Eggers, Rudolf; Cochi, Stephen L.</t>
  </si>
  <si>
    <t>Contribution of Global Polio Eradication Initiative-Funded Personnel to the Strengthening of Routine Immunization Programs in the 10 Focus Countries of the Polio Eradication and Endgame Strategic Plan</t>
  </si>
  <si>
    <t>JOURNAL OF INFECTIOUS DISEASES</t>
  </si>
  <si>
    <t>Poliomyelitis; eradication; endgame; routine immunization; health systems</t>
  </si>
  <si>
    <t>PRIMARY-HEALTH-CARE; IMPACT</t>
  </si>
  <si>
    <t>Background. The Polio Eradication and Endgame Strategic Plan (PEESP) established a target that at least 50% of the time of personnel receiving funding from the Global Polio Eradication Initiative (GPEI) for polio eradication activities (hereafter, GPEI-funded personnel) should be dedicated to the strengthening of immunization systems. This article describes the self-reported profile of how GPEI-funded personnel allocate their time toward immunization goals and activities beyond those associated with polio, the training they have received to conduct tasks to strengthen routine immunization systems, and the type of tasks they have conducted. Methods. A survey of approximately 1000 field managers of frontline GPEI-funded personnel was conducted by Boston Consulting Group in the 10 focus countries of the PEESP during 2 phases, in 2013 and 2014, to determine time allocation among frontline staff. Country-specific reports on the training of GPEI-funded personnel were reviewed, and an analysis of the types of tasks that were reported was conducted. Results. A total of 467 managers responded to the survey. Forty-seven percent of the time (range, 23%-61%) of GPEI-funded personnel was dedicated to tasks related to strengthening immunization programs, other than polio eradication. Less time was spent on polio-associated activities in countries that had already interrupted wild poliovirus (WPV) transmission, compared with findings for WPV-endemic countries. All countries conducted periodic trainings of the GPEI-funded personnel. The types of non-polio-related tasks performed by GPEI-funded personnel varied among countries and included surveillance, microplanning, newborn registration and defaulter tracing, monitoring of routine immunization activities, and support of district immunization task teams, as well as promotion of health behaviors, such as clean-water use and good hygiene and sanitation practices. Conclusion. In all countries, GPEI-funded personnel perform critical tasks in the strengthening of routine immunization programs and the control of measles and rubella. In certain countries with very weak immunization systems, GPEI-funded personnel provide critical support for the immunization programs, and sudden discontinuation of their employment would potentially disrupt the immunization programs in their countries and create a setback in capacity and effectiveness that would put children at higher risk for vaccine-preventable diseases.</t>
  </si>
  <si>
    <t>[van den Ent, Maya M. V. X.] United Nations Childrens Fund, UNICEF Programme Div, New York, NY USA; [Swift, Rachel D.; Anaokar, Sameer] Boston Consulting Grp Inc, Los Angeles, CA USA; [Hegg, Lea Anne] Bill &amp; Melinda Gates Fdn, Global Dev, Seattle, WA USA; [Cochi, Stephen L.] Ctr Dis Control &amp; Prevent, Global Immunizat Div, Atlanta, GA USA; [Eggers, Rudolf] WHO, Dept Immunizat Vaccines &amp; Biol, Geneva, Switzerland</t>
  </si>
  <si>
    <t>van den Ent, MMVX (corresponding author), Hlth Sect, 3 UN Plaza, New York, NY 10017 USA.</t>
  </si>
  <si>
    <t>mvandenent@unicef.org</t>
  </si>
  <si>
    <t>Bill and Melinda Gates Foundation</t>
  </si>
  <si>
    <t>Bill and Melinda Gates Foundation(Bill &amp; Melinda Gates Foundation)</t>
  </si>
  <si>
    <t>This work was supported by the Bill and Melinda Gates Foundation.</t>
  </si>
  <si>
    <t>0022-1899</t>
  </si>
  <si>
    <t>1537-6613</t>
  </si>
  <si>
    <t>J INFECT DIS</t>
  </si>
  <si>
    <t>J. Infect. Dis.</t>
  </si>
  <si>
    <t>S244</t>
  </si>
  <si>
    <t>S249</t>
  </si>
  <si>
    <t>10.1093/infdis/jiw567</t>
  </si>
  <si>
    <t>Immunology; Infectious Diseases; Microbiology</t>
  </si>
  <si>
    <t>FA0BB</t>
  </si>
  <si>
    <t>WOS:000405094500032</t>
  </si>
  <si>
    <t>artificial neural network; outlier; quartile outlier method; statistical analysis; water consumption</t>
  </si>
  <si>
    <t>REGRESSION; AREA; RAINFALL; INPUT</t>
  </si>
  <si>
    <t>[Huang, An-Chi; Huang, Chung-Fu] Natl Yunlin Univ Sci &amp; Technol, YunTech, Grad Sch Engn Sci &amp; Technol, 123 Univ Rd,Sec 3, Douliou City 64002, Yunlin, Taiwan; [Lee, Tzong-Yeang] Heng Zhi Technol Co Ltd, 7-3 Minsheng Rd, Tainan 72145, Taiwan; [Lin, Yu-Chen] Natl Penghu Univ Sci &amp; Technol, Dept Tourism &amp; Leisure, 300 Liuhe Rd, Magong 880, Penghu, Taiwan; [Shu, Chi-Min] Natl Yunlin Univ Sci &amp; Technol, Dept Safety Hlth &amp; Environm Engn, 123 Univ Rd,Sec 3, Touliu 64002, Yunlin, Taiwan; [Shu, Chi-Min] Natl Yunlin Univ Sci &amp; Technol, Grad Sch Safety Hlth &amp; Environm Engn, 123 Univ Rd,Sec 3, Touliu 64002, Yunlin, Taiwan</t>
  </si>
  <si>
    <t>Lin, YC (corresponding author), Natl Penghu Univ Sci &amp; Technol, Dept Tourism &amp; Leisure, 300 Liuhe Rd, Magong 880, Penghu, Taiwan.</t>
  </si>
  <si>
    <t>aarcc9988@gmail.com; ntylee@gmail.com; vyuchen@gmail.com; huangchungfu@gmail.com; shucm@yuntech.edu.tw</t>
  </si>
  <si>
    <t>Shu, Chi-Min/AHE-7272-2022</t>
  </si>
  <si>
    <t>Shu, Chi-Min/0000-0001-9455-6162; huang, chungfu/0000-0002-5131-4013; Huang, An-Chi/0000-0002-7682-5434</t>
  </si>
  <si>
    <t>Ministry of Science and Technology, Taiwan, ROC [NSC 98-2621-M-426-003]</t>
  </si>
  <si>
    <t>Ministry of Science and Technology, Taiwan, ROC(Ministry of Science and Technology, Taiwan)</t>
  </si>
  <si>
    <t>Financial support for this study was provided by the Ministry of Science and Technology, Taiwan, ROC (NSC 98-2621-M-426-003).</t>
  </si>
  <si>
    <t>FC2PY</t>
  </si>
  <si>
    <t>Hydraulic mission; infrastructure; water demand management; governance; hydro-politics; scale</t>
  </si>
  <si>
    <t>POLITICS; DAM</t>
  </si>
  <si>
    <t>[Crow-Miller, Britt] Arizona State Univ, Sch Future Innovat Soc, Tempe, AZ 85281 USA; [Webber, Michael] Univ Melbourne, Sch Geog, Melbourne, Vic, Australia; [Molle, Francois] IRD, Montpellier, France</t>
  </si>
  <si>
    <t>Crow-Miller, B (corresponding author), Arizona State Univ, Sch Future Innovat Soc, Tempe, AZ 85281 USA.</t>
  </si>
  <si>
    <t>bcm@asu.edu; mjwebber@unimelb.edu.au; francois.molle@ird.fr</t>
  </si>
  <si>
    <t>Molle, Francois/J-1159-2014</t>
  </si>
  <si>
    <t>Molle, Francois/0000-0001-5748-8770</t>
  </si>
  <si>
    <t>EX4VF</t>
  </si>
  <si>
    <t>Policy network; State transformation; water demand management; hydraulic mission; South Africa</t>
  </si>
  <si>
    <t>[Bourblanc, Magalie] Ctr Cooperat Int Rech Agron Dev CIRAD, UMR G Eau, Montpellier, France; [Bourblanc, Magalie] Univ Pretoria, Dept Polit Sci, GovInn, Pretoria, South Africa</t>
  </si>
  <si>
    <t>Bourblanc, M (corresponding author), Ctr Cooperat Int Rech Agron Dev CIRAD, UMR G Eau, Montpellier, France.;Bourblanc, M (corresponding author), Univ Pretoria, Dept Polit Sci, GovInn, Pretoria, South Africa.</t>
  </si>
  <si>
    <t>magalie.bourblanc@cirad.fr</t>
  </si>
  <si>
    <t>Urban disaster; Emergency evacuation model; Traffic assignment; Cube Avenue</t>
  </si>
  <si>
    <t>[Sin, Heung Gweon] George Mason Univ Korea, Sch Business, Incheon, South Korea; [Joo, Yong Jin] Inha Tech Coll, Aerial GeoInformat, Incheon, South Korea</t>
  </si>
  <si>
    <t>Joo, YJ (corresponding author), Inha Tech Coll, Aerial GeoInformat, Incheon, South Korea.</t>
  </si>
  <si>
    <t>hsin3@gmu.edu; jyj@inhatc.ac.kr</t>
  </si>
  <si>
    <t>National Research Foundation of Korea Grant - Korean Government [NRF-2014S1A5B5A07042605]</t>
  </si>
  <si>
    <t>National Research Foundation of Korea Grant - Korean Government</t>
  </si>
  <si>
    <t>This work was supported by the National Research Foundation of Korea Grant funded by the Korean Government (NRF-2014S1A5B5A07042605).</t>
  </si>
  <si>
    <t>SPRINGER SINGAPORE PTE LTD</t>
  </si>
  <si>
    <t>#04-01 CENCON I, 1 TANNERY RD, SINGAPORE 347719, SINGAPORE</t>
  </si>
  <si>
    <t>SPAT INF RES</t>
  </si>
  <si>
    <t>Spat. Inf. Res.</t>
  </si>
  <si>
    <t>FK2GV</t>
  </si>
  <si>
    <t>hydraulic power; environnement; impact; Hydraulic infrastructure</t>
  </si>
  <si>
    <t>[Guerber, Francois; Roche, Pierre-Alain] Conseil Gen Environm &amp; Dev Duable, La Def, France</t>
  </si>
  <si>
    <t>Guerber, F (corresponding author), Conseil Gen Environm &amp; Dev Duable, La Def, France.</t>
  </si>
  <si>
    <t>HOUILLE BLANCHE</t>
  </si>
  <si>
    <t>Houille Blanche-Rev. Int.</t>
  </si>
  <si>
    <t>FE2YZ</t>
  </si>
  <si>
    <t>Bronze, Green Submitted</t>
  </si>
  <si>
    <t>social enterprise; Croatia</t>
  </si>
  <si>
    <t>NEO-LIBERALISM; ENTREPRENEURSHIP</t>
  </si>
  <si>
    <t>[Stubbs, Paul] Inst Econ, Trg J F Kennedyja 7, Zagreb 10000, Croatia; [Vidovic, Davorka] Fac Polit Sci, Zagreb, Croatia</t>
  </si>
  <si>
    <t>Stubbs, P (corresponding author), Inst Econ, Trg J F Kennedyja 7, Zagreb 10000, Croatia.</t>
  </si>
  <si>
    <t>pstubbs@eizg.hr</t>
  </si>
  <si>
    <t>Kuo, Aircraft/0000-0001-8329-6801; Stubbs, Paul/0000-0002-0318-4306; Vidovic, Davorka/0000-0003-2728-5993</t>
  </si>
  <si>
    <t>INST OF SOCIAL SCIENCES IVO PILAR</t>
  </si>
  <si>
    <t>MARULICEV TRG 19/1, 10001 ZAGREB, CROATIA</t>
  </si>
  <si>
    <t>DRUS ISTRAZ</t>
  </si>
  <si>
    <t>Drus. Istraz.</t>
  </si>
  <si>
    <t>Social Issues; Sociology</t>
  </si>
  <si>
    <t>FA1FA</t>
  </si>
  <si>
    <t>Saito, H; Ruhanen, L</t>
  </si>
  <si>
    <t>Saito, Hiroaki; Ruhanen, Lisa</t>
  </si>
  <si>
    <t>Power in tourism stakeholder collaborations: Power types and power holders</t>
  </si>
  <si>
    <t>JOURNAL OF HOSPITALITY AND TOURISM MANAGEMENT</t>
  </si>
  <si>
    <t>Power; Stakeholder; Collaboration; Tourism destination management</t>
  </si>
  <si>
    <t>SUSTAINABLE TOURISM; DESTINATION; MANAGEMENT</t>
  </si>
  <si>
    <t>Stakeholder collaboration is acknowledged as an important part of tourism destination planning and management. However, not all destination stakeholders have the same level of power and influence in collaborative activities or decision-making, with some groups able to exert more influence over the process. The purpose of this study was to identify and categorise the various types of power that influence stakeholder collaborations in tourism destination planning and management and determine which stakeholder groups hold these powers. A case study approach was adopted and data was collected from publicly available secondary resources. The study results show that four different types of power (coercive, legitimate, induced and competent power) were evident in stakeholder collaborations. Coercive power was mainly held by government and public sector agencies while DMOs and large private organisations were found to hold strong legitimate power. Induced power was exerted by federal, state and local governments; educational institutions and consulting firms tended to possess competent power. (C) 2017 The Authors.</t>
  </si>
  <si>
    <t>[Saito, Hiroaki; Ruhanen, Lisa] Univ Queensland, UQ Business Sch, 39 Blair Dr, St Lucia, Qld 4067, Australia</t>
  </si>
  <si>
    <t>Saito, H (corresponding author), Univ Queensland, UQ Business Sch, 39 Blair Dr, St Lucia, Qld 4067, Australia.</t>
  </si>
  <si>
    <t>hiroaki.saito@uqconnect.edu.au; l.ruhanen@uq.edu.au</t>
  </si>
  <si>
    <t>1447-6770</t>
  </si>
  <si>
    <t>1839-5260</t>
  </si>
  <si>
    <t>J HOSP TOUR MANAG</t>
  </si>
  <si>
    <t>J. Hosp. Tour. Manag.</t>
  </si>
  <si>
    <t>10.1016/j.jhtm.2017.01.001</t>
  </si>
  <si>
    <t>Hospitality, Leisure, Sport &amp; Tourism; Management</t>
  </si>
  <si>
    <t>Social Sciences - Other Topics; Business &amp; Economics</t>
  </si>
  <si>
    <t>FA7GS</t>
  </si>
  <si>
    <t>WOS:000405614200021</t>
  </si>
  <si>
    <t>MSWM; benchmark indicators; Ulaanbaatar; Mongolia; ger districts</t>
  </si>
  <si>
    <t>DEVELOPING-COUNTRIES; CITIES; CHALLENGES; CITY</t>
  </si>
  <si>
    <t>[Byamba, Bolorchimeg; Ishikawa, Mamoru] Hokkaido Univ, Grad Sch Environm Sci, Sapporo, Hokkaido 0600808, Japan</t>
  </si>
  <si>
    <t>Byamba, B (corresponding author), Hokkaido Univ, Grad Sch Environm Sci, Sapporo, Hokkaido 0600808, Japan.</t>
  </si>
  <si>
    <t>chimka@eis.hokudai.ac.jp; mishi@ees.hokudai.ac.jp</t>
  </si>
  <si>
    <t>EY6ZF</t>
  </si>
  <si>
    <t>Liu, YY; Chiu, YH</t>
  </si>
  <si>
    <t>Liu, Yu-Yun; Chiu, Yin-Hao</t>
  </si>
  <si>
    <t>Evaluation of the Policy of the Creative Industry for Urban Development</t>
  </si>
  <si>
    <t>creative industry; city competitiveness; fuzzy Delphi method (FDM); analytic network process (ANP); importance performance analysis (IPA); urban development strategy</t>
  </si>
  <si>
    <t>IMPORTANCE-PERFORMANCE ANALYSIS; DELPHI METHOD; CITIES; COMPETITIVENESS; SATISFACTION; ENVIRONMENT; CHINA</t>
  </si>
  <si>
    <t>Culture, an intellectual capital of a city, is accumulated through the intellect and wisdom of the government, citizens, businesses and other organizations. Cities regardless of their size are seeking their own distinguishing features and positions. By combining culture and creativity to improve international visibility, cities can develop new potentials, create job opportunities and boost economic growth. Therefore, cultural and creative industries have become the core industries that cities worldwide actively seek to develop; furthermore, various city governments have unanimously agreed that the creative industry will effectively improve urban economic competitiveness. This study investigated how the creative industry improved urban competitiveness, developed relevant assessment indexes and formulated policies for developing the creative industry. First, the fuzzy Delphi method was adopted to determine the indexes for assessing the creative industry's positive influence on urban competitiveness. Subsequently, the analytic hierarchy process and the analytic network process were integrated to establish a model for assessing city-based creative industry development policies. City governments seeking to promote such policies can refer to this model. Finally, an importance-performance analysis was performed to investigate the satisfaction for policies related to creative industries, providing a reference for governments to promote pertinent policies. The results of this study indicated that the indexes of innovation capability, industrial cooperation, innovation incubation and industry-government-academia integration are crucial bases for cities to develop the creative industry. In addition, the policies of industrial R&amp;D and clustering, talent training and industrial consulting and expanding industrial and marketing channels and networks can be adopted to enhance creative industry development.</t>
  </si>
  <si>
    <t>[Liu, Yu-Yun] Univ Taipei, Inst Educ Adm &amp; Evaluat, Taipei 10048, Taiwan; [Chiu, Yin-Hao] Univ Taipei, Dept Urban Dev, Taipei 11153, Taiwan</t>
  </si>
  <si>
    <t>Chiu, YH (corresponding author), Univ Taipei, Dept Urban Dev, Taipei 11153, Taiwan.</t>
  </si>
  <si>
    <t>giga1209@gmail.com; yhchiu@go.utaipei.edu.tw</t>
  </si>
  <si>
    <t>Yin-Hao, Chiu/0000-0002-5436-020X</t>
  </si>
  <si>
    <t>Ministry of Science and Technology, the Executive Yuan [MOST 105-2410-H-845-011-MY3]; Ministry of Science and Technology</t>
  </si>
  <si>
    <t>Ministry of Science and Technology, the Executive Yuan; Ministry of Science and Technology(Ministry of Science, ICT &amp; Future Planning, Republic of Korea)</t>
  </si>
  <si>
    <t>This study is part of the project, an investigation into the policy of city development based on the cultural creative industry (Project No. MOST 105-2410-H-845-011-MY3), supported by the Ministry of Science and Technology, the Executive Yuan. We appreciate the Ministry of Science and Technology for the research funding.</t>
  </si>
  <si>
    <t>10.3390/su9061009</t>
  </si>
  <si>
    <t>WOS:000404133200140</t>
  </si>
  <si>
    <t>Public private partnerships; Institutional environment; Accounting treatment for P3s; Value for money; Alberta P3</t>
  </si>
  <si>
    <t>LESSONS; MONEY</t>
  </si>
  <si>
    <t>[Opara, Michael] Texas A&amp;M Univ, Commerce, College Stn, TX 77843 USA; [Elloumi, Fathi] Athabasca Univ, Athabasca, AB, Canada; [Okafor, Oliver] Southern Alberta Inst Technol, Calgary, AB, Canada; [Warsame, Hussein] Univ Calgary, Calgary, AB, Canada</t>
  </si>
  <si>
    <t>Opara, M (corresponding author), Texas A&amp;M Univ, Commerce, College Stn, TX 77843 USA.</t>
  </si>
  <si>
    <t>Michael.opara@tamuc.edu</t>
  </si>
  <si>
    <t>ACCOUNT FORUM</t>
  </si>
  <si>
    <t>Account. Forum</t>
  </si>
  <si>
    <t>EX5HG</t>
  </si>
  <si>
    <t>D'Aiuto, F; Gable, D; Syed, Z; Allen, Y; Wanyonyi, KL; White, S; Gallagher, JE</t>
  </si>
  <si>
    <t>D'Aiuto, F.; Gable, D.; Syed, Z.; Allen, Y.; Wanyonyi, K. L.; White, S.; Gallagher, J. E.</t>
  </si>
  <si>
    <t>Evidence summary: The relationship between oral diseases and diabetes</t>
  </si>
  <si>
    <t>GLYCEMIC CONTROL; PERIODONTAL TREATMENT; METABOLIC-CONTROL; MELLITUS; METAANALYSIS; OSSEOINTEGRATION; OBESITY; HEALTH</t>
  </si>
  <si>
    <t>Introduction This paper is the third of four rapid reviews undertaken to explore the relationships between oral health and general medical conditions in order to support teams within Public Health England, health practitioners and policymakers. Aims This review aimed to explore the nature of the association between poor oral health and diabetes when found in the same individuals or populations, having reviewed the most contemporary evidence in the field. Methods The reviews were undertaken by four groups each comprising consultant clinicians from medicine and dentistry, trainees, public health and academics. The methodology involved a streamlined rapid review process and synthesis of the findings. Results The results identified a number of systematic reviews of low to high quality suggesting that diabetes is associated with periodontal disease, tooth loss, and oral cancer in particular, and that the management of oral diseases, most notably periodontal care, has a short-term beneficial influence on metabolic outcomes related to diabetes; however, there is no evidence that this is sustained over the long-term and reduces the prevalence of the long-term complications. Conclusion Current evidence, of mixed quality, suggests a number of associations between oral diseases and diabetes mellitus (diabetes). Further high quality research is required in this field.</t>
  </si>
  <si>
    <t>[D'Aiuto, F.] Eastman Dent Inst, Periodontol, 256 Grays Inn Rd, London WC1X 8LD, England; [Gable, D.] Imperial Coll Healthcare NHS Trust, Diabet &amp; Endocrinol, St Marys Hosp, 1st Floor Mint Wing,Praed St, Paddington W2 1NY, England; [Syed, Z.] Leeds Teaching Hosp NHS Trust, Oral Med, Clarendon Way, Leeds LS2 9LU, W Yorkshire, England; [Allen, Y.] Hlth Educ England, Stewart House,32 Russell Sq, London WC1B 5DN, England; [Wanyonyi, K. L.] Kings Coll London, Dent Inst, Populat &amp; Patient Hlth, London, England; [Wanyonyi, K. L.] Univ Portsmouth, Dent Publ Hlth, Dent Acad, William Beatty Bldg, Portsmouth PO1 2QG, Hants, England; [White, S.] Publ Hlth England, Populat Hlth &amp; Care Div, Dent Publ Hlth, Hlth &amp; Wellbeing Directorate, Skipton House,80 London Rd, London SE1 6LH, England; [Gallagher, J. E.] Kings Coll London, Dent Inst, Oral Hlth Strategy, Denmark Hill Campus,Bessemer Rd, London SE5 9RS, England; [Gallagher, J. E.] Kings Coll London, Dent Inst, Populat &amp; Patient Hlth, Denmark Hill Campus,Bessemer Rd, London SE5 9RS, England; [Gallagher, J. E.] Kings Coll London, Dent Inst, Dent Publ Hlth, Denmark Hill Campus,Bessemer Rd, London SE5 9RS, England</t>
  </si>
  <si>
    <t>Gallagher, JE (corresponding author), Kings Coll London, Dent Inst, Oral Hlth Strategy, Denmark Hill Campus,Bessemer Rd, London SE5 9RS, England.;Gallagher, JE (corresponding author), Kings Coll London, Dent Inst, Populat &amp; Patient Hlth, Denmark Hill Campus,Bessemer Rd, London SE5 9RS, England.;Gallagher, JE (corresponding author), Kings Coll London, Dent Inst, Dent Publ Hlth, Denmark Hill Campus,Bessemer Rd, London SE5 9RS, England.</t>
  </si>
  <si>
    <t>jenny.gallagher@kcl.ac.uk</t>
  </si>
  <si>
    <t>Wanyonyi, Kristina/0000-0003-2320-6805; Gallagher, Professor/0000-0001-5068-8008</t>
  </si>
  <si>
    <t>Public Health England; Royal College of Surgeons; British Dental Association</t>
  </si>
  <si>
    <t>We would like to acknowledge the support of Public Health England, the Royal College of Surgeons and the British Dental Association.</t>
  </si>
  <si>
    <t>10.1038/sj.bdj.2017.544</t>
  </si>
  <si>
    <t>EY6RP</t>
  </si>
  <si>
    <t>WOS:000404111200018</t>
  </si>
  <si>
    <t>Sumpter, J; Wijesuriya, J; McComb, R; Thomas-Black, G; Connell, A; Achilleos, A</t>
  </si>
  <si>
    <t>Sumpter, Joanna; Wijesuriya, Julian; McComb, Rachel; Thomas-Black, Gilbert; Connell, Alistair; Achilleos, Andrew</t>
  </si>
  <si>
    <t>Specialty trainee-led intensive care unit induction</t>
  </si>
  <si>
    <t>CLINICAL TEACHER</t>
  </si>
  <si>
    <t>TEACHERS</t>
  </si>
  <si>
    <t>Background: Junior doctors from varied medical specialties are increasingly undertaking placements in intensive care units (ICUs). They may have minimal previous experience in the provision of advanced organ support, yet may have high levels of clinical responsibility. Traditional ICU induction has been consultant led, and has focused on local procedures and policies. A survey of trainees highlighted low levels of preparedness and confidence at managing advanced organ support, and dissatisfaction with the existing induction format. Methods: Based on survey feedback and personal experience, a focus group of specialty trainees identified five core topics to be covered in a half-day of interactive lecture-based teaching presentations and a trainee handbook. A systems-based approach to advanced organ support and ICU emergencies was adopted. In cycle2, formal written pre- and post-induction exams provided a more objective assessment of knowledge. Results: Two cycles of the new induction programme were delivered during consecutive junior doctor intakes, and yielded improved satisfaction and improved self-assessed confidence in routine and emergency management of advanced organ support and in the understanding of the principles of advanced organ support. Discussion: Specialty trainee-led induction may be better tailored to the needs of incoming junior doctors. This study demonstrated increased trainee satisfaction with induction and provided a legacy of teaching opportunity within the department, highlighting the potential for our near-peer model of induction. Safe and effective induction is paramount in the high-stakes ICU environment, but the principles described may also be transferrable to other clinical specialties.</t>
  </si>
  <si>
    <t>[Sumpter, Joanna; Wijesuriya, Julian; McComb, Rachel; Achilleos, Andrew] Whittington Hosp, Aneasthet &amp; Intens Care Dept, London, England; [Thomas-Black, Gilbert; Connell, Alistair] Univ Coll London Hosp, London, England</t>
  </si>
  <si>
    <t>Wijesuriya, J (corresponding author), Whittington Hosp, Aneasthet &amp; Intens Care Dept, London, England.</t>
  </si>
  <si>
    <t>j.wij@nhs.net</t>
  </si>
  <si>
    <t>Connell, Alistair/0000-0003-0318-1049; Wijesuriya, Julian/0000-0001-7231-3805</t>
  </si>
  <si>
    <t>1743-4971</t>
  </si>
  <si>
    <t>1743-498X</t>
  </si>
  <si>
    <t>CLIN TEACH</t>
  </si>
  <si>
    <t>Clin. Teach.</t>
  </si>
  <si>
    <t>10.1111/tct.12542</t>
  </si>
  <si>
    <t>Medicine, Research &amp; Experimental</t>
  </si>
  <si>
    <t>Research &amp; Experimental Medicine</t>
  </si>
  <si>
    <t>EU7TC</t>
  </si>
  <si>
    <t>WOS:000401236600010</t>
  </si>
  <si>
    <t>Hydro-power project; Reasons for delay; Pakistan; Project management; Relative frequency index; Relative severity index; Independent relative importance index; Khyber Pakhtunkhwa</t>
  </si>
  <si>
    <t>CONSTRUCTION PROJECTS; IDENTIFICATION; OVERRUN</t>
  </si>
  <si>
    <t>[Batool, Aysha; Abbas, Faisal] CIIT Ctr Hlth Res, Dept Management Sci, Pk Rd, Islamabad 44000, Pakistan; [Abbas, Faisal] Cornell Univ, Charles H Dyson Sch Appl Econ &amp; Management, 406 Warren Hall, Ithaca, NY 14850 USA</t>
  </si>
  <si>
    <t>Abbas, F (corresponding author), Independant Consultant &amp; Dev Res Scholar, Islamabad, Pakistan.</t>
  </si>
  <si>
    <t>ayshabatool17@gmail.com; fa99@cornell.edu</t>
  </si>
  <si>
    <t>Abbas, Faisal/AAP-3827-2020; Abbas, Faisal/L-6052-2016</t>
  </si>
  <si>
    <t>EU7HA</t>
  </si>
  <si>
    <t>Hassanain, M</t>
  </si>
  <si>
    <t>Hassanain, Mazen</t>
  </si>
  <si>
    <t>An Overview of the Performance Improvement Initiatives by the Ministry of Health in the Kingdom of Saudi Arabia</t>
  </si>
  <si>
    <t>INQUIRY-THE JOURNAL OF HEALTH CARE ORGANIZATION PROVISION AND FINANCING</t>
  </si>
  <si>
    <t>performance improvement; health care systems; lean; public health sector; health care policies</t>
  </si>
  <si>
    <t>LEAN 6 SIGMA; US HEALTH; CARE; OUTPATIENT; QUALITY; COSTS</t>
  </si>
  <si>
    <t>Saudi Arabia's Ministry of Health (MOH) use corporate performance improvement methodologies to develop and implement performance improvement initiatives designed to continue building on the Ministry's vision of transforming hospital operations and instituting a culture of quality and performance focused on the patient first principle. We evaluated the feasibility of setting up a performance improvement unit (PIU) within the MOH to apply the principles of Lean Six Sigma and to change management methodologies. The MOH collaborated with external consultants to implement PIU initiatives in 4 steps: PIU Setup, PIU Capability Building, High-Impact Project Implementation, and Project Sustainability and Knowledge Transfer. PIU units were setup across the 13 provinces over 90 days. The process included the promotion of knowledge sharing to strengthen the skill set of Saudi health care professionals and develop local performance improvement champions within the MOH who could lead, implement, and sustain future projects. Implementation was a challenge; though, early results from the High-Impact Project Implementation phase were encouraging. However, the sustainability of PIU interventions was poor, with performance improvement processes returning to baseline levels within 9 months. This case study shows that PIU implementation is a feasible approach for improving health care delivery in Saudi Arabia. Poor sustainability despite initial success highlights the need to further improve the engagement, incentivization, and training of team leaders and members to achieve long-term success with the program.</t>
  </si>
  <si>
    <t>[Hassanain, Mazen] King Saud Univ, Riyadh, Saudi Arabia</t>
  </si>
  <si>
    <t>Hassanain, M (corresponding author), King Saud Univ, Dept Surg, Coll Med, POB 7805, Riyadh 11472, Saudi Arabia.</t>
  </si>
  <si>
    <t>mhassanain@ksu.edu.sa</t>
  </si>
  <si>
    <t>Hassanain, Mazen/C-7256-2011</t>
  </si>
  <si>
    <t>Hassanain, Mazen/0000-0002-2441-5142</t>
  </si>
  <si>
    <t>0046-9580</t>
  </si>
  <si>
    <t>1945-7243</t>
  </si>
  <si>
    <t>INQUIRY-J HEALTH CAR</t>
  </si>
  <si>
    <t>Inquiry-J. Health Care Organ. Provis. Financ.</t>
  </si>
  <si>
    <t>MAY 11</t>
  </si>
  <si>
    <t>10.1177/0046958017707872</t>
  </si>
  <si>
    <t>EU6OZ</t>
  </si>
  <si>
    <t>WOS:000401154600001</t>
  </si>
  <si>
    <t>North Carolina; city of knowledge; post-industrial society; high-tech; economic development</t>
  </si>
  <si>
    <t>[Cummings, Alex Sayf] Georgia State Univ, POB 4117, Atlanta, GA 30302 USA</t>
  </si>
  <si>
    <t>Cummings, AS (corresponding author), Georgia State Univ, POB 4117, Atlanta, GA 30302 USA.</t>
  </si>
  <si>
    <t>alexcummings@gsu.edu</t>
  </si>
  <si>
    <t>Recent Doctoral Recipients Fellowship from the Andrew W. Mellon Foundation; American Council of Learned Societies; Archie K. Davis Fellowship from the North Caroliniana Society</t>
  </si>
  <si>
    <t>The author disclosed receipt of the following financial support for the research, authorship, and/or publication of this article: generous funding in the form of a Recent Doctoral Recipients Fellowship from the Andrew W. Mellon Foundation and the American Council of Learned Societies and an Archie K. Davis Fellowship from the North Caroliniana Society supported the research for this article.</t>
  </si>
  <si>
    <t>ET3GF</t>
  </si>
  <si>
    <t>SIZE</t>
  </si>
  <si>
    <t>[Glencross, Bonnie] Wilfrid Laurier Univ, Dept Archaeol &amp; Class Studies, Waterloo, ON N2L 3C5, Canada; [Warrick, Gary] Wilfrid Laurier Univ, Hist &amp; Indigenous Studies, Brantford, ON N3T 2Y3, Canada; [Eastaugh, Edward; Hodgetts, Lisa] Western Univ, Dept Anthropol, London, ON N6A 5C2, Canada; [Hawkins, Alicia] Laurentian Univ, Sch Environm, Sudbury, ON P3E 2C6, Canada; [Lesage, Louis] Huron Wendat Nation, Nionwentsio Off, Wendake, PQ G0A 4V0, Canada</t>
  </si>
  <si>
    <t>Glencross, B (corresponding author), Wilfrid Laurier Univ, Dept Archaeol &amp; Class Studies, Waterloo, ON N2L 3C5, Canada.</t>
  </si>
  <si>
    <t>glencross@wlu.ca</t>
  </si>
  <si>
    <t>Hawkins, Alicia/0000-0002-4173-9835; Hodgetts, Lisa/0000-0001-7114-0738</t>
  </si>
  <si>
    <t>ADV ARCHAEOL PRACT</t>
  </si>
  <si>
    <t>Adv. Archaeol. Pract.</t>
  </si>
  <si>
    <t>Archaeology</t>
  </si>
  <si>
    <t>HD8ZB</t>
  </si>
  <si>
    <t>C&amp;D waste; Waste management; Questionnaire; CLD; Systems thinking; Malaysia</t>
  </si>
  <si>
    <t>GREEN PRODUCT DESIGN; ENVIRONMENTAL-IMPACT; LIFE-CYCLE; MANAGEMENT; MINIMIZATION; SYSTEM; GENERATION; BUILDINGS; CHINA; SUSTAINABILITY</t>
  </si>
  <si>
    <t>[Esa, Mohd Reza; Halog, Anthony] Univ Queensland, Sch Earth &amp; Environm Sci, St Lucia, Qld 4072, Australia; [Esa, Mohd Reza] Univ Teknol MARA, Fac Architecture Planning &amp; Surveying, Shah Alam, Selangor, Malaysia; [Rigamonti, Lucia] Politecn Milan, Environm Sect, Dept Civil &amp; Environm Engn, Milan, Italy</t>
  </si>
  <si>
    <t>Esa, MR (corresponding author), Univ Queensland, Sch Earth &amp; Environm Sci, St Lucia, Qld 4072, Australia.</t>
  </si>
  <si>
    <t>reza_2711@yahoo.com</t>
  </si>
  <si>
    <t>School of Earth and Environmental Sciences; University of Queensland, Australia; Malaysian Ministry of Education and Universiti Teknologi MARA (UiTM), Malaysia</t>
  </si>
  <si>
    <t>School of Earth and Environmental Sciences; University of Queensland, Australia(University of Queensland); Malaysian Ministry of Education and Universiti Teknologi MARA (UiTM), Malaysia</t>
  </si>
  <si>
    <t>The authors would like to thank the School of Earth and Environmental Sciences, The University of Queensland, Australia, Malaysian Ministry of Education and Universiti Teknologi MARA (UiTM), Malaysia for providing financial support in pursuing this research project.</t>
  </si>
  <si>
    <t>EM9FG</t>
  </si>
  <si>
    <t>Rousseau, I</t>
  </si>
  <si>
    <t>Rousseau, Isabelle</t>
  </si>
  <si>
    <t>The New Social Management Regulation of Energy Projects in Mexico. Security, Sustainability and Governance</t>
  </si>
  <si>
    <t>REVISTA MEXICANA DE CIENCIAS POLITICAS Y SOCIALES</t>
  </si>
  <si>
    <t>regulation; social impacts; social impact evaluation; prior consultation; governance; developers; (indigenous) communities; energy project; Mexico</t>
  </si>
  <si>
    <t>Among its objectives and the new institutional framework that it has provided, the Mexican energy reform (2013-2014) has addressed social challenges related to energy projects in communities and municipalities. This paper discusses the prospects, and particularly, the existing gaps in legislation to propose alternatives. It has also underlined the nature of a governance problem that lies behind the social conflicts on the rise due to the intervention of developers among the communities. This article is part of a larger research project; in consequence, interviews in-depth were carried among different stakeholders (public and private sector, communities, scholars, journalists, consultants, etc.) to support the hemerographic sources. The original features of this essay is that: a) it provides an historical overview of the new institutional framework to adjust the social impacts (when compared to the previous serious flaws) and analyses the contributions of legislative changes within human rights, indigenous rights, and corporate social responsibility in the new regulation; b) it confirms how legal certainty, which the new institutional framework is intended to provide, is, in fine, associated with the age-old governance problem that Mexico has failed to solve so far.</t>
  </si>
  <si>
    <t>[Rousseau, Isabelle] Colegio Mexico, Ctr Estudios Int, Mexico City, DF, Mexico</t>
  </si>
  <si>
    <t>Rousseau, I (corresponding author), Colegio Mexico, Ctr Estudios Int, Mexico City, DF, Mexico.</t>
  </si>
  <si>
    <t>irouss@colmex.mx</t>
  </si>
  <si>
    <t>UNAM, FAC CIENCIAS POLITICAS &amp; SOCIALES</t>
  </si>
  <si>
    <t>MEXICO CITY DF</t>
  </si>
  <si>
    <t>CIUDAD UNIV, DIV ESTUDIOS POSGRADO, CIRCUITO MARIO DE LA CUEVA, MEXICO CITY DF, CP 04510, MEXICO</t>
  </si>
  <si>
    <t>0185-1918</t>
  </si>
  <si>
    <t>REV MEX CIENC POLIT</t>
  </si>
  <si>
    <t>Rev. Mex. Cienc. Polit. Soc.</t>
  </si>
  <si>
    <t>10.1016/S0185-1918(17)30021-1</t>
  </si>
  <si>
    <t>FH9YF</t>
  </si>
  <si>
    <t>WOS:000411573300007</t>
  </si>
  <si>
    <t>urban/metropolitan governance; appropriate decentralization; Santiago; Valparaiso; Concepcion</t>
  </si>
  <si>
    <t>[Valenzuela Van Treek, Esteban] Acad Univ Alberto Hurtado, Hist Contemporanea, Santiago, Chile; [Toledo Alarcon, Claudia] Gobierno Reg Biobio, Unidad Areas Metropolitanas, Concepcion, Chile</t>
  </si>
  <si>
    <t>Van Treek, EV (corresponding author), Acad Univ Alberto Hurtado, Hist Contemporanea, Santiago, Chile.</t>
  </si>
  <si>
    <t>evalenzuelavt@gmail.com; claudiatoledoa@gmail.com</t>
  </si>
  <si>
    <t>UNIV BIO-BIO, DEPT PLANIFICACION &amp; DISENO</t>
  </si>
  <si>
    <t>CONCEPCION</t>
  </si>
  <si>
    <t>AVE COLLAO NO 1202 CASILLA 5-C, CONCEPCION, 00000, CHILE</t>
  </si>
  <si>
    <t>Urbano</t>
  </si>
  <si>
    <t>VH8JQ</t>
  </si>
  <si>
    <t>Mashayekhi, AN</t>
  </si>
  <si>
    <t>Mashayekhi, Ali N.</t>
  </si>
  <si>
    <t>My journey in system dynamics and reflections on how to make a difference</t>
  </si>
  <si>
    <t>SYSTEM DYNAMICS REVIEW</t>
  </si>
  <si>
    <t>This paper describes my journey starting from when I entered the field of system dynamics at MIT, to being honored by receiving the lifetime achievement award from the System Dynamics Society. After I obtained my PhD with supervision from Professor Forrester, I made an important decision to move back to Iran while the country was in the midst of a revolution. I began my career in Iran as a teacher, as a consultant, and as an institutional builder in a very harsh and turbulent environment. This paper explains how I built credibility that allowed me to found influential institutions and graduate programs and attracted talented students to the field, some of whom are now prominent members of the System Dynamics Society. In concluding the paper, I also describe my areas of research and attempt some general observations for system dynamics. Copyright (c) 2018 System Dynamics Society</t>
  </si>
  <si>
    <t>[Mashayekhi, Ali N.] Sharif Univ Technol, Grad Sch Management &amp; Econ, Tehran, Iran</t>
  </si>
  <si>
    <t>Mashayekhi, AN (corresponding author), Sharif Univ Technol, Grad Sch Management &amp; Econ, Tehran, Iran.</t>
  </si>
  <si>
    <t>mashayekhi@sharif.edu</t>
  </si>
  <si>
    <t>0883-7066</t>
  </si>
  <si>
    <t>1099-1727</t>
  </si>
  <si>
    <t>SYST DYNAM REV</t>
  </si>
  <si>
    <t>Syst. Dyn. Rev.</t>
  </si>
  <si>
    <t>10.1002/sdr.1584</t>
  </si>
  <si>
    <t>Management; Social Sciences, Mathematical Methods</t>
  </si>
  <si>
    <t>Business &amp; Economics; Mathematical Methods In Social Sciences</t>
  </si>
  <si>
    <t>FV1AM</t>
  </si>
  <si>
    <t>WOS:000424293400004</t>
  </si>
  <si>
    <t>COMORBIDITY SURVEY REPLICATION; COGNITIVE-BEHAVIOR THERAPY; PLACEBO-CONTROLLED TRIAL; PUBLIC SPEAKING ANXIETY; WORKING ALLIANCE; PHOBIA; SCALE; INVENTORY; ONSET</t>
  </si>
  <si>
    <t>[Bouchard, Stephane] Univ Quebec Outaouais, Dept Psychoeduc &amp; Psychol, CP 1250,Succ Hull, Gatineau, PQ, Canada; [Bouchard, Stephane; Loranger, Claudie] Ctr Integre Sante &amp; Serv Sociaux Outaouais, Gatineau, PQ, Canada; [Robillard, Genevieve; Guitard, Tanya; Forget, Helene] Univ Quebec Outaouais, Gatineau, PQ, Canada; [Klinger, Evelyne] ESIEA, Digital Interact Hlth &amp; Disabil Lab, Laval, PQ, Canada; [Roucaut, Francois Xavier] Univ Montreal, Montreal, PQ, Canada; [Roucaut, Francois Xavier] Ctr Hosp Affilie Univ Reg Trois Rivieres, Quebec City, PQ, Canada</t>
  </si>
  <si>
    <t>Bouchard, S (corresponding author), Univ Quebec Outaouais, Dept Psychoeduc &amp; Psychol, CP 1250,Succ Hull, Gatineau, PQ, Canada.</t>
  </si>
  <si>
    <t>Stephane.bouchard@uqo.ca</t>
  </si>
  <si>
    <t>Social Sciences and Humanities Research Council of Canada [410-2007-0725]; Canada Research Chairs [950-10762]</t>
  </si>
  <si>
    <t>Social Sciences and Humanities Research Council of Canada(Social Sciences and Humanities Research Council of Canada (SSHRC)); Canada Research Chairs(Canada Research ChairsCGIAR)</t>
  </si>
  <si>
    <t>The study was conducted with financial support obtained through research grants from the Social Sciences and Humanities Research Council of Canada (grant no. 410-2007-0725) and the Canada Research Chairs (Grant no. 950-10762).</t>
  </si>
  <si>
    <t>BRIT J PSYCHIAT</t>
  </si>
  <si>
    <t>Br. J. Psychiatry</t>
  </si>
  <si>
    <t>EQ4NQ</t>
  </si>
  <si>
    <t>Cocks, G; Leek, C; Bondietti, M; Asadi, H; Deilami, S; Leach, R; Sicoe, M; Clayton, R; Keeley, R; Maekivi, C</t>
  </si>
  <si>
    <t>Cocks, Geoffrey; Leek, Colin; Bondietti, Mark; Asadi, Hossein; Deilami, Sahar; Leach, Reg; Sicoe, Meda; Clayton, Russell; Keeley, Ross; Maekivi, Caroline</t>
  </si>
  <si>
    <t>THE USE OF RECYCLED MATERIALS FOR PAVEMENTS IN WESTERN AUSTRALIA</t>
  </si>
  <si>
    <t>There have been a number of innovations and developments in Western Australia in recent years on the use of recycled materials in road pavement construction. Materials used or being researched include demolition materials (concrete, bricks and tiles), asphalt millings, existing granular pavement material, scrap rubber, glass, plastic and vitrified clay pipe. There are sound environmental reasons for making use of recycled materials. In terms of cost, savings in landfill fees are a significant factor. In some cases, the addition of recycled material to standard road pavement materials such as bitumen and asphaltic concrete results in an improvement in properties. A key objective of this paper is to facilitate the wider adoption of the use of recycled materials in road pavement construction. This document was produced by a working group from the Western Australian Pavements Group (a subcommittee of Australian Geomechanics Society comprising Consultants, Main Roads WA, Local Government, Material Suppliers, Contractors and Researchers).</t>
  </si>
  <si>
    <t>[Cocks, Geoffrey; Leek, Colin] Canning, Cannon Hill, Qld, Australia; [Bondietti, Mark] WALGA, West Leederville, WA, Australia; [Asadi, Hossein; Clayton, Russell; Maekivi, Caroline] GHD, Nedlands, WA, Australia; [Deilami, Sahar] UWA, Nedlands, WA, Australia; [Leach, Reg; Sicoe, Meda] Fulton Hogan, Christchurch, New Zealand; [Keeley, Ross] Main Roads WA, East Perth, WA, Australia</t>
  </si>
  <si>
    <t>Cocks, G (corresponding author), Canning, Cannon Hill, Qld, Australia.</t>
  </si>
  <si>
    <t>FU2PV</t>
  </si>
  <si>
    <t>WOS:000423693400001</t>
  </si>
  <si>
    <t>Chiaradia, AJF; Sieh, L; Plimmer, F</t>
  </si>
  <si>
    <t>Chiaradia, Alain J. F.; Sieh, Louie; Plimmer, Frances</t>
  </si>
  <si>
    <t>Values in urban design: A design studio teaching approach</t>
  </si>
  <si>
    <t>DESIGN STUDIES</t>
  </si>
  <si>
    <t>urban design; design process; design judgement; built environment; value of urban design</t>
  </si>
  <si>
    <t>Since 2000, research into the value of urban design has been utilised in consultancy and policy-making with regard to understanding the value of public investment. This research informs an emerging approach to teaching urban design appraisal within a MA urban design studio, in which variations of the residual method are deployed to assess developer value, private good and public good. Here, the relationship of the appraisal and design elements is articulated by an iterative model of design decision and design judgement making. By situating this approach in a broader theory of societal value, we reconceptualise from first principles, the concept of 'value in urban design'. This also suggests a corresponding definition of urban design in terms of value. (C) 2017 The Authors. Published by Elsevier Ltd.</t>
  </si>
  <si>
    <t>[Chiaradia, Alain J. F.] Univ Hong Kong, Fac Architecture, Dept Urban Planning &amp; Design, 8-F Knowles Bldg,Pokfulam Rd, Hong Kong, Hong Kong, Peoples R China; [Sieh, Louie] Cardiff Univ, Welsh Sch Architecture, Bute Bldg,King Edward VII Ave, Cardiff CF10 3NB, South Glam, Wales; [Plimmer, Frances] Cardiff Univ, Sch Geog &amp; Planning, Glamorgan Bldg,King Edward VII Ave, Cardiff CF10 3WA, South Glam, Wales</t>
  </si>
  <si>
    <t>Chiaradia, AJF (corresponding author), Univ Hong Kong, Fac Architecture, Dept Urban Planning &amp; Design, 8-F Knowles Bldg,Pokfulam Rd, Hong Kong, Hong Kong, Peoples R China.</t>
  </si>
  <si>
    <t>alainjfc@hku.hk</t>
  </si>
  <si>
    <t>Chiaradia, Alain Joseph Franck/0000-0003-2417-0103</t>
  </si>
  <si>
    <t>0142-694X</t>
  </si>
  <si>
    <t>1872-6909</t>
  </si>
  <si>
    <t>DESIGN STUD</t>
  </si>
  <si>
    <t>Design Stud.</t>
  </si>
  <si>
    <t>10.1016/j.destud.2016.10.002</t>
  </si>
  <si>
    <t>Engineering, Multidisciplinary; Engineering, Manufacturing</t>
  </si>
  <si>
    <t>EM3JK</t>
  </si>
  <si>
    <t>WOS:000395210800003</t>
  </si>
  <si>
    <t>Contaminated sites; remediation values; social values; beliefs; preferences; collective action; stakeholder engagement; property regimes; policy reform</t>
  </si>
  <si>
    <t>DECISION-MAKING; MANAGEMENT; POLICY</t>
  </si>
  <si>
    <t>[Plant, Roel; Boydell, Spike; Prior, Jason; Chong, Joanne; Lederwasch, Aleta] Univ Technol Sydney, City Campus,Bldg 10,Level 11,235 Jones St, Sydney, NSW 2007, Australia</t>
  </si>
  <si>
    <t>Plant, R (corresponding author), Univ Technol Sydney, City Campus,Bldg 10,Level 11,235 Jones St, Sydney, NSW 2007, Australia.</t>
  </si>
  <si>
    <t>roel.plant@uts.edu.au</t>
  </si>
  <si>
    <t>Prior, Jason/0000-0002-6145-5207; Plant, Roel/0000-0003-3006-741X; Chong, Joanne/0000-0001-9035-2277</t>
  </si>
  <si>
    <t>Cooperative Research Centre for Contamination and Remediation of the Environment (CRC CARE)</t>
  </si>
  <si>
    <t>Cooperative Research Centre for Contamination and Remediation of the Environment (CRC CARE)(Australian GovernmentDepartment of Industry, Innovation and ScienceCooperative Research Centres (CRC) Programme)</t>
  </si>
  <si>
    <t>The author(s) disclosed receipt of the following financial support for the research, authorship, and/or publication of this article: Funding for this research was provided by the Cooperative Research Centre for Contamination and Remediation of the Environment (CRC CARE).</t>
  </si>
  <si>
    <t>ET1GM</t>
  </si>
  <si>
    <t>Nerminathan, A; Harrison, A; Phelps, M; Scott, KM; Alexander, S</t>
  </si>
  <si>
    <t>Nerminathan, Arany; Harrison, Amanda; Phelps, Megan; Scott, Karen M.; Alexander, Shirley</t>
  </si>
  <si>
    <t>Doctors' use of mobile devices in the clinical setting: a mixed methods study</t>
  </si>
  <si>
    <t>INTERNAL MEDICINE JOURNAL</t>
  </si>
  <si>
    <t>mobile devices; mobile phones; mobile learning; m-learning; mobile technology</t>
  </si>
  <si>
    <t>MEDICAL-EDUCATION; HEALTH-CARE; SMARTPHONES; DISTRACTION; PERFORMANCE; PHYSICIANS; KNOWLEDGE; PATTERNS; POLICY; PDAS</t>
  </si>
  <si>
    <t>Background: Mobile device use has become almost ubiquitous in daily life and therefore includes use by doctors in clinical settings. There has been little study as to the patterns of use and impact this has on doctors in the workplace and how negatively or positively it impacts at the point of care. Aim: To explore how doctors use mobile devices in the clinical setting and understand drivers for use. Methods: A mixed methods study was used with doctors in a paediatric and adult teaching hospital in 2013. A paper-based survey examined mobile device usage data by doctors in the clinical setting. Focus groups explored doctors' reasons for using or refraining from using mobile devices in the clinical setting, and their attitudes about others' use. Results: The survey, completed by 109 doctors, showed that 91% owned a smartphone and 88% used their mobile devices frequently in the clinical setting. Trainees were more likely than consultants to use their mobile devices for learning and accessing information related to patient care, as well as for personal communication unrelated to work. Focus group data highlighted a range of factors that influenced doctors to use personal mobile devices in the clinical setting, including convenience for medical photography, and factors that limited use. Distraction in the clinical setting due to use of mobile devices was a key issue. Personal experience and confidence in using mobile devices affected their use, and was guided by role modelling and expectations within a medical team. Conclusion: Doctors use mobile devices to enhance efficiency in the workplace. In the current environment, doctors are making their own decisions based on balancing the risks and benefits of using mobile devices in the clinical setting. There is a need for guidelines around acceptable and ethical use that is patient-centred and that respects patient privacy.</t>
  </si>
  <si>
    <t>[Nerminathan, Arany] Childrens Hosp Westmead, Gen Paediat, Westmead, NSW, Australia; [Phelps, Megan] Childrens Hosp Westmead, Clin Sch, Corner Hawkesbury Rd &amp; Hainsworth St, Westmead, NSW 2145, Australia; [Alexander, Shirley] Childrens Hosp Westmead, Weight Management Serv, Westmead, NSW, Australia; [Harrison, Amanda] Westmead Hosp, Sydney Med Sch, Sydney, NSW, Australia; [Scott, Karen M.] Univ Sydney, Paediat &amp; Child Hlth, Sydney, NSW, Australia</t>
  </si>
  <si>
    <t>Nerminathan, A (corresponding author), Childrens Hosp Westmead, Clin Sch, Corner Hawkesbury Rd &amp; Hainsworth St, Westmead, NSW 2145, Australia.</t>
  </si>
  <si>
    <t>arany.nerminathan@health.nsw.gov.au</t>
  </si>
  <si>
    <t>Scott, Karen/N-7333-2017</t>
  </si>
  <si>
    <t>Scott, Karen/0000-0003-0721-6675</t>
  </si>
  <si>
    <t>1444-0903</t>
  </si>
  <si>
    <t>1445-5994</t>
  </si>
  <si>
    <t>INTERN MED J</t>
  </si>
  <si>
    <t>Intern. Med. J.</t>
  </si>
  <si>
    <t>10.1111/imj.13349</t>
  </si>
  <si>
    <t>ES1TG</t>
  </si>
  <si>
    <t>WOS:000399309300010</t>
  </si>
  <si>
    <t>Building Information Modelling (BIM); BIM adoption; BIM governance; Data governance; G-BIM; Cloud computing</t>
  </si>
  <si>
    <t>CONSTRUCTION PROJECTS; INFORMATION; MANAGEMENT</t>
  </si>
  <si>
    <t>[Alreshidi, Eissa; Mourshed, Monjur; Rezgui, Yacine] Cardiff Univ, Sch Engn, Cardiff, S Glam, Wales; [Alreshidi, Eissa] Hail Univ, Sch Comp Sci, Hail, Saudi Arabia</t>
  </si>
  <si>
    <t>Alreshidi, E (corresponding author), Hail Univ, Sch Comp Sci, Hail, Saudi Arabia.</t>
  </si>
  <si>
    <t>alreshidi.eissa@gmail.com; MourshedM@cardiff.ac.uk; RezguiY@cf.ac.uk</t>
  </si>
  <si>
    <t>Mourshed, Monjur/F-8254-2011; Alreshidi, Eissa/AAB-3291-2020; Rezgui, Yacine/ABE-6712-2020</t>
  </si>
  <si>
    <t>Mourshed, Monjur/0000-0001-8347-1366; Rezgui, Yacine/0000-0002-5711-8400</t>
  </si>
  <si>
    <t>J BUILD ENG</t>
  </si>
  <si>
    <t>J. Build. Eng.</t>
  </si>
  <si>
    <t>ER7LV</t>
  </si>
  <si>
    <t>Ambulatory surgical procedures; anaesthesia; day care; early ambulation; pain management; patient discharge; post-operative nausea and vomiting</t>
  </si>
  <si>
    <t>VITAL CAPACITY INDUCTION; AMBULATORY SURGERY; SEVOFLURANE; RECOVERY; METAANALYSIS; MANAGEMENT; PAIN</t>
  </si>
  <si>
    <t>[Kulkarni, Satish] Lilavati Hosp &amp; Res Ctr, Bombay, Maharashtra, India; [Pradhan, Amol Shashikumar] Dr LH Hiranandani Hosp, Dept Anaesthesiol, Bombay, Maharashtra, India; [Bapat, Jitendra] Hinduja Hosp &amp; Med Res Ctr, Bombay, Maharashtra, India; [Harsoor, S. S.] Bangalore Med Coll &amp; Res Ctr, Dept Anaesthesiol, Bengaluru, India; [Bhaskar, S. Bala] Vijayanagar Inst Med Sci, Dept Anaesthesiol &amp; Crit Care, Bellary, Karnataka, India; [Chandrasekar, M.] Govt Telangana, Aarogyasri Trust, Hyderabad, Telangana, India; [Ramdas, Edakeparavan Keloth] Baby Mem Hosp, Dept Anaesthesiol, Kozhikode, Kerala, India; [Valecha, Umesh Kumar] BLK Super Specialty Hosp, Dept Anaesthesiol, New Delhi, India; [Swami, Adarsh Chandra] Fortis Hosp, Dept Anaesthesiol, Mohali, Punjab, India</t>
  </si>
  <si>
    <t>Kulkarni, S (corresponding author), Shardashram Soc, F-7,Bhavani Shankar Rd,Dadar West, Bombay 400028, Maharashtra, India.</t>
  </si>
  <si>
    <t>drsatishkulkarni@yahoo.com</t>
  </si>
  <si>
    <t>Abbott Healthcare Pvt. Ltd.</t>
  </si>
  <si>
    <t>The expert meeting for formulating this consensus statement was sponsored and supported by Abbott Healthcare Pvt. Ltd.</t>
  </si>
  <si>
    <t>MEDKNOW PUBLICATIONS &amp; MEDIA PVT LTD</t>
  </si>
  <si>
    <t>B-9, KANARA BUSINESS CENTRE, OFF LINK RD, GHAKTOPAR-E, MUMBAI, 400075, INDIA</t>
  </si>
  <si>
    <t>INDIAN J ANAESTH</t>
  </si>
  <si>
    <t>Indian J. Anaesth.</t>
  </si>
  <si>
    <t>Anesthesiology</t>
  </si>
  <si>
    <t>EN2RL</t>
  </si>
  <si>
    <t>Lovell, H</t>
  </si>
  <si>
    <t>Lovell, Heather</t>
  </si>
  <si>
    <t>Are policy failures mobile? An investigation of the Advanced Metering Infrastructure Program in the State of Victoria, Australia</t>
  </si>
  <si>
    <t>ENVIRONMENT AND PLANNING A</t>
  </si>
  <si>
    <t>Policy transfer; policy mobilities; policy failure; Australia; assemblage; electricity sector</t>
  </si>
  <si>
    <t>GLOBAL CIRCUITS; URBAN; MOBILITIES; SUSTAINABILITY; GEOGRAPHIES; DIFFUSION; LESSONS; ACTOR; ASSEMBLAGES; CONSULTANTS</t>
  </si>
  <si>
    <t>This article is about a case of policy failure and negative lesson drawing, namely the implementation of a mandatory smart metering programme - the Advanced Metering Infrastructure Program - in the State of Victoria, Australia, in the period 2009-2013. The article explores the framing of policy failure, and the ways in which failed polices might be mobile. The Advanced Metering Infrastructure Program provides an important empirical counterbalance to existing scholarship on policy learning, transfer and mobility, which is for the most part about positive best practice case studies, emulation and the travelling of 'fast' and (by implication) successful policy. There is evidence that the Victorian Advanced Metering Infrastructure Program circulated domestically within Australia and was influential in policy decision making, but that its international mobility was limited. The case is used to explore what gets left behind - or is immobile - in the telling of policy stories about failure. Science and Technology Studies scholarship on the inherent fragility of sociotechnical networks is drawn upon to consider how the concept of assemblage - a popular conceptual lens within policy mobility scholarship - might be applied to better understand instances of policy failure.</t>
  </si>
  <si>
    <t>[Lovell, Heather] Univ Tasmania, Sch Social Sci, Hobart, Tas 7001, Australia; [Lovell, Heather] Univ Edinburgh, Sch GeoSci, Inst Geog &amp; Lived Environm, Edinburgh, Midlothian, Scotland</t>
  </si>
  <si>
    <t>Lovell, H (corresponding author), Univ Tasmania, Sch Social Sci, Hobart, Tas 7001, Australia.</t>
  </si>
  <si>
    <t>heather.lovell@utas.edu.au</t>
  </si>
  <si>
    <t>Lovell, Heather/L-6955-2018</t>
  </si>
  <si>
    <t>Lovell, Heather/0000-0003-1164-0356</t>
  </si>
  <si>
    <t>Australian Research Council under its Future Fellowships Program [FT140100646]</t>
  </si>
  <si>
    <t>Australian Research Council under its Future Fellowships Program(Australian Research Council)</t>
  </si>
  <si>
    <t>The author(s) disclosed receipt of the following financial support for the research, authorship, and/or publication of this article: Financial support for this research from the Australian Research Council under its Future Fellowships Program (2015-19); grant number FT140100646.</t>
  </si>
  <si>
    <t>10.1177/0308518X16668170</t>
  </si>
  <si>
    <t>EO8EU</t>
  </si>
  <si>
    <t>WOS:000396922700006</t>
  </si>
  <si>
    <t>Expert knowledge; Lay knowledge; Participatory decision making; Stakeholder involvement</t>
  </si>
  <si>
    <t>GOVERNANCE; CONSENSUS; POLICY</t>
  </si>
  <si>
    <t>[van Ast, Jacko A.] Erasmus Univ, Dept Publ Adm, Burgemeester Oudlaan 50, NL-3000 DR Rotterdam, Netherlands; [Gerrits, Lasse] Otto Friedrich Univ Bamberg, Dept Polit Sci, Feldkirchestr 21, D-96052 Bamberg, Germany</t>
  </si>
  <si>
    <t>van Ast, JA (corresponding author), Erasmus Univ, Dept Publ Adm, Burgemeester Oudlaan 50, NL-3000 DR Rotterdam, Netherlands.</t>
  </si>
  <si>
    <t>vanast@fsw.eur.nl</t>
  </si>
  <si>
    <t>EL0VZ</t>
  </si>
  <si>
    <t>Conservation; Stakeholder participation; Participatory research; Coastal birds</t>
  </si>
  <si>
    <t>CLIMATE-CHANGE; DELAWARE BAY; SEA-LEVEL; REPRODUCTIVE SUCCESS; MIGRANT SHOREBIRDS; AMCHITKA ISLAND; ATLANTIC COAST; SITE SELECTION; BEACH; BIRD</t>
  </si>
  <si>
    <t>[Burger, Joanna; Jeitner, Christian; Pittfield, Taryn] Rutgers State Univ, Div Life Sci, 604 Allison Rd, Piscataway, NJ 08854 USA; [Gochfeld, Michael] Rutgers Robert Wood Johnson Med Sch, Environm &amp; Occupat Hlth, Piscataway, NJ 08854 USA; [Niles, Larry] Conserve Wildlife Fdn New Jersey, Greenwich, NJ USA; [Tsipoura, Nellie; Mizrahi, David] New Jersey Audubon, 11 Hardscrabble Rd, Bernardsville, NJ 07924 USA; [Dey, Amanda] New Jersey Dept Environm Protect, Endangered &amp; Nongame Species Program, Trenton, NJ USA</t>
  </si>
  <si>
    <t>Burger, J (corresponding author), Rutgers State Univ, Div Life Sci, 604 Allison Rd, Piscataway, NJ 08854 USA.</t>
  </si>
  <si>
    <t>burger@biology.rutgers.edu</t>
  </si>
  <si>
    <t>USFWS; USEPA; USDOE; Trust for Public Land; Conserve Wildlife Foundation; Littoral Society; Rutgers University; New Jersey Audubon; Wetlands Institute; Hurricane Sandy Coastal Resiliency Competitive Grants Program</t>
  </si>
  <si>
    <t>USFWS(US Fish &amp; Wildlife Service); USEPA(United States Environmental Protection Agency); USDOE(United States Department of Energy (DOE)); Trust for Public Land; Conserve Wildlife Foundation; Littoral Society; Rutgers University; New Jersey Audubon; Wetlands Institute; Hurricane Sandy Coastal Resiliency Competitive Grants Program</t>
  </si>
  <si>
    <t>We particularly thank the many agencies, organizations, and individuals that contributed to these research and conservation projects over many years; assessment and monitoring require continued effort. The avian and stakeholder studies over the years was approved by the Rutgers University Internal Review Board (92-036, E16-123), and funded by USFWS, USEPA, USDOE, Trust for Public Land, Conserve Wildlife Foundation, Littoral Society, Rutgers University, New Jersey Audubon, Conserve Wildlife Foundation, Wetlands Institute, and the Hurricane Sandy Coastal Resiliency Competitive Grants Program. All research and conservation was conducted with appropriate state and federal permits. This paper represents the views of the authors, and not the funding agencies.</t>
  </si>
  <si>
    <t>EK0VS</t>
  </si>
  <si>
    <t>Technical efficiency; Pacific white shrimp; India; Sustainability; Stochastic frontier production function analysis</t>
  </si>
  <si>
    <t>LITOPENAEUS-VANNAMEI; PRODUCTION RISK; LOW-SALINITY; POSTLARVAE; SURVIVAL; POND; ACCLIMATION; GROWTH</t>
  </si>
  <si>
    <t>[Kumaran, M.; Anand, P. R.; Kumar, J. Ashok; Ravisankar, T.; Paul, Johnson; Vasagam, K. P. Kumaraguru; Vimala, D. Deboral] ICAR CIBA, 75 Santhome High Rd, Madras 600028, Tamil Nadu, India; [Raja, K. Ananda] ICAR CIFA, Bhubaneswar, Orissa, India</t>
  </si>
  <si>
    <t>Kumaran, M (corresponding author), ICAR CIBA, 75 Santhome High Rd, Madras 600028, Tamil Nadu, India.</t>
  </si>
  <si>
    <t>mkumaran@ciba.res.in</t>
  </si>
  <si>
    <t>Kanagaraja, Anantharaja/0000-0002-6085-1734</t>
  </si>
  <si>
    <t>National Fisheries Development Board (NFDB), Govt. of India [NFDB/CA/1321/TUP/2012]</t>
  </si>
  <si>
    <t>National Fisheries Development Board (NFDB), Govt. of India</t>
  </si>
  <si>
    <t>This paper is an output of the research project 'Appraisal of Litopenaeus vannamei culture systems for their technical efficiencies and associated production risks for the development of BMPs' funded by the National Fisheries Development Board (NFDB) (Grant No. NFDB/CA/1321/TUP/2012), Govt. of India. The authors are thankful to the Director, ICAR-CIBA, for his encouragement and support in conducting this study.</t>
  </si>
  <si>
    <t>Aquaculture</t>
  </si>
  <si>
    <t>EG0PR</t>
  </si>
  <si>
    <t>Sustainable transition; Solid waste management; Biomass fuels; Participatory decision-making; Stakeholder consultancy; Sustainability science</t>
  </si>
  <si>
    <t>LIFE-CYCLE ASSESSMENT; HEALTH BELIEF MODEL; BEHAVIOR</t>
  </si>
  <si>
    <t>[Hornsby, C.] Rhein Westfal TH Aachen, Dept Proc &amp; Recycling, IAR, D-52062 Aachen, Germany; [Ripa, M.; Vassillo, C.; Ulgiati, S.] Parthenope Univ Napoli, Dept Sci &amp; Technol, I-80143 Naples, Italy</t>
  </si>
  <si>
    <t>Hornsby, C (corresponding author), Rhein Westfal TH Aachen, RWTH Aachen, Dept Proc &amp; Recycling, Inst Aufbereitung &amp; Recycling, Wuellnerstr 2, D-52062 Aachen, Germany.</t>
  </si>
  <si>
    <t>hornsby@ifa.rwth-aachen.de</t>
  </si>
  <si>
    <t>EU [LIFE11 ENV/DE/343]</t>
  </si>
  <si>
    <t>EU(European Commission)</t>
  </si>
  <si>
    <t>The authors gratefully acknowledge the partial financial support received from the EU Project LIFE11 ENV/DE/343, MARSS Material Advanced Recovery Sustainable Systems, LIFE + Environment Policy and Governance.</t>
  </si>
  <si>
    <t>EH6PV</t>
  </si>
  <si>
    <t>Business model innovation; Biogas production; Network; SMEs (small and medium-sized enterprises)</t>
  </si>
  <si>
    <t>SUSTAINABLE ENERGY; POLICY INSTRUMENTS; CREATING VALUE; PERFORMANCE; TECHNOLOGY; INVESTMENT; MANAGEMENT; UTILITIES; EMERGENCE; BIOFUEL</t>
  </si>
  <si>
    <t>[Karlsson, Niklas P. E.; Halila, Fawzi; Mattsson, Marie; Hoveskog, Maya] Halmstad Univ, Sch Business Engn &amp; Sci, Kristian I4 S Vag 3, S-30118 Halmstad, Sweden</t>
  </si>
  <si>
    <t>Karlsson, NPE (corresponding author), Halmstad Univ, Sch Business Engn &amp; Sci, Kristian I4 S Vag 3, S-30118 Halmstad, Sweden.</t>
  </si>
  <si>
    <t>niklas.karlsson@hh.se</t>
  </si>
  <si>
    <t>Biogas project in the EU-Interreg OKS programme</t>
  </si>
  <si>
    <t>This study was partly funded by the Biogas 2020 project in the EU-Interreg OKS programme. The authors thank the anonymous reviewers for their helpful advice and comments that allowed us to greatly improve the article.</t>
  </si>
  <si>
    <t>EH1HU</t>
  </si>
  <si>
    <t>Analytic hierarchy process; Environmental management system; Green supply chain management; Green purchasing network India; Performance indicators; International organization for standardization</t>
  </si>
  <si>
    <t>[Sharma, Vijay Kumar; Chandna, Pankaj] Natl Inst Technol, Kurukshetra, Haryana, India; [Bhardwaj, Arvind] Natl Inst Technol, Jalandhar, India</t>
  </si>
  <si>
    <t>Sharma, VK (corresponding author), Natl Inst Technol, Kurukshetra, Haryana, India.</t>
  </si>
  <si>
    <t>er.vijaykumar_sharma@ymail.com; pchandna08@gmail.com; bhardwaja@nitj.ac.in</t>
  </si>
  <si>
    <t>Bhardwaj, Arvind/R-9358-2019; Chandna, Pankaj/GNH-3057-2022</t>
  </si>
  <si>
    <t>ED7ZC</t>
  </si>
  <si>
    <t>Institutional theory; Environmental sustainability; Top management commitment; Carbon emissions; Contingent theory; Supply base complexity</t>
  </si>
  <si>
    <t>INSTITUTIONAL PRESSURES; COMPETITIVE ADVANTAGE; FIRM RESOURCES; CLIMATE-CHANGE; MANAGEMENT; IMPACT; PERFORMANCE; RISK; CONTINGENCY; STRATEGY</t>
  </si>
  <si>
    <t>[Luo, Zongwei] Southern Univ Sci &amp; Technol, Shenzhen, Guangdong, Peoples R China; [Gunasekaran, Angappa] Univ Massachusetts, Charlton Coll Business, Dartmouth, MA USA; [Dubey, Rameshwar] Montpellier Business Sch, Montpellier, France; [Childe, Stephen J.] Plymouth Univ, Plymouth Business Sch, Plymouth, Devon, England; [Papadopoulos, Thanos] Univ Kent, Kent Business Sch, Canterbury, Kent, England</t>
  </si>
  <si>
    <t>Dubey, R (corresponding author), Montpellier Business Sch, Montpellier, France.</t>
  </si>
  <si>
    <t>rameshwardubey@gmail.com</t>
  </si>
  <si>
    <t>Childe, Stephen J/ABE-8243-2020; Dubey, Rameshwar/AAT-1348-2020; Dubey, Rameshwar/U-7022-2018; Luo, Zongwei/N-1985-2015; Papadopoulos, Thanos/ABD-5724-2021</t>
  </si>
  <si>
    <t xml:space="preserve">Childe, Stephen J/0000-0002-9476-4209; Dubey, Rameshwar/0000-0002-3913-030X; Luo, Zongwei/0000-0001-9322-959X; </t>
  </si>
  <si>
    <t>INT J CLIM CHANG STR</t>
  </si>
  <si>
    <t>Int. J. Clim. Chang. Strateg. Manag.</t>
  </si>
  <si>
    <t>FF3QT</t>
  </si>
  <si>
    <t>Green Accepted, hybrid, Green Submitted</t>
  </si>
  <si>
    <t>Organizational culture; Change management; Lean; Cultural change; Lean culture; Toyota way</t>
  </si>
  <si>
    <t>MANUFACTURING SYSTEMS; PERFORMANCE; RESISTANCE; STRATEGY</t>
  </si>
  <si>
    <t>[Pereira Paro, Pedro Ernesto; Gerolamo, Mateus Cecilio] Univ Sao Paulo, Dept Prod Engn, Sao Carlos Sch Engn, Sao Carlos, SP, Brazil; [Pereira Paro, Pedro Ernesto] Trustin Culture Drives Performance, Sao Paulo, SP, Brazil</t>
  </si>
  <si>
    <t>Gerolamo, MC (corresponding author), Univ Sao Paulo, Dept Prod Engn, Sao Carlos Sch Engn, Sao Carlos, SP, Brazil.</t>
  </si>
  <si>
    <t>gerolamo@sc.usp.br</t>
  </si>
  <si>
    <t>J ORGAN CHANGE MANAG</t>
  </si>
  <si>
    <t>J. Organ. Chang. Manage.</t>
  </si>
  <si>
    <t>EZ6RH</t>
  </si>
  <si>
    <t>Road ecology; Roadside management; Biodiversity; Species dispersal; Semi-natural grasslands; Linear landscape elements; Refugia</t>
  </si>
  <si>
    <t>ROAD VERGES; RAILWAY VERGES; PLANT; HABITAT; VEGETATION; LANDSCAPE; CORRIDORS; FRAGMENTATION; CONSERVATION; COMMUNITIES</t>
  </si>
  <si>
    <t>[Bernes, Claes] Stockholm Environm Inst, Mistra Council Evidence Based Environm Management, Box 24218, S-10451 Stockholm, Sweden; [Bullock, James M.] Ctr Ecol &amp; Hydrol, Maclean Bldg,Benson Lane, Wallingford OX10 8BB, Oxon, England; [Jakobsson, Simon; Lindborg, Regina] Stockholm Univ, Dept Phys Geog, S-10691 Stockholm, Sweden; [Rundlof, Maj] Lund Univ, Biodivers, Dept Biol, Ecol Bldg, S-22362 Lund, Sweden; [Verheyen, Kris] Univ Ghent, Forest &amp; Nat Lab, Geraardsbergsesteenweg 267, B-9090 Melle Gontrode, Belgium</t>
  </si>
  <si>
    <t>Bernes, C (corresponding author), Stockholm Environm Inst, Mistra Council Evidence Based Environm Management, Box 24218, S-10451 Stockholm, Sweden.</t>
  </si>
  <si>
    <t>claes.bernes@eviem.se</t>
  </si>
  <si>
    <t>Bullock, James M/F-9997-2011; Jakobsson, Simon/AAE-9060-2020; Rundlöf, Maj/AAB-7401-2022</t>
  </si>
  <si>
    <t>Rundlöf, Maj/0000-0003-3014-1544; Jakobsson, Simon/0000-0003-1703-0145; Verheyen, Kris/0000-0002-2067-9108</t>
  </si>
  <si>
    <t>Mistra Council for Evidence-Based Environmental Management (EviEM); NERC [ceh020009] Funding Source: UKRI</t>
  </si>
  <si>
    <t>Mistra Council for Evidence-Based Environmental Management (EviEM); NERC(UK Research &amp; Innovation (UKRI)Natural Environment Research Council (NERC))</t>
  </si>
  <si>
    <t>The review has been financed by the Mistra Council for Evidence-Based Environmental Management (EviEM).</t>
  </si>
  <si>
    <t>ENVIRON EVID</t>
  </si>
  <si>
    <t>Environ. Evid.</t>
  </si>
  <si>
    <t>GZ4WK</t>
  </si>
  <si>
    <t>Cameroon; performance-based financing; policy transfer; purchasing role; scaling-up</t>
  </si>
  <si>
    <t>HEALTH-CARE; POLICY TRANSFER; IMPACT; INCENTIVES; SERVICES; PROGRAM; QUALITY; INSTITUTIONS; TRANSITION; EXPERIENCE</t>
  </si>
  <si>
    <t>[Sieleunou, Isidore; Yumo, Habakkuk Azinyui] Res Dev Int, Yaounde, Cameroon; [Sieleunou, Isidore; Turcotte-Tremblay, Anne-Marie; Ridde, Valery] Univ Montreal, Montreal, PQ, Canada; [Kouokam, Estelle] Univ Catholique Afrique Cent, Yaounde, Cameroon; [Fotso, Jean-Claude Taptue] World Bank, Off Yaounde, Yaounde, Cameroon; [Tamga, Denise Magne] Agence Achat Performance Littoral, Douala, Littoral, Cameroon</t>
  </si>
  <si>
    <t>Sieleunou, I (corresponding author), Res Dev Int, Yaounde, Cameroon.;Sieleunou, I (corresponding author), Univ Montreal, Montreal, PQ, Canada.</t>
  </si>
  <si>
    <t>isidore.sieleunou@umontreal.ca</t>
  </si>
  <si>
    <t>ridde, valery/AAV-1016-2020; Ridde, Valery/AAD-2736-2019</t>
  </si>
  <si>
    <t>Ridde, Valery/0000-0001-9299-8266</t>
  </si>
  <si>
    <t>Alliance for Health Policy and Systems Research; Norad</t>
  </si>
  <si>
    <t>Alliance for Health Policy and Systems Research; Norad(CGIAR)</t>
  </si>
  <si>
    <t>This research was supported by the Alliance for Health Policy and Systems Research with funding from Norad.</t>
  </si>
  <si>
    <t>HEALTH SYST REFORM</t>
  </si>
  <si>
    <t>Health Syst. Reform</t>
  </si>
  <si>
    <t>GU4YU</t>
  </si>
  <si>
    <t>ergonomics; musculoskeletal disorders; prevention; management systems; key informants</t>
  </si>
  <si>
    <t>SAFETY MANAGEMENT; FUTURE INJURY; HEALTH; WORKPLACE; PROGRAM; SYSTEMS; INTERVENTIONS; ASSOCIATION; DESIGN</t>
  </si>
  <si>
    <t>[Yazdani, Amin; Wells, Richard] Univ Waterloo, Dept Kinesiol, Fac Appl Hlth Sci, 200 Univ Ave West, Waterloo, ON N2L 3G1, Canada; [Hilbrecht, Margo] Univ Waterloo, Fac Appl Hlth Sci, Canadian Index Wellbeing, Waterloo, ON, Canada; [Imbeau, Daniel] Ecole Polytech Montreal, Dept Math &amp; Genie Ind, Montreal, PQ, Canada; [Bigelow, Philip] Univ Waterloo, Sch Publ Hlth &amp; Hlth Syst, Fac Appl Hlth Sci, Waterloo, ON, Canada; [Neumann, W. Patrick] Ryerson Univ, Dept Mech &amp; Ind Engn, Toronto, ON, Canada; [Pagell, Mark] Univ Coll Dublin, Smurfit Grad Sch Business, Dublin, Ireland</t>
  </si>
  <si>
    <t>Yazdani, A (corresponding author), Univ Waterloo, Dept Kinesiol, Fac Appl Hlth Sci, 200 Univ Ave West, Waterloo, ON N2L 3G1, Canada.</t>
  </si>
  <si>
    <t>ayazdani@uwaterloo.ca</t>
  </si>
  <si>
    <t>Workplace Safety and Insurance Board of Ontario [09-019]</t>
  </si>
  <si>
    <t>Workplace Safety and Insurance Board of Ontario</t>
  </si>
  <si>
    <t>This project was funded by a research grant provided by the Workplace Safety and Insurance Board of Ontario (09-019). The contents of this paper are solely the responsibility of the authors and do not necessarily represent the official views of the Workplace Safety and Insurance Board of Ontario.</t>
  </si>
  <si>
    <t>IISE T OCCUP ERG HUM</t>
  </si>
  <si>
    <t>IISE Trans. Occup. Ergon. Hum. Factors</t>
  </si>
  <si>
    <t>Ergonomics</t>
  </si>
  <si>
    <t>GR2NK</t>
  </si>
  <si>
    <t>ecosystem services; plantation-based forestry; China; corporate sustainability; community</t>
  </si>
  <si>
    <t>SOCIAL LICENSE; BIODIVERSITY; POLICY; RESPONSIBILITY; MOTIVATIONS; PERSPECTIVE; ENGAGEMENT; MANAGEMENT; VALUATION; PRODUCTS</t>
  </si>
  <si>
    <t>[Toppinen, A.; D'Amato, D.; Lahtinen, K.; Rekola, M.; Cai, D.] Univ Helsinki, Dept Forest Sci, Latokartanonkaari 7, FI-00014 Helsinki, Finland; [Wan, M.] Jiangxi Univ Finance &amp; Econ, Sch Foreign Languages, Nanchang 330032, Jiangxi, Peoples R China; [Wen, Z.] Nanjing Forestry Univ, Coll Econ &amp; Management, Nanjing 210037, Jiangsu, Peoples R China</t>
  </si>
  <si>
    <t>Toppinen, A (corresponding author), Univ Helsinki, Dept Forest Sci, Latokartanonkaari 7, FI-00014 Helsinki, Finland.</t>
  </si>
  <si>
    <t>anne.toppinen@helsinki.fi</t>
  </si>
  <si>
    <t>Academy of Finland [265593]; China National Natural Science Council</t>
  </si>
  <si>
    <t>Academy of Finland(Academy of Finland); China National Natural Science Council</t>
  </si>
  <si>
    <t>Financial support from the Academy of Finland Grant 265593 and China National Natural Science Council is gratefully acknowledged.</t>
  </si>
  <si>
    <t>10.1505/146554817822407402</t>
  </si>
  <si>
    <t>FZ6NN</t>
  </si>
  <si>
    <t>SOS Children's Villages; children without parental care; deinstitutionalisation reform; foster care; involuntary mimicry</t>
  </si>
  <si>
    <t>FOSTER-CARE; RESILIENCE; FRAMEWORK; RISK</t>
  </si>
  <si>
    <t>[Bogdanova, Elena] Ctr Independent Social Res, St Petersburg, Russia; [Bogdanova, Elena] Univ Eastern Finland, Joensuu, Finland; [Bogdanova, Elena] European Univ St Petersburg, St Petersburg, Russia</t>
  </si>
  <si>
    <t>Bogdanova, E (corresponding author), Ctr Independent Social Res, St Petersburg, Russia.;Bogdanova, E (corresponding author), Univ Eastern Finland, Joensuu, Finland.;Bogdanova, E (corresponding author), European Univ St Petersburg, St Petersburg, Russia.</t>
  </si>
  <si>
    <t>bogdanova.nova@gmail.com</t>
  </si>
  <si>
    <t>FU6FL</t>
  </si>
  <si>
    <t>Neighbourhood planning; conflict; alignment; localism; co-production</t>
  </si>
  <si>
    <t>COMMUNITY PARTICIPATION; LOCAL GOVERNANCE; BIG SOCIETY; COPRODUCTION; POLITICS; SUSTAINABILITY; NEOLIBERALISM; ENGAGEMENT; DEMOCRACY; CITIZENS</t>
  </si>
  <si>
    <t>[Parker, Gavin] Univ Reading, Sch Real Estate &amp; Planning, Planning Studies, Reading, Berks, England; [Lynn, Tessa] Univ Reading, Sch Real Estate &amp; Planning, Reading, Berks, England; [Wargent, Matthew] Univ Sheffield, Dept Sociol Sci, Sheffield, S Yorkshire, England</t>
  </si>
  <si>
    <t>Parker, G (corresponding author), Univ Reading, Sch Real Estate &amp; Planning, Planning Studies, Reading, Berks, England.</t>
  </si>
  <si>
    <t>g.parker@reading.ac.uk</t>
  </si>
  <si>
    <t>Locality as part of the Supporting Communities in Neighbourhood Planning programme</t>
  </si>
  <si>
    <t>The primary research underpinning this paper was funded by Locality as part of the Supporting Communities in Neighbourhood Planning programme.</t>
  </si>
  <si>
    <t>PLAN THEORY PRACT</t>
  </si>
  <si>
    <t>Plan. Theory Pract.</t>
  </si>
  <si>
    <t>FQ4LK</t>
  </si>
  <si>
    <t>Otwong, A; Phenrat, T</t>
  </si>
  <si>
    <t>Otwong, Ashijya; Phenrat, Tanapon</t>
  </si>
  <si>
    <t>Comparative analysis of public participation in the EIA process for Thai overseas investment projects: Krabi coal terminal, Hongsa coal power plant, and Dawei special economic zone</t>
  </si>
  <si>
    <t>Environmental impact assessment (EIA); Thai overseas investment; public participation; information accessibility; Thailand; Laos PDR; Myanmar comparison; DSEZ: Dawei special economic zone; EGAT: Electricity Generating Authority of Thailand; EIA: Environmental impact assessment; EHIA: Environmental Health Impact Assessment; IFAC: Information accessibility; ONEP: Office of Natural Resources and Environmental Policy and Planning; PP: Public participation; PPI: Public participation index; TOIPs: Thai overseas investment projects</t>
  </si>
  <si>
    <t>ENVIRONMENTAL-IMPACT ASSESSMENT</t>
  </si>
  <si>
    <t>While Thai overseas investment projects (TOIPs) have become a key form of development in the region, their environmental impact assessment (EIA) quality has been criticized. This research sought to analyze the differences in EIA practices in terms of public participation (PP) in two TOIPs - the Hongsa coal-fired power plant (Lao PDR) and the Dawei special economic zone (Myanmar) - versus a national-level project, the Krabi coal terminal. For Laos and Myanmar, which did not previously require PP, the Thai consultants did not apply the Thai PP framework, leading to poor public participation index (PPI) scores=0.02, indicating a negligible PP process. However, the consultant on the Krabi coal terminal claimed to abide by the Thai regulations, yet the PPI scores claimed=0.81 (substantive rationale), were quite different from those indicated by the affected villagers=0.39 (instrumental rationale). These villagers' concerns resulted in conflict between the affected villagers and project owners. Our findings have revealed the true necessity of PP regulation and systems to monitor consultant performance to ensure sustainability of TOIPs in neighboring countries.</t>
  </si>
  <si>
    <t>[Otwong, Ashijya] Naresuan Univ, Fac Law, Phitsanulok, Thailand; [Phenrat, Tanapon] Naresuan Univ, Ctr Excellence Sustainabil Hlth Environm &amp; Ind SH, Fac Engn, Phitsanulok, Thailand; [Phenrat, Tanapon] Naresuan Univ, Res Unit Integrated Nat Resources Remediat &amp; Recl, Dept Civil Engn, Fac Engn, Phitsanulok, Thailand</t>
  </si>
  <si>
    <t>Phenrat, T (corresponding author), Naresuan Univ, Ctr Excellence Sustainabil Hlth Environm &amp; Ind SH, Fac Engn, Phitsanulok, Thailand.;Phenrat, T (corresponding author), Naresuan Univ, Res Unit Integrated Nat Resources Remediat &amp; Recl, Dept Civil Engn, Fac Engn, Phitsanulok, Thailand.</t>
  </si>
  <si>
    <t>tanaponph@nu.ac.th</t>
  </si>
  <si>
    <t>Phenrat, Tanapon/M-4966-2016</t>
  </si>
  <si>
    <t>Phenrat, Tanapon/0000-0003-2179-042X; Otwong, Ashijya/0000-0001-6558-130X</t>
  </si>
  <si>
    <t>Mekong School, EarthRights International; Naresuan University [R2558C201]</t>
  </si>
  <si>
    <t>Mekong School, EarthRights International; Naresuan University</t>
  </si>
  <si>
    <t>This work was supported by the Mekong School, EarthRights International, and the Naresuan University [grant number R2558C201].</t>
  </si>
  <si>
    <t>10.1080/14615517.2017.1354641</t>
  </si>
  <si>
    <t>FO5RP</t>
  </si>
  <si>
    <t>WOS:000416918700006</t>
  </si>
  <si>
    <t>Construction firm; Management; Consultant firm; Design firm; Facility management firm; Sustainability demands</t>
  </si>
  <si>
    <t>CHINA; INDUSTRY; PROJECTS</t>
  </si>
  <si>
    <t>[de Paula, Nathalia; Melhado, Silvio] Univ Sao Paulo, Dept Civil Construct Engn, Sao Paulo, Brazil; [Arditi, David] IIT, Dept Civil, Architectural, Environm Engn, Chicago, IL 60616 USA</t>
  </si>
  <si>
    <t>de Paula, N (corresponding author), Univ Sao Paulo, Dept Civil Construct Engn, Sao Paulo, Brazil.</t>
  </si>
  <si>
    <t>nathaliapaula@yahoo.com.br</t>
  </si>
  <si>
    <t>Melhado, Silvio/K-8848-2015; Arditi, David/AAF-4608-2021</t>
  </si>
  <si>
    <t>Melhado, Silvio/0000-0002-2295-6527; Arditi, David/0000-0002-1580-324X</t>
  </si>
  <si>
    <t>Coordination for the Improvement of Higher Education Personnel</t>
  </si>
  <si>
    <t>Coordination for the Improvement of Higher Education Personnel(Coordenacao de Aperfeicoamento de Pessoal de Nivel Superior (CAPES))</t>
  </si>
  <si>
    <t>The support of Coordination for the Improvement of Higher Education Personnel and the collaboration of the firms that participated in the survey are gratefully acknowledged.</t>
  </si>
  <si>
    <t>FN0XV</t>
  </si>
  <si>
    <t>DeVaughn, ML; Leary, M</t>
  </si>
  <si>
    <t>DeVaughn, Michael L.; Leary, Myleen</t>
  </si>
  <si>
    <t>The antecedents and impact of industry consultants on the future performance of new banks</t>
  </si>
  <si>
    <t>Performance; Legitimacy; Complexity; Consultants; New banks; Regulatory change</t>
  </si>
  <si>
    <t>ORGANIZATIONAL ENVIRONMENTS; SELF-EFFICACY; FIRMS; UNCERTAINTY; KNOWLEDGE; ISOMORPHISM; DIMENSIONS; SERVICE; ADVICE</t>
  </si>
  <si>
    <t>Purpose - The purpose of this paper is to examine the antecedents and performance outcomes when startup firms in the US banking industry hire industry consultants. Design/methodology/approach - This study uses a sample of prospective startup banks that applied for a new bank charter application in Florida between 1996 and 2005. Logistic regression, ordinary least squares or ordered logistic regression models were used to test hypotheses. Findings - Analysis suggests complexity and regulatory change are factors in a founder's decision to hire a consultant. Consultants have a positive impact on firm financial performance but not on a composite multifactor measure of performance. Additional analyses suggest the effectiveness of consulting assistance hinges on specific attributes of the consulting firm, but cumulative consulting experience is not one of these attributes. Research limitations/implications - This study focuses on the impact of consultants on new venture performance in a single industry using archival data. Additional research is likely needed to test the generalizability of the findings in other research contexts and examine motives beyond the financial ones investigated in this study. Practical implications - Results suggest that hiring a consultant at startup can satisfy financial stakeholders, but, in a regulated industry, hiring a consultant at startup does not improve a composite, multifactor measure of performance that is important to industry regulators. When deciding whether to commit scarce resources to hiring consultants, founding teams should be clear which external stakeholder and which measure of performance they are seeking to improve. Originality/value - While the business advisory role of informal players such as family and friends and more formal players such as board members and federal, state or local governments have been well documented, little attention has been paid to the contributions of industry consultants in startup firms. These overlooked intermediaries play an important role in the successful launch of a new firm. This study examines when and why such advisors might create value for new firms.</t>
  </si>
  <si>
    <t>[DeVaughn, Michael L.] Univ St Thomas, Minneapolis, MN USA; [Leary, Myleen] Montana State Univ, Bozeman, MT 59717 USA</t>
  </si>
  <si>
    <t>Leary, M (corresponding author), Montana State Univ, Bozeman, MT 59717 USA.</t>
  </si>
  <si>
    <t>myleen.leary@montana.edu</t>
  </si>
  <si>
    <t>10.1108/MRR-07-2016-0176</t>
  </si>
  <si>
    <t>FN9BQ</t>
  </si>
  <si>
    <t>WOS:000416322800001</t>
  </si>
  <si>
    <t>Dansoh, A; Oteng, D; Frimpong, S</t>
  </si>
  <si>
    <t>Dansoh, Ayirebi; Oteng, Daniel; Frimpong, Samuel</t>
  </si>
  <si>
    <t>Innovation development and adoption in small construction firms in Ghana</t>
  </si>
  <si>
    <t>Construction industry; Ghana; Innovation adoption; Qualitative methods; Innovation development; Small construction firms</t>
  </si>
  <si>
    <t>AUSTRALIAN PERSPECTIVE; MANAGEMENT INNOVATION; CONSULTING SECTOR; PROJECTS; DETERMINANTS; TECHNOLOGIES; PRODUCT; IMPLEMENTATION; ORGANIZATIONS; EXPLOITATION</t>
  </si>
  <si>
    <t>Purpose - The purpose of this research is to identify the conditions under which the internal environment of small construction firms makes them either develop or adopt an innovation. Design/methodology/approach - The research described in this paper adopted a qualitative case study approach. The data were obtained from multiple sources such as face-to-face semi-structured interviews with company representatives and from project reports. Findings - The study identified that firms' decision to either adopt or develop an innovation is determined by a complex interaction between their internal environment and 12 different conditions. Some of the findings contrast widespread perceptions in broader literature on innovation development and adoption in small construction firms. Research limitations/implications - The study focused only on firms from two regions in Ghana. Additionally, adopting a purely qualitative approach meant that the quantitative impacts of the different factors were not presented. Practical implications - The results can inform the decisions of agencies and persons wishing to invest their resources in innovation activities of small construction firms. It can also inform the policy debate and directions of government and industry associations looking to create innovation-friendly environments in the small business sector. Originality/value - This research provides a better understanding of innovation development and adoption by small construction firms. Given that there is little previous research on innovation by small construction firms, especially in developing economies, the paper complements existing studies that generally focus on much larger firms and developed economies.</t>
  </si>
  <si>
    <t>[Dansoh, Ayirebi; Oteng, Daniel] Kwame Nkrumah Univ Sci &amp; Technol, Dept Bldg Technol, Kumasi, Ghana; [Frimpong, Samuel] Kumasi Tech Univ, Dept Bldg Technol, Kumasi, Ghana</t>
  </si>
  <si>
    <t>Oteng, D (corresponding author), Kwame Nkrumah Univ Sci &amp; Technol, Dept Bldg Technol, Kumasi, Ghana.</t>
  </si>
  <si>
    <t>otengosda@yahoo.com</t>
  </si>
  <si>
    <t>Oteng, Daniel/G-2232-2016; Frimpong, Samuel/ABB-8153-2021</t>
  </si>
  <si>
    <t>Oteng, Daniel/0000-0002-1594-6099; Frimpong, Samuel/0000-0001-6687-0971; DANSOH, AYIREBI/0000-0001-5533-0240</t>
  </si>
  <si>
    <t>10.1108/CI-07-2016-0040</t>
  </si>
  <si>
    <t>FM9ZA</t>
  </si>
  <si>
    <t>WOS:000415630600006</t>
  </si>
  <si>
    <t>Professional identity; Communication advice; Political marketing; job market</t>
  </si>
  <si>
    <t>[Rebougas Porto, Francisco Gilson, Jr.; Melo, Gabriela Pereira] Univ Fed Tocantins, Araguaina, TO, Brazil</t>
  </si>
  <si>
    <t>Porto, FGR (corresponding author), Univ Fed Tocantins, Araguaina, TO, Brazil.</t>
  </si>
  <si>
    <t>gilsonportouft@gmail.com; gabrielamelogpm@gmail.com</t>
  </si>
  <si>
    <t>FJ1RF</t>
  </si>
  <si>
    <t>Data Mining; Political Elections; R Language; RStudio; Voter's Tendency</t>
  </si>
  <si>
    <t>[Bayir, Ali; Ozdemir, Sebnem; Gulsecen, Sevinc] Istanbul Univ, Informat Dept, Istanbul, Turkey</t>
  </si>
  <si>
    <t>Bayir, A (corresponding author), Istanbul Univ, Informat Dept, Istanbul, Turkey.</t>
  </si>
  <si>
    <t>IGI GLOBAL</t>
  </si>
  <si>
    <t>HERSHEY</t>
  </si>
  <si>
    <t>701 E CHOCOLATE AVE, STE 200, HERSHEY, PA 17033-1240 USA</t>
  </si>
  <si>
    <t>INT J E-ADOPT</t>
  </si>
  <si>
    <t>Int. J. E-Adopt.</t>
  </si>
  <si>
    <t>FK7ZV</t>
  </si>
  <si>
    <t>Heinrich, WF</t>
  </si>
  <si>
    <t>Heinrich, William F.</t>
  </si>
  <si>
    <t>Toward ideal enacted mental models of learning outcomes assessment in higher education</t>
  </si>
  <si>
    <t>JOURNAL OF APPLIED RESEARCH IN HIGHER EDUCATION</t>
  </si>
  <si>
    <t>Higher education; Assessment; Systems thinking; Learning outcomes; Mental models</t>
  </si>
  <si>
    <t>SYSTEMS THINKING; CULTURE</t>
  </si>
  <si>
    <t>Purpose - The purpose of this paper is to explore the enacted mental models, the types of thinking and action, of assessment held by faculty and staff in higher education. Design/methodology/approach - This research approaches the question: in what ways are learning outcomes assessment understood (thinking) as part of a system and assessed in the individual's work (practice)? Interviews and concept maps were used to identify influences, descriptions of actions, and connections to environments for 12 participants, known to have engaged in learning outcomes assessment. Findings - By connecting individual perspectives to broader organizational understanding, a goal of this research was to identify and analyze how educators understand and practice learning outcomes assessment in higher education. Influences on assessment presented in the literature are confirmed and several behavioral types are defined and categorized. Research limitations/implications - The findings focus attention on the ways individuals act on influences in systems of higher education. The findings yield opportunities for new ways to utilize assessment knowledge. The study is small and has implications for similar type institutions. Practical implications - Faculty and staff can use these findings to create training and development protocols and/or adjust their own practices of assessment. Assessment professionals can apply findings to consulting on an array of assessment projects and with staff who have varying skill levels. Social implications - The ways in which assessment is practiced is deeply influenced by training but is also shaped heavily by current environments and accountability structures. Policies and practices related to such environments can make a difference in preparing for scaled-up assessment practices and projects. Originality/value - This research offers insight into possible archetypes of assessment behaviors and presents applied influences on assessment.</t>
  </si>
  <si>
    <t>[Heinrich, William F.] Michigan State Univ, Hub Innovat Learning &amp; Technol, E Lansing, MI 48824 USA</t>
  </si>
  <si>
    <t>Heinrich, WF (corresponding author), Michigan State Univ, Hub Innovat Learning &amp; Technol, E Lansing, MI 48824 USA.</t>
  </si>
  <si>
    <t>heinri19@msu.edu</t>
  </si>
  <si>
    <t>NASPA Region IV-E Research and Assessment Dissertation Research Funding Award</t>
  </si>
  <si>
    <t>This research was supported in part by the NASPA Region IV-E Research and Assessment Dissertation Research Funding Award.</t>
  </si>
  <si>
    <t>2050-7003</t>
  </si>
  <si>
    <t>1758-1184</t>
  </si>
  <si>
    <t>J APPL RES HIGH EDUC</t>
  </si>
  <si>
    <t>J. Appl. Res. High. Educ.</t>
  </si>
  <si>
    <t>10.1108/JARHE-10-2016-0064</t>
  </si>
  <si>
    <t>FI8ZQ</t>
  </si>
  <si>
    <t>WOS:000412292900001</t>
  </si>
  <si>
    <t>Service system; Value cocreation; Markov-switching model; Value codestruction; Value variation</t>
  </si>
  <si>
    <t>VALUE CO-DESTRUCTION; RESOURCE-ADVANTAGE THEORY; DOMINANT LOGIC; SHOPPING VALUE; TIME-SERIES; CREATION; UTILITARIAN; PERSPECTIVE; STAKEHOLDERS; COMPETITION</t>
  </si>
  <si>
    <t>[Hsieh, Yen-Hao] Tamkang Univ, Dept Informat Management, New Taipei, Taiwan; [Chen, Wei-Ting] Tamkang Univ, New Taipei, Taiwan</t>
  </si>
  <si>
    <t>Hsieh, YH (corresponding author), Tamkang Univ, Dept Informat Management, New Taipei, Taiwan.</t>
  </si>
  <si>
    <t>yhhsiehs@mail.tku.edu.tw</t>
  </si>
  <si>
    <t>J BUS IND MARK</t>
  </si>
  <si>
    <t>J. Bus. Ind. Mark.</t>
  </si>
  <si>
    <t>FL2FE</t>
  </si>
  <si>
    <t>Wu, H; Tiwari, P; Han, SS; Chan, TK</t>
  </si>
  <si>
    <t>Wu, Hao; Tiwari, Piyush; Han, Sun Sheng; Chan, Toong-Khuan</t>
  </si>
  <si>
    <t>Brownfield risk communication and evaluation</t>
  </si>
  <si>
    <t>JOURNAL OF PROPERTY RESEARCH</t>
  </si>
  <si>
    <t>Brownfield; analytic hierarchy process (AHP); risk communication; valuation; decision</t>
  </si>
  <si>
    <t>HAZARDOUS-WASTE SITES; ENVIRONMENTAL CONTAMINATION; INVESTMENT RISK; LAND-USE; DECISION; REDEVELOPMENT; PERCEPTIONS; AMENITIES; VALUATION; POLLUTION</t>
  </si>
  <si>
    <t>Brownfield development is a risky business requiring specific knowledge and sensible judgement in order to create valuable real estate capital. This paper approaches brownfield risk in a multi-criterion, multi-actor interactive framework, taking into account the risks perceived and communicated by key actors. The paper begins with the development of a generic risk evaluation model using the analytical hierarchical process; this is followed by a primary purposive survey of experts' stated-preference for weighting, ranking and scoring of risk factors developed earlier by the authors. The risk evaluation leads to a consistent hierarchy of risk factors influence brownfield decisions in the Melbourne context. Results indicate that site specific and project risks are the most important in brownfield development decision-making. Financial and market and planning risks are moderately important. Political and legal and socio-economic risks are relatively less important. The findings also indicate some inter sub-group variation in the relative importance of the risk factors. Developers rate financial and market and site specific risks most highly. Least of the developers' concern is the socio-economic risk. Planners and consultants rate site specific and project risks highly. The AHP-based risk evaluation model is a new addition to the literature, and the findings may help improve explicit evaluation and communication in brownfield project financial decision and value reporting.</t>
  </si>
  <si>
    <t>[Wu, Hao; Tiwari, Piyush; Han, Sun Sheng; Chan, Toong-Khuan] Univ Melbourne, Fac Architecture Bldg &amp; Planning, Melbourne, Vic, Australia</t>
  </si>
  <si>
    <t>Wu, H (corresponding author), Univ Melbourne, Fac Architecture Bldg &amp; Planning, Melbourne, Vic, Australia.</t>
  </si>
  <si>
    <t>haow@unimelb.edu.au</t>
  </si>
  <si>
    <t>Wu, Hao/A-4706-2019; Tiwari, Piyush/L-6109-2019; Chan, Toong Khuan/G-8611-2015</t>
  </si>
  <si>
    <t>Wu, Hao/0000-0002-3221-2118; Han, Sun Sheng/0000-0002-6542-1354; Chan, Toong Khuan/0000-0002-1985-6592</t>
  </si>
  <si>
    <t>Research Development Grant (Proposal Development), the Faculty of Architecture Building and Planning, the University of Melbourne</t>
  </si>
  <si>
    <t>This research is supported by the 2015 Research Development Grant (Proposal Development), the Faculty of Architecture Building and Planning, the University of Melbourne.</t>
  </si>
  <si>
    <t>0959-9916</t>
  </si>
  <si>
    <t>1466-4453</t>
  </si>
  <si>
    <t>J PROP RES</t>
  </si>
  <si>
    <t>J. Prop. Res.</t>
  </si>
  <si>
    <t>10.1080/09599916.2017.1320684</t>
  </si>
  <si>
    <t>FI9YQ</t>
  </si>
  <si>
    <t>WOS:000412366100004</t>
  </si>
  <si>
    <t>MANAGEMENT LESSONS; GOVERNANCE; COMPONENTS; CAPACITY; ALBERTA; SCALE; BASIN</t>
  </si>
  <si>
    <t>[Chilima, Jania S.] Univ Saskatchewan, Sch Environm &amp; Sustainabil, Saskatoon, SK, Canada; [Chilima, Jania S.] Univ Saskatchewan, Global Inst Water Secur, Saskatoon, SK, Canada; [Blakely, Jill A. E.; Noble, Bram F.; Patrick, Robert J.] Univ Saskatchewan, Dept Geog &amp; Planning, Saskatoon, SK, Canada; [Blakely, Jill A. E.; Noble, Bram F.; Patrick, Robert J.] Univ Saskatchewan, Sch Environm &amp; Sustainabil, Saskatoon, SK, Canada</t>
  </si>
  <si>
    <t>Chilima, JS (corresponding author), Univ Saskatchewan, Sch Environm &amp; Sustainabil, Saskatoon, SK, Canada.;Chilima, JS (corresponding author), Univ Saskatchewan, Global Inst Water Secur, Saskatoon, SK, Canada.</t>
  </si>
  <si>
    <t>jsc572@mail.usask.ca</t>
  </si>
  <si>
    <t>Social Sciences and Humanities Research Council of Canada (SSHRC)</t>
  </si>
  <si>
    <t>Social Sciences and Humanities Research Council of Canada (SSHRC)(Social Sciences and Humanities Research Council of Canada (SSHRC))</t>
  </si>
  <si>
    <t>This work was supported by Social Sciences and Humanities Research Council of Canada (SSHRC) [grant number Canadian environmental issues grant program].</t>
  </si>
  <si>
    <t>CAN WATER RESOUR J</t>
  </si>
  <si>
    <t>Can. Water Resour. J.</t>
  </si>
  <si>
    <t>FH1RN</t>
  </si>
  <si>
    <t>Larsen, CH</t>
  </si>
  <si>
    <t>Larsen, C. H.</t>
  </si>
  <si>
    <t>Bringing a knife to a gunfight: A coherent consulting philosophy might not be enough to be effective in professional soccer</t>
  </si>
  <si>
    <t>JOURNAL OF SPORT PSYCHOLOGY IN ACTION</t>
  </si>
  <si>
    <t>Consulting; elite sports; organizational psychology; soccer; sport psychology service delivery</t>
  </si>
  <si>
    <t>SPORT PSYCHOLOGISTS</t>
  </si>
  <si>
    <t>Professional soccer is big business and high politics. The primary concern of professional clubs is achieving good results and winning the next game. Integrating sport psychology is a lengthy process, and in order to succeed in professional sports, there is a need for a stable environment. For practitioners to be effective in professional sports organizations, they need to understand various levels of organizational culture. This article provides an overview of a sport psychology program in a Danish professional soccer club and personal experiences, as well as professional reflections on integrating self-reflexivity and cultural sensitivity into the practitioner's philosophy.</t>
  </si>
  <si>
    <t>[Larsen, C. H.] Univ Southern Denmark, Odense, Denmark</t>
  </si>
  <si>
    <t>Larsen, CH (corresponding author), Univ Southern Denmark, Inst Sports Sci &amp; Clin Biomech, Campusvej 55, DK-5230 Odense, Denmark.</t>
  </si>
  <si>
    <t>chlarsen@health.sdu.dk</t>
  </si>
  <si>
    <t>Larsen, Carsten Hvid/0000-0003-3309-9417</t>
  </si>
  <si>
    <t>2152-0704</t>
  </si>
  <si>
    <t>J SPORT PSYCHOL ACTI</t>
  </si>
  <si>
    <t>J. Sport Psychol. Action</t>
  </si>
  <si>
    <t>10.1080/21520704.2017.1287142</t>
  </si>
  <si>
    <t>FH7OP</t>
  </si>
  <si>
    <t>WOS:000411379600006</t>
  </si>
  <si>
    <t>TV mass media; product and service portfolio; competitiveness; viewership audience; media market; share; rate</t>
  </si>
  <si>
    <t>[Chikirisov, D. V.] Natl Vadym Hetman Econ Univ, Dept Management, Kiev, Ukraine</t>
  </si>
  <si>
    <t>Chikirisov, DV (corresponding author), Natl Vadym Hetman Econ Univ, Dept Management, Kiev, Ukraine.</t>
  </si>
  <si>
    <t>1980dc@ukr.net</t>
  </si>
  <si>
    <t>CHERNIHIV NATL UNIV TECHNOLOGY</t>
  </si>
  <si>
    <t>CHERNIHIV</t>
  </si>
  <si>
    <t>STRILETSKA STR, 1-112, CHERNIHIV, 140033, UKRAINE</t>
  </si>
  <si>
    <t>SCI BULL POLISSIA</t>
  </si>
  <si>
    <t>Sci. Bull. Polissia</t>
  </si>
  <si>
    <t>FG0PQ</t>
  </si>
  <si>
    <t>higher inclusive education; students with disabilities; regional experience; resource support centre</t>
  </si>
  <si>
    <t>[Denisova, O. A.; Lekhanova, O., I] Cherepovets State Univ, Chair Correct Educ, Cherepovets, Russia</t>
  </si>
  <si>
    <t>Denisova, OA (corresponding author), Cherepovets State Univ, Chair Correct Educ, Cherepovets, Russia.</t>
  </si>
  <si>
    <t>denisova@indox.ru; lehanovao@mail.ru</t>
  </si>
  <si>
    <t>MOSCOW STATE UNIV PSYCHOLOGY &amp; EDUCATION</t>
  </si>
  <si>
    <t>UL SRETENKA, 29, MOSCOW, 127051, RUSSIA</t>
  </si>
  <si>
    <t>Psikhol Nauk Obrazov</t>
  </si>
  <si>
    <t>Psikhologicheskaya Nauka Obrazovanie-Psychol. Sci. Educ.</t>
  </si>
  <si>
    <t>Education &amp; Educational Research; Psychology, Multidisciplinary</t>
  </si>
  <si>
    <t>FE8EL</t>
  </si>
  <si>
    <t>applied theatre; diverse economies; economics; funding; organization</t>
  </si>
  <si>
    <t>[Mullen, Molly] Univ Auckland, Fac Educ &amp; Social Work, Private Bag 92019, Auckland 1142, New Zealand; [Mullen, Molly] Univ Auckland, Crit Res Unit Appl Theatre, Auckland, New Zealand</t>
  </si>
  <si>
    <t>Mullen, M (corresponding author), Univ Auckland, Fac Educ &amp; Social Work, Private Bag 92019, Auckland 1142, New Zealand.</t>
  </si>
  <si>
    <t>m.mullen@auckland.ac.nz</t>
  </si>
  <si>
    <t>APPL THEATRE RES</t>
  </si>
  <si>
    <t>Appl. Theatre Res.</t>
  </si>
  <si>
    <t>Theater</t>
  </si>
  <si>
    <t>FF0SZ</t>
  </si>
  <si>
    <t>Potential; Walking distance; Factor of conveniences; Transit-oriented development</t>
  </si>
  <si>
    <t>BEHAVIOR; DEMAND</t>
  </si>
  <si>
    <t>[Yap, Jeffrey Boon Hui; Goh, Seh Vian] Univ Tunku Abdul Rahman, Dept Surveying, Lee Kong Chian Fac Engn &amp; Sci, Kajang, Malaysia</t>
  </si>
  <si>
    <t>Yap, JBH (corresponding author), Univ Tunku Abdul Rahman, Dept Surveying, Lee Kong Chian Fac Engn &amp; Sci, Kajang, Malaysia.</t>
  </si>
  <si>
    <t>bhyap@utar.edu.my</t>
  </si>
  <si>
    <t>FE4QS</t>
  </si>
  <si>
    <t>India; KPIs; Ci3; Clients' charter; Construction clients; Construction Industry Institute; Industry improvement initiative</t>
  </si>
  <si>
    <t>[Kumaraswamy, Mohan] Univ Hong Kong, Dept Civil Engn, Pokfulam, Hong Kong, Peoples R China; [Mahesh, Gangadhar] Natl Inst Technol Karnataka, Dept Civil Engn, Surathkal, India; [Mahalingam, Ashwin; Loganathan, Santhosh; Kalidindi, Satyanarayana N.] Indian Inst Technol, Dept Civil Engn, Madras, Tamil Nadu, India; [Loganathan, Santhosh] Univ Technol Sydney, Sydney, NSW, Australia</t>
  </si>
  <si>
    <t>Loganathan, S (corresponding author), Indian Inst Technol, Dept Civil Engn, Madras, Tamil Nadu, India.;Loganathan, S (corresponding author), Univ Technol Sydney, Sydney, NSW, Australia.</t>
  </si>
  <si>
    <t>santomaills@gmail.com</t>
  </si>
  <si>
    <t>Katakam, Satyanarayana/G-8188-2017; Kalidindi, Satyanarayana N./O-3337-2015; Katakam, Satayanarayana/AAA-6997-2019; Loganathan, Santhosh/AAQ-7395-2021; Katakam, Satayanarayana/CAI-1973-2022</t>
  </si>
  <si>
    <t>Katakam, Satyanarayana/0000-0003-3114-2071; Kalidindi, Satyanarayana N./0000-0003-1793-6588; Katakam, Satayanarayana/0000-0003-3114-2071; Katakam, Satayanarayana/0000-0003-3114-2071</t>
  </si>
  <si>
    <t>FC3BH</t>
  </si>
  <si>
    <t>Abdulkarim, B; Yacob, MR; Abdullahi, AM; Radam, A</t>
  </si>
  <si>
    <t>Abdulkarim, Buhari; Yacob, Mohd Rusli; Abdullahi, Ahmad Makmom; Radam, Alias</t>
  </si>
  <si>
    <t>Farmers' perceptions and attitudes toward forest watershed conservation of the North Selangor Peat Swamp Forest</t>
  </si>
  <si>
    <t>JOURNAL OF SUSTAINABLE FORESTRY</t>
  </si>
  <si>
    <t>Exploratory factor analysis (EFA); forest management; perception and attitude; psychology construct; social; watershed conservation</t>
  </si>
  <si>
    <t>ENVIRONMENTAL PARADIGM SCALE; PLANNED BEHAVIOR; ECOLOGICAL PARADIGM; PLACE ATTACHMENT; MANAGEMENT; INTENTION; DECISIONS; DETERMINANTS; RESTORATION; SERVICES</t>
  </si>
  <si>
    <t>Over the past several decades, the management of forest ecosystem functions through policies such as command and control has not been successful, largely because existing policies and legislation for natural resource management are inadequate and often formulated without consulting local communities such as farmers. However, farmers' decisions to participate in natural resource conservation or watershed conservation more particularly are generally influenced by their knowledge of the problems and perceived benefits of conservation. This study focuses on farmers' perceptions and attitudes toward forest watershed conservation in the North West Selangor Peat Swamp forest of Malaysia. A survey questionnaire was administered to 380 paddy farmers at the North West Selangor irrigation scheme. Dates were analyzed using exploratory factor analysis (EFA) and the theory of value and social psychology constructs. The study concludes that farmers have generally positive attitudes toward forest watershed conservation. Therefore, we recommend farmers' involvement in the conservation and management of the North Selangor Peat Swamp Forest (NSPSF).</t>
  </si>
  <si>
    <t>[Abdulkarim, Buhari; Yacob, Mohd Rusli; Abdullahi, Ahmad Makmom] Univ Putra Malaysia, Fac Environm Studies, Upm Serdang 43400, Selangor, Malaysia; [Radam, Alias] Univ Putra Malaysia, Fac Econ &amp; Management, Serdang, Malaysia</t>
  </si>
  <si>
    <t>Abdulkarim, B (corresponding author), Univ Putra Malaysia, Fac Environm Studies, Upm Serdang 43400, Selangor, Malaysia.</t>
  </si>
  <si>
    <t>buharyk3@gmail.com</t>
  </si>
  <si>
    <t>1054-9811</t>
  </si>
  <si>
    <t>1540-756X</t>
  </si>
  <si>
    <t>J SUSTAIN FOREST</t>
  </si>
  <si>
    <t>J. Sustain. For.</t>
  </si>
  <si>
    <t>10.1080/10549811.2017.1300539</t>
  </si>
  <si>
    <t>EY9AD</t>
  </si>
  <si>
    <t>WOS:000404290500001</t>
  </si>
  <si>
    <t>Energy; Scenario; Energy market forecasting; Global energy trends; Stress scenarios; Technological shifts</t>
  </si>
  <si>
    <t>UNITED-STATES; FUTURE; METHODOLOGY; OIL; DISCONTINUITIES; UNCERTAINTY; SHOCKS</t>
  </si>
  <si>
    <t>[Kuzminov, Ilya; Bereznoy, Alexey] Natl Res Univ Higher Sch Econ, Ctr Ind Market Studies &amp; Business Strategies, Moscow, Russia; [Kuzminov, Ilya; Bereznoy, Alexey; Bakhtin, Pavel] Natl Res Univ Higher Sch Econ, Inst Stat Studies &amp; Econ Knowledge, Moscow, Russia</t>
  </si>
  <si>
    <t>Bereznoy, A (corresponding author), Natl Res Univ Higher Sch Econ, Ctr Ind Market Studies &amp; Business Strategies, Moscow, Russia.;Bereznoy, A (corresponding author), Natl Res Univ Higher Sch Econ, Inst Stat Studies &amp; Econ Knowledge, Moscow, Russia.</t>
  </si>
  <si>
    <t>abereznoy@hse.ru</t>
  </si>
  <si>
    <t>Ministry of Education and Science of the Russian Federation [RFMEFI60216X0013]</t>
  </si>
  <si>
    <t>Ministry of Education and Science of the Russian Federation(Ministry of Education and Science, Russian Federation)</t>
  </si>
  <si>
    <t>The research leading to these results has received funding from the Ministry of Education and Science of the Russian Federation in 2015-2016 (project ID: RFMEFI60216X0013).</t>
  </si>
  <si>
    <t>Foresight</t>
  </si>
  <si>
    <t>EX0CP</t>
  </si>
  <si>
    <t>Austerity; customers; HRM; personalisation; voluntary sector</t>
  </si>
  <si>
    <t>INDUSTRIAL-RELATIONS; USERS</t>
  </si>
  <si>
    <t>[Cunningham, Ian] Univ Strathclyde, Dept Human Resource Management, Glasgow, Lanark, Scotland</t>
  </si>
  <si>
    <t>Cunningham, I (corresponding author), Univ Strathclyde, Dept Human Resource Management, Glasgow, Lanark, Scotland.</t>
  </si>
  <si>
    <t>ian.cunningham@strath.ac.uk</t>
  </si>
  <si>
    <t>Community Care and Support Providers Scotland [4]</t>
  </si>
  <si>
    <t>Community Care and Support Providers Scotland</t>
  </si>
  <si>
    <t>The work was supported by the Community Care and Support Providers Scotland [grant number 4].</t>
  </si>
  <si>
    <t>INT J HUM RESOUR MAN</t>
  </si>
  <si>
    <t>Int. J. Hum. Resour. Manag.</t>
  </si>
  <si>
    <t>EW6ST</t>
  </si>
  <si>
    <t>Scheindlin, D</t>
  </si>
  <si>
    <t>Scheindlin, Dahlia</t>
  </si>
  <si>
    <t>Impact of American Political Marketing on Israeli Society</t>
  </si>
  <si>
    <t>Americanization; campaign consulting; Israeli politics; political consulting; political marketing</t>
  </si>
  <si>
    <t>ELECTIONS; TURNOUT</t>
  </si>
  <si>
    <t>The extensive literature examining the impact of American campaign styles in other countries generally attributes various political changes to the presence of American professionals and imported campaign techniques. Yet foreign professionals working on international campaigns may have more or less influence, and there is little systematic understanding of the factors that contribute to their actual influence over the local campaign. This paper examines the Israeli case as an example of strong penetration of American campaign professionals and techniques and analyzes the factors that contributed to their relatively high level of influence. Following this, a framework is proposed for assessing when imported American professionals and/or styles are likely to have a strong or weak influence on a campaign, based on factors leading to easy adoption or requiring more extensive adaptation. The study finds that in Israel, endogenous factors including social, political, cultural, and economic evolution contributed to the easy adoption of American campaign practices, creating a welcoming environment for American professionals. Thus, the major changes in campaigns often attributed to Americanization in other countries may be due at least in part to organic social, economic, and cultural changes of that society.</t>
  </si>
  <si>
    <t>[Scheindlin, Dahlia] Tel Aviv Univ, Dept Polit Sci, Tel Aviv, Israel</t>
  </si>
  <si>
    <t>Scheindlin, D (corresponding author), Tel Aviv Univ, Dept Polit Sci, Tel Aviv, Israel.</t>
  </si>
  <si>
    <t>dahlia60@gmail.com</t>
  </si>
  <si>
    <t>J POLITICAL MARKETIN</t>
  </si>
  <si>
    <t>J. Political Marketing</t>
  </si>
  <si>
    <t>10.1080/15377857.2016.1262223</t>
  </si>
  <si>
    <t>ER9CG</t>
  </si>
  <si>
    <t>WOS:000399120700004</t>
  </si>
  <si>
    <t>Marcinowicz, L; Jamiolkowski, J; Gugnowski, Z; Strandberg, EL; Fagerstrom, C; Pawlikowska, T</t>
  </si>
  <si>
    <t>Marcinowicz, Ludmila; Jamiolkowski, Jacek; Gugnowski, Zbigniew; Strandberg, Eva Lena; Fagerstroem, Cecilia; Pawlikowska, Teresa</t>
  </si>
  <si>
    <t>Evaluation of the Trust in Physician Scale (TIPS) of primary health care patients in north-east Poland: a preliminary study</t>
  </si>
  <si>
    <t>FAMILY MEDICINE AND PRIMARY CARE REVIEW</t>
  </si>
  <si>
    <t>patient trust; doctor-patient relationship; the Trust in Physician Scale; questionnaire</t>
  </si>
  <si>
    <t>SATISFACTION; ACCEPTANCE; CONTINUITY</t>
  </si>
  <si>
    <t>Background. Trust is a complex concept, difficult to study, but very important in a patient-family physician relationship. One of the measures used to assess interpersonal trust is a scale developed by Anderson &amp; Dedrick entitled the Trust in Physician Scale (TI PS). Objectives. The aim of the study was to assess the TI PS properties in relation to the age, gender, and health status of primary health care patients consulting family doctors and trainees in north-east Poland. Material and methods. A cross-sectional study using the TI PS was conducted in primary health care units in north-east Poland. 120 patients (60 who came to see family doctors, and 60 who came to see trainees) were asked to participate in the survey. Results. The Trust in Physician Scale has good reliability in primary care patients in north-east Poland (Cronbach's alpha coefficient was 0.90). Patients displayed statistically significant greater trust in family doctors than in trainees. A negative correlation was found between age and the trust scale (r = -0.30; p = 0.005); the younger the respondent, the higher trust in the physician, and conversely, a positive correlation between self-assessment of health and the trust scale (r = 0.3; p = 0.003). Conclusions. The Polish translation of the TI PS instrument performed well in terms of acceptability in the family medicine environment. It can be used to differentiate between the level of trust in family doctors and in trainees. A relation between age, sex, education level and self-assessment of health needs to be confirmed using a larger sample.</t>
  </si>
  <si>
    <t>[Marcinowicz, Ludmila] Med Univ Bialystok, Dept Primary Hlth Care, Bialystok, Poland; [Jamiolkowski, Jacek] Med Univ Bialystok, Dept Publ Hlth, Bialystok, Poland; [Gugnowski, Zbigniew] Med Ctr, Masuria, Poland; [Strandberg, Eva Lena] Lund Univ, Dept Clin Sci Malmo, Family Med, Lund, Sweden; [Fagerstroem, Cecilia] Blekinge Inst Technol, Karlskrona, Sweden; [Pawlikowska, Teresa] Royal Coll Surgeons Ireland, Hlth Profess Educ Ctr, Dublin, Ireland</t>
  </si>
  <si>
    <t>Marcinowicz, L (corresponding author), Zaklad Podstawowej Opieki Zdrowotnej UM, Ul Mieszka 14 B, PL-15054 Bialystok, Poland.</t>
  </si>
  <si>
    <t>ludmila.marcinowicz@umb.edu.pl</t>
  </si>
  <si>
    <t>Jamiolkowski, Jacek/T-6324-2018</t>
  </si>
  <si>
    <t>Jamiolkowski, Jacek/0000-0001-8442-9944</t>
  </si>
  <si>
    <t>Medical University of Bialystok, Poland [N/ST/ZB/16/006/3304]</t>
  </si>
  <si>
    <t>Medical University of Bialystok, Poland</t>
  </si>
  <si>
    <t>This work was funded by project no. N/ST/ZB/16/006/3304 from the Medical University of Bialystok, Poland.</t>
  </si>
  <si>
    <t>TERMEDIA PUBLISHING HOUSE LTD</t>
  </si>
  <si>
    <t>KLEEBERGA ST 2, POZNAN, 61-615, POLAND</t>
  </si>
  <si>
    <t>1734-3402</t>
  </si>
  <si>
    <t>2449-8580</t>
  </si>
  <si>
    <t>FAM MED PRIM CARE RE</t>
  </si>
  <si>
    <t>Fam. Med. Prim. Care Rev.</t>
  </si>
  <si>
    <t>10.5114/fmpcr.2017.65089</t>
  </si>
  <si>
    <t>ER6RK</t>
  </si>
  <si>
    <t>WOS:000398934500008</t>
  </si>
  <si>
    <t>Energy policy; Network management; Analytical framework; Renewable energy</t>
  </si>
  <si>
    <t>WIND POWER; POLICY NETWORKS; PUBLIC-SECTOR; SOCIAL ACCEPTANCE; LOCAL ACCEPTANCE; GOVERNANCE; INNOVATION; OUTCOMES; LESSONS; TECHNOLOGY</t>
  </si>
  <si>
    <t>[Newell, David; Sandstrom, Annica; Soderholm, Patrik] Lulea Univ Technol, Div Social Sci, S-97187 Lulea, Sweden</t>
  </si>
  <si>
    <t>Newell, D (corresponding author), Lulea Univ Technol, Div Social Sci, S-97187 Lulea, Sweden.</t>
  </si>
  <si>
    <t>David.Newell@ltu.se; Annica.Sandstrom@ltu.se; Patrik.Soderholm@ltu.se</t>
  </si>
  <si>
    <t>Swedish Energy Agency; Swedish research council Formas</t>
  </si>
  <si>
    <t>Swedish Energy Agency(Swedish Energy AgencyMaterials &amp; Energy Research Center (MERC)); Swedish research council Formas(Swedish Research CouncilSwedish Research Council Formas)</t>
  </si>
  <si>
    <t>Financial support from the from the Swedish Energy Agency and the Swedish research council Formas is gratefully acknowledged, as are helpful research assistance and comments on the manuscript from Stefan Linde, Asa Lindman, Daniel Nohrstedt and three anonymous reviewers. Any remaining errors reside solely with the authors.</t>
  </si>
  <si>
    <t>EO0NQ</t>
  </si>
  <si>
    <t>[Lin, Weiqiang] Natl Univ Singapore, Dept Geog, AS2 04-34,1 Arts Link, Singapore 117570, Singapore; [Lin, Weiqiang] Univ Toronto, Dept Geog &amp; Planning, Toronto, ON, Canada</t>
  </si>
  <si>
    <t>Lin, WQ (corresponding author), Natl Univ Singapore, Dept Geog, AS2 04-34,1 Arts Link, Singapore 117570, Singapore.</t>
  </si>
  <si>
    <t>weiqiang@nus.edu.sg</t>
  </si>
  <si>
    <t>UK Commonwealth Scholarship Commission Fieldwork Grant; National University of Singapore-Overseas Graduate Scholarship</t>
  </si>
  <si>
    <t>'Funding for this research was provided by a UK Commonwealth Scholarship Commission Fieldwork Grant and the National University of Singapore-Overseas Graduate Scholarship.</t>
  </si>
  <si>
    <t>Geopolitics</t>
  </si>
  <si>
    <t>EL2HH</t>
  </si>
  <si>
    <t>MacKenzie, R; Collin, J</t>
  </si>
  <si>
    <t>MacKenzie, Ross; Collin, Jeff</t>
  </si>
  <si>
    <t>'A preferred consultant and partner to the Royal Government, NGOs, and the community': British American Tobacco's access to policy-makers in Cambodia</t>
  </si>
  <si>
    <t>GLOBAL PUBLIC HEALTH</t>
  </si>
  <si>
    <t>Cambodia; health policy; tobacco control; framework convention on tobacco control; tobacco industry influence on policy</t>
  </si>
  <si>
    <t>CORPORATE-POWER; SOCIAL-POLICY</t>
  </si>
  <si>
    <t>British American Tobacco Cambodia (BATC) has dominated the country's tobacco market since its launch in 1996. Aggressive marketing in a weak regulatory environment and strategies to influence tobacco control policy have contributed to an emerging tobacco-related public health crisis. Analysis of internal tobacco industry documents, issues of BATC's in-house newsletter, civil society reports and media demonstrate that BATC officials have successfully sought to align the company with Cambodia's increasingly controversial political and business leadership that is centred around the Cambodian People's Party with the aim of gaining access to policy-makers and influencing the policy process. Connections to the political elite have resulted in official recognition of the company's ostensible contribution to Cambodia's economic and social development and, more significantly, provided BATC with opportunities to petition policy-makers and to dilute tobacco control regulation. Corporate promotion of its contribution to Cambodia's economic and social development is at odds with its determined efforts to thwart public health regulation and Cambodia's compliance with the Framework Convention on Tobacco Control.</t>
  </si>
  <si>
    <t>[MacKenzie, Ross] Macquarie Univ, Dept Psychol, Fac Human Sci, Sydney, NSW, Australia; [Collin, Jeff] Univ Edinburgh, Sch Social &amp; Polit Sci, Edinburgh, Midlothian, Scotland</t>
  </si>
  <si>
    <t>MacKenzie, R (corresponding author), Macquarie Univ, Dept Psychol, Fac Human Sci, Sydney, NSW, Australia.</t>
  </si>
  <si>
    <t>ross.mackenzie@mq.edu.au</t>
  </si>
  <si>
    <t>MacKenzie, Ross/M-2511-2016</t>
  </si>
  <si>
    <t>MacKenzie, Ross/0000-0002-9862-2101</t>
  </si>
  <si>
    <t>National Cancer Institute, US National Institutes of Health [R01 CA091021, R01 CA160695-01]; NATIONAL CANCER INSTITUTE [R01CA091021, R01CA160695] Funding Source: NIH RePORTER</t>
  </si>
  <si>
    <t>National Cancer Institute, US National Institutes of Health(United States Department of Health &amp; Human ServicesNational Institutes of Health (NIH) - USANIH National Cancer Institute (NCI)); NATIONAL CANCER INSTITUTE(United States Department of Health &amp; Human ServicesNational Institutes of Health (NIH) - USANIH National Cancer Institute (NCI))</t>
  </si>
  <si>
    <t>This work was supported by the National Cancer Institute, US National Institutes of Health [R01 CA091021 (RM)]; and [R01 CA160695-01 (JC)]. The funder played no role in the decision to submit the article or in its preparation.</t>
  </si>
  <si>
    <t>1744-1692</t>
  </si>
  <si>
    <t>1744-1706</t>
  </si>
  <si>
    <t>GLOB PUBLIC HEALTH</t>
  </si>
  <si>
    <t>Glob. Public Health</t>
  </si>
  <si>
    <t>10.1080/17441692.2016.1170868</t>
  </si>
  <si>
    <t>EM0LL</t>
  </si>
  <si>
    <t>WOS:000395009700004</t>
  </si>
  <si>
    <t>Rensch, C; Bruchhausen, W</t>
  </si>
  <si>
    <t>Rensch, Carola; Bruchhausen, Walter</t>
  </si>
  <si>
    <t>Medical Science Meets 'Development Aid' Transfer and Adaptation of West German Microbiology to Togo, 1960-1980</t>
  </si>
  <si>
    <t>MEDICAL HISTORY</t>
  </si>
  <si>
    <t>Development Aid; Academic co-operation; Public Health; Hygiene; Togo</t>
  </si>
  <si>
    <t>SALMONELLA SUBGENUS-I; TOR CHOLERA EPIDEMIC; VIBRIO-PARAHAEMOLYTICUS; AFRICA; GASTROENTERITIS; SHIGELLOSIS; SEROTYPES; POLITICS</t>
  </si>
  <si>
    <t>After losing the importance it had held around 1900 both as a colonial power and in the field of tropical medicine, Germany searched for a new place in international health care during decolonisation. Under the aegis of early government 'development aid', which started in 1956, medical academics from West German universities became involved in several Asian, African and South American countries. The example selected for closer study is the support for the national hygiene institute in Togo, a former German 'model colony' and now a stout ally of the West. Positioned between public health and scientific research, between 'development aid' and academia and between West German and West African interests, the project required multiple arrangements that are analysed for their impact on the co-operation between the two countries. In a country like Togo, where higher education had been neglected under colonial rule, having qualified national staff became the decisive factor for the project. While routine services soon worked well, research required more sustained 'capacity building' and did not lead to joint work on equal terms. In West Germany, the arrangement with the universities was a mutual benefit deal for government officials and medical academics. West German 'development aid' did not have to create permanent jobs at home for the consulting experts it needed; it improved its chances to find sufficiently qualified German staff to work abroad and it profited from the academic renown of its consultants. The medical scientists secured jobs and research opportunities for their postgraduates, received grants for foreign doctoral students, gained additional expertise and enjoyed international prestige. Independence from foreign politics was not an issue for most West German medical academics in the 1960s.</t>
  </si>
  <si>
    <t>[Rensch, Carola; Bruchhausen, Walter] Univ Bonn, Fac Med, Sigmund Freud Str 25, D-53127 Bonn, Germany; [Bruchhausen, Walter] Rhein Westfal TH Aachen, Inst Hist Theory &amp; Eth, Fac Med, Wendlingweg 2, D-52074 Aachen, Germany; [Bruchhausen, Walter] Univ Cologne, Inst Hist Med &amp; Med Eth, Fac Med, Joseph Stelzmann Str 20, D-50931 Cologne, Germany</t>
  </si>
  <si>
    <t>Bruchhausen, W (corresponding author), Univ Bonn, Fac Med, Sigmund Freud Str 25, D-53127 Bonn, Germany.;Bruchhausen, W (corresponding author), Rhein Westfal TH Aachen, Inst Hist Theory &amp; Eth, Fac Med, Wendlingweg 2, D-52074 Aachen, Germany.;Bruchhausen, W (corresponding author), Univ Cologne, Inst Hist Med &amp; Med Eth, Fac Med, Joseph Stelzmann Str 20, D-50931 Cologne, Germany.</t>
  </si>
  <si>
    <t>walbruch@uni-bonn.de</t>
  </si>
  <si>
    <t>Bruchhausen, Walter/AAA-3430-2020</t>
  </si>
  <si>
    <t>Bruchhausen, Walter/0000-0002-8115-2334</t>
  </si>
  <si>
    <t>DFG [BR2522-3-1]</t>
  </si>
  <si>
    <t>DFG(German Research Foundation (DFG)European Commission)</t>
  </si>
  <si>
    <t>Part of the research was sponsored by the DFG within the research project BR2522-3-1. We would like to thank Iris Borowy and the anonymous reviewers for their very helpful comments, and Carolyn Kenny for careful language editing.</t>
  </si>
  <si>
    <t>0025-7273</t>
  </si>
  <si>
    <t>2048-8343</t>
  </si>
  <si>
    <t>MED HIST</t>
  </si>
  <si>
    <t>Med. Hist.</t>
  </si>
  <si>
    <t>10.1017/mdh.2016.98</t>
  </si>
  <si>
    <t>Health Care Sciences &amp; Services; History &amp; Philosophy Of Science</t>
  </si>
  <si>
    <t>Health Care Sciences &amp; Services; History &amp; Philosophy of Science</t>
  </si>
  <si>
    <t>EO0VZ</t>
  </si>
  <si>
    <t>WOS:000396417900001</t>
  </si>
  <si>
    <t>Business Twenty; Group of Twenty; global governance; international association; international business community; global economic growth</t>
  </si>
  <si>
    <t>[Prokhorova, Alisa A.] Russian Union Industrialists &amp; Entrepreneurs, Int Cooperat Dept, Moscow, Russia; [Shokhin, Alexander N.] Natl Res Univ, Higher Sch Econ, Russian Union Industrialists &amp; Entrepreneurs, Moscow, Russia</t>
  </si>
  <si>
    <t>Prokhorova, AA (corresponding author), Russian Union Industrialists &amp; Entrepreneurs, Int Cooperat Dept, Moscow, Russia.</t>
  </si>
  <si>
    <t>aProkhorovaAA@rspp.ru; ShokhinAN@rspp.ru</t>
  </si>
  <si>
    <t>PUBLISHING HOUSE JURIST</t>
  </si>
  <si>
    <t>26-55, BLDG 7 KOSMODAMIANSKAYA EMB, MOSCOW, 115035, RUSSIA</t>
  </si>
  <si>
    <t>SRAVN POLIT</t>
  </si>
  <si>
    <t>Sravn. Polit.</t>
  </si>
  <si>
    <t>EG8EB</t>
  </si>
  <si>
    <t>Cumulative effects analysis; Cumulative effects assessment; Baseline; Significance; Scale; Thresholds</t>
  </si>
  <si>
    <t>HUMAN IMPACTS; ECOSYSTEM; MANAGEMENT; CONSERVATION; STRESSORS; CANADA; SEA; MAP</t>
  </si>
  <si>
    <t>[Foley, Melissa M.] US Geol Survey, Pacific Coastal &amp; Marine Sci Ctr, 400 Nat Bridges Dr, Santa Cruz, CA 95060 USA; [Foley, Melissa M.; Martone, Rebecca G.] Stanford Univ, Ctr Ocean Solut, 99 Pacific St, Monterey, CA 93940 USA; [Mease, Lindley A.; Prahler, Erin E.] Stanford Univ, Ctr Ocean Solut, 473 Via Ortega, Stanford, CA 94305 USA; [Morrison, Tiffany H.] James Cook Univ, ARC Ctr Excellence Coral Reef Studies, Townsville, Qld 4811, Australia; [Murray, Cathryn Clarke] WWF Canada, 409 Granville St,Suite 1588, Vancouver, BC V6C 1T2, Canada; [Wojcik, Deborah] Duke Univ, Nicholas Sch Environm, 9 Circuit Dr, Durham, NC 27708 USA</t>
  </si>
  <si>
    <t>Foley, MM (corresponding author), US Geol Survey, Pacific Coastal &amp; Marine Sci Ctr, 400 Nat Bridges Dr, Santa Cruz, CA 95060 USA.</t>
  </si>
  <si>
    <t>mfoley@usgs.gov; lamease@stanford.edu; rmartone@stanford.edu; tiffany.morrison@jcu.edu.au; cmurray@pices.int; deb.wojcik@duke.edu</t>
  </si>
  <si>
    <t>David and Lucile Packard Foundation</t>
  </si>
  <si>
    <t>David and Lucile Packard Foundation(The David &amp; Lucile Packard Foundation)</t>
  </si>
  <si>
    <t>The survey was conducted under IRB permit # 26398 from Stanford University. Funding was provided by the David and Lucile Packard Foundation to the Center for Ocean Solutions. We are grateful to A Erickson and M. Caldwell for helping refine our survey questions. M. Loughney Melius, M. Mach, S. Reiter, M. Gleason, G. Guntenspergen, and three anonymous reviewers provided insightful comments and edits to a previous version of the manuscript. Our sincere gratitude to the practitioners who completed the survey.</t>
  </si>
  <si>
    <t>EF9CS</t>
  </si>
  <si>
    <t>Effectiveness; Environmental assessment; Knowledge management; Organizational learning; Social learning</t>
  </si>
  <si>
    <t>ENVIRONMENTAL-MANAGEMENT SYSTEMS; PUBLIC-PARTICIPATION; INSTITUTIONAL PRESSURES; KNOWLEDGE MANAGEMENT; SUSTAINABILITY; ENGAGEMENT; UNIVERSITY; RESOURCE; CONTEXT; CORPS</t>
  </si>
  <si>
    <t>[Sanchez, Luis E.] Univ Sao Paulo, Escola Politecn, Av Prof Mello Moraes 2373, BR-05508900 Sao Paulo, Brazil; [Mitchell, Ross] Shell Int Explorat &amp; Prod BV, Rijswijk, Netherlands</t>
  </si>
  <si>
    <t>Sanchez, LE (corresponding author), Univ Sao Paulo, Escola Politecn, Av Prof Mello Moraes 2373, BR-05508900 Sao Paulo, Brazil.</t>
  </si>
  <si>
    <t>lsanchez@usp.br; ross.mitchell@ualberta.net</t>
  </si>
  <si>
    <t>Resilience; dementia; family caregivers; Delphi method; adversity</t>
  </si>
  <si>
    <t>ALZHEIMERS-DISEASE; BEHAVIOR PROBLEMS; PHYSICAL HEALTH; CARE; QUESTIONNAIRE; METAANALYSIS; PREVALENCE; PRIORITIES; SUPPORT; ANXIETY</t>
  </si>
  <si>
    <t>[Joling, Karlijn J.; Hertogh, Cees M. P. M.] Vrije Univ Amsterdam, EMGO Inst Hlth &amp; Care Res, Dept Gen Practice &amp; Elderly Care Med, Med Ctr, Amsterdam, Netherlands; [Windle, Gill; Woods, Robert T.] Bangor Univ, Sch Healthcare Sci, Dementia Serv Dev Ctr Wales, Bangor, Gwynedd, Wales; [Droes, Rose-Marie] Vrije Univ Amsterdam, EMGO Inst Hlth &amp; Care Res, Dept Psychiat, Med Ctr, Amsterdam, Netherlands; [Huisman, Martijn] Vrije Univ Amsterdam, EMGO Inst Hlth &amp; Care Res, Dept Sociol, Dept Epidemiol &amp; Biostat,Med Ctr, Amsterdam, Netherlands</t>
  </si>
  <si>
    <t>Joling, KJ (corresponding author), Vrije Univ Amsterdam, EMGO Inst Hlth &amp; Care Res, Dept Gen Practice &amp; Elderly Care Med, Med Ctr, Amsterdam, Netherlands.</t>
  </si>
  <si>
    <t>k.joling@vumc.nl</t>
  </si>
  <si>
    <t>Dutch Alzheimer's Association (Alzheimer Nederland) [WE.15-2014-05]; Economic and Social Research Council [ES/G035954/1, ES/L008831/1] Funding Source: researchfish; ESRC [ES/L008831/1, ES/G035954/1] Funding Source: UKRI</t>
  </si>
  <si>
    <t>Dutch Alzheimer's Association (Alzheimer Nederland); Economic and Social Research Council(UK Research &amp; Innovation (UKRI)Economic &amp; Social Research Council (ESRC)); ESRC(UK Research &amp; Innovation (UKRI)Economic &amp; Social Research Council (ESRC))</t>
  </si>
  <si>
    <t>This work was supported by the Dutch Alzheimer's Association (Alzheimer Nederland) [grant number WE.15-2014-05].</t>
  </si>
  <si>
    <t>AGING MENT HEALTH</t>
  </si>
  <si>
    <t>Aging Ment. Health</t>
  </si>
  <si>
    <t>Geriatrics &amp; Gerontology; Gerontology; Psychiatry</t>
  </si>
  <si>
    <t>Geriatrics &amp; Gerontology; Psychiatry</t>
  </si>
  <si>
    <t>ES9LX</t>
  </si>
  <si>
    <t>Mercelis, J; Galvez-Behar, G; Guagnini, A</t>
  </si>
  <si>
    <t>Mercelis, Joris; Galvez-Behar, Gabriel; Guagnini, Anna</t>
  </si>
  <si>
    <t>Commercializing science: nineteenth- and twentieth-century academic scientists as consultants, patentees, and entrepreneurs</t>
  </si>
  <si>
    <t>HISTORY AND TECHNOLOGY</t>
  </si>
  <si>
    <t>Science commercialization; regimes of knowledge production and diffusion; academic entrepreneurship; academic consulting; academic patenting</t>
  </si>
  <si>
    <t>INTELLECTUAL PROPERTY; KNOWLEDGE; INDUSTRY; UNIVERSITIES; 19TH-CENTURY; PROFESSOR; PATRONAGE; HISTORY; POLICY; STATE</t>
  </si>
  <si>
    <t>The collection of essays introduced in this article contributes to the debate on the commercialization of academic science by shifting the focus from institutional developments meant to foster university technology transfer to the actions of individual scientists. Instead of searching for the origins of the entrepreneurial university,' this special issue examines the personal involvement of academic physicists, engineers, photographic scientists, and molecular biologists in three types of commercial activity: consulting, patenting, and full-blown business entrepreneurship. The authors investigate how this diverse group of teachers and researchers perceived their institutional and professional environments, their career prospects, the commercial value of their knowledge and reputation, and their ability to exploit these assets. By documenting academic scientists' response to market opportunities, the articles suggest that, already in the decades around 1900, commercial work was widespread and, in some cases, integral to academics' teaching and research activity.</t>
  </si>
  <si>
    <t>[Mercelis, Joris] Johns Hopkins Univ, Dept Hist Sci &amp; Technol, Baltimore, MD 21218 USA; [Galvez-Behar, Gabriel] Univ Lille, Inst Rech Hist Septentr, Villeneuve Dascq, France; [Guagnini, Anna] Univ Bologna, Dipartimento Filosofia &amp; Comunicaz, Bologna, Italy</t>
  </si>
  <si>
    <t>Mercelis, J (corresponding author), Johns Hopkins Univ, Dept Hist Sci &amp; Technol, Baltimore, MD 21218 USA.;Galvez-Behar, G (corresponding author), Univ Lille, Inst Rech Hist Septentr, Villeneuve Dascq, France.;Guagnini, A (corresponding author), Univ Bologna, Dipartimento Filosofia &amp; Comunicaz, Bologna, Italy.</t>
  </si>
  <si>
    <t>jmercelis@jhu.edu; gabriel.galvez-behar@univ-lille.fr; anna.guagnini@unibo.it</t>
  </si>
  <si>
    <t>Galvez-Behar, Gabriel/0000-0001-7198-8288</t>
  </si>
  <si>
    <t>0734-1512</t>
  </si>
  <si>
    <t>1477-2620</t>
  </si>
  <si>
    <t>HIST TECHNOL</t>
  </si>
  <si>
    <t>Hist. Technol.</t>
  </si>
  <si>
    <t>10.1080/07341512.2017.1342308</t>
  </si>
  <si>
    <t>FA8RU</t>
  </si>
  <si>
    <t>WOS:000405714300002</t>
  </si>
  <si>
    <t>Framework for strategic sustainable development; Sustainability principles; Modern methods of construction; Building Information Modelling; Waste and energy reduction</t>
  </si>
  <si>
    <t>MANAGEMENT; REDUCTION; BOUNDARIES; INNOVATION; DESIGN; SYSTEM; CYCLE</t>
  </si>
  <si>
    <t>[Alwan, Zaid; Jones, Paul; Holgate, Peter] Northumbria Univ, Fac Engn &amp; Environm, Dept Architecture &amp; Built Environm, Newcastle Upon Tyne NE1 8ST, Tyne &amp; Wear, England</t>
  </si>
  <si>
    <t>Alwan, Z (corresponding author), Northumbria Univ, Fac Engn &amp; Environm, Dept Architecture &amp; Built Environm, Newcastle Upon Tyne NE1 8ST, Tyne &amp; Wear, England.</t>
  </si>
  <si>
    <t>zaid.alwan@unn.ac.uk</t>
  </si>
  <si>
    <t>ED3UX</t>
  </si>
  <si>
    <t>Risk management; Sustainable remediation; Policy instrument; Strategy; Guidelines; Finland</t>
  </si>
  <si>
    <t>REMEDIATION; PRINCIPLES; DECISIONS; FRAMEWORK; TOOLS; UK</t>
  </si>
  <si>
    <t>[Reinikainen, Jussi; Tikkanen, Sarianne] Finnish Environm Inst SYKE, POB 140, FI-00251 Helsinki, Finland; [Sorvari, Jaana] Aalto Univ, Sch Engn, POB 12100, FI-00076 Aalto, Finland</t>
  </si>
  <si>
    <t>Reinikainen, J (corresponding author), Finnish Environm Inst SYKE, POB 140, FI-00251 Helsinki, Finland.</t>
  </si>
  <si>
    <t>Jussi.Reinikainen@ymparisto.fi; Jaana.Sorvari@aalto.fi; Sarianne.Tikkanen@ymparisto.fi</t>
  </si>
  <si>
    <t>Ministry of the Environment</t>
  </si>
  <si>
    <t>Ministry of the Environment(Ministry of the Environment, Japan)</t>
  </si>
  <si>
    <t>This paper is based on the authors' experiences gained during the preparation of the presented policy measures, and several years of continuous dialogue with the different stakeholder groups in the Finnish environmental administration. The authors want to express their gratitude to the Ministry of the Environment for supporting this work, and to all individuals who have participated in the preparation of the new policy measures by commenting the drafts and attending the discussions during the stakeholder meetings. We also acknowledge the contribution of Sara Stiderstrom, Jari Karppanen, Outi Pyy and Jouko Tuomainen from the Finnish Environment Institute in the realization of the latest survey on administrative decisions.</t>
  </si>
  <si>
    <t>ED0QP</t>
  </si>
  <si>
    <t>Marchenko, GI</t>
  </si>
  <si>
    <t>Marchenko, Gennady, I</t>
  </si>
  <si>
    <t>SCIENTIFIC SUBSTANTIATION OF GOVERNMENT DECISIONS IN CHINA: TRAINING &amp; CONSULTANCY</t>
  </si>
  <si>
    <t>VESTNIK TOMSKOGO GOSUDARSTVENNOGO UNIVERSITETA-FILOSOFIYA-SOTSIOLOGIYA-POLITOLOGIYA-TOMSK STATE UNIVERSITY JOURNAL OF PHILOSOPHY SOCIOLOGY AND POLITICAL SCIENCE</t>
  </si>
  <si>
    <t>xpert knowledge; decision-making; the party's image; study the CCP politburo</t>
  </si>
  <si>
    <t>Researchers at the Chinese political party (CCP) believe that it is from the moment of its occurrence was based on the tradition of close cooperation with science. However, only the coming to power of President Hu Jintao and Xi Jinping is not declarative, but almost literally led to the invasion of science in the Party and the administration of the country, including personnel policy and government decision-making. As a result of this policy, a new Institute of Chinese policy, similar in appearance to some training sessions, but in fact a crucial task, as the intellectual development of senior management, and promotes the transformation of the demands of society in specific solutions, and even transfer them to the specific political program. In the so-called collective training sessions, attended not only by members of the Politburo, but the ministers and the governors of the provinces, and the lecturers are the experts, scholars, researchers of Beijing University and other regions. These sessions solve diverse goals and objectives - the formation of a strategy to link the current problems with the Chinese history and the experiences of other countries, making the practice of collective decision-making contributes to the formation of a unified approach (consensus) among the participants of political and administrative process. Extremely interesting technology of their conduct, which covers selection of topics and research institutions; specific selection of lecturers and development of the texts, which are then handed over to each of those present; regulations; a leading role; The role of media. It is also important functions performed by the sessions - information, symbolic; ideological and propaganda; mobilization and recruitment policy; image production. Subjects discussed questions is always concrete and linked with the test problems of Chinese society. The party leadership and corruption in its ranks; environment, employment and unemployment; development of culture and the Internet; ideology and especially the central idea of socialism with Chinese characteristics; law supremacy; Marxist philosophy, social and economic sciences. And only a third of the sessions focused on international affairs, but each of them is always designated the national interests of China, its politics and society as a whole. Analyze the experience is not only unique, but also instructive to control the state, including Russia.</t>
  </si>
  <si>
    <t>[Marchenko, Gennady, I] Moscow State Univ MV Lomonosov, Moscow, Russia</t>
  </si>
  <si>
    <t>Marchenko, GI (corresponding author), Moscow State Univ MV Lomonosov, Moscow, Russia.</t>
  </si>
  <si>
    <t>TOMSK STATE UNIV</t>
  </si>
  <si>
    <t>TOMSK</t>
  </si>
  <si>
    <t>LENIN AVE, 36, TOMSK, 634050, RUSSIA</t>
  </si>
  <si>
    <t>1998-863X</t>
  </si>
  <si>
    <t>2311-2395</t>
  </si>
  <si>
    <t>VESTN TOMSK GOS UNIV</t>
  </si>
  <si>
    <t>Vestn. Tomsk. Gos. Univ. Filos.-Sotsiologiya-Politologiya</t>
  </si>
  <si>
    <t>10.17223/1998863X/36/35</t>
  </si>
  <si>
    <t>FD5JV</t>
  </si>
  <si>
    <t>WOS:000407567600035</t>
  </si>
  <si>
    <t>capacity; forest carbon governance; institutions; Laos; REDD; Southeast Asia</t>
  </si>
  <si>
    <t>FOREST TRANSITION; LAND; INDONESIA; POLITICS; VIETNAM; CONTEXT; NETWORKS; POLICY; POWER</t>
  </si>
  <si>
    <t>[Vongvisouk, Thoumthone m; Mertz, Ole; Broegaard, Rikke Brandt] Univ Copenhagen, Fac Sci, Dept Geosci &amp; Nat Resource Management, Copenhagen, Denmark; [Lestrelin, Guillaume; Castella, Jean-Christophe] Inst Dev Res, Viangchan, Laos; [Lestrelin, Guillaume; Castella, Jean-Christophe] Agr Res Ctr Int Dev, Montpellier, France; [Vongvisouk, Thoumthone m; Thongmanivong, Sithong] Natl Univ Laos, Fac Forestry Sci, Viangchan, Laos</t>
  </si>
  <si>
    <t>Mertz, O (corresponding author), Univ Copenhagen, Fac Sci, Dept Geosci &amp; Nat Resource Management, Copenhagen, Denmark.</t>
  </si>
  <si>
    <t>om@ign.ku.dk</t>
  </si>
  <si>
    <t>Castella, Jean-Christophe/A-7419-2008; Broegaard, Rikke B/E-4050-2015; Lestrelin, Guillaume/A-8196-2012</t>
  </si>
  <si>
    <t>Castella, Jean-Christophe/0000-0003-3532-0728; Broegaard, Rikke B/0000-0002-3758-5984; Lestrelin, Guillaume/0000-0001-6207-218X</t>
  </si>
  <si>
    <t>European Commission's Seventh Framework Research Programme funded 'Impacts of Reducing Emissions from Deforestation and Forest Degradation and Enhancing Carbon Stocks (I-REDD+)'; Danish Council for Independent Research - Social Sciences funded 'Property and Citizenship in Developing Societies (ProCit)' project</t>
  </si>
  <si>
    <t>Funding for this study was provided by two research projects: the European Commission's Seventh Framework Research Programme funded 'Impacts of Reducing Emissions from Deforestation and Forest Degradation and Enhancing Carbon Stocks (I-REDD+)' and the Danish Council for Independent Research - Social Sciences funded 'Property and Citizenship in Developing Societies (ProCit)' project. This research contributes to the Global Land Project, www.globallandproject.org. We would like to thank all respondents for providing valuable information for this article.</t>
  </si>
  <si>
    <t>WILEY-BLACKWELL</t>
  </si>
  <si>
    <t>ASIA PAC VIEWP</t>
  </si>
  <si>
    <t>Asia Pac. Viewp.</t>
  </si>
  <si>
    <t>Area Studies; Geography</t>
  </si>
  <si>
    <t>EJ2UK</t>
  </si>
  <si>
    <t>renewable energy; Central America; energy policy; geothermal; bagasse; electricity generation</t>
  </si>
  <si>
    <t>FEED-IN TARIFF; ELECTRICITY MARKET; POLICY; POWER; GERMANY; DENMARK; LESSONS; SUPPORT; TECHNOLOGIES; MECHANISMS</t>
  </si>
  <si>
    <t>[Hira, Anil] Simon Fraser Univ, Polit Sci, Vancouver, BC, Canada</t>
  </si>
  <si>
    <t>Hira, A (corresponding author), Simon Fraser Univ, Polit Sci, Vancouver, BC, Canada.</t>
  </si>
  <si>
    <t>LAT AM POLICY</t>
  </si>
  <si>
    <t>Lat. Am. Policy</t>
  </si>
  <si>
    <t>EG5MR</t>
  </si>
  <si>
    <t>Food industry; Organisational readiness; Statistical process control; Continuous improvement</t>
  </si>
  <si>
    <t>6 SIGMA; ORGANIZATIONAL READINESS; QUALITY; MODEL; DELPHI; STRATEGIES; INNOVATION</t>
  </si>
  <si>
    <t>[Lim, Sarina Abdul Halim; Antony, Jiju] Heriot Watt Univ, Sch Management &amp; Languages, Riccarton Campus, Edinburgh EH14 4AS, Midlothian, Scotland; [Lim, Sarina Abdul Halim] Univ Putra Malaysia, Fac Food Sci &amp; Technol, Dept Food Technol, Serdang 43400, Selangor, Malaysia</t>
  </si>
  <si>
    <t>Lim, SAH (corresponding author), Univ Putra Malaysia, Fac Food Sci &amp; Technol, Dept Food Technol, Serdang 43400, Selangor, Malaysia.</t>
  </si>
  <si>
    <t>sb485@hw.ac.uk</t>
  </si>
  <si>
    <t>ELSEVIER SCIENCE LONDON</t>
  </si>
  <si>
    <t>84 THEOBALDS RD, LONDON WC1X 8RR, ENGLAND</t>
  </si>
  <si>
    <t>TRENDS FOOD SCI TECH</t>
  </si>
  <si>
    <t>Trends Food Sci. Technol.</t>
  </si>
  <si>
    <t>EG0MX</t>
  </si>
  <si>
    <t>King, TF (corresponding author), 8715 1st Ave,805D, Silver Spring, MD 20910 USA.</t>
  </si>
  <si>
    <t>Tomking106@gmail.com</t>
  </si>
  <si>
    <t>Federal Highway Administration</t>
  </si>
  <si>
    <t>Some agencies have taken this bull by the horns. Many state transportation agencies, for instance, with encouragement and support from the Federal Highway Administration, have implemented systems to ensure that EIA is performed and that its results are incorporated into project design and implementation.</t>
  </si>
  <si>
    <t>ENVIRON PRAC</t>
  </si>
  <si>
    <t>Environ. Pract.</t>
  </si>
  <si>
    <t>ED3EC</t>
  </si>
  <si>
    <t>Calibration; Validation; Reference evapotranspiration; Models; Senegal river delta</t>
  </si>
  <si>
    <t>HARGREAVES-SAMANI EQUATION; ASCE-PENMAN-MONTEITH; CROP EVAPOTRANSPIRATION; EDDY COVARIANCE; CLIMATIC VARIABLES; WATER-BUDGET; COMMON REED; SENSITIVITY; COEFFICIENTS; SOIL</t>
  </si>
  <si>
    <t>[Djaman, Koffi; Balde, Alpha B.] Africa Rice Ctr AfricaRice, Sahel Reg Stn, BP 96, St Louis, Senegal; [Tabari, Hossein] KU, Dept Civil Engn, Hydraul Div, Leuven, Belgium; [Diop, Lamine] Univ Gaston Berger, UFR Sci Agron Aquaculture &amp; Technol Alimentaires, St Louis, Senegal; [Futakuchi, Koichi] Africa Rice Ctr AfricaRice Cotonou, Cotonou, Benin; [Irmak, Suat] Univ Nebraska, Dept Biol Syst Engn, Lincoln, NE 68583 USA</t>
  </si>
  <si>
    <t>Djaman, K (corresponding author), Africa Rice Ctr AfricaRice, Sahel Reg Stn, BP 96, St Louis, Senegal.</t>
  </si>
  <si>
    <t>djamank@yahoo.fr</t>
  </si>
  <si>
    <t>Djaman, Koffi/J-2383-2019; Tabari, Hossein/E-2911-2015</t>
  </si>
  <si>
    <t>Djaman, Koffi/0000-0002-1904-6979; Tabari, Hossein/0000-0003-2052-4541</t>
  </si>
  <si>
    <t>J HYDROL-REG STUD</t>
  </si>
  <si>
    <t>J. Hydrol.-Reg. Stud.</t>
  </si>
  <si>
    <t>FD2IL</t>
  </si>
  <si>
    <t>Firms; Innovation; Knowledge transfer; Peripheral regions; University-industry interactions; Cluster analysis</t>
  </si>
  <si>
    <t>RESEARCH-AND-DEVELOPMENT; ACADEMIC RESEARCH; RESEARCH ORGANIZATIONS; ABSORPTIVE-CAPACITY; PUBLIC RESEARCH; SCIENCE; COLLABORATION; FIRMS; BIOTECHNOLOGY; PATTERNS</t>
  </si>
  <si>
    <t>[Fernandez-Esquinas, Manuel; Perez Yruela, Manuel] CSIC, Inst Adv Social Studies IESA, Madrid, Spain; [Pinto, Hugo; Pereira, Tiago Santos] Univ Coimbra, Ctr Social Studies, P-3000 Coimbra, Portugal; [Pinto, Hugo] Univ Algarve, Fac Econ, Campus Gambelas,Edificio 9, P-8005139 Faro, Portugal</t>
  </si>
  <si>
    <t>Pinto, H (corresponding author), Univ Algarve, Fac Econ, Campus Gambelas,Edificio 9, P-8005139 Faro, Portugal.</t>
  </si>
  <si>
    <t>mfernandez@iesa.csic.es; hpinto@ces.uc.pt; mpyruela@iesa.csic.es; tsp@ces.uc.pt</t>
  </si>
  <si>
    <t>FCT - Portuguese Foundation for Science and Technology [SFRH/BPD/84038/2012]; Regional R&amp;D Scheme of the Government of Andalusia (PAIDI) [SEJ-2005-801]</t>
  </si>
  <si>
    <t>FCT - Portuguese Foundation for Science and Technology(Portuguese Foundation for Science and Technology); Regional R&amp;D Scheme of the Government of Andalusia (PAIDI)</t>
  </si>
  <si>
    <t>Hugo Pinto is supported by FCT - Portuguese Foundation for Science and Technology (SFRH/BPD/84038/2012). This article has used data from the project Conditioning factors for the generation and use of scientific research in Andalusia funded by the Regional R&amp;D Scheme of the Government of Andalusia (PAIDI) (Grant reference SEJ-2005-801).</t>
  </si>
  <si>
    <t>EG0PP</t>
  </si>
  <si>
    <t>Bergsma, E</t>
  </si>
  <si>
    <t>Bergsma, Emmy</t>
  </si>
  <si>
    <t>Geographers Versus Managers: Expert Influence on the Construction of Values Underlying Flood Insurance in the United States</t>
  </si>
  <si>
    <t>Experts; values; floods; insurance</t>
  </si>
  <si>
    <t>KNOWLEDGE USE; POLICY; CONSULTANTS; SCIENTISTS; WATER; RISK</t>
  </si>
  <si>
    <t>A democratic premise is that expert influence should not extend into the political domain of environmental policymaking. This article analyses the relationship between experts and policymakers in the historical development of the National Flood Insurance Program as a flood governance strategy in the United States. The article draws three conclusions. First, while experts asserted great influence on the development of this policy program, underlying values were evaluated and judged by policymakers. Second, as socio-political values changed, new types of experts were involved in the policymaking process. Third, these different types of experts had different implications for how value conflicts were addressed.</t>
  </si>
  <si>
    <t>[Bergsma, Emmy] KWR Watercycle Res Inst, Dept Resilience Management &amp; Governance, Postbus 1072, NL-3430 BB Nieuwegein, Netherlands</t>
  </si>
  <si>
    <t>Bergsma, E (corresponding author), KWR Watercycle Res Inst, Dept Resilience Management &amp; Governance, Postbus 1072, NL-3430 BB Nieuwegein, Netherlands.</t>
  </si>
  <si>
    <t>emmy.bergsma@kwrwater.nl</t>
  </si>
  <si>
    <t>WHITE HORSE PRESS</t>
  </si>
  <si>
    <t>ISLE OF HARRIS</t>
  </si>
  <si>
    <t>1 STROND, ISLE OF HARRIS HS5 3UD, ENGLAND</t>
  </si>
  <si>
    <t>1752-7015</t>
  </si>
  <si>
    <t>ENVIRON VALUE</t>
  </si>
  <si>
    <t>Environ. Values</t>
  </si>
  <si>
    <t>10.3197/096327116X14736981715661</t>
  </si>
  <si>
    <t>Ethics; Environmental Studies</t>
  </si>
  <si>
    <t>Social Sciences - Other Topics; Environmental Sciences &amp; Ecology</t>
  </si>
  <si>
    <t>EB5IV</t>
  </si>
  <si>
    <t>WOS:000387408500004</t>
  </si>
  <si>
    <t>BIDs; business improvement districts; economic development; immigrant neighbourhoods; local governance; unsuccessful attempts to form BIDs</t>
  </si>
  <si>
    <t>URBAN GOVERNANCE; PUBLIC SAFETY; REVITALIZATION; NEIGHBORHOODS; GOVERNMENT; DOWNTOWN</t>
  </si>
  <si>
    <t>[Lee, Wonhyung] SUNY Albany, Albany, NY 12222 USA</t>
  </si>
  <si>
    <t>Lee, W (corresponding author), SUNY Albany, Sch Social Welf, 135 Western Ave, Albany, NY 12222 USA.</t>
  </si>
  <si>
    <t>whlee@albany.edu</t>
  </si>
  <si>
    <t>Rackham Graduate School; Center for Public Policy in Diverse Societies Gerald R. Ford School of Public Policy, University of Michigan, Ann Arbor, MI, USA</t>
  </si>
  <si>
    <t>This study was partly supported by the Rackham Graduate School and the Center for Public Policy in Diverse Societies Gerald R. Ford School of Public Policy, University of Michigan, Ann Arbor, MI, USA.</t>
  </si>
  <si>
    <t>EB6ND</t>
  </si>
  <si>
    <t>Asymmetric information; Credence goods; Labeling; Change agents; Energy audits</t>
  </si>
  <si>
    <t>MARKET; PERFORMANCE; ECONOMICS; RETROFIT; LABELS; GAP; INSTRUMENTS; REPUTATION; MECHANICS; BEHAVIOR</t>
  </si>
  <si>
    <t>[Feser, Daniel] Univ Goettingen, Fac Econ Sci, Dept Econ Policy &amp; SME Res, Pl Goettinger Sieben 3, D-37073 Gottingen, Germany; [Runst, Petrik] Univ Goettingen, Inst Small Business Econ, Gottingen, Germany</t>
  </si>
  <si>
    <t>Feser, D (corresponding author), Univ Goettingen, Fac Econ Sci, Dept Econ Policy &amp; SME Res, Pl Goettinger Sieben 3, D-37073 Gottingen, Germany.</t>
  </si>
  <si>
    <t>Daniel.Feser@wiwi.uni-goettingen.de</t>
  </si>
  <si>
    <t>iENG project [03EK3517A]; Federal Ministry of Education and Research</t>
  </si>
  <si>
    <t>iENG project; Federal Ministry of Education and Research(Federal Ministry of Education &amp; Research (BMBF))</t>
  </si>
  <si>
    <t>Financial support for conducting the interviews from the iENG project (grant number 03EK3517A), funded by the Federal Ministry of Education and Research, is gratefully acknowledged. We would like to thank Professor Kilian Bizer, Kaja Fredriksen and all participants of the research paper workshop at the department of economic policy at the University of Gottingen.</t>
  </si>
  <si>
    <t>EB3WS</t>
  </si>
  <si>
    <t>concrete structures; developing countries; field testing &amp; monitoring</t>
  </si>
  <si>
    <t>[Hodgson, Robert L. P.] RH Geotech, Tiverton, England; [Khan, Iftekhar A.] Medway Consultancy Serv, Dhaka, Bangladesh; [Haynes, Ruth; Arnold, John] Build Collect, Bath, Avon, England</t>
  </si>
  <si>
    <t>Hodgson, RLP (corresponding author), RH Geotech, Tiverton, England.</t>
  </si>
  <si>
    <t>rlph@rhgeotechnical.co.uk</t>
  </si>
  <si>
    <t>PROC INST CIV ENG-FO</t>
  </si>
  <si>
    <t>PROC. INST. CIV. ENG.-FORENSIC ENG.</t>
  </si>
  <si>
    <t>DZ2DW</t>
  </si>
  <si>
    <t>Sustainability assessment; Automotive; Sustainability assessment criteria; Interview study</t>
  </si>
  <si>
    <t>LIFE-CYCLE ASSESSMENT; WHOLE-BODY VIBRATION; HEALTH; INDICATORS; SELECTION; CRITERIA; INDUSTRY; DESIGN</t>
  </si>
  <si>
    <t>[Jasinski, Dominik; Kirwan, Kerry] Univ Warwick, Warwick Mfg Grp, Coventry CV4 7AL, W Midlands, England; [Meredith, James] Univ Sheffield, Dept Mech Engn, Sheffield S1 3JD, S Yorkshire, England</t>
  </si>
  <si>
    <t>Jasinski, D (corresponding author), Univ Warwick, Warwick Mfg Grp, Coventry CV4 7AL, W Midlands, England.</t>
  </si>
  <si>
    <t>d.jasinski@warwick.ac.uk</t>
  </si>
  <si>
    <t>Jasinski, Dominik/0000-0002-4299-8927; Kirwan, Kerry/0000-0001-7166-3117</t>
  </si>
  <si>
    <t>Engineering and Physical Sciences Research Council; Jaguar Land Rover [EP/I01585X/1]; Engineering and Physical Sciences Research Council [1237553] Funding Source: researchfish</t>
  </si>
  <si>
    <t>Engineering and Physical Sciences Research Council(UK Research &amp; Innovation (UKRI)Engineering &amp; Physical Sciences Research Council (EPSRC)); Jaguar Land Rover; Engineering and Physical Sciences Research Council(UK Research &amp; Innovation (UKRI)Engineering &amp; Physical Sciences Research Council (EPSRC))</t>
  </si>
  <si>
    <t>We wish to thank the Subject Editor Professor Tomas B. Ramos, and the Reviewers for their valuable comments on this paper. We are grateful to all interviewees for the consultation and extremely valuable input in the process of developing a framework for automotive sustainability assessment. We also thank the Engineering and Physical Sciences Research Council and Jaguar Land Rover for funding this research (EP/I01585X/1).</t>
  </si>
  <si>
    <t>DV3AH</t>
  </si>
  <si>
    <t>Non-audit services; Consultancy services; Consultancy fees; Audit fees; Meta-analysis; NAS</t>
  </si>
  <si>
    <t>AUDITOR INDEPENDENCE; NONAUDIT SERVICES; JOINT DETERMINATION; FEES; QUALITY; DEMAND; DETERMINANTS; INFORMATION; PREMIUM; IMPACT</t>
  </si>
  <si>
    <t>[De Fuentes, Cristina; Porcuna, Ruben] Univ Valencia, Fac Econ, Avda Tarongers S-N, Valencia 46021, Spain</t>
  </si>
  <si>
    <t>De Fuentes, C (corresponding author), Univ Valencia, Fac Econ, Avda Tarongers S-N, Valencia 46021, Spain.</t>
  </si>
  <si>
    <t>cristina.de-fuentes@uv.es; ruben.porcuna@uv.es</t>
  </si>
  <si>
    <t>Porcuna Enguix, Ruben/0000-0002-1776-9778; De Fuentes, Cristina/0000-0001-6771-3679</t>
  </si>
  <si>
    <t>Junta de Andalucia [SEJ-8236]; Conselleria de Educacio, Cultura i Esport de la Generalitat Valenciana</t>
  </si>
  <si>
    <t>Junta de Andalucia(Junta de Andalucia); Conselleria de Educacio, Cultura i Esport de la Generalitat Valenciana</t>
  </si>
  <si>
    <t>The authors are grateful to the two anonymous referees and Pedro Carmona and Consuelo Pucheta for their helpful comments. This paper received financial support from the Junta de Andalucia under project SEJ-8236 and from the Conselleria de Educacio, Cultura i Esport de la Generalitat Valenciana under project VALi+d (Resolucion 26 Junio 2014).</t>
  </si>
  <si>
    <t>DW8WS</t>
  </si>
  <si>
    <t>Eco city development; Policy implementation; Policy network theory; Typology of eco cities; Low carbon cities; China</t>
  </si>
  <si>
    <t>FINANCE</t>
  </si>
  <si>
    <t>[de Jong, Martin] Delft Univ Technol, Fac Technol Policy &amp; Management, Jaffalaan 5, NL-2628 BX Delft, Netherlands; [de Jong, Martin] Fudan Univ, Sch Int Relat &amp; Publ Affairs, 220 Handan Rd, Shanghai 200433, Peoples R China; [Yu, Chang] Beijing Forestry Univ, Sch Econ &amp; Management, 35 Tsinghua East Rd, Beijing 100083, Peoples R China; [Joss, Simon] Univ Westminster, Dept Polit &amp; Int Relat, 32-38 Wells St, London W1T 3UW, England; [Wennersten, Ronald] Shandong Univ, Inst Thermal Sci &amp; Technol, 27 ShandaNanlu, Jinan 250100, Peoples R China; [Yu, Li] Cardiff Univ, Sch Planning &amp; Geog, Cardiff CF10 3XQ, S Glam, Wales; [Zhang, Xiaoling] City Univ Hong Kong, Dept Publ Policy, 83 Tat Chee Ave, Kowloon, Hong Kong, Peoples R China; [Ma, Xin] Harbin Inst Technol, Sch Management, 92 West Dazhi St, Harbin 150001, Peoples R China</t>
  </si>
  <si>
    <t>de Jong, M (corresponding author), Delft Univ Technol, Fac Technol Policy &amp; Management, Jaffalaan 5, NL-2628 BX Delft, Netherlands.</t>
  </si>
  <si>
    <t>w.m.dejong@tudelft.nl; changyu@bjfu.edu.cn; josss@westminster.ac.uk; rw@kth.se; YuL@cardiff.ac.uk; xiaoling.zhang@cityu.edu.hk; maxinhit@gmail.com</t>
  </si>
  <si>
    <t>Yu, Li/ABF-2472-2020; Zhang, Xiaoling/AAT-4795-2020; de Jong, Martin/E-8002-2013; Zhang, Xiaoling/AAT-4748-2020</t>
  </si>
  <si>
    <t>Zhang, Xiaoling/0000-0002-6369-9424; Joss, Simon/0000-0003-2856-4695; Yu, Li/0000-0001-5547-9862</t>
  </si>
  <si>
    <t>Delft Initiative for Mobility and Infrastructures (DIMI); Leverhulme Trust [IN-2012-102]; Shandong Province [2014RKA10003]</t>
  </si>
  <si>
    <t>Delft Initiative for Mobility and Infrastructures (DIMI); Leverhulme Trust(Leverhulme Trust); Shandong Province</t>
  </si>
  <si>
    <t>The authors are indebted to Shanfeng Dong (Bluepath City Foundation) and Tao Zou (Tsinghua Tongheng Urban Planning and Design Institute) for their inputs to this article. We are grateful to the Institute for Building Research (IBR), the Global Research Forum for Sustainable Production and Consumption (GRFSPC), Fudan University and Tsinghua Tongheng Urban Planning and Design Institute for hosting the series of three expert roundtable discussions in 2013-2015. This research has been generously supported with grants from the Delft Initiative for Mobility and Infrastructures (DIMI), the Leverhulme Trust (Tomorrow's City Today International Research Network, grant IN-2012-102) and Shandong Province (Soft Science research project, grant 2014RKA10003).</t>
  </si>
  <si>
    <t>DU7QM</t>
  </si>
  <si>
    <t>O'Neill, M</t>
  </si>
  <si>
    <t>O'Neill, Moira</t>
  </si>
  <si>
    <t>Policy-Focused Service-Learning as a Capstone: Teaching Essentials of Baccalaureate Nursing Education</t>
  </si>
  <si>
    <t>JOURNAL OF NURSING EDUCATION</t>
  </si>
  <si>
    <t>HEALTH</t>
  </si>
  <si>
    <t>Background: The advancing accountability of nurses and nurse educators requires students to develop knowledge, skills, and judgment on a continuum of focus from individual patients to the broader context of care. Method: A dynamic capstone policy course was developed by applying the American Association of Colleges of Nursing's Essentials of Baccalaureate Education for Professional Nursing Practice and capitalizing on related benefits of service-learning pedagogy. It shifts the approach from an intangible didactic lecture on policy and institutional structures to handson experiences in actual policy environment and patient health intersections. Acting as nurse consultants, students help clients address a system-based problem. Reflective assignments reinforce student learning as they take cumulative inventory of baccalaureate accomplishments. Results: Competencies in professionalism, teamwork and collaboration, communication, problem solving, and quality assurance are assessed. Students have engaged at sophisticated levels of practice and advocacy. Conclusion: Situating capstone service-learning in a nursing policy course appears to sensitize students to perspectives of all ecological levels and desensitizes their discomfort in the policy arena. Implications for research include identifying and implementing measures of success in program outcomes.</t>
  </si>
  <si>
    <t>[O'Neill, Moira] Husson Univ, Sch Nursing, Bangor, ME USA</t>
  </si>
  <si>
    <t>O'Neill, M (corresponding author), 1035 Newbury Neck, Surry, ME 04684 USA.</t>
  </si>
  <si>
    <t>moira.oneill@aya.yale.edu</t>
  </si>
  <si>
    <t>SLACK INC</t>
  </si>
  <si>
    <t>THOROFARE</t>
  </si>
  <si>
    <t>6900 GROVE RD, THOROFARE, NJ 08086 USA</t>
  </si>
  <si>
    <t>0148-4834</t>
  </si>
  <si>
    <t>1938-2421</t>
  </si>
  <si>
    <t>J NURS EDUC</t>
  </si>
  <si>
    <t>J. Nurs. Educ.</t>
  </si>
  <si>
    <t>10.3928/01484834-20160914-08</t>
  </si>
  <si>
    <t>ED8TD</t>
  </si>
  <si>
    <t>WOS:000389142900008</t>
  </si>
  <si>
    <t>Gibson, C; Warren, A</t>
  </si>
  <si>
    <t>Gibson, Chris; Warren, Andrew</t>
  </si>
  <si>
    <t>Resource-Sensitive Global Production Networks: Reconfigured Geographies of Timber and Acoustic Guitar Manufacturing</t>
  </si>
  <si>
    <t>resource geographies; global production networks; environmental protection; timber; materiality; stewardship; expertise; innovation; sustainability; supply chains</t>
  </si>
  <si>
    <t>POLITICAL-ECONOMY; MATERIAL WORLDS; COMMODIFICATION; GOVERNANCE; DYNAMICS; MAHOGANY; CHAINS</t>
  </si>
  <si>
    <t>This article examines how resource materiality, scarcity, and evolving international environmental regulation shape global production networks (GPNs). Nature-facing elements, including resource scarcity and environmental regulation, have seldom featured in GPN analysis. So, too, GPN analysis emphasizes spatial relations between network actors over temporal change. We extend GPN theorization through a temporal analysis of industrial change, connecting manufacturing to upstream resource materialities and shifting regulation, and to downstream consumers increasingly concerned with provenance and material stewardship. To illustrate, we document a resource-sensitive GPNacoustic guitar manufacturingwhere scarcity of select raw materials (tonewoods) with material qualities of resonance, strength, and beauty, as well as tighter regulation, has spawned shifting economic geographies of new actors who influence the whole GPN. Such actors include specialist extraction firms, salvagers, traders, verification consultants, and customs agents who innovate in procurement and raw material supply risk management. Traditional large guitar manufacturing firms have struggled with regulation and securing consistent resource supply, although smaller lead manufacturing firms have creatively responded via novel procurement methods and marketing, developing closely bound, iterative relationships with specialist timber harvesters, traders, and with emotionally attached consumers. A cohort of tonewood supply firms and guitar manufacturersespecially in Australia, the Pacific Northwest and Canada, key locations of both resource and design expertisehave together altered material stewardship practices and commodity production. Niche strategies derive exchange value from rarity and resource innovation, embracing raw material variability, inconsistent supply, and the need for alternatives. How firms adapt to resource supply security risks, we argue, is an imperative question for GPN analysis.</t>
  </si>
  <si>
    <t>[Gibson, Chris; Warren, Andrew] Univ Wollongong, Sch Geog &amp; Sustainable Communities, Wollongong, NSW 2522, Australia</t>
  </si>
  <si>
    <t>Gibson, C (corresponding author), Univ Wollongong, Sch Geog &amp; Sustainable Communities, Wollongong, NSW 2522, Australia.</t>
  </si>
  <si>
    <t>cgibson@uow.edu.au; awarren@uow.edu.au</t>
  </si>
  <si>
    <t>Gibson, Chris/A-7733-2011</t>
  </si>
  <si>
    <t>Gibson, Chris/0000-0002-7242-8255; Warren, Andrew/0000-0003-1022-7578</t>
  </si>
  <si>
    <t>University of Wollongong Faculty of Social Sciences grant scheme [04/2015]</t>
  </si>
  <si>
    <t>University of Wollongong Faculty of Social Sciences grant scheme</t>
  </si>
  <si>
    <t>This research received funding support from the University of Wollongong Faculty of Social Sciences grant scheme [grant number 04/2015].</t>
  </si>
  <si>
    <t>ECON GEOGR</t>
  </si>
  <si>
    <t>Econ. Geogr.</t>
  </si>
  <si>
    <t>10.1080/00130095.2016.1178569</t>
  </si>
  <si>
    <t>Economics; Geography</t>
  </si>
  <si>
    <t>Business &amp; Economics; Geography</t>
  </si>
  <si>
    <t>DX4KP</t>
  </si>
  <si>
    <t>WOS:000384350300004</t>
  </si>
  <si>
    <t>Sea level rise; Coastal adaptation; Climate change adaptation; Political risk</t>
  </si>
  <si>
    <t>CLIMATE-CHANGE RISK; FLOOD RISK; INFRASTRUCTURE; PERCEPTIONS; RECONSTRUCTION; MIGRATION; BARRIERS; EROSION; HAZARD; PLANS</t>
  </si>
  <si>
    <t>[Gibbs, Mark T.] Queensland Univ Technol, Inst Future Environm, Brisbane, Qld 4001, Australia</t>
  </si>
  <si>
    <t>Gibbs, MT (corresponding author), Queensland Univ Technol, Inst Future Environm, Brisbane, Qld 4001, Australia.</t>
  </si>
  <si>
    <t>mt.gibbs@qut.edu.au</t>
  </si>
  <si>
    <t>DT9QP</t>
  </si>
  <si>
    <t>Building energy; Energy retrofit; Predictive modeling; Machine learning; Urban sustainability</t>
  </si>
  <si>
    <t>ENERGY-CONSUMPTION; PERFORMANCE; INFORMATION; POTENTIALS; DISCLOSURE; BEHAVIOR; CLIMATE</t>
  </si>
  <si>
    <t>[Marasco, Daniel E.; Kontokosta, Constantine E.] NYU, Ctr Urban Sci &amp; Progress, 1 Metrotech Ctr,19th Floor, Brooklyn, NY 11201 USA</t>
  </si>
  <si>
    <t>Marasco, DE (corresponding author), NYU, Ctr Urban Sci &amp; Progress, 1 Metrotech Ctr,19th Floor, Brooklyn, NY 11201 USA.</t>
  </si>
  <si>
    <t>dmarasco@caa.columbia.edu</t>
  </si>
  <si>
    <t>DV3AU</t>
  </si>
  <si>
    <t>Wang, C; Wood, LC; Teo, LT</t>
  </si>
  <si>
    <t>Wang, Chen; Wood, Lincoln C.; Teo, Li Tien</t>
  </si>
  <si>
    <t>TROPICAL VERTICAL GREENERY SYSTEMS: IRRIGATION SYSTEMS, BIOPHYSICAL CHARACTERISTICS, AND INFLUENTIAL CRITERIA</t>
  </si>
  <si>
    <t>Vertical Greenery System (VGS); irrigation system; building vegetation; green facades; tropics; survey</t>
  </si>
  <si>
    <t>SUSTAINABILITY; TEMPERATURE; PERFORMANCE; GOVERNANCE; EFFICIENCY; FACADES; GROWTH; PLANTS; HEAT</t>
  </si>
  <si>
    <t>Recent studies on vertical greenery systems (VGS) mainly focus on thermal performance, acoustics effects, energy savings and environmental sustainability. There are very few studies on tropical VGS irrigation systems, plants' characteristics, and favorable installation locations, indicating that architectural professionals may lack sufficient guidance to support their design work. Through two descriptive case studies and a questionnaire survey of VGS-related professionals including gardeners, mechanical and electrical engineers, consultants, contractors, and developers, this research developed a knowledgebase for tropical vertical greenery systems irrigation systems and determined the suitability of different types of vertical greenery systems according to the biophysical characteristics of plants. The suitability for various plant characteristics has been identified to help potential users while considering vertical greenery systems irrigation systems. Suitable locations, orientations and microclimatic conditions for vertical greenery systems irrigation systems to prevent system failure have been determined. Further research focused on establishing the technical requirements for irrigation scheduling is recommended to improve the application efficiency.</t>
  </si>
  <si>
    <t>[Wang, Chen] Huaqiao Univ, Coll Civil Engn, Xiamen 361021, Peoples R China; [Wood, Lincoln C.] Auckland Univ Technol, Fac Business &amp; Law, Private Bag 92006, Auckland 1142, New Zealand; [Wood, Lincoln C.] Curtin Univ, Sch Informat Syst, Perth, WA, Australia; [Teo, Li Tien] Univ Malaya, Fac Built Environm, Kuala Lumpur 50603, Malaysia</t>
  </si>
  <si>
    <t>Wang, C (corresponding author), Huaqiao Univ, Coll Civil Engn, Xiamen 361021, Peoples R China.</t>
  </si>
  <si>
    <t>derekisleon@gmail.com</t>
  </si>
  <si>
    <t>Wood, Lincoln C./G-2670-2012; Wang, Chen/F-1586-2010</t>
  </si>
  <si>
    <t>Wood, Lincoln C./0000-0003-3385-6561; Wang, Chen/0000-0001-7892-3575</t>
  </si>
  <si>
    <t>COLLEGE PUBLISHING</t>
  </si>
  <si>
    <t>GLEN ALLEN</t>
  </si>
  <si>
    <t>12309 LYNWOOD DR, GLEN ALLEN, VA 23059 USA</t>
  </si>
  <si>
    <t>J GREEN BUILD</t>
  </si>
  <si>
    <t>J. Green Build.</t>
  </si>
  <si>
    <t>10.3992/jgb.11.4.55.1</t>
  </si>
  <si>
    <t>EJ2JX</t>
  </si>
  <si>
    <t>WOS:000393037400004</t>
  </si>
  <si>
    <t>Corporate Governance; Emerging Markets; Institutional Theory; Responsible Investment; Shareholder Engagement</t>
  </si>
  <si>
    <t>CORPORATE SOCIAL-RESPONSIBILITY; GOVERNANCE; ACTIVISM; INVESTMENT; INVESTORS; CSR; OWNERSHIP; BUSINESS; CITIZENSHIP; MANAGEMENT</t>
  </si>
  <si>
    <t>[Yamahaki, Camila] Baker &amp; McKenzie, Chicago, IL USA; [Yamahaki, Camila] UN Supported PRI, London, England; [Frynas, Jedrzej George] Middlesex Univ, Sch Business, CSR &amp; Strateg Management, London, England</t>
  </si>
  <si>
    <t>Frynas, JG (corresponding author), Middlesex Univ, Sch Business, London NW4 4BT, England.</t>
  </si>
  <si>
    <t>frynasjg@gmail.com</t>
  </si>
  <si>
    <t>Yamahaki, Camila/0000-0001-6164-8802</t>
  </si>
  <si>
    <t>CORP GOV-OXFORD</t>
  </si>
  <si>
    <t>Corp. Gov.</t>
  </si>
  <si>
    <t>Business; Business, Finance; Management</t>
  </si>
  <si>
    <t>EC9CP</t>
  </si>
  <si>
    <t>THE ROLE OF INTERNATIONAL POLICY TRANSFER WITHIN THE MULTIPLE STREAMS APPROACH: THE CASE OF SMART ELECTRICITY METERING IN AUSTRALIA</t>
  </si>
  <si>
    <t>MULTILEVEL GOVERNANCE; EUROPEAN-UNION; CLIMATE-CHANGE; EU POLICY; DIFFUSION; CONSULTANTS; GEOGRAPHIES; ASSEMBLAGE; MOBILITIES; POLITICS</t>
  </si>
  <si>
    <t>This article draws on Kingdon's Multiple Streams Approach (MSA) to consider international, not just domestic, flows of policy. It is argued that using the MSA in conjunction with international policy transfer and mobility theories allows for a fuller explanation of the development of smart electricity metering policy in Australia. The MSA is based originally on empirical research within a single country - the USA - in the late 1970s, and all three of the streams' identified as important to policy change - problems, politics and policy - are conceptualized as domestic. While recent scholarship has broadened the application of the MSA beyond nation state boundaries, it is argued that there is scope to further develop such ideas. In particular, the notion of policy mobility is introduced to capture issues about the globalization of policy, the role of non-state actors and the material substance of policy.</t>
  </si>
  <si>
    <t>[Lovell, Heather] Univ Tasmania UTAS, Sch Social Sci, Hobart, Tas, Australia; [Lovell, Heather] Univ Edinburgh, Sch GeoSci, Inst Geog &amp; Lived Environm, Edinburgh EH8 9YL, Midlothian, Scotland</t>
  </si>
  <si>
    <t>Lovell, H (corresponding author), Univ Tasmania UTAS, Sch Social Sci, Hobart, Tas, Australia.</t>
  </si>
  <si>
    <t>Australian Research Council (ARC) [FT140100646]</t>
  </si>
  <si>
    <t>Australian Research Council (ARC)(Australian Research Council)</t>
  </si>
  <si>
    <t>This article is based on research funded by the Australian Research Council (ARC) under their Future Fellowships programme (2014-18) (grant no. FT140100646). The author is grateful to the ARC for their support, and also to all those interviewed for their time and valuable input.</t>
  </si>
  <si>
    <t>10.1111/padm.12259</t>
  </si>
  <si>
    <t>DW3VX</t>
  </si>
  <si>
    <t>WOS:000383572300011</t>
  </si>
  <si>
    <t>corporate sustainability; sustainability communication; digital communication; operational model; corporate website; greenwashing</t>
  </si>
  <si>
    <t>SOCIAL-RESPONSIBILITY; CONSUMER POWER; WEB SITE; CSR; INFORMATION; MANAGEMENT; DISCLOSURE; STRATEGIES; INTERNET; IMPACT</t>
  </si>
  <si>
    <t>[Siano, Alfonso; Conte, Francesca; Amabile, Sara; Vollero, Agostino; Piciocchi, Paolo] Univ Salerno, Dept Social Polit &amp; Commun Sci, Via Giovanni Paolo 2, I-84084 Fisciano, Italy</t>
  </si>
  <si>
    <t>Conte, F (corresponding author), Univ Salerno, Dept Social Polit &amp; Commun Sci, Via Giovanni Paolo 2, I-84084 Fisciano, Italy.</t>
  </si>
  <si>
    <t>sianoalf@unisa.it; fconte@unisa.it; samabile@unisa.it; avollero@unisa.it; p.piciocchi@unisa.it</t>
  </si>
  <si>
    <t>DZ0LC</t>
  </si>
  <si>
    <t>Mixed farm; Agroecology; Ecological intensification; Farming system design; Scaling; Farm model; Decision support system; Collaborative farming; Ecosystem services</t>
  </si>
  <si>
    <t>NATURAL PEST-CONTROL; ECOSYSTEM SERVICES; AGRICULTURAL SYSTEMS; COVER CROPS; COLLABORATIVE ARRANGEMENTS; ENVIRONMENTAL-MANAGEMENT; LANDSCAPE HETEROGENEITY; SUSTAINABLE AGRICULTURE; COLLECTIVE MANAGEMENT; CONCEPTUAL-FRAMEWORK</t>
  </si>
  <si>
    <t>[Martin, Guillaume; Moraine, Marc; Ryschawy, Julie; Magne, Marie-Angelina; Sarthou, Jean-Pierre; Duru, Michel; Therond, Olivier] Univ Toulouse, AGIR, INPT, INP Purpan,INRA,ENFA, F-31320 Auzeville, France; [Asai, Masayasu] PRIMAFF, Chiyoda Ku, 3-1-1 Kasumigaseki, Tokyo 1000013, Japan; [Therond, Olivier] Univ Lorraine, UMR, LAE, INRA, F-68000 Colmar, France</t>
  </si>
  <si>
    <t>Martin, G (corresponding author), Univ Toulouse, AGIR, INPT, INP Purpan,INRA,ENFA, F-31320 Auzeville, France.</t>
  </si>
  <si>
    <t>guillaume.martin@toulouse.inra.fr</t>
  </si>
  <si>
    <t>Martin, Guillaume/0000-0003-1875-0777; Moraine, Marc/0000-0001-5443-4283</t>
  </si>
  <si>
    <t>INRA EA division; French ANR Agrobiosphere programas part of the TATABOX project [ANR-13-AGRO-0006]; European Commission's Seventh Framework Program (Food, Agriculture and Fisheries, Biotechnology) [289328]</t>
  </si>
  <si>
    <t>INRA EA division; French ANR Agrobiosphere programas part of the TATABOX project(French National Research Agency (ANR)); European Commission's Seventh Framework Program (Food, Agriculture and Fisheries, Biotechnology)</t>
  </si>
  <si>
    <t>This work was funded by the INRA EA division and by the French ANR Agrobiosphere programas part of the TATABOX project (ANR-13-AGRO-0006). It has benefited from discussions that occurred in the CANTOGETHER project (Crops and ANimals TOGETHER, FP7, Grant agreement No. 289328), funded by the European Commission's Seventh Framework Program (Food, Agriculture and Fisheries, Biotechnology).</t>
  </si>
  <si>
    <t>SPRINGER FRANCE</t>
  </si>
  <si>
    <t>PARIS</t>
  </si>
  <si>
    <t>22 RUE DE PALESTRO, PARIS, 75002, FRANCE</t>
  </si>
  <si>
    <t>AGRON SUSTAIN DEV</t>
  </si>
  <si>
    <t>Agron. Sustain. Dev.</t>
  </si>
  <si>
    <t>Agronomy; Green &amp; Sustainable Science &amp; Technology</t>
  </si>
  <si>
    <t>Agriculture; Science &amp; Technology - Other Topics</t>
  </si>
  <si>
    <t>DX9SO</t>
  </si>
  <si>
    <t>Health systems and policy; Knowledge transfer and exchange; Researchers; Survey</t>
  </si>
  <si>
    <t>INFORMED DECISION-MAKING; KNOWLEDGE TRANSLATION; SUPPORT TOOLS; COUNTRIES</t>
  </si>
  <si>
    <t>[Ellen, Moriah E.] Jerusalem Coll Technol, Ha Vaad Ha Leumi St 21, IL-93721 Jerusalem, Israel; [Ellen, Moriah E.; Shemer, Joshua] Sheba Med Ctr, Gertner Inst, Israeli Ctr Technol Assessment Hlth Care, IL-52621 Tel Hashomer, Israel; [Ellen, Moriah E.; Lavis, John N.] McMaster Univ, McMaster Hlth Forum, 1280 Main St West, Hamilton, ON L8S 4L6, Canada; [Ellen, Moriah E.] Univ Toronto, Inst Hlth Policy Management &amp; Evaluat, 4th Floor,155 Coll St, Toronto, ON M5T 3M6, Canada; [Lavis, John N.] McMaster Univ, Ctr Hlth Econ &amp; Policy Anal, 1280 Main St West, Hamilton, ON L8S 4L6, Canada; [Lavis, John N.] McMaster Univ, Dept Polit Sci, 1280 Main St West, Hamilton, ON L8S 4L6, Canada; [Lavis, John N.] Harvard Sch Publ Hlth, Dept Global Hlth &amp; Populat, 677 Huntington Ave, Boston, MA 02115 USA; [Shemer, Joshua] Tel Aviv Univ, Sackler Sch Med, POB 39040, IL-6997801 Tel Aviv, Israel</t>
  </si>
  <si>
    <t>Ellen, ME (corresponding author), Jerusalem Coll Technol, Ha Vaad Ha Leumi St 21, IL-93721 Jerusalem, Israel.;Ellen, ME (corresponding author), Sheba Med Ctr, Gertner Inst, Israeli Ctr Technol Assessment Hlth Care, IL-52621 Tel Hashomer, Israel.;Ellen, ME (corresponding author), McMaster Univ, McMaster Hlth Forum, 1280 Main St West, Hamilton, ON L8S 4L6, Canada.;Ellen, ME (corresponding author), Univ Toronto, Inst Hlth Policy Management &amp; Evaluat, 4th Floor,155 Coll St, Toronto, ON M5T 3M6, Canada.</t>
  </si>
  <si>
    <t>moriah.ellen@gmail.com</t>
  </si>
  <si>
    <t>Jerusalem College of Technology</t>
  </si>
  <si>
    <t>This project received a seed funding grant from the Jerusalem College of Technology.</t>
  </si>
  <si>
    <t>DX6FM</t>
  </si>
  <si>
    <t>Environmental impact statement; Environmental impact study; public engagement; public engagement plans; public involvement; public participation; transportation planning</t>
  </si>
  <si>
    <t>CITIZEN PARTICIPATION; FRAMEWORK</t>
  </si>
  <si>
    <t>[Moore, Kristen R.] Texas Tech Univ, Dept Dept English, Lubbock, TX 79413 USA</t>
  </si>
  <si>
    <t>Moore, KR (corresponding author), Texas Tech Univ, Dept Dept English, Lubbock, TX 79413 USA.</t>
  </si>
  <si>
    <t>kristen.moore@ttu.edu</t>
  </si>
  <si>
    <t>IEEE T PROF COMMUN</t>
  </si>
  <si>
    <t>IEEE Trans. Prof. Commun.</t>
  </si>
  <si>
    <t>Communication; Engineering, Multidisciplinary</t>
  </si>
  <si>
    <t>Communication; Engineering</t>
  </si>
  <si>
    <t>DW8FY</t>
  </si>
  <si>
    <t>Romain, F; Courtwright, A</t>
  </si>
  <si>
    <t>Romain, Frederic; Courtwright, Andrew</t>
  </si>
  <si>
    <t>Can I trust them to do everything? The role of distrust in ethics committee consultations for conflict over life-sustaining treatment among Afro-Caribbean patients</t>
  </si>
  <si>
    <t>End of Life Care; Ethics Committees; Consultation; Health Care for Specific Diseases; Groups; Minorities</t>
  </si>
  <si>
    <t>INTENSIVE-CARE UNITS; HEALTH-CARE; END; RACISM; PHYSICIAN; PROVIDERS; MISTRUST; POLICY; AIDS; RACE</t>
  </si>
  <si>
    <t>Background Distrust in the American healthcare system is common among Afro-Caribbeans but the role of this distrust in conflict over life-sustaining treatment is not well described. Objective To identify the ways that distrust manifests in ethics committee consultation for conflict over life-sustaining treatment among Afro-Caribbean patients. Methods This was a retrospective cohort study at a large academic hospital of all ethics committee consultations for life-sustaining treatment among Afro-Caribbean patients and their surrogates. We reviewed medical records and identified cases in which ethics consultants described distrust as playing a role in the conflict over life-sustaining treatment. Results Of the 169 ethics committee consultation cases for conflict over life-sustaining treatment, 11 (6.5%) involved patients who self-identified as Afro-Caribbean. Distrust played a role in several of these cases, with surrogates of three patients, in particular, illustrating the way that perceived heath disparities, past labelling and concerns about continued maltreatment generated distrust leading to conflict over life-sustaining treatment. Conclusions Exploring issues of distrust may help ethics consultants identify the source of conflict over life-sustaining treatment among Afro-Caribbean patients.</t>
  </si>
  <si>
    <t>[Romain, Frederic] Mass Gen Hosp, Resp Care, 55 Fruit St,Ells 4, Boston, MA 02114 USA; [Courtwright, Andrew] Massachusetts Gen Hosp, Inst Patient Care, Boston, MA 02114 USA; [Courtwright, Andrew] Brigham &amp; Womens Hosp, Pulm &amp; Crit Care Med, 75 Francis St, Boston, MA 02115 USA</t>
  </si>
  <si>
    <t>Romain, F (corresponding author), Mass Gen Hosp, Resp Care, 55 Fruit St,Ells 4, Boston, MA 02114 USA.</t>
  </si>
  <si>
    <t>jromain@mgh.harvard.edu</t>
  </si>
  <si>
    <t>National Institutes of Health [5T32HL007633-30]</t>
  </si>
  <si>
    <t>National Institutes of Health(United States Department of Health &amp; Human ServicesNational Institutes of Health (NIH) - USA)</t>
  </si>
  <si>
    <t>National Institutes of Health (5T32HL007633-30).</t>
  </si>
  <si>
    <t>1473-4257</t>
  </si>
  <si>
    <t>J MED ETHICS</t>
  </si>
  <si>
    <t>J. Med. Ethics</t>
  </si>
  <si>
    <t>10.1136/medethics-2015-103137</t>
  </si>
  <si>
    <t>Ethics; Medical Ethics; Social Issues; Social Sciences, Biomedical</t>
  </si>
  <si>
    <t>Social Sciences - Other Topics; Medical Ethics; Social Issues; Biomedical Social Sciences</t>
  </si>
  <si>
    <t>DW2LA</t>
  </si>
  <si>
    <t>WOS:000383472700008</t>
  </si>
  <si>
    <t>IMPACT ASSESSMENT; TAR SANDS; STRATEGY; HISTORY; CANADA; FUTURE; EIA</t>
  </si>
  <si>
    <t>[McCormack, Patricia A.] Univ Alberta, Native Studies, Edmonton, AB, Canada</t>
  </si>
  <si>
    <t>McCormack, PA (corresponding author), Univ Alberta, Fac Native Studies, Pembina Hall, Edmonton, AB T6G 2H8, Canada.</t>
  </si>
  <si>
    <t>pat.mccormack@albertacom.com</t>
  </si>
  <si>
    <t>DV5OD</t>
  </si>
  <si>
    <t>[Bayon, Y.] Medtron Sofradim Prod, 116 Ave Formans, F-01600 Trevoux, France; [Bohner, M.] Dr Robert Mathys Fdn, Bischmattstr 12, CH-2544 Bettlach, Switzerland; [Eglin, D.; Richards, R. G.] AO Res Inst Davos, Clavadelerstr 8, CH-7270 Davos, Switzerland; [Weber, J.] Boston Sci, Martinolaan 50, NL-6229 GS Maastricht, Netherlands; [Zeugolis, D. I.] Natl Univ Ireland Galway NUI Galway, Regenerat Modular &amp; Dev Engn Lab REMODEL, Galway, Ireland; [Zeugolis, D. I.] Natl Univ Ireland Galway NUI Galway, Ctr Res Med Devices CURAM, Galway, Ireland</t>
  </si>
  <si>
    <t>Bayon, Y (corresponding author), Medtron Sofradim Prod, 116 Ave Formans, F-01600 Trevoux, France.</t>
  </si>
  <si>
    <t>yves.bayon@covidien.com</t>
  </si>
  <si>
    <t>J MATER SCI-MATER M</t>
  </si>
  <si>
    <t>J. Mater. Sci.-Mater. Med.</t>
  </si>
  <si>
    <t>Engineering, Biomedical; Materials Science, Biomaterials</t>
  </si>
  <si>
    <t>Engineering; Materials Science</t>
  </si>
  <si>
    <t>DV1QB</t>
  </si>
  <si>
    <t>Pasgaard, M; Sun, Z; Muller, D; Mertz, O</t>
  </si>
  <si>
    <t>Pasgaard, M.; Sun, Z.; Mueller, D.; Mertz, O.</t>
  </si>
  <si>
    <t>Challenges and opportunities for REDD plus : A reality check from perspectives of effectiveness, efficiency and equity</t>
  </si>
  <si>
    <t>Deforestation; Forest degradation; Climate change mitigation; Safeguards; Global survey</t>
  </si>
  <si>
    <t>CO-BENEFITS; TRADE-OFFS; FOREST; PAYMENTS; CONSERVATION; DEGRADATION; SAFEGUARDS; GOVERNANCE; LESSONS</t>
  </si>
  <si>
    <t>Reducing Emissions from Deforestation and forest Degradation (REDD+) is a promising mechanism of payments for ecosystem services with the aim to effectively reduce emissions in an efficient and equitable manner. REDD+ is part of the Paris-agreement reached at the UNFCCC COP21 in December 2015, but questions on whether REDD+ will work and bring multi-benefits are still hotly debated. Moreover, the results and messages from research on REDD+ in different regions are mixed, context-based and fragmented. Here, we employ a survey among REDD+ stakeholders, researchers, and consultants to evaluate the opportunities and challenges of REDD+ for achieving effective, efficient and equitable outcomes and co-benefits (3E+). We substantiate our survey results with a literature review. Results suggest that the challenges in achieving the 3E+ relate to the disproportionality between deforestation drivers and mitigation measures, diverging perceptions of equity among REDD+ stakeholders, complexity of property rights, and fragile willingness of stakeholders to engage in REDD+. If these challenges can be successfully addressed by the involved stakeholder groups, they can be turned into opportunities for realizing REDD+. (C) 2016 Elsevier Ltd. All rights reserved.</t>
  </si>
  <si>
    <t>[Pasgaard, M.; Mertz, O.] Univ Copenhagen, Dept Geosci &amp; Nat Resource Management, Fac Sci, Oster Voldgade 10, DK-1350 Copenhagen K, Denmark; [Sun, Z.; Mueller, D.] Leibniz Inst Agr Dev Transit Econ IAMO, Theodor Lieser Str 2, D-06120 Halle, Saale, Germany; [Mueller, D.] Humboldt Univ, Integrated Res Inst Transformat Human Environm Sy, Unter Linden 6, D-10099 Berlin, Germany</t>
  </si>
  <si>
    <t>Pasgaard, M (corresponding author), Univ Copenhagen, Dept Geosci &amp; Nat Resource Management, Fac Sci, Oster Voldgade 10, DK-1350 Copenhagen K, Denmark.</t>
  </si>
  <si>
    <t>mapa@ign.ku.dk; sun@iamo.de; mueller@iamo.de; om@ign.ku.dk</t>
  </si>
  <si>
    <t>Mueller, Daniel/A-4454-2009; , IAMO/G-2328-2012; Sun, Zhanli/AAM-7015-2020; Müller, Daniel/AAI-4867-2021; Change, Structural/W-8306-2019; Pasgaard, Maya/E-4999-2015</t>
  </si>
  <si>
    <t>Mueller, Daniel/0000-0001-8988-0718; , IAMO/0000-0001-7922-9665; Sun, Zhanli/0000-0001-6204-4533; Müller, Daniel/0000-0001-8988-0718; Change, Structural/0000-0002-2459-4646; Pasgaard, Maya/0000-0003-4536-9621</t>
  </si>
  <si>
    <t>European Commission (Collaborative Project Impacts of Reducing Emissions from Deforestation and Forest Degradation and Enhancing Carbon Stocks, I-REDD+) [FP7-ENV-2010-265286]</t>
  </si>
  <si>
    <t>European Commission (Collaborative Project Impacts of Reducing Emissions from Deforestation and Forest Degradation and Enhancing Carbon Stocks, I-REDD+)</t>
  </si>
  <si>
    <t>This research was funded by the European Commission (Collaborative Project Impacts of Reducing Emissions from Deforestation and Forest Degradation and Enhancing Carbon Stocks, I-REDD+, FP7-ENV-2010-265286). We are grateful for this support. We thank all survey respondents for taking time to complete our survey.</t>
  </si>
  <si>
    <t>10.1016/j.envsci.2016.05.021</t>
  </si>
  <si>
    <t>DR0ZJ</t>
  </si>
  <si>
    <t>WOS:000379635300017</t>
  </si>
  <si>
    <t>Hejnowicz, AP; Rudd, MA; White, PCL</t>
  </si>
  <si>
    <t>Hejnowicz, A. P.; Rudd, M. A.; White, P. C. L.</t>
  </si>
  <si>
    <t>A survey exploring private farm advisor perspectives of agri-environment schemes: The case of England's Environmental Stewardship programme</t>
  </si>
  <si>
    <t>Agri-environmental schemes; Common agricultural policy; Public goods; Biodiversity; Land management; Farmers; Intermediaries</t>
  </si>
  <si>
    <t>ENTRY-LEVEL STEWARDSHIP; ECOSYSTEM SERVICES; AGRICULTURAL LANDSCAPES; BIODIVERSITY CONSERVATION; PAYMENTS; PARTICIPATION; MANAGEMENT; LAND; KNOWLEDGE; ADOPTION</t>
  </si>
  <si>
    <t>Most stakeholder-based research concerning agri-environmental schemes (AES) derives from work engaging with farmers and land managers. Consequently, the voices and opinions of other actors involved in AES tends to be unrepresented in the wider literature. One group of actors that seem particularly overlooked in this respect are private (independent) farm advisors (i.e., the consultants contracted by farmers and land managers to advise-on AES and agronomic matters). To begin to rectify this knowledge gap we developed an exploratory online survey to explore private farm advisor perspectives in the UK; specifically, the situation in England and advisors' experience of Natural England's Environmental Stewardship programme. A total of 251 Natural England registered farm advisors (29.9%) completed our survey. The majority of these had knowledge and expertise in relation to two (31.5%) or three (42.2%) Environmental Stewardship schemes, with proficiency in EIS (93.4%) and HLS (82.8%) being the most common. On average, advisors had 9.6 +/- 5.6 yrs of experience and operated (75.3%) in a single region of England. Although our results concentrated upon a relatively simple set of initial topics of inquiry, the survey revealed a number of interesting findings. Firstly; for example, that in the opinion of the advisors working with farmers applying for Environmental Stewardship schemes, the 'knowledge-exchange encounter' occurring between themselves, their clients and Natural England is fundamental to the environmental effectiveness of these schemes as well as their farm business compatibility. Secondly, respondents suggested that beneath this 'encounter' lie tensions arising from the competing agendas and objectives of the different actors involved which can affect the content of agreements; for instance, farmer selection of management options versus Natural England's target environmental objectives. Farm advisors suggested that they had to negotiate this balance whilst also serving the needs of their clients. Thirdly, respondents raised issues concerning the complicated nature of scheme arrangements, both from their own and farmers' perspectives, as well as the adequacy of payments to cover input costs and matters regarding contractual compliance, all of which theyproposed affected farmer participation. Looking ahead, we believe that future AES should account for all of these issues in their design to aid long-term farmer participation, effective agreement implementation and beneficial environmental management. (C) 2016 The Authors. Published by Elsevier Ltd.</t>
  </si>
  <si>
    <t>[Hejnowicz, A. P.; White, P. C. L.] Univ York, Dept Environm, York YO10 5DD, N Yorkshire, England; [Rudd, M. A.] Emory Coll Arts &amp; Sci, Dept Environm Sci, Atlanta, GA USA</t>
  </si>
  <si>
    <t>Hejnowicz, AP (corresponding author), Univ York, Dept Environm, York YO10 5DD, N Yorkshire, England.</t>
  </si>
  <si>
    <t>aphejnowicz@gmail.com; murray.a.rudd@emory.edu; piran.white@york.ac.uk</t>
  </si>
  <si>
    <t>White, Piran Crawfurd Limond/AAH-6851-2021</t>
  </si>
  <si>
    <t>White, Piran Crawfurd Limond/0000-0002-7496-5775</t>
  </si>
  <si>
    <t>Natural Environment Research Council (NERC,UK); Economic and Social Research Council (ESRC,UK) [ES/I003851/1]</t>
  </si>
  <si>
    <t>Natural Environment Research Council (NERC,UK)(UK Research &amp; Innovation (UKRI)Natural Environment Research Council (NERC)); Economic and Social Research Council (ESRC,UK)(UK Research &amp; Innovation (UKRI)Economic &amp; Social Research Council (ESRC))</t>
  </si>
  <si>
    <t>The authors gratefully acknowledge the financial support provided by Natural Environment Research Council (NERC,UK) and the Economic and Social Research Council (ESRC,UK) in enabling this work (Ref: ES/I003851/1). Furthermore, the authors are thankful to those farm advisors that agreed to participate in this study and spent their time completing the online survey. Finally, the authors acknowledge their indebtedness to the two anonymous reviewers who agreed to review the manuscript and whose insightful comments greatly improved the final article.</t>
  </si>
  <si>
    <t>10.1016/j.landusepol.2016.04.005</t>
  </si>
  <si>
    <t>DN1CE</t>
  </si>
  <si>
    <t>Green Accepted, hybrid, Green Published</t>
  </si>
  <si>
    <t>WOS:000376803100022</t>
  </si>
  <si>
    <t>construction projects; water construction projects; Iran construction projects; time delay; cost overrun</t>
  </si>
  <si>
    <t>[Matin, Danial Mirzai] Sharif Univ Technol, Int Campus, Kish, Iran</t>
  </si>
  <si>
    <t>Matin, DM (corresponding author), Sharif Univ Technol, Int Campus, Kish, Iran.</t>
  </si>
  <si>
    <t>danial.mrzmtn@hotmail.com</t>
  </si>
  <si>
    <t>EOS ASSOC</t>
  </si>
  <si>
    <t>GASTOUNI</t>
  </si>
  <si>
    <t>ARCHAIAS ILIDAS 16, GASTOUNI, 27050, GREECE</t>
  </si>
  <si>
    <t>ENG TECHNOL APPL SCI</t>
  </si>
  <si>
    <t>Eng. Technol. Appl. Sci. Res.</t>
  </si>
  <si>
    <t>DY1UZ</t>
  </si>
  <si>
    <t>Gabriel, CA; Kirkwood, J</t>
  </si>
  <si>
    <t>Gabriel, Cle-Anne; Kirkwood, Jodyanne</t>
  </si>
  <si>
    <t>Business models for model businesses: Lessons from renewable energy entrepreneurs in developing countries</t>
  </si>
  <si>
    <t>Renewable energy; Entrepreneurship; Business model; Business model canvas</t>
  </si>
  <si>
    <t>SUSTAINABLE ENERGY; INNOVATION; MARKETS; ACCESS; TECHNOLOGIES; GENERATION; UTILITIES; SERVICES; POLICIES; INDIA</t>
  </si>
  <si>
    <t>Against the background of mounting research suggesting entrepreneurship as a means of increasing the uptake of renewable energy technologies (RETs) in developing countries, this paper presents the findings of an exploratory investigation into the business models used by renewable energy entrepreneurs in such countries. Forty-three entrepreneurs were interviewed in 28 developing countries and secondary information about country and regional conditions was analysed. We chose the Business Model Canvas as an analytical tool and the findings shed new light on established renewable energy business types. Three different types of businesses were identified- Consultants, Distributors, and Integrators; yet, there is also some overlap between these types. These business types appeared to parallel the life cycle progression of the business, but this requires further research. A key component of the study was to assess whether the types of businesses were related to country-level conditions to assess the impact of regional differences. These comparisons revealed consistencies between country-level characteristics and the entrepreneurs' choice of business model. Conclusions suggest that different regions may support certain business models more than others due to differing levels of government interest in renewables, governance and policy support and the relative ease of doing business. (C) 2016 Elsevier Ltd. All rights reserved.</t>
  </si>
  <si>
    <t>[Gabriel, Cle-Anne; Kirkwood, Jodyanne] Univ Otago, Otago Business Sch, Dunedin, New Zealand</t>
  </si>
  <si>
    <t>Gabriel, CA (corresponding author), Univ Otago, Otago Business Sch, Dept Management, POB 56, Dunedin 9054, New Zealand.</t>
  </si>
  <si>
    <t>cleanne.gabriel@otago.ac.nz</t>
  </si>
  <si>
    <t>Gabriel, Cle-Anne/A-4468-2017; Gabriel, Cle-Anne/H-8921-2019</t>
  </si>
  <si>
    <t>Gabriel, Cle-Anne/0000-0001-5862-4201; Gabriel, Cle-Anne/0000-0001-5862-4201; Kirkwood, Jodyanne Jane/0000-0001-7263-4254</t>
  </si>
  <si>
    <t>University of Otago</t>
  </si>
  <si>
    <t>This research was funded by the University of Otago, which provided a Doctoral Scholarship in support of the research.</t>
  </si>
  <si>
    <t>10.1016/j.enpol.2016.05.006</t>
  </si>
  <si>
    <t>DT1IB</t>
  </si>
  <si>
    <t>WOS:000381233800031</t>
  </si>
  <si>
    <t>economic geography; intellectual development; bibliometrics; practice-based</t>
  </si>
  <si>
    <t>[Liu Weidong; Song Zhouying; Liu Zhigao] Chinese Acad Sci, Inst Geog Sci &amp; Nat Resources Res, Beijing 100101, Peoples R China; [Liu Weidong; Song Zhouying; Liu Zhigao] Chinese Acad Sci, Key Lab Reg Sustainable Dev Modeling, Beijing 100101, Peoples R China</t>
  </si>
  <si>
    <t>Liu, WD (corresponding author), Chinese Acad Sci, Inst Geog Sci &amp; Nat Resources Res, Beijing 100101, Peoples R China.;Liu, WD (corresponding author), Chinese Acad Sci, Key Lab Reg Sustainable Dev Modeling, Beijing 100101, Peoples R China.</t>
  </si>
  <si>
    <t>liuwd@igsnrr.ac.cn</t>
  </si>
  <si>
    <t>National Natural Science Foundation of China [41530751, 41471113]</t>
  </si>
  <si>
    <t>Foundation: National Natural Science Foundation of China, No.41530751; No. 41471113</t>
  </si>
  <si>
    <t>SCIENCE PRESS</t>
  </si>
  <si>
    <t>BEIJING</t>
  </si>
  <si>
    <t>16 DONGHUANGCHENGGEN NORTH ST, BEIJING 100717, PEOPLES R CHINA</t>
  </si>
  <si>
    <t>J GEOGR SCI</t>
  </si>
  <si>
    <t>J. Geogr. Sci.</t>
  </si>
  <si>
    <t>Geography, Physical</t>
  </si>
  <si>
    <t>Physical Geography</t>
  </si>
  <si>
    <t>DQ6UY</t>
  </si>
  <si>
    <t>Sitting; Sedentary behaviour; Determinants; Youth; Adults; Older adults; Ageing; Life-course; System-based approach; Environment; Concept mapping; Policy; Europe; Public health</t>
  </si>
  <si>
    <t>PHYSICAL-ACTIVITY; PUBLIC-HEALTH; OLDER-ADULTS; CARDIOVASCULAR-DISEASE; YOUNG-CHILDREN; TIME; ASSOCIATION; NHANES; METAANALYSIS; METHODOLOGY</t>
  </si>
  <si>
    <t>[Chastin, Sebastien F. M.] Glasgow Caledonian Univ, Sch Hlth &amp; Life Sci, Inst Appl Hlth Res, Glasgow G4 0BA, Lanark, Scotland; [De Craemer, Marieke] Univ Ghent, Dept Movement &amp; Sports Sci, Ghent, Belgium; [Lien, Nanna] Univ Oslo, Dept Nutr, Oslo, Norway; [Bernaards, Claire] TNO, Leiden, Netherlands; [Buck, Christoph] Leibniz Inst Prevent Res &amp; Epidemiol, BIPS, Bremen, Germany; [Oppert, Jean-Michel] Univ Paris 06, Pitie Salpetriere Hosp, AP HP, Inst Cardiometab &amp; Nutr ICAN,Dept Nutr, Paris, France; [Nazare, Julie-Anne] Univ Lyon 1, CARMEN, Inserm U1060, Inra U1235, Lyon, France; [Lakerveld, Jeroen; Brug, Johannes] Vrije Univ Amsterdam Med Ctr, Dept Epidemiol &amp; Biostat, Amsterdam, Netherlands; [Lakerveld, Jeroen; Brug, Johannes] Vrije Univ Amsterdam Med Ctr, EMGO Inst Hlth &amp; Care Res, Amsterdam, Netherlands; [O'Donoghue, Grainne] Dublin City Univ, Ctr Prevent Med, Sch Hlth &amp; Human Performance, Dublin, Ireland; [Holdsworth, Michelle] Univ Sheffield, Sch Hlth &amp; Related Res ScHARR, Publ Hlth Sect, Sheffield, S Yorkshire, England; [Owen, Neville] Baker IDI, Melbourne, Vic, Australia</t>
  </si>
  <si>
    <t>Chastin, SFM (corresponding author), Glasgow Caledonian Univ, Sch Hlth &amp; Life Sci, Inst Appl Hlth Res, Glasgow G4 0BA, Lanark, Scotland.</t>
  </si>
  <si>
    <t>Sebastien.Chastin@gcu.ac.uk</t>
  </si>
  <si>
    <t>Skelton, Dawn A/B-7552-2013; Oppert, Jean-Michel/F-2810-2017; Healy, Genevieve N./A-7408-2008; da Silva, Kelly Samara/AAX-8307-2020; holdsworth, michelle/AAH-5400-2020; Chastin, Sebastien/ABF-1455-2020; De Craemer, Marieke/P-6072-2016; Salmon, Jo/C-1226-2009; Condello, Giancarlo/AAC-8365-2020; FILHO, VALTER CORDEIRO BARBOSA/F-9025-2011; De Craemer, Marieke/Z-3050-2019; Timperio, Anna F/A-3086-2013; Catherine, Hayes/D-3864-2016; Carmen, Team1/Y-7382-2019; Fenton, Sally/AAC-3606-2022; Brug, Johannes/A-8242-2018; Ahrens, Wolfgang/A-2740-2012; Brondeel, Ruben/F-1086-2018</t>
  </si>
  <si>
    <t>Skelton, Dawn A/0000-0001-6223-9840; Healy, Genevieve N./0000-0001-7093-7892; da Silva, Kelly Samara/0000-0002-7356-1680; holdsworth, michelle/0000-0001-6028-885X; Chastin, Sebastien/0000-0003-1421-9348; Salmon, Jo/0000-0002-4734-6354; Condello, Giancarlo/0000-0001-5092-3258; FILHO, VALTER CORDEIRO BARBOSA/0000-0002-4769-4068; De Craemer, Marieke/0000-0002-5220-7850; Timperio, Anna F/0000-0002-8773-5012; Catherine, Hayes/0000-0002-1576-4623; Carmen, Team1/0000-0003-4234-1746; Fenton, Sally/0000-0002-3732-1348; Brug, Johannes/0000-0002-1904-7349; Perchoux, Camille/0000-0003-0654-3746; Whelan, Maxine/0000-0002-9203-3162; Orme, Mark/0000-0003-4678-6574; Rebar, Amanda/0000-0003-3164-993X; ODonoghue, Grainne/0000-0002-9126-2094; Nazare, Julie-Anne/0000-0003-3545-3264; Hadgraft, Nyssa/0000-0002-5733-4138; Kirk, Alison/0000-0002-6534-3763; Arundell, Lauren/0000-0002-8178-4104; Kettle, Victoria/0000-0002-6676-3444; Cardon, Greet/0000-0003-4983-6557; Swainson, Michelle/0000-0002-5223-8710; Hinkley, Trina/0000-0003-2742-8579; Lakerveld, Jeroen/0000-0002-8551-6748; Koorts, Harriet/0000-0003-1303-6064; Ahrens, Wolfgang/0000-0003-3777-570X; Lee, Jungwha/0000-0002-0806-0847; Buck, Christoph/0000-0003-0261-704X; Fries, Lisa/0000-0001-6397-9410; Lab, Carmen/0000-0002-5935-3236; CONROY, DAVID E/0000-0003-0204-4093; Rutter, Harry/0000-0002-9322-0656; Brondeel, Ruben/0000-0002-9876-4150; Routen, Ash/0000-0001-5651-4228; Fletcher, Elly/0000-0003-3958-9599; Capranica, Laura/0000-0003-3073-7655</t>
  </si>
  <si>
    <t>DEterminants of DIet and Physical ACtivity (DEDIPAC) knowledge hub; Joint Programming Initiative 'Healthy Diet for a Healthy Life'; Belgium: Research Foundation - Flanders; Finland: Finnish Funding Agency for Technology and Innovation (Tekes); France: Institut National de la Recherche Agronomique (INRA); Germany: Federal Ministry of Education and Research; Ireland: The Health Research Board (HRB); The Netherlands: The Netherlands Organisation for Health Research and Development (ZonMw); United Kingdom: The Medical Research Council (MRC)</t>
  </si>
  <si>
    <t>The preparation of this paper was supported by the DEterminants of DIet and Physical ACtivity (DEDIPAC) knowledge hub. This work is supported by the Joint Programming Initiative 'Healthy Diet for a Healthy Life'. The funding agencies supporting this work are (on alphabetical order of participating Member State): Belgium: Research Foundation - Flanders; Finland: Finnish Funding Agency for Technology and Innovation (Tekes); France: Institut National de la Recherche Agronomique (INRA); Germany: Federal Ministry of Education and Research; Ireland: The Health Research Board (HRB); The Netherlands: The Netherlands Organisation for Health Research and Development (ZonMw); The United Kingdom: The Medical Research Council (MRC).</t>
  </si>
  <si>
    <t>INT J BEHAV NUTR PHY</t>
  </si>
  <si>
    <t>Int. J. Behav. Nutr. Phys. Act.</t>
  </si>
  <si>
    <t>Nutrition &amp; Dietetics; Physiology</t>
  </si>
  <si>
    <t>DR3SS</t>
  </si>
  <si>
    <t>Green Submitted, Green Accepted, Green Published, gold</t>
  </si>
  <si>
    <t>community initiatives; evaluation; health equity; healthy eating active living; tobacco control</t>
  </si>
  <si>
    <t>HEALTH; STRATEGIES; OBESITY</t>
  </si>
  <si>
    <t>[Cheadle, Allen; Cromp, DeAnn] Grp Hlth Res Inst, Ctr Community Hlth &amp; Evaluat, 1730 Minor Ave,Ste 1600, Seattle, WA 98101 USA; [Krieger, James W.] Act Hlth Food, Seattle, WA USA; [Chan, Nadine; Ross-Viles, Sarah; Kellogg, Ryan] Publ Hlth Seattle &amp; King Cty, Seattle, WA USA; [Rahimian, Afsaneh] Sea Mar Community Hlth Ctr, Seattle, WA USA; [McNees, Molly] Publ Hlth Seattle &amp; King Cty, Assessment Policy Dev &amp; Evaluat Unit, Seattle, WA USA; [MacDougall, Erin] Publ Hlth Seattle &amp; King Cty, Hlth Eating &amp; Act Living Policy, Seattle, WA USA; [MacDougall, Erin] Publ Hlth Seattle &amp; King Cty, Seattle, WA USA</t>
  </si>
  <si>
    <t>Cromp, D (corresponding author), Grp Hlth Res Inst, Ctr Community Hlth &amp; Evaluat, 1730 Minor Ave,Ste 1600, Seattle, WA 98101 USA.</t>
  </si>
  <si>
    <t>cromp.d@ghc.org</t>
  </si>
  <si>
    <t>Centers for Disease Control and Prevention [1U58DP002423]; Public Health-Seattle King County [1U58DP002423]; NATIONAL CENTER FOR CHRONIC DISEASE PREV AND HEALTH PROMO [U58DP002423] Funding Source: NIH RePORTER</t>
  </si>
  <si>
    <t>Centers for Disease Control and Prevention(United States Department of Health &amp; Human ServicesCenters for Disease Control &amp; Prevention - USA); Public Health-Seattle King County; NATIONAL CENTER FOR CHRONIC DISEASE PREV AND HEALTH PROMO(United States Department of Health &amp; Human ServicesCenters for Disease Control &amp; Prevention - USA)</t>
  </si>
  <si>
    <t>This project was funded in part by a cooperative agreement with the Centers for Disease Control and Prevention and Public Health-Seattle &amp; King County (grant no. 1U58DP002423; principal investigator, Dr James W. Krieger). The findings and conclusions in this article are those of the authors and do not necessarily represent the views of the Centers for Disease Control and Prevention.</t>
  </si>
  <si>
    <t>DS5PA</t>
  </si>
  <si>
    <t>Zanardo, FH; Rodrigues, RAF; Silva, HR; Marques, AP; Faria, GA</t>
  </si>
  <si>
    <t>Zanardo, Fabio H.; Rodrigues, Ricardo A. F.; Silva, Helio R.; Marques, Artur P.; Faria, Glaucia A.</t>
  </si>
  <si>
    <t>GEOTECHNOLOGY APPLICATION FOR DATA ACQUISITION FOR AGRICULTURAL AND ENVIRONMENTAL MANAGEMENT OF THE MUNICIPALITY OF VITORIA BRAZIL-SP</t>
  </si>
  <si>
    <t>ENGENHARIA AGRICOLA</t>
  </si>
  <si>
    <t>land occupation; remote sensing; hydrographical micro basin</t>
  </si>
  <si>
    <t>The present study aimed at associating geoprocessing procedures for analysis of land use and native vegetation for municipal management, using an easy access and low cost methodology to the public administration of the municipality of Vitoria Brazil/SP. Initially, the land use and the land occupation were evaluated, being delimited the municipal hydrographical micro basin and the permanent preservation areas (PPAs). For this purpose, multispectral images of high spatial resolution were used, available by the government partnerships between the City Hall, the state and federal authorities. From the obtained results it was possible to efficiently determine that only 3% of the original vegetation is preserved; the livestock is the main municipal occupation, covering more than 41% of the area; citrus and sugar-cane are also very expressive, occupying, respectively 13% and 7% of the area of the municipality of Vitoria; and around 70% of the municipal PPAs need hydrophilic species for its recovering. These indicators configure a data bank for consulting and supporting the public admiration, as well as a source for the administrative decision making, aiming at guiding the resources for the development of the municipal rural sector, in a more dynamic, efficient and economically viable way.</t>
  </si>
  <si>
    <t>[Zanardo, Fabio H.] Secretaria Municipal Agr Pecuaria Abastecimento &amp;, Vitoria Brasil, SP, Brazil; [Rodrigues, Ricardo A. F.; Silva, Helio R.; Marques, Artur P.; Faria, Glaucia A.] Fac Engn Ilha Solteira, Ilha Solteira, SP, Brazil</t>
  </si>
  <si>
    <t>Zanardo, FH (corresponding author), Secretaria Municipal Agr Pecuaria Abastecimento &amp;, Vitoria Brasil, SP, Brazil.</t>
  </si>
  <si>
    <t>fabiozanardo@agronomo.eng.br</t>
  </si>
  <si>
    <t>SOC BRASIL ENGENHARIA AGRICOLA</t>
  </si>
  <si>
    <t>JABOTICABAL</t>
  </si>
  <si>
    <t>FCAV-UNESP, DEPT ENGENHARIA RURAL, VIA DE ACESSO PROF PAULO DONATO CASTELLANE, KM 5, JABOTICABAL, 14884 900, SPAIN</t>
  </si>
  <si>
    <t>0100-6916</t>
  </si>
  <si>
    <t>ENG AGR-JABOTICABAL</t>
  </si>
  <si>
    <t>Eng. Agric.</t>
  </si>
  <si>
    <t>10.1590/1809-4430-Eng.Agric.v36n4p684-695/2016</t>
  </si>
  <si>
    <t>Agricultural Engineering</t>
  </si>
  <si>
    <t>DV1YP</t>
  </si>
  <si>
    <t>WOS:000382718300012</t>
  </si>
  <si>
    <t>sustainability; green roof; commercial viability; Australia</t>
  </si>
  <si>
    <t>COST-BENEFIT-ANALYSIS; ENERGY PERFORMANCE; SYSTEMS</t>
  </si>
  <si>
    <t>[Tassicker, Nicole; Rahnamayiezekavat, Payam; Sutrisna, Monty] Curtin Univ, Sch Built Environm, Bentley, WA 6102, Australia</t>
  </si>
  <si>
    <t>Rahnamayiezekavat, P (corresponding author), Curtin Univ, Sch Built Environm, Bentley, WA 6102, Australia.</t>
  </si>
  <si>
    <t>nicole.tassicker@graduate.curtin.edu.au; p.zekavat@curtin.edu.au; monty.sutrisna@curtin.edu.au</t>
  </si>
  <si>
    <t>Rahnamayiezekavat, Payam/AAV-6661-2021</t>
  </si>
  <si>
    <t>Rahnamayiezekavat, Payam/0000-0002-2328-4726</t>
  </si>
  <si>
    <t>School of Built Environment at Curtin University</t>
  </si>
  <si>
    <t>The open access processing fee has been covered through the supportive funding provided by the School of Built Environment at Curtin University.</t>
  </si>
  <si>
    <t>DS4OM</t>
  </si>
  <si>
    <t>Quarries; Participatory process; Biodiversity indicators; Gypsum; Stakeholders; Consensus; Extractive industry</t>
  </si>
  <si>
    <t>SUSTAINABLE DEVELOPMENT; MINING-INDUSTRY</t>
  </si>
  <si>
    <t>[Pitz, Carline; Mahy, Gregory; Seleck, Maxime] Univ Liege, Biodivers &amp; Landscape Unit, Gembloux Agrobiotech, Passage Deportes 2, B-5030 Gembloux, Belgium; [Vermeulen, Cedric] Univ Liege, Forest Resources Management Unit, Gembloux Agrobiotech, Passage Deportes 2, B-5030 Gembloux, Belgium; [Marlet, Christine] Eurogypsum Aisbl, Rue Presse 4, B-1000 Brussels, Belgium</t>
  </si>
  <si>
    <t>Pitz, C (corresponding author), Univ Liege, Biodivers &amp; Landscape Unit, Gembloux Agrobiotech, Passage Deportes 2, B-5030 Gembloux, Belgium.</t>
  </si>
  <si>
    <t>carline.pitz@ulg.ac.be; g.mahy@ulg.ac.be; cvermeulen@ulg.ac.be; info@eurogypsum.org; maxime.seleck@ulg.ac.be</t>
  </si>
  <si>
    <t>Pitz, Carline/0000-0003-1409-5015; mahy, gregory/0000-0003-3094-8620</t>
  </si>
  <si>
    <t>Fund for Research Training in Industry and Agriculture (FRIA)</t>
  </si>
  <si>
    <t>Fund for Research Training in Industry and Agriculture (FRIA)(Fonds de la Recherche Scientifique - FNRS)</t>
  </si>
  <si>
    <t>The authors thank the various participants and contributors for sharing their opinions, experiences, and feedbacks. We are grateful to Philippe Chevalier, Dave Kent, Matthias Reimann, Hans-Jorg Kersten, members of the Quarry WG, who acted as internal leaders for this project. Eurogypsum provided the networking and logistic support. C. Pitz holds a Ph.D. fellowship from the Fund for Research Training in Industry and Agriculture (FRIA).</t>
  </si>
  <si>
    <t>DQ9TZ</t>
  </si>
  <si>
    <t>Polzin, F; von Flotow, P; Nolden, C</t>
  </si>
  <si>
    <t>Polzin, Friedemann; von Flotow, Paschen; Nolden, Colin</t>
  </si>
  <si>
    <t>What encourages local authorities to engage with energy performance contracting for retrofitting? Evidence from German municipalities</t>
  </si>
  <si>
    <t>Energy efficiency; Servitization; Contracting; ESCo; LED; Lighting</t>
  </si>
  <si>
    <t>PROCURING COMPLEX PERFORMANCE; LOW-CARBON TRANSITION; SERVICE COMPANIES; PUBLIC PROCUREMENT; BUSINESS MODEL; INNOVATION; UK; INDUSTRY; POLICY; ESCO</t>
  </si>
  <si>
    <t>Municipalities aiming at mitigating climate change by implementing new energy efficiency technologies face budgetary and capacity constraints. Outsourcing through energy service contracting could provide a solution. This paper reports results from a survey of 1298 municipalities concerning barriers to retrofitting public street lighting and the possible role of energy service contracting to overcome these barriers. Using a logistic regression analysis, the authors investigate determinants of opting for energy service contracts in the specific context of LED retrofits. Results point to an advantage of outsourcing in a financially and capacity-constrained environment, which corresponds with the main reasons for engaging in contracting: minimising investments and financial risks. However, municipalities often do not fully grasp the risks associated with retrofitting especially using a novel technology such as LED. In relation to that they underestimate the risk reduction potential of energy performance contracts (EPC). Previous experience with outsourcing increases the probability to engage in servitization although certain existing partnerships, particularly with utilities, prevent municipalities from considering energy performance contracts. Interestingly, engaging an energy consultant has a negative propensity to use energy service contracts, while pre-negotiated standardised contracts for energy performance contracts have a positive influence. (C) 2016 The Authors. Published by Elsevier Ltd.</t>
  </si>
  <si>
    <t>[Polzin, Friedemann] Utrecht Univ Sch Econ USE, Sustainable Finance Lab, Kriekenpitpl 21-22, NL-3584 EC Utrecht, Netherlands; [Polzin, Friedemann; von Flotow, Paschen] Sustainable Business Inst, Zehnthofstr 1, D-65375 Oestrich Winkel, Germany; [Nolden, Colin] Univ Sussex, Sci Policy Res Unit, Jubilee Bldg, Brighton BN1 9SL, E Sussex, England</t>
  </si>
  <si>
    <t>Polzin, F (corresponding author), Utrecht Univ Sch Econ USE, Sustainable Finance Lab, Kriekenpitpl 21-22, NL-3584 EC Utrecht, Netherlands.</t>
  </si>
  <si>
    <t>polzin@sbi21.de</t>
  </si>
  <si>
    <t>Polzin, Friedemann/AAA-7566-2019; Polzin, Friedemann/AAY-9879-2021</t>
  </si>
  <si>
    <t>Polzin, Friedemann/0000-0002-9768-8694; Nolden, Colin/0000-0001-7058-445X</t>
  </si>
  <si>
    <t>German Federal Ministry of Education and Research (BMBF) [066-133434/18.11.2013/072021-066/B6-csch]; United Kingdom's Engineering and Physical Sciences Research Council (EPSRC) [EP/KO11790/1]; Engineering and Physical Sciences Research Council [EP/K011790/1] Funding Source: researchfish; EPSRC [EP/K011790/1] Funding Source: UKRI</t>
  </si>
  <si>
    <t>German Federal Ministry of Education and Research (BMBF)(Federal Ministry of Education &amp; Research (BMBF)); United Kingdom's Engineering and Physical Sciences Research Council (EPSRC)(UK Research &amp; Innovation (UKRI)Engineering &amp; Physical Sciences Research Council (EPSRC)); Engineering and Physical Sciences Research Council(UK Research &amp; Innovation (UKRI)Engineering &amp; Physical Sciences Research Council (EPSRC)); EPSRC(UK Research &amp; Innovation (UKRI)Engineering &amp; Physical Sciences Research Council (EPSRC))</t>
  </si>
  <si>
    <t>The authors are grateful for the time and support of the survey participants and two anonymous reviewers for valuable comments on earlier versions of the paper. The research team would like to thank the German Federal Ministry of Education and Research (BMBF) for their financial support as part of the research project OLPOMETS (Grant number 066-133434/18.11.2013/072021-066/B6-csch) and United Kingdom's Engineering and Physical Sciences Research Council (EPSRC) through a grant to Centre on Innovation and Energy Demand, SPRU, University of Sussex RC UK's EUED Programme (Grant number EP/KO11790/1).</t>
  </si>
  <si>
    <t>10.1016/j.enpol.2016.03.049</t>
  </si>
  <si>
    <t>DO4AU</t>
  </si>
  <si>
    <t>WOS:000377725000033</t>
  </si>
  <si>
    <t>Linan-Cabello, MA; Quintanilla-Montoya, AL; Sepulveda-Quiroz, C; Cervantes-Rosas, OD</t>
  </si>
  <si>
    <t>Agustin Linan-Cabello, Marco; Luz Quintanilla-Montoya, Ana; Sepulveda-Quiroz, Cesar; Cervantes-Rosas, Omar D.</t>
  </si>
  <si>
    <t>Susceptibility to environmental variability of the aquaculture sector in the State of Colima, Mexico: case study</t>
  </si>
  <si>
    <t>LATIN AMERICAN JOURNAL OF AQUATIC RESEARCH</t>
  </si>
  <si>
    <t>aquaculture; fishery public policies; coastal vulnerability; climate change</t>
  </si>
  <si>
    <t>CLIMATE-CHANGE; FRESH-WATER</t>
  </si>
  <si>
    <t>In Mexico, as in many other Latin American countries, the lack of a development plan and/or prevention in aquaculture to environmental variability is evident. In the State of Colima, aquaculture presents lags in terms of technical and productive capacity especially for growing tilapia Oreochromis spp. Surveys were performed to farmers and experts, in addition to consulting scientific literature sources, and identifying different risk factors arising from the practice of aquaculture in order to assess the vulnerability of the sector. The main risk factor associated with hydrometeorological phenomena, for which the need to define high-risk areas, even more, given the uncertainty of the same due to global climate change is recognized. This study proposes to implement a comprehensive program of technological conversion and control measures for alien species that also consider aquaculture production schemes based on the efficient use of water, and to consider using this endemic species for cultivation.</t>
  </si>
  <si>
    <t>[Agustin Linan-Cabello, Marco; Sepulveda-Quiroz, Cesar; Cervantes-Rosas, Omar D.] Univ Colima, Fac Ciencias Marinas, Manzanillo, Colima, Mexico; [Luz Quintanilla-Montoya, Ana] Univ Colima, Ctr Univ Gest Ambiental, Colima, Mexico</t>
  </si>
  <si>
    <t>Linan-Cabello, MA (corresponding author), Univ Colima, Fac Ciencias Marinas, Manzanillo, Colima, Mexico.</t>
  </si>
  <si>
    <t>linanmarco@hotmail.com</t>
  </si>
  <si>
    <t>Cervantes, Omar/AAA-3328-2020; Cervantes, Omar/AAF-4747-2020</t>
  </si>
  <si>
    <t xml:space="preserve">Cervantes, Omar/0000-0002-7559-3889; </t>
  </si>
  <si>
    <t>UNIV CATOLICA DE VALPARAISO</t>
  </si>
  <si>
    <t>VALPARAISO</t>
  </si>
  <si>
    <t>AV BRASIL 2950, PO BOX 4059, VALPARAISO, CHILE</t>
  </si>
  <si>
    <t>0718-560X</t>
  </si>
  <si>
    <t>0717-7178</t>
  </si>
  <si>
    <t>LAT AM J AQUAT RES</t>
  </si>
  <si>
    <t>Lat. Am. J. Aquat. Res.</t>
  </si>
  <si>
    <t>10.3856/vol44-issue3-fulltext-24</t>
  </si>
  <si>
    <t>DW6NX</t>
  </si>
  <si>
    <t>WOS:000383769200024</t>
  </si>
  <si>
    <t>Kaimal, G; Jordan, WJ</t>
  </si>
  <si>
    <t>Kaimal, Girija; Jordan, Will J.</t>
  </si>
  <si>
    <t>Do Incentive-Based Programs Improve Teacher Quality and Student Achievement? An Analysis of Implementation in 12 Urban Charter Schools</t>
  </si>
  <si>
    <t>TEACHERS COLLEGE RECORD</t>
  </si>
  <si>
    <t>PROFESSIONAL-DEVELOPMENT</t>
  </si>
  <si>
    <t>Context: Policymakers have increasingly advocated for incentive-based approaches for improving urban schools. Purpose of the Study: Few studies have examined the implementation of incentive based approaches in the urban charter school context. This paper presents research findings from a 4-year longitudinal study of the implementation of a comprehensive incentive-based program for school improvement. Setting: The study was conducted in cluster of 12 charter schools in a large urban school district. Participants/Subjects: Participants in the study included classroom teachers, administrators, and staff in the charter schools; program staff from the school district; and consultants to the project. Research Design: The study used a mixed methods design, which included a comparative case study, and quasi-experimental design. Data Collection and Analysis: Qualitative data elements included semistructured interviews and observations of program activities. Quantitative data elements included the official classroom teaching evaluation scores, teacher attitudes survey data, standardized student achievement scores from state and district assessment programs, and researcher-developed surveys of teacher and administrator perceptions. Results: The results suggest that, in addition to questions about the viability of this comprehensive incentive model, there were several challenges related specifically to the context of the schools that affected program implementation. These included: misconceptions about performance pay; difficulties learning, understanding and sustaining a complex professional development model; poor fidelity of program implementation; varying capacities of leadership teams; inability to sustain the incentive component; differences in the contexts and missions of the participating schools; and high teacher turnover at the schools. All the 12 schools reported some improvement in student achievement which led to performance rewards; however, this was not substantial or consistent over the course of the 4 years of implementation. The program also did not impact teacher retention at the schools. Schools that benefited the most from the program demonstrated an alignment of goals between the program staff, school leadership, and teachers. Conclusions/Recommendations: The study findings suggest that even comprehensive incentive-based models are not yet viable and have limited effectiveness. Educators needed significant salary increases to be incentivized by money and incentive-based models need to be simpler in design for participants to understand them. The aspect that was somewhat sustained was the professional development and collegiality among the teachers indicating that a professional community is what teachers appreciated most from the program.</t>
  </si>
  <si>
    <t>[Kaimal, Girija] Drexel Univ, Philadelphia, PA 19104 USA; [Jordan, Will J.] Temple Univ, Coll Educ, Philadelphia, PA 19122 USA</t>
  </si>
  <si>
    <t>Kaimal, G (corresponding author), Drexel Univ, Philadelphia, PA 19104 USA.</t>
  </si>
  <si>
    <t>TEACHERS COLL OF COLUMBIA UNIV</t>
  </si>
  <si>
    <t>525 W 120TH ST, NEW YORK, NY 10027 USA</t>
  </si>
  <si>
    <t>0161-4681</t>
  </si>
  <si>
    <t>1467-9620</t>
  </si>
  <si>
    <t>TEACH COLL REC</t>
  </si>
  <si>
    <t>Teach. Coll. Rec.</t>
  </si>
  <si>
    <t>FJ6LN</t>
  </si>
  <si>
    <t>WOS:000412869400002</t>
  </si>
  <si>
    <t>MSY; MEY; Bio-economic; Mixed fisheries; Multi species; North Sea</t>
  </si>
  <si>
    <t>MANAGEMENT STRATEGY EVALUATION; SINGLE; YIELD; PARTICIPATION; UNCERTAINTY; LIMITATIONS; ECONOMICS; SYSTEMS; STOCKS</t>
  </si>
  <si>
    <t>[Kempf, Alexander; Staebler, Moritz] Thunen Inst Sea Fisheries, Palmaille 9, D-22761 Hamburg, Germany; [Mumford, John; Levontin, Polina; Leach, Adrian] Univ London Imperial Coll Sci Technol &amp; Med, Ctr Environm Policy, Silwood Pk Campus, Ascot SL5 7PY, Berks, England; [Hoff, Ayoe; Frost, Hans] Univ Copenhagen, Dept Food &amp; Resource Econ, Rolighedsvej 25, DK-1958 Frederiksberg C, Denmark; [Hamon, Katell G.; Bartelings, Heleen; van den Burg, Sander] LEI Wageningen, Alexanderveld 5, NL-2585 DB The Hague, Netherlands; [Vinther, Morten; Ulrich, Clara; Rindorf, Anna] Tech Univ Denmark, DTU Aqua, Jaegersborg Alle 1, DK-2920 Charlottenlund, Denmark; [Poos, Jan Jaap] Wageningen IMARES, Inst Marine Resources &amp; Ecosyst Studies, POB 68, NL-1970 AB Ijmuiden, Netherlands; [Smout, Sophie] Scottish Oceans Inst, St Andrews KY16 8LB, Fife, Scotland</t>
  </si>
  <si>
    <t>Kempf, A (corresponding author), Thunen Inst Sea Fisheries, Palmaille 9, D-22761 Hamburg, Germany.</t>
  </si>
  <si>
    <t>alexander.kempf@ti.bund.de</t>
  </si>
  <si>
    <t>Levontin, Polina/AAG-7070-2019; Ulrich, Clara/F-3583-2011; Hamon, Katell G/C-7206-2011; Rindorf, Anna/AAX-3463-2021</t>
  </si>
  <si>
    <t>Levontin, Polina/0000-0001-8229-4054; Ulrich, Clara/0000-0001-7598-2051; Hamon, Katell G/0000-0002-6419-8947; Rindorf, Anna/0000-0002-4290-3983; Stabler, Moritz/0000-0002-9987-2532; Vinther, Morten/0000-0002-2535-5575; Leach, Adrian/0000-0002-8781-2874; Bartelings, Heleen/0000-0002-4423-3717; Mumford, John/0000-0001-8964-1784; van den Burg, Sander/0000-0003-3849-482X</t>
  </si>
  <si>
    <t>European Community's Seventh Framework Programme [289257]</t>
  </si>
  <si>
    <t>European Community's Seventh Framework Programme</t>
  </si>
  <si>
    <t>The authors thank the various participants of the stakeholder workshops for their willingness to deal with complex modelling results and to discuss MSY objectives and constraints. The research leading to the results of this study has received funding from the European Community's Seventh Framework Programme (FP7/2007-2013) under Grant agreement MYFISH number 289257.</t>
  </si>
  <si>
    <t>DN7AX</t>
  </si>
  <si>
    <t>FRUGIPERDA LEPIDOPTERA-NOCTUIDAE; BACILLUS-THURINGIENSIS CRY; ARMIGERA HUBNER LEPIDOPTERA; HELICOVERPA-ARMIGERA; MOLECULAR-IDENTIFICATION; INSECTICIDE RESISTANCE; FITNESS COSTS; FALL ARMYWORM; SUSCEPTIBILITY; COTTON</t>
  </si>
  <si>
    <t>[Blanco, C. A.] Univ New Mexico, 544 Jurgensen Pl, Landover, MD USA; [Chiaravalle, W.] Ento Agro, Roberto Kock 4194, Montevideo, Uruguay; [Dalla-Rizza, M.] INIA, Ruta 48 Km 10, Canelones, Uruguay; [Farias, J. R.] Inst Phytus, 2319 Duque Caxias St, Santa Maria, RS, Brazil; [Garcia-Degano, M. F.; Gastaminza, G.; Murua, M. G.; Willink, E.] EEAOC CONICET ITANOA, Secc Zool Agr, William Cross 3150, RA-4101 San Miguel De Tucuman, Argentina; [Mota-Sanchez, D.] Michigan State Univ, Dept Entomol, 1129 Farm Lane, E Lansing, MI USA; [Omoto, C.] Univ Sao Paulo, Luiz de Queiroz Coll Agr ESALQ, 11 Padua Dias Ave, Piracicaba, SP, Brazil; [Pieralisi, B. K.] 260 Longswitch Rd, Leland, MS USA; [Rodriguez, J.; Valencia, S. J.] Ctr Internac Agr Trop, Km 17, Cali, Colombia; [Rodriguez-Maciel, J. C.] Colegio Postgrad, Montecillo, Edo Mex, Mexico; [Teran-Santofimio, H.] Pioneer HiBreed, Carr 3 Km 154-9, Salinas, PR 00751 USA; [Teran-Vargas, A. P.] Inst Nacl Invest Forestales Agr &amp; Pecuarias, Cuauhtemoc, Tamps, Mexico</t>
  </si>
  <si>
    <t>Blanco, CA (corresponding author), Univ New Mexico, 544 Jurgensen Pl, Landover, MD USA.</t>
  </si>
  <si>
    <t>carlos.blanco1206@gmail.com</t>
  </si>
  <si>
    <t>Blanco, Carlos/AAE-9032-2022; Mota-Sanchez, David/ABD-6869-2020; Omoto, Celso/D-9794-2012; GUO, Zhaoyu/AAS-5699-2020; Rodriguez, Jairo/G-8129-2012</t>
  </si>
  <si>
    <t>Omoto, Celso/0000-0002-6432-830X; Rodriguez, Jairo/0000-0002-3476-272X; Dalla-Rizza, Marco/0000-0003-4065-0940</t>
  </si>
  <si>
    <t>CURR OPIN INSECT SCI</t>
  </si>
  <si>
    <t>Curr. Opin. Insect Sci.</t>
  </si>
  <si>
    <t>Biology; Ecology; Entomology</t>
  </si>
  <si>
    <t>Life Sciences &amp; Biomedicine - Other Topics; Environmental Sciences &amp; Ecology; Entomology</t>
  </si>
  <si>
    <t>DP7HY</t>
  </si>
  <si>
    <t>Aoun, O; Teller, J</t>
  </si>
  <si>
    <t>Aoun, Oula; Teller, Jacques</t>
  </si>
  <si>
    <t>Planning urban megaprojects in the Gulf: The international consultancy firms in urban planning between global and contingent</t>
  </si>
  <si>
    <t>FRONTIERS OF ARCHITECTURAL RESEARCH</t>
  </si>
  <si>
    <t>Architecture and engineering firms; Construction market; GCC; Urban megaprojects</t>
  </si>
  <si>
    <t>ARCHITECTURE; GLOBALIZATION; GEOGRAPHY; POLICY</t>
  </si>
  <si>
    <t>Driven by globalization and market openings, many architecture and engineering firms have become global. By focusing on the urban megaprojects in the Gulf, a particular cultural and political context, this paper argues that such firms have a major role in the rapid urban transformation of Gulf countries and act as transfer agents of an international knowledge in the urban planning domain. However, the transfer is adapted by several context-related characteristics, such as local governance, urban knowledge, and regulatory framework. This paper explores the procedural adaptation of these firms to the Gulf Cooperation Council (GCC) in terms of internal structure, methodology, adopted tools, and interaction with the context. The level of learning that results from this transfer is also investigated. (c) 2016 The Authors. Production and hosting by Elsevier B.V.</t>
  </si>
  <si>
    <t>[Aoun, Oula; Teller, Jacques] Univ Liege, ARGENCO, B-4000 Liege, Belgium</t>
  </si>
  <si>
    <t>Aoun, O (corresponding author), Univ Liege, ARGENCO, B-4000 Liege, Belgium.</t>
  </si>
  <si>
    <t>oulaaoun@gmail.com</t>
  </si>
  <si>
    <t>TELLER, Jacques/I-8349-2019</t>
  </si>
  <si>
    <t>Teller, Jacques/0000-0003-2498-1838</t>
  </si>
  <si>
    <t>2095-2635</t>
  </si>
  <si>
    <t>2095-2643</t>
  </si>
  <si>
    <t>FRONT ARCHIT RES</t>
  </si>
  <si>
    <t>Front. Archit. Res.</t>
  </si>
  <si>
    <t>10.1016/j.foar.2016.01.003</t>
  </si>
  <si>
    <t>DO0FT</t>
  </si>
  <si>
    <t>WOS:000377455500009</t>
  </si>
  <si>
    <t>applied hydrology; decision-making; decision support; knowledge exchange; research impact; scientific advice</t>
  </si>
  <si>
    <t>SOCIO-HYDROLOGY; CLIMATE-CHANGE; BOUNDARY ORGANIZATIONS; POLICY; ADAPTATION</t>
  </si>
  <si>
    <t>[Watts, Glenn] Environm Agcy, Evidence Directorate, Horizon House,Deanery Rd, Bristol BS1 5AH, Avon, England; [Watts, Glenn] Kings Coll London, Dept Geog, London WC2R 2LS, England</t>
  </si>
  <si>
    <t>Watts, G (corresponding author), Environm Agcy, Evidence Directorate, Horizon House,Deanery Rd, Bristol BS1 5AH, Avon, England.;Watts, G (corresponding author), Kings Coll London, Dept Geog, London WC2R 2LS, England.</t>
  </si>
  <si>
    <t>glenn.watts@environment-agency.gov.uk</t>
  </si>
  <si>
    <t>HYDROL RES</t>
  </si>
  <si>
    <t>Hydrol. Res.</t>
  </si>
  <si>
    <t>DP5MF</t>
  </si>
  <si>
    <t>Artisanal mining; water; pollution; sustainability; technology</t>
  </si>
  <si>
    <t>CONTAMINATED SOILS; SOUTH-AMERICA; MERCURY; RIVER; SPECIATION; ANTIOQUIA; EXPOSURE; HG</t>
  </si>
  <si>
    <t>[Bustamante, Natalia; Danoucaras, Natasha; McIntyre, Neil] Univ Queensland, Sustainable Minerals Inst, Ctr Water Minerals Ind, Brisbane, Qld 4072, Australia; [Carlos Diaz-Martinez, Juan; Jaime Restrepo-Baena, Oscar] Univ Nacl Colombia, Fac Minas, Dept Mat &amp; Minerales, Carrera 80 65-223 Nucleo Robledo, Medellin 1027, Colombia</t>
  </si>
  <si>
    <t>Diaz-Martinez, JC (corresponding author), Univ Nacl Colombia, Fac Minas, Dept Mat &amp; Minerales, Carrera 80 65-223 Nucleo Robledo, Medellin 1027, Colombia.</t>
  </si>
  <si>
    <t>jcdiazmar@unal.edu.co</t>
  </si>
  <si>
    <t>Baena, Oscar Jaime Restrepo/0000-0003-3944-9369; McIntyre, Neil/0000-0002-3423-6754; Diaz Martinez, Juan/0000-0002-1838-1927</t>
  </si>
  <si>
    <t>Centre for Water in the Minerals Industry at The University of Queensland, Sustainable Minerals Institute</t>
  </si>
  <si>
    <t>The research for this Article was supported by the Centre for Water in the Minerals Industry at The University of Queensland, Sustainable Minerals Institute. We thank to Universidad Nacional de Colombia, Universidad de Antioquia and Gobernacion de Antioquia, especially The Mining Secretary, Corantioquia and Mineros S.A. Special gratitude for Engineer Oseas Garcia Rivera, the director of Global Mercury Project II for his support during the field work in Colombia.</t>
  </si>
  <si>
    <t>IMPRENTA UNIV ANTIOQUIA</t>
  </si>
  <si>
    <t>MEDELLIN</t>
  </si>
  <si>
    <t>67 N 53-108, BLOQUE 28, CIUDAD UNIV, UNIV ANTIQUIA, MEDELLIN, 00000, COLOMBIA</t>
  </si>
  <si>
    <t>REV FAC ING-UNIV ANT</t>
  </si>
  <si>
    <t>Rev. Fac. Ing.-Univ. Antioquia</t>
  </si>
  <si>
    <t>FP2UG</t>
  </si>
  <si>
    <t>Africa; Research ethics committee; Standard operating procedures; WHO's guidelines; Gold standard</t>
  </si>
  <si>
    <t>AFRICA; NEEDS</t>
  </si>
  <si>
    <t>[Oukem-Boyer, Odile Ouwe Missi; Munung, Nchangwi Syntia; Tangwa, Godfrey B.] Cameroon Bioeth Initiat CAMBIN, Yaounde, Cameroon; [Oukem-Boyer, Odile Ouwe Missi] Ctr Rech Med &amp; Sanitaire CERMES, Niamey, Niger; [Munung, Nchangwi Syntia] Univ Cape Town, Dept Med, ZA-7925 Cape Town, South Africa; [Tangwa, Godfrey B.] Univ Yaounde I, Dept Philosophy, Yaounde, Cameroon</t>
  </si>
  <si>
    <t>Oukem-Boyer, OOM (corresponding author), Cameroon Bioeth Initiat CAMBIN, Yaounde, Cameroon.;Oukem-Boyer, OOM (corresponding author), Ctr Rech Med &amp; Sanitaire CERMES, Niamey, Niger.</t>
  </si>
  <si>
    <t>ooukem@gmail.com</t>
  </si>
  <si>
    <t>Munung, Nchangwi Syntia/0000-0003-1498-3602; Tangwa, Godfrey B./0000-0003-0062-8108</t>
  </si>
  <si>
    <t>European and Developing Countries Clinical Trial Partnership (EDCTP) [CB. 2011.41302.021]</t>
  </si>
  <si>
    <t>European and Developing Countries Clinical Trial Partnership (EDCTP)</t>
  </si>
  <si>
    <t>CAMBIN undertook the work of which this publication is one outcome with funding from the European and Developing Countries Clinical Trial Partnership (EDCTP): Grant CB. 2011.41302.021.</t>
  </si>
  <si>
    <t>BMC MED ETHICS</t>
  </si>
  <si>
    <t>BMC Med. Ethics</t>
  </si>
  <si>
    <t>Ethics; Medical Ethics; Social Sciences, Biomedical</t>
  </si>
  <si>
    <t>Social Sciences - Other Topics; Medical Ethics; Biomedical Social Sciences</t>
  </si>
  <si>
    <t>DM5BF</t>
  </si>
  <si>
    <t>Hamid, S; Singaram, VS</t>
  </si>
  <si>
    <t>Hamid, S.; Singaram, V. S.</t>
  </si>
  <si>
    <t>Exploring the relationship between demographic factors, performance and fortitude in a group of diverse 1st-year medical students</t>
  </si>
  <si>
    <t>AFRICAN JOURNAL OF HEALTH PROFESSIONS EDUCATION</t>
  </si>
  <si>
    <t>UNIVERSITY; EDUCATION; STRESS</t>
  </si>
  <si>
    <t>Background. The majority of 1st-year students are ill-equipped for university life. This heightens stress levels, which are accentuated by a lack of resilience and impact negatively on academic performance and personal wellbeing. Objectives. To explore, within the paradigm of positive psychology, the relationship between the self, family and support constructs of fortitude, and academic performance of 1st-year medical students. Method. First-year medical students completed a fortitude questionnaire and their academic performances in two academic modules were collated. Mann-Whitney and Kruskal-Wallis tests were employed for statistical analysis of the variables. Pearson correlation coefficients were calculated to assess the relationship between academic performance and fortitude subscales, as well as the fortitude composite score. Results. The student population was multicultural, multilingual and had different educational and residential backgrounds. The fortitude instrument was found to be reliable and correlated significantly with student academic performance. Male students had significantly higher fortitude scores than female students. Students who had attended state/government schools had significantly lower fortitude than those who had attended private and ex-Model C schools. Students with prior degrees had higher fortitude than matriculants. Conclusion. The significant, albeit moderate, positive correlation between fortitude and academic performance highlights the need for further exploration of wellbeing and holistic development of medical students. Support programmes are recommended to bridge the gap related to gender and educational background. Low and fair levels of fortitude indicate a need for corrective measures. These could include consulting relevant support networks such as student counsellors, mentors and academic development personnel.</t>
  </si>
  <si>
    <t>[Hamid, S.; Singaram, V. S.] Univ KwaZulu Natal, Coll Hlth Sci, Sch Clin Med, Clin &amp; Profess Practice, Durban, South Africa</t>
  </si>
  <si>
    <t>Hamid, S (corresponding author), Univ KwaZulu Natal, Coll Hlth Sci, Sch Clin Med, Clin &amp; Profess Practice, Durban, South Africa.</t>
  </si>
  <si>
    <t>shaista.saib@gmail.com</t>
  </si>
  <si>
    <t>Office of the US Global AIDS Coordinator [R24TW008863]</t>
  </si>
  <si>
    <t>Office of the US Global AIDS Coordinator</t>
  </si>
  <si>
    <t>This publication was made possible by grant No. R24TW008863 from the Office of the US Global AIDS Coordinator and the US Department of Health and Human Services, National Institutes of Health. Its contents are solely the responsibility of the authors and do not necessarily represent the official views of the US government. The medical students are acknowledged for their participation, and Dr M Muzigaba for statistical guidance and analysis.</t>
  </si>
  <si>
    <t>HEALTH &amp; MEDICAL PUBLISHING GROUP</t>
  </si>
  <si>
    <t>PRIVATE BAG X1, PINELANDS, CAPE TOWN, 7430, SOUTH AFRICA</t>
  </si>
  <si>
    <t>2078-5127</t>
  </si>
  <si>
    <t>AFR J HEALTH PROF ED</t>
  </si>
  <si>
    <t>Afr. J. Health Prof. Education</t>
  </si>
  <si>
    <t>10.7196/AJHPE.2016.v8i1.748</t>
  </si>
  <si>
    <t>DQ6LI</t>
  </si>
  <si>
    <t>WOS:000379316000025</t>
  </si>
  <si>
    <t>Nejati, A; Rodiek, S; Shepley, M</t>
  </si>
  <si>
    <t>Nejati, Adeleh; Rodiek, Susan; Shepley, Mardelle</t>
  </si>
  <si>
    <t>The implications of high-quality staff break areas for nurses' health, performance, job satisfaction and retention</t>
  </si>
  <si>
    <t>respite; fatigue; nursing staff; productivity; quality of patient care; health concerns</t>
  </si>
  <si>
    <t>OUTDOOR ENVIRONMENT; WORK BREAKS; STRESS; WORKPLACES; DESIGN; REST</t>
  </si>
  <si>
    <t>Aim The main study objective was to explore policy and design factors contributing to nurses' perception of how well-designed staff break areas can play an important beneficial role in relation to their overall job satisfaction, retention, performance and job-related health concerns. Background Nurses are extremely valuable to the healthcare industry; however, today's nursing profession is challenged by nurses' fatigue and its negative consequences on nurses' health and the quality of patient care they provide. Methods Preliminary interviews were conducted with 10 nurses who worked as consultants in the healthcare design and construction industry. Based on findings, an online survey was developed and distributed to over 10 000 members of the Academy of Medical-Surgical Nurses in the United States. Results The majority of nurses viewed high-quality break spaces as 'fairly' or 'very' important in terms of their potential to positively influence staff, patient and facility outcomes. Stress, rest breaks and the quality of break areas were some of the significant factors contributing to their perception. Conclusion/implications for nursing management The results of this empirical study support the conclusion that improvements in healthcare facility policies regarding staff breaks, as well as the creation of better-designed break areas, can be of significant benefit for nurses and the patients that they serve.</t>
  </si>
  <si>
    <t>[Nejati, Adeleh; Rodiek, Susan] Texas A&amp;M Univ, Coll Architecture, Ctr Hlth Syst &amp; Design, College Stn, TX 77843 USA; [Shepley, Mardelle] Cornell Univ, Coll Human Ecol, Ithaca, NY USA</t>
  </si>
  <si>
    <t>Nejati, A (corresponding author), Texas A&amp;M Univ MS 3137, Coll Architecture, Ctr Hlth Syst &amp; Design, College Stn, TX 77843 USA.</t>
  </si>
  <si>
    <t>nejatia@tamu.edu</t>
  </si>
  <si>
    <t>Shepley, Mardelle/0000-0002-5674-1321</t>
  </si>
  <si>
    <t>10.1111/jonm.12351</t>
  </si>
  <si>
    <t>DL6WL</t>
  </si>
  <si>
    <t>WOS:000375780500010</t>
  </si>
  <si>
    <t>STAKEHOLDER THEORY; DIALOGUE; REPUTATION; COMPANIES; FIRM</t>
  </si>
  <si>
    <t>[Kim, Soojin] Singapore Management Univ, Lee Kong Chian Sch Business, 50 Stamford Rd, Singapore 128047, Singapore; [Kim, Jeong-Nam] Purdue Univ, Brian Lamb Sch Commun, W Lafayette, IN 47907 USA</t>
  </si>
  <si>
    <t>Kim, S (corresponding author), Singapore Management Univ, Lee Kong Chian Sch Business, 50 Stamford Rd, Singapore 128047, Singapore.</t>
  </si>
  <si>
    <t>soojin.pr@gmail.com</t>
  </si>
  <si>
    <t>J PUBLIC AFF</t>
  </si>
  <si>
    <t>J. Public Aff.</t>
  </si>
  <si>
    <t>DL7ZC</t>
  </si>
  <si>
    <t>Abuse; Children; Data; Ethics; Standards; Violence</t>
  </si>
  <si>
    <t>[Devries, Karen M.] London Sch Hyg &amp; Trop Med, 15-17 Tavistock Pl, London WC1H 9SH, England; [Naker, Dipak] Raising Voices, 16 Tufnell Dr,Kamwokya POB 6770, Kampala, Uganda; [Monteath-van Dok, Adrienne] Plan Int, Block A,Duke St, Woking GU21 5BH, Surrey, England; [Milligan, Claire; Shirley, Alice] Save Children, St Johns Lane, London EC1M 4AR, England</t>
  </si>
  <si>
    <t>Devries, KM (corresponding author), London Sch Hyg &amp; Trop Med, 15-17 Tavistock Pl, London WC1H 9SH, England.</t>
  </si>
  <si>
    <t>karen.devries@lshtm.ac.uk</t>
  </si>
  <si>
    <t>Medical Research Council [MR/L004321/1] Funding Source: Medline; MRC [MR/L004321/1] Funding Source: UKRI</t>
  </si>
  <si>
    <t>Medical Research Council(UK Research &amp; Innovation (UKRI)Medical Research Council UK (MRC)European Commission); MRC(UK Research &amp; Innovation (UKRI)Medical Research Council UK (MRC))</t>
  </si>
  <si>
    <t>INT HEALTH</t>
  </si>
  <si>
    <t>Int. Health</t>
  </si>
  <si>
    <t>DM9CE</t>
  </si>
  <si>
    <t>Sustainable employability; Belgium; Older workers; Occupational health; Collective labour agreement</t>
  </si>
  <si>
    <t>[Verbrugghe, Mathieu; Vriesacker, Bart; Peeters, Ilse; Mortelmans, Katrien] Mensura Occupat Hlth Serv, Brussels, Belgium; [Verbrugghe, Mathieu] Univ Ghent, Dept Publ Hlth, B-9000 Ghent, Belgium; [Kuipers, Yoline] Milieu Ltd, Law &amp; Policy Consulting, Brussels, Belgium</t>
  </si>
  <si>
    <t>Verbrugghe, M (corresponding author), Mensura Occupat Hlth Serv, Brussels, Belgium.;Verbrugghe, M (corresponding author), Univ Ghent, Dept Publ Hlth, B-9000 Ghent, Belgium.</t>
  </si>
  <si>
    <t>Mathieu.Verbrugghe@mensura.be</t>
  </si>
  <si>
    <t>DO1GC</t>
  </si>
  <si>
    <t>policy-making; built environment; governance; urban-regional development; policy advice; comparative research</t>
  </si>
  <si>
    <t>[Mueller, Bernhard] Tech Univ Dresden, Fac Environm Sci, D-01062 Dresden, Germany; [Mueller, Bernhard] Leibniz Inst Ecol Urban &amp; Reg Dev IOER, Weberpl 1, D-01217 Dresden, Germany</t>
  </si>
  <si>
    <t>Muller, B (corresponding author), Tech Univ Dresden, Fac Environm Sci, D-01062 Dresden, Germany.;Muller, B (corresponding author), Leibniz Inst Ecol Urban &amp; Reg Dev IOER, Weberpl 1, D-01217 Dresden, Germany.</t>
  </si>
  <si>
    <t>b.mueller@ioer.de</t>
  </si>
  <si>
    <t>4 PARK SQUARE, MILTON PARK, ABINGDON OX14 4RN, OXON, ENGLAND</t>
  </si>
  <si>
    <t>BUILD RES INF</t>
  </si>
  <si>
    <t>Build. Res. Informat.</t>
  </si>
  <si>
    <t>DF0DG</t>
  </si>
  <si>
    <t>Music Performance Review</t>
  </si>
  <si>
    <t>TEMPO-UK</t>
  </si>
  <si>
    <t>Tempo</t>
  </si>
  <si>
    <t>Music</t>
  </si>
  <si>
    <t>DJ5JB</t>
  </si>
  <si>
    <t>Adaptation; Local government; Transportation; Road safety; Road maintenance; British Columbia</t>
  </si>
  <si>
    <t>BARRIERS; FRAMEWORK; DIALOGUE; WEATHER</t>
  </si>
  <si>
    <t>[Picketts, Ian M.] Quest Univ Canada, Div Phys Sci, 3200 Univ Blvd, Squamish, BC V8B 0N8, Canada; [Andrey, Jean; Matthews, Lindsay] Univ Waterloo, Geog &amp; Environm Management, 200 Univ Ave West, Waterloo, ON N2L 3G1, Canada; [Dery, Stephen J.] Univ No British Columbia, Environm Sci &amp; Engn, 3333 Univ Way, Prince George, BC V2N 4Z9, Canada; [Tighe, Susan] Univ Waterloo, Civil &amp; Environm Engn, 200 Univ Ave West, Waterloo, ON N2L 3G1, Canada</t>
  </si>
  <si>
    <t>Picketts, IM (corresponding author), Quest Univ Canada, Div Phys Sci, 3200 Univ Blvd, Squamish, BC V8B 0N8, Canada.</t>
  </si>
  <si>
    <t>ian.picketts@questu.ca; jandrey@uwaterloo.ca; l2matthe@uwaterloo.ca; stephen.dery@unbc.ca; sltighe@uwaterloo.ca</t>
  </si>
  <si>
    <t>Pacific Institute for Climate Solutions fellowships; University of Northern BC; Canada Research Chair program; Natural Resources Canada; City of Prince George</t>
  </si>
  <si>
    <t>Pacific Institute for Climate Solutions fellowships; University of Northern BC; Canada Research Chair program(Canada Research Chairs); Natural Resources Canada(Natural Resources CanadaCanadian Forest Service); City of Prince George</t>
  </si>
  <si>
    <t>Thanks to all participants in the transportation study, particularly Prince George City staff for their efforts and ongoing commitment to the City. Special thanks to Brian Mills (Environment Canada), Dave Dyer (City of Prince George) and Chelsea Coady (Fraser Basin Council) for their contributions. Ian Picketts' research has been funded by the Pacific Institute for Climate Solutions fellowships and the University of Northern BC. Drs. Tighe and Dery's positions are supported through the Canada Research Chair program. The transportation workshop and ongoing adaptation work in Prince George was supported by Natural Resources Canada and the City of Prince George. Thanks to reviewers for their helpful feedback.</t>
  </si>
  <si>
    <t>DI2FH</t>
  </si>
  <si>
    <t>Agroforestry; Pillar/blocks methodology; Common agriculture policy; Greece; Rural development</t>
  </si>
  <si>
    <t>SILVOARABLE AGROFORESTRY; SYSTEMS; DOMESTICATION</t>
  </si>
  <si>
    <t>[Vrahnakis, Michael] Technol Univ Thessaly, Dept Forestry &amp; Management Nat Environm, Kardhitsa 43100, Greece; [Nasiakou, Stamatia] Democritus Univ Thrace, Dept Forestry &amp; Management Environm &amp; Nat Resourc, Orestiada 68200, Greece; [Blanas, George] Technol Univ Thessaly, Dept Business Adm, Larisa 41110, Greece</t>
  </si>
  <si>
    <t>Vrahnakis, M (corresponding author), Technol Univ Thessaly, Dept Forestry &amp; Management Nat Environm, Kardhitsa 43100, Greece.</t>
  </si>
  <si>
    <t>mvrahnak@teilar.gr</t>
  </si>
  <si>
    <t>Kazoglou, Yannis/ABE-3560-2021</t>
  </si>
  <si>
    <t>AGROFOREST SYST</t>
  </si>
  <si>
    <t>Agrofor. Syst.</t>
  </si>
  <si>
    <t>Agronomy; Forestry</t>
  </si>
  <si>
    <t>Agriculture; Forestry</t>
  </si>
  <si>
    <t>DI2AN</t>
  </si>
  <si>
    <t>Residential buildings, Deep energy retrofits; Cost estimation; Building envelope; HVAC energy efficiency; Archetypes; Calibrated building energy simulation; EnergyPlus</t>
  </si>
  <si>
    <t>MULTIOBJECTIVE OPTIMIZATION; BUILDINGS; EFFICIENCY; METHODOLOGY; STATE; MODEL</t>
  </si>
  <si>
    <t>[Jermyn, Denver; Richman, Russell] Ryerson Univ, 350 Victoria St, Toronto, ON M5B 2K3, Canada</t>
  </si>
  <si>
    <t>Richman, R (corresponding author), Ryerson Univ, 350 Victoria St, Toronto, ON M5B 2K3, Canada.</t>
  </si>
  <si>
    <t>djermyn@ryerson.ca; richman@ryerson.ca</t>
  </si>
  <si>
    <t>DJ0AH</t>
  </si>
  <si>
    <t>Vibration annoyance; Noise annoyance; Railway; Exposure-response relationships; Human response to vibration</t>
  </si>
  <si>
    <t>EXPOSURE-RESPONSE RELATIONSHIPS; REPORTED SLEEP DISTURBANCES; TRANSPORTATION NOISE; ENVIRONMENTAL NOISE; AIRCRAFT NOISE; ANNOYANCE; ROAD; PREVALENCE; PERCEPTION</t>
  </si>
  <si>
    <t>[Penis, Eulalia; Woodcock, James; Sica, Gennaro; Sharp, Calum; Moorhouse, Andy T.; Waddington, David C.] Univ Salford, Acoust Res Ctr, Salford M5 4WT, Greater Manches, England</t>
  </si>
  <si>
    <t>Penis, E (corresponding author), Univ Salford, Acoust Res Ctr, Salford M5 4WT, Greater Manches, England.</t>
  </si>
  <si>
    <t>E.Peris@salford.ac.uk</t>
  </si>
  <si>
    <t>Department for Environment, Food and Rural Affairs (Defra) UK</t>
  </si>
  <si>
    <t>Department for Environment, Food and Rural Affairs (Defra) UK(Department for Environment, Food &amp; Rural Affairs (DEFRA))</t>
  </si>
  <si>
    <t>This research was funded by the Department for Environment, Food and Rural Affairs (Defra) UK.</t>
  </si>
  <si>
    <t>DH7AA</t>
  </si>
  <si>
    <t>Infra basin; Inter sub-basin; Water transfer; Supply; Management; Feasibility study; Storage; Irrigation; Techno-economic; Socio-equitable</t>
  </si>
  <si>
    <t>[Verdhen, A.] Dronacharya Coll Engn, Gurgaon 122001, Haryana, India</t>
  </si>
  <si>
    <t>Verdhen, A (corresponding author), Dronacharya Coll Engn, Gurgaon 122001, Haryana, India.</t>
  </si>
  <si>
    <t>a_vardhan1022006@rediffmail.com</t>
  </si>
  <si>
    <t>NATL INST SCIENCE COMMUNICATION-NISCAIR</t>
  </si>
  <si>
    <t>DR K S KRISHNAN MARG, PUSA CAMPUS, NEW DELHI 110 012, INDIA</t>
  </si>
  <si>
    <t>J SCI IND RES INDIA</t>
  </si>
  <si>
    <t>J. Sci. Ind. Res.</t>
  </si>
  <si>
    <t>DG3EM</t>
  </si>
  <si>
    <t>Construction safety; Contractors; Consultants; Insurance companies; Middle East; Lebanon</t>
  </si>
  <si>
    <t>[Awwad, Rita; El Souki, Omar; Jabbour, Melanie] Lebanese Amer Univ, Dept Civil Engn, POB 36, Byblos, Lebanon</t>
  </si>
  <si>
    <t>Awwad, R (corresponding author), Lebanese Amer Univ, Dept Civil Engn, POB 36, Byblos, Lebanon.</t>
  </si>
  <si>
    <t>rita.awwad@lau.edu.lb; omar.elsouki@lau.edu; melanie.jabbour@lau.edu</t>
  </si>
  <si>
    <t>DC4SR</t>
  </si>
  <si>
    <t>Forest fires; forest storms; climate change; forest consultants; risk perception; risk governance</t>
  </si>
  <si>
    <t>MANAGEMENT; WILDFIRE</t>
  </si>
  <si>
    <t>[Lidskog, Rolf; Sjodin, Daniel] Univ Orebro, Environm Sociol Sect, SE-70182 Orebro, Sweden</t>
  </si>
  <si>
    <t>Lidskog, R (corresponding author), Univ Orebro, Environm Sociol Sect, SE-70182 Orebro, Sweden.</t>
  </si>
  <si>
    <t>rolf.lidskog@oru.se</t>
  </si>
  <si>
    <t>Lidskog, Rolf/AAV-2816-2021</t>
  </si>
  <si>
    <t>Swedish Research Council Formas; Mistra (The Foundation for Strategic Environmental Research); Forestry Research Institute of Sweden (Skogforsk); Swedish University of Agricultural Sciences (SLU); Umea University</t>
  </si>
  <si>
    <t>Swedish Research Council Formas(Swedish Research CouncilSwedish Research Council Formas); Mistra (The Foundation for Strategic Environmental Research); Forestry Research Institute of Sweden (Skogforsk); Swedish University of Agricultural Sciences (SLU); Umea University</t>
  </si>
  <si>
    <t>This study was financed by the Swedish Research Council Formas and written as part of the interdisciplinary program Future Forests financed by Mistra (The Foundation for Strategic Environmental Research), the Forestry Research Institute of Sweden (Skogforsk), the Swedish University of Agricultural Sciences (SLU), and Umea University.</t>
  </si>
  <si>
    <t>SCAND J FOREST RES</t>
  </si>
  <si>
    <t>Scand. J. Forest Res.</t>
  </si>
  <si>
    <t>DB5IH</t>
  </si>
  <si>
    <t>Biofuel versus fossil fuel; Comprehensive review; Controversy</t>
  </si>
  <si>
    <t>BIODIESEL; EMISSIONS</t>
  </si>
  <si>
    <t>[Jabarullah, Noor H.] Univ Kuala Lumpur, British Malaysian Inst UniKL BMI, Selangor, Malaysia</t>
  </si>
  <si>
    <t>Jabarullah, NH (corresponding author), Univ Kuala Lumpur, British Malaysian Inst UniKL BMI, Selangor, Malaysia.</t>
  </si>
  <si>
    <t>nhafidzah@unikl.edu.my</t>
  </si>
  <si>
    <t>INST ADVANCED SCIENCE EXTENSION</t>
  </si>
  <si>
    <t>TAIPEI</t>
  </si>
  <si>
    <t>PO BOX 23-31,, TAIPEI, 00000, TAIWAN</t>
  </si>
  <si>
    <t>INT J ADV APPL SCI</t>
  </si>
  <si>
    <t>Int. J. Adv. Appl. Sci.</t>
  </si>
  <si>
    <t>DM2HW</t>
  </si>
  <si>
    <t>Conflict; security; DDR; peacebuilding; Uganda; civil society</t>
  </si>
  <si>
    <t>REFLECTIONS; WAR</t>
  </si>
  <si>
    <t>[Omach, Paul] Makerere Univ, Dept Polit Sci &amp; Publ Adm, POB 7062, Kampala, Uganda</t>
  </si>
  <si>
    <t>Omach, P (corresponding author), Makerere Univ, Dept Polit Sci &amp; Publ Adm, POB 7062, Kampala, Uganda.</t>
  </si>
  <si>
    <t>pomach@yahoo.com</t>
  </si>
  <si>
    <t>J ASIAN AFR STUD</t>
  </si>
  <si>
    <t>J. Asian Afr. Stud.</t>
  </si>
  <si>
    <t>DD1HV</t>
  </si>
  <si>
    <t>Environmental Impact Assessment; Climate change adaptation; Actors</t>
  </si>
  <si>
    <t>MASS MOVEMENTS; STRATEGIES; TEMPERATURES</t>
  </si>
  <si>
    <t>[Jiricka, Alexandra; Formayer, Herbert; Schmidt, Anna] Univ Nat Resources &amp; Appl Life Sci, Vienna, Austria; [Jiricka, Alexandra; Formayer, Herbert; Schmidt, Anna] Inst Landscape Dev Recreat &amp; Conservat Planning, Dept Landscape Spatial &amp; Infrastruct Sci, Peter Jordan Str 82, A-1190 Vienna, Austria; [Voeller, Sonja; Leitner, Markus] Environm Agcy Austria, Environm Impact Assessment &amp; Climate Change, Spittelauer Lande 5, A-1090 Vienna, Austria; [Fischer, Thomas B.] Univ Liverpool, Sch Environm Sci, Environm Assessment &amp; Management, 74 Bedford St South, Liverpool L69 7ZQ, Merseyside, England; [Wachter, Thomas F.] Buro Umweltplanung Dr Wachter, Wiesnerring 2c, Hamburg, Germany</t>
  </si>
  <si>
    <t>Jiricka, A (corresponding author), Univ Nat Resources &amp; Appl Life Sci, Vienna, Austria.;Jiricka, A (corresponding author), Inst Landscape Dev Recreat &amp; Conservat Planning, Dept Landscape Spatial &amp; Infrastruct Sci, Peter Jordan Str 82, A-1190 Vienna, Austria.</t>
  </si>
  <si>
    <t>alexandra.jiricka@boku.ac.at</t>
  </si>
  <si>
    <t>Fischer, Thomas/ABD-5130-2021</t>
  </si>
  <si>
    <t>Jiricka-Purrer, Alexandra/0000-0002-6842-1835; Formayer, Herbert/0000-0002-2126-9696; Fischer, Thomas B/0000-0003-1436-1221</t>
  </si>
  <si>
    <t>Austrian Climate Research Programme</t>
  </si>
  <si>
    <t>This article was funded under the Austrian Climate Research Programme. The authors thank OIR, Vienna, which was the managing institution of the project envisage-cc in particular Erich Dalhammer and Gregori Stanzer.</t>
  </si>
  <si>
    <t>DH3GL</t>
  </si>
  <si>
    <t>Witter, S; Wurie, H; Bertone, MP</t>
  </si>
  <si>
    <t>Witter, Sophie; Wurie, Haja; Bertone, Maria Paola</t>
  </si>
  <si>
    <t>The free health care initiative: how has it affected health workers in Sierra Leone?</t>
  </si>
  <si>
    <t>Human resources for health; Sierra Leone; user fee removal</t>
  </si>
  <si>
    <t>SECTOR</t>
  </si>
  <si>
    <t>There is an acknowledged gap in the literature on the impact of fee exemption policies on health staff, and, conversely, the implications of staffing for fee exemption. This article draws from five research tools used to analyse changing health worker policies and incentives in post-war Sierra Leone to document the effects of the Free Health Care Initiative (FHCI) of 2010 on health workers. Data were collected through document review (57 documents fully reviewed, published and grey); key informant interviews (23 with government, donors, NGO staff and consultants); analysis of human resource data held by the MoHS; in-depth interviews with health workers (23 doctors, nurses, mid-wives and community health officers); and a health worker survey (312 participants, including all main cadres). The article traces the HR reforms which were triggered by the FHCI and evidence of their effects, which include substantial increases in number and pay (particularly for higher cadres), as well as a reported reduction in absenteeism and attrition, and an increase (at least for some areas, where data is available) in outputs per health worker. The findings highlight how a flagship policy, combined with high profile support and financial and technical resources, can galvanize systemic changes. In this regard, the story of Sierra Leone differs from many countries introducing fee exemptions, where fee exemption has been a stand-alone programme, unconnected to wider health system reforms. The challenge will be sustaining the momentum and the attention to delivering results as the FHCI ceases to be an initiative and becomes just 'business as normal'. The health system in Sierra Leone was fragile and conflict-affected prior to the FHCI and still faces significant challenges, both in human resources for health and more widely, as vividly evidenced by the current Ebola crisis.</t>
  </si>
  <si>
    <t>[Witter, Sophie] Queen Margaret Univ, ReBUILD IIHD, Edinburgh EH21 6UU, Midlothian, Scotland; [Wurie, Haja] Coll Med &amp; Allied Hlth Sci, ReBUILD Programme, Freetown, Sierra Leone; [Bertone, Maria Paola] London Sch Hyg &amp; Trop Med, London WC1, England</t>
  </si>
  <si>
    <t>Witter, S (corresponding author), Queen Margaret Univ, Inst Int Hlth &amp; Dev, Edinburgh EH21 6UU, Midlothian, Scotland.</t>
  </si>
  <si>
    <t>sophiewitter@blueyonder.co.uk</t>
  </si>
  <si>
    <t>Bertone, Maria Paola/0000-0001-8890-583X</t>
  </si>
  <si>
    <t>UK Aid (Department for International Development); Department for International Development (DFID) [201401] Funding Source: researchfish</t>
  </si>
  <si>
    <t>UK Aid (Department for International Development); Department for International Development (DFID)</t>
  </si>
  <si>
    <t>This paper is based on research conducted by the ReBUILD research consortium, which is funded by UK Aid (the Department for International Development).</t>
  </si>
  <si>
    <t>10.1093/heapol/czv006</t>
  </si>
  <si>
    <t>DJ5CW</t>
  </si>
  <si>
    <t>Green Published, Green Submitted, hybrid, Green Accepted</t>
  </si>
  <si>
    <t>WOS:000374225400001</t>
  </si>
  <si>
    <t>climate oscillations; climate change resilience; drought; low flows; low-frequency hydroclimatic variability; Oldman and South Saskatchewan Rivers; mass-balance modeling; projected streamflows; stakeholder participation; statistical downscaling; water policy; water allocation</t>
  </si>
  <si>
    <t>WESTERN NORTH-AMERICA; ROCKY-MOUNTAIN RIVERS; CLIMATE-CHANGE; PRAIRIE PROVINCES; CANADIAN PRAIRIES; EL-NINO; IMPACTS; STREAMFLOW; FLOWS; OSCILLATION</t>
  </si>
  <si>
    <t>[Sauchyn, David J.; St-Jacques, Jeannine-Marie; Barrow, Elaine] Univ Regina, Prairie Adaptat Res Collaborat, 3737 Wascana Pkwy, Regina, SK S4S 0A2, Canada; [Nemeth, Michael W.; MacDonald, Ryan J.] WaterSMART Solut Ltd, Calgary, AB T5J 3G2, Canada; [Sheer, A. Michael S.; Sheer, Daniel P.] HydroLog Inc, Columbia, MD 21046 USA</t>
  </si>
  <si>
    <t>St-Jacques, JM (corresponding author), Univ Regina, Prairie Adaptat Res Collaborat, 3737 Wascana Pkwy, Regina, SK S4S 0A2, Canada.</t>
  </si>
  <si>
    <t>stjacqje@uregina.ca</t>
  </si>
  <si>
    <t>Climate Change and Emissions Management Corporation (CCEMC); WaterSMART Solutions; NSERC Collaborative Research and Development Project [446746-12]</t>
  </si>
  <si>
    <t>Climate Change and Emissions Management Corporation (CCEMC); WaterSMART Solutions; NSERC Collaborative Research and Development Project</t>
  </si>
  <si>
    <t>The South Saskatchewan River Basin Adaptation to Climate Variability Project was managed by Alberta WaterSMART and Alberta Innovates - Energy and Environment Solutions (AI-EES), and funded by the Climate Change and Emissions Management Corporation (CCEMC). The research to develop the hydroclimatic scenarios was funded by WaterSMART Solutions and NSERC Collaborative Research and Development Project Grant 446746-12. The work reported in this paper greatly benefited from the suggestions of Megan Van Ham, Mike Kelly, Kim Sanderson, John Schaake, Richard Vogel, Neil Fennessy, and James Limbrunner.</t>
  </si>
  <si>
    <t>DD5XV</t>
  </si>
  <si>
    <t>Freire, JR</t>
  </si>
  <si>
    <t>Freire, Joao R.</t>
  </si>
  <si>
    <t>Managing destination brand architecture - The case of Cascais Municipality</t>
  </si>
  <si>
    <t>brand architecture; destination branding; brand attributes; brand name; place branding; target segments</t>
  </si>
  <si>
    <t>EQUITY; MANAGEMENT; TOURISM</t>
  </si>
  <si>
    <t>Branding is a complex concept to apply to a destination. One of the main challenges is the functional definition of the brand. Which area does the destination brand cover? It is relevant to acknowledge that political borders of a destination are not necessarily the same as the destination brand borders. The present article is a case study, which was a result of a consulting project requested by the Municipality of Cascais. Cascais is located in the Lisbon metropolitan area of Portugal. Described are the challenges faced by the Cascais Municipality in adapting its brand portfolio to a new context and different environment. Quantitative methodology was applied to understand the relevance of four destination brands for the tourism industry in the Cascais Municipality. A questionnaire was developed and applied in Spain and Britain, the two main tourist markets for the Cascais Municipality. From the research, it could be concluded that nationality influences the evaluation of destinations. It was also concluded that the environment where a brand exists is dynamic, not static. Therefore, the strategy developed for a brand has to be adaptable. This means that the brand role and mission might change over the years. Future investments and support for certain destination brands must be constantly questioned.</t>
  </si>
  <si>
    <t>[Freire, Joao R.] Univ Europeia Lisbon, Ipam, Lisbon, Portugal</t>
  </si>
  <si>
    <t>Freire, JR (corresponding author), Laureate Int Univ, IPAM, Estr Correia 53, P-1500210 Lisbon, Portugal.</t>
  </si>
  <si>
    <t>jrmfreire@gmail.com</t>
  </si>
  <si>
    <t>Freire, Joao/R-3292-2018</t>
  </si>
  <si>
    <t>Freire, Joao/0000-0003-1199-412X</t>
  </si>
  <si>
    <t>10.1057/pb.2015.23</t>
  </si>
  <si>
    <t>FG5JK</t>
  </si>
  <si>
    <t>WOS:000410350500008</t>
  </si>
  <si>
    <t>Environmental innovation; Capabilities; Engineering consulting firms; Energy efficiency; Tourism accommodation establishments</t>
  </si>
  <si>
    <t>ABSORPTIVE-CAPACITY; ENVIRONMENTAL INNOVATIONS; ORGANIZATIONAL CONTEXT; DYNAMIC CAPABILITIES; SERVICE INNOVATION; CLIMATE-CHANGE; DIFFUSION; BARRIERS; DETERMINANTS; TECHNOLOGIES</t>
  </si>
  <si>
    <t>[Pace, Lisa A.] Univ Manchester, Manchester Inst Innovat Res, Manchester Business Sch, Manchester M15 6PB, Lancs, England</t>
  </si>
  <si>
    <t>Pace, LA (corresponding author), Univ Manchester, Manchester Inst Innovat Res, Manchester Business Sch, Booth St West, Manchester M15 6PB, Lancs, England.</t>
  </si>
  <si>
    <t>lisa.a.pace@um.edu.mt</t>
  </si>
  <si>
    <t>DA5SF</t>
  </si>
  <si>
    <t>Sustainability; Confirmatory factor analysis; Port</t>
  </si>
  <si>
    <t>PORT; PERFORMANCE; INDICATORS; MANAGEMENT; FRAMEWORK; MODEL</t>
  </si>
  <si>
    <t>[Lu, Chin-Shan] Hong Kong Polytech Univ, Dept Logist &amp; Maritime Studies, Kowloon, Hong Kong, Peoples R China; [Shang, Kuo-Chung] Natl Taiwan Ocean Univ, Dept Transportat Technol, Keelung, Taiwan; [Lin, Chi-Chang] Feng Chia Univ, Dept Transportat &amp; Technol Management, Taichung, Taiwan</t>
  </si>
  <si>
    <t>Lu, CS (corresponding author), Hong Kong Polytech Univ, Dept Logist &amp; Maritime Studies, Kowloon, Hong Kong, Peoples R China.</t>
  </si>
  <si>
    <t>chin-shan.lu@polyu.edu.hk</t>
  </si>
  <si>
    <t>Lu, Chin-Shan/F-3300-2015; shang, kuo-chung/AAG-9432-2019; shang, gordon/AAB-9028-2022</t>
  </si>
  <si>
    <t xml:space="preserve">Lu, Chin-Shan/0000-0003-3486-9380; shang, kuo-chung/0000-0002-2210-7592; </t>
  </si>
  <si>
    <t>MARIT BUS REV</t>
  </si>
  <si>
    <t>Marit. Bus. Rev.</t>
  </si>
  <si>
    <t>FK0YA</t>
  </si>
  <si>
    <t>Big data; Analytics; Analytics project implementation; Big data business concerns; Big data project implementation; Organizational issues related to big data and analytics in the information professions</t>
  </si>
  <si>
    <t>[Cervone, H. Frank] Univ Illinois, Sch Publ Hlth, Chicago, IL 60607 USA</t>
  </si>
  <si>
    <t>Cervone, HF (corresponding author), Univ Illinois, Sch Publ Hlth, Chicago, IL 60607 USA.</t>
  </si>
  <si>
    <t>fcervone@uic.edu</t>
  </si>
  <si>
    <t>DIGIT LIBR PERSPECT</t>
  </si>
  <si>
    <t>Digit. Libr. Perspect.</t>
  </si>
  <si>
    <t>FH1TJ</t>
  </si>
  <si>
    <t>OnePlan; nutrients; farm-plan; catchment-plan; action research</t>
  </si>
  <si>
    <t>[Parminter, Terry] KapAg, POB 354, Paraparaumu 5254, New Zealand; [Duker, Adam] Massey Univ, AgHort Prefab, DairyNZ, Univ Ave, Palmerston North 4474, New Zealand; [Hughes, Jess] Ravensdown Fertiliser Cooperat Ltd, Feilding Store, Mahinui St,POB 448, Feilding 4702, New Zealand</t>
  </si>
  <si>
    <t>Parminter, T (corresponding author), KapAg, POB 354, Paraparaumu 5254, New Zealand.</t>
  </si>
  <si>
    <t>terry.parminter@kapag.nz</t>
  </si>
  <si>
    <t>AUSTRALASIA PACIFIC EXTENSION NETWORK-APEN</t>
  </si>
  <si>
    <t>WODONGA</t>
  </si>
  <si>
    <t>PO BOX 1239, WODONGA, VIC 3689, AUSTRALIA</t>
  </si>
  <si>
    <t>RURAL EXT FARMING SY</t>
  </si>
  <si>
    <t>Rural Ext. Farming Syst. J.</t>
  </si>
  <si>
    <t>DV2RZ</t>
  </si>
  <si>
    <t>Environmental sustainability; Construction; Green features; Green Mark; Homes</t>
  </si>
  <si>
    <t>CONSTRUCTION</t>
  </si>
  <si>
    <t>[Low, Sui Pheng; Teo, Ling Ling Grace] Natl Univ Singapore, Dept Bldg, Singapore, Singapore; [Gao, Shang] Univ Newcastle, Sch Architecture &amp; Built Environm, Newcastle, NSW, Australia</t>
  </si>
  <si>
    <t>Gao, S (corresponding author), Univ Newcastle, Sch Architecture &amp; Built Environm, Newcastle, NSW, Australia.</t>
  </si>
  <si>
    <t>shang.gao@newcastle.edu.au</t>
  </si>
  <si>
    <t>FF7GO</t>
  </si>
  <si>
    <t>Contracting; Obstacles; Construction; Problems; Palestine</t>
  </si>
  <si>
    <t>GAZA-STRIP; PROJECTS</t>
  </si>
  <si>
    <t>[Dmaidi, Nabil] An Najah Natl Univ, Fac Engn, Nablus, Palestine; [Mahamid, Ibrahim] Hail Univ, Fac Engn, Hail, Saudi Arabia; [Shweiki, Inas] An Najah Natl Univ, Fac Grad Studies, Nablus, Palestine</t>
  </si>
  <si>
    <t>Mahamid, I (corresponding author), Hail Univ, Fac Engn, Hail, Saudi Arabia.</t>
  </si>
  <si>
    <t>pa@najah.edu; imahamid@ymail.com; eng_inas85@yahoo.com</t>
  </si>
  <si>
    <t>JORDAN UNIV SCIENCE &amp; TECHNOLOGY</t>
  </si>
  <si>
    <t>IRBID</t>
  </si>
  <si>
    <t>PO BOX 3030, IRBID, 22110, JORDAN</t>
  </si>
  <si>
    <t>JORDAN J CIV ENG</t>
  </si>
  <si>
    <t>Jordan J. Civ. Eng.</t>
  </si>
  <si>
    <t>FE0TB</t>
  </si>
  <si>
    <t>Manamley, N; Mallett, S; Sydes, MR; Hollis, S; Scrimgeour, A; Burger, HU; Urban, HJ</t>
  </si>
  <si>
    <t>Manamley, Nick; Mallett, Steve; Sydes, Matthew R.; Hollis, Sally; Scrimgeour, Alison; Burger, Hans Ulrich; Urban, Hans-Joerg</t>
  </si>
  <si>
    <t>Data sharing and the evolving role of statisticians</t>
  </si>
  <si>
    <t>BMC MEDICAL RESEARCH METHODOLOGY</t>
  </si>
  <si>
    <t>Statistician; Clinical trial; Data sharing; Transparency; Pharmaceutical research; Biotechnology research; Academic research</t>
  </si>
  <si>
    <t>Background: Greater transparency and, in particular, sharing of clinical study reports and patient level data for further research is an increasingly important topic for the pharmaceutical and biotechnology industry and other organisations who sponsor and conduct clinical research as well as academic researchers and patient advocacy groups. Statisticians are ambassadors for data sharing and are central to its success. They play an integral role in data sharing discussions within their companies and also externally helping to shape policy and processes while providing input into practical solutions to aid data sharing. Data sharing is generating changes in the required profile for statisticians in the pharmaceutical and biotechnology industry, as well as academic institutions and patient advocacy groups. Discussion: Successful statisticians need to possess many qualities required in today's pharmaceutical environment such as collaboration, diplomacy, written and oral skills and an ability to be responsive; they are also knowledgeable when debating strategy and analytical techniques. However, increasing data transparency will require statisticians to evolve and learn new skills and behaviours during their career which may not have been an accepted part of the traditional role. Statisticians will move from being the gate-keepers of data to be data facilitators. To adapt successfully to this new environment, the role of the statistician is likely to be broader, including defining new responsibilities that lie beyond the boundaries of the traditional role. Statisticians should understand how data transparency can benefit them and the potential strategic advantage it can bring and be fully aware of the pharmaceutical and biotechnology industry commitments to data transparency and the policies within their company or research institute in addition to focusing on reviewing requests and provisioning data. Summary: Data transparency will evolve the role of statisticians within the pharmaceutical and biotechnology industry, academia and research bodies to a level which may not have been an accepted part of their traditional role or career. In the future, skills will be required to manage challenges arising from data sharing; statisticians will need strong scientific and statistical guiding principles for reanalysis and supplementary analyses based on researchers' requests, have enhanced consultancy skills, in particular the ability to defend good statistical practice in the face of criticism and the ability to critique methods of analysis. Statisticians will also require expertise in data privacy regulations, data redaction and anonymisation and be able to assess the probability of re-identification, an ability to understand analyses conducted by researchers and recognise why such analyses may propose different results compared to the original analyses. Bringing these skills to the implementation of data sharing and interpretation of the results will help to maximise the value of shared data while guarding against misleading conclusions.</t>
  </si>
  <si>
    <t>[Manamley, Nick] Amgen Ltd, 240 Cambridge Sci Pk, Cambridge CB4 0WD, England; [Mallett, Steve] GlaxoSmithkline, Stockley Pk West,1-3 Ironbridge Rd, Uxbridge UB11 1BT, Middx, England; [Sydes, Matthew R.] Inst Clin Trials Methodol, MRC Clin Trials Unit, UCL, London, England; [Sydes, Matthew R.] MRC London Hub Trials Methodol, Aviat House,125 Kingsway, London WC2B 6NH, England; [Hollis, Sally] AstraZeneca, Alderley Pk, Macclesfield SK10 4TG, Cheshire, England; [Hollis, Sally] Univ Manchester, Manchester Acad Hlth Sci Ctr, Inst Populat Hlth, Ctr Biostat, Oxford Rd, Manchester M13 9PL, Lancs, England; [Scrimgeour, Alison] Vectura, One Prospect West, Chippenham SN14 6FH, Wilts, England; [Burger, Hans Ulrich; Urban, Hans-Joerg] Hoffmann La Roche AG, Grenzacherstr 124, CH-4070 Basel, Switzerland</t>
  </si>
  <si>
    <t>Manamley, N (corresponding author), Amgen Ltd, 240 Cambridge Sci Pk, Cambridge CB4 0WD, England.</t>
  </si>
  <si>
    <t>nick.manamley@amgen.com</t>
  </si>
  <si>
    <t>Sydes, Matthew/C-3373-2008</t>
  </si>
  <si>
    <t>Sydes, Matthew/0000-0002-9323-1371; Mallett, Stephen/0000-0003-1053-958X</t>
  </si>
  <si>
    <t>Amgen Ltd.; MRC [MC_UU_12023/24] Funding Source: UKRI; Medical Research Council [MC_UU_12023/24] Funding Source: researchfish</t>
  </si>
  <si>
    <t>Amgen Ltd.(Amgen); MRC(UK Research &amp; Innovation (UKRI)Medical Research Council UK (MRC)); Medical Research Council(UK Research &amp; Innovation (UKRI)Medical Research Council UK (MRC)European Commission)</t>
  </si>
  <si>
    <t>Nick Manamley, Steve Mallett, Sally Hollis, Alison Scrimgeour, Hans Ulrich Burger, and Hans-Joerg Urban are currently or previously employed in the pharmaceutical industry as indicated in their affiliations. Amgen Ltd. paid the article-processing charge. Matthew R Sydes has received educational grants and drug to support academic-led clinical trials. The authors declare that they have no competing interests.</t>
  </si>
  <si>
    <t>1471-2288</t>
  </si>
  <si>
    <t>BMC MED RES METHODOL</t>
  </si>
  <si>
    <t>BMC Med. Res. Methodol.</t>
  </si>
  <si>
    <t>10.1186/s12874-016-0172-9</t>
  </si>
  <si>
    <t>EZ9CB</t>
  </si>
  <si>
    <t>WOS:000405025700003</t>
  </si>
  <si>
    <t>Resilience; Risk; HRM; Organization culture</t>
  </si>
  <si>
    <t>[Cheese, Peter] CIPD, London, England</t>
  </si>
  <si>
    <t>Cheese, P (corresponding author), CIPD, London, England.</t>
  </si>
  <si>
    <t>P.Cheese@cipd.co.uk</t>
  </si>
  <si>
    <t>J ORGAN EFF-PEOPLE P</t>
  </si>
  <si>
    <t>J. Organ. Eff.- People Perform</t>
  </si>
  <si>
    <t>ER8XG</t>
  </si>
  <si>
    <t>Villela, TD; Torkomian, ALV</t>
  </si>
  <si>
    <t>Villela, Tatiane da Cunha; Vitale Torkomian, Ana Lucia</t>
  </si>
  <si>
    <t>CHARACTERISTICS OF COOPERATION OF SAN CARLOS FEDERAL UNIVERSITY WITH SOCIETY THE PERIOD 2008 2012</t>
  </si>
  <si>
    <t>REVISTA GEINTEC-GESTAO INOVACAO E TECNOLOGIAS</t>
  </si>
  <si>
    <t>University-Industry-Government cooperation; UFSCar; project management</t>
  </si>
  <si>
    <t>This article aims to analyze whether there was any change in the characteristics of UFSCar cooperation with the company, using as an object of analysis projects established between the university and its external partners, the last five years (2008-2012), which are managed by Institutional Support for Scientific and Technological Development Foundation (FAI). Among the results, it is emphasized that the UFSCar cooperation projects with the environment were characterized, in most cases, by low long intervals. Regarding the type of financing, private companies, the main activities developed with the university under study were the activities Consulting / Advisory and Research and Development Projects. Another important factor was that most of the partnerships with private companies occurred in the Center of Exact Sciences and Technology (CCET) and the Departments of Civil Engineering and Materials Engineering, both in number of projects and volume of resources. Furthermore, it was possible to note the growth potential of the cooperative activity between UFSCar and the company.</t>
  </si>
  <si>
    <t>[Villela, Tatiane da Cunha; Vitale Torkomian, Ana Lucia] Univ Fed Sao Carlos UFSCar, Programa Posgrad Engn Prod PPGEP, Sao Carlos, SP, Brazil</t>
  </si>
  <si>
    <t>Villela, TD (corresponding author), Univ Fed Sao Carlos UFSCar, Programa Posgrad Engn Prod PPGEP, Sao Carlos, SP, Brazil.</t>
  </si>
  <si>
    <t>tatisansao@yahoo.com.br; torkomia@ufscar.br</t>
  </si>
  <si>
    <t>Torkomian, Ana L. V./P-7916-2018</t>
  </si>
  <si>
    <t>Torkomian, Ana L. V./0000-0002-8090-9526</t>
  </si>
  <si>
    <t>ASSOC ACAD PROPRIEDADE INTELECTUAL</t>
  </si>
  <si>
    <t>ARACAJU</t>
  </si>
  <si>
    <t>RUA JOSUE C CUNHA 395, DISTRICT COROA DO MEIO, ARACAJU, SERGIPE 00000, BRAZIL</t>
  </si>
  <si>
    <t>2237-0722</t>
  </si>
  <si>
    <t>REV GEINTEC</t>
  </si>
  <si>
    <t>Rev. GEINTEC</t>
  </si>
  <si>
    <t>10.7198/S2237-0722201600010014</t>
  </si>
  <si>
    <t>EL4TF</t>
  </si>
  <si>
    <t>WOS:000394613100014</t>
  </si>
  <si>
    <t>Narrative; Business advice; Interpretative; SME manufacturing; Strategy and operations</t>
  </si>
  <si>
    <t>ENTREPRENEURIAL SELF-EFFICACY; INFORMATION-SEARCH ACTIVITIES; HIGH-VELOCITY ENVIRONMENTS; DECISION-MAKING; SMALL FIRMS; ADVICE; CONSULTANCY; PERFORMANCE; KNOWLEDGE; FRAMEWORK</t>
  </si>
  <si>
    <t>[Ardley, Barry; Taylor, Nick] Lincoln Univ, Sch Business, Lincoln, England; [Moss, Philip] Dee Set Complete Retail Solut, Lincoln, England</t>
  </si>
  <si>
    <t>Ardley, B (corresponding author), Lincoln Univ, Sch Business, Lincoln, England.</t>
  </si>
  <si>
    <t>bardley@lincoln.ac.uk</t>
  </si>
  <si>
    <t>J RES MARK ENTREP</t>
  </si>
  <si>
    <t>J. Res. Mark. Entrep.</t>
  </si>
  <si>
    <t>EI0SO</t>
  </si>
  <si>
    <t>Sustainability; Risk management; Shareholder value; Stakeholder value; Externalities; Corporate finance</t>
  </si>
  <si>
    <t>[Hendriksen, Bernd] KPMG, Amsterdam, Netherlands; [Hendriksen, Bernd] KPMG, True Value Methodol Collaborat, Amsterdam, Netherlands; [Weimer, Jeroen] KPMG, Corp Finance, Amsterdam, Netherlands; [Weimer, Jeroen] KPMG, Valuat Serv Europe Middle East &amp; Africa, Amsterdam, Netherlands; [McKenzie, Mark] KPMG, Sustainabil Thought Leadership, Global Ctr Excellence Climate Change &amp; Sustainabi, Amsterdam, Netherlands</t>
  </si>
  <si>
    <t>McKenzie, M (corresponding author), KPMG, Sustainabil Thought Leadership, Global Ctr Excellence Climate Change &amp; Sustainabi, Amsterdam, Netherlands.</t>
  </si>
  <si>
    <t>mmckenzie@kpmg.com</t>
  </si>
  <si>
    <t>SUSTAIN ACCOUNT MANA</t>
  </si>
  <si>
    <t>Sustain. Account. Manag. Policy J.</t>
  </si>
  <si>
    <t>Business, Finance; Green &amp; Sustainable Science &amp; Technology; Environmental Studies; Management</t>
  </si>
  <si>
    <t>Business &amp; Economics; Science &amp; Technology - Other Topics; Environmental Sciences &amp; Ecology</t>
  </si>
  <si>
    <t>EG1DF</t>
  </si>
  <si>
    <t>Management effectiveness; Construction management; Performance management; Performance measures; Performance monitoring</t>
  </si>
  <si>
    <t>CONSTRUCTION; DELAYS; BENCHMARKING; FRAMEWORK; MODEL; TIME</t>
  </si>
  <si>
    <t>[Gambo, Nuru; Ismail, Radzi] Univ Sains Malaysia, Sch Housing Bldg &amp; Planning, George Town, Malaysia; [Said, Ilias] Univ Sains Malaysia, Sch Housing Bldg &amp; Planning, Construct Management, George Town, Malaysia</t>
  </si>
  <si>
    <t>Gambo, N (corresponding author), Univ Sains Malaysia, Sch Housing Bldg &amp; Planning, George Town, Malaysia.</t>
  </si>
  <si>
    <t>gambonuru@yahoo.com</t>
  </si>
  <si>
    <t>EA7ET</t>
  </si>
  <si>
    <t>Skills; Value; Careers; Library and information science (LIS) education; Non-Library roles; Transferable competencies</t>
  </si>
  <si>
    <t>[Fraser-Arnott, Melissa] San Jose State Univ, San Jose, CA 95192 USA</t>
  </si>
  <si>
    <t>Fraser-Arnott, M (corresponding author), San Jose State Univ, San Jose, CA 95192 USA.</t>
  </si>
  <si>
    <t>melissa.a.fraser@gmail.com</t>
  </si>
  <si>
    <t>Fraser, Melissa/0000-0001-8063-3489</t>
  </si>
  <si>
    <t>DZ6OZ</t>
  </si>
  <si>
    <t>Duling, MG; LeBouf, RF; Cox-Ganser, JM; Kreiss, K; Martin, SB; Bailey, RL</t>
  </si>
  <si>
    <t>Duling, Matthew G.; LeBouf, Ryan F.; Cox-Ganser, Jean M.; Kreiss, Kathleen; Martin, Stephen B., Jr.; Bailey, Rachel L.</t>
  </si>
  <si>
    <t>Environmental characterization of a coffee processing workplace with obliterative bronchiolitis in former workers</t>
  </si>
  <si>
    <t>JOURNAL OF OCCUPATIONAL AND ENVIRONMENTAL HYGIENE</t>
  </si>
  <si>
    <t>2,3-pentanedione; coffee roasting; diacetyl; exposures; flavorings; obliterative bronchiolitis</t>
  </si>
  <si>
    <t>ROASTED COFFEE; EXPOSURE; 2,3-PENTANEDIONE; FACILITY; RATS</t>
  </si>
  <si>
    <t>Obliterative bronchiolitis in five former coffee processing employees at a single workplace prompted an exposure study of current workers. Exposure characterization was performed by observing processes, assessing the ventilation system and pressure relationships, analyzing headspace of flavoring samples, and collecting and analyzing personal breathing zone and area air samples for diacetyl and 2,3-pentanedione vapors and total inhalable dust by work area and job title. Mean airborne concentrations were calculated using the minimum variance unbiased estimator of the arithmetic mean. Workers in the grinding/packaging area for unflavored coffee had the highest mean diacetyl exposures, with personal concentrations averaging 93 parts per billion (ppb). This area was under positive pressure with respect to flavored coffee production (mean personal diacetyl levels of 80 ppb). The 2,3-pentanedione exposures were highest in the flavoring room with mean personal exposures of 122 ppb, followed by exposures in the unflavored coffee grinding/packaging area (53 ppb). Peak 15-min airborne concentrations of 14,300 ppb diacetyl and 13,800 ppb 2,3-pentanedione were measured at a small open hatch in the lid of a hopper containing ground unflavored coffee on the mezzanine over the grinding/packaging area. Three out of the four bulk coffee flavorings tested had at least a factor of two higher 2,3-pentanedione than diacetyl headspace measurements. At a coffee processing facility producing both unflavored and flavored coffee, we found the grinding and packaging of unflavored coffee generate simultaneous exposures to diacetyl and 2,3-pentanedione that were well in excess of the NIOSH proposed RELs and similar inmagnitude to those in the areas using a flavoring substitute for diacetyl. These findings require physicians to be alert for obliterative bronchiolitis and employers, government, and public health consultants to assess the similarities and differences across the industry to motivate preventive intervention where indicated by exposures above the proposed RELs for diacetyl and 2,3-pentanedione.</t>
  </si>
  <si>
    <t>[Duling, Matthew G.; LeBouf, Ryan F.; Cox-Ganser, Jean M.; Kreiss, Kathleen; Martin, Stephen B., Jr.; Bailey, Rachel L.] NIOSH, Ctr Dis Control &amp; Prevent CDC, Resp Hlth Div, Morgantown, WV 26505 USA</t>
  </si>
  <si>
    <t>Duling, MG (corresponding author), NIOSH, Ctr Dis Control &amp; Prevent CDC, Resp Hlth Div, Field Studies Branch, 1095 Willowdale Rd, Morgantown, WV 26505 USA.</t>
  </si>
  <si>
    <t>mwd1@cdc.gov</t>
  </si>
  <si>
    <t>LeBouf, Ryan/0000-0002-9894-9251</t>
  </si>
  <si>
    <t>1545-9624</t>
  </si>
  <si>
    <t>1545-9632</t>
  </si>
  <si>
    <t>J OCCUP ENVIRON HYG</t>
  </si>
  <si>
    <t>J. Occup. Environ. Hyg.</t>
  </si>
  <si>
    <t>10.1080/15459624.2016.1177649</t>
  </si>
  <si>
    <t>DV2LU</t>
  </si>
  <si>
    <t>WOS:000382752900008</t>
  </si>
  <si>
    <t>Van der Merwe, JW; Rugunanan, M; Ras, J; Roscher, EM; Henderson, BD; Joubert, G</t>
  </si>
  <si>
    <t>Van der Merwe, J. W.; Rugunanan, M.; Ras, J.; Roscher, E-M; Henderson, B. D.; Joubert, G.</t>
  </si>
  <si>
    <t>Patient preferences regarding the dress code, conduct and resources used by doctors during consultations in the public healthcare sector in Bloemfontein, Free State</t>
  </si>
  <si>
    <t>SOUTH AFRICAN FAMILY PRACTICE</t>
  </si>
  <si>
    <t>dress-code; patient preferences; professional attire; professional behaviour; technology use</t>
  </si>
  <si>
    <t>DESCRIPTIVE SURVEY; COMPUTERS; APPEARANCE; MEDICINE; ATTIRE</t>
  </si>
  <si>
    <t>Background: The doctor-patient relationship is important in determining the quality of healthcare provided. This study aimed to identify patient preferences regarding dress code, conduct and resources used by doctors during consultations in the public healthcare sector, Bloemfontein. Information from this study can be of benefit in determining policies and dress codes within hospitals and medical schools.Methods: This was a descriptive, cross-sectional study. Self-administered anonymous questionnaires were distributed at Bloemfontein's National District Hospital to patients 18years and older, waiting in the pharmacy and consultation queues.Results: Of the 500 questionnaires distributed 410 were analysed. Patients preferred doctors to wear formal attire. For female doctors this included a neat blouse (77.9%), smart pants (62.5%) or straight-cut jeans (51.4%) and flat pumps (56.3%). Patients preferred male doctors to wear collared shirts (52.4% and 57.6% for long- and short-sleeved shirts, respectively) with smart pants (66.8%) or straight-cut jeans (45.9%), and smart shoes (70.3%). Patients did not condone eating and drinking by doctors during consultations; work-related calls were deemed acceptable. The use of technological resources was not preferred.Conclusion: Patients in the public healthcare sector prefer a formal, professional consulting environment that is determined largely by the doctor's attire and conduct during the consultation.</t>
  </si>
  <si>
    <t>[Van der Merwe, J. W.; Rugunanan, M.; Ras, J.; Roscher, E-M] Univ Free State, Sch Med, Fac Hlth Sci, Bloemfontein, South Africa; [Henderson, B. D.] Univ Free State, Div Clin Genet, Fac Hlth Sci, Bloemfontein, South Africa; [Joubert, G.] Univ Free State, Dept Biostat, Fac Hlth Sci, Bloemfontein, South Africa</t>
  </si>
  <si>
    <t>Joubert, G (corresponding author), Univ Free State, Dept Biostat, Fac Hlth Sci, Bloemfontein, South Africa.</t>
  </si>
  <si>
    <t>gnbsgj@ufs.ac.za</t>
  </si>
  <si>
    <t>Joubert, Gina/I-2985-2018</t>
  </si>
  <si>
    <t>Joubert, Gina/0000-0002-3728-6925</t>
  </si>
  <si>
    <t>2078-6190</t>
  </si>
  <si>
    <t>2078-6204</t>
  </si>
  <si>
    <t>S AFR FAM PRACT</t>
  </si>
  <si>
    <t>10.1080/20786190.2016.1187865</t>
  </si>
  <si>
    <t>DS6NQ</t>
  </si>
  <si>
    <t>WOS:000380899100003</t>
  </si>
  <si>
    <t>United Kingdom; Outsourcing; Performance outcomes; Construction consultants; Selection and monitoring; University sector</t>
  </si>
  <si>
    <t>[Lam, Terence Y. M.] Univ South Australia, Sch Nat &amp; Built Environm, Adelaide, SA, Australia</t>
  </si>
  <si>
    <t>Lam, TYM (corresponding author), Univ South Australia, Sch Nat &amp; Built Environm, Adelaide, SA, Australia.</t>
  </si>
  <si>
    <t>terencelam@vtc.edu.hk</t>
  </si>
  <si>
    <t>Royal Institution of Chartered Surveyors (RICS) Research Trust; RICS</t>
  </si>
  <si>
    <t>This study forms part of a research project funded by the Royal Institution of Chartered Surveyors (RICS) Research Trust. The author is very thankful to this support from the RICS, along with the contributions that he has received from the university estate offices participating in this research.</t>
  </si>
  <si>
    <t>DR3MP</t>
  </si>
  <si>
    <t>Karaveg, C; Thawesaengskulthai, N; Chandrachai, A</t>
  </si>
  <si>
    <t>Karaveg, Charttirot; Thawesaengskulthai, Natcha; Chandrachai, Achara</t>
  </si>
  <si>
    <t>R&amp;D commercialization capability criteria: implications for project selection</t>
  </si>
  <si>
    <t>Project management; Innovation</t>
  </si>
  <si>
    <t>ACADEMIC RESEARCH; PERFORMANCE; SUSTAINABILITY; INNOVATION; MODEL</t>
  </si>
  <si>
    <t>Purpose - The purpose of this paper is to study the criteria of R&amp;D commercialization capability by using the successful cases from government research institutes. Design/methodology/approach - The data were collected from 272 entrepreneurs and researchers with a structured questionnaire. The data analysis was carried out by the structural equation modeling ( SEM). Findings - The research results revealed that there are six criteria for R&amp;D project commercialization capability, these are arranged according to the significance; marketing, technology, finance, non-financial impact, intellectual property, and human resource. Moreover, the evaluator's roles, both researchers and entrepreneurs, effect the level of criteria for consideration. Research limitations/implications - This research is derived from samples form voluntary participants from the disclosed lists in the governmental research institutes. Although SEM results provide weight for each R&amp;D commercialization capability that would be the first step for developing the R&amp;D evaluation instrument and the longitudinal will need to investigate. Practical implications - This study provides the holistic R&amp;D commercialization capability criteria to assist entrepreneurs and researchers when faced with R&amp;D commercialization decision. The criteria was developed from successful innovation cases; hence they enhance decision-making potential, provide a guideline of R&amp;D commercialization evaluation process, speed up the decision-making process, and prevent risk of a resource meltdown and increase innovation exploitation. Social implications -The roles of the evaluators are important when considering R&amp;D, hence, to use the same criteria for evaluating the researchers and entrepreneurs seems inappropriate since naturally, the researchers usually lack marketing and financial skills while the entrepreneurs usually lack technological skills and human resources. The answer may be in the form of providing specifics about project requirement, establishment of marketing and financial consultants in research institutes, enhancement of research and development division, or doing the business matching before doing the agreement in order to encourage co-research and increase the technology transfer level. Originality/value - This paper proposes the holistic criteria in order to decrease the ambiguous subjectivity of fuzzy-expert system and to help with effectively funding R&amp;D and to prevent a resource meltdown.</t>
  </si>
  <si>
    <t>[Karaveg, Charttirot] Srinakharinwirot Univ, Text &amp; Clothing Dept, Fac Sci, Bangkok, Thailand; [Thawesaengskulthai, Natcha] Chulalongkorn Univ, Dept Ind Engn, Fac Engn, Bangkok, Thailand; [Chandrachai, Achara] Chulalongkorn Univ, Technopreneurship &amp; Innovat Management Program, Bangkok, Thailand</t>
  </si>
  <si>
    <t>Karaveg, C (corresponding author), Srinakharinwirot Univ, Text &amp; Clothing Dept, Fac Sci, Bangkok, Thailand.</t>
  </si>
  <si>
    <t>10.1108/JMD-01-2015-0005</t>
  </si>
  <si>
    <t>DR1RS</t>
  </si>
  <si>
    <t>WOS:000379683200002</t>
  </si>
  <si>
    <t>Tirado-Valencia, P; Rodero-Cosano, ML; Ruiz-Lozano, M; Rios-Berjillos, A</t>
  </si>
  <si>
    <t>Tirado-Valencia, Pilar; Luisa Rodero-Cosano, Ma; Ruiz-Lozano, Mercedes; Rios-Berjillos, Araceli</t>
  </si>
  <si>
    <t>Online sustainability information in European local governments An explicative model to improve transparency</t>
  </si>
  <si>
    <t>ONLINE INFORMATION REVIEW</t>
  </si>
  <si>
    <t>Sustainability; Global reporting initiative; Structural equations modelling (SEM); Websites; Local governments</t>
  </si>
  <si>
    <t>DETERMINANTS; ACCOUNTABILITY; DISCLOSURE</t>
  </si>
  <si>
    <t>Purpose - The purpose of this paper is to propose an analytical model that shows causal relationships between the amount and nature of information on strategies and the governance of city councils, as well as the contents of different dimensions of sustainability that are disclosed on the websites of local governments in big European cities. This model could reveal if the information is disseminated in a homogeneous and coordinated way and could improve the quality of the information, its coherence and its comparability. Design/methodology/approach - The authors have designed a questionnaire with 75 variables from the Global Reporting Initiative proposal to specify information disclosed on sustainability. The level of information about each of these variables has been gathered by consulting the contents published on the websites of the 142 local governments in the sample. Finally the authors propose a model about the cause-effect relationships between the amount and nature of the information in different dimensions of sustainability on the websites of large cities' local governments based on the structural equation modelling methodology. Findings - The model obtained reveals that there is coherence in the sustainability information disclosed by large European cities on their websites. However, it is demonstrated that the relations between the amount of information about strategies and the dissemination of information on each of the dimensions of sustainability (economic, social and environmental) do not have the same intensity. Originality/value - The proposed model can be useful as a reference framework to structure online information supplied in a balanced and comprehensive way. This conceptual model can suggest ways for sustainable improvements based on the experience of analysed local governments.</t>
  </si>
  <si>
    <t>[Tirado-Valencia, Pilar; Ruiz-Lozano, Mercedes] Loyola Andalucia Univ, Dept Financial Econ &amp; Accounting, Cordoba, Spain; [Luisa Rodero-Cosano, Ma] Loyola Andalucia Univ, Dept Quantitat Methods, Cordoba, Spain; [Rios-Berjillos, Araceli] Loyola Andalucia Univ, Dept Business Org, Cordoba, Spain</t>
  </si>
  <si>
    <t>Tirado-Valencia, P (corresponding author), Loyola Andalucia Univ, Dept Financial Econ &amp; Accounting, Cordoba, Spain.</t>
  </si>
  <si>
    <t>ptirado@uloyola.es</t>
  </si>
  <si>
    <t>BERJILLOS, ARACELI RIOS/H-3113-2015; Rodero-Cosano, Maria Luisa/I-1152-2014; Rodero-Cosano, Maria Luisa/AHE-4061-2022; Tirado-Valencia, Pilar/K-9793-2014; Ruiz-Lozano, Mercedes/L-1087-2014</t>
  </si>
  <si>
    <t>BERJILLOS, ARACELI RIOS/0000-0003-1861-7933; Rodero-Cosano, Maria Luisa/0000-0003-4352-2207; Rodero-Cosano, Maria Luisa/0000-0003-4352-2207; Tirado-Valencia, Pilar/0000-0003-3969-0523; Ruiz-Lozano, Mercedes/0000-0002-6720-621X</t>
  </si>
  <si>
    <t>1468-4527</t>
  </si>
  <si>
    <t>1468-4535</t>
  </si>
  <si>
    <t>ONLINE INFORM REV</t>
  </si>
  <si>
    <t>Online Inf. Rev.</t>
  </si>
  <si>
    <t>10.1108/OIR-05-2015-0155</t>
  </si>
  <si>
    <t>DQ7WW</t>
  </si>
  <si>
    <t>WOS:000379419700007</t>
  </si>
  <si>
    <t>Svanbjornsdottir, BM; Macdonald, A; Frimannsson, GH</t>
  </si>
  <si>
    <t>Svanbjornsdottir, Birna M.; Macdonald, Allyson; Frimannsson, Guomundur H.</t>
  </si>
  <si>
    <t>Views of learning and a sense of community among students, paraprofessionals and parents in developing a school culture towards a professional learning community</t>
  </si>
  <si>
    <t>PROFESSIONAL DEVELOPMENT IN EDUCATION</t>
  </si>
  <si>
    <t>leadership; learning; paraprofessionals; parental involvement; students' voice and participation</t>
  </si>
  <si>
    <t>LEADERSHIP; IMPACT</t>
  </si>
  <si>
    <t>In schools the participation of students, parents and paraprofessionals is important because it increases ownership and improves performance. Here the focus is on students' and paraprofessionals' learning and a sense of community when leaders try to develop a professional learning community in a new school in Iceland. An action research project lasting three-and-a-half years was used in the school. The researcher worked closely with two school leaders. Data were acquired through interviews, observations and reflections and from national assessments. Teachers and school leaders dominate the community but results show signs of the involvement of others in the school. Teachers take responsibility, seldom consulting with paraprofessionals. The students have a choice on 'how' and 'when' in learning while teachers decide 'what' they learn. The leaders should find a structure to involve the school aides in the teams to promote team diversity. The leaders and teams have to explore collaboration and discussion, not least with students. Leaders should involve parents in critical reflection on the school policy and increase structured and formal paths for their participation. The involvement of students in the development of the professional learning community was strengthened by the 'Positive Discipline' approach, which gave them an opportunity to discuss learning in a safe environment.</t>
  </si>
  <si>
    <t>[Svanbjornsdottir, Birna M.] Univ Akureyri, Sch Educ, Ctr Sch Dev &amp; Teacher Educ, IS-600 Akureyri, Iceland; [Svanbjornsdottir, Birna M.; Macdonald, Allyson] Univ Iceland, Sch Educ, Saemundargotu 2, IS-104 Reykjavik, Iceland; [Frimannsson, Guomundur H.] Univ Akureyri, Sch Human &amp; Social Sci, Hamarstig 31, IS-600 Akureyri, Iceland</t>
  </si>
  <si>
    <t>Svanbjornsdottir, BM (corresponding author), Univ Akureyri, Sch Educ, Ctr Sch Dev &amp; Teacher Educ, IS-600 Akureyri, Iceland.;Svanbjornsdottir, BM (corresponding author), Univ Iceland, Sch Educ, Saemundargotu 2, IS-104 Reykjavik, Iceland.</t>
  </si>
  <si>
    <t>birnas@unak.is</t>
  </si>
  <si>
    <t>Frimannsson, Gudmundur H./B-5148-2008</t>
  </si>
  <si>
    <t>Frimannsson, Gudmundur Heidar/0000-0001-9654-0324; Svanbjornsdottir, Birna Maria/0000-0003-2577-1664</t>
  </si>
  <si>
    <t>1941-5257</t>
  </si>
  <si>
    <t>1941-5265</t>
  </si>
  <si>
    <t>PROF DEV EDUC</t>
  </si>
  <si>
    <t>Prof. Dev. Educ.</t>
  </si>
  <si>
    <t>10.1080/19415257.2015.1047037</t>
  </si>
  <si>
    <t>DP0XD</t>
  </si>
  <si>
    <t>WOS:000378213400006</t>
  </si>
  <si>
    <t>MODEL; STOCK; RECRUITMENT; COMMUNITY; CATCH; LAKES; ERIE</t>
  </si>
  <si>
    <t>[Fielder, David G.; Jones, Michael L.; Bence, James R.] Michigan State Univ, Dept Fisheries &amp; Wildlife, Quantitat Fisheries Ctr, 480 Wilson Rd,Room 13, E Lansing, MI 48824 USA; [Fielder, David G.] Michigan Dept Nat Resources, Alpena Fisheries Res Stn, 160 East Fletcher St, Alpena, MI 49707 USA</t>
  </si>
  <si>
    <t>Fielder, DG (corresponding author), Michigan State Univ, Dept Fisheries &amp; Wildlife, Quantitat Fisheries Ctr, 480 Wilson Rd,Room 13, E Lansing, MI 48824 USA.;Fielder, DG (corresponding author), Michigan Dept Nat Resources, Alpena Fisheries Res Stn, 160 East Fletcher St, Alpena, MI 49707 USA.</t>
  </si>
  <si>
    <t>fielderd@michigan.gov</t>
  </si>
  <si>
    <t>Michigan Department of Natural Resources, Fisheries Division; Quantitative Fisheries Center of the Department of Fisheries and Wildlife, Michigan State University</t>
  </si>
  <si>
    <t>We thank Todd Grischke, Lake Huron Basin Coordinator, and Jim Baker, Southern Lake Huron Fisheries Management Unit Supervisor, along with the other members of the Lake Huron Basin Team of the Michigan Department of Natural Resources for their participation and insights in this analysis. This research was funded by the Michigan Department of Natural Resources, Fisheries Division and the Quantitative Fisheries Center of the Department of Fisheries and Wildlife, Michigan State University. This article is Publication 2016-07 of the Quantitative Fisheries Center at Michigan State University.</t>
  </si>
  <si>
    <t>N AM J FISH MANAGE</t>
  </si>
  <si>
    <t>North Am. J. Fish Manage.</t>
  </si>
  <si>
    <t>Fisheries</t>
  </si>
  <si>
    <t>DJ9WW</t>
  </si>
  <si>
    <t>Ibarraa, M</t>
  </si>
  <si>
    <t>Ibarraa, Macarena</t>
  </si>
  <si>
    <t>Hygiene and urban health as seen by physicians, architects and planners during the first half of the twentieth century</t>
  </si>
  <si>
    <t>REVISTA MEDICA DE CHILE</t>
  </si>
  <si>
    <t>Hygiene; Public health; Urban health</t>
  </si>
  <si>
    <t>Physicians took part in the promotion of public policies that regulated urban and architectural work, before engineers, architects, planners, and even before the State had a chance to take part in the formulation of such policies. Starting in the late nineteenth century, and especially during the first decade of the twentieth century, the State began to lead on the issue of hygiene and public health. This paper focuses on the role of these professionals, who generated debates within their respective disciplines, or provided -as ministries, public servants or consultants technical knowledge to the central government. These debates are still relevant for two reasons. First, they serve as reminders of the way in which the voice of these professionals was crucial not only within their respective disciplines, but also in order to place the issue of hygiene and public health on the agenda and to promote public policies related to the urban environment and its population. Secondly, these debates represent a challenge to current planners, as this historic context provides insight on the complex relationship between public health and planning, which hitherto has received little attention.</t>
  </si>
  <si>
    <t>[Ibarraa, Macarena] Pontificia Univ Catolica Chile, Inst Estudios Urbanos &amp; Terr, Ctr Desarrollo Urbano Sustentable, Santiago, Chile</t>
  </si>
  <si>
    <t>Ibarraa, M (corresponding author), Pontificia Univ Catolica Chile, Inst Estudios Urbanos &amp; Terr, El Comendador 1916, Santiago, Chile.</t>
  </si>
  <si>
    <t>mibarraa@uc.cl</t>
  </si>
  <si>
    <t>SOC MEDICA SANTIAGO</t>
  </si>
  <si>
    <t>SANTIAGO 9</t>
  </si>
  <si>
    <t>BERNARDA MORIN 488 PROVIDENCIA, CASILLA 168 CORREO 55, SANTIAGO 9, 00000, CHILE</t>
  </si>
  <si>
    <t>0034-9887</t>
  </si>
  <si>
    <t>0717-6163</t>
  </si>
  <si>
    <t>REV MED CHILE</t>
  </si>
  <si>
    <t>Rev. Medica Chile</t>
  </si>
  <si>
    <t>DF3WV</t>
  </si>
  <si>
    <t>WOS:000371280000015</t>
  </si>
  <si>
    <t>Hull, RB; Kimmel, C; Robertson, DP; Mortimer, M</t>
  </si>
  <si>
    <t>Hull, R. Bruce; Kimmel, Courtney; Robertson, David P.; Mortimer, Michael</t>
  </si>
  <si>
    <t>International field experiences promote professional development for sustainability leaders</t>
  </si>
  <si>
    <t>China; Service learning; Global; Problem-based learning; Consulting; Experiential educational travel</t>
  </si>
  <si>
    <t>TRAVEL; FRAMEWORK</t>
  </si>
  <si>
    <t>Purpose - This paper aims to describe, explain and evaluate a graduate education program that provides international project experiences and builds competencies related to collaborative problem- solving, cultural capacity to work globally and sustainable development. Design/methodology/approach - Qualitative analysis of survey data from 28 students supplemented by observation and interviews conducted before, during and after a multi-week project and a ten-day trip to China in 2014. Supplemental data and contextual information were provided by a series of related projects and trips led by the authors in other cultural contexts including Brazil, China, India, South Africa and Turkey. Findings - Six pedagogic practices were perceived as effective by students and generate learning outcomes desired by faculty: authentic problems, learning cycles, shared inquiry, transdisciplinarity, exploration and engagement. Practical implications - The pedagogy was effective, especially the engagement pedagogy in which students interviewed peers, professionals, residents and others in China. Originality/value - These learning outcomes and pedagogies have been studied before, but not in this particular combination or as applied to a mix of business, non-governmental organization and government mid-career professionals seeking professional development in leadership for sustainable development.</t>
  </si>
  <si>
    <t>[Hull, R. Bruce; Kimmel, Courtney; Robertson, David P.; Mortimer, Michael] Virginia Tech, Ctr Leadership Global Sustainabil, Arlington, VA USA</t>
  </si>
  <si>
    <t>Hull, RB (corresponding author), Virginia Tech, Ctr Leadership Global Sustainabil, Arlington, VA USA.</t>
  </si>
  <si>
    <t>hullrb@vt.edu</t>
  </si>
  <si>
    <t>10.1108/IJSHE-07-2014-0105</t>
  </si>
  <si>
    <t>DD5XU</t>
  </si>
  <si>
    <t>WOS:000369999000006</t>
  </si>
  <si>
    <t>Manchikanti, L; Hammer, MJ; Boswell, MV; Kaye, AD; Hirsch, JA</t>
  </si>
  <si>
    <t>Manchikanti, Laxmaiah; Hammer, Marvel J.; Boswell, Mark V.; Kaye, Alan D.; Hirsch, Joshua A.</t>
  </si>
  <si>
    <t>A Seamless Navigation to ICD-10-CM for Interventional Pain Physicians: Is a Rude Awakening Avoidable?</t>
  </si>
  <si>
    <t>PAIN PHYSICIAN</t>
  </si>
  <si>
    <t>ICD-9-CM (International Classification of Diseases, Ninth revision, Clinical Modification); ICD-10; ICD-10-CM (International Classification of Diseases, 10th Revision); Health Insurance Portability and Accountability Act (HIPAA); Health Information Technology (HIT)</t>
  </si>
  <si>
    <t>EPIDURAL CORTICOSTEROID INJECTIONS; SUSTAINABLE GROWTH-RATE; LUMBAR DISC HERNIATION; SPINAL STENOSIS; DIAGNOSTIC-ACCURACY; DISCOGENIC PAIN; UNITED-STATES; STICK POLICY; DOUBLE-BLIND; INTERLAMINAR</t>
  </si>
  <si>
    <t>Since October 1, 2015, the International Classification of Diseases, 10th Revision, Clinical Modification (ICD-10-CM) was integrated into U.S. medical practices. This monumental transition seemingly occurred rather unceremoniously, despite significant opposition and reservations having been expressed by the provider community. In prior publications, we have described various survival strategies for interventional pain physicians. The regulators and beneficiaries of system - CMS, consultants, and health information technology industry are congratulating themselves for a job well done. Nonetheless, this transition comes at an immeasurable financial and psychological drain on providers. However, a rude awakening may be making its way with expiration of initial concessions from government and private payers. This manuscript provides a template for interventional pain management professionals with multiple steps for seamless navigation, including descriptions of the most commonly used codes, navigation through ICD-10-CM manual, steps for correct coding, and finally, detailed coding descriptions for various interventional techniques.</t>
  </si>
  <si>
    <t>[Manchikanti, Laxmaiah] Pain Management Ctr Paducah, Paducah, KY USA; [Manchikanti, Laxmaiah] Univ Louisville, Anesthesiol &amp; Perioperat Med, Louisville, KY 40292 USA; [Hammer, Marvel J.] MJH Consulting, Denver, CO USA; [Boswell, Mark V.] Univ Louisville, Dept Anesthesiol &amp; Perioperat Med, Louisville, KY 40292 USA; [Kaye, Alan D.] LSU Hlth Sci Ctr, Dept Anesthesia, New Orleans, LA USA; [Hirsch, Joshua A.] Massachusetts Gen Hosp, Intervent Care, Boston, MA 02114 USA; [Hirsch, Joshua A.] Massachusetts Gen Hosp, NeuroIntervent Spine, Boston, MA 02114 USA; [Hirsch, Joshua A.] Massachusetts Gen Hosp, Intervent Radiol, Boston, MA 02114 USA; [Hirsch, Joshua A.] Massachusetts Gen Hosp, Intervent &amp; Endovasc Neuroradiol, Boston, MA 02114 USA; [Hirsch, Joshua A.] Harvard Univ, Sch Med, Boston, MA USA</t>
  </si>
  <si>
    <t>Manchikanti, L (corresponding author), 2831 Lone Oak Rd, Paducah, KY 42003 USA.</t>
  </si>
  <si>
    <t>drlm@thepainmd.com</t>
  </si>
  <si>
    <t>AM SOC INTERVENTIONAL PAIN PHYSICIANS</t>
  </si>
  <si>
    <t>PADUCAH</t>
  </si>
  <si>
    <t>81 LAKEVIEW DR, PADUCAH, KY 42001 USA</t>
  </si>
  <si>
    <t>1533-3159</t>
  </si>
  <si>
    <t>Pain Physician</t>
  </si>
  <si>
    <t>E1</t>
  </si>
  <si>
    <t>E14</t>
  </si>
  <si>
    <t>Anesthesiology; Clinical Neurology</t>
  </si>
  <si>
    <t>Anesthesiology; Neurosciences &amp; Neurology</t>
  </si>
  <si>
    <t>DC1QH</t>
  </si>
  <si>
    <t>WOS:000368990800001</t>
  </si>
  <si>
    <t>Ojo, OE; Fabusoro, E; Majasan, AA; Dipeolu, MA</t>
  </si>
  <si>
    <t>Ojo, Olufemi Ernest; Fabusoro, Eniola; Majasan, Ademola Adetokunbo; Dipeolu, Morenike Atinuke</t>
  </si>
  <si>
    <t>Antimicrobials in animal production: usage and practices among livestock farmers in Oyo and Kaduna States of Nigeria</t>
  </si>
  <si>
    <t>TROPICAL ANIMAL HEALTH AND PRODUCTION</t>
  </si>
  <si>
    <t>Antimicrobial usage; Food animals; Practices; Farmers; Nigeria</t>
  </si>
  <si>
    <t>FOOD-PRODUCING ANIMALS; ANTIBIOTICS; RESISTANCE; HEALTH; BAN</t>
  </si>
  <si>
    <t>Antimicrobials have proven to be important for sustainable livestock production by their use as growth promoters and in the control of animal infections. However, injudicious use of antimicrobials could accelerate the emergence and spread of resistant bacterial strains with attendant socioeconomic and public health issues, This work assessed antimicrobial usage in animal production with emphasis on usage and practices by livestock producers in Oyo and Kaduna States of Nigeria. Data on antimicrobial usage were collected through interviews, questionnaire and focus group discussions. Four hundred and fifty-four farmers in 11 communities within 11 Local Government Areas of Oyo and Kaduna States of Nigeria were sampled in a multi-stage sampling procedure. The study showed that antimicrobial agents were widely distributed, readily accessible and commonly used in animal production. Fluoroquinolones and other critically important antimicrobials for human medicine were widely used in animals as prophylactics. Potentially harmful antimicrobials including furazolidones and chloramphenicol already banned for use in humans and animals were freely marketed and used in livestock production. Most of the respondents believed that veterinarians should be responsible for the administration of antimicrobials to animals, but in practice, they buy and administer antimicrobials without consulting veterinary professionals, It was observed that the ready availability of antimicrobial agents promoted the use of antimicrobials in livestock production and may encourage non-adherence to hygienic principles and management laxity in farm operations. The non-involvement of veterinary professionals and laboratory investigations in disease diagnosis prior to antimicrobial use could lead to improper usage that contribute to the development of antimicrobial resistance in bacterial strains, Responsible antimicrobial stewardship and strict regulations are vital to prolonging the benefits derivable from the use of antimicrobials.</t>
  </si>
  <si>
    <t>[Ojo, Olufemi Ernest] Fed Univ Agr Abeokuta, Coll Vet Med, Dept Vet Microbiol &amp; Parasitol, Abeokuta, Ogun State, Nigeria; [Fabusoro, Eniola] Fed Univ Agr Abeokuta, Dept Agr Extens &amp; Rural Dev, Coll Agr Management &amp; Rural Dev, Abeokuta, Ogun State, Nigeria; [Majasan, Ademola Adetokunbo] Fed Minist Agr, Dept Vet Serv, Abuja, Nigeria; [Dipeolu, Morenike Atinuke] Fed Univ Agr Abeokuta, Dept Vet Publ Hlth &amp; Reprod, Coll Vet Med, Abeokuta, Ogun State, Nigeria</t>
  </si>
  <si>
    <t>Ojo, OE (corresponding author), Fed Univ Agr Abeokuta, Coll Vet Med, Dept Vet Microbiol &amp; Parasitol, Abeokuta, Ogun State, Nigeria.</t>
  </si>
  <si>
    <t>ojooe@funaab.edu.ng</t>
  </si>
  <si>
    <t>0049-4747</t>
  </si>
  <si>
    <t>1573-7438</t>
  </si>
  <si>
    <t>TROP ANIM HEALTH PRO</t>
  </si>
  <si>
    <t>Trop. Anim. Health Prod.</t>
  </si>
  <si>
    <t>10.1007/s11250-015-0939-8</t>
  </si>
  <si>
    <t>DC1WQ</t>
  </si>
  <si>
    <t>WOS:000369009100025</t>
  </si>
  <si>
    <t>Millennium Development Goals; Sustainable Development Goals; priority setting; research questions; knowledge co-production; international development</t>
  </si>
  <si>
    <t>MILLENNIUM DEVELOPMENT GOALS; CHALLENGE; FRAGILITY; CONFLICT; DONORS; MDGS</t>
  </si>
  <si>
    <t>[Oldekop, Johan A.] Univ Sheffield, Sheffield Inst Int Dev, Sheffield S10 2TN, S Yorkshire, England; Univ Michigan, Sch Nat Resources &amp; Environm, Ann Arbor, MI 48109 USA; Newcastle Univ, Sch Biol, Newcastle Upon Tyne NE1 7RU, Tyne &amp; Wear, England; Open Univ, Milton Keynes, Bucks, England; Univ Sheffield, Dept Town &amp; Reg Planning, Sheffield S10 2TN, S Yorkshire, England; Univ Sheffield, Dept Polit, Sheffield S10 2TN, S Yorkshire, England; Univ Sheffield, Dept Geog, Sheffield S10 2TN, S Yorkshire, England; Univ Free State, Dept Geog, Bloemfontein, South Africa; ARFH, Abuja, Nigeria; United Nations Entity Gender Equal &amp; Empowerment, Bishkek, Kyrgyzstan; Int Org Migrat, Beirut, Lebanon; Int Dev Res Econ &amp; Social Res Council, London, England; Clark Univ, Grad Sch Geog, Worcester, MA 01610 USA; Univ Manchester, Sch Environm Educ &amp; Dev, Manchester M13 9PL, Lancs, England; Amnesty Int, Demand Dign Programme, London, England; Inst Dev Studies, London, England; United Nations Dev Programme, Ankara, Turkey; Univ London, Sch Oriental &amp; African Studies, London WC1E 7HU, England; Inst Rech Dev, Montpellier, France; Leuphana Univ, Fac Sustainabil, Luneburg, Germany; Build Africa, London, England; Save Children, Policy &amp; Res, London, England; MFA, Manila, Philippines; Netherlands Org Int Cooperat Higher Educ NUFFIC, Amsterdam, Netherlands; Y Care Int, London, England; UNRISD, Zurich, Switzerland; IOD Parc, London, England; Ctr Study Social &amp; Econ Real, Cochabamba, Bolivia; Oxfam, Amsterdam, Netherlands; BOND, London, England; Johns Hopkins Bloomberg Sch Publ Hlth, Baltimore, MD USA; Kurante, New York, NY USA; IDE, Lusaka, Zambia; Univ Fed Fluminense, Dept Strateg Studies &amp; Int Relat, BR-24220000 Niteroi, RJ, Brazil; Humanitarian Ctr, Cambridge, England; Univ Pretoria, Sch Hlth Syst &amp; Publ Hlth, ZA-0002 Pretoria, South Africa; UKCDS, London, England; Pract Act, London, England; Catholic Univ Peru, Dept Social Sci, Lima, Peru; United Nations Syst, Buenos Aires, DF, Argentina; Univ Cambridge, Dept Geog, Cambridge CB2 1TN, England; Open Univ, Social Policy &amp; Criminol Dept, Milton Keynes, Bucks, England; Univ Cambridge, Dept Zool, Cambridge CB2 1TN, England</t>
  </si>
  <si>
    <t>Oldekop, JA (corresponding author), Univ Sheffield, Sheffield Inst Int Dev, Sheffield S10 2TN, S Yorkshire, England.</t>
  </si>
  <si>
    <t>Fischer, Joern/W-5380-2019; Sutherland, William/B-1291-2013; Fischer, Joern/C-6625-2012</t>
  </si>
  <si>
    <t>Fischer, Joern/0000-0003-3187-8978; Oldekop, Johan/0000-0003-0565-812X; Fontana, Lorenza/0000-0001-9983-8062; Adu-Ampong, Emmanuel Akwasi/0000-0001-6285-3875; Vera Espinoza, Marcia/0000-0001-6238-7683; Morgan, Rosemary/0000-0001-5009-8470</t>
  </si>
  <si>
    <t>DEV POLICY REV</t>
  </si>
  <si>
    <t>Dev. Policy Rev.</t>
  </si>
  <si>
    <t>CY5LW</t>
  </si>
  <si>
    <t>Green Accepted, Green Published</t>
  </si>
  <si>
    <t>Forest governance; Forest professionals; Norm distribution; Knowledge dissemination; Climate change; Swedish forest policy</t>
  </si>
  <si>
    <t>SWEDISH FORESTRY; CLIMATE-CHANGE; OWNERS; GOVERNANCE; POLICY; RISK; RESPONSIBILITY; BIODIVERSITY; UNCERTAINTY; DECISIONS</t>
  </si>
  <si>
    <t>[Lidskog, Rolf; Lofmarck, Erik] Univ Orebro, Environm Sociol Sect, SE-70182 Orebro, Sweden</t>
  </si>
  <si>
    <t>Mistra (The Foundation for Strategic Environmental Research); Forestry Research Institute of Sweden (Skogforsk); Swedish University of Agricultural Sciences (SLU); Umea University</t>
  </si>
  <si>
    <t>This paper was written as part of the interdisciplinary program Future Forests financed by Mistra (The Foundation for Strategic Environmental Research), the Forestry Research Institute of Sweden (Skogforsk), the Swedish University of Agricultural Sciences (SLU), and Umea University.</t>
  </si>
  <si>
    <t>CY6QY</t>
  </si>
  <si>
    <t>Innovation; SMEs; Financial constraints; Manufacturing; Banking relationships</t>
  </si>
  <si>
    <t>MEDIUM-SIZED ENTERPRISES; RESEARCH-AND-DEVELOPMENT; SMALL FIRMS; LENDING RELATIONSHIPS; MARKET ORIENTATION; CREDIT; GROWTH; INFORMATION; CAPABILITY; AVAILABILITY</t>
  </si>
  <si>
    <t>[Madrid-Guijarro, Antonia; Garcia-Perez-de-Lema, Domingo] Univ Politecn Cartagena, Accounting &amp; Finance Dept, Cartagena, Murcia, Spain; [Van Auken, Howard] Iowa State Univ, Dept Management, Ames, IA USA</t>
  </si>
  <si>
    <t>Madrid-Guijarro, A (corresponding author), Univ Politecn Cartagena, Accounting &amp; Finance Dept, Cartagena, Murcia, Spain.</t>
  </si>
  <si>
    <t>antonia.madrid@upct.es</t>
  </si>
  <si>
    <t>Ministerio de Ciencia e Innovacion de Espana [ECO2011-29080]</t>
  </si>
  <si>
    <t>Ministerio de Ciencia e Innovacion de Espana(Spanish Government)</t>
  </si>
  <si>
    <t>This paper has been developed in the framework of the research program ECO2011-29080 Innovation in the Spanish SME: profitability, financing, economic cycles and regional growth financed by Ministerio de Ciencia e Innovacion de Espana.</t>
  </si>
  <si>
    <t>ACAD-REV LATINOAM AD</t>
  </si>
  <si>
    <t>Acad.-Rev. Latinoam. Adm.</t>
  </si>
  <si>
    <t>DJ3WC</t>
  </si>
  <si>
    <t>state regulation; small and medium businesses; direction of activity; mechanisms; quality development</t>
  </si>
  <si>
    <t>[Marenichenko, Valerii] Dnipropetrovsk State Agr &amp; Econ Univ, Dept Management Org, Dnepropetrovsk, Ukraine</t>
  </si>
  <si>
    <t>Marenichenko, V (corresponding author), Dnipropetrovsk State Agr &amp; Econ Univ, Dept Management Org, Dnepropetrovsk, Ukraine.</t>
  </si>
  <si>
    <t>vmarenichenko@mail.ru</t>
  </si>
  <si>
    <t>VC4CW</t>
  </si>
  <si>
    <t>Corporate social responsibility; Reputation; Creativity; Education; Expatriation; Food quality; Corporate value; Risk behavior; Growth constraints</t>
  </si>
  <si>
    <t>[Foo, Check Teck] Sun Tzu Art War Inst, Singapore, Singapore</t>
  </si>
  <si>
    <t>Foo, CT (corresponding author), Sun Tzu Art War Inst, Singapore, Singapore.</t>
  </si>
  <si>
    <t>cmseditorinchief@gmail.com</t>
  </si>
  <si>
    <t>CHIN MANAG STUD</t>
  </si>
  <si>
    <t>Chin. Manag. Stud.</t>
  </si>
  <si>
    <t>DR2YX</t>
  </si>
  <si>
    <t>energy portfolio; Ghana; energy balance; energy sector; electricity demand; renewable energy resources; developing countries; Africa; sustainable development; Ghana Energy Commission</t>
  </si>
  <si>
    <t>ECONOMIC VIABILITY; CONSUMPTION; COINTEGRATION; COUNTRIES; SECURITY; GROWTH; GDP</t>
  </si>
  <si>
    <t>[Asumadu-Sarkodie, Samuel; Owusu, Phebe Asantewaa] Middle East Tech Univ, Sustainable Environm &amp; Energy Syst, Northern Cyprus Campus, Guzelyurt, Turkey</t>
  </si>
  <si>
    <t>Asumadu-Sarkodie, S (corresponding author), Middle East Tech Univ, Sustainable Environm &amp; Energy Syst, Northern Cyprus Campus, Guzelyurt, Turkey.</t>
  </si>
  <si>
    <t>samuel.sarkodie@metu.edu.tr; phebe.owusu@metu.edu.tr</t>
  </si>
  <si>
    <t>EP4XV</t>
  </si>
  <si>
    <t>conceptual models; marine biodiversity; ecosystems; food-webs; components; assessment</t>
  </si>
  <si>
    <t>GOOD ENVIRONMENTAL STATUS; ECOSYSTEM FUNCTION; BENTHIC COMMUNITIES; BIOLOGICAL TRAITS; DIVERSITY; COMPLEXITY; INDICATORS; ESTUARINE; SEA; CLASSIFICATION</t>
  </si>
  <si>
    <t>[Cochrane, Sabine K. J.; Blanchet, Hugues] SALT Lofoten AS, Svolvaer, Norway; [Cochrane, Sabine K. J.; Renaud, Paul E.] Akvaplan Niva, Arctic R&amp;D Dept, Tromso, Norway; [Andersen, Jesper H.] NIVA Denmark Water Res, Copenhagen, Denmark; [Berg, Torsten] MariLim Aquat Res GmbH, Schonkirchen, Denmark; [Blanchet, Hugues] Univ Bordeaux, UMR EPOC, Pessac, France; [Borja, Angel] AZTI Tecnalia, Div Marine Res, Pasaia, Spain; [Carstensen, Jacob] Aarhus Univ, Dept Biosci, Roskilde, Denmark; [Elliott, Michael] Univ Hull, Inst Estuarine &amp; Coastal Studies, Kingston Upon Hull, N Humberside, England; [Hummel, Herman] NIOZ Royal Netherlands Inst Sea Res, Yerseke, Netherlands; [Niquil, Nathalie] Univ Caen Normandie, Ctr Natl Rech Sci, BOREA, Caen, France</t>
  </si>
  <si>
    <t>Cochrane, SKJ (corresponding author), SALT Lofoten AS, Svolvaer, Norway.;Cochrane, SKJ (corresponding author), Akvaplan Niva, Arctic R&amp;D Dept, Tromso, Norway.</t>
  </si>
  <si>
    <t>sc@kvaplan.niva.no</t>
  </si>
  <si>
    <t>Carstensen, Jacob/I-7460-2013; Hummel, Herman/A-9610-2011; Borja, Angel/I-3665-2018; Carstensen, Jacob/ABD-5057-2021; Andersen, Jesper/AAE-7159-2020; Elliott, Michael/B-4312-2013</t>
  </si>
  <si>
    <t>Carstensen, Jacob/0000-0003-0016-6118; Hummel, Herman/0000-0001-6902-5773; Borja, Angel/0000-0003-1601-2025; Carstensen, Jacob/0000-0003-0016-6118; Andersen, Jesper/0000-0002-9885-894X; Elliott, Michael/0000-0002-2519-4871; Niquil, Nathalie/0000-0002-0772-754X</t>
  </si>
  <si>
    <t>European Union [308392]</t>
  </si>
  <si>
    <t>This manuscript is a result of DEVOTES (DEVelopment Of innovative Tools for understanding marine biodiversity and assessing good Environmental Status) project, funded by the European Union under the 7th Framework Programme, The Ocean of Tomorrow Theme (grant agreement no. 308392), www.devotes-project.eu. We acknowledge the life's work of the late Prof. Carlo Heip, for leading initiatives such as BIOMARE and the MarBEF network, which have sown the seeds for this present work. Further, we thank Peter Hermann, Anne Chenuil, and Chris Lynam. We also acknowledge the other members of the MSFD TG1 group, particularly David Connor and Per Nilsson, for together developing the criteria and indicators for biodiversity, adopted by the MSFD. The lead author sincerely thanks colleagues, collaborators and clients for all the countless discussions, understandings and misunderstandings, which have given rise to this manuscript, as well as Tom Pearson for past mentoring in benthic indicators and functional traits. Finally, thanks to two reviewers, particularly Christos Arvanitides, whose constructive criticism much improved this manuscript:.</t>
  </si>
  <si>
    <t>VH8XL</t>
  </si>
  <si>
    <t>evidence-based decision making; global health; knowledge brokering; knowledge transfer; research utilization; West Africa</t>
  </si>
  <si>
    <t>INFECTIOUS-DISEASES; HEALTH; POVERTY</t>
  </si>
  <si>
    <t>[Dagenais, Christian; McSween-Cadieux, Esther] Univ Montreal, Dept Psychol, Montreal, PQ, Canada; [Some, Paul-Andre] Act Governance Integrat Reinforcement Hlth &amp; Dev, Ouagadougou, Burkina Faso; [Ridde, Valery] Univ Montreal, Sch Publ Hlth, Montreal, PQ, Canada</t>
  </si>
  <si>
    <t>Dagenais, C (corresponding author), Univ Montreal, Dept Psychol, Montreal, PQ, Canada.</t>
  </si>
  <si>
    <t>christian.dagenais@umontreal.ca</t>
  </si>
  <si>
    <t>Canadian Institutes of Health Research [FRN-112476, ROH-115213]; CIHR [CPP 137901]</t>
  </si>
  <si>
    <t>Canadian Institutes of Health Research(Canadian Institutes of Health Research (CIHR)); CIHR(Canadian Institutes of Health Research (CIHR))</t>
  </si>
  <si>
    <t>This work was supported by the Canadian Institutes of Health Research, Funding (FRN-112476 and ROH-115213). VR holds a CIHR-funded Research Chair in Applied Public Health (CPP 137901). Ethics certificates were obtained from the research ethics committees of the University of Montreal Hospital Research Center (12.273) and the National Health Ethics Committee of Burkina Faso (2012-11-85).</t>
  </si>
  <si>
    <t>VG1EY</t>
  </si>
  <si>
    <t>Africa; development; globalisation; identity; nation branding</t>
  </si>
  <si>
    <t>POLITICS; PLACE; STATE</t>
  </si>
  <si>
    <t>[Browning, Christopher S.] Univ Warwick, Dept Polit &amp; Int Studies, Coventry CV4 7AL, W Midlands, England</t>
  </si>
  <si>
    <t>Browning, CS (corresponding author), Univ Warwick, Dept Polit &amp; Int Studies, Coventry CV4 7AL, W Midlands, England.</t>
  </si>
  <si>
    <t>J INT RELAT DEV</t>
  </si>
  <si>
    <t>J. Int. Relat. Dev.</t>
  </si>
  <si>
    <t>DA2OF</t>
  </si>
  <si>
    <t>risk governance; uncertainty; forestry consultants; storms; climate change</t>
  </si>
  <si>
    <t>[Lidskog, Rolf; Sjoedin, Daniel] Univ Orebro, Environm Sociol Sect, Orebro, Sweden</t>
  </si>
  <si>
    <t>Lidskog, R (corresponding author), Univ Orebro, Environm Sociol Sect, Orebro, Sweden.</t>
  </si>
  <si>
    <t>This work was financed by Mistra (The Foundation for Strategic Environmental Research); Forestry Research Institute of Sweden (Skogforsk); Swedish University of Agricultural Sciences (SLU); and Umea University.</t>
  </si>
  <si>
    <t>EF9WF</t>
  </si>
  <si>
    <t>White, JM</t>
  </si>
  <si>
    <t>White, James Merricks</t>
  </si>
  <si>
    <t>Anticipatory logics of the smart city's global imaginary</t>
  </si>
  <si>
    <t>smart cities; the urban age; anticipation; risk</t>
  </si>
  <si>
    <t>POLICY; PREPAREDNESS; CITIES</t>
  </si>
  <si>
    <t>The smart city encompasses a broad range of technological innovations which might be applied to any city for a wide variety of reasons. In this article, I make a distinction between local efforts to reshape the urban landscape, and a global smart city imaginary which those efforts draw upon and help sustain. While attention has been given to the malleability of the smart city concept at this global scale, there remains little effort to interrogate the way that the future is used to sanction specific solutions. Through a critical engagement with smart city marketing materials, industry documents, and consultancy reports, I explore how the future is recruited, rearranged, and represented as a rationalization for technological intervention in the present. This is performed amidst three recurring crises: massive demographic shifts and subsequent resource pressures, global climate change, and the conflicting demands of fiscal austerity that motivate the desire of so many cities to attract foreign direct investment and highly skilled workers. In revealing how crises are pre-empted, precautioned, and prepared for, I argue that the smart city imaginary normalizes a style and scale of response deemed appropriate under liberal capitalism.</t>
  </si>
  <si>
    <t>[White, James Merricks] Natl Univ Ireland Maynooth, NIRSA, Maynooth, Kildare, Ireland</t>
  </si>
  <si>
    <t>White, JM (corresponding author), Natl Univ Ireland Maynooth, NIRSA, Maynooth, Kildare, Ireland.</t>
  </si>
  <si>
    <t>james.white@nuim.ie</t>
  </si>
  <si>
    <t>European Research Council Advanced Investigator Award, The Programmable City [ERC-2012-AdG-323636]</t>
  </si>
  <si>
    <t>European Research Council Advanced Investigator Award, The Programmable City(European Research Council (ERC))</t>
  </si>
  <si>
    <t>The research for this paper was funded by a European Research Council Advanced Investigator Award, The Programmable City [ERC-2012-AdG-323636].</t>
  </si>
  <si>
    <t>10.1080/02723638.2016.1139879</t>
  </si>
  <si>
    <t>DR2VP</t>
  </si>
  <si>
    <t>WOS:000379762300007</t>
  </si>
  <si>
    <t>Urick, BY; Kaskie, BP; Carnahan, RM</t>
  </si>
  <si>
    <t>Urick, Benjamin Y.; Kaskie, Brian P.; Carnahan, Ryan M.</t>
  </si>
  <si>
    <t>Improving antipsychotic prescribing practices in nursing facilities: The role of surveyor methods and surveying agencies in upholding the Nursing Home Reform Act</t>
  </si>
  <si>
    <t>Antipsychotics; Nursing facilities; Dissemination; Guidance; Surveillance; Social ecological framework</t>
  </si>
  <si>
    <t>SOCIAL-ECOLOGICAL FRAMEWORK; DETERMINANTS; RESIDENTS; QUALITY</t>
  </si>
  <si>
    <t>Background: Inappropriate prescribing of antipsychotics is a longstanding challenge to providing high quality care in nursing facilities. The 1987 Nursing Home Reform Act (NHRA) had an initial impact in reducing inappropriate prescribing, but rates returned to pre-NHRA levels. While the recent Partnership to Improve Dementia Care in Nursing Homes (Partnership) initiative has been successful in reducing the prescribing of antipsychotics in skilled nursing facilities/nursing facilities (NF), it is not known how this guidance initiative impacted prescribing practices and other care processes concerning NF residents with dementia. Objectives: The objectives of this study were to explore surveyor observations of NF care practices subsequent to participation the Partnership guidance program and to use a social ecological framework to estimate how these observations were influenced by individual, organizational, and contextual factors. Methods: A total of 320 NF surveyors responded to a 49-item questionnaire designed in collaboration with CMS officials and state surveying agency personnel, and distributed by state agency directors. Three outcome variables: measuring improvements in clinical care, deficiencies in clinical care, and falsification of records in response to the Partnership initiative, were created from survey responses. A four-level social ecological framework describing the NF surveyor's environment was used to identify potential influences on surveyors' care observations. Logistic regression was used to evaluate the relationship between environment and outcome variables. Results: Surveyors observed both improvements in clinical care, including 80.6% reporting nursing facility providers responding to consultant pharmacists' recommendations, and deficits in clinical care in response to the Partnership initiative. Furthermore, 39.7% of surveyors observed a new, but false, diagnosis of psychosis (as defined by the surveyor). Surveyor characteristics and methods and surveying agency and culture were found to substantially impact the success of the Partnership initiative. The most distal level of the framework evaluated in this study, state contextual effects, was found not to impact care observations. Conclusions: There is substantial variation in surveyor observations of changes to clinical care in response to the Partnership guidance initiative. Further investigation is needed into the type and severity of falsification of records observed by nursing facility surveyors. When constructing interventions to care for residents in NFs, policymakers must consider the environment in which surveyors operate. (C) 2016 Elsevier Inc. All rights reserved.</t>
  </si>
  <si>
    <t>[Urick, Benjamin Y.] Univ Iowa, Coll Pharm, Iowa City, IA 52242 USA; [Kaskie, Brian P.; Carnahan, Ryan M.] Univ Iowa, Coll Publ Hlth, Iowa City, IA 52242 USA</t>
  </si>
  <si>
    <t>Urick, BY (corresponding author), Univ Iowa, Coll Pharm, 115 S Grand Ave, Iowa City, IA 52242 USA.</t>
  </si>
  <si>
    <t>benjamin-urick@uiowa.edu</t>
  </si>
  <si>
    <t>Carnahan, Ryan/AAM-3431-2021</t>
  </si>
  <si>
    <t>Carnahan, Ryan/0000-0002-7478-4739; Urick, Ben/0000-0003-3199-8128</t>
  </si>
  <si>
    <t>Commonwealth Fund [2013001]; AHRQ [R18 HS19355-01]; Patient-Centered Outcomes Research Institute (PCORI) Program Award [1131]; AGENCY FOR HEALTHCARE RESEARCH AND QUALITY [R18HS019355] Funding Source: NIH RePORTER</t>
  </si>
  <si>
    <t>Commonwealth Fund; AHRQ(United States Department of Health &amp; Human ServicesAgency for Healthcare Research &amp; Quality); Patient-Centered Outcomes Research Institute (PCORI) Program Award(Patient-Centered Outcomes Research Institute - PCORI); AGENCY FOR HEALTHCARE RESEARCH AND QUALITY(United States Department of Health &amp; Human ServicesAgency for Healthcare Research &amp; Quality)</t>
  </si>
  <si>
    <t>The authors thank Toby Edelman, JD and Dean Lerner, JD for designing and conducting the original survey, the Commonwealth Fund for funding the project of which this survey was a part (Grant No. 2013001), Alice Bonner, PhD for reviewing the manuscript, the University of Iowa Presidential Fellows program, and the University of Iowa, Center on Aging. Dr. Carnahan was supported by AHRQ R18 HS19355-01 and a Patient-Centered Outcomes Research Institute (PCORI) Program Award (1131). All statements in this report, including its findings and conclusions, are solely those of the authors and do not necessarily represent the views of the Patient-Centered Outcomes Research Institute (PCORI), its Board of Governors or Methodology Committee, or the Agency for Healthcare Quality and Research.</t>
  </si>
  <si>
    <t>JAN-FEB</t>
  </si>
  <si>
    <t>10.1016/j.sapharm.2015.04.006</t>
  </si>
  <si>
    <t>CY3HJ</t>
  </si>
  <si>
    <t>WOS:000366299500008</t>
  </si>
  <si>
    <t>Becken, S</t>
  </si>
  <si>
    <t>Becken, Susanne</t>
  </si>
  <si>
    <t>Peak Oil: a hidden issue? Social representations of professional tourism perspectives</t>
  </si>
  <si>
    <t>JOURNAL OF SUSTAINABLE TOURISM</t>
  </si>
  <si>
    <t>Peak Oil; social representation; free association; images; tourism experts</t>
  </si>
  <si>
    <t>DESTINATION IMAGE; DEPLETION; ENERGY</t>
  </si>
  <si>
    <t>Peak Oil, the peaking of global oil production, is a collective risk highly relevant to the tourism sector. Public discourse on Peak Oil, however, is limited. To better understand what sense tourism experts make of Peak Oil, and provide a platform for future debate and action, this research used the theory of social representation to explore core and peripheral elements that constitute Peak Oil representations and help tourism stakeholders to conceptualize and address this issue. Using free association methodology, 101 tourism experts worldwide provided up to five words and three mental images describing their thoughts and feelings about Peak Oil. The analysis highlights the importance of economic impacts and alternative energy sources, as well as anchoring effects to more established concepts such as sustainability and climate change. Notably, each of the four professional sub-groups approached (academics, consultants, government and industry representatives) had markedly different core beliefs. There was no agreement on whether Peak Oil was concerning or not, and whether action is required by the tourism sector to address negative impacts. This was particularly evident with the industry sub-group. Future research and policy implications are outlined, including the role of the media, and its responsibility to facilitate this discourse.</t>
  </si>
  <si>
    <t>[Becken, Susanne] Griffith Univ, Griffith Inst Tourism GIFT, Southport, Qld 4222, Australia</t>
  </si>
  <si>
    <t>Becken, S (corresponding author), Griffith Univ, Griffith Inst Tourism GIFT, Gold Coast Campus,Parklands Dr, Southport, Qld 4222, Australia.</t>
  </si>
  <si>
    <t>s.becken@griffith.edu.au</t>
  </si>
  <si>
    <t>Becken, Susanne/AFK-2875-2022</t>
  </si>
  <si>
    <t>Becken, Susanne/0000-0002-3348-2750</t>
  </si>
  <si>
    <t>CHANNEL VIEW PUBLICATIONS</t>
  </si>
  <si>
    <t>CLEVEDON</t>
  </si>
  <si>
    <t>FRANKFURT LODGE, CLEVEDON HALL, VICTORIA ROAD, CLEVEDON, BS21 7HH, ENGLAND</t>
  </si>
  <si>
    <t>0966-9582</t>
  </si>
  <si>
    <t>1747-7646</t>
  </si>
  <si>
    <t>J SUSTAIN TOUR</t>
  </si>
  <si>
    <t>J. Sustain. Tour.</t>
  </si>
  <si>
    <t>10.1080/09669582.2015.1042484</t>
  </si>
  <si>
    <t>Green &amp; Sustainable Science &amp; Technology; Hospitality, Leisure, Sport &amp; Tourism</t>
  </si>
  <si>
    <t>Science &amp; Technology - Other Topics; Social Sciences - Other Topics</t>
  </si>
  <si>
    <t>CX5SG</t>
  </si>
  <si>
    <t>WOS:000365762200003</t>
  </si>
  <si>
    <t>Trinity of Cities' Sustainability from Spatial, Logical and Time Dimensions (TCS-SLTD); Multi-Dimension Framework for Sustainability Assessment (MDFSA); Regenerative development; Enhanced Drivers-Pressures-States-Impacts-Responses (eDPSIR) framework; Cities in developing countries</t>
  </si>
  <si>
    <t>CONCEPTUAL-FRAMEWORK; CARRYING-CAPACITY; URBANIZATION; INDICATORS; PARADIGM; CHINA; AREA; CITY</t>
  </si>
  <si>
    <t>[Ding, Xiaohui; Zhong, Weizhou] Xi An Jiao Tong Univ, Sch Finance &amp; Econ, Xian 710061, Peoples R China; [Shearmur, Richard G.] McGill Univ, Sch Urban Planning, Montreal, PQ, Canada; [Zhang, Xiaoling] City Univ Hong Kong, Dept Publ Policy, Kowloon, Hong Kong, Peoples R China; [Huisingh, Donald] Univ Tennessee, Inst Secure &amp; Sustainable Environm, Knoxville, TN USA; [Zhong, Weizhou] Huaqiao Univ, Coll Business Adm, Fengze, Quanzhou, Peoples R China</t>
  </si>
  <si>
    <t>Ding, XH (corresponding author), Xi An Jiao Tong Univ, Sch Finance &amp; Econ, 74 Yantaxi Rd, Xian 710061, Peoples R China.</t>
  </si>
  <si>
    <t>xhding@mail.xjtu.edu.cn</t>
  </si>
  <si>
    <t>National Science Foundation for Post-doctoral Scientists of China [2013M542336]; National Natural Science Foundation of China [71172184]; Fundamental Research Funds for Central Universities [SK2014044]</t>
  </si>
  <si>
    <t>National Science Foundation for Post-doctoral Scientists of China(China Postdoctoral Science FoundationNational Natural Science Foundation of China (NSFC)); National Natural Science Foundation of China(National Natural Science Foundation of China (NSFC)); Fundamental Research Funds for Central Universities(Fundamental Research Funds for the Central Universities)</t>
  </si>
  <si>
    <t>Financial support came from the National Science Foundation for Post-doctoral Scientists of China under grant No. 2013M542336, the National Natural Science Foundation of China No.71172184, and the Fundamental Research Funds for the Central Universities No.SK2014044. We would like to thank Mr Qiang in Institute of Remote Sensing Application of ARSC and Ms Huang in Shanxi Provincial Statistical Bureau for their generous help on providing satellite remote sensing image data and social statistical data for this research.</t>
  </si>
  <si>
    <t>CZ9HZ</t>
  </si>
  <si>
    <t>Rwanda; Urbanization; Rural-Urban Linkage; Enclosure of the Commons; Kigali</t>
  </si>
  <si>
    <t>DI3XN</t>
  </si>
  <si>
    <t>sustainable development; environmental policies and practices; business proactive environmental strategies; consultancy sector</t>
  </si>
  <si>
    <t>RESOURCE-BASED VIEW; SUPPLY CHAIN MANAGEMENT; CORPORATE SOCIAL-RESPONSIBILITY; DETERMINANT FACTORS; GREEN; FIRMS; PERFORMANCE; STAKEHOLDERS; BUSINESSES; PRESSURE</t>
  </si>
  <si>
    <t>[Carballo-Penela, Adolfo; Luis Castroman-Diz, Juan] Univ Santiago de Compostela, Dept Business Management &amp; Commerce, Galicia, Spain</t>
  </si>
  <si>
    <t>Carballo-Penela, A (corresponding author), Univ Santiago de Compostela, Dept Business Management &amp; Commerce, Galicia, Spain.</t>
  </si>
  <si>
    <t>adolfo.carballo@usc.es</t>
  </si>
  <si>
    <t>DB1VV</t>
  </si>
  <si>
    <t>Jamal, F; Langford, R; Daniels, P; Thomas, J; Harden, A; Bonell, C</t>
  </si>
  <si>
    <t>Jamal, Farah; Langford, Rebecca; Daniels, Philip; Thomas, James; Harden, Angela; Bonell, Chris</t>
  </si>
  <si>
    <t>Consulting with young people to inform systematic reviews: an example from a review on the effects of schools on health</t>
  </si>
  <si>
    <t>HEALTH EXPECTATIONS</t>
  </si>
  <si>
    <t>consultation; involvement; systematic review; young people</t>
  </si>
  <si>
    <t>STUDENT HEALTH; PUBLIC INVOLVEMENT; ENVIRONMENT; INTERVENTIONS; CONSUMERS; BEHAVIOR; CARE; NHS</t>
  </si>
  <si>
    <t>Background There has been increasing interest in involving the public in systematic reviews as they provide a shortcut to the evidence and arguably have greater influence over policy decisions and ultimately people's lives. Case examples of this involvement are rare, especially for reviews focused on children and young people. This study describes the process and impact of consulting with a young people's advisory group to inform decision making in a systematic review on the effects of schools and school environment interventions on children and young people's health. Methods Consultations were conducted with a pre-existing group of young people brought together to advise on public health research. Their views were sought at two key stages: (i) at the beginning when general views relating to the policy problem under study were elicited; and (ii) half-way through to advise on how to focus the review on key priorities. Results Young people's involvement in our review ensured that the scope of our review was appropriate and that issues which were important to young people were considered. The group was especially valuable in terms of prioritizing in a relevant and meaningful way. A crucial additional impact of involvement was young people providing 'early signals' of key themes for the synthesis.</t>
  </si>
  <si>
    <t>[Jamal, Farah; Harden, Angela] Univ E London, Inst Hlth &amp; Human Dev, London E15 4LZ, England; [Langford, Rebecca] Univ Bristol, Sch Social &amp; Community Med, Bristol, Avon, England; [Daniels, Philip] West Midlands Deanery, Publ Hlth Registrar Off, Birmingham, W Midlands, England; [Thomas, James; Bonell, Chris] Univ London, Inst Educ, London WC1N 1AZ, England</t>
  </si>
  <si>
    <t>Jamal, F (corresponding author), Univ E London, Inst Hlth &amp; Human Dev, UH250,Stratford Campus,Water Lane, London E15 4LZ, England.</t>
  </si>
  <si>
    <t>f.jamal@uel.ac.uk</t>
  </si>
  <si>
    <t>Thomas, James/0000-0003-4805-4190; Langford, Rebecca/0000-0002-7722-0808</t>
  </si>
  <si>
    <t>National Institute for Health Research Public Health Research (NIHR PHR) Programme [09/3002/0]; Medical Research Council [MR/K023233/1] Funding Source: researchfish; MRC [MR/K023233/1] Funding Source: UKRI</t>
  </si>
  <si>
    <t>National Institute for Health Research Public Health Research (NIHR PHR) Programme; Medical Research Council(UK Research &amp; Innovation (UKRI)Medical Research Council UK (MRC)European Commission); MRC(UK Research &amp; Innovation (UKRI)Medical Research Council UK (MRC))</t>
  </si>
  <si>
    <t>This project was funded by the National Institute for Health Research Public Health Research (NIHR PHR) Programme (project number 09/3002/0). Visit the PHR Programme website for more information. The views and opinions expressed therein are those of the authors and do not necessarily reflect those of the PHR Programme, NIHR, NHS or the Department of Health.</t>
  </si>
  <si>
    <t>1369-6513</t>
  </si>
  <si>
    <t>1369-7625</t>
  </si>
  <si>
    <t>HEALTH EXPECT</t>
  </si>
  <si>
    <t>Health Expect.</t>
  </si>
  <si>
    <t>10.1111/hex.12312</t>
  </si>
  <si>
    <t>DB1EH</t>
  </si>
  <si>
    <t>Green Published, Green Accepted, Green Submitted</t>
  </si>
  <si>
    <t>WOS:000368250300115</t>
  </si>
  <si>
    <t>Gordon, RA; Hofer, KG; Fujimoto, KA; Risk, N; Kaestner, R; Korenman, S</t>
  </si>
  <si>
    <t>Gordon, Rachel A.; Hofer, Kerry G.; Fujimoto, Ken A.; Risk, Nicole; Kaestner, Robert; Korenman, Sanders</t>
  </si>
  <si>
    <t>Identifying High-Quality Preschool Programs: New Evidence on the Validity of the Early Childhood Environment Rating Scale-Revised (ECERS-R) in Relation to School Readiness Goals</t>
  </si>
  <si>
    <t>CARE QUALITY; EDUCATION; CHILDREN; LESSONS</t>
  </si>
  <si>
    <t>Research Findings: The Early Childhood Environment Rating Scale-Revised (ECERS-R) is widely used, often to evaluate whether preschool programs are of sufficient quality to improve children's school readiness. We examined the validity of the measure for this purpose. Item response theory (IRT) analyses revealed that many items did not fit together to measure single dimensions, particularly when rated by consultants as indicating aspects of quality relevant for multiple domains of child development. IRT results also conflicted with the scale developers' expectations in terms of whether markers that they attached to higher response categories represented higher quality empirically. When reanalyzed based on experts' ratings, IRT results also showed that relatively few indicators captured the moderate to high range of quality. Practice or Policy: Our results suggest that policymakers should carefully consider whether measures designed for specific purposes are appropriate for other high-stakes uses. We encourage continued refinement of existing quality measures, development of new measures, and the accumulation of evidence for their various uses.</t>
  </si>
  <si>
    <t>[Gordon, Rachel A.] Univ Illinois, Dept Sociol, Chicago, IL 60607 USA; [Gordon, Rachel A.; Kaestner, Robert] Univ Illinois, Inst Govt &amp; Publ Affairs, Chicago, IL 60607 USA; [Hofer, Kerry G.] Vanderbilt Univ, Peabody Res Inst, Nashville, TN USA; [Fujimoto, Ken A.] Loyola Univ Chicago, Sch Educ, Res Methodol Program, Chicago, IL USA; [Risk, Nicole] Univ Illinois, Educ Psychol, Chicago, IL 60607 USA; [Kaestner, Robert] Univ Illinois, Dept Econ, Chicago, IL 60607 USA; [Korenman, Sanders] CUNY Bernard M Baruch Coll, Sch Publ Affairs, New York, NY 10010 USA</t>
  </si>
  <si>
    <t>Gordon, RA (corresponding author), Univ Illinois, Inst Govt &amp; Publ Affairs, 815 West Van Buren St,Suite 525, Chicago, IL 60607 USA.</t>
  </si>
  <si>
    <t>ragordon@uic.edu</t>
  </si>
  <si>
    <t>4 PARK SQUARE, MILTON PARK, ABINGDON OX14 4RN, OXFORDSHIRE, ENGLAND</t>
  </si>
  <si>
    <t>10.1080/10409289.2015.1036348</t>
  </si>
  <si>
    <t>CQ2TX</t>
  </si>
  <si>
    <t>WOS:000360455500002</t>
  </si>
  <si>
    <t>Bailey, C; Tully, M; Cooke, J</t>
  </si>
  <si>
    <t>Bailey, Chantelle; Tully, Mary; Cooke, Jonathan</t>
  </si>
  <si>
    <t>Perspectives of clinical microbiologists on antimicrobial stewardship programmes within NHS trusts in England</t>
  </si>
  <si>
    <t>Antimicrobials; Antimicrobial stewardship; Clinical microbiologists; Semi-structured interviews; Hospitals; NHS Trusts; Content validity</t>
  </si>
  <si>
    <t>SELF-ASSESSMENT TOOLKIT; HEALTH-CARE; CONTENT VALIDITY; HOSPITALS; ASAT</t>
  </si>
  <si>
    <t>Background: The Antimicrobial Self-Assessment Toolkit for NHS Trusts (ASAT) was developed in England by a National Pharmacist Reference Group of an Advisory Non-Departmental Public Body on Antimicrobial Resistance and Healthcare Associated Infections (ARHAI), in conjunction with the Department of Health. It is intended to identify and evaluate interventions for the promotion and implementation hospital-based antimicrobial stewardship programmes (ASPs). ASAT v16 was produced by iterative validity testing with end-users utilising a sequential exploratory strategy. It was highlighted that there was a need for the inclusion of the domain which targeted the role of clinical microbiologists due to their substantial roles in hospital-based ASP development and implementation. Methods: This study aimed to investigate the content validity of ASAT v16 and a proposed draft domain for clinical microbiologists and hence produce ASAT v17. From June to September 2011, semi-structured interviews were conducted with ten consultant clinical microbiologists from secondary and tertiary care National Health Service (NHS) Trusts within England. Interviews were conducted until no novel themes were identified i.e., data saturation was achieved. Each interview was digitally recorded and transcribed verbatim and then analysed using a thematic framework that facilitated the identification of emergent themes and sub-themes. Results: Nine emergent themes were identified which included common enablers and challenges associated with the implementation of effective and sustainable hospital-based ASPs. Key themes included formal governmental mandates, IT infrastructure and also prescribers' knowledge base of antimicrobial chemotherapy and infectious diseases. Most respondents agreed with the content of ASATv16 and the proposed draft section however they suggested that minor modifications were required to improve question sensitivity and hence reduce measurement error. Conclusions: Although, the ASAT been through multiple iterations and content validity testing, further modifications were required to produce the next iteration, ASAT v17. Question merging and other minor modifications were conducted as indicated by study findings. This study reinforces the need for stakeholder engagement during the development and implementation of tools that evaluate hospital-based implementation strategies.</t>
  </si>
  <si>
    <t>[Bailey, Chantelle; Tully, Mary; Cooke, Jonathan] Univ Manchester, Manchester Pharm Sch, Manchester M13 9PT, Lancs, England; [Bailey, Chantelle] Univ British Columbia, Vancouver Coastal Hlth Res Inst, Ctr Clin Epidemiol &amp; Evaluat, Vancouver, BC V5Z 1M9, Canada; [Cooke, Jonathan] Univ London Imperial Coll Sci Technol &amp; Med, Div Med, Ctr Infect Prevent &amp; Management, London W12 0NN, England</t>
  </si>
  <si>
    <t>Bailey, C (corresponding author), Univ Manchester, Manchester Pharm Sch, 1st Floor,Stopford Bldg, Manchester M13 9PT, Lancs, England.</t>
  </si>
  <si>
    <t>chantelle.bailey2@gmail.com</t>
  </si>
  <si>
    <t>Cooke, Jonathan/G-3987-2015</t>
  </si>
  <si>
    <t>cooke, jonathan/0000-0001-5016-9048; Tully, Mary/0000-0003-2100-3983</t>
  </si>
  <si>
    <t>NOV 16</t>
  </si>
  <si>
    <t>10.1186/s13756-015-0090-3</t>
  </si>
  <si>
    <t>CZ8TN</t>
  </si>
  <si>
    <t>WOS:000367372100001</t>
  </si>
  <si>
    <t>Clancey, G; Fisher, D; Lee, M</t>
  </si>
  <si>
    <t>Clancey, Garner; Fisher, Daren; Lee, Murray</t>
  </si>
  <si>
    <t>The 'art and science' of preparing crime risk assessment reports</t>
  </si>
  <si>
    <t>CRIME PREVENTION &amp; COMMUNITY SAFETY</t>
  </si>
  <si>
    <t>consultants; crime risk assessments; crime prevention through environmental design (CPTED); development applications</t>
  </si>
  <si>
    <t>Much has been made of the impact of neo-liberalism on crime control and prevention in recent decades. The privatisation of corrections, security and other criminal justice functions has been the focus of considerable commentary. One feature of this debate that has received little attention has been the work of private consultants. Interviews with a small number of private consultants engaged (among other things) in the preparation of crime risk assessment reports in New South Wales (Australia) shed some light on this dimension of crime prevention through environmental design practice in NSW. In particular, analysis of interview transcripts revealed the striking similarity of approaches to compiling a crime risk assessment, the challenges of maintaining independence and quantifying crime risks, the lack of consistency of councils (local government) to review crime risks of proposed developments and the need for research and professional development.</t>
  </si>
  <si>
    <t>[Clancey, Garner; Fisher, Daren; Lee, Murray] Univ Sydney, Sydney Inst Criminol, Law Sch Bldg F10,Eastern Ave,Camperdown Campus, Sydney, NSW 2006, Australia</t>
  </si>
  <si>
    <t>Clancey, G (corresponding author), Univ Sydney, Sydney Inst Criminol, Law Sch Bldg F10,Eastern Ave,Camperdown Campus, Sydney, NSW 2006, Australia.</t>
  </si>
  <si>
    <t>garner.clancey@sydney.edu.au</t>
  </si>
  <si>
    <t>; Lee, Murray/I-5354-2015</t>
  </si>
  <si>
    <t>Fisher, Daren/0000-0002-7901-4856; Lee, Murray/0000-0003-2220-0313; Clancey, Garner/0000-0001-7658-1938</t>
  </si>
  <si>
    <t>Legal Scholarship Support Fund (Sydney Law School, University of Sydney); The Sydney University Human Research Ethics Committee [2014/066]</t>
  </si>
  <si>
    <t>Legal Scholarship Support Fund (Sydney Law School, University of Sydney); The Sydney University Human Research Ethics Committee</t>
  </si>
  <si>
    <t>This research has been made possible through a grant from the Legal Scholarship Support Fund (Sydney Law School, University of Sydney). The Sydney University Human Research Ethics Committee granted approval for this research [2014/066].</t>
  </si>
  <si>
    <t>1460-3780</t>
  </si>
  <si>
    <t>1743-4629</t>
  </si>
  <si>
    <t>CRIME PREV COMMUNITY</t>
  </si>
  <si>
    <t>Crime Prev. Community Saf.</t>
  </si>
  <si>
    <t>10.1057/cpcs.2015.16</t>
  </si>
  <si>
    <t>VA0QB</t>
  </si>
  <si>
    <t>WOS:000409610900004</t>
  </si>
  <si>
    <t>Nageldinger, G</t>
  </si>
  <si>
    <t>Nageldinger, Guido</t>
  </si>
  <si>
    <t>A framework for cut-over management</t>
  </si>
  <si>
    <t>PEERJ COMPUTER SCIENCE</t>
  </si>
  <si>
    <t>Release; Project-specific cut-over; Release-specific rollout; Go-live preparation; Go-live; Deployment; Application-specific cut-over; ITIL; IT Service Management; IT Project Management</t>
  </si>
  <si>
    <t>The purpose of this paper is to provide a governance structure for IT-related projects in order to assure a safeguarded and timely transition to a productive environment. This transitioning, which rarely exceeds a weekend, is colloquially called 'cut-over', 'rollout' or 'deployment'. The governance structure is defined in accordance with a set of project-specific deliverables for a cascade-type procedural project-management model, which is integrated within an Information Technology Infrastructure Library (ITIL)-orientated service organization. This integration is illustrated by the use of a semi-agile release model. Due to the release model selected, which is particularly characterized by its bundling of projects for a release-specific rollout (as it is referred to in the project documentation), a new definition and interpretation of deployment from a generic ITIL perspective is required. The facilitated release model requires a distinction between a project-specific cut-over and a release-specific rollout. This separation gives rise to two types of go-live scenarios: one for each participating project and one for each release. Additionally, an interplay between cut-over planning for a project and rollout planning for a release becomes apparent. Projects should already incorporate cut-over related deliverables in the initial planning phase. Even though consulting methodologies such as ASAP (Accelerated SAP), recommend scattered, project-specific deliverables useful for cut-over planning, this publication offers an integrated approach on how to prepare systematically for a project-specific cut-over with all required deliverables. The framework provided maps out ITIL's release and deployment process by means of IT projects; furthermore it allows IT projects to interface easily with the ITIL change-management process.</t>
  </si>
  <si>
    <t>[Nageldinger, Guido] Otto GmbH &amp; Co KG, Dept Testing &amp; Release Management, Hamburg, Germany</t>
  </si>
  <si>
    <t>Nageldinger, G (corresponding author), Otto GmbH &amp; Co KG, Dept Testing &amp; Release Management, Hamburg, Germany.</t>
  </si>
  <si>
    <t>guido.nageldinger@ottogroup.com</t>
  </si>
  <si>
    <t>PEERJ INC</t>
  </si>
  <si>
    <t>341-345 OLD ST, THIRD FLR, LONDON, EC1V 9LL, ENGLAND</t>
  </si>
  <si>
    <t>2376-5992</t>
  </si>
  <si>
    <t>PEERJ COMPUT SCI</t>
  </si>
  <si>
    <t>PeerJ Comput. Sci.</t>
  </si>
  <si>
    <t>e29</t>
  </si>
  <si>
    <t>10.7717/peerj-cs.29</t>
  </si>
  <si>
    <t>Computer Science, Artificial Intelligence; Computer Science, Information Systems; Computer Science, Theory &amp; Methods</t>
  </si>
  <si>
    <t>VD6QV</t>
  </si>
  <si>
    <t>WOS:000437430700006</t>
  </si>
  <si>
    <t>Values; Decision science; Sustainability; Multi-criteria; Phronesis</t>
  </si>
  <si>
    <t>INFORMATION ANALYSIS; SCIENCE</t>
  </si>
  <si>
    <t>Erasmus Univ, Rotterdam, Netherlands</t>
  </si>
  <si>
    <t>Martin, L (corresponding author), Erasmus Univ, Rotterdam, Netherlands.</t>
  </si>
  <si>
    <t>lmartindc@gmail.com</t>
  </si>
  <si>
    <t>CP5XR</t>
  </si>
  <si>
    <t>NEW-DEAL; ORIGINS; POLICY; RISE; INFRASTRUCTURE; NEOLIBERALISM; EISENHOWER; LIBERALISM; DYNAMICS; POLITICS</t>
  </si>
  <si>
    <t>[Mayhew, David R.] Yale Univ, New Haven, CT 06520 USA</t>
  </si>
  <si>
    <t>Mayhew, DR (corresponding author), Yale Univ, New Haven, CT 06520 USA.</t>
  </si>
  <si>
    <t>STUD AM POLIT DEV</t>
  </si>
  <si>
    <t>Stud. Am. Polit. Dev.</t>
  </si>
  <si>
    <t>CW7GV</t>
  </si>
  <si>
    <t>UNITED-STATES; CONSERVATION; MOVEMENT; STUDENTS; BARRIERS; SCIENCE</t>
  </si>
  <si>
    <t>Univ Michigan, Sch Nat Resources &amp; Environm, 440 Church St, Ann Arbor, MI 48109 USA</t>
  </si>
  <si>
    <t>Taylor, DE (corresponding author), Univ Michigan, Sch Nat Resources &amp; Environm, 440 Church St, Ann Arbor, MI 48109 USA.</t>
  </si>
  <si>
    <t>dorceta@umich.edu</t>
  </si>
  <si>
    <t>Joyce Foundation; Charles Stewart Mott Foundation</t>
  </si>
  <si>
    <t>This research was funded, in part, by grants from the Joyce Foundation and the Charles Stewart Mott Foundation.</t>
  </si>
  <si>
    <t>ENVIRON JUSTICE</t>
  </si>
  <si>
    <t>Environ. Justice</t>
  </si>
  <si>
    <t>CU9TI</t>
  </si>
  <si>
    <t>recovery; consumer; psychiatric intensive care; seclusion; psychiatric services</t>
  </si>
  <si>
    <t>[Ash, David; Suetani, Shuichi; Halpin, Matthew] Cent Adelaide Local Hlth Network, Adelaide, SA, Australia; [Ash, David; Suetani, Shuichi] Univ Adelaide, Adelaide, SA, Australia; [Nair, Jayakrishnan] Lyell McEwin Hosp, Elizabeth Vale, SA, Australia; [Nair, Jayakrishnan] Northern Adelaide Local Hlth Network, Adelaide, SA, Australia</t>
  </si>
  <si>
    <t>Ash, D (corresponding author), 226 Fullarton Rd, Glenside, SA 5063, Australia.</t>
  </si>
  <si>
    <t>David.Ash@healh.sa.gov.au</t>
  </si>
  <si>
    <t>Suetani, Shuichi/0000-0002-2487-5691; Halpin, Matthew/0000-0002-5739-478X</t>
  </si>
  <si>
    <t>AUSTRALAS PSYCHIATRY</t>
  </si>
  <si>
    <t>Australas. Psychiatry</t>
  </si>
  <si>
    <t>CS2NA</t>
  </si>
  <si>
    <t>AUSTRALIAN EMERGENCY MANAGEMENT INST</t>
  </si>
  <si>
    <t>EAST MELBOURNE</t>
  </si>
  <si>
    <t>LEVEL 1, 340 ALBERT ST, EAST MELBOURNE, VIC 3002, AUSTRALIA</t>
  </si>
  <si>
    <t>AUST J EMERG MANAG</t>
  </si>
  <si>
    <t>Aust. J. Emerg. Manag.</t>
  </si>
  <si>
    <t>DT4AL</t>
  </si>
  <si>
    <t>environmental governance; environmental impact assessment; Western Balkans; Bosnia-Herzegovina; Europeanisation</t>
  </si>
  <si>
    <t>PUBLIC-PARTICIPATION; WESTERN BALKANS; CIVIL-SOCIETY; POLICY; EIA; ENLARGEMENT; ACCESSION; POLITICS; QUALITY; UNION</t>
  </si>
  <si>
    <t>[Fagan, Adam; Sircar, Indraneel] Queen Mary Univ London, Sch Polit &amp; Int Relat, London E1 4NS, England</t>
  </si>
  <si>
    <t>Fagan, A (corresponding author), Queen Mary Univ London, Sch Polit &amp; Int Relat, Mile End Rd, London E1 4NS, England.</t>
  </si>
  <si>
    <t>i.sircar@qmul.ac.uk</t>
  </si>
  <si>
    <t>UK Arts and Humanities Research Council [AH/E509673/1]</t>
  </si>
  <si>
    <t>UK Arts and Humanities Research Council(UK Research &amp; Innovation (UKRI)Arts &amp; Humanities Research Council (AHRC))</t>
  </si>
  <si>
    <t>The research for this article was conducted as part of the project 'The Environmental Regulation of Foreign Direct Investment in Bosnia-Herzegovina and Serbia: An Assessment of EU and Human Rights Compliance', funded by the UK Arts and Humanities Research Council (award number: AH/E509673/1).</t>
  </si>
  <si>
    <t>ENVIRON PLANN C</t>
  </si>
  <si>
    <t>Environ. Plan. C-Gov. Policy</t>
  </si>
  <si>
    <t>Environmental Studies; Public Administration</t>
  </si>
  <si>
    <t>CV8LJ</t>
  </si>
  <si>
    <t>Kim, JS; Oh, SH; Choi, JW; Kim, SY</t>
  </si>
  <si>
    <t>Kim, Jin Suk; Oh, Su Hyun; Choi, Jae Wook; Kim, Seok Yeong</t>
  </si>
  <si>
    <t>Current status of state telemedicine policy in the United States and policy implications for Korea</t>
  </si>
  <si>
    <t>Telemedicine policy; Parity laws; Physician licensing</t>
  </si>
  <si>
    <t>The main objective of this study to propose an implementation about telemedicine policy in Korea through analyzing current status of state telemedicine policy in the United States. To achieve the result, three types of data sets were used to draw conclusions; 1) status of insured service of telemedicine in each state, 2) physician practice standards related to telemedicine, and 3) licensure. Analyzed results indicated differentiation in insured status of telemedicine service among private insurance parity law, medicaid coverage parity law, and state employee health plan parity in each states. Only two states provide insured service of telemedicine without any limits or certain conditions. Other states have a strict regulation or coverage condition about providing insurance. Each states also apply rigorous standards to telemedicine providers about physician practice standards and licensure. Some states restrict telemedicine itself or provide strict regulation process of telemedicine in Physician-patient encounter. Also, the most strict type 'full state license' and 'consulting exemptions (applied in certain condition)' are applied in most of states. On the basis of study result, environmental and conditional requirement implementation in application of telemedicine policy in Korea is provided in conclusion.</t>
  </si>
  <si>
    <t>[Kim, Jin Suk; Oh, Su Hyun; Choi, Jae Wook; Kim, Seok Yeong] Korean Med Assoc, Res Inst Healthcare Policy, Seoul, South Korea; [Choi, Jae Wook] Korea Univ, Coll Med, Dept Prevent Med, Seoul 136705, South Korea; [Choi, Jae Wook] Korea Univ, Inst Occupat &amp; Environm Hlth, Seoul, South Korea</t>
  </si>
  <si>
    <t>Oh, SH (corresponding author), Korean Med Assoc, Res Inst Healthcare Policy, Seoul, South Korea.</t>
  </si>
  <si>
    <t>she0622@kma.org</t>
  </si>
  <si>
    <t>10.5124/jkma.2015.58.10.923</t>
  </si>
  <si>
    <t>DA7JU</t>
  </si>
  <si>
    <t>WOS:000367981200011</t>
  </si>
  <si>
    <t>Sri Lanka; Plantation labor; Modalities of expertise; Dispossession; Ritual; Knowledge production</t>
  </si>
  <si>
    <t>[Jegathesan, Mythri] Santa Clara Univ, Dept Anthropol, 500 El Camino Real, Santa Clara, CA 95053 USA</t>
  </si>
  <si>
    <t>Jegathesan, M (corresponding author), Santa Clara Univ, Dept Anthropol, 500 El Camino Real, Santa Clara, CA 95053 USA.</t>
  </si>
  <si>
    <t>mjegathesan@scu.edu</t>
  </si>
  <si>
    <t>DIALECT ANTHROPOL</t>
  </si>
  <si>
    <t>Dialect. Anthropol.</t>
  </si>
  <si>
    <t>DG1YZ</t>
  </si>
  <si>
    <t>agricultural extension; climate change; discourse; environmental governance; provision of advice</t>
  </si>
  <si>
    <t>POLICY INSTRUMENTS; SUSTAINABLE DEVELOPMENT; FARMERS; IMPACT; PARTICIPATION; INNOVATION; DISCOURSE; KNOWLEDGE; BOUNDARY; SPACE</t>
  </si>
  <si>
    <t>[Stal, Herman I.; Bonnedahl, Karl J.] Umea Univ, Umea Sch Business, S-90187 Umea, Sweden</t>
  </si>
  <si>
    <t>Stal, HI (corresponding author), Umea Sch Business, SE-90187 Umea, Sweden.</t>
  </si>
  <si>
    <t>herman.stal@usbe.umu.se</t>
  </si>
  <si>
    <t>ENVIRON POLICY GOV</t>
  </si>
  <si>
    <t>Environ. Policy Gov.</t>
  </si>
  <si>
    <t>CU1KC</t>
  </si>
  <si>
    <t>Madagascar; rehabilitation; teaching</t>
  </si>
  <si>
    <t>[Andrianabela, Sonia] Minist Hlth, Sect Non Communicable Dis, Antananarivo, Madagascar; [Hariharan, Ram] Sheffield Teaching Hosp, Princess Royal Spinal Injuries Ctr, Sheffield, S Yorkshire, England; [Ford, Helen L.] Univ Leeds, Dept Neurol, Leeds Teaching Hosp NHS Trust, Leeds, W Yorkshire, England; [Chamberlain, M. Anne] Univ Leeds, Acad Dept Rehabil Med, Leeds, W Yorkshire, England</t>
  </si>
  <si>
    <t>Chamberlain, MA (corresponding author), Univ Leeds, Acad Dept Rehabil Med, Leeds LS1 3 EX, W Yorkshire, England.</t>
  </si>
  <si>
    <t>m.a.chamberlain@leeds.ac.uk</t>
  </si>
  <si>
    <t>FOUNDATION REHABILITATION INFORMATION</t>
  </si>
  <si>
    <t>UPPSALA</t>
  </si>
  <si>
    <t>TRADGARDSGATAN 14, UPPSALA, SE-753 09, SWEDEN</t>
  </si>
  <si>
    <t>J REHABIL MED</t>
  </si>
  <si>
    <t>J. Rehabil. Med.</t>
  </si>
  <si>
    <t>Rehabilitation; Sport Sciences</t>
  </si>
  <si>
    <t>CR5YP</t>
  </si>
  <si>
    <t>Hogan, MJ; Johnston, H; Broome, B; McMoreland, C; Walsh, J; Smale, B; Duggan, J; Andriessen, J; Leyden, KM; Domegan, C; McHugh, P; Hogan, V; Harney, O; Groarke, J; Noone, C; Groarke, AM</t>
  </si>
  <si>
    <t>Hogan, Michael J.; Johnston, Helen; Broome, Benjamin; McMoreland, Claire; Walsh, Jane; Smale, Bryan; Duggan, Jim; Andriessen, Jerry; Leyden, Kevin M.; Domegan, Christine; McHugh, Patricia; Hogan, Victoria; Harney, Owen; Groarke, Jenny; Noone, Chris; Groarke, Ann Marie</t>
  </si>
  <si>
    <t>Consulting with Citizens in the Design of Wellbeing Measures and Policies: Lessons from a Systems Science Application</t>
  </si>
  <si>
    <t>SOCIAL INDICATORS RESEARCH</t>
  </si>
  <si>
    <t>Wellbeing; Policy; Systems thinking; Governance; Consultation</t>
  </si>
  <si>
    <t>Internationally, there is increasing interest in, and analysis of, human wellbeing and the economic, social, environmental, and psychological factors that contribute to it. Current thinking suggests that to measure social progress and national wellbeing we need more than GDP. Experts across a range of disciplines have increasingly highlighted a number of key values and domains of measurement that are influencing the way governments in different countries are thinking about wellbeing measures and policies. Most agree that it is important to involve citizen consultation in the design of wellbeing measures and policies. There is no real consensus on how to best do so. There are, however, the warnings of recent case studies that underscore the dangers of failing to consult with citizens adequately. The current paper examines the value of citizen consultations and considers how best to optimize deliberation and co-design by experts, citizens, and politicians using systems science tools that facilitate collective intelligence and collective action. The paper opens with an overview of the international wellbeing movement and highlights key issues in the design and application of wellbeing measures in policy practice. Next, an applied system science methodology, Interactive Management (IM), is described and affordances of IM considered in relation to the challenge of facilitating citizen consultations in relation to wellbeing measurement and policy design. The method can be used to provide insight into the values, goals, and preferences of citizens; engaging all stakeholders in a democratic, consensus building process that facilitates buy-in and enhances the legitimacy of decision-making groups; facilitating transparent understanding of the reasoning that informs the systems thinking of groups. A recent application of our applied system science methodology to the design of a notional national wellbeing index for Ireland is outlined. The paper closes by highlighting the importance of adopting a wider social science toolkit to the challenge of facilitating social progress.</t>
  </si>
  <si>
    <t>[Hogan, Michael J.; McMoreland, Claire; Walsh, Jane; Harney, Owen; Groarke, Jenny; Noone, Chris; Groarke, Ann Marie] NUI Galway, Sch Psychol, Galway, Ireland; [Johnston, Helen] Natl Econ &amp; Social Council, Dublin, Ireland; [Broome, Benjamin] Arizona State Univ, Sch Commun, Tempe, AZ USA; [Smale, Bryan] Univ Waterloo, Dept Recreat &amp; Leisure Studies, Canadian Index Wellbeing, Waterloo, ON N2L 3G1, Canada; [Duggan, Jim] NUI Galway, Sch Informat Technol, Galway, Ireland; [Andriessen, Jerry] Wise &amp; Munro Learning Res, The Hague, Netherlands; [Leyden, Kevin M.] NUI Galway, Sch Polit Sci &amp; Sociol, Galway, Ireland; [Domegan, Christine; McHugh, Patricia] NUI Galway, Sch Mkt, Galway, Ireland; [Hogan, Victoria] NUI Galway, Sch Hlth Promot, Galway, Ireland</t>
  </si>
  <si>
    <t>Hogan, MJ (corresponding author), NUI Galway, Sch Psychol, Galway, Ireland.</t>
  </si>
  <si>
    <t>michael.hogan@nuigalway.ie</t>
  </si>
  <si>
    <t>Domegan, Christine T./E-1500-2018; Groarke, Jenny/M-8055-2019; Hogan, Michael/AAW-6943-2021; McHugh, Patricia/AAH-1575-2020; Walsh, Jane/AAP-6870-2021; Noone, Chris/AAV-1366-2021</t>
  </si>
  <si>
    <t>Groarke, Jenny/0000-0001-6370-7116; Walsh, Jane/0000-0001-5476-1348; Noone, Chris/0000-0003-4974-9066; Domegan, Christine/0000-0001-7975-9041; Groarke, AnnMarie/0000-0003-3254-9279; Andriessen, Jerry/0000-0002-9269-7196</t>
  </si>
  <si>
    <t>0303-8300</t>
  </si>
  <si>
    <t>1573-0921</t>
  </si>
  <si>
    <t>SOC INDIC RES</t>
  </si>
  <si>
    <t>Soc. Indic. Res.</t>
  </si>
  <si>
    <t>10.1007/s11205-014-0764-x</t>
  </si>
  <si>
    <t>Social Sciences, Interdisciplinary; Sociology</t>
  </si>
  <si>
    <t>CP7OX</t>
  </si>
  <si>
    <t>WOS:000360078700012</t>
  </si>
  <si>
    <t>Biodiversity; Ecology; Impact assessment; Review; Environmental Statement; EIA</t>
  </si>
  <si>
    <t>IMPACT ASSESSMENT; SYSTEM; EIA</t>
  </si>
  <si>
    <t>[Drayson, Katherine; Thompson, Stewart] Oxford Brookes Univ, Fac Hlth &amp; Life Sci, Dept Biol &amp; Med Sci, Spatial Ecol &amp; Landuse Unit, Oxford OX3 0BP, England; [Wood, Graham] Oxford Brookes Univ, Fac Technol Design &amp; Environm, Dept Planning, Oxford OX3 0BP, England</t>
  </si>
  <si>
    <t>Drayson, K (corresponding author), Policy Exchange, 10 Storeys Gate, London SW1P 3AY, England.</t>
  </si>
  <si>
    <t>katherinedrayson@aol.co.uk; gjwood@brookes.ac.uk; sthompson@brookes.ac.uk</t>
  </si>
  <si>
    <t>Nigel Groome PhD Research Studentship</t>
  </si>
  <si>
    <t>K.D. was funded by a Nigel Groome PhD Research Studentship.</t>
  </si>
  <si>
    <t>CO2GD</t>
  </si>
  <si>
    <t>Khan, R</t>
  </si>
  <si>
    <t>Khan, Rakhshanda</t>
  </si>
  <si>
    <t>Small Hydro Power in India: Is it a sustainable business?</t>
  </si>
  <si>
    <t>Small Hydro Power; SHP; Sustainable development; Sustainable business; India</t>
  </si>
  <si>
    <t>Small Hydro Power (SHP) is one of the most important renewable energy generation sources. It is a cost-effective technology that is being used for rural electrification in the developing countries including India. The Indian government is providing attractive initiatives to the private investors to promote faster development of SHP. Until now, a lot has been written about assessment, potential, advantages and the technical aspects of the SHP plants. However, the important business sustainability perspective has not been yet subjected to empirical analysis. Sustainable development involves three interconnected dimensions: social, economic and environmental sustainability. This paper attempts to investigate whether SHP business in India is a sustainable business. The study is based on the analysis of qualitative data acquired through 28 in-depth interviews with various actors that are connected to the SHP industry in India which include Independent Power Producers (IPPs), manufacturers, designers, consultants and representatives of various government organizations. The empirical material was collected in four states of India namely New Delhi, Himachal Pradesh, Uttarakhand and Jammu and Kashmir (J&amp;K) in February, 2013. The data was acquired by individual in-depth interviews, group discussions and direct observation of one SHP plant. The results show that all the three dimensions of sustainability are being realized to a certain extent. However, utmost efforts have to be undertaken in order to call this sector completely sustainable. Both benefits and challenges in all these dimensions are highlighted and recommendations towards a sustainable SHP sector are provided. Further, this study also proposes suggestions for the interested investors. (C) 2014 Elsevier Ltd. All rights reserved.</t>
  </si>
  <si>
    <t>Lappeenranta Univ Technol, Dept Ind Management, Lappeenranta, Finland</t>
  </si>
  <si>
    <t>Khan, R (corresponding author), Lappeenranta Univ Technol, Dept Ind Management, Lappeenranta, Finland.</t>
  </si>
  <si>
    <t>rakhshanda.khan@lut.fi</t>
  </si>
  <si>
    <t>10.1016/j.apenergy.2014.11.063</t>
  </si>
  <si>
    <t>CL2AE</t>
  </si>
  <si>
    <t>WOS:000356745200021</t>
  </si>
  <si>
    <t>Managing uncertainty: Forest professionals' claim and epistemic authority in the face of societal and climate change</t>
  </si>
  <si>
    <t>RISK MANAGEMENT-AN INTERNATIONAL JOURNAL</t>
  </si>
  <si>
    <t>expertise; epistemic authority; professional claim; uncertainty; climate change; forestry</t>
  </si>
  <si>
    <t>RISK-MANAGEMENT; WICKED PROBLEMS; SCIENCE; POLICY; ORGANIZATIONS; GOVERNANCE; KNOWLEDGE</t>
  </si>
  <si>
    <t>How do professional experts develop advice in the face of uncertainty? The background for this question is that uncertainties threaten all forms of expertise because they risk calling the professional claim into question and undermine the professional's epistemic authority. Adopting a multidimensional concept of uncertainty as its point of departure, this article focuses on how a specific category of experts forest professionals encounter and cope with uncertainty in their counselling activities, particularly uncertainty related to climate change. The empirical material consists of an interview study of publicly employed forest consultants in Sweden. The analysis identifies seven strategies that are applied to cope with uncertainties. The findings indicate that a multidimensional concept of uncertainty can explain why cognitive uncertainty is more easily managed than other types of uncertainty. Moreover, uncertainty may not be a central obstacle to offering advice; rather it can be actively used to gain authority and influence action.</t>
  </si>
  <si>
    <t>[Lidskog, Rolf; Lofmarck, Erik] Univ Orebro, HumUS, Environm Sociol Sect, SE-70182 Orebro, Sweden</t>
  </si>
  <si>
    <t>Lidskog, R (corresponding author), Univ Orebro, HumUS, Environm Sociol Sect, SE-70182 Orebro, Sweden.</t>
  </si>
  <si>
    <t>Rolf.lidskog@oru.se; erik.lofmarck@oru.se</t>
  </si>
  <si>
    <t>This article was written as part of the Swedish interdisciplinary programme Future Forest financed by Mistra (The Foundation for Strategic Environmental Research); Forestry Research Institute of Sweden (Skogforsk); Swedish University of Agricultural Sciences (SLU); and Umea University.</t>
  </si>
  <si>
    <t>1460-3799</t>
  </si>
  <si>
    <t>1743-4637</t>
  </si>
  <si>
    <t>RISK MANAG-UK</t>
  </si>
  <si>
    <t>Risk Manag.</t>
  </si>
  <si>
    <t>10.1057/rm.2015.10</t>
  </si>
  <si>
    <t>CV4ST</t>
  </si>
  <si>
    <t>WOS:000364257500001</t>
  </si>
  <si>
    <t>Agriculture; Europeanisation; Governmentality; Surveillance; Post-socialism; Hungary</t>
  </si>
  <si>
    <t>AGRI-ENVIRONMENTAL POLICY; EUROPEAN-UNION; BIODIVERSITY CONSERVATION; NEOLIBERALISING NATURE; FARMERS; PARTICIPATION; IMPLEMENTATION; GEOGRAPHIES; TRANSFORMATION; COORDINATION</t>
  </si>
  <si>
    <t>[Kovacs, Eszter Krasznai] Univ Cambridge, Dept Geog, Cambridge CB2 3HU, England; [Kovacs, Eszter Krasznai] Environm Social Sci Res Grp ESSRG Kft, H-1024 Budapest, Hungary</t>
  </si>
  <si>
    <t>Kovacs, EK (corresponding author), Univ Cambridge, Dept Geog, Downing Pl, Cambridge CB2 3HU, England.</t>
  </si>
  <si>
    <t>ek334@cam.ac.uk</t>
  </si>
  <si>
    <t>Gates Trust Cambridge</t>
  </si>
  <si>
    <t>I am grateful to the Gates Trust Cambridge for their support throughout my doctoral studies and fieldwork periods. I am indebted to all interviewees for sharing their experiences and journeys with me. The Environmental Social Science Research Group (ESSRG) Hungary provided me with great intellectual and practical support throughout the PhD and beyond. I would like to acknowledge the assistance of Emese Placsko, Agnes Kaloczkai and Janos Gyure for their fieldwork assistance and our accompanying conversations and insights that greatly strengthened this paper. I thank Kavita Ramakrishnan and Gyorgy Pataki for critically reviewing earlier drafts of this manuscript, as well as to four anonymous reviewers.</t>
  </si>
  <si>
    <t>CP4YF</t>
  </si>
  <si>
    <t>McAllister, RRJ; Taylor, BM; Harman, BP</t>
  </si>
  <si>
    <t>McAllister, Ryan R. J.; Taylor, Bruce M.; Harman, Ben P.</t>
  </si>
  <si>
    <t>Partnership Networks for Urban Development: How Structure is Shaped by Risk</t>
  </si>
  <si>
    <t>exponential random graph model; social network theory</t>
  </si>
  <si>
    <t>PUBLIC-PRIVATE PARTNERSHIPS; POLICY NETWORKS; CLIMATE ADAPTATION; COLLABORATIVE INSTITUTIONS; SOCIAL NETWORKS; GOVERNANCE; MANAGEMENT; POLITICS; MODELS; COOPERATION</t>
  </si>
  <si>
    <t>In delivering public policy, governments worldwide increasingly partner with diverse sets of stakeholders. This spreads commercial risk, but particularly where agendas diverge, introduces new risks related to trust in relationships. The risk hypothesis distinguishes between networks for cooperation problems, where partners have high individual payoffs for uncooperative behaviors, and coordination problems, where partners subscribe to a common goal and uncooperative behaviors are less rewarding. We used mixed-methods to study networks of local and state government, developers, and consultants that center on joint-venture partnerships for developing new urban, residential projects. Statistical network methods showed that within the mix of partners involved in development projects, only state governments displayed structural patterns associated with solving cooperation problems (rather than coordination). In other words, the patterns of state government interactions showed they are most exposed to risky relationships. In contrast to the state governments' apparent exposure to risk, qualitative data showed they are not only well trusted but also overall the partnership networks reported very low levels of conflict. By exploring the distribution of cooperation and coordination, we identified which stakeholders perceived most risk. In our case, how the state governments' structure interactions in response to risky relationships leads to an overall network characterized by trust.</t>
  </si>
  <si>
    <t>McAllister, Ryan R J/A-4866-2008; Harman, Ben P/C-7171-2011; Taylor, Bruce M/C-5771-2011</t>
  </si>
  <si>
    <t>McAllister, Ryan R J/0000-0003-0080-7528; Taylor, Bruce/0000-0002-7740-2898</t>
  </si>
  <si>
    <t>POLICY STUD J</t>
  </si>
  <si>
    <t>Policy Stud. J.</t>
  </si>
  <si>
    <t>10.1111/psj.12103</t>
  </si>
  <si>
    <t>CN8KJ</t>
  </si>
  <si>
    <t>WOS:000358688800004</t>
  </si>
  <si>
    <t>Sustainable Development Goals; critical studies; Millennium Development Goals</t>
  </si>
  <si>
    <t>Queen Mary Univ London, Sch Polit &amp; Int Relat, London E1 4NS, England</t>
  </si>
  <si>
    <t>Gabay, C (corresponding author), Queen Mary Univ London, Sch Polit &amp; Int Relat, Mile End Rd, London E1 4NS, England.</t>
  </si>
  <si>
    <t>c.gabay@qmul.ac.uk</t>
  </si>
  <si>
    <t>Globalizations</t>
  </si>
  <si>
    <t>International Relations; Social Sciences, Interdisciplinary</t>
  </si>
  <si>
    <t>International Relations; Social Sciences - Other Topics</t>
  </si>
  <si>
    <t>CK5BH</t>
  </si>
  <si>
    <t>SUSTAINABLE URBANISM; ASSEMBLAGE; GLOBAL INTELLIGENCE CORPS; POLICY MOBILITIES</t>
  </si>
  <si>
    <t>POLICY MOBILITY; GLOBAL CIRCUITS; GEOGRAPHIES; ASSEMBLAGE; CITY; MANAGEMENT; INNOVATION; KNOWLEDGE; POLITICS; CITIES</t>
  </si>
  <si>
    <t>UCL, Dept Sci Technol Engn &amp; Publ Policy, London WC1T 6EY, England</t>
  </si>
  <si>
    <t>Rapoport, E (corresponding author), UCL, Dept Sci Technol Engn &amp; Publ Policy, Boston House,2nd Floor,36-38 Fitzroy Sq, London WC1T 6EY, England.</t>
  </si>
  <si>
    <t>Engineering doctorate studentship in the Centre for Urban Sustainability and Resilience at University College London - UK Environmental and Physical Sciences Research Council; Happold Consulting</t>
  </si>
  <si>
    <t>The research underpinning this article was supported by an Engineering doctorate studentship in the Centre for Urban Sustainability and Resilience at University College London, funded by the UK Environmental and Physical Sciences Research Council and Happold Consulting. I am grateful to James Faulconbridge and Monika Grubbauer for their comments and support throughout the process of drafting the article. I am also indebted to three anonymous peer reviewers whose comments helped me improve and clarify my arguments. Any mistakes or omissions are of course my own.</t>
  </si>
  <si>
    <t>CK1YS</t>
  </si>
  <si>
    <t>Construction safety; Systems thinking; System dynamics; Archetypes; Risk analysis</t>
  </si>
  <si>
    <t>RISK-MANAGEMENT; ACCIDENT ANALYSIS; HUMAN ERROR; MODEL; DYNAMICS; THINKING; PERFORMANCE; INCIDENTS; FRAMEWORK; HFACS</t>
  </si>
  <si>
    <t>[Guo, Brian H. W.; Yiu, Tak Wing; Gonzalez, Vicente A.] Univ Auckland, Dept Civil &amp; Environm Engn, Auckland 1142, New Zealand</t>
  </si>
  <si>
    <t>Guo, BHW (corresponding author), Univ Auckland, Auckland Mail Ctr, Fac Engn, Dept Civil &amp; Environm Engn, Private Bag 92019, Auckland 1142, New Zealand.</t>
  </si>
  <si>
    <t>hguo196@aucklanduni.ac.nz; k.yiu@auckland.ac.nz; v.gonzalez@auckland.ac.nz</t>
  </si>
  <si>
    <t>BRANZ Ltd. (New Zealand)</t>
  </si>
  <si>
    <t>The authors would like to thank the three anonymous reviewers of this paper for their constructive comments. The authors would also like to show their appreciation to BRANZ Ltd. (New Zealand)'s financial support on this research project. Appreciation also goes to all interviewees for their time and participation.</t>
  </si>
  <si>
    <t>ACCIDENT ANAL PREV</t>
  </si>
  <si>
    <t>Accid. Anal. Prev.</t>
  </si>
  <si>
    <t>Ergonomics; Public, Environmental &amp; Occupational Health; Social Sciences, Interdisciplinary; Transportation</t>
  </si>
  <si>
    <t>Engineering; Public, Environmental &amp; Occupational Health; Social Sciences - Other Topics; Transportation</t>
  </si>
  <si>
    <t>CK3KY</t>
  </si>
  <si>
    <t>quality; graduates; relevance; curricular program; sociology; Universidad Nacional de Colombia</t>
  </si>
  <si>
    <t>[Mauricio Beltran, William] Univ Nacl Colombia, Dept Sociol, Bogota, Colombia; [Torres Ortiz, Maria Raquel] Univ Nacl Colombia, Sociol, Bogota, Colombia</t>
  </si>
  <si>
    <t>Beltran, WM (corresponding author), Univ Nacl Colombia, Dept Sociol, Bogota, Colombia.</t>
  </si>
  <si>
    <t>wmbeltranc@unal.edu.co; mrtorreso@unal.edu.co</t>
  </si>
  <si>
    <t>UNIV NACL COLOMBIA, DEPT SOCIOLOGIA</t>
  </si>
  <si>
    <t>CIUDAD UNIV, BOGOTA, 00000, COLOMBIA</t>
  </si>
  <si>
    <t>REV COLOMB SOCIOL</t>
  </si>
  <si>
    <t>Rev. Colomb. Sociol.</t>
  </si>
  <si>
    <t>VE5FO</t>
  </si>
  <si>
    <t>Haughton, G; Bankoff, G; Coulthard, TJ</t>
  </si>
  <si>
    <t>Haughton, Graham; Bankoff, Greg; Coulthard, Tom J.</t>
  </si>
  <si>
    <t>In search of lost' knowledge and outsourced expertise in flood risk management</t>
  </si>
  <si>
    <t>TRANSACTIONS OF THE INSTITUTE OF BRITISH GEOGRAPHERS</t>
  </si>
  <si>
    <t>flood risk management; local knowledge; expert knowledge; co-production of knowledge; consultants; outsourcing</t>
  </si>
  <si>
    <t>WATER; GOVERNANCE; POLITICS</t>
  </si>
  <si>
    <t>This paper examines the parallel discourses of lost' local flood expertise and the growing use of commercial consultancies to outsource aspects of flood risk work. We critically examine the various claims and counter-claims about lost, local and external expertise in flood management, focusing on the aftermath of the 2007 floods in East Yorkshire, England. Drawing on interviews with consultants, drainage engineers and others, we caution against claims that privilege local' floods knowledge as good' and expert knowledge as somehow suspect. This paper urges carefulness in interpreting claims about local knowledge, arguing that it is important always to think instead of hybrid knowledge formations. We conclude by arguing that experiments in the co-production of flood risk knowledge need to be seen as part of a spectrum of ways for producing shared knowledge.</t>
  </si>
  <si>
    <t>[Haughton, Graham] Univ Manchester, Sch Environm Educ &amp; Dev, Manchester M13 9PL, Lancs, England; [Bankoff, Greg] Univ Hull, Dept Hist, Kingston Upon Hull HU6 7RX, N Humberside, England; [Coulthard, Tom J.] Univ Hull, Dept Geog Environm &amp; Earth Sci, Kingston Upon Hull HU6 7RX, N Humberside, England</t>
  </si>
  <si>
    <t>Haughton, G (corresponding author), Univ Manchester, Sch Environm Educ &amp; Dev, Manchester M13 9PL, Lancs, England.</t>
  </si>
  <si>
    <t>graham.haughton@manchester.ac.uk</t>
  </si>
  <si>
    <t>Coulthard, Tom/K-7194-2015; Bankoff, Greg/AAV-2367-2021</t>
  </si>
  <si>
    <t>Coulthard, Tom/0000-0002-8164-0442; Bankoff, Greg/0000-0002-5493-0057; Haughton, Graham/0000-0002-0862-4884</t>
  </si>
  <si>
    <t>ESRC [RES-000-22-3070]; Economic and Social Research Council [ES/G009899/1] Funding Source: researchfish; ESRC [ES/G009899/1] Funding Source: UKRI</t>
  </si>
  <si>
    <t>ESRC(UK Research &amp; Innovation (UKRI)Economic &amp; Social Research Council (ESRC)); Economic and Social Research Council(UK Research &amp; Innovation (UKRI)Economic &amp; Social Research Council (ESRC)); ESRC(UK Research &amp; Innovation (UKRI)Economic &amp; Social Research Council (ESRC))</t>
  </si>
  <si>
    <t>This work was funded by ESRC project RES-000-22-3070. We are greatly indebted to the editor of this journal and our reviewers for many helpful comments. Prof. Iain White also provided helpful comments on an earlier draft.</t>
  </si>
  <si>
    <t>0020-2754</t>
  </si>
  <si>
    <t>1475-5661</t>
  </si>
  <si>
    <t>T I BRIT GEOGR</t>
  </si>
  <si>
    <t>Trans. Inst. Br. Geogr.</t>
  </si>
  <si>
    <t>10.1111/tran.12082</t>
  </si>
  <si>
    <t>CL3VX</t>
  </si>
  <si>
    <t>WOS:000356880700006</t>
  </si>
  <si>
    <t>Lesieur, O; Leloup, M; Gonzalez, F; Mamzer, MF</t>
  </si>
  <si>
    <t>Lesieur, Olivier; Leloup, Maxime; Gonzalez, Frederic; Mamzer, Marie-France</t>
  </si>
  <si>
    <t>EPILAT Study Grp</t>
  </si>
  <si>
    <t>Withholding or withdrawal of treatment under French rules: a study performed in 43 intensive care units</t>
  </si>
  <si>
    <t>ANNALS OF INTENSIVE CARE</t>
  </si>
  <si>
    <t>Withholding treatment; Life support care; Medical futility; Prognosis; Brain injury; Advance directives</t>
  </si>
  <si>
    <t>OF-LIFE DECISIONS; MECHANICAL VENTILATION; SUSTAINING TREATMENT; ACUTE PHYSIOLOGY; END; ICU; ATTITUDES; SUPPORT; VARIABILITY; PHYSICIANS</t>
  </si>
  <si>
    <t>Background: In France, decisions to limit treatment fall under the Leonetti law adopted in 2005. Leading figures from the French world of politics, science, and justice recently claimed for amendments to the law, considering it incomplete. This study, conducted before any legislative change, aimed to investigate the procedural aspects of withholding/withdrawing treatment in French ICUs and their adequacy with the existing law. Methods: The characteristics of patients qualified for a withholding/withdrawal procedure were prospectively collected in 43 French ICUs. The study period (60 or 90 days under normal operating conditions) took place in the first half of 2013. Results: During the study period, 777 (14 %) of 5589 admitted patients and 584 (52 %) of 1132 patients dying in the ICU had their treatment withheld or withdrawn. Whereas 344 patients had treatment(s) withheld (i.e., not started or not increased if already engaged), 433 had one or more treatment(s) withdrawn. Withdrawal of treatment was applied in 156 of 223 (70 %) brain-injured patients, compared to 277 of 554 (50 %) patients with other reasons for admission (p &lt; 0.01). At the time of the decision-making, the patient's wishes were known in 181 (23 %) of the 777 cases in one or more different way(s): 73 (9.4 %) from the patient, 10 (1.3 %) by advance directives, 10 (1.3 %) through a designated trusted person, and 108 (13.9 %) reported by the family or close relatives. An external consultant was involved in less than half of all decisions (356 of 777, 46 %). Of the 777 patients qualified for a withholding/withdrawal procedure, 133 (17 %) were discharged alive from the hospital (126 after withholding, 7 after withdrawal). Conclusions: More than half of deaths in the study population occurred after a decision to withhold or withdraw treatment. Among patients under withholding/withdrawal procedures, brain-injured subjects were more likely to undergo a withdrawal procedure. The prevalence of advance directives and designated trusted persons was low. Because patients' preferences were unknown in more than three quarters of cases, decisions remained primarily based on medical judgment. Limitations, especially withholding of treatment, did not preclude survival and hospital discharge.</t>
  </si>
  <si>
    <t>[Lesieur, Olivier; Leloup, Maxime] CH St Louis, Reanimat, F-17019 La Rochelle, France; [Lesieur, Olivier; Gonzalez, Frederic; Mamzer, Marie-France] Univ Paris 05, EA 4569, F-75006 Paris, France; [Gonzalez, Frederic] CHU Avicenne, Reanimat Med Chirurgicale, F-93000 Bobigny, France</t>
  </si>
  <si>
    <t>Lesieur, O (corresponding author), CH St Louis, Reanimat, F-17019 La Rochelle, France.</t>
  </si>
  <si>
    <t>olivier.lesieur@gmail.com</t>
  </si>
  <si>
    <t>Mamzer, Marie-France/V-1713-2017; lesieur, olivier/X-7745-2019</t>
  </si>
  <si>
    <t>Mamzer, Marie-France/0000-0001-7570-1803; lesieur, olivier/0000-0001-9135-2041; antok, emmanuel/0000-0003-4462-0052; QUENOT, Jean-Pierre/0000-0003-2351-682X</t>
  </si>
  <si>
    <t>AADAIRC (Association d'Aide a Domicile aux Insuffisants Respiratoires Chroniques); Ouest-Transplant</t>
  </si>
  <si>
    <t>This study was supported by the non-profit organizations AADAIRC (Association d'Aide a Domicile aux Insuffisants Respiratoires Chroniques) and Ouest-Transplant. The authors thank Marie-Line Cras, Nicolas Girard, and all the contributors (cited in the next paragraph) for their help in the implementation of the survey.</t>
  </si>
  <si>
    <t>SPRINGEROPEN</t>
  </si>
  <si>
    <t>2110-5820</t>
  </si>
  <si>
    <t>ANN INTENSIVE CARE</t>
  </si>
  <si>
    <t>Ann. Intensive Care</t>
  </si>
  <si>
    <t>10.1186/s13613-015-0056-x</t>
  </si>
  <si>
    <t>Critical Care Medicine</t>
  </si>
  <si>
    <t>CN5AO</t>
  </si>
  <si>
    <t>WOS:000358442000001</t>
  </si>
  <si>
    <t>Liedtke, C; Baedeker, C; Hasselkuss, M; Rohn, H; Grinewitschus, V</t>
  </si>
  <si>
    <t>Liedtke, Christa; Baedeker, Carolin; Hasselkuss, Marco; Rohn, Holger; Grinewitschus, Viktor</t>
  </si>
  <si>
    <t>User-integrated innovation in Sustainable LivingLabs: an experimental infrastructure for researching and developing sustainable product service systems</t>
  </si>
  <si>
    <t>LivingLab; Sustainable product service systems; Experiments; Open innovation; Sustainable consumption and production; Resource efficiency and protection</t>
  </si>
  <si>
    <t>CONSUMPTION; GOVERNANCE; CULTURE</t>
  </si>
  <si>
    <t>A key challenge of the 21st century is to transform society into one that features sustainable patterns of production and consumption. To achieve this, transition processes need to be designed in key areas such as housing, mobility and nutrition. The design and large-scale implementation of sustainable product service systems (PSS) is regarded a promising approach for sustainability transitions. Real-life socio-technical experiments are an important infrastructure for designing PSS in collaboration with stakeholders and users. In this paper, we argue that transdisciplinary and action research methods are required for institutionalising an experimental set-up and developing PSS within such infrastructures. We present the Sustainable LivingLabs (SLL) research infrastructure and its methodology as an example of such experimental settings. It was collaboratively developed with key stakeholders in three consecutive research projects and applied to e.g. heating and space heating. We show new qualities of SLL in relation to existing LivingLabs and approaches for PSS design and present its methodological three-phase model (insight research, prototyping, field testing) of research. Our article contributes to knowledge on a methodological framework and tool-kit for PSS development in SLL with a clear focus on socio-ecological sustainability. Intermediate findings confirm the high influence of user practices on heating energy consumption and show starting points for PSS development: e.g. transformational products, home-automation combined with consulting along value chains. We hypothesise that developing PSS in user- and stakeholder-integrated settings supports acceptance and diffusion and, by taking into account users' social practices of utilising novelties, reduces rebound effects caused by incorrect application. (C) 2014 Elsevier Ltd. All rights reserved.</t>
  </si>
  <si>
    <t>[Liedtke, Christa] Wuppertal Inst Climate Environm &amp; Energy, Essen, Germany; [Liedtke, Christa] Folkwang Univ Arts, Essen, Germany; [Baedeker, Carolin; Hasselkuss, Marco; Rohn, Holger] Wuppertal Inst Climate Environm &amp; Energy, Wuppertal, Germany; [Grinewitschus, Viktor] Univ Appl Sci, Hsch Ruhr West, Mulheim, Germany</t>
  </si>
  <si>
    <t>Baedeker, C (corresponding author), Doeppersberg 19, D-42106 Wuppertal, Germany.</t>
  </si>
  <si>
    <t>carolin.baedeker@wupperinst.org</t>
  </si>
  <si>
    <t>Baedeker, Carolin/0000-0001-8587-6527; Liedtke, Christa/0000-0003-2499-6431; Hasselkuss, Marco/0000-0002-3999-2364</t>
  </si>
  <si>
    <t>10.1016/j.jclepro.2014.04.070</t>
  </si>
  <si>
    <t>CJ3GG</t>
  </si>
  <si>
    <t>WOS:000355370800010</t>
  </si>
  <si>
    <t>SERVICES</t>
  </si>
  <si>
    <t>[Chima, Charles Chikodili; Homedes, Nuria] Univ Texas Hlth Sci Ctr Houston, Sch Publ Hlth, Houston, TX 77004 USA</t>
  </si>
  <si>
    <t>Chima, CC (corresponding author), Univ Texas Hlth Sci Ctr Houston, Healthcare Transformat Initiat, 1200 Binz St,Suite 730, Houston, TX 77004 USA.</t>
  </si>
  <si>
    <t>chimacharles@gmail.com</t>
  </si>
  <si>
    <t>UNIV EDINBURGH, GLOBAL HEALTH SOC</t>
  </si>
  <si>
    <t>CENTRE POPULATION HEALTH SCIENCES, OLD MEDICAL SCH, TEVIOT PL, EDINBURGH, EH8 9AG, SCOTLAND</t>
  </si>
  <si>
    <t>J GLOB HEALTH</t>
  </si>
  <si>
    <t>J. Glob. Health</t>
  </si>
  <si>
    <t>DE4RZ</t>
  </si>
  <si>
    <t>Rush, A; Christiansen, JH; Farrell, JP; Goode, SM; Scott, RJ; Spring, KJ; Byrne, JA</t>
  </si>
  <si>
    <t>Rush, Amanda; Christiansen, Jeffrey H.; Farrell, Jake P.; Goode, Susan M.; Scott, Rodney J.; Spring, Kevin J.; Byrne, Jennifer A.</t>
  </si>
  <si>
    <t>Biobank Classification in an Australian Setting</t>
  </si>
  <si>
    <t>BIOPRESERVATION AND BIOBANKING</t>
  </si>
  <si>
    <t>BUSINESS MODEL; USER FEES; NETWORK; BIOREPOSITORIES; SUSTAINABILITY; FUTURE; CTRNET; GAP</t>
  </si>
  <si>
    <t>In 2011, Watson and Barnes proposed a schema for classifying biobanks into 3 groups (mono-, oligo-, and poly-user), primarily based upon biospecimen access policies. We used results from a recent comprehensive survey of cancer biobanks in New South Wales, Australia to assess the applicability of this biobank classification schema in an Australian setting. Cancer biobanks were identified using publically available data, and by consulting with research managers. A comprehensive survey was developed and administered through a face-to-face setting. Data were analyzed using Microsoft Excel 2010 and IBM SPSS Statistics version 21.0. The cancer biobank cohort (n=23) represented 5 mono-user biobanks, 7 oligo-user biobanks, and 11 poly-user biobanks, and was analyzed as two groups (mono-/oligo- versus poly-user biobanks). Poly-user biobanks employed significantly more full-time equivalent staff, and were significantly more likely to have a website, share staff between biobanks, access governance support, utilize quality control measures, be aware of biobanking best practice documents, and offer staff training. Mono-/oligo-user biobanks were significantly more likely to seek advice from other biobanks. Our results further delineate a biobank classification system that is primarily based on access policy, and demonstrate its relevance in an Australian setting.</t>
  </si>
  <si>
    <t>[Rush, Amanda; Byrne, Jennifer A.] Kids Res Inst, Childrens Canc Res Unit, Westmead, NSW, Australia; [Christiansen, Jeffrey H.; Farrell, Jake P.] Intersect Pty Ltd, Sydney, NSW, Australia; [Goode, Susan M.; Scott, Rodney J.] Hunter Med Res Inst, New Lambton, NSW, Australia; [Spring, Kevin J.] Ingham Inst, Liverpool, NSW, Australia; [Spring, Kevin J.] Univ Western Sydney, Liverpool Clin Sch, Liverpool, NSW, Australia; [Byrne, Jennifer A.] Univ Sydney, Discipline Paediat &amp; Child Hlth, Childrens Hosp Westmead, Westmead, NSW 2145, Australia</t>
  </si>
  <si>
    <t>Byrne, JA (corresponding author), Childrens Hosp Westmead, Childrens Canc Res Unit, Locked Bag 4001, Westmead, NSW 2145, Australia.</t>
  </si>
  <si>
    <t>jennifer.byrne@health.nsw.gov.au</t>
  </si>
  <si>
    <t>Rush, Amanda/ABD-3077-2020; Rush, Amanda/AFO-5668-2022; Rush, Amanda/AAZ-5391-2020; Scott, Rodney/B-2827-2013</t>
  </si>
  <si>
    <t>Rush, Amanda/0000-0002-8714-8547; Scott, Rodney/0000-0001-7724-3404; Christiansen, Jeff/0000-0002-8146-1225; Spring, Kevin/0000-0003-0601-924X; Byrne, Jennifer Anne/0000-0002-8923-0587</t>
  </si>
  <si>
    <t>Cancer Institute New South Wales [13/BIO/1-01]</t>
  </si>
  <si>
    <t>Cancer Institute New South Wales</t>
  </si>
  <si>
    <t>The authors would like to thank Dr. Liz Barnes (Kids Research Institute) for statistical advice, and Dr. Erdahl Teber and Mr. Matloob Khushi (Kids Cancer Alliance), Dr. Sonia Yip (Sydney Catalyst Translational Cancer Research Centre), Professor Nick Hawkins (Translational Cancer Research Network), Professor Anna DeFazio and Professor Christine Clarke (Sydney West Translational Cancer Research Centre), and Associate Professor Deborah Marsh (Sydney Vital) for project discussions. We also gratefully acknowledge Cancer Institute New South Wales for providing funding for this project (Grant ID: 13/BIO/1-01), and all survey interviewees for their input.</t>
  </si>
  <si>
    <t>1947-5535</t>
  </si>
  <si>
    <t>1947-5543</t>
  </si>
  <si>
    <t>BIOPRESERV BIOBANK</t>
  </si>
  <si>
    <t>Biopreserv. Biobank.</t>
  </si>
  <si>
    <t>10.1089/bio.2015.0007</t>
  </si>
  <si>
    <t>Cell Biology; Chemistry, Applied; Medical Laboratory Technology</t>
  </si>
  <si>
    <t>Cell Biology; Chemistry; Medical Laboratory Technology</t>
  </si>
  <si>
    <t>CV0KQ</t>
  </si>
  <si>
    <t>WOS:000363940000010</t>
  </si>
  <si>
    <t>Greisberger, H</t>
  </si>
  <si>
    <t>Greisberger, H.</t>
  </si>
  <si>
    <t>Strategies for the energy transformation: energy efficiency and effective energy consulting</t>
  </si>
  <si>
    <t>ELEKTROTECHNIK UND INFORMATIONSTECHNIK</t>
  </si>
  <si>
    <t>transformation of the energy system; energy efficiency; energy consulting</t>
  </si>
  <si>
    <t>The shift towards a sustainable energy system based on high efficiency and renewable energy sources is the project of this century. Despite the success of renewable energy sources, this transformation can only be successful on the basis of a comprehensive energy efficiency policy, involving technological, economic and social factors in parallel.</t>
  </si>
  <si>
    <t>Energie &amp; Umweltagentur NO, A-3100 St Polten, Austria</t>
  </si>
  <si>
    <t>Greisberger, H (corresponding author), Energie &amp; Umweltagentur NO, Grenzgasse 10, A-3100 St Polten, Austria.</t>
  </si>
  <si>
    <t>herbert.greisberger@enu.at</t>
  </si>
  <si>
    <t>SPRINGER WIEN</t>
  </si>
  <si>
    <t>WIEN</t>
  </si>
  <si>
    <t>SACHSENPLATZ 4-6, PO BOX 89, A-1201 WIEN, AUSTRIA</t>
  </si>
  <si>
    <t>0932-383X</t>
  </si>
  <si>
    <t>1613-7620</t>
  </si>
  <si>
    <t>ELEKTROTECH INFORMAT</t>
  </si>
  <si>
    <t>Elektrotech. Informationstechnik</t>
  </si>
  <si>
    <t>10.1007/s00502-015-0295-4</t>
  </si>
  <si>
    <t>Engineering, Electrical &amp; Electronic</t>
  </si>
  <si>
    <t>CL2UK</t>
  </si>
  <si>
    <t>WOS:000356800600011</t>
  </si>
  <si>
    <t>Benyon, D; Mival, O</t>
  </si>
  <si>
    <t>Benyon, David; Mival, Oli</t>
  </si>
  <si>
    <t>Blended Spaces for Collaboration</t>
  </si>
  <si>
    <t>COMPUTER SUPPORTED COOPERATIVE WORK-THE JOURNAL OF COLLABORATIVE COMPUTING AND WORK PRACTICES</t>
  </si>
  <si>
    <t>Interaction design; Collaboration; Multi-touch; Multi-surface environment; Interactive environments; Blended spaces; TACIT framework</t>
  </si>
  <si>
    <t>In this paper, we reflect on our experiences of designing, developing, implementing and using a number of real world, functional, multi-touch enabled Interactive Collaborative Environments (ICEs). We created an ICE in our university in order to explore issues of interaction design and of user experience in these types of environment. This ICE has been in use for the last 4 years and has been the focus of a number of empirical studies and observations. In addition we have also undertaken considerable consultancy and contract research work for a range of commercial clients as they seek to deliver innovative environments for collaboration that suit their own needs for collaboration. These consultancies have included a mobile collaborative environment for a county police force in California, the redesign of a multinational pharmaceutical company's meeting rooms, the design of an oil rig control system and an innovation centre for an international call centre. In this paper we aim to distill these experiences and to provide theoretical and practical advice for designers of ICEs. Our theoretical position derives from the application of conceptual integration, to create 'blended spaces' - environments where the design of physical and digital spaces are closely integrated. We have also identified five key themes of interaction in ICEs derived from our own observations and those of others who have been looking at collaboration over a number of years. We present these themes as a critical design framework, TACIT, that focuses on Territoriality, Awareness, Control, Interaction and Transitions in ICEs. We then present two case studies of the blended spaces and TACIT framework in use. The paper concludes by looking at the opportunities for creative collaboration that the next generation of interactive blended spaces provides.</t>
  </si>
  <si>
    <t>[Benyon, David; Mival, Oli] Edinburgh Napier Univ, Ctr Interact Design, Edinburgh, Midlothian, Scotland</t>
  </si>
  <si>
    <t>Benyon, D (corresponding author), Edinburgh Napier Univ, Ctr Interact Design, Edinburgh, Midlothian, Scotland.</t>
  </si>
  <si>
    <t>d.benyon@napier.ac.uk</t>
  </si>
  <si>
    <t>0925-9724</t>
  </si>
  <si>
    <t>1573-7551</t>
  </si>
  <si>
    <t>COMPUT SUPP COOP W J</t>
  </si>
  <si>
    <t>Comput. Support. Coop. Work</t>
  </si>
  <si>
    <t>10.1007/s10606-015-9223-8</t>
  </si>
  <si>
    <t>Computer Science, Interdisciplinary Applications</t>
  </si>
  <si>
    <t>CI7PX</t>
  </si>
  <si>
    <t>WOS:000354957500007</t>
  </si>
  <si>
    <t>state politics and policy; legislative studies; public opinion; interest groups</t>
  </si>
  <si>
    <t>CAMPAIGN CONTRIBUTIONS; CONSTITUENCY INFLUENCE; PAC CONTRIBUTIONS; MONEY; BEHAVIOR</t>
  </si>
  <si>
    <t>[Smith, Jeff] New Sch Social Res, New York, NY 10011 USA</t>
  </si>
  <si>
    <t>Smith, J (corresponding author), New Sch Social Res, Milano Sch Int Affairs Management &amp; Urban Policy, 72 5th Ave,Room 607, New York, NY 10011 USA.</t>
  </si>
  <si>
    <t>smithjr@newschool.edu</t>
  </si>
  <si>
    <t>POLIT RES QUART</t>
  </si>
  <si>
    <t>Polit. Res. Q.</t>
  </si>
  <si>
    <t>CI6IN</t>
  </si>
  <si>
    <t>Lillie, E; O'Donohoe, L; Shamambo, N; Bould, D; Ismailova, F; Kinnear, J</t>
  </si>
  <si>
    <t>Lillie, Edwardina; O'Donohoe, Lizanne; Shamambo, Naomi; Bould, Dylan; Ismailova, Feruza; Kinnear, John</t>
  </si>
  <si>
    <t>Peer training and co-learning in global health care</t>
  </si>
  <si>
    <t>Background : The Zambia Anaesthesia Development Project (ZADP) is a an international health care partnership between the UK and Zambia, designed to mutually benefit anaesthetic registrars from both countries in aspects deficient in their native training schemes. Context : The ZADP evolved from an initial plan to support a new anaesthesia training programme in Zambia, with visiting trainees providing continuity that was missing from short-term consultant visits. The primary goal of the project was to improve patient safety and care by delivering teaching, and by developing management, leadership and governance structures. An important reciprocal goal was to provide a unique training experience for a UK registrar in a resource-poor environment, including the resulting clinical and non-clinical challenges. Implications : The ZADP and the Zambia Master of Medicine (MM ed) Anaesthesia programme provides an example of a cross-cultural peer-directed co-learning model that benefits trainees from developed and developing postgraduate training programmes. This synergistic model is one that could be applied to other educational initiatives supported from overseas. This model not only adds a useful dimension to the educational support provided, but also embodies the principle of co-development that is so important to the sustainability of such projects.</t>
  </si>
  <si>
    <t>[O'Donohoe, Lizanne] Great Ormond St Hosp Sick Children, Dept Anaesthesia, London, England; [Shamambo, Naomi; Ismailova, Feruza] Univ Teaching Hosp, Dept Anaesthesia, Lusaka, Zambia; [Bould, Dylan] Childrens Hosp Eastern Ontario, Dept Anaesthesia, Ottawa, ON, Canada; [Kinnear, John] Anglia Ruskin Univ, Dept Anaesthesia, Chelmsford, England</t>
  </si>
  <si>
    <t>Lillie, E (corresponding author), Guys &amp; St Thomas Hosp, Dept Anaesthesia, 2nd Floor,Borough Wing,Great Maze Pond, London SE1 9RT, England.</t>
  </si>
  <si>
    <t>e.lillie@icloud.com</t>
  </si>
  <si>
    <t>10.1111/tct.12292</t>
  </si>
  <si>
    <t>V92NP</t>
  </si>
  <si>
    <t>WOS:000213000800010</t>
  </si>
  <si>
    <t>Africa; capacity building; data for decision making; ICT for development; developing countries; Kenya; knowledge management</t>
  </si>
  <si>
    <t>KNOWLEDGE MANAGEMENT</t>
  </si>
  <si>
    <t>[Juma, Charles; Sundsmo, Aaron; Maket, Boniface; Powell, Richard; Aluoch, Gilbert] Danya Int Inc, Nairobi, Kenya</t>
  </si>
  <si>
    <t>Sundsmo, A (corresponding author), Danya Int Inc, Nairobi, Kenya.</t>
  </si>
  <si>
    <t>PEPFAR Funding Source: Medline</t>
  </si>
  <si>
    <t>PEPFAR</t>
  </si>
  <si>
    <t>AFRICAN FIELD EPIDEMIOLOGY NETWORK-AFENET</t>
  </si>
  <si>
    <t>KAMPALA</t>
  </si>
  <si>
    <t>PO BOX 12874, KAMPALA, 00000, UGANDA</t>
  </si>
  <si>
    <t>PAN AFR MED J</t>
  </si>
  <si>
    <t>Pan Afr. Med. J.</t>
  </si>
  <si>
    <t>DM9WA</t>
  </si>
  <si>
    <t>Aldrees, T; Al-Eissa, S; Badri, M; Aljuhayman, A; Zamakhshary, M</t>
  </si>
  <si>
    <t>Aldrees, Turki; Al-Eissa, Sami; Badri, Motasim; Aljuhayman, Ahmed; Zamakhshary, Mohammed</t>
  </si>
  <si>
    <t>Physician job satisfaction in Saudi Arabia: insights from a tertiary hospital survey</t>
  </si>
  <si>
    <t>ANNALS OF SAUDI MEDICINE</t>
  </si>
  <si>
    <t>CAREER SATISFACTION; PROFESSIONAL SATISFACTION; MEDICINE</t>
  </si>
  <si>
    <t>Background AND OBJECTIVES: Job satisfaction refers to the extent to which people like or dislike their job. Job satisfaction varies across professions. Few studies have explored this issue among physicians in Saudi Arabia. The objective of this study is to determine the level and factors associated with job satisfaction among Saudi and non-Saudi physicians. METHODS: In this cross-sectional study conducted in a major tertiary hospital in Riyadh, a 5-point Likert scale structured questionnaire was used to collect data on a wide range of socio-demographic, practice environment characteristics and level and consequences of job satisfaction from practicing physicians (consultants or residents) across different medical specialties. Logistic regression models were fitted to determine factors associated with job satisfaction. RESULTS: Of 344 participants, 300 (87.2%) were Saudis, 252 (73%) males, 255 (74%) married, 188 (54.7%) consultants and age [median (IQR)] was 32 (27-42.7) years. Overall, 104 (30%) respondents were dissatisfied with their jobs. Intensive care physicians were the most dissatisfied physicians (50%). In a multiple logistic regression model, income satisfaction (odds ratio [OR]= 0.448 95% CI 0.278-0.723, P&lt;. 001) was the only factor independently associated with dissatisfaction. CONCLUSION: Factors adversely associated with physicians job satisfaction identified in this study should be addressed in governmental strategic planning aimed at improving the healthcare system and patient care.</t>
  </si>
  <si>
    <t>[Aldrees, Turki] Prince Sattam Bin Abdulaziz Univ, Coll Med, Dept Otolaryngol, Alkharj, Saudi Arabia; [Al-Eissa, Sami] Natl Guard Hosp, Dept Orthoped, Riyadh, Saudi Arabia; [Badri, Motasim] King Saud Bin Abdulaziz Univ Hlth Sci, Dept Biostat, Riyadh, Saudi Arabia; [Aljuhayman, Ahmed] Natl Guard Hosp, Dept Surg, Riyadh, Saudi Arabia; [Zamakhshary, Mohammed] Alfaisal Univ, Riyadh, Saudi Arabia; [Zamakhshary, Mohammed] Emory Univ, Atlanta, GA 30322 USA</t>
  </si>
  <si>
    <t>Aldrees, T (corresponding author), Salman Bin Abdulaziz Univ, Coll Med, Dept Otolaryngol, Al Kharj, Saudi Arabia.</t>
  </si>
  <si>
    <t>pt.turki@hotmail.com</t>
  </si>
  <si>
    <t>Badri, Motasim/E-1141-2013</t>
  </si>
  <si>
    <t>Badri, Motasim/0000-0002-5268-6492; Aljuhayman, Ahmed/0000-0002-2569-223X; AlEissa, Sami/0000-0002-7095-9650; Zamakhshary, Mohammed/0000-0001-8870-8684</t>
  </si>
  <si>
    <t>K FAISAL SPEC HOSP RES CENTRE</t>
  </si>
  <si>
    <t>RIYADH</t>
  </si>
  <si>
    <t>PUBLICATIONS OFFICE PO BOX 3354, RIYADH 11211, SAUDI ARABIA</t>
  </si>
  <si>
    <t>0256-4947</t>
  </si>
  <si>
    <t>1319-9226</t>
  </si>
  <si>
    <t>ANN SAUDI MED</t>
  </si>
  <si>
    <t>Ann. Saudi Med.</t>
  </si>
  <si>
    <t>10.5144/0256-4947.2015.210</t>
  </si>
  <si>
    <t>CV5WL</t>
  </si>
  <si>
    <t>WOS:000364342000004</t>
  </si>
  <si>
    <t>Agricultural policy; Agro-environmental measures; Fuzzy cognitive mapping (FCM); General Binding Rules; Stakeholder communication; Scottish agriculture</t>
  </si>
  <si>
    <t>SOCIAL-ECOLOGICAL SYSTEMS; MODELS; CONSERVATION; PERSPECTIVES; GOVERNANCE; KNOWLEDGE; EUROPE; WATER; ZONE; MAPS</t>
  </si>
  <si>
    <t>[Christen, Benjamin; Kjeldsen, Chris; Dalgaard, Tommy] Aarhus Univ, Dept Agroecol, DK-8830 Tjele, Denmark; [Martin-Ortega, Julia] James Hutton Inst, Social Econ &amp; Geog Sci, Aberdeen AB15 8QH, Scotland</t>
  </si>
  <si>
    <t>Christen, B (corresponding author), Aarhus Univ, Dept Agroecol, DK-8830 Tjele, Denmark.</t>
  </si>
  <si>
    <t>Chris.Kjeldsen@agro.au.dk</t>
  </si>
  <si>
    <t>Dalgaard, Tommy/0000-0001-8020-0034; Martin-Ortega, Julia/0000-0003-0002-6772; Kjeldsen, Chris/0000-0002-3100-8705</t>
  </si>
  <si>
    <t>DNMARK Strategic Research Alliance (Danish Nitrogen Mitigation Assessment: Research and Know-how for a sustainable, low-nitrogen food production); BUFFERTECH project - Danish Council for Strategic Research [12-132421]; Aarhus University Research Foundation; Scottish Government Rural Affairs and the Environment</t>
  </si>
  <si>
    <t>DNMARK Strategic Research Alliance (Danish Nitrogen Mitigation Assessment: Research and Know-how for a sustainable, low-nitrogen food production); BUFFERTECH project - Danish Council for Strategic Research; Aarhus University Research Foundation; Scottish Government Rural Affairs and the Environment</t>
  </si>
  <si>
    <t>This work has been supported by the DNMARK Strategic Research Alliance (Danish Nitrogen Mitigation Assessment: Research and Know-how for a sustainable, low-nitrogen food production, 2013-2017) (http://dnmark.org), and the BUFFERTECH project (http://buffertech.dk), funded by The Danish Council for Strategic Research (Ref. 12-132421) and the Aarhus University Research Foundation (http://auff.dk). Moreover, the case studies have been supported by the Scottish Government Rural Affairs and the Environment Strategic Research Programme 2011-2016 (Theme 2, WP2.3: effectiveness of measures to manage water quality). Centre for Expertise in Waters. In this context we would like to thank Andy Vinten (The James Hutton Institute) for invaluable support and also the participants in workshops for their important contributions. Special thanks to the participating farmers for their cooperation, time and openness.</t>
  </si>
  <si>
    <t>CH0WN</t>
  </si>
  <si>
    <t>Social issues; Stakeholders; Capture fisheries; Working conditions; Fish welfare; Product quality</t>
  </si>
  <si>
    <t>LIFE-CYCLE ASSESSMENT; IMPACT CATEGORIES; FISH; INDICATORS; SALMON; PAIN; FEAR</t>
  </si>
  <si>
    <t>[Veldhuizen, L. J. L.; Bokkers, E. A. M.; de Boer, I. J. M.] Wageningen Univ, Anim Prod Syst Grp, NL-6700 AH Wageningen, Netherlands; [Berentsen, P. B. M.] Wageningen Univ, Business Econ Grp, NL-6700 EW Wageningen, Netherlands</t>
  </si>
  <si>
    <t>Veldhuizen, LJL (corresponding author), Wageningen Univ, Anim Prod Syst Grp, POB 338, NL-6700 AH Wageningen, Netherlands.</t>
  </si>
  <si>
    <t>linda.veldhuizen@wur.nl</t>
  </si>
  <si>
    <t>Berentsen, Paul BM/P-6457-2014; de Boer, Imke/P-7107-2014; Bokkers, Eddie/A-9073-2015</t>
  </si>
  <si>
    <t>Berentsen, Paul BM/0000-0001-9675-1041; de Boer, Imke/0000-0002-0675-7528; Bokkers, Eddie/0000-0002-2000-7600</t>
  </si>
  <si>
    <t>project 'WhiteFish' - European Commission [286141]</t>
  </si>
  <si>
    <t>project 'WhiteFish' - European Commission</t>
  </si>
  <si>
    <t>This research is supported by the project 'WhiteFish', a research project to the benefit of small and medium enterprise associations that is funded by the European Commission (286141) under the Seventh Framework Program (FP7). The authors would like to thank Jonas Vidarsson, Kathryn Donnelly, Kine Mari Karlsen and Christoffer Krewer for their help in translating and distributing the surveys, and all stakeholders for participating in the surveys.</t>
  </si>
  <si>
    <t>CH0VV</t>
  </si>
  <si>
    <t>[De Roo, Gert] Univ Groningen, Fac Spatial Sci, Dept Planning &amp; Environm, Spatial Planning, NL-9700 AV Groningen, Netherlands; [Porter, Geoff] Northumbria Univ, Sustainable Cities Res Inst, Newcastle Upon Tyne NE1 8ST, Tyne &amp; Wear, England</t>
  </si>
  <si>
    <t>De Roo, G (corresponding author), Newcastle Univ, Newcastle Upon Tyne NE1 7RU, Tyne &amp; Wear, England.</t>
  </si>
  <si>
    <t>g.de.roo@rug.nls</t>
  </si>
  <si>
    <t>disP</t>
  </si>
  <si>
    <t>CP2GK</t>
  </si>
  <si>
    <t>DRR; technology sharing; platform; architecture; governance</t>
  </si>
  <si>
    <t>[Lee, Young-Jai] Dongguk Univ, Sch Business, MIS Dept, 30 Phildong Ro 1 Gil, Seoul 100715, South Korea</t>
  </si>
  <si>
    <t>Lee, YJ (corresponding author), Dongguk Univ, Sch Business, MIS Dept, 30 Phildong Ro 1 Gil, Seoul 100715, South Korea.</t>
  </si>
  <si>
    <t>yjlee@dgu.edu</t>
  </si>
  <si>
    <t>FUJI TECHNOLOGY PRESS LTD</t>
  </si>
  <si>
    <t>4F TORANOMON SANGYO BLDG, 2-29, TORANOMON 1-CHOME, MINATO-KU, TOKYO, 105-0001, JAPAN</t>
  </si>
  <si>
    <t>J DISASTER RES</t>
  </si>
  <si>
    <t>J. Disaster Res.</t>
  </si>
  <si>
    <t>VG8QZ</t>
  </si>
  <si>
    <t>dynamic monitoring; monitoring and evaluation; metadata; Shangri-La County; natural resources and environment</t>
  </si>
  <si>
    <t>SUSTAINABLE DEVELOPMENT; INDICATORS; INTERNET; THINGS</t>
  </si>
  <si>
    <t>[Dong, Rencai; Li, Ting; Li, Yuliang; Jiang, Tianqi; Li, Siyuan; Yan, Yan] Chinese Acad Sci, Res Ctr Ecoenvironm Sci, State Key Lab Urban &amp; Reg Ecol, Beijing 100085, Peoples R China; [Li, Qing] Xian Jiaotong Liverpool Univ, Dept Math Sci, Suzhou 215123, Jiangsu, Peoples R China</t>
  </si>
  <si>
    <t>Yan, Y (corresponding author), Chinese Acad Sci, Res Ctr Ecoenvironm Sci, State Key Lab Urban &amp; Reg Ecol, Beijing 100085, Peoples R China.</t>
  </si>
  <si>
    <t>yyan@rcees.ac.cn</t>
  </si>
  <si>
    <t>Dong, Rencai/AAW-2187-2021</t>
  </si>
  <si>
    <t>Dong, Rencai/0000-0002-7707-218X</t>
  </si>
  <si>
    <t>Supporting Program of the 12th Five-Year Plan for Science and Technology Research of China [2013BAJ04B03, 2011BAC09B08]</t>
  </si>
  <si>
    <t>Supporting Program of the 12th Five-Year Plan for Science and Technology Research of China</t>
  </si>
  <si>
    <t>This study was supported by the Supporting Program of the 12th Five-Year Plan for Science and Technology Research of China (2013BAJ04B03, 2011BAC09B08).</t>
  </si>
  <si>
    <t>INT J SUST DEV WORLD</t>
  </si>
  <si>
    <t>Int. J. Sustain. Dev. World Ecol.</t>
  </si>
  <si>
    <t>Green &amp; Sustainable Science &amp; Technology; Ecology</t>
  </si>
  <si>
    <t>CB8RR</t>
  </si>
  <si>
    <t>McConnell, T; O'Halloran, P; Donnelly, M; Porter, S</t>
  </si>
  <si>
    <t>McConnell, Tracey; O'Halloran, Peter; Donnelly, Michael; Porter, Sam</t>
  </si>
  <si>
    <t>Factors affecting the successful implementation and sustainability of the Liverpool Care Pathway for dying patients: a realist evaluation</t>
  </si>
  <si>
    <t>BMJ SUPPORTIVE &amp; PALLIATIVE CARE</t>
  </si>
  <si>
    <t>FACILITATION; KEY</t>
  </si>
  <si>
    <t>Objectives The Liverpool Care Pathway (LCP) for the dying patient was designed to improve end-of-life care in generalist healthcare settings. Controversy has led to its withdrawal in some jurisdictions. The main objective of this research was to identify the influences that facilitated or hindered successful LCP implementation. Method An organisational case study using realist evaluation in one health and social care trust in Northern Ireland. Two rounds of semistructured interviews were conducted with two policymakers and 22 participants with experience and/or involvement in management of the LCP during 2011 and 2012. Results Key resource inputs included facilitation with a view to maintaining LCP 'visibility', reducing anxiety among nurses and increasing their confidence regarding the delivery of end-of-life care; and nurse and medical education designed to increase professional self-efficacy, and reduce misuse and misunderstanding of the LCP. Key enabling contexts were consistent senior management support; ongoing education and training tailored to the needs of each professional group; and an organisational cultural change in the hospital setting that encompassed end-of-life care. Conclusions There is a need to appreciate the organisationally complex nature of intervening to improve end-of-life care. Successful implementation of evidence-based interventions for end-of-life care requires commitment to planning, training and ongoing review that takes account of different perspectives, institutional hierarchies and relationships, and the educational needs of professional disciplines. There is a need also to recognise that medical consultants require particular support in their role as gatekeepers and as a lead communication channel with patients and their relatives.</t>
  </si>
  <si>
    <t>[McConnell, Tracey; O'Halloran, Peter; Porter, Sam] Queens Univ Belfast, Sch Nursing &amp; Midwifery, Belfast BT9 7BL, Antrim, North Ireland; [Donnelly, Michael] Ctr Excellence Publ Hlth, Sch Med Dent &amp; Biomed Sci, Belfast, Antrim, North Ireland</t>
  </si>
  <si>
    <t>McConnell, T (corresponding author), Queens Univ Belfast, Sch Nursing &amp; Midwifery, Belfast BT9 7BL, Antrim, North Ireland.</t>
  </si>
  <si>
    <t>t.mcconnell@qub.ac.uk</t>
  </si>
  <si>
    <t>O'Halloran, Peter/0000-0002-0022-7331; MCCONNELL, Tracey/0000-0003-1292-8597</t>
  </si>
  <si>
    <t>Centre for Health Improvement, Queen's University Belfast; MRC [MR/K023241/1] Funding Source: UKRI</t>
  </si>
  <si>
    <t>Centre for Health Improvement, Queen's University Belfast; MRC(UK Research &amp; Innovation (UKRI)Medical Research Council UK (MRC))</t>
  </si>
  <si>
    <t>TM was supported during this work by a research studentship from the Centre for Health Improvement, Queen's University Belfast.</t>
  </si>
  <si>
    <t>2045-435X</t>
  </si>
  <si>
    <t>2045-4368</t>
  </si>
  <si>
    <t>BMJ SUPPORT PALLIAT</t>
  </si>
  <si>
    <t>BMJ Support. Palliat. Care</t>
  </si>
  <si>
    <t>10.1136/bmjspcare-2014-000723</t>
  </si>
  <si>
    <t>CQ4MT</t>
  </si>
  <si>
    <t>Green Accepted, Bronze</t>
  </si>
  <si>
    <t>WOS:000360579700013</t>
  </si>
  <si>
    <t>De Beelde, I; Tuybens, S</t>
  </si>
  <si>
    <t>De Beelde, Ignace; Tuybens, Sanne</t>
  </si>
  <si>
    <t>Enhancing the Credibility of Reporting on Corporate Social Responsibility in Europe</t>
  </si>
  <si>
    <t>corporate social responsibility; assurance; environmental policy; corporate governance; credibility of reporting</t>
  </si>
  <si>
    <t>SUSTAINABILITY REPORTS; ASSURANCE STATEMENTS; DETERMINANTS; SERVICES</t>
  </si>
  <si>
    <t>This paper studies variables that have an effect on the choice of whether or not reports on corporate social responsibility are assured and who is selected to provide assurance. Such assurance reports increase the credibility of environmental and social reporting. In a European sample we observe some differences from previous research. Overall, industry effects seem small, but size and media visibility have a significant impact on assuring CSR reports. It seems that companies differentiate less between auditors and consultants. Copyright (c) 2013 John Wiley &amp; Sons, Ltd and ERP Environment</t>
  </si>
  <si>
    <t>[De Beelde, Ignace; Tuybens, Sanne] Univ Ghent, B-9000 Ghent, Belgium; [De Beelde, Ignace] Grenoble Ecole Management, Grenoble, France</t>
  </si>
  <si>
    <t>De Beelde, I (corresponding author), Univ Ghent, B-9000 Ghent, Belgium.</t>
  </si>
  <si>
    <t>Ignace.DeBeelde@ugent.be</t>
  </si>
  <si>
    <t>10.1002/bse.1814</t>
  </si>
  <si>
    <t>CE5DX</t>
  </si>
  <si>
    <t>WOS:000351851800004</t>
  </si>
  <si>
    <t>Paulden, M; Stafinski, T; Menon, D; McCabe, C</t>
  </si>
  <si>
    <t>Paulden, Mike; Stafinski, Tania; Menon, Devidas; McCabe, Christopher</t>
  </si>
  <si>
    <t>Value-Based Reimbursement Decisions for Orphan Drugs: A Scoping Review and Decision Framework</t>
  </si>
  <si>
    <t>PHARMACOECONOMICS</t>
  </si>
  <si>
    <t>RARE DISEASES; BUDGET IMPACT; RESOURCE-ALLOCATION; COST-EFFECTIVENESS; FUNDING DRUGS; ACCESS; EUROPE; TECHNOLOGIES; POLICIES; WORLD</t>
  </si>
  <si>
    <t>Background The rate of development of new orphan drugs continues to grow. As a result, reimbursing orphan drugs on an exceptional basis is increasingly difficult to sustain from a health system perspective. An understanding of the value that societies attach to providing orphan drugs at the expense of other health technologies is now recognised as an important input to policy debates. Objective The aim of this work was to scope the social value arguments that have been advanced relating to the reimbursement of orphan drugs, and to locate these within a coherent decision-making framework to aid reimbursement decisions in the presence of limited healthcare resources. Methods A scoping review of the peer reviewed and grey literature was undertaken, consisting of seven phases: (1) identifying the research question; (2) searching for relevant studies; (3) selecting studies; (4) charting, extracting and tabulating data; (5) analyzing data; (6) consulting relevant experts; and (7) presenting results. The points within decision processes where the identified value arguments would be incorporated were then located. This mapping was used to construct a framework characterising the distinct role of each value in informing decision making. Results The scoping review identified 19 candidate decision factors, most of which can be characterised as either value-bearing or 'opportunity cost'-determining, and also a number of value propositions and pertinent sources of preference information. We were able to synthesize these into a coherent decision-making framework. Conclusion Our framework may be used to structure policy discussions and to aid transparency about the values underlying reimbursement decisions for orphan drugs. These values ought to be consistently applied to all technologies and populations affected by the decision.</t>
  </si>
  <si>
    <t>[Paulden, Mike; McCabe, Christopher] Univ Alberta, Dept Emergency Med, Edmonton, AB T6G 2T4, Canada; [Stafinski, Tania; Menon, Devidas] Univ Alberta, Sch Publ Hlth, Edmonton, AB, Canada</t>
  </si>
  <si>
    <t>Paulden, M (corresponding author), Univ Alberta, Dept Emergency Med, 736 Univ Terrace,8303 112 St, Edmonton, AB T6G 2T4, Canada.</t>
  </si>
  <si>
    <t>paulden@ualberta.ca</t>
  </si>
  <si>
    <t>McCabe, Christopher/E-2051-2016; Paulden, Michael/E-2061-2016</t>
  </si>
  <si>
    <t>Paulden, Mike/0000-0002-0381-5980</t>
  </si>
  <si>
    <t>CIHR; Genome Canada-CIHR; National Institute for Health Research [RP-PG-0707-10101] Funding Source: researchfish</t>
  </si>
  <si>
    <t>CIHR(Canadian Institutes of Health Research (CIHR)); Genome Canada-CIHR; National Institute for Health Research(National Institute for Health Research (NIHR))</t>
  </si>
  <si>
    <t>This work was supported by an Emerging Team grant from the CIHR for 'Developing Effective Policies for Managing Technologies for Rare Diseases', and from a grant provided through the Genome Canada-CIHR 2012 Large-Scale Applied Research Project Competition in Genomics and Personalized Health for 'PACE-'Omics: Personalized, Accessible, Cost-effective applications of ' Omics technologies'. The authors wish to acknowledge the support provided by the Promoting Rare-disease Innovations through Sustainable Mechanisms (PRISM) Collaborators Network. The authors are grateful to Andrea Dunn for her assistance with data extraction, Leigh-Ann Topfer for her guidance and support during the literature search and retrieval phase of this project, and Kerry Nield for her assistance in preparing the manuscript for submission. Mike Paulden, Tania Stafinski, Devidas Menon and Christopher McCabe have no conflicts of interest.</t>
  </si>
  <si>
    <t>ADIS INT LTD</t>
  </si>
  <si>
    <t>NORTHCOTE</t>
  </si>
  <si>
    <t>5 THE WAREHOUSE WAY, NORTHCOTE 0627, AUCKLAND, NEW ZEALAND</t>
  </si>
  <si>
    <t>1170-7690</t>
  </si>
  <si>
    <t>1179-2027</t>
  </si>
  <si>
    <t>Pharmacoeconomics</t>
  </si>
  <si>
    <t>10.1007/s40273-014-0235-x</t>
  </si>
  <si>
    <t>Economics; Health Care Sciences &amp; Services; Health Policy &amp; Services; Pharmacology &amp; Pharmacy</t>
  </si>
  <si>
    <t>Business &amp; Economics; Health Care Sciences &amp; Services; Pharmacology &amp; Pharmacy</t>
  </si>
  <si>
    <t>CC6NB</t>
  </si>
  <si>
    <t>Green Published, Green Submitted, hybrid</t>
  </si>
  <si>
    <t>WOS:000350480700007</t>
  </si>
  <si>
    <t>sustainability assurance; corporate governance; assurance providers; sustainability assurance determinants; Chief Sustainability Officers; environmental committees</t>
  </si>
  <si>
    <t>AUDIT COMMITTEE CHARACTERISTICS; INFORMATION ASYMMETRY; BOARD; QUALITY; DISCLOSURE; US; DETERMINANTS; PERFORMANCE; STATEMENTS; SERVICES</t>
  </si>
  <si>
    <t>[Peters, Gary F.] Univ Arkansas, Fayetteville, AR 72701 USA; [Romi, Andrea M.] Texas Tech Univ, Lubbock, TX 79409 USA</t>
  </si>
  <si>
    <t>Peters, GF (corresponding author), Univ Arkansas, Fayetteville, AR 72701 USA.</t>
  </si>
  <si>
    <t>Accounting Department at the University of Arkansas; School of Accounting at Texas Tech University</t>
  </si>
  <si>
    <t>We gratefully acknowledge W. Robert Knechel (senior editor), Jeffrey R. Cohen (editor), Roger Simnett (special issue editor), and two anonymous reviewers, as well as conference participants at the 2013 25th Annual CSEAR International Congress on Social and Environmental Accounting Research, St Andrews University, and the 2010 CSEAR American Congress on Social. and Environmental Accounting Conference. We thank the Accounting Department at the University of Arkansas and the School of Accounting at Texas Tech University for financial support.</t>
  </si>
  <si>
    <t>AMER ACCOUNTING ASSOC</t>
  </si>
  <si>
    <t>SARASOTA</t>
  </si>
  <si>
    <t>5717 BESSIE DR, SARASOTA, FL 34233 USA</t>
  </si>
  <si>
    <t>AUDITING-J PRACT TH</t>
  </si>
  <si>
    <t>Audit.-J. Pract. Theory</t>
  </si>
  <si>
    <t>CB7JV</t>
  </si>
  <si>
    <t>Environmental; innovation; R&amp;D; collaboration; performance</t>
  </si>
  <si>
    <t>[Pippel, Gunnar] Halle Inst Econ Res Halle, Sachsen Anhalt, Germany</t>
  </si>
  <si>
    <t>Pippel, G (corresponding author), Halle Inst Econ Res Halle, Sachsen Anhalt, Germany.</t>
  </si>
  <si>
    <t>gunnar.pippel@iwh-halle.de</t>
  </si>
  <si>
    <t>INT J INNOV MANAG</t>
  </si>
  <si>
    <t>Int. J. Innov. Manag.</t>
  </si>
  <si>
    <t>V0S1U</t>
  </si>
  <si>
    <t>Entrepreneurial intentions; Academic entrepreneurship; Organizational culture; Organizational climate</t>
  </si>
  <si>
    <t>TECHNOLOGY-TRANSFER OFFICES; ACADEMIC ENTREPRENEURSHIP; UNIVERSITY ENTREPRENEURSHIP; ENGINEERING STUDENTS; SELF-EFFICACY; ROLE-MODELS; KNOWLEDGE; SCIENCE; PERFORMANCE; COMMERCIALIZATION</t>
  </si>
  <si>
    <t>[Huyghe, Annelore; Knockaert, Mirjam] Univ Ghent, B-9000 Ghent, Belgium; [Knockaert, Mirjam] Univ Oslo, Ctr Entrepreneurship, Oslo, Norway</t>
  </si>
  <si>
    <t>Huyghe, A (corresponding author), Univ Ghent, Tweekerkenstr 2, B-9000 Ghent, Belgium.</t>
  </si>
  <si>
    <t>annelore.huyghe@ugent.be; mirjam.knockaert@ugent.be</t>
  </si>
  <si>
    <t>J TECHNOL TRANSFER</t>
  </si>
  <si>
    <t>J. Technol. Transf.</t>
  </si>
  <si>
    <t>AZ4LM</t>
  </si>
  <si>
    <t>Health Impact Assessments, Regulation, and the Unconventional Gas Industry in the UK: Exploiting Resources, Ideology, and Expertise?</t>
  </si>
  <si>
    <t>NEW SOLUTIONS-A JOURNAL OF ENVIRONMENTAL AND OCCUPATIONAL HEALTH POLICY</t>
  </si>
  <si>
    <t>health impact assessments; unconventional gas extraction; public health; regulation</t>
  </si>
  <si>
    <t>NATURAL-GAS; ENVIRONMENTAL-HEALTH; RISK; FRACKING</t>
  </si>
  <si>
    <t>Health impact assessments (HIAs) across the globe may be used by governments and industries to secure approval for unconventional gas extraction developments. HIA is an umbrella term that covers an array of health review and assessment practices, ranging from the very general to quite specific and technical health studies. Our concern in this paper is principally with the specialist end of the HIA continuum and particularly its application to unconventional gas extraction in the UK. We outline the context within which HIAs in unconventional gas extraction may be conducted. We then explain what HIAs may do. HIAs are often commissioned from consultancy companies to assess unconventional gas extraction project risks and benefits and propose mitigation measures. Communities can rarely afford HIAs in the planning process and may consider them biased when commissioned by vested interests. The oil and gas industry uses these techniques for its own ends. Hiring experts, be they specialist consultants, researchers, lobbyists, ex-government officials, or regulators, to influence planning and regulation is a well-tried tactic and structural advantage exploited by industry in seeking license to operate. Equitable and ethical HIA principles are urgently needed in the UK in relation to unconventional gas to secure the integrity and probity of the emerging regulatory system and address concerns regarding unregulated practitioners.</t>
  </si>
  <si>
    <t>[Watterson, Andrew] Univ Stirling, Hlth, Stirling, Scotland; [Watterson, Andrew] Univ Stirling, Ctr Publ Hlth &amp; Populat Hlth Res, Stirling, Scotland; [Watterson, Andrew] Univ Stirling, Occupat &amp; Environm Hlth Res Grp, Sch Hlth Sci, RG Bomont Bldg R3T11, Stirling FK9 4LA, Scotland; [Dinan, William] Univ Stirling, Commun Media &amp; Culture, Sch Arts &amp; Humanities, Stirling, Scotland</t>
  </si>
  <si>
    <t>Watterson, A (corresponding author), Univ Stirling, Occupat &amp; Environm Hlth Res Grp, Sch Hlth Sci, RG Bomont Bldg R3T11, Stirling FK9 4LA, Scotland.</t>
  </si>
  <si>
    <t>aew1@stir.ac.uk</t>
  </si>
  <si>
    <t>1048-2911</t>
  </si>
  <si>
    <t>1541-3772</t>
  </si>
  <si>
    <t>NEW SOLUT</t>
  </si>
  <si>
    <t>New Solut.</t>
  </si>
  <si>
    <t>10.1177/1048291115615074</t>
  </si>
  <si>
    <t>VE6OP</t>
  </si>
  <si>
    <t>WOS:000439921100007</t>
  </si>
  <si>
    <t>environmental indicator; stakeholder dialogue; modular construction; mixed tenure; building performance evaluation; post occupancy analysis; high-density residential developments</t>
  </si>
  <si>
    <t>[Higgins, David; Moore, Trivess] RMIT Univ, Melbourne, Vic, Australia</t>
  </si>
  <si>
    <t>Higgins, D (corresponding author), RMIT Univ, Melbourne, Vic, Australia.</t>
  </si>
  <si>
    <t>david.higgins@rmit.edu.au</t>
  </si>
  <si>
    <t>PAC RIM PROP RES J</t>
  </si>
  <si>
    <t>Pac. Rim Prop. Res. J.</t>
  </si>
  <si>
    <t>CH8BW</t>
  </si>
  <si>
    <t>gender; careers; segregation; management consultancy; flexibility</t>
  </si>
  <si>
    <t>WORK-FAMILY BALANCE; FLEXIBLE WORKING; CONSEQUENCES; EMPLOYMENT; BRITAIN; BORDERS; WOMEN</t>
  </si>
  <si>
    <t>Birmingham Business Sch, Birmingham, W Midlands, England</t>
  </si>
  <si>
    <t>Donnelly, R (corresponding author), Birmingham Business Sch, Univ House, Birmingham, W Midlands, England.</t>
  </si>
  <si>
    <t>r.donnelly@bham.ac.uk</t>
  </si>
  <si>
    <t>AT7QN</t>
  </si>
  <si>
    <t>periurban; urban-rural partnership; resilience; ecotone</t>
  </si>
  <si>
    <t>CITIES; FACE</t>
  </si>
  <si>
    <t>[Colucci, A.] Politecn Milan, COOPERATE Srl, Resiliencelab, DASTU, Milan, Italy</t>
  </si>
  <si>
    <t>Colucci, A (corresponding author), Politecn Milan, COOPERATE Srl, Resiliencelab, DASTU, Milan, Italy.</t>
  </si>
  <si>
    <t>angela.colucci@polimi.it</t>
  </si>
  <si>
    <t>UNIV STUDI NAPOLI FEDERICO II, DIPT PIANIFICAZIONE &amp; SCIENZA TERRITORIO</t>
  </si>
  <si>
    <t>NAPLES</t>
  </si>
  <si>
    <t>PIAZZALE TECCHIO 80, NAPLES, 80125, ITALY</t>
  </si>
  <si>
    <t>TEMA</t>
  </si>
  <si>
    <t>TeMA</t>
  </si>
  <si>
    <t>DX6PQ</t>
  </si>
  <si>
    <t>open access; public policies; humanities and social sciences publishing; journals</t>
  </si>
  <si>
    <t>[Minon, Marc; Parisot, Thomas; Bureau, Stephane] Cairn Info, 26 Rue Edouard Lockroy, F-75011 Paris, France</t>
  </si>
  <si>
    <t>Minon, M (corresponding author), Cairn Info, 26 Rue Edouard Lockroy, F-75011 Paris, France.</t>
  </si>
  <si>
    <t>marc.minon@cairn.info; thomas.parisot@cairn.info; stephane.bureau@cairn.info</t>
  </si>
  <si>
    <t>SOC HISTOIRE MODERNE CONTEMPORAINE</t>
  </si>
  <si>
    <t>RHMC, BUREAU 114, 56 RUE JACOB, F-75006 PARIS, FRANCE</t>
  </si>
  <si>
    <t>REV HIST MOD CONTEMP</t>
  </si>
  <si>
    <t>Rev. Hist. Mod. Contemp.</t>
  </si>
  <si>
    <t>DR7NW</t>
  </si>
  <si>
    <t>Environmental Management; Environmental Education; Public Policy; Professional Education</t>
  </si>
  <si>
    <t>[Paula, J. L.; Henrique, A. L. S.] Inst Fed Educ Ciencia &amp; Tecnol Rio Grande Norte, Natal, RN, Brazil</t>
  </si>
  <si>
    <t>Paula, JL (corresponding author), Inst Fed Educ Ciencia &amp; Tecnol Rio Grande Norte, Natal, RN, Brazil.</t>
  </si>
  <si>
    <t>ana.henrique@ifrn.edu.br</t>
  </si>
  <si>
    <t>Henrique, Ana Lúcia Sarmento/AAK-6397-2020</t>
  </si>
  <si>
    <t>CENTRO FEDERAL EDUCACAO TECNOLOGICA RIO GRANDE NORTE</t>
  </si>
  <si>
    <t>RIO GRANDE DO NORTE</t>
  </si>
  <si>
    <t>AVE SEN SALGADO FILHO, 1559, TIRO, NATAL, RIO GRANDE DO NORTE, 59015-000, BRAZIL</t>
  </si>
  <si>
    <t>Holos</t>
  </si>
  <si>
    <t>DC3CC</t>
  </si>
  <si>
    <t>Smyth, E; Steyn, M; Esteves, AM; Franks, DM; Vaz, K</t>
  </si>
  <si>
    <t>Smyth, Eddie; Steyn, Michael; Esteves, Ana Maria; Franks, Daniel M.; Vaz, Kemal</t>
  </si>
  <si>
    <t>Five 'big' issues for land access, resettlement and livelihood restoration practice: findings of an international symposium</t>
  </si>
  <si>
    <t>land access; resettlement; livelihoods; social impact assessment; development; sustainable development</t>
  </si>
  <si>
    <t>This paper synthesises findings of a recent IAIA Symposium on Resettlement and Livelihoods (South Africa, October 2014). Over 250 practitioners from 42 countries attended, representing governments, private sector, academia, impacted communities, civil society international financial institutions (IFIs) and consultants. Five 'big' themes emerged: (1) land access and resettlement practice falls short of community expectations, with negative impacts on livelihoods of displaced people, absence of meaningful involvement by communities in decision-making and inadequate benefits from projects. (2) The best practice standards of IFIs are converging. Countries are also increasingly putting in place legislation, but there remains significant scope to improve legislative frameworks and align them closer with international good practice. (3) Livelihood restoration is not being properly planned or implemented. Finding replacement land is increasingly difficult. Women, youth and the vulnerable need more of a voice and more livelihood support. Livelihood restoration is a long-term process and can be better integrated with broader community development efforts. (4) Projects need to start planning and engagement early and more thoroughly. (5) Resettlement practice is improving but requires more resources.</t>
  </si>
  <si>
    <t>[Smyth, Eddie] Intersocial Consulting Ltd, Monasterevin, County Kildare, Ireland; [Steyn, Michael] Intersocial Consulting Ltd, Oakville, ON L6M OJ9, Canada; [Esteves, Ana Maria] Community Insights Grp Ltd, NL-9711 JC Groningen, Netherlands; [Franks, Daniel M.] Univ Queensland, Sustainable Minerals Inst, Ctr Social Responsibil Min, St Lucia, Qld 4072, Australia; [Vaz, Kemal] Verde Azul Consult Lda, Maputo, Mozambique</t>
  </si>
  <si>
    <t>Smyth, E (corresponding author), Intersocial Consulting Ltd, Monasterevin, County Kildare, Ireland.</t>
  </si>
  <si>
    <t>eddiesmyth@intersocialconsulting.com</t>
  </si>
  <si>
    <t>Franks, Daniel M/F-8505-2012</t>
  </si>
  <si>
    <t>Franks, Daniel M/0000-0003-1217-2128; Esteves, Ana Maria/0000-0001-6591-8283</t>
  </si>
  <si>
    <t>10.1080/14615517.2015.1037665</t>
  </si>
  <si>
    <t>DB7BL</t>
  </si>
  <si>
    <t>WOS:000368669300005</t>
  </si>
  <si>
    <t>Cambodia; challenges; consultants; ESIA; quality</t>
  </si>
  <si>
    <t>INCENTIVES; EIA</t>
  </si>
  <si>
    <t>[Chanthy, Sam; Gruenbuehel, Clemens M.] Asian Inst Technol AIT, Sch Environm Resources &amp; Dev, POB 4, Klongluang 12120, Pathumthani, Thailand</t>
  </si>
  <si>
    <t>Chanthy, S (corresponding author), Asian Inst Technol AIT, Sch Environm Resources &amp; Dev, POB 4, Klongluang 12120, Pathumthani, Thailand.</t>
  </si>
  <si>
    <t>sam.chanthy@ait.asia</t>
  </si>
  <si>
    <t>Norwegian Scholarship provided through the Norwegian Embassy in Thailand; Ministry of Environment, Royal Government of Cambodia</t>
  </si>
  <si>
    <t>The authors would like to acknowledge financial support from a Norwegian Scholarship provided through the Norwegian Embassy in Thailand, the Ministry of Environment, Royal Government of Cambodia, the participants in the study, and the anonymous reviewers for their comments.</t>
  </si>
  <si>
    <t>Corporate Social Responsibility Reporting; Sustainability Reporting; Determinants; Drivers And Barriers; Public Sector Role</t>
  </si>
  <si>
    <t>CORPORATE SOCIAL-RESPONSIBILITY; BUSINESS; TRANSPARENCY; GOVERNMENTS; PERFORMANCE; DISCLOSURES; MANAGEMENT; GOVERNANCE</t>
  </si>
  <si>
    <t>[Habek, Patrycja; Wolniak, Radoslaw] Silesian Tech Univ, Roosevelta St 26-28, PL-41800 Zabrze, Poland</t>
  </si>
  <si>
    <t>Habek, P (corresponding author), Silesian Tech Univ, Roosevelta St 26-28, PL-41800 Zabrze, Poland.</t>
  </si>
  <si>
    <t>patrycja.habek@polsl.pl; radoslaw.wolniak@polsl.pl</t>
  </si>
  <si>
    <t>Hąbek, Patrycja/T-3192-2018; Wolniak, Radoslaw/P-7146-2017</t>
  </si>
  <si>
    <t>Hąbek, Patrycja/0000-0002-7545-1637; Wolniak, Radoslaw/0000-0003-0317-9811</t>
  </si>
  <si>
    <t>National Science Centre Poland [DEC-2011/03/B/HS4/01790]</t>
  </si>
  <si>
    <t>National Science Centre Poland(National Science Centre, Poland)</t>
  </si>
  <si>
    <t>This paper has been prepared under the project funded by the National Science Centre Poland awarded on the basis of a decision number DEC-2011/03/B/HS4/01790</t>
  </si>
  <si>
    <t>KAUNAS UNIV TECHNOL</t>
  </si>
  <si>
    <t>KAUNAS</t>
  </si>
  <si>
    <t>LAISVES AL 55, KAUNAS, 44309, LITHUANIA</t>
  </si>
  <si>
    <t>INZ EKON</t>
  </si>
  <si>
    <t>Inz. Ekon.</t>
  </si>
  <si>
    <t>DB4ZW</t>
  </si>
  <si>
    <t>[Blumm, Michael C.] Lewis &amp; Clark Law Sch, Law, Portland, OR 97219 USA</t>
  </si>
  <si>
    <t>Blumm, MC (corresponding author), Lewis &amp; Clark Law Sch, Law, Portland, OR 97219 USA.</t>
  </si>
  <si>
    <t>UNIV CALIFORNIA  BERKELEY SCH LAW</t>
  </si>
  <si>
    <t>BERKELEY</t>
  </si>
  <si>
    <t>BOAT HALL, 588 SIMON HALL, BERKELEY, CA 94720-7200 USA</t>
  </si>
  <si>
    <t>ECOL LAW QUART</t>
  </si>
  <si>
    <t>Ecol. Law Q.</t>
  </si>
  <si>
    <t>Environmental Studies; Law</t>
  </si>
  <si>
    <t>DA0QH</t>
  </si>
  <si>
    <t>ENVIRONMENTAL JUSTICE; DECISION-MAKING; TRANSPORTATION; PARTICIPATION; DESIGN; CHALLENGES</t>
  </si>
  <si>
    <t>[Bailey, Keiron] Univ Arizona, Sch Geog &amp; Dev, Tucson, AZ 85712 USA; [Grossardt, Ted; Ripy, John] Univ Kentucky, Kentucky Transportat Ctr, Lexington, KY 40506 USA</t>
  </si>
  <si>
    <t>Bailey, K (corresponding author), Univ Arizona, Sch Geog &amp; Dev, Harvill Bldg,Box 2,1103 East 2nd St, Tucson, AZ 85712 USA.</t>
  </si>
  <si>
    <t>kbailey@email.arizona.edu</t>
  </si>
  <si>
    <t>CW6YM</t>
  </si>
  <si>
    <t>Stanimirovic, D; Vintar, M</t>
  </si>
  <si>
    <t>Stanimirovic, Dalibor; Vintar, Mirko</t>
  </si>
  <si>
    <t>The role of information and communication technology in the transformation of the healthcare business model: a case study of Slovenia</t>
  </si>
  <si>
    <t>HEALTH INFORMATION MANAGEMENT JOURNAL</t>
  </si>
  <si>
    <t>Health Care Economics and Organisations; Health Information Management; Systems Analysis; Information Services; Health Care Quality,Access, and Evaluation; Health Information Systems; Health Policy; Health Services Administration; Slovenia</t>
  </si>
  <si>
    <t>EFFICIENCY; DETERMINANTS; STRATEGY; QUALITY; IMPACT</t>
  </si>
  <si>
    <t>Background: The Slovenian healthcare business model (BM) has largely failed to integrate information and communication technologies (ICT) into its operational context, instead maintaining its rigid structure and traditional 'way of doing business'. This situation often results in uncoordinated business operations, while additionally destabilising an already underfinanced healthcare system and compromising the general quality of healthcare. Aim: The aim of this study is to provide an analysis of the BM concept and its implications, and to identify the potential effects of informatisation on the existing healthcare BM in Slovenia. Based on the findings, the paper concludes by presenting a conceptualisation of a transformed healthcare BM adapted to the Slovenian healthcare environment. Method: The study employs a single explanatory/exploratory case study design, while the validation of the hypothesised constructs was undertaken through structured interviews with twelve prominent experts from the Slovenian healthcare system. Interviewees were: healthcare professionals (two general practitioners and two specialists), ICT experts from healthcare (one ICT consultant and three analysts), and healthcare managers (two managers of public healthcare centres and two managers of public clinics). Results: Findings present a roadmap for the redefinition of BM elements and the transformation of the Slovenian healthcare BM. It includes the specific reconfiguration of BM actors and their interactions, and the application of advanced ICT solutions, which could facilitate more effective utilisation of healthcare resources and promote an improved delivery of healthcare services and products. Conclusion: The presented development approach and derived conceptual solution could be transferable to other countries with similar socio-economic characteristics and comparable healthcare systems, subject to certain adjustments and inclusion of national specifics.</t>
  </si>
  <si>
    <t>[Stanimirovic, Dalibor; Vintar, Mirko] Univ Ljubljana, Fac Adm, Inst Informatisat Adm, Ljubljana 1000, Slovenia</t>
  </si>
  <si>
    <t>Stanimirovic, D (corresponding author), Univ Ljubljana, Fac Adm, Inst Informatisat Adm, Gosarjeva 5, Ljubljana 1000, Slovenia.</t>
  </si>
  <si>
    <t>dalibor.stanimirovic@fu.uni-lj.si</t>
  </si>
  <si>
    <t>1833-3583</t>
  </si>
  <si>
    <t>1833-3575</t>
  </si>
  <si>
    <t>HEALTH INF MANAG J</t>
  </si>
  <si>
    <t>Health Inf. Manag. J.</t>
  </si>
  <si>
    <t>10.1177/183335831504400203</t>
  </si>
  <si>
    <t>Health Policy &amp; Services; Medical Informatics</t>
  </si>
  <si>
    <t>CU0CA</t>
  </si>
  <si>
    <t>WOS:000363182000003</t>
  </si>
  <si>
    <t>political consultants; technological change; power relations; news cycle; social media</t>
  </si>
  <si>
    <t>MEDIA; NETWORKS</t>
  </si>
  <si>
    <t>Boston Coll, Chestnut Hill, MA 02167 USA</t>
  </si>
  <si>
    <t>Serazio, M (corresponding author), Boston Coll, Chestnut Hill, MA 02167 USA.</t>
  </si>
  <si>
    <t>michael.serazio@bc.edu</t>
  </si>
  <si>
    <t>USC ANNENBERG PRESS</t>
  </si>
  <si>
    <t>LOS ANGELES</t>
  </si>
  <si>
    <t>UNIV SOUTHERN CALIFORNIA, KERCKHOFF HALL, 734 W ADAMS BLVD, MC7725, LOS ANGELES, CA 90089 USA</t>
  </si>
  <si>
    <t>INT J COMMUN-US</t>
  </si>
  <si>
    <t>Int. J. Commun.</t>
  </si>
  <si>
    <t>CS3MA</t>
  </si>
  <si>
    <t>Procurement; BIM; Finance; Management; Collaboration; Fees</t>
  </si>
  <si>
    <t>[Eadie, Robert; Browne, Mike; Odeyinka, Henry; McKeown, Clare] Univ Ulster, Sch Built Environm, Newtownabbey, North Ireland; [McNiff, Sean] WDR &amp; RT Taggart, Architects &amp; Engineers Dept, Belfast, Antrim, North Ireland</t>
  </si>
  <si>
    <t>Eadie, R (corresponding author), Univ Ulster, Sch Built Environm, Newtownabbey, North Ireland.</t>
  </si>
  <si>
    <t>r.eadie@ulster.ac.uk</t>
  </si>
  <si>
    <t>CO8TM</t>
  </si>
  <si>
    <t>UK; Sustainability; Leadership; Construction organizations; Leadership role</t>
  </si>
  <si>
    <t>CONTEXTS; DESIGN</t>
  </si>
  <si>
    <t>[Opoku, Alex] London S Bank Univ, Dept Built Environm, Quant Surveying, London, England; [Cruickshank, Heather] Univ Cambridge, Ctr Sustainable Dev, Cambridge, England; [Ahmed, Vian] Univ Salford, Sch Built Environm, Built Environm, Manchester, Lancs, England; [Ahmed, Vian] Univ Salford, Sch Built Environm, Postgrad Res Studies, Manchester, Lancs, England</t>
  </si>
  <si>
    <t>Opoku, A (corresponding author), London S Bank Univ, Dept Built Environm, Quant Surveying, London, England.</t>
  </si>
  <si>
    <t>opokua@lsbu.ac.uk</t>
  </si>
  <si>
    <t>CO8TR</t>
  </si>
  <si>
    <t>Sustainability; Social and governance assurance; Internal audit</t>
  </si>
  <si>
    <t>GREENHOUSE-GAS; MANAGEMENT-SYSTEMS; ORGANIZATIONS; DISCLOSURES</t>
  </si>
  <si>
    <t>[Soh, Dominic S. B.; Martinov-Bennie, Nonna] Macquarie Univ, Dept Accounting &amp; Corp Governance, Sydney, NSW 2109, Australia</t>
  </si>
  <si>
    <t>Soh, DSB (corresponding author), Macquarie Univ, Dept Accounting &amp; Corp Governance, Sydney, NSW 2109, Australia.</t>
  </si>
  <si>
    <t>MANAG AUDIT J</t>
  </si>
  <si>
    <t>Manag. Audit. J.</t>
  </si>
  <si>
    <t>Business, Finance; Management</t>
  </si>
  <si>
    <t>CJ7TH</t>
  </si>
  <si>
    <t>ethical behaviour; ethics; King III code; corporate governance; HR management</t>
  </si>
  <si>
    <t>[de Beer, Frank; du Toit, Daniel Hercules] North West Univ, Optentia Res Focus Area, Vanderbijlpark, South Africa</t>
  </si>
  <si>
    <t>de Beer, F (corresponding author), North West Univ, Optentia Res Focus Area, Vanderbijlpark, South Africa.</t>
  </si>
  <si>
    <t>UNIV PRETORIA, DEPT ECONOMICS</t>
  </si>
  <si>
    <t>TUKKIEWERF 1-11, PRETORIA, 0002, SOUTH AFRICA</t>
  </si>
  <si>
    <t>S AFR J ECON MANAG S</t>
  </si>
  <si>
    <t>S. Afr. J. Econ. Manag. Sci.</t>
  </si>
  <si>
    <t>CK2LI</t>
  </si>
  <si>
    <t>urban sanitation; sustainability; equity; South Africa</t>
  </si>
  <si>
    <t>[Pan, S. M.; Armitage, N. P.; van Ryneveld, M. B.] Univ Cape Town, Dept Civil Engn, ZA-7701 Rondebosch, South Africa</t>
  </si>
  <si>
    <t>Pan, SM (corresponding author), Univ Cape Town, Dept Civil Engn, Private Bag X3, ZA-7701 Rondebosch, South Africa.</t>
  </si>
  <si>
    <t>sphpan001@myuct.ac.za</t>
  </si>
  <si>
    <t>Armitage, Neil/0000-0003-3704-3648</t>
  </si>
  <si>
    <t>UNESCO-IHE; Bill and Melinda Gates Foundation</t>
  </si>
  <si>
    <t>UNESCO-IHE; Bill and Melinda Gates Foundation(Bill &amp; Melinda Gates Foundation)</t>
  </si>
  <si>
    <t>The research which supported this paper was funded by UNESCO-IHE, which received grant funding from the Bill and Melinda Gates Foundation as part of a multi-institutional research project entitled 'Stimulating Local Innovation on Sanitation for the Urban Poor in Sub-Saharan Africa and Southeast Asia'.</t>
  </si>
  <si>
    <t>WATER RESEARCH COMMISSION</t>
  </si>
  <si>
    <t>PO BOX 824, PRETORIA 0001, SOUTH AFRICA</t>
  </si>
  <si>
    <t>CK1SB</t>
  </si>
  <si>
    <t>Environment and public health; inter-institutional relations; environment design; chronic disease</t>
  </si>
  <si>
    <t>BUILT ENVIRONMENT</t>
  </si>
  <si>
    <t>[Miro, Alice] Heart &amp; Stroke Fdn, Vancouver, BC V6H 3V2, Canada; [Perrotta, Kim] Heart &amp; Stroke Fdn, Hamilton, ON, Canada; [Evans, Heather] Heather Evans Consulting, Garibaldi Highlands, BC, Canada; [Kishchuk, Natalie A.] Program Evaluat &amp; Beyond Inc, Montreal, PQ, Canada; [Gram, Claire] Vancouver Coastal Hlth, Vancouver, BC, Canada; [Stanwick, Richard S.] Isl Hlth, Masset, BC, Canada; [Swinkels, Helena M.] Fraser Hlth Author, Surrey, BC, Canada</t>
  </si>
  <si>
    <t>Miro, A (corresponding author), Heart &amp; Stroke Fdn, 200-1212 West Broadway, Vancouver, BC V6H 3V2, Canada.</t>
  </si>
  <si>
    <t>amiro@hsf.bc.ca</t>
  </si>
  <si>
    <t>Health Canada, through the Canadian Partnership Against Cancer's CLASP (Coalitions Linking Action and Science for Prevention) Initiative; Heart and Stroke Foundation of Canada (BC Yukon); Real Estate Foundation of British Columbia; Bullitt Foundation</t>
  </si>
  <si>
    <t>Health Canada, through the Canadian Partnership Against Cancer's CLASP (Coalitions Linking Action and Science for Prevention) Initiative; Heart and Stroke Foundation of Canada (BC Yukon)(Heart &amp; Stroke Foundation of Canada); Real Estate Foundation of British Columbia; Bullitt Foundation</t>
  </si>
  <si>
    <t>The public health intervention described in this article was made possible through financial contributions from Health Canada, through the Canadian Partnership Against Cancer's CLASP (Coalitions Linking Action and Science for Prevention) Initiative, the Heart and Stroke Foundation of Canada (BC &amp; Yukon), the Real Estate Foundation of British Columbia, and the Bullitt Foundation. The following organizations also provided in-kind support towards the project described: the Heart and Stroke Foundation of Canada, Fraser Health, Island Health, Vancouver Coastal Health, and the BC Healthy Built Environment Alliance through the BC Provincial Health Services Authority. We wholeheartedly thank the following individuals for their help in reviewing this manuscript and/or providing data: Marla Steinberg and Andi Cuddington (formerly of the CAPTURE project), and Julia McFarlane (Island Health).</t>
  </si>
  <si>
    <t>CAN J PUBLIC HEALTH</t>
  </si>
  <si>
    <t>Can. J. Public Health-Rev. Can. Sante Publ.</t>
  </si>
  <si>
    <t>CG4BY</t>
  </si>
  <si>
    <t>Rutgers State Univ, Piscataway, NJ 08854 USA</t>
  </si>
  <si>
    <t>Schuler, RS (corresponding author), Rutgers State Univ, 94 Rockafeller Rd, Piscataway, NJ 08854 USA.</t>
  </si>
  <si>
    <t>schuler@smlr.rutgers.edu</t>
  </si>
  <si>
    <t>ORGAN DYN</t>
  </si>
  <si>
    <t>Organ. Dyn.</t>
  </si>
  <si>
    <t>Business; Psychology, Applied; Management</t>
  </si>
  <si>
    <t>Business &amp; Economics; Psychology</t>
  </si>
  <si>
    <t>CD6IU</t>
  </si>
  <si>
    <t>Cheng, JW; Wu, Y; Xu, HM; Liu, J; Yang, YK; Deng, HJ; Wang, Y</t>
  </si>
  <si>
    <t>Cheng, Jianwei; Wu, Yan; Xu, Haiming; Liu, Jin; Yang, Yekang; Deng, Huangjun; Wang, Yi</t>
  </si>
  <si>
    <t>Comprehensive and Integrated Mine Ventilation Consultation Model - CIMVCM</t>
  </si>
  <si>
    <t>Underground mine ventilation; Optimization; Mining environmental control; Risk identification and mitigation; Computer integrated software</t>
  </si>
  <si>
    <t>Since the beginning of mining, the problems induced by ventilation in underground coal mining practices have prompted great needs of reliable consulting tools to assist mining engineers, government agencies or researchers' investigating and analyzing the mine ventilation system, or making any ventilation managements. Due to the development of mining method and modern mining (e.g. longwall mining) employed in recent years, the mentioned needs become more and more critical for mine operators. In this paper, a PC based computer mine ventilation consultation software model developed by the authors is introduced. This model is called CIMVCM (Comprehensive and Integrated Mine Ventilation Consultation Model). The computer model is a comprehensive, reliable and user-friendly one. The nature of comprehensive means the model can be used to consult the system's rational reliability allocation, can assist engineers to select the best ventilation plan from multiple candidate ones, can quantitatively rate a system's potential risk and safety degree and also can check the system's reliability based on field observations. All of those works are very important to mine operators understanding the system and then taking proper measures to, control the potential risk. In addition to that, usages of developed computer program are also very easy. Users can operate the program without possessing an in-depth knowledge on computer and mathematical theory. Until today, CIMVCM has been successfully employed in numerous cases of designing and assessing various mine ventilation systems during the past decades. The reliability of mathematical models used in CIMVCM has also been proven by such applications. (C) 2014 Elsevier Ltd. All rights reserved.</t>
  </si>
  <si>
    <t>[Cheng, Jianwei] China Univ Min &amp; Technol, Coal Mines Coll Safety Engn, Key Lab Gas &amp; Fire Control, Xuzhou 221116, Jiangsu, Peoples R China; [Wu, Yan; Xu, Haiming; Liu, Jin; Yang, Yekang; Deng, Huangjun; Wang, Yi] China Univ Min &amp; Technol, Coll Comp Sci &amp; Engn, Xuzhou 221116, Jiangsu, Peoples R China</t>
  </si>
  <si>
    <t>Cheng, JW (corresponding author), China Univ Min &amp; Technol, Coal Mines Coll Safety Engn, Key Lab Gas &amp; Fire Control, Xuzhou 221116, Jiangsu, Peoples R China.</t>
  </si>
  <si>
    <t>jchengwvu@gmail.com</t>
  </si>
  <si>
    <t>Cheng, Jianwei/O-9241-2015</t>
  </si>
  <si>
    <t>Cheng, Jianwei/0000-0003-4915-6295</t>
  </si>
  <si>
    <t>Fundamental Research Funds for Central Universities [2013QNA01]; National Science Foundation of China [51304203]; Natural Science Foundation of Jiangsu Province of China for Youths [BK20130191]; Specialized Research Fund for the Doctoral Program of Higher Education [20130095120001]; Program for Changjiang Scholars and Innovative Research Team in University [IRT13098]; Priority Academic Program Development of Jiangsu Higher Education Institutions</t>
  </si>
  <si>
    <t>Fundamental Research Funds for Central Universities(Fundamental Research Funds for the Central Universities); National Science Foundation of China(National Natural Science Foundation of China (NSFC)); Natural Science Foundation of Jiangsu Province of China for Youths; Specialized Research Fund for the Doctoral Program of Higher Education(Specialized Research Fund for the Doctoral Program of Higher Education (SRFDP)); Program for Changjiang Scholars and Innovative Research Team in University(Program for Changjiang Scholars &amp; Innovative Research Team in University (PCSIRT)); Priority Academic Program Development of Jiangsu Higher Education Institutions</t>
  </si>
  <si>
    <t>This work is financially supported by grants from the Fundamental Research Funds for Central Universities (Grant No. 2013QNA01), the National Science Foundation of China (Grant No. 51304203), the Natural Science Foundation of Jiangsu Province of China for Youths (Grant No. BK20130191) and Specialized Research Fund for the Doctoral Program of Higher Education (Grant No. 20130095120001); the Program for Changjiang Scholars and Innovative Research Team in University (IRT13098) and Priority Academic Program Development of Jiangsu Higher Education Institutions; the authors are grateful for these supports.</t>
  </si>
  <si>
    <t>TUNN UNDERGR SP TECH</t>
  </si>
  <si>
    <t>Tunn. Undergr. Space Technol.</t>
  </si>
  <si>
    <t>10.1016/j.tust.2014.09.004</t>
  </si>
  <si>
    <t>AX6HC</t>
  </si>
  <si>
    <t>WOS:000347022600015</t>
  </si>
  <si>
    <t>Jarrahi, MH; Sawyer, S</t>
  </si>
  <si>
    <t>Jarrahi, Mohammad Hossein; Sawyer, Steve</t>
  </si>
  <si>
    <t>Theorizing on the Take-Up of Social Technologies, Organizational Policies and Norms, and Consultants' Knowledge-Sharing Practices</t>
  </si>
  <si>
    <t>JOURNAL OF THE ASSOCIATION FOR INFORMATION SCIENCE AND TECHNOLOGY</t>
  </si>
  <si>
    <t>knowledge and information; information workers; organization theory</t>
  </si>
  <si>
    <t>INFORMATION-TECHNOLOGY; MEDIA USE; E-MAIL; MANAGEMENT; EXCHANGE; BEHAVIOR</t>
  </si>
  <si>
    <t>We identify the effects of specific organizational norms, arrangements, and policies regarding uses of social technologies for informal knowledge sharing by consultants. For this study, the term social technologies refers to the fast-evolving suite of tools such as traditional applications like e-mail, phone, and instant messenger; emerging social networking platforms (often known as social media) such as blogs and wikis; public social networking sites (i.e., Facebook, Twitter, and LinkedIn); and enterprise social networking technologies that are specifically hosted within one organization's computing environment (i.e., Socialtext). Building from structuration theory, the analysis presented focuses on the knowledge practices of consultants related to their uses of social technologies and the ways in which organizational norms and policies influence these practices. A primary contribution of this research is a detailed contextualization of social technology uses by knowledge workers. As many organizations are allowing social media-enabled knowledge sharing to develop organically, most corporate policy toward these platforms remains defensive, not strategic, limiting opportunities. Implications for uses and expectations of social technologies arising from this research will help organizations craft relevant policies and rules to best support technology-enabled informal knowledge practices.</t>
  </si>
  <si>
    <t>[Jarrahi, Mohammad Hossein] Univ N Carolina, Sch Informat &amp; Lib Sci, Chapel Hill, NC 27599 USA; [Sawyer, Steve] Syracuse Univ, Sch Informat Studies, Syracuse, NY 13244 USA</t>
  </si>
  <si>
    <t>Jarrahi, MH (corresponding author), Univ N Carolina, Sch Informat &amp; Lib Sci, 200 Manning Hall, Chapel Hill, NC 27599 USA.</t>
  </si>
  <si>
    <t>jarrahi@unc.edu; ssawyer@syr.edu</t>
  </si>
  <si>
    <t>Sawyer, Steve/0000-0001-5277-5148</t>
  </si>
  <si>
    <t>iSchool at Syracuse University; United States' National Science Foundation [IIS-0742687, 0852688]</t>
  </si>
  <si>
    <t>iSchool at Syracuse University; United States' National Science Foundation(National Science Foundation (NSF))</t>
  </si>
  <si>
    <t>Funding for this research is provided in part by the Katzer doctoral research fund in the iSchool at Syracuse University and the United States' National Science Foundation via grants IIS-0742687 and 0852688.</t>
  </si>
  <si>
    <t>2330-1635</t>
  </si>
  <si>
    <t>2330-1643</t>
  </si>
  <si>
    <t>J ASSOC INF SCI TECH</t>
  </si>
  <si>
    <t>10.1002/asi.23161</t>
  </si>
  <si>
    <t>AW6EA</t>
  </si>
  <si>
    <t>WOS:000346361000011</t>
  </si>
  <si>
    <t>TYRE INFLATION PRESSURE; SUGAR-BEET HARVESTERS; HIGH AXLE LOAD; SUBSOIL COMPACTION; PRECOMPRESSION STRESS; VERTICAL STRESS; NITROUS-OXIDE; GAS-TRANSPORT; MECHANICAL-PROPERTIES; PORE CHARACTERISTICS</t>
  </si>
  <si>
    <t>[Schjonning, Per; Greve, Mogens H.; Lamande, Mathieu] Aarhus Univ, Dept Agroecol, Tjele, Denmark; [van den Akker, Jan J. H.] Wageningen Univ &amp; Res, Alterra, Wageningen, Netherlands; [Keller, Thomas] Agroscope, Dept Nat Resources &amp; Agr, Zurich, Switzerland; [Keller, Thomas; Arvidsson, Johan] Swedish Univ Agr Sci, Dept Soil &amp; Environm, Uppsala, Sweden; [Simojoki, Asko] Univ Helsinki, Dept Food &amp; Environm Sci, Helsinki, Finland; [Stettler, Matthias] Bern Univ Appl Sci, Sch Agr Forest &amp; Food Sci HAFL, Zollikofen, Switzerland; [Breuning-Madsen, Henrik] Univ Copenhagen, Dept Geog &amp; Geol, Copenhagen, Denmark</t>
  </si>
  <si>
    <t>Schjonning, P (corresponding author), Aarhus Univ, Dept Agroecol, Tjele, Denmark.</t>
  </si>
  <si>
    <t>Per.Schjonning@agro.au.dk</t>
  </si>
  <si>
    <t>Simojoki, Asko/Y-8194-2019; Schjønning, Per/F-1417-2016; Lamandé, Mathieu/E-9988-2016; Keller, Thomas/AAC-3317-2019</t>
  </si>
  <si>
    <t>Simojoki, Asko/0000-0003-2397-3553; Lamandé, Mathieu/0000-0003-4211-9395; Keller, Thomas/0000-0002-9383-3209; Schjonning, Per/0000-0002-9362-1003</t>
  </si>
  <si>
    <t>ELSEVIER ACADEMIC PRESS INC</t>
  </si>
  <si>
    <t>525 B STREET, SUITE 1900, SAN DIEGO, CA 92101-4495 USA</t>
  </si>
  <si>
    <t>BD7NF</t>
  </si>
  <si>
    <t>Public housing; project success; political factor; economic factor; social factor</t>
  </si>
  <si>
    <t>CONSTRUCTION PROJECTS</t>
  </si>
  <si>
    <t>[Musa, Mohammed Mukhtar; Bin Amirudin, Roslan] Univ Technol, Dept Quant Surveying, Johor Baharu, Johor, Malaysia; [Sofield, Trevor] Univ Tasmania, Sch Management, Hobart, Tas 7001, Australia; [Musa, Mohammed Aminu] Ahmadu Bello Univ, Dept Architecture, Zaria, Nigeria</t>
  </si>
  <si>
    <t>Musa, MM (corresponding author), Univ Technol, Dept Quant Surveying, Johor Baharu, Johor, Malaysia.</t>
  </si>
  <si>
    <t>mmmukhtar99@gmail.com</t>
  </si>
  <si>
    <t>DC4FU</t>
  </si>
  <si>
    <t>O'Donoghue, S; McGrath, D; Cullen, W</t>
  </si>
  <si>
    <t>O'Donoghue, Sinead; McGrath, Deidre; Cullen, Walter</t>
  </si>
  <si>
    <t>How do longitudinal clerkships in general practice/primary care impact on student experience and career intention? A cross-sectional study of student experience</t>
  </si>
  <si>
    <t>EDUCATION FOR PRIMARY CARE</t>
  </si>
  <si>
    <t>active learning; family medicine; general practice careers; longitudinal clerkships; primary care; undergraduate medical education</t>
  </si>
  <si>
    <t>Introduction Internationally, the amount of time that medical students spend in community settings has increased in recent years. 'Longitudinal clerkships', which involve a prolonged exposure, are now common. In Ireland, medical education policy has promoted community-based education across medical schools, including one with a longitudinal clerkship of one semester duration. Aims To examine medical students' experience of a longitudinal clerkship in general practice/primary care, its impact on career preference and the factors which students find most important in supporting their learning. Methods Quantitative cross-sectional study of students who had recently completed a longitudinal clerkship at the Graduate-Entry Medical School at University of Limerick involving an online survey. Results Most students agreed the intended learning outcomes of the clerkship had been achieved. Activity such as two-way feedback with GP tutors, assisting with procedural skills and parallel consulting were rated as of greatest educational value. Students identified internet access, a safe/unthreatening learning environment, and feeling part of the clinical team as the practice attributes most important in supporting their learning. Twenty-six (41%) intended to pursue a career in general practice/primary care and 46 (72%) indicated they were more likely to pursue a career in general practice/primary care after the clerkship. The clerkship was a positive influence on career intentions, with 63% of those who indicated that general practice/primary care was not their current preferred career option reporting they were significantly more likely to pursue this option after the clerkship (chi(2) = 3.52, P &lt; 0.05). Conclusion Our findings indicate that longitudinal clerkships are effective in helping students to achieve their intended learning outcomes and identify the student activity and practice attributes that are most important in promoting their learning.</t>
  </si>
  <si>
    <t>[O'Donoghue, Sinead] Univ Limerick, Grad Entry Med Sch, Limerick, Ireland; [O'Donoghue, Sinead] Univ Notre Dame, Perth, WA, Australia; [McGrath, Deidre] Univ Limerick, Grad Entry Med Sch, Educ, Limerick, Ireland; [Cullen, Walter] Univ Limerick, Grad Entry Med Sch, Urban Gen Practice, Limerick, Ireland; [Cullen, Walter] Univ Coll Dublin, Sch Med &amp; Med Sci, Dublin, Ireland</t>
  </si>
  <si>
    <t>Cullen, W (corresponding author), UCD Sch Med &amp; Med Sci, Hlth Sci, Dublin 4, Ireland.</t>
  </si>
  <si>
    <t>walter.cullen@ucd.ie</t>
  </si>
  <si>
    <t>Cullen, Walter/AAD-4327-2019</t>
  </si>
  <si>
    <t>Cullen, Walter/0000-0003-1838-5052</t>
  </si>
  <si>
    <t>1473-9879</t>
  </si>
  <si>
    <t>1475-990X</t>
  </si>
  <si>
    <t>EDUC PRIM CARE</t>
  </si>
  <si>
    <t>Educ. Prim. Care</t>
  </si>
  <si>
    <t>10.1080/14739879.2015.11494336</t>
  </si>
  <si>
    <t>VF3IR</t>
  </si>
  <si>
    <t>WOS:000442607500008</t>
  </si>
  <si>
    <t>Teng, CC; Horng, JS; Hu, IC</t>
  </si>
  <si>
    <t>Teng, Chih-Ching; Horng, Jeou-Shyan; Hu, I-Chen (Monica)</t>
  </si>
  <si>
    <t>Hotel Environmental Management Decisions: The Stakeholder Perspective</t>
  </si>
  <si>
    <t>INTERNATIONAL JOURNAL OF HOSPITALITY &amp; TOURISM ADMINISTRATION</t>
  </si>
  <si>
    <t>environmental management; environmental practices; hotel industry; stakeholder perspective</t>
  </si>
  <si>
    <t>SOCIAL-RESPONSIBILITY; GREEN; INDUSTRY; SUSTAINABILITY; TOURISM</t>
  </si>
  <si>
    <t>This study investigates stakeholder perceptions of the factors that are critical to the adoption of environmental management practices in international tourist hotels in Taiwan. The empirical data were based on 26 semistructured interviews with four types of stakeholders. According to the qualitative results, the themes that emerge associated with hotel owners/managers include economic concerns, top management commitment, and operational challenges to environmental practices. Environmental policies, regulations, and support are identified as the themes associated with government agencies. Moreover, the knowledge, consultancy, and professional assistance provided by academics and non-governmental organizations facilitate the acceptability and implementation of hotel environmental initiatives. The research implications highlight the need for communication and collaboration among stakeholders.</t>
  </si>
  <si>
    <t>[Teng, Chih-Ching] Fu Jen Catholic Univ, Dept Restaurant Hotel &amp; Inst Management, 510 Chung Cheng Rd, New Taipei 24205, Taiwan; [Horng, Jeou-Shyan] Shih Chien Univ, Dept Food &amp; Beverage Management, Taipei, Taiwan; [Hu, I-Chen (Monica)] Jinwen Univ Sci &amp; Technol, Dept Food &amp; Beverage Management, New Taipei, Taiwan</t>
  </si>
  <si>
    <t>Teng, CC (corresponding author), Fu Jen Catholic Univ, Dept Restaurant Hotel &amp; Inst Management, 510 Chung Cheng Rd, New Taipei 24205, Taiwan.</t>
  </si>
  <si>
    <t>075097@mail.fju.edu.tw</t>
  </si>
  <si>
    <t>Horng, Jeou-Shyan/AAT-1584-2021</t>
  </si>
  <si>
    <t>Teng, Chih-Ching/0000-0002-0424-4323</t>
  </si>
  <si>
    <t>1525-6480</t>
  </si>
  <si>
    <t>1525-6499</t>
  </si>
  <si>
    <t>INT J HOSP TOUR ADM</t>
  </si>
  <si>
    <t>Int. J. Hosp. Tour. Adm.</t>
  </si>
  <si>
    <t>10.1080/15256480.2015.991991</t>
  </si>
  <si>
    <t>V88TO</t>
  </si>
  <si>
    <t>WOS:000212745900005</t>
  </si>
  <si>
    <t>Profitability; SMEs; Cross-sectoral analysis; Resource-based approach; Sustainable growth</t>
  </si>
  <si>
    <t>RESOURCE-BASED VIEW; FIRM GROWTH; LIQUIDITY CONSTRAINTS; SIZE; DETERMINANTS; INVESTMENT; SELECTION; LEVERAGE; IMPACT; INNOVATION</t>
  </si>
  <si>
    <t>[Yazdanfar, Darush; Ohman, Peter] Mid Sweden Univ, Ctr Res Econ Relat, Dept Business Econ &amp; Law, Business Adm, Sundsvall, Sweden</t>
  </si>
  <si>
    <t>Yazdanfar, D (corresponding author), Mid Sweden Univ, Ctr Res Econ Relat, Dept Business Econ &amp; Law, Business Adm, Sundsvall, Sweden.</t>
  </si>
  <si>
    <t>darush.yazdanfar@miun.se</t>
  </si>
  <si>
    <t>INT J MANAG FINANC</t>
  </si>
  <si>
    <t>Int. J. Manag. Financ.</t>
  </si>
  <si>
    <t>V84QP</t>
  </si>
  <si>
    <t>transnational municipal networks; climate governance; Germany; climate change; urban transformation</t>
  </si>
  <si>
    <t>MULTILEVEL GOVERNANCE; CITIES; POLITICS; ADAPTATION; MITIGATION; CITY</t>
  </si>
  <si>
    <t>[Busch, Henner] Lund Univ, Ctr Sustainabil Studies LUCSUS, Lund, Sweden; [Busch, Henner] Lund Univ, Ctr Excellence Integrat Social &amp; Nat Dimens Susta, Lund, Sweden</t>
  </si>
  <si>
    <t>Busch, H (corresponding author), Lund Univ, Ctr Sustainabil Studies LUCSUS, Lund, Sweden.</t>
  </si>
  <si>
    <t>Henner.busch@lucsus.lu.se</t>
  </si>
  <si>
    <t>Linneus Centre LUCID (Lund University Centre of Excellence for the Integration of Social and Natural Dimensions of Sustainability) - Swedish Research Council Formas [259-2008-1718]</t>
  </si>
  <si>
    <t>Linneus Centre LUCID (Lund University Centre of Excellence for the Integration of Social and Natural Dimensions of Sustainability) - Swedish Research Council Formas</t>
  </si>
  <si>
    <t>This research was supported by the Linneus Centre LUCID (Lund University Centre of Excellence for the Integration of Social and Natural Dimensions of Sustainability) funded by the Swedish Research Council Formas [grant number 259-2008-1718]. No further funding has been received.</t>
  </si>
  <si>
    <t>INT J URBAN SUSTAIN</t>
  </si>
  <si>
    <t>Int. J. Urban Sustain. Dev.</t>
  </si>
  <si>
    <t>VD2XA</t>
  </si>
  <si>
    <t>Sustainable supply chain management; Cleaner production dissemination; Anchor companies</t>
  </si>
  <si>
    <t>MEDIUM-SIZED SUPPLIERS; CHAIN MANAGEMENT; ENVIRONMENTAL-MANAGEMENT; CAPABILITIES; DRIVERS; RESPONSIBILITY; RESOURCES; FRAMEWORK; POLICY; FIRM</t>
  </si>
  <si>
    <t>[van Hoof, Bart; Thiell, Marcus] Univ Los Andes, Sch Management, Bogota, Colombia</t>
  </si>
  <si>
    <t>van Hoof, B (corresponding author), Univ Los Andes, Sch Management, Bogota, Colombia.</t>
  </si>
  <si>
    <t>bvan@uniandes.edu.co; mthiell@uniandes.edu.co</t>
  </si>
  <si>
    <t>van Hoof, Bart/0000-0002-1618-6941; Thiell, Marcus/0000-0003-0611-3156</t>
  </si>
  <si>
    <t>AY3RT</t>
  </si>
  <si>
    <t>Bailey, PLJ</t>
  </si>
  <si>
    <t>Bailey, Patrick</t>
  </si>
  <si>
    <t>Consultants of conduct: new actors, new knowledges and new 'resilient' subjectivities in the governing of the teacher</t>
  </si>
  <si>
    <t>JOURNAL OF EDUCATIONAL ADMINISTRATION AND HISTORY</t>
  </si>
  <si>
    <t>teachers; teacher education; governmentality; consultants; knowledge; discourse; resilience</t>
  </si>
  <si>
    <t>NEOLIBERALISM; INSECURITY; DIFFERENCE; GOVERNANCE; EDUCATION; NETWORK; HISTORY; AGE</t>
  </si>
  <si>
    <t>This article explores the administration of the teacher and teacher education from a critical governmentality perspective. It explores some of the current authorities and knowledges implicated in the governing of teachers, and how these characterise, connect to and operationalise a neo-liberal modality of government. A case study of the influential, school-based provider of teacher education in England, Teach First, is drawn upon in order to investigate some of these relations of power as can be observed in a particular policy site and governmental encounter. In particular, the article investigates and critiques the increasingly popular (managerial) discourse of resilience inscribed into the Teach First competencies and values. Resilience informs one of the pedagogical ends of the organisation's Leadership Development Programme, within which it is traded and exchanged as an approved capability. The article considers some of the wider implications of this discourse for the changing nature and value of knowledge in education, and in imagining and realising a more equitable present and future.</t>
  </si>
  <si>
    <t>[Bailey, Patrick] Univ London, Fac Policy &amp; Soc, Inst Educ, London, England</t>
  </si>
  <si>
    <t>Bailey, PLJ (corresponding author), Univ London, Fac Policy &amp; Soc, Inst Educ, London, England.</t>
  </si>
  <si>
    <t>pbailey@ioe.ac.uk</t>
  </si>
  <si>
    <t>Economic and Social Research Council [1099371] Funding Source: researchfish</t>
  </si>
  <si>
    <t>Economic and Social Research Council(UK Research &amp; Innovation (UKRI)Economic &amp; Social Research Council (ESRC))</t>
  </si>
  <si>
    <t>0022-0620</t>
  </si>
  <si>
    <t>1478-7431</t>
  </si>
  <si>
    <t>J EDUC ADM HIST</t>
  </si>
  <si>
    <t>J. Educ. Adm. Hist.</t>
  </si>
  <si>
    <t>10.1080/00220620.2015.1038696</t>
  </si>
  <si>
    <t>V77UC</t>
  </si>
  <si>
    <t>WOS:000212003700003</t>
  </si>
  <si>
    <t>Osses, A; Bellei, C; Valenzuela, JP</t>
  </si>
  <si>
    <t>Osses, Alejandra; Bellei, Cristian; Pablo Valenzuela, Juan</t>
  </si>
  <si>
    <t>External technical support for school improvement: critical issues from the Chilean experience</t>
  </si>
  <si>
    <t>consultancy services in education; school improvement; accountability policies; privatisation policies; process evaluation; impact evaluation</t>
  </si>
  <si>
    <t>To what extent school improvement processes can be initiated and sustained from the outside has been a relevant question for policy-makers seeking to increase quality in education. Since 2008, the Chilean Government is strongly promoting the use of external technical support (ETS) services to support school improvement processes, as part of the Student Priority Voucher programme, a compensatory policy that provides significant additional resource to schools serving the poorest 40% of students. Participating schools and ETS providers negotiate services and prices in a market-like dynamic. In this paper, we describe the Chilean ETS policy, discuss the ETS policy implementation, review the empirical evidence about the effects of ETS services in schools, and critically analyse the ETS policy as an instrument for school improvement. We argue that experts who are knowledgeable in the field of education have the potential to effectively support schools in need of improvement. However, brokers and external consultants providing school support in Chile within a market-oriented framework typically lack the characteristics associated with positive effects; this raises the critical issue of developing professional capacities within schools to produce genuine and sustainable improvement processes.</t>
  </si>
  <si>
    <t>[Osses, Alejandra] Australian Council Educ Res, Melbourne, Vic, Australia; [Bellei, Cristian; Pablo Valenzuela, Juan] Univ Chile, Ctr Adv Res Educ, Santiago, Chile</t>
  </si>
  <si>
    <t>Bellei, C (corresponding author), Univ Chile, Ctr Adv Res Educ, Santiago, Chile.</t>
  </si>
  <si>
    <t>cbellei@ciae.uchile.cl</t>
  </si>
  <si>
    <t>Bellei, Cristián/D-9921-2015</t>
  </si>
  <si>
    <t>Bellei, Cristián/0000-0001-6963-7809</t>
  </si>
  <si>
    <t>PIA-CONICYT Basal Funds for Centers of Excellence [BF0003]; PIA-CONICYT ANILLO [SOC-1104]</t>
  </si>
  <si>
    <t>PIA-CONICYT Basal Funds for Centers of Excellence; PIA-CONICYT ANILLO(Comision Nacional de Investigacion Cientifica y Tecnologica (CONICYT)CONICYT PIA/ANILLOS)</t>
  </si>
  <si>
    <t>This study was partially supported by the PIA-CONICYT Basal Funds for Centers of Excellence [grant number BF0003]; and the PIA-CONICYT ANILLO [grant number SOC-1104].</t>
  </si>
  <si>
    <t>10.1080/00220620.2015.1038699</t>
  </si>
  <si>
    <t>WOS:000212003700005</t>
  </si>
  <si>
    <t>Factor analysis; Ghanaian consulting industry; Management innovation</t>
  </si>
  <si>
    <t>ORGANIZATION; PERFORMANCE; INFORMATION; TECHNOLOGY; STRATEGIES; DEMAND; FIRMS; MODEL; SMES</t>
  </si>
  <si>
    <t>[Owusu-Manu, D.; Quaigrain, R.] Kwame Nkrumah Univ Sci &amp; Technol, Kumasi, Ghana; [Edwards, D. J.] Birmingham City Univ, Ctr Business Innovat &amp; Enterprise, Birmingham, W Midlands, England</t>
  </si>
  <si>
    <t>Edwards, DJ (corresponding author), Birmingham City Univ, Ctr Business Innovat &amp; Enterprise, Birmingham, W Midlands, England.</t>
  </si>
  <si>
    <t>drdavidedwards@aol.com</t>
  </si>
  <si>
    <t>Edwards, David/0000-0001-9727-6000; Quaigrain, Rhoda/0000-0003-2707-5320</t>
  </si>
  <si>
    <t>V0J2Q</t>
  </si>
  <si>
    <t>Japanese</t>
  </si>
  <si>
    <t>Hoyo-jo; accommodations; Kashi-ryo; employee benefit; Yamanakako Village</t>
  </si>
  <si>
    <t>[Watanabe, Eiki] Univ Tsukuba, Grad Sch Life &amp; Environm Sci, Tsukuba, Ibaraki 3058572, Japan</t>
  </si>
  <si>
    <t>Watanabe, E (corresponding author), Univ Tsukuba, Grad Sch Life &amp; Environm Sci, Tsukuba, Ibaraki 3058572, Japan.</t>
  </si>
  <si>
    <t>TOKYO GEOGRAPHICAL SOC</t>
  </si>
  <si>
    <t>12-2 NIBANCHO, CHIYODAKU-KU, TOKYO, 102-0084, JAPAN</t>
  </si>
  <si>
    <t>J GEOGR-TOKYO</t>
  </si>
  <si>
    <t>J. Geogr.</t>
  </si>
  <si>
    <t>VG3DT</t>
  </si>
  <si>
    <t>campaigns; candidate; messaging; politics; 2016</t>
  </si>
  <si>
    <t>[Ridder, Rick] RBI Strategies &amp; Res, 1900 Grant St 1170, Denver, CO 80203 USA</t>
  </si>
  <si>
    <t>Ridder, R (corresponding author), RBI Strategies &amp; Res, 1900 Grant St 1170, Denver, CO 80203 USA.</t>
  </si>
  <si>
    <t>Rick@rbistrategies.com</t>
  </si>
  <si>
    <t>V88YV</t>
  </si>
  <si>
    <t>China; Evolution; Beijing; Commercial property market; Maturity; Shanghai</t>
  </si>
  <si>
    <t>TRANSITION; SHANGHAI</t>
  </si>
  <si>
    <t>[Ke, Qiulin] UCL, Bartlett Sch Built Environm, Real Estate, London, England; [Sieracki, Karen] KASPAR Associates Ltd, Tunbridge Wells, Kent, England</t>
  </si>
  <si>
    <t>Ke, QL (corresponding author), UCL, Bartlett Sch Built Environm, Real Estate, London, England.</t>
  </si>
  <si>
    <t>q.ke@ucl.ac.uk</t>
  </si>
  <si>
    <t>DI0KM</t>
  </si>
  <si>
    <t>Ferguson, L; Alarcon, DM</t>
  </si>
  <si>
    <t>Ferguson, Lucy; Moreno Alarcon, Daniela</t>
  </si>
  <si>
    <t>Gender and sustainable tourism: reflections on theory and practice</t>
  </si>
  <si>
    <t>gender equality; sustainable tourism projects; gender perspective; development planning; women's empowerment</t>
  </si>
  <si>
    <t>WOMEN; WORK</t>
  </si>
  <si>
    <t>Despite the rich and diverse tradition of research on the gender dimensions of tourism, such studies have had little impact on transforming unequal gendered power relations in the sector itself. In this paper, we are concerned with why this is the case and what steps might be taken to redress this situation. The paper argues that the challenges inherent in gender mainstreaming processes within public policies worldwide are replicated and - to some extent - exacerbated in the tourism sector. We contend that, despite its substantive insight into the sector, the impact of such literature has been minimal. We further suggest that this is, in part, due to the sustainable tourism paradigm's resistance to incorporating gender equality and gender analysis as core principles. In order to develop these arguments, we reflect on our experiences as specialist consultants in gender and sustainable tourism, drawing out some of the key tensions of integrating gender into sustainable tourism projects. In conclusion, we argue that there is substantive work to be done for gender to be integrated into the theory and practice of sustainable tourism, offering recommendations as to how this process might be improved.</t>
  </si>
  <si>
    <t>[Ferguson, Lucy] Univ Complutense Madrid, Inst Complutense Estudios Int, Gender Unit, Madrid, Spain; [Moreno Alarcon, Daniela] Univ Complutense Madrid, Fac Polit Sci &amp; Sociol, Madrid, Spain</t>
  </si>
  <si>
    <t>Ferguson, L (corresponding author), Univ Complutense Madrid, Inst Complutense Estudios Int, Gender Unit, Madrid, Spain.</t>
  </si>
  <si>
    <t>lucyferg@ucm.es</t>
  </si>
  <si>
    <t>10.1080/09669582.2014.957208</t>
  </si>
  <si>
    <t>CC2KY</t>
  </si>
  <si>
    <t>WOS:000350175100004</t>
  </si>
  <si>
    <t>Green building; environmental; technology awareness; construction</t>
  </si>
  <si>
    <t>[Yusoff, M. N.] Univ Utara Malaysia, Sch Govt, Kedah, Malaysia; [Nawi, M. N. M.] Univ Utara Malaysia, Sch Technol Management &amp; Logist, Kedah, Malaysia; [Ibrahim, S. H.] Univ Malaysia Sarawak, Dept Civil Engn, Sarawak, Malaysia</t>
  </si>
  <si>
    <t>Yusoff, MN (corresponding author), Univ Utara Malaysia, Sch Govt, Kedah, Malaysia.</t>
  </si>
  <si>
    <t>nazaruddin@uum.edu.my</t>
  </si>
  <si>
    <t>PENERBIT UTM PRESS</t>
  </si>
  <si>
    <t>PENERBIT UTM PRESS, SKUDAI, JOHOR, 81310, MALAYSIA</t>
  </si>
  <si>
    <t>J TEKNOL</t>
  </si>
  <si>
    <t>J. Teknol.</t>
  </si>
  <si>
    <t>V3T7W</t>
  </si>
  <si>
    <t>Olsen, KB; Hasle, P</t>
  </si>
  <si>
    <t>Olsen, Kirsten Bendix; Hasle, Peter</t>
  </si>
  <si>
    <t>The role of intermediaries in delivering an occupational health and safety programme designed for small businesses - A case study of an insurance incentive programme in the agriculture sector</t>
  </si>
  <si>
    <t>Small enterprises; Realist analysis; Incentives; Consultants; Programme theory</t>
  </si>
  <si>
    <t>WORKING ENVIRONMENT; ECONOMIC INCENTIVES; SMALL ENTERPRISES; INTERVENTION; MANAGEMENT; STRATEGIES; IMPROVE; MODEL</t>
  </si>
  <si>
    <t>Intermediaries play an important role in disseminating national Occupational Health and Safety (OHS) programmes to small businesses but not much is known about the factors that influence their role. The aim of this paper is to elucidate the factors that influence intermediaries' contribution to the transformation and dissemination of a national OHS programme for small business that built on an insurance incentive scheme - the New Zealand Workplace Safety Discount scheme. It is a case study of this scheme implementation in the agriculture sector. Data was collected from scheme documentation and semi-structured interviews with the scheme owner, representatives from intermediary groups and the targeted small businesses. The interviews were tape recorded, transcribed and thematically analysed in relation to the scheme's programme theory. The intermediaries introduced new programme mechanisms and recruitment strategies that were not considered in the design. These were shaped by the intermediaries' understanding of the target group and by their own business interest. To engage Non-Governmental Intermediaries the scheme owner had to establish a close relation to them and to link the aim of the scheme to the intermediaries' business goal. The scheme had different benefits for the various types of intermediaries and this determined their contributions. In that way they reached different parts of the target group. Even though the intermediaries played an active role, the outreach was still limited. This highlights the importance of analysing the business interests of intermediaries and their client groups when identifying intermediaries to integrate into OHS schemes for small businesses. (C) 2014 Elsevier Ltd. All rights reserved.</t>
  </si>
  <si>
    <t>[Olsen, Kirsten Bendix] Massey Univ, Sch Publ Hlth, Ctr Ergon Occupat Safety &amp; Hlth, Palmerston North 4442, New Zealand; [Hasle, Peter] Aalborg Univ, Ctr Ind Prod, Dept Business &amp; Management, DK-2450 Copenhagen CV, Denmark</t>
  </si>
  <si>
    <t>Olsen, KB (corresponding author), Massey Univ, Sch Publ Hlth, Ctr Ergon Occupat Safety &amp; Hlth, Private Bag 11 222, Palmerston North 4442, New Zealand.</t>
  </si>
  <si>
    <t>K.B.Olsen@massey.ac.nz; hasle@business.aau.dk</t>
  </si>
  <si>
    <t>Hasle, Peter/AAF-3682-2019</t>
  </si>
  <si>
    <t>Hasle, Peter/0000-0002-9340-0040</t>
  </si>
  <si>
    <t>10.1016/j.ssci.2014.02.015</t>
  </si>
  <si>
    <t>AY7QQ</t>
  </si>
  <si>
    <t>WOS:000347754600006</t>
  </si>
  <si>
    <t>analysis; irrigations; projects; strategies; 1990-2014</t>
  </si>
  <si>
    <t>[Lup, Aurel; Miron, Liliana] Ovidius Univ, 124 Mamaia Ave, Constanta 900572, Romania</t>
  </si>
  <si>
    <t>Lup, A (corresponding author), Ovidius Univ, 124 Mamaia Ave, Constanta 900572, Romania.</t>
  </si>
  <si>
    <t>lupaurel@yahoo.com; miron_stroe_liliana@yahoo.com</t>
  </si>
  <si>
    <t>UNIV AGRICULTURAL SCIENCES &amp; VETERINARY MEDICINE BUCHAREST</t>
  </si>
  <si>
    <t>BUCHAREST</t>
  </si>
  <si>
    <t>59 MARASTI BOULEVARD, DISTRICT 1, BUCHAREST, 011464, ROMANIA</t>
  </si>
  <si>
    <t>SCI PAP-SER MANAG EC</t>
  </si>
  <si>
    <t>Sci. Pap.-Ser. Manag. Econ. Eng. Agric. Rural Dev.</t>
  </si>
  <si>
    <t>Agricultural Economics &amp; Policy</t>
  </si>
  <si>
    <t>V9C4L</t>
  </si>
  <si>
    <t>Switzerland; Corporate social responsibility; Network analysis; Small and medium-sized enterprises; Stakeholder analysis</t>
  </si>
  <si>
    <t>CORPORATE SOCIAL-RESPONSIBILITY; PERSONAL VALUES; SMALL BUSINESS; ETHICS; STRATEGY; SMES; LEGITIMACY; EMPLOYMENT; SOCIETY; MATTER</t>
  </si>
  <si>
    <t>[Looser, Stephanie] Univ Surrey, CES, Ctr Environm Strategy, Guildford, Surrey, England; [Wehrmeyer, Walter] Univ Surrey, CES, Ctr Environm Strategy, Environm Business Management, Guildford, Surrey, England</t>
  </si>
  <si>
    <t>Looser, S (corresponding author), Univ Surrey, CES, Ctr Environm Strategy, Guildford, Surrey, England.</t>
  </si>
  <si>
    <t>s.looser@surrey.ac.uk</t>
  </si>
  <si>
    <t>V85TV</t>
  </si>
  <si>
    <t>Aarons, GA; Green, AE; Willging, CE; Ehrhart, MG; Roesch, SC; Hecht, DB; Chaffin, MJ</t>
  </si>
  <si>
    <t>Aarons, Gregory A.; Green, Amy E.; Willging, Cathleen E.; Ehrhart, Mark G.; Roesch, Scott C.; Hecht, Debra B.; Chaffin, Mark J.</t>
  </si>
  <si>
    <t>Mixed-method study of a conceptual model of evidence-based intervention sustainment across multiple public-sector service settings</t>
  </si>
  <si>
    <t>Sustainment; Evidence-based intervention; Implementation; Leadership; Organizational culture; Organizational climate; Policy; Public sector</t>
  </si>
  <si>
    <t>MENTAL-HEALTH-SERVICES; MEDICAID MANAGED CARE; ORGANIZATIONAL CONTEXT; PRACTICE IMPLEMENTATION; PARTICIPATORY RESEARCH; PROVIDER ATTITUDES; STAFF TURNOVER; SUSTAINABILITY; LEADERSHIP; CLIMATE</t>
  </si>
  <si>
    <t>Background: This study examines sustainment of an EBI implemented in 11 United States service systems across two states, and delivered in 87 counties. The aims are to 1) determine the impact of state and county policies and contracting on EBI provision and sustainment; 2) investigate the role of public, private, and academic relationships and collaboration in long-term EBI sustainment; 3) assess organizational and provider factors that affect EBI reach/penetration, fidelity, and organizational sustainment climate; and 4) integrate findings through a collaborative process involving the investigative team, consultants, and system and community-based organization (CBO) stakeholders in order to further develop and refine a conceptual model of sustainment to guide future research and provide a resource for service systems to prepare for sustainment as the ultimate goal of the implementation process. Methods: A mixed-method prospective and retrospective design will be used. Semi-structured individual and group interviews will be used to collect information regarding influences on EBI sustainment including policies, attitudes, and practices; organizational factors and external policies affecting model implementation; involvement of or collaboration with other stakeholders; and outer-and inner-contextual supports that facilitate ongoing EBI sustainment. Document review (e.g., legislation, executive orders, regulations, monitoring data, annual reports, agendas and meeting minutes) will be used to examine the roles of state, county, and local policies in EBI sustainment. Quantitative measures will be collected via administrative data and web surveys to assess EBI reach/penetration, staff turnover, EBI model fidelity, organizational culture and climate, work attitudes, implementation leadership, sustainment climate, attitudes toward EBIs, program sustainment, and level of institutionalization. Hierarchical linear modeling will be used for quantitative analyses. Qualitative analyses will be tailored to each of the qualitative methods (e.g., document review, interviews). Qualitative and quantitative approaches will be integrated through an inclusive process that values stakeholder perspectives. Discussion: The study of sustainment is critical to capitalizing on and benefiting from the time and fiscal investments in EBI implementation. Sustainment is also critical to realizing broad public health impact of EBI implementation. The present study takes a comprehensive mixed-method approach to understanding sustainment and refining a conceptual model of sustainment.</t>
  </si>
  <si>
    <t>[Aarons, Gregory A.; Green, Amy E.] Univ Calif San Diego, Dept Psychiat, La Jolla, CA 92093 USA; [Willging, Cathleen E.] Pacific Inst Res &amp; Evaluat, Albuquerque, NM USA; [Ehrhart, Mark G.; Roesch, Scott C.] San Diego State Univ, Dept Psychol, San Diego, CA 92182 USA; [Hecht, Debra B.] Univ Oklahoma, Hlth Sci Ctr, Dept Pediat, Oklahoma City, OK 73190 USA; [Chaffin, Mark J.] Georgia State Univ, Sch Publ Hlth, Atlanta, GA 30303 USA</t>
  </si>
  <si>
    <t>Aarons, GA (corresponding author), Univ Calif San Diego, Dept Psychiat, La Jolla, CA 92093 USA.</t>
  </si>
  <si>
    <t>gaarons@ucsd.edu</t>
  </si>
  <si>
    <t>U.S. National Institute of Mental Health [R01MH072961]; NATIONAL INSTITUTE OF MENTAL HEALTH [R01MH072961] Funding Source: NIH RePORTER</t>
  </si>
  <si>
    <t>U.S. National Institute of Mental Health(United States Department of Health &amp; Human ServicesNational Institutes of Health (NIH) - USANIH National Institute of Mental Health (NIMH)); NATIONAL INSTITUTE OF MENTAL HEALTH(United States Department of Health &amp; Human ServicesNational Institutes of Health (NIH) - USANIH National Institute of Mental Health (NIMH))</t>
  </si>
  <si>
    <t>This study is supported by the U.S. National Institute of Mental Health grant R01MH072961 (Principal Investigator: Gregory A. Aarons). We thank participants from the service systems, organizations, and the participating providers for their collaboration and involvement in this study. We also thank Natalie Finn, B.A., for her assistance in the preparation of this manuscript.</t>
  </si>
  <si>
    <t>10.1186/s13012-014-0183-z</t>
  </si>
  <si>
    <t>AY2QI</t>
  </si>
  <si>
    <t>WOS:000347434000001</t>
  </si>
  <si>
    <t>Grainger, A</t>
  </si>
  <si>
    <t>Grainger, Andrew</t>
  </si>
  <si>
    <t>The WTO Trade Facilitation Agreement: Consulting the Private Sector</t>
  </si>
  <si>
    <t>JOURNAL OF WORLD TRADE</t>
  </si>
  <si>
    <t>Trade facilitation concerns itself with the operational quality of the international trade environment; and has its roots in the frustations experienced by businesses when moving goods across borders especially with regard to inefficient border management practices and trade and customs procedures. On 7 December 2013 the WTO reached an agreement on trade facilitation. Now, with trade facilitation at the very heart of contemporary trade policy, trade diplomats are faced with the challenge of having to reach a view about the quality of trade facilitation in any given country Subsequently, as this paper argues, dedicated institutional mechanism involving the private sector - for example, within the spirit of UN CEFACT Recommendation 4 - need to be developed. Although consultation with the private sector is not without its challenges, they would help ensure that the resources invested into trade facilitation are put to best use, and that the quality of implemented trade facilitation measures are continuously monitored and assessed.</t>
  </si>
  <si>
    <t>Univ Nottingham, Sch Business, Nottingham NG7 2RD, England</t>
  </si>
  <si>
    <t>Grainger, A (corresponding author), Univ Nottingham, Sch Business, Nottingham NG7 2RD, England.</t>
  </si>
  <si>
    <t>Grainger, Andrew/0000-0002-4423-3522</t>
  </si>
  <si>
    <t>THE HAGUE</t>
  </si>
  <si>
    <t>CARNEGIEPLEIN 5D, PO BOX 85889, 2508 CN THE HAGUE, NETHERLANDS</t>
  </si>
  <si>
    <t>1011-6702</t>
  </si>
  <si>
    <t>2210-2795</t>
  </si>
  <si>
    <t>J WORLD TRADE</t>
  </si>
  <si>
    <t>J. World Trade</t>
  </si>
  <si>
    <t>Economics; International Relations; Law</t>
  </si>
  <si>
    <t>Business &amp; Economics; International Relations; Government &amp; Law</t>
  </si>
  <si>
    <t>CA6XN</t>
  </si>
  <si>
    <t>WOS:000349060900004</t>
  </si>
  <si>
    <t>collaboration; interdisciplinary; partnerships; planning; preventive health</t>
  </si>
  <si>
    <t>PHYSICAL-ACTIVITY; BUILT ENVIRONMENT; LAND-USE; FOOD; DIRECTIONS; PREVENTION; TRANSPORT; DENSITY; OBESITY; WALKING</t>
  </si>
  <si>
    <t>[Thompson, Susan] Univ New S Wales, City Futures Res Ctr, Sydney, NSW 2052, Australia; [Kent, Jennifer] Macquarie Univ, Dept Environm &amp; Geog, Sydney, NSW 2109, Australia; [Lyons, Claudine] New South Wales Minist Hlth, Sydney, NSW 2060, Australia</t>
  </si>
  <si>
    <t>Thompson, S (corresponding author), Univ New S Wales, City Futures Res Ctr, Sydney, NSW 2052, Australia.</t>
  </si>
  <si>
    <t>s.thompson@unsw.edu.au</t>
  </si>
  <si>
    <t>HEALTH PROMOT J AUST</t>
  </si>
  <si>
    <t>Health Promot. J. Aust.</t>
  </si>
  <si>
    <t>AX4GW</t>
  </si>
  <si>
    <t>Water resources management; Climate change; Socio-economy; IWAS; IWRM; OpenGeoSys</t>
  </si>
  <si>
    <t>SIMULATION-BASED OPTIMIZATION; HYDROTHERMAL CARBONIZATION; WESTERN BUG; IMPACTS; UKRAINE; BRAZIL; MODEL; PAPER</t>
  </si>
  <si>
    <t>[Seegert, J.; Berendonk, T. U.; Bernhofer, C.; Grundmann, J.; Liedl, R.; Leidel, M.; Makeschin, F.; Scheifhacken, N.; Schuetze, N.; Stefan, C.; Kolditz, O.; Borchardt, D.; Krebs, P.] Tech Univ Dresden, D-01062 Dresden, Germany; [Blumensaat, F.] Eawag Swiss Fed Inst Aquat Sci &amp; Technol, Dubendorf, Switzerland; [Dombrowsky, I.] German Dev Inst, Bonn, Germany; [Fuehner, C.; Hagemann, N.; Kalbacher, T.; Kopinke, F. -D.; Markova, D.; Niemann, S.; Siebert, C.; Strehlitz, B.; Teutsch, G.; Weiss, H.; Kolditz, O.; Borchardt, D.] UFZ Helmholtz Ctr Environm Res, Leipzig, Germany; [Lorz, C.] Univ Appl Sci, Hsch Weihenstephan Triesdorf, Freising Weihenstephan, Germany; [Roestel, G.] Stadtentwasserung, Dresden, Germany; [Schanze, J.] Leibniz Inst Ecol Urban &amp; Reg Dev, Dresden, Germany; [Weigelt, C.] DREBERIS GmbH Strategy Consultants Dresden, Dresden, Germany</t>
  </si>
  <si>
    <t>Kolditz, O (corresponding author), UFZ Helmholtz Ctr Environm Res, Leipzig, Germany.</t>
  </si>
  <si>
    <t>ees-editor@ufz.de</t>
  </si>
  <si>
    <t>Siebert, Christian/D-3380-2013; Borchardt, Dietrich/D-1729-2009; Kopinke, Frank-Dieter/H-7381-2017; Kalbacher, Thomas/C-9336-2017; Stefan, Catalin/P-7769-2016; Teutsch, Georg/AAW-9437-2021; Schütze, Niels/AAI-9459-2020; Strehlitz, Beate/H-3054-2019; Borchardt, Dietrich/O-1436-2019</t>
  </si>
  <si>
    <t>Siebert, Christian/0000-0001-7266-8112; Borchardt, Dietrich/0000-0002-6074-2829; Kopinke, Frank-Dieter/0000-0001-7703-3466; Kalbacher, Thomas/0000-0002-7866-5702; Stefan, Catalin/0000-0001-8250-2749; Schütze, Niels/0000-0002-2376-528X; Strehlitz, Beate/0000-0002-3211-0584; Borchardt, Dietrich/0000-0002-6074-2829; Delavar, Majid/0000-0003-3897-8007; Blumensaat, Frank/0000-0002-0742-7950; Kolditz, Olaf/0000-0002-8098-4905; Grundmann, Jens/0000-0002-3220-9373; Fuhner, Christoph/0000-0002-4188-0601; Weiss, Holger/0000-0002-9736-9757</t>
  </si>
  <si>
    <t>Federal Ministry for Education and Research (BMBF) under Helmholtz-Zentrum fur Umweltforschung-UFZ [02WM1165]; Federal Ministry for Education and Research (BMBF) under Technische Universitat Dresden [02WM1166]; Federal Ministry for Education and Research (BMBF) under Stadtentwasserung Dresden [02WM1167]; Federal Ministry for Education and Research (BMBF) under DREBERIS GmbH [02WM1168]</t>
  </si>
  <si>
    <t>Federal Ministry for Education and Research (BMBF) under Helmholtz-Zentrum fur Umweltforschung-UFZ; Federal Ministry for Education and Research (BMBF) under Technische Universitat Dresden; Federal Ministry for Education and Research (BMBF) under Stadtentwasserung Dresden; Federal Ministry for Education and Research (BMBF) under DREBERIS GmbH</t>
  </si>
  <si>
    <t>The scientific work presented in this Thematic Issue was supported by funding from the Federal Ministry for Education and Research (BMBF) in the framework of the project IWAS-International Water Research Alliance Saxony under following grants: Helmholtz-Zentrum fur Umweltforschung-UFZ (02WM1165), Technische Universitat Dresden (02WM1166), Stadtentwasserung Dresden (02WM1167), DREBERIS GmbH (02WM1168). We are very grateful for the support of Editorial Office of Environmental Earth Sciences at all stages of the preparation of this Thematic Issue. We would also like to thank the many reviewers for their excellent and voluntary contributions to improve the quality of the manuscripts of the IWAS II Thematic Issue.</t>
  </si>
  <si>
    <t>ENVIRON EARTH SCI</t>
  </si>
  <si>
    <t>Environ. Earth Sci.</t>
  </si>
  <si>
    <t>Environmental Sciences; Geosciences, Multidisciplinary; Water Resources</t>
  </si>
  <si>
    <t>Environmental Sciences &amp; Ecology; Geology; Water Resources</t>
  </si>
  <si>
    <t>AU1WB</t>
  </si>
  <si>
    <t>Ecological reconstruction; Karst rocky desertification (KRD); GIS; Dynamic change; Remote sensing</t>
  </si>
  <si>
    <t>LAND; AREA; GUANGXI</t>
  </si>
  <si>
    <t>[Yang, Qiyong; Yuan, Daoxian] Southwest Univ, Sch Geog Sci, Chongqing 400715, Peoples R China; [Yang, Qiyong; Jiang, Zhongcheng; Yuan, Daoxian; Ma, Zulu; Xie, Yunqiu] Chinese Acad Geol Sci, Inst Karst Geol, Key Lab Karst Ecosyst &amp; Treatment Rocky Desertifi, Guilin 541004, Peoples R China</t>
  </si>
  <si>
    <t>Yang, QY (corresponding author), Southwest Univ, Sch Geog Sci, Chongqing 400715, Peoples R China.</t>
  </si>
  <si>
    <t>yangqiyong0739@163.com; zhjiang@karst.ac.cn</t>
  </si>
  <si>
    <t>Guangxi Natural Science Foundation [2012GXNSFAA053186]; Institute of Karst Geology, CAGS [2012015]; Ministry of Water resources of China [2005SBKK05]; Ministry of Science and Technology of China [2010BAE00739]; Remote Sensing Survey and Ground Monitoring on Karst Rocky Desertification in Southwest China [1212011220958]; Dynamic Assess and Survey on Underground Stream in Representative Karst Area [1212011220959]</t>
  </si>
  <si>
    <t>Guangxi Natural Science Foundation(National Natural Science Foundation of Guangxi Province); Institute of Karst Geology, CAGS; Ministry of Water resources of China; Ministry of Science and Technology of China(Ministry of Science and Technology, China); Remote Sensing Survey and Ground Monitoring on Karst Rocky Desertification in Southwest China; Dynamic Assess and Survey on Underground Stream in Representative Karst Area</t>
  </si>
  <si>
    <t>This research was jointly sponsored by the Guangxi Natural Science Foundation (Grant No. 2012GXNSFAA053186), and the Institute of Karst Geology, CAGS (Grant No. 2012015), the Ministry of Water resources of China (Grant No. 2005SBKK05), the Ministry of Science and Technology of China (Grant No. 2010BAE00739), the Remote Sensing Survey and Ground Monitoring on Karst Rocky Desertification in Southwest China (No. 1212011220958), and the Dynamic Assess and Survey on Underground Stream in Representative Karst Area (NO. 1212011220959). The authors sincerely thank the anonymous reviewers and the editors for their constructive comments and suggestions on how to improve the manuscript.</t>
  </si>
  <si>
    <t>AT2BZ</t>
  </si>
  <si>
    <t>Griffin, TL; Cramer, D; Powers, M</t>
  </si>
  <si>
    <t>Griffin, Toni L.; Cramer, Dan; Powers, Megan</t>
  </si>
  <si>
    <t>Detroit Works Long-Term Planning Project: Engagement Strategies for Blending Community and Technical Expertise</t>
  </si>
  <si>
    <t>Detroit; Detroit future city; civic engagement; community expertise; community; participation; stakeholder; civic infrastructure</t>
  </si>
  <si>
    <t>In January 2013, civic leaders, community stakeholders, and residents came together to release Detroit Future City: 2012 Detroit Strategic Framework Plan, a guiding blueprint for transforming Detroit from its current state of population loss and excessive vacancy into a model for the reinvention of post-industrial American cities. Three years prior, the U.S. Census had reported that the city had lost 24% of its population over the last decade and had experienced a 20% increase in vacant and abandoned property, bringing total vacancy to roughly the size of Manhattan. In addition to physical and economic challenges, Detroiters had also acknowledged significant barriers to effective civic engagement. Foremost among these barriers were a profound sense of immobilization, planning fatigue, and a general perception of cynicism about planning and engagement efforts. These challenges were compounded by historic racial dynamics and tension. This case study elaborates on the comprehensive and innovative civic engagement executed in a citywide planning process called the Detroit Works Project, which took place from late 2010 through late 2012. For the citywide planning process to be successful and sustainable, civic leaders and project funders committed to a planning initiative that would be different from previous efforts, in large part because the owners of the process would be diverse and inclusive across all community sectors. The case study, written by three of the key consultants from the project, describes four key civic engagement strategies deployed in the creation of the strategic framework: (1) addressing profound challenges of culture, race, and politics by deliberately building trust; (2) elevating community expertise by fostering a sense of ownership of the process; (3) blending technical and community expertise; and (4) viewing civic engagement as an ongoing two-way conversation rather than a series of large-scale episodic events. This article elaborates on important lessons that other communities might learn from Detroit's planning initiative in relation to these strategies. It concludes with a brief summary of the results and implications of the civic engagement process.</t>
  </si>
  <si>
    <t>[Griffin, Toni L.] CUNY City Coll, J Max Bond Ctr Design Just City, Spitzer Sch Architecture, 141 Convent Ave, New York, NY 10031 USA; [Cramer, Dan; Powers, Megan] Grassroots Solut, Minneapolis, MN 55414 USA</t>
  </si>
  <si>
    <t>Griffin, TL (corresponding author), CUNY City Coll, J Max Bond Ctr Design Just City, Spitzer Sch Architecture, 141 Convent Ave, New York, NY 10031 USA.</t>
  </si>
  <si>
    <t>tgriffin@ccny.cuny.edu; dan@grassrootssolutions.com; megan@grassrootssolutions.com</t>
  </si>
  <si>
    <t>Kresge Foundation; Ford Foundation; W.K. Kellogg Foundation; John S. and James L. Knight Foundation; Hudson Webber Foundation; Erb Family Foundation; Community Foundation for Southeast Michigan</t>
  </si>
  <si>
    <t>The authors would like to acknowledge the hard work of all who were instrumental in the success of Detroit Works Project: Long-Term Planning, particularly the members of the Steering Committee, the Office of the Mayor of Detroit, the City Council, the planning team, civic engagement and communications team, the Process Leaders, the Mayor's Advisory Task Force, partner organizations, and the various working groups and peer review group that lent their time and expertise to the process. We also extend special thanks to the project's funders and their staff: the Kresge Foundation, Ford Foundation, W.K. Kellogg Foundation, John S. and James L. Knight Foundation, Hudson Webber Foundation, Erb Family Foundation, and the Community Foundation for Southeast Michigan.</t>
  </si>
  <si>
    <t>Buildings</t>
  </si>
  <si>
    <t>10.3390/buildings4040711</t>
  </si>
  <si>
    <t>V25QO</t>
  </si>
  <si>
    <t>WOS:000215239300005</t>
  </si>
  <si>
    <t>Back, Y; Parboteeah, KP; Nam, DI</t>
  </si>
  <si>
    <t>Back, Yujin; Parboteeah, K. Praveen; Nam, Dae-il</t>
  </si>
  <si>
    <t>Innovation in Emerging Markets: The Role of Management Consulting Firms</t>
  </si>
  <si>
    <t>JOURNAL OF INTERNATIONAL MANAGEMENT</t>
  </si>
  <si>
    <t>Emerging economy; Institutional void; Management consulting firm; Innovation input/output</t>
  </si>
  <si>
    <t>PROFESSIONAL SERVICE FIRMS; RESOURCE-BASED VIEW; R-AND-D; CORPORATE GOVERNANCE; BUSINESS GROUPS; MEDIATING ROLE; KNOWLEDGE; PERFORMANCE; TECHNOLOGY; STRATEGIES</t>
  </si>
  <si>
    <t>Firms in emerging markets are often reluctant to invest in innovation because of the institutional voids endemic to such markets. Addressing the gap in the literature concerning the role of consultancy firms in emerging markets, we argue that management consultancy firms can fill institutional voids and thus help firms implement innovation initiatives. We buttress our main argument by combining strands of institutional theory with the resource-based view. Acknowledging the tensions inherent in the use of consultancy firms, we also examine two contextual variables that may mitigate their positive effects. We explore the critical aspects of the firms' internal and external environments and posit that well-functioning national institutions and a high level of firm competency attenuate the positive roles of management consulting firms because there are few voids that management consultancy can effectively address under such conditions. To test our hypotheses, we examine the effects of management consultancy on both the input and output aspects of innovation. We use a sample of 1330 establishments operating in nine emerging markets. Our findings support all main and moderating effects on innovation inputs but not on innovation outputs. We discuss the theoretical implications of our findings and provide suggestions for future research. (C) 2014 Elsevier Inc. All rights reserved.</t>
  </si>
  <si>
    <t>[Back, Yujin; Nam, Dae-il] Korea Univ, Sch Business, Seoul 136701, South Korea; [Parboteeah, K. Praveen] Univ Wisconsin, Dept Management, Whitewater, WI 53190 USA</t>
  </si>
  <si>
    <t>Nam, DI (corresponding author), Korea Univ, Sch Business, Seoul 136701, South Korea.</t>
  </si>
  <si>
    <t>applejin04@korea.ac.kr; parbotek@uww.edu; namdaeil@korea.ac.kr</t>
  </si>
  <si>
    <t>Parboteeah, K. Praveen/G-9325-2011</t>
  </si>
  <si>
    <t>1075-4253</t>
  </si>
  <si>
    <t>1873-0620</t>
  </si>
  <si>
    <t>J INT MANAG</t>
  </si>
  <si>
    <t>J. Int. Manag.</t>
  </si>
  <si>
    <t>10.1016/j.intman.2014.07.001</t>
  </si>
  <si>
    <t>AU3IR</t>
  </si>
  <si>
    <t>WOS:000345506500002</t>
  </si>
  <si>
    <t>Landstrom, C; Whatmore, SJ</t>
  </si>
  <si>
    <t>Landstroem, Catharina; Whatmore, Sarah J.</t>
  </si>
  <si>
    <t>Virtually Expert: Modes of Environmental Computer Simulation Modeling</t>
  </si>
  <si>
    <t>SCIENCE IN CONTEXT</t>
  </si>
  <si>
    <t>3RD WAVE; SCIENCE; RUNOFF; SYSTEM</t>
  </si>
  <si>
    <t>This paper challenges three assumptions common in the literature on expertise: that expertise is linearly derived from scientific knowledge; that experts always align with the established institutional order; and that expertise is a property acquired by individuals. We criticize these ideas by juxtaposing three distinct expert practices involved with flood risk management in England. Virtual engineering is associated with commercial consultancy and relies on standardized software packages to assess local flood inundation. Mathematical experimentation refers to academic scientists creating new digital renderings of the physical dynamics of flooding. Participatory modeling denotes research projects that aim to transform the relationships between experts and local communities. Focusing on different modes of modeling we contribute an analysis of how particular models articulate with specific politics of knowledge as experts form relationships with flood risk management actors. Our empirical study also shows how models can contribute to re-distribution of expertise in local flood risk management.</t>
  </si>
  <si>
    <t>[Landstroem, Catharina; Whatmore, Sarah J.] Univ Oxford, Sch Geog &amp; Environm, Oxford, England</t>
  </si>
  <si>
    <t>Landstrom, C (corresponding author), Univ Oxford, Sch Geog &amp; Environm, Oxford, England.</t>
  </si>
  <si>
    <t>catharina.landstrom@ouce.ox.ac.uk; sarah.whatmore@ouce.ox.ac.uk</t>
  </si>
  <si>
    <t>ESRC [RES-227-25-0018] Funding Source: UKRI; Economic and Social Research Council [RES-227-25-0018] Funding Source: researchfish</t>
  </si>
  <si>
    <t>ESRC(UK Research &amp; Innovation (UKRI)Economic &amp; Social Research Council (ESRC)); Economic and Social Research Council(UK Research &amp; Innovation (UKRI)Economic &amp; Social Research Council (ESRC))</t>
  </si>
  <si>
    <t>0269-8897</t>
  </si>
  <si>
    <t>1474-0664</t>
  </si>
  <si>
    <t>SCI CONTEXT</t>
  </si>
  <si>
    <t>Sci. Context</t>
  </si>
  <si>
    <t>10.1017/S0269889714000210</t>
  </si>
  <si>
    <t>CA0HK</t>
  </si>
  <si>
    <t>WOS:000348597800002</t>
  </si>
  <si>
    <t>Rozanska, D; Regulska-Ilow, B; Choroszy-Krol, I; Ilow, R</t>
  </si>
  <si>
    <t>Rozanska, Dorota; Regulska-Ilow, Bozena; Choroszy-Krol, Irena; Ilow, Rafal</t>
  </si>
  <si>
    <t>The role of Escherichia coli strain Nissle 1917 in the gastro-intestinal diseases</t>
  </si>
  <si>
    <t>POSTEPY HIGIENY I MEDYCYNY DOSWIADCZALNEJ</t>
  </si>
  <si>
    <t>Escherichia coli Nissle 1917; probiotics; ulcerative colitis; Crohn's disease; irritable bowel syndrome</t>
  </si>
  <si>
    <t>INTESTINAL EPITHELIAL-CELLS; POLISH NATIONAL CONSULTANT; ULCERATIVE-COLITIS; MAINTAINING REMISSION; CROHNS-DISEASE; WORKING GROUP; MESALAZINE; GUIDELINES; DIARRHEA; ECN</t>
  </si>
  <si>
    <t>In this paper a review of the researches on the role of Escherichia coli strain Nissle 1917 (EcN) in gastrointestinal diseases was presented. EcN is a non-pathogenic strain of the Enterobacteriaceae family, which has probiotic properties. In a number of studies conducted among humans and experimental animals the application of EcN in treatment of gastrointestinal diseases was observed. Most studies about EcN has been devoted to this organism efficacy in ulcerative colitis treatment. Comparable results were obtained, by citied authors, in the treatment (sustaining remission) of EcN and mesalazine in ulcerative colitis. Moreover, this probiotic therapy, compared to placebo, contributes to obtaining a faster remission and improvement of intestinal histopathology. The use of EcN in Crohn's disease has not been the subject of as many studies as in the case of ulcerative colitis. Assessing the importance of EcN in treatment of other gastrointestinal disorders, authors of the studies observed, that in patients with irritable bowel syndrome, who receiving this probiotic there was a pain, nausea and bloating reduction. In studies conducted among children a positive impact of EcN in prevention and treatment of diarrhea was demonstrated. Similar results were obtained in studies conducted in experimental animals. Based on the presented review it can be concluded that the strain of Escherichia coli Nissle 1917 is useful in treatment of gastrointestinal diseases, especially in treatment of ulcerative colitis. This probiotic may constitute a part of treatment of irritable bowel syndrome and diarrhea. The effectiveness of this strain in treatment of Crohn's disease is not clearly established and further research are require.</t>
  </si>
  <si>
    <t>[Rozanska, Dorota; Regulska-Ilow, Bozena] Uniwersytet Med Wroclawiu, Zaklad Dietetyki, PL-51616 Wroclaw, Poland; [Choroszy-Krol, Irena] Uniwersytet Med Wroclawiu, Zaklad Nauk Podstawowych, PL-51616 Wroclaw, Poland; [Ilow, Rafal] Uniwersytet Med Wroclawiu, Katedra &amp; Zaklad Bromatol &amp; Dietetyki, PL-51616 Wroclaw, Poland</t>
  </si>
  <si>
    <t>Rozanska, D (corresponding author), Uniwersytet Med Wroclawiu, Zaklad Dietetyki, Ul Pk 34, PL-51616 Wroclaw, Poland.</t>
  </si>
  <si>
    <t>dorota.rozanska@umed.wroc.pl</t>
  </si>
  <si>
    <t>Regulska-Ilow, Bożena/ABD-3301-2021; Różańska, Dorota/ABD-3220-2021; Rozanska, Dorota/S-5239-2018</t>
  </si>
  <si>
    <t>Regulska-Ilow, Bozena/0000-0002-5941-1715; Rozanska, Dorota/0000-0002-0561-2749</t>
  </si>
  <si>
    <t>POLISH ACAD SCIENCES, INST IMMUNOL &amp; EXP THERAPY</t>
  </si>
  <si>
    <t>WROCLAW</t>
  </si>
  <si>
    <t>RUDOLF WEIGL 12, WROCLAW, 53-114, POLAND</t>
  </si>
  <si>
    <t>0032-5449</t>
  </si>
  <si>
    <t>1732-2693</t>
  </si>
  <si>
    <t>POSTEP HIG MED DOSW</t>
  </si>
  <si>
    <t>Postep. Hig. Med. Dosw.</t>
  </si>
  <si>
    <t>NOV 6</t>
  </si>
  <si>
    <t>CC5TC</t>
  </si>
  <si>
    <t>WOS:000350425700002</t>
  </si>
  <si>
    <t>Bres, L; Gond, JP</t>
  </si>
  <si>
    <t>Bres, Luc; Gond, Jean-Pascal</t>
  </si>
  <si>
    <t>The visible hand of consultants in the construction of the markets for virtue: Translating issues, negotiating boundaries and enacting responsive regulations</t>
  </si>
  <si>
    <t>commodification; compliance; corporate social responsibility; governance; management consultants; responsive regulation; soft law</t>
  </si>
  <si>
    <t>INSTITUTIONAL WORK; FINANCIAL-MARKETS; SELF-REGULATION; CORPORATE; GOVERNANCE; POLITICS; COMMODIFICATION; TRANSFORMATION; STRATEGIES; EXPERTISE</t>
  </si>
  <si>
    <t>Although the resurgence of Corporate Social Responsibility (CSR) has been described as the development of 'markets for virtue', little is known about the social construction of CSR markets. Prior works either focus on the economic potential of these markets or criticize the social commodification they reflect, denying them any virtue other than generating profit or maintaining the capitalist status quo. This article uses the case of the market for CSR consultancy in Quebec to make 'visible' the hand of management consultants in the creation of markets for virtue. Building on interviews with 23 consultants and secondary data, we relate three narrative accounts that highlight complementary facets of the construction of the market for CSR consultancy. Our narratives shed light on three distinctive roles of CSR consultants as social and environmental issues translators, market boundary negotiators and responsive regulation enactors. These roles clarify the regulative dynamics underlying CSR commodification and advance our understanding of consultancy work in the CSR domain.</t>
  </si>
  <si>
    <t>[Bres, Luc] Univ Laval, Fac Sci &amp; Adm, Quebec City, PQ G1K 7P4, Canada; [Bres, Luc] Univ Paris 09, DRM UMR CNRS 7088, F-75775 Paris 16, France; [Gond, Jean-Pascal] City Univ London, Cass Business Sch, London EC1Y 8TZ, England</t>
  </si>
  <si>
    <t>Gond, JP (corresponding author), City Univ London, Cass Business Sch, 106 Bunhill Row, London EC1Y 8TZ, England.</t>
  </si>
  <si>
    <t>luc.bres@gmail.com; jean-pascal.gond.1@city.ac.uk</t>
  </si>
  <si>
    <t>Bres, Luc/0000-0001-6016-2982</t>
  </si>
  <si>
    <t>10.1177/0018726713519278</t>
  </si>
  <si>
    <t>AW0FG</t>
  </si>
  <si>
    <t>WOS:000345965700003</t>
  </si>
  <si>
    <t>legal geography; lease tenures; property rights; land policy; Wik; coexistence</t>
  </si>
  <si>
    <t>PROPERTY-RIGHTS; LAND</t>
  </si>
  <si>
    <t>Univ Queensland, St Lucia, Qld 4067, Australia</t>
  </si>
  <si>
    <t>Holmes, J (corresponding author), Univ Queensland, 73 Ironside St, St Lucia, Qld 4067, Australia.</t>
  </si>
  <si>
    <t>john.beryl.holmes@gmail.com</t>
  </si>
  <si>
    <t>GEOGR RES-AUST</t>
  </si>
  <si>
    <t>Geogr. Res.</t>
  </si>
  <si>
    <t>AS8TZ</t>
  </si>
  <si>
    <t>Hansbrough, J; Singh, A</t>
  </si>
  <si>
    <t>Hansbrough, Jerre; Singh, Amarjit</t>
  </si>
  <si>
    <t>Mediation in Coastal and Water Resource Disputes</t>
  </si>
  <si>
    <t>JOURNAL OF LEGAL AFFAIRS AND DISPUTE RESOLUTION IN ENGINEERING AND CONSTRUCTION</t>
  </si>
  <si>
    <t>Governance; Germany; Coastal protection; Dispute prevention; Negotiation; EDR; ADR</t>
  </si>
  <si>
    <t>The principles of alternative dispute resolution (ADR) can and should be used as the first attempt at resolving coastal zone conflicts and environmental disputes. These disputes can happen both on small and large scales-from individuals to multiple sovereign states. In the United States, formal environmental dispute resolution (EDR) programs currently exist in 24 states, but other states also have informal programs or outside mediation consultants to handle environmental disputes fairly and expeditiously. As an example of the effectiveness of an ADR framework, this paper discusses a dispute between environmental conservationists and dike construction proponents in Germany. In this conflict, the mediator established a relationship, determined the root of the conflict, and reframed the issue, resulting in a win-win outcome. In contrast, this paper demonstrates the wasteful consequences of a lack of ADR framework-a litigated dispute that went to the U.S. Supreme Court that arguably resulted in a lose-lose outcome. To exemplify the broad usefulness of mediation techniques, this paper then gives a case of how the application of mediation techniques can resolve and prevent international disputes: The existence of the Mekong River Commission demonstrates how cooperation and relationship building has helped to resolve water disputes peacefully and agreeably between four countries with a long history of conflict. Thus, the principles and components of mediation can ameliorate and resolve issues before they polarize, and before each side digs into its position and stops listening to the other, creating wasted time and resources and even heightening regional conflict and danger. The application of mediation techniques to prevent international disputes also will be discussed. (C) 2014 American Society of Civil Engineers.</t>
  </si>
  <si>
    <t>[Hansbrough, Jerre] US Army Corps Engineers, Ft Shafter, HI 96858 USA; [Singh, Amarjit] Univ Hawaii, Dept Civil Engn, Honolulu, HI 96822 USA</t>
  </si>
  <si>
    <t>Singh, A (corresponding author), Univ Hawaii, Dept Civil Engn, Honolulu, HI 96822 USA.</t>
  </si>
  <si>
    <t>amsingh00@gmail.com</t>
  </si>
  <si>
    <t>1943-4162</t>
  </si>
  <si>
    <t>1943-4170</t>
  </si>
  <si>
    <t>J LEG AFF DISPUTE RE</t>
  </si>
  <si>
    <t>J. Leg. Aff. Dispute Resolution Eng. Constr.</t>
  </si>
  <si>
    <t>UNSP 05014002</t>
  </si>
  <si>
    <t>10.1061/(ASCE)LA.1943-4170.0000144</t>
  </si>
  <si>
    <t>VF4HQ</t>
  </si>
  <si>
    <t>WOS:000442827400004</t>
  </si>
  <si>
    <t>Faggi, AM; Zuleta, GA; Homberg, M</t>
  </si>
  <si>
    <t>Faggi, Ana M.; Zuleta, Gustavo A.; Homberg, Marina</t>
  </si>
  <si>
    <t>Motivations for implementing voluntary environmental actions in Argentine forest companies</t>
  </si>
  <si>
    <t>Voluntary actions; Motivation; Perception; Forestations; Argentina</t>
  </si>
  <si>
    <t>MANAGEMENT-PRACTICES; STEWARDSHIP COUNCIL; CERTIFICATION; CONSERVATION; PERSPECTIVE; GOVERNANCE; CHALLENGES; CHOICES; IMAGE</t>
  </si>
  <si>
    <t>Several motivations play an important role in the design and implementation of voluntary environmental actions in forestry, which include systems and procedures of production that minimize environmental impacts and satisfy eco-demanding customers. The aim of this study was to explore what motivations inspire forest managers from large landholding companies in the Northeast of Argentina to implement voluntary actions and how these motivations are perceived outside the companies. To achieve the objective we compared the opinion of private foresters and companies' external consultants who scored motivations based on their importance as driving forces for environmental initiatives. The findings were also compared with motivations described for North American foresters. Multiple factors motivated the companies to participate in voluntary environmental actions following a four driver model with five motivational mechanisms defined as Learning, Signaling, Economic, Legal and Moral. Results showed that of the thirteen analyzed motivations, only two: effective resource management and corporate social responsibility differed significantly between Argentine foresters and consultants and were higher ranked by foresters. Both corresponded to the motivational mechanism Signaling. Our findings confirm that market pressure (via forest production certification) or the enrichment of the company image (through corporate social responsibility) were major motivations but not the only ones. In coincidence with foresters in USA, legal followed by moral motivations were major drivers and were more valued than financial gains. In Argentina bottom up mechanisms influenced by the individual concern for the environment of the decision makers and other workers seemed to be distinctive. Discrepancies between Argentine foresters and consultants highlighted the need to address some improvement in management and communication beyond the company. (C) 2014 Elsevier Ltd. All rights reserved.</t>
  </si>
  <si>
    <t>[Faggi, Ana M.] Univ Flores, CONICET MACN, Buenos Aires, DF, Argentina; [Faggi, Ana M.; Zuleta, Gustavo A.; Homberg, Marina] Maimonides Univ, Dept Ecol &amp; Environm Sc, Buenos Aires, DF, Argentina; [Zuleta, Gustavo A.] Natl Univ Lomas de Zamora, Fac Engn, RA-1832 Lomas De Zamora, Buenos Aires, Argentina</t>
  </si>
  <si>
    <t>Faggi, AM (corresponding author), Univ Flores, CONICET MACN, A Gallardo 470,C1405DJR, Buenos Aires, DF, Argentina.</t>
  </si>
  <si>
    <t>afaggi@macn.gov.ar; zuleta.gustavo@maimonides.edu; homberg.marina@maimonides.edu</t>
  </si>
  <si>
    <t>10.1016/j.landusepol.2014.04.011</t>
  </si>
  <si>
    <t>AO7QV</t>
  </si>
  <si>
    <t>WOS:000341548600050</t>
  </si>
  <si>
    <t>Ross, P; Hubert, J; Saunders, M; Wong, WL</t>
  </si>
  <si>
    <t>Ross, Peter; Hubert, Jane; Saunders, Mike; Wong, Wai Lup</t>
  </si>
  <si>
    <t>The importance of a supportive environment in clinical audit: a pilot study of doctors' engagement with the NHS National PET-CT audit programme</t>
  </si>
  <si>
    <t>NUCLEAR MEDICINE COMMUNICATIONS</t>
  </si>
  <si>
    <t>clinical audit; clinical governance; engagement; learning; organizational culture; PET-CT; process innovation; team climate</t>
  </si>
  <si>
    <t>KNOWLEDGE</t>
  </si>
  <si>
    <t>PurposeThe NHS National PET-CT Audit Programme was launched in 2008 as part of a national NHS programme to widen patient access to PET-computed tomography (CT) imaging in England. However, to implement clinical audit effectively, healthcare professionals need to be fully engaged with the process. The purpose of the pilot study was to identify and explore the different factors that influence doctors' engagement with the National NHS PET-CT Audit Programme.MethodsA single embedded case study was undertaken, which centred on the NHS National PET-CT Audit Programme. Seven theoretical propositions drawn from a review of the literature were tested and their influence evaluated. A purposeful sample of 13 semistructured interviews with consultant doctors was taken from different hospitals over a 6-month period. The data were analysed using directed thematic content analysis, with the themes compared against the study's propositions.ResultsDoctors' perspectives of clinical audit changed in response to the way in which the audit was implemented. The main barriers to engagement were the lack of a common vision and poor communication, which contributed to poor interprofessional relationships and a perceived culture of blame. In contrast, factors that facilitated engagement centred on the adoption of a more supportive and collaborative approach, which in turn facilitated higher levels of trust between professionals. The dissemination of performance data was found to be a key influencing factor.ConclusionThe study makes use of a unique data set and to the best of our knowledge is one of the first studies to document how the dissemination of doctors' performance data positively influences engagement with clinical audit in England. In addition, the study also shows how, contrary to some studies in the literature, clinical audit can reduce professional anxiety by providing a validation of professional competence. The study supports the premise that clinical audit will be fully embraced by doctors only if they are sufficiently involved in the process so as to be able to redefine and clarify its purpose and meaning. The preliminary findings of this pilot study provide the theoretical underpinning for a national survey into reporter perspectives of the National PET-CT Audit Programme.</t>
  </si>
  <si>
    <t>[Ross, Peter] Univ London, Birkbeck Sch Management, London, England; [Wong, Wai Lup] Mt Vernon Hosp, Northwood HA6 2RN, Middx, England; [Saunders, Mike] North England Specialised Commissioning Grp, Humber Off, Monks Cross, Yorks, England</t>
  </si>
  <si>
    <t>Wong, WL (corresponding author), Mt Vernon Hosp, Northwood HA6 2RN, Middx, England.</t>
  </si>
  <si>
    <t>wailup.wong@nhs.net</t>
  </si>
  <si>
    <t>0143-3636</t>
  </si>
  <si>
    <t>1473-5628</t>
  </si>
  <si>
    <t>NUCL MED COMMUN</t>
  </si>
  <si>
    <t>Nucl. Med. Commun.</t>
  </si>
  <si>
    <t>10.1097/MNM.0000000000000161</t>
  </si>
  <si>
    <t>AQ3KZ</t>
  </si>
  <si>
    <t>WOS:000342693600010</t>
  </si>
  <si>
    <t>Hydropower; Energy income estimation; Pricing</t>
  </si>
  <si>
    <t>HYDROPOWER; SYSTEM; GENERATION</t>
  </si>
  <si>
    <t>[Ak, M.; Yanmaz, A. M.; Kentel, E.] Middle E Tech Univ, Dept Civil Engn, TR-06800 Ankara, Turkey</t>
  </si>
  <si>
    <t>Yanmaz, AM (corresponding author), Middle E Tech Univ, Dept Civil Engn, TR-06800 Ankara, Turkey.</t>
  </si>
  <si>
    <t>myanz@metu.edu.tr</t>
  </si>
  <si>
    <t>Yanmaz, A. Melih/ABA-1402-2020; Kentel, Elcin/ABA-2696-2020</t>
  </si>
  <si>
    <t>Yanmaz, A. Melih/0000-0002-7145-2827; Kentel, Elcin/0000-0002-7477-0345</t>
  </si>
  <si>
    <t>AO9LB</t>
  </si>
  <si>
    <t>Phillips, RL; Pugno, PA; Saultz, JW; Tuggy, ML; Borkan, JM; Hoekzema, GS; DeVoe, JE; Weida, JA; Peterson, LE; Hughes, LS; Kruse, JE; Puffer, JC</t>
  </si>
  <si>
    <t>Phillips, Robert L.; Pugno, Perry A.; Saultz, John W.; Tuggy, Michael L.; Borkan, Jeffrey M.; Hoekzema, Grant S.; DeVoe, Jennifer E.; Weida, Jane A.; Peterson, Lars E.; Hughes, Lauren S.; Kruse, Jerry E.; Puffer, James C.</t>
  </si>
  <si>
    <t>Family Med Amer Hlth Writing Grp</t>
  </si>
  <si>
    <t>Health Is Primary: Family Medicine for America's Health</t>
  </si>
  <si>
    <t>ANNALS OF FAMILY MEDICINE</t>
  </si>
  <si>
    <t>primary health care; delivery of health care; health care economics and organizations; quality of health care; health services research</t>
  </si>
  <si>
    <t>PRIMARY-CARE; PERSONAL PHYSICIAN; US HEALTH; PRACTICE P-4; PAYMENT; FUTURE; EFFICIENCY; COUNTRIES; SYSTEMS; REFORM</t>
  </si>
  <si>
    <t>PURPOSE More than a decade ago the American Academy of Family Physicians, American Academy of Family Physicians Foundation, American Board of Family Medicine, Association of Departments of Family Medicine, Association of Family Practice Residency Directors, North American Primary Care Research Group, and Society of Teachers of Family Medicine came together in the Future of Family Medicine (FFM) to launch a series of strategic efforts to renew the specialty to meet the needs of people and society, some of which bore important fruit. Family Medicine for America's Health was launched in 2013 to revisit the role of family medicine in view of these changes and to position family medicine with new strategic and communication plans to create better health, better health care, and lower cost for patients and communities (the Triple Aim). METHODS Family Medicine for America's Health was preceded and guided by the development of a family physician role definition. A consulting group facilitated systematic strategic plan development over 9 months that included key informant interviews, formal stakeholder surveys, future scenario testing, a retreat for family medicine organizations and stakeholder representatives to review strategy options, further strategy refinement, and finally a formal strategic plan with draft tactics and design for an implementation plan. A second communications consulting group surveyed diverse stakeholders in coordination with strategic planning to develop a communication plan. The American College of Osteopathic Family Physicians joined the effort, and students, residents, and young physicians were included. RESULTS The core strategies identified include working to ensure broad access to sustained, primary care relationships; accountability for increasing primary care value in terms of cost and quality; a commitment to helping reduce health care disparities; moving to comprehensive payment and away from fee-for-service; transformation of training; technology to support effective care; improving research underpinning primary care; and actively engaging patients, policy makers, and payers to develop an understanding of the value of primary care. The communications plan, called Health is Primary, will complement these strategies. Eight family medicine organizations have pledged nearly $20 million and committed representatives to a multiyear implementation team that will coordinate these plans in a much more systematic way than occurred with FFM. CONCLUSIONS Family Medicine for America's Health is a new commitment by 8 family medicine organizations to strategically align work to improve practice models, payment, technology, workforce and education, and research to support the Triple Aim. It is also a humble invitation to patients and to clinical and policy partners to collaborate in making family medicine even more effective.</t>
  </si>
  <si>
    <t>[Phillips, Robert L.] Amer Board Family Med, Washington, DC 20036 USA; [Pugno, Perry A.] Amer Acad Family Physicians, Leawood, KS USA; [Saultz, John W.] Soc Teachers Family Med, Leawood, KS USA; [Saultz, John W.] Oregon Hlth &amp; Sci Univ, Dept Family Med, Portland, OR USA; [Tuggy, Michael L.] Assoc Family Med Residency Directors, Leawood, KS USA; [Tuggy, Michael L.] Univ Washington, Sch Med, Swedish Family Med Hill 1, Seattle, WA USA; [Borkan, Jeffrey M.] Assoc Dept Family Med, Leawood, KS USA; [Borkan, Jeffrey M.] Brown Univ, Mem Hosp Rhode Isl, Alpert Med Sch, Dept Family Med, Providence, RI 02912 USA; [Hoekzema, Grant S.] Assoc Family Med Residency Directors, Leawood, KS USA; [Hoekzema, Grant S.] St Louis Univ, Sch Med, Family Med Mercy Hosp St Louis, St Louis, MO USA; [Hoekzema, Grant S.] St Louis Univ, Sch Med, Dept Family &amp; Community Med, St Louis, MO USA; [DeVoe, Jennifer E.] North Amer Primary Care Res Grp, Leawood, KS USA; [DeVoe, Jennifer E.] Oregon Hlth &amp; Sci Univ, Dept Family Med, OCHIN, Portland, OR USA; [Weida, Jane A.] Amer Acad Family Physicians Fdn, Leawood, KS USA; [Weida, Jane A.] Reading Hosp Family Med Residency, Family Hlth Care Ctr, Reading, PA USA; [Weida, Jane A.] Penn State Coll Med, Hershey, PA USA; [Peterson, Lars E.] Amer Board Family Med, Leawood, KS USA; [Hughes, Lauren S.] Univ Michigan, Robert Wood Johnson Fdn Clin Scholar, Ann Arbor, MI 48109 USA; [Kruse, Jerry E.] Soc Teachers Family Med, Leawood, KS USA; [Kruse, Jerry E.] So Illinois Univ, Sch Med, Southern Illinois Univ HealthCare, Springfield, IL USA; [Puffer, James C.] Amer Board Family Med, Leawood, KS USA</t>
  </si>
  <si>
    <t>Phillips, RL (corresponding author), Amer Board Family Med, 1133 Connecticut Ave NW,Suite 1100, Washington, DC 20036 USA.</t>
  </si>
  <si>
    <t>bphillips@theabfm.org</t>
  </si>
  <si>
    <t>ANNALS FAMILY MEDICINE</t>
  </si>
  <si>
    <t>LEAWOOD</t>
  </si>
  <si>
    <t>11400 TOMAHAWK CREEK PARKWAY, LEAWOOD, KS 66211-2672 USA</t>
  </si>
  <si>
    <t>1544-1709</t>
  </si>
  <si>
    <t>1544-1717</t>
  </si>
  <si>
    <t>ANN FAM MED</t>
  </si>
  <si>
    <t>Ann. Fam. Med.</t>
  </si>
  <si>
    <t>S1</t>
  </si>
  <si>
    <t>S12</t>
  </si>
  <si>
    <t>10.1370/afm.1699</t>
  </si>
  <si>
    <t>CW2OS</t>
  </si>
  <si>
    <t>WOS:000364832600001</t>
  </si>
  <si>
    <t>Policy; Science-policy interface; Water re-allocation; Environmental benefits; Ecosystem service assessment</t>
  </si>
  <si>
    <t>MANAGEMENT; INTEGRATION; KNOWLEDGE; WETLAND; POLICY; CONSERVATION; GOVERNANCE; ECOLOGY; SCIENCE; RIVERS</t>
  </si>
  <si>
    <t>[MacDonald, Darla Hatton] CSIRO Ecosyst Sci, Glen Osmond, SA 5064, Australia; [MacDonald, Darla Hatton] Charles Sturt Univ, Sch Accounting &amp; Finance, Bathurst, NSW 2795, Australia; [Bark, Rosalind H.; Coggan, Anthea] CSIRO Ecosyst Sci, Dutton Pk, Qld 4102, Australia</t>
  </si>
  <si>
    <t>MacDonald, DH (corresponding author), CSIRO Ecosyst Sci, PMB2, Glen Osmond, SA 5064, Australia.</t>
  </si>
  <si>
    <t>darla.hattonmacdonald@csiro.au</t>
  </si>
  <si>
    <t>Bark, Rosalind H/0000-0002-9876-9322; Hatton MacDonald, Darla/0000-0003-1374-9128; Coggan, Anthea/0000-0003-2625-9435</t>
  </si>
  <si>
    <t>Water for Healthy Country Flagship</t>
  </si>
  <si>
    <t>This research was funded by the Water for Healthy Country Flagship. The authors would like to acknowledge the generosity of the participants in terms of insights and time taken as part of this research. We like to acknowledge the insights from the collegial internal review process. The views expressed in this paper represent a summary by the authors made during interviews. Interpretations of notes in this paper are strictly the views of the authors. We would also like to thank the editor for this special edition and two anonymous reviewers for their insights and suggestions.</t>
  </si>
  <si>
    <t>LANDSCAPE ECOL</t>
  </si>
  <si>
    <t>Landsc. Ecol.</t>
  </si>
  <si>
    <t>Ecology; Geography, Physical; Geosciences, Multidisciplinary</t>
  </si>
  <si>
    <t>AP4VY</t>
  </si>
  <si>
    <t>Water governance; Clean Development Mechanism; hydropower; arenas of engagement; Vietnam</t>
  </si>
  <si>
    <t>[Smits, Mattijs] Wageningen Univ, Environm Policy Grp, Wageningen, Netherlands; [Middleton, Carl] Chulalongkorn Univ, Fac Polit Sci, Int Dev Studies Program, Bangkok, Thailand</t>
  </si>
  <si>
    <t>Smits, M (corresponding author), Wageningen Univ, Environm Policy Grp, Wageningen, Netherlands.</t>
  </si>
  <si>
    <t>mattijs.smits@wur.nl; carl.chulalongkorn@gmail.com</t>
  </si>
  <si>
    <t>V44UV</t>
  </si>
  <si>
    <t>community-based organizations; governance; social inclusion; local development; social entrepreneurship; Portugal</t>
  </si>
  <si>
    <t>GOVERNANCE; ECONOMY</t>
  </si>
  <si>
    <t>Univ Beira Interior &amp; Researcher, CIES IUL Ctr Res &amp; Studies Sociol, Univ Inst Lisbon, P-6200209 Covilha, Portugal</t>
  </si>
  <si>
    <t>Monteiro, AA (corresponding author), Univ Beira Interior &amp; Researcher, CIES IUL Ctr Res &amp; Studies Sociol, Univ Inst Lisbon, P-6200209 Covilha, Portugal.</t>
  </si>
  <si>
    <t>alcidesmonteiro@ubi.pt</t>
  </si>
  <si>
    <t>Monteiro, Alcides/0000-0002-4546-383X</t>
  </si>
  <si>
    <t>EDITURA LUMEN, IASI</t>
  </si>
  <si>
    <t>HOLT ROMANIA FCSSCF FILIALA, IASI STR BISTRITA, NR 7, BL B13, PARTER, AP 3, IASI, 00000, ROMANIA</t>
  </si>
  <si>
    <t>REV CERCET INTERV SO</t>
  </si>
  <si>
    <t>Rev. Cercet. Interv. Soc.</t>
  </si>
  <si>
    <t>AQ3YK</t>
  </si>
  <si>
    <t>Risk assessment; Shut down mines; Abandoned mines; Safety hazards; Soil and groundwater contamination; Acid mine drainage; Receptors; Remediation</t>
  </si>
  <si>
    <t>[Hasheela, I.; Schneider, G. I. C.; Haidula, A.; Leonard, R.; Shigwana, O.] Geol Survey Namibia, Windhoek, Namibia; [Ellmies, R.; Ndalulilwa, K.] Kunene Resources, Windhoek, Namibia; [Walmsley, B.] Southern African Inst Environm Assessment, Windhoek, Namibia</t>
  </si>
  <si>
    <t>Schneider, GIC (corresponding author), Private Bag 13297, Windhoek, Namibia.</t>
  </si>
  <si>
    <t>gschneider@mme.gov.na</t>
  </si>
  <si>
    <t>J GEOCHEM EXPLOR</t>
  </si>
  <si>
    <t>J. Geochem. Explor.</t>
  </si>
  <si>
    <t>Geochemistry &amp; Geophysics</t>
  </si>
  <si>
    <t>AP7HG</t>
  </si>
  <si>
    <t>Scenarios; Scenario method; Second generation ethanol; Stakeholder analysis</t>
  </si>
  <si>
    <t>CELLULOSIC ETHANOL; ENERGY SCENARIOS; FUTURE; SUSTAINABILITY; STRATEGIES; FERMENTATION; HYDROLYSIS; FORESIGHT; THINKING; DELPHI</t>
  </si>
  <si>
    <t>[Raele, Ricardo; Gama Boaventura, Joao Mauricio; Fischmann, Adalberto Americo; Sarturi, Greici] Univ Sao Paulo, Fac Econ Business Adm &amp; Accounting FEA, Av Prof Luciano Gualberto 908,Sala E201, BR-05508010 Sao Paulo, Brazil</t>
  </si>
  <si>
    <t>Boaventura, JMG (corresponding author), Univ Sao Paulo, Fac Econ Business Adm &amp; Accounting FEA, Av Prof Luciano Gualberto 908,Sala E201, BR-05508010 Sao Paulo, Brazil.</t>
  </si>
  <si>
    <t>ricardo.raele@usp.br; jboaventura@usp.br; aafischm@usp.br; greici@usp.br</t>
  </si>
  <si>
    <t>Sarturi, Greici/AAS-6036-2021; Boaventura, João Maurício Gama/G-1679-2014</t>
  </si>
  <si>
    <t>Boaventura, João Maurício Gama/0000-0003-3070-2153; Sarturi, Greici/0000-0002-6670-7565</t>
  </si>
  <si>
    <t>AN8OD</t>
  </si>
  <si>
    <t>Cheung, CWM</t>
  </si>
  <si>
    <t>Cheung, Cherry Wun-Mei</t>
  </si>
  <si>
    <t>Innovative Education and Business Engagement at the Heart of Entrepreneurial Business Schools: An interview with Dr Gwyn Jones, Director of Essex Business School, University of Essex</t>
  </si>
  <si>
    <t>JOURNAL OF GENERAL MANAGEMENT</t>
  </si>
  <si>
    <t>Dr Gwyn Jones is currently the Director of the Essex Business School (EBS), University of Essex. His first entrepreneurial venture involved successfully starting, growing and selling a software business. He became a serial entrepreneur, alongside his roles in the corporate environment as Chairperson, Director and Non-executive Director. Some of his high-profile posts include the Chairperson of the Welsh Development Agency, the North West Equity Fund, and training and consultancy firm RogenSi, a Non-ExecutiveDirector in Tesco and Apricot Computers, a Senior Independent Director at Invesco English and International Trust plc, a Governor of the BBC and a member of the S4C Authority. His career embraces technology, media, retail, consulting and investment. He was appointed the EBS Director in 2013 to head up the management team and leads the review of the school's strategy for education, research and business engagement, a move that was intended to make the school more aligned with the opportunities that business engagement offers. Within a short year a number of agreements have been made with corporates and SMEs, and student numbers have escalated. In addition the school has developed a number of entrepreneurial initiatives, including the introduction of the internship option in small and medium enterprises (SMEs) for undergraduate students and the delivery of the Postgraduate Certificate programme in Entrepreneurship Practices for Essex's graduates who are intending to start a business. Currently, he is involved in a number of exciting projects including the development of business incubation spaces for entrepreneurial students to conduct their business activities. He also works closely with other departments within the University, and is involved in the development and running of a number of entrepreneurial initiatives including the GameHub (a game design programme in partnership with Colchester Borough Council, Essex County Council and Shark Infected Custard) and the annual entrepreneurship boot camp held in Essex. Prior to his role of EBS Director, Gwyn has taught in various higher institutions in the UK including Manchester, Strathclyde, Aberystwyth, and Leicester.</t>
  </si>
  <si>
    <t>[Cheung, Cherry Wun-Mei] London South Bank Univ, Sch Business, Corp &amp; Business Law, London, England</t>
  </si>
  <si>
    <t>Cheung, CWM (corresponding author), London South Bank Univ, Sch Business, Corp &amp; Business Law, London, England.</t>
  </si>
  <si>
    <t>cheungc5@lsbu.ac.uk</t>
  </si>
  <si>
    <t>0306-3070</t>
  </si>
  <si>
    <t>1759-6106</t>
  </si>
  <si>
    <t>J GEN MANAGE</t>
  </si>
  <si>
    <t>J. Gen. Manage.</t>
  </si>
  <si>
    <t>10.1177/030630701404000107</t>
  </si>
  <si>
    <t>VG5IO</t>
  </si>
  <si>
    <t>WOS:000447250000007</t>
  </si>
  <si>
    <t>Sustainability; Sustainable remediation; Sustainable behaviour; Green remediation; Contaminated land; General linear model</t>
  </si>
  <si>
    <t>CONTAMINATED LAND; MANAGEMENT; TECHNOLOGY; FRAMEWORK; POLICY; WASTE; MODEL</t>
  </si>
  <si>
    <t>[Hou, Deyi; Al-Tabbaa, Abir] Univ Cambridge, Dept Engn, Geotech &amp; Environm Res Grp, Cambridge CB2 1PZ, England; [Guthrie, Peter] Univ Cambridge, Dept Engn, Ctr Sustainable Dev, Cambridge CB2 1PZ, England</t>
  </si>
  <si>
    <t>Hou, DY (corresponding author), Univ Cambridge, Dept Engn, Geotech &amp; Environm Res Grp, Cambridge CB2 1PZ, England.</t>
  </si>
  <si>
    <t>deyi.hou@gmail.com</t>
  </si>
  <si>
    <t>Cambridge International Scholarships Scheme [10191612]; National Natural Science Foundation of China [71231005, 71071067]</t>
  </si>
  <si>
    <t>Cambridge International Scholarships Scheme; National Natural Science Foundation of China(National Natural Science Foundation of China (NSFC))</t>
  </si>
  <si>
    <t>The first author's research is funded through the Cambridge International Scholarships Scheme (#10191612) which is gratefully acknowledged. This research was supported in part by the National Natural Science Foundation of China (Grants 71231005 and 71071067). The authors also would like to express their gratitude to Chris Evans, Cynthia Burt, David O'Connor, Dennis Brown, Fei Jin, Jim Leu, Martin Richell, Qingbao Gu, Tao Long, and Xiaodong Yu for their assistance in the design and distribution of the survey questionnaire. Special thanks also go to Dr. Rob Sweeney at CL: AIRE and Professor Paul Nathanail at the University of Nottingham for their help in distributing the survey.</t>
  </si>
  <si>
    <t>AY0NT</t>
  </si>
  <si>
    <t>Loutatidou, S; Chalermthai, B; Marpu, PR; Arafat, HA</t>
  </si>
  <si>
    <t>Loutatidou, Savvina; Chalermthai, Bushra; Marpu, Prashanth R.; Arafat, Hassan A.</t>
  </si>
  <si>
    <t>Capital cost estimation of RO plants: GCC countries versus southern Europe</t>
  </si>
  <si>
    <t>DESALINATION</t>
  </si>
  <si>
    <t>Reverse osmosis; Capital cost; Gulf Cooperation Council; Modeling; EPC contract</t>
  </si>
  <si>
    <t>SEAWATER DESALINATION; WATER; ECONOMICS</t>
  </si>
  <si>
    <t>The installation of reverse osmosis (RO) desalination plants has been on the rise throughout the world. Thus, the estimation of their capital cost (CAPEX) is of major importance for governments, potential investors and consulting engineers of the industry. In this paper, parameters potentially affecting the direct capital costs of brackish water RO (BWRO) and seawater RO (SWRO) desalination plants, delivered through Engineering, Procurement &amp; Construction (EPC) contracts, were assessed. The assessment was conducted based oncost data from 950 RO desalination plants contracted in the Gulf Cooperation Council (GCC) countries and in five southern European countries. The parameters assessed include plant capacity, location, award year, feed salinity, and the cumulative installed capacity within a region. Our results showed that plant capacity has the strongest correlation with the EPC cost. Plant type (SWRO or BWRO), plant award year and the region of the RO plant were also found to be statistically important. By utilizing multiple linear regression, a model was also developed to estimate the direct CAPEX (EPC cost) of RO desalination plants to be located either in the GCC countries or southern Europe, which was then verified using the k-fold test. (C)2014 Elsevier B.V. All rights reserved.</t>
  </si>
  <si>
    <t>[Loutatidou, Savvina; Chalermthai, Bushra; Marpu, Prashanth R.; Arafat, Hassan A.] Masdar Inst Sci &amp; Technol, Dept Chem &amp; Environm Engn, Inst Ctr Water &amp; Environm iWater, Abu Dhabi, U Arab Emirates</t>
  </si>
  <si>
    <t>Arafat, HA (corresponding author), Masdar Inst Sci &amp; Technol, Dept Chem &amp; Environm Engn, Inst Ctr Water &amp; Environm iWater, POB 54224, Abu Dhabi, U Arab Emirates.</t>
  </si>
  <si>
    <t>harafat@masdar.ac.ae</t>
  </si>
  <si>
    <t>MARPU, PRASHANTH REDDY/0000-0003-3335-1790; Arafat, Hassan/0000-0002-8616-895X; Chalermthai, Bushra/0000-0002-1806-7460</t>
  </si>
  <si>
    <t>0011-9164</t>
  </si>
  <si>
    <t>1873-4464</t>
  </si>
  <si>
    <t>Desalination</t>
  </si>
  <si>
    <t>10.1016/j.desal.2014.05.033</t>
  </si>
  <si>
    <t>AM0JV</t>
  </si>
  <si>
    <t>WOS:000339532800012</t>
  </si>
  <si>
    <t>POLITICS; PROTEST; STATE</t>
  </si>
  <si>
    <t>Univ Johannesburg, Dept Tourism, Johannesburg, South Africa</t>
  </si>
  <si>
    <t>Leonard, L (corresponding author), Univ Johannesburg, Dept Tourism, Johannesburg, South Africa.</t>
  </si>
  <si>
    <t>lleonard@uj.ac.za</t>
  </si>
  <si>
    <t>POLITIKON-UK</t>
  </si>
  <si>
    <t>Politikon</t>
  </si>
  <si>
    <t>AN0LH</t>
  </si>
  <si>
    <t>Forest resources; Pro-poor; REDD projects; Spatial targeting; Socioeconomic</t>
  </si>
  <si>
    <t>CLIMATE-CHANGE; ADAPTIVE CAPACITY; VULNERABILITY; AFRICA; ADAPTATION; FORESTRY; BENEFITS; DROUGHT; MODELS; YIELD</t>
  </si>
  <si>
    <t>[Atela, Joanes O.; Quinn, Claire H.] Univ Leeds, Sch Earth &amp; Environm, Sustainabil Res Inst, Leeds LS2 9JT, W Yorkshire, England; [Atela, Joanes O.; Minang, Peter A.] World Agroforestry Ctr, ASB Partnerships Trop Forest Margins, Nairobi, Kenya</t>
  </si>
  <si>
    <t>Atela, JO (corresponding author), World Agroforestry Ctr, ASB Partnerships Trop Forest Margins, POB 30677-00100, Nairobi, Kenya.</t>
  </si>
  <si>
    <t>eejoa@leeds.ac.uk</t>
  </si>
  <si>
    <t>ESRC [ES/K006576/1] Funding Source: UKRI; Economic and Social Research Council [ES/K006576/1] Funding Source: researchfish</t>
  </si>
  <si>
    <t>APPL GEOGR</t>
  </si>
  <si>
    <t>Appl. Geogr.</t>
  </si>
  <si>
    <t>AM9TW</t>
  </si>
  <si>
    <t>Fairfield Univ, Dept Commun, Fairfield, CT 06430 USA</t>
  </si>
  <si>
    <t>Serazio, M (corresponding author), Fairfield Univ, Dept Commun, Fairfield, CT 06430 USA.</t>
  </si>
  <si>
    <t>mserazio@fairfield.edu</t>
  </si>
  <si>
    <t>J COMMUN</t>
  </si>
  <si>
    <t>J. Commun.</t>
  </si>
  <si>
    <t>AN4ER</t>
  </si>
  <si>
    <t>Than, TMM</t>
  </si>
  <si>
    <t>Tin Maung Maung Than</t>
  </si>
  <si>
    <t>Introductory Overview Myanmar's Economic Reforms</t>
  </si>
  <si>
    <t>JOURNAL OF SOUTHEAST ASIAN ECONOMIES</t>
  </si>
  <si>
    <t>Myanmar economic reforms; trade; finance; banking; exchange rate; business; economic strategy</t>
  </si>
  <si>
    <t>President Thein Sein's government launched a series of political, economic and administrative reforms soon after assuming power in March 2011. The economic reform agenda emphasizes good, governance, transparency and accountability while including measures for attracting foreign direct investment (FDI), liberalizing trade, enhancing regional economic cooperation, reducing the state's economic role, boosting productivity and balancing equity with efficiency. A more systematic exposition of reforms is the government's Framework for Economic and Social Reforms (FESR). With the removal of most of the Western punitive sanctions, liberalization of finance, banking, trade and investment sectors and replacement of the overvalued fixed exchange rate with a managed float, Myanmar, with its rich natural resources and virtually untapped market, has become the favoured emerging market for the international business community. However, the country's economic transition is not going to be smooth as there are many structural and other problems inherited from decades of mismanagement and neglect, as well as socio-political challenges. Meanwhile, little research on problems and issues in the various economic sectors is available to the reformist government, whose lack of capacity makes it all the more difficult to institute reforms. However, the returning international financial institutions, Western government-linked aid agencies and private consultancies have brought in expertise to narrow the information gap. In this special edition on Myanmar reforms, issues related to external trade, exchange rate, finance, banking, business environment and potential economic strategies, which are vital components of the reform agenda and crucial for Myanmar's sustained growth, are analysed.</t>
  </si>
  <si>
    <t>[Tin Maung Maung Than] Inst Southeast Asian Studies, 30 Heng Mui Keng Terrace, Singapore 119614, Singapore</t>
  </si>
  <si>
    <t>Than, TMM (corresponding author), Inst Southeast Asian Studies, 30 Heng Mui Keng Terrace, Singapore 119614, Singapore.</t>
  </si>
  <si>
    <t>tin@iseas.edu.sg</t>
  </si>
  <si>
    <t>INST SOUTHEAST ASIAN STUDIES-ISEAS</t>
  </si>
  <si>
    <t>PASIR PANJANG</t>
  </si>
  <si>
    <t>30 HENG MUI KING TERACE, PASIR PANJANG, 119614, SINGAPORE</t>
  </si>
  <si>
    <t>2339-5095</t>
  </si>
  <si>
    <t>2339-5206</t>
  </si>
  <si>
    <t>J SOUTHEAST ASIAN EC</t>
  </si>
  <si>
    <t>J. Southeast Asian Economies</t>
  </si>
  <si>
    <t>10.1355/ae31-2a</t>
  </si>
  <si>
    <t>VD4BJ</t>
  </si>
  <si>
    <t>WOS:000436714600001</t>
  </si>
  <si>
    <t>Yankah, C; Fynn-Thompson, F; Antunes, M; Edwin, F; Yuko-Jowi, C; Mendis, S; Thameur, H; Urban, A; Bolman, R</t>
  </si>
  <si>
    <t>Yankah, Charles; Fynn-Thompson, Francis; Antunes, Manuel; Edwin, Frank; Yuko-Jowi, Christine; Mendis, Shanthi; Thameur, Habib; Urban, Andreas; Bolman, Ralph, III</t>
  </si>
  <si>
    <t>Cardiac Surgery Capacity in Sub-Saharan Africa: Quo Vadis?</t>
  </si>
  <si>
    <t>THORACIC AND CARDIOVASCULAR SURGEON</t>
  </si>
  <si>
    <t>cardiac surgery in Africa; rheumatic and congenital heart surgery; development models for cardiac programs; pioneers in cardiac surgery</t>
  </si>
  <si>
    <t>OPEN-HEART-SURGERY; CARDIOTHORACIC-SURGERY; VALVE-REPLACEMENT; REPAIR</t>
  </si>
  <si>
    <t>Background Current data on cardiac surgery capacity on which to base effective concepts for developing sustainable cardiac surgical programs in Africa are lacking or of low quality. Methods A questionnaire concerning cardiac surgery in Africa was sent to 29 colleagues-26 cardiac surgeons and 3 cardiologists in 16 countries. Further, data on numbers of surgeons practicing in Africa were retrieved from the Cardiothoracic Surgery Network (CTSNet). Results There were 25 respondents, yielding a response rate of 86.2%. Three models emerged: the Ghanaian/German model with a senior local consultant surgeon (Model 1); surgeons visiting for a short period to perform humanitarian surgery (Model 2); and expatriate surgeons on contract to develop cardiac programs (Model 3). The 933 cardiothoracic surgeons listed by CTSNet translated into one surgeon per 1.3 million people. In North Africa, the figure was three surgeons per 1 million and in sub-Saharan Africa (SSA), one surgeon per 3.3 million people. The identified 156 cardiac surgeons represented a surgeon to population ratio of 1:5.9 million people. In SSA, the ratio was one surgeon per 14.3 million. In North Africa, it was one surgeon per 1.1 million people. Open heart operations were approximately 12 per million in Africa, 2 per million in SSA, and 92 per million people in North Africa. Conclusion Cardiothoracic health care delivery would worsen in SSA without the support of humanitarian surgery. Although all three models have potential for success, the Ghanaian/German model has proved to be successful in the long term and could inspire health care policy makers and senior colleagues planning to establish cardiac programs in Africa.</t>
  </si>
  <si>
    <t>[Yankah, Charles] Deutsch Herzzentrum Berlin, Dept Thorac &amp; Cardiovasc Surg, D-13353 Berlin, Germany; [Yankah, Charles] Afrika Kulturinst eV, Dept Int Relat, Berlin, Germany; [Fynn-Thompson, Francis] Harvard Univ, Sch Med, Boston Childrens Hosp, Dept Cardiac Surg, Boston, MA USA; [Antunes, Manuel] Univ Hosp Coimbra, Dept Cardiothorac Surg, Coimbra, Portugal; [Edwin, Frank] Natl Cardiothorac Ctr, Dept Cardiothorac Surg, Accra, Ghana; [Yuko-Jowi, Christine] Univ Nairobi, Dept Pediat Cardiol, Nairobi, Kenya; [Yuko-Jowi, Christine] Mater Hosp, Nairobi, Kenya; [Mendis, Shanthi] WHO, Dept Management Noncommunicable Dis, CH-1211 Geneva, Switzerland; [Thameur, Habib] Clin Int Hannibal, Dept Cardiac Surg, Tunis, Tunisia; [Urban, Andreas] Int Operat Ctr Children, Dept Pediat Cardiac Surg, Asmera, Eritrea; [Bolman, Ralph, III] Brigham &amp; Womens Hosp, Dept Cardiac Surg, Boston, MA 02115 USA</t>
  </si>
  <si>
    <t>Yankah, C (corresponding author), Deutsch Herzzentrum Berlin, Dept Thorac &amp; Cardiovasc Surg, Augustenburger Pl 1, D-13353 Berlin, Germany.</t>
  </si>
  <si>
    <t>yankah@dhzb.de</t>
  </si>
  <si>
    <t>Mendis, Shanthi/GLT-0465-2022</t>
  </si>
  <si>
    <t>Edwin, Frank/0000-0001-5174-8017; mendis, shanthi/0000-0002-8959-5738; Fynn-Thompson, Francis/0000-0003-3488-7394</t>
  </si>
  <si>
    <t>World Health Organization [001] Funding Source: Medline</t>
  </si>
  <si>
    <t>World Health Organization(World Health Organization)</t>
  </si>
  <si>
    <t>GEORG THIEME VERLAG KG</t>
  </si>
  <si>
    <t>RUDIGERSTR 14, D-70469 STUTTGART, GERMANY</t>
  </si>
  <si>
    <t>0171-6425</t>
  </si>
  <si>
    <t>1439-1902</t>
  </si>
  <si>
    <t>THORAC CARDIOV SURG</t>
  </si>
  <si>
    <t>Thorac. Cardiovasc. Surg.</t>
  </si>
  <si>
    <t>10.1055/s-0034-1383723</t>
  </si>
  <si>
    <t>Cardiac &amp; Cardiovascular Systems; Respiratory System; Surgery</t>
  </si>
  <si>
    <t>Cardiovascular System &amp; Cardiology; Respiratory System; Surgery</t>
  </si>
  <si>
    <t>AN6ZR</t>
  </si>
  <si>
    <t>WOS:000340748500004</t>
  </si>
  <si>
    <t>Priddis, HS; Schmied, V; Kettle, C; Sneddon, A; Dahlen, HG</t>
  </si>
  <si>
    <t>Priddis, Holly S.; Schmied, Virginia; Kettle, Christine; Sneddon, Anne; Dahlen, Hannah G.</t>
  </si>
  <si>
    <t>A patchwork of services - caring for women who sustain severe perineal trauma in New South Wales - from the perspective of women and midwives</t>
  </si>
  <si>
    <t>BMC PREGNANCY AND CHILDBIRTH</t>
  </si>
  <si>
    <t>Qualitative research; Severe perineal trauma; Health services; Birth</t>
  </si>
  <si>
    <t>ANAL-SPHINCTER INJURIES; RISK-FACTORS; EXPERIENCES; 3RD-DEGREE; TEARS; MANAGEMENT; DIAGNOSIS; REPAIR; BIRTH; FOCUS</t>
  </si>
  <si>
    <t>Background: Current research into severe perineal trauma (3rd and 4th degree) focuses upon identification of risk factors, preventative practices and methods of repair, with little focus on women's experiences of, and interactions with, health professionals following severe perineal trauma (SPT). The aim of this study is to describe current health services provided to women in New South Wales (NSW) who have experienced SPT from the perspective of Clinical Midwifery Consultants (CMC) and women. Methods: This study used a descriptive qualitative design and reports on the findings of a component of a larger mixed methods study. Data were collected through a semi-structured discussion group using a variety of non-directive, open-ended questions leading CMCs of NSW. A survey was distributed prior to the discussion group to collect further information and enable a more comprehensive understanding of services provided. Data from individual interviews with twelve women who had experienced SPT during vaginal birth is used to provide greater insight into their interactions with, and ease of access to, health service providers in NSW. An integrative approach was undertaken in reporting the findings which involved comparing and analysing findings from the three sets of data. Results: One overarching theme was identified: A Patchwork of Policy and Process which identified that current health services operate in a 'patchwork' manner when caring for women who sustain SPT. They are characterised by lack of consistency in practice and standardisation of care. Within the overarching theme, four subthemes were identified: Falling through the gaps; Qualifications, skills and attitudes of health professionals; Caring for women who have sustained SPT; and Gold standard care: how would it look? Conclusion: The findings from this study suggest that current health services in NSW represent a 'patchwork' of service provision for women who have sustained SPT. It appeared that women seek compassionate and supportive care based upon a clear exchange of information, and this should be considered when reflecting upon health service design. This study highlights the benefits of establishing multi-disciplinary collaborative specialist clinics to support women who experience SPT and associated morbidities, with the aim of providing comprehensive physiological and psychological support.</t>
  </si>
  <si>
    <t>[Priddis, Holly S.; Schmied, Virginia; Dahlen, Hannah G.] Univ Western Sydney, Sch Nursing &amp; Midwifery, Penrith, NSW 2751, Australia; [Kettle, Christine] Staffordshire Univ, Stafford ST18 0AD, Staffs, England; [Sneddon, Anne] Griffith Univ, Obstet &amp; Gynaecol Gold Coast, Gold Coast, Australia</t>
  </si>
  <si>
    <t>Priddis, HS (corresponding author), Univ Western Sydney, Sch Nursing &amp; Midwifery, Bldg EB,Parramatta Campus,Locked Bag 1797, Penrith, NSW 2751, Australia.</t>
  </si>
  <si>
    <t>H.priddis@uws.edu.au</t>
  </si>
  <si>
    <t>Dahlen, Hannah/V-1034-2019</t>
  </si>
  <si>
    <t>Dahlen, Hannah/0000-0002-4450-3078; Schmied, Virginia/0000-0002-4066-1781; Priddis, Holly/0000-0002-5216-7641; Sneddon, Anne/0000-0002-2246-5269</t>
  </si>
  <si>
    <t>1471-2393</t>
  </si>
  <si>
    <t>BMC PREGNANCY CHILDB</t>
  </si>
  <si>
    <t>BMC Pregnancy Childbirth</t>
  </si>
  <si>
    <t>10.1186/1471-2393-14-236</t>
  </si>
  <si>
    <t>Obstetrics &amp; Gynecology</t>
  </si>
  <si>
    <t>AL8GQ</t>
  </si>
  <si>
    <t>WOS:000339376600001</t>
  </si>
  <si>
    <t>Bidding decision; Tendering; Construction projects; Constructability; State of Qatar</t>
  </si>
  <si>
    <t>MODEL; FRAMEWORK; SYSTEM</t>
  </si>
  <si>
    <t>[Jarkas, Abdulaziz M.] Mazaya Holding Co, KSCC, Projects Dept, Safat 13036, State Of Kuwait, Kuwait; [Jarkas, Abdulaziz M.; Kadri, Charles Y.] Mazaya Qatar Real Estate Dev Co, QSC, Doha, State Of Qatar, Qatar; [Mubarak, Saleh A.] Qatar Univ, Coll Engn, Civil &amp; Architectural Engn Dept, Doha, State Of Qatar, Qatar</t>
  </si>
  <si>
    <t>Jarkas, AM (corresponding author), Mazaya Holding Co, KSCC, Projects Dept, POB 3546, Safat 13036, State Of Kuwait, Kuwait.</t>
  </si>
  <si>
    <t>jarkas@mazayarealestate.com; saleh.mubarak@qu.edu.qa; charles@mazayaqatar.com</t>
  </si>
  <si>
    <t>AW2PT</t>
  </si>
  <si>
    <t>Small and medium enterprises; SMEs; Environmental management systems; EMS; Bibliometric analysis; Systematic review</t>
  </si>
  <si>
    <t>SMALL COMPANIES; ISO 14001; EMS; IMPLEMENTATION; INDICATORS</t>
  </si>
  <si>
    <t>[Ferenhof, Helio Aisenberg; Vignochi, Luciano; Selig, Paulo Mauricio; Rojas Lezana, Alvaro Guillermo; Campos, Lucila M. S.] Fed Univ Santa Catarina UFSC, Dept Prod Engn, BR-88040900 Florianopolis, SC, Brazil</t>
  </si>
  <si>
    <t>Campos, LMS (corresponding author), Fed Univ Santa Catarina UFSC, Dept Prod Engn, Campus Trindade, BR-88040900 Florianopolis, SC, Brazil.</t>
  </si>
  <si>
    <t>helio@igci.com.br; luciano.vignochi@posgrad.ufsc.br; selig@deps.ufsc.br; alvaro.lezana@ufsc.br; lucila.campos@ufsc.br</t>
  </si>
  <si>
    <t>de Souza Campos, Lucila M./D-4322-2012; SELIG, PAULO/AAT-7871-2020; VIGNOCHI, LUCIANO/O-4796-2019; FERENHOF, H. A./D-2515-2013</t>
  </si>
  <si>
    <t>de Souza Campos, Lucila M./0000-0002-1610-7617; FERENHOF, H. A./0000-0001-5167-0838; Vignochi, Luciano/0000-0002-3208-6051</t>
  </si>
  <si>
    <t>CAPES</t>
  </si>
  <si>
    <t>CAPES(Coordenacao de Aperfeicoamento de Pessoal de Nivel Superior (CAPES))</t>
  </si>
  <si>
    <t>We (authors) really would like to thank the editors and reviewers involved with the paper. The suggestions really improved the quality of it. We also would like to thank CAPES (Coordination for the Improvement of Higher Education Personnel) for financial support.</t>
  </si>
  <si>
    <t>AJ6AV</t>
  </si>
  <si>
    <t>SOCIAL-RESPONSIBILITY; MANAGEMENT; STRATEGY</t>
  </si>
  <si>
    <t>[Skouloudis, Antonis; Evangelinos, Konstantinos] Univ Aegean, Dept Environm, Ctr Environm Policy &amp; Strateg Environm Management, Mitilini, Greece</t>
  </si>
  <si>
    <t>Skouloudis, A (corresponding author), Univ Aegean, Dept Environm, Ctr Environm Policy &amp; Strateg Environm Management, Mitilini, Greece.</t>
  </si>
  <si>
    <t>Skouloudis, Antonis/AAG-9055-2020; Skouloudis, Antonis/Q-2216-2016</t>
  </si>
  <si>
    <t>BUS ETHICS</t>
  </si>
  <si>
    <t>Bus. Ethics</t>
  </si>
  <si>
    <t>AJ4VE</t>
  </si>
  <si>
    <t>Dredging; Port development; Building with Nature; Natura 2000; Project management; North-West Europe</t>
  </si>
  <si>
    <t>[Vikolainen, Vera; Bressers, Hans; Lulofs, Kris] Univ Twente, Twente Ctr Studies Technol &amp; Sustainable Dev CSTM, NL-7500 AE Enschede, Netherlands</t>
  </si>
  <si>
    <t>Vikolainen, V (corresponding author), Univ Twente, Twente Ctr Studies Technol &amp; Sustainable Dev CSTM, Postbus 217, NL-7500 AE Enschede, Netherlands.</t>
  </si>
  <si>
    <t>v.vikolainen@utwente.nl; j.t.a.bressers@utwente.nl; k.r.d.lulofs@utwente.nl</t>
  </si>
  <si>
    <t>Subsidieregeling Innovatieketen Water (SIW, Staatscourant) [953, 17009]; Dutch Ministry of Transport, Public Works, and Water Management; European Fund for Regional Development (EFRO); Municipality of Dordrecht</t>
  </si>
  <si>
    <t>Subsidieregeling Innovatieketen Water (SIW, Staatscourant); Dutch Ministry of Transport, Public Works, and Water Management; European Fund for Regional Development (EFRO)(European Commission); Municipality of Dordrecht</t>
  </si>
  <si>
    <t>The work presented in this paper was carried out as part of the Building with Nature innovation program. This program is funded from several sources including the Subsidieregeling Innovatieketen Water (SIW, Staatscourant nr. 953 and 17009) sponsored by the Dutch Ministry of Transport, Public Works, and Water Management and partner contributions from the EcoShape Foundation participants. The program further receives co-funding from the European Fund for Regional Development (EFRO) and the Municipality of Dordrecht.</t>
  </si>
  <si>
    <t>AI9UP</t>
  </si>
  <si>
    <t>community by design; low impact living; cohousing; ecovillage; social approach to designing and planning</t>
  </si>
  <si>
    <t>AY5NC</t>
  </si>
  <si>
    <t>Coral reefs; Exploration; Mining; Offshore sand</t>
  </si>
  <si>
    <t>EML Consultants PVT Ltd, Colombo 04, Sri Lanka</t>
  </si>
  <si>
    <t>Kularatne, RKA (corresponding author), EML Consultants PVT Ltd, 68 Davidson Rd, Colombo 04, Sri Lanka.</t>
  </si>
  <si>
    <t>RanilKularatne@yahoo.com.au</t>
  </si>
  <si>
    <t>J COAST CONSERV</t>
  </si>
  <si>
    <t>J. Coast. Conserv.</t>
  </si>
  <si>
    <t>Biodiversity Conservation; Environmental Sciences; Marine &amp; Freshwater Biology; Water Resources</t>
  </si>
  <si>
    <t>Biodiversity &amp; Conservation; Environmental Sciences &amp; Ecology; Marine &amp; Freshwater Biology; Water Resources</t>
  </si>
  <si>
    <t>AI3DM</t>
  </si>
  <si>
    <t>Dairabayeva, K; Carayannis, E</t>
  </si>
  <si>
    <t>Dairabayeva, Karlygash; Carayannis, Elias</t>
  </si>
  <si>
    <t>Targeted Trade-Related Policies and Manufacturing Firm Productivity in Eastern Europe and Central Asia: Effect of Corruption</t>
  </si>
  <si>
    <t>GLOBAL ECONOMY JOURNAL</t>
  </si>
  <si>
    <t>international trade; corruption; comparative advantage; targeted policies</t>
  </si>
  <si>
    <t>RETURNS</t>
  </si>
  <si>
    <t>In recent years, there have been several successful examples of government-initiated trade-related policies aimed at developing industries that constitute a country's comparative advantage. By implementing industry-specific, trade-related targeted reforms (i.e. reducing tariffs for imported equipment, thereby facilitating technology adaptation, providing access to expert consultants to help firms adhere to global standards, and simplifying customs procedures), the respective governments helped firms in nascent industries grow and become more productive. The purpose of this paper is to contribute to the ongoing debate on government intervention (Lin and Chang 2009) and whether such intervention should be targeted to certain industries or not. Using a sample of 588 manufacturing firms in Eastern Europe and Central Asia (ECA), we find that targeted, trade-related, government policies have a limited impact on the firm total factor productivity. Contrary to the views of proponents of targeted policies, there is a threshold of economic, legal, and political development, below which targeted policies do not work in the ECA region and are impacted by existence and effectiveness of corruption.</t>
  </si>
  <si>
    <t>[Dairabayeva, Karlygash] World Bank, Int Trade Dept, PRMTR, 1818 H St NW, Washington, DC 20433 USA; [Carayannis, Elias] George Washington Univ, Dept Informat Syst &amp; Technol Management, Washington, DC 20052 USA</t>
  </si>
  <si>
    <t>Dairabayeva, K (corresponding author), World Bank, Int Trade Dept, PRMTR, 1818 H St NW, Washington, DC 20433 USA.</t>
  </si>
  <si>
    <t>karly@gwmail.gwu.edu; caraye@gwu.edu</t>
  </si>
  <si>
    <t>Carayannis, Elias/AAV-2092-2020; CARAYANNIS, ELIAS/H-3075-2014</t>
  </si>
  <si>
    <t>CARAYANNIS, ELIAS/0000-0003-2348-4311</t>
  </si>
  <si>
    <t>1524-5861</t>
  </si>
  <si>
    <t>GLOB ECON J</t>
  </si>
  <si>
    <t>Glob. Econ. J.</t>
  </si>
  <si>
    <t>10.1515/gej-2013-0055</t>
  </si>
  <si>
    <t>VF2DC</t>
  </si>
  <si>
    <t>WOS:000442229300007</t>
  </si>
  <si>
    <t>Bootsma, MC; Vermeulen, WJV; van Dijk, J; Schot, PP</t>
  </si>
  <si>
    <t>Bootsma, Margien C.; Vermeulen, Walter J. V.; van Dijk, Jerry; Schot, Paul P.</t>
  </si>
  <si>
    <t>Added Value and Constraints of Transdisciplinary Case Studies in Environmental Science Curricula</t>
  </si>
  <si>
    <t>sustainable development; curricula; real-world learning; higher education; students; societal stakeholders; university</t>
  </si>
  <si>
    <t>KNOWLEDGE PRODUCTION; REAL-WORLD; SUSTAINABILITY; PARTICIPATION; EDUCATION; SEARCH; POLICY</t>
  </si>
  <si>
    <t>Sustainable development issues are characterised by their multidisciplinary character, and the fact they are not merely an academic exercise but pertain to real-world problems. Academic sustainable development curricula should therefore not only focus on developing the analytical and research skills and theoretical and professional knowledge of their students; they should also include real-world learning opportunities in the curriculum. This paper evaluates the added value and constraints associated with a specific type of real-world learning called transdisciplinary learning, based on the experiences with three courses from the undergraduate and graduate Environmental Sciences curriculum of Utrecht University, the Netherlands. In these courses, students carry out a small multidisciplinary research project or a consultancy project for a real-life client. It is concluded that transdisciplinary courses have clear added value for students, involved stakeholders, and the university alike, making them an essential part of the sustainable development curricula. The main constraint is the balance between academic quality (grading) vs stakeholder satisfaction. Although time investments for adequate problem definition with clients may constitute a constraint for university supervisors, it has the potential added value of sparking research cooperation with societal stakeholders, and internships and employment opportunities for graduates. Copyright (C) 2013 John Wiley &amp; Sons, Ltd and ERP Environment.</t>
  </si>
  <si>
    <t>[Bootsma, Margien C.; Vermeulen, Walter J. V.; van Dijk, Jerry; Schot, Paul P.] Univ Utrecht, Copernicus Inst Sustainable Dev, NL-3508 TC Utrecht, Netherlands</t>
  </si>
  <si>
    <t>Bootsma, MC (corresponding author), Univ Utrecht, Copernicus Inst Sustainable Dev, Dept Innovat Environm &amp; Energy Sci, POB 80115, NL-3508 TC Utrecht, Netherlands.</t>
  </si>
  <si>
    <t>m.c.bootsma@uu.nl</t>
  </si>
  <si>
    <t>Vermeulen, Walter/B-4976-2008; Schot, Paul/M-4125-2013; van Dijk, Jerry/C-6197-2009; Vermeulen, Walter/ABA-4899-2021</t>
  </si>
  <si>
    <t>Vermeulen, Walter/0000-0002-5947-8688; Schot, Paul/0000-0002-0346-0737; van Dijk, Jerry/0000-0002-1945-9415; Vermeulen, Walter/0000-0002-5947-8688</t>
  </si>
  <si>
    <t>10.1002/csr.1314</t>
  </si>
  <si>
    <t>AN0RF</t>
  </si>
  <si>
    <t>WOS:000340291000004</t>
  </si>
  <si>
    <t>Knoot, TG; Rickenbach, M</t>
  </si>
  <si>
    <t>Knoot, Tricia G.; Rickenbach, M.</t>
  </si>
  <si>
    <t>Forester networks: The intersection of private lands policy and collaborative capacity</t>
  </si>
  <si>
    <t>Public-private partnerships; Social network analysis; Sustainable forestry; Tax incentive programs</t>
  </si>
  <si>
    <t>SOCIAL-ECOLOGICAL SYSTEMS; ADAPTIVE COMANAGEMENT; BUILDING RESILIENCE; ECOSYSTEM SERVICES; MANAGEMENT; OWNERS; SCALES; PARCELIZATION; COOPERATION; LANDOWNERS</t>
  </si>
  <si>
    <t>Privately owned forestland provides abundant ecosystem goods and services to society at scales beyond the individual forest parcel. However, successful mechanisms to encourage broad-scale management in privately owned, multifunctional, landscapes are relatively limited. In the United States, state agency and private foresters may be poised to help facilitate landscape-scale management given their role as gatekeepers to private landowner incentive programs or emerging markets for ecosystem goods and services. A key question remains as to the collaborative capacity of public and private sector foresters, especially in the face of evolving private forestry incentive programs, some of which have shifted toward public-private partnerships (PPP's). We used qualitative interviews and a social network survey with professional foresters in Northern Wisconsin, an area with a high demand for diverse forest ecosystem services, to identify the structure of current business networks among land managers in the region and characteristics of these relationships that may influence collaboration. Of the nearly 300 different individual professionals identified, most (86%) were state, consulting, or industry foresters, suggesting a relatively homogeneous network of professionals and potential need for other types of natural resource professionals to tie into existing foresters' networks. We found that central network positions were occupied by all three types of foresters, while the qualitative analysis suggested the private forestry incentive program is likely driving, in part, network configuration. Interviews yielded a nuanced understanding of foresters' relationships, including the impact of forest policy changes on public-private partnerships and specifically the growing role of private foresters in providing private lands forestry services and the need for successful mechanisms to reduce conflict and improve collaborative capacity among professionals. (C) 2014 Elsevier Ltd. All rights reserved.</t>
  </si>
  <si>
    <t>[Knoot, Tricia G.; Rickenbach, M.] Univ Wisconsin, Madison, WI 53706 USA</t>
  </si>
  <si>
    <t>Knoot, TG (corresponding author), Wisconsin Dept Nat Resources, 2801 Progress Rd, Madison, WI 53716 USA.</t>
  </si>
  <si>
    <t>tricia.knoot@wisconsin.gov; mgrickenbach@wisc.edu</t>
  </si>
  <si>
    <t>10.1016/j.landusepol.2013.11.025</t>
  </si>
  <si>
    <t>AG4XQ</t>
  </si>
  <si>
    <t>WOS:000335424100038</t>
  </si>
  <si>
    <t>MENTAL-HEALTH; DISPLACED PERSONS; RISK-FACTORS; INDUSTRY; TRENDS; DISORDER; REFUGEES; DRINKING; ABUSE; CARE</t>
  </si>
  <si>
    <t>[Wallace, Karen; Roberts, Bayard] London Sch Hyg &amp; Trop Med, London WC1H 9SH, England</t>
  </si>
  <si>
    <t>Roberts, B (corresponding author), London Sch Hyg &amp; Trop Med, 15-17 Tavistock Pl, London WC1H 9SH, England.</t>
  </si>
  <si>
    <t>bayard.roberts@lshtm.ac.uk</t>
  </si>
  <si>
    <t>ALCOHOL ALCOHOLISM</t>
  </si>
  <si>
    <t>Alcohol Alcohol.</t>
  </si>
  <si>
    <t>AG3PF</t>
  </si>
  <si>
    <t>Sustainability; Contaminated land; Brownfield; Sustainable remediation</t>
  </si>
  <si>
    <t>LIFE-CYCLE ASSESSMENT; FRAMEWORK; CHALLENGE; CHINA</t>
  </si>
  <si>
    <t>[Hou, Deyi; Al-Tabbaa, Abir] Univ Cambridge, Dept Engn, Cambridge CB2 1PZ, England</t>
  </si>
  <si>
    <t>Hou, DY (corresponding author), Univ Cambridge, Dept Engn, Cambridge CB2 1PZ, England.</t>
  </si>
  <si>
    <t>Cambridge International Scholarships Scheme</t>
  </si>
  <si>
    <t>The first author's research is funded through the Cambridge International Scholarships Scheme which is gratefully acknowledged.</t>
  </si>
  <si>
    <t>AI5ZF</t>
  </si>
  <si>
    <t>Border studies; Southeast Asia; Thailand; Burma; Transboundary dam development; Salween River</t>
  </si>
  <si>
    <t>IMPACT ASSESSMENT; RIVER-BASIN; GEOGRAPHIES; CHINA; US; RETHINKING; BOUNDARIES; NARRATIVES; POLITICS; ACCESS</t>
  </si>
  <si>
    <t>York Univ, Dept Geog, Toronto, ON M3J 1P3, Canada</t>
  </si>
  <si>
    <t>Lamb, V (corresponding author), York Univ, Dept Geog, S407A Ross Bldg South,4700 Keele St, Toronto, ON M3J 1P3, Canada.</t>
  </si>
  <si>
    <t>vlamb@yorku.ca</t>
  </si>
  <si>
    <t>LAMB, VANESSA/AAD-7696-2020; Lamb, Vanessa/A-8997-2019</t>
  </si>
  <si>
    <t>LAMB, VANESSA/0000-0003-1717-6777; Lamb, Vanessa/0000-0003-1717-6777</t>
  </si>
  <si>
    <t>AH0JU</t>
  </si>
  <si>
    <t>Ivinson, G</t>
  </si>
  <si>
    <t>Ivinson, Gabrielle</t>
  </si>
  <si>
    <t>How gender became sex: mapping the gendered effects of sex-group categorisation onto pedagogy, policy and practice</t>
  </si>
  <si>
    <t>EDUCATIONAL RESEARCH</t>
  </si>
  <si>
    <t>culture; attainment; sex-group; gender gap; measurement; pedagogy</t>
  </si>
  <si>
    <t>Background: The paper plots some shifts in educational policy between 1988 and 2009 in England that launched the rhetoric of a 'gender gap' as a key political and social concern. The rhetoric was fuelled by a rise in the importance of quantification in technologies of accountability and global comparisons of achievement. A focus on boys and attainment emerged, along with new requirements for measuring educational achievement in the context of debates about standards and the growing marketisation of education following the 1988 Educational Reform Act (ERA) in England and Wales. Purpose: Theoretically, the paper explores the effect of 'gender gap' rhetoric on pedagogy. The arguments about pedagogy presented here are based on the premise that sex-group is different from gender. Sex-group is a form of labelling and categorising persons as either male or female with reference to a biological classification that focuses on genitalia and reproductive organs. The emergence of 'gender gap' rhetoric is investigated within a temporal perspective, through an overview of guidance to teachers about pedagogy published between 1932 and 2007. This temporal lens becomes a heuristic for presenting the main point of the paper, which is that technologies of measurement construct reified representations of the learner. This is used to demonstrate how gender, as a sociocultural and political phenomenon, morphed into sex-group, a biological categorisation, and how this has had unintended effects of pedagogy. Sources of evidence: Analysis of three landmark educational documents focuses on changes in representations of society, the learner and pedagogy. The documents are the Hadow Report (1931), the Plowden Report (1967) and a guidance document for teachers called 'Confident, Capable and Creative: supporting boys' achievements' (Department for Children, Schools and Families 2007, http://www.foundationyears.org.uk/wp-content/uploads/2011/10/Confident_Capable_Boys.pdf). Main argument: Analysis demonstrates the way that technologies of measurement construct reified or 'ideal' representations of the learner and how technologies used for measuring sex-group difference have changed across time. Shifts in representations of the learner, from the 'bone child' to the 'gene child' and eventually to the 'masculine child' were detected. These shifts represent a gradual decline in the emphasis on pedagogy as nurture, towards a heightened focus on the supposedly innate characteristics of individuals, in line with neoliberalism. Conclusions: The discussion points to some of the unintended effects on pedagogy and practice that take place when gender becomes sex. If teachers are constantly presented with the message that boys and girls learn differently due to innate genetic make-up, they may assume that whatever pedagogic strategies they employ, these will be ineffective in the face of what some educational consultants tell them are boys' and girls' innate genetic features. In effect, teachers are being told that biology controls learning and that social and cultural contexts, and thus their own classroom environments, cannot counter the forces of nature. Some methodological implications of studying gender as opposed to sex-group are discussed. The conclusion advocates a shift back to the study of gender as a historical, sociocultural phenomenon.</t>
  </si>
  <si>
    <t>Univ Aberdeen, Sch Educ, Aberdeen, Scotland</t>
  </si>
  <si>
    <t>Ivinson, G (corresponding author), Univ Aberdeen, Sch Educ, Aberdeen, Scotland.</t>
  </si>
  <si>
    <t>gabrielle.ivinson@abdn.ac.uk</t>
  </si>
  <si>
    <t>0013-1881</t>
  </si>
  <si>
    <t>1469-5847</t>
  </si>
  <si>
    <t>EDUC RES-UK</t>
  </si>
  <si>
    <t>Educ. Res.</t>
  </si>
  <si>
    <t>10.1080/00131881.2014.898912</t>
  </si>
  <si>
    <t>AG0ET</t>
  </si>
  <si>
    <t>WOS:000335088800004</t>
  </si>
  <si>
    <t>business case; societal case; natural case; vision; policies; strategy; developing countries; infrastructure; affordable housing; tourism/leisure; public/private/partnerships (PPPs)</t>
  </si>
  <si>
    <t>TOURISM</t>
  </si>
  <si>
    <t>[Mouzughi, Yusra] Liverpool John Moores Univ, Liverpool Business Sch, Liverpool L3 5UG, Merseyside, England; [Bryde, David] Liverpool John Moores Univ, Sch Built Environm, Built Environm &amp; Sustainable Technol BEST Res Ins, Liverpool L3 3AF, Merseyside, England; [Al-Shaer, Maher] Al Retaj Holding Co, Manama, Bahrain</t>
  </si>
  <si>
    <t>Mouzughi, Y (corresponding author), Liverpool John Moores Univ, Liverpool Business Sch, Redmonds Bldg,Brownlow Hill, Liverpool L3 5UG, Merseyside, England.</t>
  </si>
  <si>
    <t>Y.Mouzughi@ljmu.ac.uk; D.J.Bryde@ljmu.ac.uk; maher.alshaer@diyar.bh</t>
  </si>
  <si>
    <t>AF7VA</t>
  </si>
  <si>
    <t>Larsen, CH; Henriksen, K; Alfermann, D; Christensen, MK</t>
  </si>
  <si>
    <t>Larsen, Carsten H.; Henriksen, Kristoffer; Alfermann, Dorothee; Christensen, Mette K.</t>
  </si>
  <si>
    <t>Preparing Footballers for the Next Step: An Intervention Program From an Ecological Perspective</t>
  </si>
  <si>
    <t>SPORT PSYCHOLOGIST</t>
  </si>
  <si>
    <t>soccer; athletic talent development environment; career transition; elite sport; talent development; consulting</t>
  </si>
  <si>
    <t>SUCCESSFUL TALENT DEVELOPMENT; SPORT PSYCHOLOGY; PATHWAY; SKILLS</t>
  </si>
  <si>
    <t>The purpose of this article is to present practitioners and applied researchers with specific details of an ecological-inspired program and intervention in a professional football (soccer) club in Denmark. Based on an ecological agenda, the aim is to reinforce the culture of psychosocial development in the daily practice of a professional football academy, provide the skills required to succeed at the professional level and create stronger relations between the youth and professional departments. The authors suggest six principles as fundamental governing principles to inform an intervention inspired by the holistic ecological perspective. Descriptions of the intervention program and findings are presented in four interconnected steps. Insights are provided into delivery of workshops, the supervision of the coach, on-pitch training, evaluation of the program, and integrating sport psychology as a part of the culture within the club.</t>
  </si>
  <si>
    <t>[Larsen, Carsten H.; Henriksen, Kristoffer] Univ Southern Denmark, Inst Sport Sci &amp; Clin Biomech, Odense, Denmark; [Alfermann, Dorothee] Univ Leipzig, Inst Sport Psychol &amp; Sport Pedag, D-04109 Leipzig, Germany; [Christensen, Mette K.] Univ Aarhus, Ctr Med Educ, Aarhus, Denmark</t>
  </si>
  <si>
    <t>Larsen, CH (corresponding author), Univ Southern Denmark, Inst Sport Sci &amp; Clin Biomech, Odense, Denmark.</t>
  </si>
  <si>
    <t>Christensen, Mette Krogh/ABO-9856-2022</t>
  </si>
  <si>
    <t>Christensen, Mette Krogh/0000-0002-7097-9993</t>
  </si>
  <si>
    <t>Ministry of Culture Committee on Sports Research and Team Denmark (the Danish Elite Sport Organization)</t>
  </si>
  <si>
    <t>We wish to express their gratitude to AGF football club and the participants who gave their time to take part in interviews and informal talks. We also thank the Ministry of Culture Committee on Sports Research and Team Denmark (the Danish Elite Sport Organization) who allocated grants to the research project, thereby making it possible to realize. The authors have no potential conflicts of interest.</t>
  </si>
  <si>
    <t>HUMAN KINETICS PUBL INC</t>
  </si>
  <si>
    <t>CHAMPAIGN</t>
  </si>
  <si>
    <t>1607 N MARKET ST, PO BOX 5076, CHAMPAIGN, IL 61820-2200 USA</t>
  </si>
  <si>
    <t>0888-4781</t>
  </si>
  <si>
    <t>1543-2793</t>
  </si>
  <si>
    <t>SPORT PSYCHOL</t>
  </si>
  <si>
    <t>Sport Psychol.</t>
  </si>
  <si>
    <t>10.1123/pes.2013-0015</t>
  </si>
  <si>
    <t>AF7MW</t>
  </si>
  <si>
    <t>WOS:000334900200008</t>
  </si>
  <si>
    <t>Leipold, S</t>
  </si>
  <si>
    <t>Leipold, Sina</t>
  </si>
  <si>
    <t>Creating forests with words A review of forest-related discourse studies</t>
  </si>
  <si>
    <t>Forest; Discourse analysis; Policy analysis; Methods</t>
  </si>
  <si>
    <t>STATE FORESTRY; CLIMATE-CHANGE; POLICY; MANAGEMENT; GOVERNANCE; LESSONS; GENDER; FARM</t>
  </si>
  <si>
    <t>There is a new trend in international forest policy science. Over the past decade the term discourse has entered the field. Discourse analytical approaches and methods have become increasingly popular among scholars dealing with forests and their governance. When consulting the growing literature, one quickly notes the inconsistent use of the terms discourse and discourse analysis. On this basis, this paper will provide (1) an overview of discourse approaches in international social and political science literature on forests, (2) identify existing trends and gaps in the literature, and (3) critically assess deficits and opportunities of existing discursive perspectives on forests and their governance. The article is based on a comprehensive survey of sixty-six journal articles, book chapters, books and online publications referring to the terms forest and discourse in the title or key words. The results suggest that forest-related discourse research may benefit from a stronger emphasis on the politics of discourse. In particular, questions of where and by whom discourses are circulated and institutionalised could provide valuable insights into forest governance. In order to arrive at these insights, however, more theoretical and methodological rigour and innovation seem to be required. Consequently, this review suggests that forest-related discourse research would benefit from (1) relating new work to the most recent discourse research conducted in different disciplines and specialisations, (2) boldly testing different available discourse lenses from political science as well as other disciplines, and (3) getting creative in adjusting those lenses (theoretically and methodologically). (C) 2013 Elsevier B.V. All rights reserved.</t>
  </si>
  <si>
    <t>Univ Freiburg, Inst Environm Social Sci &amp; Geog, Forest &amp; Environm Policy Grp, D-79106 Freiburg, Germany</t>
  </si>
  <si>
    <t>Leipold, S (corresponding author), Univ Freiburg, Inst Environm Social Sci &amp; Geog, Forest &amp; Environm Policy Grp, Tennenbacherstr 4, D-79106 Freiburg, Germany.</t>
  </si>
  <si>
    <t>sina.leipold@ifp.uni-freiburg.de</t>
  </si>
  <si>
    <t>Leipold, Sina/AAA-3196-2022</t>
  </si>
  <si>
    <t>Leipold, Sina/0000-0001-5245-183X</t>
  </si>
  <si>
    <t>German Research Foundation</t>
  </si>
  <si>
    <t>German Research Foundation(German Research Foundation (DFG))</t>
  </si>
  <si>
    <t>I thank Georg Winkel, Reiner Keller, Carolin Maier and Dorte Peters for their constructive suggestions in the development of this manuscript and the two anonymous reviewers for their very valuable and detailed comments. I also gratefully acknowledge the financial support for this research provided by the German Research Foundation through the research project 'Discursive fragmentation of the international forest regime complex: Towards a better understanding of multi-level forest policy discourses' (as part of the research consortium PAK 813).</t>
  </si>
  <si>
    <t>10.1016/j.forpol.2013.12.005</t>
  </si>
  <si>
    <t>AB3IK</t>
  </si>
  <si>
    <t>WOS:000331684300002</t>
  </si>
  <si>
    <t>Alkon, A; Crowley, AA; Neelon, SEB; Hill, S; Pan, Y; Nguyen, V; Rose, R; Savage, E; Forestieri, N; Shipman, L; Kotch, JB</t>
  </si>
  <si>
    <t>Alkon, Abbey; Crowley, Angela A.; Neelon, Sara E. Benjamin; Hill, Sherika; Pan, Yi; Viet Nguyen; Rose, Roberta; Savage, Eric; Forestieri, Nina; Shipman, Linda; Kotch, Jonathan B.</t>
  </si>
  <si>
    <t>Nutrition and physical activity randomized control trial in child care centers improves knowledge, policies, and children's body mass index</t>
  </si>
  <si>
    <t>Child care; Nutrition; Physical activity; Body mass index; Child care health consultants; Obesity; Overweight</t>
  </si>
  <si>
    <t>OBESITY PREVENTION; YOUNG-CHILDREN; HIP-HOP; US; PRESCHOOLERS; EDUCATION; SETTINGS; INTERVENTION; ENVIRONMENTS; PREVALENCE</t>
  </si>
  <si>
    <t>Background: To address the public health crisis of overweight and obese preschool-age children, the Nutrition And Physical Activity Self Assessment for Child Care (NAP SACC) intervention was delivered by nurse child care health consultants with the objective of improving child care provider and parent nutrition and physical activity knowledge, center-level nutrition and physical activity policies and practices, and children's body mass index (BMI). Methods: A seven-month randomized control trial was conducted in 17 licensed child care centers serving predominantly low income families in California, Connecticut, and North Carolina, including 137 child care providers and 552 families with racially and ethnically diverse children three to five years old. The NAP SACC intervention included educational workshops for child care providers and parents on nutrition and physical activity and consultation visits provided by trained nurse child care health consultants. Demographic characteristics and pre - and post-workshop knowledge surveys were completed by providers and parents. Blinded research assistants reviewed each center's written health and safety policies, observed nutrition and physical activity practices, and measured randomly selected children's nutritional intake, physical activity, and height and weight pre- and post-intervention. Results: Hierarchical linear models and multiple regression models assessed individual-and center-level changes in knowledge, policies, practices and age-and sex-specific standardized body mass index (zBMI), controlling for state, parent education, and poverty level. Results showed significant increases in providers' and parents' knowledge of nutrition and physical activity, center-level improvements in policies, and child-level changes in children's zBMI based on 209 children in the intervention and control centers at both pre- and post-intervention time points. Conclusions: The NAP SACC intervention, as delivered by trained child health professionals such as child care health consultants, increases provider knowledge, improves center policies, and lowers BMI for children in child care centers. More health professionals specifically trained in a nutrition and physical activity intervention in child care are needed to help reverse the obesity epidemic.</t>
  </si>
  <si>
    <t>[Alkon, Abbey; Rose, Roberta] Univ Calif San Francisco, Sch Nursing, Dept Family Hlth Care Nursing, San Francisco, CA 94143 USA; [Crowley, Angela A.] Yale Univ, Sch Nursing, Orange, CT USA; [Neelon, Sara E. Benjamin] Duke Univ, Med Ctr, Dept Community &amp; Family Med, Durham, NC 27710 USA; [Neelon, Sara E. Benjamin] Duke Global Hlth Inst, Durham, NC USA; [Hill, Sherika] Duke Univ, Div Child &amp; Family Mental Hlth &amp; Dev Neurosci, Durham, NC USA; [Pan, Yi; Savage, Eric; Forestieri, Nina] Univ N Carolina, Frank Porter Graham Child Dev Inst, Chapel Hill, NC USA; [Viet Nguyen; Shipman, Linda] Univ N Carolina, Dept Maternal &amp; Child Hlth, Chapel Hill, NC USA; [Kotch, Jonathan B.] Univ N Carolina, Dept Maternal &amp; Child Hlth, Chapel Hill, NC 27599 USA</t>
  </si>
  <si>
    <t>Kotch, JB (corresponding author), Univ N Carolina, Dept Maternal &amp; Child Hlth, CB 7445 Rosenau Hall, Chapel Hill, NC 27599 USA.</t>
  </si>
  <si>
    <t>jonathan_kotch@unc.edu</t>
  </si>
  <si>
    <t>U.S. Department of Health and Human Services, Health Resources and Services Administration, Maternal and Child Health Research Program [R40 MC 08727]</t>
  </si>
  <si>
    <t>U.S. Department of Health and Human Services, Health Resources and Services Administration, Maternal and Child Health Research Program(United States Department of Health &amp; Human ServicesUnited States Health Resources &amp; Service Administration (HRSA))</t>
  </si>
  <si>
    <t>This study was funded by grant #R40 MC 08727 through the U.S. Department of Health and Human Services, Health Resources and Services Administration, Maternal and Child Health Research Program. The authors wish to acknowledge the child care health consultants, Suzanne Weber, Lori Yu, and Cynthia Wallace, and the research assistants, Michelle Masson, Sarah Hartmann, and Tina Hawkinson, for their work on the project, along with the child care center directors, staff, parents and children.</t>
  </si>
  <si>
    <t>MAR 1</t>
  </si>
  <si>
    <t>10.1186/1471-2458-14-215</t>
  </si>
  <si>
    <t>AC7RI</t>
  </si>
  <si>
    <t>WOS:000332728700002</t>
  </si>
  <si>
    <t>Gray, GL; No, WG; Miller, DW</t>
  </si>
  <si>
    <t>Gray, Glen L.; No, Won Gyun; Miller, David W.</t>
  </si>
  <si>
    <t>Internal Auditors' Experiences and Opinions Regarding Green IT: Assessing the Gap in Normative and Positive Perspectives</t>
  </si>
  <si>
    <t>JOURNAL OF INFORMATION SYSTEMS</t>
  </si>
  <si>
    <t>internal auditor; green IT; sustainability; corporate social responsibility</t>
  </si>
  <si>
    <t>SUSTAINABILITY; DISCLOSURE; MODEL</t>
  </si>
  <si>
    <t>Organizations' sustainability and environmental compliance activities are escalating. Information technology (IT) is an essential environmental compliance component under the rubric of green IT, which can include the designing, manufacturing, implementing, and disposing of IT components and the supporting electrical and cooling infrastructure. Green IT has numerous compliance, governance, and control issues, and management needs assurance that green IT metrics reported to management, regulators, and other stakeholders are accurate, complete, and timely. Boards, executives, the Institute of Internal Auditors (IIA), and the Committee of Sponsoring Organizations of the Treadway Commission (COSO) view internal auditors as control experts. This paper summarizes a survey of internal auditors as to what internal auditors should be doing in this domain and what they are actually doing. The results indicate that even though internal auditors believe that they should be more involved in green IT activities, their current involvement is limited to the traditional role as assurance provider, not as facilitators or consultants. The results also suggest that internal auditors' current involvement in green IT activities varies depending on the types of environmental sustainability strategies practiced by their organizations, whereas their perceived roles in green IT activities did not.</t>
  </si>
  <si>
    <t>[Gray, Glen L.; Miller, David W.] Calif State Univ Northridge, Northridge, CA 91330 USA; [No, Won Gyun] Rutgers State Univ, New Brunswick, NJ USA</t>
  </si>
  <si>
    <t>Gray, GL (corresponding author), Calif State Univ Northridge, Northridge, CA 91330 USA.</t>
  </si>
  <si>
    <t>Institute of Internal Auditors Research Foundation (IIARF); IIARF</t>
  </si>
  <si>
    <t>We thank the anonymous reviewers and Mohamed A. Elbannan, the discussant, and the participants at the 2012 AAA Annual Meeting for their comments and suggestions. We thank the Institute of Internal Auditors Research Foundation (IIARF) for their generous support and for administering the email solicitations for our survey. We also thank Rajendra P. Srivastava (associate editor) for his comments and suggestions. The research in this paper expands on a research project funded by the IIARF.</t>
  </si>
  <si>
    <t>0888-7985</t>
  </si>
  <si>
    <t>1558-7959</t>
  </si>
  <si>
    <t>J INF SYST</t>
  </si>
  <si>
    <t>J. Inf. Syst.</t>
  </si>
  <si>
    <t>10.2308/isys-50694</t>
  </si>
  <si>
    <t>V03QS</t>
  </si>
  <si>
    <t>WOS:000213752500004</t>
  </si>
  <si>
    <t>James, GK; Akinyede, J; Halilu, SA</t>
  </si>
  <si>
    <t>James, Godstime Kadiri; Akinyede, Joseph; Halilu, Shaba Ahmad</t>
  </si>
  <si>
    <t>The Nigerian Space Program and Its Economic Development Model</t>
  </si>
  <si>
    <t>The Nigerian space program is managed by the National Space Research and Development Agency (NASRDA). The space policy was approved in May 2000. The mandate of the agency as encapsulated in the policy is to vigorously pursue the attainment of space capabilities as an essential tool for the socioeconomic development of the nation and the enhancement of the quality of life for Nigerians. For a space program to be sustainable in emerging space-faring countries, there is a need to develop and implement a space economic development model. This study examines the Nigerian space program and its economic development model. Findings from this study indicate that the space economic model adopted in Nigeria is the public-private partnership model that involves the short-, medium-, and long-term plans. Within the short-term plan, the government is responsible for all investments in space technology development. In the mediumterm, the government implements the partial commercialization of NASRDA's products and services developed during the short-term economic development plan. In the long-term plan, the government partners with the private sector to implement the public-private partnership framework for the space program. Consequently, within the short-term economic development plan, six research centers and two companies were established. The research centers are the Centre for Remote Sensing, Jos; Centre for Satellite Technology Development, Abuja; Centre for Geodesy and Geodynamics, Toro; Centre for Space Transport and Propulsion, Epe; Centre for Basic Space Science and Astronomy, Nsukka; and Centre for Space Science and Technology Education, Ile-Ife. The two companies are the Nigeria Communication Satellite (NigComSat) Limited and the GeoApps Plus Limited (previously called Nigeriasat Imageries and Consultancy Services Limited). NigComSat Limited was set up in April 2006 to market products from the Nigerian communication satellites. Similarly, GeoApps Plus Limited was established in September 2007 to market products from the Nigerian earth observation satellites. It suffices to say that NASRDA is currently implementing its medium-term economic development agenda.</t>
  </si>
  <si>
    <t>[James, Godstime Kadiri; Akinyede, Joseph; Halilu, Shaba Ahmad] Natl Space Res &amp; Dev Agcy, Obasanjo Space Ctr, Abuja, Nigeria</t>
  </si>
  <si>
    <t>James, GK (corresponding author), Natl Space Res &amp; Dev Agcy, Obasanjo Space Ctr, Abuja, Nigeria.</t>
  </si>
  <si>
    <t>godstimej@gmail.com</t>
  </si>
  <si>
    <t>James, Godstime/0000-0001-8462-2349</t>
  </si>
  <si>
    <t>10.1089/space.2013.0041</t>
  </si>
  <si>
    <t>V2E9T</t>
  </si>
  <si>
    <t>WOS:000217518800005</t>
  </si>
  <si>
    <t>Sustainable housing development; Energy efficiency; Design; Esfahan; Iran</t>
  </si>
  <si>
    <t>VALUE MANAGEMENT; CONSTRUCTION; GENERATION</t>
  </si>
  <si>
    <t>[Roufechaei, Kamand M.; Abu Bakar, Abu Hassan; Tabassi, Amin Akhavan] Univ Sains Malaysia, Sch Housing Bldg &amp; Planning, George Town 11800, Malaysia</t>
  </si>
  <si>
    <t>Roufechaei, KM (corresponding author), Univ Sains Malaysia, Sch Housing Bldg &amp; Planning, George Town 11800, Malaysia.</t>
  </si>
  <si>
    <t>kamand84@yahoo.com</t>
  </si>
  <si>
    <t>AC3PH</t>
  </si>
  <si>
    <t>INDOOR AIR-POLLUTION; RURAL MEXICO; LUNG-CANCER; RETROSPECTIVE COHORT; COAL USE; RISK; METAANALYSIS; COOKSTOVES; COOKING; PNEUMONIA</t>
  </si>
  <si>
    <t>[Rehfuess, Eva A.] Univ Munich, Inst Med Informat Biometry &amp; Epidemiol, D-81377 Munich, Germany; [Puzzolo, Elisa; Stanistreet, Debbi; Pope, Daniel; Bruce, Nigel G.] Univ Liverpool, Dept Publ Hlth &amp; Policy, Liverpool L69 3BX, Merseyside, England</t>
  </si>
  <si>
    <t>Rehfuess, EA (corresponding author), Univ Munich, Inst Med Informat Biometry &amp; Epidemiol, Marchioninistr 15, D-81377 Munich, Germany.</t>
  </si>
  <si>
    <t>rehfuess@ibe.med.uni-muenchen.de</t>
  </si>
  <si>
    <t>Rehfuess, Eva Annette/ABD-8167-2021</t>
  </si>
  <si>
    <t>Stanistreet, Debbi/0000-0003-3738-1727; Pope, Daniel/0000-0003-2694-5478</t>
  </si>
  <si>
    <t>Department for International Development, United Kingdom; Munich Center of Health Sciences</t>
  </si>
  <si>
    <t>The Department for International Development, United Kingdom, provided funding for this systematic review. E.A.R. received financial support from the Munich Center of Health Sciences.</t>
  </si>
  <si>
    <t>US DEPT HEALTH HUMAN SCIENCES PUBLIC HEALTH SCIENCE</t>
  </si>
  <si>
    <t>RES TRIANGLE PK</t>
  </si>
  <si>
    <t>NATL INST HEALTH, NATL INST ENVIRONMENTAL HEALTH SCIENCES, PO BOX 12233, RES TRIANGLE PK, NC 27709-2233 USA</t>
  </si>
  <si>
    <t>ENVIRON HEALTH PERSP</t>
  </si>
  <si>
    <t>Environ. Health Perspect.</t>
  </si>
  <si>
    <t>Environmental Sciences; Public, Environmental &amp; Occupational Health; Toxicology</t>
  </si>
  <si>
    <t>Environmental Sciences &amp; Ecology; Public, Environmental &amp; Occupational Health; Toxicology</t>
  </si>
  <si>
    <t>AC6QY</t>
  </si>
  <si>
    <t>Reed, SE; Hilty, JA; Theobald, DM</t>
  </si>
  <si>
    <t>Reed, Sarah E.; Hilty, Jodi A.; Theobald, David M.</t>
  </si>
  <si>
    <t>Guidelines and Incentives for Conservation Development in Local Land-Use Regulations</t>
  </si>
  <si>
    <t>land-use planning; private lands; protected area; residential development; sprawl; sustainable design</t>
  </si>
  <si>
    <t>EXURBAN DEVELOPMENT; BIODIVERSITY; EASEMENTS; MANAGEMENT; SCENARIOS; PATTERNS; SUPPORT; EXTENT</t>
  </si>
  <si>
    <t>Effective conservation of biological diversity on private lands will require changes in land-use policy and development practice. Conservation development (CD) is an alternative form of residential development in which homes are built on smaller lots and clustered together and the remainder of the property is permanently protected for conservation purposes. We assessed the degree to which CD is permitted and encouraged by local land-use regulations in 414 counties in the western United States. Thirty-two percent of local planning jurisdictions have adopted CD ordinances, mostly within the past 10 years. CD ordinances were adopted in counties with human population densities that were 3.0 times greater and in counties with 2.5 times more land use at urban, suburban, and exurban densities than counties without CD ordinances. Despite strong economic incentives for CD (e.g., density bonuses, which allow for a mean of 66% more homes to be built per subdivision area), several issues may limit the effectiveness of CD for biological diversity conservation. Although most CD ordinances required a greater proportion of the site area be protected than in a typical residential development, just 13% (n = 17) of the ordinances required an ecological site analysis to identify and map features that should be protected. Few CD ordinances provided guidelines regarding the design and configuration of the protected lands, including specifying a minimum size for protected land parcels or encouraging contiguity with other protected lands within or near to the site. Eight percent (n =11) of CD ordinances encouraged consultation with a biological expert or compliance with a conservation plan. We recommend that conservation scientists help to improve the effectiveness of CD by educating planning staff and government officials regarding biological diversity conservation, volunteering for their local planning boards, or consulting on development reviews.</t>
  </si>
  <si>
    <t>[Reed, Sarah E.; Hilty, Jodi A.] Wildlife Conservat Soc, North Amer Program, Bozeman, MT 59715 USA; [Reed, Sarah E.; Theobald, David M.] Colorado State Univ, Dept Fish Wildlife &amp; Conservat Biol, Ft Collins, CO 80523 USA; [Theobald, David M.] Natl Pk Serv, Inventory &amp; Monitoring Div, Ft Collins, CO 80524 USA</t>
  </si>
  <si>
    <t>Reed, SE (corresponding author), Wildlife Conservat Soc, North Amer Program, 301 N Willson Ave, Bozeman, MT 59715 USA.</t>
  </si>
  <si>
    <t>sreed@wcs.org</t>
  </si>
  <si>
    <t>Cedar Tree Foundation; Society for Conservation Biology</t>
  </si>
  <si>
    <t>This research was supported by a David H. Smith Conservation Research Fellowship from the Cedar Tree Foundation and Society for Conservation Biology. We thank D. Fischer, H. Kretser, and L. Pejchar for their help with developing the review criteria; E. H. Auerbach for research assistance; and the Global Challenges Research Team on CD (http://cd.colostate.edu) for collaboration on research and outreach.</t>
  </si>
  <si>
    <t>1523-1739</t>
  </si>
  <si>
    <t>CONSERV BIOL</t>
  </si>
  <si>
    <t>Conserv. Biol.</t>
  </si>
  <si>
    <t>10.1111/cobi.12136</t>
  </si>
  <si>
    <t>297OX</t>
  </si>
  <si>
    <t>WOS:000330265900026</t>
  </si>
  <si>
    <t>Ethical consumption; Brazil; Chile; Institutional context; Sustainable consumption</t>
  </si>
  <si>
    <t>EVERYDAY; VALUES</t>
  </si>
  <si>
    <t>[Ariztia, Tomas; Agloni, Nurjk] Univ Diego Portales, Escuela Sociol, Santiago, Chile; [Kleine, Dorothea; Brightwell, Maria das Gracas S. L.] Univ London, Dept Geog, London WC1E 7HU, England; [Afonso, Rita; Bartholo, Roberto] Univ Fed Rio de Janeiro, Programa Engn Prod, BR-21941 Rio De Janeiro, Brazil</t>
  </si>
  <si>
    <t>Ariztia, T (corresponding author), Univ Diego Portales, Escuela Sociol, Santiago, Chile.</t>
  </si>
  <si>
    <t>tomas.ariztia@udp.cl</t>
  </si>
  <si>
    <t>Economic and Social Research Council [ES/I033904/1] Funding Source: researchfish; ESRC [ES/I033904/1] Funding Source: UKRI</t>
  </si>
  <si>
    <t>Economic and Social Research Council(UK Research &amp; Innovation (UKRI)Economic &amp; Social Research Council (ESRC)); ESRC(UK Research &amp; Innovation (UKRI)Economic &amp; Social Research Council (ESRC))</t>
  </si>
  <si>
    <t>273IA</t>
  </si>
  <si>
    <t>[Pablo Bocarejo, Juan; Miguel Velasquez, Juan; Carolina Galarza, Diana] Univ Los Andes, Bogota, Colombia</t>
  </si>
  <si>
    <t>Velasquez, JM (corresponding author), Univ Los Andes, Oficina ML 756, Bogota, Colombia.</t>
  </si>
  <si>
    <t>jm.velasquez148@uniandes.edu.co</t>
  </si>
  <si>
    <t>CA5SG</t>
  </si>
  <si>
    <t>deforestation; forest degradation; resource demand; forest governance; future scenarios</t>
  </si>
  <si>
    <t>DEFORESTATION; SCENARIOS; MARKET</t>
  </si>
  <si>
    <t>[Oduro, K. A.] CSIR, Forestry Res Inst Ghana, Kumasi, Ghana; [Arts, B.; Hoogstra-Klein, M. A.] Wageningen Univ, Forest &amp; Nat Conservat Policy Grp, NL-6700 AA Wageningen, Netherlands; [Kyereh, B.] Kwame Nkrumah Univ Sci &amp; Technol, Fac Renewable Nat Resources, Kumasi, Ghana; [Oduro, K. A.; Mohren, G. M. J.] Wageningen Univ, Forest Ecol &amp; Forest Management Grp, NL-6700 AA Wageningen, Netherlands</t>
  </si>
  <si>
    <t>Oduro, KA (corresponding author), CSIR, Forestry Res Inst Ghana, POB UP 63, Kumasi, Ghana.</t>
  </si>
  <si>
    <t>kwameoduro@gmail.com; Bas.Arts@wur.nl; Marjanke.Hoogstra@wur.nl; kyerehb@gmail.com; Frits.Mohren@wur.nl</t>
  </si>
  <si>
    <t>Wageningen University Sandwich Programme; Tropenbos International Ghana Programme; DGIS-Wageningen University and Research Centre</t>
  </si>
  <si>
    <t>The authors acknowledge with appreciation the financial support of the Wageningen University Sandwich Programme, the Tropenbos International Ghana Programme, and the Illegal or Incompatible? project of DGIS-Wageningen University and Research Centre. We also thank the two anonymous reviewers. Joy Burrough advised on the scientific English of a near-final draft of the paper.</t>
  </si>
  <si>
    <t>AX0FJ</t>
  </si>
  <si>
    <t>Akinbomi, J; Brandberg, T; Sanni, SA; Taherzadeh, MJ</t>
  </si>
  <si>
    <t>Akinbomi, Julius; Brandberg, Tomas; Sanni, Sikiru A.; Taherzadeh, Mohammad J.</t>
  </si>
  <si>
    <t>Development and Dissemination Strategies for Accelerating Biogas Production in Nigeria</t>
  </si>
  <si>
    <t>BIORESOURCES</t>
  </si>
  <si>
    <t>Biogas; available feedstock; Nigerian's prospect; Biogas-consultancy; Electricity</t>
  </si>
  <si>
    <t>ANAEROBIC-DIGESTION; ENERGY; ELECTRICITY; PLANTS; ACCESS; STATE</t>
  </si>
  <si>
    <t>Following the worsening energy crisis of unreliable electricity and unaffordable petroleum products coupled with the increase number of poverty-stricken people in Nigeria, the populace is desperately in need of cheap alternative energy supplies that will replace or complement the existing energy sources. Previous efforts by the government in tackling the challenge by citizenship sensitization of the need for introduction of biofuel into the country's energy mix have not yielded the expected results because of a lack of sustained government effort. In light of the shortcomings, this study assesses the current potential of available biomass feedstock for biogas production in Nigeria, and further proposes appropriate biogas plants, depending on feedstock type and quantity, for the six geopolitical zones in Nigeria. Besides, the study proposes government-driven biogas development systems that could be effectively used to harness, using biogas technology, the estimated 270 TWh of potential electrical energy from 181 million tonnes of available biomass, in the advancement of electricity generation and consequent improvement of welfare in Nigeria.</t>
  </si>
  <si>
    <t>[Akinbomi, Julius; Brandberg, Tomas; Taherzadeh, Mohammad J.] Univ Boras, Swedish Ctr Resource Recovery, S-50190 Boras, Sweden; [Akinbomi, Julius; Sanni, Sikiru A.] Lagos State Univ, Dept Chem &amp; Polymer Engn, Lagos, Nigeria</t>
  </si>
  <si>
    <t>Akinbomi, J (corresponding author), Univ Boras, Swedish Ctr Resource Recovery, S-50190 Boras, Sweden.</t>
  </si>
  <si>
    <t>Julius.Akinbomi@hb.se</t>
  </si>
  <si>
    <t>Taherzadeh, Mohammad/B-5950-2009</t>
  </si>
  <si>
    <t>Taherzadeh, Mohammad/0000-0003-4887-2433; Akinbomi, Julius/0000-0001-9504-0088</t>
  </si>
  <si>
    <t>Swedish Energy Agency; Lagos State University</t>
  </si>
  <si>
    <t>Swedish Energy Agency(Swedish Energy AgencyMaterials &amp; Energy Research Center (MERC)); Lagos State University</t>
  </si>
  <si>
    <t>This work was supported financially by the Swedish Energy Agency and Lagos State University. The authors are indeed very grateful for the support provided.</t>
  </si>
  <si>
    <t>NORTH CAROLINA STATE UNIV DEPT WOOD &amp; PAPER SCI</t>
  </si>
  <si>
    <t>RALEIGH</t>
  </si>
  <si>
    <t>CAMPUS BOX 8005, RALEIGH, NC 27695-8005 USA</t>
  </si>
  <si>
    <t>1930-2126</t>
  </si>
  <si>
    <t>BioResources</t>
  </si>
  <si>
    <t>Materials Science, Paper &amp; Wood</t>
  </si>
  <si>
    <t>AS3NG</t>
  </si>
  <si>
    <t>WOS:000344184300158</t>
  </si>
  <si>
    <t>EUROPEAN INTEGRATION; CIVIL-SOCIETY; GEOPOLITICS; EU; NEIGHBORHOOD; COSMOPOLITANISM; GLOBALIZATION; REFLECTIONS; TERRITORY; POLITICS</t>
  </si>
  <si>
    <t>Univ Mississippi, Dept Publ Policy Leadership, 105 Odom Hall, University, MS 38677 USA</t>
  </si>
  <si>
    <t>Sellar, C (corresponding author), Univ Mississippi, Dept Publ Policy Leadership, 105 Odom Hall, University, MS 38677 USA.</t>
  </si>
  <si>
    <t>csellar@olemiss.edu</t>
  </si>
  <si>
    <t>Sellar, Christian/AAM-4470-2021</t>
  </si>
  <si>
    <t>Sellar, Christian/0000-0001-7728-9146</t>
  </si>
  <si>
    <t>AP7YD</t>
  </si>
  <si>
    <t>Kyoto Protocol; Certified Emission Reductions; Clean development mechanism; Greenhouse gases; United Nations Framework Convention on Climate Change</t>
  </si>
  <si>
    <t>SJVN Ltd, Hydro Mech Design Dept, Shimla, India</t>
  </si>
  <si>
    <t>Gupta, A (corresponding author), SJVN Ltd, Hydro Mech Design Dept, Shimla, India.</t>
  </si>
  <si>
    <t>friendsfort@gmail.com</t>
  </si>
  <si>
    <t>AP0WJ</t>
  </si>
  <si>
    <t>greenhouse gas mitigation; greenhouse gas modelling; implementation; inter- and transdisciplinary research; nitrogen use efficiency; science-policy gap; sustainability</t>
  </si>
  <si>
    <t>MITIGATION</t>
  </si>
  <si>
    <t>[Amon, Barbara] Leibniz Inst Agr Engn, D-14469 Potsdam, Germany; [Kasper, Martina; Sigmund, Elisabeth; Zechmeister-Boltenstern, Sophie] Univ Nat Resources &amp; Life Sci Vienna BOKU, Dept Forest &amp; Soil Sci, Inst Soil Res, Vienna, Austria; [Winiwarter, Wilfried] Int Inst Appl Syst Anal IIASA, Laxenburg, Austria; [Schroeck, Andrea] Graz Univ, Inst Syst Sci Innovat &amp; Sustainabil Res ISIS, Graz, Austria; [Anderl, Michael] Environm Agcy Austria, Dept Air Pollut Control &amp; Climate Change Mitigat, Vienna, Austria; [Zethner, Gerhard] Environm Agcy Austria, Dept Land Use &amp; Biosafety, Vienna, Austria; [Baumgarten, Andreas; Dersch, Georg] Austrian Agcy Hlth &amp; Food Safety AGES, Inst Sustainable Plant Prod, Vienna, Austria; [Guggenberger, Thomas] Agr Res &amp; Educ Ctr AREC Raumberg Gumpenstein, Irdning, Austria; [Hasenauer, Hubert; Poetzelsberger, Elisabeth] BOKU, Dept Forest &amp; Soil Sci, Inst Silviculture, Vienna, Austria; [Kantelhardt, Jochen; Moser, Tobias; Schaller, Lena] BOKU, Dept Econ &amp; Social Sci, Inst Agr &amp; Forestry Econ, Vienna, Austria; [Kitzler, Barbara] Austrian Res Ctr Forests BFW, Vienna, Austria; [Prosenbauer, Manfred] Chamber Agr Lower Austria, St Polten, Austria</t>
  </si>
  <si>
    <t>Amon, B (corresponding author), Leibniz Inst Agr Engn, Dept Technol Assessment &amp; Subst Cycles, Max Eyth Allee 100, D-14469 Potsdam, Germany.</t>
  </si>
  <si>
    <t>bamon@atb-potsdam.de</t>
  </si>
  <si>
    <t>Pötzelsberger, Elisabeth/AAN-5163-2020; Kantelhardt, Jochen/F-1217-2015; Kantelhardt, Jochen/AAK-2069-2021; Winiwarter, Wilfried/F-5073-2017; Kitzler, Barbara/ACM-1987-2022; Zechmeister-Boltenstern, Sophie/L-4186-2018</t>
  </si>
  <si>
    <t>Winiwarter, Wilfried/0000-0001-7131-1496; Zechmeister-Boltenstern, Sophie/0000-0001-5839-5904; Kantelhardt, Jochen/0000-0001-8640-5815; Kitzler, Barbara/0000-0002-1617-9186; Schaller, Lena/0000-0002-8313-8798</t>
  </si>
  <si>
    <t>This paper is a contribution to FarmClim, a project funded under the Austrian Climate Research Programme.</t>
  </si>
  <si>
    <t>AI0TA</t>
  </si>
  <si>
    <t>Aggestam, F</t>
  </si>
  <si>
    <t>Aggestam, Filip</t>
  </si>
  <si>
    <t>Effects of the manager's value orientation on stakeholder participation: at the front line of policy implementation</t>
  </si>
  <si>
    <t>Integrated water resources management; Project management; Stakeholder participation; Value orientations</t>
  </si>
  <si>
    <t>RIVER-BASIN; SUPPORT; ISSUES</t>
  </si>
  <si>
    <t>Managers who implement stakeholder participation often have to navigate a complex subsystem of actors, policy-making institutions, and varying problem definitions. This paper examines how these managers' values affect decision-making and the operationalisation of stakeholder participation, and how the institutional framework in which the managers are embedded affects these values. It is based on the inside views of 23 managers and expert consultants involved in nine projects implemented by international organisations. Their values and preferences were captured through a review of project documents and interviews. The results demonstrate that the managers' personal value orientations affect the participatory process when there is a lack of control and support from their commissioning organisation, and also in cases where policy is ambiguous. The decision-making freedom accorded to the project manager defines whether they design stakeholder participation in accordance with personal value orientations, the organisation or policy. This study suggests that more stringent regulations and guidelines, as well as improved educational and awareness-raising activities, are required to resolve this problem. It is also suggested that evaluation tools should be improved to account for the impact that stakeholders have. This may encourage managers to become more actively involved in the use of stakeholder input.</t>
  </si>
  <si>
    <t>Univ Nat Resources &amp; Life Sci, InFER Inst Forest Environm &amp; Nat Resource Policy, European Forest Inst Cent East European Reg Off E, A-1180 Vienna, Austria</t>
  </si>
  <si>
    <t>Aggestam, F (corresponding author), Univ Nat Resources &amp; Life Sci, InFER Inst Forest Environm &amp; Nat Resource Policy, European Forest Inst Cent East European Reg Off E, Feistmantelstr 4, A-1180 Vienna, Austria.</t>
  </si>
  <si>
    <t>filip.aggestam@boku.ac.at</t>
  </si>
  <si>
    <t>Aggestam, Filip/M-8483-2013</t>
  </si>
  <si>
    <t>Aggestam, Filip/0000-0002-3842-7929</t>
  </si>
  <si>
    <t>10.2166/wp.2013.135</t>
  </si>
  <si>
    <t>AF1WU</t>
  </si>
  <si>
    <t>WOS:000334505400004</t>
  </si>
  <si>
    <t>Environmental quality standards; Sediment quality guidelines; Aquatic ecosystem health; Ecotoxicity</t>
  </si>
  <si>
    <t>MARINE-SEDIMENTS; METAL TOXICITY; WATER; FRAMEWORK; SENSITIVITY; PERFORMANCE; PESTICIDES; QUOTIENTS; COPPER; RISK</t>
  </si>
  <si>
    <t>[Kwok, Kevin W. H.] Duke Univ, Nicholas Sch Environm, Durham, NC 27708 USA; [Batley, Graeme E.] CSIRO Land &amp; Water, Ctr Environm Contaminants Res, Lucas Heights, NSW 2234, Australia; [Wenning, Richard J.] ENVIRON, San Francisco, CA 94568 USA; [Zhu, Lingyan] Nankai Univ, Minist Educ, Coll Environm Sci &amp; Engn, Key Lab Pollut Proc &amp; Environm Criteria, Tianjin 300071, Peoples R China; [Vangheluwe, Marnix] ARCHE Consulting, Brussels, Belgium; [Lee, Shirley] Hong Kong Inst Environm Impact Assessment, Hong Kong, Hong Kong, Peoples R China</t>
  </si>
  <si>
    <t>Kwok, KWH (corresponding author), Duke Univ, Nicholas Sch Environm, Durham, NC 27708 USA.</t>
  </si>
  <si>
    <t>kevin.kwok@duke.edu</t>
  </si>
  <si>
    <t>281IV</t>
  </si>
  <si>
    <t>Urban redevelopment; economic performativity; affordable housing; UK</t>
  </si>
  <si>
    <t>POWER</t>
  </si>
  <si>
    <t>Uppsala Univ, Inst Housing &amp; Urban Res, S-75120 Uppsala, Sweden</t>
  </si>
  <si>
    <t>Christophers, B (corresponding author), Uppsala Univ, Inst Housing &amp; Urban Res, POB 514, S-75120 Uppsala, Sweden.</t>
  </si>
  <si>
    <t>brett.christophers@ibf.uu.se</t>
  </si>
  <si>
    <t>276JS</t>
  </si>
  <si>
    <t>Higher education; Technical university; Preventative approaches; Sustainability support</t>
  </si>
  <si>
    <t>[Labodova, A.; Lapcik, V.; Kodymova, J.; Turjak, J.; Pivko, M.] VSB Tech Univ Ostrava, Fac Min &amp; Geol, Inst Environm Engn, Ostrava 70833, Czech Republic</t>
  </si>
  <si>
    <t>Labodova, A (corresponding author), VSB Tech Univ Ostrava, Fac Min &amp; Geol, Inst Environm Engn, 17 Listopadu 15, Ostrava 70833, Czech Republic.</t>
  </si>
  <si>
    <t>alena.labodova@vsb.cz</t>
  </si>
  <si>
    <t>270JJ</t>
  </si>
  <si>
    <t>Vasiliev, R; Levochkina, G</t>
  </si>
  <si>
    <t>Vasiliev, Roman; Levochkina, Galina</t>
  </si>
  <si>
    <t>ISSUES OF CRITICAL SUCCESS FACTORS IN IT CONSULTING</t>
  </si>
  <si>
    <t>BIZNES INFORMATIKA-BUSINESS INFORMATICS</t>
  </si>
  <si>
    <t>critical success factors; sources of critical success factors; information technologies; IT consulting; provider of IT consulting services; steps to critical success factors identification</t>
  </si>
  <si>
    <t>The purpose of IT consulting is to provide recommendations pertaining to information system strategic management, IT architecture evaluation, design and development, enterprise business process automation project management and many other issues relating to the use of computers and information technologies. Success in this field depends predominantly on insight of factors, which realization enables to concentrate resources in those areas where a provider can get a significant edge over major rivals and gain the best position in a target market. However at present there is no universal, generally accepted tool to determine such factors. This paper suggests an approach to determine corporate critical success factors for providers of IT consulting services and formulates relevant approached-based preparation and implementation recommendations. We consider such sources of critical success factors as industry-specific characteristics of IT consulting, characteristics of general environment (economic, political, social and technological), timing factors, competitive strategy and position, specifics of IT consulting service provider's management structure and specifics of IT consulting areas. Based on analysis of these sources we suggest sets of success factors which constitute an underlying information basis for critical success factor selection procedure. Activities to identify corporate critical success factors are suggested to be implemented in the project format. For each project phase basic tasks defined, and recommendations are articulated for implementation of relevant activities, as well as composition and content of project documentation. These outputs may be used by providers of IT consulting services in the process of identification of corporate critical success factors, as well as by consulting firms involved in implementation of such projects.</t>
  </si>
  <si>
    <t>[Vasiliev, Roman; Levochkina, Galina] Natl Res Univ, Fac Business Informat, Higher Sch Econ, Dept Informat Syst Strateg Management, 20 Myasnitskaya Str, Moscow 101000, Russia</t>
  </si>
  <si>
    <t>Vasiliev, R (corresponding author), Natl Res Univ, Fac Business Informat, Higher Sch Econ, Dept Informat Syst Strateg Management, 20 Myasnitskaya Str, Moscow 101000, Russia.</t>
  </si>
  <si>
    <t>rvasiliev@hse.ru; glevochkina@hse.ru</t>
  </si>
  <si>
    <t>NATL RESEARCH UNIV, HIGHER SCH ECONOMICS</t>
  </si>
  <si>
    <t>MYASNITSKAYA, 20, MOSCOW, 101000, RUSSIA</t>
  </si>
  <si>
    <t>1998-0663</t>
  </si>
  <si>
    <t>BIZN INFORM</t>
  </si>
  <si>
    <t>Bizn. Inform.</t>
  </si>
  <si>
    <t>V7K9Y</t>
  </si>
  <si>
    <t>WOS:000421055300002</t>
  </si>
  <si>
    <t>Plehwe, D</t>
  </si>
  <si>
    <t>Plehwe, Dieter</t>
  </si>
  <si>
    <t>Think tank networks and the knowledge-interest nexus: the case of climate change</t>
  </si>
  <si>
    <t>CRITICAL POLICY STUDIES</t>
  </si>
  <si>
    <t>transnational networks; think tanks; knowledge-interest nexus; climate change</t>
  </si>
  <si>
    <t>An increasing complexity and heavy reliance on research in the formulation of public policy is the backdrop to the ongoing politicization of science. Issues and problems around the accessibility, credibility, legitimacy and accountability of expertise are greatly aggravated in supranational policy arenas. While antidemocratic dangers have traditionally been emphasized with regard to technocratic policy-making, such dangers coexist with the perils of scientific irresponsibility - or irrelevance - and an unprecedented level and scope of expertise-backed lobbying in policy-making across both the domestic and supranational arenas. A dramatic example of these perils is the battle over climate change policy agendas. The large number of think tanks and think tank networks involved in climate change policy skepticism can be considered central in this regard. Such networks are designed to promote or to disrupt political discourse. Although many individual think tanks and network relationships do not give cause for particular concern, the combination of powerful expert, consulting and lobby/advocacy capacities that rely on organized think tank infrastructures implies a growing need for closer attention to think tank models in public policy analysis. A new approach to think tank network studies will be useful to develop an agenda for a second generation of cooperative transnational think tank studies capable of engaging with the cross-border dimensions of the knowledge-interest nexus of ideas and orientations.</t>
  </si>
  <si>
    <t>[Plehwe, Dieter] Social Sci Res Ctr, Berlin, Germany</t>
  </si>
  <si>
    <t>Plehwe, D (corresponding author), Social Sci Res Ctr, Berlin, Germany.</t>
  </si>
  <si>
    <t>dieter.plehwe@wzb.eu</t>
  </si>
  <si>
    <t>Plehwe, Dieter/0000-0002-8563-0946</t>
  </si>
  <si>
    <t>Heritage Foundation</t>
  </si>
  <si>
    <t>The funding of the Heritage Foundation includes the dues paid by 200,000 subscribers to the Heritage newsletter. The recently founded Institut fur eine solidarische Moderne in Germany gained 1600 members within a few weeks.</t>
  </si>
  <si>
    <t>1946-0171</t>
  </si>
  <si>
    <t>1946-018X</t>
  </si>
  <si>
    <t>CRIT POLICY STUD</t>
  </si>
  <si>
    <t>Crit. Policy Stud.</t>
  </si>
  <si>
    <t>10.1080/19460171.2014.883859</t>
  </si>
  <si>
    <t>V11IK</t>
  </si>
  <si>
    <t>WOS:000214271700007</t>
  </si>
  <si>
    <t>Peter, E; Kaszas, N; Nemeth, K</t>
  </si>
  <si>
    <t>Peter, Erzsebet; Kaszas, Nikoletta; Nemeth, Kornel</t>
  </si>
  <si>
    <t>THE ROLE OF HEALTH-CONSCIOUS DECISIONS IN FOOD CONSUMPTION</t>
  </si>
  <si>
    <t>DETUROPE-THE CENTRAL EUROPEAN JOURNAL OF REGIONAL DEVELOPMENT AND TOURISM</t>
  </si>
  <si>
    <t>food balance; food products; consumption; health consciousness; corporate culture</t>
  </si>
  <si>
    <t>The Ministry of Rural Development in Hungary has set the goal of restoring the competitiveness of the domestic food industry among many others. They would like to contribute to the stable financing by facilitating borrowing loans as well as export financing the enterprises in the food industry. For the period between 2014 and 2020, 500 billion HUF subsidies have been allocated for the technical and technological modernization of businesses, for the increase of input efficiency as well as for research and development and trainings and consultancy. In order to do so it is essential to encourage the demand for Hungarian food products besides insuring workforce with up-to-date expertise and the supportive economic environment. The research mentions consumption figures based on food balances where the balances calculated for various food groups include food products and beverages converted into ingredients. The development of food consumption is negatively affected by the economic recession, the weather influencing cultivation significantly as well as the fall in consumption from private farming. Enterprises put great emphasis on prevention and on the good physical and mental condition of their colleagues with such organization of work that focuses on health since work can be more efficient by this means. The quality of the work environment influences the health condition both directly and indirectly. In case of micro-and small enterprises cafeteria plans as well as the visible elements of corporate culture are much more revealed thus contributing to more health-conscious food consumption in Zala County. In addition to the agricultural support of the sale of domestic food products, the government could stimulate the manufacturing of healthy products of local small-scale producers indirectly by reducing VAT for instance.</t>
  </si>
  <si>
    <t>[Peter, Erzsebet] Univ Pannonia, Nagykanizsa Campus,Zrinyi Utca, H-8800 Nagykanizsa, Hungary; [Kaszas, Nikoletta] Univ Pannonia, Fac Business &amp; Econ, Doctoral Sch Management Sci &amp; Business Adm, H-8800 Nagykanizsa, Hungary; [Nemeth, Kornel] Nagykanizsa Asset Management &amp; Servicing Zrt Priv, Energy &amp; Environm Management expert, H-8800 Nagykanizsa, Hungary</t>
  </si>
  <si>
    <t>Peter, E (corresponding author), Univ Pannonia, Nagykanizsa Campus,Zrinyi Utca, H-8800 Nagykanizsa, Hungary.</t>
  </si>
  <si>
    <t>peter.erzsebet@uni-pen.hu; kaszas.nikoletta@uni-pen.hu; nemethkornel@freemail.hu</t>
  </si>
  <si>
    <t>REGIONAL SCIENCE ASSOC SUBOTICA, SERBIA</t>
  </si>
  <si>
    <t>CESKE BUDEJOVICE</t>
  </si>
  <si>
    <t>INT OFF FAC ECONOMICS UNIV SOUTH BOHEMIA STUDENTSKA 13, CESKE BUDEJOVICE, 370 05, CZECH REPUBLIC</t>
  </si>
  <si>
    <t>1821-2506</t>
  </si>
  <si>
    <t>DETUROPE</t>
  </si>
  <si>
    <t>Deturope</t>
  </si>
  <si>
    <t>V4S5F</t>
  </si>
  <si>
    <t>WOS:000219223000005</t>
  </si>
  <si>
    <t>Dampier, JEE; Lemelin, RH; Shahi, C; Luckai, N</t>
  </si>
  <si>
    <t>Dampier, Jason Ernest Elvin; Lemelin, R. Harvey; Shahi, Chander; Luckai, Nancy</t>
  </si>
  <si>
    <t>Small town identity and history's contribution to a response in policy change: a case study of transition from coal to biomass energy conversion</t>
  </si>
  <si>
    <t>Bioenergy; Atikokan Generating Station; Lignite coal; Social impacts; Wood pellets</t>
  </si>
  <si>
    <t>COMMUNITY RESILIENCE; CANADA</t>
  </si>
  <si>
    <t>Background: In 2002, the provincial government of Ontario first announced plans to close all coal-burning thermoelectric generating stations. Facing the loss of local jobs should the local generating station close, Atikokan, Ontario, residents responded. This research seeks to answer the following question: What are Atikokan's historical pre-conditions and residents' attributes and perceptions which likely lead to the community's response, and do these characteristics relate back to the broader body of knowledge? Methods: Our study investigates the Atikokan Generating Station (AGS) conversion from coal to biomass wood pellets as a case, exploring the extent to which the community's identity played in response to the policy change. The current study takes a qualitative data analysis approach utilizing interviews with community members, current newspaper articles, past relevant consultant reports and archival data. Data collected were coded to themes using NVivo 10 software. Four emergent themes were identified and cross-validated. Results: The emergent themes are i) traditions of resource-based industry congruent with producing and burning forest-based renewable fuels, ii) historical linkages to a strong entrepreneurial ethic, iii) community members' recognition of AGS's multifaceted role in the community and iv) strong community spirit and desire to fight for their town. These themes appear to have been prerequisite in order to successfully engage provincial government, and we demonstrate that these findings are somewhat corroborated back to the broader literature. Conclusions: Furthermore, as power generating authorities elsewhere grapple with demands to reduce carbon emissions, the Atikokan case may provide insight for other jurisdictions evaluating renewable energy adoption.</t>
  </si>
  <si>
    <t>[Dampier, Jason Ernest Elvin; Shahi, Chander; Luckai, Nancy] Lakehead Univ, Fac Nat Resources Management, 955 Oliver Rd, Thunder Bay, ON P7B 5E1, Canada; [Lemelin, R. Harvey] Lakehead Univ, Sch Outdoor Recreat Parks &amp; Tourism, Thunder Bay, ON P7B 5E1, Canada</t>
  </si>
  <si>
    <t>Dampier, JEE (corresponding author), Lakehead Univ, Fac Nat Resources Management, 955 Oliver Rd, Thunder Bay, ON P7B 5E1, Canada.</t>
  </si>
  <si>
    <t>jedampie@lakeheadu.ca</t>
  </si>
  <si>
    <t>Ontario Graduate Scholarship; Centre for Research and Innovation in the Bio-Economy (CRIBE)</t>
  </si>
  <si>
    <t>Ontario Graduate Scholarship(Ontario Graduate Scholarship); Centre for Research and Innovation in the Bio-Economy (CRIBE)</t>
  </si>
  <si>
    <t>The corresponding author, a PhD candidate during this phase of the project, was funded by an Ontario Graduate Scholarship. Additional funding was provided by the Centre for Research and Innovation in the Bio-Economy (CRIBE). The authors are very grateful for the ongoing support to this project provided by Daryl Gaudry, Brent Boyko, Jane Todd and the entire staff at OPG Thunder Bay and Atikokan Generating Stations. Furthermore, the authors also wish to thank all community members from the Town of Atikokan who so freely shared their perceptions which helped the authors to identify and elucidate the historical community pre-conditions which created a cultural climate conducive for the conversion, and by providing insight into the community's role in affecting decisions at AGS.</t>
  </si>
  <si>
    <t>10.1186/s13705-014-0026-4</t>
  </si>
  <si>
    <t>V26NV</t>
  </si>
  <si>
    <t>WOS:000215299800025</t>
  </si>
  <si>
    <t>Manitoba Conservat &amp; Water Stewardship, Winnipeg, MB, Canada</t>
  </si>
  <si>
    <t>Reichelt, R (corresponding author), Manitoba Conservat &amp; Water Stewardship, 1007 Century St, Winnipeg, MB, Canada.</t>
  </si>
  <si>
    <t>Raymond.Reichelt@gov.mb.ca</t>
  </si>
  <si>
    <t>GEOLOGICAL ASSOC CANADA</t>
  </si>
  <si>
    <t>ST JOHNS</t>
  </si>
  <si>
    <t>DEPT EARTH SCIENCES MEMORIAL UNIV NEWFOUNDLAND, ST JOHNS, NEWFOUNDLAND A1B 3X5, CANADA</t>
  </si>
  <si>
    <t>GEOSCI CAN</t>
  </si>
  <si>
    <t>Geosci. Can.</t>
  </si>
  <si>
    <t>AE3BD</t>
  </si>
  <si>
    <t>GLOBAL HEALTH ACTION</t>
  </si>
  <si>
    <t>universal health insurance; universal health coverage; policy process; Vietnam</t>
  </si>
  <si>
    <t>[Ha, Bui T. T.; Thi, Le M.; Duong, Doan T. T.; Duc, Duong M.] Hanoi Sch Publ Hlth, Dept Reprod Hlth, Hanoi, Vietnam; [Frizen, Scott] New York Univ Shanghai, Dept Arts &amp; Sci, Shanghai, Peoples R China</t>
  </si>
  <si>
    <t>Ha, BTT (corresponding author), Hanoi Sch Publ Hlth, 138 Giang Vo, Hanoi, Vietnam.</t>
  </si>
  <si>
    <t>bth@hsph.edu.vn</t>
  </si>
  <si>
    <t>Thi Thuy Duong, Doan/0000-0003-3052-2590; Le, Minh Thi/0000-0002-1017-6187</t>
  </si>
  <si>
    <t>World Bank [7165315]</t>
  </si>
  <si>
    <t>World Bank(The World Bank India)</t>
  </si>
  <si>
    <t>The analysis work was funded through a World Bank grant to the Hanoi School of Public Health through its Universal Health Coverage program. This paper was a part of an international research project funded by World Bank under contract grant number 7165315 on universal health care policy in Vietnam.</t>
  </si>
  <si>
    <t>Glob. Health Action</t>
  </si>
  <si>
    <t>CA3DU</t>
  </si>
  <si>
    <t>Broto, VC</t>
  </si>
  <si>
    <t>Broto, Vanesa Castan</t>
  </si>
  <si>
    <t>Viewpoint: Planning for climate change in the African city</t>
  </si>
  <si>
    <t>INTERNATIONAL DEVELOPMENT PLANNING REVIEW</t>
  </si>
  <si>
    <t>planning; climate change; adaptation; Africa; experimentation</t>
  </si>
  <si>
    <t>GOVERNMENT; ADAPTATION; EDUCATION</t>
  </si>
  <si>
    <t>In this viewpoint I argue for a perspective on climate change in African cities that focuses on challenges and also opportunities for action. Delivering climate change adaptation in cities in the first instance requires addressing immediate infrastructure and service provision needs, because increasing climate change resilience in cities also requires improving the delivery of services to all citizens. However, there is a risk that climate change discourses facilitate the deployment of technocratic, expert-led forms of planning, particularly when climate change is used as an excuse to facilitate the intervention of international planning consultants who most often know little about the local context of planning. This paper advocates instead approaches to climate change action that harness opportunities on the ground to engage with the creative potential that urban citizens already have and to draw attention to the need to develop planning skills from within the city.</t>
  </si>
  <si>
    <t>UCL, Bartlett Fac Built Environm, Dev Planning Unit, London, England</t>
  </si>
  <si>
    <t>Broto, VC (corresponding author), UCL, Bartlett Fac Built Environm, Dev Planning Unit, 34 Tavistock Sq, London, England.</t>
  </si>
  <si>
    <t>v.castanbroto@ucl.ac.uk</t>
  </si>
  <si>
    <t>Broto, Vanesa Castan/AAF-4485-2021</t>
  </si>
  <si>
    <t>1474-6743</t>
  </si>
  <si>
    <t>1478-3401</t>
  </si>
  <si>
    <t>INT DEV PLANN REV</t>
  </si>
  <si>
    <t>Int. Dev. Plan. Rev.</t>
  </si>
  <si>
    <t>10.3828/idpr.2014.23</t>
  </si>
  <si>
    <t>AK8WW</t>
  </si>
  <si>
    <t>WOS:000338710400001</t>
  </si>
  <si>
    <t>Hidayanto, AN; Razaad, IN; Shihab, MR; Hasibuan, ZA</t>
  </si>
  <si>
    <t>Hidayanto, Achmad Nizar; Razaad, Indah Nurul; Shihab, Muhammad Rifki; Hasibuan, Zainal Arifin</t>
  </si>
  <si>
    <t>Corporate blog usage and its success factors: multiple case studies at consulting firms in Indonesia</t>
  </si>
  <si>
    <t>INTERNATIONAL JOURNAL OF INNOVATION AND LEARNING</t>
  </si>
  <si>
    <t>innovation; community; social media; blogs; corporate blogs; consulting firm; Indonesia; success factors; learning</t>
  </si>
  <si>
    <t>This study was aimed to analyse the obtained value of the company's corporate blog and its supporting factors. We conducted qualitative research by doing deep interview to three consulting firms in Indonesia that are still actively using a corporate blog to analyse the firms practice in managing the corporate blog in terms of motivation of use, functionality, writing ideas and concepts, constraints, policies and their impact on the organisation. We found several key important innovation features in the blog usage, among of them are to show company's identity, to engage company with its clients and society, to educate its employees in order to be known by society, and to walk the talk for increasing client confidence of company's intellectuality. In addition, we also successfully mapped these practices to success factors for sustaining corporate blog.</t>
  </si>
  <si>
    <t>[Hidayanto, Achmad Nizar] Univ Indonesia, Fac Comp Sci, Informat Syst Informat Technol Stream, Kampus UI Depok, Depok 16424, Indonesia; [Razaad, Indah Nurul; Shihab, Muhammad Rifki; Hasibuan, Zainal Arifin] Univ Indonesia, Fac Comp Sci, Depok 16424, Indonesia</t>
  </si>
  <si>
    <t>Hidayanto, AN (corresponding author), Univ Indonesia, Fac Comp Sci, Informat Syst Informat Technol Stream, Kampus UI Depok, Depok 16424, Indonesia.</t>
  </si>
  <si>
    <t>nizar@cs.ui.ac.id; nurul.razaad@gmail.com; shihab@cs.ui.ac.id; zhasibua@cs.ui.ac.id</t>
  </si>
  <si>
    <t>Hidayanto, Achmad Nizar/E-3939-2019</t>
  </si>
  <si>
    <t>Hidayanto, Achmad Nizar/0000-0002-5793-9460; Hasibuan, Zainal A./0000-0003-3307-915X</t>
  </si>
  <si>
    <t>1471-8197</t>
  </si>
  <si>
    <t>1741-8089</t>
  </si>
  <si>
    <t>INT J INNOV LEARN</t>
  </si>
  <si>
    <t>Int. J. Innov. Learn.</t>
  </si>
  <si>
    <t>10.1504/IJIL.2014.064729</t>
  </si>
  <si>
    <t>VD5DX</t>
  </si>
  <si>
    <t>WOS:000436877600002</t>
  </si>
  <si>
    <t>Kelly, AH</t>
  </si>
  <si>
    <t>Kelly, Andrew H.</t>
  </si>
  <si>
    <t>Amenity enhancement and biodiversity conservation in Australian suburbia Moving towards maintaining indigenous plants on private residential land</t>
  </si>
  <si>
    <t>INTERNATIONAL JOURNAL OF LAW IN THE BUILT ENVIRONMENT</t>
  </si>
  <si>
    <t>Local government; Biodiversity conservation; Amenity; New South Wales; Australia; Preservation of trees or vegetation; Tree preservation orders</t>
  </si>
  <si>
    <t>Purpose - The purpose of this paper is to critically explore the historical background and current approach of the most common statutory instrument to maintain green landscapes in private residential gardens in cities and townships in suburban New South Wales (NSW), Australia. Design/methodology/approach - The narrative presents a transdisciplinary study. While its emphasis is on law and town planning, it also encompasses local government and legal history while touching upon environmental management and ecological science. This panoply of areas reflects the sheer complexity of the topic. While the presentation is initially descriptive, it moves on to a critique of the NSW Government's recent statutory approach. Findings - The paper demands that further attention must be paid to improving the design and architecture of statutory plans and underlying policies to not only improve urban biodiversity but also retain, as far as practicable, the visual beauty of the suburban landscape. This means reliance on local government to devise their own acceptable approaches. Flexibility rather than rigidity is warranted. Originality/value - The amount of scholarly material on this topic is relatively rare. The majority of information relies on excellent on-ground research and experience on the part of local experts, namely council employees and consultants. Academic and practical material must be drawn together to improve biodiversity conservation at both the local and regional spheres.</t>
  </si>
  <si>
    <t>[Kelly, Andrew H.] Univ Wollongong, Fac Law Humanities &amp; Arts, Inst Conservat Biol &amp; Environm Management, Wollongong, NSW, Australia</t>
  </si>
  <si>
    <t>Kelly, AH (corresponding author), Univ Wollongong, Fac Law Humanities &amp; Arts, Inst Conservat Biol &amp; Environm Management, Wollongong, NSW, Australia.</t>
  </si>
  <si>
    <t>andrewk@uow.edu.au</t>
  </si>
  <si>
    <t>1756-1450</t>
  </si>
  <si>
    <t>1756-1469</t>
  </si>
  <si>
    <t>INT J LAW BUILT ENVI</t>
  </si>
  <si>
    <t>Int. J. Law Built. Environ.</t>
  </si>
  <si>
    <t>10.1108/IJLBE-05-2013-0022</t>
  </si>
  <si>
    <t>V07SE</t>
  </si>
  <si>
    <t>WOS:000214026700007</t>
  </si>
  <si>
    <t>Westera, W; Nadolski, R; Hummel, H</t>
  </si>
  <si>
    <t>Westera, Wim; Nadolski, Rob; Hummel, Hans</t>
  </si>
  <si>
    <t>Serious Gaming Analytics: What Students' Log Files Tell Us about Gaming and Learning</t>
  </si>
  <si>
    <t>INTERNATIONAL JOURNAL OF SERIOUS GAMES</t>
  </si>
  <si>
    <t>Serious gaming; learning analytics; logging; behaviour; video</t>
  </si>
  <si>
    <t>In this paper we explore existing log files of the VIBOA environmental policy game. Our aim is to identify relevant player behaviours and performance patterns. The VIBOA game is a 50 hours master level serious game that supports inquiry-based learning: students adopt the role of an environmental consultant in the (fictitious) consultancy agency VIBOA, and have to deal with complex, multi-faceted environmental problems in an academic and methodologically sound way. A sample of 118 master students played the game. We used learning analytics to extract relevant data from the logging and find meaningful patterns and relationships. We observed substantial behavioural variability across students. Correlation analysis suggest a behavioural trade that reflects the rate of switching between different game objects or activities. We were able to establish a model that uses switching indicators as predictors for the efficiency of learning. Also we found slight evidence that students who display increased switching behaviours need more time to complete the games. We conclude the paper by critically evaluating our findings, making explicit the limitations of our study and making suggestions for future research that links together learning analytics and serious gaming.</t>
  </si>
  <si>
    <t>[Westera, Wim; Nadolski, Rob; Hummel, Hans] Open Univ Netherlands, Fac Psychol &amp; Educ Sci, Welten Inst, Res Ctr Learning Teaching &amp; Technol, Valkenburgerweg 177, NL-6419 AT Heerlen, Netherlands</t>
  </si>
  <si>
    <t>Westera, W (corresponding author), Open Univ Netherlands, Fac Psychol &amp; Educ Sci, Welten Inst, Res Ctr Learning Teaching &amp; Technol, Valkenburgerweg 177, NL-6419 AT Heerlen, Netherlands.</t>
  </si>
  <si>
    <t>wim.westera@ou.nl; rob.nadolski@ou.nl; hanshummel@ou.nl</t>
  </si>
  <si>
    <t>SERIOUS GAMES SOC</t>
  </si>
  <si>
    <t>GENOA</t>
  </si>
  <si>
    <t>IST INT COMUNICAZIONI, VILLA PIAGGIO, GENOA, 16125, ITALY</t>
  </si>
  <si>
    <t>2384-8766</t>
  </si>
  <si>
    <t>INT J SERIOUS GAMES</t>
  </si>
  <si>
    <t>Int. J. Serious Games</t>
  </si>
  <si>
    <t>10.17083/ijsg.v1i2.9</t>
  </si>
  <si>
    <t>V3S9B</t>
  </si>
  <si>
    <t>WOS:000218557000004</t>
  </si>
  <si>
    <t>Cuyvers, L</t>
  </si>
  <si>
    <t>Cuyvers, Ludo</t>
  </si>
  <si>
    <t>The Sustainable Development Clauses in Free Trade Agreements of the EU with Asian Countries: Perspectives for ASEAN?</t>
  </si>
  <si>
    <t>JOURNAL OF CONTEMPORARY EUROPEAN STUDIES</t>
  </si>
  <si>
    <t>EU-ASEAN relations; free trade agreement; sustainable development; ILO core labour standards; multilateral environment agreements</t>
  </si>
  <si>
    <t>The paper shows that the present EU GSP Plus arrangement is to be considered as showing the level of aspiration of the EU for future FTA partners regarding international rules of sustainability and good governance. Following its 2007 East Asia Policy Guidelines, the EU started negotiations on an interregional EU-ASEAN FTA and on the FTA with South Korea. The EU-Korea FTA and the European Commission's reactions to the consultant's advice on sustainability provide evidence of the negotiation strategy regarding the sustainability chapter in such FTAs with Asia. We evaluate this chapter of the EU-Singapore FTA, concluded in December 2012 against this background and find that they are highly similar. We conclude that the EU-Singapore FTA sustainable development provisions can be considered as a benchmark for the ongoing FTA negotiations with Malaysia, Vietnam and Thailand, and as a baseline for such provisions in a future EU-ASEAN FTA.</t>
  </si>
  <si>
    <t>[Cuyvers, Ludo] Univ Antwerp, Antwerp, Belgium; [Cuyvers, Ludo] North West Univ, Potchefstroom Campus, Potchefstroom, South Africa; [Cuyvers, Ludo] United Nations Univ, Ctr Reg Integrat Studies, Brugge, Belgium</t>
  </si>
  <si>
    <t>Cuyvers, L (corresponding author), Univ Antwerp, Ctr ASEAN Studies, Prinsstr 13, ZA-2000 Johannesburg, South Africa.</t>
  </si>
  <si>
    <t>ludo.cuyvers@ua.ac.be</t>
  </si>
  <si>
    <t>Cuyvers, Ludo/ABE-2557-2020</t>
  </si>
  <si>
    <t>1478-2804</t>
  </si>
  <si>
    <t>1478-2790</t>
  </si>
  <si>
    <t>J CONTEMP EUR STUD</t>
  </si>
  <si>
    <t>J. Contemp. Eur. Stud.</t>
  </si>
  <si>
    <t>10.1080/14782804.2014.923752</t>
  </si>
  <si>
    <t>Area Studies; International Relations; Political Science</t>
  </si>
  <si>
    <t>Area Studies; International Relations; Government &amp; Law</t>
  </si>
  <si>
    <t>V87LX</t>
  </si>
  <si>
    <t>WOS:000212658400004</t>
  </si>
  <si>
    <t>Kassem, M; Iqbal, N; Kelly, G; Lockley, S; Dawood, N</t>
  </si>
  <si>
    <t>Kassem, Mohamad; Iqbal, Nahim; Kelly, Graham; Lockley, Stephen; Dawood, Nashwan</t>
  </si>
  <si>
    <t>BUILDING INFORMATION MODELLING: PROTOCOLS FOR COLLABORATIVE DESIGN PROCESSES</t>
  </si>
  <si>
    <t>Building Information Modelling; framework; grounded theory; protocol</t>
  </si>
  <si>
    <t>Numerous frameworks and protocols are being developed to facilitate BIM understanding and implementation. A BIM framework is a structured theoretical construct that can assist in organizing BIM domains of knowledge and facilitate the creation of new knowledge. BIM Protocols explain or simplify aspects of the BIM implementation by providing detailed steps or conditions (e.g. workflows, plans, manuals, etc.) to reach a measurable outcome. Currently available BIM protocols lack the level of details and the inclusion of implementation variables and complexities present at project levels. This research aims to propose protocols for BIM collaborative design that can be utilized at project level by an entire supply chain to increase the efficiency and consistency of information flow and BIM deliverables. A grounded theory approach was adopted due to its particular emphasis on providing explicit strategies for defining and studying processes. The proposed protocols consist of flowcharts, diagrams and matrices that guide the processes of BIM implementation for collaborative design among lead architects, engineering consultants, clients and contractors. A top-level model of the protocols, representing the main elements of the protocols, the relations between elements, the underpinning methodology and a gate decision for technology, process and policy approval, is presented as an abstraction of the content of the protocols. The testing of the protocols in two international design competitions, using a mixed quantitative-qualitative, demonstrated their potential in improving the quality and quantity of information delivered to stakeholders involved in the design process. There are primary and secondary contributions that stemmed from this research. The primary contribution is represented by both the methodology for development and testing and the proposed protocols for BIM collaborative design. The secondary contribution derives from the classification and review of BIM frameworks and the demonstration of the influence of the BIM project physical environment on the performance of teams.</t>
  </si>
  <si>
    <t>[Kassem, Mohamad; Dawood, Nashwan] Univ Teesside, Technol Futures Inst, Middlesbrough, Cleveland, England; [Iqbal, Nahim] Northumbria Univ, BIM Acad, Newcastle Upon Tyne, Tyne &amp; Wear, England; [Kelly, Graham] Univ Teesside, BIM Acad, KTP Assoc, Middlesbrough, Cleveland, England; [Lockley, Stephen] Northumbria Univ, Newcastle Upon Tyne, Tyne &amp; Wear, England</t>
  </si>
  <si>
    <t>Kassem, M (corresponding author), Univ Teesside, Technol Futures Inst, Middlesbrough, Cleveland, England.</t>
  </si>
  <si>
    <t>m.kassem@tees.ac.uk; Nahim.iqbal@bimacademy.ac.uk; graham.kelly@bimacademy.ac.uk; steve.lockley@northumbria.ac.uk; n.n.dawood@tees.ac.uk</t>
  </si>
  <si>
    <t>V48PX</t>
  </si>
  <si>
    <t>WOS:000210032400007</t>
  </si>
  <si>
    <t>Jones, P; Comfort, D; Hillier, D</t>
  </si>
  <si>
    <t>Jones, Peter; Comfort, Daphne; Hillier, David</t>
  </si>
  <si>
    <t>Fracking for shale gas in the UK: property and investment issues</t>
  </si>
  <si>
    <t>Environmental impacts; Disclosure; Investments; Hydraulic fracturing (fracking); Shale gas resources; Property values</t>
  </si>
  <si>
    <t>Purpose - Large-scale shale gas reserves have recently been identified under many parts of the UK. Development pressure for detailed exploration and possibly the exploitation of these reserves by hydraulic fracturing, popularly described as fracking is growing rapidly and seems to have UK Government support. With this in mind the purpose of this paper is to offer a general review of the possible development of shale gas reserves by fracking within the UK and to explore a number of the property and investment issues associated with such development. Design/methodology/approach - The briefing note begins with an outline of the characteristics of shale oil and the fracking process and of the initial developments within the UK and discusses some of the property and investment issues associated with such developments. The note is based upon information drawn from the internet sources, principally national and local governments, property, financial and environmental organisations and on visits to a small number of sites of exploratory fracking. Findings - The paper identifies a wide range of potential environmental impacts associated with the development of shale gas reserves by fracking and reveals growing awareness in the UK that such development could have a major impact on property values, on the availability of mortgages and on property insurance. At the same time the paper also suggests that financial institutions are increasingly taking steps to minimise risks to their investments and reputation from potential environmental impacts. Practical implications - The paper suggests a number of issues property managers and consultants will need to address in monitoring the impact of shale gas development by fracking on property values and it offers some guidelines to investment managers. Originality/value - This paper provides an accessible review of the development of shale gas resources by fracking within the UK and as such it will be of value to a range of property and investment management professionals and to students pursuing property and investment courses.</t>
  </si>
  <si>
    <t>[Jones, Peter; Comfort, Daphne] Univ Gloucestershire, Business Sch, Cheltenham, Glos, England; [Hillier, David] Univ South Wales, Ctr Police Sci, Glamorgan, Wales</t>
  </si>
  <si>
    <t>Jones, P (corresponding author), Univ Gloucestershire, Business Sch, Cheltenham, Glos, England.</t>
  </si>
  <si>
    <t>pjones@glos.ac.uk</t>
  </si>
  <si>
    <t>10.1108/JPIF-04-2014-0022</t>
  </si>
  <si>
    <t>V90TG</t>
  </si>
  <si>
    <t>WOS:000212880300005</t>
  </si>
  <si>
    <t>Zdraveva, P; Grncarovska, TO; Markovska, N; Gavrilova, E; Poposka, E; Ristovski, I</t>
  </si>
  <si>
    <t>Zdraveva, Pavlina; Grncarovska, Teodora Obradovic; Markovska, Natasa; Gavrilova, Elena; Poposka, Emilija; Ristovski, Igor</t>
  </si>
  <si>
    <t>Building a sustainable greenhouse gases inventory system in Macedonia</t>
  </si>
  <si>
    <t>Climate change; Global warming; Inventory; Greenhouse gas; National communication</t>
  </si>
  <si>
    <t>Purpose - The purpose of this paper is to highlight the lessons learned and good practices regarding the greenhouse inventory system in the Republic of Macedonia. Design/methodology/approach - A comparative analysis for the preparation of the three national communications (NCs) to UN Framework Convention on Climate Change (UNFCCC) in Republic of Macedonia. Findings - The findings reveal the shift from a project approach, based on external consultants, towards a more process-oriented approach, where a multi-disciplinary national team has been established to prepare the inventory. Also, notable results include improvements in the technical capacity of the inventory team, communications with data sources and other stakeholders, quality assurance/quality control procedures, documenting and archiving, regional cooperation, as well as, the reliability of data series for greenhouse gas (GHG) emissions. Practical implications - The study may serve well for countries with similar national circumstances and priorities for preparation of greenhouse inventory systems. Originality/value - Developing national database (inventory) of GHGs is an essential first step towards managing better climate change policy planning. A complete and transparent national greenhouse inventory is an essential tool for understanding emissions and trends, projecting future emissions and identifying sectors for cost-effective emission reduction opportunities. It is also a core element of national climate change reports to the UNFCCC (NCs). This case study shows the development of a sustainable system for preparation of GHG inventories and it describes the data collection and analysis procedures within that system.</t>
  </si>
  <si>
    <t>[Zdraveva, Pavlina] United Nation Dev Programme, Energy &amp; Environm, Skopje, Macedonia; [Grncarovska, Teodora Obradovic; Gavrilova, Elena; Poposka, Emilija; Ristovski, Igor] Minist Environm &amp; Phys Planning, Dept Climate Change, Skopje, Macedonia; [Markovska, Natasa] Macedonian Acad Sci &amp; Arts, Res Ctr Energy &amp; Sustainable Dev, Skopje, Macedonia</t>
  </si>
  <si>
    <t>Zdraveva, P (corresponding author), United Nation Dev Programme, Energy &amp; Environm, Skopje, Macedonia.</t>
  </si>
  <si>
    <t>pavlina.zdraveva@undp.org</t>
  </si>
  <si>
    <t>Markovska, Natasa/G-7714-2019</t>
  </si>
  <si>
    <t>Markovska, Natasa/0000-0003-4598-7585; Ristovski, Igor/0000-0003-2860-9822</t>
  </si>
  <si>
    <t>GEF; UNDP; Ministry of Environment and Physical Planning</t>
  </si>
  <si>
    <t>The presented analysis is a part of the project Third National Communication to the UNFCCC financed by GEF. The authors gratefully acknowledge the support from UNDP and Ministry of Environment and Physical Planning, as well as the contributions of the relevant stakeholders.</t>
  </si>
  <si>
    <t>10.1108/MEQ-11-2013-0131</t>
  </si>
  <si>
    <t>VI4IS</t>
  </si>
  <si>
    <t>WOS:000485156800005</t>
  </si>
  <si>
    <t>Stapley, L</t>
  </si>
  <si>
    <t>Stapley, Lionel</t>
  </si>
  <si>
    <t>Creativity: The Psychological, Social, and Political Risks</t>
  </si>
  <si>
    <t>ORGANISATIONAL AND SOCIAL DYNAMICS</t>
  </si>
  <si>
    <t>creativity; psychological; social and political risk; leadership; destructiveness; facilitating; environment</t>
  </si>
  <si>
    <t>The purpose of this paper is to explore and develop an understanding of the risks associated with creativity. The paper will start with an explanation of creativity, here seen as not something limited to a special class of people or to special products but rather something possessed by all. It will then show that while the oft applied notion of play may be relevant, other factors such as a compulsion to create, the need for leadership, and the use of power to bring creations into being, result in psychological, social, and political risks that can internally (mainly psychologically), or externally (socially and politically), inhibit or even kill off the creative process. To illustrate the level of risk involved I will apply the theoretical to various vignettes, some personal arising from consultancy assignments, others will be applied to more well-known examples. I shall also touch on the need for leadership, self-awareness, and the creation of a facilitating environment, as a means of avoiding or minimising the risks.</t>
  </si>
  <si>
    <t>[Stapley, Lionel] OPUS, Vaughan, ON, Canada</t>
  </si>
  <si>
    <t>Stapley, L (corresponding author), OPUS, Vaughan, ON, Canada.</t>
  </si>
  <si>
    <t>lionelstapley@msn.com</t>
  </si>
  <si>
    <t>KARNAC BOOKS LTD</t>
  </si>
  <si>
    <t>118 FINCHLEY RD, LONDON, NW3 5HT, ENGLAND</t>
  </si>
  <si>
    <t>1474-2780</t>
  </si>
  <si>
    <t>2044-3765</t>
  </si>
  <si>
    <t>ORGAN SOC DYN</t>
  </si>
  <si>
    <t>Organ. Soc. Dyn.</t>
  </si>
  <si>
    <t>V99SN</t>
  </si>
  <si>
    <t>WOS:000213486800008</t>
  </si>
  <si>
    <t>Patkowski, B; Jucha, W</t>
  </si>
  <si>
    <t>Patkowski, Bartlomiej; Jucha, Witold</t>
  </si>
  <si>
    <t>The role of direct sales during economic downturn in Poland (based on the example of Computer - Assisted Legal Research Systems)</t>
  </si>
  <si>
    <t>PRACE KOMISJI GEOGRAFII PRZEMYSLU POLSKIEGO TOWARZYSTWA GEOGRAFICZNEGO-STUDIES OF THE INDUSTRIAL GEOGRAPHY COMMISSION OF THE POLISH GEOGRAPHICAL SOCIETY</t>
  </si>
  <si>
    <t>economic downturn; direct sale; Computer-Assisted Legal Research System</t>
  </si>
  <si>
    <t>Direct sales understood in the broad sense of the word as product presentation coupled with the offer to sell made by one person to another, has been known in the world for millennia. For the purpose of this study a narrower meaning of the term direct sales was adopted. Namely, a representative of one company (manufacturer) usually makes a presentation of a product in another company's headquarters (B2B - Business to Business). This type of distribution of goods and services appeared in Poland on a large scale at the time of political and economic transformation of 1989. The dominant role of own network of sales representatives is primarily due to complex functionality of the product and the related necessity of direct presentation at the client's, aimed at presenting the product itself along with benefits associated with its use. To be able to do so, a sales representative must act as a consultant. Therefore, in addition to typical business skills they should have adequate knowledge of the discipline the product represents. Another important factor that determines the sales process is the price of goods or services. The more expensive the product, the harder it is to sell without personal contact with a potential customer. The effectiveness of direct sales is its greatest advantage. Properly trained consultants have a personal contact with the customer and the ability of direct persuasion and negotiation which significantly increases the chances of selling. The purpose of this paper is to present the role a direct sales process may play in a challenging market environment, in particular in the situation of decreasing willingness of potential customers to buy.</t>
  </si>
  <si>
    <t>[Patkowski, Bartlomiej; Jucha, Witold] Uniwersytet Pedag, Inst Geog, Ul Podchorazych 2, PL-30084 Krakow, Poland</t>
  </si>
  <si>
    <t>Patkowski, B (corresponding author), Uniwersytet Pedag, Inst Geog, Ul Podchorazych 2, PL-30084 Krakow, Poland.</t>
  </si>
  <si>
    <t>bioklima@poczta.onet.pl; witold.jucha@gmail.com</t>
  </si>
  <si>
    <t>PEDAGOGICAL UNIV CRACOW, INST GEOGR, DEPT ENTREPRENEURSHIP &amp; SPATIAL MGMT</t>
  </si>
  <si>
    <t>2 PODCHORAZYCH ST, KRAKOW, 30-084, POLAND</t>
  </si>
  <si>
    <t>2080-1653</t>
  </si>
  <si>
    <t>2449-903X</t>
  </si>
  <si>
    <t>PRACE KOMISJI GEOGRA</t>
  </si>
  <si>
    <t>Prace Komisji Geogr. Prezemys. Pol. Tow. Geogr.</t>
  </si>
  <si>
    <t>VG8FP</t>
  </si>
  <si>
    <t>WOS:000448662300007</t>
  </si>
  <si>
    <t>Moratis, L; Widjaja, AT</t>
  </si>
  <si>
    <t>Moratis, Lars; Widjaja, Alice Tatang</t>
  </si>
  <si>
    <t>Determinants of CSR standards adoption: exploring the case of ISO 26000 and the CSR performance ladder in The Netherlands</t>
  </si>
  <si>
    <t>Corporate social responsibility; Sustainability; Standardization; ISO 26000; Management system standards; Standards adoption</t>
  </si>
  <si>
    <t>Purpose - This article aims to report on original empirical research on the comprehensive corporate social responsibility (CSR) standards International Organization for Standardization (ISO) 26000 and the CSR Performance Ladder and identifies determinants for the adoption of CSR standards. In addition, it reviews and adds to literature on CSR standards adoption. Design/methodology/approach - The empirical data were derived from interviews with CSR experts in The Netherlands. Findings - The findings of our research show that the demands and wishes of customers, the attitude of a company's management, the market position of the standard-developing organization and several tangible and intangible characteristics of the standard itself are particularly relevant for the adoption of CSR standards. Research limitations/implications - The article aimed at reaching analytical generalization instead of statistical generalization and was focused on The Netherlands. Differences across industries and sectors were not taken into account in this exploratory study. Having said this, we still think the article provides valuable insights. Practical implications - Our research identifies buttons for policymakers trying to stimulate business to engage with CSR. It may help predict which CSR standards may surface as dominant and can also be used to inform the design and development of new CSR standards. Finally, it may also serve as input for (marketing) strategies by standardization organizations worldwide and other organizations that have taken CSR standardization initiatives as well as non-governmental organizations and even consultancies to spur the adoption of CSR standards as a means of CSR implementation. Originality/value - The article presents original empirical material on CSR standards adoption and contributes to the literature on this topic with insights on determinants' CSR standards adoption.</t>
  </si>
  <si>
    <t>[Moratis, Lars] Open Univ, Fac Management Sci, Amsterdam, Netherlands; [Moratis, Lars] NCDO, Amsterdam, Netherlands; [Widjaja, Alice Tatang] Univ Amsterdam, Amsterdam, Netherlands</t>
  </si>
  <si>
    <t>Moratis, L (corresponding author), Open Univ, Fac Management Sci, Amsterdam, Netherlands.</t>
  </si>
  <si>
    <t>larsmoratis@hotmail.com</t>
  </si>
  <si>
    <t>10.1108/SRJ-01-2013-0005</t>
  </si>
  <si>
    <t>V85SV</t>
  </si>
  <si>
    <t>WOS:000212541200009</t>
  </si>
  <si>
    <t>Ivancheva, L</t>
  </si>
  <si>
    <t>Ivancheva, Ludmila</t>
  </si>
  <si>
    <t>SOCIAL FUNCTIONS OF MODERN SCIENCE THROUGH THE PRISM OF SCIENCE - GOVERNMENT INTERACTIONS</t>
  </si>
  <si>
    <t>STRATEGIES FOR POLICY IN SCIENCE AND EDUCATION-STRATEGII NA OBRAZOVATELNATA I NAUCHNATA POLITIKA</t>
  </si>
  <si>
    <t>Bulgarian</t>
  </si>
  <si>
    <t>social functions of science; science and policy; dialogue science-society; European research policy</t>
  </si>
  <si>
    <t>The paper discusses the interactions between R&amp;D, policy and citizen society. The historical stages in the development of science policy are considered (Policy for Science; Science in Policy; Policy for Technological Innovation), as well as their specific referents in USA and European Union. The specific totalitarian model of science policy is also considered. The role of science consulting in the high-level decision making process as a precondition for evidence-based policymaking is investigated. It is presented the concept of, epistemic communities for assisting the decision making. Some risks and, bad practices in policy consulting process are outlined. Further, the growing significance of public awareness and public participation in science and innovation policy making has been considered. The paper analyses the evolution of European science policy during the last decade as an instrument of intensification of the R&amp;D sector and society. The conclusion is made that in an environment with risks and uncertainty the role of scientific expertise, as well as of the social factor in high level decision making enhances, and a political fostering of the social support for R&amp;D is needed.</t>
  </si>
  <si>
    <t>[Ivancheva, Ludmila] Bulgarian Acad Sci, Inst Study Soc &amp; Knowledge, 13 A,Moskovska Str, Sofia 1000, Bulgaria</t>
  </si>
  <si>
    <t>Ivancheva, L (corresponding author), Bulgarian Acad Sci, Inst Study Soc &amp; Knowledge, 13 A,Moskovska Str, Sofia 1000, Bulgaria.</t>
  </si>
  <si>
    <t>ludmila.ivancheva@gmail.com</t>
  </si>
  <si>
    <t>NATL IZDATELSTVO AZ BUKI</t>
  </si>
  <si>
    <t>BUL TSARIGRADSKO SHOSE, 125, BL 5, SOFIA, 1113, BULGARIA</t>
  </si>
  <si>
    <t>1310-0270</t>
  </si>
  <si>
    <t>1314-8575</t>
  </si>
  <si>
    <t>STRATEG POLICY SCI E</t>
  </si>
  <si>
    <t>Strateg. Policy Sci. Educ.</t>
  </si>
  <si>
    <t>VE0SB</t>
  </si>
  <si>
    <t>WOS:000438349300001</t>
  </si>
  <si>
    <t>Hong, BY; Giang, R; Mbuagbaw, L; Larche, M; Thabane, L</t>
  </si>
  <si>
    <t>Hong, Brian Younho; Giang, Raymond; Mbuagbaw, Lawrence; Larche, Maggie; Thabane, Lehana</t>
  </si>
  <si>
    <t>Factors associated with development of gastrointestinal problems in patients with scleroderma: a protocol for a systematic review</t>
  </si>
  <si>
    <t>SYSTEMATIC REVIEWS</t>
  </si>
  <si>
    <t>Systematic review; Scleroderma; Gastrointestinal; Risk factor</t>
  </si>
  <si>
    <t>SEVERE ORGAN INVOLVEMENT; SCLEROSIS</t>
  </si>
  <si>
    <t>Background: Scleroderma affects the gastrointestinal (GI) tract in 90% of all cases. Malnutrition, diarrhea, and constipation are some GI complications that can stem from scleroderma, and they contribute considerably to impairment in quality of life. Reports of haphazard clusters of high prevalence suggest that environmental exposure is a risk factor for scleroderma. However, it is largely uncertain whether the GI involvement secondary to scleroderma is influenced by these environmental factors. This study will review the association between GI involvement (unintentional weight loss, choking, early satiety, etc.) and environmental exposure in patients with scleroderma. Methods/design: Any available observational studies that report GI problems in patients with scleroderma along with the associated risk factors will be selected. We will search CINAHL, EMBASE, LILACS, MEDLINE, and Web of Science for relevant articles written in English from June 1884 to May 2014. Identified articles will be screened in duplicate, and full text for selected articles will be retrieved. Data extraction will be done in duplicate on sociodemographic characteristics of participants, diagnosis of scleroderma, diagnosis of risk of GI problem, risk factors reported, etc. Discrepancies will be resolved by consensus or by consulting a third author. We will assess the participants, methods, and intervention effects of included studies for heterogeneity. Any identified clinical or statistical heterogeneity will be explored visually or using the chi-square test. Data will be pooled statistically using the DerSimmonian and Laird random effects method if we have a measure of relative risk and its precision. Our findings will be reported according to the Meta-Analyses and Systematic Review of Observational Studies (MOOSE) guideline. Discussion: Our findings may help patients with scleroderma and health care professionals in preventing GI morbidity. Knowing that the cost of care for patients with scleroderma increases with more organ involvement, study findings can inform policy developers to identify ways to curb health care costs.</t>
  </si>
  <si>
    <t>[Hong, Brian Younho] McMaster Univ, Bachelor Hlth Sci Honours Program, Hamilton, ON, Canada; [Giang, Raymond] Univ Waterloo, Stat Hlth Honours, Waterloo, ON, Canada; [Mbuagbaw, Lawrence; Thabane, Lehana] McMaster Univ, Dept Clin Epidemiol &amp; Biostat, Hamilton, ON, Canada; [Mbuagbaw, Lawrence; Thabane, Lehana] St Josephs Healthcare, Biostat Unit, Father Sean OSullivan Res Ctr, Hamilton, ON, Canada; [Mbuagbaw, Lawrence] Yaounde Cent Hosp, Ctr Dev Best Practices Hlth, Yaounde, Cameroon; [Larche, Maggie] McMaster Univ, McMaster Childrens Hosp, Div Rheumatol, Dept Med,St Josephs Healthcare, Hamilton, ON, Canada; [Larche, Maggie] McMaster Univ, McMaster Childrens Hosp, Div Rheumatol, Dept Paediat,St Josephs Healthcare, Hamilton, ON, Canada; [Thabane, Lehana] McMaster Univ, Dept Paediat, Hamilton, ON, Canada; [Thabane, Lehana] McMaster Univ, Dept Anaesthesia, Hamilton, ON, Canada; [Thabane, Lehana] St Josephs Healthcare, Ctr Evaluat Med, Hamilton, ON, Canada; [Thabane, Lehana] Hamilton Hlth Sci, Populat Hlth Res Inst, Hamilton, ON, Canada</t>
  </si>
  <si>
    <t>Hong, BY (corresponding author), McMaster Univ, Bachelor Hlth Sci Honours Program, Hamilton, ON, Canada.</t>
  </si>
  <si>
    <t>brian.youn.hong@learnlink.mcmaster.ca</t>
  </si>
  <si>
    <t>Mbuagbaw, Lawrence/D-9381-2015; Larché, Margaret J/B-2327-2008</t>
  </si>
  <si>
    <t>Mbuagbaw, Lawrence/0000-0001-5855-5461; Larche, Maggie/0000-0002-9506-1249</t>
  </si>
  <si>
    <t>2046-4053</t>
  </si>
  <si>
    <t>SYST REV-LONDON</t>
  </si>
  <si>
    <t>Syst. Rev.</t>
  </si>
  <si>
    <t>10.1186/2046-4053-3-115</t>
  </si>
  <si>
    <t>VH3XQ</t>
  </si>
  <si>
    <t>WOS:000453128800114</t>
  </si>
  <si>
    <t>Horvath, G</t>
  </si>
  <si>
    <t>Horvath, Gyula</t>
  </si>
  <si>
    <t>Thirty years of the Centre for Regional Studies Successes and failures in the creation of a new scientific discipline</t>
  </si>
  <si>
    <t>TER ES TARSADALOM</t>
  </si>
  <si>
    <t>Hungarian</t>
  </si>
  <si>
    <t>Centre for Regional Studies; Hungarian Academy of Sciences; regional science; research strategy; science policy</t>
  </si>
  <si>
    <t>The Hungarian Academy of Sciences (HAS / MTA) created a new research centre in 1984 by merging several academic or scientific workshops then engaged in regional research. This paper seeks to review the 30 years of life of the Centre for Regional Studies, focusing on its results in terms of research and publications, its role in international research networks and its work as a consultant in the field of spatial development. The activities of a research institute cannot, however, be isolated from the overall situation of both its immediate and general environment, and so, as we summarise the distinct phases of these thirty years, the affinity of national science policy, of central and local spatial decision-making agencies and of other stakeholders towards regional research are also discussed. Among the factors which contributed to the original foundation were the notable spatial development profile of the Transdanubian Institute of the Hungarian Academy of Sciences in Pecs in the 1970s, the personal charisma of the internationally renowned regional scientist, Gyorgy Enyedi, who was appointed Head of the Institute in 1983, the efforts towards decentralisation then gaining ground in Hungarian intellectual life, several technocrat-politicians at both county and national levels and also the far-sighted leadership of the HAS at the time. The declared mission of the Centre for Regional Studies at the time of its foundation was the familiarisation with regional science. A variety of forums for the discipline were organised by the Institute's research fellows: the journal Space and Society (Ter es Tarsadalom), the series of publications entitled Spatial and Settlement Research, the Academic Committee and the Hungarian Regional Science Association. Among the permanent features of the research portfolio we should highlight the identification of common elements of and within spatial development processes, the evolution of the forms of activity of modern driving forces of spatial development in Europe and Hungary, analyses of the factors behind the general backwardness of rural areas, investigations into the system of objectives, instruments and institutions of spatial policy and also the relationship between multi-level governance, spatial development and regionalism. The Institute can boast nearly 8,000 scientific publications, and, among those, some 600 books and 1,500 international and foreign-language publications illustrate the scientific contributions of the researchers of the Institute. Further, the English-language series of Discussion Papers - published since 1986 - has propagated regional science internationally through no fewer than 94 regular and 14 special issues. These studies have generated several hundred academic citations in international scientific journals. Over the last twenty years the Institute has participated in 15 EU-funded multilateral research cooperations, in six EU Framework Programmes, four Espon, and eight Phare-Interreg programmes. The achievements of regional science in Hungary have been recognised throughout Europe, and there has also been considerable demand for new networking ways in Central and Eastern Europe. The author also identifies failures and describes their causes. The centralisation of the research network of the HAS after 2010 entailed the loss of financial autonomy and dealt a severe blow to the autonomy of science in general. The author concludes by declaring that, based on a community of experienced, internationally competitive scientists with a strong commitment to the Institute's mission and its scientific results, the Institute will be able to pursue efficient and profitable scientific work in the future in line with international trends of regional development research. However, in order to guarantee the efficient long-term development of the Institute, a higher degree of operational autonomy is required.</t>
  </si>
  <si>
    <t>[Horvath, Gyula] Hungarian Acad Sci, Ctr Econ &amp; Reg Studies, Inst Reg Studies, Pecs, Hungary</t>
  </si>
  <si>
    <t>Horvath, G (corresponding author), Hungarian Acad Sci, Ctr Econ &amp; Reg Studies, Inst Reg Studies, Pecs, Hungary.</t>
  </si>
  <si>
    <t>horvath@rkk.hu</t>
  </si>
  <si>
    <t>CENTRE ECONOMIC &amp; REGIONAL STUDIES, HUNGARIAN ACAD SCI, INST REGIONAL STUD</t>
  </si>
  <si>
    <t>BUDAPEST</t>
  </si>
  <si>
    <t>BUDAORSI 45 III EMELET, BUDAPEST, H-1112, HUNGARY</t>
  </si>
  <si>
    <t>2062-9923</t>
  </si>
  <si>
    <t>TER TARSAD</t>
  </si>
  <si>
    <t>Ter Tarsad.</t>
  </si>
  <si>
    <t>10.17649/TET.28.4.2682</t>
  </si>
  <si>
    <t>VE4WL</t>
  </si>
  <si>
    <t>Green Submitted, hybrid</t>
  </si>
  <si>
    <t>WOS:000439433400001</t>
  </si>
  <si>
    <t>Developing country; Education; Emerging economy; Green University; Malaysia; Sustainable development</t>
  </si>
  <si>
    <t>GREENWAYS</t>
  </si>
  <si>
    <t>[Foo, K. Y.] Univ Sains Malaysia, Environm &amp; Occupat Hlth Programme, Sch Hlth Sci, Kubang Kerian 16150, Kelantan, Malaysia; [Foo, K. Y.] Univ Sains Malaysia, River Engn &amp; Urban Drainage Res Ctr REDAC, Nibong Tebal 14300, Penang, Malaysia</t>
  </si>
  <si>
    <t>Foo, KY (corresponding author), Univ Sains Malaysia, Environm &amp; Occupat Hlth Programme, Sch Hlth Sci, Hlth Campus, Kubang Kerian 16150, Kelantan, Malaysia.</t>
  </si>
  <si>
    <t>redacfoo@eng.usm.my</t>
  </si>
  <si>
    <t>Ministry of Higher Education of Malaysia under LRGS [203/PKT/6720004]; Universiti Sains Malaysia</t>
  </si>
  <si>
    <t>Ministry of Higher Education of Malaysia under LRGS; Universiti Sains Malaysia(Universiti Sains Malaysia)</t>
  </si>
  <si>
    <t>The authors acknowledge the financial support provided by the Ministry of Higher Education of Malaysia under the LRGS grant scheme (Project No. 203/PKT/6720004) and Universiti Sains Malaysia incentive grant scheme.</t>
  </si>
  <si>
    <t>261PH</t>
  </si>
  <si>
    <t>corporate responsibility; management; sustainability</t>
  </si>
  <si>
    <t>[Costigane, Bonita; Guthrie, Peter] Univ Cambridge, Ctr Sustainable Dev, Cambridge, England; [Costigane, Bonita] MHPM Project Managers Inc, Vancouver, BC, Canada</t>
  </si>
  <si>
    <t>Costigane, B (corresponding author), Univ Cambridge, Ctr Sustainable Dev, Cambridge, England.</t>
  </si>
  <si>
    <t>AR2AH</t>
  </si>
  <si>
    <t>BCG; cluster policy; Hsinchu Science Park; industry cluster; industry ecosystem</t>
  </si>
  <si>
    <t>INNOVATION</t>
  </si>
  <si>
    <t>[Chen, Ching-Pu] Yuan Ze Univ, Dept Social &amp; Policy Sci, Chungli, Taiwan; [Chien, Chen-Fu] Natl Tsing Hua Univ, Dept Ind Engn &amp; Engn Management, Hsinchu, Taiwan; [Lai, Chih-Tsung] Yuan Ze Univ, Dept Informat Management, Chungli, Taiwan</t>
  </si>
  <si>
    <t>Chen, CP (corresponding author), Yuan Ze Univ, Dept Social &amp; Policy Sci, Chungli, Taiwan.</t>
  </si>
  <si>
    <t>Chien, Chen-Fu/0000-0003-3328-4946</t>
  </si>
  <si>
    <t>INNOV-ORGAN MANAG</t>
  </si>
  <si>
    <t>Innov.-Organ. Manag.</t>
  </si>
  <si>
    <t>AA4KT</t>
  </si>
  <si>
    <t>[Pernetta, John C.; Jiang, Yihang] UN ESCAP, South China Sea Project Coordinating Unit, Bangkok 10200, Thailand</t>
  </si>
  <si>
    <t>Pernetta, JC (corresponding author), 35-323 Yingrouwes Niwet, Pak Kret 11120, Nonthaburi, Thailand.</t>
  </si>
  <si>
    <t>jpernetta@gmail.com; jiangyh99@gmail.com</t>
  </si>
  <si>
    <t>294XE</t>
  </si>
  <si>
    <t>engineering practices; standards and regulations; consulting environments; sustainable innovation</t>
  </si>
  <si>
    <t>REGULATIONS; ARCHITECTS</t>
  </si>
  <si>
    <t>Norwegian Univ Sci &amp; Technol, N-7491 Trondheim, Norway</t>
  </si>
  <si>
    <t>Solli, J (corresponding author), Norwegian Univ Sci &amp; Technol, N-7491 Trondheim, Norway.</t>
  </si>
  <si>
    <t>joran.solli@ntnu.no</t>
  </si>
  <si>
    <t>Research Council of Norway; Research Centre on Zero Emission Buildings (ZEB)</t>
  </si>
  <si>
    <t>Research Council of Norway(Research Council of Norway); Research Centre on Zero Emission Buildings (ZEB)</t>
  </si>
  <si>
    <t>The research has been funded by the Research Council of Norway through the Environment 2015 program and supported by several partners through the Research Centre on Zero Emission Buildings (ZEB). I would like to thank Professor Knut H. Sorensen and Professor Vivian Anette Lagesen for valuable input and suggestions. In addition, I am grateful for valuable comments from Gary Downey and two anonymous referees.</t>
  </si>
  <si>
    <t>ENG STUD</t>
  </si>
  <si>
    <t>Eng. Stud.</t>
  </si>
  <si>
    <t>Education, Scientific Disciplines; Engineering, Multidisciplinary; History &amp; Philosophy Of Science</t>
  </si>
  <si>
    <t>Education &amp; Educational Research; Engineering; History &amp; Philosophy of Science</t>
  </si>
  <si>
    <t>282EQ</t>
  </si>
  <si>
    <t>Knowledge transfer; Constructivist theories; Global ethnography; Policy mobility; An authority; In authority</t>
  </si>
  <si>
    <t>POLICY TRANSFER; GLOBAL CIRCUITS; KNOWLEDGE; MOBILITIES; VANCOUVER; GEOGRAPHIES</t>
  </si>
  <si>
    <t>[Khirfan, Luna; Jaffer, Zahra] Univ Waterloo, Sch Planning, Waterloo, ON N2L 3G1, Canada; [Momani, Bessma] Univ Waterloo, Dept Polit Sci, Waterloo, ON N2L 3G1, Canada</t>
  </si>
  <si>
    <t>Khirfan, L (corresponding author), Univ Waterloo, Sch Planning, Waterloo, ON N2L 3G1, Canada.</t>
  </si>
  <si>
    <t>lkhirfan@uwaterloo.ca; zjaffer@uwaterloo.ca</t>
  </si>
  <si>
    <t>275EX</t>
  </si>
  <si>
    <t>Michell, G; McManus, P</t>
  </si>
  <si>
    <t>Michell, Grace; McManus, Phil</t>
  </si>
  <si>
    <t>Engaging Communities for Success: social impact assessment and social licence to operate at Northparkes Mines, NSW</t>
  </si>
  <si>
    <t>AUSTRALIAN GEOGRAPHER</t>
  </si>
  <si>
    <t>Social impact assessment; social licence to operate; mining; sustainability; community</t>
  </si>
  <si>
    <t>SUSTAINABILITY; CSR; RESPONSIBILITY; PARTICIPATION; PERSPECTIVES; CORPORATIONS; GOVERNANCE; POWER; NO</t>
  </si>
  <si>
    <t>Social issues are critical to the mining industry. This study investigates how social issues have been, and are being, assessed and managed within this industry through a case study of Northparkes Mines in central west New South Wales (NSW). The research involved 29 interviews with mining executives, environmental consultants and citizens of Parkes, plus a document analysis of four environmental impact statements prepared between 1990 and 2012. Where appropriate, findings were extrapolated to the wider mining industry. The standard for social impact assessment in NSW and emerging industry guidelines on social responsibility were analysed against internationally accepted good practice. Interviews indicated greater potential to recognise the social impacts of mining in NSW and identified good practice impact assessment as only one component of a successful community engagement strategy. Complementary strategies are essential to extend the benefits of development to local communities and for companies to establish a social licence to operate'. The successful approach taken by Northparkes Mines combined good practice impact assessment with a localised workforce, an integrated management team and context-specific community engagement practices. This study highlights that local communities can be empowered through development, that benefits can extend to both the community and the business and that the ongoing management of social issues will increasingly be critical to the success of the mining industry.</t>
  </si>
  <si>
    <t>[Michell, Grace; McManus, Phil] Univ Sydney, Sydney, NSW 2006, Australia</t>
  </si>
  <si>
    <t>McManus, P (corresponding author), Univ Sydney, Sch Geosci, Sydney, NSW 2006, Australia.</t>
  </si>
  <si>
    <t>phil.mcmanus@sydney.edu.au</t>
  </si>
  <si>
    <t>McManus, Phil/0000-0002-3655-3841</t>
  </si>
  <si>
    <t>0004-9182</t>
  </si>
  <si>
    <t>1465-3311</t>
  </si>
  <si>
    <t>AUST GEOGR</t>
  </si>
  <si>
    <t>Aust. Geogr.</t>
  </si>
  <si>
    <t>10.1080/00049182.2013.852502</t>
  </si>
  <si>
    <t>265DH</t>
  </si>
  <si>
    <t>WOS:000327929400006</t>
  </si>
  <si>
    <t>Corporate governance; Board of directors; Organizational change; Ethnic Chinese firms; Taiwan; Institutional theory; Culture</t>
  </si>
  <si>
    <t>TOP MANAGEMENT TEAMS; ORGANIZATIONAL PERFORMANCE; EXECUTIVE SUCCESSION; CORPORATE GOVERNANCE; CEO CHARACTERISTICS; EMERGING ECONOMIES; HONG-KONG; ENVIRONMENTS; STRATEGY; OWNERSHIP</t>
  </si>
  <si>
    <t>[Liu, Yunshi] Natl Yunlin Univ Sci &amp; Technol, Dept Business Adm, Yunlin, Taiwan; [Wang, Linda C.] Michigan State Univ, Dept Management, Eli Broad Coll Business, E Lansing, MI 48824 USA; [Zhao, Li] Shanghai Jiao Tong Univ, Dept Appl Econ, Shanghai 200052, Peoples R China; [Ahlstrom, David] Chinese Univ Hong Kong, Dept Management, Shatin, Hong Kong, Peoples R China</t>
  </si>
  <si>
    <t>Ahlstrom, D (corresponding author), Chinese Univ Hong Kong, Dept Management, Shatin, Hong Kong, Peoples R China.</t>
  </si>
  <si>
    <t>liuys@yuntech.edu.tw; wangc@broad.msu.edu; zhaoli@sjtu.edu.cn; ahlstrom@baf.cuhk.edu.hk</t>
  </si>
  <si>
    <t>Ahlstrom, David/H-3967-2019; WANG, Linda/I-9381-2016</t>
  </si>
  <si>
    <t>ASIA PAC J MANAG</t>
  </si>
  <si>
    <t>Asia Pac. J. Manag.</t>
  </si>
  <si>
    <t>248WA</t>
  </si>
  <si>
    <t>Korbee, D; Van Tatenhove, JP</t>
  </si>
  <si>
    <t>Korbee, Dorien; Van Tatenhove, Jan P. M.</t>
  </si>
  <si>
    <t>Environmental Governance for Marine Infrastructure: Enabling and Constraining Conditions for Ecodynamic Development and Design in Marine Infrastructural Projects</t>
  </si>
  <si>
    <t>Port development; marine governance; ecodynamic development and design; project arrangement</t>
  </si>
  <si>
    <t>PUBLIC-PRIVATE PARTNERSHIPS; NETHERLANDS; POLICY; NETWORKS; LESSONS</t>
  </si>
  <si>
    <t>Ports are crucial in the economic growth of the marine sector, but a growing awareness on the adverse ecological implications influences their development. Ecodynamic development and design (EDD) is an innovative approach with the aim to integrate the economic aspects of port development projects with dynamics of marine ecosystems. These projects develop within different governance settings, therefore not only different types of project arrangements develop, but there is also a difference in the possibilities for ecodynamic design. Based on an analysis of 28 port development projects, we distinguish four ideal-typical Marine Infrastructural Project Arrangements (MIPAs): Conventional, Integrated market, External Financier initiated and Private. These arrangements differ from each other on the actors involved, the rules applied, the division of resources and the discourse set. Due to these differences, we formulate enabling and constraining conditions of the project arrangement to incorporate ecodynamic design principles in terms of marine infrastructural projects. The possibilities for EDD in these MIPAs increase if there is space for contractors, consultants and project owners to (co)develop the design. The analysis shows that the Integrated Market' and Private' project arrangements are best capable of incorporating EDD port development projects.</t>
  </si>
  <si>
    <t>[Korbee, Dorien; Van Tatenhove, Jan P. M.] Environm Policy Grp, NL-6706 KN Wageningen, Netherlands</t>
  </si>
  <si>
    <t>Korbee, D (corresponding author), Environm Policy Grp, Hollandseweg 1, NL-6706 KN Wageningen, Netherlands.</t>
  </si>
  <si>
    <t>dorien.korbee@wur.nl</t>
  </si>
  <si>
    <t>van Tatenhove, Jan P.M./H-2106-2012; Korbee, Dorien/AAH-1195-2020</t>
  </si>
  <si>
    <t>van Tatenhove, Jan P.M./0000-0002-1969-3594; Korbee, Dorien/0000-0002-9862-0763</t>
  </si>
  <si>
    <t>10.1080/1523908X.2013.807211</t>
  </si>
  <si>
    <t>245UP</t>
  </si>
  <si>
    <t>WOS:000326489600005</t>
  </si>
  <si>
    <t>Todorovic, I; Komazec, S; Cudanov, M</t>
  </si>
  <si>
    <t>Todorovic, Ivan; Komazec, Stefan; Cudanov, Mladen</t>
  </si>
  <si>
    <t>Different Successful Patterns for Implementing Holding Model in Public Sector</t>
  </si>
  <si>
    <t>BUSINESS SYSTEMS RESEARCH JOURNAL</t>
  </si>
  <si>
    <t>holding; network organizational model; public sector; state company; municipality; local government; restructuring; change</t>
  </si>
  <si>
    <t>ENTERPRISES; GOVERNMENT</t>
  </si>
  <si>
    <t>Background: Transitions in the modern business environment cause significant organizational changes not only in private companies, but also in the public sector. Introduction of an adequate organizational model for the public sector could improve the quality level of public services. Objectives: This article aims to present general benefits of the application of the holding organizational paradigm in the public sector through a parallel analysis of several cases that were observed individually in our previous research. The goal is to suggest possible restructuring directions to policy makers in cities where the public sector has not been adjusted to the changes in the modern business environment. Methods: The case study research based on the documentation analysis, interviews and direct observation using the standard management consulting practice provided an additional and deeper insight into the functioning of public enterprises in one European capital and one small municipality. Results: The examples presented in this paper showed that the application of the holding institutional solution in the public sector leads to an improved command, an increased level of control, reduced management costs, better allocation of city resources and decreased overheads in the public sector. Conclusions: Switching from a functional towards a network model of the organizational structure improved the performance of public enterprises and increased the quality of public services.</t>
  </si>
  <si>
    <t>[Todorovic, Ivan; Komazec, Stefan; Cudanov, Mladen] Univ Belgrade, Business Syst Org, Fac Org Sci, Belgrade, Serbia</t>
  </si>
  <si>
    <t>Todorovic, I (corresponding author), Univ Belgrade, Business Syst Org, Fac Org Sci, Belgrade, Serbia.</t>
  </si>
  <si>
    <t>ivan.todorovic@fon.bg.ac.rs; komazec@bg.ac.rs; mladenc@fon.bg.ac.rs</t>
  </si>
  <si>
    <t>Cudanov, Mladen/G-8715-2018; Todorovic, Ivan/AAB-8430-2022</t>
  </si>
  <si>
    <t xml:space="preserve">Cudanov, Mladen/0000-0001-6895-6525; </t>
  </si>
  <si>
    <t>1847-8344</t>
  </si>
  <si>
    <t>1847-9375</t>
  </si>
  <si>
    <t>BUS SYST RES J</t>
  </si>
  <si>
    <t>Bus. Syst. Res. J.</t>
  </si>
  <si>
    <t>10.2478/bsrj-2013-0012</t>
  </si>
  <si>
    <t>V9W1D</t>
  </si>
  <si>
    <t>WOS:000422577600004</t>
  </si>
  <si>
    <t>Pearson, G; Pontin, G</t>
  </si>
  <si>
    <t>Pearson, Gavin; Pontin, Graham</t>
  </si>
  <si>
    <t>Briefing: Public-private finance models - infrastructure procurement</t>
  </si>
  <si>
    <t>PROCEEDINGS OF THE INSTITUTION OF CIVIL ENGINEERS-MANAGEMENT PROCUREMENT AND LAW</t>
  </si>
  <si>
    <t>private finance initiative; procurement; publicpartnerships</t>
  </si>
  <si>
    <t>Developing new sustainable models and sources of funding and financing for infrastructure is crucial, along with removing the blocks and challenges to delivering finance. This is the focus of the Association for Consultancy and Engineering investment into infrastructure series that has reviewed 15 years of private finance initiative data, set out means of replacing private finance initiative with new public-private finance models and proposed a range of measures to improve government procurement of infrastructure projects.</t>
  </si>
  <si>
    <t>[Pearson, Gavin; Pontin, Graham] Assoc Consultancy &amp; Engn, London, England</t>
  </si>
  <si>
    <t>Pearson, G (corresponding author), Assoc Consultancy &amp; Engn, London, England.</t>
  </si>
  <si>
    <t>1751-4304</t>
  </si>
  <si>
    <t>1751-4312</t>
  </si>
  <si>
    <t>PROC INST CIV ENG-MA</t>
  </si>
  <si>
    <t>Proc. Inst. Civ. Eng.-Manag. Procure. Law</t>
  </si>
  <si>
    <t>10.1680/mpal.12.00021</t>
  </si>
  <si>
    <t>V28NZ</t>
  </si>
  <si>
    <t>WOS:000215435400002</t>
  </si>
  <si>
    <t>GROWTH</t>
  </si>
  <si>
    <t>[Peters, R.] Univ Western Cape, ZA-7535 Cape Town, South Africa; [Naicker, V.] Univ South Africa, ZA-7535 Midrand, JHB, South Africa</t>
  </si>
  <si>
    <t>Naicker, V (corresponding author), Univ South Africa, Cnr Janadel &amp; Alexandra Ave, ZA-7535 Midrand, JHB, South Africa.</t>
  </si>
  <si>
    <t>naickv@unisa.ac.za</t>
  </si>
  <si>
    <t>S AFR J BUS MANAG</t>
  </si>
  <si>
    <t>S. Afr. J. Bus. Manag.</t>
  </si>
  <si>
    <t>10.4102/sajbm.v44i4.165</t>
  </si>
  <si>
    <t>AO2QP</t>
  </si>
  <si>
    <t>Indicators; Sustainable transport; Policy; Influence; Use</t>
  </si>
  <si>
    <t>[Gudmundsson, Henrik; Sorensen, Claus Hedegaard] Tech Univ Denmark, DTU Transport, DK-2800 Lyngby, Denmark</t>
  </si>
  <si>
    <t>Gudmundsson, H (corresponding author), Tech Univ Denmark, DTU Transport, Bygningstorvet 116B, DK-2800 Lyngby, Denmark.</t>
  </si>
  <si>
    <t>hgu@transport.dtu.dk; chs@transport.dtu.dk</t>
  </si>
  <si>
    <t>European Union</t>
  </si>
  <si>
    <t>This paper received support from the 7th framework program for research and development of the European Union. Several interviewees have provided us with insight about processes and considerations in the Swedish as well as the EU case for which we are deeply grateful. The paper further benefits from discussions of the paper in workshop 4 at the Nordic Environmental Social Science Conference (NESS) in Stockholm, June 2011, and the European Transport Conference in Glasgow, October 2011, as well as with colleagues in the POINT project. Finally, two anonymous reviewers have contributed to increase the quality of the paper.</t>
  </si>
  <si>
    <t>ECOL INDIC</t>
  </si>
  <si>
    <t>Ecol. Indic.</t>
  </si>
  <si>
    <t>Biodiversity Conservation; Environmental Sciences</t>
  </si>
  <si>
    <t>231BA</t>
  </si>
  <si>
    <t>XRF; Soil; Arsenic; Portable; Method validation</t>
  </si>
  <si>
    <t>ICP-MS; LEAD; XRF; SEDIMENT; ELEMENTS; SURFACE; MATRIX</t>
  </si>
  <si>
    <t>[Parsons, Chris; Charlet, Laurent] Univ Grenoble 1, ISTerre, Environm Geochem Grp, F-38041 Grenoble, France; [Margui Grabulosa, Eva; Floor, Geerke H.; Roman-Ross, Gabriela] Univ Girona, Fac Sci, Dept Chem, Girona 17071, Spain; [Pili, Eric] CEA, DAM, DIF, F-91297 Arpajon, France; [Pili, Eric] Univ Paris Diderot, CNRS, Sorbonne Paris Cite, Inst Phys Globe Paris, F-75238 Paris 05, France</t>
  </si>
  <si>
    <t>Parsons, C (corresponding author), Univ Waterloo, Ecohydrol CERC, 200 Univ Ave West, Waterloo, ON N2L 3G1, Canada.</t>
  </si>
  <si>
    <t>chris.parsons@uwaterloo.ca; eva.margui@udg.edu; eric.pili@cea.fr; geerke.floor@ec.europa.eu; gabriela.roman@amphos21.com; charlet38@gmail.com</t>
  </si>
  <si>
    <t>Parsons, Chris/AAW-4028-2020; Charlet, Laurent/ABH-2520-2020</t>
  </si>
  <si>
    <t>Parsons, Chris/0000-0002-6003-7716; Charlet, Laurent/0000-0003-3669-7316; Margui, Eva/0000-0003-4630-1530</t>
  </si>
  <si>
    <t>AquaTRAIN Marie Curie Research Training Network [MRTN-CT-2006-035420]; European Commission; Marie Curie Actions-Human Resources; Mobility Activity Area, Research Training Networks</t>
  </si>
  <si>
    <t>AquaTRAIN Marie Curie Research Training Network; European Commission(European CommissionEuropean Commission Joint Research Centre); Marie Curie Actions-Human Resources; Mobility Activity Area, Research Training Networks</t>
  </si>
  <si>
    <t>We would like to thank Roland Hellmann from the University of Grenoble for his advice and tireless work in the field. We gratefully acknowledge financial support from the AquaTRAIN Marie Curie Research Training Network (Contract no. MRTN-CT-2006-035420) funded by the European Commission Sixth Framework Programme (2002-2006), Marie Curie Actions-Human Resources and Mobility Activity Area, Research Training Networks.</t>
  </si>
  <si>
    <t>J HAZARD MATER</t>
  </si>
  <si>
    <t>J. Hazard. Mater.</t>
  </si>
  <si>
    <t>288ET</t>
  </si>
  <si>
    <t>applied ecology; urban ecology; green infrastructure; urban design; designed experiments</t>
  </si>
  <si>
    <t>URBAN ENVIRONMENTS; BIODIVERSITY; SUSTAINABILITY; FRAMEWORK; SCIENCE</t>
  </si>
  <si>
    <t>[Felson, Alexander J.] Yale Univ, Sch Architecture, New Haven, CT USA; [Oldfield, Emily E.; Bradford, Mark A.] Yale Univ, Sch Forestry &amp; Environm Studies, New Haven, CT 06511 USA</t>
  </si>
  <si>
    <t>Felson, AJ (corresponding author), Yale Univ, Sch Architecture, New Haven, CT USA.</t>
  </si>
  <si>
    <t>alexander.felson@yale.edu</t>
  </si>
  <si>
    <t>Bioscience</t>
  </si>
  <si>
    <t>Biology</t>
  </si>
  <si>
    <t>Life Sciences &amp; Biomedicine - Other Topics</t>
  </si>
  <si>
    <t>257WE</t>
  </si>
  <si>
    <t>Zorio, A; Garcia-Benau, MA; Sierra, L</t>
  </si>
  <si>
    <t>Zorio, Ana; Garcia-Benau, Maria A.; Sierra, Laura</t>
  </si>
  <si>
    <t>Sustainability Development and the Quality of Assurance Reports: Empirical Evidence</t>
  </si>
  <si>
    <t>corporate social responsibility; assurance; sustainable development; stakeholder engagement; environmental policy</t>
  </si>
  <si>
    <t>CORPORATE SOCIAL-RESPONSIBILITY; FINANCIAL PERFORMANCE; SERVICES; DEMAND; STRATEGY; IMPACT; FIRMS</t>
  </si>
  <si>
    <t>There is a rising trend among companies to publish their sustainability or corporate social responsibility (CSR) reports. Assurance of these reports is a valuable voluntary tool to provide them with higher credibility. Nonetheless, the quality of assurance reports differs in practice and the objective of this paper is to provide evidence in this new area of research. Indeed, we are pioneers in developing an index to measure the quality of assurance reports. We choose the Spanish setting because it is the worldwide leading country as regards CSR reporting (KPMG, 2011; Sierra et al., 2012). We have found evidence on the determinants for CSR reporting posited by existing literature that have an impact on (a) the decision of companies to publish their CSR reports, (b) the decision to assure the CSR report or not and (c) the decision to hire the assurance services from an auditor or a consultant and the subsequent quality of the assurance report. Last but not least, our results from a sample of 161 CSR assurance reports evidence that assurance reports are of fairly acceptable quality, according to the index proposed. Furthermore, the value of the quality index is significantly higher if the assurance services are provided by an auditor (as opposed to a consultant) and if the CSR reporting company is larger. Copyright (c) 2012 John Wiley &amp; Sons, Ltd and ERP Environment.</t>
  </si>
  <si>
    <t>[Zorio, Ana; Garcia-Benau, Maria A.] Univ Valencia, E-46003 Valencia, Spain; [Sierra, Laura] Univ Pablo De Olavide, Seville, Spain</t>
  </si>
  <si>
    <t>Sierra, L (corresponding author), Univ Pablo De Olavide, Seville, Spain.</t>
  </si>
  <si>
    <t>Lnsiegar@upo.es</t>
  </si>
  <si>
    <t>García, Laura Sierra/AAB-6023-2019; Ana, Zorio-Grima/C-4877-2015</t>
  </si>
  <si>
    <t>García, Laura Sierra/0000-0001-8880-0683; Ana, Zorio-Grima/0000-0001-6835-7434</t>
  </si>
  <si>
    <t>10.1002/bse.1764</t>
  </si>
  <si>
    <t>251YD</t>
  </si>
  <si>
    <t>WOS:000326969500005</t>
  </si>
  <si>
    <t>Biomass; Marginal; Land</t>
  </si>
  <si>
    <t>BIOFUELS; EMISSIONS; BIOENERGY; UK</t>
  </si>
  <si>
    <t>[Shortall, O. K.] Univ Nottingham, Ctr Appl Bioeth, Loughborough LE12 5RD, Leics, England; [Shortall, O. K.] Univ Copenhagen, Danish Ctr Bioeth &amp; Risk Assessment, DK-1958 Frederiksberg C, Denmark</t>
  </si>
  <si>
    <t>Shortall, OK (corresponding author), Univ Nottingham, Ctr Appl Bioeth, Sutton Bonington Campus, Loughborough LE12 5RD, Leics, England.</t>
  </si>
  <si>
    <t>stxos4@nottingham.ac.uk</t>
  </si>
  <si>
    <t>Shortall, Orla/0000-0003-4291-1200</t>
  </si>
  <si>
    <t>Biotechnology and Biological Sciences Research Council (BBSRC) Sustainable Bioenergy Centre (BSBEC) [BB/G01616X/1]; Biotechnology and Biological Sciences Research Council [BB/G01616X/1] Funding Source: researchfish</t>
  </si>
  <si>
    <t>Biotechnology and Biological Sciences Research Council (BBSRC) Sustainable Bioenergy Centre (BSBEC)(UK Research &amp; Innovation (UKRI)Biotechnology and Biological Sciences Research Council (BBSRC)); Biotechnology and Biological Sciences Research Council(UK Research &amp; Innovation (UKRI)Biotechnology and Biological Sciences Research Council (BBSRC))</t>
  </si>
  <si>
    <t>The author would like to thank Dr. Christian Gamborg, Dr. Kate Millar, Dr. Sujatha Raman and Prof. Peter Sandoe for their help with this paper. The anonymous referees for their useful comments. The research reported here was supported by the Biotechnology and Biological Sciences Research Council (BBSRC) Sustainable Bioenergy Centre (BSBEC), under the programme for 'Lignocellulosic Conversion to Ethanol' (LACE) [Grant Ref: BB/G01616X/1]. This is a large interdisciplinary programme and the views expressed in this paper are those of the authors alone, and do not necessarily reflect the views of collaborators within LACE or BSBEC, or BBSRC policies.</t>
  </si>
  <si>
    <t>249IG</t>
  </si>
  <si>
    <t>Barker, A; Jones, C</t>
  </si>
  <si>
    <t>Barker, Adam; Jones, Carys</t>
  </si>
  <si>
    <t>A critique of the performance of EIA within the offshore oil and gas sector</t>
  </si>
  <si>
    <t>EIA performance; EIA quality; Oil and gas; Offshore ecosystems</t>
  </si>
  <si>
    <t>ENVIRONMENTAL-IMPACT STATEMENTS; ECOSYSTEM-BASED MANAGEMENT; NORTH-SEA; QUALITY; EXPLORATION; GOVERNANCE; PLATFORMS; TOXICITY; POLICY; WATER</t>
  </si>
  <si>
    <t>The oil and gas sector is a key driver of the offshore economy. Yet, it is also associated with a number of unwanted environmental impacts which potentially threaten the long term economic and environmental viability of marine ecosystems. Environmental Impact Assessment (EIA) can potentially make a significant contribution to the identification and management of adverse impacts through the promotion of evidence based decision making. However, the extent to which EIA has been embraced by key stakeholders is poorly understood. On this basis, this paper provides an initial evaluation of EIA performance within the oil and gas sector. The methodology adopted for the paper consisted of the structured review of 35 Environmental Statements (ESs) along with interviews with regulators, operators, consultants and advisory bodies. The findings reveal a mixed picture of EIA performance with a significant number of ESs falling short of satisfactory quality and a tendency for the process to be driven by compliance rather than best practice. (C) 2013 Elsevier Inc. All rights reserved.</t>
  </si>
  <si>
    <t>[Barker, Adam; Jones, Carys] Univ Manchester, Sch Environm &amp; Dev, Manchester M13 9PL, Lancs, England</t>
  </si>
  <si>
    <t>Barker, A (corresponding author), Univ Manchester, Sch Environm &amp; Dev, Humanities Bridgeford St Bldg,Oxford Rd, Manchester M13 9PL, Lancs, England.</t>
  </si>
  <si>
    <t>adam.barker@manchester.ac.uk; carys.jones@manchester.ac.uk</t>
  </si>
  <si>
    <t>Barker, Adam/0000-0001-8835-7837; , Carys/0000-0003-2851-5770</t>
  </si>
  <si>
    <t>10.1016/j.eiar.2013.05.001</t>
  </si>
  <si>
    <t>225NV</t>
  </si>
  <si>
    <t>WOS:000324970500004</t>
  </si>
  <si>
    <t>Kaler, J; Green, LE</t>
  </si>
  <si>
    <t>Kaler, Jasmeet; Green, L. E.</t>
  </si>
  <si>
    <t>Sheep farmer opinions on the current and future role of veterinarians in flock health management on sheep farms: A qualitative study</t>
  </si>
  <si>
    <t>PREVENTIVE VETERINARY MEDICINE</t>
  </si>
  <si>
    <t>Sheep; Farmer opinion; Attitude; Perception; Qualitative; Focus group</t>
  </si>
  <si>
    <t>STRATEGIES; FOOTROT</t>
  </si>
  <si>
    <t>A 2009 UK Government report on veterinary expertise in food animal production highlighted that there was insufficient herd health expertise among veterinarians and lack of appropriate business models to deliver veterinary services to the livestock sector. Approximately two thirds of sheep farmers only contact their veterinarian for emergencies and one fifth have all year round contact. The aim of the current study was to understand sheep farmers' perception, the current and future role of veterinarians in flock health management using qualitative methodology. The eligibility criteria were male farmers with a flock size of at least 200 adult sheep. Seven focus groups of farmers (n = 45) stratified by three regions and two age groups (&lt;= 50 and &gt;50) were conducted. Thematic analysis of the discussions indicated that most farmers considered and used their veterinarian as a fire-fighter, whilst other advice was gathered free of charge when the veterinarian was on the farm for other reasons (typically seeing cattle) or by telephone. A small group of farmers were using their veterinarian or a sheep consultant proactively with regular contact and found this financially beneficial. Farmers indicated that the key barriers to using a veterinarian proactively were inconsistent service, high turnover of veterinarians, lack of expertise of sheep farming among veterinarians and concern about independence of advice. Although economics was also mentioned as a key barrier to using veterinarians more proactively, most farmers did not know where they gained and lost income from their flock; there was heavy reliance on the single farm payment scheme (SPS) and very few farmers kept records from which they could investigate where there were inefficiencies in production. Overall sheep farmers considered sheep farming complex and that each farm was unique and that they themselves were the experts to manage their flock. We conclude that there is an impasse: veterinarians might need to provide consistency and wide expertise beyond knowledge of disease and a model of how flock planning would be financially beneficial but until sheep farmers keep production records flock health planning cannot be rigorous and the financial benefits cannot be evaluated. Given the reliance on SPS by farmers an alternative model would be to require farmers to keep production records to comply with SPS. This might lead to flock health planning being adopted at a faster rate and so develop the UK sheep industry and make it more environmentally sustainable by reducing waste from disease and low productivity. (C) 2013 Elsevier B.V. All rights reserved.</t>
  </si>
  <si>
    <t>[Kaler, Jasmeet] Univ Nottingham, Sch Vet Med &amp; Sci, Loughborough LE12 5RD, Leics, England; [Green, L. E.] Univ Warwick, Sch Life Sci, Coventry CV4 7AL, W Midlands, England</t>
  </si>
  <si>
    <t>Kaler, J (corresponding author), Univ Nottingham, Sch Vet Med &amp; Sci, Sutton Bonington Campus, Loughborough LE12 5RD, Leics, England.</t>
  </si>
  <si>
    <t>jasmeet.kaler@nottingham.ac.uk</t>
  </si>
  <si>
    <t>Green, Laura/G-8345-2011</t>
  </si>
  <si>
    <t>Green, Laura/0000-0003-2957-8773; Kaler, Jasmeet/0000-0002-3332-7064</t>
  </si>
  <si>
    <t>BBSRC [BB/E01870X/1]; BBSRC [BB/G530292/1] Funding Source: UKRI; Biotechnology and Biological Sciences Research Council [BB/G530292/1, BB/E01870X/1] Funding Source: researchfish</t>
  </si>
  <si>
    <t>BBSRC(UK Research &amp; Innovation (UKRI)Biotechnology and Biological Sciences Research Council (BBSRC)); BBSRC(UK Research &amp; Innovation (UKRI)Biotechnology and Biological Sciences Research Council (BBSRC)); Biotechnology and Biological Sciences Research Council(UK Research &amp; Innovation (UKRI)Biotechnology and Biological Sciences Research Council (BBSRC))</t>
  </si>
  <si>
    <t>We would like to thank all the farmers who participated in this study and EBLEX for organising the locations of meetings. This study was funded by a BBSRC industry partnership link with EBLEX during the BBSRC grant BB/E01870X/1.</t>
  </si>
  <si>
    <t>0167-5877</t>
  </si>
  <si>
    <t>1873-1716</t>
  </si>
  <si>
    <t>PREV VET MED</t>
  </si>
  <si>
    <t>Prev. Vet. Med.</t>
  </si>
  <si>
    <t>10.1016/j.prevetmed.2013.09.009</t>
  </si>
  <si>
    <t>255GT</t>
  </si>
  <si>
    <t>WOS:000327228100021</t>
  </si>
  <si>
    <t>National Health Service; Universal Healthcare Coverage; Global health diplomacy</t>
  </si>
  <si>
    <t>WILL EXPANSION; NHS; REFORMS; EQUITY; CARE</t>
  </si>
  <si>
    <t>[Chalkidou, Kalipso] Natl Inst Hlth &amp; Clin Excellence, NICE Int, London SW1A 2BU, England; [Vega, Jeanette] Rockefeller Fdn, New York, NY 10018 USA</t>
  </si>
  <si>
    <t>Chalkidou, K (corresponding author), Natl Inst Hlth &amp; Clin Excellence, NICE Int, 10 Spring Gardens, London SW1A 2BU, England.</t>
  </si>
  <si>
    <t>kalipso.chalkidou@gmail.com</t>
  </si>
  <si>
    <t>GLOBALIZATION HEALTH</t>
  </si>
  <si>
    <t>Global. Health</t>
  </si>
  <si>
    <t>246LO</t>
  </si>
  <si>
    <t>Kakkar, M; Gupta, MK; Kakkar, S; Vohra, R; Bohra, D</t>
  </si>
  <si>
    <t>Kakkar, Munish; Gupta, Mukesh Kumar; Kakkar, Shallu; Vohra, Rajat; Bohra, Divya</t>
  </si>
  <si>
    <t>MORBIDITY PROFILE OF RURAL POPULATION OF RAJASTHAN: A PROSPECTIVE COMMUNITY BASED STUDY</t>
  </si>
  <si>
    <t>JOURNAL OF EVOLUTION OF MEDICAL AND DENTAL SCIENCES-JEMDS</t>
  </si>
  <si>
    <t>morbidity patterns; outpatients</t>
  </si>
  <si>
    <t>PRIMARY-HEALTH-CARE; PATTERNS</t>
  </si>
  <si>
    <t>INTRODUCTION: A comprehensive analysis of the epidemiological pattern of the occurrence of various diseases in a region provide an efficient tool to the policy makers and administrators for the formulation of policies to circumvent the effect of the morbidity and mortality due to these diseases as well as reduce the overall burden of the illness in the community. The objective of this study was to determine the morbidity profile of patients being treated at the camps at peripheral rural remote area of Rajasthan under NRHM scheme. MATERIALS AND METHODS: The study was done prospectively at randomly selected five villages in Karauli District in May 2012. The patients were examined by the consultant medical officer, and the diagnosis was classified according to the systemic involvement. RESULTS: A total of 485 patients were treated at the OPD, which included 243 males and 242 females. Pain Abdomen/epigastrium were the commonest complaint (10.5%) while musculoskeletal pain (8.9%) and diarrhea (8.0%) were other two common complaints. As far as systemic involvement was concerned, most cases belonged to medicine (39.2) followed by pediatrics (19.6%) and orthopedics (12.8%). Surprisingly, no neonate (&lt; 1 month of age) was brought for any complaint. It could be because of taboo of not bringing out babies before 40 days of birth or due to institutional deliveries under Janani Suraksha Yojana. CONCLUSION: The knowledge of the burden of the diseases would help the health administrators in judicious allocation of the resources. The lower percentage of the communicable, vaccine preventable, vector-borne and neonatal diseases is a good sign and gives us an indication of the successful implementation of the various programs for the control of these diseases. On the other hand, the relatively more number of the cases of water-borne diseases is a matter of concern and necessitates the implementation of specific programs.</t>
  </si>
  <si>
    <t>[Kakkar, Munish; Gupta, Mukesh Kumar; Bohra, Divya] Mahatma Gandhi Med Coll, Dept Pediat, Jaipur, Rajasthan, India; [Kakkar, Shallu] Fortis Excorts Hosp, Dept Obstet &amp; Gynaecol, Jaipur, Rajasthan, India; [Vohra, Rajat] Mahatma Gandhi Med Coll, Dept Community Med, Jaipur, Rajasthan, India</t>
  </si>
  <si>
    <t>Kakkar, M (corresponding author), T-1 Anand Niketen,255 Frontier Colony, Jaipur 302004, Rajasthan, India.</t>
  </si>
  <si>
    <t>mkkakkar@yahoo.co.in</t>
  </si>
  <si>
    <t>kakkar, munish/AAS-6013-2021</t>
  </si>
  <si>
    <t>JOURNAL EVOLUTION MEDICAL &amp; DENTAL SCIENCES</t>
  </si>
  <si>
    <t>KARNATAKA</t>
  </si>
  <si>
    <t>C/O AKSHANTALA ENTERPRISES, NO 65, 1ST FL, SAHUKAR CHENNIAH RD, MYSORE, KARNATAKA, 570 009, INDIA</t>
  </si>
  <si>
    <t>2278-4748</t>
  </si>
  <si>
    <t>2278-4802</t>
  </si>
  <si>
    <t>J EVOL MED DENT SCI-</t>
  </si>
  <si>
    <t>J. Evol. Med. Dent. Sci.-JEMDS</t>
  </si>
  <si>
    <t>OCT 21</t>
  </si>
  <si>
    <t>10.14260/jemds/1423</t>
  </si>
  <si>
    <t>V4J9V</t>
  </si>
  <si>
    <t>WOS:000219001000013</t>
  </si>
  <si>
    <t>Challenges; Maternal health; Opportunities; Output-based approach; Public sector engagement; Reproductive health; Vouchers</t>
  </si>
  <si>
    <t>DEVELOPING-COUNTRIES; MORTALITY; SERVICES; SCHEME; IMPACT; SURVIVAL; DELIVERY; NEWBORN; EQUITY; CARE</t>
  </si>
  <si>
    <t>[Okal, Jerry; Kanya, Lucy; Obare, Francis; Njuki, Rebecca; Abuya, Timothy; Warren, Charlotte; Askew, Ian; Bellows, Ben] Populat Council, Nairobi 00500, Kenya</t>
  </si>
  <si>
    <t>Okal, J (corresponding author), Populat Council, Ralph Bunche Rd,POB 17643, Nairobi 00500, Kenya.</t>
  </si>
  <si>
    <t>jokal@popcouncil.org</t>
  </si>
  <si>
    <t>246YY</t>
  </si>
  <si>
    <t>Surface water; Groundwater; Pesticides; Pharmaceuticals; Biologically active sand filter; Bioaugmentation; Metabolic degradation; Xenobiotics; Co-metabolic transformation</t>
  </si>
  <si>
    <t>GRANULAR ACTIVATED CARBON; DISINFECTION BY-PRODUCTS; TRIAZINE-DEGRADING BACTERIA; PERSONAL CARE PRODUCTS; ESCHERICHIA-COLI; TRANSFORMATION PRODUCTS; CONTINUOUS-CULTURE; CHIRAL HERBICIDE; TREATMENT PLANTS; PHARMACEUTICAL RESIDUES</t>
  </si>
  <si>
    <t>[Benner, Jessica; Boon, Nico] Univ Ghent, Fac Biosci Engn, Lab Microbial Ecol &amp; Technol LabMET, B-9000 Ghent, Belgium; [Helbling, Damian E.; Kohler, Hans-Peter E.] Eawag, Swiss Fed Inst Aquat Sci &amp; Technol, Dept Environm Microbiol, CH-8600 Dubendorf, Switzerland; [Wittebol, Janneke] Bioclear Bv, Environm Consultancy, NL-9727 DL Groningen, Netherlands; [Kaiser, Elena; Prasse, Carsten; Ternes, Thomas A.] Fed Inst Hydrol BfG, D-56068 Koblenz, Germany; [Albers, Christian N.; Aamand, Jens] Geol Survey Denmark &amp; Greenland, DK-1350 Copenhagen, Denmark; [Horemans, Benjamin; Springael, Dirk] Katholieke Univ Leuven, B-3001 Heverlee, Belgium; [Walravens, Eddy] Flemish Water Grp De Watergrp, B-1030 Brussels, Belgium</t>
  </si>
  <si>
    <t>Boon, N (corresponding author), Univ Ghent, Fac Biosci Engn, Lab Microbial Ecol &amp; Technol LabMET, Coupure Links 653, B-9000 Ghent, Belgium.</t>
  </si>
  <si>
    <t>Nico.Boon@UGent.be</t>
  </si>
  <si>
    <t>Prasse, Carsten/M-7847-2015; Springael, Dirk/D-4085-2014; Horemans, Benjamin/R-8837-2018; Boon, Nico/B-4083-2011; Kohler, Hans-Peter/C-1456-2015; Prasse, Carsten/AAR-9120-2020; Albers, Christian/G-9181-2018</t>
  </si>
  <si>
    <t>Horemans, Benjamin/0000-0001-6980-3715; Boon, Nico/0000-0002-7734-3103; Kohler, Hans-Peter/0000-0001-7667-0762; Springael, Dirk/0000-0002-1100-7414; Aamand, Jens/0000-0002-4641-639X; Helbling, Damian/0000-0003-2588-145X; Albers, Christian/0000-0001-7253-3509; Prasse, Carsten/0000-0002-1470-141X</t>
  </si>
  <si>
    <t>EU-FP7 project BIOTREAT [266039]</t>
  </si>
  <si>
    <t>EU-FP7 project BIOTREAT</t>
  </si>
  <si>
    <t>This work was supported by the EU-FP7 project BIOTREAT (GA no.: 266039). We thank Tim Lacoere form preparation of the graphical art.</t>
  </si>
  <si>
    <t>251EG</t>
  </si>
  <si>
    <t>Inmigration Policy; Local Policy; National Policy; Protection of Rights; Multiculturalism; Inclusion; Case Analysis; Spain</t>
  </si>
  <si>
    <t>[Alvarez Enriquez, Lucia] Univ Nacl Autonoma Mexico, Fac Ciencias Polit &amp; Sociales, Mexico City 04510, DF, Mexico; [Alvarez Enriquez, Lucia] Univ Nacl Autonoma Mexico, Programa Posgrad Estudios Latinoamer, Mexico City 04510, DF, Mexico</t>
  </si>
  <si>
    <t>Enriquez, LA (corresponding author), Univ Nacl Autonoma Mexico, Ctr Invest Interdisciplinarias Ciencias &amp; Humanid, Mexico City 04510, DF, Mexico.</t>
  </si>
  <si>
    <t>lucia.alvareze@gmail.com</t>
  </si>
  <si>
    <t>AA8IO</t>
  </si>
  <si>
    <t>Nielsen, JA; Mathiassen, L</t>
  </si>
  <si>
    <t>Nielsen, Jeppe Agger; Mathiassen, Lars</t>
  </si>
  <si>
    <t>Interpretive Flexibility in Mobile Health: Lessons From a Government-Sponsored Home Care Program</t>
  </si>
  <si>
    <t>home health care; mobile health; mobile technology; implementation process; government sponsorship; case study</t>
  </si>
  <si>
    <t>INFORMATION-TECHNOLOGY; ADOPTION; ACCEPTANCE; MANAGEMENT; SERVICES; SYSTEMS; MODEL; IMPLEMENTATION; ORGANIZATIONS; DETERMINANTS</t>
  </si>
  <si>
    <t>Background: Mobile technologies have emerged as important tools that health care personnel can use to gain easy access to client data anywhere. This is particularly useful for nurses and care workers in home health care as they provide services to clients in many different settings. Although a growing body of evidence supports the use of mobile technologies, the diverse implications of mobile health have yet to be fully documented. Objective: Our objective was to examine a large-scale government-sponsored mobile health implementation program in the Danish home care sector and to understand how the technology was used differently across home care agencies. Methods: We chose to perform a longitudinal case study with embedded units of analysis. We included multiple data sources, such as written materials, a survey to managers across all 98 Danish municipalities, and semistructured interviews with managers, care workers, and nurses in three selected home care agencies. We used process models of change to help analyze the overall implementation process from a longitudinal perspective and to identify antecedent conditions, key events, and practical outcomes. Results: Strong collaboration between major stakeholders in the Danish home care sector (government bodies, vendors, consultants, interest organizations, and managers) helped initiate and energize the change process, and government funding supported quick and widespread technology adoption. However, although supported by the same government-sponsored program, mobile technology proved to have considerable interpretive flexibility with variation in perceived nature of technology, technology strategy, and technology use between agencies. What was first seen as a very promising innovation across the Danish home care sector subsequently became the topic of debate as technology use arrangements ran counter to existing norms and values in individual agencies. Conclusions: Government-sponsored programs can have both positive and negative results, and managers need to be aware of this and the interpretive flexibility of mobile technology. Mobile technology implementation is a complex process that is best studied by combining organization-level analysis with features of the wider sociopolitical and interorganizational environment.</t>
  </si>
  <si>
    <t>[Nielsen, Jeppe Agger] Aalborg Univ, Dept Polit Sci, Ctr Org Management &amp; Adm, DK-9220 Aalborg, Denmark; [Mathiassen, Lars] Georgia State Univ, Ctr Proc Innovat, J Mack Robinson Coll Business, Atlanta, GA 30303 USA</t>
  </si>
  <si>
    <t>Nielsen, JA (corresponding author), Aalborg Univ, Dept Polit Sci, Ctr Org Management &amp; Adm, Fibigerstr 1, DK-9220 Aalborg, Denmark.</t>
  </si>
  <si>
    <t>agger@dps.aau.dk</t>
  </si>
  <si>
    <t>Nielsen, Jeppe Agger/AAQ-9941-2020; Nielsen, Jeppe Agger/AAE-3749-2021</t>
  </si>
  <si>
    <t xml:space="preserve">Nielsen, Jeppe Agger/0000-0002-8675-326X; </t>
  </si>
  <si>
    <t>e236</t>
  </si>
  <si>
    <t>10.2196/jmir.2816</t>
  </si>
  <si>
    <t>245YQ</t>
  </si>
  <si>
    <t>WOS:000326501500008</t>
  </si>
  <si>
    <t>Stearns, CA</t>
  </si>
  <si>
    <t>Stearns, Cindy A.</t>
  </si>
  <si>
    <t>The Embodied Practices of Breastfeeding: Implications for Research and Policy</t>
  </si>
  <si>
    <t>JOURNAL OF WOMEN POLITICS &amp; POLICY</t>
  </si>
  <si>
    <t>breastfeeding; intensive mothering; embodiment; body work; lactivism; lactation consultants; Women; Infants; Children (WIC); breastfeeding peer counselors; reproductive justice</t>
  </si>
  <si>
    <t>BODY WORK; MOTHERS; PREGNANCY; POLITICS; GENDER; HEALTH; RISK; MILK</t>
  </si>
  <si>
    <t>Breastfeeding is a uniquely embodied part of parenting. It is a time-consuming task that is fundamentally centered on mothers' bodies for as long as breastfeeding occurs, which may be weeks, months, one year, or much longer. In this article I argue that an enhanced and sustained research focus on the embodied dimensions of breastfeeding has the potential to raise questions and provide insights about breastfeeding initiation and duration, a major concern of policymakers and others. Three underexplored areas of research into the embodied aspects of breastfeeding include lactation activism (lactivism), the dyadic (mother-child/children) body work of breastfeeding, and the efforts and beliefs of the professionals who support mothers as they initiate and continue to breastfeed. Accomplishing reproductive justice for all women requires developing a deeper understanding of variations in the social and individual context for the embodied practice of breastfeeding and using this knowledge to create effective social policies.</t>
  </si>
  <si>
    <t>[Stearns, Cindy A.] Sonoma State Univ, Rohnert Pk, CA 94928 USA</t>
  </si>
  <si>
    <t>Stearns, CA (corresponding author), Sonoma State Univ, Dept Sociol, Stevenson 2084,1801 East Cotati Ave, Rohnert Pk, CA 94928 USA.</t>
  </si>
  <si>
    <t>stearns@sonoma.edu</t>
  </si>
  <si>
    <t>1554-477X</t>
  </si>
  <si>
    <t>1554-4788</t>
  </si>
  <si>
    <t>J WOMEN POLIT POLICY</t>
  </si>
  <si>
    <t>J. Women Polit. Policy</t>
  </si>
  <si>
    <t>10.1080/1554477X.2013.835680</t>
  </si>
  <si>
    <t>Political Science; Women's Studies</t>
  </si>
  <si>
    <t>Government &amp; Law; Women's Studies</t>
  </si>
  <si>
    <t>248PH</t>
  </si>
  <si>
    <t>WOS:000326713100006</t>
  </si>
  <si>
    <t>best management practices (BMPs); Chesapeake Bay; total maximum daily load (TMDL); Chesapeake TMDL; integrated environmental models; Watershed Model; Phase 5; 3; HSPF; watershed nutrient loads; watershed sediment loads; watershed management</t>
  </si>
  <si>
    <t>PRECIPITATION; CALIBRATION</t>
  </si>
  <si>
    <t>[Shenk, Gary W.; Linker, Lewis C.] US EPA, Chesapeake Bay Program Off, Annapolis, MD 21403 USA</t>
  </si>
  <si>
    <t>Shenk, GW (corresponding author), US EPA, Chesapeake Bay Program Off, 410 Severn Ave,Suite 112, Annapolis, MD 21403 USA.</t>
  </si>
  <si>
    <t>linker.lewis@epa.gov</t>
  </si>
  <si>
    <t>227YW</t>
  </si>
  <si>
    <t>food quality; food safety; self-regulation; sugar; ethanol; Brazil</t>
  </si>
  <si>
    <t>DEVELOPING-COUNTRIES; LABOR INSPECTION; RESPONSES; BARRIERS; IMPACT; TRADE</t>
  </si>
  <si>
    <t>NYU, Robert F Wagner Sch Publ Serv, New York, NY 10003 USA</t>
  </si>
  <si>
    <t>Coslovsky, S (corresponding author), NYU, Robert F Wagner Sch Publ Serv, New York, NY 10003 USA.</t>
  </si>
  <si>
    <t>ANN AM ACAD POLIT SS</t>
  </si>
  <si>
    <t>Ann. Am. Acad. Polit. Soc. Sci.</t>
  </si>
  <si>
    <t>Political Science; Social Sciences, Interdisciplinary</t>
  </si>
  <si>
    <t>Government &amp; Law; Social Sciences - Other Topics</t>
  </si>
  <si>
    <t>242KF</t>
  </si>
  <si>
    <t>Burnett, G</t>
  </si>
  <si>
    <t>Burnett, Greg</t>
  </si>
  <si>
    <t>Approaches to English literacy teaching in the Central Pacific Republic of Kiribati: quality teaching, educational aid and curriculum reform</t>
  </si>
  <si>
    <t>ASIA PACIFIC JOURNAL OF EDUCATION</t>
  </si>
  <si>
    <t>literacy; development; curriculum; educational policy; Kiribati; aid</t>
  </si>
  <si>
    <t>SCHOOL</t>
  </si>
  <si>
    <t>English literacy competence in the Central Pacific Republic of Kiribati is considered important for employment, overseas study and general engagement with a globalizing world. It is also considered as a key factor in the current government's response to climate change and sea level rise, enabling skilled relocation of I-Kiribati to other countries if necessary. This article synthesizes a range of literature sources based on Kiribati literacy education to highlight: a general perception that English literacy standards are in decline; the role of the teacher in addressing that decline; pedagogical approaches to teaching literacy, particularly the historic swing from a highly structured and socially conservative teacher-centred approach to that of a very liberal student-centred approach; and the reliance on Australian and NZ educational aid and consultancy in literacy education. These issues require further debate and investigation in light of unique development problems in Kiribati marked by: rural to urban drift; an increasingly youthful population; limited employment possibilities, and eventual possible large-scale repatriation due to sea level rise. The article tentatively suggests an approach to literacy education based on a four resources model that balances teacher and learner-centredness with socio-cultural and political aspects of literacy.</t>
  </si>
  <si>
    <t>Univ Otago, Coll Educ, Dunedin, New Zealand</t>
  </si>
  <si>
    <t>Burnett, G (corresponding author), Univ Otago, Coll Educ, Dunedin, New Zealand.</t>
  </si>
  <si>
    <t>greg.burnett@otago.ac.nz</t>
  </si>
  <si>
    <t>Burnett, Greg/0000-0002-7267-8510</t>
  </si>
  <si>
    <t>0218-8791</t>
  </si>
  <si>
    <t>1742-6855</t>
  </si>
  <si>
    <t>ASIA PAC J EDUC</t>
  </si>
  <si>
    <t>Asia Pac. J. Educ.</t>
  </si>
  <si>
    <t>10.1080/02188791.2013.787389</t>
  </si>
  <si>
    <t>220FZ</t>
  </si>
  <si>
    <t>WOS:000324569500009</t>
  </si>
  <si>
    <t>Asia; healthcare disparities; mental health; Pacific Islands; Southeastern</t>
  </si>
  <si>
    <t>NEW-ZEALAND; CULTURAL IDENTIFICATION; ADOLESCENTS; PREVALENCE; ACCULTURATION; SCHIZOPHRENIA; PSYCHIATRY; HAWAIIAN; PACIFIC; ISLAND</t>
  </si>
  <si>
    <t>[Guerrero, Anthony P. S.] Univ Hawaii Manoa, John A Burns Sch Med, Honolulu, HI 96813 USA; [Fung, Daniel] Natl Univ Singapore, Yong Loo Lin Sch Med, Singapore 117595, Singapore; [Fung, Daniel] Natl Univ Singapore, Duke NUS Grad Med Sch, Singapore 117595, Singapore; [Fung, Daniel] Inst Mental Hlth, Singapore, Singapore; [Suaalii-Sauni, Tamasailau] Victoria Univ Wellington, Vaaomanu Pasifika Unit, Wellington, New Zealand; [Wiguna, Tjhin] Univ Indonesia, Div Child &amp; Adolescent Psychiat, Dept Psychiat, Jakarta, Indonesia</t>
  </si>
  <si>
    <t>Guerrero, APS (corresponding author), Univ Hawaii Manoa, John A Burns Sch Med, 1356 Lusitana St,4th Floor, Honolulu, HI 96813 USA.</t>
  </si>
  <si>
    <t>guerreroa@dop.hawaii.edu</t>
  </si>
  <si>
    <t>Fung, Daniel S S/W-6915-2019; Fung, Daniel/AAF-4775-2020; Sheng, Daniel Fung Shuen/AAN-9385-2021</t>
  </si>
  <si>
    <t>Sheng, Daniel Fung Shuen/0000-0003-0718-9363; Wiguna, Tjhin/0000-0002-7524-5868</t>
  </si>
  <si>
    <t>ASIA-PAC PSYCHIAT</t>
  </si>
  <si>
    <t>Asia-Pac. Psychiatry</t>
  </si>
  <si>
    <t>202XN</t>
  </si>
  <si>
    <t>Foresters; Private landowners; Small business entrepreneurs; Parcelization</t>
  </si>
  <si>
    <t>SMALL BUSINESS OWNERS; ENTREPRENEURIAL ORIENTATION; PERFORMANCE; MANAGEMENT; LANDOWNERS; FIRMS; IMPACT; FUTURE; BUST</t>
  </si>
  <si>
    <t>[L'Roe, Andrew W.; Allred, Shorna Broussard] Cornell Univ, Dept Nat Resources, Ithaca, NY 14853 USA</t>
  </si>
  <si>
    <t>L'Roe, AW (corresponding author), Cornell Univ, Dept Nat Resources, Fernow Hall, Ithaca, NY 14853 USA.</t>
  </si>
  <si>
    <t>awr45@cornell.edu</t>
  </si>
  <si>
    <t>Cornell University Agricultural Experiment Station federal formula funds from Cooperative State Research, Education and Extension Service, US Department of Agriculture [NYC-147506]; Doris Duke Conservation Foundation</t>
  </si>
  <si>
    <t>Cornell University Agricultural Experiment Station federal formula funds from Cooperative State Research, Education and Extension Service, US Department of Agriculture; Doris Duke Conservation Foundation</t>
  </si>
  <si>
    <t>The authors would like to express thanks to the foresters that gave their time to participate in this research. We gratefully acknowledge the Department of Natural Resources and Human Dimensions Research Unit at Cornell University for the intellectual and logistical support that made this project possible. This research was supported in part by the Cornell University Agricultural Experiment Station federal formula funds, Project No. NYC-147506 received from Cooperative State Research, Education and Extension Service, US Department of Agriculture. Any opinions, findings, conclusions, or recommendations expressed in this publication are those of the authors and do not necessarily reflect the view of the US Department of Agriculture. We also thank the Doris Duke Conservation Foundation for their financial support.</t>
  </si>
  <si>
    <t>220AB</t>
  </si>
  <si>
    <t>DuPraw, ME; Brennan, BV; Placht, MT</t>
  </si>
  <si>
    <t>DuPraw, Marcelle E.; Brennan, Bernadette V.; Placht, Maria T.</t>
  </si>
  <si>
    <t>Case Study: Collaborative Governance as a Tool for Natural Resource Management in China and the United States</t>
  </si>
  <si>
    <t>MEDIATION</t>
  </si>
  <si>
    <t>This case study considers the applicability of collaborative governance to natural resource management challenges in China, particularly when compared with its use in the United States (US). The specific case in point centers on a June 2012 workshop in Beijing co-organized by the China Environmental Law Project of the Beijing Representative Office of the Natural Resources Defense Council and the Beijing Zhonglin Union Forestry Consulting Company, Ltd. The case study is based on participant observation, literature review, and policy analysis. The critical distinction between the applicability of collaborative governance in China and in the US relates to the incentives to collaborate, which differ in China and in the US. The authors suggest eight possible next steps encompassing research, practice, and education.</t>
  </si>
  <si>
    <t>[DuPraw, Marcelle E.] Calif State Univ Sacramento, Ctr Collaborat Policy, Collaborat Specialist, Sacramento, CA 95819 USA; [Brennan, Bernadette V.] SIRAN LLC, Arlington, VA USA; [Placht, Maria T.] US Army, Corps Engn, Conflict Resolut Specialist, Alexandria, VA USA</t>
  </si>
  <si>
    <t>DuPraw, ME (corresponding author), Calif State Univ Sacramento, Ctr Collaborat Policy, Collaborat Specialist, Sacramento, CA 95819 USA.</t>
  </si>
  <si>
    <t>10.1017/S1466046613000240</t>
  </si>
  <si>
    <t>V80HY</t>
  </si>
  <si>
    <t>WOS:000212174900007</t>
  </si>
  <si>
    <t>MacLeod, G</t>
  </si>
  <si>
    <t>MacLeod, Gordon</t>
  </si>
  <si>
    <t>New Urbanism/Smart Growth in the Scottish Highlands: Mobile Policies and Post-politics in Local Development Planning</t>
  </si>
  <si>
    <t>URBAN-POLITICS; SMART GROWTH; SUSTAINABILITY; ASSEMBLAGE; PARTICIPATION; GEOGRAPHIES; MOBILITIES; COMMUNITY; STATE; CITY</t>
  </si>
  <si>
    <t>The paper draws on recent theorising on policy mobility and post-politics to investigate the planning of a New Urbanist settlement, Tornagrain, near Inverness in the Scottish Highlands, and designed by Andres Duany. It details Duany's role as an influential persuasive guru' of New Urbanism and his signatory charrette as a participatory method for engaging local citizens into the New Urbanist model of place-making. Nonetheless, the Tornagrain case raises non-trivial questions about this model, not least the faith being placed in a globally mobile policy evangelist becoming, in effect, a doctrinal conduit for convening local democracy. The paper then contributes to recent debate on post-political planning, particularly in terms of how latent expressions of dissent in local planning processes often appear to be deamplified through endeavours to forge a post-political consensus, in part to masquerade rent hikes and profiteering on behalf of powerful landowners, glitzy architects, consultants and other associates.</t>
  </si>
  <si>
    <t>Univ Durham, Dept Geog, Durham DH1 3LE, England</t>
  </si>
  <si>
    <t>MacLeod, G (corresponding author), Univ Durham, Dept Geog, Durham DH1 3LE, England.</t>
  </si>
  <si>
    <t>gordon.macleod@durham.ac.uk</t>
  </si>
  <si>
    <t>10.1177/0042098013491164</t>
  </si>
  <si>
    <t>286SJ</t>
  </si>
  <si>
    <t>WOS:000329488700009</t>
  </si>
  <si>
    <t>Indonesia; Internet; rock music; politics; social networking</t>
  </si>
  <si>
    <t>Indiana Univ, Dept Folklore &amp; Ethnomusicol, Bloomington, IN 47405 USA</t>
  </si>
  <si>
    <t>Moore, RE (corresponding author), Indiana Univ, Dept Folklore &amp; Ethnomusicol, Bloomington, IN 47405 USA.</t>
  </si>
  <si>
    <t>reemoore@indiana.edu</t>
  </si>
  <si>
    <t>ASIAN J COMMUN</t>
  </si>
  <si>
    <t>Asian J. Commun.</t>
  </si>
  <si>
    <t>243HJ</t>
  </si>
  <si>
    <t>Buch, A; Andersen, V</t>
  </si>
  <si>
    <t>Buch, Anders; Andersen, Vibeke</t>
  </si>
  <si>
    <t>(De) stabilizing Self-Identities in Professional Work</t>
  </si>
  <si>
    <t>NORDIC JOURNAL OF WORKING LIFE STUDIES</t>
  </si>
  <si>
    <t>Neo-institutional theory; Professionalism; Self-identity</t>
  </si>
  <si>
    <t>It is characteristic of much professional work that it is performed in ambiguous contexts. Thus, uncertainty, unpredictability, indeterminacy, and recurrent organizational transformations are an integral part of modern work for, e.g., engineers, lawyers, business consultants, and other professionals. Although key performance indicators and other knowledge management systems are used to set standards of excellence for professionals, the character of professional work is still flexible, open to interpretation and heterarchical. The very successfulness (or unsuccessfulness) of the work is established in a complex work context where various goals, interests, and perspectives are mediated, altered, contested, mangled, and negotiated in a process of sense-making. The work context is heterogeneously populated by various actors (e.g., the customer, the manager, the colleagues) and actants (e.g., quality systems and technical equipment) that give voice to (conflicting) interpretations of what constitutes successful work. Thus, the professionals must navigate in a very complex environment where the locus of governance is far from stable. These characteristics of professional work seem to have implications for the way professionals make sense of their work and their own identities. The identity work of professionals is interwoven with their professional training and career background. With an academic training and a professional career, the individual typically identifies with the profession's values and adopts a certain way of seeing and approaching the world. This professional outlook typically will constitute the basis of the individual's appraisal of the work and lay out a horizon of expectations in relation to fulfillment, self-realization, and job satisfaction. In this way, the construction of self-identity becomes the yardstick for the individual's sense-making and, a fortiori, for the individual's sense of meaningful work. In this paper, we will claim that the ambiguity involved in professional work becomes a potential strain on the identity construction of the employees engaged in professional work and a potential source of enthusiasm and self-fulfillment. On a conceptual basis, the paper develops three interpretative frameworks that are useful in understanding how professionals deal with ambiguity in professional work. To illustrate this point, the paper refers to qualitative material from a research project conducted in six Danish knowledge-intensive firms. Referring to this empirical material, we discuss how professionals perceive and relate to their work and the role played by professionalism in this relation. Drawing on neo-institutional theory our paper discusses how professionals draw on different frameworks of meaning in order to stabilize their identities.</t>
  </si>
  <si>
    <t>[Buch, Anders; Andersen, Vibeke] Aalborg Univ, Dept Learning &amp; Philosophy, Aalborg, Denmark</t>
  </si>
  <si>
    <t>Buch, A (corresponding author), Aalborg Univ, Dept Learning &amp; Philosophy, Aalborg, Denmark.</t>
  </si>
  <si>
    <t>buch@learning.aau.dk</t>
  </si>
  <si>
    <t>Buch, Anders/0000-0002-6270-4949</t>
  </si>
  <si>
    <t>Working Environment Research Fund</t>
  </si>
  <si>
    <t>The article is based on the research project: Knowledge Work and Stress - between Enthusiasm and Strain, supported by The Working Environment Research Fund. The authors conducted the research in collaboration with Associate Professor Ole Henning Sorensen and Associate Professor Christine Ipsen.</t>
  </si>
  <si>
    <t>ROSKILDE UNIV</t>
  </si>
  <si>
    <t>ROSKILDE</t>
  </si>
  <si>
    <t>UNIVERSITETSVEJ 1, ROSKILDE, 4000, DENMARK</t>
  </si>
  <si>
    <t>2245-0157</t>
  </si>
  <si>
    <t>NORD J WORKING LIFE</t>
  </si>
  <si>
    <t>Nord. J. Working Life Stud.</t>
  </si>
  <si>
    <t>V4E2G</t>
  </si>
  <si>
    <t>WOS:000218851300009</t>
  </si>
  <si>
    <t>Young, HM; Sikma, SK; Reinhard, SC; McCormick, WC; Cartwright, JC</t>
  </si>
  <si>
    <t>Young, Heather M.; Sikma, Suzanne K.; Reinhard, Susan C.; McCormick, Wayne C.; Cartwright, Juliana C.</t>
  </si>
  <si>
    <t>Strategies to Promote Safe Medication Administration in Assisted Living Settings</t>
  </si>
  <si>
    <t>RESEARCH IN GERONTOLOGICAL NURSING</t>
  </si>
  <si>
    <t>ERRORS; DELEGATION; MANAGEMENT</t>
  </si>
  <si>
    <t>Assisted living (AL) provides lower cost, less institutional environments than skilled nursing facilities, yet less professional oversight, despite the high prevalence of chronic conditions among residents. Unlicensed staff administer large quantities of medications daily, and medication management is one of the three top quality issues in AL, with error rates ranging from 10% to 40%. This qualitative study described AL provider views on medication safety and strategies used to promote safety in medication administration. The sample included 96 participants representing all parties involved in medication administration (i.e., medication aides, administrators, RNs, consulting pharmacists, primary care providers) in 12 AL settings in three states. Core themes were the importance of medication safety, unique contextual factors in AL, and strategies used to promote medication safety. This study has implications for research on interventions to improve medication safety at the individual, facility, and policy levels.</t>
  </si>
  <si>
    <t>[Young, Heather M.] Univ Calif Davis, Betty Irene Moore Sch Nursing, Sacramento, CA 95817 USA; [Sikma, Suzanne K.] Univ Washington Bothell, Seattle, WA USA; [Reinhard, Susan C.] AARP Publ Policy Inst, Washington, DC USA; [Reinhard, Susan C.] Ctr Champ Nursing Amer, Washington, DC USA; [McCormick, Wayne C.] Univ Washington, Seattle, WA 98195 USA; [Cartwright, Juliana C.] Oregon Hlth &amp; Sci Univ, Sch Nursing, Portland, OR 97201 USA</t>
  </si>
  <si>
    <t>Young, HM (corresponding author), Univ Calif Davis, Betty Irene Moore Sch Nursing, 4610 X St,Suite 4202, Sacramento, CA 95817 USA.</t>
  </si>
  <si>
    <t>Heather.Young@ucdmc.ucdavis.edu</t>
  </si>
  <si>
    <t>National Institute of Nursing Research [R21NR009102-01]; New Jersey Assistant Secretary for Planning and Evaluation of the U.S. Department of Health and Human Services; Robert Wood Johnson Foundation; NATIONAL INSTITUTE OF NURSING RESEARCH [R21NR009102] Funding Source: NIH RePORTER</t>
  </si>
  <si>
    <t>National Institute of Nursing Research(United States Department of Health &amp; Human ServicesNational Institutes of Health (NIH) - USANIH National Institute of Nursing Research (NINR)); New Jersey Assistant Secretary for Planning and Evaluation of the U.S. Department of Health and Human Services; Robert Wood Johnson Foundation(Robert Wood Johnson Foundation (RWJF)); NATIONAL INSTITUTE OF NURSING RESEARCH(United States Department of Health &amp; Human ServicesNational Institutes of Health (NIH) - USANIH National Institute of Nursing Research (NINR))</t>
  </si>
  <si>
    <t>The authors have disclosed no potential conflicts of interest, financial or otherwise. This work was funded by the National Institute of Nursing Research (R21NR009102-01), the New Jersey Assistant Secretary for Planning and Evaluation of the U.S. Department of Health and Human Services, and the Robert Wood Johnson Foundation. The authors acknowledge the valuable contributions to the research by Tiffany Allen, Shelly Gray, Gail Maurer, Carol Christlieb, Linda Johnson Trippett, and Jennifer Farnham. They appreciate the participation of the sites and members of the care teams. They are also grateful to Elena Siegel, Sheridan Miyamoto, and Vanessa Santillan for the review and preparation of the manuscript.</t>
  </si>
  <si>
    <t>1940-4921</t>
  </si>
  <si>
    <t>1938-2464</t>
  </si>
  <si>
    <t>RES GERONTOL NURS</t>
  </si>
  <si>
    <t>Res. Gerontol. Nurs.</t>
  </si>
  <si>
    <t>10.3928/19404921-20130122-01</t>
  </si>
  <si>
    <t>268WR</t>
  </si>
  <si>
    <t>WOS:000328201900003</t>
  </si>
  <si>
    <t>marketplace politics; corporate responsibility; socially responsible investment; ethical consumption; stakeholders; nongovernmental organizations; branding</t>
  </si>
  <si>
    <t>ENVIRONMENTAL ACTIVISM; POWER; STRATEGIES; KNOWLEDGE; CONSUMER; TRADE; FOOD; FIRM</t>
  </si>
  <si>
    <t>SUNY Buffalo, Dept Geog, Buffalo, NY 14261 USA</t>
  </si>
  <si>
    <t>Hamilton, T (corresponding author), SUNY Buffalo, Dept Geog, 105 Wilkeson Quad, Buffalo, NY 14261 USA.</t>
  </si>
  <si>
    <t>trinaham@buffalo.edu</t>
  </si>
  <si>
    <t>169KV</t>
  </si>
  <si>
    <t>Globalization; infrastructure; public-private partnerships; transportation</t>
  </si>
  <si>
    <t>URBAN INFRASTRUCTURES; WORLD</t>
  </si>
  <si>
    <t>Univ Toronto, Dept Geog &amp; Planning, Toronto, ON M5G 3S3, Canada</t>
  </si>
  <si>
    <t>Siemiatycki, M (corresponding author), Univ Toronto, Dept Geog &amp; Planning, Room 5041,100 St George St, Toronto, ON M5G 3S3, Canada.</t>
  </si>
  <si>
    <t>siemiatycki@geog.utoronto.ca</t>
  </si>
  <si>
    <t>168SH</t>
  </si>
  <si>
    <t>Frondel, M; Vance, C</t>
  </si>
  <si>
    <t>Frondel, Manuel; Vance, Colin</t>
  </si>
  <si>
    <t>Heterogeneity in the Effect of Home Energy Audits: Theory and Evidence</t>
  </si>
  <si>
    <t>ENVIRONMENTAL &amp; RESOURCE ECONOMICS</t>
  </si>
  <si>
    <t>Energy audit; Environmental policy; Mixed logit; Random-coefficient models</t>
  </si>
  <si>
    <t>CONSERVATION PROGRAMS; EFFICIENCY; GERMANY; SAVINGS</t>
  </si>
  <si>
    <t>A longstanding question in the study of energy demand concerns the role of information as a determinant of home efficiency improvements. Although the provision of information via energy audits is frequently asserted to be an effective means for governments to encourage the implementation of efficiency-enhancing renovations, empirical support for this assertion is tenuous at best. Apart from endogeneity issues with respect to receiving an audit, two other factors have complicated attempts to measure their effect: First, the nature of the information provided by the audit is typically unobserved, and, second, the response to this information may vary over households. Using household data from Germany, we address both sources of heterogeneity by estimating a random-parameter model of four retrofitting alternatives. In addition to confirming the importance of costs and savings as determinants of renovation choices, our results suggest that the effects of consultancy vary substantially across households, with some households responding negatively to the provision of information.</t>
  </si>
  <si>
    <t>[Frondel, Manuel; Vance, Colin] Rheinisch Westfal Inst Wirtschaftsforsch RWI, D-45128 Essen, Germany; [Frondel, Manuel] Ruhr Univ Bochum, Bochum, Germany; [Vance, Colin] Univ Bremen, D-28359 Bremen, Germany</t>
  </si>
  <si>
    <t>Vance, C (corresponding author), Rheinisch Westfal Inst Wirtschaftsforsch RWI, Hohenzollernstr 1-3, D-45128 Essen, Germany.</t>
  </si>
  <si>
    <t>frondel@rwi-essen.de; vance@rwi-essen.de</t>
  </si>
  <si>
    <t>0924-6460</t>
  </si>
  <si>
    <t>ENVIRON RESOUR ECON</t>
  </si>
  <si>
    <t>Environ. Resour. Econ.</t>
  </si>
  <si>
    <t>10.1007/s10640-013-9632-4</t>
  </si>
  <si>
    <t>Economics; Environmental Studies</t>
  </si>
  <si>
    <t>159JT</t>
  </si>
  <si>
    <t>WOS:000320042400005</t>
  </si>
  <si>
    <t>Szostak, S</t>
  </si>
  <si>
    <t>Szostak, Sylwia</t>
  </si>
  <si>
    <t>Format Adaptation and Craftsmanship: Interview with Polish Television Writer Agnieszka Kruk</t>
  </si>
  <si>
    <t>CRITICAL STUDIES IN TELEVISION</t>
  </si>
  <si>
    <t>television formats; localisation; scriptwriting; knowledge transfer; Poland</t>
  </si>
  <si>
    <t>The interview with Polish television writer, Agnieszka Kruk, highlights the experience of format adaptation from the point of view of the writer. Kruk reveals how she gained from the knowledge offered by the foreign consultants and explains what aspects of the knowledge transfer she found particularly useful. Her account demonstrates the positive impact format adaptation can have on professionals in local television industries, in this case, benefitting their scriptwriting and production skills.</t>
  </si>
  <si>
    <t>[Szostak, Sylwia] Univ Nottinghams, Dept Culture Film &amp; Media, Nottingham, England</t>
  </si>
  <si>
    <t>Szostak, S (corresponding author), Univ Nottinghams, Dept Culture Film &amp; Media, Nottingham, England.</t>
  </si>
  <si>
    <t>1749-6020</t>
  </si>
  <si>
    <t>1749-6039</t>
  </si>
  <si>
    <t>CRIT STUD TELEV</t>
  </si>
  <si>
    <t>Crit. Stud. Telev.</t>
  </si>
  <si>
    <t>10.7227/CST.8.2.8</t>
  </si>
  <si>
    <t>Film, Radio, Television</t>
  </si>
  <si>
    <t>Film, Radio &amp; Television</t>
  </si>
  <si>
    <t>V16QA</t>
  </si>
  <si>
    <t>WOS:000214629500008</t>
  </si>
  <si>
    <t>Alves, LCPD; Machado, CJS; Vilani, RM; Vidal, MD; Andriolo, A; Azevedo, AD</t>
  </si>
  <si>
    <t>Pinto de Sa Alves, Luiz Claudio; Saldanha Machado, Carlos Jose; Vilani, Rodrigo Machado; Vidal, Marcelo Derzi; Andriolo, Artur; Azevedo, Alexandre de Freitas</t>
  </si>
  <si>
    <t>The Touristic Activities Based on Artificial Feeding of Botos (Inia geoffrensis) and the Brazilian Environmental Legislation</t>
  </si>
  <si>
    <t>wildlife artificial feeding; nature tourism; environmental policy</t>
  </si>
  <si>
    <t>Here we evaluate the touristic activity involving the interaction between botos (Inia geoffrensis) and humans based on the conditioning through artificial feeding in the light of the environmental legislation, using the Anavilhanas National Park (ANP) as case study. The Park is located in the Brazilian Amazon, in Novo Airao city, Amazonas State. This activity has significantly increased over the last years, as well as the literature describing its negative effects. By consulting the specialized literature, analyzing the legal framework and empirical material, it was verified that i) legally speaking this practice presents conflicts to some aspects of the Brazilian environmental legislation, ecotourism concepts and functions of the Conservation Units and, ii) administratively speaking, the environmental agencies are now taking appropriate steps to mitigate the negative impacts and gradual actions in order to alter the touristic activities to comply with the current environmental legislation. We conclude that there is still a lot to be done for the botos tourism model that occurs in the Brazilian Amazon to be conducted in a sustainable manner, suggesting that the group of heterogeneous actions proposed here be implemented to achieve that.</t>
  </si>
  <si>
    <t>[Pinto de Sa Alves, Luiz Claudio] Inst Estadual Florestas Minas Gerais, Belo Horizonte, MG, Brazil; [Saldanha Machado, Carlos Jose] Fundacao Oswaldo Cruz, FIOCRUZ, Rio De Janeiro, RJ, Brazil; [Saldanha Machado, Carlos Jose] Univ Estado Rio De Janeiro, PPG MA, FIOCRUZ, PPGBS,IOC, Rio De Janeiro, RJ, Brazil; [Saldanha Machado, Carlos Jose] Univ Estado Rio De Janeiro, PPG MA, Meio Ambiente Doutorado, Rio De Janeiro, RJ, Brazil; [Vilani, Rodrigo Machado] Univ Candido Mendes UCAM, Mestrado Planejamento Reg &amp; Gestao Cidades, Campos Dos Goytacazes, Brazil; [Vilani, Rodrigo Machado] Univ Fed Estado Rio de Janeiro UNIRIO, Dept Turismo, Rio De Janeiro, RJ, Brazil; [Vidal, Marcelo Derzi] Ctr Nacl Pesquisa &amp; Conservacao Biodiversidade Am, Manaus, Amazonas, Brazil; [Vidal, Marcelo Derzi] Inst Chico Mendes Conservacao Biodiversidade ICMB, Brasilia, DF, Brazil; [Andriolo, Artur] Univ Fed Juiz de Fora, Dept Zool, Juiz de Fora, MG, Brazil; [Azevedo, Alexandre de Freitas] Univ Estado Rio De Janeiro, Fac Oceanog, Rio De Janeiro, RJ, Brazil</t>
  </si>
  <si>
    <t>Alves, LCPD (corresponding author), Inst Estadual Florestas Minas Gerais, Belo Horizonte, MG, Brazil.</t>
  </si>
  <si>
    <t>lcpsalves@yahoo.com.br; saldanhamachado@gmail.com; r_vilani@yahoo.com.br; marcelo.derzi.vidal@gmail.com; artur.andriolo@ufjf.edu.br; azevedo.alex@uerj.br</t>
  </si>
  <si>
    <t>Andriolo, Artur/K-5624-2013; Azevedo, Alexandre F/B-9660-2013; Vilani, Rodrigo/AAJ-2557-2020</t>
  </si>
  <si>
    <t>Andriolo, Artur/0000-0002-5582-0183; Azevedo, Alexandre F/0000-0002-3754-9035; Vilani, Rodrigo/0000-0002-8286-1677</t>
  </si>
  <si>
    <t>V0I1T</t>
  </si>
  <si>
    <t>WOS:000216250000007</t>
  </si>
  <si>
    <t>DiBella, AJ</t>
  </si>
  <si>
    <t>DiBella, Anthony J.</t>
  </si>
  <si>
    <t>Sustainable change (or the end of change) at the U.S. Mint: A case exercise</t>
  </si>
  <si>
    <t>INTERNATIONAL JOURNAL OF MANAGEMENT EDUCATION</t>
  </si>
  <si>
    <t>Change management; Classroom exercise; Individual preferences; Consumer behaviour; Organisational behaviour</t>
  </si>
  <si>
    <t>This teaching resource describes an in-class, multi-part exercise that explores the challenges of getting consumers to alter the forms of cash they use in economic transactions. The objective of the exercise is to use a universal daily practice to illustrate issues in human behaviour and change management. Participants are tasked with advising the U.S. Mint on ways to promote greater use of dollar coins. It is presented in three parts each of which adds complexity and historical background. The exercise can be adapted to different class settings and formats depending on time frame and instructor preferences. The exercise is oriented towards courses in organisational behaviour, change management, and consulting but would also be useful in discussions on public policy and consumer behaviour. The case offers a contemporary and personal example of the challenges in promoting change at multiple levels. (C) 2013 Elsevier Ltd. All rights reserved.</t>
  </si>
  <si>
    <t>[DiBella, Anthony J.] Coll William &amp; Mary, Mason Sch Business, POB 8795, Williamsburg, VA 23187 USA</t>
  </si>
  <si>
    <t>DiBella, AJ (corresponding author), Coll William &amp; Mary, Mason Sch Business, POB 8795, Williamsburg, VA 23187 USA.</t>
  </si>
  <si>
    <t>anthony.dibella@mason.wm.edu</t>
  </si>
  <si>
    <t>1472-8117</t>
  </si>
  <si>
    <t>2352-3565</t>
  </si>
  <si>
    <t>INT J MANAG EDUC</t>
  </si>
  <si>
    <t>Int. J. Manag. Educ.</t>
  </si>
  <si>
    <t>10.1016/j.ijme.2013.01.001</t>
  </si>
  <si>
    <t>Business; Education &amp; Educational Research; Management</t>
  </si>
  <si>
    <t>Business &amp; Economics; Education &amp; Educational Research</t>
  </si>
  <si>
    <t>VE0ZE</t>
  </si>
  <si>
    <t>WOS:000438419500001</t>
  </si>
  <si>
    <t>Modgil, V; Gordon, K; Mak, D; Liu, S; Gommersall, L</t>
  </si>
  <si>
    <t>Modgil, V.; Gordon, K.; Mak, D.; Liu, S.; Gommersall, L.</t>
  </si>
  <si>
    <t>Is percentage theatre utilisation data an accurate predictor of cost-effectiveness and performance in urology?</t>
  </si>
  <si>
    <t>JOURNAL OF CLINICAL UROLOGY</t>
  </si>
  <si>
    <t>Theatre utilisation; percentage utilisation; cost effectiveness; tariff</t>
  </si>
  <si>
    <t>Objective: The current economic and political climate demands a focus on efficiency and productivity, whilst delivering quality, across all aspects of the National Health Service (NHS). Operative theatres act as a critical, yet costly resource. The Audit Commission employs the use of percentage theatre utilisation as a principal measure of NHS operating theatre service and efficiency performance. We analysed theatre utilisation data in a five-consultant, high turnover, urology department within a NHS University Teaching Hospital. Our aim was to examine the relationship between theatre utilisation data, cost effectiveness and income generated. Patients and methods: Data on the usage of a dedicated urology theatre was collected over 251 hours for a full calendar month. A total of 176 consecutive procedures were performed. Linear regression analysis was performed to assess the correlation between number of operating hours, cases per hour, utilisation percentages and income generated. Results: There was no correlation between percentage theatre utilisation and income (R2=0.0191, p=0.82). No relationship was identified between percentage theatre utilisation and total number of cases performed (R2=0.0001, p=0.99). Although there appeared to be a positive correlation between the number of cases performed and income generated, this was not statistically significant (R2=0.725, p=0.067). Furthermore, there was no association between the number of cases performed per hour and income generated (R2=0.3184, p=0.32). Conclusion: Our data identifies no correlation between percentage theatre utilisation, income generated and number of cases performed. Utilisation percentages are not a reliable performance indicator when used in isolation, and therefore should be used as part of a more global picture when assessing cost effectiveness and efficiency performance.</t>
  </si>
  <si>
    <t>[Modgil, V.; Gordon, K.; Mak, D.; Liu, S.; Gommersall, L.] Univ Hosp North Staffordshire, Stoke On Trent, Staffs, England</t>
  </si>
  <si>
    <t>Modgil, V (corresponding author), West Midlands Deanery, 69 Highpoint,Richmond Hill Rd, Richmond B15 3RS, Surrey, England.</t>
  </si>
  <si>
    <t>evmodgil@nhs.net</t>
  </si>
  <si>
    <t>2051-4158</t>
  </si>
  <si>
    <t>2051-4166</t>
  </si>
  <si>
    <t>J CLIN UROL</t>
  </si>
  <si>
    <t>J. Clin. Urol.</t>
  </si>
  <si>
    <t>10.1177/2051415813476701</t>
  </si>
  <si>
    <t>V5J8L</t>
  </si>
  <si>
    <t>WOS:000219673400011</t>
  </si>
  <si>
    <t>Arenhart, LE; Campigotto, L; Sehnem, S; Bernardy, RJ</t>
  </si>
  <si>
    <t>Arenhart, Leticia Eugenia; Campigotto, Liziane; Sehnem, Simone; Bernardy, Rogis Juarez</t>
  </si>
  <si>
    <t>ADOPTION OF SUSTAINABLE PRACTICES AND CERTIFICATION ISO 14001: A CASE STUDY IN A LAW AND LEGAL ADVICE FIRM</t>
  </si>
  <si>
    <t>REVISTA DE GESTAO AMBIENTAL E SUSTENTABILIDADE-GEAS</t>
  </si>
  <si>
    <t>legal services; sustainable practices; quality management; environmental policy; ISO 14,001</t>
  </si>
  <si>
    <t>This article seeks to analyze how the company X Advocacy and Legal Consultancy can implant sustainable and quality practices to obtain the environmental certification ISO 14001. To achieve the objective, a qualitative and quantitative approach study was conducted. Regarding procedures, it consisted in a case study with a descriptive focus. From observation of the reality of X Advocacy and Legal Consultancy and its claims in relation to obtaining ISO 14001 certification, it is possible to propose as solution the implementation of a number of initiatives and sustainability actions in three pillars - social, environmental and economic. Suggestions were also developed about the dimensions of quality in order to formulate the basis for X Advocacy and Legal Consultancy environmental policy and possible implementation of ISO 14,001.</t>
  </si>
  <si>
    <t>[Arenhart, Leticia Eugenia; Campigotto, Liziane; Sehnem, Simone; Bernardy, Rogis Juarez] UNOESC, Adm, Chapeco, SC, Brazil</t>
  </si>
  <si>
    <t>Arenhart, LE (corresponding author), UNOESC, Adm, Chapeco, SC, Brazil.</t>
  </si>
  <si>
    <t>leticiaarenhart@gmail.com; lcamp@unochapeco.edu.br; simone.sehnem@unoesc.edu.br; rogis.bernardy@unoesc.edu.br</t>
  </si>
  <si>
    <t>Sehnem, Simone/AAA-5623-2019; Sehnem, Simone/L-7842-2018</t>
  </si>
  <si>
    <t>2316-9834</t>
  </si>
  <si>
    <t>REV GEST AMBIENT SUS</t>
  </si>
  <si>
    <t>Rev. Gest. Ambient. Sustentabilidade-GeAS</t>
  </si>
  <si>
    <t>10.5585/geas.v2i2.55</t>
  </si>
  <si>
    <t>V37CM</t>
  </si>
  <si>
    <t>WOS:000216013900006</t>
  </si>
  <si>
    <t>Hanskamp-Sebregts, M; Zegers, M; Boeijen, W; Westert, GP; van Gurp, PJ; Wollersheim, H</t>
  </si>
  <si>
    <t>Hanskamp-Sebregts, Mirelle; Zegers, Marieke; Boeijen, Wilma; Westert, Gert P.; van Gurp, Petra J.; Wollersheim, Hub</t>
  </si>
  <si>
    <t>Effects of auditing patient safety in hospital care: design of a mixed-method evaluation</t>
  </si>
  <si>
    <t>Hospital; Patient safety; Safety management; Risk management; Complications; Management system audit; Clinical governance; Professional practice; Adverse events; Auditing</t>
  </si>
  <si>
    <t>ADVERSE EVENTS; HEALTH-CARE; QUALITY; IMPACT; IMPROVEMENT; RECORD; LEVEL</t>
  </si>
  <si>
    <t>Background: Auditing of patient safety aims at early detection of risks of adverse events and is intended to encourage the continuous improvement of patient safety. The auditing should be an independent, objective assurance and consulting system. Auditing helps an organisation accomplish its objectives by bringing a systematic, disciplined approach to evaluating and improving the effectiveness of risk management, control, and governance. Audits are broadly conducted in hospitals, but little is known about their effects on the behaviour of healthcare professionals and patient safety outcomes. This study was initiated to evaluate the effects of patient safety auditing in hospital care and to explore the processes and mechanisms underlying these effects. Methods and design: Our study aims to evaluate an audit system to monitor and improve patient safety in a hospital setting. We are using a mixed-method evaluation with a before-and-after study design in eight departments of one university hospital in the period October 2011-July 2014. We measure several outcomes 3 months before the audit and 15 months after the audit. The primary outcomes are adverse events and complications. The secondary outcomes are experiences of patients, the standardised mortality ratio, prolonged hospital stay, patient safety culture, and team climate. We use medical record reviews, questionnaires, hospital administrative data, and observations to assess the outcomes. A process evaluation will be used to find out which components of internal auditing determine the effects. Discussion: We report a study protocol of an effect and process evaluation to determine whether auditing improves patient safety in hospital care. Because auditing is a complex intervention targeted on several levels, we are using a combination of methods to collect qualitative and quantitative data about patient safety at the patient, professional, and department levels. This study is relevant for hospitals that want to early detect unsafe care and improve patient safety continuously.</t>
  </si>
  <si>
    <t>[Hanskamp-Sebregts, Mirelle; Boeijen, Wilma; van Gurp, Petra J.] Radboud Univ Nijmegen, Med Ctr, Inst Qual Assurance &amp; Patient Safety, NL-6525 ED Nijmegen, Netherlands; [Zegers, Marieke; Westert, Gert P.; Wollersheim, Hub] Radboud Univ Nijmegen, Med Ctr, Sci Inst Qual Healthcare IQ Healthcare, NL-6525 ED Nijmegen, Netherlands</t>
  </si>
  <si>
    <t>Hanskamp-Sebregts, M (corresponding author), Radboud Univ Nijmegen, Med Ctr, Inst Qual Assurance &amp; Patient Safety, NL-6525 ED Nijmegen, Netherlands.</t>
  </si>
  <si>
    <t>m.hanskamp-sebregts@iwkv.umcn.nl</t>
  </si>
  <si>
    <t>Zegers, Marieke/L-4774-2015; Hanskamp-Sebregts, Mirelle/L-4349-2015; Gurp, P.J.M./L-4342-2015; Wollersheim, H.C.H./L-4769-2015; Westert, G.P./H-8115-2014</t>
  </si>
  <si>
    <t>Westert, G.P./0000-0003-3744-8207; van Gurp, Petra/0000-0003-4983-0817; Zegers, Marieke/0000-0002-7472-6184</t>
  </si>
  <si>
    <t>Radboud University Nijmegen Medical Centre</t>
  </si>
  <si>
    <t>This study is being funded with general resources of the Radboud University Nijmegen Medical Centre. The study has been peer reviewed by the research committee of the Nijmegen Centre for Evidence-Based Practice (NCEBP). We thank everyone who contributes to the data collection and the departments of the RUNMC for participating in this study.</t>
  </si>
  <si>
    <t>10.1186/1472-6963-13-226</t>
  </si>
  <si>
    <t>181KD</t>
  </si>
  <si>
    <t>WOS:000321665600001</t>
  </si>
  <si>
    <t>EPTB Seine Grands Lacs, F-75012 Paris, France</t>
  </si>
  <si>
    <t>Gache, F (corresponding author), EPTB Seine Grands Lacs, 8 Rue Villiot, F-75012 Paris, France.</t>
  </si>
  <si>
    <t>frederic.gache@seinegrandslacs.fr</t>
  </si>
  <si>
    <t>189WH</t>
  </si>
  <si>
    <t>Research Station; Antarctica; India; General Planning; ContainerBuilding; Architecture</t>
  </si>
  <si>
    <t>[Brunn, Benjamin; Nitschke, Andreas; Schramm, Thomas] IMS Ingn Gesell MbH, D-20097 Hamburg, Germany</t>
  </si>
  <si>
    <t>Brunn, B (corresponding author), IMS Ingn Gesell MbH, Stadtdeich 7, D-20097 Hamburg, Germany.</t>
  </si>
  <si>
    <t>info@ims-ing.de</t>
  </si>
  <si>
    <t>ERNST &amp; SOHN</t>
  </si>
  <si>
    <t>ROTHERSTRASSE 21, BERLIN, DEUTSCHLAND 10245, GERMANY</t>
  </si>
  <si>
    <t>Bautechnik</t>
  </si>
  <si>
    <t>156MF</t>
  </si>
  <si>
    <t>Climate change; Scepticism; Dairy farmer; Scotland; Structural Equation Modelling</t>
  </si>
  <si>
    <t>ENVIRONMENTAL CONCERN; VALUES; RISK; PERCEPTIONS; BEHAVIOR; WILLINGNESS; BELIEFS</t>
  </si>
  <si>
    <t>[Islam, Md. Mofakkarul; Barnes, Andrew; Toma, Luiza] Scotlands Rural Coll SRUC, Edinburgh EH9 3JG, Midlothian, Scotland</t>
  </si>
  <si>
    <t>Islam, MM (corresponding author), Scotlands Rural Coll SRUC, W Mains Rd, Edinburgh EH9 3JG, Midlothian, Scotland.</t>
  </si>
  <si>
    <t>Mofakkarul.Islam@sruc.ac.uk; Andrew.Barnes@sruc.ac.uk; Luiza.Toma@sruc.ac.uk</t>
  </si>
  <si>
    <t>Toma, Luiza/0000-0003-1176-5140; Barnes, Andrew/0000-0001-9368-148X</t>
  </si>
  <si>
    <t>J ENVIRON PSYCHOL</t>
  </si>
  <si>
    <t>J. Environ. Psychol.</t>
  </si>
  <si>
    <t>Environmental Studies; Psychology, Multidisciplinary</t>
  </si>
  <si>
    <t>Environmental Sciences &amp; Ecology; Psychology</t>
  </si>
  <si>
    <t>153ZR</t>
  </si>
  <si>
    <t>Bukovskaya, NV</t>
  </si>
  <si>
    <t>Bukovskaya, N., V</t>
  </si>
  <si>
    <t>SCIENTIFIC EXPERTISE AS FORM OF COGNITIVE MANAGEMENT</t>
  </si>
  <si>
    <t>scientific expertise; cognitive management; subjects and functions of expertise; political decision-making; democratizes expertise; university as think tanks</t>
  </si>
  <si>
    <t>The subject of scientific expertise as form of cognitive management is multilevel. As an expert science acts on three levels - personality of the scientist; scientific society, research groups, scientific and expertise organizations (state and non-state); non-commercial non-state public organizations of scientists. Scientific expertise has a number of functions in the mechanism of political decision making, with legitimization, consulting, advisory, analytical, informative, communicative, intermediary and lobbying functions among them. For this purpose special expertise bodies are established, with scientists as obligatory members. These bodies can be of four types: state, non-state commercial, public non-commercial, i.e. elements of civic society, and mixed type. Scientific expertise organizations special created in the sphere of scientific expertise government are called think tanks. Moreover, classical academic, scientific and educational (institutes and universities) institutions can also function as such centers. There are three models of organization of expert scientific support of the authorities: North American, European and Asian. The three models can be considered as historic socio-cultural and socio-political types. The Asian model specifics are characterized strong centralized state, party and ideological monopoly, which predetermines the existence of one client ordering expertise. In general, it is worth differentiating two main models - western and non-western, with each having its own subtypes. Thus, European and North American models are subtypes of the western model. Then it will be logical to single out transitive and hybrid variants. Modern Russia, for instance, demonstrates a transition from the non-western model to the western one. There can be singled out different types of scientific expertise based on different classification criteria. Scientific expertise can be conducted, first, on different levels of authoritative power (federal, regional, local); in different governmental branches (legislative and executive); second, in different spheres (education, health care, economy, atomic energy, foreign policy, environment, etc.); third, permanently or now and then; fourth, in a complex or one-sided way, systematically or structurally; fifth, independently or by order; sixth, secretly or openly, seventh, officially or unofficially.</t>
  </si>
  <si>
    <t>[Bukovskaya, N., V] Natl Res Tomsk State Univ, Fac Philosophy, Tomsk, Russia; [Bukovskaya, N., V] Natl Res Tomsk State Univ, Fac Philosophy, Philosophy, Tomsk, Russia; [Bukovskaya, N., V] Natl Res Tomsk State Univ, Fac Philosophy, Dept Polit Sci, Tomsk, Russia</t>
  </si>
  <si>
    <t>Bukovskaya, NV (corresponding author), Natl Res Tomsk State Univ, Fac Philosophy, Tomsk, Russia.</t>
  </si>
  <si>
    <t>nvsi@mail.ru</t>
  </si>
  <si>
    <t>VESTN TOMSK U-FILOS</t>
  </si>
  <si>
    <t>VE8WA</t>
  </si>
  <si>
    <t>WOS:000440859100004</t>
  </si>
  <si>
    <t>canal irrigation; critical reflection; error; ignorance; myth; research; water management; World Bank; India; Sri Lanka</t>
  </si>
  <si>
    <t>INDIA</t>
  </si>
  <si>
    <t>[Chambers, Robert] Inst Dev Studies, Brighton, Sussex, England</t>
  </si>
  <si>
    <t>Chambers, R (corresponding author), Inst Dev Studies, Brighton, Sussex, England.</t>
  </si>
  <si>
    <t>r.chambers@ids.ac.uk</t>
  </si>
  <si>
    <t>V44UR</t>
  </si>
  <si>
    <t>politics; power; governance; expertise; environmental practices</t>
  </si>
  <si>
    <t>RECYCLED WATER; PERCEPTION; ACCEPTANCE; RESPONSES; POLICY; RISK</t>
  </si>
  <si>
    <t>[Ormerod, Kerri Jean; Scott, Christopher A.] Univ Arizona, Sch Geog &amp; Dev, Tucson, AZ 85721 USA; [Scott, Christopher A.] Univ Arizona, Udall Ctr Studies Publ Policy, Tucson, AZ 85721 USA</t>
  </si>
  <si>
    <t>Ormerod, KJ (corresponding author), Univ Arizona, Sch Geog &amp; Dev, 448 Harvill Bldg,Box 2, Tucson, AZ 85721 USA.</t>
  </si>
  <si>
    <t>ormerod@arizona.email.edu</t>
  </si>
  <si>
    <t>Ormerod, Kerri/0000-0001-8997-0529</t>
  </si>
  <si>
    <t>Directorate For Geosciences [1138881] Funding Source: National Science Foundation</t>
  </si>
  <si>
    <t>Directorate For Geosciences(National Science Foundation (NSF)NSF - Directorate for Geosciences (GEO))</t>
  </si>
  <si>
    <t>298HG</t>
  </si>
  <si>
    <t>Anxiolytics; epidemiology; hypnotics; quality of life</t>
  </si>
  <si>
    <t>UNEMPLOYMENT; DEPRESSION; SYMPTOMS</t>
  </si>
  <si>
    <t>[Zagozdzon, Pawel] Med Univ Gdansk, Dept Hyg &amp; Epidemiol, PL-81519 Gdynia, Poland; [Zagozdzon, Pawel] Hosp Mentally III Patients, Starogard Gdanski, Poland; [Kolarzyk, Emilia] Jagiellonian Univ, Dept Hyg &amp; Dietet, Coll Med, Krakow, Poland; [Marcinkowski, Jerzy T.] Med Univ, Dept Hyg, Poznan, Poland</t>
  </si>
  <si>
    <t>Zagozdzon, P (corresponding author), Med Univ Gdansk, Dept Hyg &amp; Epidemiol, Ul Powstania Styczniowego 9B, PL-81519 Gdynia, Poland.</t>
  </si>
  <si>
    <t>pzagoz@gumed.edu.pl</t>
  </si>
  <si>
    <t>Marcinkowski, Jerzy T./ABB-5499-2021</t>
  </si>
  <si>
    <t>Marcinkowski, Jerzy/0000-0001-6495-8988; Zagozdzon, Pawel/0000-0002-2809-0955</t>
  </si>
  <si>
    <t>INT J SOC PSYCHIATR</t>
  </si>
  <si>
    <t>Int. J. Soc. Psychiatr.</t>
  </si>
  <si>
    <t>280ZN</t>
  </si>
  <si>
    <t>Integrated watershed management; stakeholder analysis; key stakeholders; policy-making; Mt. Elgon; Uganda</t>
  </si>
  <si>
    <t>NATURAL-RESOURCE MANAGEMENT; PARTICIPATION</t>
  </si>
  <si>
    <t>[Mutekanga, Fiona Proscovia] Kyambogo Univ, Fac Sci, Kampala, Uganda; [Mutekanga, Fiona Proscovia; Kessler, Aad; Visser, Saskia] Land Degradat &amp; Dev Grp, Wageningen, Netherlands; [Leber, Katia] Tong Ping Area, Juba, Sudan</t>
  </si>
  <si>
    <t>Mutekanga, FP (corresponding author), Kyambogo Univ, Fac Sci, Kampala, Uganda.</t>
  </si>
  <si>
    <t>fiona.mutekanga@gmail.com</t>
  </si>
  <si>
    <t>Environmental Management Capacity Building Unit of the Dutch Government</t>
  </si>
  <si>
    <t>This study is part of a larger study for the NEMA funded through the Environmental Management Capacity Building Unit of the Dutch Government, titled Participatory Policy Development for IWM in Uganda's Highlands.</t>
  </si>
  <si>
    <t>MOUNTAIN RESEARCH &amp; DEVELOPMENT</t>
  </si>
  <si>
    <t>LAWRENCE</t>
  </si>
  <si>
    <t>BUSINESS OFFICE, 810 E 10TH ST, PO BOX 1897, LAWRENCE, KANSAS 66044-8897 USA</t>
  </si>
  <si>
    <t>MT RES DEV</t>
  </si>
  <si>
    <t>Mt. Res. Dev.</t>
  </si>
  <si>
    <t>Environmental Sciences; Geography, Physical</t>
  </si>
  <si>
    <t>Environmental Sciences &amp; Ecology; Physical Geography</t>
  </si>
  <si>
    <t>154IX</t>
  </si>
  <si>
    <t>CSR; cynical distancing; ethical sealing; identity; management control</t>
  </si>
  <si>
    <t>CORPORATE SOCIAL-RESPONSIBILITY; IDENTITY; MANAGEMENT; ETHICS; FIRM; IDENTIFICATION; PERSPECTIVE; DISCIPLINE; KNOWLEDGE; POWER</t>
  </si>
  <si>
    <t>[Costas, Jana] Free Univ Berlin, D-14195 Berlin, Germany; [Karreman, Dan] Copenhagen Business Sch, DK-2000 Frederiksberg, Denmark</t>
  </si>
  <si>
    <t>Costas, J (corresponding author), Free Univ Berlin, Boltzmannstr 20, D-14195 Berlin, Germany.</t>
  </si>
  <si>
    <t>jana.costas@fu-berlin.de; dk.ikl@cbs.dk</t>
  </si>
  <si>
    <t>Kärreman, Dan/AAF-8051-2019</t>
  </si>
  <si>
    <t>Organization</t>
  </si>
  <si>
    <t>126MF</t>
  </si>
  <si>
    <t>NOVIWAM; Water resources; Innovation; Research; Governance</t>
  </si>
  <si>
    <t>RIVER-BASINS; GOVERNANCE; REGIMES; CLIMATE</t>
  </si>
  <si>
    <t>[Martins, G.; Brito, A. G.; Nogueira, R.] Univ Minho, Ctr Biol Engn, IBB, P-4710057 Braga, Portugal; [Urena, M.; Fernandez, D.; Luque, F. J.; Alcacer, C.] CENTA Ctr New Water Technol, Seville 41820, Spain</t>
  </si>
  <si>
    <t>Martins, G (corresponding author), Univ Minho, Ctr Biol Engn, IBB, Campus Gualtar, P-4710057 Braga, Portugal.</t>
  </si>
  <si>
    <t>gilberto.martins@deb.uminho.pt</t>
  </si>
  <si>
    <t>Martins, Gilberto/O-5487-2015; de Brito, António Guerreiro/H-9503-2012; Alcacer Santos, Cesar/A-5111-2019</t>
  </si>
  <si>
    <t>Martins, Gilberto/0000-0001-7187-0538; de Brito, António Guerreiro/0000-0003-1356-3358; Luque, Francisco Javier/0000-0002-3845-4169; Alcacer Santos, Cesar/0000-0002-0278-2822; Nogueira, Regina/0000-0003-2759-5035</t>
  </si>
  <si>
    <t>European Union [245460]</t>
  </si>
  <si>
    <t>The authors are grateful to all stakeholders that contributed, either by completing the online survey, either by personal interview, as well as to the external evaluators, who contributed to the methodological validation. The authors are also indebted to Alexandrina Rodrigues, Daniel Ribeiro and Teresa Tavares for the manuscript revision. The authors acknowledge NOVIWAM project partners for their valuable comments and contributions, as well as the funding provided by the European Union under the 7th Framework Programme for Research and Technological Development (Grant Agreement no 245460).</t>
  </si>
  <si>
    <t>128VA</t>
  </si>
  <si>
    <t>MASKED HEARING THRESHOLDS; DELPHINAPTERUS-LEUCAS; WHALES; EARS</t>
  </si>
  <si>
    <t>Curtin Univ, Ctr Marine Sci &amp; Technol, Perth, WA 6845, Australia</t>
  </si>
  <si>
    <t>Erbe, C (corresponding author), Curtin Univ, Ctr Marine Sci &amp; Technol, GPO Box U1987, Perth, WA 6845, Australia.</t>
  </si>
  <si>
    <t>Christine.erbe@curtin.edu.au</t>
  </si>
  <si>
    <t>Erbe, Christine/H-4777-2012; Erbe, Christine/AAA-3801-2021</t>
  </si>
  <si>
    <t>Erbe, Christine/0000-0002-7884-9907</t>
  </si>
  <si>
    <t>AUSTRALIAN ACOUSTICAL SOC</t>
  </si>
  <si>
    <t>UNIV NEW SOUTH WALES, SCH PHYSICS, SYDNEY, 2052, AUSTRALIA</t>
  </si>
  <si>
    <t>ACOUST AUST</t>
  </si>
  <si>
    <t>Acoust. Aust.</t>
  </si>
  <si>
    <t>AB3BQ</t>
  </si>
  <si>
    <t>Child health; Hong Kong; Outdoor air pollution</t>
  </si>
  <si>
    <t>ALLERGIC SENSITIZATION; RESIDENTIAL PROXIMITY; HOSPITAL ADMISSIONS; ASTHMATIC-CHILDREN; PARTICULATE MATTER; RESPIRATORY HEALTH; INCIDENT ASTHMA; LUNG-FUNCTION; MORTALITY; OZONE</t>
  </si>
  <si>
    <t>[Lee, S. L.; Tinsley, H.; Ip, P.; Chow, C. B.] Univ Hong Kong, LKS Fac Med, Dept Paediat &amp; Adolescent Med, Pokfulam, Hong Kong, Peoples R China; [Chau, J.; Lai, H. K.; Thach, T. Q.; Hedley, A. J.] Univ Hong Kong, LKS Fac Med, Dept Community Med, Pokfulam, Hong Kong, Peoples R China; [Chau, J.; Lai, H. K.; Thach, T. Q.; Hedley, A. J.] Univ Hong Kong, LKS Fac Med, Sch Publ Hlth, Pokfulam, Hong Kong, Peoples R China</t>
  </si>
  <si>
    <t>Lee, SL (corresponding author), Univ Hong Kong, LKS Fac Med, Dept Paediat &amp; Adolescent Med, Pokfulam, Hong Kong, Peoples R China.</t>
  </si>
  <si>
    <t>Thach, Thuan-Quoc/C-4416-2009; /C-4416-2009</t>
  </si>
  <si>
    <t>Thach, Thuan-Quoc/0000-0003-3404-3888; /0000-0003-2866-4856</t>
  </si>
  <si>
    <t>MEDCOM LTD</t>
  </si>
  <si>
    <t>CHAI WAN</t>
  </si>
  <si>
    <t>ROOM 504-5, CHEUNG TAT CENTRE, 18 CHEUNG LEE ST, CHAI WAN, HONG KONG 00000, PEOPLES R CHINA</t>
  </si>
  <si>
    <t>HONG KONG J PAEDIATR</t>
  </si>
  <si>
    <t>Hong Kong J. Paediatr.</t>
  </si>
  <si>
    <t>210AW</t>
  </si>
  <si>
    <t>Pruijt, H</t>
  </si>
  <si>
    <t>Pruijt, Hans</t>
  </si>
  <si>
    <t>Employability, empowerment and employers, between debunking and appreciating action: nine cases from the ICT sector</t>
  </si>
  <si>
    <t>consultants; employability; employers; ICT; software companies</t>
  </si>
  <si>
    <t>INFORMATION-TECHNOLOGY WORKERS; PSYCHOLOGICAL CONTRACT; SOFTWARE; CAREERS</t>
  </si>
  <si>
    <t>An important strand in the literature promotes the idea that investment in employability, specifically in marketable skills and talents, self-presentation efficacy, actual levels of skill, knowledge and experience, will go a long way in addressing the problems caused by creative destruction. The paper examines employability policy and employees' perceptions of their employability in nine information and communication technologies (ICT) companies, located in Germany and in the Netherlands. In all these companies, sustained employability was problematic. Together, they form a critical case for testing some of the assumptions of employability thinking. Beyond this, the paper explores the space for action. Some of the companies pioneered sophisticated, high organizational involvement forms of employability enhancement, while others highlighted the interplay of employability and employee protection as a mechanism that can help create security.</t>
  </si>
  <si>
    <t>Erasmus Univ Rotterdam FSW, Rotterdam, Netherlands</t>
  </si>
  <si>
    <t>Pruijt, H (corresponding author), Erasmus Univ Rotterdam FSW, Rotterdam, Netherlands.</t>
  </si>
  <si>
    <t>pruijt@fsw.eur.nl</t>
  </si>
  <si>
    <t>Pruijt, Hans/F-4897-2013</t>
  </si>
  <si>
    <t>Pruijt, Hans/0000-0002-9802-9455</t>
  </si>
  <si>
    <t>10.1080/09585192.2012.725083</t>
  </si>
  <si>
    <t>100FQ</t>
  </si>
  <si>
    <t>WOS:000315682800004</t>
  </si>
  <si>
    <t>Crase, L; O'Keefe, S; Dollery, B</t>
  </si>
  <si>
    <t>Crase, Lin; O'Keefe, Sue; Dollery, Brian</t>
  </si>
  <si>
    <t>Talk is cheap, or is it? The cost of consulting about uncertain reallocation of water in the Murray-Darling Basin, Australia</t>
  </si>
  <si>
    <t>Transaction costs; Transformation costs; Abatement costs; Water policy; Community consultation; Environmental water allocation</t>
  </si>
  <si>
    <t>TRANSACTION-COSTS; POLICY; CONSULTATION</t>
  </si>
  <si>
    <t>In this paper we reflect on the challenge of reallocating water resources from agricultural interests to environmental uses. The area of interest is the Murray-Darling Basin, Australia, although the evidence presented provides salient lessons for a range of settings. We draw on the transaction cost literature where the tasks of re-designing and using institutions can help conceptualise the costs associated with policy change. A framework for improving ex ante assessment of transaction costs and its relationship to transformation or abatement costs is elaborated, especially as it relates to community consultation exercises. Against the background of the water reforms of the past three decades we conclude that policy makers and administrators could limit increases in transformation costs and contain transaction costs by giving greater attention to the form of community consultation, by taking account of the sources of uncertainty that attend policy choices and recognising the potential for consultation fatigue. (c) 2013 Elsevier B.V. All rights reserved.</t>
  </si>
  <si>
    <t>[Crase, Lin; O'Keefe, Sue] La Trobe Univ, Ctr Water Policy &amp; Management, Albury, NSW, Australia; [Dollery, Brian] Univ New England, Sch Econ, Armidale, NSW, Australia</t>
  </si>
  <si>
    <t>Crase, L (corresponding author), La Trobe Univ, Ctr Water Management &amp; Policy, Univ Dr, Wodonga, Vic 3689, Australia.</t>
  </si>
  <si>
    <t>l.crase@latrobe.edu.au</t>
  </si>
  <si>
    <t>Crase, Lin R/L-2072-2016</t>
  </si>
  <si>
    <t>Crase, Lin R/0000-0002-3615-7152; Dollery, Brian/0000-0003-2760-865X</t>
  </si>
  <si>
    <t>ECOL ECON</t>
  </si>
  <si>
    <t>Ecol. Econ.</t>
  </si>
  <si>
    <t>10.1016/j.ecolecon.2012.12.015</t>
  </si>
  <si>
    <t>Ecology; Economics; Environmental Sciences; Environmental Studies</t>
  </si>
  <si>
    <t>Environmental Sciences &amp; Ecology; Business &amp; Economics</t>
  </si>
  <si>
    <t>127OU</t>
  </si>
  <si>
    <t>WOS:000317709100026</t>
  </si>
  <si>
    <t>Chen, KL; Huang, SH; Liu, SY</t>
  </si>
  <si>
    <t>Chen, Kuan-Li; Huang, Su-Han; Liu, Shiang-Yao</t>
  </si>
  <si>
    <t>Devising a framework for energy education in Taiwan using the analytic hierarchy process</t>
  </si>
  <si>
    <t>Energy saving; Carbon reduction; Energy education</t>
  </si>
  <si>
    <t>CLIMATE-CHANGE; POLICY; INTENTIONS; VALUES; CARBON</t>
  </si>
  <si>
    <t>Research has indicated that incorporating carbon reduction in the curriculum could improve awareness about energy conservation and related practices. Much research has been conducted on curriculum design and evaluation methods for energy education. However, a comprehensive view of the educational objectives for improving energy literacy is still lacking in these efforts. In this study, we propose a framework for energy education that clearly captures the concept of energy saving and carbon reduction by reviewing related literature and consulting an ad hoc panel of experts on energy and education. We then apply the analytic hierarchy process (AHP) to determine the indicators of the framework and their priority or weights. The results show that the dimensions of civic responsibility for a sustainable society and low-carbon lifestyle are considered most important as an energy educational goal. Among the indicators, awareness and self-efficacy and identifying carbon-less technology and action plans are ranked first and second. Application of this framework in K-12 curriculum and relevant educational issues are recommended. (C) 2012 Elsevier Ltd. All rights reserved.</t>
  </si>
  <si>
    <t>[Chen, Kuan-Li; Huang, Su-Han; Liu, Shiang-Yao] Natl Taiwan Normal Univ, Grad Inst Sci Educ, Taipei, Taiwan</t>
  </si>
  <si>
    <t>Liu, SY (corresponding author), 88,Sec 4,Ding Chou Rd, Taipei 116, Taiwan.</t>
  </si>
  <si>
    <t>liusy@ntnu.edu.tw</t>
  </si>
  <si>
    <t>Liu, Shiang-Yao/K-3202-2019</t>
  </si>
  <si>
    <t>National Science Council of Taiwan [NSC100-3113-S-003-001]</t>
  </si>
  <si>
    <t>National Science Council of Taiwan(Ministry of Science and Technology, Taiwan)</t>
  </si>
  <si>
    <t>This paper is part of a research project funded by National Science Council of Taiwan (Grant number: NSC100-3113-S-003-001). The authors wish to thank anonymous reviewers for their helpful comments.</t>
  </si>
  <si>
    <t>10.1016/j.enpol.2012.12.025</t>
  </si>
  <si>
    <t>099FL</t>
  </si>
  <si>
    <t>WOS:000315606700036</t>
  </si>
  <si>
    <t>Leyla, AG</t>
  </si>
  <si>
    <t>Leyla, Gamidullaeva A.</t>
  </si>
  <si>
    <t>EXPERIENCE OF STATE SUPPORT OF BUSINESS INCUBATION ABROAD AND POSSIBILITIES OF ITS ADAPTATION IN RUSSIA</t>
  </si>
  <si>
    <t>TOMSK STATE UNIVERSITY JOURNAL</t>
  </si>
  <si>
    <t>business incubation; state support; small enterprises</t>
  </si>
  <si>
    <t>Effective remedy of decrease in business failures, increases in a share of surviving business are business incubators - one of types of a specialized infrastructure providing support of small business along with funds, business centres, educational, information and other serving structures. By business incubator we suggest to understand a social and economic system whose functioning is directed on support of small enterprises by means of granting a complex set of services (accounting, legal, consulting, information etc.), and also advance of their business. Foreign experience convinces that for successful development business incubation the essential attention of the state and local authorities is necessary first of all. Having analysed the experience of business incubators in Germany, we came to a conclusion that it can be adapted and used in Russia. It concerns participation of the power, bank community, corporate sector in the work of incubators, interaction of incubators with scientific organizations, legal status of business incubators, use of system of indicators for assessment of incubator activity. The analysis of foreign experience of the state support of business incubation of small enterprises showed that effective functioning of business incubators is carried out in those countries where development of small business is regarded as of paramount importance of national economy and where the state takes active part in the support of business incubation. The author also revealed the following key factors of success of the state support of business incubation: 1) consistent and long-term policy of the state with accurately formulated purposes and tasks; 2) existence of the thought-over and coordinated system of people involved in development and realization of business incubation of small business; 3) constant efforts on adjustment of cooperation between the private, research and educational sectors; 4) identification and target support important for building of innovative and technological potential of the directions; 5) wide range of provided services providing complex servicing; 6) systematic studying and implementation of the best international experience. Absence of satisfactory theoretical base for management of small innovative economy, difficulties with selection and formation of professional businesspeople, distinctions in organizational and technological levels of development and market culture of the population of Russia and the compared countries, draws a conclusion that direct loan of forms of support of small innovative business can be inefficient in Russia. On the other hand, it is obvious that a comprehensive study of the foreign experience first of all connected with the support of small business at nation-wide and regional levels is very urgent.</t>
  </si>
  <si>
    <t>[Leyla, Gamidullaeva A.] Russian State Univ Innovat Technol Entrepreneursh, Penza Branch, Penza, Russia</t>
  </si>
  <si>
    <t>Leyla, AG (corresponding author), Russian State Univ Innovat Technol Entrepreneursh, Penza Branch, Penza, Russia.</t>
  </si>
  <si>
    <t>gamidullaeva@gmail.com</t>
  </si>
  <si>
    <t>Gamidullaeva, Leyla/E-7822-2016</t>
  </si>
  <si>
    <t>Gamidullaeva, Leyla/0000-0003-3042-7550</t>
  </si>
  <si>
    <t>1561-7793</t>
  </si>
  <si>
    <t>1561-803X</t>
  </si>
  <si>
    <t>TOMSK STATE UNIV J</t>
  </si>
  <si>
    <t>Tomsk State Univ. J.</t>
  </si>
  <si>
    <t>V8D6A</t>
  </si>
  <si>
    <t>WOS:000421539100026</t>
  </si>
  <si>
    <t>developing countries; economics &amp; finance; water supply</t>
  </si>
  <si>
    <t>NED Univ Engn &amp; Technol, Dept Architecture &amp; Planning, Karachi, Pakistan</t>
  </si>
  <si>
    <t>Ahmed, N (corresponding author), NED Univ Engn &amp; Technol, Dept Architecture &amp; Planning, Karachi, Pakistan.</t>
  </si>
  <si>
    <t>P I CIVIL ENG-MUNIC</t>
  </si>
  <si>
    <t>Proc. Inst. Civil Eng.-Munic. Eng.</t>
  </si>
  <si>
    <t>186RS</t>
  </si>
  <si>
    <t>Water Framework Directive; Integrated Water Resources Management; river basin management; participation; integration; Germany</t>
  </si>
  <si>
    <t>RIVER-BASIN; PARTICIPATION; GOVERNANCE; IMPLEMENTATION; LESSONS</t>
  </si>
  <si>
    <t>[Theesfeld, Insa] Leibniz Inst Agr Dev Cent &amp; Eastern Europe Iamo, Halle, Saale, Germany; [Schleyer, Christian] Berlin Brandenburg Acad Sci &amp; Humanities, Ecosyst Serv Res Grp, Berlin, Germany</t>
  </si>
  <si>
    <t>Theesfeld, I (corresponding author), Leibniz Inst Agr Dev Cent &amp; Eastern Europe Iamo, Halle, Saale, Germany.</t>
  </si>
  <si>
    <t>theesfeld@iamo.de</t>
  </si>
  <si>
    <t>Theesfeld, Insa/AAE-2214-2020; , IAMO/G-2328-2012; Schleyer, Christian/I-6868-2012</t>
  </si>
  <si>
    <t>Theesfeld, Insa/0000-0002-0200-756X; , IAMO/0000-0001-7922-9665; Schleyer, Christian/0000-0002-9604-1653</t>
  </si>
  <si>
    <t>132AY</t>
  </si>
  <si>
    <t>Clausen, KW</t>
  </si>
  <si>
    <t>Clausen, Kurt W.</t>
  </si>
  <si>
    <t>Ontario's Plowden Report: British influence on Canadian education in the 1960s</t>
  </si>
  <si>
    <t>HISTORY OF EDUCATION</t>
  </si>
  <si>
    <t>education policy; comparative history; Plowden Report; Hall-Dennis Report</t>
  </si>
  <si>
    <t>Treading in the footsteps of past generations, Ontario policy advisers journeyed throughout the United Kingdom in the summer of 1966 to directly understand the educational reforms that were being undertaken in that country. On their return, these consultants brought back a number of innovations for discussion with their parent committee in the hopes of possible adaptation by the province. When their final submission was tabled two years later, the Hall-Dennis Report' (as it became popularly known) went on to reflect the tone for education in the province for a generation. This study examines the impact that Britain's educational policies in the 1960s, and especially the Plowden Report' of 1967, may have had on the recommendations found in the Hall-Dennis Report. As well, it ties these two reports to the longstanding legacy of British influence on the Ontario education system 1 .</t>
  </si>
  <si>
    <t>Nipissing Univ, N Bay, ON, Canada</t>
  </si>
  <si>
    <t>Clausen, KW (corresponding author), Nipissing Univ, N Bay, ON, Canada.</t>
  </si>
  <si>
    <t>kurtc@nipissingu.ca</t>
  </si>
  <si>
    <t>0046-760X</t>
  </si>
  <si>
    <t>HIST EDUC</t>
  </si>
  <si>
    <t>Hist. Educ.</t>
  </si>
  <si>
    <t>10.1080/0046760X.2012.707690</t>
  </si>
  <si>
    <t>Education &amp; Educational Research; History Of Social Sciences</t>
  </si>
  <si>
    <t>Education &amp; Educational Research; Social Sciences - Other Topics</t>
  </si>
  <si>
    <t>105YJ</t>
  </si>
  <si>
    <t>WOS:000316108300004</t>
  </si>
  <si>
    <t>Roach, KA</t>
  </si>
  <si>
    <t>Roach, Katherine A.</t>
  </si>
  <si>
    <t>Texas water wars: how politics and scientific uncertainty influence environmental flow decision-making in the Lone Star state</t>
  </si>
  <si>
    <t>BIODIVERSITY AND CONSERVATION</t>
  </si>
  <si>
    <t>Instream flow; River authorities; Senate Bill 3; Texas; Water conservation; Water rights</t>
  </si>
  <si>
    <t>RIVER AUTHORITIES; CHANNEL PLANFORM; GALVESTON BAY; CLASSIFICATION; POPULATION; MANAGEMENT; SURVIVAL; IMPACTS; REGIMES; COMMAND</t>
  </si>
  <si>
    <t>In 2007, Texas passed Senate Bill (SB) 3 mandating formation of science and stakeholder committees to make recommendations on the environmental flows (e-flows) needed to maintain the ecological integrity of river basins through a collaborative process designed to achieve consensus. The Texas Commission on Environmental Quality (TCEQ), the state agency that issues water rights permits, was to promulgate these recommendations and develop e-flow rules. For the first two basins to complete the SB3 process, the Sabine and Neches Basins and Sabine Lake Bay and the Trinity and San Jacinto Basins and Galveston Bay, final e-flow rules did not mimic a natural flow regime, rather, only subsistence flows, one level of base flows, and low flow pulses at a limited number of sites were adopted. In this article, I describe why the SB3 process was derailed for these basins. Science and stakeholder committees were skewed with more members representing short-term economic than ecological and recreational interests in freshwater. Many individuals on the science and stakeholder committees worked for river authorities, semiautonomous state agencies that receive the majority of their funding from surface water sales, and consulting firms that regularly contract with the river authorities. Water rights holders were from the outset distrustful of the SB3 process. There was a high degree of uncertainty associated with e-flow science, and adaptive management was used as justification for making low e-flow recommendations. In the end, TCEQ set environmental flow rules at levels lower than those recommended for protection of environmental benefits by the science teams.</t>
  </si>
  <si>
    <t>[Roach, Katherine A.] Texas A&amp;M Univ, Dept Wildlife &amp; Fisheries Sci, College Stn, TX 77843 USA; [Roach, Katherine A.] Texas A&amp;M Univ, Appl Biodivers Sci Program, College Stn, TX 77843 USA</t>
  </si>
  <si>
    <t>Roach, KA (corresponding author), Texas A&amp;M Univ, Dept Wildlife &amp; Fisheries Sci, 2258 TAMU, College Stn, TX 77843 USA.</t>
  </si>
  <si>
    <t>roackat@gmail.com</t>
  </si>
  <si>
    <t>Texas A&amp;M University's Tom Slick Graduate Research Fellowship</t>
  </si>
  <si>
    <t>I am grateful to those who took the time to explain their perspective of the Texas Environmental Flow program to me: Kathy Alexander, Kip Averitt, Dave Buzan, Ken Kramer, Kevin Mayes, David Roemer, Mark Wentzel, and Kirk Winemiller. Also, thank you to Stephen Davis, Micky Eubanks, Lee Fitzgerald, Amanda Stronza, and Kirk Winemiller, whose comments substantially improved this manuscript. This report was possible because of knowledge provided by Texas A&amp;M University's Applied Biodiversity Science IGERT Program and funding provided by Texas A&amp;M University's Tom Slick Graduate Research Fellowship.</t>
  </si>
  <si>
    <t>0960-3115</t>
  </si>
  <si>
    <t>1572-9710</t>
  </si>
  <si>
    <t>BIODIVERS CONSERV</t>
  </si>
  <si>
    <t>Biodivers. Conserv.</t>
  </si>
  <si>
    <t>10.1007/s10531-013-0443-2</t>
  </si>
  <si>
    <t>097QO</t>
  </si>
  <si>
    <t>WOS:000315488800001</t>
  </si>
  <si>
    <t>audience research; biodiversity; formative research; social marketing; systematic conservation planning</t>
  </si>
  <si>
    <t>BIODIVERSITY; INSIGHTS; CAPE</t>
  </si>
  <si>
    <t>[Wilhelm-Rechmann, Angelika; Cowling, Richard M.] Nelson Mandela Metropolitan Univ, Dept Bot, ZA-6031 Port Elizabeth, South Africa</t>
  </si>
  <si>
    <t>Wilhelm-Rechmann, A (corresponding author), Schrockstr 23A, D-14165 Berlin, Germany.</t>
  </si>
  <si>
    <t>Angelika.Wilhelm@gmx.com</t>
  </si>
  <si>
    <t>Cowling, Richard/AFU-6261-2022</t>
  </si>
  <si>
    <t>National Research Foundation; Nelson Mandela Metropolitan University; South African National Biodiversity Institute</t>
  </si>
  <si>
    <t>We gratefully acknowledge all our interviewees for their openness and time. Funding was provided by the National Research Foundation, Nelson Mandela Metropolitan University and the South African National Biodiversity Institute. Shirley Pierce provided valuable comments.</t>
  </si>
  <si>
    <t>ACAD SCIENCE SOUTH AFRICA A S S AF</t>
  </si>
  <si>
    <t>LYNWOOD RIDGE</t>
  </si>
  <si>
    <t>PO BOX 72135, LYNWOOD RIDGE 0040, SOUTH AFRICA</t>
  </si>
  <si>
    <t>S AFR J SCI</t>
  </si>
  <si>
    <t>S. Afr. J. Sci.</t>
  </si>
  <si>
    <t>203LS</t>
  </si>
  <si>
    <t>renewables; investment; in-depth interviews; technology; funding; economic psychology</t>
  </si>
  <si>
    <t>[Wells, Victoria; Greenwell, Felicity; Gregory-Smith, Diana] Univ Durham, Sch Business, Stockton On Tees TS17 6BH, Thornaby, England; [Covey, Judith; Rosenthal, Harriet E. S.] Univ Durham, Dept Psychol, Durham DH1 3LE, England; [Adcock, Mike] Durham Law Sch, Palatine Ctr, Durham DH1 3LE, England</t>
  </si>
  <si>
    <t>Wells, V (corresponding author), Univ Durham, Sch Business, Wolfson Bldg,Queens Campus,Univ Blvd, Stockton On Tees TS17 6BH, Thornaby, England.</t>
  </si>
  <si>
    <t>v.k.wells@durham.ac.uk</t>
  </si>
  <si>
    <t>Covey, Judith/D-5314-2013; Gregory-Smith, Diana/GLQ-8424-2022</t>
  </si>
  <si>
    <t>Gregory-Smith, Diana/0000-0001-9828-0933; Wells, Victoria/0000-0003-1253-7297</t>
  </si>
  <si>
    <t>Durham Energy Institute; Durham University</t>
  </si>
  <si>
    <t>The authors thank the Durham Energy Institute and Durham University for their financial support in the form of seedcorn and small grants to fund this work.</t>
  </si>
  <si>
    <t>ROYAL SOC</t>
  </si>
  <si>
    <t>6-9 CARLTON HOUSE TERRACE, LONDON SW1Y 5AG, ENGLAND</t>
  </si>
  <si>
    <t>Interface Focus</t>
  </si>
  <si>
    <t>059YE</t>
  </si>
  <si>
    <t>Green Accepted, Green Published, Bronze, Green Submitted</t>
  </si>
  <si>
    <t>Urban nature protection; Postpolitical; New Public Management (NPM); Actor-Network Theory (ANT); The Economics of Ecosystems and Biodiversity (TEEB); ICLEI-Local Governments for Sustainability</t>
  </si>
  <si>
    <t>NEOLIBERALISING NATURE; CONSERVATION; MANAGEMENT; PATTERNS; AREAS; PARK</t>
  </si>
  <si>
    <t>[Ernstson, Henrik] Univ Cape Town, African Ctr Cities, ZA-7701 Cape Town, South Africa; [Sorlin, Sverker] Royal Inst Technol, Div Hist Sci Technol &amp; Environm, SE-10044 Stockholm, Sweden; [Ernstson, Henrik; Sorlin, Sverker] Stockholm Univ, Stockholm Resilience Ctr, SE-10691 Stockholm, Sweden</t>
  </si>
  <si>
    <t>Ernstson, H (corresponding author), Univ Cape Town, African Ctr Cities, Upper Campus,Pvt Bag X3, ZA-7701 Cape Town, South Africa.</t>
  </si>
  <si>
    <t>henrik.ernstson@uct.ac.za; sorlin@kth.se</t>
  </si>
  <si>
    <t>Swedish Research Council Formas [250-2010-1372]</t>
  </si>
  <si>
    <t>Swedish Research Council Formas(Swedish Research CouncilSwedish Research Council Formas)</t>
  </si>
  <si>
    <t>We thank the two reviewers for their feedback on the manuscript We also thank Paul Warde and Cathy Wilkinson for constructive comments on earlier drafts. The Swedish Research Council Formas is acknowledged for providing funding for this research through the research grant Ways of Knowing Urban Ecologies (WOK-UE, Reg. no: 250-2010-1372).</t>
  </si>
  <si>
    <t>128XR</t>
  </si>
  <si>
    <t>research station; Antarctica; India; general planning; container building; architecture</t>
  </si>
  <si>
    <t>[Brunn, Benjamin; Nitschke, Andreas; Schramm, Thomas] IMS Ingn Gesell GmbH, D-20097 Hamburg, Germany</t>
  </si>
  <si>
    <t>Brunn, B (corresponding author), IMS Ingn Gesell GmbH, Stadtdeich 7, D-20097 Hamburg, Germany.</t>
  </si>
  <si>
    <t>b.brunn@ims-ing.de</t>
  </si>
  <si>
    <t>IABSE</t>
  </si>
  <si>
    <t>ZURICH</t>
  </si>
  <si>
    <t>ETH ZURICH, ZURICH, 8093, SWITZERLAND</t>
  </si>
  <si>
    <t>STRUCT ENG INT</t>
  </si>
  <si>
    <t>Struct. Eng. Int.</t>
  </si>
  <si>
    <t>082HF</t>
  </si>
  <si>
    <t>built environment; client leadership; innovation; integrated project delivery; professional practice; sustainable construction</t>
  </si>
  <si>
    <t>PERFORMANCE; DESIGN; INNOVATION</t>
  </si>
  <si>
    <t>Miami Univ, Dept Architecture &amp; Interior Design, Oxford, OH 45056 USA</t>
  </si>
  <si>
    <t>Ben Bonham, M (corresponding author), Miami Univ, Dept Architecture &amp; Interior Design, 101Alumni Hall, Oxford, OH 45056 USA.</t>
  </si>
  <si>
    <t>bonhammb@muohio.edu</t>
  </si>
  <si>
    <t>057VX</t>
  </si>
  <si>
    <t>Frick, K</t>
  </si>
  <si>
    <t>Frick, Kaj</t>
  </si>
  <si>
    <t>Work Environment Dialogue in a Swedish Municipality - Strengths and Limits of the Nordic Work Environment Model</t>
  </si>
  <si>
    <t>HR management; Municipal employees; The Nordic work environment model; Organizational development project; Sickness absenteeism; Safety representatives; Social dialogue; Stress</t>
  </si>
  <si>
    <t>SAFETY</t>
  </si>
  <si>
    <t>In the Nordic work environment model, health risks at work are mainly to be managed in cooperation with the employees and their representatives. The model is based on strong trade unions and is supported by the state through participatory rights and funding to produce and disseminate knowledge on risks and solutions. The model is evident in the large Swedish municipal sector with its strong unions and extensive social dialogue. However, municipal employees also face widespread risks, mainly from mental and physical overload. They led the costly wave of rising sickness absence from the late 1990s. Municipal (and other) employers therefore attempt to reduce the absence. The rural municipality of Leksand started a project Halsosam with the broad objectives to half the absence, implement a national agreement on better dialogue, make Leksand an attractive employer, and improve employee influence and work environment. The article's objective is to use Halsosam's intervention project to explore the limits of what the Nordic work environment model can achieve against risks rooted in the employers' prerogative of organizing, resourcing, and managing the operations that create the conditions at work. Halsosam's practice focused on sickness absence and the forms of the new national agreement. The absence was halved by reducing cases of long-term sickness. There was also workplace health promotion and the safety reps were supported through regular meetings. However, little was done to the extensive mental and physical overload revealed in a survey. Nor was the mandatory work environment management improved, as was ordered by the municipal council. This remained delegated to first-line managers who had a limited ability to handle work risks. This limited practice implemented Leksand's political priority to reduce the absenteeism, while other objectives had less political support. The difficulties to improve the work environment and its management were as demonstrated by other research on municipalities' limited development capacity. Halsosam's narrow focus was also supported by the limited priorities of the national municipal employers. This gave a narrow perspective in the central social partners' consultants to Leksand and other municipalities. Halsosam thereby demonstrates both the strengths and the weaknesses of the Nordic work environment model. On the one hand, the local dialogue was even further improved. On the other, local and central trade union cooperation with the employers did not enable them to much raise the organizational problems of work overload and poor work environment management. Leksand's municipal employees remained squeezed between limited taxes and unlimited service demands and had to solve this by too hard work.</t>
  </si>
  <si>
    <t>kaj.frick@gmail.com</t>
  </si>
  <si>
    <t>V4D9Z</t>
  </si>
  <si>
    <t>WOS:000218845400005</t>
  </si>
  <si>
    <t>Life cycle assessment; Molten carbonate fuel cells; Impact assessment</t>
  </si>
  <si>
    <t>NATURAL-GAS; DIESEL; ENERGY; LCA</t>
  </si>
  <si>
    <t>[Zucaro, Amalia; Fiorentino, Gabriella; Bargigli, Silvia; Ulgiati, Sergio] Parthenope Univ Naples, Dept Environm Sci, Naples, Italy; [Zamagni, Alessandra; Masoni, Paolo] ENEA, LCA, Bologna, Italy; [Zamagni, Alessandra; Masoni, Paolo] ENEA, Ecodesign Lab, Bologna, Italy; ENEA CR Casaccia, Hydrogen &amp; Fuel Cell Project, Rome, Italy</t>
  </si>
  <si>
    <t>Ulgiati, S (corresponding author), Parthenope Univ Naples, Dept Environm Sci, Naples, Italy.</t>
  </si>
  <si>
    <t>sergio.ulgiati@uniparthenope.it</t>
  </si>
  <si>
    <t>Fiorentino, Gabriella/0000-0002-2654-4925; /0000-0003-0050-595X; Masoni, Paolo/0000-0003-3929-1143; Ulgiati, Sergio/0000-0001-6159-4947</t>
  </si>
  <si>
    <t>European Commission (EU) [256850]</t>
  </si>
  <si>
    <t>European Commission (EU)(European CommissionEuropean Commission Joint Research Centre)</t>
  </si>
  <si>
    <t>The Authors gratefully acknowledge the financial support received from the European Commission within the 7th Framework Programme, Project no. 256850, FC-Hy Guide (Fuel Cell Hydrogen Guide, EU). Supporting Action SP1-JTI-FCH.2009.5.5.</t>
  </si>
  <si>
    <t>INT J HYDROGEN ENERG</t>
  </si>
  <si>
    <t>Int. J. Hydrog. Energy</t>
  </si>
  <si>
    <t>Chemistry, Physical; Electrochemistry; Energy &amp; Fuels</t>
  </si>
  <si>
    <t>Chemistry; Electrochemistry; Energy &amp; Fuels</t>
  </si>
  <si>
    <t>090SY</t>
  </si>
  <si>
    <t>Competences; Human resource demand; Human resource gap; Human resource requirements; Human resource supply; Millennium Development Goals (MDGs); WASH; WatSan</t>
  </si>
  <si>
    <t>[Kimwaga, Richard; Nobert, Joel; Kongo, Victor] Univ Dar Es Salaam, Water Resources Engn Dept, Dar Es Salaam, Tanzania; [Ngwisa, Mpembe] Poyry Tanzania Ltd, Dar Es Salaam, Tanzania</t>
  </si>
  <si>
    <t>Kimwaga, R (corresponding author), Univ Dar Es Salaam, Water Resources Engn Dept, POB 35131, Dar Es Salaam, Tanzania.</t>
  </si>
  <si>
    <t>rkimwaga2007@yahoo.com</t>
  </si>
  <si>
    <t>USAID through the CAP-WASH programme</t>
  </si>
  <si>
    <t>USAID through the CAP-WASH programme(United States Agency for International Development (USAID))</t>
  </si>
  <si>
    <t>The work reported in this paper was made possible through collaborative efforts with key stakeholders in Tanzania, IWA, CAP-NET and funding from USAID through the CAP-WASH programme. Various stakeholders were contacted through different means (e. g. visits, phone calls or email), and valuable information was obtained from them and forms part of this paper. These stakeholders include CBOs, NGOs, international organizations, research institutions, vocational training institutes, public institutions dealing with WatSan and government line ministries.</t>
  </si>
  <si>
    <t>AA4QM</t>
  </si>
  <si>
    <t>Croatian</t>
  </si>
  <si>
    <t>[Horvat, Jesenko; Pavkovic, Marina] Univ Zagreb, Fac Architecture, HR-10000 Zagreb, Croatia</t>
  </si>
  <si>
    <t>Horvat, J (corresponding author), Univ Zagreb, Fac Architecture, Kaciceva 26, HR-10000 Zagreb, Croatia.</t>
  </si>
  <si>
    <t>UNIV ZAGREB FAC ARCHITECTURE</t>
  </si>
  <si>
    <t>KACICEVA 26, ZAGREB, HR-10000, CROATIA</t>
  </si>
  <si>
    <t>Prostor</t>
  </si>
  <si>
    <t>287HO</t>
  </si>
  <si>
    <t>stream temperature; multiple regression; fish habitat; maximum weekly average temperature; MWAT; British Columbia; Temperature Sensitive Stream</t>
  </si>
  <si>
    <t>FORESTED RIPARIAN AREAS; AIR-TEMPERATURE; THERMAL REGIME; CLIMATE-CHANGE; WATER TEMPERATURE; COHO SALMON; CLEAR-CUT; RIVER; SIMULATION; LANDSCAPE</t>
  </si>
  <si>
    <t>[Moore, R. D.] Univ British Columbia, Dept Geog, Vancouver, BC V6T 1Z2, Canada; [Moore, R. D.] Univ British Columbia, Dept Forest Resources Management, Vancouver, BC V6T 1Z2, Canada; [Nelitz, M.] ESSA Technol Ltd, Vancouver, BC, Canada; [Parkinson, E.] British Columbia Minist Environm, Vancouver, BC, Canada</t>
  </si>
  <si>
    <t>Moore, RD (corresponding author), Univ British Columbia, Dept Geog, 1984 West Mall, Vancouver, BC V6T 1Z2, Canada.</t>
  </si>
  <si>
    <t>dan.moore@ubc.ca</t>
  </si>
  <si>
    <t>BC Ministry of Environment; ESSA Technologies Ltd.; British Columbia Forest Science Program [Y07-1057, Y08-2057]; Natural Sciences and Engineering Research Council</t>
  </si>
  <si>
    <t>BC Ministry of Environment; ESSA Technologies Ltd.; British Columbia Forest Science Program; Natural Sciences and Engineering Research Council(Natural Sciences and Engineering Research Council of Canada (NSERC))</t>
  </si>
  <si>
    <t>Matt Gellis, Darren Ham, Jenn Macdonald and Francis Wu all did excellent work related to data collection and processing and conducting literature reviews. Project funding was provided by the BC Ministry of Environment via a contribution agreement to RDM and funding provided to ESSA Technologies Ltd., the British Columbia Forest Science Program (project numbers Y07-1057 and Y08-2057), and via a Discovery Grant from the Natural Sciences and Engineering Research Council to the senior author. Stream temperature data were provided by individuals in government, academia, and industry: Nick Baccante, Tony Botica, Bruce Boyd, Jeff Burrows, Albert Chirico, Tracy Cone, Rob Dolighan, Dennis Einarson, Deb Epps, Barry Finnegan, Greg Henderson, Herb Herunter, Patrick Hudson, David Hutchinson, Peter Jordan, Kym Keogh, Gerry Leering, Jason McCoy, Ian Sharpe, Rod Shead, Mark Shrimpton, Marg Sidney, Terry Sowden, Pat Teti, Lisa Torunski, Warren Warttig, Andrew Wilson, Randy Zemlak, and Norm Zirnhelt. Without the effort of these people, their field staff, and data technicians this work would not have been possible. Sara Howard provided data and spatial layers describing Ecological Aquatic Units across the study area. Air temperature data were extracted from ClimateBC with technical support from Tongli Wang.</t>
  </si>
  <si>
    <t>269NX</t>
  </si>
  <si>
    <t>de Villa, MA; Rajwani, T</t>
  </si>
  <si>
    <t>Andrea de Villa, Maria; Rajwani, Tazeeb</t>
  </si>
  <si>
    <t>The mirror trap Do managerial perceptions influence organizational responses to crises?</t>
  </si>
  <si>
    <t>Crisis; Strategic responses; Organizational responses; Managerial perceptions; Performance; Colombia; Perception; Performance management</t>
  </si>
  <si>
    <t>PERCEIVED UNCERTAINTY; ENVIRONMENT; PERFORMANCE; MANAGEMENT; INDUSTRY; STRATEGY; FIRM</t>
  </si>
  <si>
    <t>Purpose - This study aims to examine the influence of managerial perceptions on the strategic responses adopted by four Colombian organizations when facing a political crisis. Design/methodology/approach - To address this research, face-to-face interviews were conducted with Colombian managers, consultants, journalists, government officials, and industry experts, and triangulated with documents and archival data. Findings - The findings show that the response adopted by each organization was significantly influenced by their manager's perception of the crisis and, consequently, was prone to producing a particular performance outcome. Practical implications - The authors' findings constitute a strong warning call to managers and management teams about the possibility of falling into the mirror trap, through which their organizations will adopt strategic responses influenced by their own perceptions of crises. Originality/value - These findings suggest that managers can affect performance through their individual assessment of a crisis as a threat, an opportunity, or neither one nor the other.</t>
  </si>
  <si>
    <t>[Andrea de Villa, Maria] Univ Eafit, Sch Management, Medellin, Colombia; [Rajwani, Tazeeb] Cranfield Univ, Cranfield Sch Management, Milton Keynes, Bucks, England</t>
  </si>
  <si>
    <t>de Villa, MA (corresponding author), Univ Eafit, Sch Management, Medellin, Colombia.</t>
  </si>
  <si>
    <t>mdevilla@eafit.edu.co</t>
  </si>
  <si>
    <t>Rajwani, Tazeeb/AAC-5799-2019</t>
  </si>
  <si>
    <t>Rajwani, Tazeeb/0000-0003-3913-8480; De Villa, Maria A./0000-0003-4628-6000</t>
  </si>
  <si>
    <t>10.1108/ARLA-05-2013-0044</t>
  </si>
  <si>
    <t>237ZJ</t>
  </si>
  <si>
    <t>WOS:000325909900008</t>
  </si>
  <si>
    <t>Rosenbaum, S</t>
  </si>
  <si>
    <t>Rosenbaum, Stephen</t>
  </si>
  <si>
    <t>Design of contracts between knowledge-intensive service firms in comparative property right settings</t>
  </si>
  <si>
    <t>JOURNAL OF SERVICES MARKETING</t>
  </si>
  <si>
    <t>Inter-firm contracts; Knowledge-intensive service firms; Property right protection; Case studies; Contracts; Property rights; Serbia; Albania</t>
  </si>
  <si>
    <t>INSTITUTIONAL ENVIRONMENT; TRANSITION AGRICULTURE; STRATEGIC ALLIANCES; EMPIRICAL-RESEARCH; FORMAL CONTRACTS; GOVERNANCE; TRUST; MECHANISMS; ECONOMICS; BUSINESS</t>
  </si>
  <si>
    <t>Purpose - This article aims to explore how knowledge-intensive service firms design inter-firm contracts to govern the exchange of highly intangible and inseparable knowledge under varying degrees of property right protection. Design/methodology/approach - This research uses a multiple case study of management consulting firms domiciled in Serbia and Albania. Findings - Firms domiciled in relatively weak property right settings prefer more informal contracts, whereas those in settings of superior property right protection favour greater formality as a means of encouraging the creation and sharing of knowledge, whilst concurrently mitigating the threat of opportunism. Research limitations/implications - This article contributes new knowledge with regard to the design of inter-firm contracts to govern the sharing of highly intangible and inseparable knowledge. In terms of theory, it employs a transaction cost economics approach in which inter-firm contracts are decomposed into five requisite provisions, which are then related to the degree of formality. Practical implications - Knowledge-intensive service firm managers should assess the degree of property right protection when considering the degree of formality of inter-firm contracts. Originality/value - The study constitutes the first attempt to empirically examine how knowledge-intensive service firms craft contracts in different property right settings. With the burgeoning number of cross-border collaborative partnerships between such firms, it offers important insights into the choice of governance mechanism in different property right protection settings.</t>
  </si>
  <si>
    <t>Univ Southern Denmark, Dept Mkt &amp; Management, Odense, Denmark</t>
  </si>
  <si>
    <t>Rosenbaum, S (corresponding author), Univ Southern Denmark, Dept Mkt &amp; Management, Odense, Denmark.</t>
  </si>
  <si>
    <t>sro@sam.sdu.dk</t>
  </si>
  <si>
    <t>Rosenbaum, Stephen/0000-0002-0211-5958</t>
  </si>
  <si>
    <t>0887-6045</t>
  </si>
  <si>
    <t>J SERV MARK</t>
  </si>
  <si>
    <t>J. Serv. Mark.</t>
  </si>
  <si>
    <t>10.1108/JSM-01-2012-0001</t>
  </si>
  <si>
    <t>210YG</t>
  </si>
  <si>
    <t>WOS:000323870700006</t>
  </si>
  <si>
    <t>e-waste; South Africa; discourse; environmental justice; ecological modernization</t>
  </si>
  <si>
    <t>ECOLOGICAL MODERNIZATION; ENVIRONMENTAL-JUSTICE; POLICY; POWER; SUSTAINABILITY; GOVERNANCE; GEOGRAPHY; POLITICS; DURBAN; GREEN</t>
  </si>
  <si>
    <t>Univ Pretoria, Dept Geog Geoinformat &amp; Meteorol, ZA-0028 Hatfield, South Africa</t>
  </si>
  <si>
    <t>Lawhon, M (corresponding author), Univ Pretoria, Dept Geog Geoinformat &amp; Meteorol, Private Bag X20, ZA-0028 Hatfield, South Africa.</t>
  </si>
  <si>
    <t>marylawhon@gmail.com</t>
  </si>
  <si>
    <t>200AO</t>
  </si>
  <si>
    <t>Business education; Knowledge creation; Knowledge sharing; Organizational learning; Management research; Learning; Research</t>
  </si>
  <si>
    <t>MANAGEMENT RESEARCH; RELEVANCE GAP; ORGANIZATION; KNOWLEDGE; CREATION; DIVIDE; FUTURE; RIGOR</t>
  </si>
  <si>
    <t>[Chen, Chun-Yu] Meiho Univ, Pingtung, Taiwan; [Wu, Yen-Chun Jim] Natl Sun Yat Sen Univ, Business Management Dept, Kaohsiung 80424, Taiwan; [Wu, Wen-Hsiung] Kaohsiung Med Univ, Dept Healthcare Adm &amp; Med Informat, Kaohsiung, Taiwan</t>
  </si>
  <si>
    <t>Wu, YCJ (corresponding author), Natl Sun Yat Sen Univ, Business Management Dept, Kaohsiung 80424, Taiwan.</t>
  </si>
  <si>
    <t>wuyenchun@gmail.com</t>
  </si>
  <si>
    <t>Wu, Yen-Chun Jim/F-6648-2010</t>
  </si>
  <si>
    <t>Wu, Yen-Chun Jim/0000-0001-5479-2873</t>
  </si>
  <si>
    <t>MANAGE DECIS</t>
  </si>
  <si>
    <t>Manag. Decis.</t>
  </si>
  <si>
    <t>128VN</t>
  </si>
  <si>
    <t>Corporate Governance; Incentives; Firm Performance; Sweden; Price Performance Sensitivity</t>
  </si>
  <si>
    <t>EXECUTIVE-COMPENSATION; MANAGERIAL OWNERSHIP; RISK-TAKING; PANEL-DATA; STOCK; MARKET; CONSEQUENCES; PAY; DETERMINANTS; GOVERNANCE</t>
  </si>
  <si>
    <t>[Kallunki, Juha-Pekka] Univ Oulu, Dept Accounting, FIN-90014 Oulu, Finland; [Nilsson, Henrik] Stockholm Sch Econ, Stockholm, Sweden</t>
  </si>
  <si>
    <t>Kallunki, JP (corresponding author), Univ Oulu, Dept Accounting, POB 4600, FIN-90014 Oulu, Finland.</t>
  </si>
  <si>
    <t>Juha-Pekka.Kallunki@oulu.fi</t>
  </si>
  <si>
    <t>063JY</t>
  </si>
  <si>
    <t>Sotiriadou, P; Wicker, P</t>
  </si>
  <si>
    <t>Sotiriadou, Popi; Wicker, Pamela</t>
  </si>
  <si>
    <t>Community sports clubs' responses to institutional and resource dependence pressures for government grants</t>
  </si>
  <si>
    <t>ANNALS OF LEISURE RESEARCH</t>
  </si>
  <si>
    <t>community sports club; government funding; grants; institutional processes theory; resource dependence theory; club development</t>
  </si>
  <si>
    <t>ORGANIZATIONAL CAPACITY; STRATEGIC RESPONSES; RESPONSIVENESS; DETERMINANTS</t>
  </si>
  <si>
    <t>The convergence of institutional processes and resource dependence perspectives stresses the notion that organizations choose strategies that address pressures from both their exchange and the institutional environments. Community sports clubs often resort to government grants to offer their member services. This paper examines the processes involved in seeking government grants with the aim of optimizing sports clubs' chances of successfully attracting government grants. Interviews with representatives of 18 sports clubs on the Gold Coast (Australia) show lack of awareness about available funding, uncertainty about the process involved and an overall reluctance to apply. The strategic responses to institutional processes identified are acquiescence and compromise, suggesting that sports clubs chose a passive or the least active forms of response. Some sports clubs have increased their dependence on external consultants to develop the strategic plans which are required for grants. Recommendations for club management are discussed.</t>
  </si>
  <si>
    <t>[Sotiriadou, Popi] Griffith Univ, Dept Tourism Sport &amp; Hotel Management, Southport, Qld, Australia; [Wicker, Pamela] German Sport Univ Cologne, Dept Sport Econ &amp; Sport Management, Cologne, Germany</t>
  </si>
  <si>
    <t>Sotiriadou, P (corresponding author), Griffith Univ, Dept Tourism Sport &amp; Hotel Management, Southport, Qld, Australia.</t>
  </si>
  <si>
    <t>p.sotiriadou@griffith.edu.au</t>
  </si>
  <si>
    <t>Wicker, Pamela/K-7265-2019; Sotiriadou, Popi/M-3410-2019</t>
  </si>
  <si>
    <t>Wicker, Pamela/0000-0001-5818-8470; Sotiriadou, Popi/0000-0003-2498-2179</t>
  </si>
  <si>
    <t>Centre for Tourism, Sport and Service Research</t>
  </si>
  <si>
    <t>The authors would like to thank Glen Tunks and Tassie Williams for collecting the data for this study and the Centre for Tourism, Sport and Service Research for its financial support.</t>
  </si>
  <si>
    <t>1174-5398</t>
  </si>
  <si>
    <t>2159-6816</t>
  </si>
  <si>
    <t>ANN LEIS RES</t>
  </si>
  <si>
    <t>Ann. Leis. Res.</t>
  </si>
  <si>
    <t>10.1080/11745398.2013.853338</t>
  </si>
  <si>
    <t>V71BT</t>
  </si>
  <si>
    <t>WOS:000211550400003</t>
  </si>
  <si>
    <t>Verjee, MA; Robertson-Malt, S</t>
  </si>
  <si>
    <t>Verjee, Mohamud A.; Robertson-Malt, Suzanne</t>
  </si>
  <si>
    <t>Patient-and family-centered care in Qatar: A primary care perspective</t>
  </si>
  <si>
    <t>AVICENNA</t>
  </si>
  <si>
    <t>patient-and family-centered care; primary care; Qatar National Vision; JCI accreditation; sustainable; community; patient education</t>
  </si>
  <si>
    <t>MEDICINE</t>
  </si>
  <si>
    <t>Healthcare policies in Qatar place a high value on the concept of patient and family-centered care (PFCC) in primary care. The Institute of Medicine raised the concern of patient care in 2001 and Davis et al. advocates of PFCC, promoted the concept. The Primary Health Care Corporation (PHCC) and Hamad Medical Corporation (HMC) in Qatar provide all the government health services of the country at this time. They have sought to integrate PFCC into its systems, while preserving the traditional Qatari way of life. Families in times past were excluded from healthcare involvement as medical specialization progressed, but the undervalued importance of families contributing to healthcare was later realized. Twenty-one established health centers in 2013, are to be augmented by thirty more within five years. By 2011, all Qatar's major hospitals and its Ambulance Service had achieved JCI accreditation. Entitlement to government healthcare is free for Qatari nationals, or at a small charge for expatriates who maintain a valid health card. Patients have access to a physician at health centers, but have to be referred for hospital consultant appointments. A range of services is available, including a pharmacy, at every health center. A Charter of Patient, Family, and Children's Rights is in place for HMC supporting family participation in care. The Center for Health Care Improvement (CHCI) was launched in 2008 and focuses on PFCC. Eight core objectives of the CHCI are outlined. Effective patient education with the adoption of sound healthcare policies and fiscal responsibility should help Qatar attain the goals it requires.</t>
  </si>
  <si>
    <t>[Verjee, Mohamud A.] Qatar Fdn Educ City, Weill Cornell Med Coll Qatar, Dept Med Educ, POB 24144, Doha, Qatar; [Robertson-Malt, Suzanne] Univ Adelaide, Fac Hlth Sci, Sch Translat Hlth Sci, Joanna Briggs Inst, Adelaide, SA 5005, Australia</t>
  </si>
  <si>
    <t>Verjee, MA (corresponding author), Qatar Fdn Educ City, Weill Cornell Med Coll Qatar, Dept Med Educ, POB 24144, Doha, Qatar.</t>
  </si>
  <si>
    <t>mov2002@qatar-med.cornell.edu</t>
  </si>
  <si>
    <t>VERJEE, Mohamud/K-7823-2019</t>
  </si>
  <si>
    <t>VERJEE, Mohamud/0000-0002-6710-079X</t>
  </si>
  <si>
    <t>BLOOMSBURY QATAR FOUNDATION JOURNALS</t>
  </si>
  <si>
    <t>DOHA</t>
  </si>
  <si>
    <t>VILLA 3, EDUCATION CITY, PO BOX 5825, DOHA, 00000, QATAR</t>
  </si>
  <si>
    <t>2220-2749</t>
  </si>
  <si>
    <t>Avicenna</t>
  </si>
  <si>
    <t>10.5339/avi.2013.1</t>
  </si>
  <si>
    <t>V4G9J</t>
  </si>
  <si>
    <t>WOS:000218921800001</t>
  </si>
  <si>
    <t>Milenkovic, M</t>
  </si>
  <si>
    <t>Milenkovic, Milos</t>
  </si>
  <si>
    <t>On Maintaining National Identity and Cultural Heritage within European Integrations: Basic Misconceptions and Important Possibilities</t>
  </si>
  <si>
    <t>ETNOANTROPOLOSKI PROBLEMI-ISSUES IN ETHNOLOGY AND ANTHROPOLOGY</t>
  </si>
  <si>
    <t>Republic of Serbia; European Union; European integrations; protection of cultural heritage; maintaining national identity; applied ethnology; applied anthropology; anthropology of the state and law; anthropology of public policy; culturally legitimate elites; interpretative sovereignty</t>
  </si>
  <si>
    <t>Leaning on contemporary transcendence of the national/democratic dichotomy in serbian public sphere and the recent turn from governmental to cultural elites in the incentive policies of the EU and the European Council directed at the Republic of Serbia, the paper recommends a new field of application of ethnology and anthropology, based on previous analyses and modifications of identity policies of the EU. The foundation of the baseless idea of Europe as a framework in which national identities and cultural heritage are weakened or even disappear is considered, and the fact that the EU is the largest global consumer of identity is pointed out, along with the possibilities this brings to the domain of maintaining the national identity and cultural heritage of the citizens of Serbia. Ethnologists and anthropologists can participate in this process not only professionally, as researchers, or privately as political actors, but also in the domain of the application of science, helping culturally legitimate elites recognize that the protection of national identities and cultural heritage within the confines of an international budget is a lucrative, sustainable and efficient way to maintain interpretative sovereignty, especially in times of crisis for national budgets. As ethnologists and anthropologists are professionally trained in for consultancy witjin the domain of identity issues, they are in the unique position to point both sides in the process of European integrations toward the huge potential of further redirecting of incentives toward culturally legitimate elites.</t>
  </si>
  <si>
    <t>[Milenkovic, Milos] Univ Belgrade, Fac Philosophy, Dept Ethnol &amp; Anthropol, Belgrade, Serbia</t>
  </si>
  <si>
    <t>Milenkovic, M (corresponding author), Univ Belgrade, Fac Philosophy, Dept Ethnol &amp; Anthropol, Belgrade, Serbia.</t>
  </si>
  <si>
    <t>milmil@f.bg.ac.rs</t>
  </si>
  <si>
    <t>UNIV BELGRADE, FAC PHILOSOPHY</t>
  </si>
  <si>
    <t>BELGRADE</t>
  </si>
  <si>
    <t>CIKA LJUBINA 18-20, BELGRADE, 11000, SERBIA</t>
  </si>
  <si>
    <t>0353-1589</t>
  </si>
  <si>
    <t>2334-8801</t>
  </si>
  <si>
    <t>ETNOANTROPOLOSKI PRO</t>
  </si>
  <si>
    <t>Etnoantropoloski Probl.</t>
  </si>
  <si>
    <t>VD1VO</t>
  </si>
  <si>
    <t>WOS:000436204100006</t>
  </si>
  <si>
    <t>Nyerere, J; Friso, V</t>
  </si>
  <si>
    <t>Nyerere, Jackline; Friso, Valeria</t>
  </si>
  <si>
    <t>Forums for dialogue between university and industry A case of Kenyatta University, Kenya and University of Padua, Italy</t>
  </si>
  <si>
    <t>EUROPEAN JOURNAL OF TRAINING AND DEVELOPMENT</t>
  </si>
  <si>
    <t>Universities; Industry; Partnerships; Research; Innovation; Kenya; Italy</t>
  </si>
  <si>
    <t>Purpose - This paper aims to analyse comparatively the existing partnerships between the University of Padua and the enterprises in Veneto region, Italy, on one hand and Kenyatta University and industries in Kenya on the other. Design/methodology/approach - This was a case study of the University of Padua in Veneto Region, Italy, and Kenyatta University in Kenya. Data were collected through interviews with university leaders, a questionnaire with both close and open-ended questions for Heads and Department and Deans of Faculty as well as a close and open ended questionnaire for industry representatives. Findings - In comparison, the University of Padua has more forums and platforms through which dialogue with the industry stakeholders is enhanced, with associations like confindustria, the PARIMUN project, the Master association in addition to the alumni association, regular students' attachments and the distance learning programme. In Kenya on the other hand, Kenyatta University has partnerships through the provision of distance learning programmes, alumni associations, consultancies, incubation units and undergraduate course placements for select faculties. Practical implications - The main implication of the study is that there are many avenues through which university industry partnerships can be enhanced. These range from joint research projects between university and industry, industry input in university course implementations and feedback the supply and demand of graduates in the job market. Originality/value - The findings of this study are important to the government, university and industry stakeholders in Kenya in that they provide information on the possible forums for collaborations and the importance of these forums in provision of relevant higher education that can aid sustainable development.</t>
  </si>
  <si>
    <t>[Nyerere, Jackline] Kenyatta Univ, Dept Educ Management Policy &amp; Curriculum Studies, Nairobi, Kenya; [Friso, Valeria] Univ Padua, Fac Educ, Padua, Italy</t>
  </si>
  <si>
    <t>Nyerere, J (corresponding author), Kenyatta Univ, Dept Educ Management Policy &amp; Curriculum Studies, Nairobi, Kenya.</t>
  </si>
  <si>
    <t>anyjkw@yahoo.com</t>
  </si>
  <si>
    <t>Nafukho, Fredrick Muyia/AAH-4937-2019; Nyerere, Jackline/T-6291-2018</t>
  </si>
  <si>
    <t>Nafukho, Fredrick Muyia/0000-0001-5175-3502; Nyerere, Jackline/0000-0001-6924-3092</t>
  </si>
  <si>
    <t>2046-9012</t>
  </si>
  <si>
    <t>2046-9020</t>
  </si>
  <si>
    <t>EUR J TRAIN DEV</t>
  </si>
  <si>
    <t>Eur. J. Train. Dev.</t>
  </si>
  <si>
    <t>10.1108/EJTD-10-2012-0060</t>
  </si>
  <si>
    <t>V19IP</t>
  </si>
  <si>
    <t>WOS:000214813000005</t>
  </si>
  <si>
    <t>Heras-Saizarbitoria, I; Boiral, O</t>
  </si>
  <si>
    <t>Heras-Saizarbitoria, Inaki; Boiral, Olivier</t>
  </si>
  <si>
    <t>ISO 9001 and ISO 14001: Towards a Research Agenda on Management System Standards</t>
  </si>
  <si>
    <t>INTERNATIONAL JOURNAL OF MANAGEMENT REVIEWS</t>
  </si>
  <si>
    <t>VOLUNTARY ENVIRONMENTAL-PROGRAMS; FIRM SELF-REGULATION; ISO-9000 CERTIFICATION; FINANCIAL PERFORMANCE; QUALITY MANAGEMENT; GLOBAL DIFFUSION; RESPONSIBLE CARE; UNITED-STATES; ISO-14001; ADOPTION</t>
  </si>
  <si>
    <t>Management system standards, also called meta-standards, have been adopted by an increasing number of organizations across the world. Although these management system standards are based on the same type of management principles and institutional arrangements, the literature remains scattered, with diverse studies focused on specific standards and published in various journals. The main objective of this paper is to analyse the academic research on meta-standards through an integrative review intended to shed light on the main conclusions and substantial advances made in this area. This integrative review focuses more specifically on the two main meta-standards which have been adopted by more than 1.3 million organizations worldwide: ISO 14001 and ISO 9001. The paper contributes insights into the main streams of the literature and current knowledge gaps to be addressed in future research on the various issues related to meta-standards: global governance, diffusion processes, motivations, benefits of adoption and impacts on performance, internalization, integration, consultancy and auditing.</t>
  </si>
  <si>
    <t>[Heras-Saizarbitoria, Inaki] Univ Basque Country UPV EHU, EUE Empresariales, Dept Management, San Sebastian 20018, Spain; [Boiral, Olivier] Univ Laval, Fac Sci Adm, Dept Management, Quebec City, PQ G1V 0A6, Canada</t>
  </si>
  <si>
    <t>Heras-Saizarbitoria, I (corresponding author), Univ Basque Country UPV EHU, EUE Empresariales, Dept Management, Plaza Onati 1, San Sebastian 20018, Spain.</t>
  </si>
  <si>
    <t>iheras@ehu.es</t>
  </si>
  <si>
    <t>Heras-Saizarbitoria, Iñaki/ABB-6290-2020</t>
  </si>
  <si>
    <t>Heras-Saizarbitoria, Iñaki/0000-0002-9337-1374; Boiral, Olivier/0000-0002-9722-7644</t>
  </si>
  <si>
    <t>1460-8545</t>
  </si>
  <si>
    <t>1468-2370</t>
  </si>
  <si>
    <t>INT J MANAG REV</t>
  </si>
  <si>
    <t>Int. J. Manag. Rev.</t>
  </si>
  <si>
    <t>10.1111/j.1468-2370.2012.00334.x</t>
  </si>
  <si>
    <t>057BH</t>
  </si>
  <si>
    <t>WOS:000312536300004</t>
  </si>
  <si>
    <t>Cypriano, PD</t>
  </si>
  <si>
    <t>Dos Santos Cypriano, Pedro</t>
  </si>
  <si>
    <t>Hotel development in Brazil: market overview and perspectives</t>
  </si>
  <si>
    <t>INVESTIGACIONES TURISTICAS</t>
  </si>
  <si>
    <t>Overview; perspective; outlook; barrier; risk; opportunity; investment; hotel industry; Brazil</t>
  </si>
  <si>
    <t>EXPANSION</t>
  </si>
  <si>
    <t>The actual international economic environment is adverse ( International Monetary Fund, 2012; The World Bank, 2012) and unfavorable to business hotels in major world economies. The volume of investments has fallen harshly, getting funding is no longer as simple and dominates the climate of uncertainty due to the crisis (Ernst &amp; Young, 2012; Horwath, 2012; Jones Lang LaSalle, 2011a). Brazil, having undergone deep socioeconomic changes, nowadays lives in a more stable environment, with good prospects for midterm evolution (Giambiagi et al., 2011; Brazil, 2012b). Improvements are remarkable also in tourism (Brazil, 2010a) and national and international players are currently studying various potential hotel investments in the country (Hotel Invest, 2011 and 2012; JLLS, 2011b and 2012b). However, there is an important question: What is the current situation and the real outlook of hotel development in Brazil? To answer this question, it was necessary to analyze the overview of the Brazilian hospitality industry regarding its characterization, performance and leading companies present supply. It is also necessary to investigate the barriers, risks, opportunities, and perspectives related to hotel investments in the country. This is an exploratory study based on literature review, surveys with 29 managing directors (of Brazilian and international hotel chains, consulting companies, sectorial entities, developers, and a REIT) and in-depth interviews with 10 of the surveyed experts. The 20 hotel chains that participated in this survey represent more than 73,000 rooms in nearly 450 hotels nationwide, approximately 72% of the supply chain available in Brazil. Essentially qualitative methods were used in the methodology, including the validation of the results by pattern-matching. Among the main results, it was concluded that Brazil is undergoing a new round of hotel expansion. Again with low and medium comfort hotels, intended for domestic and corporate market, with probable prevalence of strategic alliances, condo-hotels, and other non-equity strategies. However, now in a more decentralized manner, in cities from small to large size and with prospects of participation, even timid but with growth potential, of new players, such as REITs. Moreover, the country walks towards more favorable financing terms (though still inadequate due to the requirement and bureaucracy to release credit), with an intense decrease in interest rates and lower requirements of profitability from investors. Future perspectives are optimistic. However, a risk of oversupply in specific cities and competitive GAPs in the country's tourism and hospitality industry are a signal of alert and must be studied carefully by companies, governments, and universities.</t>
  </si>
  <si>
    <t>[Dos Santos Cypriano, Pedro] Univ Alicante, Alicante, Spain</t>
  </si>
  <si>
    <t>Cypriano, PD (corresponding author), Univ Alicante, Alicante, Spain.</t>
  </si>
  <si>
    <t>cypriano.pedro@gmail.com</t>
  </si>
  <si>
    <t>2174-5609</t>
  </si>
  <si>
    <t>INVESTIG TUR</t>
  </si>
  <si>
    <t>Investig. Tur.</t>
  </si>
  <si>
    <t>V34BT</t>
  </si>
  <si>
    <t>WOS:000215809200008</t>
  </si>
  <si>
    <t>Pakhomov, A; von Cramon-Taubadel, V; Marat, B</t>
  </si>
  <si>
    <t>Pakhomov, Anton; von Cramon-Taubadel, Viola; Marat, Balasanyan</t>
  </si>
  <si>
    <t>Architecture and dynamics of Russian-German economic relations</t>
  </si>
  <si>
    <t>JOURNAL OF ENTERPRISING COMMUNITIES-PEOPLE AND PLACES OF GLOBAL ECONOMY</t>
  </si>
  <si>
    <t>Exports; Foreign trade turnover; GDP; Germany; Imports; Russia</t>
  </si>
  <si>
    <t>Purpose - Trade and economic cooperation between Russia and Germany is traditionally among the most advanced areas of bilateral relations. In the framework of bilateral cooperation in both directions are the flows of goods, direct investments, credit and financial resources, transport-logistics, construction, consulting services and market know-how, the exchange of labor and high technologies. The overall macroeconomic situation in Russia is clearly not an obstacle to operate on the Russian market, although some accompanying phenomena deter investors. The aim of this paper is to explore the architecture and dynamics of Russian-German economic relations. Design/methodology/approach - It is necessary to take notice of the rules relating to the protection of property, business liability and compliancewith contractual relations. It is important not only to decrease taxes, but also to provide a tax system which is understandable and transparent, to avoid arbitrary exactions carried out by local authorities. Political stability, reasonable and predictable economic policies and an enabling institutional environment of business in Russia are themost important conditions for the growth of capital investments by German companies in the Russian economy and the development of trade relations. It is also necessary to solve particular problems, especially those related to financial risk coverage, both investors and exporters. It is advisable to raise the question of the establishment of special insurance fund, whichwould not have proceeded from political problems, and performance evaluations of specific projects for both sides. There are extremely important balanced andworked out lawsas well as the presence of mechanisms for their implementation. The Russian authoritiesmust develop and implement a clear strategy to support business in a foreign country and make great efforts to diversify exports, aware that initially it will be associated with certain costs. Findings - Priority should be given to the promotion of scientific and technological cooperation between our countries and promoting joint ventures in high technologies. It is exactly in the sphere of high-tech, but not in the primary sector Russia has got a good chance due to the great intellectual potential, and education in Russia is one of the best in the world. Very promising -although it is not granting a quick and large-scale impact -it is supporting participation on both markets as small and medium-sized firms engaged in production activities. The paper has already established some bases for expansion of mutual presence: only in Moscow there are 739 representative offices and branches of German companies and legal entities in 2110, and in general in Russia there are 5205 German entities. In Germany also there are about 300 Russian trade associations, joint ventures and individual firms. Originality/value - The paper shows the dynamics of Russian-German economic relations during the period from 1970 until 2011. The paper considered the interaction structure of both economics. Statistical data of macroeconomic and foreign trade indicators are given.</t>
  </si>
  <si>
    <t>[Pakhomov, Anton] Reshenye LLC, Moscow, Russia; [von Cramon-Taubadel, Viola] Parliament Germany, Berlin, Germany; [von Cramon-Taubadel, Viola] PACE, Berlin, Germany; [Marat, Balasanyan] Vostok Corp, Moscow, Russia</t>
  </si>
  <si>
    <t>Pakhomov, A (corresponding author), Reshenye LLC, Moscow, Russia.</t>
  </si>
  <si>
    <t>imappakhomov@gmail.com</t>
  </si>
  <si>
    <t>Cingula, Marijan/H-7630-2018</t>
  </si>
  <si>
    <t>Cingula, Marijan/0000-0003-0561-6106</t>
  </si>
  <si>
    <t>10.1108/17506201311315572</t>
  </si>
  <si>
    <t>V07EC</t>
  </si>
  <si>
    <t>WOS:000213990100003</t>
  </si>
  <si>
    <t>Jordan, EJ; Vogt, CA; Kruger, LE; Grewe, N</t>
  </si>
  <si>
    <t>Jordan, E. J.; Vogt, C. A.; Kruger, L. E.; Grewe, N.</t>
  </si>
  <si>
    <t>The interplay of governance, power and citizen participation in community tourism planning</t>
  </si>
  <si>
    <t>JOURNAL OF POLICY RESEARCH IN TOURISM LEISURE AND EVENTS</t>
  </si>
  <si>
    <t>social and community change; tourism industry stakeholders; collaboration; sustainability; case study</t>
  </si>
  <si>
    <t>EMPOWERMENT</t>
  </si>
  <si>
    <t>This research examines a unique case of tourism planning and explores the relationships between governance, power, and citizen participation in community decision-making. In less than two years, the community of Sitka, Alaska, undertook two separate tourism-planning processes in response to proposed tourism development. The first plan followed a participant-led governance structure; the second plan a council-led governance structure. The participant-led governance structure produced a plan through a collaborative process that empowered citizen participants and sought to limit growth, while the council-led structure utilized an external consultant and produced a more pro-growth plan that downplayed citizen concern for maintaining quality of life. The council-led plan was adopted as the guiding document for the community. Ultimately, the power over plan adoption and implementation lay in the hands of the local government, creating a stressful community environment for many involved in both planning processes. Evidence of the advantages and disadvantages of citizen participation in each planning process is presented.</t>
  </si>
  <si>
    <t>[Jordan, E. J.; Vogt, C. A.] Michigan State Univ, Dept Community Agr Recreat &amp; Resource Studies, E Lansing, MI 48824 USA; [Kruger, L. E.] Pacific Northwest Res Stn, United States Dept Agr Forest Serv, Juneau, AK USA; [Grewe, N.] Nicole Grewe Consulting, Juneau, AK USA</t>
  </si>
  <si>
    <t>Jordan, EJ (corresponding author), Michigan State Univ, Dept Community Agr Recreat &amp; Resource Studies, E Lansing, MI 48824 USA.</t>
  </si>
  <si>
    <t>jordanev@gmail.com</t>
  </si>
  <si>
    <t>Jordan, Evan/0000-0002-6924-2628</t>
  </si>
  <si>
    <t>US Department of Agriculture Forest Service Pacific Northwest Research Station [PNW 09-JV-11261935-057]; Michigan AgBioResearch</t>
  </si>
  <si>
    <t>US Department of Agriculture Forest Service Pacific Northwest Research Station(United States Department of Agriculture (USDA)United States Forest Service); Michigan AgBioResearch</t>
  </si>
  <si>
    <t>Research funded by US Department of Agriculture Forest Service Pacific Northwest Research Station (Joint venture agreement PNW 09-JV-11261935-057) and Michigan AgBioResearch.</t>
  </si>
  <si>
    <t>1940-7963</t>
  </si>
  <si>
    <t>1940-7971</t>
  </si>
  <si>
    <t>J POLICY RES TOUR LE</t>
  </si>
  <si>
    <t>J. Policy Res. Tour. Leis. Events</t>
  </si>
  <si>
    <t>10.1080/19407963.2013.789354</t>
  </si>
  <si>
    <t>V14ZY</t>
  </si>
  <si>
    <t>WOS:000214520100004</t>
  </si>
  <si>
    <t>Krivoruchko, OS</t>
  </si>
  <si>
    <t>Krivoruchko, O. S.</t>
  </si>
  <si>
    <t>Marketing diagnostics in consumer cooperatives trade enterprises</t>
  </si>
  <si>
    <t>MARKETING AND MANAGEMENT OF INNOVATIONS</t>
  </si>
  <si>
    <t>marketing diagnostics; trade enterprises; consumer cooperatives; levels of marketing diagnostics; external marketing diagnostics; internal marketing diagnostics</t>
  </si>
  <si>
    <t>The aim of the article. The article highlights main demands and levels of realization of consumer cooperatives trade enterprises' diagnostics. We demonstrate the chain of marketing diagnostics; we offer the model of diagnostics process of marketing problems (opportunities) of cooperative trade enterprises. The results of the analysis. Marketing diagnostics is one of the marketing researches directions, which is matching of the researched object characteristics with comparison base for definition of object's quality condition (its diagnosis). In the context of our research marketing diagnostics should be considered as separate technological module which enables to form development backgrounds of competitive marketing strategies of consumer cooperatives trade enterprises according to conditions of inner and outer environment. We consider the following demands of marketing diagnostics conduction of consumer cooperatives trade enterprises: authenticity, objectivity, accuracy, resultativity, systematicness, sequence, scientific foundation, flexibility, timeliness, effectiveness, validity. Strategic diagnostics is the direction of researches that is responsible for receiving the information, necessary for further functioning of the enterprise. We should refer to comparative researches of strategic state of enterprise economy portfolio, enterprise competitiveness estimation, and enterprise activity threats and possibilities definition. Tactical diagnostics is the researches direction which forms information for plans programs development. Economy interest matching of marketing activity participants in this situation gains special meaning. Due to this meaning the procedures of their sequence can be developed. We consider the mentioned type of diagnostics to be insufficiently researched nowadays, though it has significant importance in the process of managerial decisions supporting and making. The main task of operative diagnostics is defining deviation borders of enterprise functioning from planned target parameters. Methods of marketing diagnostics are: calculative (methods of comparison, organization and modeling) and heuristic (methods of estimation, searching-estimation). Diagnostics can be conducted by administration and enterprise workers, outer consultants, mixed groups of experts - inner and outer specialists in combination. Outer consultant's attraction necessity appears while unforeseen, untypical situations in consumer cooperatives trade enterprises functioning. Marketing diagnostics which involves local specialists must be constant component in enterprises activities. The author of the article offers to conduct the chain of marketing diagnostics due to the following stages: interviewing of experts and staff; secondary information analysis; immediate contact with marketing diagnostics objects; preparing analytical information about marketing diagnostics results. In the process of problems and potential opportunities diagnostics, which appear while forming and realization competitive marketing strategies of consumer cooperatives trade enterprises, presence of marketing informational system is particularly important. It is part and parcel of information providing system of every enterprise subjects. Undoubtedly, application of marketing informational system favors to gaining while marketing researches, inner and outer information transformation into necessary resources for taking correspondent managerial decisions. But episodic marketing researches are unable to produce quality information about objective situation of further enterprise functioning. Process of enterprises and organizations development problems must have systematic character. We should note that creation and support of constantly working informational system is complicated in consumer cooperatives trade enterprises activity. In our case it is necessary to send separate functions, parts, stages of marketing researches to side-organizations, specializing upon providing necessary information to the subjects. Diagnostics of marketing problems (opportunities) of enterprises is a process at which further work is based all. Inner diagnostics includes the following research directions: analysis of product portfolio, assortment policy, expenses and profit norms due to current assortment of trade enterprise; analysis and diagnostics of main parameters of enterprise commercial activity; estimation of enterprise promotional activity; effectiveness estimation of main business process of trade enterprise; diagnostics of effectivity of managerial activity; diagnostics of staff and organizational structure of enterprise; estimation of correspondence of profit norms and market trade off availability due to each group of goods; marketing activities effectiveness analysis; analysis of general effectiveness of enterprise functioning and so on. Outer diagnostics is conducted according to such factors of macro and micro environment: macroenvironment condition, market condition, competitors, public opinion and consumer behavior, etc. Conclusions and directions of further researches. In conclusion we can state that analysis of inner and outer diagnostics criteria gives information about marketing potential and possibilities of reorientation of trade enterprises into market sufficient functioning concept due to which forming and management background of their competitive marketing strategies appear.</t>
  </si>
  <si>
    <t>[Krivoruchko, O. S.] Poltava Univ Econ &amp; Trade, Higher Educ Inst Ukoopspilka, Dept Mkt, Poltava, Ukraine</t>
  </si>
  <si>
    <t>Krivoruchko, OS (corresponding author), Poltava Univ Econ &amp; Trade, Higher Educ Inst Ukoopspilka, Dept Mkt, Poltava, Ukraine.</t>
  </si>
  <si>
    <t>SUMY STATE UNIV, DEPT MARKETING &amp; MIA</t>
  </si>
  <si>
    <t>SUMY</t>
  </si>
  <si>
    <t>RYMSKIY-KORSAKOV ST 2, SUMY, 40007, UKRAINE</t>
  </si>
  <si>
    <t>2218-4511</t>
  </si>
  <si>
    <t>MARK MANAG INNOV</t>
  </si>
  <si>
    <t>Mark. Manag. Innov.</t>
  </si>
  <si>
    <t>V9S3A</t>
  </si>
  <si>
    <t>WOS:000422478500020</t>
  </si>
  <si>
    <t>Ryzhyk, IO</t>
  </si>
  <si>
    <t>Ryzhyk, I. O.</t>
  </si>
  <si>
    <t>The prospects of marketing dairy cooperatives development in Ukraine</t>
  </si>
  <si>
    <t>sales; agricultural service cooperatives; marketing dairy cooperatives</t>
  </si>
  <si>
    <t>The aim of the article. The aim of this article is to analyze the benefits of dairy marketing cooperatives development for small farms, milk producers. Author proposes functional development models to reflect the functions of the cooperative. The results of the analysis. The article identifies such benefits of marketing cooperation: - the increase of the efficiency of dairy production through specialization with the help of individual savings which are paid by members of the cooperative supply (storage and transportation of milk); - protection of members from other manifestations of monopoly (commercial) sales structures; - allowance to have economic benefits for each individual member of the cooperative. The author has noted that in order to improve the efficiency of the marketing of products, dairy cooperative has to comply with the following requirements: 1. It should have its own material and technical base. If there are no significant capital investments, it is appropriate contracts for rental of space to third parties. 2. It should buy its own vehicles, make rational schemes and routes of milk collection and maximize the use of available specialized transport. 3. It must operate on large volumes of products. To do this, one person must carry out a significant number of functions, including the processing and marketing of dairy products produced by plants on the basis of their own material and technical base. 2. Cooperative is recommended to have an expanded customer base that will allow selling products, even if one of the clients violates contractual liabilities. The author has determined important factors for sustainable operation and development of the dairy cooperative marketing activities such as high: - quality products conforming to European standards; - close cooperation with consulting services (getting qualified support) can be very valuable for improving the quality and volume of sales; - a wide product range of UHT milk fat content (milk must be in the range of other dairy products - cream, kefir, fermented baked milk, yogurt, sour cream, cottage cheese); - implement sound policies and advertising public relations campaign; - being a part of the organizational structure of qualified marketing service (or at least the responsible competent employee); - constantly working on the development of the local market (for example, the supply of milk to schools in consultation with the cities and districts of the region); - flexible pricing policy, including a differentiated system of discounts and payment conditions for different categories of consumers. Conclusions and directions of further researches. In order to develop and improve the effectiveness of current Ukrainian dairy marketing cooperatives a gradual expansion of the range of their services has been offered. In this case, the strategic goal of each of them should be the following: the formation of the most appropriate model in which the dairy cooperative has its own material and technical base, refines, sells dairy products and has expanded its customer base. In this case, the organizational structure of the cooperative must evolve gradually, taking into account its financial capacity. The results of this research can be used in further scientific research to substantiate the development of agricultural service cooperatives and practice of marketing dairy cooperatives.</t>
  </si>
  <si>
    <t>[Ryzhyk, I. O.] Poltava Univ Econ &amp; Trade, Higher Educ Inst Ukoopspilka, Dept Econ Theory &amp; Appl Econ, Poltava, Ukraine</t>
  </si>
  <si>
    <t>Ryzhyk, IO (corresponding author), Poltava Univ Econ &amp; Trade, Higher Educ Inst Ukoopspilka, Dept Econ Theory &amp; Appl Econ, Poltava, Ukraine.</t>
  </si>
  <si>
    <t>WOS:000422478500023</t>
  </si>
  <si>
    <t>Franco, E</t>
  </si>
  <si>
    <t>Franco, Erika</t>
  </si>
  <si>
    <t>Bicentennial memory: Bogota's Eastern Mountains (1810-2010). A review of the current state of knowledge</t>
  </si>
  <si>
    <t>NODO</t>
  </si>
  <si>
    <t>Knowledge; history; ecological structure; Eastern Mountains; Bogota-Colombia</t>
  </si>
  <si>
    <t>Review article that compiles mostly published literature about Bogota's Eastern Mountains over the last two centuries, between 1810 and 2010, including 255 written works among research consultancy reports, government projects, regulatory bodies' follow-ups and evaluations, undergraduate and graduate thesis, letters, news bulletins, scientific papers of national and international journals, books, official policies, and audiovisual presentations. All found documents were sorted within four fields of knowledge: social sciences, natural sciences, technical/environmental sciences, and local facts; three main characteristics were analyzed: i) Scope: basic, practical, theoretical. ii) Approach: disciplinary, interdisciplinary, transdisciplinary. iii) Team: one researcher, two researchers, research group; and the following frameworks were considered: administrative, historical, ecological, cultural, and human-rights advocacy.</t>
  </si>
  <si>
    <t>[Franco, Erika] Univ Pablo Olavide, Seville, Spain</t>
  </si>
  <si>
    <t>Franco, E (corresponding author), Univ Pablo Olavide, Proc Invest Alcanzar Titulo, Seville, Spain.</t>
  </si>
  <si>
    <t>UNIV ANTONIO NARINO</t>
  </si>
  <si>
    <t>CARRERA 3 ESTE NO 47 A-15, SEDE CIRCUNVALAR, BOGOTA, 00000, COLOMBIA</t>
  </si>
  <si>
    <t>1909-3888</t>
  </si>
  <si>
    <t>2346-092X</t>
  </si>
  <si>
    <t>Nodo</t>
  </si>
  <si>
    <t>V5M3T</t>
  </si>
  <si>
    <t>WOS:000219739200008</t>
  </si>
  <si>
    <t>Tugas, CG; Carvacho, CB</t>
  </si>
  <si>
    <t>Tugas, Clemencia Gonzalez; Bellei Carvacho, Cristian</t>
  </si>
  <si>
    <t>Sustainability of the school improvement prompted by educational technical assistance</t>
  </si>
  <si>
    <t>PERSPECTIVA EDUCACIONAL</t>
  </si>
  <si>
    <t>educational technical assistance; sustainability; school improvement; educational policies; teacher training</t>
  </si>
  <si>
    <t>We applied a qualitative collective case study approach to study the sustainability of school improvement processes prompted by external educational technical assistance. We studied four schools that received a four-year external support and increased their students. academic results, comparing two cases in which those increases were sustained after three years of the end of the program with two cases in which the increases were not sustained. We identified a set of conditions, characteristics and processes, at the school, teachers, local authorities and consultants, that we associated with the observed differences in the sustainability of the school improvement processes. We interpreted those results as linked to two contrasting types of school improvement: a non-substantive, parceled, superficial and unstable school improvement, and other collective, deep, and multidimensional, which we defined as genuine school improvement.</t>
  </si>
  <si>
    <t>[Tugas, Clemencia Gonzalez] Ecole Hautes Etud Sci Sociales, Paris, France; [Bellei Carvacho, Cristian] Ctr Invest Avanzada, Santiago, Chile</t>
  </si>
  <si>
    <t>Carvacho, CB (corresponding author), Univ Chile, Ctr Invest Avanzada Educ, Periodista Jose Carrasco Tapia 75, Santiago, Chile.</t>
  </si>
  <si>
    <t>EDICIONES UNIV VALPARAISO</t>
  </si>
  <si>
    <t>CASILLA 1415, VALPARAISO, 00000, CHILE</t>
  </si>
  <si>
    <t>0718-9729</t>
  </si>
  <si>
    <t>PERSPECT EDUCAC</t>
  </si>
  <si>
    <t>Perspect. Educac.</t>
  </si>
  <si>
    <t>V31DI</t>
  </si>
  <si>
    <t>WOS:000215610500003</t>
  </si>
  <si>
    <t>Dominiak, J</t>
  </si>
  <si>
    <t>Dominiak, Joanna</t>
  </si>
  <si>
    <t>The role of the business environment in regional development in Poland</t>
  </si>
  <si>
    <t>business environment; innovative environment; Poland; regional development</t>
  </si>
  <si>
    <t>PRODUCER SERVICES; POLICY</t>
  </si>
  <si>
    <t>In the modern transformation of the socio-economic system, a shaped environment of the economic activity is an important factor of development. The influence of business environment on the development of a region can be analyzed in many ways. Business institutions have an impact on the investment attractiveness of a region, and the level of its competitiveness. By the relation between innovation and industry, they contribute to the development of high technology industries, innovativeness in the region, and also the formation of a knowledge-based economy. These institutions also directly support economic activities in small and medium-size enterprises in particular, providing information, advisory and training (training and consultancy) as well as financial (loan and guarantee funds) support for doing business. Taking an active part in the networks of relations of science and business practices allow the formation of a modern regional economy. The article aims to analyze the level and dynamics of development of the business environment in 2000-2009 in a regional context and the characteristics of the relationship between the level of development of business environment and the level of socio-economic development of regions. This article is an attempt to answer the following questions: (1) what the regional differentiation of business environment development in Poland is, (2) what the dynamics of business development in the regions in 2002-2009 was, and (3) what the relationship between level of development of business environment and regional level of socio-economic development is.</t>
  </si>
  <si>
    <t>[Dominiak, Joanna] Adam Mickiewicz Univ, Inst Geog Spoleczno Ekon &amp; Gospodarki Przestrzenn, Ul Dziegielowa 27, PL-61680 Poznan, Poland</t>
  </si>
  <si>
    <t>Dominiak, J (corresponding author), Adam Mickiewicz Univ, Inst Geog Spoleczno Ekon &amp; Gospodarki Przestrzenn, Ul Dziegielowa 27, PL-61680 Poznan, Poland.</t>
  </si>
  <si>
    <t>dominiak@amu.edu.pl</t>
  </si>
  <si>
    <t>VG8EJ</t>
  </si>
  <si>
    <t>WOS:000448631900004</t>
  </si>
  <si>
    <t>refugee; mental health; Lebanon; Libya</t>
  </si>
  <si>
    <t>[Hankir, Ahmed] Univ Manchester, Psychiat, Manchester, England; [Sadiq, Asad] Fairfield Hosp, Bury, England</t>
  </si>
  <si>
    <t>Hankir, A (corresponding author), Univ Manchester, Psychiat, Manchester, England.</t>
  </si>
  <si>
    <t>ahmedzakaria@doctors.org.uk</t>
  </si>
  <si>
    <t>V45JZ</t>
  </si>
  <si>
    <t>Nyikos, G</t>
  </si>
  <si>
    <t>Nyikos, Gyorgyi</t>
  </si>
  <si>
    <t>The Impact of Developments Implemented from Public Finances, with Special Regard to EU Cohesion Policy</t>
  </si>
  <si>
    <t>PUBLIC FINANCE QUARTERLY-HUNGARY</t>
  </si>
  <si>
    <t>development-oriented utilisation of public funds; investment impact; effectiveness-utility; evaluation</t>
  </si>
  <si>
    <t>In the latest, most recent phases of the economic crisis when the economic and governmental actors are regularly consulting with each other about the direction that should be followed, it is essential to determine how to use the limited resources available - for the purposes of this topic, the resources aimed at development - in the most efficient and sustainable way. Naturally, in order to be able to assess the efficiency of resource use, one must first decide what should be measured and how. The assessment of public investments and the impact of EU cohesion policy is controversial; assessing necessity, utility and sustainability is no easy task. It is clear, however, that the terms of the assessment of development policy interventions have shifted from the success of the absorption of development resources towards a stronger enforcement of the aspects of efficiency and effectiveness.</t>
  </si>
  <si>
    <t>nyikos.gyorgyi@uni-nke.hu</t>
  </si>
  <si>
    <t>Nyikos, Györgyi/Y-6455-2019</t>
  </si>
  <si>
    <t>Nyikos, Györgyi/0000-0001-8934-8131</t>
  </si>
  <si>
    <t>STATE AUDIT OFFICE HUNGARY</t>
  </si>
  <si>
    <t>BECSI U 5, BUDAPEST, 1052, HUNGARY</t>
  </si>
  <si>
    <t>0031-496X</t>
  </si>
  <si>
    <t>PUBLIC FINANC Q-HUNG</t>
  </si>
  <si>
    <t>Public Financ. Q.-Hung.</t>
  </si>
  <si>
    <t>V6R8E</t>
  </si>
  <si>
    <t>WOS:000420556700004</t>
  </si>
  <si>
    <t>Agudo Sanchiz, A</t>
  </si>
  <si>
    <t>Agudo Sanchiz, Alejandro</t>
  </si>
  <si>
    <t>The socialization of the anthropologist-consultant: from practice to the normative frameworks of policy</t>
  </si>
  <si>
    <t>REVISTA DE ANTROPOLOGIA SOCIAL</t>
  </si>
  <si>
    <t>anthropology and consultancy; public policy; Mexico; development; impact assessment</t>
  </si>
  <si>
    <t>Whether they reject or advocate so-called applied anthropology, many anthropologists share logics similar to those of the members of policy's professional communities. This overlap is reflected in assumptions about the separation of theory and its practice, as well as in different attempts to resolve the tension between the general and the particular. Both these similarities and the epistemological differences between anthropology and policy are outlined here through an account of a development programme's impact assessment. Even before beginning fieldwork and returning with their ethnographic descriptions to the institutional arenas of policy, anthropologist-consultants are disciplined and socialized into the art of reinterpreting their research results in terms of the programme's model. Practice produces and orders policy, yet such practice resides precisely in the interpretive efforts by diverse development practitioners to sustain coherent representations of reality against the contingency of events.</t>
  </si>
  <si>
    <t>[Agudo Sanchiz, Alejandro] Univ Iberoamer, Dept Ciencias Sociales &amp; Polit, Mexico City, DF, Mexico</t>
  </si>
  <si>
    <t>Agudo Sanchiz, A (corresponding author), Univ Iberoamer, Dept Ciencias Sociales &amp; Polit, Mexico City, DF, Mexico.</t>
  </si>
  <si>
    <t>alejandro.agudo@ibero.mx</t>
  </si>
  <si>
    <t>1131-558X</t>
  </si>
  <si>
    <t>1988-2831</t>
  </si>
  <si>
    <t>REV ANTROPOL SOC</t>
  </si>
  <si>
    <t>Rev. Antropol. Soc.</t>
  </si>
  <si>
    <t>V9P1B</t>
  </si>
  <si>
    <t>WOS:000408917600008</t>
  </si>
  <si>
    <t>Olga, VA</t>
  </si>
  <si>
    <t>Olga, Afanasieva, V</t>
  </si>
  <si>
    <t>PUBLIC REPORTING COMPANIES: BETWEEN SOCIAL RESPONSIBILITY AND PERVASIVE MARKETING</t>
  </si>
  <si>
    <t>VOPROSY GOSUDARSTVENNOGO I MUNITSIPALNOGO UPRAVLENIYA-PUBLIC ADMINISTRATION ISSUES</t>
  </si>
  <si>
    <t>financial and non-financial reporting; corporative social responsibility</t>
  </si>
  <si>
    <t>The article analyses the corporations' social responsibility problem that requires an integrated approach, with taking into account legal, administrative, economic and political components. The subject of the article is a public (corporative) reporting institute, regarded: a) as a result of the struggle among various social interests, b) as an inner contradictory phenomenon combining within itself the answers to the social demand and technologies of the corporation positioning. The outcomes of the research: showing corporative social responsibility by preparing and publishing reports on a sustainable development is for corporations a sine qua non, dictated by the economic necessity, rather than a matter of moral choice. 74% of business companies make social reports with a view of their economic considerations. Preparation of public reports on the sustainable development, following preparation of financial reports, has become a market of corporative services on which consulting companies work and compete. The leading consulting companies on the corporative social responsibility (CSR) work both at the finance reporting market and take part in the development of accounting and auditing standards, and off er their services on implementing these standards. Conclusions: improvement and extension of the corporative social responsibility are not said to have made business more responsible, however, rational criticism of methods and practices of public reporting is to promote reforming this institute of social transparence without prejudice developing its positive potential.</t>
  </si>
  <si>
    <t>[Olga, Afanasieva, V] Natl Res Univ, Higher Sch Econ, Law, Moscow, Russia; [Olga, Afanasieva, V] Natl Res Univ, Higher Sch Econ, Integrated Commun Dept, Moscow, Russia; [Olga, Afanasieva, V] Fund Legal Problems Federalism &amp; Local Self Govt, Moscow, Russia</t>
  </si>
  <si>
    <t>Olga, VA (corresponding author), Natl Res Univ, Higher Sch Econ, Law, Moscow, Russia.</t>
  </si>
  <si>
    <t>oafanasieva@hse.ru</t>
  </si>
  <si>
    <t>NATL RES UNIV HIGHER SCH ECONOMICS</t>
  </si>
  <si>
    <t>MYASNITSKAYA 20, MOSCOW, 101000, RUSSIA</t>
  </si>
  <si>
    <t>1999-5431</t>
  </si>
  <si>
    <t>VOPR GOS MUNITSIPALN</t>
  </si>
  <si>
    <t>Vopr. Gos. Munitsipalnogo Upravl.</t>
  </si>
  <si>
    <t>V7U2T</t>
  </si>
  <si>
    <t>WOS:000421296600010</t>
  </si>
  <si>
    <t>Landfill; site selection; GIS; AHP; Mahshahr County</t>
  </si>
  <si>
    <t>SITING MSW LANDFILLS; GIS; METHODOLOGY; AHP; TURKEY; AREA</t>
  </si>
  <si>
    <t>[Alavi, Nadali; Goudarzi, Gholamreza; Babaei, Ali Akbar; Jaafarzadeh, Nemat] Ahvaz Jundishapur Univ Med Sci, Dept Environm Hlth Engn, Sch Publ Hlth, Ahvaz 613571575, Iran; [Alavi, Nadali; Goudarzi, Gholamreza; Babaei, Ali Akbar; Jaafarzadeh, Nemat] Ahvaz Jundishapur Univ Med Sci, Environm Technol Res Ctr, Ahvaz 613571575, Iran; [Hosseinzadeh, Mohsen] Khuzestan Water &amp; Power Author KWPA Co, Ahvaz 613571575, Iran</t>
  </si>
  <si>
    <t>Babaei, AA (corresponding author), Ahvaz Jundishapur Univ Med Sci, Dept Environm Hlth Engn, Sch Publ Hlth, Golestan Blvd, Ahvaz 613571575, Iran.</t>
  </si>
  <si>
    <t>babaei-a@ajums.ac.ir</t>
  </si>
  <si>
    <t>Jafarzadeh, Neemat/M-1190-2017; babaei, ali akbar/M-1176-2017; Goudarzi, Gholamreza/I-1284-2017; Alavi, Nadali/ABA-4941-2020</t>
  </si>
  <si>
    <t>Jafarzadeh, Neemat/0000-0003-2516-2340; babaei, ali akbar/0000-0002-7225-1568; Goudarzi, Gholamreza/0000-0001-5387-0761; Alavi, Nadali/0000-0003-1812-4012</t>
  </si>
  <si>
    <t>Mahshahr municipality [4684]</t>
  </si>
  <si>
    <t>Mahshahr municipality</t>
  </si>
  <si>
    <t>This research was funded by the Mahshahr municipality contract No. 4684.</t>
  </si>
  <si>
    <t>WASTE MANAGE RES</t>
  </si>
  <si>
    <t>Waste Manage. Res.</t>
  </si>
  <si>
    <t>056KV</t>
  </si>
  <si>
    <t>Paveglio, TB; Carroll, MS; Jakes, PJ; Prato, T</t>
  </si>
  <si>
    <t>Paveglio, Travis B.; Carroll, Matthew S.; Jakes, Pamela J.; Prato, Tony</t>
  </si>
  <si>
    <t>Exploring the Social Characteristics of Adaptive Capacity for Wildfire: Insights from Flathead County, Montana</t>
  </si>
  <si>
    <t>HUMAN ECOLOGY REVIEW</t>
  </si>
  <si>
    <t>adaptive capacity; wildland fire; hazards</t>
  </si>
  <si>
    <t>WILDLAND-URBAN INTERFACE; COMMUNITY RESILIENCE; FIRE; MITIGATION; PERCEPTIONS; HOMEOWNERS; US; VULNERABILITY; PREPAREDNESS; RESTORATION</t>
  </si>
  <si>
    <t>The increasing threat caused by wildfire in the United States has spurred the development of a number of policies and programs that encourage communities to reduce their risk by becoming fire adapted. Yet despite these goals, there is little understanding of the characteristics that are crucial in the development of fire adapted communities. This research seeks to uncover specific aspects of local social context that lead to adaptive capacity for wildfire among communities in Flathead County, MT by consulting local fire professionals, community representatives and emergency managers using focus groups and interviews. Results suggest that adaptive capacity is highly variable across the county and influenced by aspects such as community identity, strong communication networks and the local wood products industry. We contend that a better understanding of adaptive capacity to wildfire requires systematic documentation of how specific characteristics of local people interact to influence their ability to deal with change.</t>
  </si>
  <si>
    <t>[Paveglio, Travis B.] Univ Montana, Coll Forestry &amp; Conservat, Missoula, MT 59812 USA; [Carroll, Matthew S.] Washington State Univ, Dept Nat Resource Sci, Pullman, WA 99164 USA; [Jakes, Pamela J.] US Forest Serv, USDA, No Res Stn, Washington, DC USA; [Prato, Tony] Univ Missouri, Columbia, MO 65211 USA</t>
  </si>
  <si>
    <t>Paveglio, TB (corresponding author), Univ Montana, Coll Forestry &amp; Conservat, Missoula, MT 59812 USA.</t>
  </si>
  <si>
    <t>travis.paveglio@cfc.umt.edu</t>
  </si>
  <si>
    <t>ANU PRESS</t>
  </si>
  <si>
    <t>ACTON</t>
  </si>
  <si>
    <t>RG MENZIES LIBRARY, BLDG 2, AUSTRALIAN NATL UNIV, ACTON, ACT 2601 AP, AUSTRALIA</t>
  </si>
  <si>
    <t>1074-4827</t>
  </si>
  <si>
    <t>2204-0919</t>
  </si>
  <si>
    <t>HUM ECOL REV</t>
  </si>
  <si>
    <t>Hum. Ecol. Rev.</t>
  </si>
  <si>
    <t>Environmental Studies; Sociology</t>
  </si>
  <si>
    <t>Environmental Sciences &amp; Ecology; Sociology</t>
  </si>
  <si>
    <t>098IC</t>
  </si>
  <si>
    <t>WOS:000315541700003</t>
  </si>
  <si>
    <t>Nunavut; renewable energy policy; photovoltaic system; wind energy; hydropower; solar energy; electricity</t>
  </si>
  <si>
    <t>CANADA</t>
  </si>
  <si>
    <t>[McDonald, Nicole C.] Queens Univ, Fac Law, Kingston, ON K7L 3N6, Canada; [Pearce, Joshua M.] Michigan Technol Univ, Dept Mat Sci &amp; Engn, Houghton, MI 49931 USA; [Pearce, Joshua M.] Michigan Technol Univ, Dept Elect &amp; Comp Engn, Houghton, MI 49931 USA</t>
  </si>
  <si>
    <t>Pearce, JM (corresponding author), Michigan Technol Univ, Dept Mat Sci &amp; Engn, 1400 Townsend Dr, Houghton, MI 49931 USA.</t>
  </si>
  <si>
    <t>9nm@queensu.ca; pearce@mtu.edu</t>
  </si>
  <si>
    <t>Pearce, Joshua M/D-2052-2010; Pearce, J.M/C-9240-2013</t>
  </si>
  <si>
    <t>Pearce, Joshua M/0000-0001-9802-3056; Pearce, J.M/0000-0001-9802-3056</t>
  </si>
  <si>
    <t>TD Canada Trust; NSERC; Government of Nunavut</t>
  </si>
  <si>
    <t>TD Canada Trust; NSERC(Natural Sciences and Engineering Research Council of Canada (NSERC)); Government of Nunavut</t>
  </si>
  <si>
    <t>The authors would like to thank the participants of the study, TD Canada Trust, and NSERC for funding this project and the Government of Nunavut for their support throughout the project.</t>
  </si>
  <si>
    <t>ARCTIC INST N AMER</t>
  </si>
  <si>
    <t>CALGARY</t>
  </si>
  <si>
    <t>UNIV OF CALGARY 2500 UNIVERSITY DRIVE NW 11TH FLOOR LIBRARY TOWER, CALGARY, ALBERTA T2N 1N4, CANADA</t>
  </si>
  <si>
    <t>Arctic</t>
  </si>
  <si>
    <t>071MX</t>
  </si>
  <si>
    <t>Fleury, MJ; Farand, L; Aube, D; Imboua, A</t>
  </si>
  <si>
    <t>Fleury, Marie-Josee; Farand, Lambert; Aube, Denise; Imboua, Armelle</t>
  </si>
  <si>
    <t>Management of mental health problems by general practitioners in Quebec</t>
  </si>
  <si>
    <t>CANADIAN FAMILY PHYSICIAN</t>
  </si>
  <si>
    <t>FAMILY PHYSICIANS; CARE; DISORDERS; PREVALENCE</t>
  </si>
  <si>
    <t>Objective To document the management of mental health problems (MHPs) by general practitioners. Design A mixed-method study consisting of a self-administered questionnaire and qualitative interviews. An analysis was also performed of Regie de l'assurance maladie du Quebec administrative data on medical procedures. Setting Quebec. Participants Overall, 1415 general practitioners from different practice settings were invited to complete a questionnaire; 970 general practitioners were contacted. A subgroup of 60 general practitioners were contacted to participate in interviews. Main outcome measures The annual frequency of consultations over MHPs, either common (CMHPs) or serious (SMHPs), clinical practices, collaborative practices, factors that either support or interfere with the management of MHPs, and recommendations for improving the health care system. Results The response rate was 41% (n = 398 general practitioners) for the survey and 63% (n = 60) for the interviews. Approximately 25% of visits to general practitioners are related to MHPs. Nearly all general practitioners manage CMHPs and believed themselves competent to do so; however, the reverse is true for the management of SMHPs. Nearly 20% of patients with CMHPs are referred (mainly to psychosocial professionals), whereas nearly 75% of patients with SMHPs are referred (mostly to psychiatrists and emergency departments). More than 50% of general practitioners say that they do not have any contact with resources in the mental health field. Numerous factors influence the management of MHPs: patients' profiles (the complexity of the MHP, concomitant disorders); individual characteristics of the general practitioner (informal network, training); the professional culture (working in isolation, formal clinical mechanisms); the institutional setting (multidisciplinarity, staff or consultant); organization of services (resources, formal coordination); and environment (policies). Conclusion The key role played by general practitioners and their support of the management of MHPs were evident, especially for CMHPs. For more optimal management of primary mental health care, multicomponent strategies, such as shared care, should be used more often.</t>
  </si>
  <si>
    <t>[Fleury, Marie-Josee] McGill Univ, Dept Psychiat, Montreal, PQ, Canada; [Fleury, Marie-Josee; Imboua, Armelle] Douglas Mental Hlth Univ Inst, Montreal, PQ, Canada; [Farand, Lambert] Univ Montreal, Fac Med, Dept Hlth Adm, Montreal, PQ H3C 3J7, Canada; [Aube, Denise] Inst Natl Sante Publ Quebec, Quebec City, PQ, Canada; [Aube, Denise] Univ Laval, Dept Social &amp; Prevent Med, Quebec City, PQ, Canada</t>
  </si>
  <si>
    <t>Fleury, MJ (corresponding author), Douglas Hosp, Res Ctr, 6875 LaSalle Blvd, Verdun, PQ H4H 1R3, Canada.</t>
  </si>
  <si>
    <t>flemar@douglas.mcgill.ca</t>
  </si>
  <si>
    <t>Canadian Institutes of Health Research; Fonds de la recherche en sante du Quebec</t>
  </si>
  <si>
    <t>Canadian Institutes of Health Research(Canadian Institutes of Health Research (CIHR)); Fonds de la recherche en sante du Quebec(Fonds de la Recherche en Sante du Quebec)</t>
  </si>
  <si>
    <t>This study was funded by the Canadian Institutes of Health Research, the Fonds de la recherche en sante du Quebec, and decision-making partners in Quebec.</t>
  </si>
  <si>
    <t>COLL FAMILY PHYSICIANS CANADA</t>
  </si>
  <si>
    <t>MISSISSAUGA</t>
  </si>
  <si>
    <t>2630 SKYMARK AVE, MISSISSAUGA, ONTARIO L4W 5A4, CANADA</t>
  </si>
  <si>
    <t>0008-350X</t>
  </si>
  <si>
    <t>1715-5258</t>
  </si>
  <si>
    <t>CAN FAM PHYSICIAN</t>
  </si>
  <si>
    <t>Can. Fam. Phys.</t>
  </si>
  <si>
    <t>E732</t>
  </si>
  <si>
    <t>E738</t>
  </si>
  <si>
    <t>062VV</t>
  </si>
  <si>
    <t>WOS:000312952500005</t>
  </si>
  <si>
    <t>Klein, MC</t>
  </si>
  <si>
    <t>Klein, Michael C.</t>
  </si>
  <si>
    <t>Cesarean Section on Maternal Request: A Societal and Professional Failure and Symptom of a Much Larger Problem</t>
  </si>
  <si>
    <t>BIRTH-ISSUES IN PERINATAL CARE</t>
  </si>
  <si>
    <t>cesarean; educational reform; maternal choice; pelvic floor; urinary incontinence</t>
  </si>
  <si>
    <t>POSTPARTUM URINARY-INCONTINENCE; DELIVERY; MODE; ATTITUDES; CHOICE; BIRTH; CARE</t>
  </si>
  <si>
    <t>The scientific literature was silent about a relationship of pelvic floor, urinary, and fecal incontinence and sexual issues with mode of birth until 1993, when Sultan et al's impressive rectal ultrasound studies were published. They showed that perirectal fibers were damaged in many vaginal births, but not as a result of a cesarean section. These findings helped to pioneer a new area of research, ultimately leading to increasing support among health professionals and the public that maternal choice of cesarean delivery could be justifiedeven that maternal choice and autonomous decision-making trump other considerations, including evidence. A growing number of birth practitioners are choosing cesarean section for themselvesusually on the basis of concerns over pelvic floor, urinary incontinence, and sexual issues. Behind this choice is a training experience that focuses on the abnormal, interprets the literature through a pathological lens, and lacks sufficient opportunity to see normal childbirth. Cesarean section on maternal request is a complex issue based on fear and misinformation that is a symptom of a system needing reform, that is, a major change in community and professional education, governmental policy making, and creation of environments emphasizing the normal. Systemic change will require the training of obstetricians mainly as consultants and the education of a much larger cadre of midwives and family physicians who will provide care for most pregnant women in settings designed to facilitate the normal. Tinkering with the system will not workit requires a complete refit. (BIRTH 39:4 December 2012)</t>
  </si>
  <si>
    <t>[Klein, Michael C.] Child &amp; Family Res Inst, Ctr Dev Neurosci &amp; Child Hlth, Vancouver, BC V6H 3V4, Canada; [Klein, Michael C.] Univ British Columbia, Vancouver, BC V5Z 1M9, Canada</t>
  </si>
  <si>
    <t>Klein, MC (corresponding author), Child &amp; Family Res Inst, Ctr Dev Neurosci &amp; Child Hlth, Rm L408,4500 Oak St, Vancouver, BC V6H 3V4, Canada.</t>
  </si>
  <si>
    <t>Klein, Michael/0000-0001-6864-5372</t>
  </si>
  <si>
    <t>0730-7659</t>
  </si>
  <si>
    <t>1523-536X</t>
  </si>
  <si>
    <t>BIRTH-ISS PERINAT C</t>
  </si>
  <si>
    <t>Birth-Issue Perinat. Care</t>
  </si>
  <si>
    <t>10.1111/birt.12006</t>
  </si>
  <si>
    <t>Nursing; Obstetrics &amp; Gynecology; Pediatrics</t>
  </si>
  <si>
    <t>041LW</t>
  </si>
  <si>
    <t>WOS:000311404300008</t>
  </si>
  <si>
    <t>COMPENSATION; PERFORMANCE; COLLABORATION; FIRM</t>
  </si>
  <si>
    <t>[Ogden, Stuart] Univ Sheffield, Sch Management, Sheffield S1 4DT, S Yorkshire, England; [Watson, Robert] Inst Empresa Business Sch, Madrid 28006, Spain</t>
  </si>
  <si>
    <t>Ogden, S (corresponding author), Univ Sheffield, Sch Management, 9 Mappin St, Sheffield S1 4DT, S Yorkshire, England.</t>
  </si>
  <si>
    <t>s.ogden@sheffield.ac.uk</t>
  </si>
  <si>
    <t>BRIT J MANAGE</t>
  </si>
  <si>
    <t>BRIT. J. MANAGE.</t>
  </si>
  <si>
    <t>041HC</t>
  </si>
  <si>
    <t>Bowbrick, P</t>
  </si>
  <si>
    <t>Bowbrick, Peter</t>
  </si>
  <si>
    <t>From Economic Research to Policy in 32 Years</t>
  </si>
  <si>
    <t>EUROCHOICES</t>
  </si>
  <si>
    <t>The European Commission has recently reformed its system of horticultural standards, acting on economic research which was published 32 years ago and accepted immediately by academic economists. The delay may have cost (sic)10 to (sic)15 billion a year in higher costs and prices, reduced health and environmental damage. One reason for the delay may be that top government economists based their decisions on the economics that was orthodox when they were undergraduates. Action was taken by researchers and civil servants to suppress unwelcome research results. Key economic decisions were made not by economists, but by civil service horticulturists and grading inspectors who blocked reform, possibly because they felt their expertise was not valued or their jobs were threatened. Action was taken to prevent a knowledgeable outsider from carrying out a review because civil servants did not like a book he published 20 years earlier. Such actions have a chilling effect: consultants or academics who say what they think can have their careers destroyed. Systems used outside the EU could have speeded change: for example, regular policy reviews using independent reviewers - academics, consultants or international organisations. Strict selection procedures for consultants, strictly enforced, are essential. Publication of reviews is important.</t>
  </si>
  <si>
    <t>peter@bowbrick.eu</t>
  </si>
  <si>
    <t>1478-0917</t>
  </si>
  <si>
    <t>1746-692X</t>
  </si>
  <si>
    <t>EurChoices</t>
  </si>
  <si>
    <t>10.1111/1746-692X.12009</t>
  </si>
  <si>
    <t>V14MQ</t>
  </si>
  <si>
    <t>WOS:000214485500009</t>
  </si>
  <si>
    <t>Cleaner; Production; Capacity</t>
  </si>
  <si>
    <t>WASTE-WATER; INDUSTRY</t>
  </si>
  <si>
    <t>[Ulutas, Ferda; Alkaya, Emrah; Bogurcu, Merve] Technol Dev Fdn Turkey, TR-06800 Ankara, Turkey; [Demirer, Goksel N.] Middle E Tech Univ, Dept Environm Engn, TR-06531 Ankara, Turkey</t>
  </si>
  <si>
    <t>Demirer, GN (corresponding author), Middle E Tech Univ, Dept Environm Engn, TR-06531 Ankara, Turkey.</t>
  </si>
  <si>
    <t>goksel@metu.edu.tr</t>
  </si>
  <si>
    <t>Turkish Ministry of Environment and Forestry</t>
  </si>
  <si>
    <t>Turkish Ministry of Environment and Forestry(Ministry of Forestry &amp; Water Affairs - Turkey)</t>
  </si>
  <si>
    <t>This study was funded by the Turkish Ministry of Environment and Forestry.</t>
  </si>
  <si>
    <t>SUSTAIN CITIES SOC</t>
  </si>
  <si>
    <t>Sust. Cities Soc.</t>
  </si>
  <si>
    <t>Construction &amp; Building Technology; Green &amp; Sustainable Science &amp; Technology; Energy &amp; Fuels</t>
  </si>
  <si>
    <t>Construction &amp; Building Technology; Science &amp; Technology - Other Topics; Energy &amp; Fuels</t>
  </si>
  <si>
    <t>V41NX</t>
  </si>
  <si>
    <t>Sustainability; Malaysia; Built environment</t>
  </si>
  <si>
    <t>CONSTRUCTION; FRAMEWORK</t>
  </si>
  <si>
    <t>[Papargyropoulou, E.; Padfield, R.] Univ Teknol Malaysia UTM, Malaysia Japan Int Inst Technol, Kuala Lumpur 54100, Malaysia; [Harrison, O.] British High Commiss, Kuala Lumpur 50450, Malaysia; [Preece, C.] Univ Teknol Malaysia UTM, RAZAK Sch Engn &amp; Adv Technol, Kuala Lumpur 54100, Malaysia</t>
  </si>
  <si>
    <t>Papargyropoulou, E (corresponding author), Univ Teknol Malaysia UTM, Malaysia Japan Int Inst Technol, Int Campus, Kuala Lumpur 54100, Malaysia.</t>
  </si>
  <si>
    <t>epapargyropoulou@yahoo.gr</t>
  </si>
  <si>
    <t>Gokbel, H; Gules, HK; Akgemci, T; Kuzu, OH</t>
  </si>
  <si>
    <t>Gokbel, Hakk; Gules, Hasan Kurflat; Akgemci, Tahir; Kuzu, Omur Hakan</t>
  </si>
  <si>
    <t>Development of strategic management perspective in the context of transforming values in higher education: a comparative study on Selcuk University Strategic Road Map Determination case</t>
  </si>
  <si>
    <t>YUKSEKOGRETIM DERGISI</t>
  </si>
  <si>
    <t>Turkish</t>
  </si>
  <si>
    <t>Higher education; search conference; strategic management</t>
  </si>
  <si>
    <t>In this study, strategic management and strategic planning process of the universities, in the context of higher education values transformation, have been studied as conceptually and historically. The phenomena for the structures compatible with the requirements of the knowledge era and globalization have been analyzed. To this end, the current strategic plans of the three major state universities in Turkey are discussed in comparison with Search Conference outcomes of Selcuk University in 2012 Strategic Road Map Detection Studies process. As a result of comparison, strengths and weaknesses of universities with the perceptions of threats and opportunities are summarized in prominent spots. In the comparative case study, it is determined that the universities have similar opportunity perceptions about interdisciplinary studies, strategic partnerships and alliances for the sustainability of competition, the increasing importance of the research activities and graduate education, co-operation with stakeholders and internationalization in order to identify the priorities and strategic policy in a parallel manner to a new trends in the country and world. Threat perceptions about lack of teaching staff, and financial resources, lack of dependence on foreign technology used to research are evaluated as the overlap perceptions of between subjects. The study finds that although the universities see themselves adequacy about long-established history of universities, academic staff and physical infrastructure, see their location as a weak point about number of students, consultancy services, foreign language deficiency, noninternationalization of patent and projects, co-operation stakeholders and the community and institutional culture. In this context, the overplus of vision, strategic goals and objectives for internationalization is primarily pointed for being world-class universities. As a result a recommendation has been developed as completing of quality assurance system activities on internationalization centered teaching, research, public service and cooperation and setting up a unique Strategic Steering Committee which is suitable with the dynamics of the university and the environment in which, as for prerequisite of vision, mission, and target-based strategic planning and management.</t>
  </si>
  <si>
    <t>[Gokbel, Hakk] Selcuk Univ, Rektor, Konya, Turkey; [Gules, Hasan Kurflat] Selcuk Univ, Rektor Danismani, Konya, Turkey; [Akgemci, Tahir] Selcuk Univ, Rektor Yardimcisi, Konya, Turkey; [Kuzu, Omur Hakan] Selcuk Univ, Beysehir Ali Akkanat Turizm Isletmeciligi Otecili, Konya, Turkey</t>
  </si>
  <si>
    <t>Kuzu, OH (corresponding author), Selcuk Univ, Beysehir Ali Akkanat Turizm Isletmeciligi Otecili, Konya, Turkey.</t>
  </si>
  <si>
    <t>ohkuzu@selcuk.edu.tr</t>
  </si>
  <si>
    <t>KUZU, ÖMÜR HAKAN/ADN-9417-2022</t>
  </si>
  <si>
    <t>KUZU, ÖMÜR HAKAN/0000-0002-2996-0721</t>
  </si>
  <si>
    <t>DEOMED PUBL, ISTANBUL</t>
  </si>
  <si>
    <t>GUR SOK 7-B, FIKIRTEPE 34720 KADIKOY, ISTANBUL, 00000, TURKEY</t>
  </si>
  <si>
    <t>2146-796X</t>
  </si>
  <si>
    <t>2146-7978</t>
  </si>
  <si>
    <t>YUKSEKOGRETIM DERG</t>
  </si>
  <si>
    <t>Yuksekogretim Derg.</t>
  </si>
  <si>
    <t>10.2399/yod.12.024</t>
  </si>
  <si>
    <t>V6S9A</t>
  </si>
  <si>
    <t>WOS:000420584900007</t>
  </si>
  <si>
    <t>consulting engineering; environmental knowledge; engineering practice; sustainability; sociology of innovation</t>
  </si>
  <si>
    <t>Norwegian Univ Sci &amp; Technol, NTNU, Dept Interdisciplinary Studies Culture, N-7491 Trondheim, Norway</t>
  </si>
  <si>
    <t>Hojem, TSM (corresponding author), Norwegian Univ Sci &amp; Technol, NTNU, Dept Interdisciplinary Studies Culture, N-7491 Trondheim, Norway.</t>
  </si>
  <si>
    <t>thea.hojem@ntnu.no</t>
  </si>
  <si>
    <t>ACTA SOCIOL</t>
  </si>
  <si>
    <t>Acta Sociol.</t>
  </si>
  <si>
    <t>029YY</t>
  </si>
  <si>
    <t>[Haanaes, Knut; Velken, Ingrid von Streng] Boston Consulting Grp Inc, Sustainabil Initiat, Boston, MA USA</t>
  </si>
  <si>
    <t>SLOAN MANAGEMENT REVIEW ASSOC, MIT SLOAN SCHOOL MANAGEMENT</t>
  </si>
  <si>
    <t>77 MASSACHUSETTS AVE, E60-100, CAMBRIDGE, MA 02139-4307 USA</t>
  </si>
  <si>
    <t>MIT SLOAN MANAGE REV</t>
  </si>
  <si>
    <t>MIT Sloan Manage. Rev.</t>
  </si>
  <si>
    <t>875JA</t>
  </si>
  <si>
    <t>spatial data infrastructure; impact assessment; INSPIRE</t>
  </si>
  <si>
    <t>[Campagna, Michele] Univ Cagliari, Dipartimento Ingn Terr, I-09126 Cagliari, Italy; [Craglia, Massimo] Commiss European Communities, Joint Res Ctr, I-21027 Ispra, VA, Italy</t>
  </si>
  <si>
    <t>Campagna, M (corresponding author), Univ Cagliari, Dipartimento Ingn Terr, Via Marengo 2, I-09126 Cagliari, Italy.</t>
  </si>
  <si>
    <t>campagna@unica.it; massimo.craglia@jrc.ec.europa.eu</t>
  </si>
  <si>
    <t>ENVIRON PLANN B</t>
  </si>
  <si>
    <t>Environ. Plan. B-Plan. Des.</t>
  </si>
  <si>
    <t>066PA</t>
  </si>
  <si>
    <t>DECISION-MAKING; SCIENCE; POLICY</t>
  </si>
  <si>
    <t>Univ Calif Irvine, Dept Planning Policy &amp; Design, Irvine, CA 92717 USA</t>
  </si>
  <si>
    <t>Feldman, DL (corresponding author), Univ Calif Irvine, Dept Planning Policy &amp; Design, Irvine, CA 92717 USA.</t>
  </si>
  <si>
    <t>david.feldman@uci.edu</t>
  </si>
  <si>
    <t>Economics; Regional &amp; Urban Planning</t>
  </si>
  <si>
    <t>042HK</t>
  </si>
  <si>
    <t>Heller, SS; Rice, J; Boothe, A; Sidell, M; Vaughn, K; Keyes, A; Nagle, G</t>
  </si>
  <si>
    <t>Heller, Sherryl Scott; Rice, Janet; Boothe, Allison; Sidell, Margo; Vaughn, Krystal; Keyes, Angela; Nagle, Geoffrey</t>
  </si>
  <si>
    <t>Social-Emotional Development, School Readiness, Teacher-Child Interactions, and Classroom Environment</t>
  </si>
  <si>
    <t>MENTAL-HEALTH CONSULTATION; PROFESSIONAL-DEVELOPMENT; RISK; QUALITY; MODEL</t>
  </si>
  <si>
    <t>This article investigates the effectiveness of a statewide 6-month early childhood mental health consultation (ECMHC) model on teachers' emotional support of children and classroom organization. We provide a brief historical and theoretical background of the field of ECMHC, present the logic model for our ECMHC intervention, and discuss the existing research that supports this logic model. Research Findings: Participants included 445 teachers from 158 child care centers statewide. The mental health consultation improved the quality of early childhood teachers' interactions (e. g., emotional support and classroom organization) with children in their care. Teachers with more experience and more than a high school degree tended to score higher on many of the Classroom Assessment Scoring System (R. C. Pianta, K. M. La Paro, &amp; B. K. Hamre, 2008) dimensions. Practice or Policy: This study demonstrates that mental health consultants can partner successfully with early childhood educators and provide support that enhances classroom variables associated with high-quality care and positive child outcomes. Even with a high rate of teacher turnover (35%), significant differences were found; this demonstrates the robustness of the ECMHC model in that the effectiveness of this model was not undermined by the chronic problem of staff turnover.</t>
  </si>
  <si>
    <t>[Heller, Sherryl Scott; Boothe, Allison; Vaughn, Krystal; Keyes, Angela; Nagle, Geoffrey] Tulane Univ, Dept Psychiat, Inst Infant &amp; Early Childhood Mental Hlth, New Orleans, LA 70112 USA; [Rice, Janet; Sidell, Margo] Tulane Univ, Dept Biostat &amp; Bioinformat, New Orleans, LA 70112 USA</t>
  </si>
  <si>
    <t>Heller, SS (corresponding author), Tulane Univ, 1440 Canal St,TB 52, New Orleans, LA 70112 USA.</t>
  </si>
  <si>
    <t>redheadheller@yahoo.com</t>
  </si>
  <si>
    <t>10.1080/10409289.2011.626387</t>
  </si>
  <si>
    <t>093VH</t>
  </si>
  <si>
    <t>WOS:000315220400005</t>
  </si>
  <si>
    <t>change agency; climate change; environmental sustainability; identity work; micro-politics; narrative identity</t>
  </si>
  <si>
    <t>WORK; DISCOURSE; ORGANIZATIONS; DISCIPLINE; CAREERS; TIME</t>
  </si>
  <si>
    <t>[Wright, Christopher] Univ Sydney, Discipline Work &amp; Org Studies, Business Sch, Sydney, NSW 2006, Australia</t>
  </si>
  <si>
    <t>Wright, C (corresponding author), Univ Sydney, Discipline Work &amp; Org Studies, Business Sch, Sydney, NSW 2006, Australia.</t>
  </si>
  <si>
    <t>christopher.wright@sydney.edu.au</t>
  </si>
  <si>
    <t>Nyberg, Daniel/ABE-2371-2021</t>
  </si>
  <si>
    <t>Nyberg, Daniel/0000-0002-7144-1343; Wright, Christopher/0000-0001-8624-9605</t>
  </si>
  <si>
    <t>ORGAN STUD</t>
  </si>
  <si>
    <t>Organ. Stud.</t>
  </si>
  <si>
    <t>040PE</t>
  </si>
  <si>
    <t>Conservation; Desalination; Reuse; St. Johns River; Sustainability; Theory of planned behavior</t>
  </si>
  <si>
    <t>RECYCLED WATER; ENVIRONMENTAL BELIEFS; DRINKING-WATER; CONSERVE WATER; TREATABILITY; ENDORSEMENT; ACCEPTANCE; INTENTION; PARADIGM</t>
  </si>
  <si>
    <t>[Boyer, Treavor H.; Ishii, Stephanie K. L.] Univ Florida, Dept Environm Engn Sci, Gainesville, FL 32611 USA; [Overdevest, Christine; Christiansen, Lisa] Univ Florida, Dept Sociol &amp; Criminol &amp; Law, Gainesville, FL 32611 USA</t>
  </si>
  <si>
    <t>Boyer, TH (corresponding author), Univ Florida, Dept Environm Engn Sci, POB 116450, Gainesville, FL 32611 USA.</t>
  </si>
  <si>
    <t>thboyer@ufl.edu</t>
  </si>
  <si>
    <t>University of Florida (UF) Water Institute</t>
  </si>
  <si>
    <t>This work was funded in part by a grant from the University of Florida (UF) Water Institute, Program Initiation Fund: Scenario-Based Analysis of Surface Water Withdrawals from the St. Johns River Basin. The views expressed in this paper do not necessarily reflect the views of the UF Water Institute. The authors would like to thank all stakeholders who participated in the elicitation study and online survey.</t>
  </si>
  <si>
    <t>035IW</t>
  </si>
  <si>
    <t>HARVARD BUSINESS SCHOOL PUBLISHING CORPORATION</t>
  </si>
  <si>
    <t>WATERTOWN</t>
  </si>
  <si>
    <t>300 NORTH BEACON STREET, WATERTOWN, MA 02472 USA</t>
  </si>
  <si>
    <t>HARVARD BUS REV</t>
  </si>
  <si>
    <t>Harv. Bus. Rev.</t>
  </si>
  <si>
    <t>010KM</t>
  </si>
  <si>
    <t>EDITIONS SEUIL</t>
  </si>
  <si>
    <t>27 RUE JACOB, PARIS, 75006, FRANCE</t>
  </si>
  <si>
    <t>ACTES RECH SCI SOC</t>
  </si>
  <si>
    <t>Actes Rech. Sci. Soc.</t>
  </si>
  <si>
    <t>021PB</t>
  </si>
  <si>
    <t>Stummvoll, G</t>
  </si>
  <si>
    <t>Stummvoll, Guenter</t>
  </si>
  <si>
    <t>Governance through norms and standards: The normative force behind design-led crime prevention</t>
  </si>
  <si>
    <t>CRIMINOLOGY &amp; CRIMINAL JUSTICE</t>
  </si>
  <si>
    <t>CEN/TR14383; CPTED; design-led crime prevention; standardization</t>
  </si>
  <si>
    <t>Crime prevention standards in housing have for a long time been limited to target hardening, and in that respect European Norms were developed as guidelines for 'burglar resistant' doors, windows and shutters (EN1630). Recent developments include a set of supplementary crime prevention standards in the building sector, which are not limited to technical products but focus on the layout and management of urban environments and their impact on public safety. This article focuses on the problem of systematic Europe-wide implementation of crime prevention standards in urban planning. The attempt to implement common guidelines for design-led crime prevention through the development of a European Norm has failed. In this article I will first introduce the system of standardization and then examine the particular European Standard for Crime Prevention by Urban Planning and Building Design (CEN/TR14383). Instead of a harmonious application of that standard in Europe, a variety of policies have been negotiated, including national standardization, consulting schemes and liaison systems based on rewards. Moreover the standard has been re-interpreted in some jurisdictions as 'gender mainstreaming', and it has been adopted by police to organize national training for local governments. I will present and compare examples from Denmark, the UK, the Netherlands, Austria and Poland to show the divergent ways of interpretation and practical implementation of guidelines in design-led crime prevention.</t>
  </si>
  <si>
    <t>Univ Vienna, Inst Sociol, A-1090 Vienna, Austria</t>
  </si>
  <si>
    <t>Stummvoll, G (corresponding author), Univ Vienna, Inst Sociol, Rooseveltpl 2, A-1090 Vienna, Austria.</t>
  </si>
  <si>
    <t>guenter.stummvoll@univie.ac.at</t>
  </si>
  <si>
    <t>1748-8958</t>
  </si>
  <si>
    <t>CRIMINOL CRIM JUSTIC</t>
  </si>
  <si>
    <t>Crimnol. Crim. Justice</t>
  </si>
  <si>
    <t>10.1177/1748895812452280</t>
  </si>
  <si>
    <t>000TF</t>
  </si>
  <si>
    <t>WOS:000308410800003</t>
  </si>
  <si>
    <t>Owners; Spanish; widows; Mexican Revolution; damages; claims</t>
  </si>
  <si>
    <t>[Perez Acevedo, Martin; Rivera Reynaldos, Lisette Griselda] Univ Michoacana, Inst Invest Hist, Morelia, Michoacan, Mexico</t>
  </si>
  <si>
    <t>Acevedo, MP (corresponding author), Univ Michoacana, Inst Invest Hist, Morelia, Michoacan, Mexico.</t>
  </si>
  <si>
    <t>REV INDIAS</t>
  </si>
  <si>
    <t>Rev. Indias</t>
  </si>
  <si>
    <t>V33FB</t>
  </si>
  <si>
    <t>Finardi, C; Pellegrini, G; Rowe, G</t>
  </si>
  <si>
    <t>Finardi, Corrado; Pellegrini, Giuseppe; Rowe, Gene</t>
  </si>
  <si>
    <t>Food safety issues: From Enlightened Elitism towards Deliberative Democracy? An overview of EFSA's Public Consultation instrument</t>
  </si>
  <si>
    <t>EFSA; Open consultations; Stakeholders' involvement</t>
  </si>
  <si>
    <t>GOVERNANCE; PARTICIPATION; SCIENCE; FRAMEWORK; EXERCISES; EUROPE; RISK</t>
  </si>
  <si>
    <t>Following the BSE crisis, the importance of reassuring European consumers and involving them in debate about food safety management issues is generally recognised. Indeed, consulting stakeholders is one of the European Food Safety Authority's (EFSA) main duties, as stated in its founding regulation (art. 42, whereas 56), where EFSA must have effective contacts with consumer representatives, producer representatives, processors and any other interested parties. Even if not clearly obliged to, EFSA has also opted to consider lay citizens' opinion (under an interpretation of art. 42, wh. 40 of the 178 Reg.) in order to enhance trust in food safety. Beyond having formally established meetings with restricted access for participants - like the Stakeholders' Consultative Platform and the Annual Colloquium, - EFSA engages in its Public Consultation web-based Window (PCW). It allows listening to anybody who wishes to submit comments on technical issues. An intriguing question is whether this constitutes a step towards direct democracy on food safety issues; under which assumptions EFSA adopted this tool; and under which (internal and external) pressures it updated its functioning in 2008. Using evaluation criteria from the academic literature, we assess the qualities of this mechanism. We conclude that the mechanism does have some merits, even though - as stated by Douglas (1982)  ... creating practical participatory mechanisms for the public is increasingly difficult in a decision-making environment heavily dominated by technical expertise. (C) 2012 Elsevier Ltd. All rights reserved.</t>
  </si>
  <si>
    <t>[Finardi, Corrado] Univ Parma, Dept Econ, I-43100 Parma, Italy; [Pellegrini, Giuseppe] Observa Sci Soc, I-36100 Vicenza, Italy; [Rowe, Gene] Gene Rowe Evaluat, Norwich NR2 3HT, Norfolk, England</t>
  </si>
  <si>
    <t>Finardi, C (corresponding author), Univ Parma, Dept Econ, Via Kennedy 18, I-43100 Parma, Italy.</t>
  </si>
  <si>
    <t>corrado.finardi@hotmail.it; generowe00@gmail.com</t>
  </si>
  <si>
    <t>Rowe, Gene/K-2129-2019</t>
  </si>
  <si>
    <t>Rowe, Gene/0000-0002-0635-9159</t>
  </si>
  <si>
    <t>10.1016/j.foodpol.2012.03.005</t>
  </si>
  <si>
    <t>984PH</t>
  </si>
  <si>
    <t>WOS:000307203000008</t>
  </si>
  <si>
    <t>Kettenring, JR</t>
  </si>
  <si>
    <t>Kettenring, Jon R.</t>
  </si>
  <si>
    <t>Statistics Research at Bell Labs in the Regulated Monopoly Era</t>
  </si>
  <si>
    <t>INTERNATIONAL STATISTICAL REVIEW</t>
  </si>
  <si>
    <t>Industrial research; research consulting; statistics community; technical integration</t>
  </si>
  <si>
    <t>OPERATIONS-RESEARCH; LABORATORIES; 1970S</t>
  </si>
  <si>
    <t>Industrial research in the United States took hold and grew during much of the 20th century. Bell Labs, a corporate component of the Bell System, was perhaps the premier example. The period from 1925, when Bell Labs was formed, to 1984, when the Bell System was broken up following a government antitrust lawsuit, is of special interest because the system operated as a regulated monopoly during that period. Telephone subscribers effectively paid for research and development in their monthly phone bills, which provided an element of financial stability for the labs. Statistics research was one of many types that thrived, much to the benefit of the Bell System, its customers, and the science of statistics. The purpose of this article is to review, explain, and illustrate the circumstances that contributed to this success and to raise the question of how modern corporations, operating in fully competitive environments, might achieve some of the same benefits.</t>
  </si>
  <si>
    <t>Drew Univ, Charles A Dana Res Inst Scientists Emeriti RISE, Madison, NJ 07940 USA</t>
  </si>
  <si>
    <t>Kettenring, JR (corresponding author), Drew Univ, Charles A Dana Res Inst Scientists Emeriti RISE, Madison, NJ 07940 USA.</t>
  </si>
  <si>
    <t>jkettenr@drew.edu</t>
  </si>
  <si>
    <t>0306-7734</t>
  </si>
  <si>
    <t>INT STAT REV</t>
  </si>
  <si>
    <t>Int. Stat. Rev.</t>
  </si>
  <si>
    <t>10.1111/j.1751-5823.2011.00165.x</t>
  </si>
  <si>
    <t>Statistics &amp; Probability</t>
  </si>
  <si>
    <t>Mathematics</t>
  </si>
  <si>
    <t>981VP</t>
  </si>
  <si>
    <t>WOS:000306999900001</t>
  </si>
  <si>
    <t>Koppl, P</t>
  </si>
  <si>
    <t>Koppl, Peter</t>
  </si>
  <si>
    <t>Green lobbying: is sustainability more than a new frame for old-style lobbying? A consultant's personal point of view</t>
  </si>
  <si>
    <t>Framing and spinning are vital to effective public affairs. This could be one out of several reasons why sustainability is being instrumented heavily for public affairs measures. Because in a broad but common understanding, all efforts of corporate social responsibility are a critical strategy to influence political decision making and the stakeholders' actions and reactions relevant to a company. In a populist understanding, sustainability is simply a good thing all together. And that is where politics comes in: many politician are trying to use sustainability to better sell their ideas to the media and the public. Therefore public affairs and lobbying have definitely gone greener to meet the politicians' expectations. Critics might say that this is about green washing or mainstreaming the basic concept of sustainability. But it is also true that by doing so, companies where able to bring this issue to a prominent spot on the politicians' agenda.</t>
  </si>
  <si>
    <t>[Koppl, Peter] Mastermind Publ Affairs Consulting GmbH, A-1090 Vienna, Austria</t>
  </si>
  <si>
    <t>Koppl, P (corresponding author), Mastermind Publ Affairs Consulting GmbH, A-1090 Vienna, Austria.</t>
  </si>
  <si>
    <t>peter.koeppl@mastermind.cc</t>
  </si>
  <si>
    <t>10.1002/pa.1431</t>
  </si>
  <si>
    <t>V81RY</t>
  </si>
  <si>
    <t>WOS:000212268500002</t>
  </si>
  <si>
    <t>SEVERE MENTAL-ILLNESS; SHARED DECISION-MAKING; CASE-MANAGEMENT; TREATMENT TEAMS; PRACTICE IMPLEMENTATION; RECOVERY ORIENTATION; HEALTH AUTHORITIES; PRACTICES PROJECT; CLIENT OUTCOMES; META-ANALYSIS</t>
  </si>
  <si>
    <t>[Monroe-DeVita, Maria] Univ Washington, Dept Psychiat &amp; Behav Sci, Seattle, WA 98144 USA; [Morse, Gary] Pl People Community Alternat Hlth Hope &amp; Recovery, St Louis, MO USA; [Bond, Gary R.] Dartmouth Coll, Psychiat Res Ctr, Hanover, NH 03755 USA</t>
  </si>
  <si>
    <t>Monroe-DeVita, M (corresponding author), Univ Washington, Dept Psychiat &amp; Behav Sci, 2815 Eastlake Ave E,Suite 200, Seattle, WA 98144 USA.</t>
  </si>
  <si>
    <t>mmdv@uw.edu</t>
  </si>
  <si>
    <t>Johnson &amp; Johnson Corporate Contributions</t>
  </si>
  <si>
    <t>Dr. Bond has received research support from Johnson &amp; Johnson Corporate Contributions. The other authors report no competing interests.</t>
  </si>
  <si>
    <t>AMER PSYCHIATRIC PUBLISHING, INC</t>
  </si>
  <si>
    <t>800 MAINE AVE SW, SUITE 900, WASHINGTON, DC 20024 USA</t>
  </si>
  <si>
    <t>PSYCHIAT SERV</t>
  </si>
  <si>
    <t>Psychiatr. Serv.</t>
  </si>
  <si>
    <t>Health Policy &amp; Services; Public, Environmental &amp; Occupational Health; Psychiatry</t>
  </si>
  <si>
    <t>Health Care Sciences &amp; Services; Public, Environmental &amp; Occupational Health; Psychiatry</t>
  </si>
  <si>
    <t>984PX</t>
  </si>
  <si>
    <t>Obesity; Children; Rural; Diet; Physical activity; Vulnerable populations; Healthy lifestyle behaviors</t>
  </si>
  <si>
    <t>BODY-MASS INDEX; PHYSICAL-ACTIVITY; ENERGY-INTAKE; APPALACHIAN YOUTH; ADOLESCENTS; PREVALENCE; VALIDATION; TRENDS; COMMUNITIES; PARENTS</t>
  </si>
  <si>
    <t>[Tovar, Alison; Chui, Kenneth; Kuder, Julia; Choumenkovitch, Silvina F.; Hastings, Alia; Bloom, Julia; Economos, Christina D.] Tufts Univ, John Hancock Res Ctr Phys Act Nutr &amp; Obes Prevent, Gerald J &amp; Dorothy R Friedman Sch Nutr Sci &amp; Poli, Boston, MA USA; [Chui, Kenneth; Hyatt, Raymond R.; Kraak, Vivica I.] Tufts Univ, Dept Publ Hlth &amp; Community Med, Boston, MA 02111 USA; [Kraak, Vivica I.] Deakin Univ, Fac Hlth, Sch Hlth &amp; Social Dev, Deakin Populat Hlth Strateg Res Ctr, Burwood, Vic 3125, Australia</t>
  </si>
  <si>
    <t>Tovar, A (corresponding author), Tufts Univ, John Hancock Res Ctr Phys Act Nutr &amp; Obes Prevent, Gerald J &amp; Dorothy R Friedman Sch Nutr Sci &amp; Poli, 150 Harrison Ave, Boston, MA USA.</t>
  </si>
  <si>
    <t>Alison.tovar@tufts.edu</t>
  </si>
  <si>
    <t>Bozic, Predrag/B-7141-2015; Chui, Kenneth/AFT-2074-2022; Kraak, Vivica I./T-7357-2019</t>
  </si>
  <si>
    <t>Chui, Kenneth/0000-0002-8063-8631; Kraak, Vivica I./0000-0002-9303-5530</t>
  </si>
  <si>
    <t>BMC PEDIATR</t>
  </si>
  <si>
    <t>BMC Pediatr.</t>
  </si>
  <si>
    <t>998PT</t>
  </si>
  <si>
    <t>CORPORATE SOCIAL-RESPONSIBILITY; SMOKING PREVENTION PROGRAMS; FRAMEWORK CONVENTION; DEVELOPING-COUNTRIES; HEALTH; POLICY; STRATEGY; POLITICS; PROJECT; RIGHTS</t>
  </si>
  <si>
    <t>[Gonzalez, Mariaelena; Green, Lawrence W.; Glantz, Stanton A.] UCSF, Ctr Tobacco Control Res &amp; Educ, San Francisco, CA 94143 USA</t>
  </si>
  <si>
    <t>Glantz, SA (corresponding author), UCSF, Ctr Tobacco Control Res &amp; Educ, 530 Parnassus Ave,Box 1390, San Francisco, CA 94143 USA.</t>
  </si>
  <si>
    <t>glantz@medicine.ucsf.edu</t>
  </si>
  <si>
    <t>NCI [CA-113710, CA-87472]; NATIONAL CANCER INSTITUTE [T32CA113710, R25CA113710, R01CA087472] Funding Source: NIH RePORTER</t>
  </si>
  <si>
    <t>NCI(United States Department of Health &amp; Human ServicesNational Institutes of Health (NIH) - USANIH National Cancer Institute (NCI)); NATIONAL CANCER INSTITUTE(United States Department of Health &amp; Human ServicesNational Institutes of Health (NIH) - USANIH National Cancer Institute (NCI))</t>
  </si>
  <si>
    <t>This research was funded by NCI grants CA-113710 and CA-87472. The funding agency played no role in the selection of topic, conduct of the research or preparation of the manuscript.</t>
  </si>
  <si>
    <t>TOB CONTROL</t>
  </si>
  <si>
    <t>Tob. Control</t>
  </si>
  <si>
    <t>Substance Abuse; Public, Environmental &amp; Occupational Health</t>
  </si>
  <si>
    <t>965WZ</t>
  </si>
  <si>
    <t>Manimala, MJ; Kumar, S</t>
  </si>
  <si>
    <t>Manimala, Mathew J.; Kumar, Sudhir</t>
  </si>
  <si>
    <t>Training Needs of Small and Medium Enterprises: Findings from an Empirical Investigation</t>
  </si>
  <si>
    <t>IIM KOZHIKODE SOCIETY &amp; MANAGEMENT REVIEW</t>
  </si>
  <si>
    <t>Small and medium enterprises (SMEs); training needs; training areas; factors influencing training needs perception; enterprise/entrepreneur demographics</t>
  </si>
  <si>
    <t>While small and medium sized enterprises (SMEs) are acknowledged by researchers and policy-makers alike as the major source of vitality in an economy, they are also found to be extremely vulnerable especially to the vagaries and turbulences of the external environment. It is therefore recognized by policy-makers in most countries that SMEs need special help for their survival and growth. Traditionally such help was offered by way of facilitating the external environment. Such facilitation will be effective only if the SMEs have the internal capabilities for taking advantage of the external facilitation. This is why the experiments with external facilitation have not met with much success especially in developing countries, where SMEs are inherently weaker than their counterparts in developed countries. Strengthening the internal capabilities of SMEs therefore has become a top priority nowadays and is positioned as an alternative or supplementary strategy for SME development. Training is recognized as an important tool for developing the internal capabilities of SMEs. However, research in the Western countries has shown that even though trainers, consultants and policy-makers consider training as an important tool for SME development, the SMEs themselves do not feel so. It is against this background that we launched a survey in Bangalore (India) to assess the training needs of SMEs, as perceived by themselves. This study is especially relevant as there are no other similar studies undertaken in India so far. The survey was conducted among 300 randomly selected SME units in Bangalore. The survey questionnaire enquired about the perceived need for training and the preferences for the topics, duration, timings, costs, training providers, etc. The findings show that the trainingrelated attitudes and behaviour of SMEs are not very different from what is observed by the Western researchers. The overall finding of positive relationships of enterprise characteristics and the ` acquired' characteristics of entrepreneurs with the perception of training need suggests that training need perception is more a function of the developmental stage of the enterprise than the personal preferences of the entrepreneur. Specific findings of the study are discussed and their theoretical and practical implications are explained in the article.</t>
  </si>
  <si>
    <t>[Manimala, Mathew J.] Indian Inst Management, Bangalore, Karnataka, India; [Manimala, Mathew J.] Indian Inst Management, OBHRM Area, Bangalore, Karnataka, India; [Kumar, Sudhir] Inst Management Bangalore, Bangalore, Karnataka, India</t>
  </si>
  <si>
    <t>Manimala, MJ (corresponding author), Indian Inst Management, Bangalore, Karnataka, India.</t>
  </si>
  <si>
    <t>manimala@iimb.ernet.in; sudhirkautilya@gmail.com</t>
  </si>
  <si>
    <t>International Finance Corporation (IFC), Washington</t>
  </si>
  <si>
    <t>The funding support for this research was provided by International Finance Corporation (IFC), Washington, and the administrative support was provided by N S Raghavan Centre for Entrepreneurial Learning (NSRCEL) of Indian Institute of Management Bangalore (IIMB), India, both of which are gratefully acknowledged.</t>
  </si>
  <si>
    <t>2277-9752</t>
  </si>
  <si>
    <t>2321-029X</t>
  </si>
  <si>
    <t>IIM KOZHIKODE SOC MA</t>
  </si>
  <si>
    <t>IIM Kozhikode Soc. Manag. Rev.</t>
  </si>
  <si>
    <t>10.1177/2277975213477299</t>
  </si>
  <si>
    <t>VH9MY</t>
  </si>
  <si>
    <t>WOS:000457910300006</t>
  </si>
  <si>
    <t>Article; Retracted Publication</t>
  </si>
  <si>
    <t>EIA system in India; Environmental clearance</t>
  </si>
  <si>
    <t>[Panigrahi, Jitendra K.] Berhampur Univ, Dept Marine Sci, Berhampur 760007, Orissa, India; [Amirapu, Susruta] L&amp;T RAMBOLL, EIA Dept, Hyderabad 500029, Andhra Pradesh, India</t>
  </si>
  <si>
    <t>Panigrahi, JK (corresponding author), Berhampur Univ, Dept Marine Sci, Berhampur 760007, Orissa, India.</t>
  </si>
  <si>
    <t>Jitu@scientist.com; susrutaa@gmail.com</t>
  </si>
  <si>
    <t>944PX</t>
  </si>
  <si>
    <t>Education innovation; Learning styles; Curriculum innovation; Whole brain learning; Academic staff development; Action research; Professional development; Information literacy</t>
  </si>
  <si>
    <t>[du Toit, Pieter H.] Univ Pretoria, Dept Geesteswetenskaplike Onderwys, ZA-0002 Pretoria, South Africa; [de Boer, Ann-Louise; Bothma, Theo] Univ Pretoria, Dept Inligtingkunde, ZA-0002 Pretoria, South Africa; [Scheepers, Detken] Univ Pretoria, Dept Vir Onderwysinnovasie, ZA-0002 Pretoria, South Africa</t>
  </si>
  <si>
    <t>du Toit, PH (corresponding author), Univ Pretoria, Dept Geesteswetenskaplike Onderwys, ZA-0002 Pretoria, South Africa.</t>
  </si>
  <si>
    <t>pieter.dutoit@up.ac.za; ann-louise.deboer@up.ac.za; theo.bothma@up.ac.za; detken.scheepers@up.ac.za</t>
  </si>
  <si>
    <t>Bothma, Theo JD/G-2933-2017; DE SOUZA, CRISOMAR/Q-2347-2019; Neerputh, Shirlene/B-6028-2012</t>
  </si>
  <si>
    <t>Bothma, Theo JD/0000-0001-7850-3263; Scheepers, Detken/0000-0001-5394-605X</t>
  </si>
  <si>
    <t>961EC</t>
  </si>
  <si>
    <t>cleaner technology; sustainable production; research and development</t>
  </si>
  <si>
    <t>PRODUCTION OPPORTUNITY ASSESSMENT; WASTE-WATER; PAPER; INDUSTRY; PULP</t>
  </si>
  <si>
    <t>[Demirer, Goksel N.] Middle E Tech Univ, Dept Environm Engn, TR-06531 Ankara, Turkey; [Ulutas, Ferda; Alkaya, Emrah; Bogurcu, Merve] Technol Dev Fdn Turkey TTGV, TR-06800 Ankara, Turkey</t>
  </si>
  <si>
    <t>948AR</t>
  </si>
  <si>
    <t>Tizzi, G</t>
  </si>
  <si>
    <t>Tizzi, Giovanna</t>
  </si>
  <si>
    <t>[Daughters of Ceausescu era] The case study of voluntary interruptions of pregnancy among Romanian women in Arezzo</t>
  </si>
  <si>
    <t>CAMBIO-RIVISTA SULLE TRASFORMAZIONI SOCIALI</t>
  </si>
  <si>
    <t>Immigration experience; Vulnerability; Abortion; Reproductive health; Romanian women</t>
  </si>
  <si>
    <t>The following research explores the voluntary interruption of pregnancy (abortion patterns -IVG) of immigrant Romanian women in the province of Arezzo. The study compared fertility, abortion and pregnancy rates and contraceptive prevalence before and after a change in Romanian government policy that legalized abortion and modern contraception. It then focuses on the concept of family planning among Romanian immigrants in Arezzo, where an extremely high rate of abortion appears to be the principal determinant of control of pregnancies. The key questions are: what are the motivations that move the Romanian women to such high percentages to the IVG? What social and individual factors affect this the most? In addition to the individual motivations and socioeconomic characteristics of applicants IVG, what are the social elements related to the migratory experience? The research examines the characteristics of context of the place of origin (the socio-political climate in terms of reproductive health) and arrival context (biographical trajectories, life contexts, roles, and social relations). The research plan is structured around a multidimensional model, and examines the different elements that have an influence on the IVG question. Methodological instruments used include secondary analysis, survey, biographical interviews, focus groups with consultancy service operators (gynecologists, midwives, social workers, nurses, psychologists and health services managers) and participant observation.</t>
  </si>
  <si>
    <t>[Tizzi, Giovanna] Univ Firenze, Florence, Italy</t>
  </si>
  <si>
    <t>Tizzi, G (corresponding author), Univ Firenze, Florence, Italy.</t>
  </si>
  <si>
    <t>UNIV STUDI FIRENZE</t>
  </si>
  <si>
    <t>FLORENCE</t>
  </si>
  <si>
    <t>C/O PROF F DESSI-FULGHERI, VIA ROMANA 17, 50125 FLORENCE, ITALY</t>
  </si>
  <si>
    <t>2239-1118</t>
  </si>
  <si>
    <t>CAMBIO</t>
  </si>
  <si>
    <t>Cambio</t>
  </si>
  <si>
    <t>V6X6H</t>
  </si>
  <si>
    <t>WOS:000420707800009</t>
  </si>
  <si>
    <t>Barclay, L; Longman, J; Schmied, V; Sheehan, A; Rolfe, M; Burns, E; Fenwick, J</t>
  </si>
  <si>
    <t>Barclay, Lesley; Longman, Jo; Schmied, Virginia; Sheehan, Athena; Rolfe, Margaret; Burns, Elaine; Fenwick, Jennifer</t>
  </si>
  <si>
    <t>The professionalising of breast feeding-Where are we a decade on?</t>
  </si>
  <si>
    <t>MIDWIFERY</t>
  </si>
  <si>
    <t>Breast feeding; Health policy; Health services</t>
  </si>
  <si>
    <t>SUPPORT; MOTHERS; PERCEPTIONS; EXPLORATION; EXPERIENCES; RATES; WOMEN</t>
  </si>
  <si>
    <t>This paper is an empirically informed opinion piece revisiting an argument published in Midwifery 10 years ago, that the increasing professionalisation of breast feeding was not supporting women in Australia in sustaining breast feeding. We present the last 10 years of primary research on the topic, explore major policy initiatives and the establishment and growth of lactation consultants in Australia to see if this has made a difference to sustained rates of breast feeding. We present an analysis of the only consistently collected national statistics on breast feeding and compare this with national and state level government data collections from the last decade. We have found that the considerable effort invested in trying to improve duration of breast feeding amongst women in Australia appears to have failed to improve sustained breast-feeding rates. We argue that this situation might be related to losing sight of the embodied nature of breast feeding and the relationships that must exist between the mother and baby, the knowledge and skills women quickly develop, and a loss of woman to woman support. We conclude that midwives have a major role in avoiding us reproducing similar, unintended, negative consequences to those resulting from increasing obstetrician managed normal birth. These include midwifery scrutiny and involvement in policy development and institutional practices and the design of services. (C) 2012 Elsevier Ltd. All rights reserved.</t>
  </si>
  <si>
    <t>[Barclay, Lesley; Longman, Jo; Rolfe, Margaret] Univ Sydney, Univ Ctr Rural Hlth N Coast, Lismore, NSW 2477, Australia; [Schmied, Virginia; Burns, Elaine] Univ Western Sydney, Sch Nursing &amp; Midwifery, Penrith, NSW 2751, Australia; [Sheehan, Athena] Avondale Coll, Fac Nursing &amp; Hlth, Wahroonga, NSW 2076, Australia; [Fenwick, Jennifer] Griffith Univ, Meadowbrook, Qld 4131, Australia</t>
  </si>
  <si>
    <t>Barclay, L (corresponding author), Univ Sydney, Univ Ctr Rural Hlth N Coast, POB 3074, Lismore, NSW 2477, Australia.</t>
  </si>
  <si>
    <t>lesley.barclay@sydney.edu.au; jo.longman@ucrh.edu.au; v.schmied@uws.edu.au; athena.sheehan@avondale.edu.au; margaret.rolfe@ucrh.edu.au; e.burns@uws.edu.au; j.fenwick@griffith.edu.au</t>
  </si>
  <si>
    <t>Burns, Elaine/AAE-8410-2021</t>
  </si>
  <si>
    <t>Burns, Elaine/0000-0002-1388-6213; Longman, Jo/0000-0002-8257-7772; Schmied, Virginia/0000-0002-4066-1781; Barclay, Lesley/0000-0002-9345-3468; Sheehan, Athena/0000-0002-2035-504X</t>
  </si>
  <si>
    <t>0266-6138</t>
  </si>
  <si>
    <t>1532-3099</t>
  </si>
  <si>
    <t>Midwifery</t>
  </si>
  <si>
    <t>10.1016/j.midw.2011.12.011</t>
  </si>
  <si>
    <t>947PG</t>
  </si>
  <si>
    <t>WOS:000304441400002</t>
  </si>
  <si>
    <t>Chan, ESW; Hawkins, R</t>
  </si>
  <si>
    <t>Chan, Eric S. W.; Hawkins, Rebecca</t>
  </si>
  <si>
    <t>Application of EMSs in a hotel context: A case study</t>
  </si>
  <si>
    <t>EMS; Formation; Implementation; Environment; Hotel</t>
  </si>
  <si>
    <t>ENVIRONMENTAL-MANAGEMENT SYSTEMS; ISO 14001; IMPLEMENTATION; ISO-14001; MOTIVATIONS</t>
  </si>
  <si>
    <t>In the last decade, hotel companies have become increasingly interested in the application of environmental management systems (EMSs). However, research on the effectiveness of EMSs in the hotel industry has been sparse. This study aims to address this research gap by exploring and evaluating the application of EMSs in a hotel context. Various approaches to EMSs are identified in the literature on environmental management and EMSs, including six core EMS elements specific to the hotel industry context. To develop a rich and deep understanding of the application of EMSs in the hotel industry, a qualitative case study was conducted in which data were collected from three levels of employees, executive, supervisory and general, from an international hotel. A series of in-depth, semi-structured interviews were conducted and relevant documents were collected for analysis. Four influential factors were identified in the formation stage of the hotel's EMS: (1) Corporate governance, (2) Piloting activities, (3) Initial gap analysis and (4) Partnership with external consultancy. It was also found that the six elements identified in the environmental management literature play important roles in the implementation of EMS in this case. In addition, although EMSs can help promote a bottom-up approach to change, a top-down approach to implementing EMSs was more suitable for a hotel with a predominantly Chinese workforce, due to cultural issues. This study identified a number of factors specifically related to EMSs to complement mainstream environmental management research. (C) 2011 Elsevier Ltd. All rights reserved.</t>
  </si>
  <si>
    <t>[Chan, Eric S. W.] Hong Kong Polytech Univ, Sch Hotel &amp; Tourism Management, Hong Kong, Hong Kong, Peoples R China; [Hawkins, Rebecca] Oxford Brookes Univ, Dept Hospitality Leisure &amp; Tourism Management, Sch Business, Oxford OX3 OBP, England</t>
  </si>
  <si>
    <t>Chan, ESW (corresponding author), Hong Kong Polytech Univ, Sch Hotel &amp; Tourism Management, Hong Kong, Hong Kong, Peoples R China.</t>
  </si>
  <si>
    <t>hmeric@polyu.edu.hk</t>
  </si>
  <si>
    <t>10.1016/j.ijhm.2011.06.016</t>
  </si>
  <si>
    <t>895AF</t>
  </si>
  <si>
    <t>WOS:000300467900013</t>
  </si>
  <si>
    <t>Feinberg, BA; Lang, J; Grzegorczyk, J; Stark, D; Rybarczyk, T; Leyden, T; Cooper, J; Ruane, T; Milligan, S; Stella, P; Scott, JA</t>
  </si>
  <si>
    <t>Feinberg, Bruce A.; Lang, James; Grzegorczyk, James; Stark, Donna; Rybarczyk, Thomas; Leyden, Thomas; Cooper, Joseph; Ruane, Thomas; Milligan, Scott; Stella, Philip; Scott, Jeffrey A.</t>
  </si>
  <si>
    <t>Implementation of Cancer Clinical Care Pathways: A Successful Model of Collaboration Between Payers and Providers</t>
  </si>
  <si>
    <t>AMERICAN JOURNAL OF MANAGED CARE</t>
  </si>
  <si>
    <t>Despite rising medical costs within the US healthcare system, quality and outcomes are not improving. Without significant policy reform, the cost-quality imbalance will reach unsustainable proportions in the foreseeable future. The rising cost of healthcare in part results from an expanding aging population with an increasing number of life-threatening diseases. This is further compounded by a growing arsenal of high-cost therapies. In no medical specialty is this more apparent than in the area of oncology. Numerous attempts to reduce costs have been attempted, often with limited benefit and brief duration. Because physicians directly or indirectly control or influence the majority of medical care costs, physician behavioral changes must occur to bend the healthcare cost curve in a sustainable fashion. Experts within academia, health policy, and business agree that a significant paradigm change in stakeholder collaboration will be necessary to accomplish behavioral change. Such a collaboration has been pioneered by Blue Cross Blue Shield of Michigan and Physician Resource Management, a highly specialized oncology healthcare consulting firm with developmental and ongoing technical, analytic, and consultative support from Cardinal Health Specialty Solutions, a division of Cardinal Health. We describe a successful statewide collaboration between payers and providers to create a cancer clinical care pathways program. We show that aligned stakeholder incentives can drive high levels of provider participation and compliance in the pathways that lead to physician behavioral changes In addition, claims-based data can be collected, analyzed, and used to create and maintain such a program.</t>
  </si>
  <si>
    <t>[Feinberg, Bruce A.; Cooper, Joseph; Milligan, Scott; Scott, Jeffrey A.] Cardinal Hlth, Healthcare P4, Dublin, OH USA; [Lang, James; Grzegorczyk, James; Stark, Donna; Rybarczyk, Thomas; Leyden, Thomas; Ruane, Thomas] Blue Cross Blue Shield Michigan, Detroit, MI USA; [Stella, Philip] Phys Resource Management, Novi, MI USA</t>
  </si>
  <si>
    <t>Feinberg, BA (corresponding author), 7000 Cardinal Pl, Dublin, OH 43017 USA.</t>
  </si>
  <si>
    <t>bruce.feinberg@cardinalhealth.com</t>
  </si>
  <si>
    <t>Feinberg, Bruce/AAX-9378-2021</t>
  </si>
  <si>
    <t>Feinberg, Bruce/0000-0001-9267-9994</t>
  </si>
  <si>
    <t>MANAGED CARE &amp; HEALTHCARE COMMUNICATIONS LLC</t>
  </si>
  <si>
    <t>PLAINSBORO</t>
  </si>
  <si>
    <t>666 PLAINSBORO RD, STE 300, PLAINSBORO, NJ 08536 USA</t>
  </si>
  <si>
    <t>1088-0224</t>
  </si>
  <si>
    <t>AM J MANAG CARE</t>
  </si>
  <si>
    <t>Am. J. Manag. Care</t>
  </si>
  <si>
    <t>E194</t>
  </si>
  <si>
    <t>E199</t>
  </si>
  <si>
    <t>Health Care Sciences &amp; Services; Health Policy &amp; Services; Medicine, General &amp; Internal</t>
  </si>
  <si>
    <t>001EO</t>
  </si>
  <si>
    <t>WOS:000308443400010</t>
  </si>
  <si>
    <t>Hyman, JL; Luks, HJ; Sechrest, R</t>
  </si>
  <si>
    <t>Hyman, Jon L.; Luks, Howard J.; Sechrest, Randale</t>
  </si>
  <si>
    <t>Online Professional Networks for Physicians: Risk Management</t>
  </si>
  <si>
    <t>CLINICAL ORTHOPAEDICS AND RELATED RESEARCH</t>
  </si>
  <si>
    <t>Background The rapidly developing array of online physician-only communities represents a potential extraordinary advance in the availability of educational and informational resources to physicians. These online communities provide physicians with a new range of controls over the information they process, but use of this social media technology carries some risk. Questions/purposes The purpose of this review was to help physicians manage the risks of online professional networking and discuss the potential benefits that may come with such networks. This article explores the risks and benefits of physicians engaging in online professional networking with peers and provides suggestions on risk management. Methods Through an Internet search and literature review, we scrutinized available case law, federal regulatory code, and guidelines of conduct from professional organizations and consultants. We reviewed the OrthoMind.com site as a case example because it is currently the only online social network exclusively for orthopaedic surgeons. Results Existing case law suggests potential liability for orthopaedic surgeons who engage with patients on openly accessible social network platforms. Current society guidelines in both the United States and Britain provide sensible rules that may mitigate such risks. However, the overall lack of a strong body of legal opinions, government regulations as well as practical experience for most surgeons limit the suitability of such platforms. Closed platforms that are restricted to validated orthopaedic surgeons may limit these downside risks and hence allow surgeons to collaborate with one another both as clinicians and practice owners. Conclusions Educating surgeons about the pros and cons of participating in these networking platforms is helping them more astutely manage risks and optimize benefits. This evolving online environment of professional interaction is one of few precedents, but the application of risk management strategies that physicians use in daily practice carries over into the online community. This participation should foster ongoing dialogue as new guidelines emerge. This will allow today's orthopaedic surgeon to feel more comfortable with online professional networks and better understand how to make an informed decision regarding their proper use.</t>
  </si>
  <si>
    <t>[Luks, Howard J.] New York Med Coll, Valhalla, NY 10595 USA; [Sechrest, Randale] Med Multimedia Grp LLC, Missoula, MT USA</t>
  </si>
  <si>
    <t>Hyman, JL (corresponding author), 3903 S Cobb Dr Suite 220, Smyrna, GA 30080 USA.</t>
  </si>
  <si>
    <t>hymanteam@gmail.com</t>
  </si>
  <si>
    <t>0009-921X</t>
  </si>
  <si>
    <t>CLIN ORTHOP RELAT R</t>
  </si>
  <si>
    <t>Clin. Orthop. Rel. Res.</t>
  </si>
  <si>
    <t>10.1007/s11999-011-2197-z</t>
  </si>
  <si>
    <t>Orthopedics; Surgery</t>
  </si>
  <si>
    <t>943BC</t>
  </si>
  <si>
    <t>WOS:000304094400020</t>
  </si>
  <si>
    <t>Shahriar, A; Sadiq, R; Tesfamariam, S</t>
  </si>
  <si>
    <t>Shahriar, Anjuman; Sadiq, Rehan; Tesfamariam, Solomon</t>
  </si>
  <si>
    <t>Risk analysis for oil &amp; gas pipelines: A sustainability assessment approach using fuzzy based bow-tie analysis</t>
  </si>
  <si>
    <t>JOURNAL OF LOSS PREVENTION IN THE PROCESS INDUSTRIES</t>
  </si>
  <si>
    <t>Oil &amp; gas pipelines; Risk analysis; Bow-tie analysis; Dependency; Fuzzy utility value; Gas release</t>
  </si>
  <si>
    <t>DECISION-MAKING; MANAGEMENT; FAILURES; SYSTEMS; UNCERTAINTIES; CONSEQUENCES; DESIGN; FAULT</t>
  </si>
  <si>
    <t>Vast amounts of oil &amp; gas (O&amp;G) are consumed around the world everyday that are mainly transported and distributed through pipelines. Only in Canada, the total length of O&amp;G pipelines is approximately 100,000 km, which is the third largest in the world. Integrity of these pipelines is of primary interest to O&amp;G companies, consultants, governmental agencies, consumers and other stakeholder due to adverse consequences and heavy financial losses in case of system failure. Fault tree analysis (ETA) and event tree analysis (ETA) are two graphical techniques used to perform risk analysis, where ETA represents causes (likelihood) and ETA represents consequences of a failure event. 'Bow-tie' is an approach that integrates a fault tree (on the left side) and an event tree (on the right side) to represent causes, threat (hazards) and consequences in a common platform. Traditional 'bow-tie' approach is not able to characterize model uncertainty that arises due to assumption of independence among different risk events. In this paper, in order to deal with vagueness of the data, the fuzzy logic is employed to derive fuzzy probabilities (likelihood) of basic events in fault tree and to estimate fuzzy probabilities (likelihood) of output event consequences. The study also explores how inter-dependencies among various factors might influence analysis results and introduces fuzzy utility value (FUV) to perform risk assessment for natural gas pipelines using triple bottom line (TBL) sustainability criteria, namely, social, environmental and economical consequences. The present study aims to help owners of transmission and distribution pipeline companies in risk management and decision-making to consider multi-dimensional consequences that may arise from pipeline failures. The research results can help professionals to decide whether and where to take preventive or corrective actions and help informed decision-making in the risk management process. A simple example is used to demonstrate the proposed approach. (c) 2011 Elsevier Ltd. All rights reserved.</t>
  </si>
  <si>
    <t>[Shahriar, Anjuman; Sadiq, Rehan; Tesfamariam, Solomon] Univ British Columbia, Sch Engn, Kelowna, BC V1V 1V7, Canada</t>
  </si>
  <si>
    <t>Sadiq, R (corresponding author), Univ British Columbia, Sch Engn, Okanagan Campus,3333 Univ Way, Kelowna, BC V1V 1V7, Canada.</t>
  </si>
  <si>
    <t>rehan.sadiq@ubc.ca</t>
  </si>
  <si>
    <t>0950-4230</t>
  </si>
  <si>
    <t>1873-3352</t>
  </si>
  <si>
    <t>J LOSS PREVENT PROC</t>
  </si>
  <si>
    <t>J. Loss Prev. Process Ind.</t>
  </si>
  <si>
    <t>10.1016/j.jlp.2011.12.007</t>
  </si>
  <si>
    <t>929RQ</t>
  </si>
  <si>
    <t>WOS:000303083600010</t>
  </si>
  <si>
    <t>JOURNAL OF ONCOLOGY PRACTICE</t>
  </si>
  <si>
    <t>Despite rising medical costs within the US health care system, quality and outcomes are not improving. Without significant policy reform, the cost-quality imbalance will reach unsustainable proportions in the foreseeable future. The rising cost of health care in part results from an expanding aging population with an increasing number of life-threatening diseases. This is further compounded by a growing arsenal of high-cost therapies. In no medical specialty is this more apparent than in the area of oncology. Numerous attempts to reduce costs have been attempted, often with limited benefit and brief duration. Because physicians directly or indirectly control or influence the majority of medical care costs, physician behavioral changes must occur to bend the health care cost curve in a sustainable fashion. Experts within academia, health policy, and business agree that a significant paradigm change in stakeholder collaboration will be necessary to accomplish behavioral change. Such a collaboration has been pioneered by Blue Cross Blue Shield of Michigan and Physician Resource Management, a highly specialized oncology health care consulting firm with developmental and ongoing technical, analytic, and consultative support from Cardinal Health Specialty Solutions, a division of Cardinal Health. We describe a successful statewide collaboration between payers and providers to create a cancer clinical care pathways program. We show that aligned stakeholder incentives can drive high levels of provider participation and compliance in the pathways that lead to physician behavioral changes. In addition, claims-based data can be collected, analyzed, and used to create and maintain such a program.</t>
  </si>
  <si>
    <t>Cardinal Hlth, Dublin, OH USA; P4 Healthcare, Dublin, OH USA; Blue Cross Blue Shield Michigan, Detroit, MI USA; Phys Resource Management, Novi, MI USA</t>
  </si>
  <si>
    <t>AMER SOC CLINICAL ONCOLOGY</t>
  </si>
  <si>
    <t>ALEXANDRIA</t>
  </si>
  <si>
    <t>2318 MILL ROAD, STE 800, ALEXANDRIA, VA 22314 USA</t>
  </si>
  <si>
    <t>1554-7477</t>
  </si>
  <si>
    <t>1935-469X</t>
  </si>
  <si>
    <t>J ONCOL PRACT</t>
  </si>
  <si>
    <t>J. Oncol. Pract.</t>
  </si>
  <si>
    <t>10.1200/JOP.2012.000564</t>
  </si>
  <si>
    <t>V15IC</t>
  </si>
  <si>
    <t>WOS:000214541300007</t>
  </si>
  <si>
    <t>Albert, C; Zimmermann, T; Knieling, J; von Haaren, C</t>
  </si>
  <si>
    <t>Albert, Christian; Zimmermann, Thomas; Knieling, Joerg; von Haaren, Christina</t>
  </si>
  <si>
    <t>Social learning can benefit decision-making in landscape planning: Gartow case study on climate change adaptation, Elbe valley biosphere reserve</t>
  </si>
  <si>
    <t>Participatory planning; Climate change; Adaptation; Scenarios; Social learning</t>
  </si>
  <si>
    <t>SCENARIOS; MANAGEMENT; GOVERNANCE; SCALE</t>
  </si>
  <si>
    <t>This paper uses a planning experiment to empirically investigate possible social learning outcomes of landscape and urban planning with benefits for decision-making. Building on C. Steinitz' Framework for Alternative Futures Studies, a framework for participatory scenario-based landscape planning (SLP) is developed and used in a three-month climate adaptation planning process involving up to 37 local actors in Gartow, Germany. The evaluation of social learning outcomes follows the premise of action research and employs a mixed-method approach. The research shows that SLP can successfully generate social learning outcomes among participants. Observed social learning outcomes include gains in substantive knowledge (e.g. on climate change impacts), procedural knowledge (e.g. on alternative adaptation strategies), understanding of different perspectives, as well as social and technical skills. Participants named several potential impacts of social learning outcomes on their future decision-making, including enhanced awareness, altered agendas, and better social relations. The SLP process and its results formed the basis and inducement for further collaboration of local actors and external consultants in the development of a coordinated mission statement (Leitbild) for climate change adaptation. (C) 2012 Elsevier B.V. All rights reserved.</t>
  </si>
  <si>
    <t>[Albert, Christian; von Haaren, Christina] Leibniz Univ Hannover, Inst Environm Planning, D-30419 Hannover, Germany; [Zimmermann, Thomas; Knieling, Joerg] HafenCity Univ Hamburg, D-22085 Hamburg, Germany</t>
  </si>
  <si>
    <t>Albert, C (corresponding author), Leibniz Univ Hannover, Inst Environm Planning, Herrenhaeuser Str 2, D-30419 Hannover, Germany.</t>
  </si>
  <si>
    <t>albert@umwelt.uni-hannover.de; thomas.zimmermann@hcu-hamburg.de; joerg.knieling@hcu-hamburg.de; haaren@umwelt.uni-hannover.de</t>
  </si>
  <si>
    <t>Albert, Christian/A-1604-2012; Knieling, Jörg/AAM-7877-2020</t>
  </si>
  <si>
    <t>Albert, Christian/0000-0002-2591-4779; Knieling, Jörg/0000-0003-1555-5458</t>
  </si>
  <si>
    <t>Greater Community of Gartow; Friedrich-Wilhelm Schroeder; municipal office, Lutz Haas; KLIMZUG-Nord from the German Federal Ministry of Education and Research (BMBF); Metropolitan Region and the City of Hamburg; German National Academic Foundation (Studienstiftung des Deutschen Volkes)</t>
  </si>
  <si>
    <t>Greater Community of Gartow; Friedrich-Wilhelm Schroeder; municipal office, Lutz Haas; KLIMZUG-Nord from the German Federal Ministry of Education and Research (BMBF)(Federal Ministry of Education &amp; Research (BMBF)); Metropolitan Region and the City of Hamburg; German National Academic Foundation (Studienstiftung des Deutschen Volkes)</t>
  </si>
  <si>
    <t>We are grateful for the support of the major of the Greater Community of Gartow, Friedrich-Wilhelm Schroeder, and the head of the municipal office, Lutz Haas, for their openness to support the case study. We also thank the many workshop participants without whom the planning process would not have been possible. Carl Steinitz provided very useful comments on the design of the planning process and its evaluation. juliane Hildebrand was helpful in organizing the workshops. Filip Ahrend assumed tasks in developing the Leitbild and, together with Adam Gancarczyk, contributed to the preparation of illustrations. Daniel Bick helped in the statistical analysis. Sylvia Herrmann and two anonymous reviewers provided very useful comments on the manuscript. The research was funded through a grant for the KLIMZUG-Nord project from the German Federal Ministry of Education and Research (BMBF) as well as the Metropolitan Region and the City of Hamburg. CA held a PhD-scholarship of the German National Academic Foundation (Studienstiftung des Deutschen Volkes); it is gratefully acknowledged.</t>
  </si>
  <si>
    <t>APR 30</t>
  </si>
  <si>
    <t>10.1016/j.landurbplan.2011.12.024</t>
  </si>
  <si>
    <t>922AA</t>
  </si>
  <si>
    <t>WOS:000302518000002</t>
  </si>
  <si>
    <t>Governance; interdisciplinary research; stakeholders; strategic planning; policy implementation</t>
  </si>
  <si>
    <t>CONSERVATION; NGOS</t>
  </si>
  <si>
    <t>[Buschke, Falko T.; Esterhuyse, Surina] Univ Orange Free State, Ctr Environm Management, ZA-9300 Bloemfontein, South Africa</t>
  </si>
  <si>
    <t>Buschke, FT (corresponding author), Univ Orange Free State, Ctr Environm Management, Internal Box 67,POB 339, ZA-9300 Bloemfontein, South Africa.</t>
  </si>
  <si>
    <t>falko.buschke@gmail.com</t>
  </si>
  <si>
    <t>973NZ</t>
  </si>
  <si>
    <t>SEASONAL INFLUENZA</t>
  </si>
  <si>
    <t>[Steffen, C.; Debellut, F.; Gessner, B. D.] Agence Med Prevent, 25-28 Rue Dr Roux, F-75724 Paris 15, France; [Kasolo, F. C.; Yahaya, A. A.] WHO, Reg Off Africa, Dis Surveillance &amp; Response Programme, Brazzaville, Rep Congo; [Ayebazibwe, N.] African Field Epidemiol Network, Kampala, Uganda; [Vandemaele, K. A.; Mounts, A. W.] WHO, Global Influenza Programme, CH-1211 Geneva, Switzerland</t>
  </si>
  <si>
    <t>Steffen, C (corresponding author), Agence Med Prevent, 25-28 Rue Dr Roux, F-75724 Paris 15, France.</t>
  </si>
  <si>
    <t>csteffen@aamp.org</t>
  </si>
  <si>
    <t>Steffen, Christoph/0000-0003-0777-5047; Debellut, Frederic/0000-0002-3027-2838</t>
  </si>
  <si>
    <t>Sanofi Pasteur; Pfizer; Merck; GlaxoSmithKline; World Health Organization</t>
  </si>
  <si>
    <t>Sanofi Pasteur; Pfizer(Pfizer); Merck(Merck &amp; Company); GlaxoSmithKline(GlaxoSmithKline); World Health Organization(World Health Organization)</t>
  </si>
  <si>
    <t>S Steffen, F Debellut and BD Gessner work for Agence de Medecine Preventive, which receives unrestricted funding from Sanofi Pasteur and grant-specific support from Sanofi Pasteur, Pfizer, Merck and GlaxoSmithKline. However, the current study was funded entirely through a grant from the World Health Organization.</t>
  </si>
  <si>
    <t>WORLD HEALTH ORGANIZATION</t>
  </si>
  <si>
    <t>GENEVA 27</t>
  </si>
  <si>
    <t>MARKETING AND DISSEMINATION, CH-1211 GENEVA 27, SWITZERLAND</t>
  </si>
  <si>
    <t>B WORLD HEALTH ORGAN</t>
  </si>
  <si>
    <t>Bull. World Health Organ.</t>
  </si>
  <si>
    <t>932EL</t>
  </si>
  <si>
    <t>Christopoulou, SC; Papoutsis, JL</t>
  </si>
  <si>
    <t>Christopoulou, Stella C.; Papoutsis, John L.</t>
  </si>
  <si>
    <t>A content citizen health management system: a tele-health and tele-care prototype portal for the public</t>
  </si>
  <si>
    <t>HEALTH AND TECHNOLOGY</t>
  </si>
  <si>
    <t>Health informatics; Health promotion; Social care systems; Tele-health system; Portals; Content management system; Joomla</t>
  </si>
  <si>
    <t>PHYSIOLOGICAL MONITORING-SYSTEM; AREA NETWORK; MOBILE; PLATFORM; PHONE</t>
  </si>
  <si>
    <t>The main inspiration for the implementation of the Content Citizen Health Management System (CCHMS) is to provide a daily, convenient and easily accessible collaborative supportive environment, which will concern social and personal health and welfare matters, to computer literate citizens and those who desire to use information technology. It is a fact that Health services involving prevention and wellness are changing significantly towards a more citizen-centered, home care notion why not also mobile services via WEB and WAP technologies. In other words, the CCHMS as a portal is fundamentally an integration of health content and services in a functional and intelligent WEB environment via the development of communication channels among citizens and the public and private organizations. The design and the development of the CCHMS are based on open source software and follow the appropriate HITSP [1] and ISO/TR 22221 [2] standards along with HONcode principles [3]. In particular, the CCHM system relies on the creation of a customized portal based on the philosophy of the Knowledge Management and Content Management System (CMS). The CMS supports the creation, management, distribution and the publication of corporate information, used to organize and facilitate the collaborative document creation, and other types of content and powerful tools required to create the infrastructure upon which a dynamic website will be set up. The project's objective is to create a modern, inexpensive, widespread tool to support access to a healthy lifestyle, by means of monitoring and consulting citizens on issues of prevention, diagnosis, treatment, shared information and collaborative education. Also, the development of a voluntary professional health network enables citizens to improve personalized health-related management according to national and European policies.</t>
  </si>
  <si>
    <t>[Christopoulou, Stella C.; Papoutsis, John L.] Technol Educ Inst Kalamata, Dept Hlth &amp; Welf Unit Management, Antikalamos 24100, Kalamata, Greece; [Papoutsis, John L.] Technol Educ Inst Kalamata, Technol Res Ctr Peloponnesus, Antikalamos 24100, Kalamata, Greece</t>
  </si>
  <si>
    <t>Christopoulou, SC (corresponding author), Technol Educ Inst Kalamata, Dept Hlth &amp; Welf Unit Management, Antikalamos 24100, Kalamata, Greece.</t>
  </si>
  <si>
    <t>stellachristop@gmail.com</t>
  </si>
  <si>
    <t>Christopoulou, Stella C./GNM-8640-2022</t>
  </si>
  <si>
    <t>Christopoulou, Stella C./0000-0002-8507-1080</t>
  </si>
  <si>
    <t>2190-7188</t>
  </si>
  <si>
    <t>2190-7196</t>
  </si>
  <si>
    <t>HEALTH TECHNOL-GER</t>
  </si>
  <si>
    <t>Health Technol.</t>
  </si>
  <si>
    <t>10.1007/s12553-012-0018-3</t>
  </si>
  <si>
    <t>Medical Informatics</t>
  </si>
  <si>
    <t>V4D2K</t>
  </si>
  <si>
    <t>WOS:000218825700007</t>
  </si>
  <si>
    <t>Tighe, SL; McLeod, NW; Juhasz, M</t>
  </si>
  <si>
    <t>Tighe, Susan L.; McLeod, Norman W.; Juhasz, Marta</t>
  </si>
  <si>
    <t>Development of the new 2011 canadian pavement asset design and management guide: a brief summary of canadian state-of-the-practice</t>
  </si>
  <si>
    <t>REVISTA INGENIERIA DE CONSTRUCCION</t>
  </si>
  <si>
    <t>Transportation association of Canada (TAC); Pavement asset design and management guide (PADMG)</t>
  </si>
  <si>
    <t>The development of the new 2011 Transportation Association of Canada (TAC) Pavement Asset Design and Management Guide (PADMG) began in September 2009. The project is a pooled fund study being sponsored by over twenty Canadian public agencies including all ten provincial Canadian Departments of Transportation, several major Canadian cities, several industry associations and the federal government. The effort is being lead by a Canadian consortium team composed of consultants and academics from across Canada. The consortium team is composed of a diverse group of practitioners who have experience across Canada in the various areas of expertise pertinent to this guide. The new 2011 PADMG will be an up-to-date, practical consolidation of Canadian pavement design and management practice for practicing engineers, managers and technicians. It will also be a valuable resource for college and university courses both in Canada and elsewhere. The guide will highlight key industry issues such as sustainability, climate change, and new innovations. The paper first provides a summary of findings from a stakeholder survey to determine current state-of-the-practice in Canada. Information collected in this survey covers the major practices areas in pavement design and management. There will be 15 chapters in the new guide ranging from discussions on the principles of asset management, to data requirements, sustainability, maintenance, materials, low and high volume road design and life cycle analysis of pavement designs. The draft 2011 PADMG has been submitted and the project will be completed by September 2011</t>
  </si>
  <si>
    <t>[Tighe, Susan L.; McLeod, Norman W.] Univ Waterloo, Waterloo, ON, Canada; [Juhasz, Marta] Alberta Transportat, Edmonton, AB, Canada</t>
  </si>
  <si>
    <t>Tighe, SL (corresponding author), Univ Waterloo, Waterloo, ON, Canada.</t>
  </si>
  <si>
    <t>sltighe@uwaterloo.ca</t>
  </si>
  <si>
    <t>PONTIFICIA UNIV CATOLICA CHILE, DEPT INGENIERIA &amp; GESTION CONSTRUCCION</t>
  </si>
  <si>
    <t>SANTIAGO</t>
  </si>
  <si>
    <t>AVDA VICUNA MACKENNA 4860, MACUL, CAMPUS SAN JOAQUIN, ED SAN AGUSTIN, PISO 3, CASILLA 306, CORREO 22, SANTIAGO, 00000, CHILE</t>
  </si>
  <si>
    <t>0716-2952</t>
  </si>
  <si>
    <t>0718-5073</t>
  </si>
  <si>
    <t>REV ING CONSTR</t>
  </si>
  <si>
    <t>Rev. Ing. Constr.</t>
  </si>
  <si>
    <t>10.4067/S0718-50732012000100006</t>
  </si>
  <si>
    <t>V7I3F</t>
  </si>
  <si>
    <t>WOS:000420985800006</t>
  </si>
  <si>
    <t>Dougherty, KJ; Natow, RS; Vega, BE</t>
  </si>
  <si>
    <t>Dougherty, Kevin J.; Natow, Rebecca S.; Vega, Blanca E.</t>
  </si>
  <si>
    <t>Popular but Unstable: Explaining Why State Performance Funding Systems in the United States Often Do Not Persist</t>
  </si>
  <si>
    <t>HIGHER-EDUCATION; POLICY TERMINATION; ACCOUNTABILITY; SUSTAINABILITY; FUTURE</t>
  </si>
  <si>
    <t>Background/Context: Performance funding in higher education ties government funding to institutional performance on indicators such as retention, graduation, and job placement. Performance funding can also be found in state K-12 funding policies and higher education quality assurance programs abroad. One of the puzzles about higher education performance funding is that half of the states establishing it later abandoned it. Purpose/Objective/Research Question/Focus of Study: This study examines the factors that have led many states to drop performance funding for higher education. Research Design: This qualitative case study contrasts the experiences of three states that dropped performance funding in whole or in part (Missouri, Washington, and Florida) and a fourth (Tennessee) that has retained it more than 30 years. Discussion: Our analysis is based on documentary records and extensive interviews with higher education officials, legislators and staff, governors and advisors, business leaders, minority group leaders, researchers, and outside consultants. Our findings concur with but also go beyond prior analyses of the demise of state performance funding systems. We concur that higher education opposition played a key role in this demise, stimulated by a perception of inadequate consultation with higher education institutions, use of performance indicators that institutions found invalid, high implementation costs to institutions, and erosion of campus autonomy. At the same time, our analysis turned up other causes of higher education opposition to performance funding that were not discovered by previous studies. A major cause of higher education opposition was the downturn in state finances in the early 2000s, which led institutions to focus on preserving their core state funding and giving up performance funding. Higher education opposition was also provoked if performance funding took the form not of adding to existing state funding but instead holding back a portion of the state appropriation and requiring institutions to earn it back through improved performance. These findings agree and disagree with theories and findings in the research literatures on policy termination and program sustainability. Conclusions/Recommendations: If its advocates are to create a sustainable basis for state performance funding, they must find ways to insulate its funding from the ups and downs of the state revenue cycle, better secure the support of public institutions, and expand its breadth of political support by reaching out, for example, to business and to social groups driven primarily by the values of educational equality rather than educational efficiency.</t>
  </si>
  <si>
    <t>[Dougherty, Kevin J.] Columbia Univ, Teachers Coll, Educ Policy &amp; Social Anal Dept, New York, NY 10027 USA; [Dougherty, Kevin J.; Natow, Rebecca S.] Columbia Univ, Teachers Coll, Community Coll Res Ctr, New York, NY 10027 USA; [Natow, Rebecca S.; Vega, Blanca E.] Columbia Univ, Teachers Coll, Higher &amp; Postsecondary Educ Program, New York, NY 10027 USA</t>
  </si>
  <si>
    <t>Dougherty, KJ (corresponding author), Columbia Univ, Teachers Coll, Educ Policy &amp; Social Anal Dept, New York, NY 10027 USA.</t>
  </si>
  <si>
    <t>Natow, Rebecca/U-3994-2019</t>
  </si>
  <si>
    <t>Natow, Rebecca/0000-0003-2948-1904</t>
  </si>
  <si>
    <t>931II</t>
  </si>
  <si>
    <t>WOS:000303209200001</t>
  </si>
  <si>
    <t>Consultants; Depoliticization; Arena-shifting; Experts; Water privatization; Berlin</t>
  </si>
  <si>
    <t>URBAN GOVERNANCE; MANAGERIALISM; PARTNERSHIPS</t>
  </si>
  <si>
    <t>Leibniz Inst Reg Dev &amp; Struct Planning IRS, Dept Inst Change &amp; Reg Publ Goods, D-15537 Erkner, Germany</t>
  </si>
  <si>
    <t>Beveridge, R (corresponding author), Leibniz Inst Reg Dev &amp; Struct Planning IRS, Dept Inst Change &amp; Reg Publ Goods, Flakenstr 28-31, D-15537 Erkner, Germany.</t>
  </si>
  <si>
    <t>beveridge@irs-net.de</t>
  </si>
  <si>
    <t>POLICY SCI</t>
  </si>
  <si>
    <t>Policy Sci.</t>
  </si>
  <si>
    <t>Public Administration; Social Sciences, Interdisciplinary</t>
  </si>
  <si>
    <t>Public Administration; Social Sciences - Other Topics</t>
  </si>
  <si>
    <t>897PH</t>
  </si>
  <si>
    <t>Mac Cormac, S; Haney, H</t>
  </si>
  <si>
    <t>Mac Cormac, Susan; Haney, Heather</t>
  </si>
  <si>
    <t>New Corporate Forms: One Viable Solution to Advancing Environmental Sustainability</t>
  </si>
  <si>
    <t>JOURNAL OF APPLIED CORPORATE FINANCE</t>
  </si>
  <si>
    <t>There is a clear trend in corporate governance toward increased attention to the environmental and social impacts of business operations. Major consulting firms are advising Fortune 500 companies on how to become more environmentally sustainable, private equity and impact investors are measuring environmental, social, and governance (ESG) factors, and voluntary reporting and shareholder resolutions on issues of environmental sustainability are on the rise. While traditional corporate forms allow companies to embrace social and environmental responsibility with some measure of success, various real and perceived risks encourage directors to focus on short-term profitability. Even if a company has a strong social mission at inception, founders often have difficulty anchoring their mission over time. And the lack of required disclosure of social and environmental performance makes it more difficult for investors to evaluate and compare companies. Many believe that the institutionalized mispricing of natural resources and the continued failure to price externalities, combined with the progressive nature of climate change, require the transformation of both business and law. This article discusses social and environmental sustainability within the traditional corporate form and then explores three emerging alternatives that are now being used by businesses in California: limited liability corporations (LLCs); benefit corporations (B corps); and flexible purpose corporations (FPCs). Of these three alternatives, FPCs-a corporate form that requires shareholders to agree on one or more social missions with management and the board-may be best suited to meet the needs of the many small private firms (as well as some large public companies) that, whether for purely economic or altruistic reasons, plan to integrate ESG into their operations.</t>
  </si>
  <si>
    <t>[Mac Cormac, Susan; Haney, Heather] Morrison &amp; Foerster LLP, London, England; [Mac Cormac, Susan] Foersters San Francisco Off, Corp Grp Morris, San Francisco, CA 94105 USA; [Mac Cormac, Susan] Cleantech Grp, San Francisco, CA 91405 USA; [Mac Cormac, Susan] Stanford Directors Coll, Stanford, CA 94305 USA; [Mac Cormac, Susan] Flexible Purpose Corp, Newport Beach, CA 92660 USA</t>
  </si>
  <si>
    <t>Mac Cormac, S (corresponding author), Morrison &amp; Foerster LLP, London, England.</t>
  </si>
  <si>
    <t>Rockefeller Foundation</t>
  </si>
  <si>
    <t>Impact at Scale: Policy Innovation for Institutional Investment with Social and Environmental Benefit, is a collaboration between InSight at Pacific Community Ventures and the Initiative for Responsible Investment at Harvard University and is funded by The Rockefeller Foundation. The report explores the role of public policy in impacting investing for institutional asset owners and reveals government strategies to encourage this funding into the future. When examining current practices, the report  clearly demonstrates that Institutional Investments that have social and environmental value are also earning a competitive rate of financial return, allowing institutions to maintain their fiduciary duty while simultaneously having a social impact. Dr. Judith Rodin, President of the Rockefeller Foundation. Impact at Scale: Policy Innovation for Institutional Investment with Social and Environmental Benefit (February 2012).</t>
  </si>
  <si>
    <t>1078-1196</t>
  </si>
  <si>
    <t>1745-6622</t>
  </si>
  <si>
    <t>J APPL CORP FINANC</t>
  </si>
  <si>
    <t>J. Appl. Corp. Financ.</t>
  </si>
  <si>
    <t>10.1111/j.1745-6622.2012.00378.x</t>
  </si>
  <si>
    <t>V71UN</t>
  </si>
  <si>
    <t>WOS:000211599200008</t>
  </si>
  <si>
    <t>Witt, AM; Smith, S; Mason, MJ; Flocke, SA</t>
  </si>
  <si>
    <t>Witt, Ann M.; Smith, Samantha; Mason, Mary Jane; Flocke, Susan A.</t>
  </si>
  <si>
    <t>Integrating Routine Lactation Consultant Support into a Pediatric Practice</t>
  </si>
  <si>
    <t>BREASTFEEDING MEDICINE</t>
  </si>
  <si>
    <t>BREAST-FEEDING SUPPORT; RANDOMIZED-TRIAL; CLINICIAN; PROMOTION; EFFICACY</t>
  </si>
  <si>
    <t>Background: Although research shows that healthcare professionals' support improves breastfeeding duration, many physicians do not believe they have adequate time to address breastfeeding concerns during office visits. This study evaluated the impact of a pediatric practice's postnatal lactation consultant intervention. To improve breastfeeding support, the study practice changed policy and began using a lactation consultant overseen by a physician, to conduct the initial postpartum office visit for all breastfeeding infants. Methods: A retrospective chart review was performed on consecutive newborns before (n = 166) and after (n = 184) implementation of the program. Feeding method was assessed at each well child visit during the infant's first 9 months. chi(2) and logistic growth curve analyses were used to test the association between implementation status and non-formula feeding (NFF). Results: Mothers and infants in 2007 and 2009 were similar with regard to type of insurance, parity, gestational age, multiple births, and cesarean sections. Overall, NFF improved after program implementation (odds ratio = 1.12, 95% confidence interval 1.02-1.23). In 2009, NFF rates at 2 months, 4 months, 6 months, and 9 months were greater than 2007 rates by 10%, 15%, 11%, and 9%, respectively. Logistic growth curve analysis indicated the difference across these time points was significant between 2007 and 2009. Conclusion: A routine post-discharge outpatient lactation visit coordinated within a primary care practice improved breastfeeding initiation and intensity. This effect was sustained for 9 months.</t>
  </si>
  <si>
    <t>[Witt, Ann M.] Breastfeeding Med NE Ohio, S Euclid, OH 44121 USA; [Witt, Ann M.; Smith, Samantha; Mason, Mary Jane; Flocke, Susan A.] Case Western Reserve Univ, Dept Family Med, Cleveland, OH 44106 USA; [Flocke, Susan A.] Case Western Reserve Univ, Dept Epidemiol &amp; Biostat, Cleveland, OH 44106 USA; [Witt, Ann M.] Senders Pediat, Cleveland, OH USA</t>
  </si>
  <si>
    <t>Witt, AM (corresponding author), Breastfeeding Med NE Ohio, 2054 S Green Rd, S Euclid, OH 44121 USA.</t>
  </si>
  <si>
    <t>awitt@bfmedneo.com</t>
  </si>
  <si>
    <t>Health Resources and Services Administration [DHHS/HRSA D54HP05444-01-00, 2008]; NATIONAL CENTER FOR RESEARCH RESOURCES [UL1RR024989] Funding Source: NIH RePORTER</t>
  </si>
  <si>
    <t>Health Resources and Services Administration(United States Department of Health &amp; Human ServicesUnited States Health Resources &amp; Service Administration (HRSA)); NATIONAL CENTER FOR RESEARCH RESOURCES(United States Department of Health &amp; Human ServicesNational Institutes of Health (NIH) - USANIH National Center for Research Resources (NCRR))</t>
  </si>
  <si>
    <t>Special thanks to Shelly Senders, M.D. and the staff at Senders Pediatrics for their continued support in improving breastfeeding practices. Thanks to Maya Bolman, Beth Hurd, Vida LePage, Anne Vanic, and Darlene Walker for their excellent patient care and their assistance with data collection. This project was completed in part by the Culture of Inquiry Fellowship, funded by a Title VII grant from the Health Resources and Services Administration (DHHS/HRSA D54HP05444-01-00, 2008).</t>
  </si>
  <si>
    <t>1556-8253</t>
  </si>
  <si>
    <t>1556-8342</t>
  </si>
  <si>
    <t>BREASTFEED MED</t>
  </si>
  <si>
    <t>Breastfeed. Med.</t>
  </si>
  <si>
    <t>10.1089/bfm.2011.0003</t>
  </si>
  <si>
    <t>Obstetrics &amp; Gynecology; Pediatrics</t>
  </si>
  <si>
    <t>893XT</t>
  </si>
  <si>
    <t>WOS:000300391800007</t>
  </si>
  <si>
    <t>Environmental management systems; Quality management systems; Integrated management systems; Organizational behavior; Hotel; Future management systems; Cleaner Production</t>
  </si>
  <si>
    <t>ENVIRONMENTAL-MANAGEMENT; PERFORMANCE; QUALITY; CERTIFICATION</t>
  </si>
  <si>
    <t>[Miguel Rodriguez-Anton, Jose; del Mar Alonso-Almeida, Maria] Autonomous Univ Madrid, Fac Econ &amp; Business Adm, Business Management Dept, E-28049 Madrid, Spain; [Soledad Celemin, Maria; Rubio, Luis] Autonomous Univ Madrid, Fac Econ &amp; Business Adm, Business Management Dept, Madrid 2804, Spain</t>
  </si>
  <si>
    <t>Alonso-Almeida, MD (corresponding author), Autonomous Univ Madrid, Fac Econ &amp; Business Adm, Business Management Dept, E-28049 Madrid, Spain.</t>
  </si>
  <si>
    <t>josem.rodriguez@uam.es; mar.alonso@uam.es; marisol.celemin@uam.es; luis.rubio@uam.es</t>
  </si>
  <si>
    <t>alonso, mar/A-4954-2015; RODRIGUEZ-ANTON, JOSE/L-3189-2013; CELEMÍN, MARISOL/H-5602-2015; Rubio, Luis/L-2641-2013</t>
  </si>
  <si>
    <t>RODRIGUEZ-ANTON, JOSE/0000-0002-4608-8082; Rubio, Luis/0000-0001-6870-1813</t>
  </si>
  <si>
    <t>864DU</t>
  </si>
  <si>
    <t>Gstraunthaler, T; Cramer, P</t>
  </si>
  <si>
    <t>Gstraunthaler, Thomas; Cramer, Peter</t>
  </si>
  <si>
    <t>The South African Support System for Start-Up Companies: Assessing the Khula Indemnity Scheme</t>
  </si>
  <si>
    <t>COMPETITION &amp; CHANGE</t>
  </si>
  <si>
    <t>SME; government initiative; South Africa; finance; start-ups; developing economy</t>
  </si>
  <si>
    <t>FINANCIAL STRUCTURE; FIRM GROWTH; ENTREPRENEURSHIP; EDUCATION; POLICY</t>
  </si>
  <si>
    <t>This article examines the South African financial system for start-up companies, and focuses particularly on the support provided by the Khula indemnification scheme. Most research rests on the assumption that a lack of finance is the sole impediment to success of start-ups; however, it is unclear whether such government intervention can indeed foster successful entrepreneurial activity. We show that the current system provides profit-making opportunities for both banks and consultants, but lacks a focus on sustainable business development. There are incentives to create companies not in an attempt to be profitable, but rather as a means to gain access to government or government-backed money. We question whether a lack of finance is the primary obstacle to the formation of businesses. Instead, we argue that it is a lack of accountability and an insufficient application of business tools such as basic cost accounting that make entrepreneurs less creditworthy.</t>
  </si>
  <si>
    <t>[Gstraunthaler, Thomas] Higher Sch Econ, Moscow, Russia; [Cramer, Peter] Univ Copenhagen, Copenhagen, Denmark</t>
  </si>
  <si>
    <t>Gstraunthaler, T (corresponding author), 20 Myasnitskaya Str, Moscow 101000, Russia.</t>
  </si>
  <si>
    <t>tgstraunthaler@hse.ru</t>
  </si>
  <si>
    <t>1024-5294</t>
  </si>
  <si>
    <t>1477-2221</t>
  </si>
  <si>
    <t>COMPET CHANG</t>
  </si>
  <si>
    <t>Compet. Chang.</t>
  </si>
  <si>
    <t>10.1179/1024529411Z.0000000001</t>
  </si>
  <si>
    <t>Business; Economics; Geography</t>
  </si>
  <si>
    <t>V76LV</t>
  </si>
  <si>
    <t>WOS:000211914600004</t>
  </si>
  <si>
    <t>Nanoscale zero valent iron (NZVI); Remediation; Groundwater; Chlorinated hydrocarbons; European perspective</t>
  </si>
  <si>
    <t>ZEROVALENT IRON; NANOPARTICLES; REMOVAL; REDUCTION; REACTIVITY; PARTICLES</t>
  </si>
  <si>
    <t>[Mueller, Nicole C.; Nowack, Bernd] Empa, Swiss Fed Labs Mat Sci &amp; Technol, Technol &amp; Soc Lab, CH-9014 St Gallen, Switzerland; [Braun, Juergen] Univ Stuttgart, Inst Wasserbau, D-70569 Stuttgart, Germany; [Bruns, Johannes] Golder Associates GmbH, D-29227 Celle, Germany; [Cernik, Miroslav] Tech Univ Liberec, Liberec 46117, Czech Republic; [Cernik, Miroslav] AQUATEST As, Prague 15200, Czech Republic; [Rissing, Peter] Alenco Environm Consult GmbH, D-70327 Stuttgart, Germany; [Rickerby, David] Commiss European Communities, Joint Res Ctr, Inst Environm &amp; Sustainabil, I-21027 Ispra, Italy</t>
  </si>
  <si>
    <t>Nowack, B (corresponding author), Empa, Swiss Fed Labs Mat Sci &amp; Technol, Technol &amp; Soc Lab, Lerchenfeldstr 5, CH-9014 St Gallen, Switzerland.</t>
  </si>
  <si>
    <t>nicole.mueller@empa.ch; juergen.braun@iws.uni-stuttgart.de; johannes_bruns@golder.com; cernik@aquatest.cz; p.rissing@alenco-consult.com; david.rickerby@jrc.ec.europa.eu; nowack@empa.ch</t>
  </si>
  <si>
    <t>Braun, Jürgen/AFT-8107-2022; Miroslav, Cernik/B-4390-2013; Nowack, Bernd/B-6425-2008</t>
  </si>
  <si>
    <t>EU</t>
  </si>
  <si>
    <t>This paper is based on the results of a workshop financed by the EU-FP7 program ObservatoryNano (http://www.observatorynano.eu). Barbara Karn, U.S. EPA, United States, is thanked for useful discussions on the applications in the USA.</t>
  </si>
  <si>
    <t>879LN</t>
  </si>
  <si>
    <t>Li, YY; Chen, PH; Chew, DAS; Teo, CC; Ding, RG</t>
  </si>
  <si>
    <t>Li, Yuan Yuan; Chen, Po-Han; Chew, David Ah Seng; Teo, Chee Chong; Ding, Rong Gui</t>
  </si>
  <si>
    <t>EXPLORATION OF CRITICAL EXTERNAL PARTNERS OF ARCHITECTURE/ENGINEERING/CONSTRUCTION (AEC) FIRMS FOR DELIVERING GREEN BUILDING PROJECTS IN SINGAPORE</t>
  </si>
  <si>
    <t>critical external relationships; critical partners; Architecture/Engineering/Construction (AEC) firms; Green Building; Green Mark; Singapore; multiple regressions</t>
  </si>
  <si>
    <t>ENVIRONMENTAL-MANAGEMENT; CONSTRUCTION; LESSONS</t>
  </si>
  <si>
    <t>Green Building involves many parties and has attracted attention recently. In this paper, the main external actors for Green Building were explored based on literature review. Then, a structured questionnaire was developed to facilitate systematic data collection. Finally, a stepwise multiple regression analysis was applied and clients, government, qualified/certified materials and products suppliers, and good green consultants were found to be significant external partners of Architecture/Engineering/Construction (AEC) firms for successful delivery of Green Mark certified projects. The research findings will help AEC firms understand how to achieve competitive advantages in the Green Building market in Singapore by using external resources.</t>
  </si>
  <si>
    <t>[Li, Yuan Yuan; Chew, David Ah Seng; Teo, Chee Chong] Nanyang Technol Univ, Sch Civil &amp; Environm Engn, Singapore 639798, Singapore; [Chen, Po-Han] Natl Taiwan Univ, Dept Civil Engn, Taipei 10617, Taiwan; [Ding, Rong Gui] Shandong Univ, Sch Management, Jinan 250100, Shandong, Peoples R China</t>
  </si>
  <si>
    <t>Chen, PH (corresponding author), Natl Taiwan Univ, Dept Civil Engn, Taipei 10617, Taiwan.</t>
  </si>
  <si>
    <t>liyu0011@ntu.edu.sg; pohanchen@ntu.edu.tw; caschew@ntu.edu.sg; teocc@ntu.edu.sg; ding_rgui@sdu.edu.cn</t>
  </si>
  <si>
    <t>Teo, Chee-Chong/A-3759-2011</t>
  </si>
  <si>
    <t>Teo, Chee-Chong/0000-0002-5569-8878</t>
  </si>
  <si>
    <t>10.3992/1943-4618-7.3.193</t>
  </si>
  <si>
    <t>195PG</t>
  </si>
  <si>
    <t>WOS:000322715200012</t>
  </si>
  <si>
    <t>Zeppel, H</t>
  </si>
  <si>
    <t>Zeppel, Heather</t>
  </si>
  <si>
    <t>Collaborative governance for low-carbon tourism: climate change initiatives by Australian tourism agencies</t>
  </si>
  <si>
    <t>CURRENT ISSUES IN TOURISM</t>
  </si>
  <si>
    <t>tourism agencies; Australia; climate change; collaborative governance; low-carbon tourism</t>
  </si>
  <si>
    <t>PROTECTED AREAS; DESTINATION; PARTNERSHIPS; ISLAND; PARKS</t>
  </si>
  <si>
    <t>The Australian tourism industry is vulnerable to the impacts of climate change on natural areas and the destination choices of long-haul travellers concerned about carbon emissions. A National Tourism and Climate Change Taskforce was established in 2007; with a national action plan for Tourism and Climate Change produced in 2008. Implementing these climate change actions requires new partnerships between tourism agencies, business programmes, carbon consultants, and offset providers. This paper assesses collaborative governance of climate change in Australian tourism, with a focus on low-carbon initiatives promoted to tourism operators by state and territory government tourism agencies. The paper compares the climate change initiatives of these tourism agencies based on six key dimensions of governance including: accountability, transparency, involvement, structure, effectiveness, and power [Ruhanen, L., Scott, N., Ritchie, B., &amp; Tkaczynski, A. (2010). Governance: A review and synthesis of the literature. Tourism Review, 65(4), 4-16]. While most state and territory tourism agencies provided resources on climate change initiatives for tourism operators there was little accountability for emissions reduction within the agency. Collaborative governance of climate change was also more developed in states with climate change policies, destinations vulnerable to the impacts of climate change (e.g. Great Barrier Reef, Queensland), or dependent on long-haul travellers. Further research is needed on the governance and effective delivery of carbon emissions reduction programmes by tourism agencies.</t>
  </si>
  <si>
    <t>Univ So Queensland, Australian Ctr Sustainable Business &amp; Dev, Brisbane, Qld 4300, Australia</t>
  </si>
  <si>
    <t>Zeppel, H (corresponding author), Univ So Queensland, Australian Ctr Sustainable Business &amp; Dev, Springfield Campus, Brisbane, Qld 4300, Australia.</t>
  </si>
  <si>
    <t>heather.zeppel@usq.edu.au</t>
  </si>
  <si>
    <t>1368-3500</t>
  </si>
  <si>
    <t>1747-7603</t>
  </si>
  <si>
    <t>CURR ISSUES TOUR</t>
  </si>
  <si>
    <t>Curr. Issues Tour.</t>
  </si>
  <si>
    <t>10.1080/13683500.2011.615913</t>
  </si>
  <si>
    <t>008TY</t>
  </si>
  <si>
    <t>WOS:000308980700001</t>
  </si>
  <si>
    <t>[Currie, Graham; Delbosc, Alexa; Forbes, Pauline] Monash Univ, Dept Civil Engn, Inst Transport Studies, Clayton, Vic 3800, Australia</t>
  </si>
  <si>
    <t>Delbosc, A (corresponding author), Monash Univ, Dept Civil Engn, Inst Transport Studies, Bldg 60, Clayton, Vic 3800, Australia.</t>
  </si>
  <si>
    <t>alexa.delbosc@monash.edu</t>
  </si>
  <si>
    <t>Currie, Graham/ABC-6611-2020; Currie, Graham/P-5431-2019; Delbosc, Alexa/ABG-5920-2020</t>
  </si>
  <si>
    <t>082XJ</t>
  </si>
  <si>
    <t>cross impact balance analysis; energy consumption; impact networks; sustainability</t>
  </si>
  <si>
    <t>[Weimer-Jehle, Wolfgang] Univ Stuttgart, ZIRIUS Zentrum Interdisziplinare Risiko &amp; Innovat, Stuttgart, Germany; [Jenssen, Till] Univ Stuttgart, IER, Stuttgart, Germany; [Jenssen, Till] Landes Baden Wurttemberg, Minist Umwelt Klima &amp; Energiewirtschaft, Mannheim, Germany</t>
  </si>
  <si>
    <t>Jenssen, T (corresponding author), Reuchlinstr 9, D-70178 Stuttgart, Germany.</t>
  </si>
  <si>
    <t>tilljenssen@gmx.net; wolfgang.weimer-jehle@zirius.uni-stuttgart.de</t>
  </si>
  <si>
    <t>061BZ</t>
  </si>
  <si>
    <t>Vesterager, JP; Lindegaard, K</t>
  </si>
  <si>
    <t>Vesterager, Jens Peter; Lindegaard, Klaus</t>
  </si>
  <si>
    <t>The Role of Farm Advisors in Multifunctional Landscapes: A Comparative Study of Three Danish Areas, 1995 and 2008</t>
  </si>
  <si>
    <t>LANDSCAPE RESEARCH</t>
  </si>
  <si>
    <t>Landscape change; commons; multifunctionality; agricultural extension system; knowledge network</t>
  </si>
  <si>
    <t>AGRI-ENVIRONMENTAL POLICY; IMPLEMENTATION; DECISIONS; KNOWLEDGE; NETWORKS; JUTLAND; LAND</t>
  </si>
  <si>
    <t>This study investigates the influence of farm advisors on farmers decisions regarding Multifunctional landscape commons, a concept covering environmental and landscape values that benefit the public but which depend on farmers management practices. The influence of advisors is analysed by combining data about the source of advice with evidence of land use and landscape changes and participation in subsidy schemes. The study compares three agricultural areas in Denmark. Structured interviews were carried out with all farmers possessing more than 2 ha land in 19956 and in 2008. Vertical, production and business-oriented advisory services predominate, together with legal and organisational spatial competence networks. A new group of hobby farmers and pensioned farmers tend not to be included in traditional advisory networks, leaving them to carry out landscape changes and multifunctional landscape commons without professional guidance and consultancy. This means the horizontal coordination among farmers, that is, the territorial competences, decrease.</t>
  </si>
  <si>
    <t>[Vesterager, Jens Peter] Univ Copenhagen, Ctr Forest &amp; Landscape, DK-1958 Frederiksberg, Denmark; [Lindegaard, Klaus] Univ So Denmark, Ctr Rural Res, Odense, Denmark</t>
  </si>
  <si>
    <t>Vesterager, JP (corresponding author), Univ Copenhagen, Ctr Forest &amp; Landscape, Rolighedsvej 23, DK-1958 Frederiksberg, Denmark.</t>
  </si>
  <si>
    <t>jpv@life.ku.dk</t>
  </si>
  <si>
    <t>Vesterager, Jens Peter/A-6276-2015</t>
  </si>
  <si>
    <t>Vesterager, Jens Peter/0000-0003-0322-6104</t>
  </si>
  <si>
    <t>0142-6397</t>
  </si>
  <si>
    <t>1469-9710</t>
  </si>
  <si>
    <t>LANDSCAPE RES</t>
  </si>
  <si>
    <t>Landsc. Res.</t>
  </si>
  <si>
    <t>10.1080/01426397.2012.706031</t>
  </si>
  <si>
    <t>054KO</t>
  </si>
  <si>
    <t>WOS:000312342600004</t>
  </si>
  <si>
    <t>Europeanisation; Bosnia-Herzegovina; environment; governance</t>
  </si>
  <si>
    <t>IMPACT ASSESSMENT; WESTERN BALKANS; CIVIL-SOCIETY; ACCESSION; POLICY; UNION; NGOS</t>
  </si>
  <si>
    <t>Univ London, Sch Polit &amp; Int Relat, London E1 4NS, England</t>
  </si>
  <si>
    <t>Fagan, A (corresponding author), Univ London, Sch Polit &amp; Int Relat, Mile End Rd, London E1 4NS, England.</t>
  </si>
  <si>
    <t>a.fagan@qmul.ac.uk</t>
  </si>
  <si>
    <t>001QC</t>
  </si>
  <si>
    <t>Cultural sustainability; Reinvented democracy; Multilevel platforms; Global governance; Social imaginaries; Values; Information space; Organizational change</t>
  </si>
  <si>
    <t>Erasmus Univ, Rotterdam Sch Management, Dept Org Sci &amp; Human Resource Management, Rotterdam, Netherlands</t>
  </si>
  <si>
    <t>Magala, SJ (corresponding author), Erasmus Univ, Rotterdam Sch Management, Dept Org Sci &amp; Human Resource Management, Rotterdam, Netherlands.</t>
  </si>
  <si>
    <t>smagala@rsm.nl</t>
  </si>
  <si>
    <t>988HT</t>
  </si>
  <si>
    <t>early childhood development; preschool education; participatory design; kindergarten design</t>
  </si>
  <si>
    <t>ENVIRONMENT</t>
  </si>
  <si>
    <t>[Sahin, B. Ece; Dostoglu, Neslihan Turkun] Uludag Univ, Dept Architecture, Bursa, Turkey</t>
  </si>
  <si>
    <t>Sahin, BE (corresponding author), Uludag Univ, Dept Architecture, Bursa, Turkey.</t>
  </si>
  <si>
    <t>easatekin@yahoo.com; neslihandost@yahoo.com</t>
  </si>
  <si>
    <t>MIDDLE EAST TECHNICAL UNIV</t>
  </si>
  <si>
    <t>MIDDLE EAST TECHNICAL UNIV, FAC ARCHITECTURE, INONU BULVARI, ANKARA, 06531, TURKEY</t>
  </si>
  <si>
    <t>METU J FAC ARCHIT</t>
  </si>
  <si>
    <t>METU J. Fac. Archit.</t>
  </si>
  <si>
    <t>974RN</t>
  </si>
  <si>
    <t>Law, A; De Lacy, T; McGrath, GM; Whitelaw, PA; Lipman, G; Buckley, G</t>
  </si>
  <si>
    <t>Law, Alexandra; De Lacy, Terry; McGrath, G. Michael; Whitelaw, Paul A.; Lipman, Geoffrey; Buckley, Geoff</t>
  </si>
  <si>
    <t>Towards a green economy decision support system for tourism destinations</t>
  </si>
  <si>
    <t>green economy; tourism destinations; decision support system; greenhouse gas mitigation; destination management; system dynamics</t>
  </si>
  <si>
    <t>CLIMATE-CHANGE; SUSTAINABLE TOURISM; EVOLUTION; IMPACT; POLICY</t>
  </si>
  <si>
    <t>This paper discusses green economy planning in tourism; a process characterized by complexity and high levels of uncertainty, where limited data availability and the absence of existing frameworks hinder the development of targeted and effective strategies. It presents an approach for a decision support system (DSS) to assist destinations address challenges and to seize opportunities in this new situation of change. A multidisciplinary approach drawing on the fields of sustainable tourism, destination management and system dynamics was applied to identify the requirements of such a DSS and to present examples of how it may be implemented. A consultancy study in the destination of Sharm El Sheikh (Egypt) was used to develop a holistic model for the requirements of the proposed DSS. Based on this model, examples were developed in the software program Powersim, to provide an insight into how such a DSS could assist destination policymakers, planners and managers with dynamic scenario modelling and planning to help understand and manage the drivers of change - particularly those drivers that are complex and difficult to quantify such as the opportunities presented by green demand. The proposed DSS is intended to be further developed by applying it to new destination case studies.</t>
  </si>
  <si>
    <t>[Law, Alexandra; De Lacy, Terry; McGrath, G. Michael; Whitelaw, Paul A.] Victoria Univ, Ctr Tourism &amp; Serv Res, Melbourne, Vic 8001, Australia; [Lipman, Geoffrey] Greenearth Travel, Brussels, Belgium; [Buckley, Geoff] New Earth Tourism Pty Ltd, Sydney, NSW, Australia; [Whitelaw, Paul A.] Victoria Univ, Sch Int Business, Melbourne, Vic 8001, Australia</t>
  </si>
  <si>
    <t>Law, A (corresponding author), Victoria Univ, Ctr Tourism &amp; Serv Res, Melbourne, Vic 8001, Australia.</t>
  </si>
  <si>
    <t>alexandra.law@vu.edu.au</t>
  </si>
  <si>
    <t>Whitelaw, Paul/AAX-9401-2020</t>
  </si>
  <si>
    <t>Law, Alexandra/0000-0002-1246-1301</t>
  </si>
  <si>
    <t>10.1080/09669582.2012.687740</t>
  </si>
  <si>
    <t>970ZB</t>
  </si>
  <si>
    <t>WOS:000306170000004</t>
  </si>
  <si>
    <t>China; Drinking and driving; Alcohol consumption; Institutional capacity; Legislation; Enforcement</t>
  </si>
  <si>
    <t>[Li, Ying; Zhang, Junhua] Minist Hlth, Hlth Human Resources Dev Ctr, Beijing 100097, Peoples R China; [Xie, Donghua] Maternal &amp; Child Hlth Hosp, Changsha, Hunan, Peoples R China; [Nie, Guangmeng] Peking Univ, Sch Publ Hlth, Beijing 100871, Peoples R China</t>
  </si>
  <si>
    <t>Zhang, JH (corresponding author), Minist Hlth, Hlth Human Resources Dev Ctr, 3 Huoqiying, Beijing 100097, Peoples R China.</t>
  </si>
  <si>
    <t>mht@moh.gov.cn</t>
  </si>
  <si>
    <t>International Center for Alcohol Policies (ICAP)</t>
  </si>
  <si>
    <t>This study was funded by the International Center for Alcohol Policies (ICAP). The authors thank Andrew Downing for assistance in editing and reorganizing the article. Thanks also to Brett Bivans and Shushanna Mignott from ICAP and Ann Yuan from GRSP for their generous support. We appreciate those who agreed to share their ideas through interviews, including traffic police officers in the cities of Changsha (Hunan Province), Nanning and Liuzhou (Guangxi Province), Guangdong Province, and Zhejiang Province; experts on traffic management, transportation, and injury prevention; as well as representatives from the alcohol beverage industry.</t>
  </si>
  <si>
    <t>TRAFFIC INJ PREV</t>
  </si>
  <si>
    <t>Traffic Inj. Prev.</t>
  </si>
  <si>
    <t>Public, Environmental &amp; Occupational Health; Transportation</t>
  </si>
  <si>
    <t>944ZM</t>
  </si>
  <si>
    <t>Buruiana, V; Popescu, M</t>
  </si>
  <si>
    <t>Buruiana, Viorel; Popescu, Mircea</t>
  </si>
  <si>
    <t>THE ORGANIZATIONAL SHIFT - KEY FACTOR IN DEVELOPING CORPORATE ENTERPRISES</t>
  </si>
  <si>
    <t>METALURGIA INTERNATIONAL</t>
  </si>
  <si>
    <t>industry; organization; policy; competitiveness; personnel</t>
  </si>
  <si>
    <t>The signal for the enterprise organizational change is the, result of interaction with the external environment. Enterprise management. in a reactive or proactive manner, triggers the change using specific instruments adapted to the changing needs and the available resources. Different techniques are being used, some of them being extremely valuable, practically tested and optimized for effective implementation. The current knowledge facilitates the learning of these techniques, of the practical aspects related to implementation, and the access to expert consultancy is only limited by cost. However, these organizational models are not applied as such in all enterprises, despite the demonstrated effects in increasing productivity and enhancing economic performance. If the organizational systems change was so far only an internal affair of the companies, government policies are now increasingly oriented towards providing incentives to support these actions.</t>
  </si>
  <si>
    <t>[Buruiana, Viorel] Bucharest Acad Econ Studies, Bucharest, Romania</t>
  </si>
  <si>
    <t>Buruiana, V (corresponding author), Bucharest Acad Econ Studies, Bucharest, Romania.</t>
  </si>
  <si>
    <t>EDITURA STIINTIFICA FMR</t>
  </si>
  <si>
    <t>CALEA GRIVITEI, NR 83, SECTOR 1, O P 12, BUCHAREST, 010705, ROMANIA</t>
  </si>
  <si>
    <t>1582-2214</t>
  </si>
  <si>
    <t>METAL INT</t>
  </si>
  <si>
    <t>Metal. Int.</t>
  </si>
  <si>
    <t>928ND</t>
  </si>
  <si>
    <t>WOS:000302988700028</t>
  </si>
  <si>
    <t>environmental consultancies; consultation; air quality; local governance</t>
  </si>
  <si>
    <t>PUBLIC-PARTICIPATION; MANAGEMENT</t>
  </si>
  <si>
    <t>[Weitkamp, Emma] Univ W England, Sci Commun Unit, Bristol BS16 1QY, Avon, England; [Longhurst, James] Univ W England, Air Qual Management Resource Ctr, Bristol BS16 1QY, Avon, England</t>
  </si>
  <si>
    <t>Weitkamp, E (corresponding author), Univ W England, Sci Commun Unit, Frenchay Campus,Coldharbour Lane, Bristol BS16 1QY, Avon, England.</t>
  </si>
  <si>
    <t>emma.weitkamp@uwe.ac.uk</t>
  </si>
  <si>
    <t>Longhurst, James W S/0000-0002-0664-024X; weitkamp, emma/0000-0003-1296-5822</t>
  </si>
  <si>
    <t>915JW</t>
  </si>
  <si>
    <t>Food; Hunger; Islam; Management security; Poverty</t>
  </si>
  <si>
    <t>An Najah Natl Univ, WESI, Nablus, Israel</t>
  </si>
  <si>
    <t>Haddad, M (corresponding author), An Najah Natl Univ, WESI, Nablus, Israel.</t>
  </si>
  <si>
    <t>haddadm@najah.edu</t>
  </si>
  <si>
    <t>904GT</t>
  </si>
  <si>
    <t>Dredging; Driving force-Pressure-State-Impact-Response (DPSIR); Malaysia; dredging stakeholder; cost; management; environment; Integrated Environmental Management (IEM)</t>
  </si>
  <si>
    <t>INTEGRATED ENVIRONMENTAL-MANAGEMENT; SUSTAINABILITY; TAIWAN; BASIN</t>
  </si>
  <si>
    <t>[Manap, Norpadzlihatun B.; Voulvoulis, Nikolaos; Zulkifli, Norzima B.] Univ London Imperial Coll Sci Technol &amp; Med, Ctr Environm Policy, London SW7 2AZ, England</t>
  </si>
  <si>
    <t>Manap, NB (corresponding author), Univ London Imperial Coll Sci Technol &amp; Med, Ctr Environm Policy, Room 310,Mech Engn Bldg,S Kensington Campus, London SW7 2AZ, England.</t>
  </si>
  <si>
    <t>n.manap09@imperial.ac.uk</t>
  </si>
  <si>
    <t>WFL PUBL</t>
  </si>
  <si>
    <t>HELSINKI</t>
  </si>
  <si>
    <t>MERI-RASTILANTIE 3 C, HELSINKI, FI-00980, FINLAND</t>
  </si>
  <si>
    <t>J FOOD AGRIC ENVIRON</t>
  </si>
  <si>
    <t>J. Food Agric. Environ.</t>
  </si>
  <si>
    <t>900XD</t>
  </si>
  <si>
    <t>The signal for the enterprise organizational change is the result of interaction with the external environment. Enterprise management, in a reactive or proactive manner, triggers the change using specific instruments adapted to the changing needs and the available resources. Different techniques are being used some of them being extremely valuable practically tested and optimized for effective implementation. The current knowledge facilitates the learning of these techniques, of the practical aspects related to implementation, and the access to expert consultancy is only limited by cost. However, these organizational models are not applied as such in all enterprises, despite the demonstrated effects in increasing productivity and enhancing economic performance. If the organizational systems change was so far only an internal affair of the companies, government policies are now increasingly oriented towards providing incentives to support these actions.</t>
  </si>
  <si>
    <t>896SE</t>
  </si>
  <si>
    <t>WOS:000300590900009</t>
  </si>
  <si>
    <t>Cintra, RF; Vieira, SFA</t>
  </si>
  <si>
    <t>Cintra, Renato Fabiano; Amancio Vieira, Saulo Fabiano</t>
  </si>
  <si>
    <t>The Process of Implementation of Project Management in Public Agencies: a Case Study in the City Hall of Dourados-MS</t>
  </si>
  <si>
    <t>ADMINISTRACAO PUBLICA E GESTAO SOCIAL</t>
  </si>
  <si>
    <t>Project Office; New Public Management; Municipal Management</t>
  </si>
  <si>
    <t>The paper aims to investigate how the process of implementation of the project management tool in the Municipal Government of Dourados-MS occurred. As theoretical support, Administrative Reform of the Brazilian State, New Public Management and Project Management were used. Regarding methodological aspects, the research can be classified as qualitative, descriptive and an exploratory single case study. Primary data (semi-structured interviews with key informants) and secondary data (desk research) were also used. The implementation process of the project management began after a management diagnosis conducted in 2004. It was also established, at that time, the City Department of Planning and Environment, responsible for the definition and implementation of the methodology. It was opted to use a mixed methodology, management model implemented in the State of Mato Grosso do Sul and adapted to the reality of the city, concomitant with hiring external consultants. It was found that the actions were implemented satisfactorily.</t>
  </si>
  <si>
    <t>[Cintra, Renato Fabiano; Amancio Vieira, Saulo Fabiano] Univ Estadual Londrina, Londrina, Brazil</t>
  </si>
  <si>
    <t>Cintra, RF (corresponding author), Univ Estadual Londrina, Londrina, Brazil.</t>
  </si>
  <si>
    <t>renatocintra@hotmail.com; saulo@uel.br</t>
  </si>
  <si>
    <t>Vieira, Saulo Fabiano Amâncio/B-7028-2013; Cintra, Renato/W-4394-2019</t>
  </si>
  <si>
    <t>Vieira, Saulo Fabiano Amâncio/0000-0003-0319-7390; Cintra, Renato/0000-0003-2887-5610</t>
  </si>
  <si>
    <t>UNIV FEDERAL VICOSA</t>
  </si>
  <si>
    <t>VICOSA</t>
  </si>
  <si>
    <t>CAIXA POSTAL 270, VICOSA, MG CEP 36571-00, BRAZIL</t>
  </si>
  <si>
    <t>2175-5787</t>
  </si>
  <si>
    <t>ADM PUBLICA GEST SOC</t>
  </si>
  <si>
    <t>Adm. Publica Gest. Soc.</t>
  </si>
  <si>
    <t>V27ES</t>
  </si>
  <si>
    <t>WOS:000215343700003</t>
  </si>
  <si>
    <t>Elgin, DJ; Pattison, A; Weible, CM</t>
  </si>
  <si>
    <t>Elgin, Dallas J.; Pattison, Andrew; Weible, Christopher M.</t>
  </si>
  <si>
    <t>Policy Analytical Capacity Inside and Outside of Government: A Case Study of Colorado Climate and Energy Issues</t>
  </si>
  <si>
    <t>CANADIAN POLITICAL SCIENCE REVIEW</t>
  </si>
  <si>
    <t>Policy analysis; expert-based knowledge; science in policy; policy process</t>
  </si>
  <si>
    <t>STATE; GREENHOUSE</t>
  </si>
  <si>
    <t>This paper examines the policy analytical capacity of government compared to the non-profit and private sectors and to the research/academic community. Based on original data from a 2011 questionnaire administered to policy actors in the context of energy and climate issues in the state of Colorado, the findings show that government is not as hollowed out as expected. While individuals from academia and consulting firms may have higher analytical capacity than government in conducting research, government is higher across most other measures. Nonetheless, nearly all respondents agree that government needs higher levels of policy analytical capacity to address climate and energy issues.</t>
  </si>
  <si>
    <t>[Elgin, Dallas J.; Pattison, Andrew; Weible, Christopher M.] Univ Colorado Denver, Sch Publ Affairs, Denver, CO 80204 USA</t>
  </si>
  <si>
    <t>Elgin, DJ (corresponding author), Univ Colorado Denver, Sch Publ Affairs, Denver, CO 80204 USA.</t>
  </si>
  <si>
    <t>Dallas.Elgin@ucdenver.edu; Andrew.Pattison@ucdenver.edu; Chris.Weible@ucdenver.edu</t>
  </si>
  <si>
    <t>Pattison, Andrew/K-1265-2019</t>
  </si>
  <si>
    <t>Pattison, Andrew/0000-0002-1484-6280; Elgin, Dallas/0000-0002-7684-7270</t>
  </si>
  <si>
    <t>BRITISH COLUMBIA POLITICAL STUDIES ASSOC</t>
  </si>
  <si>
    <t>BURNABY</t>
  </si>
  <si>
    <t>BRITISH COLUMBIA POLITICAL STUDIES ASSOC, BURNABY, BC 00000, CANADA</t>
  </si>
  <si>
    <t>1911-4125</t>
  </si>
  <si>
    <t>CAN POLITICAL SCI RE</t>
  </si>
  <si>
    <t>Can. Political Sci. Rev.</t>
  </si>
  <si>
    <t>V25CE</t>
  </si>
  <si>
    <t>WOS:000215201900007</t>
  </si>
  <si>
    <t>van Dyk, L; Fourie, L</t>
  </si>
  <si>
    <t>van Dyk, Louise; Fourie, Lynnette</t>
  </si>
  <si>
    <t>EXPLORING THE COMMUNICATION RELATIONSHIP BETWEEN CORPORATE DONORS AND SOCIAL DEVELOPMENT NPO RECIPIENTS</t>
  </si>
  <si>
    <t>COMMUNITAS</t>
  </si>
  <si>
    <t>The complexities in the social development setting in South African are clearly evident from unemployment and poverty statistics, low levels of literacy and education and lacking government response to social ills (CASE 2003). Added to the complex environment in which South African non-profit organisations (NPOs) operate, is the communication relationship between NPOs and their corporate donors (as stakeholders of one another). This relationship is important for the survival and financial sustainability of the NPOs and to the corporate companies' adherence to stakeholder demands and guiding principles such as set out in the King III Report (IoDSA 2009). In this article, findings resulting from partially structured interviews with NPO managers, corporate social investment (CSI) officers of South African corporate companies and independent CSI consultants are discussed. This study maps the complex shared and divergent perceptions of communication relationships between social development NPOs and their donors, and finds that not only is the communication relations strained, but a corporate communication perspective alone is not suitable to describe (or manage) this specific relationship.</t>
  </si>
  <si>
    <t>[van Dyk, Louise] Univ South Africa Pretoria, Dept Commun Sci, Pretoria, South Africa; [Fourie, Lynnette] Northwest Univ, Sch Commun Studies, Kirkland, WA 98033 USA</t>
  </si>
  <si>
    <t>Fourie, L (corresponding author), Northwest Univ, Sch Commun Studies, Kirkland, WA 98033 USA.</t>
  </si>
  <si>
    <t>van Dyk, Louise/M-9122-2019</t>
  </si>
  <si>
    <t>van Dyk, Louise/0000-0001-6637-5452</t>
  </si>
  <si>
    <t>UNIV ORANGE FREE STATE</t>
  </si>
  <si>
    <t>BLOEMFONTEIN</t>
  </si>
  <si>
    <t>DIV IMMUNOL/DEPT ONCOTHERAPY PO BOX 339 G62, BLOEMFONTEIN ZA-9300, SOUTH AFRICA</t>
  </si>
  <si>
    <t>1023-0556</t>
  </si>
  <si>
    <t>2415-0525</t>
  </si>
  <si>
    <t>Communitas</t>
  </si>
  <si>
    <t>V5W4Y</t>
  </si>
  <si>
    <t>WOS:000420002300011</t>
  </si>
  <si>
    <t>Racene, A; Zvaigzne, A; Kaktins, J</t>
  </si>
  <si>
    <t>Racene, Anita; Zvaigzne, Anda; Kaktins, Janis</t>
  </si>
  <si>
    <t>COMPETITIVENESS OF PHYSICIAN PRACTICES IN LATVIA</t>
  </si>
  <si>
    <t>EUROPEAN INTEGRATION STUDIES</t>
  </si>
  <si>
    <t>patient; health care; physician practice; competitiveness</t>
  </si>
  <si>
    <t>Human health is the most significant factor that influences the life quality of individuals. The first level of health care faced by any individual is a family physician, therefore, the availability of family physicians is of great importance. Primary health care is the key component of national health care system in providing health care. The tasks of primary health care are as follows promotion of health, prevention of diseases, treatment of diseases, rehabilitation. As regards providing health care services in the regions of Latvia, regional differences increase in this respect; in some places the situation may be regarded even as critical. The availability and quality of services is often inappropriate. To increase the accessibility of physician practices, new ways of improving the performance of physician practices in Latvia have to be searched for. One of the ways is to increase the competitiveness of physician practices to ensure sustainability in the performance of physician practices, which results in providing quality services to local residents as well as foreigners. The paper gives a definition for the nature of competitiveness and characteristics of physician practices in Latvia, and the competitiveness factors of physician practice are identified and assessed. The research object is services of physician practices in Latvia. Hypothesis: performance of physician practices is affected by both exogenous and endogenous factors of competitiveness. The research aim is to investigate the basic factors determining and limiting the competitiveness of physician practices and to identify priorities for increasing the competitiveness of physician practices in Latvia. To achieve the aim, the following research tasks were set: to characterise and assess primary health care in Latvia, to identify the key basic factors that determine and limit the competitiveness of physician practices, and to identify measures preventing the basic factors that limit the competitiveness of physician practices. To achieve the aim, the method of expert evaluation was employed. The following research methods were employed for studying the legal framework and developing proposals for its improvement: the abstract and logical methods, the monographic method, analysis and synthesis, and the calculation and constructive methods. For analysis of statistical data, statistical methods such as descriptive statistics and correlation analysis were employed. A sociological research method - questionnaire surveying - was used for identifying problems of physician practices. Finally, it was concluded that the key competitiveness factors are: qualifications of both managers of physician practices and their staff, use of medical and other modern technologies at physician practices, prices of services, location and accessibility, and government policy. The main factors limiting the competitiveness of physician practices and their prevention measures were identified. The main measures are as follows: provision of the accessibility of physician practices in rural areas by means of local government support, introduction of e-consultations or electronic consultancy via e-mail, as it enables patients to receive a consultation of specialist at a distance, setting an optimal number of patients per physician practice, planning the training of resident physicians, thus attracting new physicians for the profession of family physician, and expansion of physician practices with other medical specialists to increase the quality of health care services and cooperation among physician practices.</t>
  </si>
  <si>
    <t>[Racene, Anita; Zvaigzne, Anda; Kaktins, Janis] Latvia Univ Agr, Fac Econ, Jelgava, Latvia</t>
  </si>
  <si>
    <t>Racene, A (corresponding author), Latvia Univ Agr, Fac Econ, Jelgava, Latvia.</t>
  </si>
  <si>
    <t>arz.pluss@inbox.lv; anda.zvaigzne@llu.lv; efekon@llu.lv</t>
  </si>
  <si>
    <t>Zvaigzne, Anda/AAZ-7057-2020</t>
  </si>
  <si>
    <t>Zvaigzne, Anda/0000-0001-5762-8622</t>
  </si>
  <si>
    <t>KAUNO TECHNOLOGIJOS UNIV, EUROPOS INST</t>
  </si>
  <si>
    <t>KESTUCIO 8, KAUNAS, 44320, LITHUANIA</t>
  </si>
  <si>
    <t>1822-8402</t>
  </si>
  <si>
    <t>2335-8831</t>
  </si>
  <si>
    <t>EUR INTEGR STUD</t>
  </si>
  <si>
    <t>Eur. Integr. Stud.</t>
  </si>
  <si>
    <t>10.5755/j01.eis.0.6.1497</t>
  </si>
  <si>
    <t>V26IS</t>
  </si>
  <si>
    <t>WOS:000215286500009</t>
  </si>
  <si>
    <t>environmental impact assessment; EIS quality; content analysis; mining; Brazil</t>
  </si>
  <si>
    <t>[Landim, Stephanie N. T.; Sanchez, Luis E.] Univ Sao Paulo, Escola Politecn PMI, Av Prof Mello Moraes 2373, BR-05508900 Sao Paulo, Brazil</t>
  </si>
  <si>
    <t>Sanchez, LE (corresponding author), Univ Sao Paulo, Escola Politecn PMI, Av Prof Mello Moraes 2373, BR-05508900 Sao Paulo, Brazil.</t>
  </si>
  <si>
    <t>lsanchez@usp.br</t>
  </si>
  <si>
    <t>Brazilian National Council for Scientific and Technological Research; Sao Paulo State Research Support Foundation</t>
  </si>
  <si>
    <t>Brazilian National Council for Scientific and Technological Research; Sao Paulo State Research Support Foundation(Fundacao de Amparo a Pesquisa do Estado de Sao Paulo (FAPESP))</t>
  </si>
  <si>
    <t>The authors are grateful to the Brazilian National Council for Scientific and Technological Research for providing a junior research scholarship for the first author and to the Sao Paulo State Research Support Foundation for providing a research grant for the second author. We also are thankful to the consultancy's founder and owner, for agreeing to participate and facilitating access to files and documents, as well as to senior staff who participated in the interviews and to the three current and former officials with the State Department of Environmental Impact Assessment, for the interviews and for sharing their views.</t>
  </si>
  <si>
    <t>VI5PW</t>
  </si>
  <si>
    <t>Hussein, SAA; Dahlen, H; Schmied, V</t>
  </si>
  <si>
    <t>Hussein, Suha Abed Almajeed Abdallah; Dahlen, Hannah; Schmied, Virginia</t>
  </si>
  <si>
    <t>What Makes Episiotomy Rates Change?: A Systematic Review of the Literature</t>
  </si>
  <si>
    <t>INTERNATIONAL JOURNAL OF CHILDBIRTH</t>
  </si>
  <si>
    <t>midwife; hymeneal ring; obstetrics; evidence-based trauma</t>
  </si>
  <si>
    <t>BACKGROUND: Episiotomy is still a commonly used surgical intervention during birth in some parts of the world, such as the Middle East and Eastern Europe. Evidence supports the restrictive use of episiotomy, and this is reflected in policy statements and clinical practice recommendations. - Internationally, various strategies have been used to change and reduce the incidence of episiotomy. AIM: To identify and describe the strategies and practices that have been used internationally to - effectively reduce the rate of episiotomy. METHOD: We searched CINAHL, Medline, Scopus, PubMed and Nursing Consultant from 1980 to 2010 by using the keywords episiotomy, change, practice, midwife, routine use and evidence-based. A review of the literature was undertaken, which examined factors that facilitate the reduction in - episiotomy rates. RESULTS: Two hundred articles were found, and after examination, only nine provided relevant data and are included in this review. The findings of this review are discussed under the following headings: impact of practice change on episiotomy rates, continuous quality improvement, implementing clinical guidelines, practice change (system change), and the impact of health beliefs and organizational culture. Strategies for changing practice that were identified focused on challenging rationales for current practice and on creating a social and organizational environments that encourage motivation and, therefore, are more effective in reducing episiotomy rates. The literature identified the importance of clarifying critical success factors before trying to implement change with regards to episiotomy usage. CONCLUSION: Greater efforts to reduce episiotomy rates are currently needed, particularly in countries with high rates. Researchers need to continue to examine the barriers to change and investigate approaches that promote clinician behavior change.</t>
  </si>
  <si>
    <t>[Dahlen, Hannah] Univ Sydney, Coll Midwifery, Coll Hlth &amp; Sci, Parramatta Campus,Locked Bag 1797, Penrith, NSW 2751, Australia</t>
  </si>
  <si>
    <t>Dahlen, H (corresponding author), Univ Sydney, Coll Midwifery, Coll Hlth &amp; Sci, Parramatta Campus,Locked Bag 1797, Penrith, NSW 2751, Australia.</t>
  </si>
  <si>
    <t>h.dahlen@uws.edu</t>
  </si>
  <si>
    <t>Dahlen, Hannah/0000-0002-4450-3078</t>
  </si>
  <si>
    <t>SPRINGER PUBLISHING CO</t>
  </si>
  <si>
    <t>11 WEST 42ND STREET, NEW YORK, NY 10036 USA</t>
  </si>
  <si>
    <t>2156-5287</t>
  </si>
  <si>
    <t>2156-5295</t>
  </si>
  <si>
    <t>INT J CHILDBIRTH</t>
  </si>
  <si>
    <t>Int. J. Childbirth</t>
  </si>
  <si>
    <t>10.1891/2156-5287.2.1.29</t>
  </si>
  <si>
    <t>V29CO</t>
  </si>
  <si>
    <t>WOS:000215473300005</t>
  </si>
  <si>
    <t>Rivas, C; Taylor, S; Abbott, S; Clarke, A; Griffiths, C; Roberts, CM; Stone, R</t>
  </si>
  <si>
    <t>Rivas, Carol; Taylor, Stephanie; Abbott, Stephen; Clarke, Aileen; Griffiths, Chris; Roberts, C. Michael; Stone, Robert</t>
  </si>
  <si>
    <t>Perceptions of changes in practice following peer review in the National Chronic Obstructive Pulmonary Disease Resources and Outcomes Project</t>
  </si>
  <si>
    <t>INTERNATIONAL JOURNAL OF HEALTH CARE QUALITY ASSURANCE</t>
  </si>
  <si>
    <t>Peer review; Quality improvement; Randomised trial; National Health Service</t>
  </si>
  <si>
    <t>Purpose - The purpose of this paper is to examine perceptions of local service change and concepts of change amongst participants in a UK nationwide randomised controlled trial of informal, structured, reciprocated, multidisciplinary peer review with feedback to promote quality improvement: the National Chronic Obstructive Pulmonary Disease Resources and Outcomes Project (NCROP). Design/methodology/approach - The paper takes the form of a qualitative study, involving semi-structured interviews with 43 hospital respiratory consultants, nurses and general managers at 24 intervention and 11 control NCROP sites. Thematic analysis resulted in adoption of Joss and Kogan's quality indicators as an analytic framework. Findings - The paper finds that peer review was associated with positive changes, which may lead to sustained service improvement. Differences existed in perceptions of change among clinicians and between clinicians and managers. Generic changes (e.g. changes in interpersonal relations or cultural changes), were often not perceived as change. Research limitations/implications - The study highlights the significance of generic change in evaluations of change processes. Most participants were clinicians limiting inter-professional comparisons. Some clinical staff failed to recognise changes they accomplished or their significance, perceiving change differently to others within their professional group. These findings have implications for policy and research. They should be considered when developing frameworks for assessing quality improvements and staff engagement with change. Originality/value - This is the first qualitative study exploring participants' experience of peer review for quality improvement in healthcare. The study adds to previous research into UK health service improvement, which has had a more restricted focus on inter-professional differences.</t>
  </si>
  <si>
    <t>[Rivas, Carol; Taylor, Stephanie; Griffiths, Chris] Ctr Primary Care &amp; Publ Hlth Barts, London, England; [Rivas, Carol; Taylor, Stephanie; Griffiths, Chris] London Sch Med &amp; Dent, London, England; [Abbott, Stephen] City Univ London, Sch Community &amp; Hlth Sci, London, England; [Clarke, Aileen] Univ Warwick, Hlth Sci Res Inst, Publ Hlth &amp; Hlth Serv, Coventry, W Midlands, England; [Roberts, C. Michael; Stone, Robert] Royal Coll Physicians, Clin Stand Dept, London, England</t>
  </si>
  <si>
    <t>Taylor, S (corresponding author), Ctr Primary Care &amp; Publ Hlth Barts, London, England.</t>
  </si>
  <si>
    <t>s.j.c.taylor@qmul.ac.uk</t>
  </si>
  <si>
    <t>rivas, carol/Q-1196-2015; Clarke, Aileen/I-5679-2012</t>
  </si>
  <si>
    <t>rivas, carol/0000-0002-0316-8090; Clarke, Aileen/0000-0001-8299-3146; roberts, christopher/0000-0001-8212-1460; Taylor, Stephanie/0000-0001-7454-6354</t>
  </si>
  <si>
    <t>Health Foundation's Engaging with Quality Initiative (EwQI); GlaxoSmithKline UK Ltd; Boehringer Ingelheim; AstraZeneca UK Ltd</t>
  </si>
  <si>
    <t>Health Foundation's Engaging with Quality Initiative (EwQI); GlaxoSmithKline UK Ltd; Boehringer Ingelheim(Boehringer Ingelheim); AstraZeneca UK Ltd(AstraZeneca)</t>
  </si>
  <si>
    <t>The main NCROP study was funded by the Health Foundation's Engaging with Quality Initiative (EwQI). The researchers are grateful to GlaxoSmithKline UK Ltd, Boehringer Ingelheim and AstraZeneca UK Ltd for a combined Educational Grant that has funded this research evaluation. They are also grateful to Rhona Buckingham and Nancy Pursey, respectively NCROP Manager and Coordinator, and to all NCROP study participants, as well as to the anonymous peer reviewer.</t>
  </si>
  <si>
    <t>0952-6862</t>
  </si>
  <si>
    <t>1758-6542</t>
  </si>
  <si>
    <t>INT J HEALTH CARE Q</t>
  </si>
  <si>
    <t>Int. J. Health Care Qual. Assur.</t>
  </si>
  <si>
    <t>10.1108/09526861211198263</t>
  </si>
  <si>
    <t>V85ZD</t>
  </si>
  <si>
    <t>WOS:000212557600018</t>
  </si>
  <si>
    <t>Upping, P; Oliver, J</t>
  </si>
  <si>
    <t>Upping, Phetphrairin; Oliver, Judy</t>
  </si>
  <si>
    <t>Thai public universities: modernisation of accounting practices</t>
  </si>
  <si>
    <t>JOURNAL OF ACCOUNTING AND ORGANIZATIONAL CHANGE</t>
  </si>
  <si>
    <t>Accounting change; Public sector; Developing countries; Higher education; Universities; Thailand</t>
  </si>
  <si>
    <t>PERFORMANCE-MEASUREMENT; MANAGEMENT; SECTOR; IMPLEMENTATION; GOVERNANCE; EFFICIENCY; EDUCATION; REFORMS; QUEST; NPM</t>
  </si>
  <si>
    <t>Purpose - The purpose of this paper is to investigate the transition of the accounting systems from cash based to accrual based, in Thai public universities. The focus is on the factors both influencing and affecting the accounting change. Design/methodology/approach - This study takes a quantitative approach with data collected through a mail survey to the Chief Financial Officer of each of the 78 Thai public universities. Statistical analysis included both descriptive analysis and ANOVA to analyse differences between universities. Findings - The main catalysts for change have come from both external and internal sources. The Thai government requires public agencies to adapt their accounting practices in line with New Public Management (NPM) and university management need improved information for planning and control purposes. The most important change has been to the financial accounting system with the adoption of computerised accrual accounting practices. The major factor influencing the change process is low institutional capacity of some Thai universities which is evidenced by the lack of technological resources and staff with knowledge of private sector accounting practices. Universities that either have or intend to become autonomous have given more importance to accounting system changes; and universities that have achieved more success in the change process note the importance of external consultants, and staff having an understanding and knowledge of data requirements. Practical implications - This paper adds to the literature on accounting change in the public sector in less developed countries by highlighting factors influencing accounting change and factors that can be barriers to and facilitators of change. The findings provide further evidence of the issues confronted by public agencies in developing countries adopting new accounting practices and highlights the importance of training of local staff before the change process commences. Training is critical for knowledge transfer to enable staff to gain the knowledge and skills needed to assist in the change of accounting practices. Originality/value - This paper presents a contribution to the government accounting change literature by highlighting public sector agencies in a developing country, Thailand. In both developed and developing countries, public universities are now operating in an environment of decreased government funding coupled with university management taking more responsibility for financial management. This study provides an insight into the changes taking place in Thai public universities in relation to the accounting system to support this new operating environment.</t>
  </si>
  <si>
    <t>[Upping, Phetphrairin] Rajamangala Univ Technol Isan, Sakon Nakhon Campus, Nakhon Ratchasima, Thailand; [Oliver, Judy] Swinburne Univ Technol, Melbourne, Vic, Australia</t>
  </si>
  <si>
    <t>Upping, P (corresponding author), Rajamangala Univ Technol Isan, Sakon Nakhon Campus, Nakhon Ratchasima, Thailand.</t>
  </si>
  <si>
    <t>phetphrairin_u@hotmail.com</t>
  </si>
  <si>
    <t>1832-5912</t>
  </si>
  <si>
    <t>1839-5473</t>
  </si>
  <si>
    <t>J ACCOUNT ORGAN CHAN</t>
  </si>
  <si>
    <t>J. Account. Organ. Chang.</t>
  </si>
  <si>
    <t>10.1108/18325911211258362</t>
  </si>
  <si>
    <t>V72VM</t>
  </si>
  <si>
    <t>WOS:000211669300008</t>
  </si>
  <si>
    <t>Johnson, M</t>
  </si>
  <si>
    <t>Johnson, Michael</t>
  </si>
  <si>
    <t>A study of e-market adoption barriers in the local government sector</t>
  </si>
  <si>
    <t>Public sector procurement; E-market adoption barriers; E-procurement; Local government sector; Local government; Local authorities; Case study research; United Kingdom</t>
  </si>
  <si>
    <t>Purpose - Recent changes in the UK political landscape have brought about cuts in public sector spending. Local authorities, in common with other public sector agencies, are required to make significant cost savings over the coming years. Procurement is an area of public sector administration characterised by considerable costs and inefficiency where the adoption of innovative technologies, such as e-markets, can be deployed to effect significant costs savings. However, there are many barriers to the adoption of such technologies. The purpose of this paper is to explore and expound the factors that impede local authorities from adopting e-markets and to present a learning opportunity for procurement managers and other stakeholders involved in technology adoption in local government and the wider public sector. Design/methodology/approach - A case study based on in depth interviews with 17 senior level executives in e-markets and local authorities on barriers to e-market adoption in the local government sector is presented. The interviews were transcribed and subsequently coded and analysed using the qualitative data analysis software QSR N6. Findings - A number of factors (risk perception, knowledge deficits, trust, firm size, and organisational readiness) pertaining to Johnson's framework of e-market adoption barriers were found to affect e-market adoption and use in the local government sector. Importantly, the study also found factors that are idiosyncratic to the sector that impinged on e-market adoption. Research limitations/implications - The scope of the study is limited to examining such barriers from a buy-side local authority perspective, the findings of which may have implications for the adoption of e-markets and other e-procurement technologies in the wider public sector and beyond. The paper also makes a contribution to the literature on e-market adoption by adding to the body of knowledge relating to institutional theory. Practical implications - The case study can help local authority and other public sector procurement managers, academic researchers, practitioners, consultants and other professionals involved in technology adoption better understand, and find practical ways to offset, the barriers that impinge on the adoption of e-markets and other innovative technologies that can reduce costs within public sector organisations. Originality/value - E-market adoption has the potential to realise a number of significant cost saving benefits within and between organisations. However, such benefits cannot be realised if there are barriers to their adoption and full utilisation. To date, research on the dynamics of e-market adoption has largely focused on private sector enterprises with few studies examining this phenomenon in public sector environments. Therefore, e-market adoption in the public sector has received limited attention in the literature over the past decade. This study examines, and provides empirical evidence of, barriers to e-market uptake and usage in the local government sector in order to act as a starting point to creating better understanding of such barriers among academic and practitioner audiences.</t>
  </si>
  <si>
    <t>[Johnson, Michael] Aston Univ, Aston Business Sch, Birmingham, W Midlands, England</t>
  </si>
  <si>
    <t>Johnson, M (corresponding author), Aston Univ, Aston Business Sch, Birmingham, W Midlands, England.</t>
  </si>
  <si>
    <t>mjohnson2000@ymail.com</t>
  </si>
  <si>
    <t>10.1108/17410391211272810</t>
  </si>
  <si>
    <t>V91BC</t>
  </si>
  <si>
    <t>WOS:000212900700002</t>
  </si>
  <si>
    <t>Lindberg, A; Meredith, L</t>
  </si>
  <si>
    <t>Lindberg, Arley; Meredith, Larry</t>
  </si>
  <si>
    <t>Building a Culture of Learning through Organizational Development: The Experiences of the Marin County Health and Human Services Department</t>
  </si>
  <si>
    <t>JOURNAL OF EVIDENCE-INFORMED SOCIAL WORK</t>
  </si>
  <si>
    <t>Culture of learning; organizational development; organizational change</t>
  </si>
  <si>
    <t>After determining a need for organizational change informed by changes in workforce demographics, community demographics, the socio-political and economic environment, and constraints on resources, one agency sought to transform its organizational culture into that of a learning organization. An external organizational development consultant was hired to work with agency leadership to identify ways that would help move the agency's culture towards one that was conducive to learning. Specifically, the agency director sought to create a culture where communication is encouraged both vertically and horizontally, frontline level workers are engaged and their voices heard, cross-departmental problem solving is practiced, innovative ideas are supported, and evidence-informed practice regularly implemented. This case study describes the experiences of this agency and the process taken toward engaging an external consultant and moving towards the development of a culture of learning.</t>
  </si>
  <si>
    <t>[Lindberg, Arley] Univ Calif Berkeley, Sch Social Welf, 120 Haviland Hall 7400, Berkeley, CA 94720 USA; [Meredith, Larry] Marin Cty Hlth &amp; Human Serv, San Rafael, CA USA</t>
  </si>
  <si>
    <t>Lindberg, A (corresponding author), Univ Calif Berkeley, Sch Social Welf, 120 Haviland Hall 7400, Berkeley, CA 94720 USA.</t>
  </si>
  <si>
    <t>alindberg@berkeley.edu</t>
  </si>
  <si>
    <t>2376-1407</t>
  </si>
  <si>
    <t>2376-1415</t>
  </si>
  <si>
    <t>J EVID-INFORM SOC WO</t>
  </si>
  <si>
    <t>J. Evid.-Based Soc. Work</t>
  </si>
  <si>
    <t>10.1080/15433714.2012.636309</t>
  </si>
  <si>
    <t>VE6NM</t>
  </si>
  <si>
    <t>WOS:000439905000004</t>
  </si>
  <si>
    <t>Green grabbing; nature; ecology; commodification; appropriation</t>
  </si>
  <si>
    <t>BIOPHYSICAL ENVIRONMENT; NEOLIBERALISING NATURE; ECOSYSTEM SERVICES; LAND; CONSERVATION; POLITICS; DISPOSSESSION; BIODIVERSITY; MARKETS; GRABS</t>
  </si>
  <si>
    <t>[Fairhead, James] Univ Sussex, Brighton BN1 9RH, E Sussex, England</t>
  </si>
  <si>
    <t>Fairhead, J (corresponding author), Univ Sussex, Brighton BN1 9RH, E Sussex, England.</t>
  </si>
  <si>
    <t>j.r.fairhead@sussex.ac.uk; m.leach@ids.ac.uk; i.schoones@sids.ac.uk</t>
  </si>
  <si>
    <t>Economic and Social Research Council [ES/I021620/1, ES/H022473/1] Funding Source: researchfish; ESRC [ES/I021620/1, ES/H022473/1] Funding Source: UKRI</t>
  </si>
  <si>
    <t>J PEASANT STUD</t>
  </si>
  <si>
    <t>J. Peasant Stud.</t>
  </si>
  <si>
    <t>Anthropology; Development Studies</t>
  </si>
  <si>
    <t>931PR</t>
  </si>
  <si>
    <t>Edelman, DJ; Triantafillou, M</t>
  </si>
  <si>
    <t>Edelman, David J.; Triantafillou, Menelaos</t>
  </si>
  <si>
    <t>Foreign University Involvement in Sustainable New Town Planning in Provincial China</t>
  </si>
  <si>
    <t>JOURNAL OF URBAN MANAGEMENT</t>
  </si>
  <si>
    <t>Chinese urban planning; sustainable urban design; provincial planning</t>
  </si>
  <si>
    <t>Recent concern with sustainable urban development has focused on the widespread development of new towns and the expansion of cities throughout China. In recent decades, an increasing number of planning and design professionals in the United States and Europe have undertaken consulting work in China. This study examines the first instance of a Chinese city funding an American academic planning unit to create a conceptual plan for a new town. The School of Planning from the University of Cincinnati was commissioned to prepare the conceptual plan for the Anyang Eastern New Town. Prior to the drafting of the plan, faculty and students visited the site on a reconnaissance and data gathering mission, undertook research and studio work, organized presentations, and navigated the labyrinthine bureaucracy at the local, provincial, and national levels. These experiences differ considerably from those encountered in places such as Shanghai and the southern coastal plain region. This article identifies a number of issues that play a key role in the success of projects involving American or European Universities in conjunction with the Chinese government, particularly provincial authorities. This paper provides a valuable reference for any organization involved in such undertakings.</t>
  </si>
  <si>
    <t>[Edelman, David J.; Triantafillou, Menelaos] Univ Cincinnati, Sch Planning, POB 210016, Cincinnati, OH 45221 USA</t>
  </si>
  <si>
    <t>Edelman, DJ (corresponding author), Univ Cincinnati, Sch Planning, POB 210016, Cincinnati, OH 45221 USA.</t>
  </si>
  <si>
    <t>David.Edelman@uc.edu; Menelaos.Triantafillou@uc.edu</t>
  </si>
  <si>
    <t>2226-5856</t>
  </si>
  <si>
    <t>2589-0360</t>
  </si>
  <si>
    <t>J URBAN MANAG</t>
  </si>
  <si>
    <t>J. Urban Manag.</t>
  </si>
  <si>
    <t>10.1016/S2226-5856(18)30053-0</t>
  </si>
  <si>
    <t>VH4EN</t>
  </si>
  <si>
    <t>WOS:000453151200003</t>
  </si>
  <si>
    <t>Atkinson, SR; Goodger, A; Caldwell, N; Hossain, L</t>
  </si>
  <si>
    <t>Atkinson, Simon; Goodger, Amanda; Caldwell, Nicholas; Hossain, Liaquat</t>
  </si>
  <si>
    <t>How lean the machine: how agile the mind?</t>
  </si>
  <si>
    <t>LEARNING ORGANIZATION</t>
  </si>
  <si>
    <t>Knowledge stripping; Socio-techno; Info-techno; Agile; Lean; Risk; Trust; Co-adaptive; Agile production; Lean production; Risk management</t>
  </si>
  <si>
    <t>Purpose - Competition for resources appears to be increasing at a time of political, security (including energy, food and climate) and economic change; leading to potential collapse. The purpose of this conceptual paper is to examine the impact of policies exercised at the macro level on methods and processes applied at the micro level through, for example, performance management. It looks at the impact at the micro level on the macro and upon industry, innovation and the generation of productive wealth. It contrasts the techno-socio application of Lean with the socio-techno dynamics of agility as impacted by the info-techno-socio and emerging socio-info-techno systems. Design/methodology/approach - From collaborative doctoral level research and an extensive literature review - integrating the three cultures (the natural sciences, the social sciences and the humanities) - macro/global and local/micro cross level thematic complex systems models were identified and modelled across their connecting political, security and economic ecologies. Connecting models were designed considering trust and risk as applied to socio, techno and info-techno systems. These systems were then considered in terms of lean and agility and their impact in the extreme and over time on complex political, security economic models. Findings - Lean in the extreme can lead to vertical polarisation; causing conditions for competition leading to hyper-competition. Originality/value - Complex models are considered and explained by historical reference and story-telling so as to enable access across different disciplines and to explain and potentially inspire researchers, managers, consultants and workers to consider alternative less competitive and more agile, collaborative and adaptive futures.</t>
  </si>
  <si>
    <t>[Atkinson, Simon; Caldwell, Nicholas] Univ Cambridge, Engn Design Ctr, Cambridge, England; [Goodger, Amanda] Cloud Secur Alliance, UK &amp; Ireland Chapter, CSA, London, England; [Hossain, Liaquat] Univ Sydney, Dept Engn &amp; IT, Sydney, NSW, Australia</t>
  </si>
  <si>
    <t>Atkinson, SR (corresponding author), Univ Cambridge, Engn Design Ctr, Cambridge, England.</t>
  </si>
  <si>
    <t>sra27@cam.ac.uk</t>
  </si>
  <si>
    <t>0969-6474</t>
  </si>
  <si>
    <t>1758-7905</t>
  </si>
  <si>
    <t>LEARN ORGAN</t>
  </si>
  <si>
    <t>Learn. Organ.</t>
  </si>
  <si>
    <t>10.1108/09696471211219877</t>
  </si>
  <si>
    <t>V71OJ</t>
  </si>
  <si>
    <t>WOS:000211583200002</t>
  </si>
  <si>
    <t>Kose, C; Barkul, O</t>
  </si>
  <si>
    <t>Kose, Cigdem; Barkul, Omer</t>
  </si>
  <si>
    <t>A Study on The Problems of The Implementation of Project Type Primary Structures</t>
  </si>
  <si>
    <t>MEGARON</t>
  </si>
  <si>
    <t>Education; compulsory education; school buildings; typical elementary schools</t>
  </si>
  <si>
    <t>Considered one of the most important tools of development, education increases the efficiency of society by providing opportunities for people according to their skills. (Ozbulut, 1999). Through the implementation of Law No. 4306, which was passed on August 18, 1997 in the Official Gazette, an important reform was carried out by increasing the duration of the compulsory education in Turkey from 5 to 8 years. The transition to the new system emphasized the lack of school buildings, which has become problematic due to rapid population growth and the increasing urbanization rate. An intense effort was put into meeting the needs of this system, and, due to the difficulty of producing different projects for each school, time constraints, staff shortage and funding problems, the production of typical project applications which had been discussed for years came more intensely to the fore. The implementation of school building projects through the initiatives of the Ministry of Education and the help of the architecture faculties of various universities, as well as some consulting firms, and their application on different environmental conditions created many problems during construction. Turkish Procurement Law and the attitudes of local governments in this regard are causing significant losses in terms of time and money on applications. In this research study, the typical elementary school projects that have been revised or designed according to the new education system within the Istanbul City boundaries will be studied and an evaluation regarding the emerging issues related to the implementation phase will be explored.</t>
  </si>
  <si>
    <t>[Kose, Cigdem; Barkul, Omer] Yildiz Tech Univ, Fac Architecture, Istanbul, Turkey</t>
  </si>
  <si>
    <t>Kose, C (corresponding author), Yildiz Tech Univ, Fac Architecture, Istanbul, Turkey.</t>
  </si>
  <si>
    <t>kose_cigdem@yahoo.com; barkul@yildiz.edu.tr</t>
  </si>
  <si>
    <t>Barkul, Omur/AAZ-9181-2020</t>
  </si>
  <si>
    <t>YILDIZ TECHNICAL UNIV, FAC ARCHITECTURE</t>
  </si>
  <si>
    <t>istanbul</t>
  </si>
  <si>
    <t>Merkez Yerlesim, Besiktas, istanbul, 34349, TURKEY</t>
  </si>
  <si>
    <t>1309-6915</t>
  </si>
  <si>
    <t>Megaron</t>
  </si>
  <si>
    <t>V8J2V</t>
  </si>
  <si>
    <t>WOS:000421686800002</t>
  </si>
  <si>
    <t>Cilliers, F; Greyvenstein, H</t>
  </si>
  <si>
    <t>Cilliers, Frans; Greyvenstein, Henk</t>
  </si>
  <si>
    <t>The impact of silo mentality on team identity: An organisational case study</t>
  </si>
  <si>
    <t>SA JOURNAL OF INDUSTRIAL PSYCHOLOGY</t>
  </si>
  <si>
    <t>POLITICS</t>
  </si>
  <si>
    <t>Orientation: Organisational silos do not only refer to conscious structures, but also to an unconscious state of mind and mentality that takes on a life of its own. Silos result in the splitting of organisational artefacts and relationships, and impact negatively on relationship forming between individuals and within teams. Research purpose: The purpose of this research was to describe how the silo mentality impacts on team identity. Motivation for the study: During a recent organisational consultation the researchers realised that a so-called silo phenomenon had much more unexplained unconscious behaviour than was traditionally realised in terms of organisational development. It is hoped that findings from this qualitative study could give consultants entry into what happens below the surface in the silos' unconscious. Research design, approach and method: A qualitative and descriptive research design using a case study strategy was used. Data gathering consisted of 25 narrative interviews. Using discourse analysis four themes manifested, integrated into four working hypotheses and a research hypothesis. Trustworthiness and ethical standards were ensured. Main findings: Themes that emerged were the physical environment and structure, intragroup relations, experiences of management, and intergroup relations. Practical/managerial implications: Consulting on silo behaviour as physical structures only may not be successful in changing organisational behaviour. The silo resembles an iceberg the largest part is below the surface. Contribution/value-add: The findings evidenced silo behaviour to be an unconscious phenomenon influencing team identity negatively. Consultants are urged to study these manifestations towards understanding silos and their effect on team identity better.</t>
  </si>
  <si>
    <t>[Cilliers, Frans; Greyvenstein, Henk] Univ South Africa, Dept Ind &amp; Org Psychol, Pretoria, South Africa</t>
  </si>
  <si>
    <t>Cilliers, F (corresponding author), UNISA, POB 392, ZA-0003 Pretoria, South Africa.</t>
  </si>
  <si>
    <t>Cillifvn@unisa.ac.za</t>
  </si>
  <si>
    <t>Cilliers, Frans/O-7314-2014</t>
  </si>
  <si>
    <t>Cilliers, Frans/0000-0001-6185-6978</t>
  </si>
  <si>
    <t>0258-5200</t>
  </si>
  <si>
    <t>2071-0763</t>
  </si>
  <si>
    <t>SA J IND PSYCHOL</t>
  </si>
  <si>
    <t>SA J. Ind. Psychol.</t>
  </si>
  <si>
    <t>10.4102/sajip.v38i2.993</t>
  </si>
  <si>
    <t>V1P0Q</t>
  </si>
  <si>
    <t>WOS:000217105100016</t>
  </si>
  <si>
    <t>Mnguni, PP</t>
  </si>
  <si>
    <t>Mnguni, Peliwe P.</t>
  </si>
  <si>
    <t>Deploying culture as a defence against incompetence: The unconscious dynamics of public service work</t>
  </si>
  <si>
    <t>SOCIAL DEFENSES; ANXIETY</t>
  </si>
  <si>
    <t>Orientation: The intractability of public service delivery and a polarised societal landscape heighten anxiety and reinforce a propensity for public service organisations to be used for defensive purposes. Research purpose: This article employs social defense theory to explore manifestations of anxiety and defense within South African public service organisations. Motivation for the study: Dominant discourse on public service institutions over-relies on political, sociological and public administration theories and tends to ignore psychosocial explanations. Further, whilst the psychodynamics of social service work are generally understood, the unconscious dynamics of generic public service work remain under-theorised. Research design, approach and method: This conceptual article draws on my personal observations as a reflective citizen and experiences as a consultant to government departments. Main findings: Herein, an argument is advanced that the deployment of ill-qualified party loyalists to key positions in the public service is perverse: it serves as a collective defense against the impossible aspects of the task at hand. The appointees, in turn, deploy organisational processes to defend against feelings of incompetence and the inevitability of failure. This practice, coupled with acute resource constraints, sets up front line staff for scapegoating. Practical/managerial implications: An appreciation of the multiple meanings of public service work and the defensive role played by public institutions stands to inform purposeful change towards sustainable public service organisational practice. Contribution/value-add: The discussion seeks to contribute to attempts that employ systems psychodynamics to make sense of anxiety and defense within organisations in general and public service institutions in particular.</t>
  </si>
  <si>
    <t>[Mnguni, Peliwe P.] Univ South Africa, Grad Sch Business Leadership, Pretoria, South Africa</t>
  </si>
  <si>
    <t>Mnguni, PP (corresponding author), POB 392, ZA-0003 Unisa, South Africa.</t>
  </si>
  <si>
    <t>pmnguni@sbleds.ac.za</t>
  </si>
  <si>
    <t>10.4102/sajip.v38i2.1000</t>
  </si>
  <si>
    <t>WOS:000217105100001</t>
  </si>
  <si>
    <t>Oancea, BG; Jirlaianu, S; Ciofu, R</t>
  </si>
  <si>
    <t>Oancea, Bogdan-Gabriel; Jirlaianu, Silviu; Ciofu, Ruxandra</t>
  </si>
  <si>
    <t>EVOLUTION OF ASSOCIATION FORMS STUDY FROM THE ROMANIAN AGRICULTURE AS ARISING FROM LEGISLATIVE REGULATIONS APPEARED AFTER 1990</t>
  </si>
  <si>
    <t>project; agricultural cooperatives; consultancy</t>
  </si>
  <si>
    <t>The paper aims to analyze the main legal rules governing the operation of forms of association that have arisen since 1990 in the Romanian agriculture. For optimization of the comparative analysis methods the study focuses on four regulations, representative in the forms of association evolution. They are presented in chronological order: Law no. 36/1991 regarding the agricultural companies and other agricultural associations representing the first piece of legislation that enacted the association, Ordinance No 26/2000 regarding associations and foundation, representing the second stage, Agricultural cooperatives law No. 566 issued on December 9, 2004 and Ordinance no. 37/2005 regarding the recognition and operation of the producer groups, due to Romania's preaccession phase to the European Union. The results of this study establish first how the areas of agricultural activity were influenced by some legal details present in the legislation and on the other side identifies form of association which best matches the requirements imposed by the development of the agricultural products. It can be concluded that in terms of the concept of sustainable rural development, democratic association of agricultural cooperatives is the best alternative for Romanian farmers.</t>
  </si>
  <si>
    <t>[Oancea, Bogdan-Gabriel; Jirlaianu, Silviu; Ciofu, Ruxandra] Univ Agr Sci &amp; Vet Med, 59 Marasti, Bucharest 011464, Romania</t>
  </si>
  <si>
    <t>Oancea, BG (corresponding author), Univ Agr Sci &amp; Vet Med, 59 Marasti, Bucharest 011464, Romania.</t>
  </si>
  <si>
    <t>bogdan_u2@yahoo.com</t>
  </si>
  <si>
    <t>Oancea, Bogdan/C-4147-2011</t>
  </si>
  <si>
    <t>Oancea, Bogdan/0000-0001-6987-5137</t>
  </si>
  <si>
    <t>V9C1M</t>
  </si>
  <si>
    <t>WOS:000422177300024</t>
  </si>
  <si>
    <t>Gambaro, M; Tartaglia, A</t>
  </si>
  <si>
    <t>Gambaro, Matteo; Tartaglia, Andrea</t>
  </si>
  <si>
    <t>The Construction of the Public City. Governance of Urban Processes and Transformation: the Role of Social Housing</t>
  </si>
  <si>
    <t>TECHNE-JOURNAL OF TECHNOLOGY FOR ARCHITECTURE AND ENVIRONMENT</t>
  </si>
  <si>
    <t>Neighbourhood Contract; Social housing; housing crisis; Technological and environmental design</t>
  </si>
  <si>
    <t>The following report looks at a selection of research and consultancy activities carried out by members of the Governance, Design and Valorisation for the Built Environment Research Group from the BEST Department at the Politecnico di Milano on behalf of Novara City Council. This work was undertaken with the objective of framing a systematic and multi-scalar design to be used in the redevelopment and upgrading of social housing through an approach which emphasised reconstruction of urban relationships and enhancement of the landscape and environment of noteworthy segments of the city. The aforementioned activities were then concentrated within Neighbourhood Contract III and URBACT Active Travel Network ATN programmes.</t>
  </si>
  <si>
    <t>[Gambaro, Matteo; Tartaglia, Andrea] Politecn Milan, Dipartimento BEST, Milan, Italy</t>
  </si>
  <si>
    <t>Gambaro, M (corresponding author), Politecn Milan, Dipartimento BEST, Milan, Italy.</t>
  </si>
  <si>
    <t>matteo.gambaro@polimi.it; andrea.tarlaglia@polimi.it</t>
  </si>
  <si>
    <t>FIRENZE UNIV PRESS</t>
  </si>
  <si>
    <t>FIRENZE</t>
  </si>
  <si>
    <t>JOURNALS DIVISION, BORGO ALBIZI, 28, FIRENZE, 50122, ITALY</t>
  </si>
  <si>
    <t>2239-0243</t>
  </si>
  <si>
    <t>TECHNE</t>
  </si>
  <si>
    <t>Techne</t>
  </si>
  <si>
    <t>V7Y2M</t>
  </si>
  <si>
    <t>WOS:000421399900021</t>
  </si>
  <si>
    <t>Da Cruz, MRP; Ferreira, JOJ; Azevedo, SG</t>
  </si>
  <si>
    <t>Pires Da Cruz, Maria Rosa; Ferreira, Joao J.; Azevedo, Susana Garrido</t>
  </si>
  <si>
    <t>A Strategic Diagnostic Tool Applied to Iberian Seaports: An Evolutionary Perspective</t>
  </si>
  <si>
    <t>TRANSPORT REVIEWS</t>
  </si>
  <si>
    <t>PORT; EFFICIENCY; SECTOR; POLICY</t>
  </si>
  <si>
    <t>The highly competitive and rapidly changing environment faced by businesses has greatly increased the need for strategic planning. The importance of formulating strategies to reach competitive advantages with implications in the performance is becoming increasingly evident in the seaport context. Thus, it is relevant and appropriate to apply strategic positioning tools to seaports given the role of competitive strategies in the growth and development of this industry. This research aims to analyse the strategic positioning of the leading Iberian Peninsula seaports (Portuguese and Spanish seaports) using the Boston Consulting Group (BCG) matrix as a strategic tool in an evolutionary perspective. The portfolio analysis developed subsequently focuses on the annual data of eight seaports in a selected period of 18 years (1992-2009) and on five categories of traffic: liquid bulk (LB), dry bulk (DB), containers (CO), ro-ro (roll-on/roll-off) and conventional cargo (CC). This research allows us to compare and analyse different levels of performance and identify which of the seaports have improved their strategic positioning during the considered period. The findings reveal a better positioning of Spanish seaports in relation to total traffic and that most of the seaports in the BCG matrix had changed from the first to the third period. The seaport of Valencia is the only one that has maintained its Star Performer position in all the 18 years analysed. Furthermore, considering container traffic, the results evidence the seaports of Algeciras, Valencia and Barcelona as having attained a remarkable position of leadership.</t>
  </si>
  <si>
    <t>[Pires Da Cruz, Maria Rosa; Ferreira, Joao J.; Azevedo, Susana Garrido] Univ Beira Interior, Management &amp; Econ Dept, P-6200209 Covilha, Portugal; [Ferreira, Joao J.] Univ Beira Interior, NECE Res Unit, P-6200209 Covilha, Portugal</t>
  </si>
  <si>
    <t>Ferreira, JOJ (corresponding author), Univ Beira Interior, Management &amp; Econ Dept, Polo 4,Edificio Ernesto Cruz, P-6200209 Covilha, Portugal.</t>
  </si>
  <si>
    <t>jjmf@ubi.pt</t>
  </si>
  <si>
    <t>Azevedo, Susana Garrido/B-6669-2015; Ferreira, João J./K-7669-2012</t>
  </si>
  <si>
    <t>Azevedo, Susana Garrido/0000-0001-5229-3130; Ferreira, João J./0000-0002-5928-2474; Pires da Cruz, Maria Rosa/0000-0002-3084-1703; Rodrigues de Sousa, Paulo Gleisson/0000-0002-8271-7261; Silva, Gildemberg da Cunha/0000-0003-3049-3961</t>
  </si>
  <si>
    <t>0144-1647</t>
  </si>
  <si>
    <t>1464-5327</t>
  </si>
  <si>
    <t>TRANSPORT REV</t>
  </si>
  <si>
    <t>Transp. Rev.</t>
  </si>
  <si>
    <t>10.1080/01441647.2011.647837</t>
  </si>
  <si>
    <t>936LO</t>
  </si>
  <si>
    <t>WOS:000303592100004</t>
  </si>
  <si>
    <t>Netherlands Hydrological modelling Instrument; salt intrusion; hydraulic modelling; climate change; Dutch Delta Programme</t>
  </si>
  <si>
    <t>[Prinsen, G. F.; Becker, B. P. J.] Deltares, Delft, Netherlands</t>
  </si>
  <si>
    <t>Prinsen, GF (corresponding author), Deltares, Delft, Netherlands.</t>
  </si>
  <si>
    <t>Geert.Prinsen@deltares.nl</t>
  </si>
  <si>
    <t>Becker, Bernhard/0000-0001-9831-0792</t>
  </si>
  <si>
    <t>MALDEN</t>
  </si>
  <si>
    <t>COMMERCE PLACE, 350 MAIN ST, MALDEN 02148, MA USA</t>
  </si>
  <si>
    <t>IRRIG DRAIN</t>
  </si>
  <si>
    <t>Irrig. Drain.</t>
  </si>
  <si>
    <t>Agronomy; Water Resources</t>
  </si>
  <si>
    <t>Agriculture; Water Resources</t>
  </si>
  <si>
    <t>865XB</t>
  </si>
  <si>
    <t>Harrell, R; Caley, M; Allwood, D; Fowler, T</t>
  </si>
  <si>
    <t>Harrell, Ruth; Caley, Michael; Allwood, Dominique; Fowler, Tom</t>
  </si>
  <si>
    <t>Changes in recruitment to public health consultant posts and hospital consultant posts in England: potential impact on the sustainability of the public health system</t>
  </si>
  <si>
    <t>JOURNAL OF PUBLIC HEALTH</t>
  </si>
  <si>
    <t>health services; public health</t>
  </si>
  <si>
    <t>Background The UK government has proposed major changes to the Public Health system in England. This study aims quantify increasing anecdotal concern that the number of Public Health consultant posts advertised has plummeted since the publication of these plans. Methods The archives of BMJ careers were interrogated for hospital and Public Health consultant posts advertised October 2008 and May 2011. Statistical process control charts were used to compare differences in recruitment over time and the ratio of Public Health:hospital consultant posts. Results We found a highly significant reduction in the mean number of advertisements for Public Health consultant posts from 27.9 posts per month in the period October 2008Novermber 2009 to 6.3 posts per month between December 2009 and May 2010 (P 0.005). The ratio of Public Health:hospital consultant posts fell from 3.3 to 0.9 Public Health consultant posts per 100 hospital consultant posts (P 0.005). Conclusions This study confirms the anecdotal concern that there has been a significant reduction in the advertisement, and by extrapolation, recruitment to Public Health consultants posts in England around the time of the publication of the governments reform plans. Public Health consultant posts have been disproportionately affected by this reduction compared to hospital consultant posts.</t>
  </si>
  <si>
    <t>[Caley, Michael] NHS Warwickshire, Warwick, England; [Harrell, Ruth] NHS Coventry, Coventry, W Midlands, England; [Allwood, Dominique] Kings Fund, London, England; [Fowler, Tom] Univ Birmingham, Sch Med, Dept Publ Hlth Epidemiol &amp; Biostat, Unit Urol &amp; Genet Epidemiol, Birmingham, W Midlands, England</t>
  </si>
  <si>
    <t>Caley, M (corresponding author), NHS Warwickshire, Warwick, England.</t>
  </si>
  <si>
    <t>mikecaley@doctors.org.uk</t>
  </si>
  <si>
    <t>Fowler, Tom/0000-0002-7258-2279</t>
  </si>
  <si>
    <t>1741-3842</t>
  </si>
  <si>
    <t>1741-3850</t>
  </si>
  <si>
    <t>J PUBLIC HEALTH-UK</t>
  </si>
  <si>
    <t>J. Public Health</t>
  </si>
  <si>
    <t>10.1093/pubmed/fdr079</t>
  </si>
  <si>
    <t>850UP</t>
  </si>
  <si>
    <t>WOS:000297225300023</t>
  </si>
  <si>
    <t>PULP</t>
  </si>
  <si>
    <t>[Bergquist, Ann-Kristin] Umea Univ, Dept Econ Hist, S-90187 Umea, Sweden; [Bergquist, Ann-Kristin] Umea Univ, Ctr Resource &amp; Environm Econ, S-90187 Umea, Sweden; [Soderholm, Kristina] Lulea Univ Technol, Hist Unit, Lulea, Sweden</t>
  </si>
  <si>
    <t>Bergquist, AK (corresponding author), Umea Univ, Dept Econ Hist, S-90187 Umea, Sweden.</t>
  </si>
  <si>
    <t>BUS HIST REV</t>
  </si>
  <si>
    <t>Bus. Hist. Rev.</t>
  </si>
  <si>
    <t>Business; History Of Social Sciences</t>
  </si>
  <si>
    <t>883WX</t>
  </si>
  <si>
    <t>Environmental performance; Carbon emission; Energy efficiency; Rating system; Low embodied energy material</t>
  </si>
  <si>
    <t>EMBODIED ENERGY; CONSTRUCTION; CONSUMPTION; EMISSIONS; DESIGN</t>
  </si>
  <si>
    <t>[Dakwale, Vaidehi A.; Ralegaonkar, Rahul V.] VNIT, Dept Civil Engn, Nagpur 10, Maharashtra, India; [Dakwale, Vaidehi A.] SRKNEC, Dept Civil Engn, Nagpur, Maharashtra, India; [Mandavgane, Sachin] VNIT, Dept Chem Engn, Nagpur, Maharashtra, India</t>
  </si>
  <si>
    <t>Dakwale, VA (corresponding author), VNIT, Dept Civil Engn, Nagpur 10, Maharashtra, India.</t>
  </si>
  <si>
    <t>vaidehi.dakwale@gmail.com; sanvan28@yahoo.com; mandavgane@gmail.com</t>
  </si>
  <si>
    <t>ralegaonkar, rahul V/O-5198-2015; Dakwale, Vaidehi/AAE-5368-2020; Rals, Rahul/AAE-4417-2019; dakwale, vaidehi/AAB-2793-2021; Mandavgane, Sachin/O-9714-2015</t>
  </si>
  <si>
    <t>ralegaonkar, rahul V/0000-0002-3538-533X; Dakwale, Vaidehi/0000-0002-7127-0695; Rals, Rahul/0000-0002-3538-533X; Mandavgane, Sachin/0000-0002-1436-8987</t>
  </si>
  <si>
    <t>V41NS</t>
  </si>
  <si>
    <t>Resources; Energy; Methodology; Sustainable development; Geneva</t>
  </si>
  <si>
    <t>STRATEGIC ENVIRONMENTAL ASSESSMENT; CITIES</t>
  </si>
  <si>
    <t>[Piguet, Pascal; Blunier, Pascal] Ecole Polytech Fed Lausanne, Swiss Fed Inst Technol, CH-1015 Lausanne, Switzerland</t>
  </si>
  <si>
    <t>Piguet, P (corresponding author), Ave Chatelaine 81 Bis, CH-1219 Geneva, Switzerland.</t>
  </si>
  <si>
    <t>pascal.piguet@bg-21.com</t>
  </si>
  <si>
    <t>841BU</t>
  </si>
  <si>
    <t>politics; power; governance; environmental practices; expertise; epistemology; other</t>
  </si>
  <si>
    <t>3RD WAVE; POLITICS; INVOLVEMENT; SCIENCE; TRUTH</t>
  </si>
  <si>
    <t>Univ London, Goldsmiths Coll, Dept Anthropol, London SE14 6NW, England</t>
  </si>
  <si>
    <t>Reno, J (corresponding author), Univ London, Goldsmiths Coll, Dept Anthropol, London SE14 6NW, England.</t>
  </si>
  <si>
    <t>j.reno@gold.ac.uk</t>
  </si>
  <si>
    <t>Reno, Joshua/0000-0002-6459-6910</t>
  </si>
  <si>
    <t>ESRC [ES/E002196/1] Funding Source: UKRI; Economic and Social Research Council [ES/E002196/1] Funding Source: researchfish</t>
  </si>
  <si>
    <t>853HP</t>
  </si>
  <si>
    <t>strategic planning; operational areas; consulting firms; hydrocarbon sector</t>
  </si>
  <si>
    <t>[Graterol, Modesto; Kunath, Irene] Univ Zulia, Maracaibo 4011, Venezuela</t>
  </si>
  <si>
    <t>rossy-grate-rol@hotmail.com; modestograterol@gmail.com; irenecuriel24@hotmail.com</t>
  </si>
  <si>
    <t>UNIV ZULIA, FAC CIENCIAS ECON &amp; SOCIALES SCI</t>
  </si>
  <si>
    <t>CIUDAD UNIV DR. ANTONIO BORJAS ROMERO, NUCLEO HUMANISTICO, AV GUAJIRA, SECTOR ZIRUMA, APDO 526, MARACAIBO, 00000, VENEZUELA</t>
  </si>
  <si>
    <t>REV CIENC SOC-VENEZ</t>
  </si>
  <si>
    <t>Rev. Cienc. Soc.</t>
  </si>
  <si>
    <t>Business; Economics</t>
  </si>
  <si>
    <t>955WB</t>
  </si>
  <si>
    <t>Human, SP; van Rensburg, GH</t>
  </si>
  <si>
    <t>Human, Sarie P.; van Rensburg, Gisela H.</t>
  </si>
  <si>
    <t>Challenges in the management of support and care programmes for child-headed households in South Africa</t>
  </si>
  <si>
    <t>child-headed households; child legislation; orphaned and vulnerable children; management; support programmes</t>
  </si>
  <si>
    <t>Aims The present study reports on data collected in a larger study on 'A situational analysis of child-headed households in South Africa'. The purpose of this study was to explore the management and control of available and required services, resources and safety nets for children in child-headed households. Background The significance of having a better understanding of the challenges, limitations but importance for government structures to manage and control programmes will enhance the implementation and maintenance of focused and sustainable support structures and programmes which will effectively address the needs of child-headed households. Method An exploratory and descriptive, quantitative survey was conducted to provide information on government structures at a national level and the nine provinces in South Africa. The population consisted of the Departments of Social Development, Education, Health and Agriculture, at both national and provincial levels. Results The main findings included a lack of clarity regarding the concept and definition of a child-headed household, lack of empirical data, a diversity of needs and challenges in terms of location and geographical distribution of available infrastructure and support systems; programmes that are not inclusive and integrated; and contradictions in the stipulations and implementation of existing policies and capacity and human resources shortages. Conclusions It was concluded that the magnitude, uniqueness and complexity of the phenomenon necessitate effective and sound scientific management principles. This is achieved by providing legal clarity of the concept; developing relevant policies and ensuring effective implementation thereof; rigorous monitoring and evaluation based on comprehensive empirical data; and protecting the rights and safety of these children and ensuring an enabling environment for all stakeholders to address needs and challenges. Implications for nursing management The role of the nurse manager is to ensure a holistic approach to children living in child-headed households by acting as a facilitator, advocate, leader, coordinator and consultant.</t>
  </si>
  <si>
    <t>[Human, Sarie P.; van Rensburg, Gisela H.] Univ S Africa, Dept Hlth Studies, ZA-0001 Pretoria, South Africa</t>
  </si>
  <si>
    <t>Human, SP (corresponding author), Univ S Africa, Dept Hlth Studies, ZA-0001 Pretoria, South Africa.</t>
  </si>
  <si>
    <t>humansp@unisa.ac.za</t>
  </si>
  <si>
    <t>German Development Bank as the KfW Banking Group with the Department of Social Development (DSD) at National Government, South Africa.; South African National Department of Social Development; German Development Bank as the KfW Banking Group</t>
  </si>
  <si>
    <t>The project was funded by the German Development Bank as the KfW Banking Group with the Department of Social Development (DSD) at National Government, South Africa.; The research project was commissioned by the South African National Department of Social Development and funded by the German Development Bank as the KfW Banking Group.</t>
  </si>
  <si>
    <t>10.1111/j.1365-2834.2011.01306.x</t>
  </si>
  <si>
    <t>837YN</t>
  </si>
  <si>
    <t>WOS:000296250000015</t>
  </si>
  <si>
    <t>INDUSTRY SELF-REGULATION; OIL COMPANY; CORPORATE; GOVERNANCE; STATES; LABOR; RISE</t>
  </si>
  <si>
    <t>[Conley, John M.] Univ N Carolina, Sch Law, Chapel Hill, NC 27599 USA; [Williams, Cynthia A.] Univ Illinois, Coll Law, Chicago, IL 60680 USA</t>
  </si>
  <si>
    <t>Conley, JM (corresponding author), Univ N Carolina, Sch Law, Campus Box 3380, Chapel Hill, NC 27599 USA.</t>
  </si>
  <si>
    <t>jmconley@email.unc.edu</t>
  </si>
  <si>
    <t>LAW POLICY</t>
  </si>
  <si>
    <t>Law Policy</t>
  </si>
  <si>
    <t>822OF</t>
  </si>
  <si>
    <t>McGettigan, D; Gill, KU; Irfan, M; Zahoor, R; O'Boyle, B</t>
  </si>
  <si>
    <t>McGettigan, David; Gill, Khalid Umar; Irfan, Muhammad; Zahoor, Ramla; O'Boyle, Brian</t>
  </si>
  <si>
    <t>Physical Assault by Psychiatric Patients Against Mental Health Staff</t>
  </si>
  <si>
    <t>PAKISTAN JOURNAL OF MEDICAL &amp; HEALTH SCIENCES</t>
  </si>
  <si>
    <t>Mental health staff; physical assault; psychiatric patient. psychotic disorders</t>
  </si>
  <si>
    <t>Objectives: To find out the nature and factors involved in the incidents of physical violence by the psychiatric patients against the mental health staff. Study design: The design of this study was a retrospective questionnaire survey type. Period: From January 2009 to December 2011 (2 years) Setting: This study was carried out at three different psychiatric hospitals of Ireland. Methods: Permission was taken from the ethical and research committees of all three psychiatric centers. Then data analysis was carried out about the patients as well as the participants.% age of different major and minor psychiatric disorders were found. A questionnaire was formulated and was the compred with standard questionnaires in the literature subsequently was sent for peer review. The participants were then recruited using the employee register. A written consent was taken from all the participants. They were given code numbers and their names and designations were kept un-identified. Descriptive statistics were used to examine the demographic characteristics. The level of significance was set at P&lt;0.05. Results: Of the 138 mental health workers who completed the questionnaire, 50 had been physically assaulted by psychiatric patients in the hospital within the period of their employment (36.23%). Among those 50 workers 36 were nurses who were victoms of assault (72%) and 5 were psychiatric trainees registrars/SHOs(10%). Only one consultant reported as a victom of assault. The commonest type of assault was in the form of pushing or shaking (57%) followed by hitting (28%). Conclusion: These types of studies help to make better policies towards prevention of physical assaults towards mental health staff and to take steps to improve a secure and safe working environment in psychiatirc wards.</t>
  </si>
  <si>
    <t>[McGettigan, David] St Patricks Univ Hosp, Dublin, Ireland; [Gill, Khalid Umar; Zahoor, Ramla] Lahore Med &amp; Dent Coll, Dept Psychiat, Lahore, Pakistan; [Irfan, Muhammad] Manchester Royal Infirm, Dept Neurosurg, Manchester, Lancs, England; [O'Boyle, Brian] St Dynpnas Hosp Carlow, Carlow, Ireland</t>
  </si>
  <si>
    <t>Gill, KU (corresponding author), Lahore Med &amp; Dent Coll, Dept Psychiat, Lahore, Pakistan.</t>
  </si>
  <si>
    <t>khalidgill786@hotmail.com</t>
  </si>
  <si>
    <t>LAHORE MEDICAL &amp; DENTAL COLL</t>
  </si>
  <si>
    <t>LAHORE</t>
  </si>
  <si>
    <t>CANAL BANK N, TULSPURA, LAHORE, 00000, PAKISTAN</t>
  </si>
  <si>
    <t>1996-7195</t>
  </si>
  <si>
    <t>PAK J MED HEALTH SCI</t>
  </si>
  <si>
    <t>Pak. J. Med. Health Sci.</t>
  </si>
  <si>
    <t>V8H6M</t>
  </si>
  <si>
    <t>WOS:000421644300043</t>
  </si>
  <si>
    <t>Sivaneswaran, S; Chong, GTF</t>
  </si>
  <si>
    <t>Sivaneswaran, S.; Chong, G. T. F.</t>
  </si>
  <si>
    <t>Investing in professional advocacy: a case study of a successful fluoridation campaign in rural New South Wales, Australia</t>
  </si>
  <si>
    <t>COMMUNITY DENTAL HEALTH</t>
  </si>
  <si>
    <t>water fluoridation; pro-fluoridation campaign; community consultation process; community education program; community fluoridation support</t>
  </si>
  <si>
    <t>WATER FLUORIDATION; TOOTH-DECAY; HEALTH</t>
  </si>
  <si>
    <t>In New South Wales (NSW), Australia, the responsibility to implement water fluoridation rests with local government Councils, partly accounting for the hindrance in its statewide implementation. Since 2003, the NSW Health Department has been actively promoting water fluoridation to the remaining unfluoridated rural communities. Objectives: To describe the community education and consultation strategies which led to the implementation of fluoridation in two rural NSW towns. Methods: In February 2005, the Mid-Western Regional Council and the NSW Health Department undertook a comprehensive community education process followed by a consultation process. The education process included the organization of public forums; distribution of fluoridation information packs; building rapport with the local media; and the use of local disease and treatment data to demonstrate oral health disparities with neighbouring fluoridated towns. The consultation process to determine support for fluoridation included seeking written submissions from the community and conducting interviews on a random sample of households by an independent research organization. Results: A total of 502 (N=1,012) interviews to determine support for fluoridation were completed, achieving a response rate of 49.6%. 54% of respondents wanted their water supplies fluoridated, 25% did not and the remaining 21% were unsure. In June 2005, the Mid-Western Regional Council resolved to implement water fluoridation and fluoride was added to the towns' water supplies in November 2007. Conclusions: This case study demonstrates that it is possible to garner community support for water fluoridation with the use of a multifaceted approach in educating and consulting communities and stakeholders.</t>
  </si>
  <si>
    <t>[Sivaneswaran, S.; Chong, G. T. F.] Univ Sydney, Fac Dent, Westmead, NSW 2145, Australia</t>
  </si>
  <si>
    <t>Sivaneswaran, S (corresponding author), Univ Sydney, Fac Dent, 1 Mons Rd, Westmead, NSW 2145, Australia.</t>
  </si>
  <si>
    <t>shanti_sivaneswaran@wsahs.nsw.gov.au</t>
  </si>
  <si>
    <t>Chong, Gabriel/ABF-7819-2021</t>
  </si>
  <si>
    <t>Chong, Gabriel/0000-0003-0953-9531</t>
  </si>
  <si>
    <t>F D I WORLD DENTAL PRESS LTD</t>
  </si>
  <si>
    <t>LOWESTOFT</t>
  </si>
  <si>
    <t>5 BATTERY GREEN RD, LOWESTOFT NR32 1 DE, SUFFOLK, ENGLAND</t>
  </si>
  <si>
    <t>0265-539X</t>
  </si>
  <si>
    <t>COMMUNITY DENT HLTH</t>
  </si>
  <si>
    <t>Community Dent. Health</t>
  </si>
  <si>
    <t>10.1922/CDH_2555Sivaneswaran05</t>
  </si>
  <si>
    <t>860FH</t>
  </si>
  <si>
    <t>WOS:000297933700012</t>
  </si>
  <si>
    <t>Rana, M; Qin, DB; Bates, L; Luster, T; Saltarelli, A</t>
  </si>
  <si>
    <t>Rana, Meenal; Qin, Desiree Baolian; Bates, Laura; Luster, Tom; Saltarelli, Andrew</t>
  </si>
  <si>
    <t>Factors Related to Educational Resilience Among Sudanese Unaccompanied Minors</t>
  </si>
  <si>
    <t>ASIAN-AMERICAN; ACHIEVEMENT; SCHOOL; VARIABILITY; ADOLESCENCE; EXPERIENCES; EXPLANATION; MOTIVATION; SUCCESS; SEARCH</t>
  </si>
  <si>
    <t>Background/Context: Educational resilience is defined as having successful outcomes in school despite the adversities one has faced in life. There is a dearth of research on a particularly high-risk group-unaccompanied refugee minors who are separated from their parents by war and lack the protection and advocacy provided by adult caretakers. Purpose: This qualitative study explores the factors associated with educational resilience among unaccompanied Sudanese refugee youth who experienced extreme trauma and chronic adversity prior to being placed with American foster families in 2000-2001. Setting: The setting includes Lansing and neighboring communities in Michigan. Participants: Nineteen Sudanese refugees (mean age-15 years at the time of resettlement; gender-17 males, 2 females) who had been placed in a foster care program for unaccompanied refugee minors in the United States participated in the retrospective interviews. We interviewed 20 parents from 15 families, including five couples, 3 married mothers interviewed alone, 2 single fathers, and 5 single mothers. Research Design: The study used a qualitative research design by using open ended semistructured interviews in which the participants were comfortable speaking about their experiences, yet the researchers were able to follow the interview protocol. With the assistance of the resettlement agency (Lutheran Social Services of Michigan), we sampled for diversity in the foster families to obtain a sample of youth who were exposed to diverse families and circumstances. With the help of foster parents and the assistance of a Sudanese cultural consultant, we recruited at least one youth from each of these families, with the exception of two families. Data Analysis: The transcribed interviews were coded thematically. A three-step coding procedure was used: open, axial, and selective coding. Findings: All youth in our study came to the United States with education as their primary goal. Many youth had a desire to help those left in Africa and to rebuild Sudan. All the youth interviewed had achieved at least a high school diploma, and all but three had either completed or were enrolled in higher education. Personal attributes, relationships, and community support/opportunities helped the youth in overcoming the challenges that they faced in terms of educational attainment in the United States. Conclusions/Recommendations: This study confirmed the important roles of parents, teachers, and school counselors in educational success for at-risk youth. The challenges noted by the youth and their foster parents provided useful information for possible changes in policy that could enhance their success.</t>
  </si>
  <si>
    <t>[Rana, Meenal; Luster, Tom] Michigan State Univ, Dept Family &amp; Child Ecol, E Lansing, MI 48824 USA; [Saltarelli, Andrew] Michigan State Univ, Dept Educ Psychol &amp; Educ Technol, E Lansing, MI 48824 USA</t>
  </si>
  <si>
    <t>Rana, M (corresponding author), Michigan State Univ, Dept Family &amp; Child Ecol, E Lansing, MI 48824 USA.</t>
  </si>
  <si>
    <t>Rana, Meenal/0000-0003-4130-4855</t>
  </si>
  <si>
    <t>861BY</t>
  </si>
  <si>
    <t>WOS:000297995100007</t>
  </si>
  <si>
    <t>Environmental Policy; Government and Business; Developing Countries; Climate Change</t>
  </si>
  <si>
    <t>INSTITUTIONAL ENTREPRENEURSHIP; FIELDS; FIRMS; COST</t>
  </si>
  <si>
    <t>[Kolk, Ans] Univ Amsterdam, Sch Business, NL-1012 WX Amsterdam, Netherlands</t>
  </si>
  <si>
    <t>Kolk, A (corresponding author), Univ Amsterdam, Sch Business, NL-1012 WX Amsterdam, Netherlands.</t>
  </si>
  <si>
    <t>akolk@uva.nl; gerhard.mulder@mulder-ef.com</t>
  </si>
  <si>
    <t>CALIF MANAGE REV</t>
  </si>
  <si>
    <t>Calif. Manage. Rev.</t>
  </si>
  <si>
    <t>852WZ</t>
  </si>
  <si>
    <t>Green Submitted, Green Published</t>
  </si>
  <si>
    <t>PRESCHOOL-CHILDREN; OBESITY PREVENTION; FOOD-CONSUMPTION; AGREEMENT; RELIABILITY; SIZE; AGE</t>
  </si>
  <si>
    <t>[Henderson, Kathryn E.; Grode, Gabrielle M.; Kenney, Erica L.; Falbe, Jennifer; Schwartz, Marlene B.] Yale Univ, Rudd Ctr Food Policy &amp; Obes, New Haven, CT 06520 USA; [Grode, Gabrielle M.] Public Hlth Management Corp, Philadelphia, PA USA; [Kenney, Erica L.] Harvard Univ, Sch Publ Hlth, Dept Soc Human Dev &amp; Hlth, Boston, MA 02115 USA; [Falbe, Jennifer] Harvard Univ, Sch Publ Hlth, Dept Nutr, Boston, MA 02115 USA</t>
  </si>
  <si>
    <t>Henderson, KE (corresponding author), Yale Univ, Rudd Ctr Food Policy &amp; Obes, New Haven, CT 06520 USA.</t>
  </si>
  <si>
    <t>kathryn.e.henderson@yale.edu</t>
  </si>
  <si>
    <t>Falbe, Jennifer/0000-0002-8405-4326; Schwartz, Marlene/0000-0002-8939-1954</t>
  </si>
  <si>
    <t>Robert Wood Johnson Foundation [63150, 64093]; Rudd Foundation; NATIONAL INSTITUTE OF DIABETES AND DIGESTIVE AND KIDNEY DISEASES [T32DK007703] Funding Source: NIH RePORTER</t>
  </si>
  <si>
    <t>Robert Wood Johnson Foundation(Robert Wood Johnson Foundation (RWJF)); Rudd Foundation; NATIONAL INSTITUTE OF DIABETES AND DIGESTIVE AND KIDNEY DISEASES(United States Department of Health &amp; Human ServicesNational Institutes of Health (NIH) - USANIH National Institute of Diabetes &amp; Digestive &amp; Kidney Diseases (NIDDK))</t>
  </si>
  <si>
    <t>This work was supported by grant no. 63150 from Healthy Eating Research and grant no. 64093 from Active Living Research, both national programs of the Robert Wood Johnson Foundation. Further financial support was provided by the Rudd Foundation.</t>
  </si>
  <si>
    <t>AMER DIETETIC ASSOC</t>
  </si>
  <si>
    <t>120 S RIVERSIDE PLZ, STE 2000, CHICAGO, IL 60606-6995 USA</t>
  </si>
  <si>
    <t>J AM DIET ASSOC</t>
  </si>
  <si>
    <t>J. Am. Diet. Assoc.</t>
  </si>
  <si>
    <t>818JT</t>
  </si>
  <si>
    <t>[Useem, Michael] Univ Penn, Wharton Sch, Dept Management, Philadelphia, PA 19104 USA</t>
  </si>
  <si>
    <t>Useem, M (corresponding author), Univ Penn, Wharton Sch, Dept Management, Philadelphia, PA 19104 USA.</t>
  </si>
  <si>
    <t>841CJ</t>
  </si>
  <si>
    <t>Dean, M; Fabbro, S</t>
  </si>
  <si>
    <t>Dean, Marco; Fabbro, Sandro</t>
  </si>
  <si>
    <t>Rethinking Logistics Platforms: the Case of the North Adriatic Gateway</t>
  </si>
  <si>
    <t>The objective of this paper is to explore more realistic and sustainable territorial and logistics strategies (see Fabbro, Mesolella, 2010) in order to reconnect the Italian infrastructural system to the wider network of European corridors. Until this moment, the logistics and strategic national plans have not been selective concerning the identification, along the TEN-T Corridors, of a few ports and freight villages which are able to become effective European gateways within the Italian territory and attract private investments. Moreover, these planning instruments, instead of basing their strategies on the most concrete corridors have preferred to conceive their policies on entirely imaginary ones. This is, for instance, the case of the Logistics Platform in the Nord-East area of Italy. This Platform has been organized around the uncertain Corridor V, rather than the more concrete (but not yet recognized in the European maps) Adriatic-Baltic corridor. As a consequence, in this Region, several existing national infrastructures appear, at the moment, largely underused: a. a freight village of considerable size and European standards such as the Interporto Alpe Adria in Cervignano del Friuli, and b. an international double railway such as the Pontebbana that links the North-East area of Italy with Austria, through the Alpine pass of Tarvisio, and which is already the southern segment of the Adriatic-Baltic corridor. On the other hand, these infrastructures might play a significant role in light of the positive estimates about the new trends of maritime trades, which would realize a renewed centrality to the Mediterranean Sea (Drewry Shipping Consultants, 2010), and important development programs regarding the Adriatic ports, involving both public (Venice, Rijeka) and private (Monfalcone-Triest, Koper) stakeholders. The aim of these projects is to increase the competitive capacity of the North Adriatic port system and establish a more effective connection between it and the central and eastern parts of Europe, through the Baltic-Adriatic Corridor, so as to constitute the so-called North Adriatic Gateway. Similarly it would be possible to use the same strategies even for the the Nord-West territories which could depict the second important Italian gateway, the so-called North Tyrrhenian Gateway. The paper concludes its argumentations supporting the necessity of putting more emphasis on the Corridor 1, the Two Seas Corridor 24 and the Adriatic-Baltic corridor instead of the Corridor V. In fact only these North-South Corridors, linking Italy to the most productive European regions, could allow to produce economic benefits in a shorter term, while in this possible scenario, the Corridor V (hierarchically subordinate to the other axis) would connect the two Italian gateways each other and these ones to the second-level national infrastructure, in order to avoid the marginalisation of entire regional areas from the major trade and economic networks.</t>
  </si>
  <si>
    <t>[Dean, Marco; Fabbro, Sandro] Univ Udine, DICA, Udine, Italy</t>
  </si>
  <si>
    <t>Dean, M (corresponding author), Univ Udine, DICA, Udine, Italy.</t>
  </si>
  <si>
    <t>MARCODEAN2003@libero.it; sandro.fabbro@uniud.it</t>
  </si>
  <si>
    <t>Dean, Marco/AAR-9260-2021</t>
  </si>
  <si>
    <t>Dean, Marco/0000-0002-2418-8170</t>
  </si>
  <si>
    <t>V1Q0H</t>
  </si>
  <si>
    <t>WOS:000217130200005</t>
  </si>
  <si>
    <t>Drennan, VM; Goodman, C</t>
  </si>
  <si>
    <t>Drennan, Vari M.; Goodman, Claire</t>
  </si>
  <si>
    <t>Sustaining innovation in the health care workforce: A case study of community nurse consultant posts in England</t>
  </si>
  <si>
    <t>PROFESSIONAL CONSULTANTS</t>
  </si>
  <si>
    <t>Background: Recruiting, retaining and meeting increasing demand for experienced, qualified nurses is an issue of concern for all health care systems. The UK has been creating clinical career structures for nurses that include innovative posts known as nurse consultants. While the numbers overall appear to have grown over the last eleven years, there is evidence that in some specialities and regions the numbers are decreasing. This paper considers the factors that sustain or curtail workforce innovations through the case example of a cohort of nurse consultants established in one community health service in England. Methods: A mixed method case study evaluation was undertaken over three years, using interviews, observations, documentary analysis and questionnaires. The final element of data collection was obtained three years later. Data was anonymised, analysed using a framework method and then integrated using a narrative synthesis. Results: Ten nurse consultant posts were created over a period of two years (2002-2004). Within two years only five posts remained and within five years (2009) only two part time posts, with the original appointees, remained. When the nurse consultants left their posts, these were not replaced. In exploring the interaction between the innovation (the nurse consultant posts), the adoptees (the senior staff in the organisation) and the context (the immediate service colleagues, the service organisation and commissioners as well as the broader NHS policy context) three key factors were identified as influential in the demise of the posts. These were: a) the extent to which there was support for individual nurses rather than the post, b) the extent to which there was an unambiguous and uncontested clinical service requirement for a nurse consultant and c) the extent to which finances for the post were judged as being used to best effect in a service setting. Conclusions: This case study example demonstrates how tantalisingly close the nurse consultant initiative came to achieving a clinical career pathway for nurses in community services but more work was required to normalise clinician and managers' beliefs in the relevance and need for the role. Those looking to embed these types of nursing workforce innovations should pay due regard to these issues.</t>
  </si>
  <si>
    <t>[Drennan, Vari M.] Kingston Univ, Fac Hlth &amp; Social Care Sci, London SW17 0RE, England; [Drennan, Vari M.] St Georges Univ London, London SW17 0RE, England; [Goodman, Claire] Univ Hertfordshire, Ctr Res Primary &amp; Community Care, Hatfield AL10 9AB, Herts, England</t>
  </si>
  <si>
    <t>Drennan, VM (corresponding author), Kingston Univ, Fac Hlth &amp; Social Care Sci, London SW17 0RE, England.</t>
  </si>
  <si>
    <t>v.drennan@sgul.kingston.ac.uk</t>
  </si>
  <si>
    <t>Drennan, Vari M/K-8811-2017</t>
  </si>
  <si>
    <t>Drennan, Vari M/0000-0002-8915-5185; Goodman, Claire/0000-0002-8938-4893</t>
  </si>
  <si>
    <t>10.1186/1472-6963-11-200</t>
  </si>
  <si>
    <t>818FE</t>
  </si>
  <si>
    <t>WOS:000294736000001</t>
  </si>
  <si>
    <t>environmental impact assessment; legislation; weed biological control</t>
  </si>
  <si>
    <t>POLICY; WEEDS</t>
  </si>
  <si>
    <t>[Klein, H.] Plant Protect Res Inst, Agr Res Council, ZA-0121 Queenswood, South Africa; [Hill, M. P.] Rhodes Univ, Dept Zool &amp; Entomol, ZA-6140 Grahamstown, South Africa; [Zachariades, C.] Plant Protect Res Inst, Agr Res Council, ZA-3245 Hilton, South Africa; [Zimmermann, H. G.] Helmuth Zimmermann &amp; Associates Cent, ZA-0043 Faerie Glen, South Africa; [Zachariades, C.] Univ KwaZulu Natal, Sch Biol &amp; Conservat Sci, ZA-3209 Pietermaritzburg, Scottsville, South Africa</t>
  </si>
  <si>
    <t>Klein, H (corresponding author), Plant Protect Res Inst, Agr Res Council, Private Bag X134, ZA-0121 Queenswood, South Africa.</t>
  </si>
  <si>
    <t>kleinh@arc.agric.za</t>
  </si>
  <si>
    <t>Agricultural Research Council; South African Department of Water Affairs</t>
  </si>
  <si>
    <t>The authors thank the Agricultural Research Council and the Working for Water Programme of the South African Department of Water Affairs, for funding. We also thank A.B. Witt (previously ARC-PPRI) for his efforts to improve communication with DEA; J. Geeringh and M. Boshoff (DEA) for their prompt and positive contributions; and Coastal and Environmental Services (CES) for their inputs regarding Basic Assessment Reports.</t>
  </si>
  <si>
    <t>ENTOMOLOGICAL SOC SOUTHERN AFRICA</t>
  </si>
  <si>
    <t>HATFIELD</t>
  </si>
  <si>
    <t>PO BOX 13162, HATFIELD 0028, SOUTH AFRICA</t>
  </si>
  <si>
    <t>1026-4914</t>
  </si>
  <si>
    <t>AFR ENTOMOL</t>
  </si>
  <si>
    <t>Afr. Entomol.</t>
  </si>
  <si>
    <t>Entomology</t>
  </si>
  <si>
    <t>840CS</t>
  </si>
  <si>
    <t>Ogbonnaya, LU; Chukwu, JN; Uwakwe, KA; Oyibo, PG; Ndukwe, CD</t>
  </si>
  <si>
    <t>Ogbonnaya, L. U.; Chukwu, J. N.; Uwakwe, K. A.; Oyibo, P. G.; Ndukwe, C. D.</t>
  </si>
  <si>
    <t>The status of tuberculosis infection control measures in health care facilities rendering joint TB/HIV services in German Leprosy and Tuberculosis Relief Association supported states in Nigeria</t>
  </si>
  <si>
    <t>NIGERIAN JOURNAL OF CLINICAL PRACTICE</t>
  </si>
  <si>
    <t>Association-supported states; German leprosy and TB relief; infection control; Nigeria TB; TB/HIV joint services</t>
  </si>
  <si>
    <t>WORKERS; RISK</t>
  </si>
  <si>
    <t>Objective: To assess the status of tuberculosis (TB) infection control practice in health care facilities implementing joint TB/HIV activities. Materials and Methods: A descriptive survey triangulating self-administered questionnaire (facility survey to Infection Control Officer, individual health worker to general health workers), review of facility case notes and participant observation techniques was carried out. Twelve health facilities from southern Nigeria were assessed. Results: (1) Administrative and work practice control measure: Only 1 (8.3%) facility had a documented TB Infection control policy; 2 (16.7%) facilities had Infection Control Committee; 5 (41.7%) facilities had Infection Control Officer; 2 (16.7%) asked questions at the health records about cough; 1 (8.3%) facility had health workers intermittently checking for patients with cough in the waiting hall; and 2 (16.7%) facilities had Infection Control Officers who have attended some training on infection control. No facility had Information, Education and Communication (IEC) materials reminding patients and health workers of the possibility of TB transmission in the health care setting. While 86.4% of TB patients were screened for HIV, only 54.7% of HIV patients were tested for TB. (2) Environmental control measures: All the waiting halls were well ventilated. Though 66.7% of the consulting rooms were well ventilated, 25% of them were over crowded; 58.3% of the facilities managed sputum smear positive TB patients in the same ward with HIV-positive and other vulnerable patients; no facility had air cleaners. Conclusion: Implementation of the different aspects of the administrative control and work practice component of TB infection control measure range from 8.3% to 41.7% of the facilities. Urgent measures should be taken to reverse this trend in the face of TB burden due to HIV.</t>
  </si>
  <si>
    <t>[Ogbonnaya, L. U.; Uwakwe, K. A.; Oyibo, P. G.; Ndukwe, C. D.] Ebonyi State Univ, Dept Community Med, Teaching Hosp, Abakaliki, Nigeria; [Chukwu, J. N.] German Leprosy &amp; TB Relief Assoc, Enugu, Nigeria</t>
  </si>
  <si>
    <t>Ogbonnaya, LU (corresponding author), Ebonyi State Univ, Dept Community Med, Teaching Hosp, Abakaliki, Nigeria.</t>
  </si>
  <si>
    <t>uluogbonnaya@yahoo.com</t>
  </si>
  <si>
    <t>Oyibo, Patrick/AAK-7365-2020</t>
  </si>
  <si>
    <t>Oyibo, Patrick/0000-0002-6467-5416</t>
  </si>
  <si>
    <t>German Leprosy and TB Relief Association</t>
  </si>
  <si>
    <t>This study was funded under the global fund for the fight against TB, Malaria and AIDS through the German Leprosy and TB Relief Association. I acknowledge all the support from the staff of the facilities that were used in this study, as well as the Control Officers in those states.</t>
  </si>
  <si>
    <t>1119-3077</t>
  </si>
  <si>
    <t>NIGER J CLIN PRACT</t>
  </si>
  <si>
    <t>Niger. J. Clin. Pract.</t>
  </si>
  <si>
    <t>10.4103/1119-3077.86765</t>
  </si>
  <si>
    <t>850AY</t>
  </si>
  <si>
    <t>WOS:000297168000003</t>
  </si>
  <si>
    <t>Kopacz, L; Pawelec, M; Pietras, J; Karmowski, A; Palczynski, B; Karmowski, M; Latkowski, KJ</t>
  </si>
  <si>
    <t>Kopacz, Lidia; Pawelec, Malgorzata; Pietras, Jolanta; Karmowski, Andrzej; Palczynski, Boguslaw; Karmowski, Mikolaj; Latkowski, Krzysztof J.</t>
  </si>
  <si>
    <t>The Polish Way to Better Midwifery or Commercialization of Maternity Services?</t>
  </si>
  <si>
    <t>ADVANCES IN CLINICAL AND EXPERIMENTAL MEDICINE</t>
  </si>
  <si>
    <t>natural labor; obstetric interventionism; commercialization of maternity service; childbirth education; cesarean birth rate</t>
  </si>
  <si>
    <t>CESAREAN-SECTION RATES; CARE; PROVISION; MIDWIVES; DELIVERY; ENGLAND; IMPACT; BIRTH</t>
  </si>
  <si>
    <t>2000 was a breakthrough year for Polish midwifery. It saw a reform of the national health service and the onset of the social campaign Give Birth Like a Human Being. After 10 years, we can see that the changes have ruined a well-functioning, generally available, free and efficient system of health care for women (day clinics for women and pregnancy pathology clinics). As a result, there has been an increase in the number of cases of cervical cancer and in our hospital, the number of caesarean sections in 2009 was four times the number in 1992. Both the length of waiting lines to be admitted to the hospital and the wait time for an operation have increased. An improvement in the kind of equipment used by hospitals - which would have taken place anyway as a consequence of the economic growth of Polish society and the advances in technology - has in many cases been an excuse for the commercialization of maternity services, which does not always reflect a higher level of service and better attention to the needs of women giving birth. Some examples of commercialization are paid 3D/4D USG, paid childbirth classes, paid family births and paid water births. In an insufficiently legally regulated system of health care, the fear of a lawsuit and criminal prosecution leads to an indifferent, commercialized attitude to a woman giving birth and to the increase in the number of caesarean sections. The business of obstetrics is being born. Although the number of deliveries has decreased dramatically, women giving birth are a source of income for other wards of gynecological hospitals, because the NFZ (Polish National Health Service) often refuses to pay for gynecological operations and preventative and diagnostic examinations, although it cannot refuse payment for the deliveries themselves. The aim of this article is to help physicians and midwives realize that the ways of conducting deliveries and the care of women giving birth should be shaped by long-term education of medical personnel and not by press campaigns, even if the latter are undertaken in good faith. Also, no improvement of maternity care is possible without an improvement in the freedom and legal safety of practicing the medical profession - both by obstetricians and by midwives. The followers of Sheila Kitzinger accept, uncritically, all kinds of press campaigns, like Give Birth Like a Human Being, and all the settings for pregnancy and conducting delivery, as if these could replace proper maternity care, resulting from the application of state-of-the-art medical knowledge. Pregnancy and delivery become an extra in life, rather than a natural event. Women giving birth need support, and that is why we have been struggling for years for a system where one midwife takes care of one woman giving birth, and first of all for fully professional personnel and appropriate equipment. It must be remembered that whatever good there is in maternity care now, it is the result of a long-term effort of the Polish medical profession, and not the outcome of some media campaign. There is no doubt about it that at a time when the advances in technology have moved obstetricians and midwives further away from the patients, all medical personnel present at a birth require special training in interpersonal communication and medical consultancy (Adv Clin Exp Med 2011, 20, 4, 513-520).</t>
  </si>
  <si>
    <t>[Pawelec, Malgorzata; Karmowski, Andrzej; Palczynski, Boguslaw; Karmowski, Mikolaj; Latkowski, Krzysztof J.] Wroclaw Med Univ, Clin Gynecol &amp; Obstet 1, PL-50368 Wroclaw, Poland; [Kopacz, Lidia; Pietras, Jolanta] Med Coll LZDZ Legnica, Fac Nursing, Legnica, Poland</t>
  </si>
  <si>
    <t>Pawelec, M (corresponding author), Wroclaw Med Univ, Clin Gynecol &amp; Obstet 1, Chalubinskiego 3, PL-50368 Wroclaw, Poland.</t>
  </si>
  <si>
    <t>mproust@wp.pl</t>
  </si>
  <si>
    <t>WROCLAW MEDICAL UNIV</t>
  </si>
  <si>
    <t>UL K MARCINKOWSKIEGO 2-6, WROCLAW, 50-368, POLAND</t>
  </si>
  <si>
    <t>1899-5276</t>
  </si>
  <si>
    <t>2451-2680</t>
  </si>
  <si>
    <t>ADV CLIN EXP MED</t>
  </si>
  <si>
    <t>Adv. Clin. Exp. Med.</t>
  </si>
  <si>
    <t>840XG</t>
  </si>
  <si>
    <t>WOS:000296474800015</t>
  </si>
  <si>
    <t>Kostogriz, A</t>
  </si>
  <si>
    <t>Kostogriz, Alex</t>
  </si>
  <si>
    <t>Interrogating the ethics of literacy intervention in Indigenous schools</t>
  </si>
  <si>
    <t>ENGLISH TEACHING-PRACTICE AND CRITIQUE</t>
  </si>
  <si>
    <t>literacy intervention; Indigenous schools; recognition; redistribution; ethics of teaching</t>
  </si>
  <si>
    <t>Recognising that literacy is fundamental to the educational success of Indigenous students, this essay reviews current literacy intervention programs from a social justice perspective. It reveals the tension between policies and initiatives that have addressed the two key rights of Indigenous people - the right to access mainstream knowledge and language through the provision of empowering education and the right to sustain their own languages and cultures through culturally responsive education. In particular, the essay focuses on the National Accelerated Literacy Program (NALP) - a large-scale initiative supported by the former Liberal and the current Labour government in 2004-2008. A spin-off from NALP has been the formation of the Accelerated Literacy Consultants' Network that provides professional development sessions in Accelerated Literacy and literacy education more broadly to teachers from Aboriginal Independent Community Schools across Australia. The essay questions the view of justice in the NALP's theoretical and pedagogical design and its effects on teaching and learning in Aboriginal schools. The paper, then, discusses the primacy of ethics in literacy education in order to make it more hospitable and responsive to cultural-linguistic differences.</t>
  </si>
  <si>
    <t>Deakin Univ, Geelong, Vic 3217, Australia</t>
  </si>
  <si>
    <t>Kostogriz, A (corresponding author), Deakin Univ, Geelong, Vic 3217, Australia.</t>
  </si>
  <si>
    <t>Kostogriz, Alex/AAD-8452-2019</t>
  </si>
  <si>
    <t>Kostogriz, Alex/0000-0002-8129-1967</t>
  </si>
  <si>
    <t>1175-8708</t>
  </si>
  <si>
    <t>ENGL TEACH-PRACT CRI</t>
  </si>
  <si>
    <t>Eng. Tech-Prat. Crit.</t>
  </si>
  <si>
    <t>833GF</t>
  </si>
  <si>
    <t>WOS:000295869800003</t>
  </si>
  <si>
    <t>Hochman, Z; Carberry, PS</t>
  </si>
  <si>
    <t>Hochman, Z.; Carberry, P. S.</t>
  </si>
  <si>
    <t>Emerging consensus on desirable characteristics of tools to support farmers' management of climate risk in Australia</t>
  </si>
  <si>
    <t>DSS; Risk management; Tactical management; Crop management; Variable climate; Triangulation</t>
  </si>
  <si>
    <t>AGRICULTURAL EXTENSION POLICY; DECISION-SUPPORT; HISTORICAL FAILURE; SYSTEMS; MODEL; DESIGN; WHEAT; INTERVENTION; PARADIGMS; EVOLUTION</t>
  </si>
  <si>
    <t>The prospect that decision support systems (DSS) can help farmers adjust their management to suit seasonal conditions by putting scientific knowledge and rational risk management algorithms at farmers' fingertips continues to challenge the science and extension community. A number of reviews of agricultural DSS have called for a re-appraisal of the field and for the need to reflect on past mistakes and to learn from social and management theory. The objective of this paper was to investigate whether there is an emerging consensus, among stakeholders in DSS for Australian agriculture, about the lessons learned from past experience with DSS tools. This investigation was conducted in three parts. The first part was a distillation of suggestions for best practice from the relevant literature. The second part was a reflection on what the champions of five current DSS development and delivery efforts in Australia learned from their recent efforts. The third part tested the level of support for the combined findings from the first and second approaches by surveying 23 stakeholders in the research, development, delivery and funding of DSS. The key propositions relating to best practice that were supported by the survey, listed according to the strength of support, were: 1. It is essential to have a plan for delivery of the DSS beyond the initial funding period. 2. DSS need to be embedded in a support network consisting of farmers, consultants and researchers. 3. DSS development requires the commitment of a critical mass of appropriately skilled people. 4. A DSS should aim to educate farmers' intuition rather than replace it with optimised recommendations. 5. A DSS should enable users to experiment with options that satisfy their needs rather than attempt to present 'optimised' solutions. 6. DSS tools stand on the quality and authority of their underlying science and require ongoing improvement, testing and validation. 7. DSS development should not commence unless it is backed by marketing information and a plan for delivery of the DSS beyond the initial funding period. While the DSS stakeholders supported the proposition that it is essential to have a plan for delivery of a DSS beyond the funding period, the majority resisted the notion of DSS development being market-driven and especially commercial delivery of DSS. We argue that since public funding of the delivery of DSS for farmers' management of climate risk is highly unlikely, reaping the benefits of lessons learned from past efforts will require that DSS stakeholders change their perception of the commercial delivery model or find an alternative way to fund the delivery of DSS beyond the R&amp;D phase. (C) 2011 Elsevier Ltd. All rights reserved.</t>
  </si>
  <si>
    <t>[Hochman, Z.] CSIRO Ecosyst Sci, APSRU, Brisbane, Qld 4001, Australia; [Carberry, P. S.] CSIRO Ecosyst Sci, APSRU, Toowoomba, Qld 4350, Australia</t>
  </si>
  <si>
    <t>Hochman, Z (corresponding author), CSIRO Ecosyst Sci, APSRU, GPO Box 2583, Brisbane, Qld 4001, Australia.</t>
  </si>
  <si>
    <t>Zvi.Hochman@csiro.au</t>
  </si>
  <si>
    <t>Carberry, Peter/B-9768-2008; Hochman, Zvi/E-8993-2010</t>
  </si>
  <si>
    <t>Carberry, Peter/0000-0002-3555-2193; Hochman, Zvi/0000-0002-6217-5231</t>
  </si>
  <si>
    <t>Managing Climate Variability Program; GRDC</t>
  </si>
  <si>
    <t>We wish to express appreciation for the candour and insights expressed by the five DSS champions who participated in the workshop: Dr. Jeff Baldock, Research Team Leader, CSIRO Land and Water for the Mallee Calculator; the late Chris Cole, Manager, Industry Development (Broadacre Cropping), NSW Department of Primary Industries for Crop Mate; Howard Cox, Senior Agronomist, Queensland Primary Industries and Fisheries, Department of Employment, Economic Development and Innovation for WhopperCropper; Kari-Lee Falconer, Farming Systems Development Officer, Department of Agriculture and Food WA for PYCAL and; Bill Long, Ag Consulting Co., Ardrossan SA for Yield Prophet (R). We are also grateful to Maria Nolan, SeeChange Consulting, Norman Park QLD for her skilful workshop facilitation. We thank Professor Kevin Parton, Charles Sturt University, Dr. Rick Llewellyn and Dr. Peter Stone of CSIRO Ecosystem Sciences, and two anonymous reviewers for their constructive comments on draft manuscripts. The financial support provided by the Managing Climate Variability Program and GRDC is greatly appreciated.</t>
  </si>
  <si>
    <t>10.1016/j.agsy.2011.03.001</t>
  </si>
  <si>
    <t>792AB</t>
  </si>
  <si>
    <t>WOS:000292711800001</t>
  </si>
  <si>
    <t>Mathew, RV; Panchanatham, N</t>
  </si>
  <si>
    <t>Mathew, Rincy V.; Panchanatham, N.</t>
  </si>
  <si>
    <t>AN EXPLORATORY STUDY ON THE WORK-LIFE BALANCE OF WOMEN ENTREPRENEURS IN SOUTH INDIA</t>
  </si>
  <si>
    <t>ASIAN ACADEMY OF MANAGEMENT JOURNAL</t>
  </si>
  <si>
    <t>women entrepreneurs; work-life balance; role overload; dependent care; social support network</t>
  </si>
  <si>
    <t>In India, entrepreneurship has traditionally been considered a male prerogative. However, in tandem with a changing socio-cultural environment and an increase in educational opportunities, women have started recognising their inherent talents and business skills. With the help of various governmental and non-governmental agencies, growing numbers of women are joining the ranks of entrepreneurs. However, in the existing familial and societal setup, entrepreneurial women are overburdened and find it increasingly difficult to balance their work and life roles. Therefore, the major objective of the present study was to develop and validate an appropriate tool to illustrate the work-life balance (WLB) issues faced by women entrepreneurs of South India. We also sought to understand the important factors influencing the WLB of these women entrepreneurs. To achieve this end, data were collected by area sampling (clusterrandom) paired with semi-structured interviews and a questionnaire. The generated data were subjected to standard statistical procedures, such as factor analysis, regression analysis, analysis of variance (ANOVA) and student's t-test. The five-point psychometric tool developed consisted of 39 statements related to five factors. Each of the statements possessed adequate reliability and validity. This study revealed that role overload, dependent care issues, quality of health, problems in time management and lack of proper social support are the major factors influencing the WLB of women entrepreneurs in India. Furthermore, even though the vast majority of the entrepreneurs examined in this study suffers from WLB issues, there are significant differences in the level of WLB issues faced by the various categories of women entrepreneurs. The present study provides recommendations for human resource professionals, management consultants, academicians and women entrepreneurs themselves to deal with the major WLB issues faced by Indian women entrepreneurs</t>
  </si>
  <si>
    <t>[Mathew, Rincy V.; Panchanatham, N.] Annamalai Univ, Dept Business Adm, Annamalainagar 608002, Tamil Nadu, India</t>
  </si>
  <si>
    <t>Mathew, RV (corresponding author), Annamalai Univ, Dept Business Adm, Annamalainagar 608002, Tamil Nadu, India.</t>
  </si>
  <si>
    <t>anpaul1020@rediffmail.com</t>
  </si>
  <si>
    <t>1394-2603</t>
  </si>
  <si>
    <t>1985-8280</t>
  </si>
  <si>
    <t>ASIAN ACAD MANAG J</t>
  </si>
  <si>
    <t>Asian Acad. Manag. J.</t>
  </si>
  <si>
    <t>V48KL</t>
  </si>
  <si>
    <t>WOS:000210018200004</t>
  </si>
  <si>
    <t>TRANSNATIONAL LEARNING; POLICY INNOVATION; LOCAL GOVERNMENTS; CHINA; SHANGHAI; SUZHOU; KUNSHAN</t>
  </si>
  <si>
    <t>POLICY TRANSFER; ECONOMIC-DEVELOPMENT; TECHNOLOGY-TRANSFER; PRODUCTION NETWORKS; FOREIGN-INVESTMENT; DEVELOPMENT ZONES; INNOVATION; SHANGHAI; SUZHOU; KUNSHAN</t>
  </si>
  <si>
    <t>[Chien, Shiuh-Shen; Ho, Bing] Natl Taiwan Univ, Taipei 106, Taiwan</t>
  </si>
  <si>
    <t>Chien, SS (corresponding author), Natl Taiwan Univ, 1,Sect 4th,Roosevelt Rd, Taipei 106, Taiwan.</t>
  </si>
  <si>
    <t>schien@ntu.edu.tw</t>
  </si>
  <si>
    <t>772GD</t>
  </si>
  <si>
    <t>Rodriguez, JM; Payne, SC; Bergman, ME; Beus, JM</t>
  </si>
  <si>
    <t>Rodriguez, Jennifer M.; Payne, Stephanie C.; Bergman, Mindy E.; Beus, Jeremy M.</t>
  </si>
  <si>
    <t>The impact of the BP baker report</t>
  </si>
  <si>
    <t>JOURNAL OF SAFETY RESEARCH</t>
  </si>
  <si>
    <t>BP Baker Panel Report; Process safety culture; Safety climate; Contractors; Safety surveys</t>
  </si>
  <si>
    <t>SAFETY CLIMATE</t>
  </si>
  <si>
    <t>Introduction: This study examined the impact of the British Petroleum (BP) Baker Panel Report, reviewing the March 2005 BP-Texas City explosion, on the field of process safety. Method: Three hundred eighty-four subscribers of a process safety listserv responded to a survey two years after the BP Baker Report was published. Results: Results revealed respondents in the field of process safety are familiar with the BP Baker Report, feel it is important to the future safety of chemical processing, and believe that the findings are generalizable to other plants beyond BP-Texas City. Respondents indicated that few organizations have administered the publicly available BP Process Safety Culture Survey. Our results also showed that perceptions of contractors varied depending on whether respondents were part of processing organizations (internal perspective) or government or consulting agencies (external perspective). Conclusions: This research provides some insight into the beliefs of chemical processing personnel regarding the transportability and generalizability of lessons learned from one organization to another. Impact on Industry: This study has implications for both organizational scientists and engineers in that it reveals perceptions about the primary mechanism used to share lessons learned within one industry about one major catastrophe (i.e., investigation reports). This study provides preliminary information about the perceived impact of a report such as this one. (C) 2011 National Safety Council and Elsevier Ltd. All rights reserved.</t>
  </si>
  <si>
    <t>[Rodriguez, Jennifer M.; Payne, Stephanie C.; Bergman, Mindy E.; Beus, Jeremy M.] Texas A&amp;M Univ, Dept Psychol, College Stn, TX 77843 USA</t>
  </si>
  <si>
    <t>Rodriguez, JM (corresponding author), Texas A&amp;M Univ, Dept Psychol, 4235 TAMU, College Stn, TX 77843 USA.</t>
  </si>
  <si>
    <t>jrodriguez@neo.tamu.edu; scp@tamu.edu; mbergman@psych.tamu.edu; jbeus@neo.tamu.edu</t>
  </si>
  <si>
    <t>Beus, Jeremy/0000-0002-3440-7509; Bergman, Mindy/0000-0002-4529-4925</t>
  </si>
  <si>
    <t>0022-4375</t>
  </si>
  <si>
    <t>1879-1247</t>
  </si>
  <si>
    <t>J SAFETY RES</t>
  </si>
  <si>
    <t>J. Saf. Res.</t>
  </si>
  <si>
    <t>10.1016/j.jsr.2011.03.005</t>
  </si>
  <si>
    <t>820VT</t>
  </si>
  <si>
    <t>WOS:000294934900009</t>
  </si>
  <si>
    <t>Xu, ZH; Li, SC; Li, LP; Hou, JG; Sui, B; Shi, SS</t>
  </si>
  <si>
    <t>Xu Zhen-hao; Li Shu-cai; Li Li-ping; Hou Jian-gang; Sui Bin; Shi Shao-shuai</t>
  </si>
  <si>
    <t>Risk assessment of water or mud inrush of karst tunnels based on analytic hierarchy process</t>
  </si>
  <si>
    <t>ROCK AND SOIL MECHANICS</t>
  </si>
  <si>
    <t>Chinese</t>
  </si>
  <si>
    <t>analytic hierarchy process; karst tunnel; risk of water or mud inrush; factors' weight; three-stage assessment</t>
  </si>
  <si>
    <t>In order to control the construction risk of karst tunnels, through statistical and theoretical analyses of relevant engineering projects, controlling factors and factors' weight of water or mud inrush risks of karst tunnels are studied based on analytic hierarchy process; and a three-stage risk assessment and management method is proposed for the evaluation and controlling of construction risk of karst tunnels. Factors' weight analysis results show that unfavorable geology, geological prediction, formation lithology and groundwater level are the main control ingredients of water or mud inrush risk. Macroscopic geological precursory information, monitoring measurement, contact zones of dissolvable and insoluble rock, geographic and geomorphic conditions, tunnel excavation and supporting are the minor significant factors; microcosmic precursory information, attitude of rock formation, layer and interlayer fissures, surrounding rock mass classification are the least important elements. The three-stage risk assessment method includes preliminary, secondary and dynamic assessment of water or mud inrush risk. Preliminary assessment is the evaluation of risk surroundings (karst hydrogeological and engineering geological conditions), and it is carried out for the estimation of risk before the enactment of the construction program. Secondary assessment is the evaluation of risk surroundings and risk factors (construction factors), and it is actualized for the appraisal of construction organization plan pre construction. Dynamic assessment is the evaluation of risk surroundings, risk factors and feedback information of risk management; and it is brought into operation for dynamic risk assessment and management. The three-stage risk evaluation and controlling process can be instantly, effectively, and accurately used for the management of construction risk of karst tunnels, and to realize dynamically amending and governing of risk. The research results are successfully applied to Jigongling Tunnel on the line of Fanba Expressway; and it is of consultant significance for similar engineerings.</t>
  </si>
  <si>
    <t>[Xu Zhen-hao; Li Shu-cai; Li Li-ping; Sui Bin; Shi Shao-shuai] Shandong Univ, Res Ctr Geotech &amp; Struct Engn, Jinan 250061, Shandong, Peoples R China; [Hou Jian-gang] China First Highway Engn Co Ltd, Bridge &amp; Tunnel Co Ltd, Gaobeidian 074000, Hebei, Peoples R China</t>
  </si>
  <si>
    <t>Xu, ZH (corresponding author), Shandong Univ, Res Ctr Geotech &amp; Struct Engn, Jinan 250061, Shandong, Peoples R China.</t>
  </si>
  <si>
    <t>issacxuzhenhao@163.com</t>
  </si>
  <si>
    <t>shi, shaoshuai/0000-0001-8984-9809; Li, Liping/0000-0001-9180-5987</t>
  </si>
  <si>
    <t>1000-7598</t>
  </si>
  <si>
    <t>ROCK SOIL MECH</t>
  </si>
  <si>
    <t>Rock Soil Mech.</t>
  </si>
  <si>
    <t>U331</t>
  </si>
  <si>
    <t>VA9GX</t>
  </si>
  <si>
    <t>WOS:000410710500027</t>
  </si>
  <si>
    <t>risk management; risk analysis; flooding; simulacra; Baudrillard; simulation</t>
  </si>
  <si>
    <t>CLIMATE; VULNERABILITY; PAKISTAN; MODELS; WORLD</t>
  </si>
  <si>
    <t>[Lane, Stuart N.] Univ Durham, Inst Hazard Risk &amp; Resilience, Durham, England; [Lane, Stuart N.] Univ Durham, Dept Geog, Durham, England; [Landstroem, Catharina; Whatmore, Sarah J.] Univ Oxford, Sch Geog &amp; Environm, Oxford, England</t>
  </si>
  <si>
    <t>Lane, SN (corresponding author), Univ Lausanne, Inst Geog, Fac Geosci &amp; Environm, CH-1015 Lausanne, Switzerland.</t>
  </si>
  <si>
    <t>stuart.lane@unil.ch</t>
  </si>
  <si>
    <t>UK research council BBSRC [RES-227-250-018]; UK research council ESRC [RES-227-250-018]; UK research council NERC [RES-227-250-018]; Defra; Economic and Social Research Council [RES-227-25-0018] Funding Source: researchfish; ESRC [RES-227-25-0018] Funding Source: UKRI</t>
  </si>
  <si>
    <t>UK research council BBSRC(UK Research &amp; Innovation (UKRI)Biotechnology and Biological Sciences Research Council (BBSRC)); UK research council ESRC(UK Research &amp; Innovation (UKRI)Economic &amp; Social Research Council (ESRC)); UK research council NERC; Defra(Department for Environment, Food &amp; Rural Affairs (DEFRA)); Economic and Social Research Council(UK Research &amp; Innovation (UKRI)Economic &amp; Social Research Council (ESRC)); ESRC(UK Research &amp; Innovation (UKRI)Economic &amp; Social Research Council (ESRC))</t>
  </si>
  <si>
    <t>This work was funded by grant RES-227-250-018 from the Rural Economy and Land Use programme of three UK research councils (BBSRC, ESRC and NERC) and Defra. We are particularly grateful to the many consultants who gave up their time to be interviewed during the project.</t>
  </si>
  <si>
    <t>PHILOS T R SOC A</t>
  </si>
  <si>
    <t>Philos. Trans. R. Soc. A-Math. Phys. Eng. Sci.</t>
  </si>
  <si>
    <t>744CY</t>
  </si>
  <si>
    <t>SCIENCE; MARKETS; POLICY; CARBON</t>
  </si>
  <si>
    <t>Univ Edinburgh, Sch Social &amp; Polit Sci, Edinburgh EH8 9LD, Midlothian, Scotland</t>
  </si>
  <si>
    <t>Webb, J (corresponding author), Univ Edinburgh, Sch Social &amp; Polit Sci, Chrystal Macmillan Bldg, Edinburgh EH8 9LD, Midlothian, Scotland.</t>
  </si>
  <si>
    <t>Jan.Webb@ed.ac.uk</t>
  </si>
  <si>
    <t>SCI PUBL POLICY</t>
  </si>
  <si>
    <t>Sci. Public Policy</t>
  </si>
  <si>
    <t>Environmental Studies; Management; Public Administration</t>
  </si>
  <si>
    <t>Environmental Sciences &amp; Ecology; Business &amp; Economics; Public Administration</t>
  </si>
  <si>
    <t>784AC</t>
  </si>
  <si>
    <t>post-normal science; science-policy interface; boundary work; frame reflection; policy making; power; problem typology</t>
  </si>
  <si>
    <t>BOUNDARY ORGANIZATIONS; POLICY; UNCERTAINTY; MANAGEMENT; KNOWLEDGE</t>
  </si>
  <si>
    <t>[Wesselink, Anna] Univ Leeds, Sustainabil Res Inst, Sch Earth &amp; Environm, Leeds, W Yorkshire, England; [Hoppe, Rob] Univ Twente, Dept Sci Technol Hlth &amp; Policy Studies, Sch Management &amp; Governance, NL-7500 AE Enschede, Netherlands</t>
  </si>
  <si>
    <t>Wesselink, A (corresponding author), Woodhouse Lane, Leeds LS18 5NN, W Yorkshire, England.</t>
  </si>
  <si>
    <t>a.wesselink@see.leeds.ac.uk</t>
  </si>
  <si>
    <t>745YD</t>
  </si>
  <si>
    <t>Parmelli, E; Flodgren, G; Beyer, F; Baillie, N; Schaafsma, ME; Eccles, MP</t>
  </si>
  <si>
    <t>Parmelli, Elena; Flodgren, Gerd; Beyer, Fiona; Baillie, Nick; Schaafsma, Mary Ellen; Eccles, Martin P.</t>
  </si>
  <si>
    <t>The effectiveness of strategies to change organisational culture to improve healthcare performance: a systematic review</t>
  </si>
  <si>
    <t>QUALITY</t>
  </si>
  <si>
    <t>Background: Organisational culture is an anthropological metaphor used to inform research and consultancy and to explain organisational environments. In recent years, increasing emphasis has been placed on the need to change organisational culture in order to improve healthcare performance. However, the precise function of organisational culture in healthcare policy often remains underspecified and the desirability and feasibility of strategies to be adopted have been called into question. The objective of this review was to determine the effectiveness of strategies to change organisational culture in order to improve healthcare performance. Methods: We searched the following electronic databases: The Cochrane Central Register of Controlled Trials, MEDLINE, EMBASE, CINAHL, Sociological Abstracts, Web of Knowledge, PsycINFO, Business and Management, EThOS, Index to Theses, Intute, HMIC, SIGLE, and Scopus until October 2009. The Database of Abstracts of Reviews of Effectiveness (DARE) was searched for related reviews. We also searched the reference lists of all papers and relevant reviews identified, and we contacted experts in the field for advice on further potential studies. We considered randomised controlled trials (RCTs) or well designed quasi-experimental studies (controlled clinical trials (CCTs), controlled before and after studies (CBAs), and interrupted time series (ITS) analyses). Studies could be set in any type of healthcare organisation in which strategies to change organisational culture in order to improve healthcare performance were applied. Our main outcomes were objective measures of professional performance and patient outcome. Results: The search strategy yielded 4,239 records. After the full text assessment, two CBA studies were included in the review. They both assessed the impact of interventions aimed at changing organisational culture, but one evaluated the impact on work-related and personal outcomes while the other measured clinical outcomes. Both were at high risk of bias. Both reported positive results. Conclusions: Current available evidence does not identify any effective, generalisable strategies to change organisational culture. Healthcare organisations considering implementing interventions aimed at changing culture should seriously consider conducting an evaluation (using a robust design, e. g., ITS) to strengthen the evidence about this topic.</t>
  </si>
  <si>
    <t>[Parmelli, Elena; Flodgren, Gerd; Beyer, Fiona; Eccles, Martin P.] Newcastle Univ, Inst Hlth &amp; Soc, Newcastle Upon Tyne NE2 4AX, Tyne &amp; Wear, England; [Parmelli, Elena] Univ Modena &amp; Reggio Emilia, Dept Oncol Hematol &amp; Resp Dis, I-41100 Modena, Italy; [Baillie, Nick] Nat Inst Hlth &amp; Clin Excellence, Manchester M1 4BD, Lancs, England; [Schaafsma, Mary Ellen] Canadian Cochrane Ctr, Ottawa, ON K1N 6N5, Canada</t>
  </si>
  <si>
    <t>Parmelli, E (corresponding author), Newcastle Univ, Inst Hlth &amp; Soc, Baddiley Clark Bldg,Richardson Rd, Newcastle Upon Tyne NE2 4AX, Tyne &amp; Wear, England.</t>
  </si>
  <si>
    <t>elena.parmelli@unimore.it</t>
  </si>
  <si>
    <t>Parmelli, Elena/J-8622-2016; Eccles, Martin P/AAD-4029-2020; Beyer, Fiona/AAG-7971-2020</t>
  </si>
  <si>
    <t>Parmelli, Elena/0000-0002-3730-8530; Beyer, Fiona/0000-0002-6396-3467</t>
  </si>
  <si>
    <t>University of Modena and Reggio Emilia</t>
  </si>
  <si>
    <t>Elena Parmelli was supported by the University of Modena and Reggio Emilia, Researchers Mobility Grant 2008.</t>
  </si>
  <si>
    <t>10.1186/1748-5908-6-33</t>
  </si>
  <si>
    <t>753QK</t>
  </si>
  <si>
    <t>WOS:000289794500001</t>
  </si>
  <si>
    <t>First Nations; Indigenous people; Environmental assessment; Natural resource industry</t>
  </si>
  <si>
    <t>[Booth, Annie L.; Skelton, Norm W.] Univ No British Columbia, Ecosyst Sci &amp; Management Program, Prince George, BC V2N 4Z9, Canada</t>
  </si>
  <si>
    <t>Booth, AL (corresponding author), Univ No British Columbia, Ecosyst Sci &amp; Management Program, 3333 Univ Way, Prince George, BC V2N 4Z9, Canada.</t>
  </si>
  <si>
    <t>annie@unbc.ca</t>
  </si>
  <si>
    <t>757AO</t>
  </si>
  <si>
    <t>Edge, D</t>
  </si>
  <si>
    <t>Edge, Dawn</t>
  </si>
  <si>
    <t>'It's leaflet, leaflet, leaflet then, see you later: black Caribbean women's perceptions of perinatal mental health care</t>
  </si>
  <si>
    <t>BRITISH JOURNAL OF GENERAL PRACTICE</t>
  </si>
  <si>
    <t>ethnic minority women; ethnicity; perinatal depression; primary care</t>
  </si>
  <si>
    <t>POSTNATAL DEPRESSION; MANAGEMENT; AFRICAN</t>
  </si>
  <si>
    <t>Background Despite high levels of psychosocial risks, black women of Caribbean origin rarely consult health professionals regarding symptoms of perinatal depression. Reasons for this are unclear as there has been little perinatal mental health research among this ethnic group. Aim To examine stakeholder perspectives on what might account for low levels of consultation for perinatal depression among a group of women who are, theoretically, vulnerable. Design of study A qualitative study using focus group interviews. Setting Community settings in the northwest of England. Method A purposive sample of black Caribbean women (n = 42) was split into focus groups and interviewed. This sample was drawn from a larger study. Interviews were digitally recorded and transcribed verbatim. Framework analysis was used to generate themes. Results Perceptions of practitioners' lack of compassion in delivering physical care and women's inability to develop confiding relationships with professionals during pregnancy and childbirth were significant barriers to consulting for depressive symptoms in particular, and health needs more generally. Advocating a 'stepped-care' approach, black Caribbean women suggested that new care pathways are required to address the full spectrum of perinatal mental health need. Apparently eschewing mono-ethnic, 'culturally sensitive' models, women suggested there was much to be gained from receiving care and support in mixed ethnic groups. Conclusion Black Caribbean women's suggestions for more collaborative, community-based models of care are in line with policy, practice, and the views of members of other ethnic groups. Adopting such approaches might provide more sustainable mechanisms for improving access and engagement both among so-called hard-to-reach groups and more generally, thereby potentially improving maternal and child outcomes.</t>
  </si>
  <si>
    <t>Univ Manchester, Manchester M13 9PL, Lancs, England</t>
  </si>
  <si>
    <t>Edge, D (corresponding author), Univ Manchester, 3rd Floor,Jean McFarlane Bldg,Oxford Rd, Manchester M13 9PL, Lancs, England.</t>
  </si>
  <si>
    <t>dawn.edge@manchester.ac.uk</t>
  </si>
  <si>
    <t>University of Manchester</t>
  </si>
  <si>
    <t>The study was funded by the University of Manchester's Stepping Stones (postdoctoral) Award, of which the author is a recipient.</t>
  </si>
  <si>
    <t>ROYAL COLL GENERAL PRACTITIONERS</t>
  </si>
  <si>
    <t>14 PRINCES GATE, HYDE PARK, LONDON SW7 1PU, ENGLAND</t>
  </si>
  <si>
    <t>0960-1643</t>
  </si>
  <si>
    <t>1478-5242</t>
  </si>
  <si>
    <t>BRIT J GEN PRACT</t>
  </si>
  <si>
    <t>Br. J. Gen. Pract.</t>
  </si>
  <si>
    <t>10.3399/bjgp11X567063</t>
  </si>
  <si>
    <t>758WE</t>
  </si>
  <si>
    <t>WOS:000290197100008</t>
  </si>
  <si>
    <t>Hengpraprom, S; Sithisarankul, P</t>
  </si>
  <si>
    <t>Hengpraprom, Sarunya; Sithisarankul, Pornchai</t>
  </si>
  <si>
    <t>Developing Tools for Health Impact Assessment in Environmental Impact Assessment in Thailand</t>
  </si>
  <si>
    <t>ACTA MEDICA OKAYAMA</t>
  </si>
  <si>
    <t>tools; HIA in ETA; Thailand</t>
  </si>
  <si>
    <t>CHALLENGES</t>
  </si>
  <si>
    <t>The purpose of this research was to develop tools applicable to the Health Impact Assessment (HIA) in Environmental Impact Assessment (EIA) in a Thai context. The relevant documents and articles were extensively reviewed, analyzed, and drafted. The first draft was presented to a research advisory committee for their review, and the recommended changes were subsequently made. The second draft was then presented to respondents from 6 groups of key stakeholders-expert review committees under the Office of Natural Resources and Environmental Policy and Planning (ONREPP), EIA registered consulting firms, non-government organizations, members of the ONREPP, local government organizations, and government organizations responsible for issuing permission to the proposed projects. Their commentary and recommendation were considered, and modifications were made as necessary. The third draft was finally reviewed by the research advisory committee before the tryout step. The final revised version is presented in this paper.</t>
  </si>
  <si>
    <t>[Hengpraprom, Sarunya; Sithisarankul, Pornchai] Chulalongkorn Univ, Fac Med, Dept Prevent &amp; Social Med, Bangkok 10330, Thailand</t>
  </si>
  <si>
    <t>Hengpraprom, S (corresponding author), Chulalongkorn Univ, Fac Med, Dept Prevent &amp; Social Med, Bangkok 10330, Thailand.</t>
  </si>
  <si>
    <t>hengprs@gmail.com</t>
  </si>
  <si>
    <t>Thai Health Promotion Foundation [52-00-0524]</t>
  </si>
  <si>
    <t>Thai Health Promotion Foundation</t>
  </si>
  <si>
    <t>This research was supported by the Thai Health Promotion Foundation (Grant 52-00-0524).</t>
  </si>
  <si>
    <t>OKAYAMA UNIV MED SCHOOL</t>
  </si>
  <si>
    <t>OKAYAMA</t>
  </si>
  <si>
    <t>EDITORIAL OFFICE, ACTA MEDICA OKAYAMA OKAYAMA UNIVERSITY MEDICAL SCHOOL 2-5-1 SHIKATA-CHO, KITA-KU, OKAYAMA, 700-8558, JAPAN</t>
  </si>
  <si>
    <t>0386-300X</t>
  </si>
  <si>
    <t>ACTA MED OKAYAMA</t>
  </si>
  <si>
    <t>Acta Med. Okayama</t>
  </si>
  <si>
    <t>753ZD</t>
  </si>
  <si>
    <t>WOS:000289818800008</t>
  </si>
  <si>
    <t>Business; Ethics; Asia; CSR; Research; Training; Teaching</t>
  </si>
  <si>
    <t>Indian Inst Management, Bangalore, Karnataka, India</t>
  </si>
  <si>
    <t>Srinivasan, V (corresponding author), Indian Inst Management, Bangalore, Karnataka, India.</t>
  </si>
  <si>
    <t>vasanthi@iimb.ernet.in</t>
  </si>
  <si>
    <t>V29FM</t>
  </si>
  <si>
    <t>Belyaeva, N</t>
  </si>
  <si>
    <t>Belyaeva, Nina</t>
  </si>
  <si>
    <t>Analysts: Consultants or Independent Policy Actors</t>
  </si>
  <si>
    <t>POLITICKA MISAO-CROATIAN POLITICAL SCIENCE REVIEW</t>
  </si>
  <si>
    <t>policy analysts; policy consultants; policy actors; policy analysis</t>
  </si>
  <si>
    <t>The author points out empirical indicators to distinguish consultants from analysts as independent policy actors. The complexity of decision-making processes in modern states created demand for independent expert support. This demand has been satisfied by new institutes of intellectual political support - think tanks. Support, an estimation of political decisions and alternatives, generating of ideas, education and elite formation became their functions. According to the functional approach, due to the complexity and scale of modern administrative problems, the expert became an integral part of the decision-making process. In differentiated social systems, in order to increase the efficiency of decisions and to maintain the social feedback mechanism, policy-makers involve experts, including think tanks, to work out new and to estimate old political decisions. In these processes think tanks are engaged, conducting researches and consultations for the decision-makers. So in modern states the mechanism of feedback is carried out. In practice, we can see some analysts and experts who pretend to play a dominant role in policy; some who legitimize policy of the government, decisions of a political leader or a current political regime; some who conduct professional research and development of the feedback mechanism within a policy cycle; and some who have real power on minds of the elites and/or citizens. The author aims to figure out the factors that influence the changing political status of the analysts, what makes them independent political actors, and in what conditions they come to serve the elites' interest. And, most importantly, how we can fix or stabilize the analysts' status as independent and powerful political actors even in an unfavorable political climate.</t>
  </si>
  <si>
    <t>[Belyaeva, Nina] Natl Res Univ, Higher Sch Econ, Publ Policy Dept, Moscow, Russia</t>
  </si>
  <si>
    <t>Belyaeva, N (corresponding author), Natl Res Univ, Higher Sch Econ, Moscow, Russia.</t>
  </si>
  <si>
    <t>nina.belyaeva@gmail.com</t>
  </si>
  <si>
    <t>SVEUCILISTE &amp; ZAGREBU, FAK POLITICKIH ZNANOSTI</t>
  </si>
  <si>
    <t>LEPUSICEVA 6, ZAGREB, 10000, CROATIA</t>
  </si>
  <si>
    <t>0032-3241</t>
  </si>
  <si>
    <t>1846-8721</t>
  </si>
  <si>
    <t>POLIT MISAO</t>
  </si>
  <si>
    <t>Polit. Misao</t>
  </si>
  <si>
    <t>VF6DN</t>
  </si>
  <si>
    <t>WOS:000443249300008</t>
  </si>
  <si>
    <t>Agency; Environmental consultancy firms; Environmental authority; Globalization</t>
  </si>
  <si>
    <t>GEOGRAPHY; KNOWLEDGE; BUSINESS; CITIES</t>
  </si>
  <si>
    <t>Katholieke Univ Leuven, Inst Int &amp; European Policy, B-3000 Louvain, Belgium</t>
  </si>
  <si>
    <t>Bouteligier, S (corresponding author), Katholieke Univ Leuven, Inst Int &amp; European Policy, Parkstr 45,Box 3602, B-3000 Louvain, Belgium.</t>
  </si>
  <si>
    <t>sofie.bouteligier@soc.kuleuven.be</t>
  </si>
  <si>
    <t>INT ENVIRON AGREEM-P</t>
  </si>
  <si>
    <t>Int. Environ. Agreem.-Polit. Law Econom.</t>
  </si>
  <si>
    <t>Economics; Environmental Studies; Law; Political Science</t>
  </si>
  <si>
    <t>Business &amp; Economics; Environmental Sciences &amp; Ecology; Government &amp; Law</t>
  </si>
  <si>
    <t>806EK</t>
  </si>
  <si>
    <t>Clancey, G</t>
  </si>
  <si>
    <t>Clancey, Garner</t>
  </si>
  <si>
    <t>Crime Risk Assessments in New South Wales</t>
  </si>
  <si>
    <t>EUROPEAN JOURNAL ON CRIMINAL POLICY AND RESEARCH</t>
  </si>
  <si>
    <t>Consultants; Crime prevention through environmental design; Crime risk assessment; Development applications</t>
  </si>
  <si>
    <t>Crime prevention through environmental design (CPTED) guidelines have been adopted in numerous jurisdictions around the world. In 2001, guidelines were introduced in New South Wales (Australia) to ensure that proposed developments/redevelopments of the built environment reflected key CPTED principles. The guidelines state that in certain circumstances a crime risk assessment is required for the proposed development and the resulting report forms part of the development application, which is reviewed by the relevant consent authority (a council or state government department depending upon the size of the development). To date, these guidelines have not been evaluated, making it impossible to assess their impact and the utility of the associated crime risk assessment reports. Moreover, much of the academic literature on CPTED has historically tended to focus on the implementation of CPTED strategies and not on the processes adopted pre-development. To partially fill this gap in knowledge, a small number (4) of publicly available crime risk assessment reports have been reviewed here and key issues highlighted. In particular, the relevance of some aspects of these reports is questioned, as is the impact of the relationship between the client (i.e. developer) commissioning the report and the findings of the 'independent' consultant. The small sample of risk assessment reports randomly selected for review cannot be considered representative of the larger body of such reports. Nonetheless, the insights generated from this exercise should be of interest to policy makers and practitioners engaged in this work.</t>
  </si>
  <si>
    <t>[Clancey, Garner] Sydney Inst Criminol Crime Prevent Consultant, Newtown, NSW 2042, Australia; [Clancey, Garner] Univ Sydney, Sydney Inst Criminol, Newtown, NSW 2006, Australia</t>
  </si>
  <si>
    <t>Clancey, G (corresponding author), Sydney Inst Criminol Crime Prevent Consultant, POB 952, Newtown, NSW 2042, Australia.</t>
  </si>
  <si>
    <t>Clancey, Garner/0000-0001-7658-1938</t>
  </si>
  <si>
    <t>0928-1371</t>
  </si>
  <si>
    <t>1572-9869</t>
  </si>
  <si>
    <t>EUR J CRIM POLICY RE</t>
  </si>
  <si>
    <t>Eur. J. Crim. Policy Res.</t>
  </si>
  <si>
    <t>10.1007/s10610-010-9134-7</t>
  </si>
  <si>
    <t>766HM</t>
  </si>
  <si>
    <t>WOS:000290771600004</t>
  </si>
  <si>
    <t>[Weiss, Thomas G.] CUNY, Grad Ctr, New York, NY 10021 USA</t>
  </si>
  <si>
    <t>INT STUD REV</t>
  </si>
  <si>
    <t>Int. Stud. Rev.</t>
  </si>
  <si>
    <t>730IH</t>
  </si>
  <si>
    <t>Agency; Earth system governance; Social entrepreneurs; Clean development mechanism; Global environmental consultancies</t>
  </si>
  <si>
    <t>CLIMATE GOVERNANCE</t>
  </si>
  <si>
    <t>[Betsill, Michele] Colorado State Univ, Dept Polit Sci, Ft Collins, CO 80523 USA; [Pattberg, Philipp; Dellas, Eleni] Vrije Univ Amsterdam, Inst Environm Studies, NL-1081 HV Amsterdam, Netherlands</t>
  </si>
  <si>
    <t>Betsill, M (corresponding author), Colorado State Univ, Dept Polit Sci, Ft Collins, CO 80523 USA.</t>
  </si>
  <si>
    <t>m.betsill@colostate.edu; philipp.pattberg@ivm.vu.nl; eleni.dellas@ivm.vu.nl</t>
  </si>
  <si>
    <t>Betsill, Michele/ABD-5548-2020; Pattberg, Philipp H./J-4141-2012</t>
  </si>
  <si>
    <t xml:space="preserve">Betsill, Michele/0000-0001-7090-904X; </t>
  </si>
  <si>
    <t>Agency; Earth system governance; Social entrepreneurs; Clean Development Mechanism; Global environmental consultancies</t>
  </si>
  <si>
    <t>[Dellas, Eleni; Pattberg, Philipp] Vrije Univ Amsterdam, Inst Environm Studies, NL-1081 HV Amsterdam, Netherlands; [Betsill, Michele] Colorado State Univ, Dept Polit Sci, Ft Collins, CO 80523 USA</t>
  </si>
  <si>
    <t>Dellas, E (corresponding author), Vrije Univ Amsterdam, Inst Environm Studies, De Boelelaan 1087, NL-1081 HV Amsterdam, Netherlands.</t>
  </si>
  <si>
    <t>eleni.dellas@ivm.vu.nl; philipp.pattberg@ivm.vu.nl; m.betsill@colostate.edu</t>
  </si>
  <si>
    <t>System of Rice Intensification; Intermittent irrigation; Yields of irrigated rice; Fertilizer reductions; Paddy yield survey method; Field ditch</t>
  </si>
  <si>
    <t>[Sato, Shuichi; Kuroda, Takeshi] Nippon Koei Co Ltd, Tokyo, Japan; [Yamaji, Eiji] Univ Tokyo, Tokyo, Japan</t>
  </si>
  <si>
    <t>Sato, S (corresponding author), Nippon Koei Co Ltd, Tokyo, Japan.</t>
  </si>
  <si>
    <t>sato-sh@n-koei.jp; yamaji@k.u-tokyo.ac.jpl; kuroda-tk@n-koei.jp</t>
  </si>
  <si>
    <t>PADDY WATER ENVIRON</t>
  </si>
  <si>
    <t>Paddy Water Environ.</t>
  </si>
  <si>
    <t>Agricultural Engineering; Agronomy</t>
  </si>
  <si>
    <t>732HR</t>
  </si>
  <si>
    <t>Trentini, A; Mahlene, N</t>
  </si>
  <si>
    <t>Trentini, Anna; Mahlene, Nicolas</t>
  </si>
  <si>
    <t>Toward a Shared Urban Transport System Ensuring Passengers &amp; Goods Cohabitation</t>
  </si>
  <si>
    <t>anna.trentini@ensmp.fr; nicolas.mahlene@eigsi.fr</t>
  </si>
  <si>
    <t>IMPLEMENTING ENVIRONMENTAL MANAGEMENT SYSTEMS IN SMALL- AND MEDIUM-SIZED HOTELS: OBSTACLES</t>
  </si>
  <si>
    <t>JOURNAL OF HOSPITALITY &amp; TOURISM RESEARCH</t>
  </si>
  <si>
    <t>SMEs; SMHs; EMS; hotel; barriers; ISO 14001</t>
  </si>
  <si>
    <t>ISO-14001; CERTIFICATION; MOTIVATIONS; PERFORMANCE; INDICATORS; ADOPTION; TOURISM; IMPACT; EMS</t>
  </si>
  <si>
    <t>Small- and medium-sized enterprises (SMEs) make up the vast majority of businesses in Hong Kong. However, a review of the literature about environmental management and environmental management systems (EMSs) reveals that very few studies have examined EMS implementation in small- and medium-sized hotels (SMHs). This study aimed to identify the barriers to the adoption and implementation of a formal EMS by SMHs in Hong Kong. Exploratory factor analysis indicated that nine factors can hinder the adoption of such a system by SMHs, five of which are unique to these hotels. In descending order, they are (a) lack of a sense of urgency, (b) ambiguity of EMS standards, (c) lack of qualified verifiers/consultants, (d) conflicting guidance, and (e) inconsistent support. The findings offer some explanation for the limited action taken by these hotels to improve their environmental performance. The policy implications for hotel managers who are committed to implementing an EMS are also discussed.</t>
  </si>
  <si>
    <t>Hong Kong Polytech Univ, Sch Hotel &amp; Tourism Management, Kowloon, Hong Kong, Peoples R China</t>
  </si>
  <si>
    <t>Chan, ESW (corresponding author), Hong Kong Polytech Univ, Sch Hotel &amp; Tourism Management, Kowloon, Hong Kong, Peoples R China.</t>
  </si>
  <si>
    <t>1096-3480</t>
  </si>
  <si>
    <t>1557-7554</t>
  </si>
  <si>
    <t>J HOSP TOUR RES</t>
  </si>
  <si>
    <t>J. Hosp. Tour. Res.</t>
  </si>
  <si>
    <t>10.1177/1096348010370857</t>
  </si>
  <si>
    <t>706GF</t>
  </si>
  <si>
    <t>WOS:000286205300001</t>
  </si>
  <si>
    <t>SECURITY</t>
  </si>
  <si>
    <t>[Stuvoy, Kirsti] Lillehammer Univ Coll, Lillehammer, Norway; [Dale, Brigt] Univ Tromso, Inst Soziol Polit Wissensch &amp; Kommunalplanung, N-9001 Tromso, Norway</t>
  </si>
  <si>
    <t>Stuvoy, K (corresponding author), Lillehammer Univ Coll, Lillehammer, Norway.</t>
  </si>
  <si>
    <t>BWV-BERLINER WISSENSCHAFTS-VERLAG GMBH</t>
  </si>
  <si>
    <t xml:space="preserve"> BEHAIMSTR 25-GIERKEZEILE 37, BERLIN, GERMANY</t>
  </si>
  <si>
    <t>Osteuropa</t>
  </si>
  <si>
    <t>V34AP</t>
  </si>
  <si>
    <t>Bootsma, M; Vermeulen, W</t>
  </si>
  <si>
    <t>Bootsma, Margien; Vermeulen, Walter</t>
  </si>
  <si>
    <t>Experiences of environmental professionals in practice</t>
  </si>
  <si>
    <t>The Netherlands; Graduates; Competences; Labour market; Sciences</t>
  </si>
  <si>
    <t>SUSTAINABILITY; EDUCATION</t>
  </si>
  <si>
    <t>Purpose - The purpose of this paper is to explore the labor market position of environmental science graduates and the core competencies of these environmental professionals related to their working practice. Design/methodology/approach - The authors carried out two surveys amongst alumni of the integrated environmental science program of Utrecht University and their employers. The surveys addressed alumni's working experiences and employers' assessment of the core competencies of environmental science graduates. Findings - The surveys indicated that environmental science graduates have a fairly strong position on the labor market. They are employed in a diverse range of functions and working sectors, including consultancy agencies, research institutions, governmental organizations and NGOs. Graduates as well as employers consider a number of generic academic skills (e.g. intellectual qualities, communication skills) as well as discipline specific professional knowledge and practical skills as important competencies for the working practice of environmental scientists. Practical implications - These insights can be used for the improvement of environmental science curricula in order to increase the employability of their graduates. Originality/value - This paper presents data on the labor market position of graduates of integrated environmental science programs and provides insights into the core competencies of these graduates.</t>
  </si>
  <si>
    <t>[Bootsma, Margien; Vermeulen, Walter] Univ Utrecht, Copernicus Inst Sustainable Dev, Utrecht, Netherlands</t>
  </si>
  <si>
    <t>Bootsma, M (corresponding author), Univ Utrecht, Copernicus Inst Sustainable Dev, Utrecht, Netherlands.</t>
  </si>
  <si>
    <t>m.bootsma@geo.uu.nl</t>
  </si>
  <si>
    <t>Vermeulen, Walter/ABA-4899-2021; Vermeulen, Walter/B-4976-2008</t>
  </si>
  <si>
    <t>Vermeulen, Walter/0000-0002-5947-8688; Vermeulen, Walter/0000-0002-5947-8688</t>
  </si>
  <si>
    <t>10.1108/14676371111118219</t>
  </si>
  <si>
    <t>977NY</t>
  </si>
  <si>
    <t>WOS:000306672500005</t>
  </si>
  <si>
    <t>knowledge society; knowledge economy; institutional interaction; internationalization; scientific technological progress; phenomena of knowledge economy creation processes</t>
  </si>
  <si>
    <t>SUSTAINABLE DEVELOPMENT; MODEL; EXPERIENCE</t>
  </si>
  <si>
    <t>Vilnius Gediminas Tech Univ, LT-10223 Vilnius, Lithuania</t>
  </si>
  <si>
    <t>Melnikas, B (corresponding author), Vilnius Gediminas Tech Univ, Sauletekio Av 11, LT-10223 Vilnius, Lithuania.</t>
  </si>
  <si>
    <t>Melnikas@vgtu.lt</t>
  </si>
  <si>
    <t>896MF</t>
  </si>
  <si>
    <t>agricultural extension; agricultural consultancy; vocational training; post-graduate agricultural studies</t>
  </si>
  <si>
    <t>[Stefanescu, Sorin Liviu; Steriu, Simona] Project Management Unit MAKIS CESAR MADR, Bucharest 011691, Romania; [Dumitrascu, Monica] Natl Res &amp; Dev Inst Soil Sci Agrochem &amp; Environm, Bucharest 011464, Romania</t>
  </si>
  <si>
    <t>Stefanescu, SL (corresponding author), Project Management Unit MAKIS CESAR MADR, George Calinescu St 13,Dist 1, Bucharest 011691, Romania.</t>
  </si>
  <si>
    <t>sstefanescu@makis.ro</t>
  </si>
  <si>
    <t>NATL AGRICULTURAL RESEARCH &amp; DEVELOPMENT INST</t>
  </si>
  <si>
    <t>FUNDULEA</t>
  </si>
  <si>
    <t>CALARASI COUNTY, FUNDULEA, 915200, ROMANIA</t>
  </si>
  <si>
    <t>ROM AGRIC RES</t>
  </si>
  <si>
    <t>Rom. Agric. Res.</t>
  </si>
  <si>
    <t>856UM</t>
  </si>
  <si>
    <t>carbon finance; climate change; critical discourse analysis; financial institutions; United Nations; World Bank</t>
  </si>
  <si>
    <t>Univ London, Sch Oriental &amp; African Studies, London WC1H 0XG, England</t>
  </si>
  <si>
    <t>Haigh, M (corresponding author), Univ London, Sch Oriental &amp; African Studies, Thornhaugh St, London WC1H 0XG, England.</t>
  </si>
  <si>
    <t>haighmatthew@yahoo.com.au</t>
  </si>
  <si>
    <t>Haigh, Matthew M./0000-0002-9253-7408</t>
  </si>
  <si>
    <t>CLIM POLICY</t>
  </si>
  <si>
    <t>Clim. Policy</t>
  </si>
  <si>
    <t>851RP</t>
  </si>
  <si>
    <t>down zoning; land use controls; open space; sprawl</t>
  </si>
  <si>
    <t>GROWTH CONTROLS; URBAN FORM; INDICATORS; POLITICS; CITY</t>
  </si>
  <si>
    <t>[Rudel, Thomas K.; O'Neill, Karen; McDermott, Melanie] Rutgers State Univ, Dept Human Ecol, New Brunswick, NJ 08901 USA; [Gottlieb, Paul] Rutgers State Univ, Dept Agr Food &amp; Resource Econ, New Brunswick, NJ 08901 USA; [Hatfield, Colleen] Calif State Univ Chico, Chico, CA 95929 USA</t>
  </si>
  <si>
    <t>Rudel, TK (corresponding author), Rutgers State Univ, Dept Human Ecol, 55 Dudley Rd, New Brunswick, NJ 08901 USA.</t>
  </si>
  <si>
    <t>rudel@aesop.rutgers.edu; koneill@aesop.rutgers.edu; gottlieb@aesop.rutgers.edu; mmcdermott@aesop.rutgers.edu; chatfield@csuchico.edu</t>
  </si>
  <si>
    <t>O'Neill, Karen/AAN-6592-2021</t>
  </si>
  <si>
    <t>ANN ASSOC AM GEOGR</t>
  </si>
  <si>
    <t>Ann. Assoc. Am. Geogr.</t>
  </si>
  <si>
    <t>756SE</t>
  </si>
  <si>
    <t>governance; groundwater; participatory approaches; simulation; Tunisia</t>
  </si>
  <si>
    <t>DECISION-SUPPORT; SYSTEM</t>
  </si>
  <si>
    <t>[Le Bars, Marjorie; Poussin, Jean-Christophe] IRD, UMR G Eau, F-34196 Montpellier 05, France; [Le Grusse, Philippe] CIHEAM IAM, UMR G Eau, F-34093 Montpellier 05, France; [Albouchi, Laassad] Ecole Super Agr Mograne, Zaghouan, Tunisia</t>
  </si>
  <si>
    <t>Le Bars, M (corresponding author), IRD, UMR G Eau, 361 Rue Jean Francois Breton,BP 5095, F-34196 Montpellier 05, France.</t>
  </si>
  <si>
    <t>Marjorie.Le-Bars@ird.fr; legrusse@iamm.fr; albouchi@hotmail.com; Jean-Christophe.Poussin@ird.fr</t>
  </si>
  <si>
    <t>CAH AGRIC</t>
  </si>
  <si>
    <t>Cah. Agric.</t>
  </si>
  <si>
    <t>Agriculture, Multidisciplinary; Agronomy</t>
  </si>
  <si>
    <t>759HC</t>
  </si>
  <si>
    <t>van Hooland, S; Vandooren, F; Rodriguez, EMM</t>
  </si>
  <si>
    <t>van Hooland, Seth; Vandooren, Francoise; Mendez Rodriguez, Eva M.</t>
  </si>
  <si>
    <t>Opportunities and risks for libraries in applying for European funding</t>
  </si>
  <si>
    <t>ELECTRONIC LIBRARY</t>
  </si>
  <si>
    <t>Library management; Government policy; Information technology; Project finance; Europe</t>
  </si>
  <si>
    <t>Purpose - This paper seeks to analyse the opportunities and potential risks for libraries applying for European support to fund projects regarding digitisation or availability of their already digitised content. The European Commission has a range of specific funding programs devoted to access, use and preservation of digital cultural heritage, so libraries and other cultural institutions holding European heritage are the natural applicants for this kind of calls. Sometimes, however, they do not know how to apply and fully understand the advantages and commitments involved. This paper aims to help libraries to understand European funding programs. Design/methodology/approach - The paper has complementary experience with respect to applications and participation in EU-funded projects, as well as the evaluation of proposals and the reviewing of approved projects. Apart from the lessons drawn from the personal experiences of the paper, the content is based on the most recent documentation and information about the Call For Proposals (CFP) made available by the European Commission. Findings - Competition among proposals for European funding in the context of Digital Libraries (DLs) has grown considerably over the last few years. Therefore, it is essential for potential applicants to ensure the quality of their proposal by matching its content to the objectives of the Call and meeting the relevant evaluation criteria. In addition, the scope of the proposal needs to be embedded within the long-term research and management strategy of the institutions applying to ensure both a successful application procedure and maximum sustainability of the project. Originality/value - Apart from the documentation offered by the European Commission and several public reports of consultancy firms, no previous papers have been published which provide an insight into the workflow of the submission and evaluation of proposals for European funding in the domain of Digital Libraries.</t>
  </si>
  <si>
    <t>[van Hooland, Seth; Mendez Rodriguez, Eva M.] Univ Carlos III Madrid, Lib &amp; Informat Sci Dept, Madrid, Spain; [Vandooren, Francoise] Univ Libre Bruxelles, Lib Head Off, Brussels, Belgium</t>
  </si>
  <si>
    <t>van Hooland, S (corresponding author), Univ Carlos III Madrid, Lib &amp; Informat Sci Dept, Madrid, Spain.</t>
  </si>
  <si>
    <t>svhoolan@ulb.ac.be</t>
  </si>
  <si>
    <t>Méndez, Eva/A-6398-2010; Lopez-Gijon, Javier/F-7686-2012</t>
  </si>
  <si>
    <t>Méndez, Eva/0000-0002-5337-4722; Vandooren, Francoise/0000-0001-6933-6619</t>
  </si>
  <si>
    <t>EMERALD GROUP PUBLISHING LIMITED</t>
  </si>
  <si>
    <t>0264-0473</t>
  </si>
  <si>
    <t>ELECTRON LIBR</t>
  </si>
  <si>
    <t>Electron. Libr.</t>
  </si>
  <si>
    <t>10.1108/02640471111111451</t>
  </si>
  <si>
    <t>735HO</t>
  </si>
  <si>
    <t>WOS:000288405000006</t>
  </si>
  <si>
    <t>Food industry; Food safety; Bulgaria</t>
  </si>
  <si>
    <t>CRITICAL CONTROL POINT; UNITED-KINGDOM; HACCP; BUSINESSES; BARRIERS; INDUSTRY; QUALITY</t>
  </si>
  <si>
    <t>St Kliment Ohridski Sofia Univ, Fac Econ &amp; Business Adm, Sofia, Bulgaria</t>
  </si>
  <si>
    <t>Vladimirov, Z (corresponding author), St Kliment Ohridski Sofia Univ, Fac Econ &amp; Business Adm, Sofia, Bulgaria.</t>
  </si>
  <si>
    <t>jeve@feb.uni-sofia.bg</t>
  </si>
  <si>
    <t>SCOPES program</t>
  </si>
  <si>
    <t>SCOPES program(Swiss National Science Foundation (SNSF))</t>
  </si>
  <si>
    <t>The research was a part of the JRP Conforming to EU standards and market requirements in the SMEs of Bulgaria: economic and social effects in the food industry, supported by SCOPES program 2005-2008.</t>
  </si>
  <si>
    <t>BRIT FOOD J</t>
  </si>
  <si>
    <t>Br. Food J.</t>
  </si>
  <si>
    <t>Agricultural Economics &amp; Policy; Food Science &amp; Technology</t>
  </si>
  <si>
    <t>Agriculture; Food Science &amp; Technology</t>
  </si>
  <si>
    <t>738BS</t>
  </si>
  <si>
    <t>Smallwood, J; Ncunyana, N; Emuze, F</t>
  </si>
  <si>
    <t>Smallwood, John; Ncunyana, Nceba; Emuze, Fidelis</t>
  </si>
  <si>
    <t>Preferential procurement in the public sector: The case of Amathole</t>
  </si>
  <si>
    <t>ACTA STRUCTILIA</t>
  </si>
  <si>
    <t>Construction; consultants; procurement; public sector; South Africa</t>
  </si>
  <si>
    <t>The end of the apartheid era in South Africa ushered in a new institutional environment through changes to legislative frameworks in government departments. A key aspect of the transformation is the economic empowerment of the mainly historically disadvantaged groups in the country through procurement. The thrust of the issue is the assessment of the extent of compliance with Act No. 5 of 2000: Preferential Procurement Policy Framework Act (PPPFA), 2000 at government departments, with particular focus on the Amathole region of the Eastern Cape Province. The assessment was undertaken in a qualitative and quantitative research study conducted among key construction industry stakeholders such as public-sector clients, architects, engineers, and quantity surveyors based within the Amathole region. Selected findings include that there is a perceived low level of awareness of preferential procurement in the public sector as the majority of the institutions investigated have not completely implemented procurement responsibilities as a dedicated function within their organisations. Another significant finding arising from the study is that there are conflicting perceptions among consultants regarding procurement strategies for different types of project.</t>
  </si>
  <si>
    <t>[Smallwood, John; Ncunyana, Nceba; Emuze, Fidelis] Nelson Mandela Metropolitan Univ, Dept Construct Management, POB 77000, ZA-6031 Port Elizabeth, South Africa</t>
  </si>
  <si>
    <t>Smallwood, J (corresponding author), Nelson Mandela Metropolitan Univ, Dept Construct Management, POB 77000, ZA-6031 Port Elizabeth, South Africa.</t>
  </si>
  <si>
    <t>John.Smallwood@nmmu.ac.za; Nceba.Ncunyana@nmmu.ac.za; Fidelis.Emuze@nmmu.ac.za</t>
  </si>
  <si>
    <t>Emuze, Fidelis/AAF-9649-2019</t>
  </si>
  <si>
    <t>Emuze, Fidelis/0000-0001-7714-4457</t>
  </si>
  <si>
    <t>UNIV FREE STATE, DEPT QUANTITY SURVEYING &amp; CONSTRUCTION MANAGEMENT</t>
  </si>
  <si>
    <t>PO BOX 339, BLOEMFONTEIN, 9300, SOUTH AFRICA</t>
  </si>
  <si>
    <t>1023-0564</t>
  </si>
  <si>
    <t>2415-0487</t>
  </si>
  <si>
    <t>Acta Structilia</t>
  </si>
  <si>
    <t>V12CQ</t>
  </si>
  <si>
    <t>WOS:000214324300004</t>
  </si>
  <si>
    <t>rural residence; epidemiology; women's quality of life</t>
  </si>
  <si>
    <t>HEALTH; URBAN</t>
  </si>
  <si>
    <t>[Kolarzyk, Emilia] Jagiellonian Univ, Dept Hyg &amp; Dietet, Coll Med, PL-31034 Krakow, Poland; [Zagozdzon, Pawel] Med Univ, Dept Hyg &amp; Epidemiol, Gdansk, Poland; [Marcinkowski, Jerzy T.] Med Univ, Dept Hyg, Poznan, Poland</t>
  </si>
  <si>
    <t>Kolarzyk, E (corresponding author), Jagiellonian Univ, Dept Hyg &amp; Dietet, Coll Med, 7 Kopernika St, PL-31034 Krakow, Poland.</t>
  </si>
  <si>
    <t>mykolarz@cyf-kr.edu.pl</t>
  </si>
  <si>
    <t>INST AGRICULTURAL MEDICINE</t>
  </si>
  <si>
    <t>LUBLIN</t>
  </si>
  <si>
    <t>JACZEWSKIEGO 2, PO BOX 185, 20-950 LUBLIN, POLAND</t>
  </si>
  <si>
    <t>ANN AGR ENV MED</t>
  </si>
  <si>
    <t>Ann. Agr. Env. Med.</t>
  </si>
  <si>
    <t>872SH</t>
  </si>
  <si>
    <t>Bullen, P; Love, P</t>
  </si>
  <si>
    <t>Bullen, Peter; Love, Peter</t>
  </si>
  <si>
    <t>A new future for the past: a model for adaptive reuse decision-making</t>
  </si>
  <si>
    <t>Asset management; Sustainable buildings; Sustainable development; Decision making</t>
  </si>
  <si>
    <t>SUSTAINABILITY; REGENERATION; BUILDINGS; POLICY; STOCK</t>
  </si>
  <si>
    <t>Purpose - Adaptive reuse is an effective strategy for optimizing the operational and commercial performance of built assets. While the benefits of adaptive re-use have been widely espoused, it would appear that owners and practitioners lack a point of reference to justify and evaluate their decision-making with regard to reusing existing assets. This paper therefore aims to develop a model to assist practitioners with their decision-making when considering to re-use or demolish an existing built asset. Design/methodology/approach - To gain an understanding of the issues that owners and practitioners are confronted with when considering adaptive re-use, demolition and issues pertaining to sustainability, an interpretative research approach was adopted. A total of 81 in-depth interviews were conducted over a six-month period with a variety of stakeholders such as architects, developers, planners, building managers/owners and property consultants. Content analysis was used as the primary analysis technique on the collected data. Findings - The analysis of the interviews revealed three key criteria are used to examine adaptive reuse decision making: capital investment; asset condition; and regulation. While financial criteria such as development and construction costs were the primary determinants influencing the decision reuse or demolish, the physical condition of the asset juxtaposed with regulations were also considered. Additionally, issues associated with the environmental, economic and social tenets of sustainability were identified as being important but had been given less priority when considering reuse. As current building stock is rapidly becoming obsolete, increasing emphasis is beginning to be placed on them during the adaptive reuse decision-making process to ensure sustainable outcomes. Practical implications - The developed model identifies the critical areas that owners, developers and key project stakeholders need to consider when deciding to either reuse or demolish an existing building. It also can be used to evaluate the economic, physical and social implications of undertaking a heritage project. Project and asset managers need to be aware of the impact that different variables have on a reuse project's construction and operational performance as well as long term commercial performance. Originality/value - The proposed adaptive reuse decision-making model is grounded in practice and therefore encompasses the real-life dilemmas and issues facing practitioners. The model captures the complexity associated with the adaptive reuse process and provides an important reference point for developing future ex-ante evaluation models for its investment justification.</t>
  </si>
  <si>
    <t>[Bullen, Peter; Love, Peter] Curtin Univ, Dept Construct Management, Perth, WA, Australia</t>
  </si>
  <si>
    <t>Love, P (corresponding author), Curtin Univ, Dept Construct Management, Perth, WA, Australia.</t>
  </si>
  <si>
    <t>plove@iinet.net.au</t>
  </si>
  <si>
    <t>Love, Peter/D-7418-2017</t>
  </si>
  <si>
    <t>Love, Peter/0000-0002-3239-1304</t>
  </si>
  <si>
    <t>10.1108/20441241111143768</t>
  </si>
  <si>
    <t>V25KY</t>
  </si>
  <si>
    <t>WOS:000215224700004</t>
  </si>
  <si>
    <t>Parmelli, E; Flodgren, G; Schaafsma, ME; Baillie, N; Beyer, FR; Eccles, MP</t>
  </si>
  <si>
    <t>Parmelli, Elena; Flodgren, Gerd; Schaafsma, Mary Ellen; Baillie, Nick; Beyer, Fiona R.; Eccles, Martin P.</t>
  </si>
  <si>
    <t>The effectiveness of strategies to change organisational culture to improve healthcare performance</t>
  </si>
  <si>
    <t>COCHRANE DATABASE OF SYSTEMATIC REVIEWS</t>
  </si>
  <si>
    <t>QUALITY; PROGRAM; IMPLEMENTATION; INFECTIONS; OUTCOMES; SERVICE; CLIMATE</t>
  </si>
  <si>
    <t>Background Organisational culture is an anthropological metaphor used to inform research and consultancy and to explain organisational environments. Great emphasis has been placed during the last years on the need to change organisational culture in order to pursue effective improvement of healthcare performance. However, the precise nature of organisational culture in healthcare policy often remains underspecified and the desirability and feasibility of strategies to be adopted has been called into question. Objectives To determine the effectiveness of strategies to change organisational culture in order to improve healthcare performance. To examine the effectiveness of these strategies according to different patterns of organisational culture. Search strategy We searched the following electronic databases for primary studies: The Cochrane Central Register of Controlled Trials, MEDLINE, EMBASE, CINAHL, Sociological Abstracts, Web of Knowledge, PsycINFO, Business and Management, EThOS, Index to Theses, Intute, HMIC, SIGLE, and Scopus until October 2009. The Database of Abstracts of Reviews of Effectiveness (DARE) was searched for related reviews. We also searched the reference lists of all papers and relevant reviews identified, and we contacted experts in the field for advice on further potential studies. Selection criteria We considered randomised controlled trials (RCTs) or well designed quasi-experimental studies, controlled clinical trials (CCTs), controlled before and after studies (CBAs) and interrupted time series analyses (ITS) meeting the quality criteria used by the Cochrane Effective Practice and Organisation of Care Group (EPOC). Studies should be set in any type of healthcare organisation in which strategies to change organisational culture in order to improve healthcare performance were applied. Our main outcomes were objective measures of professional performance and patient outcome. Data collection and analysis At least two review authors independently applied the criteria for inclusion and exclusion criteria to scan titles and abstracts and then to screen the full reports of selected citations. At each stage results were compared and discrepancies solved through discussion. Main results The search strategy yielded 4239 records. After the full text assessment, no studies met the quality criteria used by the EPOC Group and evaluated the effectiveness of strategies to change organisational culture to improve healthcare performance. Authors' conclusions It is not possible to draw any conclusions about the effectiveness of strategies to change organisational culture because we found no studies that fulfilled the methodological criteria for this review. Research efforts should focus on strengthening the evidence about the effectiveness of methods to change organisational culture to improve health care performance.</t>
  </si>
  <si>
    <t>[Parmelli, Elena] Univ Modena &amp; Reggio Emilia, Dept Oncol Hematol &amp; Resp Dis, I-41100 Modena, Italy; [Flodgren, Gerd] Univ Oxford, Dept Publ Hlth, Headington, England; [Schaafsma, Mary Ellen] Univ Ottawa, Inst Populat Hlth, Ottawa, ON, Canada; [Baillie, Nick] Natl Inst Hlth &amp; Clin Excellence, Manchester, Lancs, England; [Beyer, Fiona R.] Univ York, Ctr Reviews &amp; Disseminat, York YO10 5DD, N Yorkshire, England; [Eccles, Martin P.] Newcastle Univ, Inst Hlth &amp; Soc, Newcastle Upon Tyne NE1 7RU, Tyne &amp; Wear, England</t>
  </si>
  <si>
    <t>Parmelli, E (corresponding author), Univ Modena &amp; Reggio Emilia, Dept Oncol Hematol &amp; Resp Dis, Via Pozzo 71, I-41100 Modena, Italy.</t>
  </si>
  <si>
    <t>Eccles, Martin P/AAD-4029-2020; Parmelli, Elena/J-8622-2016; Beyer, Fiona/AAG-7971-2020</t>
  </si>
  <si>
    <t>National Institute for Health Research [10/4001/03] Funding Source: researchfish; Department of Health [10/4001/03] Funding Source: Medline</t>
  </si>
  <si>
    <t>National Institute for Health Research(National Institute for Health Research (NIHR)); Department of Health(European Commission)</t>
  </si>
  <si>
    <t>1469-493X</t>
  </si>
  <si>
    <t>1361-6137</t>
  </si>
  <si>
    <t>COCHRANE DB SYST REV</t>
  </si>
  <si>
    <t>Cochrane Database Syst Rev.</t>
  </si>
  <si>
    <t>CD008315</t>
  </si>
  <si>
    <t>10.1002/14651858.CD008315.pub2</t>
  </si>
  <si>
    <t>708VU</t>
  </si>
  <si>
    <t>WOS:000286393200030</t>
  </si>
  <si>
    <t>Subhan, M; Ghani, ABA</t>
  </si>
  <si>
    <t>Subhan, Muhammad; Ghani, Ahmad Bashawir Abdul</t>
  </si>
  <si>
    <t>The Formulating Growth Strategy of Aceh Port System in Indonesia: An AHP Approach</t>
  </si>
  <si>
    <t>GADJAH MADA INTERNATIONAL JOURNAL OF BUSINESS</t>
  </si>
  <si>
    <t>Aceh; AHP technique; growth; Indonesia; infrastructure development; port system; strategy analysis</t>
  </si>
  <si>
    <t>ALLIANCES</t>
  </si>
  <si>
    <t>The main objective of this study is to investigate the growth strategy of Aceh's ports in order to develop a better position of those ports in the dynamic and competitive environment along the Malacca straits. Using the analytic hierarchy process (AHP) approach, this study examines priority perspectives on strategy formulation from 25 individuals representing relevant parties in the Aceh port industry such as government officials, port authorities and managements, experts, academicians and consultants, and port user associations. Six potential strategies related to resources, competencies, market share, opportunity share, cooperation, and competitiveness were examined. The findings show that the resource-based strategy and the competence-based strategy are ranked as first and second important strategy respectively while the opportunity share strategy ranked as the least important strategy. This study provides new insights into the implications of using various strategy formulations for port growth in developing countries and provides a significant practical contribution to the port authorities.</t>
  </si>
  <si>
    <t>[Subhan, Muhammad] Univ Utara Malaysia, Inst Aceh Strateg Dev, Changlun, Malaysia; [Subhan, Muhammad] Univ Utara Malaysia, Dept Int Business, Changlun, Malaysia; [Ghani, Ahmad Bashawir Abdul] Univ Utara Malaysia, Dept Int Affairs, Changlun, Malaysia</t>
  </si>
  <si>
    <t>Subhan, M (corresponding author), Univ Utara Malaysia, Inst Aceh Strateg Dev, Changlun, Malaysia.</t>
  </si>
  <si>
    <t>msubhan@uum.edu.my</t>
  </si>
  <si>
    <t>Subhan, Muhammad/L-6126-2019; Ghani, Ahmad Bashawir Abdul/AAO-2812-2021</t>
  </si>
  <si>
    <t>Subhan, Muhammad/0000-0002-6405-2913; Abdul Ghani, Ahmad Bashawir/0000-0002-0263-052X</t>
  </si>
  <si>
    <t>GADJAH MADA UNIV, MASTER MANAGEMENT PROGRAM, FAC ECONOMICS &amp; BUSINESS</t>
  </si>
  <si>
    <t>YOGYAKARTA</t>
  </si>
  <si>
    <t>JALAN PANCASILA,, YOGYAKARTA, 55281, INDONESIA</t>
  </si>
  <si>
    <t>1411-1128</t>
  </si>
  <si>
    <t>2338-7238</t>
  </si>
  <si>
    <t>GADJAH MADA INT J BU</t>
  </si>
  <si>
    <t>Gadjah Mada Int. J. Bus.</t>
  </si>
  <si>
    <t>10.22146/gamaijb.5494</t>
  </si>
  <si>
    <t>VD4GY</t>
  </si>
  <si>
    <t>WOS:000436729200003</t>
  </si>
  <si>
    <t>Climate change; Governance; Information networks; Municipalities; Norway</t>
  </si>
  <si>
    <t>CHANGE ADAPTATION; CHANGE MITIGATION; GOVERNANCE; CITIES; POLICY</t>
  </si>
  <si>
    <t>Norwegian Inst Urban &amp; Reg Res NIBR, Oslo, Norway</t>
  </si>
  <si>
    <t>Orderud, GI (corresponding author), Norwegian Inst Urban &amp; Reg Res NIBR, Oslo, Norway.</t>
  </si>
  <si>
    <t>geir.orderud@nibr.no</t>
  </si>
  <si>
    <t>872SA</t>
  </si>
  <si>
    <t>A comparative analysis of Turkish and European Union environmental legislation regarding cleaner (sustainable) production concept</t>
  </si>
  <si>
    <t>INTERNATIONAL JOURNAL OF ENVIRONMENT AND SUSTAINABLE DEVELOPMENT</t>
  </si>
  <si>
    <t>Turkey; European Union; EU; cleaner; sustainable; production</t>
  </si>
  <si>
    <t>The term cleaner (sustainable) production has been cited in many policy and strategy documents of the top level agency/institutions on science, technology, development, etc., in Turkey for over a decade. However, it is not sufficiently known and applied except its energy efficiency aspect in Turkey. So as to overcome this deficiency, the Ministry of Environment and Forestry supported the project 'Determination of the Framework Conditions and Research-Development Needs for the Dissemination of Cleaner (Sustainable) Production Applications in Turkey' which was carried out in 2009 by TTGV and Goksel N. Demirer, as the consultant. This paper summarises this analysis which was one of the outcomes of this project.</t>
  </si>
  <si>
    <t>[Ulutas, Ferda; Alkaya, Emrah; Bogurcu, Merve] Technol Dev Fdn Turkey, TR-06800 Ankara, Turkey; [Demirer, Goksel N.] Middle East Tech Univ, Dept Environm Engn, TR-06531 Ankara, Turkey</t>
  </si>
  <si>
    <t>Demirer, GN (corresponding author), Middle East Tech Univ, Dept Environm Engn, TR-06531 Ankara, Turkey.</t>
  </si>
  <si>
    <t>fulutas@ttgv.org.tr; ealkaya@ttgv.org.tr; mbogurcu@ttgv.org.tr; goksel@metu.edu.tr</t>
  </si>
  <si>
    <t>1474-6778</t>
  </si>
  <si>
    <t>1478-7466</t>
  </si>
  <si>
    <t>INT J ENVIRON SUSTAI</t>
  </si>
  <si>
    <t>Int. J. Environ. Sustain. Dev.</t>
  </si>
  <si>
    <t>10.1504/IJESD.2011.045366</t>
  </si>
  <si>
    <t>VD2WZ</t>
  </si>
  <si>
    <t>WOS:000436574900002</t>
  </si>
  <si>
    <t>Krot, K; Lewicka, D</t>
  </si>
  <si>
    <t>Krot, Katarzyna; Lewicka, Dagmara</t>
  </si>
  <si>
    <t>Human side of innovation-individual and organisational environment-related aspects: the case of IBM</t>
  </si>
  <si>
    <t>innovation; learning; personnel procedures; personality; HRM; IBM; Poland</t>
  </si>
  <si>
    <t>This article presents practices applied in the IBM lab in Krakow. The purpose of this research was to identify tools for supporting innovation in the entity. Both hard measurements and employees' opinions on the company and management activities towards stimulating innovation were analysed. In this process, managers and the personnel department play a very important role. A conscious and well-planned concept of building the company's culture and strengthening its value, motivation system, competence model and training policy, and an informed choice of innovation as an element of the company's strategy are made. The article is addressed to managers, HR experts and management consultants. It shows areas material for creating a pro-innovative work environment and describes specific solutions applied by IBM. For this reason, it may inspire readers towards introduction of innovation-supporting changes in other entities, while identifying a group of issues to be considered in that process.</t>
  </si>
  <si>
    <t>[Krot, Katarzyna] Bialystok Tech Univ, Wiejska 45 A, PL-15351 Bialystok, Poland; [Lewicka, Dagmara] AGH Univ Sci &amp; Technol, PL-31059 Krakow, Poland</t>
  </si>
  <si>
    <t>Krot, K (corresponding author), Bialystok Tech Univ, Wiejska 45 A, PL-15351 Bialystok, Poland.</t>
  </si>
  <si>
    <t>katarzynakrot@pb.edu.pl; dagal@poczta.fm</t>
  </si>
  <si>
    <t>Krot, Katarzyna/M-1062-2019; Lewicka, Dagmara/U-8457-2019; Krot, Katarzyna/AAA-6844-2021</t>
  </si>
  <si>
    <t>Krot, Katarzyna/0000-0002-7404-1724</t>
  </si>
  <si>
    <t>10.1504/IJIL.2011.040535</t>
  </si>
  <si>
    <t>VD4ZP</t>
  </si>
  <si>
    <t>WOS:000436814000002</t>
  </si>
  <si>
    <t>Svane, O; Wangel, J; Engberg, LA; Palm, J</t>
  </si>
  <si>
    <t>Svane, Orjan; Wangel, Josefin; Engberg, Lars A.; Palm, Jenny</t>
  </si>
  <si>
    <t>Compromise and learning when negotiating sustainabilities: the brownfield development of Hammarby Sjostad, Stockholm</t>
  </si>
  <si>
    <t>negotiating sustainabilities; situation of opportunity; network governance; meta-governor; Hammarby Sjostad; Stockholm</t>
  </si>
  <si>
    <t>GOVERNANCE</t>
  </si>
  <si>
    <t>This article examines the environmental management of Stockholm's large brownfield development Hammarby Sjostad through the concept of negotiating sustainabilities. An Environmental Programme injected exceptional aims into an ongoing, ordinary planning process involving developers, consultants, contractors and other stakeholders. In parallel, a project team was established and given the task of realising aims through governing, networking, negotiation and persuasion. Discourse theory is used to analyse the epistemological disagreement between actors on how to operationalise the aims. Theories on governance networks and meta-governance facilitate the understanding of the project team's role in negotiations. The analysis is divided into two parts: 'Playing the game' focuses on the aim contents and how these were negotiated between actors, while '... but the game was staged' highlights how negotiations were conditioned from the outside. The results indicate that negotiations on, for example, development contracts were circumscribed by a prehistory of institutional and interactive positioning, thus leaving only a small imprint on the actual outcome. Negotiations during events unburdened by path dependency affected outcomes more. Staging of the project team's activities was initially strong, but gradually waned. Learning within the team was rapid and gradually resulted in a higher level of aim fulfilment. After 10 years, learning is clearly discernible in other Stockholm developments too, such as the Royal Seaport. International interest, as manifested through study visits to the area, remains high. The main general lessons learned include the need for introducing exceptional aims and project organisations early in the project, and the potentially positive effects of active networking to increase actor collaboration and thus the project's field of options.</t>
  </si>
  <si>
    <t>[Svane, Orjan; Wangel, Josefin] KTH Royal Inst Technol, Dept Urban Planning &amp; Environm, Stockholm, Sweden; [Engberg, Lars A.] Danish Bldg Res Inst, Horsholm, Denmark; [Palm, Jenny] Linkoping Univ, Technol &amp; Social Change, Linkoping, Sweden</t>
  </si>
  <si>
    <t>Svane, O (corresponding author), KTH Royal Inst Technol, Dept Urban Planning &amp; Environm, Stockholm, Sweden.</t>
  </si>
  <si>
    <t>orjan.svane@abe.kth.se</t>
  </si>
  <si>
    <t>/0000-0001-5191-9250</t>
  </si>
  <si>
    <t>10.1080/19463138.2011.620959</t>
  </si>
  <si>
    <t>VD2VK</t>
  </si>
  <si>
    <t>WOS:000436560100002</t>
  </si>
  <si>
    <t>Subramaniam, N; Collier, P; Phang, M; Burke, G</t>
  </si>
  <si>
    <t>Subramaniam, Nava; Collier, Paul; Phang, Michelle; Burke, Gary</t>
  </si>
  <si>
    <t>The effects of perceived business uncertainty, external consultants and risk management on organisational outcomes</t>
  </si>
  <si>
    <t>Perception; Uncertainty management; Consultants; Risk management</t>
  </si>
  <si>
    <t>CONTROL-SYSTEMS; ENVIRONMENTAL UNCERTAINTY; ACCOUNTING SYSTEMS; STRATEGY; FRAMEWORK; IMPACT</t>
  </si>
  <si>
    <t>Purpose - The purpose of this paper is to investigate the relations between perceived business uncertainty (PBU), use of external risk management (RM) consultants, formalisation of RM, magnitude of RM methods and perceived organisational outcomes. Design/methodology/approach - This paper is based on a questionnaire survey of members of the Chartered Institute of Management Accountants in the UK. Using AMOS 17.0, the paper tests the strength of the direct and indirect effects among the variables and explores the fit of the overall path model. Findings - The results indicate significant and positive associations exist between the extent of PBU and the level of RM formalisation, as well as between the level of RM formalisation and the magnitude of RM methods adopted. The use of external RM consultants is also found to have a significant and positive impact on the magnitude of RM methods adopted. Finally, both the extent of RM formalisation and the magnitude of RM methods adopted are seen to be significantly associated with overall improvement in organisational outcomes. Research limitations/implications - The study uses perceptual measures of the level of business uncertainty, usage of RM and organisational outcomes. Further, the respondents are members of a management accounting professional body and the views of other managers, such as risk managers, who are also important to the governance process are not incorporated. Originality/value - This study provides empirical evidence on the impact of RM design and usage on improvements in organisational outcomes. It contributes to the RM literature where empirical research is needed in order to be comparable with the traditional management control system literature.</t>
  </si>
  <si>
    <t>[Subramaniam, Nava] Deakin Univ, Ctr Sustainable &amp; Responsible Org, Burwood, Vic, Australia; [Subramaniam, Nava] Deakin Univ, Sch Accounting Econ &amp; Finance, Burwood, Vic, Australia; [Collier, Paul] Monash Univ, Fac Business &amp; Econ, Melbourne, Vic, Australia; [Collier, Paul] Monash Univ, Dept Accounting &amp; Finance, Melbourne, Vic, Australia; [Phang, Michelle] Deakin Univ, Sch Accounting Econ &amp; Finance, Burwood, Vic, Australia; [Burke, Gary] Aston Univ, Birmingham, W Midlands, England</t>
  </si>
  <si>
    <t>Subramaniam, N (corresponding author), Deakin Univ, Ctr Sustainable &amp; Responsible Org, Burwood, Vic, Australia.</t>
  </si>
  <si>
    <t>navas@deakin.edu.au</t>
  </si>
  <si>
    <t>Subramaniam, Nava/H-7300-2019; Phang, Michelle/AFO-5377-2022</t>
  </si>
  <si>
    <t>Subramaniam, Nava/0000-0002-3960-0754; Phang, Michelle/0000-0002-5141-0857; Burke, Gary/0000-0002-1625-8095</t>
  </si>
  <si>
    <t>Chartered Institute of Management Accountants, UK</t>
  </si>
  <si>
    <t>The research described in this paper was carried out with funding provided by the Chartered Institute of Management Accountants, UK. The authors gratefully acknowledge helpful comments made on an earlier version of this paper by two anonymous reviewers and participants at the 2011 AFAANZ Conference, Christchurch, New Zealand.</t>
  </si>
  <si>
    <t>10.1108/18325911111139671</t>
  </si>
  <si>
    <t>V72SU</t>
  </si>
  <si>
    <t>WOS:000211662300002</t>
  </si>
  <si>
    <t>Zuashkiani, A; Rahmandad, H; Jardine, AKS</t>
  </si>
  <si>
    <t>Zuashkiani, Ali; Rahmandad, Hazhir; Jardine, Andrew</t>
  </si>
  <si>
    <t>Mapping the dynamics of overall equipment effectiveness to enhance asset management practices</t>
  </si>
  <si>
    <t>Maintenance; Production equipment; Cost effectiveness; Asset management; Performance management</t>
  </si>
  <si>
    <t>Purpose - The importance of physical assets has been increasingly recognized in recent decades. The significant returns on small improvements in overall equipment effectiveness (OEE) justify investment in the management of physical assets, but the wide variation of OEE across firms raises a question: Why do these differences persist despite a high return on investments to maximize OEE?. To address this question the dynamic processes that control the evolution of OEE through time need to be better understood. This paper aims to answer this question. Design/methodology/approach - Building on insights from system dynamics and strategy literature, the paper maps the reinforcing feedback loops governing the maintenance function and its interactions with various elements in a firm. Building on strategy literature it hypothesizes that these loops can explain wide variations in observed persistent variations in OEE among otherwise similar firms. The paper draws on previous literature, extensive case studies and consulting projects to provide such mapping using the qualitative mapping tools from system dynamics. Findings - The research outlines several reinforcing loops; once active, any of them could lead a firm towards a problematic mode of operation where reactive maintenance, poor morale, and a culture of fire-fighting dominate. Actions taken to fix problems in the short-run often activate vicious cycles, erode the capability of the organization over the long run, and lead to a lower OEE. Social implications - Knowing the factors affecting the asset management function of a plant increases the plant's safety and limits its environmental hazards. Originality/value - Some of the common dynamics of organizations' asset management practices are illustrated and modeled. The strategic importance of OEE and its effect on companies' market capitalization is demonstrated.</t>
  </si>
  <si>
    <t>[Zuashkiani, Ali; Jardine, Andrew] Univ Toronto, Toronto, ON, Canada; [Rahmandad, Hazhir] Virginia Polytech Inst &amp; State Univ, Falls Church, VA USA</t>
  </si>
  <si>
    <t>Zuashkiani, A (corresponding author), Univ Toronto, Toronto, ON, Canada.</t>
  </si>
  <si>
    <t>ali.zuashkiani@utoronto.ca</t>
  </si>
  <si>
    <t>Rahmandad, Hazhir/B-4474-2013</t>
  </si>
  <si>
    <t>Rahmandad, Hazhir/0000-0002-2784-9042</t>
  </si>
  <si>
    <t>Natural Sciences and Engineering Research Council (NSERC) of Canada; Ontario Centre of Excellence (OCE); Center for Material and Manufacturing of Ontario; Consortium members of Center for Maintenance Optimization and Reliability Engineering at the University of Toronto</t>
  </si>
  <si>
    <t>Natural Sciences and Engineering Research Council (NSERC) of Canada(Natural Sciences and Engineering Research Council of Canada (NSERC)); Ontario Centre of Excellence (OCE); Center for Material and Manufacturing of Ontario; Consortium members of Center for Maintenance Optimization and Reliability Engineering at the University of Toronto</t>
  </si>
  <si>
    <t>The authors acknowledge the Natural Sciences and Engineering Research Council (NSERC) of Canada, the Ontario Centre of Excellence (OCE), Center for Material and Manufacturing of Ontario, and the Consortium members of Center for Maintenance Optimization and Reliability Engineering at the University of Toronto for their financial support.</t>
  </si>
  <si>
    <t>10.1108/13552511111116268</t>
  </si>
  <si>
    <t>V69ZA</t>
  </si>
  <si>
    <t>WOS:000211475700006</t>
  </si>
  <si>
    <t>Koo, H; Chau, KY; Koo, LC; Liu, SB; Tsui, SC</t>
  </si>
  <si>
    <t>Koo, Hannah; Chau, Ka-Yin; Koo, Leung-Chi; Liu, Songbai; Tsui, Shu-Chuen</t>
  </si>
  <si>
    <t>A structured SWOT approach to develop strategies for the government of Macau, SAR</t>
  </si>
  <si>
    <t>JOURNAL OF STRATEGY AND MANAGEMENT</t>
  </si>
  <si>
    <t>Government; SWOT analysis; Macau</t>
  </si>
  <si>
    <t>Purpose - This paper attempts to deploy a systematic and structural approach to examine Macau's strengths and weaknesses and to scan its external opportunities and threats. A fresh way to quantify the extent of perceived opportunities and threats is introduced here. This is adopted and modified from the quality management tool box, i.e. the failure mode and effects analysis (FMEA) and success mode and effects analysis (SMEA). Design/methodology/approach - The internal factors, i.e. its strengths and weaknesses are systematically and structurally gauged using a Likert scale of 0 to 10 (i.e. 0 representing least important or least well performed... to 10 representing most important and best performed). Findings - Following the matching of internal factors with the external factors in the strengths, weaknesses, opportunities, and threats (SWOT) analysis, a list of meaningful responses is identified as possible strategies for the Macau SAR Government. The SWOT analysis is simple to use yet powerful and flexible in responding to changes in the external environment and should be useful to organizations both in the commercial sector and government machinery. Originality/value - This innovative and structured strategic formulation approach is useful to both business practitioners and management consultants.</t>
  </si>
  <si>
    <t>[Koo, Hannah; Koo, Leung-Chi] Macau Qual Management Assoc, Macau, Peoples R China; [Koo, Hannah; Chau, Ka-Yin] Hong Kong Qual Management Assoc, Kowloon, Hong Kong, Peoples R China; [Liu, Songbai] Beijing Normal Univ, Sch Econ &amp; Business Adm, Beijing, Peoples R China; [Tsui, Shu-Chuen] United Int Coll, Kowloon, Hong Kong, Peoples R China</t>
  </si>
  <si>
    <t>Koo, H (corresponding author), Macau Qual Management Assoc, Macau, Peoples R China.</t>
  </si>
  <si>
    <t>hkoo@macau.ctm.net</t>
  </si>
  <si>
    <t>Chau, Ka Yin/K-4602-2019</t>
  </si>
  <si>
    <t>Chau, Ka Yin/0000-0002-0381-8401</t>
  </si>
  <si>
    <t>1755-425X</t>
  </si>
  <si>
    <t>J STRATEGY MANAG</t>
  </si>
  <si>
    <t>J. Strategy Manag.</t>
  </si>
  <si>
    <t>10.1108/17554251111110122</t>
  </si>
  <si>
    <t>V15LV</t>
  </si>
  <si>
    <t>WOS:000214551000004</t>
  </si>
  <si>
    <t>Wasdell, D</t>
  </si>
  <si>
    <t>Wasdell, David</t>
  </si>
  <si>
    <t>The dynamics of climate change: a case study in organisational learning</t>
  </si>
  <si>
    <t>Social dynamics; Learning organizations; Global warming</t>
  </si>
  <si>
    <t>Purpose - Based in the discipline of applied consultancy-research, this paper seeks to present a synthesis-review of the social dynamics underlying the stalled negotiations of the United Nations Framework Convention on Climate Change. Its aim is to enhance understanding of the processes involved, to offer a working agenda to the organizational learning community, and to act as a dynamic and interpretive intervention in the negotiation process. Design/methodology/approach - The methodological approach draws on a wide range of tools from the consultancy-research domain including force-field analysis of complex social behaviour, informal interviews, direct participation, existential reflection and process analysis, delineation of power dynamics, literature survey and psychoanalytic exploration of the irrational and unconscious factors involved. Findings - Several findings emerged from the consultancy research. The force-field analysis revealed the intensity of polarisation experienced at every point of the negotiation. Economic vested interests and political dynamics blocked all possibility of effective decision making and drove irrational attacks on the validity of climate science as a way of manipulating public opinion. The influence of unconscious factors was paramount, rooted in the re-stimulation of collective pre-traumatic-stress disorder, and mediated via a set of social defences against anxiety. Research limitations/implications - Significant limitations in the methodology concern the level of subjectivity involved. The development of working hypotheses was exposed to constant review to check for researcher-specific projection and selectivity of significant data. Practical implications - The practical implications of the paper for the development and application of organizational learning are spelled out in the final section. Particular attention is drawn to the need to take account of irrational and unconscious phenomena driving social psychodynamics. Originality/value - The paper represents profoundly original work, emanating from the author's wide-ranging involvement in the content and process of the international climate-change negotiations.</t>
  </si>
  <si>
    <t>[Wasdell, David] Unit Res Changing Inst URCHIN, London, England</t>
  </si>
  <si>
    <t>Wasdell, D (corresponding author), Unit Res Changing Inst URCHIN, London, England.</t>
  </si>
  <si>
    <t>info@meridian.org.uk</t>
  </si>
  <si>
    <t>10.1108/09696471111095966</t>
  </si>
  <si>
    <t>V71MD</t>
  </si>
  <si>
    <t>WOS:000211577400002</t>
  </si>
  <si>
    <t>Brady-West, D</t>
  </si>
  <si>
    <t>Brady-West, Doreen</t>
  </si>
  <si>
    <t>Culture, Tradition, and Faith in Global Women's Health A Caribbean Perspective</t>
  </si>
  <si>
    <t>LINACRE QUARTERLY</t>
  </si>
  <si>
    <t>YOUNG-WOMEN; ABORTION; RISK</t>
  </si>
  <si>
    <t>The legalization of elective induced abortion which swept through many developed Western nations continues as a social and political issue in the Caribbean. Since 2005, Jamaica has been the focus of an attempt to legalize abortion, and the strategies employed bear broad similarities to those which have operated in other jurisdictions, including somewhat clandestine attempts to establish a rights-based approach to women's reproductive health. This intervention by non-Jamaican organizations includes two invalid assumptions: 1) A falsely inflated rate of abortions, which are illegal in Jamaica and therefore labeled unsafe; and 2) the role of abortion in Jamaica as a major cause of maternal mortality. Investigation by the Statistical Institute and National Family Planning Board invalidates both assumptions. The origin of the rights based approach of full access, initiated and sustained by international NGOs, was mediated via an abortion consultant closely linked to the Johannesburg Initiative, a blueprint for implementation of unrestricted abortion, and the APRAG recommendations aimed at providing de facto unrestricted abortion throughout pregnancy. This interference in national sovereignty on the part of international NGOs occurs despite surveys illustrating that the vast majority of Jamaicans (64%) specifically reject the notion of a right to abortion based on evidence rooted in biology, natural law and justice, women's health, sociology, and economics. The Jamaican legal protection of the unborn as an ethical and cultural norm necessitates its contextualization in a triad which equally emphasizes the stability of the family and support for women.</t>
  </si>
  <si>
    <t>[Brady-West, Doreen] Def Life Jamaica, Kingston, Jamaica</t>
  </si>
  <si>
    <t>Brady-West, D (corresponding author), Def Life Jamaica, Kingston, Jamaica.</t>
  </si>
  <si>
    <t>0024-3639</t>
  </si>
  <si>
    <t>2050-8549</t>
  </si>
  <si>
    <t>LINACRE Q</t>
  </si>
  <si>
    <t>Linacre Q.</t>
  </si>
  <si>
    <t>10.1179/002436311803888339</t>
  </si>
  <si>
    <t>Medical Ethics</t>
  </si>
  <si>
    <t>V2S9U</t>
  </si>
  <si>
    <t>WOS:000217882900007</t>
  </si>
  <si>
    <t>Corbett, A</t>
  </si>
  <si>
    <t>Corbett, Alan</t>
  </si>
  <si>
    <t>Silk purses and sows' ears: the social and clinical exclusion of people with intellectual disabilities</t>
  </si>
  <si>
    <t>PSYCHODYNAMIC PRACTICE</t>
  </si>
  <si>
    <t>intellectual disability; psychosocial perspectives; social inclusion</t>
  </si>
  <si>
    <t>LEARNING-DISABILITIES; HATE CRIME; INTERVENTIONS; PSYCHOTHERAPY; HEALTH</t>
  </si>
  <si>
    <t>This paper examines society's unconscious refusal to welcome people with intellectual disabilities from the margins of society, with particular focus on a specific manifestation of this enactment of social exclusion by the psychotherapy profession. I form connections between a societal disavowal of the human rights of people with intellectual disabilities and the psychotherapy world's paranoid fears of inviting the socially and cognitively excluded into its consulting rooms. Through an examination of the notion of social exclusion and cognitive deficit being mutually sustaining phenomena, I explore the detaching of people with intellectual disabilities from social relations and institutions, using as my main example the relative failure of contemporary psychotherapy in its various forms to include this patient group in its range of possible beneficiaries. Using various aspects of intersubjective, object relational and organisational perspectives, I consider the improbability of people with mild, moderate and severe intellectual disabilities reaching the apex of our globalised western society, and the various social ruptures that conspire to deny those with cognitive deficits a place at the social, economic, political and psychological table. I compare some literary representations of intellectual disability with more contemporary televisual portrayals, and consider the possibility of social inclusion through a rejection of a social model of disability that creates an artificial boundary between the 'disabled' and the 'non-disabled'.</t>
  </si>
  <si>
    <t>[Corbett, Alan] ICAP, Inst Psychotherapy &amp; Disabil, 96 Moray Rd, London N4 3LA, England</t>
  </si>
  <si>
    <t>Corbett, A (corresponding author), ICAP, Inst Psychotherapy &amp; Disabil, 96 Moray Rd, London N4 3LA, England.</t>
  </si>
  <si>
    <t>alancorbett@gmail.com</t>
  </si>
  <si>
    <t>1475-3634</t>
  </si>
  <si>
    <t>1475-3626</t>
  </si>
  <si>
    <t>PSYCHODYN PRACT</t>
  </si>
  <si>
    <t>Psychodyn. Pract.</t>
  </si>
  <si>
    <t>10.1080/14753634.2011.587606</t>
  </si>
  <si>
    <t>Psychology, Clinical; Psychology, Psychoanalysis</t>
  </si>
  <si>
    <t>V80UA</t>
  </si>
  <si>
    <t>WOS:000212206300004</t>
  </si>
  <si>
    <t>Analytic hierarchy process; Benefit opportunity cost and risk; Negative priorities; North Korea; Renewable energy aid</t>
  </si>
  <si>
    <t>MULTICRITERIA DECISION-MAKING</t>
  </si>
  <si>
    <t>[Yi, Sul-Ki] Seoul Natl Univ, Korea Elect Engn &amp; Sci Res Inst, Seoul 151742, South Korea; [Sin, Hwa-Young; Heo, Eunnyeong] Seoul Natl Univ, Dept Energy Syst Engn, Seoul 157742, South Korea</t>
  </si>
  <si>
    <t>Yi, SK (corresponding author), Seoul Natl Univ, Korea Elect Engn &amp; Sci Res Inst, Bldg 130,599 Gwanangno, Seoul 151742, South Korea.</t>
  </si>
  <si>
    <t>skyi@snu.ac.kr; lovesin7@snu.ac.kr; heoe@snu.ac.kr</t>
  </si>
  <si>
    <t>Korea government Ministry of Knowledge Economy [2009T100100600]</t>
  </si>
  <si>
    <t>Korea government Ministry of Knowledge Economy(Korean GovernmentMinistry of Knowledge Economy (MKE), Republic of Korea)</t>
  </si>
  <si>
    <t>This research was supported by the Seoul National University Institute for Peace and Unification Studies and the New and Renewable Energy Program of the Korea Institute of Energy Technology Evaluation and Planning (KETEP) grant funded by the Korea government Ministry of Knowledge Economy (No. 2009T100100600).</t>
  </si>
  <si>
    <t>688PI</t>
  </si>
  <si>
    <t>Monchuk, L</t>
  </si>
  <si>
    <t>Monchuk, Leanne</t>
  </si>
  <si>
    <t>The way forward in designing out crime? Greater Manchester police design for security consultancy</t>
  </si>
  <si>
    <t>SAFER COMMUNITIES</t>
  </si>
  <si>
    <t>Architectural Liaison Officers; built environment; Crime Prevention Design Advisors; Crime Prevention through Environmental Design; Local Planning Authorities (LPAs); Policing; Criminology</t>
  </si>
  <si>
    <t>Purpose - Crime Prevention through Environmental Design (CPTED) aims to make the built environment less vulnerable to crime and disorder through its design. CPTED is applied in practice by Architectural Liaison Officers/Crime Prevention Design Advisors employed within each police force in England and Wales. Their aimis to advise built environment professionals (architects and planners) howopportunities for crime and disorder can be minimised through the design of a development without compromising on the design quality. The purpose of this paper is to provide an overview of relevant literature and an example of one force's promising, but as yet unevaluated, approach to embedding CPTED early in the planning process. Design/methodology/approach - The paper takes a case study approach and outlines how Greater Manchester PoliceDesign for SecurityConsultancy (GMPDFSC) liaisewith built environment professionals in an attempt to design out opportunities for crime and disorder to occur at the pre-planning stage of a development. Findings - The findings suggest that the process and delivery of CPTED by GMP DFSC is unique when compared to the delivery of CPTED across other areas of England and Wales. Using the Crime Impact Statement (CIS), GMP DFSC are consulted on a range of proposed planning applications prior to the application being submitted to the local planning authority, opposed to later in the planning and development process, where the opportunities to design out crime'' become limited. The staff employed by GMP DFSC have previously worked within the built environment and are not warranted or retired police officers. GMP DFSC also charge a fee for the service which they provide. Originality/value - This paper should be of interest to built environment professionals seeking to incorporate and embed the principles of CPTED into the design and pre-planning stages of proposed developments.</t>
  </si>
  <si>
    <t>[Monchuk, Leanne] Univ Huddersfield, Appl Criminol Ctr, Huddersfield, W Yorkshire, England</t>
  </si>
  <si>
    <t>Monchuk, L (corresponding author), Univ Huddersfield, Appl Criminol Ctr, Huddersfield, W Yorkshire, England.</t>
  </si>
  <si>
    <t>leanne.monchuk@hud.ac.uk</t>
  </si>
  <si>
    <t>Monchuk, Leanne/0000-0002-2345-9979</t>
  </si>
  <si>
    <t>1757-8043</t>
  </si>
  <si>
    <t>2042-8774</t>
  </si>
  <si>
    <t>Safer Communities</t>
  </si>
  <si>
    <t>10.1108/17578041111171069</t>
  </si>
  <si>
    <t>V2R6Q</t>
  </si>
  <si>
    <t>WOS:000217848700005</t>
  </si>
  <si>
    <t>Mohsam, F; van Brakel, PA</t>
  </si>
  <si>
    <t>Mohsam, Faeda; van Brakel, Pieter A.</t>
  </si>
  <si>
    <t>Information and knowledge sharing trends of small and medium-sized enterprises in the Western Cape, South Africa</t>
  </si>
  <si>
    <t>SOUTH AFRICAN JOURNAL OF INFORMATION MANAGEMENT</t>
  </si>
  <si>
    <t>Background: Small and medium-sized enterprises (SMEs), especially in the Western Cape Province of South Africa, are currently facing various financial and other obstacles, which may threaten their survival. Globalisation, the lowering of trade barriers and the reduction of import tariffs have resulted in increased international competition. Businesses are thus forced to undertake continuous improvements and innovation in order to survive, to keep abreast of change and to excel. Objectives: Effective knowledge sharing and consequent knowledge management (KM) have been identified as definite approaches to enhancing competitive advantage. The research therefore aimed to establish to what extent small enterprises embrace their knowledge sharing activities and whether their knowledge sharing activities are managed at all. Furthermore, it examined how their knowledge sharing can contribute to their competitive advantage. Method: A case study approach was followed for this research. Selected SMEs from the engineering sector were the subject of the case study and SME owners, directors and managers of consulting civil engineering firms were interviewed to determine whether there are mechanisms in place to ensure better knowledge sharing within SMEs. Results: In general, respondents had stated that they possessed special factors that set them above their competitors: center dot The company strategy and good reputation of completing projects within the required timeframe. In other words, they were well known for their track record in terms of service delivery. center dot Their specialty in terms of different focus areas, namely structural and civil engineering, water supply and storm water design, transportation, sewer design and storm water traffic. center dot The fact that they operated in silos. This means that the specialists in their specific fields operated independently in groups, separately from everyone else in the company. center dot Their good relationship with local authorities and other companies in the field. center dot Their multidisciplinary approach in incorporating all spheres of civil engineering, which gave them a niche in the market. center dot The vast knowledge and experience of the owners and directors. Conclusion: Each of the companies interviewed had unique skills that they can apply to their advantage. They were also found to be implementing KM processes such as sharing, creating and leveraging of information and knowledge, albeit in the absence of formal policies. It was therefore deduced that SME successes depend on how well they share their tacit and explicit knowledge; this will determine whether they would excel above their competitors.</t>
  </si>
  <si>
    <t>[Mohsam, Faeda] Cape Peninsula Univ Technol, Fac Business, Cape Town, South Africa; [van Brakel, Pieter A.] Cape Peninsula Univ Technol, Fac Informat &amp; Design, Cape Town, South Africa</t>
  </si>
  <si>
    <t>van Brakel, PA (corresponding author), POB 652, ZA-8000 Cape Town, South Africa.</t>
  </si>
  <si>
    <t>vanbrakelp@gmail.com</t>
  </si>
  <si>
    <t>2078-1865</t>
  </si>
  <si>
    <t>1560-683X</t>
  </si>
  <si>
    <t>S AFR J INFORM MANAG</t>
  </si>
  <si>
    <t>S. Afr. J. Inform. Manag.</t>
  </si>
  <si>
    <t>10.4102/sajim.v13i1.462</t>
  </si>
  <si>
    <t>V1U2G</t>
  </si>
  <si>
    <t>WOS:000217239300015</t>
  </si>
  <si>
    <t>departmental research; model of departmental research; forestry; public forest institutes; research activities; production lines; usable science; public institutes</t>
  </si>
  <si>
    <t>[Stevanov, Mirjana; Orlovic, Sasa] Inst Nizinsko Sumarstvo &amp; Okolis, Novi Sad 21000, Serbia; [Boecher, Michael; Krott, Max] Sveucilista Gottingenu, Fak Sumarsku Znanost &amp; Ekol Suma, Katedra Sumarsku Politiku &amp; Politiku Zastite Prir, Gottingen, Germany; [Vuletic, Dijana] Hrvatski Sumarski Inst, Jastrebarsko 10450, Croatia; [Krajter, Silvija] Hrvatski Sumarski Inst, Zagreb 10000, Croatia</t>
  </si>
  <si>
    <t>Stevanov, M (corresponding author), Inst Nizinsko Sumarstvo &amp; Okolis, Antona Cehova 13, Novi Sad 21000, Serbia.</t>
  </si>
  <si>
    <t>mzavodj@gwdg.de; mboeche@gwdg.de; mkrott@gwdg.de; sasao@uns.ac.rs; dijanav@sumins.hr; silvijak@sumins.hr</t>
  </si>
  <si>
    <t>CROATIAN FORESTRY SOC</t>
  </si>
  <si>
    <t>TRG MAZURANICA 11, ZAGREB, 00000, CROATIA</t>
  </si>
  <si>
    <t>SUMAR LIST</t>
  </si>
  <si>
    <t>Sumar. List</t>
  </si>
  <si>
    <t>852SR</t>
  </si>
  <si>
    <t>Active involvement; Cost-effectiveness; Denmark; Diffuse nutrient pollution; Public participation; Water Framework Directive</t>
  </si>
  <si>
    <t>[Wright, Stuart A. L.; Jacobsen, Brian H.] Univ Copenhagen, Fac Life Sci, Dept Environm &amp; Reg Dev, Inst Food &amp; Resource Econ, DK-1958 Frederiksberg C, Denmark</t>
  </si>
  <si>
    <t>Wright, SAL (corresponding author), Univ Copenhagen, Fac Life Sci, Dept Environm &amp; Reg Dev, Inst Food &amp; Resource Econ, Rolighedsvej 25, DK-1958 Frederiksberg C, Denmark.</t>
  </si>
  <si>
    <t>stuartwri@gmail.com</t>
  </si>
  <si>
    <t>741QK</t>
  </si>
  <si>
    <t>Straton, AT; Jackson, S; Marinoni, O; Proctor, W; Woodward, E</t>
  </si>
  <si>
    <t>Straton, Anna T.; Jackson, Sue; Marinoni, Oswald; Proctor, Wendy; Woodward, Emma</t>
  </si>
  <si>
    <t>Exploring and Evaluating Scenarios for a River Catchment in Northern Australia Using Scenario Development, Multi-criteria Analysis and a Deliberative Process as a Tool for Water Planning</t>
  </si>
  <si>
    <t>Northern Australia; Water planning; Deliberative multi-criteria evaluation; Scenario development; Citizens' jury; Multi-criteria analysis</t>
  </si>
  <si>
    <t>MULTIPLE CRITERIA ANALYSIS; PARTICIPATION; ALLOCATION; GOVERNANCE; RESOLUTION; SUPPORT</t>
  </si>
  <si>
    <t>Water catchments worldwide are experiencing increasing pressure on the quantity and quality of ground and surface water resources. Water managers are increasingly consulting community and stakeholder groups to ensure their decisions reflect the values and preferences of water users. Growing tensions between different water users require the use of techniques that can enable stakeholders to learn about each others' positions and deliberate about the costs and benefits of alternative water allocation scenarios. This paper describes the use of scenario development, a small group deliberative process (citizens' jury) and multi-criteria analysis to assist in water planning for the Howard River catchment in the Northern Territory (NT) of Australia. Water planning processes in the NT are in their infancy. As such, this research provides information about stakeholder preferences where none was previously available and demonstrates the use of a new water planning tool. The research found that the process in this case was most useful in providing information to stakeholders, dispelling some unhelpful myths about water use in the catchment, and coalescing opinion about important criteria for assessing future options.</t>
  </si>
  <si>
    <t>[Straton, Anna T.] CSIRO Sustainable Ecosyst, Parkville, Vic 3052, Australia; [Jackson, Sue; Woodward, Emma] CSIRO Sustainable Ecosyst, Darwin, NT 0822, Australia; [Marinoni, Oswald] CSIRO Sustainable Ecosyst, St Lucia, Qld 4067, Australia; [Proctor, Wendy] CSIRO Sustainable Ecosyst, Canberra, ACT 2601, Australia</t>
  </si>
  <si>
    <t>Straton, AT (corresponding author), CSIRO Sustainable Ecosyst, 343 Royal Parade, Parkville, Vic 3052, Australia.</t>
  </si>
  <si>
    <t>anna.straton@csiro.au; sue.jackson@csiro.au; oswald.marinoni@csiro.au; wendy.proctor@csiro.au; emma.woodward@csiro.au</t>
  </si>
  <si>
    <t>Proctor, Wendy/D-1173-2011; Marinoni, Oswald/D-3781-2011; Jackson, Sue/A-4954-2011; Woodward, Emma L/I-2932-2012</t>
  </si>
  <si>
    <t>Woodward, Emma L/0000-0003-4769-3599; Jackson, Sue/0000-0001-6498-5783</t>
  </si>
  <si>
    <t>Commonwealth Government's National Heritage Trust; Commonwealth Scientific and Industrial Research Organisation</t>
  </si>
  <si>
    <t>Commonwealth Government's National Heritage Trust; Commonwealth Scientific and Industrial Research Organisation(Commonwealth Scientific &amp; Industrial Research Organisation (CSIRO))</t>
  </si>
  <si>
    <t>The authors thank the participants and presenters of the workshops and staff of the NT Government Department of Natural Resources, Environment, Arts and Sport and Power and Water Corporation for assistance in developing the evaluation matrix. The project received funding from the Commonwealth Government's National Heritage Trust and the Commonwealth Scientific and Industrial Research Organisation. The project is a part of the Tropical Rivers and Coastal Knowledge Research Hub (TRaCK).</t>
  </si>
  <si>
    <t>10.1007/s11269-010-9691-z</t>
  </si>
  <si>
    <t>696VJ</t>
  </si>
  <si>
    <t>WOS:000285469200008</t>
  </si>
  <si>
    <t>Ossewaarde, M</t>
  </si>
  <si>
    <t>Ossewaarde, Marinus</t>
  </si>
  <si>
    <t>CALLING CITIZENS TO A MORAL WAY OF LIFE: A DUTCH EXAMPLE OF MORALIZED POLITICS</t>
  </si>
  <si>
    <t>HUMAN AFFAIRS-POSTDISCIPLINARY HUMANITIES &amp; SOCIAL SCIENCES QUARTERLY</t>
  </si>
  <si>
    <t>moral revision; political moralism; normative order; anti-social behaviour; social conformity; global capitalism</t>
  </si>
  <si>
    <t>This article offers a sociological analysis of the moral revisions that accompany welfare state reforms in the Netherlands. It is argued that Dutch welfare state reforms after the Cold War rely on moral discourses in particular and moral language in general to legitimize and effectuate policy measures. The Dutch reformers have been pursuing a set of strategies of moralization designed to adjust the Dutch welfare state to the new, post-Cold War situation, in which social policies are redesigned to support the operation of global markets. This article seeks to show how this moral revision has been taking place by consulting data sources provided by Dutch media, policy documents, council reports, advices, speeches, and newspaper interviews. This implies that special attention is paid to the rhetoric, language, tones, symbolism, metaphors and moral images used and propagated by moral revisionists, elites and media, their definitions of the prevailing moral situation and of the desired one, their formulation of desired values and norms and the ways in which moral panics are aroused. Three recent Dutch policy innovations, namely the national debate on norms and values, the Charter Responsible Citizenship and the family policy memorandum, are interpreted as political strategies to re-engineer the new morality that can sustain a reformed state.</t>
  </si>
  <si>
    <t>[Ossewaarde, Marinus] Univ Twente, Sch Management &amp; Governance, Hallenweg 17, NL-7522 NH Enschede, Netherlands</t>
  </si>
  <si>
    <t>Ossewaarde, M (corresponding author), Univ Twente, Sch Management &amp; Governance, Hallenweg 17, NL-7522 NH Enschede, Netherlands.</t>
  </si>
  <si>
    <t>m.r.r.ossewaarde@utwente.nl</t>
  </si>
  <si>
    <t>Ossewaarde, Marinus/0000-0003-3449-1074</t>
  </si>
  <si>
    <t>1210-3055</t>
  </si>
  <si>
    <t>1337-401X</t>
  </si>
  <si>
    <t>HUM AFF</t>
  </si>
  <si>
    <t>Hum. Aff.</t>
  </si>
  <si>
    <t>10.2478/v10023-010-0035-7</t>
  </si>
  <si>
    <t>V78UX</t>
  </si>
  <si>
    <t>WOS:000212073400006</t>
  </si>
  <si>
    <t>SURGICAL INFORMATION; ATTITUDES; KENYA</t>
  </si>
  <si>
    <t>[Ogundiran, Temidayo O.] Univ Ibadan, Dept Surg, Coll Med, Div Oncol, Ibadan, Nigeria; [Ogundiran, Temidayo O.; Adebamowo, Clement A.] Univ Ibadan, W African Bioeth Programme, Ibadan, Nigeria; [Adebamowo, Clement A.] Univ Maryland, Dept Epidemiol &amp; Prevent Med, College Pk, MD 20742 USA; [Adebamowo, Clement A.] Inst Human Virol, Abuja, Nigeria</t>
  </si>
  <si>
    <t>Ogundiran, TO (corresponding author), Univ Ibadan, Dept Surg, Coll Med, Div Oncol, PMB 5116, Ibadan, Nigeria.</t>
  </si>
  <si>
    <t>toogundiran@yahoo.co.uk</t>
  </si>
  <si>
    <t>Joint Centre for Bioethics, University of Toronto, Ontario, Canada; FOGARTY INTERNATIONAL CENTER [R25TW007091] Funding Source: NIH RePORTER</t>
  </si>
  <si>
    <t>Joint Centre for Bioethics, University of Toronto, Ontario, Canada(University of Toronto); FOGARTY INTERNATIONAL CENTER(United States Department of Health &amp; Human ServicesNational Institutes of Health (NIH) - USANIH Fogarty International Center (FIC))</t>
  </si>
  <si>
    <t>The study was partly supported by funds from Fogarty re-entry grant from the Joint Centre for Bioethics, University of Toronto, Ontario, Canada.</t>
  </si>
  <si>
    <t>B M J PUBLISHING GROUP</t>
  </si>
  <si>
    <t>692XU</t>
  </si>
  <si>
    <t>Environmental monitoring; Consultation team; Industry association; Ethylene oxide; Manufacturing industry</t>
  </si>
  <si>
    <t>ETHYLENE-OXIDE; EXPOSURE; JAPAN</t>
  </si>
  <si>
    <t>[Lin, Yi-Kuei; Lee, Lien-Hsiung; Sheu, Shey-Huei] Natl Taiwan Univ Sci &amp; Technol, Dept Ind Management, Taipei 106, Taiwan</t>
  </si>
  <si>
    <t>Lin, YK (corresponding author), Natl Taiwan Univ Sci &amp; Technol, Dept Ind Management, 43,Sec 4,Keelung Rd, Taipei 106, Taiwan.</t>
  </si>
  <si>
    <t>Institute of Occupational Safety &amp; Health Council of Labor Affairs Executive Yuan of Taiwan</t>
  </si>
  <si>
    <t>This study was financially supported by the Institute of Occupational Safety &amp; Health Council of Labor Affairs Executive Yuan of Taiwan</t>
  </si>
  <si>
    <t>NATL INST OCCUPATIONAL SAFETY &amp; HEALTH, JAPAN</t>
  </si>
  <si>
    <t>KAWASAKI KANAGAWA</t>
  </si>
  <si>
    <t>21-1 NAGAO 6-CHOME TAMA-KU, KAWASAKI KANAGAWA, 214, JAPAN</t>
  </si>
  <si>
    <t>IND HEALTH</t>
  </si>
  <si>
    <t>Ind. Health</t>
  </si>
  <si>
    <t>687XO</t>
  </si>
  <si>
    <t>Strategic foresight; Sustainable development; Sustainable planning; Ecology</t>
  </si>
  <si>
    <t>FUTURE</t>
  </si>
  <si>
    <t>Destree Inst, B-5000 Namur, Wallonia, Belgium</t>
  </si>
  <si>
    <t>Destatte, P (corresponding author), Destree Inst, 9 Ave Louis Huart, B-5000 Namur, Wallonia, Belgium.</t>
  </si>
  <si>
    <t>destatte.philippe@institut-destree.eu</t>
  </si>
  <si>
    <t>692AM</t>
  </si>
  <si>
    <t>Abdel-Mannan, OA; Harris, MJ; Parker, JA; Aly, GS; El-Sayed, NM</t>
  </si>
  <si>
    <t>Abdel-Mannan, O. A.; Harris, M. J.; Parker, J. A.; Aly, G. S.; El-Sayed, N. M.</t>
  </si>
  <si>
    <t>Testing clinical surveillance of acute flaccid paralysis in Egypt post-eradication of poliomyelitis</t>
  </si>
  <si>
    <t>TROPICAL MEDICINE &amp; INTERNATIONAL HEALTH</t>
  </si>
  <si>
    <t>poliomyelitis; acute flaccid paralysis; surveillance; Egypt; public health</t>
  </si>
  <si>
    <t>ENVIRONMENTAL SURVEILLANCE; POLIOVIRUS CIRCULATION; VACCINE; SEWAGE</t>
  </si>
  <si>
    <t>OBJECTIVE To assess the knowledge of polio detection and notification by front-line clinicians in Egypt. METHODS This study examines clinicians' knowledge and awareness of polio detection and notification using a multiple-choice questionnaire (maximum score = 43) in three large health care centres in central Cairo (n = 52). RESULTS The results reveal a significant variation of knowledge amongst doctors, with junior and senior house officers scoring an average of 30.6 (95% CI: 29.5-31.7), specialist registrars and consultant paediatricians 30.3 (CI 28.9-31.7), and public health doctors 35.4 (CI 32.9-36.8). Mean total scores of public health doctors were significantly higher than those of other clinicians. Senior paediatricians performed no better than newly qualified doctors. CONCLUSIONS The results suggest that there is a need for more clinical teaching and training amongst junior doctors as well as senior clinicians and consultants. Appropriate knowledge of diagnosing AFP and of the correct protocol amongst clinicians is essential to maintain the high quality of the WHO programme in Egypt.</t>
  </si>
  <si>
    <t>[Abdel-Mannan, O. A.] Univ Oxford, John Radcliffe Hosp, Div Med Sci, Oxford OX3 9DU, England; [Harris, M. J.] Kings Coll London, Dept Primary Care &amp; Publ Hlth Sci, London, England; [Parker, J. A.] NHS Hertfordshire, Dept Epidemiol, Welwyn Garden City, Herts, England; [Aly, G. S.] Ain Shams Univ, Cairo, Egypt; [El-Sayed, N. M.] Minist Hlth &amp; Populat, Cairo, Egypt</t>
  </si>
  <si>
    <t>Abdel-Mannan, OA (corresponding author), Univ Oxford, John Radcliffe Hosp, Div Med Sci, Oxford OX3 9DU, England.</t>
  </si>
  <si>
    <t>omar.abdel-mannan@medschool.ox.ac.uk</t>
  </si>
  <si>
    <t>Harris, Matthew/0000-0002-0005-9710; Abdel-Mannan, Omar/0000-0002-0796-9645</t>
  </si>
  <si>
    <t>National Institute for Health Research [CL-2010-21-014] Funding Source: researchfish</t>
  </si>
  <si>
    <t>National Institute for Health Research(National Institute for Health Research (NIHR))</t>
  </si>
  <si>
    <t>1360-2276</t>
  </si>
  <si>
    <t>1365-3156</t>
  </si>
  <si>
    <t>TROP MED INT HEALTH</t>
  </si>
  <si>
    <t>Trop. Med. Int. Health</t>
  </si>
  <si>
    <t>10.1111/j.1365-3156.2010.02636.x</t>
  </si>
  <si>
    <t>667CA</t>
  </si>
  <si>
    <t>WOS:000283169000018</t>
  </si>
  <si>
    <t>Biological Societies; Alberta Chapter of the Wildlife Society (ACTWS); The Alberta Native Plants Council (ANPC); The Alberta Society of Professional Biologists (ASPB); The Canadian Society of Environmental Biologists (CSEB); Alberta</t>
  </si>
  <si>
    <t>[Carbyn, Lu] Univ Alberta, Dept Renewable Resources, Edmonton, AB T6G 2H1, Canada; [Carbyn, Lu] Canadian Wildlife Serv, Edmonton, AB T6B 2X3, Canada; [Leech, Robin] Royal Alberta Museum, Edmonton, AB T5N 0M6, Canada; [Ash, Gary] Golder Associates, Edmonton, AB T5P 4W2, Canada</t>
  </si>
  <si>
    <t>Carbyn, L (corresponding author), Univ Alberta, Dept Renewable Resources, Edmonton, AB T6G 2H1, Canada.</t>
  </si>
  <si>
    <t>OTTAWA FIELD-NATURALISTS CLUB</t>
  </si>
  <si>
    <t>PO BOX 35069, WESTGATE PO, OTTAWA, ONTARIO K1Z 1A2, CANADA</t>
  </si>
  <si>
    <t>CAN FIELD NAT</t>
  </si>
  <si>
    <t>Can. Field-Nat.</t>
  </si>
  <si>
    <t>815GW</t>
  </si>
  <si>
    <t>MIGRATION</t>
  </si>
  <si>
    <t>[Young, Ruth; Noble, Jenny] Kings Coll London, Florence Nightingale Sch Nursing &amp; Midwifery, London SE1 8WA, England; [Mahon, Ann] Univ Manchester, Manchester Business Sch, Hlth Policy &amp; Management Grp, Manchester M13 9PL, Lancs, England; [Maxted, Mairead; Grant, Janet] Open Univ, Ctr Educ Med, Milton Keynes MK7 6AA, Bucks, England; [Sibbald, Bonnie] Univ Manchester, Natl Primary Care Res &amp; Dev Ctr, Manchester, Lancs, England</t>
  </si>
  <si>
    <t>Young, R (corresponding author), Kings Coll London, Florence Nightingale Sch Nursing &amp; Midwifery, James Clerk Maxwell Bldg,,57 Waterloo Rd, London SE1 8WA, England.</t>
  </si>
  <si>
    <t>ruth.young@kcl.ac.uk</t>
  </si>
  <si>
    <t>J HEALTH SERV RES PO</t>
  </si>
  <si>
    <t>J. Health Serv. Res. Policy</t>
  </si>
  <si>
    <t>674OF</t>
  </si>
  <si>
    <t>WILEY-BLACKWELL PUBLISHING, INC</t>
  </si>
  <si>
    <t>POPUL DEV REV</t>
  </si>
  <si>
    <t>Popul. Dev. Rev.</t>
  </si>
  <si>
    <t>Demography; Sociology</t>
  </si>
  <si>
    <t>646RV</t>
  </si>
  <si>
    <t>Self-organization; Management consulting; Consulting teams; Knowledge production; Cognitive feedback</t>
  </si>
  <si>
    <t>MANAGEMENT; CLIENT; HETEROGENEITY; INNOVATION; COMMODIFICATION; PERSPECTIVE; EMERGENCE; PROJECT; FIRMS; POWER</t>
  </si>
  <si>
    <t>[Reihlen, Markus] Leuphana Univ Luneburg, Otto Grp Chair Strateg Management, D-21335 Luneburg, Germany; [Nikolova, Natalia] Univ Technol Sydney, Sch Management, Broadway, NSW 2007, Australia</t>
  </si>
  <si>
    <t>Reihlen, M (corresponding author), Leuphana Univ Luneburg, Otto Grp Chair Strateg Management, Scharnhorststr 1, D-21335 Luneburg, Germany.</t>
  </si>
  <si>
    <t>reihlen@leuphana.de; natalia.nikolova@uts.edu.au</t>
  </si>
  <si>
    <t>SCAND J MANAG</t>
  </si>
  <si>
    <t>Scand. J. Manag.</t>
  </si>
  <si>
    <t>652TE</t>
  </si>
  <si>
    <t>[Meyer, Judy L.] Univ Georgia, Odum Sch Ecol, Athens, GA 30602 USA; [Frumhoff, Peter C.] Union Concerned Scientists, Cambridge, MA USA; [Hamburg, Steven P.] Environm Def Fund, Boston, MA USA; [de la Rosa, Carlos] Catalina Isl Conservancy, Avalon, CA USA</t>
  </si>
  <si>
    <t>Meyer, JL (corresponding author), Univ Georgia, Odum Sch Ecol, Athens, GA 30602 USA.</t>
  </si>
  <si>
    <t>judymeye@gmail.com</t>
  </si>
  <si>
    <t>National Science Foundation [DEB-0840224, 0949558]; US Department of Agriculture (USDA) Forest Service [09-DG-11132650-083]; US Environmental Protection Agency [EP09H000638]; USDA Agriculture and Food Research Initiative [2009-02609, 2009-04469]</t>
  </si>
  <si>
    <t>National Science Foundation(National Science Foundation (NSF)); US Department of Agriculture (USDA) Forest Service(United States Department of Agriculture (USDA)United States Forest Service); US Environmental Protection Agency(United States Environmental Protection Agency); USDA Agriculture and Food Research Initiative(United States Department of Agriculture (USDA))</t>
  </si>
  <si>
    <t>The 2009 Cary Conference was supported by grants from the National Science Foundation (grants #DEB-0840224 and #0949558), the US Department of Agriculture (USDA) Forest Service (grant #09-DG-11132650-083), the US Environmental Protection Agency (grant #EP09H000638), and the USDA Agriculture and Food Research Initiative Program (grants #2009-02609 and #2009-04469).</t>
  </si>
  <si>
    <t>FRONT ECOL ENVIRON</t>
  </si>
  <si>
    <t>Front. Ecol. Environ.</t>
  </si>
  <si>
    <t>Ecology; Environmental Sciences</t>
  </si>
  <si>
    <t>638DI</t>
  </si>
  <si>
    <t>Butt, CRM; Mazzucchelli, RH</t>
  </si>
  <si>
    <t>Butt, C. R. M.; Mazzucchelli, R. H.</t>
  </si>
  <si>
    <t>The legacy of John Webb and the Applied Geochemistry Research Group, Imperial College of Science and Technology, London, to geochemical exploration in Australia</t>
  </si>
  <si>
    <t>GEOCHEMISTRY-EXPLORATION ENVIRONMENT ANALYSIS</t>
  </si>
  <si>
    <t>history of geochemistry; nickel; gold; Nickel Boom; regolith; laterite; gossans; weathering; Geochemical Prospecting Research Centre; Applied Geochemistry Research Group</t>
  </si>
  <si>
    <t>MINERAL EXPLORATION; SOIL; GROUNDWATER; GOLD; PATHFINDER; OVERBURDEN; DISTRICT; DEPOSIT; HELIUM; COVER</t>
  </si>
  <si>
    <t>Professor John Stuart Webb (1920-2007), and the Applied Geochemistry Research Group (AGRG) he established at Imperial College, London, were highly influential in the development of geochemical exploration in Australia over the past 40 years. This influence was partly due to the conduct of four PhD research projects in the early- to mid-1960s but, more importantly, to the numerous AGRG PhD and MSc graduates who have worked in Australia since that time, when mineral exploration has surged. The AGRG research projects studied base metals at Broken Hill, NSW, and Mt Isa/Cloncurry, Queensland, and gold in the Eastern Goldfields of Western Australia. Australia became a focus of the global mining industry following the discovery of nickel at Kambalda in 1966 and AGRG graduates contributed geochemical expertise as employees of exploration companies, specialist consulting firms, analytical laboratories, government research organizations and tertiary education institutions. The application of the basic tenets espoused by Webb in a continent marked by a thick and complex regolith has led to a somewhat unique style of geochemical exploration and a vibrant community of geochemists.</t>
  </si>
  <si>
    <t>[Butt, C. R. M.] CSIRO Earth Sci &amp; Resource Engn, Bentley, WA 6102, Australia; [Mazzucchelli, R. H.] Searchtech Pty Ltd, Kalamunda, WA 6076, Australia</t>
  </si>
  <si>
    <t>Butt, CRM (corresponding author), CSIRO Earth Sci &amp; Resource Engn, POB 1130, Bentley, WA 6102, Australia.</t>
  </si>
  <si>
    <t>charles.butt@csiro.au</t>
  </si>
  <si>
    <t>GEOLOGICAL SOC PUBL HOUSE</t>
  </si>
  <si>
    <t>BATH</t>
  </si>
  <si>
    <t>UNIT 7, BRASSMILL ENTERPRISE CENTRE, BRASSMILL LANE, BATH BA1 3JN, AVON, ENGLAND</t>
  </si>
  <si>
    <t>1467-7873</t>
  </si>
  <si>
    <t>2041-4943</t>
  </si>
  <si>
    <t>GEOCHEM-EXPLOR ENV A</t>
  </si>
  <si>
    <t>Geochem.-Explor. Environ. Anal.</t>
  </si>
  <si>
    <t>10.1144/1467-7873/09-233</t>
  </si>
  <si>
    <t>647FP</t>
  </si>
  <si>
    <t>WOS:000281603500006</t>
  </si>
  <si>
    <t>Enshassi, A; Kumaraswamy, M; Nairab, S</t>
  </si>
  <si>
    <t>Enshassi, Adnan; Kumaraswamy, Mohan; Nairab, Sami</t>
  </si>
  <si>
    <t>Analysis of contractors' bidding decision in the palestinian construction industry</t>
  </si>
  <si>
    <t>Bidding; contractors; decision; construction</t>
  </si>
  <si>
    <t>Both the bid decision and the determination of the bid price are very important to every contractor. The importance of such decisions lies in the fact that, the success or failure of a contractor's business depends on the outcomes derived from these decisions. The aim of this paper is to identify and analyze the factors which are believed to affect bidding and markup size decisions in the construction industry in Gaza Strip. A questionnaire survey elicited responses from 77 general contractors. The results indicated that, most of the contractors depend on subjective processes in making bid/no bid and markup size decisions are based on experience-based judgment. Some factors are considered important in both decisions while some other factors are considered important in one decision but not the other. The most important groups which affects bid no bid and mark up size were found to be client and consultant of the project group, and project conditions contributing to profitability of the project group. The results also showed that, the current financial capability of the client, project size and financial status of the company were the main factors affecting bid no bid decisions. Regarding mark up size decision, it was found that the duration of project, political environment, and terms of payment were the main factors affecting the mark up decision. Some recommendations are proposed in this study.</t>
  </si>
  <si>
    <t>[Enshassi, Adnan; Nairab, Sami] Islamic Univ Gaza, Gaza, Palestine; [Kumaraswamy, Mohan] Univ Hong Kong, Hong Hom, Hong Kong, Peoples R China</t>
  </si>
  <si>
    <t>Enshassi, A (corresponding author), Islamic Univ Gaza, Gaza, Palestine.</t>
  </si>
  <si>
    <t>enshassi@iugaza.edu.ps</t>
  </si>
  <si>
    <t>10.4067/S0718-50732010000200002</t>
  </si>
  <si>
    <t>V7I0J</t>
  </si>
  <si>
    <t>WOS:000420978400002</t>
  </si>
  <si>
    <t>Desai, B; Mckoy, K; Kovarik, C</t>
  </si>
  <si>
    <t>Desai, Brijal; Mckoy, Karen; Kovarik, Carrie</t>
  </si>
  <si>
    <t>Overview of international teledermatology</t>
  </si>
  <si>
    <t>Telemedicine; teledermatology; teleconsultation; Internet</t>
  </si>
  <si>
    <t>Teledermatology is essentially dermatology at a distance, using one of many communication technologies to expand the reach of a dermatologist to those in need of their specialized knowledge. Most international teledermatology is store-and-forward in nature, a method in which images are stored on a computer and then transmitted electronically to a consulting dermatologist. This system is more convenient and less costly than realtime teledermatology. This review will focus on several of the store-and-forward teledermatology systems being developed and utilized successfully internationally. This discussion of who is practicing teledermatology is not comprehensive, but attempts to show some of the breadth of teledermatology practice around the world, including government national health plans, commercial endeavors, and charitable work by individuals and institutions. The goal in many instances is to provide better health outcomes through increased access, efficiency, and/or cost-effectiveness. More studies ultimately need to be conducted to develop a more comprehensive and sustainable model for teledermatology.</t>
  </si>
  <si>
    <t>[Desai, Brijal; Kovarik, Carrie] Univ Penn, Sch Med, Philadelphia, PA 19104 USA; [Mckoy, Karen] Lahey Clin Fdn, Boston, MA USA</t>
  </si>
  <si>
    <t>Kovarik, C (corresponding author), 3600 Spruce St,2 Maloney Bldg, Philadelphia, PA 19104 USA.</t>
  </si>
  <si>
    <t>JUL 20</t>
  </si>
  <si>
    <t>V0F8Y</t>
  </si>
  <si>
    <t>WOS:000216190700001</t>
  </si>
  <si>
    <t>catering industry; consultation model; cooking oil fumes; occupational hygiene; small and medium enterprises</t>
  </si>
  <si>
    <t>LUNG-CANCER; COOKING FUMES; HEALTH; WOMEN; PAHS; FOOD</t>
  </si>
  <si>
    <t>[Lin, Yi-Kuei; Lee, Lien-Hsiung] Natl Taiwan Univ Sci &amp; Technol, Dept Ind Management, Taipei, Taiwan</t>
  </si>
  <si>
    <t>Lin, YK (corresponding author), Natl Taiwan Univ Sci &amp; Technol, Dept Ind Management, Taipei, Taiwan.</t>
  </si>
  <si>
    <t>yklin@mail.ntust.edu.tw</t>
  </si>
  <si>
    <t>Institute of Occupational Safety and Health, Council of Labor Affairs, Executive Yuan of Taiwan, R.O.C.</t>
  </si>
  <si>
    <t>ANN OCCUP HYG</t>
  </si>
  <si>
    <t>Ann. Occup. Hyg.</t>
  </si>
  <si>
    <t>Public, Environmental &amp; Occupational Health; Toxicology</t>
  </si>
  <si>
    <t>632IE</t>
  </si>
  <si>
    <t>Water conservation; Irrigation management; Reference and Crop evapotranspiration; Soil moisture</t>
  </si>
  <si>
    <t>REFERENCE EVAPOTRANSPIRATION; CROP EVAPOTRANSPIRATION; ATMOMETER</t>
  </si>
  <si>
    <t>[Irmak, S.; Rathje, W. R.] Univ Nebraska, Dept Biol Syst Engn, Lincoln, NE 68583 USA; [Rees, J. M.] Univ Nebraska, Clay Ctr, Lincoln, NE 68583 USA; [Zoubek, G. L.] UNL, York, NE USA; [van DeWalle, B. S.] UNL, Geneva, NE USA; [DeBuhr, R.; Leininger, D.] Upper Big Blue Nat Resources Dist, York, NE USA; [Siekman, D. D.] UNL, Cent City, NE USA; [Schneider, J. W.; Christiansen, A. P.] UNL, Aurora, NE USA</t>
  </si>
  <si>
    <t>Irmak, S (corresponding author), Univ Nebraska, Dept Biol Syst Engn, 241 LW Chase Hall, Lincoln, NE 68583 USA.</t>
  </si>
  <si>
    <t>sirmak2@unl.edu</t>
  </si>
  <si>
    <t>United States Department of Agriculture-Natural Resources Conservation Service (USDA-NRCS) [65-6526-6-284]; University of Nebraska-Lincoln Extension; Upper Big Blue Natural Resources District</t>
  </si>
  <si>
    <t>United States Department of Agriculture-Natural Resources Conservation Service (USDA-NRCS)(United States Department of Agriculture (USDA)); University of Nebraska-Lincoln Extension; Upper Big Blue Natural Resources District</t>
  </si>
  <si>
    <t>This project is supported, in part, by the United States Department of Agriculture-Natural Resources Conservation Service (USDA-NRCS) under the project contract number 65-6526-6-284; University of Nebraska-Lincoln Extension, and Upper Big Blue Natural Resources District.</t>
  </si>
  <si>
    <t>AMER SOC AGRICULTURAL &amp; BIOLOGICAL ENGINEERS</t>
  </si>
  <si>
    <t>ST JOSEPH</t>
  </si>
  <si>
    <t>2950 NILES RD, ST JOSEPH, MI 49085-9659 USA</t>
  </si>
  <si>
    <t>APPL ENG AGRIC</t>
  </si>
  <si>
    <t>Appl. Eng. Agric.</t>
  </si>
  <si>
    <t>645JM</t>
  </si>
  <si>
    <t>Goethe Univ Frankfurt, Frankfurt, Germany</t>
  </si>
  <si>
    <t>Frankenberg, G (corresponding author), Goethe Univ Frankfurt, Frankfurt, Germany.</t>
  </si>
  <si>
    <t>Frankenberg@jur.uni-frankfurt.de</t>
  </si>
  <si>
    <t>ICON-INT J CONST LAW</t>
  </si>
  <si>
    <t>ICON-Int. J. Const. Law</t>
  </si>
  <si>
    <t>752YW</t>
  </si>
  <si>
    <t>Dragoi, G; Draghici, A; Rosu, SM; Cotet, CE</t>
  </si>
  <si>
    <t>Dragoi, George; Draghici, Anca; Rosu, Sebastian; Cotet, Costel</t>
  </si>
  <si>
    <t>virtual Product development in university-Enterprise Partnership</t>
  </si>
  <si>
    <t>INFORMATION RESOURCES MANAGEMENT JOURNAL</t>
  </si>
  <si>
    <t>Collaborative Systems; Knowledge Applications; Outsourcing; Small to Medium sized Enterprises; Virtual Enterprise; Virtual Enterprise Network; Virtual Teams</t>
  </si>
  <si>
    <t>Development teams involved in product development are often geographically and temporally distributed, and there is a high level of outsourcing in product development efforts. Enterprises give rise to a special type of virtual enterprise, in which each company maintains the greatest flexibility and business independence. This paper presents a vision of next generation engineering working environments and describes a core information technology on which future systems can be built. Cooperative processes are not the automatic results of implementing collaborative, real-time communication technologies, but the result of a carefully designed and systematically maintained virtual team development plan. This paper discusses the critical issues of the virtual product development and builds a general architecture of an experimental platform for training, research and consulting in the new digital economy, located in the PREMINV center from University POLITEHNICA of Bucharest.</t>
  </si>
  <si>
    <t>[Dragoi, George; Cotet, Costel] Univ Politehn Bucuresti, Bucharest, Romania; [Dragoi, George] Romanian Natl Res Ctr Telecommun Bucharest, Bucharest, Romania; [Draghici, Anca] Polytech Univ Timisoara, Fac Management, Dept Econ &amp; Social Humanities Sci, Timisoara, Romania; [Rosu, Sebastian] Special Telecommun Serv, Bucharest, Romania; [Rosu, Sebastian] GRUP ROMET Buzau, Machines &amp; Thermal Equipment, Buzau, Romania</t>
  </si>
  <si>
    <t>Dragoi, G (corresponding author), Univ Politehn Bucuresti, Bucharest, Romania.</t>
  </si>
  <si>
    <t>Cotet, Costel Emil/A-5080-2019; Draghici, Anca/AAL-8281-2020</t>
  </si>
  <si>
    <t>Cotet, Costel Emil/0000-0001-8719-2743; Draghici, Anca/0000-0002-5155-034X</t>
  </si>
  <si>
    <t>1040-1628</t>
  </si>
  <si>
    <t>1533-7979</t>
  </si>
  <si>
    <t>INF RESOUR MANAG J</t>
  </si>
  <si>
    <t>Inf. Resour. Manag. J.</t>
  </si>
  <si>
    <t>10.4018/irmj.2010070104</t>
  </si>
  <si>
    <t>V63XN</t>
  </si>
  <si>
    <t>WOS:000211066200004</t>
  </si>
  <si>
    <t>Macpherson, R</t>
  </si>
  <si>
    <t>Macpherson, Reynold</t>
  </si>
  <si>
    <t>The Professionalization of Educational Leaders through Postgraduate Study and Professional Development Opportunities in New Zealand Tertiary Education Institutions</t>
  </si>
  <si>
    <t>JOURNAL OF RESEARCH ON LEADERSHIP EDUCATION</t>
  </si>
  <si>
    <t>This paper reports a review of the professionalization services in educational leadership available from New Zealand's tertiary institutions at a time of accelerating retirements and turnover. Case studies of current programs identified six urgent policy issues: the need for research-based provisions in early childhood education (ECE); potential conflicts of interest for university faculties contracted to deliver government professional development (PD), consultancy, and support services; the preparatory needs of first-time team and executive leaders in schools and centre leaders in ECE; blending optional assessment of PD activities with postgraduate study programs; national investment needed to triple participation in the professionalization of educational leaders, and removing conditions antithetical to the systematic professionalization of leadership while creating incentive regimes that will sustain leadership capacity building. Five conclusions appear warranted. Each institution should provide effective professorial leadership to their research, teaching, and advisory teams in educational leadership or withdraw from the field. Market leaders in ECE might form a consortium with national stakeholders to articulate a research-based and career-related leadership development framework. The latent demand for professionalization exceeds supply by a factor of about three requiring Ministerial reform of incentives and national investment in educational leadership. Educational leaders in New Zealand are poorly educated in leadership compared to their international counterparts and need fresh incentives to become an All Master's profession. Finally, New Zealand's professional associations should play a much more significant role in the professionalization of leaders by setting aside past differentiation and competitive strategies, recognizing all colleagues in designated leadership roles, combining into one national peak body, and engaging in the governance of the professionalization services provided by tertiary education institutions.</t>
  </si>
  <si>
    <t>reynold@reynoldmacpherson.ac.nz</t>
  </si>
  <si>
    <t>1942-7751</t>
  </si>
  <si>
    <t>J RES LEADERSH EDUC</t>
  </si>
  <si>
    <t>J. Res. Leadersh. Educ.</t>
  </si>
  <si>
    <t>10.1177/194277511000500601</t>
  </si>
  <si>
    <t>VD0TC</t>
  </si>
  <si>
    <t>WOS:000435703600001</t>
  </si>
  <si>
    <t>Information policy; Energy guidance; Households</t>
  </si>
  <si>
    <t>Linkoping Univ, Dept Themat Studies Technol &amp; Social Change, SE-58183 Linkoping, Sweden</t>
  </si>
  <si>
    <t>Palm, J (corresponding author), Linkoping Univ, Dept Themat Studies Technol &amp; Social Change, SE-58183 Linkoping, Sweden.</t>
  </si>
  <si>
    <t>jenny.palm@liu.se</t>
  </si>
  <si>
    <t>The research for this paper forms part of the research program Energy Choices in Households: A Platform for Change, funded by the Swedish Energy Agency. I would also like to acknowledge the comments of the two anonymous reviewers. Their insights were very helpful. Any remaining errors or oversights are, of course, my responsibility alone.</t>
  </si>
  <si>
    <t>601JS</t>
  </si>
  <si>
    <t>Academics; Business; Consistency of life cycle data; Consultants; Directorate-General for Environment; European Commission's Joint Research Centre; Governments; Technical documents</t>
  </si>
  <si>
    <t>Heinrich, AB (corresponding author), Kirschgartenstr 91, D-69126 Heidelberg, Germany.</t>
  </si>
  <si>
    <t>abh.scientificjournals@googlemail.com</t>
  </si>
  <si>
    <t>612LB</t>
  </si>
  <si>
    <t>Universitat Valencia,Habitats Anfibios,Ceneralitat Valenciana,EPCN,Univ Barcelona,LIFE</t>
  </si>
  <si>
    <t>Bioassessment; monitoring; small waterbodies; nature conservation; practitioners; macroinvertebrates; aquatic plants; amphibians</t>
  </si>
  <si>
    <t>MACROINVERTEBRATES; ASSEMBLAGES; SIZE</t>
  </si>
  <si>
    <t>[Angelibert, Sandrine; Rosset, Veronique; Indermuehle, Nicola; Oertli, Beat] Univ Appl Sci Western Switzerland, CH-1254 Jussey, Switzerland</t>
  </si>
  <si>
    <t>Oertli, B (corresponding author), Univ Appl Sci Western Switzerland, CH-1254 Jussey, Switzerland.</t>
  </si>
  <si>
    <t>beat.oertli@hesge.ch</t>
  </si>
  <si>
    <t>ASOC ESPAN LIMNOL-MISLATA</t>
  </si>
  <si>
    <t>MISLATA (VALENCIA)</t>
  </si>
  <si>
    <t>C/ LOS ANGELES, 33, MISLATA (VALENCIA), SPAIN</t>
  </si>
  <si>
    <t>Limnetica</t>
  </si>
  <si>
    <t>Limnology; Marine &amp; Freshwater Biology</t>
  </si>
  <si>
    <t>Marine &amp; Freshwater Biology</t>
  </si>
  <si>
    <t>615LM</t>
  </si>
  <si>
    <t>Nowadays, cities are looking for instruments and policies to ensure an efficient and effective urban mobility for both passengers and goods, from a sustainable development point of view. The optimization of the flow of passengers and goods in the urban area, with the aim of reducing the direct and external costs related to the increasing mobility, is assuming growing importance. Goods transport, long excluded from the city's problems, seems now to attract renewed interest both from the traditional players such as institutional or professionals of road transport, but also from the new players such as operators of public transport. Urban communities of all sizes, in Europe, are wondering how to enter further into this issue: to design and manage of combined urban transport solutions, could be a real opportunity to extend urban transport services, allowing a smooth sharing of passengers and goods. Examples of urban communities' involvement in urban logistics are increasing but we do not dispose of much knowledge on how these innovative solutions can be deeply integrated into a global urban mobility strategy. The aim of this paper is to explore this issue. It presents radical new urban transportation system concepts, potentially allowing changing the economic and environmental costs of passenger and freight transportation. It focuses on the concept of sharing, which means to make a joint use of transport resources, between passengers and goods flows. At first, the concept of shared passenger &amp; good urban transport is defined and existing solutions are described, carried out on an international survey. From a field observation of several existing solutions, an inductive reasoning enables us to move from a set of specific facts to establish an archetype for a radical new urban transportation system. Once the archetype defined, it is translated in real life through the example of the On Route proposal for London. The named proposal was submitted to Transport for London (TfL)' s 'A New Bus for London' competition, launched in 2008. The New Bus for London is a planned 21st Century replacement of the iconic Routemaster as a bus built specifically for use in London. A prototype is expected to be on the road by late 2011, with the first buses due to enter service in early 2012, in time for the 2012 Summer Olympics to be held in London. The research frame of this paper is the French C-Goods project (City Goods Operation Optimization using Decision support System), financed by the French research agency. Started in February 2009 the project involves four partners, the multi-disciplinary French engineer school EIGSI (Ecole d'Ingenieurs en Genie des Systemes Industriels), the French university ENMP (Ecole Nationale Superieure des Mines de Paris), the Poitiers Urban Community (CAP), and the consulting service Interface Transport, specialized in transport economy. The project will end on 2012.</t>
  </si>
  <si>
    <t>[Trentini, Anna] EIGSI, Ecole Natl Super Mines Paris, Paris, France; [Mahlene, Nicolas] EIGSI, Paris, France</t>
  </si>
  <si>
    <t>Trentini, A (corresponding author), EIGSI, Ecole Natl Super Mines Paris, Paris, France.</t>
  </si>
  <si>
    <t>V1P8C</t>
  </si>
  <si>
    <t>WOS:000217124500005</t>
  </si>
  <si>
    <t>CO2 emissions; Energy efficiency; Data envelopment analysis</t>
  </si>
  <si>
    <t>ENVIRONMENTAL EFFICIENCY; CO2 EMISSIONS; REGIONS; TRENDS</t>
  </si>
  <si>
    <t>[Yeh, Tsai-lien] Ming Chuan Univ, Dept Int Business, Taipei 111, Taiwan; Natl Taipei Univ, Inst Int Business, Sanhsia 23701, Taipei County, Taiwan</t>
  </si>
  <si>
    <t>Yeh, TL (corresponding author), Ming Chuan Univ, Dept Int Business, 250,Sec 5,Chung Shan N Rd, Taipei 111, Taiwan.</t>
  </si>
  <si>
    <t>tlyeh@mcu.edu.tw; chenty@mail.ntpu.edu.tw; aka_jin0422@yahoo.com.tw</t>
  </si>
  <si>
    <t>578JL</t>
  </si>
  <si>
    <t>Collaborations; Environment; Evidence; Influence; Innovations; Leadership</t>
  </si>
  <si>
    <t>[Chuang-Stein, Christy] Pfizer, Kalamazoo, MI 49009 USA; [Bain, Ray] Merck, N Wales, PA 19454 USA; [Branson, Michael] Novartis Pharma AG, Basel, Switzerland; [Burton, Catherine] Novartis, E Hanover, NJ 07936 USA; [Hoseyni, Cyrus] Wyeth, Collegeville, PA 19426 USA; [Rockhold, Frank] GlaxoSmithKline Inc, King Of Prussia, PA 19406 USA; [Ruberg, Stephen] Eli Lilly &amp; Co, Indianapolis, IN 46285 USA; [Zhang, Ji] Sanofi Aventis, Bridgewater, NJ 08807 USA</t>
  </si>
  <si>
    <t>Chuang-Stein, C (corresponding author), Pfizer, Kalamazoo, MI 49009 USA.</t>
  </si>
  <si>
    <t>christy.j.chuang-stein@pfizer.com</t>
  </si>
  <si>
    <t>AMER STATISTICAL ASSOC</t>
  </si>
  <si>
    <t>732 N WASHINGTON ST, ALEXANDRIA, VA 22314-1943 USA</t>
  </si>
  <si>
    <t>STAT BIOPHARM RES</t>
  </si>
  <si>
    <t>Stat. Biopharm. Res.</t>
  </si>
  <si>
    <t>Mathematical &amp; Computational Biology; Statistics &amp; Probability</t>
  </si>
  <si>
    <t>Mathematical &amp; Computational Biology; Mathematics</t>
  </si>
  <si>
    <t>791QS</t>
  </si>
  <si>
    <t>O'Reilly, C</t>
  </si>
  <si>
    <t>O'Reilly, Conor</t>
  </si>
  <si>
    <t>The transnational security consultancy industry A case of state-corporate symbiosis</t>
  </si>
  <si>
    <t>THEORETICAL CRIMINOLOGY</t>
  </si>
  <si>
    <t>global insecurities; informal networks; risk; symbiosis; transnational policing</t>
  </si>
  <si>
    <t>CRIME; COMMODIFICATION; PRIVATIZATION; INTELLIGENCE; POLICE; IRAQ; SPY</t>
  </si>
  <si>
    <t>This article examines state-corporate organizational complexes within the transnational policing sphere. Its specific focus is upon the transnational security consultancy industry and its interaction with state security agencies. Exemplifying the proposed theoretical construct of state-corporate symbiosis, leading firms are held out as key facilitators for this ongoing close association between dominant interests. Their activities reflect how this security amalgamation imposes itself upon the agendas, discourse, methods and ideologies of the global policing environment. As well as highlighting the degree to which both behaviour and techniques traverse the state-corporate security nexus, this article also identifies core factors which have driven this convergence of interests. It concludes by suggesting that this evolution towards state-corporate symbiosis exacerbates those trends within transnational policing that prompt most concern, while undercutting those for which hope is harboured.</t>
  </si>
  <si>
    <t>[O'Reilly, Conor] Univ Porto, Sch Criminol, Fac Law, Oporto, Portugal; [O'Reilly, Conor] Univ Oxford, Ctr Criminol, Oxford OX1 2JD, England</t>
  </si>
  <si>
    <t>O'Reilly, C (corresponding author), Univ Porto, Sch Criminol, Fac Law, Oporto, Portugal.</t>
  </si>
  <si>
    <t>O'REILLY, CONOR F/K-8710-2014</t>
  </si>
  <si>
    <t>O'REILLY, CONOR F/0000-0002-9721-2047</t>
  </si>
  <si>
    <t>Economic and Social Research Council [ES/F030320/1] Funding Source: researchfish; ESRC [ES/F030320/1] Funding Source: UKRI</t>
  </si>
  <si>
    <t>1362-4806</t>
  </si>
  <si>
    <t>THEOR CRIMINOL</t>
  </si>
  <si>
    <t>Theor. Criminol.</t>
  </si>
  <si>
    <t>10.1177/1362480609355702</t>
  </si>
  <si>
    <t>604AX</t>
  </si>
  <si>
    <t>WOS:000278250800003</t>
  </si>
  <si>
    <t>FINE PARTICULATE MATTER; RISK-ASSESSMENT; UNCERTAINTY; JUDGMENT; LIKELIHOOD; MODEL; PERFORMANCE; PSYCHOLOGY; MORTALITY; GUIDANCE</t>
  </si>
  <si>
    <t>[Knol, Anne B.; Lebret, Erik] Natl Inst Publ Hlth &amp; Environm RIVM, Bilthoven, Netherlands; [Slottje, Pauline; van der Sluijs, Jeroen P.; Lebret, Erik] Univ Utrecht, Inst Risk Assessment Sci, Utrecht, Netherlands; [van der Sluijs, Jeroen P.] Univ Utrecht, Copernicus Inst Sustainable Dev &amp; Innovat, Utrecht, Netherlands; [van der Sluijs, Jeroen P.] Univ Versailles, St Quentin En Yvelines, France</t>
  </si>
  <si>
    <t>Knol, AB (corresponding author), Natl Inst Publ Hlth &amp; Environm RIVM, Bilthoven, Netherlands.</t>
  </si>
  <si>
    <t>anne.knol@rivm.nl</t>
  </si>
  <si>
    <t>RIVM; EU</t>
  </si>
  <si>
    <t>RIVM; EU(European Commission)</t>
  </si>
  <si>
    <t>We are grateful to prof. dr. ir. Arie Havelaar and dr. Martin Krayer von Krauss for sharing the details of their expert elicitation studies. In addition, we would like to thank prof. dr. Bert Brunekreef for his useful comments to earlier versions of this manuscript, and the three reviewers for their valuable suggestions. The work was funded through the RIVM Strategic Research Project IQARUS and through the EU 6th Framework Project INTARESE.</t>
  </si>
  <si>
    <t>ENVIRON HEALTH-GLOB</t>
  </si>
  <si>
    <t>Environ. Health</t>
  </si>
  <si>
    <t>604HD</t>
  </si>
  <si>
    <t>funding; medical training; National Health Service; research</t>
  </si>
  <si>
    <t>PHYSICIAN SCIENTISTS; INCENTIVE PLANS; PRODUCTIVITY; PROGRAMS; CANARY</t>
  </si>
  <si>
    <t>[Pandit, Jaideep J.] John Radcliffe Hosp, Dept Anaesthet, Oxford OX3 9DU, England</t>
  </si>
  <si>
    <t>Pandit, JJ (corresponding author), John Radcliffe Hosp, Nuffield Dept Anaesthet, Oxford OX3 9DU, England.</t>
  </si>
  <si>
    <t>jaideep.pandit@dpag.ox.ac.uk</t>
  </si>
  <si>
    <t>Royal College of Anaesthetists UK</t>
  </si>
  <si>
    <t>The Royal College of Anaesthetists UK is thanked for its support of the Academic Strategy Project. Professor Tony Wildsmith (now retired Professor of Anaesthesia, Dundee, UK) chaired the Academic and Research Committee of the Royal College that designed and implemented the Report. Professor David Rowbotham (Professor of Anaesthesia, Leicester, UK) chairs the NIAA. Many senior anesthetists and others are acknowledged in the frontispiece of the Report and are to be thanked for their invaluable input into creation of this strategy.; The Academic Strategy Report referred to in this paper was funded by the Royal College of Anaesthetists, United Kingdom.</t>
  </si>
  <si>
    <t>530 WALNUT ST, PHILADELPHIA, PA 19106-3621 USA</t>
  </si>
  <si>
    <t>CURR OPIN ANESTHESIO</t>
  </si>
  <si>
    <t>Curr. Opin. Anesthesiol.</t>
  </si>
  <si>
    <t>572GZ</t>
  </si>
  <si>
    <t>Grose, M</t>
  </si>
  <si>
    <t>Grose, Margaret</t>
  </si>
  <si>
    <t>Practice wisdom from planners, developers, environmentalists, and other players finding the ;true debates' in suburban development in south-western Australia</t>
  </si>
  <si>
    <t>AUSTRALIAN PLANNER</t>
  </si>
  <si>
    <t>SPACE; CONSERVATION; HELSINKI; POLICY; GREEN</t>
  </si>
  <si>
    <t>Key stakeholder or practitioner groups in suburban development, namely planners in both private consultancies and local government, developers, community leaders, and allied professions (hydrologists, environmental scientists, landscape architects, architects) were asked through semi-structured in-depth interviews about their beliefs regarding the problems relating to practice of new residential subdivisions in Western Australia. Forty people were interviewed, with interviews lasting between 1.5 2 hours, some within site visits to suburbs under construction. There was a general consensus on the lack of the translation of environmental concerns into outcomes, and frustration in the opportunities for more creative and less policy-constrained development. Priority areas for better suburban outcomes were identified as statutory change to land allocation (85% of planners), better retention of topography (73% across all practitioners), and environmental education of the disciplines (48% across all practitioners). The 'true debate' was leaving lasting positive legacies'' regarding the environment.</t>
  </si>
  <si>
    <t>[Grose, Margaret] Univ Melbourne, Fac Architecture Bldg &amp; Planning, Melbourne, Vic 3010, Australia</t>
  </si>
  <si>
    <t>Grose, M (corresponding author), Univ Melbourne, Fac Architecture Bldg &amp; Planning, Melbourne, Vic 3010, Australia.</t>
  </si>
  <si>
    <t>mgrose@unimelb.edu.au</t>
  </si>
  <si>
    <t>0729-3682</t>
  </si>
  <si>
    <t>2150-6841</t>
  </si>
  <si>
    <t>AUST PLAN</t>
  </si>
  <si>
    <t>Aust. Plan.</t>
  </si>
  <si>
    <t>10.1080/07293680903579951</t>
  </si>
  <si>
    <t>V57GP</t>
  </si>
  <si>
    <t>WOS:000210616600003</t>
  </si>
  <si>
    <t>Jaraite, J; Convery, F; Di Maria, C</t>
  </si>
  <si>
    <t>Jaraite, Jurate; Convery, Frank; Di Maria, Corrado</t>
  </si>
  <si>
    <t>Transaction costs for firms in the EU ETS: lessons from Ireland</t>
  </si>
  <si>
    <t>climate policy; emissions trading; European Union Emissions Trading Scheme; Ireland; transaction costs</t>
  </si>
  <si>
    <t>EMISSIONS; MARKET; PERMITS; PRICE</t>
  </si>
  <si>
    <t>Until now, there has been little empirical evidence that EU Emissions Trading Scheme (ETS) transaction costs are incurred at firm level The transaction costs (internal costs, capital costs, consultancy and trading costs) incurred by Irish firms under the EU ETS during its pilot phase (2005-2007) were measured and analysed Evidence for the sources of transaction costs, their magnitude and the distribution of costs shows that these were mainly administrative in nature Considerable variation in costs was found due to economies of scale, as the costs per tonne of CO(2) were lower for participants with larger allocations For the largest firms - accounting for over half the emissions - average transaction costs were (sic)0 05 per tonne However, for small firms, average transaction costs were (sic)2 02 - over 18% of the current allowance price This supports the concerns that transaction costs are excessive for smaller participants The immediate policy implication is that additional attention will be needed to address different sizes of firms, number of installations per firm, and the size of the initial allocations</t>
  </si>
  <si>
    <t>[Jaraite, Jurate] Univ Coll Dublin, Urban Inst Ireland, UCD, Dublin 14, Ireland; [Convery, Frank] Univ Coll Dublin, Sch Geog Planning &amp; Environm Policy, Dublin 14, Ireland; [Di Maria, Corrado] Queens Univ Belfast, Sch Management, Belfast BT7 1NN, Antrim, North Ireland</t>
  </si>
  <si>
    <t>Jaraite, J (corresponding author), Univ Coll Dublin, Urban Inst Ireland, UCD, Dublin 14, Ireland.</t>
  </si>
  <si>
    <t>Di Maria, Corrado/0000-0002-3048-0506</t>
  </si>
  <si>
    <t>JAMES &amp; JAMES SCIENCE PUBLISHERS LTD/EARTHSCAN</t>
  </si>
  <si>
    <t>8-12 CAMDEN HIGH STREET, NW1 0JH LONDON, ENGLAND</t>
  </si>
  <si>
    <t>10.3763/cpol.2009.0659</t>
  </si>
  <si>
    <t>585MC</t>
  </si>
  <si>
    <t>WOS:000276828600006</t>
  </si>
  <si>
    <t>environmental services; intermediaries; local organizations; payment for environmental services; pro-poor; Vietnam</t>
  </si>
  <si>
    <t>[Thuy, Pham Thu; Garnett, Stephen; Aslin, Heather] Charles Darwin Univ, Sch Environm Res, Darwin, NT 0909, Australia; [Campbell, Bruce M.] Univ Copenhagen, CGIAR Challenge Program Climate Change Agr &amp; Food, DK-1168 Copenhagen, Denmark; [Hoang Minh Ha] World Agroforestry Ctr, Hanoi, Vietnam</t>
  </si>
  <si>
    <t>Thuy, PT (corresponding author), Charles Darwin Univ, Sch Environm Res, Darwin, NT 0909, Australia.</t>
  </si>
  <si>
    <t>pham.thu.thuy@cdu.edu</t>
  </si>
  <si>
    <t>Garnett, Stephen/0000-0002-0724-7060; Pham, Thuy/0000-0003-0088-7396</t>
  </si>
  <si>
    <t>MacArthur Foundation; World Agroforestry Center</t>
  </si>
  <si>
    <t>MacArthur Foundation; World Agroforestry Center(CGIAR)</t>
  </si>
  <si>
    <t>We thank Dr Meine van Noordwijk (World Agroforestry Center/ICRAF headquarters), Dr David Thomas (ICRAF in Thailand), Dr Joshi Laxman (ICRAF in Bogor), Mr Andrian Albano (ICRAF in the Philippines) and Mr Serge Ngendakumana (ICRAF in Guinea) for valuable comments on the paper. We gratefully acknowledge the financial support of the MacArthur Foundation to the Center for International Forestry Research and the World Agroforestry Center for this study.</t>
  </si>
  <si>
    <t>ENVIRON CONSERV</t>
  </si>
  <si>
    <t>Environ. Conserv.</t>
  </si>
  <si>
    <t>632MA</t>
  </si>
  <si>
    <t>Guidance; Handbook; Impact assessment; International Reference Life Cycle Data System (ILCD); Inventory; Public consultation; Review; Workshop</t>
  </si>
  <si>
    <t>[Pennington, David W.; Chomkhamsri, Kirana; Pant, Rana; Wolf, Marc-Andree; Bidoglio, Giovanni] JRC, IES, EC, Ispra, Italy; [Koegler, Klaus; Misiga, Pavel; Sponar, Michel; Lorz, Bettina] Directorate Gen Environm DG ENV, European Commiss, Brussels, Belgium; [Sonnemann, Guido] UNEP, DTIE, Paris, France; [Masoni, Paolo] ENEA, Italian Natl Agcy New Technol Energy &amp; Sustainabl, Rome, Italy; [Wang, Hongtao] Sichuan Univ, Chengdu 610064, Peoples R China; [Ling, Lin] CNIS, Beijing, Peoples R China; [Castanho, Carla] Univ Brasilia, Brasilia, DF, Brazil; [Soon, Chen Sau] SIRIM, Shah Alam, Malaysia; [Fieschi, Maurizio; Filareto, Assunta] CESiSP, Ctr Interuniv Sviluppo Sostenibilita Prod, Genoa, Italy; [Hauschild, Michael] Danish Tech Univ, Copenhagen, Denmark</t>
  </si>
  <si>
    <t>Pennington, DW (corresponding author), JRC, IES, EC, Ispra, Italy.</t>
  </si>
  <si>
    <t>lca@jrc.ec.europa.eu</t>
  </si>
  <si>
    <t>Hauschild, Michael Z/L-6059-2015; Sonnemann, Guido/L-9425-2019; Hauschild, Michael Z/G-4335-2011</t>
  </si>
  <si>
    <t>563VB</t>
  </si>
  <si>
    <t>Hepatitis; hepatitis B; hepatitis C; HIV; hospital staff; injury; needlestick; needlestick injuries; NHS Occupational Health Department; survey</t>
  </si>
  <si>
    <t>SHARPS INJURIES; GLOVE PERFORATION; HEPATITIS-C; HEALTH; INFECTION; EXPOSURE; SURGEONS; THEATER; BLOOD; HIV</t>
  </si>
  <si>
    <t>[Adams, Simon; Stojkovic, Stevan G.; Leveson, Stephen H.] York Dist Gen Hosp, Dept Gen Surg, York YO31 8HE, N Yorkshire, England</t>
  </si>
  <si>
    <t>Adams, S (corresponding author), York Dist Gen Hosp, Dept Gen Surg, Wigginton Rd, York YO31 8HE, N Yorkshire, England.</t>
  </si>
  <si>
    <t>rpbgt@hotmail.com</t>
  </si>
  <si>
    <t>OCCUP MED-OXFORD</t>
  </si>
  <si>
    <t>Occup. Med.-Oxf.</t>
  </si>
  <si>
    <t>558XB</t>
  </si>
  <si>
    <t>Boulanger, JP; Penalba, O</t>
  </si>
  <si>
    <t>Boulanger, Jean-Philippe; Penalba, Olga</t>
  </si>
  <si>
    <t>Assessment of climate information needs in the Argentinean Agro-business sector</t>
  </si>
  <si>
    <t>DECISION-MAKING; CROP PRODUCTION; PRECIPITATION</t>
  </si>
  <si>
    <t>The present investigation aims at identifying the needs of the Argentinean agro-business sector for climate research and information. Our approach is focused on any type of climate information from past observations to seasonal prediction and climate change projections. We tried, in particular, to evaluate the possible existence of specific research themes that would be of major interest for these agriculture end-users. We interviewed representatives of seventeen companies from three major agrobusiness sectors: (1) regional/national entities such as agricultural associations, cooperatives and commercial trade boards; (2) insurance companies in the Argentinean agro-insurance market; and (3) large national and international companies representing cereal producers, agro-chemistry and agro-seeds. While all the interviewees recognized the strong influence of climate on their activities, they all pointed out that, at the time of making decision, they considered the political and economic risks rather than the climate one. In many aspects, climate is often considered as a fatality against which it is difficult to be protected. An interesting result is the confidence of the private sectors in the climate information provided by public sources (INTA, SMN, Universities) although they contract private consultants for frequent reports and tendencies. Finally, we explain how such sectors could make a better use of climate information (seasonal prediction, climate change scenarios) that could be integrated in their business projections. In particular, the development of new financial contracts (climate derivatives) open in countries with a relatively poor insurance history new ways to protect the different agricultural sectors, from the producer to large companies.</t>
  </si>
  <si>
    <t>[Boulanger, Jean-Philippe] UPMC, UMR CNRS IRD, LOCEAN, F-75252 Paris 05, France</t>
  </si>
  <si>
    <t>Boulanger, JP (corresponding author), Univ Buenos Aires, Fac Ciencias Exactas &amp; Nat, Dept Ciencias Atmosfera &amp; Oceanos, Buenos Aires, DF, Argentina.</t>
  </si>
  <si>
    <t>jpb@locean-ipsl.upmc.fr</t>
  </si>
  <si>
    <t>European Commission [001454]; University of Buenos Aires [X170]; Institut de Recherche pour le Developpement (IRD)</t>
  </si>
  <si>
    <t>European Commission(European CommissionEuropean Commission Joint Research Centre); University of Buenos Aires(University of Buenos Aires); Institut de Recherche pour le Developpement (IRD)</t>
  </si>
  <si>
    <t>We wish to thank the European Commission 6th Framework programme for funding the CLARIS Project (Project 001454) during the 3-year duration of the project and the grant X170 of the University of Buenos Aires. Jean-Philippe Boulanger wants to thank the Institut de Recherche pour le Developpement (IRD) for its constant support, and the University of Buenos Aires and the Department of Atmosphere and Ocean Sciences for welcoming him during the entire project. Special thanks are sent to Ariana Mathieu and Anabela Pinto from CRIBA, which realized the qualitative market investigation in a very professional way.</t>
  </si>
  <si>
    <t>10.1007/s10584-009-9745-5</t>
  </si>
  <si>
    <t>565UA</t>
  </si>
  <si>
    <t>WOS:000275319100012</t>
  </si>
  <si>
    <t>pine plantations; intensive silviculture; forest management</t>
  </si>
  <si>
    <t>LOBLOLLY-PINE; UNITED-STATES</t>
  </si>
  <si>
    <t>[Vance, Eric D.] Natl Council Air &amp; Stream Improvement Inc, Res Triangle Pk, NC 27709 USA; [Cozell, Ben H.] Reyonier Inc, Forest Res Ctr, SE Forest Resources, Yulee, FL 32041 USA; [Chappell, H. Nick] Potlatch Forest Holdings Inc, Warren, AR 71671 USA; [Duzan, Howard W., Jr.] Weyerhaeuser Co, Columbus, MS 39704 USA; [Jacobson, Marshall A.] Plum Creek Timber Co, Athens, GA 30606 USA; [Johnson, John R.] MWV Corp, Summerville, SC 29484 USA; [Rakestraw, James L.] Int Paper, Bloomingdale, GA 31302 USA</t>
  </si>
  <si>
    <t>Vance, ED (corresponding author), Natl Council Air &amp; Stream Improvement Inc, POB 13318, Res Triangle Pk, NC 27709 USA.</t>
  </si>
  <si>
    <t>evance@ncasi.org</t>
  </si>
  <si>
    <t>SOC AMER FORESTERS</t>
  </si>
  <si>
    <t>BETHESDA</t>
  </si>
  <si>
    <t>5400 GROSVENOR LANE, BETHESDA, MD 20814 USA</t>
  </si>
  <si>
    <t>SOUTH J APPL FOR</t>
  </si>
  <si>
    <t>South. J. Appl. For.</t>
  </si>
  <si>
    <t>567LQ</t>
  </si>
  <si>
    <t>Corporate social responsibility; Disclosure; Regulation; Banks</t>
  </si>
  <si>
    <t>CORPORATE SOCIAL-RESPONSIBILITY; ENVIRONMENTAL DISCLOSURES</t>
  </si>
  <si>
    <t>[Macve, Richard] London Sch Econ, London WC2A 2AE, England; [Chen, Xiaoli] Tesco Grp, Taishan City, Peoples R China</t>
  </si>
  <si>
    <t>Macve, R (corresponding author), London Sch Econ, London WC2A 2AE, England.</t>
  </si>
  <si>
    <t>R.Macve@lse.ac.uk</t>
  </si>
  <si>
    <t>V26VY</t>
  </si>
  <si>
    <t>Business formation; Market economy Free markets; Lithuania</t>
  </si>
  <si>
    <t>TECHNOLOGY-BASED FIRMS; SCIENCE PARKS; ORGANIZATIONS; INNOVATION; CONSEQUENCES; RATIONALITY; DIFFUSION; COUNTRIES</t>
  </si>
  <si>
    <t>Univ Cape Town, Dept Accounting, ZA-7925 Cape Town, South Africa</t>
  </si>
  <si>
    <t>Gstraunthaler, T (corresponding author), Univ Cape Town, Dept Accounting, ZA-7925 Cape Town, South Africa.</t>
  </si>
  <si>
    <t>Thurner, Thomas W/O-3157-2013; Machado, Suelen/A-1732-2018</t>
  </si>
  <si>
    <t>Thurner, Thomas W/0000-0003-2947-6021; Machado, Suelen/0000-0002-7245-2984</t>
  </si>
  <si>
    <t>BALT J MANAG</t>
  </si>
  <si>
    <t>Balt. J. Manag.</t>
  </si>
  <si>
    <t>681EN</t>
  </si>
  <si>
    <t>Holden, MJ; Izzo, C; Nunno, M; Smith, EG; Endres, T; Holden, JC; Kuhn, F</t>
  </si>
  <si>
    <t>Holden, Martha J.; Izzo, Charles; Nunno, Michael; Smith, Elliott G.; Endres, Thomas; Holden, Jack C.; Kuhn, Frank</t>
  </si>
  <si>
    <t>Children and Residential Experiences: A Comprehensive Strategy for Implementing a Research-Informed Program Model for Residential Care</t>
  </si>
  <si>
    <t>CHILD WELFARE</t>
  </si>
  <si>
    <t>STATE POLICY; OUTCOMES; ADOLESCENTS; YOUTH; PLACEMENT; TRAUMA; IMPACT; CAPTA</t>
  </si>
  <si>
    <t>This paper describes an effort to bridge research and practice in residential care through implementing a program model tided Children and Residential Experiences (CARE). The strategy involves consulting at all levels of the organization to guide personnel to incorporate CARE evidence-based principles into daily practice, and fostering an organizational culture and climate that sustains the integration of CARE principles. CARE aims to promote residential care programs that serve the best interests of children.</t>
  </si>
  <si>
    <t>[Holden, Martha J.; Izzo, Charles; Nunno, Michael; Smith, Elliott G.; Endres, Thomas; Holden, Jack C.; Kuhn, Frank] Cornell Univ, Ithaca, NY 14853 USA</t>
  </si>
  <si>
    <t>Holden, MJ (corresponding author), Cornell Univ, Ithaca, NY 14853 USA.</t>
  </si>
  <si>
    <t>Smith, Elliott G./A-8167-2012</t>
  </si>
  <si>
    <t>Smith, Elliott G./0000-0002-3432-093X</t>
  </si>
  <si>
    <t>CHILD WELFARE LEAGUE AMER INC</t>
  </si>
  <si>
    <t>1726 M ST, STE 500, WASHINGTON, DC 20009 USA</t>
  </si>
  <si>
    <t>0009-4021</t>
  </si>
  <si>
    <t>Child Welf.</t>
  </si>
  <si>
    <t>Family Studies; Social Work</t>
  </si>
  <si>
    <t>680AL</t>
  </si>
  <si>
    <t>WOS:000284202300010</t>
  </si>
  <si>
    <t>Jewell, C; Flanagan, R; Anac, C</t>
  </si>
  <si>
    <t>Jewell, Carol; Flanagan, Roger; Anac, Caner</t>
  </si>
  <si>
    <t>Understanding UK construction professional services exports: definitions and characteristics</t>
  </si>
  <si>
    <t>CONSTRUCTION MANAGEMENT AND ECONOMICS</t>
  </si>
  <si>
    <t>Exports; services; construction; globalization; knowledge-based economy</t>
  </si>
  <si>
    <t>Services are very important to the UK balance of trade; a surplus has been recorded for trade in services every year since 1966. Construction professional services exports (CPS), which cover architecture, engineering and surveying (AES), have also increased, contributing over 3bn pound to the UK trade balance in 2007. The changing environment of construction professional services exports complicates the validity of the characteristics and definitions of services as described in the research literature and official export statistics. Through semi-structured interviews undertaken with large consulting engineers and a roundtable discussion with industry and government representatives, the research found that the impact of globalization and the changes in the construction business environment, such as increasing foreign ownership and changing forms of procurement, are not fully reflected in the official statistics. There have also been rapid changes in technology, procurement and methods of delivery which have impacted on exporting AES firms and a more appropriate set of characteristics is needed to better reflect the project-specific and knowledge-intensive nature of AES firms.</t>
  </si>
  <si>
    <t>[Jewell, Carol; Flanagan, Roger; Anac, Caner] Univ Reading, Sch Construct Management &amp; Engn, Reading, Berks, England</t>
  </si>
  <si>
    <t>Jewell, C (corresponding author), Univ Reading, Sch Construct Management &amp; Engn, Reading, Berks, England.</t>
  </si>
  <si>
    <t>c.a.jewell@reading.ac.uk</t>
  </si>
  <si>
    <t>0144-6193</t>
  </si>
  <si>
    <t>1466-433X</t>
  </si>
  <si>
    <t>CONSTR MANAG ECON</t>
  </si>
  <si>
    <t>Constr. Manag. Econ.</t>
  </si>
  <si>
    <t>10.1080/01446191003587729</t>
  </si>
  <si>
    <t>V96RQ</t>
  </si>
  <si>
    <t>WOS:000213281700004</t>
  </si>
  <si>
    <t>Santander, P</t>
  </si>
  <si>
    <t>Santander, Pedro</t>
  </si>
  <si>
    <t>Media and elite: who uses whom? The political role of public relations in media-power dynamics</t>
  </si>
  <si>
    <t>CUADERNOS INFO</t>
  </si>
  <si>
    <t>Elite; communications media; communications consultants; adaptation strategies</t>
  </si>
  <si>
    <t>This research aims to explore the relationship between the Chilean elite and the national communications media. The questions that guide the research ask what the media do with the elite and, in turn, what the elite does with the media. The study begins with the theoretical supposition that ownership of the communication media is not enough to gain complete control over their discourse. Because they are aware of that fact, the elites continuously develop new communicational strategies to influence the discourse that the media do or do not put into circulation. In-depth interviews were conducted with members of the corporate sector of the communications industry and with communications consultants to the government and parliamentarians, to explore this connection. The study is currently in an initial exploratory phase, but interesting findings have already come to light.</t>
  </si>
  <si>
    <t>[Santander, Pedro] Pontificia Univ Catolica Valparaiso, Escuela Periodismo, Valparaiso, Chile</t>
  </si>
  <si>
    <t>Santander, P (corresponding author), Pontificia Univ Catolica Valparaiso, Escuela Periodismo, Valparaiso, Chile.</t>
  </si>
  <si>
    <t>pedro.santander@ucv.cl</t>
  </si>
  <si>
    <t>PONTIFICIA UNIV CATOLICA CHILE, FAC COMUNICACIONES</t>
  </si>
  <si>
    <t>SANTIAGO DE CHILE</t>
  </si>
  <si>
    <t>ALAMEDA 340, SANTIAGO DE CHILE, 00000, CHILE</t>
  </si>
  <si>
    <t>0719-3661</t>
  </si>
  <si>
    <t>0719-367X</t>
  </si>
  <si>
    <t>CUAD INFO-SANTIAGO</t>
  </si>
  <si>
    <t>Cuad. Info</t>
  </si>
  <si>
    <t>10.7764/cdi.26.8</t>
  </si>
  <si>
    <t>VH8DQ</t>
  </si>
  <si>
    <t>WOS:000455370200001</t>
  </si>
  <si>
    <t>Grining, CL; Raver, CC; Champion, K; Sardin, L; Metzger, M; Jones, SM</t>
  </si>
  <si>
    <t>Grining, Christine Li; Raver, C. Cybele; Champion, Kina; Sardin, Latriese; Metzger, Molly; Jones, Stephanie M.</t>
  </si>
  <si>
    <t>Understanding and Improving Classroom Emotional Climate and Behavior Management in the Real World: The Role of Head Start Teachers' Psychosocial Stressors</t>
  </si>
  <si>
    <t>EVIDENCE-BASED INTERVENTIONS; CHILD-CARE; AFRICAN-AMERICAN; PREVENTIVE INTERVENTION; EXTERNALIZING BEHAVIOR; ACADEMIC SKILLS; JOB STRESS; RISK; PRESCHOOL; OUTCOMES</t>
  </si>
  <si>
    <t>Research Findings: This article reports on two studies. Study 1 considered ways in which Head Start teachers' (n = 90) psychosocial stressors are related to teachers' ability to maintain a positive classroom emotional climate and effective behavior management in preschool classrooms. Study 2 tested the hypothesis that among teachers randomly assigned to a treatment condition (n = 48), psychosocial stressors serve as important predictors of their use of an intervention designed to improve classroom emotional climate and behavior management. Practice or Policy: Findings from Study 1 were mixed; notably, teachers' personal stressors were moderately predictive of lower use of effective strategies of behavior management in the classroom. Findings from Study 2 suggest that psychosocial stressors are not a barrier to teachers' use of intervention services. Contrary to our expectations, teachers reporting more stressors attended more training sessions than did teachers reporting fewer stressors. Teachers reporting higher levels of stress availed themselves of less support from mental health consultants during classroom consultation visits offered to treatment group classrooms as part of the intervention.</t>
  </si>
  <si>
    <t>[Grining, Christine Li] Loyola Univ, Dept Psychol, Chicago, IL 60660 USA; [Raver, C. Cybele] NYU, Dept Appl Psychol, New York, NY 10003 USA; [Champion, Kina; Sardin, Latriese] Univ Chicago, Harris Sch Publ Policy, Chicago, IL 60637 USA; [Metzger, Molly] Northwestern Univ, Sch Educ &amp; Social Policy, Evanston, IL 60208 USA; [Jones, Stephanie M.] Harvard Univ, Grad Sch Educ, Cambridge, MA 02138 USA</t>
  </si>
  <si>
    <t>Grining, CL (corresponding author), Loyola Univ, Dept Psychol, 1032 W Sheridan, Chicago, IL 60660 USA.</t>
  </si>
  <si>
    <t>cligrining@luc.edu</t>
  </si>
  <si>
    <t>PII 919023365</t>
  </si>
  <si>
    <t>10.1080/10409280902783509</t>
  </si>
  <si>
    <t>551PL</t>
  </si>
  <si>
    <t>WOS:000274221400004</t>
  </si>
  <si>
    <t>Perry, DF; Allen, MD; Brennan, EM; Bradley, JR</t>
  </si>
  <si>
    <t>Perry, Deborah F.; Allen, Mary Dallas; Brennan, Eileen M.; Bradley, Jennifer R.</t>
  </si>
  <si>
    <t>The Evidence Base for Mental Health Consultation in Early Childhood Settings: A Research Synthesis Addressing Children's Behavioral Outcomes</t>
  </si>
  <si>
    <t>PRESCHOOL; PREDICTORS; EXPULSION</t>
  </si>
  <si>
    <t>Research Findings: Early childhood mental health consultation aims to reduce problem behaviors and improve social skills in young children primarily through changes in the classroom environment and teacher practices. We conducted a systematic review of the literature and identified 14 rigorous studies that reported on child-level outcomes. These studies had at least one of the following characteristics: publication in a peer-reviewed journal, use of a randomized control trial design, or inclusion of a comparison group. Across these studies, there was variation in the approaches to consultation, qualifications of the consultants, and intensity of the services provided. Overall, early childhood mental health consultation services were consistently associated with reductions in teacher-reported externalizing behaviors. Findings related to reductions in internalizing behaviors were mixed. Teacher ratings of prosocial behaviors were improved in the majority of the studies that reported on this domain. Practice or Policy: This research synthesis underscores the importance of documenting the specific approaches to early childhood mental health consultation that are being implemented to allow for replication of effective models. Areas for future research improvement include increasing rigor through studies that contain independent assessments of children's behaviors, isolating key components of effective consultation, and identifying consultant qualifications and characteristics that lead to child behavior changes.</t>
  </si>
  <si>
    <t>[Perry, Deborah F.] Georgetown Univ, Ctr Child &amp; Human Dev, Washington, DC 20057 USA; [Allen, Mary Dallas] Univ Alaska Anchorage, Sch Social Work, Anchorage, AK USA; [Brennan, Eileen M.] Portland State Univ, Sch Social Work, Portland, OR 97207 USA</t>
  </si>
  <si>
    <t>Perry, DF (corresponding author), Georgetown Univ, Ctr Child &amp; Human Dev, Box 571485,3300 Whitehaven St NW,3300, Washington, DC 20057 USA.</t>
  </si>
  <si>
    <t>dfp2@georgetown.edu</t>
  </si>
  <si>
    <t>PII 930371004</t>
  </si>
  <si>
    <t>10.1080/10409280903475444</t>
  </si>
  <si>
    <t>688XB</t>
  </si>
  <si>
    <t>WOS:000284888400001</t>
  </si>
  <si>
    <t>adaptive water management; co-design; informal participatory platforms; social learning; stakeholder participation</t>
  </si>
  <si>
    <t>PUBLIC-PARTICIPATION; WATER MANAGEMENT; TRANSITIONS; RESILIENCE; GOVERNANCE</t>
  </si>
  <si>
    <t>[Moellenkamp, Sabine; Huesmann, Christian; Pahl-Wostl, Claudia; Pohl, Wiebke] Univ Osnabruck, Inst Environm Syst Res, D-4500 Osnabruck, Germany; [Lamers, Machiel] Maastricht Univ, Int Ctr Integrated Assessment &amp; Sustainable Dev I, Maastricht, Netherlands; [Rotter, Sophie; Speil, Karina] Seecon Deutschland GmbH, Osnabruck, Germany</t>
  </si>
  <si>
    <t>Moellenkamp, S (corresponding author), Univ Osnabruck, Inst Environm Syst Res, D-4500 Osnabruck, Germany.</t>
  </si>
  <si>
    <t>European Commission [511179 (GOCE)]; Dutch BSIK-CCsP program</t>
  </si>
  <si>
    <t>European Commission(European CommissionEuropean Commission Joint Research Centre); Dutch BSIK-CCsP program</t>
  </si>
  <si>
    <t>The authors would like to thank the Wupperverband for its cooperation, and the stakeholders interviewed for this research. The authors wish to especially acknowledge the insightful comments from Katherine Daniell and Yorck von Korff, as well the thoughtful remarks from two anonymous reviewers on earlier versions of this article. This research was kindly supported by the European Commission (project NeWater under contract no. 511179 (GOCE)) and the A7-ACER project funded under the Dutch BSIK-CCsP program.</t>
  </si>
  <si>
    <t>RESILIENCE ALLIANCE</t>
  </si>
  <si>
    <t>WOLFVILLE</t>
  </si>
  <si>
    <t>ACADIA UNIV, BIOLOGY DEPT, WOLFVILLE, NS B0P 1X0, CANADA</t>
  </si>
  <si>
    <t>ECOL SOC</t>
  </si>
  <si>
    <t>Ecol. Soc.</t>
  </si>
  <si>
    <t>Ecology; Environmental Studies</t>
  </si>
  <si>
    <t>702SW</t>
  </si>
  <si>
    <t>Parlar, H; Ammerl, T; Baumhoefener, F</t>
  </si>
  <si>
    <t>Parlar, Harun; Ammerl, Thomas; Baumhoefener, Franziska</t>
  </si>
  <si>
    <t>BAVARIAN RESEARCH ALLIANCE - A PILOT PROJECT FOR PROMOTING BAVARIA'S SCIENTIFIC EXCELLENCE AT THE EUROPEAN LEVEL</t>
  </si>
  <si>
    <t>FRESENIUS ENVIRONMENTAL BULLETIN</t>
  </si>
  <si>
    <t>BayFOR; ERA; Environment; European R&amp;D programmes</t>
  </si>
  <si>
    <t>The European Union, together with the European Research Area (ERA), have fashioned a concept for developing the region into the worldwide leading arena for research and innovation. The core organisational tools here are the Research Framework Programmes. Under the auspices of the current 7(th) Research Framework Programme (2007 2013), the essential topics and guidelines for a European research promotional policy are defined, which are publicly announced through regularly scheduled calls for proposals. Respective involvement is open to institutions from the European Member States, candidate countries to the European Union, Associated States and international partner countries. As essential actors within the international, inter-sector and inter-disciplinary consortia, primarily universities, research facilities, SMEs (small and medium-sized enterprises) as well as participants from the public administrative arena are slated to appear. Despite a plethora of pre-existing institutions that are active in a consultancy capacity for promotion of European research, there often exists, for actors from the scientific and/or commercial sectors, a huge lack of clear understanding regarding the European programmes, as well as concrete support for access to them. In the form of the Bavarian Research Alliance GmbH, there now exists a new initiative for providing Bavarian actors from the scientific and commercial sectors with an opportunity for international participation, and for offering them support during the application process of submitted proposals. The following article introduces the offerings and procedural steps of the Bavarian Research Alliance as a central contribution to the internationalisation of research and innovation.</t>
  </si>
  <si>
    <t>[Parlar, Harun; Ammerl, Thomas; Baumhoefener, Franziska] Bavarian Res Alliance, D-80336 Munich, Germany</t>
  </si>
  <si>
    <t>Ammerl, T (corresponding author), Bavarian Res Alliance, Nussbaumstr 12, D-80336 Munich, Germany.</t>
  </si>
  <si>
    <t>ammerl@bayerische-forschungsallianz.de</t>
  </si>
  <si>
    <t>PARLAR SCIENTIFIC PUBLICATIONS (P S P)</t>
  </si>
  <si>
    <t>FREISING</t>
  </si>
  <si>
    <t>ANGERSTR. 12, 85354 FREISING, GERMANY</t>
  </si>
  <si>
    <t>1018-4619</t>
  </si>
  <si>
    <t>1610-2304</t>
  </si>
  <si>
    <t>FRESEN ENVIRON BULL</t>
  </si>
  <si>
    <t>Fresenius Environ. Bull.</t>
  </si>
  <si>
    <t>10A</t>
  </si>
  <si>
    <t>692TT</t>
  </si>
  <si>
    <t>WOS:000285178700013</t>
  </si>
  <si>
    <t>Forests; Global warming; Land; Ecology; Risk management; Sweden</t>
  </si>
  <si>
    <t>SWEDISH FORESTS; MANAGEMENT; SUSTAINABILITY; DISTRIBUTIONS; DYNAMICS; ADVICE; POLICY</t>
  </si>
  <si>
    <t>[Felton, Adam; Ellingson, Lindsey; Andersson, Erik; Drossler, Lars; Blennow, Kristina] Swedish Univ Agr Sci, So Swedish Forest Res Ctr, Alnarp, Sweden</t>
  </si>
  <si>
    <t>Felton, A (corresponding author), Swedish Univ Agr Sci, So Swedish Forest Res Ctr, Alnarp, Sweden.</t>
  </si>
  <si>
    <t>Adam.felton@ess.slu.se</t>
  </si>
  <si>
    <t>Andersson, Erik/AAE-9771-2019; Felton, Adam/C-1711-2013; Blennow, Kristina/D-7388-2016</t>
  </si>
  <si>
    <t>Blennow, Kristina/0000-0002-7602-5322; Drossler, Lars/0000-0002-1547-0975; Andersson, Erik/0000-0003-2716-5502</t>
  </si>
  <si>
    <t>757LJ</t>
  </si>
  <si>
    <t>Sharma, A; Christie, IT</t>
  </si>
  <si>
    <t>Sharma, Amit; Christie, Iain T.</t>
  </si>
  <si>
    <t>Performance assessment using value-chain analysis in Mozambique</t>
  </si>
  <si>
    <t>INTERNATIONAL JOURNAL OF CONTEMPORARY HOSPITALITY MANAGEMENT</t>
  </si>
  <si>
    <t>Value chain; Mozambique; Hotels; Restaurants; Hospitality services; Tourism</t>
  </si>
  <si>
    <t>CUSTOMER VALUE; QUALITY</t>
  </si>
  <si>
    <t>Purpose - Hospitality and related service industries represent growing components of Mozambique's increasingly service-oriented economy. Its government is emphasizing hospitality and tourism as a leading source of economic growth, diversification and poverty alleviation. However, inefficiencies in primary and support business activities of such services could be obstructing value creation for the customer. The purpose of this paper is to evaluate the value creation process in hospitality services and its impact on business performance and product/service prices. Design/methodology/approach - The paper uses value chain analysis to evaluate the sequential chain of primary and support activities. It includes qualitative observations, and assessment of field-surveyed quantifiable indices and operational and market factors influencing these performance indices. Findings - Key operational factors contributing to low value creation include low employee productivity and management inefficiency. This is largely due to a lack of trained employees. Market factors impacting low value creation are: the high level of business taxes; high import duties, and the high cost of compliance with government regulations, licenses and permits (consultants are hired to make submissions to obtain approvals). Research limitations/implications - Policy recommendations are presented for the private sector and government. They include a comprehensive human resource policy for hospitality and related industries; a list of import-exempt key production inputs; and reevaluation of regulatory procedures and the business tax burden. Future research could further quantify these effects and also look at a broader set of factors, beyond firms' institutional environment. Originality/value - This paper is amongst the few in the literature that have used value chain analysis to evaluate hospitality services. It is the first such analysis of hospitality services in sub-Saharan. Africa where availability of both quantifiable time series and cross-sectional data remains an obstacle to research. Value chain gaps of hospitality services in the sub-Sahara region identified in this paper could also be associated with other service sectors such as business, financial, and other consumer services.</t>
  </si>
  <si>
    <t>[Sharma, Amit] Penn State Univ, Sch Hospitality, State Coll, PA USA; [Christie, Iain T.] George Washington Univ, Int Inst Tourism Res, Washington, DC USA</t>
  </si>
  <si>
    <t>Sharma, A (corresponding author), Penn State Univ, Sch Hospitality, State Coll, PA USA.</t>
  </si>
  <si>
    <t>asharma@psu.edu</t>
  </si>
  <si>
    <t>0959-6119</t>
  </si>
  <si>
    <t>1757-1049</t>
  </si>
  <si>
    <t>INT J CONTEMP HOSP M</t>
  </si>
  <si>
    <t>Int. J. Contemp. Hosp. Manag.</t>
  </si>
  <si>
    <t>10.1108/09596111011035918</t>
  </si>
  <si>
    <t>595ND</t>
  </si>
  <si>
    <t>WOS:000277616700012</t>
  </si>
  <si>
    <t>Johnstone, CJ</t>
  </si>
  <si>
    <t>Johnstone, Christopher J.</t>
  </si>
  <si>
    <t>INCLUSIVE EDUCATION POLICY IMPLEMENTATION: IMPLICATIONS FOR TEACHER WORKFORCE DEVELOPMENT IN TRINIDAD AND TOBAGO</t>
  </si>
  <si>
    <t>INTERNATIONAL JOURNAL OF SPECIAL EDUCATION</t>
  </si>
  <si>
    <t>This manuscript examines results from a national survey of teachers in Trinidad and Tobago. Data from this study were derived from a national survey conducted by the consulting firm Miske Witt and Associates for the Trinidad and Tobago Ministry of Education. The aim of the survey was to solicit broad-based perspectives on teachers' knowledge and attitudes about inclusive education. Items for the survey were constructed on consultation from Ministry requests for information about the knowledge, attitudes, and resources available to teachers specifically related to students with disabilities. Through descriptive and regression analyses, data provide insights into teacher preparation and professional development priorities. Among them, further training for general education teachers on how to help students with disabilities succeed in mainstream environments.</t>
  </si>
  <si>
    <t>[Johnstone, Christopher J.] Univ Minnesota, Minneapolis, MN 55455 USA</t>
  </si>
  <si>
    <t>Johnstone, CJ (corresponding author), Univ Minnesota, Minneapolis, MN 55455 USA.</t>
  </si>
  <si>
    <t>Johnstone, Christopher/0000-0001-5885-5325</t>
  </si>
  <si>
    <t>INT JOURNAL SPECIAL EDUCATION</t>
  </si>
  <si>
    <t>VANCOUVER</t>
  </si>
  <si>
    <t>C/O DR MARG CSAPO, 2889 HIGHBURY ST, VANCOUVER, BC 00000, CANADA</t>
  </si>
  <si>
    <t>0827-3383</t>
  </si>
  <si>
    <t>INT J SPEC EDUC</t>
  </si>
  <si>
    <t>Int. J. Spec. Educ.</t>
  </si>
  <si>
    <t>V22XK</t>
  </si>
  <si>
    <t>WOS:000215054300005</t>
  </si>
  <si>
    <t>Broberg, O</t>
  </si>
  <si>
    <t>Broberg, Ole</t>
  </si>
  <si>
    <t>Workspace design: a case study applying participatory design principles of healthy workplaces in an industrial setting</t>
  </si>
  <si>
    <t>technology politics; participatory design; workplace design; ergonomics; action research</t>
  </si>
  <si>
    <t>The Danish workspace design (WSD) research program is aimed to develop and trial a potential new concept for ergonomists and other workplace consultants who arc to engage in socio-technical design processes. The objective of this paper is to report on the trial of the workspace design concept in a case involving the design and implementation of a new mixing technology in an industrial plant. The case showed how the WSD concept can contribute to an engineering design process. The WSD team took the role as workspace designer and by the participatory workshops achieved an impact on the technology project. In the role as workspace designer, it was important for the WSD team to make sure that the achievements in the workshops were 'transmitted' to and sustained in the ordinary engineering design process. In this case, it turned out that the artefacts such as a layout game board and documents with compilations of ideas and requirements from use scenarios served as appropriate transmitter devices or inscriptions.</t>
  </si>
  <si>
    <t>Tech Univ Denmark, Dept Engn Management, DK-2800 Lyngby, Denmark</t>
  </si>
  <si>
    <t>Broberg, O (corresponding author), Tech Univ Denmark, Dept Engn Management, Bldg 423, DK-2800 Lyngby, Denmark.</t>
  </si>
  <si>
    <t>ob@ipl.dtu.dk</t>
  </si>
  <si>
    <t>Danish Work Environment Research Foundation</t>
  </si>
  <si>
    <t>The WSD research program is partially funded by the Danish Work Environment Research Foundation.</t>
  </si>
  <si>
    <t>INT J TECHNOL MANAGE</t>
  </si>
  <si>
    <t>Int. J. Technol. Manage.</t>
  </si>
  <si>
    <t>10.1504/IJTM.2010.033127</t>
  </si>
  <si>
    <t>Engineering, Multidisciplinary; Management; Operations Research &amp; Management Science</t>
  </si>
  <si>
    <t>632ID</t>
  </si>
  <si>
    <t>WOS:000280415000004</t>
  </si>
  <si>
    <t>corporate communication; crisis planning; strategic management; plan of efficient crisis communication</t>
  </si>
  <si>
    <t>Kaunas Univ Technol, Panevezys Inst, Nemuno Str 33, LT-37164 Panevezys, Lithuania</t>
  </si>
  <si>
    <t>Valackiene, A (corresponding author), Kaunas Univ Technol, Panevezys Inst, Nemuno Str 33, LT-37164 Panevezys, Lithuania.</t>
  </si>
  <si>
    <t>asta.valackiene@ktu.lt</t>
  </si>
  <si>
    <t>573MP</t>
  </si>
  <si>
    <t>Sander, JB; Sharkey, JD; Olivarri, R; Tanigawa, DA; Mauseth, T</t>
  </si>
  <si>
    <t>Sander, Janay B.; Sharkey, Jill D.; Olivarri, Roger; Tanigawa, Diane A.; Mauseth, Tory</t>
  </si>
  <si>
    <t>A Qualitative Study of Juvenile Offenders, Student Engagement, and Interpersonal Relationships: Implications for Research Directions and Preventionist Approaches</t>
  </si>
  <si>
    <t>SCHOOL; YOUTH; CONTEXT; FAMILY; RESILIENCE; CHILD; RISK; SELF</t>
  </si>
  <si>
    <t>Background factors that correlate with juvenile delinquency are consistent across the interdisciplinary literature base. Yet, information about the process of how risks relate to outcomes, especially within school settings, is limited. Researchers used qualitative methods to examine school and interpersonal experiences from the perspective of juvenile offenders and their families. Sixteen families were recruited from juvenile probation facilities in 2 different geographic regions. Consensual Qualitative Research methods yielded consistent themes, including the central role of advocacy to obtain appropriate school services, the importance of flexibility in discipline policies, classroom experiences that shaped outcomes, and the importance of nonjudgmental social support for the adolescents and their parents. The findings and recommendations for school consultants are presented from a preventionist standpoint, and self-determination theory is discussed in relation to future juvenile delinquency research.</t>
  </si>
  <si>
    <t>[Sander, Janay B.] Univ Texas Austin, Sch Psychol, Doctoral Training Program, Dept Educ Psychol, Austin, TX 78712 USA; [Sharkey, Jill D.] Univ Calif Santa Barbara, Dept Counseling Clin &amp; Sch Psychol, Santa Barbara, CA 93106 USA; [Olivarri, Roger; Mauseth, Tory] Univ Texas Austin, Sch Psychol Program, Austin, TX 78712 USA</t>
  </si>
  <si>
    <t>Sander, JB (corresponding author), Univ Texas Austin, Sch Psychol, Doctoral Training Program, Dept Educ Psychol, 1 Univ Stn D5800, Austin, TX 78712 USA.</t>
  </si>
  <si>
    <t>janay.sander@mail.utexas.edu</t>
  </si>
  <si>
    <t>PII 931247998</t>
  </si>
  <si>
    <t>10.1080/10474412.2010.522878</t>
  </si>
  <si>
    <t>695EB</t>
  </si>
  <si>
    <t>WOS:000285352300002</t>
  </si>
  <si>
    <t>ecological age; rapid urbanization; China; decarbonizing energy supply</t>
  </si>
  <si>
    <t>[Lehmann, Steffen] Univ S Australia, Adelaide, SA 5001, Australia</t>
  </si>
  <si>
    <t>Lehmann, S (corresponding author), Univ S Australia, Adelaide, SA 5001, Australia.</t>
  </si>
  <si>
    <t>steffen.lehmann@unisa.edu.au</t>
  </si>
  <si>
    <t>COLL PUBL</t>
  </si>
  <si>
    <t>747UL</t>
  </si>
  <si>
    <t>An integrated occupational health consultation model for the synthetic leather manufacturing industry</t>
  </si>
  <si>
    <t>JOURNAL OF INDUSTRIAL AND PRODUCTION ENGINEERING</t>
  </si>
  <si>
    <t>consultation model; industrial management; occupational health; synthetic leather; small and medium sized enterprises</t>
  </si>
  <si>
    <t>This study presents the design of a three-stage consultation process, with eight major consultation items, in order to build an integrated model for improving occupational health by emphasizing the combination of inspection and consultation. Characteristic of the integrated consultation model is the cooperation between different government departments and collaboration with non-governmental, professional consulting organizations, as well as the building of a good partnership relationship with the Synthetic Leather Industrial Association. This model can help small-and medium-sized enterprises in the industry attain actual improvements in the workplace environment with minimal investment. Manufacturers that followed the consultation guidelines, showed a decrease in the mean time-weighted average exposure level of N, N-dimethylformamide from 15.60 +/- 16.49 to 5.41 +/- 4.16 ppm (p &lt; 0.01). The overall regulations compliance rate greatly increased from 34.1% to 89.7%. These results show that the operation of this consultation model, within Taiwan's synthetic leather manufacturing industry, is successful.</t>
  </si>
  <si>
    <t>[Lin, Yi-Kuei; Lee, Lien-Hsiung] Natl Taiwan Univ Sci &amp; Technol, Dept Ind Management, 43 Sect 4,Keelung Rd, Taipei 106, Taiwan</t>
  </si>
  <si>
    <t>Lin, YK (corresponding author), Natl Taiwan Univ Sci &amp; Technol, Dept Ind Management, 43 Sect 4,Keelung Rd, Taipei 106, Taiwan.</t>
  </si>
  <si>
    <t>2168-1015</t>
  </si>
  <si>
    <t>2168-1023</t>
  </si>
  <si>
    <t>J IND PROD ENG</t>
  </si>
  <si>
    <t>J. IND. PROD. ENG.</t>
  </si>
  <si>
    <t>10.1080/10170669.2010.525850</t>
  </si>
  <si>
    <t>V4C1R</t>
  </si>
  <si>
    <t>WOS:000218797800004</t>
  </si>
  <si>
    <t>Papageorgiou, G</t>
  </si>
  <si>
    <t>Papageorgiou, George</t>
  </si>
  <si>
    <t>Toward a System Dynamics Modeling Framework for Effective Political Organization Management Strategies</t>
  </si>
  <si>
    <t>cybernetics; modeling and simulation; political marketing; system dynamics; systems thinking</t>
  </si>
  <si>
    <t>In the face of the high complexity and uncertainty in the political market landscape, developing effective strategies becomes the greatest challenge for political organization managers. Traditional tools for strategy analysis become obsolete in front of the dynamic complexity that governs political organizations and their environments. Drawing knowledge from a literature review on political marketing strategies and models, this paper employs systems thinking and system dynamics principles in order to develop a political marketing modeling framework, whereby the systemic effects of various strategies and policies may be analyzed dynamically. The developed framework gives the opportunity to the researcher or political practitioner to model and simulate the feedback structure of the political marketing problem situation. The framework model draws the interrelationships of the political offer, the adoption rates, and the political market growth and the main influences, such as the sources of attractiveness for the new political product, the competition levels, as well as the cultural context and decision making processes of the actors in the system. The work presented in this paper could provide a common communication platform for political party managers, consultants, practitioners, and researchers in order to analyze the political marketing process in a holistic way.</t>
  </si>
  <si>
    <t>[Papageorgiou, George] European Univ Cyprus, Dept Management &amp; Mkt, Nicosia, Cyprus</t>
  </si>
  <si>
    <t>Papageorgiou, G (corresponding author), 6 Diogenes St,Engomi,POB 22006, CY-1516 Nicosia, Cyprus.</t>
  </si>
  <si>
    <t>g.papageorgiou@euc.ac.cy</t>
  </si>
  <si>
    <t>Amir, Fakhrurrazi/B-5990-2011</t>
  </si>
  <si>
    <t>Papageorgiou, George/0000-0003-3288-6419</t>
  </si>
  <si>
    <t>10.1080/15377850903472539</t>
  </si>
  <si>
    <t>V88QU</t>
  </si>
  <si>
    <t>WOS:000212738700004</t>
  </si>
  <si>
    <t>Gorghiu, G; Ristea, C; Nicolescu, CL; Bizoi, M</t>
  </si>
  <si>
    <t>Gorghiu, Gabriel; Ristea, Catalin; Nicolescu, Carmen Leane; Bizoi, Mihai</t>
  </si>
  <si>
    <t>PARTICULAR ASPECTS RELATED TO THE MEMDUR APPLICATION INTERFACE</t>
  </si>
  <si>
    <t>JOURNAL OF SCIENCE AND ARTS</t>
  </si>
  <si>
    <t>risk assessment; management system; MEMDUR project; application interface</t>
  </si>
  <si>
    <t>The assessment of the environmental risk is a priority for the actual environmental policy which is focused on the problems arising from human impact on the environment, that retroacts onto human society by having a serious impact on clean and green environment. In this sense, the three years research PN2 project Sustainable Management System of Resources Used for Monitoring and Evaluating the Environmental Risks in Order to Prevent the Negative Effects and to Manage Crises Situations MEMDUR, has as main objective to design, develop, test and implement an advanced management system in Dambovita county, which has to assure the evaluation of the environmental risk. This paper presents one of the main components of the MEMDUR application: the interface, which consists of a menu, where, with the exception of the Map submenu, allowing opening and consulting a database with the last monitored records of environmental atmospheric parameters or main noxes. The Map submenu includes also a representation of the targeted area and the technical attributes of the objects or events registered in the critical points.</t>
  </si>
  <si>
    <t>[Gorghiu, Gabriel; Bizoi, Mihai] Valahia Univ Targoviste, Elect Engn Fac, Targoviste 130082, Romania; [Ristea, Catalin] Blom Romania, Targoviste 130010, Romania; [Nicolescu, Carmen Leane] Valahia Univ Targoviste, Fac Environm Engn &amp; Biotechnol, Targoviste 130082, Romania</t>
  </si>
  <si>
    <t>Gorghiu, G (corresponding author), Valahia Univ Targoviste, Elect Engn Fac, Targoviste 130082, Romania.</t>
  </si>
  <si>
    <t>Gorghiu, Gabriel/U-3349-2019; Ristea, Catalin/S-6934-2019; Bîzoi, Mihai/AAB-3433-2019</t>
  </si>
  <si>
    <t>Bîzoi, Mihai/0000-0001-5467-0825</t>
  </si>
  <si>
    <t>PN2 Project Sustainable Management System of Resources Used for Monitoring and Evaluating the Environmental Risks in Order to Prevent the Negative Effects and to Manage Crises Situations MEMDUR [D11-037/18.09.2007]</t>
  </si>
  <si>
    <t>PN2 Project Sustainable Management System of Resources Used for Monitoring and Evaluating the Environmental Risks in Order to Prevent the Negative Effects and to Manage Crises Situations MEMDUR</t>
  </si>
  <si>
    <t>This work was funded through PN2 Project Sustainable Management System of Resources Used for Monitoring and Evaluating the Environmental Risks in Order to Prevent the Negative Effects and to Manage Crises Situations MEMDUR, code D11-037/18.09.2007. We thank to all the Project institutions for their cooperation and work.</t>
  </si>
  <si>
    <t>EDITURA BIBLIOTHECA-BIBLIOTHECA PUBL HOUSE</t>
  </si>
  <si>
    <t>TARGOVISTE</t>
  </si>
  <si>
    <t>STRADA NICOLAE RADIAN KB2-3, TARGOVISTE, 130082, ROMANIA</t>
  </si>
  <si>
    <t>1844-9581</t>
  </si>
  <si>
    <t>J SCI ARTS</t>
  </si>
  <si>
    <t>J. Sci. Arts</t>
  </si>
  <si>
    <t>V6T1C</t>
  </si>
  <si>
    <t>WOS:000420590300018</t>
  </si>
  <si>
    <t>Keske, C; Smutko, S</t>
  </si>
  <si>
    <t>Keske, Catherine; Smutko, Steve</t>
  </si>
  <si>
    <t>Consulting communities: using audience response system (ARS) technology to assess community preferences for sustainable recreation and tourism development</t>
  </si>
  <si>
    <t>alpine tourism; community tourism; economic sustainability; heritage tourism; nature-based tourism; rural tourism</t>
  </si>
  <si>
    <t>Audience response system (ARS) technology (also known as clickers) has emerged as an educational tool that promotes active learning. This paper describes how ARS works and how it can also be used in research to assess community preferences for tourism development. A case study that used ARS technology shows how stakeholder preferences for extraction, heritage tourism and recreation within two rural mountain economies in the US west were effectively assessed. The use of ARS was backed by situation assessment procedures to determine appropriate stimulus questions probing trade-offs, perceived costs/benefits and cultural fit. A detailed series of key results measured community preferences and were made available to guide policymaking and future empirical survey work. Public meeting arrangements, publicity, structure and moderation for the ARS work is described and discussed. Evaluation of the use of ARS technology showed high levels of participant satisfaction with both the technology and the situation assessment procedures, and the emergence of potential tourism development actions.</t>
  </si>
  <si>
    <t>[Keske, Catherine] Colorado State Univ, Dept Soil &amp; Crop Sci, Inst Livestock &amp; Environm, Ft Collins, CO 80523 USA; [Smutko, Steve] Univ Wyoming, Dept Agr &amp; Appl Econ, Dept 3354, Laramie, WY 82071 USA</t>
  </si>
  <si>
    <t>Keske, C (corresponding author), Colorado State Univ, Dept Soil &amp; Crop Sci, Inst Livestock &amp; Environm, Ft Collins, CO 80523 USA.</t>
  </si>
  <si>
    <t>catherine.keske@colostate.edu</t>
  </si>
  <si>
    <t>10.1080/09669582.2010.484493</t>
  </si>
  <si>
    <t>665UO</t>
  </si>
  <si>
    <t>WOS:000283061200002</t>
  </si>
  <si>
    <t>Tippenhauer, H</t>
  </si>
  <si>
    <t>Tippenhauer, Hans</t>
  </si>
  <si>
    <t>Freedom is not enough: Haiti's sustainability in peril</t>
  </si>
  <si>
    <t>Maroons; freedom; economic freedom; corruption; competitiveness; local development; local projects; leadership</t>
  </si>
  <si>
    <t>The following article examines Haiti's past, present and future sustainability based on a thorough cause and effect analysis of the country's current situation, research on relevant social and economic factors, years of field experience, as well as training and consulting for businesses, political parties and non-profit organisations. In addition to identifying the current major core conflicts of Haiti, the article also suggests solutions to various social, economical and environmental issues.</t>
  </si>
  <si>
    <t>[Tippenhauer, Hans] Cent Jeune Ayiti Project Ctr, Fondat Espoir Jenne Ayiti, 75 Angle Rues Faubert &amp; Pinchinat, Petion Ville, Haiti</t>
  </si>
  <si>
    <t>Tippenhauer, H (corresponding author), Cent Jeune Ayiti Project Ctr, Fondat Espoir Jenne Ayiti, 75 Angle Rues Faubert &amp; Pinchinat, Petion Ville, Haiti.</t>
  </si>
  <si>
    <t>hanstippen@gmail.com</t>
  </si>
  <si>
    <t>10.1080/13549831003594198</t>
  </si>
  <si>
    <t>V78QU</t>
  </si>
  <si>
    <t>WOS:000212062700007</t>
  </si>
  <si>
    <t>Leitner, A; Wehrmeyer, W; France, C</t>
  </si>
  <si>
    <t>Leitner, Alexander; Wehrmeyer, Walter; France, Chris</t>
  </si>
  <si>
    <t>The impact of regulation and policy on radical eco-innovation The need for a new understanding</t>
  </si>
  <si>
    <t>Innovation; Environmental regulations; Public policy</t>
  </si>
  <si>
    <t>Purpose - This paper aims to review how current policy instruments drive (or not) environmental innovation and, by doing so, to reinvestigate the relationship between innovation and regulation. Design/methodology/approach - A comprehensive literature review on innovation and environmental regulation created a theoretical foundation of the paper. Using the grounded theory, a model was developed and evaluated using interviews. This is a timely topic as the new shape of recent environmental regulation appears to be fairly strict. A new model is presented to encapsulate highly dynamic interaction of environmental innovation and regulation to provide results that reflect on the present innovation behaviour and its implications. Findings - The model highlights various diffusion pathways that are triggered by the main three drivers of innovation namely government (regulation), market (competition and cost) and technology which has the possibility of an autonomous diffusion. Research limitations/implications - The empirical data are limited to 13 qualitative experts' interviews within industry, consultancies and governmental departments. Practical implications - The suggested model is particularly useful for policy makers to better understand the innovation dynamics and its diffusion pathways to design smarter regulations that incentivise rather than force organisations to comply with regulation. Originality/value - The paper shows how regulation drives (or not) innovation and how various diffusion pathways can be used by external stakeholders to direct and promote innovation.</t>
  </si>
  <si>
    <t>[Leitner, Alexander; Wehrmeyer, Walter; France, Chris] Univ Surrey, CES, Guildford, Surrey, England</t>
  </si>
  <si>
    <t>Wehrmeyer, W (corresponding author), Univ Surrey, CES, Guildford, Surrey, England.</t>
  </si>
  <si>
    <t>w.ehrmeyer@surrey.ac.uk</t>
  </si>
  <si>
    <t>10.1108/01409171011085877</t>
  </si>
  <si>
    <t>V98LU</t>
  </si>
  <si>
    <t>WOS:000213401700002</t>
  </si>
  <si>
    <t>Gretzinger, S; Hinz, H; Matiaske, W</t>
  </si>
  <si>
    <t>Gretzinger, Susanne; Hinz, Holger; Matiaske, Wenzel</t>
  </si>
  <si>
    <t>Cooperation in Innovation Networks: The Case of Danish and German SMEs</t>
  </si>
  <si>
    <t>MANAGEMENT REVUE</t>
  </si>
  <si>
    <t>SMEs; innovation; networks; public policy</t>
  </si>
  <si>
    <t>TECHNOLOGY VENTURES; SOCIAL-STRUCTURE; KNOWLEDGE; PERFORMANCE; MECHANISMS</t>
  </si>
  <si>
    <t>Information is a critical resource in innovation processes. External information can be helpful in innovation processes to complete them successfully. SMEs in particular are therefore advised to draw on consulting in innovation processes, as they cannot ensure the necessary information flow internally due to the lesser resources they have compared to larger companies. To promote economically relevant information of SMEs, the public sector provides specific advisory services. These services, however, are rarely utilized compared to direct customer and supplier contacts. From strategic management's point of view, the involvement of intermediaries in the innovation process is accompanied by the risk of losing specific knowledge to the business environment. Based on an empirical comparative study of Danish and German SMEs Danish companies utilize public as well as private consulting services more often - determinants of the usage of business consultancies in innovation processes are elicited.</t>
  </si>
  <si>
    <t>[Gretzinger, Susanne] Univ Southern Denmark, Dept Border Reg Studies, Alsion 2, DK-6400 Sonderborg, Denmark; [Hinz, Holger] Univ Flensburg, Int Inst Management, D-24943 Flensburg, Germany; [Matiaske, Wenzel] Helmut Schmidt Univ, Dept Econ &amp; Social Sci, D-22043 Hamburg, Germany; [Matiaske, Wenzel] German Socio Econ Panel Study DIW SOEP, Berlin, Germany</t>
  </si>
  <si>
    <t>Gretzinger, S (corresponding author), Univ Southern Denmark, Dept Border Reg Studies, Alsion 2, DK-6400 Sonderborg, Denmark.</t>
  </si>
  <si>
    <t>sug@sam.sdu.dk; hinz@uni-flensburg.de; matiaske@hs-hh.de</t>
  </si>
  <si>
    <t>Matiaske, Wenzel/A-2148-2014</t>
  </si>
  <si>
    <t>Matiaske, Wenzel/0000-0003-3542-9707; Gretzinger, Susanne/0000-0002-9770-9301</t>
  </si>
  <si>
    <t>NOMOS VERLAGSGESELLSCHAFT MBH &amp; CO KG</t>
  </si>
  <si>
    <t>BADEN-BADEN</t>
  </si>
  <si>
    <t>WALDSEESTR 3 5, BADEN-BADEN, 76530, GERMANY</t>
  </si>
  <si>
    <t>0935-9915</t>
  </si>
  <si>
    <t>MANAG REVUE</t>
  </si>
  <si>
    <t>Manag. Rev.</t>
  </si>
  <si>
    <t>10.5771/0935-9915-2010-2-193</t>
  </si>
  <si>
    <t>V23DF</t>
  </si>
  <si>
    <t>WOS:000215069400005</t>
  </si>
  <si>
    <t>Butler, B</t>
  </si>
  <si>
    <t>Butler, Beverley</t>
  </si>
  <si>
    <t>'Keys of the Past: Keys to the Future' - A Critical Analysis of the Construction of the Palestinian National Museum Policy as an Alternative Deconstruction of Routinised International Heritage Discourse</t>
  </si>
  <si>
    <t>PRESENT PASTS</t>
  </si>
  <si>
    <t>Writing in a recent issue of The Jerusalem Quarterly, Doumani (2009) is one of a number of critics who in diagnosing the spread of 'archive fever' in Palestine has made the connection between the growing phenomena of a popular 'archival impulse' and the on-going violences (structural, direct, cultural, among many others) synonymous with the occupation of Palestine by Israel. This paper offers a critical reading of one particular intervention within this turbulent yet vital Palestinian archival and heritage context: the process of developing a Palestinian National Museum Policy (PNMP). I argue that the urgent need to reject 'top-down' formatted models synonymous with the heritage 'Holy Trinity' -UN/UNESCO, International consultant(s) and states-party -is paramount as is the need to foster, support and extend the alternative 'bottom up' approach by drawing upon sustained research into relevant heritage networks and to engage with the issues, agendas, needs and 'voices' collecting around the popular expression of 'archive fever'. As described in this paper the beginnings of such a transformed model emerged from PNMP workshop sessions and related discussions but require more dedicated investigation. Certainly this and other comments reiterated by Palestinian voices address the need for new and alternative forms of heritage and museum development strategies and models in local, regional, national and international contexts. What must be concluded from this experience is that the process of constructing the PNMP likewise offered an effective deconstruction of routinised practice and this is something to take forward as a significant outcome and cause for both recognition and cautious optimism. By doing so, dominant heritage discourse, as a site synonymous with structural violence, can be transformed into a more 'just' space of ethics and shared action.</t>
  </si>
  <si>
    <t>[Butler, Beverley] UCL, Inst Archaeol, London, England</t>
  </si>
  <si>
    <t>Butler, B (corresponding author), UCL, Inst Archaeol, London, England.</t>
  </si>
  <si>
    <t>UBIQUITY PRESS LTD</t>
  </si>
  <si>
    <t>6 WINDMILL ST, LONDON, W1T 2JB, ENGLAND</t>
  </si>
  <si>
    <t>1759-2941</t>
  </si>
  <si>
    <t>Present Pasts</t>
  </si>
  <si>
    <t>10.5334/pp.28</t>
  </si>
  <si>
    <t>V8M8Q</t>
  </si>
  <si>
    <t>WOS:000421779900013</t>
  </si>
  <si>
    <t>Urban planning; Urban modelling; Land use transport interaction (LUTI) modelling; Urban form; Compact city; Dispersed city; Developing countries; Ahmedabad; India</t>
  </si>
  <si>
    <t>LAND-USE; PHYSICAL-ACTIVITY; COMPACT-CITY; ACCESSIBILITY; TRANSPORTATION; DENSITY; DESIGN; SPRAWL</t>
  </si>
  <si>
    <t>[Adhvaryu, Bhargav] Univ Cambridge, Dept Architecture, Cambridge CB2 1TN, England; [Adhvaryu, Bhargav] Univ Cambridge, Churchill Coll, Cambridge CB2 1TN, England</t>
  </si>
  <si>
    <t>Adhvaryu, B (corresponding author), Univ Cambridge, Dept Architecture, Cambridge CB2 1TN, England.</t>
  </si>
  <si>
    <t>ba247@yahoo.com</t>
  </si>
  <si>
    <t>607KA</t>
  </si>
  <si>
    <t>Knoppers, BM; Leroux, T; Doucet, H; Godard, B; Laberge, C; Stanton-Jean, M; Fortin, S; Cousineau, J; Monardes, C; Girard, N; Levesque, L; Durand, C; Farmer, Y; Dion-Labrie, M; Bouthillier, ME; Avard, D</t>
  </si>
  <si>
    <t>Knoppers, B. M.; Leroux, T.; Doucet, H.; Godard, B.; Laberge, C.; Stanton-Jean, M.; Fortin, S.; Cousineau, J.; Monardes, C.; Girard, N.; Levesque, L.; Durand, C.; Farmer, Y.; Dion-Labrie, M.; Bouthillier, M. -E.; Avard, D.</t>
  </si>
  <si>
    <t>Framing Genomics, Public Health Research and Policy: Points to Consider</t>
  </si>
  <si>
    <t>PUBLIC HEALTH GENOMICS</t>
  </si>
  <si>
    <t>Access; Genomics research; Governance; Privacy; Public health; Public participation; Stakeholder perceptions; State powers</t>
  </si>
  <si>
    <t>POPULATION HEALTH; CHALLENGES; GENETICS</t>
  </si>
  <si>
    <t>Genetic information can be used to target interventions that improve health and prevent disease. Indeed, the results of population genomics research could be useful for public health and national pandemic plans. Yet, firm scientific evidence originating from such research and the indicators of the role of health determinants, gene-gene and gene-environment interaction remain to be assessed and validated before being integrated into pandemic plans or public health programmes. It is not clear what is the role of the State in research on the elucidation of the determinants of gene-gene and gene-environment interactions and how, when, and if such data can be accessed and used for such planning. Over a period of 3 years, we sought to address these questions by gathering data and literature relevant to research in public health genomics, preparing issues papers and, finally, consulting with stakeholders on a provisional 'points to consider' document at various times. Examining in turn the issues of privacy, State powers, stakeholder perceptions, and public participation, we propose in this article, for each of these themes, a series of recommendations aiming to provide guidance on the role of the State in the use of genomic information for public health research, prevention and planning. Copyright (C) 2010 S. Karger AG, Basel</t>
  </si>
  <si>
    <t>[Knoppers, B. M.] McGill Univ, Ctr Genom &amp; Policy, Fac Med, Dept Human Genet, Montreal, PQ H3A 1A4, Canada; [Leroux, T.; Stanton-Jean, M.; Fortin, S.; Cousineau, J.; Monardes, C.; Girard, N.] Univ Montreal, Ctr Rech Droit Publ, Montreal, PQ, Canada; [Doucet, H.; Godard, B.; Levesque, L.; Durand, C.] Univ Montreal, Programmes Bioeth, Montreal, PQ, Canada; [Farmer, Y.; Dion-Labrie, M.; Bouthillier, M. -E.] Univ Montreal, Grp Rech Eth Biomed, Montreal, PQ, Canada; [Laberge, C.] Univ Laval, Ste Foy, PQ, Canada</t>
  </si>
  <si>
    <t>Knoppers, BM (corresponding author), McGill Univ, Ctr Genom &amp; Policy, Fac Med, Dept Human Genet, 740 Dr Penfield Ave,Room 5214, Montreal, PQ H3A 1A4, Canada.</t>
  </si>
  <si>
    <t>bartha.knoppers@mcgill.ca</t>
  </si>
  <si>
    <t>Godard, Beatrice/N-6992-2019</t>
  </si>
  <si>
    <t>Genome Quebec; Genome Canada</t>
  </si>
  <si>
    <t>Genome Quebec; Genome Canada(Genome Canada)</t>
  </si>
  <si>
    <t>The authors appreciate the contributions of our international advisory committee and our collaborators as well as study participants, experts, and students. We appreciate the financial support of Genome Quebec and Genome Canada via the grant 'Genomics and Public Health: Building Public Goods?' The authors acknowledge the contribution of Ma'n H. Abdul-Rahman, Professional Associate, to the final draft of this article.</t>
  </si>
  <si>
    <t>KARGER</t>
  </si>
  <si>
    <t>ALLSCHWILERSTRASSE 10, CH-4009 BASEL, SWITZERLAND</t>
  </si>
  <si>
    <t>1662-4246</t>
  </si>
  <si>
    <t>1662-8063</t>
  </si>
  <si>
    <t>PUBLIC HEALTH GENOM</t>
  </si>
  <si>
    <t>Pub. Health Genomics</t>
  </si>
  <si>
    <t>10.1159/000279624</t>
  </si>
  <si>
    <t>Genetics &amp; Heredity; Public, Environmental &amp; Occupational Health</t>
  </si>
  <si>
    <t>584PU</t>
  </si>
  <si>
    <t>WOS:000276765500005</t>
  </si>
  <si>
    <t>Marsden, G; Frick, KT; May, AD; Deakin, E</t>
  </si>
  <si>
    <t>Marsden, Greg; Frick, Karen Trapenberg; May, Anthony D.; Deakin, Elizabeth</t>
  </si>
  <si>
    <t>Transfer of Innovative Policies Between Cities to Promote Sustainability Case Study Evidence</t>
  </si>
  <si>
    <t>This paper describes how cities approach the challenging task of identifying, considering, and adopting innovative transport policies. Drawing on political science literature, the paper begins by establishing a framework for analyzing the process of policy transfer and policy learning. Cities were selected on the basis of their reputation for having adopted innovative policies. Data were collected from project reports and in-depth interviews with 40 professionals comprising planners, consultants, and operators in 11 cities across North America and northern Europe. This paper presents the findings from three key innovations: congestion charging, compact growth and transport planning, and carsharing. Each of these innovations was implemented at several sites, and there was evidence of learning across the sites studied. The case studies present a discussion of each policy alongside indications of its positive and negative impacts and then examine how the different cities approached the task of learning about how to introduce it and the issues that they faced. The paper identifies conditions that appear to support effective learning: reliance on strong networks of personal and professional contacts, drawing lessons from multiple sites, and financial and institutional support to facilitate the uptake of risky or technologically immature innovations.</t>
  </si>
  <si>
    <t>[Frick, Karen Trapenberg] Univ Calif Transportat Ctr, Berkeley, CA 94720 USA; [Marsden, Greg; May, Anthony D.] Univ Leeds, Inst Transport Studies, Leeds LS2 9JT, W Yorkshire, England; [Deakin, Elizabeth] Univ Calif Berkeley, Dept City &amp; Reg Planning, Berkeley, CA 94720 USA</t>
  </si>
  <si>
    <t>Frick, KT (corresponding author), Univ Calif Transportat Ctr, 2614 Dwight Way, Berkeley, CA 94720 USA.</t>
  </si>
  <si>
    <t>kfrick@berkeley.edu</t>
  </si>
  <si>
    <t>Marsden, Greg/0000-0003-3570-2793</t>
  </si>
  <si>
    <t>Volvo Research and Educational Foundations; California Department of Transportation; U.S. Department of Transportation</t>
  </si>
  <si>
    <t>The authors thank the Volvo Research and Educational Foundations for funding the research from which the findings presented here are drawn. Support from the University of Leeds and the University of California Transportation Center, funded by the California Department of Transportation and the U.S. Department of Transportation, is also gratefully acknowledged. The authors also greatly appreciate the comments of four anonymous peer reviewers.</t>
  </si>
  <si>
    <t>10.3141/2163-10</t>
  </si>
  <si>
    <t>686WQ</t>
  </si>
  <si>
    <t>WOS:000284728800011</t>
  </si>
  <si>
    <t>[Juepner, Robert] Tech Univ Kaiserslautern, FG Wasserbau &amp; Wasserwirtschaft, D-67663 Kaiserslautern, Germany; [Mueller, Uwe] Sachs Landesamt Umwelt Landwirtschaft &amp; Geol, Abt Wasser, D-01109 Dresden, Germany</t>
  </si>
  <si>
    <t>Jupner, R (corresponding author), Tech Univ Kaiserslautern, FG Wasserbau &amp; Wasserwirtschaft, Paul Ehrlich Str 14, D-67663 Kaiserslautern, Germany.</t>
  </si>
  <si>
    <t>juepner@rhrk.uni-kl.de; Uwe.Mueller@smul.sachsen.de</t>
  </si>
  <si>
    <t>SPRINGER VIEWEG-SPRINGER FACHMEDIEN WIESBADEN GMBH</t>
  </si>
  <si>
    <t>WIESBADEN</t>
  </si>
  <si>
    <t>ABRAHAM-LINCOLN STASSE 46, WIESBADEN, 65189, GERMANY</t>
  </si>
  <si>
    <t>WasserWirtschaft</t>
  </si>
  <si>
    <t>682XH</t>
  </si>
  <si>
    <t>Effectiveness; Efficiency; Indicators; Infrastructure; Water institutions</t>
  </si>
  <si>
    <t>REGULATORY REFORM</t>
  </si>
  <si>
    <t>Natl Univ Singapore, Lee Kuan Yew Sch Publ Policy, Singapore 259772, Singapore</t>
  </si>
  <si>
    <t>Araral, E (corresponding author), Natl Univ Singapore, Lee Kuan Yew Sch Publ Policy, 469C Bukit Timah Rd,Oei Tiong Ham Bldg, Singapore 259772, Singapore.</t>
  </si>
  <si>
    <t>sppaej@nus.edu.sg</t>
  </si>
  <si>
    <t>Eduardo, Araral/0000-0001-7665-616X; Araral, Eduardo/0000-0002-9309-1866</t>
  </si>
  <si>
    <t>574UM</t>
  </si>
  <si>
    <t>Integrated river basin management; Integrated water resources management; Performance indicators; River basin organizations</t>
  </si>
  <si>
    <t>WATER-RESOURCES MANAGEMENT; CATCHMENT MANAGEMENT; AFRICA</t>
  </si>
  <si>
    <t>[Hooper, Bruce] DHI, Brisbane, Qld, Australia; [Hooper, Bruce] USA Corps Engn, IWR, Alexandria, VA USA</t>
  </si>
  <si>
    <t>Hooper, B (corresponding author), DHI, Brisbane, Qld, Australia.</t>
  </si>
  <si>
    <t>bph@dhigroup.com</t>
  </si>
  <si>
    <t>Hooper, Bruce/AAV-5155-2021</t>
  </si>
  <si>
    <t>US Army Corps of Engineers; Institute of Water Resources, Alexandria, Virginia, USA; US Corps of Engineers Institute of Water Resources (Hooper) [2006]</t>
  </si>
  <si>
    <t>US Army Corps of Engineers(United States Department of DefenseUnited States Army); Institute of Water Resources, Alexandria, Virginia, USA; US Corps of Engineers Institute of Water Resources (Hooper)</t>
  </si>
  <si>
    <t>The author wishes to thank anonymous reviewers for comments on earlier drafts of this paper. The comments and opinions presented here remain solely those of the author. The author wishes to acknowledge the staff of the Delaware River Basin Commission for their input in field testing the indicators reported in this paper. Funding for the research reported in this paper was provided by the US Army Corps of Engineers, Institute of Water Resources, Alexandria, Virginia, USA, under a Universities' Council on Water Resources Water Studies Fellowship. The work reported in this paper is derived from a fellowship with the US Corps of Engineers Institute of Water Resources (Hooper, 2006).</t>
  </si>
  <si>
    <t>638GR</t>
  </si>
  <si>
    <t>Occupational health and safety; rehabilitation; prevention; occupational therapy; physiotherapy; work related practice</t>
  </si>
  <si>
    <t>DISABILITY MANAGEMENT PRACTICE; KNOWLEDGE; STUDENTS</t>
  </si>
  <si>
    <t>[Adam, Kerry; Lyle, Alexandra] Univ Queensland, UQ Work Serv Clin, Sch Hlth &amp; Rehabil Sci, Brisbane, Qld, Australia; [Gibson, Elizabeth; Strong, Jenny] Univ Queensland, Div Occupat Therapy, Sch Hlth &amp; Rehabil Sci, Brisbane, Qld, Australia</t>
  </si>
  <si>
    <t>Adam, K (corresponding author), Univ Queensland, UQ Work Serv Clin, Sch Hlth &amp; Rehabil Sci, Sir Fred Schonell Dr, St Lucia, Qld 4072, Australia.</t>
  </si>
  <si>
    <t>k.adam@uq.edu.au</t>
  </si>
  <si>
    <t>WORK</t>
  </si>
  <si>
    <t>Work</t>
  </si>
  <si>
    <t>634CP</t>
  </si>
  <si>
    <t>Conservation priorities; Conservation responsibility; Target species; Landscape planning; Habitat models; Habitat networks</t>
  </si>
  <si>
    <t>BIODIVERSITY HOTSPOTS; LOCAL-COMMUNITIES; RED LISTS; POPULATION; LANDSCAPES; PROTECTION; NETWORKS; DYNAMICS; UMBRELLA; MODEL</t>
  </si>
  <si>
    <t>[Jooss, Ruediger; Kaule, Giselher] Univ Stuttgart, Inst Landscape Planning &amp; Ecol, D-70174 Stuttgart, Germany; [Trautner, Juergen; Hermann, Gabriel] Working Grp Anim Ecol &amp; Planning, D-70794 Filderstadt, Germany</t>
  </si>
  <si>
    <t>Jooss, R (corresponding author), Univ Stuttgart, Inst Landscape Planning &amp; Ecol, Keplerstr 11, D-70174 Stuttgart, Germany.</t>
  </si>
  <si>
    <t>rj@ilpoe.uni-stuttgart.de; geissler-strobel@t-online.de; gk@ilpoe.uni-stuttgart.de</t>
  </si>
  <si>
    <t>Trautner, Jurgen/0000-0003-0175-6259</t>
  </si>
  <si>
    <t>State's Ministry for Food and Rural Area; State Agency of Environment; Measurements and Nature Conservation of Baden-Wuerttemberg</t>
  </si>
  <si>
    <t>The presented project was financed by the State's Ministry for Food and Rural Area and conducted in close cooperation with the State Agency of Environment, Measurements and Nature Conservation of Baden-Wuerttemberg. We are grateful to the many fauna experts who provided their clatasets to be used in the development and validation of the presented approach. The 'Information System Target Species Concept Baden-Wuerttemberg' is accessible via the URL: http://www2.lubw.baden-wuerttemberg.de/public/abt5/zak/.</t>
  </si>
  <si>
    <t>527MG</t>
  </si>
  <si>
    <t>Craig, CJ</t>
  </si>
  <si>
    <t>Craig, Cheryl J.</t>
  </si>
  <si>
    <t>The Contested Classroom Space: A Decade of Lived Educational Policy in Texas Schools</t>
  </si>
  <si>
    <t>AMERICAN EDUCATIONAL RESEARCH JOURNAL</t>
  </si>
  <si>
    <t>classroom space; lived educational policy; teacher as curriculum maker; students; narrative inquiry</t>
  </si>
  <si>
    <t>TEACHER KNOWLEDGE; CURRICULUM; STORIES; REFORM; ACCOUNTABILITY</t>
  </si>
  <si>
    <t>In this article, examples excerpted from research studies conducted in Houston, Texas, the fourth largest city in the United States, are used to demonstrate how the discretionary classroom space where teachers and students actively live curriculum-guided, though, not controlled, by official documents and administrative oversight-has become increasingly disputed. Through meta-level narrative analysis, excerpts from several accounts that elucidate different manifestations of the contested classroom space in multiple school contexts are woven together. In the process, the ways that teachers, principals parents, professors, consultants, district personnel, the media, researchers, and students contributed to the contentious environment are explicated. Also, versions of curriculum and instruction that increased the contestation are named. As a result, changes that teachers and students lived in classrooms from 1997 to 2007, the decade when educational policy making in Texas served as the prototype for the U.S. No Child Left Behind Act, are characterized.</t>
  </si>
  <si>
    <t>Univ Houston, Houston, TX 77204 USA</t>
  </si>
  <si>
    <t>Craig, CJ (corresponding author), Univ Houston, 304E Farish Hall, Houston, TX 77204 USA.</t>
  </si>
  <si>
    <t>ccraig@uh.edu</t>
  </si>
  <si>
    <t>Craig, Cheryl J./AAT-8048-2020</t>
  </si>
  <si>
    <t>Craig, Cheryl J./0000-0002-3190-9116</t>
  </si>
  <si>
    <t>0002-8312</t>
  </si>
  <si>
    <t>AM EDUC RES J</t>
  </si>
  <si>
    <t>Am. Educ. Res. J.</t>
  </si>
  <si>
    <t>10.3102/0002831209334843</t>
  </si>
  <si>
    <t>521ZF</t>
  </si>
  <si>
    <t>WOS:000271964600006</t>
  </si>
  <si>
    <t>Logistics; Warehousing; Distribution centres; Land use; UK</t>
  </si>
  <si>
    <t>Heriot Watt Univ, Logist Res Ctr, Edinburgh EH14 4AS, Midlothian, Scotland</t>
  </si>
  <si>
    <t>McKinnon, A (corresponding author), Heriot Watt Univ, Logist Res Ctr, Edinburgh EH14 4AS, Midlothian, Scotland.</t>
  </si>
  <si>
    <t>A.C.McKinnon@hw.ac.uk</t>
  </si>
  <si>
    <t>564OD</t>
  </si>
  <si>
    <t>IPM transition; codling moth; mating disruption; azinphosmethyl</t>
  </si>
  <si>
    <t>CODLING MOTH LEPIDOPTERA; TORTRICIDAE; RESISTANCE; MANAGEMENT; STATES</t>
  </si>
  <si>
    <t>[Weddle, Patrick W.] Pacific Biocontrol Corp, Placerville, CA 95667 USA; [Welter, Stephen C.] Univ Calif Berkeley, Berkeley, CA 94720 USA; [Thomson, Don] DJS Consulting, Seattle, WA USA</t>
  </si>
  <si>
    <t>Weddle, PW (corresponding author), Pacific Biocontrol Corp, Placerville, CA 95667 USA.</t>
  </si>
  <si>
    <t>pweddle@igc.org</t>
  </si>
  <si>
    <t>JOHN WILEY &amp; SONS LTD</t>
  </si>
  <si>
    <t>CHICHESTER</t>
  </si>
  <si>
    <t>THE ATRIUM, SOUTHERN GATE, CHICHESTER PO19 8SQ, W SUSSEX, ENGLAND</t>
  </si>
  <si>
    <t>PEST MANAG SCI</t>
  </si>
  <si>
    <t>Pest Manag. Sci.</t>
  </si>
  <si>
    <t>Agronomy; Entomology</t>
  </si>
  <si>
    <t>Agriculture; Entomology</t>
  </si>
  <si>
    <t>522IN</t>
  </si>
  <si>
    <t>Knowledge brokering; Environmental policy; Decision aiding frames; Policy problems; Policy settings</t>
  </si>
  <si>
    <t>NORTH-AMERICAN WATERFOWL; SENSE-MAKING; SCIENCE; RESILIENCE; BOUNDARY; INFORMATION; HISTORY; MANAGEMENT; LESSONS; COMPLEX</t>
  </si>
  <si>
    <t>Univ Nebraska, Dept Polit Sci, Lincoln, NE 68588 USA</t>
  </si>
  <si>
    <t>Michaels, S (corresponding author), Univ Nebraska, Dept Polit Sci, 533 Oldfather Hall, Lincoln, NE 68588 USA.</t>
  </si>
  <si>
    <t>michaels2@unl.edu</t>
  </si>
  <si>
    <t>Environment Canada; Canadian Water Network; Canada Foundation for Innovation</t>
  </si>
  <si>
    <t>Environment Canada(CGIAR); Canadian Water Network; Canada Foundation for Innovation(Canada Foundation for InnovationCGIAR)</t>
  </si>
  <si>
    <t>An earlier version of this paper was prepared for the invitational workshop on brokering knowledge for the environment, September 17-20, 2007, L'Auberge du lac a la loutre, Huberdeau, Quebec, Canada. The workshop was made possible with the support of Environment Canada, the Canadian Water Network and the Canada Foundation for Innovation. Thanks go to the other workshop participants and in particular to Shealagh Pope, Indian and Northern Affairs Canada, formerly with Environment Canada for her insightful comments on earlier drafts, Andrew J. Tyre, University of Nebraska, Stephen Dovers, Australian National University and two anonymous reviewers.</t>
  </si>
  <si>
    <t>526KQ</t>
  </si>
  <si>
    <t>Guerin, TF</t>
  </si>
  <si>
    <t>Guerin, Turlough F.</t>
  </si>
  <si>
    <t>An Assessment and Ranking of Barriers to Doing Environmental Business with China</t>
  </si>
  <si>
    <t>corporate environmental management; China; technology; freetrade agreement; renewable energy; intellectual property; environmental consultants; training; environmental education; marketing; international trade</t>
  </si>
  <si>
    <t>REMEDIATION; TECHNOLOGY; INDUSTRY; INTERNET; SOIL</t>
  </si>
  <si>
    <t>The transfer of environmental goods and services to China will increasingly be of importance to developed nations as the demand for environmental management services increases in China. A review of the literature on technology transfer to China revealed a range of well recognized and commonly known constraints to transferring technologies to China. There were gaps in the literature in relation to the concerns that environmental professionals have regarding technology transfer to China, as there is limited information on the transfer in environmental goods and services to China. A survey of the non-trade barriers and their practical impact on the transfer of environmental technologies and goods and services to China, focusing on Australian suppliers, was undertaken to address these gaps. The survey, which was developed from barriers to technology transfer already described in the extensive research addressing the wider issues of technology transfer to China, targeted environmental professionals but also included other professionals with interests in transferring environmental goods and services to China. From the survey, the highest priority barriers to transferring environmental goods and service to China were identified, and those that are most likely to limit Australian vendors of environmental goods and services in their technology transfers to China were protection of intellectual property (IP), limitations of the rule of law, fragmentation and bureaucracy of the Chinese government and establishing appropriate level of ownership (of environmental goods and services providers in China). Examples of Australian experience were also examined, which confirmed these barriers to providing the needed technology and innovation to manage China's increasing environmental impacts. The research also shows that the barriers identified do not appear to be unique to transfer of environmental goods and services but rather generic to the transfer and adoption of Australian technology into China. Copyright (C) 2007 John Wiley &amp; Sons, Ltd and ERP Environment.</t>
  </si>
  <si>
    <t>Telstra Corp Ltd, Melbourne, Vic 3000, Australia</t>
  </si>
  <si>
    <t>Guerin, TF (corresponding author), Telstra Corp Ltd, L33-242 Exhibit St, Melbourne, Vic 3000, Australia.</t>
  </si>
  <si>
    <t>turlough.guerin@hotmail.com</t>
  </si>
  <si>
    <t>COMMERCE PLACE, 350 MAIN STREET, MALDEN, MA 02148-529 USA</t>
  </si>
  <si>
    <t>10.1002/bse.605</t>
  </si>
  <si>
    <t>V16XS</t>
  </si>
  <si>
    <t>WOS:000207902900003</t>
  </si>
  <si>
    <t>comparative perspective; continuous improvement; customer satisfaction; innovation; Korean government; quality control; quality management; reform; total quality management</t>
  </si>
  <si>
    <t>SERVICE QUALITY; TQM; PERFORMANCE; CUSTOMER; CIRCLES</t>
  </si>
  <si>
    <t>[Kim, Pan Suk] Yonsei Univ, Inst Reg Studies &amp; Dev, Seoul 120749, South Korea; [Kim, Pan Suk] Yonsei Univ, Coll Govt &amp; Business, Seoul 120749, South Korea</t>
  </si>
  <si>
    <t>Kim, PS (corresponding author), Yonsei Univ, Inst Reg Studies &amp; Dev, Seoul 120749, South Korea.</t>
  </si>
  <si>
    <t>INT REV ADM SCI</t>
  </si>
  <si>
    <t>Int. Rev. Adm. Sci.</t>
  </si>
  <si>
    <t>502MW</t>
  </si>
  <si>
    <t>Cho, BJ; Son, E</t>
  </si>
  <si>
    <t>Cho, Bong Jin; Son, Eunsuk</t>
  </si>
  <si>
    <t>The Role Dynamics of the IKED, Government Agencies, Supporting Institutes, and Incubation Centers in Korea</t>
  </si>
  <si>
    <t>ASIA PACIFIC JOURNAL OF INNOVATION AND ENTREPRENEURSHIP</t>
  </si>
  <si>
    <t>IKED; Infrastructure Building Programs; High-tech Based Start-ups; Lab-Based Start-ups; Idea Development Programs; Supporting Institutes; and Self-sustainability</t>
  </si>
  <si>
    <t>Korean incubation activities began in 1991, initiated by the Korea Institute of Technology (KeTECH) using a project based method. 1 In 1993, the first private incubator was launched by Jungbu Industrial Consulting Inc. In the same year, the first public incubator, Ansan Business Incubator, opened its doors. The major business incubation activities and policies of Korea were initiated by the government while facing the IMF monetary crisis in 1997 to create jobs, revitalize the local economy, and develop national innovation systems. To make it effective, the former KOBIA was restructured to form the Institute of Korea Entrepreneurship Development (IKED). For the local industry and technology development as well as revitalizing local economy, the Korea Association of Technoparks is the authority in charge. Under the support of the SMBA, the major programs promoted by the IKED are the 1) Infrastructure Building Programs for Hightech-based Start-ups, 2) Special Programs for Lab-based Start-ups, 3) Idea Development Programs, and 4) Tomorrow's Tech-based Entrepreneur Development Programs. The increased capability of the managers and directors would expedite the development of innovation systems and national economy through the creation of self sustainable incubators in the long run.</t>
  </si>
  <si>
    <t>[Cho, Bong Jin] Keimyung Univ, APJIE, Daegu, South Korea; [Cho, Bong Jin] Keimyung Univ, Eui Yang Coll Business Adm, Mkt, Daegu, South Korea; [Son, Eunsuk] Keimyung Univ, Coll Business Adm, Daegu, South Korea</t>
  </si>
  <si>
    <t>Cho, BJ (corresponding author), Keimyung Univ, APJIE, Daegu, South Korea.</t>
  </si>
  <si>
    <t>bjcho@kmu.ac.kr; nos27689@kmu.ac.kr</t>
  </si>
  <si>
    <t>2071-1395</t>
  </si>
  <si>
    <t>2398-7812</t>
  </si>
  <si>
    <t>ASIA PAC J INNOV ENT</t>
  </si>
  <si>
    <t>Asia Pac. J. Innov. Entrep.</t>
  </si>
  <si>
    <t>VC3EG</t>
  </si>
  <si>
    <t>WOS:000433667500005</t>
  </si>
  <si>
    <t>institutional theory; neoliberalism; new professionalism; new public management; postindustrial society; professional accountability</t>
  </si>
  <si>
    <t>GLOBALIZATION</t>
  </si>
  <si>
    <t>[Leicht, Kevin T.] Univ Iowa, Dept Sociol, Iowa City, IA 52242 USA; [Leicht, Kevin T.] Univ Iowa, Inst Inequal Studies, Iowa City, IA 52242 USA; [Walter, Tony] Univ Bath, Dept Social &amp; Policy Sci, Bath BA2 7AY, Avon, England; [Sainsaulieu, Ivan] LISE CNRS, F-75017 Paris, France; [Davies, Scott] McMaster Univ, Dept Sociol, Hamilton, ON L8S 4M4, Canada</t>
  </si>
  <si>
    <t>Leicht, KT (corresponding author), Univ Iowa, Dept Sociol, Iowa City, IA 52242 USA.</t>
  </si>
  <si>
    <t>Kevin-leicht@uiowa.edu; jaw34@bath.ac.uk; isainsau@iresco.fr; daviesrs@mcmaster.ca</t>
  </si>
  <si>
    <t>CURR SOCIOL</t>
  </si>
  <si>
    <t>Curr. Sociol.</t>
  </si>
  <si>
    <t>466BP</t>
  </si>
  <si>
    <t>consulting; knowing; knowledge transfer; practice-based theories; situated knowledge; situated learning</t>
  </si>
  <si>
    <t>ORGANIZATIONAL KNOWLEDGE; MANAGEMENT CONSULTANCY; POWER; POLITICS; TRANSLATION; FIRMS; INFORMATION; AFFORDANCES; AMBIGUITY; PARASITES</t>
  </si>
  <si>
    <t>[Hicks, Jeff; Wilderom, Celeste P. M.] Univ Twente, Enschede, Netherlands</t>
  </si>
  <si>
    <t>Hicks, J (corresponding author), POB 217, NL-7500 AE Enschede, Netherlands.</t>
  </si>
  <si>
    <t>j.n.hicks@utwente.nl; padmakumar.nair@gmail.com; c.p.m.wilderom@utwente.nl</t>
  </si>
  <si>
    <t>MANAGE LEARN</t>
  </si>
  <si>
    <t>Manage. Learn.</t>
  </si>
  <si>
    <t>456UL</t>
  </si>
  <si>
    <t>Seidel, A; Mohrbach, L</t>
  </si>
  <si>
    <t>Seidel, Andre; Mohrbach, Ludger</t>
  </si>
  <si>
    <t>Preservation of Competence and Cooperation with Universities Initiatives of German Nuclear Power Plant Operators to Further Know-how and Competence Preservation</t>
  </si>
  <si>
    <t>Nuclear power plants and nuclear technology offer graduates of technical and scientific university disciplines ambitious challenges in an attractive working environment. Irrespective of the politically motivated opt-out of the peaceful use of nuclear power in Germany, nuclear industry will continue to need motivated and committed young scientists and engineers for the next few decades. They contribute to the success of nuclear power plant operators, manufacturers, and consulting institutions. German nuclear power plant operators promote institutions of learning and research focusing on nuclear topics by means of a coordinated initiative. In this way, they contribute to preserving competence, attracting young scientists and engineers, and expanding research and development in Germany beyond the confines of specific topics. VGB Power Tech e.V. (VGB) supports operators in organizing these activities also by establishing subject-related working parties as a platform for exchanging information and harmonizing specific measures.</t>
  </si>
  <si>
    <t>[Seidel, Andre; Mohrbach, Ludger] VGB PowerTech eV, D-45136 Essen, Germany</t>
  </si>
  <si>
    <t>Seidel, A (corresponding author), VGB PowerTech eV, Klinkestr 27-31, D-45136 Essen, Germany.</t>
  </si>
  <si>
    <t>ROBERT-KOCH-PLATZ 4, BERLIN, 10115, GERMANY</t>
  </si>
  <si>
    <t>503YU</t>
  </si>
  <si>
    <t>WOS:000270579500007</t>
  </si>
  <si>
    <t>Tehrani, H; Juma, A; Lambe, G; James, MI</t>
  </si>
  <si>
    <t>Tehrani, H.; Juma, A.; Lambe, G.; James, M. I.</t>
  </si>
  <si>
    <t>The risk of eye splash in burn surgery</t>
  </si>
  <si>
    <t>BURNS</t>
  </si>
  <si>
    <t>Burn; Surgery; Eye splash; Goggles; Eyeware</t>
  </si>
  <si>
    <t>TRANSURETHRAL RESECTION; BLOOD SPLASHES; CONTAMINATION; MASKS</t>
  </si>
  <si>
    <t>Although the incidence of eye splash injury has been assessed for a number of surgical specialities, such risks posed to the burn surgeon have not been previously quantified. During 100 consecutive procedures the operating burns team wore a clean set of goggles, counting the number of blood splashes on the goggles after each procedure. During this study there were 47 cases of potential eye splash injury, although the individual was only aware of 2 of these intra-operatively. Seven of the splashes involved more than 6 blood droplets on the goggles. The consultant burn surgeon was the most likely to be splashed, sustaining a potential injury in over half cases operated upon. Procedures greater than 45 min in length were more likely to result in a splash than those shorter than 45 min. We recommend that eye protection should be used either in the form of goggles or a visor and should encompass all burn theatre cases as a matter of policy. (C) 2008 Elsevier Ltd and ISBI. All rights reserved.</t>
  </si>
  <si>
    <t>[Tehrani, H.; Juma, A.; Lambe, G.; James, M. I.] Whiston Hosp NHS Trust, Mersey Reg Burns &amp; Plast Surg Ctr, Prescot L35 5DR, Merseyside, England</t>
  </si>
  <si>
    <t>Tehrani, H (corresponding author), Whiston Hosp, Dept Plast Surg, Warrington Rd, Liverpool, Merseyside, England.</t>
  </si>
  <si>
    <t>contact@hamidtehrani.com</t>
  </si>
  <si>
    <t>0305-4179</t>
  </si>
  <si>
    <t>1879-1409</t>
  </si>
  <si>
    <t>Burns</t>
  </si>
  <si>
    <t>10.1016/j.burns.2008.08.008</t>
  </si>
  <si>
    <t>Critical Care Medicine; Dermatology; Surgery</t>
  </si>
  <si>
    <t>General &amp; Internal Medicine; Dermatology; Surgery</t>
  </si>
  <si>
    <t>442VE</t>
  </si>
  <si>
    <t>WOS:000265867900017</t>
  </si>
  <si>
    <t>Association of Southeast Asian Nations (ASEAN); Trans-ASEAN gas pipeline (TAGP) network; Natural gas pipelines</t>
  </si>
  <si>
    <t>Natl Univ Singapore, Lee Kuan Yew Sch Publ Policy, Ctr Asia &amp; Globalisat, Energy Governance Program, Singapore 117548, Singapore</t>
  </si>
  <si>
    <t>Sovacool, BK (corresponding author), Natl Univ Singapore, Lee Kuan Yew Sch Publ Policy, Ctr Asia &amp; Globalisat, Energy Governance Program, Singapore 117548, Singapore.</t>
  </si>
  <si>
    <t>bsovacool@nus.edu.sg</t>
  </si>
  <si>
    <t>Singaporean Ministry of Education [T208A4109]</t>
  </si>
  <si>
    <t>Singaporean Ministry of Education(Ministry of Education, Singapore)</t>
  </si>
  <si>
    <t>The author is appreciative to the Centre on Asia and Globalisation for the financial assistance (and moral support) needed to conduct the research interviews, field research, and travel for this project. More than 100 research interviews were carried out by the author and Dr. Toby J. Carroll over the course of one year. While all research interviews have been carefully transcribed for accuracy, to ensure confidentiality, their sources are listed here as anonymous. The author is also grateful to the Singaporean Ministry of Education for Grant T208A4109, which has supported elements of the work reported here under the Project on Energy Policy and Governance, headed by Professor Ann M. Florini. Any opinions, findings, and conclusions or recommendations expressed in this material are those of the author and do not necessarily reflect the views of the Centre on Asia and Globalisation or the Singaporean Ministry of Education.</t>
  </si>
  <si>
    <t>448AK</t>
  </si>
  <si>
    <t>ESTIMATE HARVEST INDEX; FIELD-GROWN SUNFLOWER; SOIL-WATER; LEAF EXPANSION; USE EFFICIENCY; GAS-EXCHANGE; EVAPORATION; BALANCE; PARAMETERIZATION; AVAILABILITY</t>
  </si>
  <si>
    <t>[Steduto, Pasquale] UN, FAO, Land &amp; Water Div, Rome, Italy; [Hsiao, Theodore C.] Univ Calif Davis, Dept Land Air &amp; Water Resources, Davis, CA 95616 USA; [Raes, Dirk] KU Leuven Univ, Dept Earth &amp; Environm Sci, Louvain, Belgium; [Fereres, Elias] Univ Cordoba, E-14071 Cordoba, Spain; [Fereres, Elias] IAS CSIC, Madrid, Spain</t>
  </si>
  <si>
    <t>Steduto, P (corresponding author), UN, FAO, Land &amp; Water Div, Rome, Italy.</t>
  </si>
  <si>
    <t>pasquale.steduto@fao.org</t>
  </si>
  <si>
    <t>443GW</t>
  </si>
  <si>
    <t>Neumann, WP; Ekman, M; Winkel, J</t>
  </si>
  <si>
    <t>Neumann, W. Patrick; Ekman, Marianne; Winkel, Jorgen</t>
  </si>
  <si>
    <t>Integrating ergonomics into production system development - The Volvo Powertrain case</t>
  </si>
  <si>
    <t>APPLIED ERGONOMICS</t>
  </si>
  <si>
    <t>Production system design; Organisational development; Human factors intervention; Macroergonomics</t>
  </si>
  <si>
    <t>MUSCULOSKELETAL DISORDERS; PARTICIPATORY ERGONOMICS; ENGINEERING DESIGN; SAFETY CLIMATE; ASSEMBLY WORK; SPECIAL-ISSUE; SOFT SYSTEMS; PROGRAM; PERSPECTIVE; MANAGEMENT</t>
  </si>
  <si>
    <t>Understanding the barriers and assists to integrating ergonomics into production system design remains a research issue. An action research case study at Volvo Powertrain/Sweden was conducted. Researchers worked collaboratively with the firm in efforts to improve the company's ability to handle ergonomics in their daily work of improving and developing production systems. Researchers observed and reflected collectively on the change process using field notes and recordings to support their observations. Observed integration barriers included both individual level issues like life events, and organisational aspects such as communication barriers between groups or assignment of tasks to people not involved in decision-making. Observed assists included the 'political reflective navigation'(c.f. Broberg, O., Hermund, L, 2004. The OHS consultant as a 'political reflective navigator' in technological change processes. International journal of Industrial Ergonomics 33 (4), 315-326) by the project owner to find new ways to overcome barriers and anchor ergonomics into the organisation. While special 'ergonomics' groups did not survive long, progress was observed in including ergonomics in regular design groups. A cross-functional workshop that fostered discussion across organisational boundaries helped shift focus from retrofitting systems to future production systems and improve engagement of engineering teams. Progress was marked by both success and setbacks and full integration appears to require more than 2 years time. it is concluded that support by senior managers should include succession planning for personnel that are key to the change effort. (C) 2008 Elsevier Ltd. All rights reserved.</t>
  </si>
  <si>
    <t>[Neumann, W. Patrick] Ryerson Univ, Dept Mech &amp; Ind Engn, Toronto, ON M5B 2K3, Canada; [Ekman, Marianne] Swedish Royal Inst Technol, Stockholm, Sweden; [Winkel, Jorgen] Natl Res Ctr Working Environm, Copenhagen, Denmark; [Winkel, Jorgen] Univ Gothenburg, Dept Work Sci, Gothenburg, Sweden</t>
  </si>
  <si>
    <t>Neumann, WP (corresponding author), Ryerson Univ, Dept Mech &amp; Ind Engn, 350 Victoria St, Toronto, ON M5B 2K3, Canada.</t>
  </si>
  <si>
    <t>pneumann@ryerson.ca</t>
  </si>
  <si>
    <t>Neumann, Patrick/0000-0002-1560-3870</t>
  </si>
  <si>
    <t>VINNOVA; Swedish Agency for Innovation Systems [2002-01679]; Swedish National Institute for Working Life</t>
  </si>
  <si>
    <t>VINNOVA(Vinnova); Swedish Agency for Innovation Systems(Vinnova); Swedish National Institute for Working Life(Swedish Research CouncilSwedish Research Council for Health Working Life &amp; Welfare (Forte))</t>
  </si>
  <si>
    <t>This work has been conducted with the financial assistance of VINNOVA - the Swedish Agency for Innovation Systems, Project d.nr. 2002-01679, and the Swedish National Institute for Working Life. The authors would like to acknowledge the partnership of the Volvo Powertrain Corporation, Skovde plant, Sweden. This paper is dedicated, in memoriam, to Sigvard Lantz (1951-2004).</t>
  </si>
  <si>
    <t>0003-6870</t>
  </si>
  <si>
    <t>1872-9126</t>
  </si>
  <si>
    <t>APPL ERGON</t>
  </si>
  <si>
    <t>Appl. Ergon.</t>
  </si>
  <si>
    <t>10.1016/j.apergo.2008.09.010</t>
  </si>
  <si>
    <t>Engineering, Industrial; Ergonomics; Psychology, Applied</t>
  </si>
  <si>
    <t>Engineering; Psychology</t>
  </si>
  <si>
    <t>422UT</t>
  </si>
  <si>
    <t>WOS:000264453900028</t>
  </si>
  <si>
    <t>Abiotic resource; Allocation and spatial variability and temporal differentiation; Depletion; Land use; LCA; Minerals and metals sector; Open-loop</t>
  </si>
  <si>
    <t>IMPACT ASSESSMENT; RESOURCE USE; LAND-USE; ALLOCATION; FRAMEWORK</t>
  </si>
  <si>
    <t>[Yellishetty, Mohan; Ranjith, P. G.] Monash Univ, Dept Civil Engn, Melbourne, Vic 3800, Australia; [Tharumarajah, A.] CSIRO Sustainable Ecosyst, Melbourne, Vic 3190, Australia; [Bhosale, Sheshanath] Monash Univ, Sch Chem, Melbourne, Vic 3800, Australia</t>
  </si>
  <si>
    <t>Yellishetty, M (corresponding author), Monash Univ, Dept Civil Engn, Bldg 60,Wellington Rd, Melbourne, Vic 3800, Australia.</t>
  </si>
  <si>
    <t>Mohan.Yellishetty@eng.monash.edu.au; Ranjith.PG@eng.monash.edu.au</t>
  </si>
  <si>
    <t>Prof Ranjith, FTSE/F-1603-2015; Ranjith, Pathegama/AAB-4623-2022; Bhosale, Sheshanath Vishwanat/B-9158-2017</t>
  </si>
  <si>
    <t>Prof Ranjith, FTSE/0000-0003-0094-7141; Ranjith, Pathegama/0000-0003-0094-7141; Bhosale, Sheshanath Vishwanat/0000-0003-0979-8250; Yellishetty, Mohan/0000-0003-2921-200X</t>
  </si>
  <si>
    <t>445KR</t>
  </si>
  <si>
    <t>Tareen, A; Mirza, I; Minhas, A; Minhas, F; Rahman, A</t>
  </si>
  <si>
    <t>Tareen, Amina; Mirza, Ilyas; Minhas, Ayesha; Minhas, Fareed; Rahman, Atif</t>
  </si>
  <si>
    <t>Developing a child and adolescent mental health service in a low-income country: a global partnership model</t>
  </si>
  <si>
    <t>PSYCHIATRIC BULLETIN</t>
  </si>
  <si>
    <t>AIMS AND METHOD To develop a child and adolescent mental health service in a low-income country. This was a collaborative effort involving governmental and non-governmental organisations in the UK and Pakistan, where a training clinic was established. RESULTS We assessed and treated 169 children and adolescents. A team of mental health professionals was trained, including one consultant psychiatrist; the consultant psychiatrist is now leading the clinic. Links were further developed with healthcare, social care and educational organisations, as well as efforts made to engage the public in relation to child and adolescent mental health. CLINICAL IMPLICATIONS Our development highlights a model of research collaboration and service development which may be sustainable in low-income settings. Such initiatives need support from a variety of organisations. There is a need to consider whether there should be a formal funding mechanism to support the Royal College of Psychiatrists Senior Volunteer Programme.</t>
  </si>
  <si>
    <t>[Tareen, Amina; Mirza, Ilyas] Human Dev Res Fdn, Islamabad, Pakistan; [Tareen, Amina] Barnet Enfield &amp; Haringey Mental Hlth Trust, London, England; [Mirza, Ilyas] Inst Psychiat, HEC Foreign Prof Psychiat, Rawalpindi, Pakistan; [Minhas, Ayesha; Minhas, Fareed] WHO Collaborating Ctr Mental Hlth, Rawalpindi Med Coll, Inst Psychiat, Rawalpindi, Pakistan; [Rahman, Atif] Univ Liverpool, Alder Hey Childrens NHS Fdn Trust, Child Psychiat, Liverpool, Merseyside, England</t>
  </si>
  <si>
    <t>Mirza, I (corresponding author), Human Dev Res Fdn, Islamabad, Pakistan.</t>
  </si>
  <si>
    <t>iqmirza@gmail.com</t>
  </si>
  <si>
    <t>mirza, ilyas/0000-0003-2804-1173</t>
  </si>
  <si>
    <t>Royal College of Psychiatrists; Barnet Enfield and Haringey Mental Health Trust</t>
  </si>
  <si>
    <t>We thank the Royal College of Psychiatrists and Barnet Enfield and Haringey Mental Health Trust for their support.</t>
  </si>
  <si>
    <t>ROYAL COLL PSYCHIATRISTS</t>
  </si>
  <si>
    <t>BRITISH JOURNAL OF PSYCHIATRY 17 BELGRAVE SQUARE, LONDON SW1X 8PG, ENGLAND</t>
  </si>
  <si>
    <t>2053-4868</t>
  </si>
  <si>
    <t>2053-4876</t>
  </si>
  <si>
    <t>PSYCHIATR BULL</t>
  </si>
  <si>
    <t>Psychiatr. Bull.</t>
  </si>
  <si>
    <t>10.1192/pb.bp.108.020487</t>
  </si>
  <si>
    <t>V10QN</t>
  </si>
  <si>
    <t>WOS:000214225200008</t>
  </si>
  <si>
    <t>Analytic-deliberative processes; multi-criteria decision analysis; nuclear waste; public engagement; radioactive waste management</t>
  </si>
  <si>
    <t>REPOSITORY</t>
  </si>
  <si>
    <t>[Morton, Alec; Airoldi, Mara; Phillips, Lawrence D.] Univ London London Sch Econ &amp; Polit Sci, Dept Management, Operat Res Grp, London WC2A 2AE, England</t>
  </si>
  <si>
    <t>Morton, A (corresponding author), London Sch Econ, Houghton St, London WC2A 2AE, England.</t>
  </si>
  <si>
    <t>a.morton@lse.ac.uk</t>
  </si>
  <si>
    <t>429AB</t>
  </si>
  <si>
    <t>INTEGRATION; RIGHTS</t>
  </si>
  <si>
    <t>Forsch &amp; Beratung GmbH, Rupprecht Consult, D-51069 Kolm, Germany</t>
  </si>
  <si>
    <t>Braun, M (corresponding author), Forsch &amp; Beratung GmbH, Rupprecht Consult, Hatzfeldstr 6, D-51069 Kolm, Germany.</t>
  </si>
  <si>
    <t>m.braun@rupprecht-consult.eu</t>
  </si>
  <si>
    <t>ACCOUNT ORG SOC</t>
  </si>
  <si>
    <t>Account. Organ. Soc.</t>
  </si>
  <si>
    <t>440ZS</t>
  </si>
  <si>
    <t>Keeley, FX; Timoney, AG; Rane, A; Tolley, DA</t>
  </si>
  <si>
    <t>Keeley, Francis X., Jr.; Timoney, Anthony G.; Rane, Abhay; Tolley, David A.</t>
  </si>
  <si>
    <t>Mentorship in urological laparoscopic surgery: lessons learned</t>
  </si>
  <si>
    <t>laparoscopic nephrectomy; training; mentorship; audit; clinical governance</t>
  </si>
  <si>
    <t>BRITISH-ASSOCIATION; NEPHRECTOMY; GUIDELINES</t>
  </si>
  <si>
    <t>To review the results of our experience with a mentorship programme in laparoscopic nephrectomy, set up in 1999 by the British Association of Urological Surgeons Section of Endourology. Mentors were contacted in 2007 to submit data on the number of visits and the outcome, which included whether a urologist was able to establish an independent laparoscopic practice and sustain it. Four urologists acting as mentors reported a total of 164 procedures carried out in the training of 39 urologists during 148 visits. There were no conversions to open surgery and only one major complication. Overall, 29 of 39 mentored consultants were able to establish an independent laparoscopic practice and 23 continue to do so. The number of visits was associated with initial success, although this was not statistically significant. Working in a large department was associated with being able to sustain a laparoscopic practice. More experienced consultants were less likely to have initial success, but were more likely to sustain a successful practice. Mentorship for laparoscopic nephrectomy has been carried out safely thus far. Sustaining a laparoscopic practice requires a critical volume of cases. Future efforts should be focused on trainees rather than consultants.</t>
  </si>
  <si>
    <t>[Keeley, Francis X., Jr.; Timoney, Anthony G.; Rane, Abhay] Bristol Urol Inst, Bristol, Avon, England; [Rane, Abhay] E Surrey Hosp, Dept Urol, Redhill, Surrey, England; [Tolley, David A.] Western Gen Hosp, Scottish Lithotriptor Ctr, Edinburgh EH4 2XU, Midlothian, Scotland</t>
  </si>
  <si>
    <t>Keeley, FX (corresponding author), Southmead Hosp, Bristol Urol Inst, Bristol BS10 5NB, Avon, England.</t>
  </si>
  <si>
    <t>fimio@blueyonder.co.uk</t>
  </si>
  <si>
    <t>Rane, Anders/L-2675-2013</t>
  </si>
  <si>
    <t>10.1111/j.1464-410X.2008.08172.x</t>
  </si>
  <si>
    <t>425AJ</t>
  </si>
  <si>
    <t>WOS:000264609100020</t>
  </si>
  <si>
    <t>Renewable energy; Electricity; Sustainable development</t>
  </si>
  <si>
    <t>[Yusaf, T. F.] FoES Univ So Queensland, Toowoomba, Qld 4350, Australia; [Ghobadian, Barat; Najafi, G.; Rahimi, Hadi] Tarbiat Modares Univ, Tehran, Iran</t>
  </si>
  <si>
    <t>Yusaf, TF (corresponding author), FoES Univ So Queensland, Toowoomba, Qld 4350, Australia.</t>
  </si>
  <si>
    <t>yusaft@usq.edu.au</t>
  </si>
  <si>
    <t>Mamat, Rizalman/G-2683-2011; Yusaf, Talal/AAE-8508-2022; Yusaf, Talal F/C-2059-2008; Najafi, Gholamhassan/AAO-6230-2020</t>
  </si>
  <si>
    <t>Yusaf, Talal/0000-0002-5332-4792; Yusaf, Talal F/0000-0002-5412-8881; Rahimi, Hadi/0000-0002-8380-9731; Najafi, Gholamhassan/0000-0003-3125-3804; Ghobadian, Barat/0000-0003-4221-5950</t>
  </si>
  <si>
    <t>411ZB</t>
  </si>
  <si>
    <t>Hispanic; Neuropsychology; Assessment; Spanish; Interpreter; Translation; Acculturation; Cross-Cultural</t>
  </si>
  <si>
    <t>ACCULTURATION SCALE; IMPACT</t>
  </si>
  <si>
    <t>[Carrion-Baralt, Jose] Mt Sinai Sch Med, New York, NY USA; [Marmol, Leonardo M.] Univ La Verne, La Verne, CA USA; [Miguel-Montes, Liza San] Univ Puerto Rico, Sch Med, San Jose, PR USA; [Navarrete, M. Gina] Colorado Neuropsychol &amp; Behav Ctr, Denver, CO USA; [Puente, Antonio E.] Univ N Carolina, Washington, DC USA; [Romero, Heather Rodas] Seattle Pacific Univ, Seattle, WA 98119 USA</t>
  </si>
  <si>
    <t>Judd, T (corresponding author), 12 Bellwether Way 223, Bellingham, WA 98225 USA.</t>
  </si>
  <si>
    <t>t.judd@comcast.net</t>
  </si>
  <si>
    <t>ARCH CLIN NEUROPSYCH</t>
  </si>
  <si>
    <t>Arch. Clin. Neuropsychol.</t>
  </si>
  <si>
    <t>Psychology, Clinical; Psychology</t>
  </si>
  <si>
    <t>454TL</t>
  </si>
  <si>
    <t>decision analysis; applications: government; applications: infrastructure decisions; applications: public policy</t>
  </si>
  <si>
    <t>PROBABILITY</t>
  </si>
  <si>
    <t>George Mason Univ, Sch Publ Policy, Fairfax, VA 22030 USA</t>
  </si>
  <si>
    <t>Brown, RV (corresponding author), George Mason Univ, Sch Publ Policy, Fairfax, VA 22030 USA.</t>
  </si>
  <si>
    <t>rexvbrown@aol.com</t>
  </si>
  <si>
    <t>INFORMS</t>
  </si>
  <si>
    <t>CATONSVILLE</t>
  </si>
  <si>
    <t>5521 RESEARCH PARK DR, SUITE 200, CATONSVILLE, MD 21228 USA</t>
  </si>
  <si>
    <t>DECIS ANAL</t>
  </si>
  <si>
    <t>Decis. Anal.</t>
  </si>
  <si>
    <t>496BJ</t>
  </si>
  <si>
    <t>solar saltfield; Yannarie; environment; Western Australia</t>
  </si>
  <si>
    <t>[Mottershead, R.] CGV Pty Ltd, Perth, WA, Australia; [Davidson, P.] Straits Resources Ltd, Perth, WA, Australia</t>
  </si>
  <si>
    <t>Mottershead, R (corresponding author), CGV Pty Ltd, Perth, WA, Australia.</t>
  </si>
  <si>
    <t>rmotters@bigpond.net.au</t>
  </si>
  <si>
    <t>GLOBAL NETWORK ENVIRONMENTAL SCIENCE &amp; TECHNOLOGY</t>
  </si>
  <si>
    <t>ATHENS</t>
  </si>
  <si>
    <t>30 VOULGAROKTONOU STR, ATHENS, GR 114 72, GREECE</t>
  </si>
  <si>
    <t>GLOBAL NEST J</t>
  </si>
  <si>
    <t>Glob. Nest. J.</t>
  </si>
  <si>
    <t>422XN</t>
  </si>
  <si>
    <t>Reichardt, CL</t>
  </si>
  <si>
    <t>Reichardt, C. L.</t>
  </si>
  <si>
    <t>The challenge of building local capacity to support the development of a sustainable mining industry in emerging mining nations</t>
  </si>
  <si>
    <t>JOURNAL OF THE SOUTH AFRICAN INSTITUTE OF MINING AND METALLURGY</t>
  </si>
  <si>
    <t>Mining companies are increasingly looking to the developing world for the next generation of mining projects, often in countries that have little or no previous history of large-scale mining. one of the major challenges for such projects is hiring-and retaining-personnel that have technical skills and experience in mining-related disciplines. Staffing a mine with an expatriate workforce is neither cost-effective nor sustainable, and many countries now insist that mining companies transform, the profile of their workforce to more closely mirror the demographic profile of the host population. The need to nurture mining-related skills in emerging mining nations is not solely limited to the workforce: there are also pressing economic and sustainability imperatives to develop capacity within local service providers such as consultants and contractors, as well as to facilitate informed engagement between mining companies, government and civil society. However, few educational institutions in emerging mining nations currently have the ability to offer practical training in mining-related disciplines. Local employees who are sponsored by companies to develop their skills through international study may be impeded by language and cultural barriers, and may also be taught using course content that is of limited relevance to the specific challenges of their future working environment. This paper addresses the challenge of skills development and retention in emerging mining nations and uses examples from sub-Saharan Africa and the Asia Pacific region to explore practical means of developing capacity in mining-related disciplines. it examines the need for companies to implement strategies to develop local technical capacity in countries where they envisage a longterm operational future and also highlights the need to foster partnerships between academia, developmental institutions, mining companies, governments and civil society to establish the critical mass of mining-related skills required to nurture the development of a sustainable mining industry.</t>
  </si>
  <si>
    <t>[Reichardt, C. L.] Univ Witwatersrand, Sch Min Engn, ZA-2050 Wits, South Africa</t>
  </si>
  <si>
    <t>SOUTH AFRICAN INST MINING METALLURGY</t>
  </si>
  <si>
    <t>0038-223X</t>
  </si>
  <si>
    <t>494YO</t>
  </si>
  <si>
    <t>WOS:000269856000004</t>
  </si>
  <si>
    <t>Markets; Pensions; Social policy; Privatisation; Financial markets; Regulation; Capitalism</t>
  </si>
  <si>
    <t>[Berner, Frank] Deutsch Zentrum Altersfragen, D-12101 Berlin, Germany; [Leisering, Lutz] Univ Bielefeld, Fak Soziol, D-33501 Bielefeld, Germany; [Buhr, Petra] Univ Bremen, Inst Empir &amp; Angew Soziol EMPAS, FVG Mitte, D-28359 Bremen, Germany</t>
  </si>
  <si>
    <t>Berner, F (corresponding author), Deutsch Zentrum Altersfragen, Manfred von Richthofen Str 2, D-12101 Berlin, Germany.</t>
  </si>
  <si>
    <t>frank.berner@dza.de; lutz.leisering@uni-bielefeld.de; Pbuhr@empas.uni-bremen.de</t>
  </si>
  <si>
    <t>VS VERLAG SOZIALWISSENSCHAFTEN-GWV FACHVERLAGE GMBH</t>
  </si>
  <si>
    <t>ABRAHAM-LINCOLN-STR 46, 65189 WIESBADEN, GERMANY</t>
  </si>
  <si>
    <t>KOLNER Z SOZIOL SOZ</t>
  </si>
  <si>
    <t>Koln. Z. Soziol. Sozialpsych.</t>
  </si>
  <si>
    <t>Psychology, Social; Sociology</t>
  </si>
  <si>
    <t>Psychology; Sociology</t>
  </si>
  <si>
    <t>442IG</t>
  </si>
  <si>
    <t>Simon, JA</t>
  </si>
  <si>
    <t>Simon, John</t>
  </si>
  <si>
    <t>Editor's Perspective-The Economic Crisis's Effect on the Remediation Industry</t>
  </si>
  <si>
    <t>REMEDIATION-THE JOURNAL OF ENVIRONMENTAL CLEANUP COSTS TECHNOLOGIES &amp; TECHNIQUES</t>
  </si>
  <si>
    <t>There is an abundance of information on how the current economic crisis is affecting major industries. Obviously, the current economic turmoil is wrecking havoc on the banking, real estate, manufacturing, and travel industries. For other industries, such as defense and other governmental support, insurance (nonfinancial), and medicine, which are more constant in nature (we all have to protect ourselves, and the government continues to operate), the effect is not as profound. However, there is little information and analysis on how the economic crisis is affecting the environmental consulting and remediation industries. In this Editor's Perspective, we provide some key indicators, analysis, and discussion on how the economic crisis is affecting the environmental consulting and remediation markets and whether the U.S. government's stimulus plan will provide support.</t>
  </si>
  <si>
    <t>[Simon, John] WSP Environm &amp; Energy, Minneapolis, MN 55401 USA</t>
  </si>
  <si>
    <t>Simon, JA (corresponding author), WSP Environm &amp; Energy, Minneapolis, MN 55401 USA.</t>
  </si>
  <si>
    <t>1051-5658</t>
  </si>
  <si>
    <t>1520-6831</t>
  </si>
  <si>
    <t>REMEDIATION</t>
  </si>
  <si>
    <t>Remediation</t>
  </si>
  <si>
    <t>10.1002/rem.20197</t>
  </si>
  <si>
    <t>Engineering, Environmental</t>
  </si>
  <si>
    <t>V64ET</t>
  </si>
  <si>
    <t>WOS:000211085000001</t>
  </si>
  <si>
    <t>Lawley, C; Lichtenberg, E; Parker, D</t>
  </si>
  <si>
    <t>Lawley, Chad; Lichtenberg, Erik; Parker, Doug</t>
  </si>
  <si>
    <t>Biases in Nutrient Management Planning</t>
  </si>
  <si>
    <t>LAND ECONOMICS</t>
  </si>
  <si>
    <t>ADOPTION; POLICY; LAND</t>
  </si>
  <si>
    <t>Nutrient management planning is seen as a means of improving efficiency and reducing environmental problems, however, these gains may not be realized if plans overstate fertilizer requirements. Using data from a survey of Maryland farmers, we find that nutrient management planning was adopted more frequently by larger operations raising grain or cattle, but not by those on more environmentally sensitive land. Independent consultants and fertilizer dealers were more likely to recommend increases in fertilizer use, consistent with fears about bias. Farmers preparing their own plans were more likely to recommend decreases in fertilizer use, suggesting the presence of hidden information. (JEL Q53, Q18)</t>
  </si>
  <si>
    <t>[Lawley, Chad; Lichtenberg, Erik; Parker, Doug] Univ Maryland, Dept Agr &amp; Resource Econ, College Pk, MD 20742 USA</t>
  </si>
  <si>
    <t>Lawley, C (corresponding author), Univ Maryland, Dept Agr &amp; Resource Econ, College Pk, MD 20742 USA.</t>
  </si>
  <si>
    <t>Moreira, Vinicius R./E-5801-2011; Lichtenberg, Erik/C-3195-2014</t>
  </si>
  <si>
    <t>Lichtenberg, Erik/0000-0003-0619-6254</t>
  </si>
  <si>
    <t>UNIV WISCONSIN PRESS</t>
  </si>
  <si>
    <t>MADISON</t>
  </si>
  <si>
    <t>JOURNAL DIVISION, 1930 MONROE ST, 3RD FL, MADISON, WI 53711 USA</t>
  </si>
  <si>
    <t>0023-7639</t>
  </si>
  <si>
    <t>1543-8325</t>
  </si>
  <si>
    <t>LAND ECON</t>
  </si>
  <si>
    <t>Land Econ.</t>
  </si>
  <si>
    <t>10.3368/le.85.1.186</t>
  </si>
  <si>
    <t>393BB</t>
  </si>
  <si>
    <t>WOS:000262344800012</t>
  </si>
  <si>
    <t>Vieira, ND; Feitosa, MGG; Correia, FBD</t>
  </si>
  <si>
    <t>Vieira, Naldeir dos Santos; Gomes Feitosa, Marcos Gilson; da Costa Correia, Fernanda Bruto</t>
  </si>
  <si>
    <t>CREATION OR ADAPTATION: THE CONSULTANT 'S LEARNING OBTAINED WHEN PROVIDING CONSULTANCY SERVICES TO NGOS</t>
  </si>
  <si>
    <t>NGOs; Organizational Consulting; Learning</t>
  </si>
  <si>
    <t>This study aimed to identify the learning obtained by consultants who provide consultancy for non-governmental organizations (NGOs) and also sought to identify how these lessons have been obtained. It was used a qualitative methodology, in which the research data were obtained through the use of semi-structured interviews with consultants who work with NGOs in the Metropolitan Region of Recife / PE. It is concluded that the consultants learn, mainly, by observing the attitudes of peers and/or customers, reflecting on their practice and giving meaning to their past experiences. Among the key learning obtained are the ones related to the intervention methodology, knowledge acquisition, skills and attitudes, better understandings on the completion of the consultancy contract and to changes in the design of NGOs.</t>
  </si>
  <si>
    <t>[Vieira, Naldeir dos Santos] UFVJM, Teofilo Otoni, MG, Brazil; [Gomes Feitosa, Marcos Gilson] Univ Fed Pernambuco, Recife, PE, Brazil; [da Costa Correia, Fernanda Bruto] Nucleo Estudos &amp; Pesquisa Conhecimento &amp; Consulto, Recife, PE, Brazil</t>
  </si>
  <si>
    <t>Vieira, ND (corresponding author), UFVJM, Teofilo Otoni, MG, Brazil.</t>
  </si>
  <si>
    <t>naldeir@yahoo.com.br; feitosam@terra.com.br; fbccorreia@hotmail.com</t>
  </si>
  <si>
    <t>V26AF</t>
  </si>
  <si>
    <t>WOS:000215264400001</t>
  </si>
  <si>
    <t>Gervais, M; Ubalijoro, E; Nyirabega, E</t>
  </si>
  <si>
    <t>Gervais, Myriam; Ubalijoro, Eliane; Nyirabega, Euthalie</t>
  </si>
  <si>
    <t>Girlhood in a post-conflict situation: The case of Rwanda</t>
  </si>
  <si>
    <t>AGENDA-EMPOWERING WOMEN FOR GENDER EQUITY</t>
  </si>
  <si>
    <t>girls; gender; youth; post-conflict situation; empowerment</t>
  </si>
  <si>
    <t>Girls in Rwanda have been confronted with unique challenges since the 1994 genocide. This study aims to analyse their everyday experiences, given the repercussions the genocide has had on their lives and the sociocultural pressures they face. Using a comprehensive cross-sectoral approach we examine their positions and roles through four 'lenses': security and protection, economic security. access to basic services, and participation and empowerment. This gender analysis of girlhood in a post-conflict environment reveals that girls must contend with a wide-ranging and interconnected set of gender biases and highlights the fact that they are relatively 'invisible' in programmes for women or youth, even though they play a major role in the rebuilding of peaceful communities. We conclude that post-conflict programmes would benefit from consulting with girls and young women to detect disparities in access to welfare services and resources and help shape policies and programmes that address their interests.</t>
  </si>
  <si>
    <t>[Gervais, Myriam] McGill Univ, Inst Gender Sexual &amp; Feminist Studies, Montreal, PQ, Canada; [Ubalijoro, Eliane] McGill Univ, Inst Study Int Dev, Practice Publ &amp; Private Sector Partnerships, Montreal, PQ, Canada; [Ubalijoro, Eliane] McGills Fac Agr &amp; Environm Sci, Montreal, PQ, Canada; [Nyirabega, Euthalie] Natl Univ Rwanda, Fac Social Polit &amp; Adm Sci, Butare, Rwanda</t>
  </si>
  <si>
    <t>Gervais, M (corresponding author), McGill Univ, Inst Gender Sexual &amp; Feminist Studies, Montreal, PQ, Canada.</t>
  </si>
  <si>
    <t>myriam.gewais@mcgilI.ca</t>
  </si>
  <si>
    <t>1013-0950</t>
  </si>
  <si>
    <t>2158-978X</t>
  </si>
  <si>
    <t>AGENDA-EMPOWER WOMEN</t>
  </si>
  <si>
    <t>Agenda-Empower. Women Gend. Equity</t>
  </si>
  <si>
    <t>10.1080/10130950.2009.9676219</t>
  </si>
  <si>
    <t>Women's Studies</t>
  </si>
  <si>
    <t>V6G8T</t>
  </si>
  <si>
    <t>WOS:000420272200004</t>
  </si>
  <si>
    <t>Thomas, WJC; Murray, JRD</t>
  </si>
  <si>
    <t>Thomas, W. J. C.; Murray, J. R. D.</t>
  </si>
  <si>
    <t>The incidence and reporting rates of needle-stick injury amongst UK surgeons</t>
  </si>
  <si>
    <t>ANNALS OF THE ROYAL COLLEGE OF SURGEONS OF ENGLAND</t>
  </si>
  <si>
    <t>Needle-stick injury; Sharps injury; Surgical contamination; Blood-borne viruses; Reporting rates</t>
  </si>
  <si>
    <t>INTRODUCTION Needle-stick injuries are common. Such accidents are associated with a small, but significant, risk to our career, health, families and not least our patients. National guidelines steer institution-specific strategies to provide a consistent and safe method of dealing with such incidents. Surgeon-specific guidelines are not currently available. We have observed that hospital sharps policy is often considered cumbersome to the surgeon, resulting in on-the-spot decision making with potential long-term implications. By their essence, these decisions are inconsistent, not reproducible and, thus, we believe them to be unsafe. The under-reporting to occupational health departments is well documented. Current surgical practice has the potential to expose the surgeon to unnecessary risk. The aims of this study were to establish the true incidence of contaminations caused by needle-stick injury in our hospital and to assess how well current protocols are really implemented. SUBJECTS AND METHODS We identified all surgeons of consultant, non-career staff grade (NCSG) and registrar grade working in a large 687-bed district general hospital serving a population of 550,000, in the UK. We designed a retrospective, anonymous 30-second survey. Surgeons' awareness and opinion of local policy was sought in a free-text section. RESULTS Of the 98 surgeons in the hospital, 77% responded to the questionnaire and 44% anonymously admitted to having a needle-stick injury. Only 3 of the 33 (9%) who sustained an needle-stick injury said that they followed the agreed local policy. Twenty-three surgeons (70%) performed first aid type procedures such as informing scrub nurse, changing needle and gloves. Seven surgeons (21%) simply ignored the incident and continued. Forty-three surgeons commented on the policy's nature with only 9 who regarded it as 'user friendly'. CONCLUSIONS Needle-stick injury is still a common problem, particularly in the surgical cohort and remains significantly under-reported. The disparity between hospital sharps policy and actual surgical practice is considered and an explanation for the difference sought. Without this awareness of 'real-life' surgical practice, the occupational health figures for sharps injury will always tell a rosy story under-estimating a real problem. We strongly advocate universal precautions in the operating theatre, However, we acknowledge that sharps injuries will occur. We should remain vigilant and act upon contaminations without surgical bravado but with mater-of-fact professionalism. This includes regular review of policy and, particularly, promotion of surgical awareness.</t>
  </si>
  <si>
    <t>[Thomas, W. J. C.] Royal United Hosp, Dept Trauma &amp; Orthopaed, Bath BA1 3NG, Avon, England; [Murray, J. R. D.] Southmead Hosp, Avon Orthopaed Ctr, Bristol, Avon, England</t>
  </si>
  <si>
    <t>Thomas, WJC (corresponding author), Royal United Hosp, Dept Trauma &amp; Orthopaed, Combe Pk, Bath BA1 3NG, Avon, England.</t>
  </si>
  <si>
    <t>williamthomas@doctors.org.uk</t>
  </si>
  <si>
    <t>Murray, James/AAQ-3040-2020</t>
  </si>
  <si>
    <t>ROYAL COLL SURGEONS ENGLAND</t>
  </si>
  <si>
    <t>35-43 LINCOLN'S INN FIELDS, LONDON WC2A 3PN, ENGLAND</t>
  </si>
  <si>
    <t>0035-8843</t>
  </si>
  <si>
    <t>1478-7083</t>
  </si>
  <si>
    <t>ANN ROY COLL SURG</t>
  </si>
  <si>
    <t>Ann. R. Coll. Surg. Engl.</t>
  </si>
  <si>
    <t>10.1308/003588409X359213</t>
  </si>
  <si>
    <t>401BV</t>
  </si>
  <si>
    <t>WOS:000262914000005</t>
  </si>
  <si>
    <t>Sporrong, J; Brochner, J</t>
  </si>
  <si>
    <t>Sporrong, Josefin; Brochner, Jan</t>
  </si>
  <si>
    <t>Public Procurement Incentives for Sustainable Design Services: Swedish Experiences</t>
  </si>
  <si>
    <t>ARCHITECTURAL ENGINEERING AND DESIGN MANAGEMENT</t>
  </si>
  <si>
    <t>Public procurement; design services; sustainability</t>
  </si>
  <si>
    <t>When procuring building design services, public clients may provide incentives for the development of design tools and management practices that lead to more sustainable buildings. Procedures for selecting design professionals, including the choice of contract award criteria, can be analysed as the outcome of external and internal factors that influence procuring units. This investigation studies how the selection procedures that Swedish municipal clients rely on when procuring services from architectural and engineering consultants provide incentives for environmentally sustainable design management. Questionnaire responses from 93 Swedish municipalities show that a minority include sustainability-related criteria in tender assessments. Environmental management systems were a criterion for 30% of the respondents, while only 11% regularly used life cycle cost as a criterion. More than half of all municipalities were reported to have a general policy for services procurement, and these policies usually include environmental sustainability. However, these policies are not always followed when procuring construction-related services. Smaller municipalities are less likely to have a general policy. Consequently, incentive effects for design service firms are probably weak. Better skills and provider-selection methods among clients are needed for rewarding sustainable design practices more strongly.</t>
  </si>
  <si>
    <t>[Sporrong, Josefin; Brochner, Jan] Chalmers, Dept Technol Management &amp; Econ, SE-41296 Gothenburg, Sweden</t>
  </si>
  <si>
    <t>Brochner, J (corresponding author), Chalmers, Dept Technol Management &amp; Econ, SE-41296 Gothenburg, Sweden.</t>
  </si>
  <si>
    <t>josefin.sporrong@chalmers.se; jan.brochner@chalmers.se</t>
  </si>
  <si>
    <t>Bröchner, Jan/E-4825-2018</t>
  </si>
  <si>
    <t>Bröchner, Jan/0000-0002-1961-0330</t>
  </si>
  <si>
    <t>Swedish Research Council for Environment, Agricultural Sciences and Spatial Planning (Formas); Chalmers Centre for Management of the Built Environment; ARQ Foundation for Architectural Research; J. Gust. Richert Memorial Fund and STD; Swedish Federation of Consulting Engineers and Architects</t>
  </si>
  <si>
    <t>Swedish Research Council for Environment, Agricultural Sciences and Spatial Planning (Formas)(Swedish Research Council Formas); Chalmers Centre for Management of the Built Environment; ARQ Foundation for Architectural Research; J. Gust. Richert Memorial Fund and STD; Swedish Federation of Consulting Engineers and Architects</t>
  </si>
  <si>
    <t>Support for this investigation from the Swedish Research Council for Environment, Agricultural Sciences and Spatial Planning (Formas), the Chalmers Centre for Management of the Built Environment, the ARQ Foundation for Architectural Research, the J. Gust. Richert Memorial Fund and STD, the Swedish Federation of Consulting Engineers and Architects, is gratefully acknowledged. Helpful comments have been made by Lina Carlsson and Fredrik Waara, as well as by the anonymous referees.</t>
  </si>
  <si>
    <t>1745-2007</t>
  </si>
  <si>
    <t>1752-7589</t>
  </si>
  <si>
    <t>ARCHIT ENG DES MANAG</t>
  </si>
  <si>
    <t>Archit. Eng. Des. Manag.</t>
  </si>
  <si>
    <t>10.3763/aedm.2009.0903</t>
  </si>
  <si>
    <t>V93NE</t>
  </si>
  <si>
    <t>WOS:000213067300003</t>
  </si>
  <si>
    <t>de Silva, H</t>
  </si>
  <si>
    <t>de Silva, Harin</t>
  </si>
  <si>
    <t>DIFFUSION, ADOPTION AND NON-ADOPTION OF ABC IN A DEVELOPING COUNTRY: CASE STUDY EVIDENCE FROM SRI LANKA</t>
  </si>
  <si>
    <t>ASIA-PACIFIC MANAGEMENT ACCOUNTING JOURNAL</t>
  </si>
  <si>
    <t>Diffusion; adoption; non-adoption; case study; ABC; information field; consultants; organisation size; competition; uncertainty; innovation and cost benefit</t>
  </si>
  <si>
    <t>The paper discusses the adoption of ABC and the role played by consultants, academics and the profession, in propagating ABC in a developing country, Sri Lanka. Further the influences of the supply side of the information field, the cultural factors and how A BC is constituted in organisations is discussed. Interviews were conducted on consultants, some users, and prospective adopters of ABC. The factor such as the size of the organisation, uncertainty in the socio-political and the economic environment, cost-benefit of implementation, innovation, competition in the economic environment, the infonnation field and the cultural influences that the organisations are subject to have influenced the adoption of A BC.</t>
  </si>
  <si>
    <t>[de Silva, Harin] Manchester Metropolitan Univ, Manchester M15 6BH, Lancs, England</t>
  </si>
  <si>
    <t>de Silva, H (corresponding author), Manchester Metropolitan Univ, Manchester M15 6BH, Lancs, England.</t>
  </si>
  <si>
    <t>ASIA-PACIFIC MANAGEMENT ACCOUNTING ASSOC</t>
  </si>
  <si>
    <t>SHAH ALAM</t>
  </si>
  <si>
    <t>ASIA-PACIFIC MANAGEMENT ACCOUNTING ASSOC, SHAH ALAM, 00000, MALAYSIA</t>
  </si>
  <si>
    <t>1675-3194</t>
  </si>
  <si>
    <t>ASIA-PAC MANAG ACCOU</t>
  </si>
  <si>
    <t>Asia-Pac. Manag. Account. J.</t>
  </si>
  <si>
    <t>V20GS</t>
  </si>
  <si>
    <t>WOS:000214875700004</t>
  </si>
  <si>
    <t>[Kinsey, Christopher Paul] Kings Coll London, Def Studies Dept, London WC2R 2LS, England; [Hansen, Stig Jarle] Norwegian Inst Urban &amp; Reg Res, NIBR Inst, Oslo, Norway</t>
  </si>
  <si>
    <t>Kinsey, CP (corresponding author), Kings Coll London, Def Studies Dept, London WC2R 2LS, England.</t>
  </si>
  <si>
    <t>CAMB REV INT AFF</t>
  </si>
  <si>
    <t>Camb. Rev. Int. Aff.</t>
  </si>
  <si>
    <t>442YQ</t>
  </si>
  <si>
    <t>Raimondi, T; Barbaro, S</t>
  </si>
  <si>
    <t>Raimondi, Tommaso; Barbaro, Salvatore</t>
  </si>
  <si>
    <t>ACTIVITY OF THE CIRIAS AS REGARDS ENERGY AND ENVIRONMENT</t>
  </si>
  <si>
    <t>CONSERVATION SCIENCE IN CULTURAL HERITAGE</t>
  </si>
  <si>
    <t>CIRIAS in action; energy; environment; cultural heritage</t>
  </si>
  <si>
    <t>CIRIAS an interdisciplinary research facility - theoretical and applied - of the University of Palermo, offening its services to the territory, proposes to conduct studies and research, teach highly technical and scientific skills, develop seminars and conferences, and manage databanks in collaboration with public or private institutions. Currently adhering to the Centre are scholars covering various areas of specialization (Economics, Engineering, Agriculture, Psychology). Through its specialists it is therefore able to develop and validate complex systems of industrial automation, industrial robotics, underwater robotics and, socio-economic systems that govern not only industrial production but also the sector of transport, telecommunications and environmental pollution; to carry out studies on predictive models related to the area, activities related to the new economy and tourism or other activities that the development of science and technology offer; to carry out training and consultancy in the field of automation for companies that operate in the territory.</t>
  </si>
  <si>
    <t>[Raimondi, Tommaso; Barbaro, Salvatore] Univ Studi Palermo, CIRIAS, Palermo, Italy</t>
  </si>
  <si>
    <t>Barbaro, S (corresponding author), Univ Studi Palermo, CIRIAS, Palermo, Italy.</t>
  </si>
  <si>
    <t>sbarbaro@unipa.it</t>
  </si>
  <si>
    <t>MIMESIS EDIZIONI</t>
  </si>
  <si>
    <t>SESTO SAN GIOVANNI</t>
  </si>
  <si>
    <t>VIA MONFALCONE 17-19, SESTO SAN GIOVANNI, MI 20099, ITALY</t>
  </si>
  <si>
    <t>1974-4951</t>
  </si>
  <si>
    <t>1973-9494</t>
  </si>
  <si>
    <t>CONSERV SCI CULT HER</t>
  </si>
  <si>
    <t>Conserv. Sci. Cult. Herit.</t>
  </si>
  <si>
    <t>V0P9N</t>
  </si>
  <si>
    <t>WOS:000216452200009</t>
  </si>
  <si>
    <t>MANAGEMENT; WILDLIFE; TRENDS</t>
  </si>
  <si>
    <t>[Miller, Kelly K.; Weston, Michael A.] Deakin Univ, Fac Sci &amp; Technol, Sch Life &amp; Environm Sci, Burwood, Vic 3125, Australia</t>
  </si>
  <si>
    <t>Miller, KK (corresponding author), Deakin Univ, Fac Sci &amp; Technol, Sch Life &amp; Environm Sci, 221 Burwood Highway, Burwood, Vic 3125, Australia.</t>
  </si>
  <si>
    <t>kelly.miller@deakin.edu.au</t>
  </si>
  <si>
    <t>Birds Australia</t>
  </si>
  <si>
    <t>We would like to thank Birds Australia, for partial funding of this project, and for supporting our efforts at running the survey, including facilitating a staff workshop on questionnaire design. We also thank the Ornithological Society of New Zealand, especially Richard Holdaway. The survey would not have been possible without the active help of Sue Mather and fellow organisers of the 2007 AOC. Thanks to all those who completed the questionnaires, and to James O'Connor for helpful comments. The study was conducted under a Deakin University Human Research Ethics Committee permit (#EC191-2007).</t>
  </si>
  <si>
    <t>TAYLOR &amp; FRANCIS AUSTRALIA</t>
  </si>
  <si>
    <t>MELBOURNE</t>
  </si>
  <si>
    <t>LEVEL 2, 11 QUEENS RD, MELBOURNE, VIC 3004, AUSTRALIA</t>
  </si>
  <si>
    <t>EMU</t>
  </si>
  <si>
    <t>Emu</t>
  </si>
  <si>
    <t>Ornithology</t>
  </si>
  <si>
    <t>416CY</t>
  </si>
  <si>
    <t>Walske, JM; Zacharakis, A</t>
  </si>
  <si>
    <t>Walske, Jennifer M.; Zacharakis, Andrew</t>
  </si>
  <si>
    <t>Genetically Engineered: Why Some Venture Capital Firms Are More Successful Than Others</t>
  </si>
  <si>
    <t>ENTREPRENEURSHIP THEORY AND PRACTICE</t>
  </si>
  <si>
    <t>TEAM DEMOGRAPHY; START-UP; SYNDICATION; INVESTMENTS; DEPENDENCE; GOVERNANCE; KNOWLEDGE; STRATEGY; GROWTH</t>
  </si>
  <si>
    <t>While venture capital has received a tremendous amount of attention, prior research has predominantly looked at venture capital firms (VCFs) post raising their first fund. In this paper, we move the point of analysis back further and ask what type of founding team experience best predicts VCF success, controlling for firm strategy, firm size, and the environment upon which the firm was born. Empirical results show that venture capital, senior management, and consulting experience aids VCF success, while entrepreneurial experience impedes it. None of the control variables affect a VCF's ability to raise subsequent funds.</t>
  </si>
  <si>
    <t>[Walske, Jennifer M.] Boston Univ, Sch Management, Boston, MA 02215 USA; [Zacharakis, Andrew] Babson Coll, Wellesley, MA USA</t>
  </si>
  <si>
    <t>Walske, JM (corresponding author), Boston Univ, Sch Management, Boston, MA 02215 USA.</t>
  </si>
  <si>
    <t>jwalske@bu.edu; Zacharakis@Babson.edu</t>
  </si>
  <si>
    <t>1042-2587</t>
  </si>
  <si>
    <t>1540-6520</t>
  </si>
  <si>
    <t>ENTREP THEORY PRACT</t>
  </si>
  <si>
    <t>Entrep. Theory Pract.</t>
  </si>
  <si>
    <t>10.1111/j.1540-6520.2008.00290.x</t>
  </si>
  <si>
    <t>388VP</t>
  </si>
  <si>
    <t>WOS:000262048300013</t>
  </si>
  <si>
    <t>Huckle, J</t>
  </si>
  <si>
    <t>Huckle, John</t>
  </si>
  <si>
    <t>Consulting the UK ESD community on an ESD indicator to recommend to Government: an insight into the micro-politics of ESD</t>
  </si>
  <si>
    <t>sustainable development; indicators; policy; critical education; sustainability literacy; political literacy; citizenship</t>
  </si>
  <si>
    <t>In 2006 the author was contracted to research possible approaches to a UK indicator of education for sustainable development (ESD). This article describes and seeks to explain the response of government advisers and influential members of the UK ESD community to the approaches he proposed. While the UK strategy for sustainable development called for a result indicator to show the impact of ESD on learners' knowledge and awareness of sustainable development, the indicator that was recommended to government by its advisers, after consulting the ESD community, was essentially a facilitative indicator showing the percentage of schools that rated themselves good or outstanding using a self-evaluation instrument linked to the emerging sustainable schools framework. An opportunity to monitor the impact of ESD on learners' sustainability literacy and encourage more socially critical approaches was lost as the micro-politics of ESD (the preferences of advisers and those consulted) failed to challenge the macropolitics examined in the author's earlier article.</t>
  </si>
  <si>
    <t>john@huckle.org.uk</t>
  </si>
  <si>
    <t>10.1080/13504620802578509</t>
  </si>
  <si>
    <t>549CI</t>
  </si>
  <si>
    <t>WOS:000274019200001</t>
  </si>
  <si>
    <t>e-government; power; policy-making; IT and management consultants; the politics of technology</t>
  </si>
  <si>
    <t>Open Univ, Dept Commun &amp; Syst, Milton Keynes MK7 6AA, Bucks, England</t>
  </si>
  <si>
    <t>Horrocks, I (corresponding author), Open Univ, Dept Commun &amp; Syst, Walton Hall, Milton Keynes MK7 6AA, Bucks, England.</t>
  </si>
  <si>
    <t>i.j.horrocks@open.ac.uk</t>
  </si>
  <si>
    <t>INFORM COMMUN SOC</t>
  </si>
  <si>
    <t>Info. Commun. Soc.</t>
  </si>
  <si>
    <t>Communication; Sociology</t>
  </si>
  <si>
    <t>V16LI</t>
  </si>
  <si>
    <t>Ramos, TB; Caeiro, S; Douglas, CH; Ochieng, C</t>
  </si>
  <si>
    <t>Ramos, Tomas B.; Caeiro, Sandra; Douglas, Calbert H.; Ochieng, Cocker</t>
  </si>
  <si>
    <t>Environmental and sustainability impact assessment in small islands: the case of Azores and Madeira</t>
  </si>
  <si>
    <t>INTERNATIONAL JOURNAL OF ENVIRONMENTAL TECHNOLOGY AND MANAGEMENT</t>
  </si>
  <si>
    <t>environmental; sustainability; impact assessment; small islands</t>
  </si>
  <si>
    <t>This paper compares Environmental Impact Assessment (EIA) practices and effectiveness in the Portuguese islands of the Azores and Madeira. This was accomplished by qualitative appraisal and evaluation of the contents of EIA statements and the characterisation of the EIA practices. Data was collected from the islands' regional environmental agencies and from the Environmental Portuguese Agency internet database. The findings reveal that most EIA project practitioners and consultants in the islands are associated with the regional government agencies. Proposals were generally approved with 'conditions' and the diversity of project types were lower in the islands than in the mainland. There was limited follow-up on the EIA process so that evaluation of conditions compliance was scanty. Key areas identified for consideration in the development of good impact assessment practice in the islands included, the Islands' unique geographical and ecological characteristics, scale effects, intra-insular regional dimension, impact significance evaluation approaches, and training, education and development skills in EIA processes.</t>
  </si>
  <si>
    <t>[Ramos, Tomas B.] Univ Nova Lisboa, Fac Sci &amp; Technol, Dept Environm Sci &amp; Engn, Campus Caparica, P-2829516 Caparica, Portugal; [Caeiro, Sandra] Portuguese Distance Learning Univ, Dept Exact &amp; Technol Sci, P-1269001 Lisbon, Portugal; [Douglas, Calbert H.; Ochieng, Cocker] Univ Salford, Sch Environm &amp; Life Sci, Res Inst Built &amp; Human Environm, Gtr Manchester M5 4WT, Lancs, England</t>
  </si>
  <si>
    <t>Ramos, TB (corresponding author), Univ Nova Lisboa, Fac Sci &amp; Technol, Dept Environm Sci &amp; Engn, Campus Caparica, P-2829516 Caparica, Portugal.</t>
  </si>
  <si>
    <t>tabr@fct.unl.pt; scaeiro@univ-ab.pt; C.H.Douglas@salford.ac.uk; C.M.Ochieng@pgr.salford.ac.uk</t>
  </si>
  <si>
    <t>Ramos, Tomás B./E-7152-2013; Caeiro, Sandra/K-3886-2014</t>
  </si>
  <si>
    <t>Ramos, Tomás B./0000-0002-8270-4022; Caeiro, Sandra/0000-0002-6079-3554</t>
  </si>
  <si>
    <t>1466-2132</t>
  </si>
  <si>
    <t>1741-511X</t>
  </si>
  <si>
    <t>INT J ENVIRON TECHNO</t>
  </si>
  <si>
    <t>Int. J. Environ. Technol. Manag.</t>
  </si>
  <si>
    <t>10.1504/IJETM.2009.023523</t>
  </si>
  <si>
    <t>V93JV</t>
  </si>
  <si>
    <t>WOS:000213058600006</t>
  </si>
  <si>
    <t>Mirijamdotter, A; Somerville, MM</t>
  </si>
  <si>
    <t>Mirijamdotter, Anita; Somerville, Mary M.</t>
  </si>
  <si>
    <t>Collaborative Design: An SSM-enabled Organizational Learning Approach</t>
  </si>
  <si>
    <t>INTERNATIONAL JOURNAL OF INFORMATION TECHNOLOGIES AND SYSTEMS APPROACH</t>
  </si>
  <si>
    <t>action research interaction design; governmental IS; participative design; process design; soft systems methodology; user-centered design; user participation</t>
  </si>
  <si>
    <t>Within the context of a three year applied research project conducted from 2003-2006 in a North American university library, staff were encouraged to reconsider organizational assumptions and design processes. The project involved an organizational leader and an external consultant who introduced and collaboratively applied Soft Systems Methodology (SSM) practice. Project results suggest the efficacy of using 'soft' systems thinking to guide interaction (re) design of technology-enabled environments, systems, and tools. In addition, participants attained insights into their new roles and responsibilities within a dynamically changing higher education environment. Project participants also applied SSM to redesign 'in house' information systems. The process of employing systems thinking practices to activate and advance organizational (re) learning, and initiating and elaborating user-centered interaction (re) design practices, culminated in a collaborative design (co-design) approach that readied participants for nimble responsiveness to continuous changes in the dynamic external environment.</t>
  </si>
  <si>
    <t>[Mirijamdotter, Anita] Vaxjo Univ, Informat, Vaxjo, Sweden; [Somerville, Mary M.] Univ Colorado, Denver, CO 80202 USA</t>
  </si>
  <si>
    <t>Mirijamdotter, A (corresponding author), Vaxjo Univ, Informat, Vaxjo, Sweden.</t>
  </si>
  <si>
    <t>Mirjamdotter, Anita/AAK-1314-2021</t>
  </si>
  <si>
    <t>Mirjamdotter, Anita/0000-0002-3670-6537; Somerville, Mary/0000-0002-4201-8335</t>
  </si>
  <si>
    <t>1935-570X</t>
  </si>
  <si>
    <t>1935-5718</t>
  </si>
  <si>
    <t>INT J INF TECHNOL SY</t>
  </si>
  <si>
    <t>Int. J. Inf. Technol. Syst. Approach</t>
  </si>
  <si>
    <t>10.4018/jitsa.2009010104</t>
  </si>
  <si>
    <t>V12BQ</t>
  </si>
  <si>
    <t>WOS:000214321700004</t>
  </si>
  <si>
    <t>Perumal, J</t>
  </si>
  <si>
    <t>Perumal, Juliet</t>
  </si>
  <si>
    <t>Reading and creating critically leaderful schools that make a difference: the post-apartheid South African case</t>
  </si>
  <si>
    <t>INTERNATIONAL JOURNAL OF LEADERSHIP IN EDUCATION</t>
  </si>
  <si>
    <t>My interest in critical leaderful educational practices emanated from my experiences as a researcher in a South African National Department of Education project that piloted the White Paper on Inclusive Education Policy from 2001-2003 and in 2006 when I worked as a volunteer consultant with Twenty30, an independent, not for profit organization that works with schools in disadvantaged communities in Johannesburg, South Africa. Based on my work with the National Department of Education and Twenty30, in this paper I briefly sketch the profiles of Sunshine Primary and Dullsville Primary, two schools which operate within similar contexts of social fragmentation but which display two very different sets of behaviours. I sketch the legacy of racial segregation in South African schools and the resource infrastructural climate that characterized apartheid South African education. The sketch is meant to serve as a contextual background to understand the behavioural patterns of Sunshine Primary and Dullsville Primary in terms of how they negotiate the discriminatory apartheid script: one school which has resisted the negative script conferred upon it by apartheid and its legacy and the other school which has habitualized and internalized the debilitating script of apartheid engineering. Through reflection on the ethos of these two schools I conceptualized a proposed research project that I will conduct with a group of principals in Johannesburg, South Africa. The proposed study aims to explore how women school principals navigate the complexities of educational leadership in disadvantaged communities ravaged by HIV/AIDS, poverty and child and woman abuse while also negotiating their status within the education fraternity that has historically relegated them to second-class citizenship.</t>
  </si>
  <si>
    <t>[Perumal, Juliet] Univ Johannesburg, Fac Educ, Dept Educ Studies, Kingsway Campus, ZA-2006 Auckland Pk, South Africa</t>
  </si>
  <si>
    <t>Perumal, J (corresponding author), Univ Johannesburg, Fac Educ, Dept Educ Studies, Kingsway Campus, ZA-2006 Auckland Pk, South Africa.</t>
  </si>
  <si>
    <t>juliet@iafrica.com</t>
  </si>
  <si>
    <t>Perumal, Juliet/L-9915-2014</t>
  </si>
  <si>
    <t>Perumal, Juliet/0000-0001-7329-5389</t>
  </si>
  <si>
    <t>1360-3124</t>
  </si>
  <si>
    <t>1464-5092</t>
  </si>
  <si>
    <t>INT J LEADERSH EDUC</t>
  </si>
  <si>
    <t>Int. J. Leadersh. Educ.</t>
  </si>
  <si>
    <t>10.1080/13603120802452532</t>
  </si>
  <si>
    <t>VA1IZ</t>
  </si>
  <si>
    <t>WOS:000409662900003</t>
  </si>
  <si>
    <t>Biodiversity offsetting; Compensation; Environmental economics; Habitat banking; Habitat re-creation; Mitigation; Sustainable development</t>
  </si>
  <si>
    <t>WETLAND MITIGATION BANKING; SUSTAINABLE DEVELOPMENT; LOWLAND HEATH; RE-CREATION; SOUTHERN ENGLAND; UNITED-STATES; ARABLE LAND; CONSERVATION; RESTORATION; GRASSLAND</t>
  </si>
  <si>
    <t>[Briggs, Brian D. J.; Hill, David A.; Gillespie, Robert] Environm Bank Ltd, Swindon SN3 4HG, Wilts, England</t>
  </si>
  <si>
    <t>Briggs, BDJ (corresponding author), Environm Bank Ltd, Stratton Pk House,Wanborough Rd, Swindon SN3 4HG, Wilts, England.</t>
  </si>
  <si>
    <t>bbriggs@environmentbank.com</t>
  </si>
  <si>
    <t>ELSEVIER GMBH, URBAN &amp; FISCHER VERLAG</t>
  </si>
  <si>
    <t>JENA</t>
  </si>
  <si>
    <t>OFFICE JENA, P O BOX 100537, 07705 JENA, GERMANY</t>
  </si>
  <si>
    <t>J NAT CONSERV</t>
  </si>
  <si>
    <t>J. Nat. Conserv.</t>
  </si>
  <si>
    <t>454LQ</t>
  </si>
  <si>
    <t>Loose coupling; Business plans; Institutional theory; New ventures; University incubatees</t>
  </si>
  <si>
    <t>ENTREPRENEURSHIP; ORGANIZATIONS; RESPONSES; SURVIVAL; INFORMATION; SYSTEMS; MODEL</t>
  </si>
  <si>
    <t>[Karlsson, Tomas] Jonkoping Int Business Sch, SE-55111 Jonkoping, Sweden; [Honig, Benson] Wilfrid Laurier Univ, Sch Business &amp; Econ, Waterloo, ON N2L 3C5, Canada</t>
  </si>
  <si>
    <t>Karlsson, T (corresponding author), Jonkoping Int Business Sch, Box 1026, SE-55111 Jonkoping, Sweden.</t>
  </si>
  <si>
    <t>tomas.karlsson@ihh.hj.se; bhonig@wlu.ca</t>
  </si>
  <si>
    <t>Honig, Benson L/F-8345-2013</t>
  </si>
  <si>
    <t>Honig, Benson L/0000-0003-0563-0899; Karlsson, Tomas/0000-0002-4189-0965</t>
  </si>
  <si>
    <t>J BUS VENTURING</t>
  </si>
  <si>
    <t>J. Bus. Ventur.</t>
  </si>
  <si>
    <t>405CN</t>
  </si>
  <si>
    <t>GRI; Sustainability reporting; Information disclosure; Civil regulation; CSR</t>
  </si>
  <si>
    <t>[Brown, Halina Szejnwald] Clark Univ, Dept Int Dev Community &amp; Environm, Worcester, MA 01610 USA; [de Jong, Martin] Delft Univ Technol, Fac Technol Policy &amp; Management, NL-2628 BX Delft, Netherlands; [Levy, David L.] Univ Massachusetts, Coll Management, Boston, MA 02125 USA</t>
  </si>
  <si>
    <t>Brown, HS (corresponding author), Clark Univ, Dept Int Dev Community &amp; Environm, 950 Main St, Worcester, MA 01610 USA.</t>
  </si>
  <si>
    <t>hbrown@clarku.edu</t>
  </si>
  <si>
    <t>US National Science Foundation, Ethics and Values Studies [SES0450897]</t>
  </si>
  <si>
    <t>US National Science Foundation, Ethics and Values Studies(National Science Foundation (NSF))</t>
  </si>
  <si>
    <t>We thank Dr. Teodorina Lessidrenska and Prof. Philip Vergragt for their contributions to collecting the empirical data for this research, based on documentary analysis and interviews. This research was supported by grant #SES0450897 from the US National Science Foundation, Ethics and Values Studies.</t>
  </si>
  <si>
    <t>421AP</t>
  </si>
  <si>
    <t>Sharma, KL; Ramakrishna, YS; Samra, JS; Sharma, KD; Mandal, UK; Venkateswarlu, B; Korwar, GR; Srinivas, K</t>
  </si>
  <si>
    <t>Sharma, K. L.; Ramakrishna, Y. S.; Samra, J. S.; Sharma, K. D.; Mandal, U. K.; Venkateswarlu, B.; Korwar, G. R.; Srinivas, K.</t>
  </si>
  <si>
    <t>Strategies for Improving the Productivity of Rainfed Farms in India with Special Emphasis on Soil Quality Improvement</t>
  </si>
  <si>
    <t>JOURNAL OF CROP IMPROVEMENT</t>
  </si>
  <si>
    <t>rainfed farming; crop productivity; land degradation; land care and soil quality; watershed development strategies</t>
  </si>
  <si>
    <t>Rainfed agriculture encounters several constraints on account of climatic, edaphic, and social factors. Out of the 97 million farm holdings, about 76% come under marginal and small categories. The productivity levels of these areas have remained lower across years because of frequent droughts occurring due to high variability in the quantum and distribution of rainfall, poor soil health, low fertilizer use, imbalanced fertilization, small farm size and poor mechanization, poor socio-economic conditions and low riskbearing capacity, low credit availability and infrastructure constraints. Consequently, farmers are distracted from agriculture and tend to migrate to cities to look for alternative jobs. Hence, there is a great need to increase the productivity of rainfed crops and overall net returns to keep the farmers in agriculture. A paradigm shift in rainfed agriculture can be expected through technological thrusts and policy changes. The strategies that need to be emphasized include: (i) land care and soil-quality improvement through conservation agricultural practices, balanced fertilization, harnessing the potential of biofertilizers and microorganisms, and carbon sequestration; (ii) efficient crops, cropping systems, and best plant types; (iii) management of land and water on watershed basis; (iv) adoption of a farming-systems approach by diversifying enterprises with high-income modules; (v) mechanization for timely agricultural operations and precision agricultural approach; (vi) post-harvest, cold-storage, value-addition modules; (vii) assured employment and wage system; (viii) organic farming; (ix) rehabilitation of rainfed wastelands; (x) policy changes and other support system; and (xi) human-resource development, training and consultancy. This paper deals in depth with some of these issues and strategies.</t>
  </si>
  <si>
    <t>[Sharma, K. L.; Ramakrishna, Y. S.; Mandal, U. K.; Venkateswarlu, B.; Korwar, G. R.; Srinivas, K.] Cent Res Inst Dryland Agr, Hyderabad 500059, Andhra Pradesh, India; [Samra, J. S.; Sharma, K. D.] Govt India, Natl Rainfed Area Author, New Delhi, India</t>
  </si>
  <si>
    <t>Sharma, KL (corresponding author), Cent Res Inst Dryland Agr, Hyderabad 500059, Andhra Pradesh, India.</t>
  </si>
  <si>
    <t>klsharma@crida.ernet.in</t>
  </si>
  <si>
    <t>venkateswarlu, B/0000-0001-7654-8193</t>
  </si>
  <si>
    <t>1542-7528</t>
  </si>
  <si>
    <t>1542-7536</t>
  </si>
  <si>
    <t>J CROP IMPROV</t>
  </si>
  <si>
    <t>J. Crop Improv.</t>
  </si>
  <si>
    <t>10.1080/15427520903013431</t>
  </si>
  <si>
    <t>Agronomy; Plant Sciences</t>
  </si>
  <si>
    <t>Agriculture; Plant Sciences</t>
  </si>
  <si>
    <t>VH3JH</t>
  </si>
  <si>
    <t>WOS:000452690300007</t>
  </si>
  <si>
    <t>EVIDENCE-BASED INTERVENTIONS; CROSS-CULTURAL CONSULTATION; ISSUES; EDUCATION; TEACHERS; STUDENTS</t>
  </si>
  <si>
    <t>[Li, Chieh] Northeastern Univ, Dept Counseling &amp; Appl Educ Psychol, Sch Psychol Program, Boston, MA 02115 USA</t>
  </si>
  <si>
    <t>Li, CE (corresponding author), Northeastern Univ, Dept Counseling &amp; Appl Educ Psychol, Sch Psychol Program, 203 Lake Hall, Boston, MA 02115 USA.</t>
  </si>
  <si>
    <t>C.Li@.neu.edu</t>
  </si>
  <si>
    <t>Li, Chieh/0000-0001-7254-0039</t>
  </si>
  <si>
    <t>411JM</t>
  </si>
  <si>
    <t>Matipa, WM; Kelliher, D; Keane, M</t>
  </si>
  <si>
    <t>Matipa, Wilfred M.; Kelliher, Denis; Keane, Marcus</t>
  </si>
  <si>
    <t>A strategic view of ICT supported cost management for green buildings in the quantity surveying practice</t>
  </si>
  <si>
    <t>Communication technologies; Budgetary control; Construction industry; Sustainable development; Quantity surveying; Ireland</t>
  </si>
  <si>
    <t>Purpose - This paper aims to highlight the availability and use of software systems in the Irish construction professional cost consultancy process. Also to gather the views from practising quantity surveying professionals as to how available systems could assist total cost management of green buildings throughout their lifespan. Design/methodology/approach - A questionnaire was given to a number of senior quantity surveyors throughout Ireland to ascertain the extent to which IT systems were being used as part of a total life cycle cost analysis and control procedure. Particular focus of questions related to the extent to which use of IT systems encouraged information sharing. Statistical analyses of results of same are given. Findings - Quantity surveying practice must adapt and integrate cost management systems within the life cycle cost plan of a building. Use of well-designed IT systems should complement the existing knowledge base of traditional cost models. Originality/value - The extent to which life cycle costs become an accepted and integral part of the total cost management package may be determined more by government legislation than client desire for the cost management system. Nevertheless, the quantity surveying profession with its well-established cost control and planning techniques should consider the use of well-designed IT systems as part of the future development of the profession.</t>
  </si>
  <si>
    <t>[Matipa, Wilfred M.] Liverpool John Moores Univ, Fac Technol &amp; Environm, Dept Built Environm, Liverpool, Merseyside, England; [Kelliher, Denis] Natl Univ Ireland Cork, Informat Res Unit Sustainable Engn, Dept Civil &amp; Environm Engn, Cork, Ireland; [Keane, Marcus] Natl Univ Ireland Galway, Dept Mech &amp; Biomed Engn, Galway, Ireland</t>
  </si>
  <si>
    <t>Matipa, WM (corresponding author), Liverpool John Moores Univ, Fac Technol &amp; Environm, Dept Built Environm, Liverpool, Merseyside, England.</t>
  </si>
  <si>
    <t>w.m.matipa@ljmu.ac.uk</t>
  </si>
  <si>
    <t>Keane, Marcus/0000-0002-6785-3484</t>
  </si>
  <si>
    <t>10.1108/13664380910942653</t>
  </si>
  <si>
    <t>V71EZ</t>
  </si>
  <si>
    <t>WOS:000211558800006</t>
  </si>
  <si>
    <t>Jiwa, S; Coca-Stefaniak, JA; Blackwell, M; Rahman, T</t>
  </si>
  <si>
    <t>Jiwa, Salim; Coca-Stefaniak, J. Andres; Blackwell, Martin; Rahman, Toyubur</t>
  </si>
  <si>
    <t>Light Night: an enlightening place marketing experience</t>
  </si>
  <si>
    <t>JOURNAL OF PLACE MANAGEMENT AND DEVELOPMENT</t>
  </si>
  <si>
    <t>Culture; Cities; Urban regions; United Kingdom</t>
  </si>
  <si>
    <t>Purpose - The Light Night initiative currently under development in the UK offers an innovative approach to revitalising town and city centres by involving residents and visitors through culture and the arts. This initiative is based on the successful Nuit Blanche (White Night) culture- led urban revitalisation model tested in cities like Brussels, Madrid, Montreal, Rome, Sao Paulo, Skopje and Toronto, where the Nuit Blanche programme alone resulted in an estimated $4.9 million economic impact on the city and attracted 800,000 people (Toronto). This paper aims to review elements of good practice internationally in the implementation of this concept and suggest a way forward for its realisation in the UK. Design/methodology/approach - This case study builds on the 24-hour city concept and provides a practical example of how culture- led urban revitalisation through the Light Night programme can be implemented in Birmingham, Leeds, Liverpool, Nottingham and Sheffield based on successful international experiences. Findings - Evidence gathered through a review of the literature provided in this case study would suggest that community involvement through creative culture- led urban revitalisation initiatives can be instrumental in developing sustainable places and communities. Furthermore, it may provide a pathway towards overcoming some of the negative perceptions associated with the night-time economy in many British town and city centres. The Light Night programme provides an opportunity for key social stakeholders to implement this through its focus on shared culture, history and identity. Originality/value - This paper reviews the evolution of the European Nuit Blanche initiative using a case study approach, and its interpretation in the UK through the Light Night programme. It further explores the economic, cultural and social benefits of Light Nights and Nuit Blanche on community cohesion, tourism and regeneration. This paper is of value to practitioners and policy-makers in place marketing, town centre management, local authority economic development officers, business managers, urban regeneration consultants, academics, tourism officers, community leaders and town centre residents.</t>
  </si>
  <si>
    <t>[Jiwa, Salim; Coca-Stefaniak, J. Andres] Univ Arts London, London Coll Commun, Sch Creat Enterprise, London, England; [Blackwell, Martin; Rahman, Toyubur] ATCM, London, England</t>
  </si>
  <si>
    <t>Jiwa, S (corresponding author), Univ Arts London, London Coll Commun, Sch Creat Enterprise, London, England.</t>
  </si>
  <si>
    <t>s.jiwa@lcc.arts.ac.uk</t>
  </si>
  <si>
    <t>Coca-Stefaniak, J. Andres/G-2724-2019</t>
  </si>
  <si>
    <t>Coca-Stefaniak, J. Andres/0000-0001-5711-519X</t>
  </si>
  <si>
    <t>1753-8335</t>
  </si>
  <si>
    <t>1753-8343</t>
  </si>
  <si>
    <t>J PLACE MANAG DEV</t>
  </si>
  <si>
    <t>J. Place Manag. Dev.</t>
  </si>
  <si>
    <t>10.1108/17538330910975883</t>
  </si>
  <si>
    <t>V06BY</t>
  </si>
  <si>
    <t>WOS:000213916900006</t>
  </si>
  <si>
    <t>Sustainable planning and design; LEED-ND rating system; LEED-ND pilot projects</t>
  </si>
  <si>
    <t>URBAN; GROWTH; CITIES</t>
  </si>
  <si>
    <t>Garde, A (corresponding author), Univ Calif Irvine, Dept Planning Policy &amp; Design, Irvine, CA 92717 USA.</t>
  </si>
  <si>
    <t>agarde@uci.edu</t>
  </si>
  <si>
    <t>J AM PLANN ASSOC</t>
  </si>
  <si>
    <t>J. Am. Plan. Assoc.</t>
  </si>
  <si>
    <t>509LM</t>
  </si>
  <si>
    <t>[Colloredo-Mansfeld, Rudi] Univ N Carolina, Chapel Hill, NC 27515 USA; [Antrosio, Jason] Hartwick Coll, Dept Anthropol, Oneonta, NY USA</t>
  </si>
  <si>
    <t>Colloredo-Mansfeld, R (corresponding author), Univ N Carolina, Chapel Hill, NC 27515 USA.</t>
  </si>
  <si>
    <t>LATIN AMER STUDIES ASSOC</t>
  </si>
  <si>
    <t>PITTSBURGH</t>
  </si>
  <si>
    <t>416 BELLEFIELD HALL, UNIV PITTSBURGH, PITTSBURGH, PA 15260 USA</t>
  </si>
  <si>
    <t>LAT AM RES REV</t>
  </si>
  <si>
    <t>Lat. Am. Res. Rev.</t>
  </si>
  <si>
    <t>409AY</t>
  </si>
  <si>
    <t>Wotherspoon, D; Burgin, S</t>
  </si>
  <si>
    <t>Wotherspoon, Danny; Burgin, Shelley</t>
  </si>
  <si>
    <t>The consultant ecologist's role in the New South Wales (Australia) approach to biodiversity offsets: BioBanking</t>
  </si>
  <si>
    <t>species conservation; threatened species; biodiversity legislation; biodiversity values; environmental compliance</t>
  </si>
  <si>
    <t>Biodiversity offsets are voluntary conservation activities that are designed to offset residual, unavoidable damage to biodiversity caused by development activities. The concept is also known by terms such as setasides, compensatory habitat, and mitigation banks. Recent legislation in New South Wales (Australia) provides an additional legislative tool in the attempt to counter balance biodiversity loss due to expanding urbanisation. A key role is played by the consultant ecologist who is at the interface between other vested interests: governments, the legal system, developers, and landholders wishing to trade biodiversity credits. In this paper we reflect on the role of the consultant ecologist in the biodiversity offset (BioBanking) process, and touch on some of the pitfalls including the lack of knowledge of the function and components of most ecosystems, the immaturity of the scientific disciplines that underpin decision making, and problems on ensuring integrity of objectivity and independence in such schemes.</t>
  </si>
  <si>
    <t>[Wotherspoon, Danny] Abel Ecol, Faulconbridge, NSW, Australia; [Burgin, Shelley] Univ Western Sydney, Coll Hlth &amp; Sci, Penrith, NSW, Australia</t>
  </si>
  <si>
    <t>Burgin, S (corresponding author), Univ Western Sydney, Coll Hlth &amp; Sci, Penrith, NSW, Australia.</t>
  </si>
  <si>
    <t>s.burgin@uws.edu.au</t>
  </si>
  <si>
    <t>University of Western Sydney and Abel Ecology</t>
  </si>
  <si>
    <t>This paper would not have been conceived, at least in its present form, if the junior author had not been asked to present a paper at the Ecological Consultants Association of New South Wales Annual Conference at Katoomba (Australia). The background research for the presentation, and the participants and speakers at the conference provided fruitful discussion and this laid the paper's foundations. Financial support for the development and writing of the paper were provided (in kind) by the University of Western Sydney and Abel Ecology.</t>
  </si>
  <si>
    <t>10.1080/13549830802522533</t>
  </si>
  <si>
    <t>V78HA</t>
  </si>
  <si>
    <t>WOS:000212037300005</t>
  </si>
  <si>
    <t>Adidam, PT; Gajre, S; Kejriwal, S</t>
  </si>
  <si>
    <t>Adidam, Phani; Gajre, Sampada; Kejriwal, Shubhra</t>
  </si>
  <si>
    <t>Cross-cultural competitive intelligence strategies</t>
  </si>
  <si>
    <t>MARKETING INTELLIGENCE &amp; PLANNING</t>
  </si>
  <si>
    <t>Competitive analysis; Cross-cultural studies; International marketing; Emerging markets</t>
  </si>
  <si>
    <t>MARKETING INTELLIGENCE</t>
  </si>
  <si>
    <t>Purpose - Competitive intelligence (CI) is a promising tool in the strategic planning arsenal of top managers. As companies expand globally, it is imperative that CI be conducted across national boundaries and cultures. The practice of CI in various international markets is clearly impacted by the cultural context of gathering and analyzing information. Therefore, one of the key ingredients to successfully conducting CI globally is the ability to understand the local culture and business practices, and then integrate this knowledge within contemporary CI strategies. This paper aims to address these issues Design/methodology/approach - This study analyses CI practices in the developed markets of Europe and Japan, as well as the emerging markets of China, Russia, South Africa, Latin America, and the Middle East by using extant literature, primary as well as secondary sources Findings - Owning to the complexity of cross-cultural CI practices, often companies fail in their entry into foreign markets. This is due to misjudgment and poor understanding of the countries' cultural, social, and political environment. As cultural factors have a major influence on the collection, analysis and outcome of any CI project, firms doing international business must have a cross culturally aware CI program, which can be established with the help of a five-step process as described in the paper Research limitations/implications - This paper provides a snapshot of comparative CI practices from across the globe, and contrasts developed and emerging CI practices. This is a qualitative review-based paper, and hence does not have any empirical corroboration. Most the understanding is gleaned from the extant literature as well as our in-depth interviews with 12 CI consultants in various global markets Practical implications - Global managers need CI in order to succeed in foreign markets. Most of times, these managers use the same CI practices that are being used in their home markets. This paper provides a good approach through which they could develop a cross-culturally aware CI program in their company Originality/value - Cultural factors play a major role in CI practices of firms across the globe. This research compares and contrasts CI practices in various cultures and markets, and provides some key guidelines and approaches for global managers in order to conduct successful CI in a variety of cultures. This research would be very valuable to global companies as it provides timely and practical solutions</t>
  </si>
  <si>
    <t>[Adidam, Phani] Univ Nebraska, Coll Business Adm, Dept Mkt &amp; Management, Omaha, NE 68182 USA; [Gajre, Sampada; Kejriwal, Shubhra] Univ Nebraska, Coll Business Adm, Omaha, NE 68182 USA</t>
  </si>
  <si>
    <t>Adidam, PT (corresponding author), Univ Nebraska, Coll Business Adm, Dept Mkt &amp; Management, Omaha, NE 68182 USA.</t>
  </si>
  <si>
    <t>padidam@mail.unomaha.edu</t>
  </si>
  <si>
    <t>0263-4503</t>
  </si>
  <si>
    <t>1758-8049</t>
  </si>
  <si>
    <t>MARK INTELL PLAN</t>
  </si>
  <si>
    <t>Mark. Intell. Plan.</t>
  </si>
  <si>
    <t>10.1108/02634500910977881</t>
  </si>
  <si>
    <t>V59JN</t>
  </si>
  <si>
    <t>WOS:000210759400006</t>
  </si>
  <si>
    <t>Prescott, SM; Hooper, KC</t>
  </si>
  <si>
    <t>Prescott, Semisi; Hooper, Keith</t>
  </si>
  <si>
    <t>Commons and anti-commons Tongan business experiences in New Zealand</t>
  </si>
  <si>
    <t>PACIFIC ACCOUNTING REVIEW</t>
  </si>
  <si>
    <t>Costs; Economic sustainability; New Zealand</t>
  </si>
  <si>
    <t>ISLANDS</t>
  </si>
  <si>
    <t>Purpose - The purpose of this paper is to examine Tongan businesses in New Zealand, bearing in mind that they have shared mixed success. Faced with the challenges of competition, compliance, and financial and operational management, these businesses are characterised by a relatively higher failure rate. Design/methodology/approach - A series of open-ended interview-type sessions called talanoa were carried out to study their business practices and how these were linked to sustainability. These data were then triangulated with talanoa sessions carried out with business advisers who had worked with many of those Tongan businesses. Further information was collected during individual and group sessions with members of the Tongan community regarding Tongan businesses practices from both a general and a customer perspective. Findings - The results of the talanoa sessions support a theoretical framework that suggests that an entrenched Tongan culture based on a commons mentality of sharing is partly responsible for a relatively high failure rate in an anti-commons environment. The findings also suggest that certain aspects of the Tongan culture, in the form of social capital, support business sustainability. Research limitations/implications - The data gained from the talanoa sessions are based on a small number of Tongan businesses, Pacific business consultants and members of the Tongan community in New Zealand. The findings are therefore not statistically generalisable, although they do provide insights to guide further research in this area. Practical implications - The findings are likely to provide benefits to a number of key stakeholders including Tongan businesses, policy makers, Government business assistance programmes and the wider small business community. Originality/value - The research project introduces traditional talanoa to qualitative business research. The findings are specific to Tongan business operating in a western commercial context and provide insights into the drivers of business success and failure for the growing Pacific business community in New Zealand.</t>
  </si>
  <si>
    <t>[Prescott, Semisi; Hooper, Keith] AUT Univ, Fac Business, Auckland, New Zealand</t>
  </si>
  <si>
    <t>Prescott, SM (corresponding author), AUT Univ, Fac Business, Auckland, New Zealand.</t>
  </si>
  <si>
    <t>james.prescott@aut.ac.nz</t>
  </si>
  <si>
    <t>0114-0582</t>
  </si>
  <si>
    <t>2041-5494</t>
  </si>
  <si>
    <t>PAC ACCOUNT REV</t>
  </si>
  <si>
    <t>Pac. Account. Rev.</t>
  </si>
  <si>
    <t>10.1108/01140580911012511</t>
  </si>
  <si>
    <t>V82MM</t>
  </si>
  <si>
    <t>WOS:000212321900004</t>
  </si>
  <si>
    <t>Steiner, A; Jarren, O</t>
  </si>
  <si>
    <t>Steiner, Adrian; Jarren, Otfried</t>
  </si>
  <si>
    <t>Intermediary Organizations under Media Influence? Changes in Political Communication of Parties, Unions and Social Movements</t>
  </si>
  <si>
    <t>POLITISCHE VIERTELJAHRESSCHRIFT</t>
  </si>
  <si>
    <t>REPRESENTATION; CONSULTANCIES; PROTEST</t>
  </si>
  <si>
    <t>The central significance of parties, unions and social movements in modern democratic societies is beyond debate. In their role as intermediary organizations they facilitate communication between the authorities of states and their citizens. And yet, for a fairly long time there has been talk of a crisis of these organizations. The dissolution of traditional environments, membership decline, the increasing prevalence of media and the dissolution of political boundaries are, among other things, new challenges that require communicative resolutions. What are the relevant environmental alterations, and what are their consequences for political communication? The present paper comments on these questions from an organization and systems theoretical point of view, and concludes with research propositions on the changes in the political communication of intermediary organizations.</t>
  </si>
  <si>
    <t>[Steiner, Adrian; Jarren, Otfried] Univ Zurich, IPMZ Inst Publizist Wissensch &amp; Medienforsch, CH-8050 Zurich, Switzerland</t>
  </si>
  <si>
    <t>Steiner, A (corresponding author), Univ Zurich, IPMZ Inst Publizist Wissensch &amp; Medienforsch, Andreasstr 15, CH-8050 Zurich, Switzerland.</t>
  </si>
  <si>
    <t>a.steiner@ipmz.uzh.ch; o.jarren@ipmz.uzh.ch</t>
  </si>
  <si>
    <t>0032-3470</t>
  </si>
  <si>
    <t>POLIT VIERTELJAHR</t>
  </si>
  <si>
    <t>Polit. Vierteljahresschr.</t>
  </si>
  <si>
    <t>10.1007/978-3-531-91728-3_11</t>
  </si>
  <si>
    <t>478JE</t>
  </si>
  <si>
    <t>WOS:000268582900011</t>
  </si>
  <si>
    <t>Tamayo, JAP</t>
  </si>
  <si>
    <t>Posada Tamayo, Juan Andres</t>
  </si>
  <si>
    <t>A VIEW FROM THE COMPARED LAW AND THE ECONOMIC ANALYSIS OF LAW OF THE CORPORATE STRUCTURE IN LATIN AMERICA</t>
  </si>
  <si>
    <t>ESTUDIOS DE DERECHO</t>
  </si>
  <si>
    <t>economic analysis of Law; legal transplants; corporate governance; Comparative Law; Corporate Law; Latin American corporations; convergence of legal institutions; conflicts between majority and minority shareholders</t>
  </si>
  <si>
    <t>Although the globalization offers important opportunities for the developing countries, including the associated profits to the access to larger markets, creates an interdependency that is usually connected with homogeneous regulations. One problem associated with globalization refers to the indiscriminate imposition of models and international schemes to achieve convergence. In some cases, this happens without keep in mind the diversity and local traditions. The increased presence of international agencies specialized in consulting services related to the convergence of legal institutions can demonstrate their challenging nature. The frequent absence of an appropriate process of adaptation to the cultural and economic realities of the recipient country can certainly determine the failure of a legal transplant. Such importation of rules has already happened in the law of the corporate structure in Latin America.</t>
  </si>
  <si>
    <t>[Posada Tamayo, Juan Andres] UPB Medellin, Medellin, Colombia</t>
  </si>
  <si>
    <t>Tamayo, JAP (corresponding author), UPB Medellin, Medellin, Colombia.</t>
  </si>
  <si>
    <t>UNIV ANTIOQUIA, FAC DERECHO &amp; CIENCIAS POLITICAS</t>
  </si>
  <si>
    <t>APARTADO AEREO 1226, MEDELLIN, ANT 00000, COLOMBIA</t>
  </si>
  <si>
    <t>0120-1867</t>
  </si>
  <si>
    <t>ESTUD DERECHO</t>
  </si>
  <si>
    <t>Estud. Derecho</t>
  </si>
  <si>
    <t>V29TU</t>
  </si>
  <si>
    <t>WOS:000215518100005</t>
  </si>
  <si>
    <t>decision support; soil fertility; fertilisation; spatial variability; precision agriculture; remote sensing; sustainability; economics; social; environment</t>
  </si>
  <si>
    <t>PHOSPHORUS; SOIL</t>
  </si>
  <si>
    <t>[Betteridge, Keith] AgRes Grasslands, Palmerston North, New Zealand; [Schnug, Ewald; Haneklaus, Silvia] JKI, Inst Crop &amp; Soil Sci, D-38116 Braunschweig, Germany</t>
  </si>
  <si>
    <t>Betteridge, K (corresponding author), AgRes Grasslands, Private Bag 11008, Palmerston North, New Zealand.</t>
  </si>
  <si>
    <t>keith.betteridge@agresearch.co.nz</t>
  </si>
  <si>
    <t>FORSCHUNGSANSTALT FUR LANDWIRT BRAUNSCHWEIG VOLKENRODE</t>
  </si>
  <si>
    <t>BRAUNSCHWEIG</t>
  </si>
  <si>
    <t>BUNDESALLEE 50, D-38116 BRAUNSCHWEIG, GERMANY</t>
  </si>
  <si>
    <t>LANDBAUFORSCH VOLK</t>
  </si>
  <si>
    <t>Landbauforsch. Volk.</t>
  </si>
  <si>
    <t>396XD</t>
  </si>
  <si>
    <t>Eucalypts; Forests; Management; Sustainability; Water; Carbon; Fire</t>
  </si>
  <si>
    <t>WATER YIELD; EUCALYPT FORESTS; CARBON STORAGE; ORGANIC-MATTER; BLACK CARBON; SOIL CARBON; TREE AGE; FIRE; MANAGEMENT; ISOPRENE</t>
  </si>
  <si>
    <t>[Adams, Mark A.] Univ Sydney, Sydney, NSW 2006, Australia; [Attiwill, Peter M.] Univ Melbourne, Sch Bot, Parkville, Vic 3010, Australia; [Attiwill, Peter M.] Univ Melbourne, Australian Ctr, Parkville, Vic 3010, Australia; [Adams, Mark A.] Bushfire CRC, Melbourne, Vic 3002, Australia</t>
  </si>
  <si>
    <t>Adams, MA (corresponding author), Univ Sydney, Sydney, NSW 2006, Australia.</t>
  </si>
  <si>
    <t>m.adams@usyd.edu.au</t>
  </si>
  <si>
    <t>375MV</t>
  </si>
  <si>
    <t>Austin, MS; Harkins, DA</t>
  </si>
  <si>
    <t>Austin, Manila S.; Harkins, Debra A.</t>
  </si>
  <si>
    <t>Shifting Spaces and Emerging Voices: Participation, Support, and Conflict in One School Administrative Team</t>
  </si>
  <si>
    <t>LEARNING ORGANIZATIONS; WORK; JOB</t>
  </si>
  <si>
    <t>Research Findings: Collaborative work and supportive relationships are highly valued by teachers and school administrators. Collaboration, however, necessitates constructive conflict resolution (P. M. Senge, 1990), yet conflict is often experienced as interpersonally threatening and undermining supportive working conditions. This contradiction is critical for educators wishing to develop prosocial conflict resolution skills in children: It is unrealistic to expect students to resolve conflicts peaceably if adults in the system do not model these behaviors themselves. This study examines the management team of a school engaged in conflict resolution training to assess whether they were able to (a) create a more participatory and supportive team climate and (b) change how team members interacted during conflicts (use of internal state language as well as structural elements-voice and turn-taking behavior-were examined). Results suggest that the team improved its climate along expected dimensions and that, behaviorally, change occurred not according to how much was said or not said by any one teammate, but rather through the shifting dynamics of space among members-how teammates shifted in relation to each other and how much space learn members gave to each other to allow for these shifts to happen. Practice or Policy: Theoretical and practical implications for educators and consultants are discussed.</t>
  </si>
  <si>
    <t>[Austin, Manila S.; Harkins, Debra A.] Suffolk Univ, Dept Psychol, Boston, MA USA</t>
  </si>
  <si>
    <t>Austin, MS (corresponding author), Communispace Corp, Watertown, MA 02472 USA.</t>
  </si>
  <si>
    <t>maustin@communispace.com</t>
  </si>
  <si>
    <t>10.1080/10409280802356653</t>
  </si>
  <si>
    <t>398OC</t>
  </si>
  <si>
    <t>WOS:000262740400005</t>
  </si>
  <si>
    <t>Environmental impact assessment; Pakistan</t>
  </si>
  <si>
    <t>[Nadeem, Obaidullah; Hameed, Rizwan] Univ Engn &amp; Technol, Dept City &amp; Reg Planning, Lahore, Pakistan</t>
  </si>
  <si>
    <t>Nadeem, O (corresponding author), Univ Engn &amp; Technol, Dept City &amp; Reg Planning, Lahore, Pakistan.</t>
  </si>
  <si>
    <t>obaidnadeem@yahoo.com; d_rizwan@hotmail.com</t>
  </si>
  <si>
    <t>375SC</t>
  </si>
  <si>
    <t>MANAGEMENT CONSULTING FIRMS; CORPORATE-LAW FIRM; STRATEGIC MANAGEMENT; KNOWLEDGE; INNOVATION; EVOLUTION; COMMODIFICATION; PERSPECTIVE; PERFORMANCE; CONTEXT</t>
  </si>
  <si>
    <t>[Gardner, Heidi K.] Harvard Univ, Sch Business, Boston, MA 02163 USA; [Anand, N.] IMD, Lausanne, Switzerland; [Morris, Timothy] Univ Oxford, Said Business Sch, Oxford, England</t>
  </si>
  <si>
    <t>Gardner, HK (corresponding author), London Business Sch, Regents Pk, London NW1 4SA, England.</t>
  </si>
  <si>
    <t>hgardner@hbs.edu</t>
  </si>
  <si>
    <t>J ORGAN BEHAV</t>
  </si>
  <si>
    <t>J. Organ. Behav.</t>
  </si>
  <si>
    <t>376UG</t>
  </si>
  <si>
    <t>Temtime, ZT</t>
  </si>
  <si>
    <t>Temtime, Z. T.</t>
  </si>
  <si>
    <t>From operating efficiency to competitive edge: lessons from small firms in Botswana</t>
  </si>
  <si>
    <t>STRATEGIC CHANGE-BRIEFINGS IN ENTREPRENEURIAL FINANCE</t>
  </si>
  <si>
    <t>Today's business environment is characterized by stiff competition, rapid technological advancements, and changing requirements of customers and employees. To grow and survive in this turbulent environment, Small and Medium Enterprises (SMEs) must balance the emphasis they put on the improvement of short-term operational efficiency and long-term competitiveness. Due to the apparent lack of resources and expertise, most SMEs pay very little attention to long-term competitiveness and dynamism. Preoccupied with operational bits and pieces, SMEs lack strategic awareness and orientation. Strategic awareness is a mental process of continually evaluating organizational and environmental factors and improving on how they are identified, recognized, influenced, and interpreted, and consequently used in making strategic business decisions. The widespread use of short-term-oriented, non-formal business planning practices indicates lack of strategic awareness and competitiveness among SMEs. This paper examines the degree of emphasis attached by SMEs, during their business planning, to the achievement of long-term competitive advantages by presenting evidence from a recent empirical study based on data collected from 91 SMEs and analyzed using descriptive statistics such as mean and standard deviation. The findings indicated that SMEs put greater emphasis on short-term profitability and operational efficiency than developing strategic awareness and long-term competitiveness. Although this could be attributed to the relative lack of resources required for the implementation of strategic planning, policy deployment, and positioning, SMEs should be assisted to think and act strategically if they are to survive and grow in today's turbulent and dynamic markets. Government agencies, policy-makers, consultants, non-governmental organizations, and other small business support agencies must redirect their efforts toward bridging the gap between short-term operational efficiency and strategic competitiveness and sustainability. This paper provides managerial and policy implications for SMEs, SME support agencies, government and non-government agencies, and future research. Copyright (C) 2008 John Wiley &amp; Sons, Ltd.</t>
  </si>
  <si>
    <t>Temtime, ZT (corresponding author), POB 70471, Gaborone, Botswana.</t>
  </si>
  <si>
    <t>temtimez@mopipi.ub.bw</t>
  </si>
  <si>
    <t>1086-1718</t>
  </si>
  <si>
    <t>1099-1697</t>
  </si>
  <si>
    <t>STRATEG CHANG</t>
  </si>
  <si>
    <t>Strateg. Chang.</t>
  </si>
  <si>
    <t>10.1002/jsc.834</t>
  </si>
  <si>
    <t>V3C1D</t>
  </si>
  <si>
    <t>WOS:000218120400006</t>
  </si>
  <si>
    <t>Ward, DS; Benjamin, SE; Ammerman, AS; Ball, SC; Neelon, BH; Bangdiwala, SI</t>
  </si>
  <si>
    <t>Ward, Dianne S.; Benjamin, Sara E.; Ammerman, Alice S.; Ball, Sarah C.; Neelon, Brian H.; Bangdiwala, Shrikant I.</t>
  </si>
  <si>
    <t>Nutrition and physical activity in child care - Results from an environmental intervention</t>
  </si>
  <si>
    <t>AMERICAN JOURNAL OF PREVENTIVE MEDICINE</t>
  </si>
  <si>
    <t>PRESCHOOL-CHILDREN; HIP-HOP; OBESITY PREVENTION; MINORITY CHILDREN; HEALTH-PROMOTION; OVERWEIGHT; PREVALENCE</t>
  </si>
  <si>
    <t>Background: With evidence of increased levels of obesity in younger children, the child-care setting is an important intervention target. Few environmental interventions exist, and none target both diet and physical activity. The Nutrition and Physical Activity Self-Assessment for Child Care (NAP SACC) intervention was developed to fill this research and practice gap. Design: Randomized controlled. Setting/participants: Health professionals (child-care health consultants) serving child-care centers in North Carolina were recruited (n=30), randomly assigned into intervention or delayed-intervention control groups, and trained to implement the NAP SACC program. Up to three child-care centers were recruited (n=84) from each consultant's existing caseload. Intervention: Implemented in 2005, the NAP SACC intervention includes an environmental self-assessment, selection of areas for change, continuing education workshops, targeted technical assistance, and re-evaluation. Implementation occurred over a 6-month period. Main outcome measures: An observational instrument, Environment and Policy Assessment and Observation (EPAO), provided objective evidence of intervention impact and was completed by trained research staff blinded to study assignment. Data were collected in 2005 and 2006. Statistical analyses were conducted in 2006. Results: Intention-to-treat analysis results were nonsignificant. Exploratory analyses using only centers that completed most of the NAP SACC program suggest an intervention effect. Conclusions: Factors in the intervention design, the fidelity of implementation, the selection of outcome measure, or a combination of these may have contributed to the lack of intervention effect observed. Because of this study's use of existing public health infrastructure and its potential for implementation, future studies should address strategies for improving effectiveness.</t>
  </si>
  <si>
    <t>[Ward, Dianne S.] Univ N Carolina, Ctr Hlth Promot &amp; Dis Prevent, Dept Nutr, Chapel Hill, NC 27599 USA; Univ N Carolina, Ctr Hlth Promot &amp; Dis Prevent, Dept Biostat, Chapel Hill, NC 27599 USA</t>
  </si>
  <si>
    <t>Ward, DS (corresponding author), Univ N Carolina, Ctr Hlth Promot &amp; Dis Prevent, Dept Nutr, 1700 Martin Luther King,Jr Blvd,CB 7426, Chapel Hill, NC 27599 USA.</t>
  </si>
  <si>
    <t>dsward@email.unc.edu</t>
  </si>
  <si>
    <t>Ball, Sarah/AAB-2191-2021</t>
  </si>
  <si>
    <t>Ward, Dianne Stanton/0000-0001-6389-0168</t>
  </si>
  <si>
    <t>NAP SACC; CDC; North Carolina Department of Health and Human Services; Division of Public Health</t>
  </si>
  <si>
    <t>NAP SACC; CDC(Centre National de la Recherche Scientifique (CNRS)United States Department of Health &amp; Human ServicesCenters for Disease Control &amp; Prevention - USA); North Carolina Department of Health and Human Services; Division of Public Health</t>
  </si>
  <si>
    <t>No financial disclosures were reported by the authors of this paper.</t>
  </si>
  <si>
    <t>0749-3797</t>
  </si>
  <si>
    <t>AM J PREV MED</t>
  </si>
  <si>
    <t>Am. J. Prev. Med.</t>
  </si>
  <si>
    <t>10.1016/j.amepre.2008.06.030</t>
  </si>
  <si>
    <t>349UN</t>
  </si>
  <si>
    <t>WOS:000259308900005</t>
  </si>
  <si>
    <t>Wold, SJ; Brown, CM; Chastain, CE; Griffis, MD; Wingate, J</t>
  </si>
  <si>
    <t>Wold, Susan J.; Brown, Christine M.; Chastain, Catherine E.; Griffis, Martha D.; Wingate, Julie</t>
  </si>
  <si>
    <t>Going the Extra Mile: Beyond Health Teaching to Political Involvement</t>
  </si>
  <si>
    <t>NURSING FORUM</t>
  </si>
  <si>
    <t>Community health; community water fluoridation; nursing education; political action; public policy; RN to BSN; rural settings</t>
  </si>
  <si>
    <t>TOPIC. Addressing community health problems through political involvement. PURPOSE AND SOURCES OF INFORMATION. This article describes how a group of RN-BSN students completing an assigned communityassessment and health-teaching project in a small, rural, southern county exceeded course requirements to address a significant community health problem. Specifically, after documenting a high rate of dental caries among local children and consulting with state officials and other experts, these students involved themselves in local politics in an effort to persuade county officials to implement community water fluoridation. CONCLUSIONS. These RN-BSN students successfully demonstrated their ability to move beyond a focus on individuals to embrace the concept of community as client. In the process, they honed their skills in advocacy, communication, and political involvement, and achieved all of their BSN program's objectives.</t>
  </si>
  <si>
    <t>[Wold, Susan J.] Valdosta State Univ, Valdosta, GA 31698 USA; [Brown, Christine M.; Chastain, Catherine E.; Wingate, Julie] South Georgia Med Ctr, Valdosta, GA USA; [Griffis, Martha D.] Pearlman Canc Ctr, Valdosta, GA USA</t>
  </si>
  <si>
    <t>Wold, SJ (corresponding author), Valdosta State Univ, Valdosta, GA 31698 USA.</t>
  </si>
  <si>
    <t>sjwold@valdosta.edu</t>
  </si>
  <si>
    <t>0029-6473</t>
  </si>
  <si>
    <t>1744-6198</t>
  </si>
  <si>
    <t>NURS FORUM</t>
  </si>
  <si>
    <t>Nurs. Forum</t>
  </si>
  <si>
    <t>10.1111/j.1744-6198.2008.00111.x</t>
  </si>
  <si>
    <t>V79OF</t>
  </si>
  <si>
    <t>WOS:000212123600002</t>
  </si>
  <si>
    <t>Konrad, A; Martinuzzi, A; Steurer, R</t>
  </si>
  <si>
    <t>Konrad, Astrid; Martinuzzi, Andre; Steurer, Reinhard</t>
  </si>
  <si>
    <t>When Business Associations and a Federal Ministry Jointly Consult Civil Society: a CSR Policy Case Study on the Development of the CSR Austria Guiding Vision</t>
  </si>
  <si>
    <t>corporate sustainability; CSR policies; stakeholder management; stakeholder dialogue/consultation; CSR guidelines</t>
  </si>
  <si>
    <t>In 2002, Austrian business organizations and the Austrian Federal Ministry of Economics and Labour decided to raise the awareness of CSR in Austria by formulating a CSR guiding vision for Austrian businesses after consulting a broad variety of stakeholders. This paper describes the development of the 'CSR Austria Guiding Vision' from 2003, and it gives a brief overview of other public CSR initiatives launched in Austria since then. Since the authors were involved drafting the CSR Austria Guiding Vision as consultants, the paper describes success factors, lessons learned and recommendations relevant for other large-scale stakeholder dialogues on CSR from an insider perspective. Overall, we conclude that a clear idea about the structure, the type and the rules of the stakeholder involvement (conceptual issues), in combination with a timely, honest and empathic approach towards stakeholders (procedural issues), are important success factors for any stakeholder dialogue. Copyright (C) 2007 John Wiley &amp; Sons, Ltd and ERP Environment.</t>
  </si>
  <si>
    <t>[Konrad, Astrid; Martinuzzi, Andre; Steurer, Reinhard] Vienna Univ Econ &amp; Business Adm, Res Inst Managing Sustainabil, A-1090 Vienna, Austria</t>
  </si>
  <si>
    <t>Steurer, R (corresponding author), Vienna Univ Econ &amp; Business Adm, Res Inst Managing Sustainabil, Nordbergstr 15,Sector D,5th Floor, A-1090 Vienna, Austria.</t>
  </si>
  <si>
    <t>reinhard.steurer@wu-wien.ac.at</t>
  </si>
  <si>
    <t>Steurer, Reinhard/0000-0002-5000-7046</t>
  </si>
  <si>
    <t>10.1002/csr.152</t>
  </si>
  <si>
    <t>V18BO</t>
  </si>
  <si>
    <t>WOS:000207980500003</t>
  </si>
  <si>
    <t>ECONOMY</t>
  </si>
  <si>
    <t>[Gomez-Barroso, Jose Luis] Univ Nacl Educ Distancia, Dpto Econ Aplicada &amp; Hist Econ, E-28040 Madrid, Spain; [Feijoo, Claudio] Univ Politecn Madrid, E-28040 Madrid, Spain; [Karnitis, Edvins] Latvijas Univ, Riga, Latvia</t>
  </si>
  <si>
    <t>Gomez-Barroso, JL (corresponding author), Univ Nacl Educ Distancia, Dpto Econ Aplicada &amp; Hist Econ, P Senda Rey 11, E-28040 Madrid, Spain.</t>
  </si>
  <si>
    <t>jlgomez@cee.uned.es</t>
  </si>
  <si>
    <t>Gerhards, Guntis/D-5197-2009; Feijoo, Claudio/AAR-7878-2020; Gomez-Barroso, Jose Luis/B-8019-2008</t>
  </si>
  <si>
    <t>JCMS-J COMMON MARK S</t>
  </si>
  <si>
    <t>JCMS-J. Common Mark. Stud.</t>
  </si>
  <si>
    <t>Economics; International Relations; Political Science</t>
  </si>
  <si>
    <t>334IG</t>
  </si>
  <si>
    <t>Wright, M; Clarysse, B; Lockett, A; Knockaert, M</t>
  </si>
  <si>
    <t>Wright, Mike; Clarysse, Bart; Lockett, Andy; Knockaert, Mirjam</t>
  </si>
  <si>
    <t>Mid-range universities' linkages with industry: Knowledge types and the role of intermediaries</t>
  </si>
  <si>
    <t>Seminar on University-Industry Linkages</t>
  </si>
  <si>
    <t>SEP 26-27, 2005</t>
  </si>
  <si>
    <t>Cambridge, ENGLAND</t>
  </si>
  <si>
    <t>World Bank,CMI</t>
  </si>
  <si>
    <t>university-industry linkages; university spin-offs; licensing; technology transfer</t>
  </si>
  <si>
    <t>TECHNOLOGY-TRANSFER OFFICES; COMPETITIVE ADVANTAGE; ORGANIZATIONS; COLLABORATION; CAPABILITIES; SPILLOVERS; STRATEGIES; RESOURCES; COMPANIES; POLICIES</t>
  </si>
  <si>
    <t>We analyze how mid-range universities can contribute to industrial change through the transfer of tacit and codified knowledge in the areas of spin-offs; licensing and patents; contract research, consultancy and reach-out; and graduate and researcher mobility. We use archival, survey and interview data relating to mid-range universities in mid-range environments in the UK, Belgium, Germany and Sweden. Our findings suggest that mid-range universities primarily need to focus on generating world-class research and critical mass in areas of expertise, as well as developing different types of intermediaries. Mid-range universities may need to develop a portfolio of university-industry linkages in terms of the scope of activities and the types of firms with which they interact, We also show that different intermediaries have important roles to play in developing university-industry linkages for mid-range universities. (C) 2008 Published by Elsevier B.V.</t>
  </si>
  <si>
    <t>[Wright, Mike] Univ Nottingham, Sch Business, Ctr Management Buy Out Res, Nottingham NG8 1BB, England; [Clarysse, Bart] Univ Ghent, Fac Econ &amp; Bedrijfskunde, Imperial Coll, Tanaka Business Sch, London SW7, England; [Knockaert, Mirjam] Univ Ghent, Vlerick Leuven Ghent Management Sch, B-9000 Ghent, Belgium</t>
  </si>
  <si>
    <t>Wright, M (corresponding author), Univ Nottingham, Sch Business, Ctr Management Buy Out Res, Jubilee Campus, Nottingham NG8 1BB, England.</t>
  </si>
  <si>
    <t>mike.wright@nottingham.ac.uk; b.clarysse@ic.ac.uk; andy.lockett@nottingham.ac.uk; Mirjam.Knockaert@vlerick.be</t>
  </si>
  <si>
    <t>10.1016/j.respol.2008.04.021</t>
  </si>
  <si>
    <t>347GT</t>
  </si>
  <si>
    <t>WOS:000259129300005</t>
  </si>
  <si>
    <t>Hoffstadt, T</t>
  </si>
  <si>
    <t>Hoffstadt, T.</t>
  </si>
  <si>
    <t>Cross compliance - new requirements for direct payments in animal husbandry</t>
  </si>
  <si>
    <t>TIERAERZTLICHE UMSCHAU</t>
  </si>
  <si>
    <t>Cross Compliance; reform of the Common Agricultural Policy; animal health; animal welfare</t>
  </si>
  <si>
    <t>As a result of the latest reform of the Common Agricultural Policy (CAP). the full granting of direct payments has been tied to compliance with binding standards (cross-compliance). These cross compliance requirements concern 19 already existing EC Regulations or Derectives in the fields of environmental protection food and feed safety, animal health and animal welfare. The obligations were phased-in over a three-year period between 2005 and 2007. Compliance with higher levels of environmental protection, food and feed safety, animal health and animal welfare is also considered important to legitimate the CAP vis-a-vis WTO boligations and consumer expectations. Farmers, consultants and authorities have all been concerned and have, in a common effort successfully implemented the requirements of the new system. The German Government is continously working on further simplifying the cross compliance obligations and thus aiming at enabling both agricultural enterprises and authorities to cope with cross compliance requirements.</t>
  </si>
  <si>
    <t>Europa Union, B-1040 Brussels, Belgium</t>
  </si>
  <si>
    <t>Hoffstadt, T (corresponding author), Europa Union, Ausschuss Regionen,Rue Belliard 101, B-1040 Brussels, Belgium.</t>
  </si>
  <si>
    <t>till.hoffstadt@cor.europa.eu</t>
  </si>
  <si>
    <t>TERRA-VERLAG GMBH</t>
  </si>
  <si>
    <t>KONSTANZ</t>
  </si>
  <si>
    <t>POSTFACH 10 21 44, D-78421 KONSTANZ, GERMANY</t>
  </si>
  <si>
    <t>0049-3864</t>
  </si>
  <si>
    <t>TIERAERZTL UMSCHAU</t>
  </si>
  <si>
    <t>Tierarztl. Umsch.</t>
  </si>
  <si>
    <t>357KD</t>
  </si>
  <si>
    <t>WOS:000259843800006</t>
  </si>
  <si>
    <t>Keaton, JR</t>
  </si>
  <si>
    <t>Keaton, Jeffrey R.</t>
  </si>
  <si>
    <t>Do a good job: Professional-practice guidelines and competition</t>
  </si>
  <si>
    <t>ENVIRONMENTAL &amp; ENGINEERING GEOSCIENCE</t>
  </si>
  <si>
    <t>engineering geology; consulting; professional; guidelines; litigation</t>
  </si>
  <si>
    <t>The best way to avoid getting sued is to just do a good job. These words were spoken by Dr. James E. Slosson in the early 1970s. As State Geologist from 1973 to 1975, Slosson led the California Division of Mines and Geology in producing guidelines for preparation of geologic and related reports that identified minimum levels of professional practice that local agencies could require for site development and building permit applications. In a regulated geology environment, doing a good job to some geologists and most purchasers of consulting geology services means satisfying the minimum requirements at the lowest cost. Slosson's Law states that the quality of professional service sinks to the lowest level allowed by government. Competition among professional geologists has evolved since the guidelines were produced, in part because of the number of companies offering geologic services, and in part because regulations require geologic evaluations for building permit applications. Regulated geology with stipulated minimum levels of geologic evaluation facilitates lawsuits against consulting engineering geologists. Lawyers solicit homeowners' associations with offers to help finance remodeling projects with construction-defect suits against all consultants and contractors involved with their condominium complexes or subdivisions. Many consultants choose to settle because they believe it is cheaper than defending themselves in court, even if they had nothing to do with any alleged defects. In these situations, simply doing a good job is not enough to avoid getting sued. Doing a good job is still good professional practice, but it has challenges too.</t>
  </si>
  <si>
    <t>MACTEC Engn &amp; Consulting Inc, Los Angeles, CA 90040 USA</t>
  </si>
  <si>
    <t>Keaton, JR (corresponding author), MACTEC Engn &amp; Consulting Inc, 5628 E Slauson Ave, Los Angeles, CA 90040 USA.</t>
  </si>
  <si>
    <t>jrkeaton@mactec.com</t>
  </si>
  <si>
    <t>GEOLOGICAL SOC AMER, INC</t>
  </si>
  <si>
    <t>BOULDER</t>
  </si>
  <si>
    <t>PO BOX 9140, BOULDER, CO 80301-9140 USA</t>
  </si>
  <si>
    <t>1078-7275</t>
  </si>
  <si>
    <t>ENVIRON ENG GEOSCI</t>
  </si>
  <si>
    <t>Environ. Eng. Geosci.</t>
  </si>
  <si>
    <t>10.2113/gseegeosci.14.3.231</t>
  </si>
  <si>
    <t>Engineering, Environmental; Engineering, Geological; Geosciences, Multidisciplinary</t>
  </si>
  <si>
    <t>Engineering; Geology</t>
  </si>
  <si>
    <t>352OR</t>
  </si>
  <si>
    <t>WOS:000259507200007</t>
  </si>
  <si>
    <t>applied activity; basic research; scientific publications; technology transfer; public research unit; research policy</t>
  </si>
  <si>
    <t>ACADEMIC RESEARCH; ENTREPRENEURIAL; TECHNOLOGY; ECONOMICS</t>
  </si>
  <si>
    <t>[Coccia, Mario; Rolfo, Secondo] Italian Natl Res Council CERIS CNR, Inst Econ Res Firm &amp; Growth, I-10024 Turin, Italy</t>
  </si>
  <si>
    <t>Coccia, M (corresponding author), Italian Natl Res Council CERIS CNR, Inst Econ Res Firm &amp; Growth, Via Real Collegio 30, I-10024 Turin, Italy.</t>
  </si>
  <si>
    <t>m.coccia@ceris.cnr.it; s.rolfo@ceris.cnr.it</t>
  </si>
  <si>
    <t>Italian National Research Council (CNR)</t>
  </si>
  <si>
    <t>Italian National Research Council (CNR)(Consiglio Nazionale delle Ricerche (CNR))</t>
  </si>
  <si>
    <t>The present work is the continuation of a research project (started in 1998) that analyses the activities of the public research institutes within the Italian National Research Council (CNR). While we are responsible for any errors or omissions to be found in the text, we wish to thank Dr. F. Tuzi for making the CNR Data available, G. Abrate (Pavia University, Italy), Jeff Butler (University of Manchester, UK), and three anonymous referees for useful comments and suggestions, Mr. D. Margon (CERIS-CNR) for data analysis and Mrs. S. Zelli for research assistance, the participants at 15th International Conference oil Management of Technology (IAMOT), Beijing, PR China (May 2006) and the colleagues at University of Maryland (USA) and George Washington University (USA) for interesting suggestions and remarks.</t>
  </si>
  <si>
    <t>341IJ</t>
  </si>
  <si>
    <t>Suri, PK; Garg, N</t>
  </si>
  <si>
    <t>Suri, P. K.; Garg, Neeraj</t>
  </si>
  <si>
    <t>Simulator &amp; Simulation Models for Cost-Benefit Analysis of Software Reuse Policies</t>
  </si>
  <si>
    <t>Software reusability; cost benefit analysis; software economic model; Bayes; posterior probability; decision under uncertainty; Laplace; Maximin(Minimax); Savage; Hurwicz criterions.</t>
  </si>
  <si>
    <t>In this paper we a simulator is developed for the cost benefit analysis of the software before it is launched. Two cases are discussed. In one case the analysis is done on the basis of Bayes' Posterior Probability theorem during the development stage of the software. The decision are made whether to go with the implementation of the reuse policy or not based on the conditions of the economic environment and the word by the consultant. In another case we have used the Decision under uncertainty principle of Laplace, Maximin(Minimax), Savage, Hurwicz criterions to reach to a certain decision that how many reusable functionalities can be added to a software so that the development costs are minimum and the profits are maximum. The different cases are simulated on the simulator which takes into consideration the various factors which effect the decision and the environmental conditions. The inputs are either generated randomly by a random number generator or can be input by user. For calculating the costs the simulator makes use of an economic model.</t>
  </si>
  <si>
    <t>[Suri, P. K.] Kurukshetra Univ, Dept Comp Sci &amp; Applicat, Kurukshetra, Haryana, India; [Garg, Neeraj] Maharaja Agresen Inst Management Technol, Dept Masters Comp Sci &amp; Applicat, Jagadhri, Haryana, India</t>
  </si>
  <si>
    <t>Suri, PK (corresponding author), Kurukshetra Univ, Dept Comp Sci &amp; Applicat, Kurukshetra, Haryana, India.</t>
  </si>
  <si>
    <t>JUL 30</t>
  </si>
  <si>
    <t>V1Q9L</t>
  </si>
  <si>
    <t>WOS:000217154000039</t>
  </si>
  <si>
    <t>Taras, H; Brennan, JJ</t>
  </si>
  <si>
    <t>Taras, Howard; Brennan, Jesse J.</t>
  </si>
  <si>
    <t>Students with chronic diseases: Nature of school physician support</t>
  </si>
  <si>
    <t>children with disabilities; chronic diseases; health communication; health policy; school health services; school physicians</t>
  </si>
  <si>
    <t>CEREBRAL-PALSY; CHILDREN; HEALTH; PERFORMANCE</t>
  </si>
  <si>
    <t>BACKGROUND: To educate children with chronic diseases in the least restrictive environment, schools must prevent, recognize, and react appropriately to symptom exacerbations. Schools are often pushed to their limits of knowledge, resources, and comfort level. This study determined the health conditions of students for whom districts seek school physician consultation and the nature of school physician consultants' involvement. METHODS: A retrospective record review was performed on 250 of the most recent records of school-elicited referrals from an academic center that provides physician consultation to school districts. Referrals were sent from 8 school districts in southern California (July 1996 to October 2006). Data collected were nature of student's special health need, the school physician consultant's intervention required to satisfy schools' needs, student grade level, enrollment in special education, and health-related excessive absenteeism. RESULTS: No single chronic condition, symptom, or special health care need predominated. Six types of school physician consultant activities were used to overcome hurdles schools faced when accommodating students with special health care needs. The 3 most common were direct communication with students' own physicians (70% of students), recommending an appropriate level of school health services when this was a matter of controversy (42%), and formulating portions of students' individualized school health plans (38%). CONCLUSIONS: A portion of students with special health care needs benefited from district referral to a school physician consultant. Whether some of these referrals can be avoided if school personnel and students' own physicians are supported and trained to communicate more effectively with one another needs to be explored.</t>
  </si>
  <si>
    <t>[Taras, Howard; Brennan, Jesse J.] Univ Calif San Diego, Dept Pediat, Div Community Pediat, La Jolla, CA 92093 USA</t>
  </si>
  <si>
    <t>Taras, H (corresponding author), Univ Calif San Diego, Dept Pediat, Div Community Pediat, 9500 Gilman Dr 0927, La Jolla, CA 92093 USA.</t>
  </si>
  <si>
    <t>htaras@ucsd.edu; jjbrennan@ucsd.edu</t>
  </si>
  <si>
    <t>10.1111/j.1746-1561.2008.00319.x</t>
  </si>
  <si>
    <t>316SX</t>
  </si>
  <si>
    <t>WOS:000256971100005</t>
  </si>
  <si>
    <t>business incubators; specialization; media industry; success factors; local technology policy</t>
  </si>
  <si>
    <t>TECHNOLOGY-BASED FIRMS; VALUE-ADDED CONTRIBUTIONS; RESOURCE-BASED VIEW; SCIENCE PARKS; COMPETITIVE ADVANTAGE; FUTURE-RESEARCH; INDUSTRY; COOPERATION; PERFORMANCE; MANAGEMENT</t>
  </si>
  <si>
    <t>[Schwartz, Michael; Hornych, Christoph] Hall Inst Econ Res, Dept Urban Econ, D-06017 Halle, Saale, Germany</t>
  </si>
  <si>
    <t>Schwartz, M (corresponding author), Hall Inst Econ Res, Dept Urban Econ, POB 110361, D-06017 Halle, Saale, Germany.</t>
  </si>
  <si>
    <t>Michael.Schwartz@iwh-halle.de; Christoph.Hornych@iwh-halle.de</t>
  </si>
  <si>
    <t>320LP</t>
  </si>
  <si>
    <t>CFD modelling; flashing liquid jet; dispersion</t>
  </si>
  <si>
    <t>LASER-BASED MEASUREMENTS; PROPANE JETS; DROPLET SIZE</t>
  </si>
  <si>
    <t>[Calay, R. K.; Holdo, A. E.] Univ Hertfordshire, AADE, Hatfield AL10 9AB, Herts, England</t>
  </si>
  <si>
    <t>Calay, RK (corresponding author), Univ Hertfordshire, AADE, Hatfield AL10 9AB, Herts, England.</t>
  </si>
  <si>
    <t>r.k.calay@herts.ac.uk</t>
  </si>
  <si>
    <t>304LO</t>
  </si>
  <si>
    <t>Ochara, NM</t>
  </si>
  <si>
    <t>Ochara, Nixon Muganda</t>
  </si>
  <si>
    <t>Emergence of the E-Government Artifact in an Environment of Social Exclusion in Kenya</t>
  </si>
  <si>
    <t>AFRICAN JOURNAL OF INFORMATION SYSTEMS</t>
  </si>
  <si>
    <t>E-Government Artifact; E-Government; governance; Africa; Kenya</t>
  </si>
  <si>
    <t>Purpose E-Government, introduced in African countries under the banner of New Public Management ( NPM), is envisaged to fundamentally aid in improving governance in developing countries. The imported model of E-Government is therefore transferred to African countries as a panacea to bad governance by carriers such as international donor agencies, consultants, Information Technology vendors and Western-trained civil servants. Improved governance is expected to impact on the socio-economic development of these countries implementing E-Government, as an NPM instrument. This article recognizes that EGovernment success, which is critically dependent on the World Wide Web, requires socially inclusive national information infrastructure. The purpose of this paper is to offer a critical analysis into the emerging E-Government artifact in the context of a developing country. By combining three independent research streams related to governance, social exclusion, and national information infrastructure, the emerging E-Government artifact was explored from a supply-side perspective. Design/methodology/approach The research approach was critical in its philosophical orientation. The case study research strategy was adopted, which relied on various sources of data on E-Government policy and its related strategies in Kenya. Theoretical discourse analysis was employed as the predominant mode of analysis. Findings The findings reveal that the emergent meanings of E-Government have strong managerialist intentions pointing to a thinly veiled control agenda couched in the language of a desire for efficiency in governance. An unexpected consequence of this conceptualization of E-Government is to help in solidifying and possibly exacerbating the social exclusion problem.</t>
  </si>
  <si>
    <t>[Ochara, Nixon Muganda] Univ Cape Town, Cape Town, South Africa</t>
  </si>
  <si>
    <t>Ochara, NM (corresponding author), Univ Cape Town, Cape Town, South Africa.</t>
  </si>
  <si>
    <t>nixon.ochara@uct.ac.za</t>
  </si>
  <si>
    <t>Ochara, Nixon Muganda/AAX-4432-2020</t>
  </si>
  <si>
    <t>Ochara, Nixon Muganda/0000-0001-5736-7901</t>
  </si>
  <si>
    <t>KENNESAW STATE UNIV</t>
  </si>
  <si>
    <t>KENNESAW</t>
  </si>
  <si>
    <t>1000 CHASTAIN RD, KENNESAW, GA 30144 USA</t>
  </si>
  <si>
    <t>1936-0282</t>
  </si>
  <si>
    <t>AFR J INF SYST</t>
  </si>
  <si>
    <t>Afr. J. Inf. Syst.</t>
  </si>
  <si>
    <t>V12XN</t>
  </si>
  <si>
    <t>WOS:000214378600003</t>
  </si>
  <si>
    <t>Clean Water Act; compensatory mitigation; ecosystem services; wetland credit markets; wetland mitigation banking</t>
  </si>
  <si>
    <t>UNITED-STATES; MITIGATION BANKING; USA; PATTERNS; ECOLOGY; SERVICE; OHIO</t>
  </si>
  <si>
    <t>[Robertson, Morgan; Hayden, Nicholas] Univ Wisconsin, Dept Geog, Madison, WI 53706 USA</t>
  </si>
  <si>
    <t>Robertson, M (corresponding author), Univ Kentucky, Dept Geog, 1457 Patterson Off Tower, Lexington, KY 40506 USA.</t>
  </si>
  <si>
    <t>mmrobertson@uky.edu</t>
  </si>
  <si>
    <t>BLACKWELL PUBLISHING</t>
  </si>
  <si>
    <t>9600 GARSINGTON RD, OXFORD OX4 2DQ, OXON, ENGLAND</t>
  </si>
  <si>
    <t>311PT</t>
  </si>
  <si>
    <t>eco-efficiency; integrated modelling; international trade; material flow analysis; sustainability policies</t>
  </si>
  <si>
    <t>ENVIRONMENTAL IMPACTS; CONSUMPTION; TRADE</t>
  </si>
  <si>
    <t>[Giljum, Stefan; Behrens, Arno; Hinterberger, Friedrich] SERI, Vienna, Austria; [Lutz, Christian; Meyer, Bernd] Inst Econ Struct Res GWS, Osnabruck, Germany</t>
  </si>
  <si>
    <t>Giljum, S (corresponding author), SERI, Vienna, Austria.</t>
  </si>
  <si>
    <t>stefan.giljum@seri.at</t>
  </si>
  <si>
    <t>Lutz, Christian/AAA-3299-2022; Giljum, Stefan/M-3162-2015</t>
  </si>
  <si>
    <t>305IS</t>
  </si>
  <si>
    <t>WOMEN ENTREPRENEURS; NETWORK TIES; DETERMINANTS; SUCCESS</t>
  </si>
  <si>
    <t>[Jack, Sarah L.] Univ Lancaster, Sch Management, Inst Entrepreneurship &amp; Enterprise Dev, Lancaster LA1 4YW, England; [Robson, Paul J. A.] Univ Durham, Durham Business Sch, Durham DH1 3LB, England; [Freel, Mark S.] Univ Ottawa, Telfer Sch Management, Ottawa, ON K1N 6N5, Canada</t>
  </si>
  <si>
    <t>Jack, SL (corresponding author), Univ Lancaster, Sch Management, Inst Entrepreneurship &amp; Enterprise Dev, Lancaster LA1 4YW, England.</t>
  </si>
  <si>
    <t>p.j.arobson@durham.ac.uk; s.l.jack@lancaster.ac.uk; freelm@uottawa.ca</t>
  </si>
  <si>
    <t>jack, sarah l/S-6710-2017; Freel, Mark/ABC-3583-2020</t>
  </si>
  <si>
    <t>jack, sarah l/0000-0001-9459-6455; Freel, Mark/0000-0001-9849-5272</t>
  </si>
  <si>
    <t>299BU</t>
  </si>
  <si>
    <t>Noor, AK; Venneri, SL</t>
  </si>
  <si>
    <t>Noor, Ahmed K.; Venneri, Samuel L.</t>
  </si>
  <si>
    <t>ISE: Intelligent Synthesis Environment for future aerospace systems</t>
  </si>
  <si>
    <t>IEEE AEROSPACE AND ELECTRONIC SYSTEMS MAGAZINE</t>
  </si>
  <si>
    <t>The Intelligent Synthesis Environment (ISE) being developed by NASA, UVA, and JPL for significantly enhancing the rapid creation of innovative affordable products and missions is described. ISE uses a synergistic combination of leading-edge technologies, including high-performance computing, high-capacity communications and networking, virtual product development, knowledge-based engineering, computational intelligence, human-computer interaction, and product information management. The environment will link scientists, design teams, manufacturers, suppliers, and consultants who participate in the mission synthesis, as well as in the creation and operation of the aerospace system. It will radically advance the process by which complex science missions are synthesized, and high-tech engineering systems are designed, manufactured, and operated. The evolution of engineering design is described along with the shortcomings of current product development techniques. The need for ISE to create high-science payoff missions and aerospace systems at affordable costs is discussed. The five major components critical to ISE and some of their sub-elements are described: namely, human-ISE interaction; infrastructure for distributed collaboration; rapid synthesis and simulation tools; intelligent life-cycle system integration; and cultural change in the creative process. Related government and industry programs are outlined and future impact of ISE on complex missions and aerospace systems is discussed.</t>
  </si>
  <si>
    <t>[Noor, Ahmed K.] Univ Virginia, Ctr Adv Computat Technol, Langley Res Ctr, NASA, Hampton, VA 23681 USA; [Venneri, Samuel L.] NASA Headquarters, Washington, DC 20546 USA</t>
  </si>
  <si>
    <t>Noor, AK (corresponding author), Univ Virginia, Ctr Adv Computat Technol, Langley Res Ctr, NASA, Hampton, VA 23681 USA.</t>
  </si>
  <si>
    <t>445 HOES LANE, PISCATAWAY, NJ 08855 USA</t>
  </si>
  <si>
    <t>0885-8985</t>
  </si>
  <si>
    <t>IEEE AERO EL SYS MAG</t>
  </si>
  <si>
    <t>IEEE Aerosp. Electron. Syst. Mag.</t>
  </si>
  <si>
    <t>10.1109/MAES.2008.4493440</t>
  </si>
  <si>
    <t>Engineering, Aerospace; Engineering, Electrical &amp; Electronic</t>
  </si>
  <si>
    <t>332HX</t>
  </si>
  <si>
    <t>WOS:000258075200006</t>
  </si>
  <si>
    <t>Usdiken, B; Oktem, OY</t>
  </si>
  <si>
    <t>Usdiken, Behlul; Oktem, Ozlem Yildirim</t>
  </si>
  <si>
    <t>Changes in the institutional environment and Non-Executive and Independent directors on the boards of firms affiliated to large family business groups</t>
  </si>
  <si>
    <t>AMME IDARESI DERGISI</t>
  </si>
  <si>
    <t>corporate governance; boards of directors; independent directors; family business groups; institutional perspective</t>
  </si>
  <si>
    <t>CORPORATE GOVERNANCE</t>
  </si>
  <si>
    <t>This study examines the response of large family business groups with respect to the boards of their affiliated firms to the recent strengthening of corporate governance discourse in Turkey and the governance principles introduced for listed companies. Our findings show that boards are largely composed of non-executive directors. However, these are either members of the controlling family or hold executive positions in the central administrative structure of the group or other affiliated firms and can therefore not be considered as outsiders. Independent directors are almost non-existent. Most of the dependent outsiders limited in number are either retired or work as consultants, of which, a significant proportion comes from public sector backgrounds, including active involvement in politics.</t>
  </si>
  <si>
    <t>[Usdiken, Behlul] Sabanci Univ, TR-34956 Istanbul, Turkey; [Oktem, Ozlem Yildirim] Bogazici Univ, TR-80815 Bebek, Turkey</t>
  </si>
  <si>
    <t>Usdiken, B (corresponding author), Sabanci Univ, TR-34956 Istanbul, Turkey.</t>
  </si>
  <si>
    <t>Yildirim-Öktem, Özlem/AAM-1669-2020; Usdiken, Behlul/AAH-3521-2019</t>
  </si>
  <si>
    <t>ANKARA HACI BAYRAM VELI UNIV</t>
  </si>
  <si>
    <t>CANKAYA</t>
  </si>
  <si>
    <t>YUCETEPE MAHALLESI 85 CADDE NO 8, CANKAYA, 06570, TURKEY</t>
  </si>
  <si>
    <t>1300-1795</t>
  </si>
  <si>
    <t>AMME IDARESI DERG</t>
  </si>
  <si>
    <t>Amme Idaresi Derg.</t>
  </si>
  <si>
    <t>345UI</t>
  </si>
  <si>
    <t>WOS:000259022100003</t>
  </si>
  <si>
    <t>[Tilton, John E.] Colorado Sch Mines, Div Econ &amp; Business, Golden, CO 80401 USA; [Tilton, John E.] Pontificia Univ Catolica Chile, Sch Engn, Mining Ctr, Santiago, Chile; [Gordon, Richard L.] Penn State Univ, University Pk, PA 16802 USA</t>
  </si>
  <si>
    <t>Tilton, JE (corresponding author), Colorado Sch Mines, Div Econ &amp; Business, Golden, CO 80401 USA.</t>
  </si>
  <si>
    <t>rlg3@psu.edu; jtilton@mines.edu</t>
  </si>
  <si>
    <t>RESOUR POLICY</t>
  </si>
  <si>
    <t>Resour. Policy</t>
  </si>
  <si>
    <t>290DV</t>
  </si>
  <si>
    <t>[El-Dawi, Khalid] Plan Ingenieurgesell mbH, Branch Off Sudan Schussler, Berlin, Germany</t>
  </si>
  <si>
    <t>Stahlbau</t>
  </si>
  <si>
    <t>294JO</t>
  </si>
  <si>
    <t>Eddy, A</t>
  </si>
  <si>
    <t>Eddy, Angela</t>
  </si>
  <si>
    <t>Advanced practice for therapy radiographers - A discussion paper</t>
  </si>
  <si>
    <t>RADIOGRAPHY</t>
  </si>
  <si>
    <t>Therapy radiography; Expert practice; Advanced practice; Role extension; Role development; Role expansion</t>
  </si>
  <si>
    <t>Purpose: The purpose of this discussion paper is to explore issues related to advanced practice for therapy radiographers. Key themes: The paper will focus on key themes that have impacted on advanced practice for therapy radiographers such as government initiatives and policy, confounding terminology associated with advanced practice such as role extension, role expansion, role development, and expert practice. The theory and development of expert practice is explored and paralleled to existing roles in therapy using the Benner model to define stages of professional development and competence. Evidence for advanced practice, and education and training will also be explored. All of these issues will be considered within the perspective of the current clinical and political environment that therapy radiographers operate in. Conclusions: The application of advanced practice can and should incorporate elements of role extension and role development, with some tangible skills ladder to guide and shape the development of potential consultant practitioners. There is a need to identify the current position of advanced practice nationally, and to monitor existing and emerging roles, possibly though a longitudinal study. The skill mix as a whole within departments need to be part of an ongoing evaluation with close collaboration between the professional body, departmental managers and higher education institutes to develop curricula to support existing and emerging roles. There are also key lessons to be learned from other professions with more experience with advanced practitioners if recruitment and retention is not going to continue to be a problem. (C) 2006 The College of Radiographers. Published by Elsevier Ltd. All rights reserved.</t>
  </si>
  <si>
    <t>[Eddy, Angela] Sheffield Hallam Univ, Fac Hlth &amp; Well Being, 11-15 Broomhall Rd,Collegiate Crescent Campus, Sheffield, S Yorkshire, England</t>
  </si>
  <si>
    <t>Eddy, A (corresponding author), Sheffield Hallam Univ, Fac Hlth &amp; Well Being, 11-15 Broomhall Rd,Collegiate Crescent Campus, Sheffield, S Yorkshire, England.</t>
  </si>
  <si>
    <t>a.eddy@shu.ac.uk</t>
  </si>
  <si>
    <t>1078-8174</t>
  </si>
  <si>
    <t>1532-2831</t>
  </si>
  <si>
    <t>Radiography</t>
  </si>
  <si>
    <t>10.1016/j.radi.2006.07.001</t>
  </si>
  <si>
    <t>V03LY</t>
  </si>
  <si>
    <t>WOS:000213740100005</t>
  </si>
  <si>
    <t>Elenurm, T; Terk, E; Andresoo, J</t>
  </si>
  <si>
    <t>Elenurm, Tiit; Terk, Erik; Andresoo, Jan</t>
  </si>
  <si>
    <t>Cooperation patterns between capital owners and managers in the strategic management process: Case Estonia</t>
  </si>
  <si>
    <t>CORPORATE GOVERNANCE-THE INTERNATIONAL JOURNAL OF BUSINESS IN SOCIETY</t>
  </si>
  <si>
    <t>Strategic management; Capital; Corporate governance</t>
  </si>
  <si>
    <t>Purpose - The purpose of this research is to empirically describe the division of strategic roles between owners and managers and its change when moving from the post-privatisation transition stage of 1995-1999 to the European integration stage of 2000-2004. Design/methodology/approach - The design takes the form of interviews with owners and top managers, questionnaire on managers' risk aversion, discussions in focus groups. A peculiarity of the study was a broad approach to owners-managers interplay in strategy building and strategic decision making. Findings - At least three patterns of role distribution could be observed in the owners' and managers' strategy development cooperation. Corporate governance (CG) culture in enterprises has improved, but the managers' freedom of action in strategy forming, especially in foreign-owned companies, has not increased with the improvement and stabilisation of business environment, contrary to what could be presumed. Research limitations/implications - Any limitations are due to predominantly qualitative nature of the research. Practical implications - The paper enables one to better understand limitations to firms' behaviour caused by CG and to better target respective consulting and training programmes. Originality/value - The paper presents joint treatment of CG and strategy issues. It is one of the first attempts in post-socialist countries to determine dynamics of CG beyond publicly traded companies.</t>
  </si>
  <si>
    <t>[Elenurm, Tiit] Estonian Business Sch, Entrepreneurship Dept, Tallinn, Estonia; [Terk, Erik] Estonian Inst Futures Studies, Tallinn, Estonia; [Andresoo, Jan] Hansa Property &amp; Casualty Insurance Ltd, Tallinn, Estonia</t>
  </si>
  <si>
    <t>Terk, E (corresponding author), Estonian Inst Futures Studies, Tallinn, Estonia.</t>
  </si>
  <si>
    <t>erik@eti.ee</t>
  </si>
  <si>
    <t>Elenurm, Tiit/0000-0002-3984-437X</t>
  </si>
  <si>
    <t>1472-0701</t>
  </si>
  <si>
    <t>1758-6054</t>
  </si>
  <si>
    <t>CORP GOV-INT J BUS S</t>
  </si>
  <si>
    <t>Corp. Gov.-Int. J. Bus. Soc.</t>
  </si>
  <si>
    <t>10.1108/14720700810913296</t>
  </si>
  <si>
    <t>V87JY</t>
  </si>
  <si>
    <t>WOS:000212653300005</t>
  </si>
  <si>
    <t>Raver, CC; Jones, SM; Li-Grining, CP; Metzger, M; Champion, KM; Sardine, L</t>
  </si>
  <si>
    <t>Raver, C. Cybele; Jones, Stephanie M.; Li-Grining, Christine P.; Metzger, Molly; Champion, Kina M.; Sardine, Latriese</t>
  </si>
  <si>
    <t>Improving preschool classroom processes: Preliminary findings from a randomized trial implemented in Head Start settings</t>
  </si>
  <si>
    <t>EARLY CHILDHOOD RESEARCH QUARTERLY</t>
  </si>
  <si>
    <t>classroom quality; classroom emotional climate; Head Start; intervention; randomized trial</t>
  </si>
  <si>
    <t>HIGH-RISK; DAY-CARE; PREVENTIVE INTERVENTION; AGGRESSIVE-CHILDREN; CONDUCT PROBLEMS; TEACHER; QUALITY; BEHAVIOR; PROGRAM; CHILDHOOD</t>
  </si>
  <si>
    <t>A primary aim of the Chicago School Readiness Project was to improve teachers' emotionally supportive classroom practices in Head Start-funded preschool settings. Using a clustered randomized controlled trial (RCT) design, the Chicago School Readiness Project randomly assigned a treatment versus control condition to 18 Head Start sites, which included 35 classrooms led by 94 teachers who served 602 children. Teachers in the treatment condition were invited to participate in behavior management training and their classrooms were visited weekly by mental health consultants who coached teachers as they implemented behavior management strategies. Estimation of hierarchical linear models revealed that the multi-component intervention provided statistically significant benefits: Head Start classrooms randomized to the treatment condition were found to have statistically significantly higher levels of positive classroom climate, teacher sensitivity, and behavior management than were classrooms in the control condition (with effect sizes ranging from d=0.52 to 0.89). Discussion of these findings reflects on policy implications and future research. (c) 2007 Elsevier Inc. All rights reserved.</t>
  </si>
  <si>
    <t>[Raver, C. Cybele] NYU, New York, NY 10011 USA; [Jones, Stephanie M.] Fordham Univ, Bronx, NY 10458 USA; [Li-Grining, Christine P.] Loyola Univ, Chicago, IL 60611 USA; [Metzger, Molly] Northwestern Univ, Evanston, IL 60208 USA; [Champion, Kina M.; Sardine, Latriese] Univ Chicago, Chicago, IL 60637 USA</t>
  </si>
  <si>
    <t>Raver, CC (corresponding author), NYU, New York, NY 10011 USA.</t>
  </si>
  <si>
    <t>cybele.raver@nyu.edu</t>
  </si>
  <si>
    <t>NICHD NIH HHS [R01 HD046160, R01 HD046160-01] Funding Source: Medline</t>
  </si>
  <si>
    <t>NICHD NIH HHS(United States Department of Health &amp; Human ServicesNational Institutes of Health (NIH) - USANIH Eunice Kennedy Shriver National Institute of Child Health &amp; Human Development (NICHD))</t>
  </si>
  <si>
    <t>0885-2006</t>
  </si>
  <si>
    <t>1873-7706</t>
  </si>
  <si>
    <t>EARLY CHILD RES Q</t>
  </si>
  <si>
    <t>Early Childhood Res. Q.</t>
  </si>
  <si>
    <t>10.1016/j.ecresq.2007.09.001</t>
  </si>
  <si>
    <t>Education &amp; Educational Research; Psychology, Developmental</t>
  </si>
  <si>
    <t>262XU</t>
  </si>
  <si>
    <t>WOS:000253182900003</t>
  </si>
  <si>
    <t>COST; COMPLEMENTARITY; SUBSTITUTION; TRANSLOG; DEMAND; DEBATE</t>
  </si>
  <si>
    <t>Simon Fraser Univ, Sch Resource &amp; Environm Mgmt, Vancouver, BC V5A 1S6, Canada</t>
  </si>
  <si>
    <t>Jaccard, M (corresponding author), Simon Fraser Univ, Sch Resource &amp; Environm Mgmt, Vancouver, BC V5A 1S6, Canada.</t>
  </si>
  <si>
    <t>jaccard@sfu.ca</t>
  </si>
  <si>
    <t>INT ASSOC ENERGY ECONOMICS</t>
  </si>
  <si>
    <t>CLEVELAND</t>
  </si>
  <si>
    <t>28790 CHAGRIN BLVD, STE 210, CLEVELAND, OH 44122 USA</t>
  </si>
  <si>
    <t>ENERG J</t>
  </si>
  <si>
    <t>Energy J.</t>
  </si>
  <si>
    <t>Economics; Energy &amp; Fuels; Environmental Studies</t>
  </si>
  <si>
    <t>514JP</t>
  </si>
  <si>
    <t>Mansfield, JR</t>
  </si>
  <si>
    <t>Mansfield, John</t>
  </si>
  <si>
    <t>The ethics of conservation: some dilemmas in cultural built heritage projects in England</t>
  </si>
  <si>
    <t>Professional ethics; Conservation; Economic sustainability; Heritage</t>
  </si>
  <si>
    <t>Purpose - The paper aims to offer a contribution to the development of conservation scheme management by examining some of the ethical dilemmas that are commonly encountered in conservation projects. Design/methodology/approach - The approach is a detailed and critical review of existing literature and recent policy direction. Findings - A practitioner's response to the various dilemmas will not only need to be conditioned by the codes of conduct of the various professional institutions but also through the explicit recognition of the very different set of ethical dilemmas that are encountered in conservation projects. Originality/value - The paper contributes to the broader appreciation of the ethical dilemmas that may be encountered in contemporary conservation practice. The paper can inform conservation consultants, administrators, specialist trades, educators and the non-specialist reader.</t>
  </si>
  <si>
    <t>[Mansfield, John] Nottingham Trent Univ, Sch Architecture Design &amp; Built Environm, Nottingham, England</t>
  </si>
  <si>
    <t>Mansfield, JR (corresponding author), Nottingham Trent Univ, Sch Architecture Design &amp; Built Environm, Nottingham, England.</t>
  </si>
  <si>
    <t>john.mansfield@ntu.ac.uk</t>
  </si>
  <si>
    <t>10.1108/09699980810867424</t>
  </si>
  <si>
    <t>V72BU</t>
  </si>
  <si>
    <t>WOS:000211618100006</t>
  </si>
  <si>
    <t>Morgan, D</t>
  </si>
  <si>
    <t>Morgan, Dennis</t>
  </si>
  <si>
    <t>American culture, corporate culture, and the transformation of business practice: the role of social foresight in a restorative economy</t>
  </si>
  <si>
    <t>Economic reform; Capitalist systems; Corporate governance; Adaptability</t>
  </si>
  <si>
    <t>Purpose - The purpose of this paper is to clarify the role of American culture in social foresight as practiced by American futurists. It also seeks to describe how American culture has been expropriated by corporate culture, which is global. Finally, the paper seeks to depict various scenarios of the future of the USA and to consider an imperative of the futurist to reform the role of the professional futurist consultant in the capacity of social foresight that sets as its chief aim the transformation of business practice towards a sustainable, restorative economy. Design/methodology/approach - The paper is a critical approach to American and corporate culture by exposing major assumptions behind business ideology and practice. It also applies the same critical approach to the way futures has been practiced within the capitalist paradigm during the past 50 years. It is a civilisational critique that also points towards an integral solution for sustainable, restorative business practice. Findings - It was found that superficial efforts at sustainable solutions will not be enough to manage the impending collapse of industrial civilization. What is required is a wholesale transformation that is indicative of a paradigm shift towards a natural capitalism in which business practice is totally guided by sustainability and restoration of the natural systems rather than mere, narrowly focused bottom line'' ideology. It finds that social foresight can play a positive role in directing this transition and crisis of humanity. Originality/value - Hopefully, the paper will contribute to the progress of futures towards a more specifically focused matter of social foresight. It should help futurists to recognize their leadership role, which should guide business entrepreneurs and social innovation towards the realization of sustainability and restoration. At the same time, it emphasizes the need to embrace rather than shun activism, to link with other progressives who seek to redefine the relationship of government and business through democratic means. The paper emphasizes the need to protect and restore a future that is being systematically undermined and destroyed.</t>
  </si>
  <si>
    <t>[Morgan, Dennis] Korea Univ, Chungnam, South Korea</t>
  </si>
  <si>
    <t>Morgan, D (corresponding author), Korea Univ, Chungnam, South Korea.</t>
  </si>
  <si>
    <t>dynamorg@yahoo.com</t>
  </si>
  <si>
    <t>10.1108/14636680810908028</t>
  </si>
  <si>
    <t>V93YI</t>
  </si>
  <si>
    <t>WOS:000213096300004</t>
  </si>
  <si>
    <t>Quality of life; Self image; Skin diseases; Mental disorders</t>
  </si>
  <si>
    <t>ATOPIC-DERMATITIS; SKIN-DISEASE; DEPRESSION; PSORIASIS</t>
  </si>
  <si>
    <t>[Potocka, Adrianna; Turczyn-Jablonska, Katarzyna] Nofer Inst Occupat Med, Dept Work Psychol, PL-91348 Lodz, Poland; [Kiec-Swierczynska, Marta] Nofer Inst Occupat Med, Outpatient Clin Occupat Dis, PL-91348 Lodz, Poland</t>
  </si>
  <si>
    <t>Potocka, A (corresponding author), Nofer Inst Occupat Med, Dept Work Psychol, Ul Teresy 8, PL-91348 Lodz, Poland.</t>
  </si>
  <si>
    <t>garczar@imp.lodz.pl</t>
  </si>
  <si>
    <t>Potocka, Adrianna/F-9631-2010; Kiec-Swierczynska, Marta/G-4928-2010</t>
  </si>
  <si>
    <t>NOFER INST OCCUPATIONAL MEDICINE, SW</t>
  </si>
  <si>
    <t>LODZ</t>
  </si>
  <si>
    <t>TERESY 8, LODZ, 91-348, POLAND</t>
  </si>
  <si>
    <t>INT J OCCUP MED ENV</t>
  </si>
  <si>
    <t>Int. J. Occup. Med. Environ. Health</t>
  </si>
  <si>
    <t>422RM</t>
  </si>
  <si>
    <t>public health; health policy; health reform; public health institutes</t>
  </si>
  <si>
    <t>[Albreht, Tit] Inst Publ Hlth Republ Slovenia, Ljubljana 1000, Slovenia; [Klazinga, Niek S.] Univ Amsterdam, Acad Med Ctr, NL-1105 AZ Amsterdam, Netherlands</t>
  </si>
  <si>
    <t>Albreht, T (corresponding author), Inst Publ Hlth Republ Slovenia, Trubarjeva 2, Ljubljana 1000, Slovenia.</t>
  </si>
  <si>
    <t>tit.albreht@ivz-rs.si</t>
  </si>
  <si>
    <t>SPRINGER BASEL AG</t>
  </si>
  <si>
    <t>PICASSOPLATZ 4, BASEL, 4052, SWITZERLAND</t>
  </si>
  <si>
    <t>INT J PUBLIC HEALTH</t>
  </si>
  <si>
    <t>Int. J. Public Health</t>
  </si>
  <si>
    <t>321DU</t>
  </si>
  <si>
    <t>Zutshi, A; Sohal, AS; Adams, C</t>
  </si>
  <si>
    <t>Zutshi, Ambika; Sohal, Amrik; Adams, Carol</t>
  </si>
  <si>
    <t>Environmental management system adoption by government departments/agencies</t>
  </si>
  <si>
    <t>INTERNATIONAL JOURNAL OF PUBLIC SECTOR MANAGEMENT</t>
  </si>
  <si>
    <t>Australia; Government departments; Environmental management</t>
  </si>
  <si>
    <t>Purpose - This paper seeks to examine the adoption of an environmental management system (EMS) in government departments involved in one Australian state and identify the key factors that contribute to successful adoption. Design/methodology/approach - Data were collected through semi-structured interviews conducted with environmental coordinators involved in the EMS adoption. The external consultant appointed by the Environmental Protection Authority who provided the training on behalf of the government departments was also interviewed. Findings - The results from the analysis shows that environmental coordinators valued the training as it enhanced their knowledge and skills. They experienced a combination of both tangible and intangible benefits. The lack of contribution and support from top management; difficulty in accessing resources; and resistance from employees were the main challenges experienced during EMS implementation. Recommendations made by the interviewees included: providing training to top management to increase their understanding of the EMS process and its benefits; selection of the right champion; provision of adequate resources; and, training of employees. Research limitations/implications - The findings are based on interviews conducted in only one Australian state and no follow up interviews could be undertaken to track the progress made by various departments. Originality/value - The findings of this paper are original as no other similar study has been undertaken in this Australian state documenting the experiences of environmental coordinators when implementing an EMS. Our findings have practical implications for public sector organisations and government departments implementing EMS.</t>
  </si>
  <si>
    <t>[Zutshi, Ambika] Deakin Univ, Burwood, Australia; [Sohal, Amrik] Monash Univ, Fac Business &amp; Econ, Caulfield, Australia; [Adams, Carol] La Trobe Univ, Fac Law &amp; Management, Melbourne, Vic, Australia</t>
  </si>
  <si>
    <t>Sohal, AS (corresponding author), Monash Univ, Fac Business &amp; Econ, Caulfield, Australia.</t>
  </si>
  <si>
    <t>amrik.sohal@monash.edu.au</t>
  </si>
  <si>
    <t>Adams, Carol A/X-7287-2019; Zutshi, Ambika/AAP-9706-2020</t>
  </si>
  <si>
    <t>Adams, Carol A/0000-0001-7894-0471; Zutshi, Ambika/0000-0002-0982-5303</t>
  </si>
  <si>
    <t>0951-3558</t>
  </si>
  <si>
    <t>1758-6666</t>
  </si>
  <si>
    <t>INT J PUBLIC SECT MA</t>
  </si>
  <si>
    <t>Int. J. Public Sect. Manag.</t>
  </si>
  <si>
    <t>10.1108/09513550810885813</t>
  </si>
  <si>
    <t>Management; Public Administration</t>
  </si>
  <si>
    <t>V70HD</t>
  </si>
  <si>
    <t>WOS:000211496800006</t>
  </si>
  <si>
    <t>Americans With Disabilities Act; fitness facilities; environment; physical activity</t>
  </si>
  <si>
    <t>COMMUNITIES</t>
  </si>
  <si>
    <t>[Riley, Barth B.; Rimmer, James H.; Wang, Edward; Schiller, William J.] Univ Illinois, Dept Disabil &amp; Human Dev, Chicago, IL 60608 USA</t>
  </si>
  <si>
    <t>Riley, BB (corresponding author), Univ Illinois, Dept Disabil &amp; Human Dev, Chicago, IL 60608 USA.</t>
  </si>
  <si>
    <t>J PHYS ACT HEALTH</t>
  </si>
  <si>
    <t>J. Phys. Act. Health</t>
  </si>
  <si>
    <t>V18OW</t>
  </si>
  <si>
    <t>[Pratt, Cornelius B.] Temple Univ, Sch Commun &amp; Theater, Dept Strateg &amp; Org Commun, Philadelphia, PA 19112 USA; [Adamolekun, Wole] Federat African Publ Relat Assoc, Abuja, Nigeria</t>
  </si>
  <si>
    <t>Pratt, CB (corresponding author), Temple Univ, Sch Commun &amp; Theater, Dept Strateg &amp; Org Commun, 221Weiss Hall 265-65,1701 N 13th St, Philadelphia, PA 19112 USA.</t>
  </si>
  <si>
    <t>cbpratt@temple.edu</t>
  </si>
  <si>
    <t>J PUBLIC RELAT RES</t>
  </si>
  <si>
    <t>J. Public Relat. Res.</t>
  </si>
  <si>
    <t>371AS</t>
  </si>
  <si>
    <t>Kastelan-Macan, M</t>
  </si>
  <si>
    <t>Kastelan-Macan, M.</t>
  </si>
  <si>
    <t>Croatian Analytical Terminology</t>
  </si>
  <si>
    <t>KEMIJA U INDUSTRIJI-JOURNAL OF CHEMISTS AND CHEMICAL ENGINEERS</t>
  </si>
  <si>
    <t>Results of analytical research are necessary in all human activities. They are inevitable in making decisions in the environmental chemistry, agriculture, forestry, veterinary medicine, pharmaceutical industry, and biochemistry. Without analytical measurements the quality of materials and products cannot be assessed, so that analytical chemistry is an essential part of technical sciences and disciplines. The language of Croatian science, and analytical chemistry within it, was one of the goals of our predecessors. Due to the political situation, they did not succeed entirely, but for the scientists in independent Croatia this is a duty, because language is one of the most important features of the Croatian identity. The awareness of the need to introduce Croatian terminology was systematically developed in the second half of the 19th century, along with the founding of scientific societies and the wish of scientists to write their scientific works in Croatian, so that the results of their research may be applied in economy. Many authors of textbooks from the 19th and the first half of the 20th century contributed to Croatian analytical terminology (F. Racki, B. Sulek, P. Zulic, G. Pexidr, J. Domac, G. Janecek, F. Bubanovic, V. Njegovan and others). M. Dezelic published the first systematic chemical terminology in 1940, adjusted to the IUPAC recommendations. In the second half of 20th century textbooks in classic analytical chemistry were written by V. Marjanovic- Krajovan, M. Gyiketta-Ogrizek, S. Zilic and others. I. Filipovic wrote the General and Inorganic Chemistry textbook and the Laboratory Handbook (in collaboration with P. Sabioncello) and contributed greatly to establishing the terminology in instrumental analytical methods. The source of Croatian nomenclature in modern analytical chemistry today are translated textbooks by Skoog, West and Holler, as well as by Gunnzler i Gremlich, and original textbooks by S. Turina, Z. Soljic, I. Eskinja, M. Kastelan-Macan, I. Piljac. S. Cerjan-Stefanovic and others translated Chromatographic nomenclature (IUPAC Compendium of Analytical Nomenclature). The related area is covered by books of V. Grdinic and F. Plavsic. During the project Croatian nomenclature of analytical chemistry there shall be an analysis of dictionaries, textbooks, handbooks, professional and scientific monographs and articles, official governmental and economic publications, regulations and instructions. The Compendium of Analytical Nomenclature is expected to have been translated and the translation mostly adjusted to the Croatian language standard. EUROLAB and EURACHEM documents related to quality assurance in analytical laboratories, especially in research and development have not yet been included in the Compendium, and due to the globalization of the information and service market, such documents need to be adjusted to the Croatian language standard in collaboration with consultants from the Institute for Croatian Language and Lingiustics. The terms shall be sorted according to the analytical process from sampling to final information. It is expected that the project's results shall be adopted by the Croatian scientific and professional community, so as to raise the awareness of the necessity of using Croatian terms in everyday professional communication and particularly in scientific and educational work. The Croatian language is rich enough for all analytical terms to be translated appropriately. This shall complete the work our predecessors began several times. We face a great challenge of contributing to the creation of the Croatian scientific terminology and believe we shall succeed.</t>
  </si>
  <si>
    <t>[Kastelan-Macan, M.] Univ Zagreb, Fac Chem Engn &amp; Technol, Lab Analyt Chem, Marulicev Trg 19, Zagreb 10000, Croatia</t>
  </si>
  <si>
    <t>Kastelan-Macan, M (corresponding author), Univ Zagreb, Fac Chem Engn &amp; Technol, Lab Analyt Chem, Marulicev Trg 19, Zagreb 10000, Croatia.</t>
  </si>
  <si>
    <t>HRVATSKO DRUSTVO KEMJIJSKIH INZENJERA I TEHNOLOGA</t>
  </si>
  <si>
    <t>BERISLAVICEVA 6-1 P O BOX 123, 41001 ZAGREB, CROATIA</t>
  </si>
  <si>
    <t>0022-9830</t>
  </si>
  <si>
    <t>1334-9090</t>
  </si>
  <si>
    <t>KEM IND</t>
  </si>
  <si>
    <t>Kem. Ind.</t>
  </si>
  <si>
    <t>Chemistry, Multidisciplinary</t>
  </si>
  <si>
    <t>Chemistry</t>
  </si>
  <si>
    <t>V7O7L</t>
  </si>
  <si>
    <t>WOS:000421152800002</t>
  </si>
  <si>
    <t>Moller, B</t>
  </si>
  <si>
    <t>Moller, Bernd</t>
  </si>
  <si>
    <t>A heat atlas for demand and supply management in Denmark</t>
  </si>
  <si>
    <t>Denmark; Energy; Physical planning; Heating; Supply and demand</t>
  </si>
  <si>
    <t>Purpose - The objective is to describe and evaluate the development of a novel planning tool for end-use efficiency in the built environment and for infrastructural changes in the energy system. Design/methodology/approach - After describing problems related to further reduce heat demand in the Danish built environment, the geographical nature of the planning task is discussed. The requirements are then translated into concepts for the development of a general method, which is implemented in a practical design of a heat atlas. Typical applications are described and discussed. Findings - It was found that the availability of the extensive public databases in Denmark make feasible the development and application of a highly detailed geographical information base for end use and infrastructure planning and analysis. It was also realised that the development has much higher potentials than explored in this paper. On the other hand, the complex geography of the urban/rural boundaries of cities requires extra care when using this approach. Research limitations/implications - Unfortunately, the results of this report are only directly applicable for Denmark, which maintains public databases on the built environment and socio-demography with a very high standard of detail and coverage. The research presented here may require further development of empirical methods of the relation between energy demand and physically and socially mapped data. On the other hand, the research may contribute to better data for analyses in the techno-economic analyses of future energy systems, which now can be carried out for arbitrary geographical units, independent of administrative boundaries. Practical implications - The method presented here may be further developed as a practical tool to be used to revive the municipal and regional energy planning, either by technical consultants or by local governments. Even a publicly accessible, web-based tool is feasible. Originality/value - The paper describes how existing data in society can be assembled to a novel method to be used within energy planning, and environmental management as a whole. A system of the one developed does not exist as yet. On the other hand it builds upon existing traditions in energy planning and local governance.</t>
  </si>
  <si>
    <t>[Moller, Bernd] Aalborg Univ, Dept Dev &amp; Planning, Sustainable Energy Planning &amp; Management Res Grp, Aalborg, Denmark</t>
  </si>
  <si>
    <t>Moller, B (corresponding author), Aalborg Univ, Dept Dev &amp; Planning, Sustainable Energy Planning &amp; Management Res Grp, Aalborg, Denmark.</t>
  </si>
  <si>
    <t>berndm@plan.aau.dk</t>
  </si>
  <si>
    <t>10.1108/14777830810878650</t>
  </si>
  <si>
    <t>VB3DO</t>
  </si>
  <si>
    <t>WOS:000415377000018</t>
  </si>
  <si>
    <t>Camison, C</t>
  </si>
  <si>
    <t>Camison, Cesar</t>
  </si>
  <si>
    <t>Learning for environmental adaptation and knowledge-intensive services: the role of public networks for SMEs</t>
  </si>
  <si>
    <t>knowledge-intensive services; business services supply; small and medium-sized firms; environmental adaptation; cooperation; networks; public goods</t>
  </si>
  <si>
    <t>GREEN; COMPETITIVENESS; ORGANIZATIONS; INNOVATION; STRATEGY; POLICY; FIRM; SUSTAINABILITY; PERSPECTIVE; MANAGEMENT</t>
  </si>
  <si>
    <t>Small and medium-sized firms are suffering increasing pressure related to environmental adaptation because they cannot create the required technological and organizational competences and there is not a sufficient and appropriate supply of advanced business services for green management in their surroundings. Research results illustrate the usefulness of a cooperative platform based on information technologies, with public support, in providing knowledge-intensive services correcting the inefficiency of the environmental consultancy market and its failure to provide public goods. This research also establishes a relationship between the operation of a reticular model and firm environmental learning by illustrating the improvements in environmental and economic performance that the dissemination and absorption of knowledge can create. We are focusing our attention on an environmental website developed by a Spanish regional network, a project in which good green practices come through virtual inter-organizational cooperation. Empirical analysis is based on the study of the network case and a survey of 348 partner firms over a period of 4 years (2002-2005). An analysis of quantitative and qualitative information tested the validity of the measurements and results with data triangulation.</t>
  </si>
  <si>
    <t>Univ Jaume 1, Dept Business Adm, Res Grp Strategy Knowledge &amp; Innovat Management &amp;, Castellon De La Plana, Castellon, Spain</t>
  </si>
  <si>
    <t>Camison, C (corresponding author), Univ Jaume 1, Dept Business Adm, Res Grp Strategy Knowledge &amp; Innovat Management &amp;, Castellon De La Plana, Castellon, Spain.</t>
  </si>
  <si>
    <t>camison@emp.uji.es</t>
  </si>
  <si>
    <t>CAMISON, CESAR/F-4582-2016</t>
  </si>
  <si>
    <t>CAMISON, CESAR/0000-0001-8568-8825</t>
  </si>
  <si>
    <t>SERV IND J</t>
  </si>
  <si>
    <t>Serv. Ind. J.</t>
  </si>
  <si>
    <t>10.1080/02642060801990395</t>
  </si>
  <si>
    <t>348RJ</t>
  </si>
  <si>
    <t>WOS:000259227300007</t>
  </si>
  <si>
    <t>Spenceley, A</t>
  </si>
  <si>
    <t>Spenceley, Anna</t>
  </si>
  <si>
    <t>Requirements for sustainable nature-based tourism in transfrontier conservation areas: A southern African Delphi consultation</t>
  </si>
  <si>
    <t>TOURISM GEOGRAPHIES</t>
  </si>
  <si>
    <t>Delphi consultation; sustainable; nature-based; Great Limpopo Transfrontier Conservation Area; southern Africa</t>
  </si>
  <si>
    <t>Over the years a plethora of factors have been associated with sustainable tourism in the literature, but little has been done to prioritize those that are most important to stakeholders in destinations. In particular, this research aimed to identify factors perceived as essential for sustainable nature-based tourism operating in transfrontier conservation areas (TFCAs) in southern Africa. A Delphi consultation was conducted in which 518 southern African experts from government, academia, non-governmental organizations, the private sector and consultancies were invited to contribute. Participants rated the relative importance of 502 policy, planning, economic, environmental and social factors drawn from the literature, and additional factors suggested by regional consultees. A statistically significant level of consensus was achieved on 159 multidisciplinary factors considered to be 'essential' or 'incompatible' with sustainable nature-based tourism in TFCAs. The implications for the assessment of sustainable nature-based tourism in southern African TFCAs are discussed, with a review of how they relate to tourism in the Great Limpopo TFCA: a transboundary protected area that incorporates protected areas in Mozambique, South Africa and Zimbabwe.</t>
  </si>
  <si>
    <t>[Spenceley, Anna] Univ Greenwich, Dept Earth &amp; Environm Sci, Greenwich, Kent, England</t>
  </si>
  <si>
    <t>Spenceley, A (corresponding author), 3 Ashby Lodge,11 Ashby Rd, ZA-4001 Durban, South Africa.</t>
  </si>
  <si>
    <t>annaspenceley@hotmail.com</t>
  </si>
  <si>
    <t>1461-6688</t>
  </si>
  <si>
    <t>1470-1340</t>
  </si>
  <si>
    <t>TOURISM GEOGR</t>
  </si>
  <si>
    <t>Tour. Geogr.</t>
  </si>
  <si>
    <t>10.1080/14616680802236295</t>
  </si>
  <si>
    <t>331IZ</t>
  </si>
  <si>
    <t>WOS:000258007200002</t>
  </si>
  <si>
    <t>watershed management; environmental policy; collaborative decision making; science; Lake Tahoe; water policy</t>
  </si>
  <si>
    <t>SCIENCE; CONFLICT; POLITICS; MANAGEMENT; COMMUNITY; KNOWLEDGE; ATTITUDES; MODEL</t>
  </si>
  <si>
    <t>Georgia Inst Technol, Sch Publ Policy, Atlanta, GA 30332 USA</t>
  </si>
  <si>
    <t>Weible, CM (corresponding author), Georgia Inst Technol, Sch Publ Policy, 685 Cherry St, Atlanta, GA 30332 USA.</t>
  </si>
  <si>
    <t>chris.weible@pubpolicy.gatech.edu</t>
  </si>
  <si>
    <t>235HQ</t>
  </si>
  <si>
    <t>Brazil; circuits of the urban economy; consumption; poverty; globalization</t>
  </si>
  <si>
    <t>Univ Sao Paulo, FAPESP, Dept Geog, Fac Filosofia, BR-05508 Sao Paulo, Brazil</t>
  </si>
  <si>
    <t>Silveira, ML (corresponding author), Univ Sao Paulo, FAPESP, Dept Geog, Fac Filosofia, BR-05508 Sao Paulo, Brazil.</t>
  </si>
  <si>
    <t>laurasil@usp.br</t>
  </si>
  <si>
    <t>PONTIFICIA UNIV CATOLICA CHILE, INST ESTUDIOS URBANOS TERRITORIALES</t>
  </si>
  <si>
    <t>EL COMENDADOR 1916, SANTIAGO, 00000, CHILE</t>
  </si>
  <si>
    <t>EURE</t>
  </si>
  <si>
    <t>Eure</t>
  </si>
  <si>
    <t>246TZ</t>
  </si>
  <si>
    <t>health care institutions; waste; waste management</t>
  </si>
  <si>
    <t>Meyro Consulting, D-72070 Tubingen, Germany</t>
  </si>
  <si>
    <t>Meyer, R (corresponding author), Meyro Consulting, Sindelfinger Str 3, D-72070 Tubingen, Germany.</t>
  </si>
  <si>
    <t>info@meyro-consulting.de</t>
  </si>
  <si>
    <t>Clean-Soil Air Water</t>
  </si>
  <si>
    <t>Green &amp; Sustainable Science &amp; Technology; Environmental Sciences; Marine &amp; Freshwater Biology; Water Resources</t>
  </si>
  <si>
    <t>Science &amp; Technology - Other Topics; Environmental Sciences &amp; Ecology; Marine &amp; Freshwater Biology; Water Resources</t>
  </si>
  <si>
    <t>232GR</t>
  </si>
  <si>
    <t>Brent, RL</t>
  </si>
  <si>
    <t>Brent, Robert L.</t>
  </si>
  <si>
    <t>Lauriston S. Taylor lecture: Fifty years of scientific research: The importance of scholarship and the influence of politics and controversy</t>
  </si>
  <si>
    <t>HEALTH PHYSICS</t>
  </si>
  <si>
    <t>42nd Annual Meeting of the National-Council-on-Radiation-Protection-and-Measurements</t>
  </si>
  <si>
    <t>Arlington, VA</t>
  </si>
  <si>
    <t>Natl Council Radiat Protect &amp; Measurements</t>
  </si>
  <si>
    <t>National Council on Radiation Protection and Measurements; pregnancy; health effects; genetic effects; radiation</t>
  </si>
  <si>
    <t>PRENATAL X-IRRADIATION; SEVERE MENTAL-RETARDATION; ATOMIC-BOMB SURVIVORS; CHILDHOOD-CANCER; CONGENITAL-MALFORMATIONS; EMBRYONIC DEVELOPMENT; IONIZING-RADIATION; WISTAR RAT; POSTNATAL-GROWTH; PREIMPLANTATION STAGES</t>
  </si>
  <si>
    <t>Over the past 50 years our laboratory has performed and published many studies in the fields of teratology, radiation biology and radiation embryology. The early work took place when I was a research employee at the University of Rochester Manhattan Project in 1944 and where I had my introduction to embryology and genetics. Over the years our lab has provided consultations dealing with the risks of various environmental toxicant exposures during pregnancy. With the advent of the Internet, consulting has become more rapid and efficient. In the past year our pregnancy Web site of the Health Physics Society received approximately 154,000 hits, of which over a thousand contacts were still quite anxious after reading the Web site answers and requested a personal consultation. From this extensive experience we have learned that many physicians and other counselors are not prepared to counsel patients concerning radiation risks. Approximately 8% of the patient contacts who have consulted a professional have been provided with inaccurate information that would have resulted in an unnecessary interruption of a wanted pregnancy. There are five areas of radiation embryology that are considered to be controversial. 1) Can the fetus be harmed by ionizing radiation if the fetus is not directly exposed? 2) Is the production of mental retardation from radiation during pregnancy a threshold phenomenon? 3) Does fractionation and protraction of radiation decrease the magnitude of the reproductive and developmental risks? 4) Is there a period during pregnancy when radiation will result in an increased mortality but not an increase in malformations? 5) How sensitive is the fetus to the oncogenic effects of radiation? We utilize the scientific information obtained from studies in these five areas to counsel patients concerning pregnancy radiation risks. The willingness and persistence of scientists to debate the controversial aspects of this research and apply the best available scientific information to assist patients in turmoil about the risks of radiation to themselves and their offspring has saved thousand of lives and changed family histories.</t>
  </si>
  <si>
    <t>Thomas Jefferson Univ, Alfred I Dupont Hosp Children, Wilmington, DE 19899 USA</t>
  </si>
  <si>
    <t>Brent, RL (corresponding author), Thomas Jefferson Univ, Alfred I Dupont Hosp Children, POB 269,Rm 308 R1A, Wilmington, DE 19899 USA.</t>
  </si>
  <si>
    <t>rbrent@nemours.org</t>
  </si>
  <si>
    <t>0017-9078</t>
  </si>
  <si>
    <t>1538-5159</t>
  </si>
  <si>
    <t>HEALTH PHYS</t>
  </si>
  <si>
    <t>Health Phys.</t>
  </si>
  <si>
    <t>10.1097/01.HP.0000282111.66056.c2</t>
  </si>
  <si>
    <t>Environmental Sciences; Public, Environmental &amp; Occupational Health; Nuclear Science &amp; Technology; Radiology, Nuclear Medicine &amp; Medical Imaging</t>
  </si>
  <si>
    <t>Environmental Sciences &amp; Ecology; Public, Environmental &amp; Occupational Health; Nuclear Science &amp; Technology; Radiology, Nuclear Medicine &amp; Medical Imaging</t>
  </si>
  <si>
    <t>221HG</t>
  </si>
  <si>
    <t>WOS:000250217400003</t>
  </si>
  <si>
    <t>ICP-BR Bee Protect Grp,BASF Ag,Bayer CropSci AG,Dow AgrSci,E I Dupont Nemours</t>
  </si>
  <si>
    <t>honey bee; health; pests; protection; inspection</t>
  </si>
  <si>
    <t>SHOOK SWARM; UK; OXYTETRACYCLINE</t>
  </si>
  <si>
    <t>Natl Bee Unit, Cent Sci Lab, York YO41 1LZ, N Yorkshire, England</t>
  </si>
  <si>
    <t>Wilkins, S (corresponding author), Natl Bee Unit, Cent Sci Lab, York YO41 1LZ, N Yorkshire, England.</t>
  </si>
  <si>
    <t>p.wilkins@csl.gov.uk</t>
  </si>
  <si>
    <t>Conference Proceedings Citation Index - Science (CPCI-S); Science Citation Index Expanded (SCI-EXPANDED)</t>
  </si>
  <si>
    <t>224GR</t>
  </si>
  <si>
    <t>certification systems; community of practice; colabels; food citizenship; food service corporations; foodshare; institutional purchases; local flavour plus; local food systems; short supply chains; social justice; sustainable food systems; university of Toronto; values-based markets</t>
  </si>
  <si>
    <t>OLD SCHOOL; MOVEMENTS; POLICY</t>
  </si>
  <si>
    <t>Univ Toronto, Dept Sociol, Toronto, ON M5S 1A1, Canada; Univ Toronto, Ctr Int Studies, Toronto, ON, Canada</t>
  </si>
  <si>
    <t>Friedmann, H (corresponding author), Univ Toronto, Dept Sociol, Toronto, ON M5S 1A1, Canada.</t>
  </si>
  <si>
    <t>harriet.friedmann@utoronto.ca</t>
  </si>
  <si>
    <t>198JB</t>
  </si>
  <si>
    <t>CHP; combined heat power; micro-turbine; IPS-Pro; fuel cell; renewable</t>
  </si>
  <si>
    <t>Univ Newcastle Upon Tyne, Sch Mech &amp; Syst Engn, Newcastle Upon Tyne NE1 7RU, Tyne &amp; Wear, England</t>
  </si>
  <si>
    <t>Ameli, SM (corresponding author), Univ Newcastle Upon Tyne, Sch Mech &amp; Syst Engn, Newcastle Upon Tyne NE1 7RU, Tyne &amp; Wear, England.</t>
  </si>
  <si>
    <t>s.m.ameli@ncl.ac.uk</t>
  </si>
  <si>
    <t>APPL THERM ENG</t>
  </si>
  <si>
    <t>Appl. Therm. Eng.</t>
  </si>
  <si>
    <t>Thermodynamics; Energy &amp; Fuels; Engineering, Mechanical; Mechanics</t>
  </si>
  <si>
    <t>Thermodynamics; Energy &amp; Fuels; Engineering; Mechanics</t>
  </si>
  <si>
    <t>187QJ</t>
  </si>
  <si>
    <t>Swartling, MS; Hagberg, J; Alexanderson, K; Wahlstrorm, RA</t>
  </si>
  <si>
    <t>Swartling, Malin S.; Hagberg, Jan; Alexanderson, Kristina; Wahlstroerm, Rolf A.</t>
  </si>
  <si>
    <t>Sick-listing as a psychosocial work problem: A survey of 3997 swedish physicians</t>
  </si>
  <si>
    <t>JOURNAL OF OCCUPATIONAL REHABILITATION</t>
  </si>
  <si>
    <t>Sick leave; Physician's practice patterns; Sickness certification; Psychosocial work environment; General practice; Primary health care; Orthopaedics</t>
  </si>
  <si>
    <t>GENERAL-PRACTITIONERS; HOSPITAL CONSULTANTS; WOMEN PHYSICIANS; MENTAL-HEALTH; STRESS; CERTIFICATION; SATISFACTION; AGGRESSION; DEPRESSION; CARE</t>
  </si>
  <si>
    <t>Objectives: To quantify the extent of emotionally straining sick-listing problems among three categories of physicians and find associations with workplace characteristics. Methods: A questionnaire was answered by 3997 physicians (response rate: 71%). Results: A larger proportion of physicians at orthopaedic clinics and, in particular, at Primary Health Care Centres (PHCCs), experienced sick-listing problems, compared to physicians at other clinics. Ten percent of PHCC physicians felt threatened by patients, at least once per month, in relation to sickness certification or worried about getting reported to the disciplinary board. PHCC physicians found sick-listing more problematic compared to others (OR 4.9; 95% CI 4.1-6.0). Having a workplace policy on sick-listing was associated with a reduced risk of experiencing several problems (OR 0.5-0.6, P &lt; 0.05). Conclusion: The extent and nature of sick-listing problems warrant further concerns, especially in PHCCs. The nature of perceived threats should be elucidated. Developing workplace policies on sick-listing should be encouraged.</t>
  </si>
  <si>
    <t>Uppsala Univ, Dept Neurosci Rehabil Med, Akad Hosp, S-75185 Uppsala, Sweden; Uppsala Univ, Dept Publ Hlth &amp; Caring Sci Family Med &amp; Clin Epi, S-75185 Uppsala, Sweden; Karolinska Inst, Dept Clin Neurosci, Sect Personal Injury Prevent, S-10401 Stockholm, Sweden; Karolinska Inst, Dept Publ Hlth Sci, Div Int Hlth, IHCAR, S-10401 Stockholm, Sweden</t>
  </si>
  <si>
    <t>Swartling, MS (corresponding author), Uppsala Univ, Dept Neurosci Rehabil Med, Akad Hosp, S-75185 Uppsala, Sweden.</t>
  </si>
  <si>
    <t>malin.swartling@rehab.uu.se</t>
  </si>
  <si>
    <t>Alexanderson, Kristina A/J-3429-2013</t>
  </si>
  <si>
    <t>Alexanderson, Kristina/0000-0002-9313-3413; Hagberg, Jan/0000-0001-6851-265X</t>
  </si>
  <si>
    <t>SPRINGER/PLENUM PUBLISHERS</t>
  </si>
  <si>
    <t>1053-0487</t>
  </si>
  <si>
    <t>J OCCUP REHABIL</t>
  </si>
  <si>
    <t>J. Occup. Rehabil.</t>
  </si>
  <si>
    <t>10.1007/s10926-007-9090-3</t>
  </si>
  <si>
    <t>Rehabilitation; Social Issues</t>
  </si>
  <si>
    <t>205NK</t>
  </si>
  <si>
    <t>WOS:000249120600004</t>
  </si>
  <si>
    <t>bridges; project management; public-private partnerships</t>
  </si>
  <si>
    <t>Parsons Brinckemoff Ltd, Cardiff, Wales</t>
  </si>
  <si>
    <t>Gullick, D (corresponding author), Parsons Brinckemoff Ltd, Cardiff, Wales.</t>
  </si>
  <si>
    <t>THOMAS TELFORD PUBLISHING</t>
  </si>
  <si>
    <t>THOMAS TELFORD HOUSE, 1 HERON QUAY, LONDON E14 4JD, ENGLAND</t>
  </si>
  <si>
    <t>222MI</t>
  </si>
  <si>
    <t>Docherty, I; Smith, D</t>
  </si>
  <si>
    <t>Docherty, Iain; Smith, Denis</t>
  </si>
  <si>
    <t>Practising what we preach? Academic consultancy in a multi-disciplinary environment</t>
  </si>
  <si>
    <t>UNIVERSITIES; EDUCATION</t>
  </si>
  <si>
    <t>Academics have long been accustomed to playing multiple roles (teacher, researcher, expert and critic). But as university management needs increasingly to demonstrate its relevance and value to the economy and society, so consultancy has assumed greater significance. This article explores the emerging fractures in the landscape of academic consulting, focusing on how consultancy activity impacts on research standards, and the ability of academics to maintain their critical roles as independent figures capable of holding government and other public organizations to account, so that their contribution to improving public policy can be maximized.</t>
  </si>
  <si>
    <t>Univ Glasgow, Dept Management, Glasgow G12 8QQ, Lanark, Scotland</t>
  </si>
  <si>
    <t>Docherty, I (corresponding author), Univ Glasgow, Dept Management, Glasgow G12 8QQ, Lanark, Scotland.</t>
  </si>
  <si>
    <t>Fischbacher-Smith, Denis/I-6156-2017</t>
  </si>
  <si>
    <t>Fischbacher-Smith, Denis/0000-0003-4849-3791; Docherty, Iain/0000-0002-4070-4294</t>
  </si>
  <si>
    <t>10.1111/j.1467-9302.2007.00594.x</t>
  </si>
  <si>
    <t>206PS</t>
  </si>
  <si>
    <t>WOS:000249196000011</t>
  </si>
  <si>
    <t>Spurling, G; Mansfield, P</t>
  </si>
  <si>
    <t>Spurling, Geoffrey; Mansfield, Peter</t>
  </si>
  <si>
    <t>General practitioners and pharmaceutical sales representatives: Quality improvement research</t>
  </si>
  <si>
    <t>QUALITY &amp; SAFETY IN HEALTH CARE</t>
  </si>
  <si>
    <t>DRUG INFORMATION; PHYSICIANS; BEHAVIOR; CARE; ATTITUDES; INDUSTRY</t>
  </si>
  <si>
    <t>Background and objective: Interaction between pharmaceutical sales representatives (PSRs) and general practitioners (GPs) may have an adverse impact on GP prescribing and therefore may be ethically questionable. This study aimed to evaluate the interactions between PSRs and GPs in an Australian general practice, and develop and evaluate a policy to guide the interaction. Methods: Doctors' prescribing, diaries, practice promotional material and samples were audited and a staff survey undertaken. After receiving feedback, the staff voted on practice policy options. The resulting policy was evaluated 3 and 9 months. Results: Prior to the intervention, GPs spent on average 40 min/doctor/month with PSRs. There were 239 items of promotional material in the practice and 4660 tablets in the sample cupboard. These were reduced by 32% and 59%, respectively, at 3 months after policy adoption and the reduction was sustained at 9 months. Vioxx was the most common drug name in promotional material. Staff adopted a policy of reduced access to PSRs including: reception staff not to make appointments for PSRs or accept promotional material; PSRs cannot access sample cupboards; GPs wishing to see PSRs may do so outside consulting hours. At 3 and 9 months, most staff were satisfied with the changes. Promotional items/room were not significantly reduced at 3 months (24.0 items/room; 95% CI 26.61 to 21.39; p = 0.066) or 9 months (22.63 items/room; 95% CI 25.86 to 0.60; p = 0.24). Generic prescribing significantly increased at 3 months (OR 2.28, 95% CI 1.31 to 3.86; p = 0.0027) and 9 months (OR 2.07, 95% CI 1.13 to 3.82; p = 0.016). Conclusion: There was a marked reduction in interactions with PSRs with majority staff satisfaction and improved prescribing practices. The new policy will form part of the practice's orientation package. Reception staff give PSRs a letter explaining the policy. It is hoped that the extra 40 min/doctor of consulting time translates into more time with patients and time to evaluate more independent sources of drug information.</t>
  </si>
  <si>
    <t>Univ Queensland, Discipline Gen Practice, Herston, Qld 4029, Australia; Univ Adelaide, Discipline Gen Practice, Adelaide, SA, Australia</t>
  </si>
  <si>
    <t>Spurling, G (corresponding author), Univ Queensland, Discipline Gen Practice, Royal Brisbane Hosp, Level 2,Edith Cavell Bldg, Herston, Qld 4029, Australia.</t>
  </si>
  <si>
    <t>g.spurling@uq.edu.au</t>
  </si>
  <si>
    <t>Mansfield, Peter/Q-8707-2019; Spurling, Geoffrey K/F-1783-2010</t>
  </si>
  <si>
    <t>Spurling, Geoffrey K/0000-0002-3525-4663</t>
  </si>
  <si>
    <t>1475-3898</t>
  </si>
  <si>
    <t>QUAL SAF HEALTH CARE</t>
  </si>
  <si>
    <t>Qual. Saf. Health Care</t>
  </si>
  <si>
    <t>10.1136/qshc.2006.020164</t>
  </si>
  <si>
    <t>199IV</t>
  </si>
  <si>
    <t>WOS:000248690300007</t>
  </si>
  <si>
    <t>Sams, R; Wolf, DC; Ramasamy, S; Ohanian, E; Chen, J; Lowit, A</t>
  </si>
  <si>
    <t>Sams, Reeder, II; Wolf, Douglas C.; Ramasamy, Santhini; Ohanian, Ed; Chen, Jonathan; Lowit, Anna</t>
  </si>
  <si>
    <t>Workshop overview: Arsenic research and risk assessment</t>
  </si>
  <si>
    <t>TOXICOLOGY AND APPLIED PHARMACOLOGY</t>
  </si>
  <si>
    <t>International Workshop on Research and Risk Assessment for Arsenic</t>
  </si>
  <si>
    <t>MAY 31-JUN 02, 2006</t>
  </si>
  <si>
    <t>Shepherdstown, WV</t>
  </si>
  <si>
    <t>US Environm Protect Agcy</t>
  </si>
  <si>
    <t>risk assessment; cancer guidelines; arsenic; mode of action</t>
  </si>
  <si>
    <t>DIMETHYLARSINIC ACID; BLADDER-CANCER; URINARY-BLADDER; DRINKING-WATER; METHYLATED ARSENICALS; CARCINOGENESIS; EXPOSURE; METABOLISM; TOXICITY; HEALTH</t>
  </si>
  <si>
    <t>The chronic exposure of humans through consumption of high levels of inorganic arsenic (iAs)-contaminated drinking water is associated with skin lesions, peripheral vascular disease, hypertension, and cancers. Additionally, humans are exposed to organic arsenicals when used as pesticides and herbicides (e.g., monomethylarsonic acid, dimethylarsinic acid (DMA(V)) also known as cacodylic acid). Extensive research has been conducted to characterize the adverse health effects that result from exposure to iAs and its metabolites to describe the biological pathway(s) that lead to adverse health effects. To further this effort, on May 31, 2006, the United States Environmental Protection Agency (USEPA) sponsored a meeting entitled Workshop on Arsenic Research and Risk Assessment. The invited participants from government agencies, academia, independent research organizations and consultants were asked to present their current research. The overall focus of these research efforts has been to determine the potential human health risks due to environmental exposures to arsenicals. Pursuant in these efforts is the elucidation of a mode of action for arsenicals. This paper provides a brief overview of the workshop goals, regulatory context for arsenical research, mode of action (MOA) analysis in human health risk assessment, and the application of MOA analysis for iAs and DMA(V). Subsequent papers within this issue will present the research discussed at the workshop, ensuing discussions, and conclusions of the workshop. Published by Elsevier Inc.</t>
  </si>
  <si>
    <t>US EPA, Off Res &amp; Dev, Natl Ctr Environm Assessment, Integrated Risk Informat Syst Program, Res Triangle Pk, NC 27711 USA; US EPA, Off Res &amp; Dev, Natl Hlth &amp; Environm Effects Res Lab, Div Environm Carcinogenesis, Res Triangle Pk, NC 27711 USA; US EPA, Off Sci &amp; Technol, Hlth &amp; Ecol Criteria Div, Washington, DC 20460 USA; US EPA, Off Pesticide Programs, Antimicrobials Div, Washington, DC 20460 USA; US EPA, Off Pesticide Programs, Div Hlth Effects, Washington, DC 20460 USA</t>
  </si>
  <si>
    <t>Sams, R (corresponding author), US EPA, Off Res &amp; Dev, Natl Ctr Environm Assessment, Integrated Risk Informat Syst Program, Res Triangle Pk, NC 27711 USA.</t>
  </si>
  <si>
    <t>sams.reeder@epa.gov</t>
  </si>
  <si>
    <t>Wolf, Douglas/V-7776-2019</t>
  </si>
  <si>
    <t>Ramasamy, Santhini/0000-0001-5863-416X</t>
  </si>
  <si>
    <t>0041-008X</t>
  </si>
  <si>
    <t>1096-0333</t>
  </si>
  <si>
    <t>TOXICOL APPL PHARM</t>
  </si>
  <si>
    <t>Toxicol. Appl. Pharmacol.</t>
  </si>
  <si>
    <t>10.1016/j.taap.2007.01.007</t>
  </si>
  <si>
    <t>Pharmacology &amp; Pharmacy; Toxicology</t>
  </si>
  <si>
    <t>200YK</t>
  </si>
  <si>
    <t>WOS:000248798500002</t>
  </si>
  <si>
    <t>Yang, HX; Li, YT</t>
  </si>
  <si>
    <t>Yang, Hongxing; Li, Yutong</t>
  </si>
  <si>
    <t>Potential of building-integrated photovoltaic applications</t>
  </si>
  <si>
    <t>INTERNATIONAL JOURNAL OF LOW-CARBON TECHNOLOGIES</t>
  </si>
  <si>
    <t>building-integrated photovoltaic; energy policy</t>
  </si>
  <si>
    <t>The application of building-integrated photovoltaic technology has developed very rapidly in recent years. This paper presents a review of the development of the BIPV applications in major countries around the world. It is found that demonstration projects can help the promotion of the technology at the beginning of any BIPV programmes, but the government energy policy and incentive strategies play a critical role for its sustainable development. Based on our experience of BIPV research and consultancy projects completed in Hong Kong, the past, current and future application of this technology is summarized. The future potential of BIPV contribution can be a substantial part of the demand.</t>
  </si>
  <si>
    <t>[Yang, Hongxing; Li, Yutong] Hong Kong Polytech Univ, RERG, Kowloon, Hong Kong, Peoples R China</t>
  </si>
  <si>
    <t>Yang, HX (corresponding author), Hong Kong Polytech Univ, RERG, Kowloon, Hong Kong, Peoples R China.</t>
  </si>
  <si>
    <t>behxyang@polyu.edu.hk</t>
  </si>
  <si>
    <t>Yang, Hongxing/E-5737-2014</t>
  </si>
  <si>
    <t>Yang, Hongxing/0000-0001-5117-5394</t>
  </si>
  <si>
    <t>Hong Kong Polytechnic University [G-T836]</t>
  </si>
  <si>
    <t>The work described in this paper was supported by a grant from The Hong Kong Polytechnic University (Project No. G-T836).</t>
  </si>
  <si>
    <t>1748-1317</t>
  </si>
  <si>
    <t>1748-1325</t>
  </si>
  <si>
    <t>INT J LOW-CARBON TEC</t>
  </si>
  <si>
    <t>V26QD</t>
  </si>
  <si>
    <t>WOS:000215305800003</t>
  </si>
  <si>
    <t>DEVICE-MANUFACTURING WORKERS; SEMICONDUCTOR INDUSTRY; OCCUPATIONAL-HEALTH; CANCER; MORTALITY; PAPER; RISK</t>
  </si>
  <si>
    <t>joeladou@aol.com</t>
  </si>
  <si>
    <t>INT J OCCUP ENV HEAL</t>
  </si>
  <si>
    <t>Int. J. Occup. Environ. Health</t>
  </si>
  <si>
    <t>209QN</t>
  </si>
  <si>
    <t>agro-ecosystem; biodiversity; diagnostic study; Kolb's Learning Cycle; low-input production; stakeholder consultation; sustainability indicators</t>
  </si>
  <si>
    <t>SPECIALIZED FUNGAL PATHOGENS; INTRASPECIFIC MIXED STANDS; SPECIES-DIVERSITY; CEREAL CULTIVARS; DISEASE PROGRESS; INSECT VISITS; LAND-USE; AGRICULTURE; IMPACT; COMMUNITY</t>
  </si>
  <si>
    <t>Univ Wageningen &amp; Res Ctr, Crop &amp; Weed Ecol Grp, NL-6700 AK Wageningen, Netherlands; Univ Wageningen &amp; Res Ctr, Agr Econ Res Inst, The Hague, Netherlands; Univ Wageningen &amp; Res Ctr, Agr Econ Res Inst, Lelystad, Netherlands</t>
  </si>
  <si>
    <t>Stilma, ESC (corresponding author), Univ Wageningen &amp; Res Ctr, Crop &amp; Weed Ecol Grp, POB 430, NL-6700 AK Wageningen, Netherlands.</t>
  </si>
  <si>
    <t>eveline.stilma@wur.nl</t>
  </si>
  <si>
    <t>230PI</t>
  </si>
  <si>
    <t>Borowski, I; Hare, M</t>
  </si>
  <si>
    <t>Borowski, Ilke; Hare, Matt</t>
  </si>
  <si>
    <t>Exploring the gap between water managers and researchers: Difficulties of model-based tools to support practical water management</t>
  </si>
  <si>
    <t>use of models; tools; participatory river basin management; WFD; policy-science interface; social learning</t>
  </si>
  <si>
    <t>VALIDATION</t>
  </si>
  <si>
    <t>Supported by EU funds, the European research community has been putting much effort into providing model-based tools to support water resource managers in implementing water management as well as the implementation of the Water Framework Directive. This paper presents the results of a two-year long elicitation phase which aimed to explain why the use of tools in water management is not as great as the corresponding investment in applied research in this area might suggest it should be. The paper identifies a gap between water managers and research community that is evidence of a mutual misunderstanding of the fundamental activities of both communities. We elaborate on these misunderstandings between these two communities by focussing on their attitudes towards seven assumptions that derived from an elicitation phase carried out between 2003 and 2004. These misunderstandings appear to revolve around the issues of the role and importance of model-based tools in water management; the transferability of models to new target sites; the role of participatory modelling in water management; how to solve lack of confidence in model-based tools; the development of computer user interfaces to improve tool usability; and the nature of model integration. Based on these insights, recommendations for improving research, development and ultimately the use of model-based tools in river basin management processes are proposed. The recommendations include improving researchers' understanding of water management processes and the role their tools play within such a process; identifying for both communities the importance that such tools can play as part of social learning-oriented management processes; improving the role of software consultancies as carriers of research results; considering new methods of model transferability between target basins; and expanding the structure of funding for academic research and development projects to allow the greater provision of non-technical requirements such as post-development tool maintenance and transferability, required by water managers.</t>
  </si>
  <si>
    <t>Univ Osnabrueck, Inst Environm Syst Res, D-49076 Osnabruck, Germany; Seecon Deutschland GmbH, D-49084 Osnabruck, Germany</t>
  </si>
  <si>
    <t>Borowski, I (corresponding author), Univ Osnabrueck, Inst Environm Syst Res, Barbarastr 12, D-49076 Osnabruck, Germany.</t>
  </si>
  <si>
    <t>borowski@usf.uos.de; matt.hare@seecon.org</t>
  </si>
  <si>
    <t>10.1007/s11269-006-9098-z</t>
  </si>
  <si>
    <t>179TE</t>
  </si>
  <si>
    <t>WOS:000247312200002</t>
  </si>
  <si>
    <t>material efficiency; integrative economic environmental modeling; environmental policy</t>
  </si>
  <si>
    <t>Univ Osnabruck, Dept Econ &amp; Business Adm, D-49069 Osnabruck, Germany; GWS, Osnabruck, Germany</t>
  </si>
  <si>
    <t>Meyer, B (corresponding author), Univ Osnabruck, Dept Econ &amp; Business Adm, D-49069 Osnabruck, Germany.</t>
  </si>
  <si>
    <t>meyer@gws-os.de</t>
  </si>
  <si>
    <t>185NH</t>
  </si>
  <si>
    <t>de Mantilla, LF</t>
  </si>
  <si>
    <t>Fernandez de Mantilla, Lya</t>
  </si>
  <si>
    <t>Characteristics of political leadership in Santander, Colombia: 1988-2002</t>
  </si>
  <si>
    <t>REFLEXION POLITICA</t>
  </si>
  <si>
    <t>Leadership; personality. political behavior; support network; environment; perception</t>
  </si>
  <si>
    <t>The purpose of this work is to show the results of the research project 'Political Leadership Profile In Santander - Colombia'. The general objective of the study was to characterize the must Important aspects of political leadership by applying the mu/1(dimensional leadership scale to describe the dimensions of personality. behau(or, supporting networks, environment and perceptions of the selected persons, who have held popularly elected positions as mayors. council members, deputies and representatives, during three or more electoral periods, between 1988 and 2002, In Bucaramanga, Floridablanea, Pledecuesta, Giron, Sarrancabermeja, Socorro and San Gil municipalities of Santander-, The considered factors reflect some leaderships as being in a transitional process that can be characterized by strongly personalized courses for making dectslons and others as being more participative. consulting. technical and concerned about the solution of local problems, but culturally uprooted.</t>
  </si>
  <si>
    <t>[Fernandez de Mantilla, Lya] Univ Aufanoma Bucaramanga, Inst Estudios Pollitcos, Bucaramanga, Colombia</t>
  </si>
  <si>
    <t>de Mantilla, LF (corresponding author), Univ Aufanoma Bucaramanga, Inst Estudios Pollitcos, Bucaramanga, Colombia.</t>
  </si>
  <si>
    <t>UNIV AUTONOMA BUCARAMANGA, INST ESTUDIOS POLITICOS</t>
  </si>
  <si>
    <t>BUCARAMANGA</t>
  </si>
  <si>
    <t>CALLE 48 NO 39-234, BUCARAMANGA, 00000, COLOMBIA</t>
  </si>
  <si>
    <t>0124-0781</t>
  </si>
  <si>
    <t>REFLEX POLITICA</t>
  </si>
  <si>
    <t>Reflex. Politica</t>
  </si>
  <si>
    <t>V1L3S</t>
  </si>
  <si>
    <t>WOS:000217009100014</t>
  </si>
  <si>
    <t>Coppock, MH; Brown, RR</t>
  </si>
  <si>
    <t>Coppock, M. H.; Brown, R. R.</t>
  </si>
  <si>
    <t>Advancing sustainable water futures for Melbourne: analysis of expert opinion on structural and non-structural approaches</t>
  </si>
  <si>
    <t>WATER PRACTICE AND TECHNOLOGY</t>
  </si>
  <si>
    <t>Expert opinion; decision values; structural and non-structural approaches; urban water</t>
  </si>
  <si>
    <t>This social research project investigated industry leader perspectives and decision values in relation to promoting management techniques to address sustainable water supply issues across urban regions. The conditions under which structural (engineering) and non-structural (behavioural change) solutions are prioritised and implemented was investigated through semi-structured interviews of senior representatives from water authorities, State Government agencies, local government, developers, consultants and academics across Metropolitan Melbourne. In theory, a mixed structural and nonstructural approach is typically advocated for advancing sustainable urban water futures. However, there is a lack of knowledge of the decision criteria of how to select and systematically integrate these approaches. The results reveal that industry leaders would not promote non-structural solutions without the primary support of a structural solution. Largely due to lack of certainty about social receptivity, this was perceived as presenting a substantially higher risk to achieving a sustained reduction in potable water demand. Therefore, structural approaches were viewed as much easier to implement, monitor and enable reliable outcomes. This evidence strongly suggests that without social research directed at quantifying both the uncertainties and outcomes of non-structural solutions, it is unlikely that industry leaders will be in a position to effectively promote and resource their implementation as an independent initiative.</t>
  </si>
  <si>
    <t>[Coppock, M. H.; Brown, R. R.] Monash Univ, Sch Geog &amp; Environm Sci, POB 11a, Clayton, Vic 3800, Australia</t>
  </si>
  <si>
    <t>Coppock, MH (corresponding author), Monash Univ, Sch Geog &amp; Environm Sci, POB 11a, Clayton, Vic 3800, Australia.</t>
  </si>
  <si>
    <t>megan.coppock@ghd.com.au; rebekah.brown@arts.monash.edu.au</t>
  </si>
  <si>
    <t>1751-231X</t>
  </si>
  <si>
    <t>WATER PRACT TECHNOL</t>
  </si>
  <si>
    <t>Water Pract. Technol.</t>
  </si>
  <si>
    <t>UNSP wpt2007054</t>
  </si>
  <si>
    <t>10.2166/WPT.2007054</t>
  </si>
  <si>
    <t>V6D8U</t>
  </si>
  <si>
    <t>WOS:000420194300026</t>
  </si>
  <si>
    <t>Aboriginal communities; globalization impacts; forest sector; working relationships</t>
  </si>
  <si>
    <t>Merkel, G (corresponding author), 466,2nd Ave, Kimberley, BC V1A 2P7, Canada.</t>
  </si>
  <si>
    <t>gmerkel@telus.net</t>
  </si>
  <si>
    <t>CANADIAN INST FORESTRY</t>
  </si>
  <si>
    <t>151 SLATER ST, STE 606, OTTAWA, ONTARIO K1P 5H3, CANADA</t>
  </si>
  <si>
    <t>FOREST CHRON</t>
  </si>
  <si>
    <t>For. Chron.</t>
  </si>
  <si>
    <t>177JQ</t>
  </si>
  <si>
    <t>Chapman, NA; Oultram, SC</t>
  </si>
  <si>
    <t>Chapman, Naomi A.; Oultram, Sharon C.</t>
  </si>
  <si>
    <t>Enhancing the RT student clinical experience: Newcastle Mater Hospital Radiation Oncology Department</t>
  </si>
  <si>
    <t>Clinical education; Radiotherapy student; Preceptor; Mentoring</t>
  </si>
  <si>
    <t>In 2004, the New South Wales (NSW) State Government in Australia provided funding for five clinical consultant, radiation therapist positions, specialising in clinical education. These Radiation Therapy Educator (RTE) positions where developed in response to the attrition rate in Medical Radiation Science (MRS), Radiation Therapy (RT) courses in NSW and the subsequent impact on qualified radiation therapist numbers. The Radiation Oncology Department at the Newcastle Mater Misericordiae Hospital (NMMH) was granted three- year funding for one RTE position. The RTE at the NMMH produced a comprehensive programme to support undergraduate MRS students, the RTE utilised concepts regarding clinical education, adult learning and preceptorship in the development of the programme. The programme involved implementation of an orientation programme and department wide preceptors to facilitate learning in the clinical environment. The undergraduate programme was adapted specifically to student learning utilising needs assessments, learning contracts and additional specialised tutorials. This assisted the department to bridge the theory practice gap in the students, clinical experience. Evaluation of the programme was focused on establishing baseline data, where little had existed previously and in the long term, substantiating the implementation of the RTE position. Preliminary data indicate that the programme, although still in its infancy, appears to be addressing the needs of the students resulting in enhancement of their clinical experience, whilst also providing a continual process for the programme to develop and improve. (C) 2006 The College of Radiographers. Published by Elsevier Ltd. All rights reserved.</t>
  </si>
  <si>
    <t>[Chapman, Naomi A.; Oultram, Sharon C.] Newcastle Mater Misericordiae Hosp, Waratah, NSW, Australia; [Chapman, Naomi A.; Oultram, Sharon C.] Univ Newcastle, Callaghan, NSW, Australia; [Chapman, Naomi A.; Oultram, Sharon C.] Univ Sydney, Sydney, NSW, Australia</t>
  </si>
  <si>
    <t>Chapman, NA (corresponding author), Newcastle Mater Misericordiae Hosp, Dept Radiat Oncol, RT Educ, Hunter Reg Mail Ctr, Locked Bag 7, Waratah, NSW 2310, Australia.</t>
  </si>
  <si>
    <t>mater.rteducation@mater.health.nsw.gov.au</t>
  </si>
  <si>
    <t>10.1016/j.radi.2006.01.005</t>
  </si>
  <si>
    <t>V03GA</t>
  </si>
  <si>
    <t>WOS:000213724700011</t>
  </si>
  <si>
    <t>Univ Ibadan, Ibadan, Nigeria</t>
  </si>
  <si>
    <t>Bamiro, OA (corresponding author), Univ Ibadan, Ibadan, Nigeria.</t>
  </si>
  <si>
    <t>vc@mail.ui.edu.ng</t>
  </si>
  <si>
    <t>AFR DEV REV</t>
  </si>
  <si>
    <t>Afr. Dev. Rev.</t>
  </si>
  <si>
    <t>223VX</t>
  </si>
  <si>
    <t>environment; environmental assessment; philosophy; public participation; public policy; science</t>
  </si>
  <si>
    <t>Wilfrid Laurier Univ, Brantford, ON N3T 2Y3, Canada; Cape Breton Univ, Dept Philosophy &amp; Relig Studies, Sydney, NS B1P 6L2, Canada</t>
  </si>
  <si>
    <t>Haller, SF (corresponding author), Wilfrid Laurier Univ, 73 George St, Brantford, ON N3T 2Y3, Canada.</t>
  </si>
  <si>
    <t>shaller@wlu.ca; jim_gerrie@capebretonu.ca</t>
  </si>
  <si>
    <t>J AGR ENVIRON ETHIC</t>
  </si>
  <si>
    <t>J. Agric. Environ. Ethics</t>
  </si>
  <si>
    <t>Agriculture, Multidisciplinary; Ethics; Environmental Sciences; History &amp; Philosophy Of Science</t>
  </si>
  <si>
    <t>Agriculture; Social Sciences - Other Topics; Environmental Sciences &amp; Ecology; History &amp; Philosophy of Science</t>
  </si>
  <si>
    <t>151DL</t>
  </si>
  <si>
    <t>whale shark; equity; transaction costs; multicriteria analysis; management</t>
  </si>
  <si>
    <t>Comis Nacl Areas Nat Protegidas, Direcc Baja Calif, Area Protecc Flora &amp; Fauna, Ensenada 22800, Baja California, Mexico; Univ Autonoma Baja California, Fac Ciencias Marinas, Ensenada, Baja California, Mexico; Nat Conservancy Mexico Program, Ensenada 22830, Baja California, Mexico</t>
  </si>
  <si>
    <t>Rodriguez-Dowdell, N (corresponding author), Ave Puerto 375,Local 25, Ensenada 22800, Baja California, Mexico.</t>
  </si>
  <si>
    <t>natsrd@hotmail.com; enriquez@uabc.mx; ncardenas@tnc.org</t>
  </si>
  <si>
    <t>FISH RES</t>
  </si>
  <si>
    <t>Fish Res.</t>
  </si>
  <si>
    <t>Science Citation Index Expanded (SCI-EXPANDED); Social Science Citation Index (SSCI); Conference Proceedings Citation Index - Science (CPCI-S)</t>
  </si>
  <si>
    <t>144UT</t>
  </si>
  <si>
    <t>developing countries; management; water supply</t>
  </si>
  <si>
    <t>Univ Loughborough, Water Engn &amp; Dev Ctr, Loughborough, Leics, England; African Dev Bank African Dev Fund, Tunis, Tunisia</t>
  </si>
  <si>
    <t>Mugabi, J (corresponding author), Univ Loughborough, Water Engn &amp; Dev Ctr, Loughborough, Leics, England.</t>
  </si>
  <si>
    <t>154FX</t>
  </si>
  <si>
    <t>FIRES</t>
  </si>
  <si>
    <t>Univ Rhode Isl, Narragansett, RI 02882 USA; Appl Sci Associates Inc, Narragansett, RI 02882 USA</t>
  </si>
  <si>
    <t>Spaulding, ML (corresponding author), Univ Rhode Isl, Narragansett, RI 02882 USA.</t>
  </si>
  <si>
    <t>spaulding@oce.uri.edu</t>
  </si>
  <si>
    <t>144CK</t>
  </si>
  <si>
    <t>CONSERVATION; BIODIVERSITY; STREAM</t>
  </si>
  <si>
    <t>Rhithroecol, Blackburn S, Vic 3130, Australia</t>
  </si>
  <si>
    <t>Campbell, IC (corresponding author), Rhithroecol, 15 York St, Blackburn S, Vic 3130, Australia.</t>
  </si>
  <si>
    <t>i.c.campbell@bigpond.com</t>
  </si>
  <si>
    <t>136ET</t>
  </si>
  <si>
    <t>Isaacs, E</t>
  </si>
  <si>
    <t>Isaacs, Eslyn</t>
  </si>
  <si>
    <t>Role of support organizations for SMMEs in a global environment A study from the Western Cape, South Africa</t>
  </si>
  <si>
    <t>INDUSTRY AND HIGHER EDUCATION</t>
  </si>
  <si>
    <t>service providers; education and training; research; counselling; SMEs; micro enterprises</t>
  </si>
  <si>
    <t>Many owners of small, medium-sized and micro enterprises (SMMEs) are not highly educated but are so motivated that they take uncalculated risks when starting their own businesses-often with disastrous consequences. It is therefore imperative that these owner-managers are provided with the right type of services to ensure that they do not become part of the SMME failure statistics. These owners are frequently not even aware of the existence of support organizations, because in many instances the organizations do not market their services properly due to limited funds. In countries that have policies specifically targeted at SMMEs, the rate of SMME development is much faster than in countries without such policies and it is evident that the role of support service providers is important. A typical service model should include at least some of the following services: business functions; education and training; consulting, counselling and coaching; policy and advocacy; and networking and infrastructure.</t>
  </si>
  <si>
    <t>[Isaacs, Eslyn] Univ Western Cape, Fac Econ &amp; Management Sci, Dept Management, Private Bag X17, ZA-7535 Bellville, South Africa</t>
  </si>
  <si>
    <t>Isaacs, E (corresponding author), Univ Western Cape, Fac Econ &amp; Management Sci, Dept Management, Private Bag X17, ZA-7535 Bellville, South Africa.</t>
  </si>
  <si>
    <t>eisaacs@uwc.ac.za</t>
  </si>
  <si>
    <t>0950-4222</t>
  </si>
  <si>
    <t>2043-6858</t>
  </si>
  <si>
    <t>IND HIGHER EDUC</t>
  </si>
  <si>
    <t>Ind. Higher Educ.</t>
  </si>
  <si>
    <t>10.5367/000000007780222741</t>
  </si>
  <si>
    <t>VF2DE</t>
  </si>
  <si>
    <t>WOS:000442230200009</t>
  </si>
  <si>
    <t>Zegarowski, G</t>
  </si>
  <si>
    <t>Zegarowski, Greg</t>
  </si>
  <si>
    <t>Corporate sustainability after Sarbanes-Oxley linking social-political initiatives and small and medium-sized enterprise resources</t>
  </si>
  <si>
    <t>INTERNATIONAL JOURNAL OF DISCLOSURE AND GOVERNANCE</t>
  </si>
  <si>
    <t>Sarbanes-Oxley; staffing/consulting SMEs; governance; sustainability</t>
  </si>
  <si>
    <t>The passage of the Sarbanes-Oxley Act of 2002 in the United States has strengthened corporate governance, albeit at a relatively high cost. This legislation was in response to the collapse of Enron and other high-profile corporations. These catastrophic events brought to light the failures of self-governance in the accounting and investment communities. Sarbanes-Oxley was a political initiative driven by societal demands for reform. As large corporations attempted to comply with the legislation, an opportunity was created for small and medium-sized staffing and consulting companies. Such small and medium-sized enterprises (SMEs) were an invaluable resource to corporations attempting to react quickly and effectively to the new legislation. The success of SMEs in this set of events can serve as a template for the future linking of social political initiatives, SME resources, and corporate sustainability strategies. The specific conclusions include: Government legislation can strengthen corporate governance and sustainability. SMEs (such as staffing/consulting enterprises) play an invaluable role in the sustainability of large corporations. With their creativity and ability to adapt quickly to market changes, SMEs are a necessary component of Sustainability Frameworks for regional and national economic development.</t>
  </si>
  <si>
    <t>[Zegarowski, Greg] Financial Leadership Corp, Int Med Equipment Co, 1292 Quandt Ct, Lafayette, CA 94549 USA</t>
  </si>
  <si>
    <t>Zegarowski, G (corresponding author), Financial Leadership Corp, Int Med Equipment Co, 1292 Quandt Ct, Lafayette, CA 94549 USA.</t>
  </si>
  <si>
    <t>GregZ@FinancialLeadership.com</t>
  </si>
  <si>
    <t>1741-3591</t>
  </si>
  <si>
    <t>1746-6539</t>
  </si>
  <si>
    <t>INT J DISCL GOV</t>
  </si>
  <si>
    <t>Int. J. Discl. Gov.</t>
  </si>
  <si>
    <t>10.1057/palgrave.jdg.2050043</t>
  </si>
  <si>
    <t>V85BX</t>
  </si>
  <si>
    <t>WOS:000212497200005</t>
  </si>
  <si>
    <t>agricultural consulting; knowledge transfer; economy</t>
  </si>
  <si>
    <t>[Quendler, Elisabeth; Boxberger, Josef] Univ Nat Resources &amp; Appl Life Sci Vienna, A-1190 Vienna, Austria</t>
  </si>
  <si>
    <t>Quendler, E (corresponding author), Univ Nat Resources &amp; Appl Life Sci Vienna, Peter Jordan Str 82, A-1190 Vienna, Austria.</t>
  </si>
  <si>
    <t>elisabeth.quendler@boku.ac.at</t>
  </si>
  <si>
    <t>LEIBNIZ INST AGRICULTURAL ENG POTSDAM-BORNIM E V</t>
  </si>
  <si>
    <t>POTSDAM</t>
  </si>
  <si>
    <t>MAX-EYTH-ALLEE 100, POTSDAM, D-14469, GERMANY</t>
  </si>
  <si>
    <t>AGRARTECH FORSCH-AGR</t>
  </si>
  <si>
    <t>Agrartech. Forsch.-Agric. Eng. Res.</t>
  </si>
  <si>
    <t>284KJ</t>
  </si>
  <si>
    <t>Nganje, WE; Friedrichsen, MS; Gustafson, CR; McKee, G</t>
  </si>
  <si>
    <t>Nganje, William E.; Friedrichsen, Mary S.; Gustafson, Cole R.; McKee, Gregory</t>
  </si>
  <si>
    <t>Marginal Impact of Sales Consultant Visits and Financing Opportunities on Adoption of Variable-Rate Fertilizer Application</t>
  </si>
  <si>
    <t>AGRICULTURAL FINANCE REVIEW</t>
  </si>
  <si>
    <t>financing opportunities; multinomial logit model; risk balancing; variable-rate fertilizer application</t>
  </si>
  <si>
    <t>Precision agriculture has been practiced since the early 1990s, but the adoption rate of this technology has been slower than experts had predicted. This study explores the role of public- and private-sector financial assistance in the adoption of variable-rate fertilizer application. Public- and private-sector financial assistance are modeled to show the marginal impacts of changes in the traditional flow of government assistance, sales consultant visits, and financial risk. Results indicate that deviation from traditional Aone stop shopping@ has a negative and significant impact on the adoption of alternative fertilizer application technology. However, sales consultant visits, in conjunction with conservation and environmental quality incentive programs and the availability of financing opportunities, significantly favor the adoption of variable-rate fertilizer application. Changes in business risk produced opposite movements in financial risk to facilitate increased adoption of variable-rate fertilizer application technologies.</t>
  </si>
  <si>
    <t>[Nganje, William E.] Arizona State Univ, Morrison Sch Management &amp; Agribusiness, Mesa, AZ 85212 USA; [Friedrichsen, Mary S.] DTN, Omaha, NE USA; [McKee, Gregory] North Dakota State Univ, Dept Agribusiness &amp; Appl Econ, Fargo, ND 58105 USA</t>
  </si>
  <si>
    <t>Nganje, WE (corresponding author), Arizona State Univ, Morrison Sch Management &amp; Agribusiness, Mesa, AZ 85212 USA.</t>
  </si>
  <si>
    <t>0002-1466</t>
  </si>
  <si>
    <t>2041-6326</t>
  </si>
  <si>
    <t>AGRIC FINANCE REV</t>
  </si>
  <si>
    <t>Agric. Finance Rev.</t>
  </si>
  <si>
    <t>10.1108/00214660780001210</t>
  </si>
  <si>
    <t>V83EE</t>
  </si>
  <si>
    <t>WOS:000212367900006</t>
  </si>
  <si>
    <t>SUSTAINABILITY INDICATORS</t>
  </si>
  <si>
    <t>Dept Primary Ind, Rutherglen, Vic 3685, Australia; Cooperat Res Ctr Plant Based Management Dryland S, Rutherglen, Vic 3685, Australia</t>
  </si>
  <si>
    <t>Ridley, AM (corresponding author), Dept Primary Ind, RMB 1145, Rutherglen, Vic 3685, Australia.</t>
  </si>
  <si>
    <t>anna.ridley@dpi.vic.gov.au</t>
  </si>
  <si>
    <t>COLLINGWOOD</t>
  </si>
  <si>
    <t>150 OXFORD ST, PO BOX 1139, COLLINGWOOD, VICTORIA 3066, AUSTRALIA</t>
  </si>
  <si>
    <t>AUST J EXP AGR</t>
  </si>
  <si>
    <t>Aust. J. Exp. Agric.</t>
  </si>
  <si>
    <t>134XT</t>
  </si>
  <si>
    <t>Cristalli, A; Capua, I</t>
  </si>
  <si>
    <t>Cristalli, Alessandro; Capua, Ilaria</t>
  </si>
  <si>
    <t>Practical problems in controlling H5N1 high pathogenicity avian influenza at village level in Vietnam and introduction of biosecurity measures</t>
  </si>
  <si>
    <t>AVIAN DISEASES</t>
  </si>
  <si>
    <t>6th International Symposium on Avian Influenza</t>
  </si>
  <si>
    <t>APR 03-06, 2006</t>
  </si>
  <si>
    <t>St Johns Coll, Cambridge, ENGLAND</t>
  </si>
  <si>
    <t>St Johns Coll</t>
  </si>
  <si>
    <t>avian influenza; Vietnam; biosecuricy; rural; field trial</t>
  </si>
  <si>
    <t>After a consultancy mission funded by a nongovernmental organization (NGO), information was collected on the dynamics of avian influenza (AI) infection at the rural level in a Vietnamese province with several ongoing outbreaks. AI outbreaks are frequent at village level due to environmental, ecological, agroecological, physical, social, and cultural factors, the underlying factor being poor hygienic conditions. Viral circulation is facilitated by the interactions of the integrated aquaculture, animal raising, horticulture agroecosystem, which relies in the peculiar integration of aquaculture (ponding), animal activities, and horticulture and by the connections with the live-bird market system. The interactions of these factors determine the complex system in which wild birds interact with domestic birds and in which people are constantly exposed to sources of infection, leading to the association between poverty and AI infection in humans. This experience underlines that despite all efforts by the Vietnamese Government, international institutions, and the NGO sector, awareness of AI at the village level needs to be improved. In turn, the leading institutions and international donors funding projects of technical cooperation aimed at tackling AI in Vietnam should invest in a system based on a deep knowledge of the practical problems of village condition to address AI with an effective approach. On the basis of the data collected during the mission, particularly on rural and semi-intensive poultry rearing systems, proposals that encompass the application of an effective vaccination strategy including backyard flocks coupled with dissemination of relevant information on biosecurity measures have been developed for decision makers.</t>
  </si>
  <si>
    <t>FAO, OIE, I-35020 Legnaro, Italy; Ist Zooprofilatt Sperimentale Venezie, Natl Ref Lab Newcastle Dis &amp; Avian Influenza, I-35020 Legnaro, Italy</t>
  </si>
  <si>
    <t>Cristalli, A (corresponding author), FAO, OIE, Viale Univ 10, I-35020 Legnaro, Italy.</t>
  </si>
  <si>
    <t>AMER ASSOC AVIAN PATHOLOGISTS</t>
  </si>
  <si>
    <t>953 COLLEGE STATION RD, ATHENS, GA 30602-4875 USA</t>
  </si>
  <si>
    <t>0005-2086</t>
  </si>
  <si>
    <t>AVIAN DIS</t>
  </si>
  <si>
    <t>Avian Dis.</t>
  </si>
  <si>
    <t>10.1637/7564-033106R.1</t>
  </si>
  <si>
    <t>153YN</t>
  </si>
  <si>
    <t>WOS:000245474100063</t>
  </si>
  <si>
    <t>Univ Reading, Sch Construct Management &amp; Engn, Reading RG6 6AW, Berks, England</t>
  </si>
  <si>
    <t>Alnaser, NW (corresponding author), Univ Reading, Sch Construct Management &amp; Engn, Whiteknights,POB 219, Reading RG6 6AW, Berks, England.</t>
  </si>
  <si>
    <t>kcr05nwa@rdg.ac.uk</t>
  </si>
  <si>
    <t>Engineering and Physical Sciences Research Council [GR/R64827/01] Funding Source: researchfish</t>
  </si>
  <si>
    <t>Engineering and Physical Sciences Research Council(UK Research &amp; Innovation (UKRI)Engineering &amp; Physical Sciences Research Council (EPSRC))</t>
  </si>
  <si>
    <t>BUILD ENVIRON</t>
  </si>
  <si>
    <t>Build. Environ.</t>
  </si>
  <si>
    <t>Construction &amp; Building Technology; Engineering, Environmental; Engineering, Civil</t>
  </si>
  <si>
    <t>099JR</t>
  </si>
  <si>
    <t>Hardie, M; Khan, S; O'Donnell, A; Miller, G</t>
  </si>
  <si>
    <t>Hardie, Mary; Khan, Shahed; O'Donnell, Angela; Miller, Graham</t>
  </si>
  <si>
    <t>The Efficacy of Waste Management Plans in Australian Commercial Construction Refurbishment Projects</t>
  </si>
  <si>
    <t>Waste management plans; refurbishment; commercial construction; Australia</t>
  </si>
  <si>
    <t>Renovation and refurbishment of the existing commercial building stock is a growing area of total construction activity and a significant generator of waste sent to landfill in Australia. A written waste management plan (WMP) is a widespread regulatory requirement for commercial office redevelopment projects. There is little evidence, however, that WMPs actually increase the quantity of waste that is ultimately diverted from landfill. Some reports indicate an absence of any formal verification or monitoring process by regulators to assess the efficacy of the plans. In order to gauge the extent of the problem a survey was conducted of twenty four consultants and practitioners involved in commercial office building refurbishment projects to determine the state of current practice with regard to WMPs and to elicit suggestions with regard to ways of making the process more effective. Considerable variation in commitment to recycling policies was encountered indicating a need to revisit waste minimisation practices if the environmental performance of refurbishment projects is to be improved.</t>
  </si>
  <si>
    <t>[Hardie, Mary; O'Donnell, Angela; Miller, Graham] Univ Western Sydney, Sch Engn, Sydney, NSW, Australia; [Khan, Shahed] Univ Western Sydney, Sch Social Sci, Sydney, NSW, Australia</t>
  </si>
  <si>
    <t>Hardie, M (corresponding author), Univ Western Sydney, Sch Engn, Sydney, NSW, Australia.</t>
  </si>
  <si>
    <t>Hardie, Mary Patricia/AFN-2149-2022</t>
  </si>
  <si>
    <t>Hardie, Mary/0000-0003-3505-6541</t>
  </si>
  <si>
    <t>10.5130/AJCEB.v7i2.2988</t>
  </si>
  <si>
    <t>V09ZI</t>
  </si>
  <si>
    <t>WOS:000214180500004</t>
  </si>
  <si>
    <t>Walker, GB</t>
  </si>
  <si>
    <t>Walker, Gregg B.</t>
  </si>
  <si>
    <t>Public Participation as Participatory Communication in Environmental Policy Decision-Making: From Concepts to Structured Conversations</t>
  </si>
  <si>
    <t>Collaborative Learning; Participatory Communication; Public Participation; Sustainable Development</t>
  </si>
  <si>
    <t>This essay attempts to distinguish between traditional notions of public participation and participatory communication, particularly as currently practiced in non-US settings. In addition, specific tools for facilitating participatory communication are identified and discussed. The essay is based on the author's extensive experience as a conflict mediator and public participation consultant and scholar. For the past 15 years, the author has served as a consultant on matters of environmental conflict resolution, public participation, and community-based collaboration for federal and state agencies and NGOs, including the USDA Forest Service, the USDI Bureau of Land Management, the US Army Corps of Engineers, the Washington Department of Fish and Wildlife, the Oregon Department of Environmental Quality, and the Nature Conservancy.</t>
  </si>
  <si>
    <t>Oregon State Univ, Dept Speech Commun, Corvallis, OR 97331 USA</t>
  </si>
  <si>
    <t>Walker, GB (corresponding author), Oregon State Univ, Dept Speech Commun, Corvallis, OR 97331 USA.</t>
  </si>
  <si>
    <t>gwalker@oregonstate.edu</t>
  </si>
  <si>
    <t>ENVIRON COMMUN</t>
  </si>
  <si>
    <t>Environ. Commun.</t>
  </si>
  <si>
    <t>10.1080/17524030701334342</t>
  </si>
  <si>
    <t>Communication; Environmental Studies</t>
  </si>
  <si>
    <t>Communication; Environmental Sciences &amp; Ecology</t>
  </si>
  <si>
    <t>V10SW</t>
  </si>
  <si>
    <t>WOS:000207484700010</t>
  </si>
  <si>
    <t>Public Participation; Citizen Involvement; Rationales for Public Participation; Environmental Impact Statement; Power; Globalization; World Bank; International Finance Corporation; Allain Duhangan EIA; Definitional Hegemony; Scientific/Technical Discourse; Access to Information; Consultation</t>
  </si>
  <si>
    <t>[Martin, Terri] Univ Utah, Dept Commun, Salt Lake City, UT 84112 USA</t>
  </si>
  <si>
    <t>Martin, T (corresponding author), 5604 Pioneer Fork Rd, Salt Lake City, UT 84108 USA.</t>
  </si>
  <si>
    <t>terrimartinofutah@yahoo.com</t>
  </si>
  <si>
    <t>V10SX</t>
  </si>
  <si>
    <t>Hunsucker, RL</t>
  </si>
  <si>
    <t>Hunsucker, R. Laval</t>
  </si>
  <si>
    <t>More Appropriate Information Systems and Services for the Social Scientist: Time to Put Our Findings to Work</t>
  </si>
  <si>
    <t>EVIDENCE BASED LIBRARY AND INFORMATION PRACTICE</t>
  </si>
  <si>
    <t>Objective - The study reported in this article was conceived in order to answer a question of very large scope: What are the information systems and services requirements of social scientists? Inherent in this question was the correlative question: How do social scientists tend to use such systems and services, and what resources and information access approaches do they by choice employ? The choice for such an approach was well-considered, given that 1) there were at the time almost no research results available in this area; 2) the investigators feared that approaches developed earlier for the natural sciences and technology would be uncritically adopted for the social sciences as well; and 3) the social science information system was developing anyway, and if it was to develop in appropriate ways, some guidance had to be provided quickly (412). The Investigation into Information Requirements of the Social Sciences (INFROSS) project team believed that there was no point (412) in embarking first on a series of more narrowly focused studies. The express intention was to derive findings that would be usable for the improvement of information systems, or for the design of new ones (414). For more on the project's conceptual underpinnings, see Line's Information Requirements. Design - Exploratory study employing both quantitative and qualitative approaches over a period of three and a half years, beginning in the autumn of 1967. Setting - The whole of the United Kingdom. The project was funded by that country's Office for Scientific and Technical Information (OSTI), which had been established in 1965. Subjects - Almost 1,100 randomly selected academic social science researchers, plus a substantial number of government social science researchers and social science practitioners (college of education lecturers, schoolteachers, and individuals in social work and welfare [413]). For the purposes of the study, the social sciences included anthropology, economics, education, geography, political science, psychology and sociology, but numerous historians and statisticians ultimately participated. Methods - Three methods were employed: surveys, interviews, and direct observation. A very long (413) questionnaire was sent to 2,602 of the identified ca. 9,100 social science researchers in the United Kingdom, with 1,089 (41.8%) completed questionnaires returned. Two pilots were conducted with the questionnaire before a definitive version was finalized for the study. Seventy-five interviews were conducted (individually or in groups) with researchers, some of whom had received but not responded to the questionnaire, and some of whom were not included in the questionnaire sample. The interviews with non-responding persons in the sample were for purposes of determining whether they were nontypical (413). Fifty additional interviews were conducted (individually or in groups) with practitioners. Day-to-day observation of a small number of social scientists was undertaken in the context of a two and a half year-long experimental information service at Bath University - the first time any UK university had employed information officers for the social sciences. Main results - The results showed a pronounced perception among social scientists that informal methods of locating references to relevant published information (416-8, 426-7, 431) are more useful than formal methods (such as consulting the library catalogue, searching library shelves, or searching in indexing and abstracting publications), and an even more pronounced inclination to actually use such informal methods - something of a revelation at the time. Less than one sixth of all sociologists, for example, made use of Sociological Abstracts. On both counts, consulting librarian (418) scored worse than all the other ten options. Forty-eight percent of respondents never did it, and only 8% perceived it as a very useful (418) method. Nonetheless, 88% of respondents were in principle prepared to delegate at least some of their literature searching, and approximately 45% all of it, to a hypothetical information officer (425). More than 75% of the experimental service clients also responded affirmatively to the question: Should a social science information officer be a high priority, given limited available resources? (Line, Cunningham, and Evans 73-5). Most subjects found, in any case, that their major  information problems (427-8) lay not in discovering what relevant documents might exist, but rather in actually getting their hands on them. In only around 20% of the cases were they ultimately successful in doing so. The younger the researcher, the greater the dissatisfaction with her/his own institution's collection. This study also revealed that academic social scientists drew little distinction between information needs for their research and those for their teaching. There was one social science discipline which clearly stood out from the rest: psychology. Psychologists were the heaviest users of abstracting and indexing (A&amp;I) publications, as well as of the journal literature, published conference proceedings, and research reports. They were also the least tolerant of time lags in the A&amp;I services' coverage of new publications. Further significant findings were: A librarian's way of categorizing research materials was not very meaningful to the researchers themselves. A&amp;I services were generally used more often for 'keeping up' than for retrospective searching. Consultation with librarians was more common in the less scholarly and more intimate college environment than at research institutions. A large percentage found library cataloguing insufficiently detailed. The same was true for book indexes. There was considerable enthusiasm for the idea of a citation index for the social sciences. (N.B.: the SSCI began publication two years after the appearance of this article.) Among informal methods of scholarly communication and information transfer, conferences (to the investigators' surprise) rated remarkably low. Researchers with large personal collections made more use of the library and its services than those with small collections. Social scientists had little interest in non-English-language materials. Line speaks of a serious foreign language problem (424). The INFROSS study produced an enormous amount of data. Only 384 of the computer tables produced were made available in 4 separate reports to OSTI. Only 3 tables, 2 of which were abbreviated, appeared in this article. The further raw data were available on request. Conclusion - Line himself was exceedingly cautious in drawing explicit positive conclusions from the INFROSS results. He even stated that, No major patterns were detected which could be of use for information system design purposes (430). He was freer with his negative and provisional assessments. Two years earlier he had written: It still remains to be established that there is an information problem in the social sciences, or that, if there is, it is of any magnitude (Information Requirements 3). However, it was now clear to Line that information services and systems for the social scientist were indeed quite inadequate, and that (potential) users were not satisfied. He was, furthermore, prepared to go out on a limb with the following assertions and inferences: 1) It was a great strength of INFROSS that it had - in marked contrast to previous science user studies - generated a mass of comparable [his italics] data within a very broad field, so that every finding can be related to other findings (430). 2) There are discernable - and exploitable differences in the information needs and use patterns among the different social science disciplines (which he often also refers to as the different subjects). 3) INFROSS had likewise made more evident the nature of similarities across disciplines. 4) There is indeed, from an information/library perspective, a continuum from the 'harder' to the 'softer' social sciences. 5) Social scientists showed too little awareness, made too little use, and even displayed insufficient motivation (431) to make use of available information systems/services. He elsewhere (Secondary Services 269, 272) characterizes them as remarkably complacent, even apathetic. 6) There is good reason to doubt the wisdom of libraries' investing in user education, since it is bound to have little effect (for further discussion of this matter, one can consult his The Case for 385-6 and Ignoring the User 86). 7) User-friendly systems amount inevitably to underdeveloped and ineffective systems and therefore personal intermediaries, in sufficient numbers, will remain essential if we wish to offer social scientists really good information services (426, 431). Line believed that INFROSS was only a beginning, and he had already, even before writing this article, begun follow-up research aimed at attaining results really of use for information system design purposes (e.g., the DISISS project). He complained many years later, however, that all this research indicated means of improvement, but led to no action (Social Science Information 131). In any case, Bath (the common shorthand subsequently used to refer to all this research) became, and has remained, the starting point for all subsequent discussions of social science information problems. Several years ago, there was a well-argued international call for a new and updated version of the INFROSS study - with an eye to finally using the findings for practical purposes, and aiming to extend and follow up the research agenda set by the original study (Janes Time to Take).</t>
  </si>
  <si>
    <t>[Hunsucker, R. Laval] Univ Amsterdam, Wetenschappelijke Informatie Geesteswetenschappen, Univ Bibliotheek, Amsterdam, Netherlands</t>
  </si>
  <si>
    <t>Hunsucker, RL (corresponding author), Univ Amsterdam, Wetenschappelijke Informatie Geesteswetenschappen, Univ Bibliotheek, Amsterdam, Netherlands.</t>
  </si>
  <si>
    <t>R.L.Hunsucker@uva.nl</t>
  </si>
  <si>
    <t>UNIV ALBERTA</t>
  </si>
  <si>
    <t>EDMONTON</t>
  </si>
  <si>
    <t>DEPT SOCIOLOGY, EDMONTON, ALBERTA T6G 2E1, CANADA</t>
  </si>
  <si>
    <t>1715-720X</t>
  </si>
  <si>
    <t>EVID BASED LIB INF P</t>
  </si>
  <si>
    <t>Evid. Based Lib. Inf. Pract.</t>
  </si>
  <si>
    <t>10.18438/B8J59V</t>
  </si>
  <si>
    <t>V18HW</t>
  </si>
  <si>
    <t>WOS:000214743500017</t>
  </si>
  <si>
    <t>ecosystem services; tropical forestry; market actors; preferences; multi-criteria decision making</t>
  </si>
  <si>
    <t>ENVIRONMENTAL SERVICES; COSTA-RICA; SUSTAINABLE DEVELOPMENT; CONJOINT-ANALYSIS; MANAGEMENT; VALUATION; INDICATORS; PREFERENCE; VALUES; PARTICIPATION</t>
  </si>
  <si>
    <t>ETH, NSSI, Inst Human Environm Syst, Swiss Fed Inst Technol, CH-8092 Zurich, Switzerland; CSIRO, Black Mt Lab, Canberra, ACT 2601, Australia; Trop Agr Res &amp; Higher Educ Ctr, Global Change Grp, CATIE, Turrialba 7170, Costa Rica</t>
  </si>
  <si>
    <t>Sell, J (corresponding author), ETH, NSSI, Inst Human Environm Syst, Swiss Fed Inst Technol, CHN J 72-2, CH-8092 Zurich, Switzerland.</t>
  </si>
  <si>
    <t>joachim.sell@env.ethz.ch</t>
  </si>
  <si>
    <t>Scholz, Roland W./AAH-8385-2020; Proctor, Wendy/D-1173-2011; Scholz, Roland W./B-2076-2008; Scholz, Roland/I-6534-2019; Koellner, Thomas/B-8286-2008</t>
  </si>
  <si>
    <t>134RQ</t>
  </si>
  <si>
    <t>Mawson, J</t>
  </si>
  <si>
    <t>Mawson, John</t>
  </si>
  <si>
    <t>Regional governance in England: past experience, future directions?</t>
  </si>
  <si>
    <t>Governance; Partnership; Devolution; Regional development; Local government; England</t>
  </si>
  <si>
    <t>Purpose - To present a paper which examine the UK's approach to devolution in respect of the English regions. Design/methodology/approach - The paper seeks to understand the policy choices facing the UK Government in redesigning governance arrangements in the English regions. This is achieved by an analysis of the evolution of regional governance arrangements in the past decade drawing on secondary and semi-structured interviews undertaken by the author. Findings - Regional governance arrangements evolved in an ad hoc manner due to the government's focus on the establishment of elected regional assemblies. In this policy vacuum existing regional institutions succeeded in establishing effective working relationships. However, with an increasing focus on cities as the engines of regional growth and the pressures to devolve responsibilities to local government the existing institutional policy framework has increasingly been challenges. Research limitations/implications - The paper critically examines different policy choices for reforming regional governance. Practical implications - Drawing on research and consultancy studies undertaken by the author for the English Regions Network, individual Regional Assemblies, the Department of the Environment, Transport and the Regions, the Cabinet Office and the Economic and Social Research Council, the paper explores issues of policy development and implementation at the regional level. Originality/value - The paper presents a comprehensive overarching analysis in a complex field of territorial public policy.</t>
  </si>
  <si>
    <t>[Mawson, John] Univ Warwick, Warwick Business Sch, Local Govt Ctr, Local &amp; Reg Governance, Coventry, W Midlands, England; [Mawson, John] Univ Dundee, Chair Town &amp; Reg Planning, Dundee, Scotland; [Mawson, John] Aston Business Sch, Chair Publ Policy &amp; Management, Birmingham, W Midlands, England</t>
  </si>
  <si>
    <t>Mawson, J (corresponding author), Univ Warwick, Warwick Business Sch, Local Govt Ctr, Local &amp; Reg Governance, Coventry, W Midlands, England.</t>
  </si>
  <si>
    <t>john.mawson@wbs.ac.uk</t>
  </si>
  <si>
    <t>10.1108/09513550710818412</t>
  </si>
  <si>
    <t>V70EW</t>
  </si>
  <si>
    <t>WOS:000211490900006</t>
  </si>
  <si>
    <t>Kyle, R; Blair, A</t>
  </si>
  <si>
    <t>Kyle, Rosemary; Blair, Angela</t>
  </si>
  <si>
    <t>Planning for health: generation, regeneration and food in Sandwell</t>
  </si>
  <si>
    <t>INTERNATIONAL JOURNAL OF RETAIL &amp; DISTRIBUTION MANAGEMENT</t>
  </si>
  <si>
    <t>Food products; Diet; Public health; Retailing; Poverty; United Kingdom</t>
  </si>
  <si>
    <t>Purpose - The purpose of this paper is to examine a case study for increasing supply of, and demand for, healthier food in the metropolitan Borough of Sandwell, West Midlands, UK. Sandwell has a declining and ageing population. Levels of cancer, coronary heart disease, diabetes and obesity are all high. These diseases should not just be regarded as medical problems with medical solutions. By considering both the built environment and the population's health the paper aims to demonstrate how local action is driving strategic food policy. Design/methodology/approach - Food mapping and children's food/obesity prevalence research provided the evidence base for a locally appropriate approach. From ongoing work generated by this evidence base, Sandwell's food policy has been developed to provide a focus and framework for action. This strategic approach has led to the development of neighbourhood renewal funded work Eatwell in Sandwell. Findings - By working in partnership with the private sector, i. e. retail businesses and specialist consultants, it is shown that bridges can be built between public health and the private sector to the benefit of both. For some people living in neighbourhoods with poor or non-existent fresh produce provision, the Eatwell shops have brought about the regeneration of not just the shops, but also of the shopping habits that were previously difficult or impossible. It is suggested that food must regain its centrality to people's daily lives, not only to improve health, but also to ensure sustainable communities for the next generation. Originality/value - This paper is a useful source for researchers/students with interests in the topics of food poverty, public health and food retail access</t>
  </si>
  <si>
    <t>[Kyle, Rosemary; Blair, Angela] Sandwell Primary Care Trusts, Joint Policy Unit, West Bromwich, England</t>
  </si>
  <si>
    <t>Kyle, R (corresponding author), Sandwell Primary Care Trusts, Joint Policy Unit, West Bromwich, England.</t>
  </si>
  <si>
    <t>rosemary.kyle@sandwell-pct.nhs.uk; angela.blair@sandwell-pct.nhs.uk</t>
  </si>
  <si>
    <t>0959-0552</t>
  </si>
  <si>
    <t>1758-6690</t>
  </si>
  <si>
    <t>INT J RETAIL DISTRIB</t>
  </si>
  <si>
    <t>Int. J. Retail Distrib. Manag.</t>
  </si>
  <si>
    <t>10.1108/09590550710750331</t>
  </si>
  <si>
    <t>V75VQ</t>
  </si>
  <si>
    <t>WOS:000211872500004</t>
  </si>
  <si>
    <t>internal audit; audit committee; functional subordination; assurance activities</t>
  </si>
  <si>
    <t>[Tamosiuniene, Rima; Savcuk, Olga] Vilniaus Gedimino Tech Univ, LT-10223 Vilnius, Lithuania</t>
  </si>
  <si>
    <t>Tamosiuniene, R (corresponding author), Vilniaus Gedimino Tech Univ, Sauletekio Al 11, LT-10223 Vilnius, Lithuania.</t>
  </si>
  <si>
    <t>V11SE</t>
  </si>
  <si>
    <t>internal auditing; risk management; internal audit efficiency; subordination</t>
  </si>
  <si>
    <t>Savcuk, O (corresponding author), Vilnius Gediminas Tech Univ, Sauletekio 11, LT-10223 Vilnius, Lithuania.</t>
  </si>
  <si>
    <t>olga.savcuk@lt.ey.com</t>
  </si>
  <si>
    <t>J BUS ECON MANAG</t>
  </si>
  <si>
    <t>J. Bus. Econ. Manag.</t>
  </si>
  <si>
    <t>324SB</t>
  </si>
  <si>
    <t>Jorgensen, Lisbeth Flindt; Refsgaard, Jens Christian; Hojberg, Anker Lajer</t>
  </si>
  <si>
    <t>The inadequacy of monitoring without modelling support</t>
  </si>
  <si>
    <t>JOURNAL OF ENVIRONMENTAL MONITORING</t>
  </si>
  <si>
    <t>Conference on Water Status Monitoring of Aquatic Ecosystems in the Context of the Water Framework Directive</t>
  </si>
  <si>
    <t>MAR, 2007</t>
  </si>
  <si>
    <t>Lille, FRANCE</t>
  </si>
  <si>
    <t>Royal Soc Chem,Soc Chem Ind,Inst Water Officers</t>
  </si>
  <si>
    <t>SCIENCE</t>
  </si>
  <si>
    <t>There is much to gain in joining monitoring and modelling efforts, especially in the present process of implementing the European Water Framework Directive and in the coming implementation of the Groundwater Directive. Nevertheless, present practises in the water management world suggest that most often models are not considered an option when monitoring obligations in the WFD are solved. The present paper analyses the constraints, such as perceived insufficiency of data for modelling, lack of explicit requirement for modelling in the WFD and its associated technical guidance documents, lack of awareness about what models can do and lack of confidence in models by water managers and policy makers. The findings have mainly emerged from a series of Harmoni-CA workshops aiming at bringing the monitoring and modelling communities together for a discussion of benefits and constraints in the joint use of monitoring and modelling. The workshops were attended by scientists, water managers, policy makers, stakeholders and consultants. The overall conclusion is that modelling can significantly improve the benefits of monitoring data; by quality assurance of data, interpolation and extrapolation in space and time, development of process understanding (conceptual models), and the assessment of impacts of pressures and effects of programmes of measures.</t>
  </si>
  <si>
    <t>[Jorgensen, Lisbeth Flindt; Refsgaard, Jens Christian; Hojberg, Anker Lajer] Geol Survey Denmark &amp; Greenland, Dept Hydrol, DK-1350 Copenhagen K, Denmark</t>
  </si>
  <si>
    <t>Jorgensen, LF (corresponding author), Geol Survey Denmark &amp; Greenland, Dept Hydrol, Oster Voldgade 10, DK-1350 Copenhagen K, Denmark.</t>
  </si>
  <si>
    <t>lfj@geus.dk</t>
  </si>
  <si>
    <t>Refsgaard, Jens Christian/G-5274-2011; Jørgensen, Lisbeth Flindt/AAS-4402-2021; Jørgensen, Lisbeth Flindt/AAS-5737-2021; Højberg, Anker Lajer/AAE-1670-2019; Højberg, Anker/F-3036-2011</t>
  </si>
  <si>
    <t>Refsgaard, Jens Christian/0000-0003-0420-349X; Jørgensen, Lisbeth Flindt/0000-0003-2365-9505; Jørgensen, Lisbeth Flindt/0000-0003-2365-9505; Højberg, Anker Lajer/0000-0003-3460-6046; Højberg, Anker/0000-0003-3460-6046</t>
  </si>
  <si>
    <t>ROYAL SOC CHEMISTRY</t>
  </si>
  <si>
    <t>THOMAS GRAHAM HOUSE, SCIENCE PARK, MILTON RD, CAMBRIDGE CB4 0WF, CAMBS, ENGLAND</t>
  </si>
  <si>
    <t>1464-0325</t>
  </si>
  <si>
    <t>1464-0333</t>
  </si>
  <si>
    <t>J ENVIRON MONITOR</t>
  </si>
  <si>
    <t>J. Environ. Monit.</t>
  </si>
  <si>
    <t>10.1039/b7066117c</t>
  </si>
  <si>
    <t>Chemistry, Analytical; Environmental Sciences</t>
  </si>
  <si>
    <t>Chemistry; Environmental Sciences &amp; Ecology</t>
  </si>
  <si>
    <t>205JY</t>
  </si>
  <si>
    <t>WOS:000249111000004</t>
  </si>
  <si>
    <t>Sonmez, A; Yildirim, K; Gurleyen, L; Arslan, AR</t>
  </si>
  <si>
    <t>Sonmez, Abdullah; Yildirim, Kemal; Gurleyen, Levent; Arslan, Ali Riza</t>
  </si>
  <si>
    <t>Effects of Incentives Related to Export on to Firms in the Furniture Industry</t>
  </si>
  <si>
    <t>JOURNAL OF POLYTECHNIC-POLITEKNIK DERGISI</t>
  </si>
  <si>
    <t>Furniture Industry; Government Incentives; Export; Marketing</t>
  </si>
  <si>
    <t>In this study, Turkish furniture Industry's problems related with, incentives supporting the exports is examined and present situation is tried to be explained. Thus, 97 exporting properties performing in Ankara (% 23) and in Bursa (% 77) within furniture industry were captured. To define the problems assigned with the issue among properties, face to face interviews, surveys and reports were performed with the managers. In this study, according to their importance, the mostly utilized incentives supporting the exports are defined as commitment to the fairs and exhibitions, market research, finance, promotion, branding and presentation, research and development, educational intensives, patent, beneficial model, exporting stimulation, consultation, environmental costs incentives, recruitment incentives, incentives for settlement of superstores abroad, publicity of the property and brand, hi-tech machinery credits. According to the results, to increase the export of furniture industry, incentives and consulting services of the government should be improved, and also properties should increase their tendency to commit these efforts and government should support the creation of situation for the enterpreneurs for the commitment.</t>
  </si>
  <si>
    <t>[Sonmez, Abdullah; Yildirim, Kemal; Arslan, Ali Riza] Gazi Univ, Tekn Egitim Fak, Mobilya &amp; Dekorasyon Egitimi Bolumu, TR-06500 Ankara, Turkey; [Gurleyen, Levent] Duzce Univ, Tekn Egitim Fak, Mobilya &amp; Dekorasyon Egitimi Bolumu, TR-81260 Konuralp Yerleskesi, Duzce, Turkey</t>
  </si>
  <si>
    <t>Sonmez, A (corresponding author), Gazi Univ, Tekn Egitim Fak, Mobilya &amp; Dekorasyon Egitimi Bolumu, TR-06500 Ankara, Turkey.</t>
  </si>
  <si>
    <t>GAZI UNIV</t>
  </si>
  <si>
    <t>CENTER CAMPUS TECHNOLOGY FAC B BLOCK EK BINA, 2ND FL, ANKARA, 06500, TURKEY</t>
  </si>
  <si>
    <t>1302-0900</t>
  </si>
  <si>
    <t>2147-9429</t>
  </si>
  <si>
    <t>J POLYTECH</t>
  </si>
  <si>
    <t>J. Polytech.</t>
  </si>
  <si>
    <t>10.2339/2007.10.4.441-449</t>
  </si>
  <si>
    <t>VG6IO</t>
  </si>
  <si>
    <t>WOS:000447783600014</t>
  </si>
  <si>
    <t>Zeng, SX; Tian, P; Tam, CM</t>
  </si>
  <si>
    <t>Zeng, S. X.; Tian, P.; Tam, C. M.</t>
  </si>
  <si>
    <t>Overcoming barriers to sustainable implementation of the ISO 9001 system</t>
  </si>
  <si>
    <t>ISO 9000 series; Quality management; Sustainable development; China</t>
  </si>
  <si>
    <t>ISO-9000 CERTIFICATION; PERFORMANCE</t>
  </si>
  <si>
    <t>Purpose -This study aims to explore the barriers to implementation of ISO 9000 in China, and to identify how these barriers can be overcome. Design/methodology/approach - Using a structural questionnaire survey, this paper examines the main barriers for enterprises in effective implementation of the ISO 9001 standard. Findings - This paper highlights the problems in implementing the standard, which determines the sustainable implementation, including: short-sighted goal for getting certified; over-expectation on the ISO 9001 standard; mandatory requirement (not wholehearted commitment) in some industries; and following others (the trend) in certification. With regard to the effective audit of the ISO 9001 standard, the main problems were explored, including: lack of commitment from some certifying bodies; excessive competition between certifying bodies; and offering of a total packaged service from consultancy to certification by certifying bodies. Practical implications - The ISO 9000 series have permeated into all industrial sectors. Although there are many stories of successful adoption of ISO 9001, problems in implementing the standards need to be explored, which may affect the sustainable implementation. Originality/value - Based on the analysis, the paper proposes that the government should improve the legal framework and enforcement schemes to strengthen supervision and control for effective auditing of ISO 9000 standards.</t>
  </si>
  <si>
    <t>[Zeng, S. X.; Tian, P.] Shanghai Jiao Tong Univ, Antai Sch Management, Shanghai, Peoples R China; [Tam, C. M.] City Univ Hong Kong, Dept Bldg &amp; Construct, Kowloon, Hong Kong, Peoples R China</t>
  </si>
  <si>
    <t>Zeng, SX (corresponding author), Shanghai Jiao Tong Univ, Antai Sch Management, Shanghai, Peoples R China.</t>
  </si>
  <si>
    <t>zengsaixing@sjtu.edu.cn</t>
  </si>
  <si>
    <t>TAM, Chi Ming/0000-0002-2402-7449</t>
  </si>
  <si>
    <t>10.1108/02686900710733125</t>
  </si>
  <si>
    <t>V84WY</t>
  </si>
  <si>
    <t>WOS:000212484300001</t>
  </si>
  <si>
    <t>Lomakina, LI; Logashenko, O</t>
  </si>
  <si>
    <t>Lomakina, Lyudmila I.; Logashenko, Olga</t>
  </si>
  <si>
    <t>PROFESSIONAL SELF-DETERMINATION OF THE MODERN TEENAGER AS A PROBLEM OF EDUCATION</t>
  </si>
  <si>
    <t>PROBLEMS OF EDUCATION IN THE 21ST CENTURY</t>
  </si>
  <si>
    <t>addescence age; personality of a teenager; professional interests; professional self-determination</t>
  </si>
  <si>
    <t>The Modern society presents high requirements to abilities of each member to realize searching for new sense of professional activity and vital activity as a whole i.e. to constitute himself in History, Culture, life, profession. The significant role in realization of these requirements belongs to education and its quality. Changes in political and economic situation, mass unemployment at the beginning of the 90-s have brought to the disintegration of professional guidance in Russia. The system of education has declined the responsibility for professional self-determination of graduates and their training of the professions. New technologies in the Russian professional guidance have revealed the contradictions between multiple methodical works, books, educational methodical seminars in main professional-guiding centers of the country, internet-sites, new efficient methods of professional psychodiagnosis and consultancy, active game professionalguiding methods, which in complex create the modern system of the professional guidance for youth, on the one hand, and the lack of publications, devoted to the professional self-determination of teenagers at school and the correspondence between the choice of a profession and individual particularities, as well as the unsolved problem connected with the quality of education and the adequate professional choice, on the other hand. Above mentioned facts explain the urgency of our study, by the main point of which is the problem of the correspondence of personal particularities to the professional choice. The performed study of individual, characteristic and other personal particularities (organizational and communicational aptitudes and abilities, temperament, self assessment, professional interests, aggressiveness, hostility etc.) of teenager at secondary school. 3 in Cossack village Novotitarovskaya of the Krasnodar region has allowed to reveal the interrelation and correspondence of their individual particularities to the chosen professional sphere of activity. We have prepared some practical recommendations taking into account the correspondence of the professional interests and the individual particularities of teenagers in work of teachers and school psychologists professionalguiding objectives and social adaptation, as well as on the increasing quality of education.</t>
  </si>
  <si>
    <t>[Lomakina, Lyudmila I.; Logashenko, Olga] Inst Econ &amp; Management Med &amp; Social Sphere, Krasnodar, Russia</t>
  </si>
  <si>
    <t>Lomakina, LI (corresponding author), Inst Econ &amp; Management Med &amp; Social Sphere, Krasnodar, Russia.</t>
  </si>
  <si>
    <t>lagus-olga@yandex.ru</t>
  </si>
  <si>
    <t>SCIENTIA SOCIALIS</t>
  </si>
  <si>
    <t>SIAULIAI</t>
  </si>
  <si>
    <t>29 K DONELAICIO ST, SIAULIAI, 78115, LITHUANIA</t>
  </si>
  <si>
    <t>1822-7864</t>
  </si>
  <si>
    <t>2538-7111</t>
  </si>
  <si>
    <t>PROBL EDUC 21ST CENT</t>
  </si>
  <si>
    <t>Probl. Educ. 21st Cent.</t>
  </si>
  <si>
    <t>VH5MC</t>
  </si>
  <si>
    <t>WOS:000453455700015</t>
  </si>
  <si>
    <t>Laval Univ Sch Social Work,Hotel Dieu Levis Hosp, Social Work Dept</t>
  </si>
  <si>
    <t>diversity; human rights; workplace; hospital; social work; focus groups</t>
  </si>
  <si>
    <t>HEALTH-CARE; WORKFORCE DIVERSITY; MANAGING DIVERSITY; AFFIRMATIVE-ACTION; EMPLOYMENT EQUITY; MANAGEMENT; ORGANIZATIONS; PERFORMANCE; WORKERS; AGENDA</t>
  </si>
  <si>
    <t>Mt Sinai Hosp, Dept Social Work, Toronto, ON M5G 1X5, Canada</t>
  </si>
  <si>
    <t>Sulman, J (corresponding author), Mt Sinai Hosp, Dept Social Work, 600 Univ Ave, Toronto, ON M5G 1X5, Canada.</t>
  </si>
  <si>
    <t>jsulman@mtsinai.on.ca</t>
  </si>
  <si>
    <t>SOC WORK HEALTH CARE</t>
  </si>
  <si>
    <t>Soc. Work Health Care</t>
  </si>
  <si>
    <t>175EN</t>
  </si>
  <si>
    <t>alcohol and other drug (AOD) problems; local control; community planning; zoning; three actor model; environmental prevention; California; AOD risk environment; retail alcohol outlets; cities; counties; community AOD coalitions; environmental accountability</t>
  </si>
  <si>
    <t>[Wittman, Friedner D.] Univ Calif Berkeley, Inst Study Social Change, Community Prevent Planning Program, Berkeley, CA 94710 USA</t>
  </si>
  <si>
    <t>Wittman, FD (corresponding author), Univ Calif Berkeley, Inst Study Social Change, Community Prevent Planning Program, Berkeley, CA 94710 USA.</t>
  </si>
  <si>
    <t>fwittman@berkeley.edu</t>
  </si>
  <si>
    <t>SUBST USE MISUSE</t>
  </si>
  <si>
    <t>Subst. Use Misuse</t>
  </si>
  <si>
    <t>Substance Abuse; Psychiatry; Psychology</t>
  </si>
  <si>
    <t>Science Citation Index Expanded (SCI-EXPANDED); Social Science Citation Index (SSCI); Conference Proceedings Citation Index - Science (CPCI-S); Conference Proceedings Citation Index - Social Science &amp;amp; Humanities (CPCI-SSH)</t>
  </si>
  <si>
    <t>241FD</t>
  </si>
  <si>
    <t>Oxford Brookes Univ, OISD, Oxford OX3 0BP, England; Oxford Brookes Univ, Dept Real Estate &amp; Construct, Oxford OX3 0BP, England</t>
  </si>
  <si>
    <t>Dixon, T (corresponding author), Oxford Brookes Univ, OISD, Headington Campus,Gipsy Lane, Oxford OX3 0BP, England.</t>
  </si>
  <si>
    <t>tdixon@brookes.ac.uk</t>
  </si>
  <si>
    <t>Dixon, Timothy J./0000-0002-4513-6337</t>
  </si>
  <si>
    <t>229CW</t>
  </si>
  <si>
    <t>HELP; PUBS; SAHRA; hydrological science; stakeholder-driven hydrological science; stakeholder-relevant hydrological science; semi-arid hydrology</t>
  </si>
  <si>
    <t>Univ Arizona, Dept Hydrol &amp; Water Resources, NSF, Ctr Sustainabil Semiarid Hydrol &amp; Riparian Areas, Tucson, AZ 85721 USA</t>
  </si>
  <si>
    <t>Shuttleworth, WJ (corresponding author), Univ Arizona, Dept Hydrol &amp; Water Resources, NSF, Ctr Sustainabil Semiarid Hydrol &amp; Riparian Areas, Tucson, AZ 85721 USA.</t>
  </si>
  <si>
    <t>121FB</t>
  </si>
  <si>
    <t>modelling; monitoring; water framework directive; water resources management</t>
  </si>
  <si>
    <t>[Jorgensen, L. F.; Refsgaard, J. C.; Hojberg, A. L.] Geol Survey Denmark &amp; Greenland, Dept Hydrol, DK-1350 Copenhagen, Denmark</t>
  </si>
  <si>
    <t>Jorgensen, LF (corresponding author), Geol Survey Denmark &amp; Greenland, Dept Hydrol, Oster Voldgade 10, DK-1350 Copenhagen, Denmark.</t>
  </si>
  <si>
    <t>lfj@geus.dk; jcr@geus.dk; alh@geus.dk</t>
  </si>
  <si>
    <t>Højberg, Anker Lajer/AAE-1670-2019; Refsgaard, Jens Christian/G-5274-2011; Jørgensen, Lisbeth Flindt/AAS-5737-2021; Jørgensen, Lisbeth Flindt/AAS-4402-2021; Højberg, Anker/F-3036-2011</t>
  </si>
  <si>
    <t>Højberg, Anker Lajer/0000-0003-3460-6046; Refsgaard, Jens Christian/0000-0003-0420-349X; Jørgensen, Lisbeth Flindt/0000-0003-2365-9505; Jørgensen, Lisbeth Flindt/0000-0003-2365-9505; Højberg, Anker/0000-0003-3460-6046</t>
  </si>
  <si>
    <t>265TG</t>
  </si>
  <si>
    <t>Redfern, N; Bartley, C</t>
  </si>
  <si>
    <t>Redfern, Nancy; Bartley, Catherine</t>
  </si>
  <si>
    <t>Trainee and training issues</t>
  </si>
  <si>
    <t>BEST PRACTICE &amp; RESEARCH-CLINICAL ANAESTHESIOLOGY</t>
  </si>
  <si>
    <t>duties of trainer; trainee; programme; academic &amp; practical knowledge; ethics; principalism; practising on patients; assessment; part-time training; returning after illness; struggling trainees; managing safety; case studies</t>
  </si>
  <si>
    <t>This chapter deals with the obligations of trainers and trainees to each other, the responsibilities of the programme and the conflicts of providing a service while training. Management of trainees with differing needs, such as those working part-time or returning to training after sickness, is reviewed. Assessment of performance and the obligation of consultants to identify, manage and support struggling trainees are discussed. Ethical discussion is based on the principles of autonomy, non-maleficence, beneficence, and justice to which fidelity is added. Case studies illustrating the application of ethical principles to work and decision-making are presented to stimulate debate. Opinions vary as to which principle carries more weight in individual cases, and how best to balance the conflicting requirements of the parties involved (patient, trainee, trainer, employer, society). For all healthcare practitioners, the needs of patients remain our first concern. Acting in a consequentialist way, we must maximise the good'' and minimise the attendant harms in training. However, deontology states that certain sacrosanct rules and principles should never be breached. Doctors must abide by the duties of a doctor described in Good Medical Practice, maintaining standards in a way that ensures professional qualifications are respected. For the patient, there are advantages and disadvantages to receiving care in an educational setting. A 'teaching environment' tends to encourage and maintain high standards of practice from senior clinicians, but it also exposes patients to new learners, who are less efficient and polished and perhaps more prone to make errors. Learning has to fit round and complement the clinical and emotional needs of patients.</t>
  </si>
  <si>
    <t>[Redfern, Nancy] Newcastle Upon Tyne NHS Trust, 10-12 Framlington Pl, Newcastle Upon Tyne NE2 4AB, Tyne &amp; Wear, England; [Redfern, Nancy] Northern Deanery, Newcastle Upon Tyne NE2 4AB, Tyne &amp; Wear, England; [Bartley, Catherine] Gateshead NHS Trust, Queen Elizabeth Hosp, Sherriff Hill Gateshead NE9 6SS, England; Queen Elizabeth Hosp, Sherriff Hill Gateshead NE9 6SS, England</t>
  </si>
  <si>
    <t>Redfern, N (corresponding author), Newcastle Upon Tyne NHS Trust, 10-12 Framlington Pl, Newcastle Upon Tyne NE2 4AB, Tyne &amp; Wear, England.</t>
  </si>
  <si>
    <t>nancy.redfern@ncl.ac.uk; catherine.bartley@ghnt.nhs.uk</t>
  </si>
  <si>
    <t>1521-6896</t>
  </si>
  <si>
    <t>1878-1608</t>
  </si>
  <si>
    <t>BEST PRACT RES-CLIN</t>
  </si>
  <si>
    <t>Best Pract. Res.-Clin Anaesth.</t>
  </si>
  <si>
    <t>10.1016/j.bpa.2006.10.003</t>
  </si>
  <si>
    <t>V27SC</t>
  </si>
  <si>
    <t>WOS:000215378500010</t>
  </si>
  <si>
    <t>ASSISTANCE TEAMS; MODEL; DETERMINANTS; PARTNERSHIP; SERVICES; CONTEXT</t>
  </si>
  <si>
    <t>Harvard Univ, Sch Med, Cambridge Hlth Alliance, Ctr Multicultural Mental Hlth Res, Somerville, MA 02143 USA; Harvard Univ, Sch Med, Cambridge Hlth Alliance, Dept Psychiat, Cambridge, MA 02138 USA; Special Educ &amp; Student Serv, Sunnyvale, CA USA</t>
  </si>
  <si>
    <t>Mulvaney-Day, NE (corresponding author), Harvard Univ, Sch Med, Cambridge Hlth Alliance, Ctr Multicultural Mental Hlth Res, 120 Beacon St,4th Floor, Somerville, MA 02143 USA.</t>
  </si>
  <si>
    <t>nmulvaney-day@charesearch.org</t>
  </si>
  <si>
    <t>Rappaport, Nancy/AAU-5501-2021</t>
  </si>
  <si>
    <t>INT SOC HYPERTENSION BLACKS-ISHIB</t>
  </si>
  <si>
    <t>ATLANTA</t>
  </si>
  <si>
    <t>100 AUBURN AVE NE STE 401, ATLANTA, GA 30303-2527 USA</t>
  </si>
  <si>
    <t>ETHNIC DIS</t>
  </si>
  <si>
    <t>Ethn. Dis.</t>
  </si>
  <si>
    <t>010EW</t>
  </si>
  <si>
    <t>Austin, L; Luker, K; Ronald, M</t>
  </si>
  <si>
    <t>Austin, Lynn; Luker, Karen; Ronald, Martin</t>
  </si>
  <si>
    <t>Clinical nurse specialists as entrepreneurs: constrained or liberated</t>
  </si>
  <si>
    <t>JOURNAL OF CLINICAL NURSING</t>
  </si>
  <si>
    <t>clinical nurse specialists; collaboration; continence advisors; entrepreneurs; primary care; tissue viability nurses</t>
  </si>
  <si>
    <t>Aims. This qualitative study explored the experiences of two groups of clinical nurse specialists - continence advisors and tissue viability nurses - working in primary care in the UK. In particular, the study focused on how clinical nurse specialists' relationships with other health-care professionals had an impact on their role. Background. Clinical nurse specialists are recognized worldwide as having expertise in a given field, which they use to develop the practice of others. Additionally, clinical nurse specialists share many of the characteristics of entrepreneurs, which they use to develop services related to their speciality. However, little research has been conducted in relation to clinical nurse specialists' experiences as they attempt to diversify nursing practice. Design/methods. An ethnographic approach was adopted comprising many elements of Glaserian grounded theory. Data were collected via participant observation and face-to-face interviews with 22 clinical nurse specialists. Findings. Services provided by clinical nurse specialists were not static, clinical nurse specialists being the main drivers for service developments. However, clinical nurse specialists encountered difficulties when introducing new ideas. Given their role as advisors, clinical nurse specialists lacked authority to bring about change and were dependent on a number of mechanisms to bring about change, including 'cultivating relationships' with more powerful others, most notably the speciality consultant. Conclusions. The UK government has pledged to 'liberate the talents of nurses' so that their skills can be used to progress patient services. This study highlights the fact that a lack of collaborative working practices between health-care professionals led to clinical nurse specialists being constrained. Relevance to clinical practice. Health-care organizations need to provide an environment in which the entrepreneurial skills of clinical nurse specialists may be capitalized on. In the absence of an outlet for their ideas regarding service developments, clinical nurse specialists may remain dependent on the mechanisms witnessed in this study for some time.</t>
  </si>
  <si>
    <t>Univ Manchester, Queens Inst, Sch Nursing Midwifery &amp; Hlth Visiting, Manchester M13 9PL, Lancs, England; Univ Manchester, Natl Primary Care Res &amp; Dev Ctr, Manchester, Lancs, England</t>
  </si>
  <si>
    <t>lynnaustin@email.com</t>
  </si>
  <si>
    <t>austin, lynn/P-1255-2014; Luker, Karen A/E-8735-2010</t>
  </si>
  <si>
    <t>austin, lynn/0000-0003-4399-4554; Luker, Karen A/0000-0002-2437-2904</t>
  </si>
  <si>
    <t>0962-1067</t>
  </si>
  <si>
    <t>1365-2702</t>
  </si>
  <si>
    <t>J CLIN NURS</t>
  </si>
  <si>
    <t>J. Clin. Nurs.</t>
  </si>
  <si>
    <t>10.1111/j.1365-2702.2006.01576.x</t>
  </si>
  <si>
    <t>106PN</t>
  </si>
  <si>
    <t>WOS:000242113200008</t>
  </si>
  <si>
    <t>coastal planning; beaches; questionnaires</t>
  </si>
  <si>
    <t>[da Silva, C. Pereira] Univ Nova Lisboa, Ctr Estudos Geog &amp; Plaeamento Reg, e GEO, P-1069061 Lisbon, Portugal</t>
  </si>
  <si>
    <t>da Silva, CP (corresponding author), Univ Nova Lisboa, Ctr Estudos Geog &amp; Plaeamento Reg, e GEO, Avenida Berna 26C, P-1069061 Lisbon, Portugal.</t>
  </si>
  <si>
    <t>cpsilva@fcsh.unl.pt</t>
  </si>
  <si>
    <t>V43VA</t>
  </si>
  <si>
    <t>ADOLESCENT SMOKING; BRAND; CONSUMPTION; EXPOSURE; CHOICE; MARKET; NAMES; CODE</t>
  </si>
  <si>
    <t>Penn State Univ, Smeal Coll Business, University Pk, PA 16802 USA; Henry Ford Hlth Syst, Ctr Hlth Promot &amp; Dis Prevent, Detroit, MI USA; Morgan State Univ, Sch Publ Hlth, Dept Hlth Policy &amp; Management, Baltimore, MD 21239 USA</t>
  </si>
  <si>
    <t>Goldberg, ME (corresponding author), Penn State Univ, Smeal Coll Business, University Pk, PA 16802 USA.</t>
  </si>
  <si>
    <t>mgold@psu.edu</t>
  </si>
  <si>
    <t>NCI NIH HHS [CA087486, R01 CA087486] Funding Source: Medline</t>
  </si>
  <si>
    <t>NCI NIH HHS(United States Department of Health &amp; Human ServicesNational Institutes of Health (NIH) - USANIH National Cancer Institute (NCI))</t>
  </si>
  <si>
    <t>109WB</t>
  </si>
  <si>
    <t>pharmaceuticals; risk management; environment; interviews; stakeholders; water; aquatic ecosystem</t>
  </si>
  <si>
    <t>PERSONAL CARE PRODUCTS; WASTE-WATER CONTAMINANTS; SEWAGE-TREATMENT PLANTS; PROMOTING HUMAN HEALTH; TO-CRADLE STEWARDSHIP; RISK-ASSESSMENT; DRINKING-WATER; SURFACE WATERS; DRUG RESIDUES; REMOVAL</t>
  </si>
  <si>
    <t>Univ Waterloo, Sch Planning, Waterloo, ON N2L 3G1, Canada</t>
  </si>
  <si>
    <t>Doerr-MacEwen, NA (corresponding author), Univ Waterloo, Sch Planning, 200 Univ Ave W, Waterloo, ON N2L 3G1, Canada.</t>
  </si>
  <si>
    <t>nadoerr@fes.uwaterloo.ca</t>
  </si>
  <si>
    <t>092NQ</t>
  </si>
  <si>
    <t>protected forest; population pressure; natural resources management; integrated management; family farms; Kenya</t>
  </si>
  <si>
    <t>CNEARC, F-34033 Montpellier, France</t>
  </si>
  <si>
    <t>Poissonnet, M (corresponding author), CNEARC, 1101 Ave Agropolis,BP 5098, F-34033 Montpellier, France.</t>
  </si>
  <si>
    <t>poissonnet_mikael@yahoo.fr; vbrudo@yahoo.fr; dosso@cnearc.fr</t>
  </si>
  <si>
    <t>098HI</t>
  </si>
  <si>
    <t>Fraisse, CW; Breuer, NE; Zierden, D; Bellow, JG; Paz, J; Cabrera, VE; Garcia, AGY; Ingram, KT; Hatch, U; Hoogenboom, G; Jones, JW; O'Brien, JJ</t>
  </si>
  <si>
    <t>Fraisse, C. W.; Breuer, N. E.; Zierden, D.; Bellow, J. G.; Paz, J.; Cabrera, V. E.; Garcia, A. Garcia y; Ingram, K. T.; Hatch, U.; Hoogenboom, G.; Jones, J. W.; O'Brien, J. J.</t>
  </si>
  <si>
    <t>AgClimate: A climate forecast information system for agricultural risk management in the southeastern USA</t>
  </si>
  <si>
    <t>crop models climate variability; decision making; ENSO; El Nino; extension</t>
  </si>
  <si>
    <t>SOUTHERN-OSCILLATION; POTENTIAL BENEFITS; YIELD; MODEL</t>
  </si>
  <si>
    <t>Seasonal climate variability plays an important role in the production risks faced by producers. The majority of crop failures in the USA are associated with either a lack or excess of rainfall. Climate forecasts can be used to reduce risks faced by an agricultural enterprise, but simply providing better climate forecasts to potential users is not enough. Climate information only has value when there is a clearly defined adaptive response and a benefit once the content of the information is considered in the decision making process. AgClimate is a response to the need for information and tools on proactive adaptations to seasonal and interannual climate variability forecasts in the southeastern USA. Extension agents, agricultural producers, forest managers, crop consultants, and policy makers may use this decision support system to aid in decision making concerning management adjustments in light of climate forecasts. Adaptations include those that might mitigate potential losses as well those with the potential to produce optimal yields. AgClimate is a web-based climate forecast and information system that was designed and implemented in partnership with the Cooperative State Extension Service. It has two main components: the front-end interface and a set of dynamic tools. The main navigation menu includes the AgClimate tools, climate forecasts, and management options for crops, forestry, pasture, and livestock. It a, so includes a climate and El Nino section with background information. The tools section contains two applications that allow a user to examine the climate forecast for individual counties based on the ENSO phase and to evaluate yield potentials for certain crops. Applied outlooks for individual agricultural sectors are also provided on a quarterly basis. AgClimate is now operational under the Southeast Climate Consortium and several upgrades are under development and consideration. (c) 2006 Elsevier B.V. All rights reserved.</t>
  </si>
  <si>
    <t>Univ Florida, Dept Agr &amp; Biol Engn, Gainesville, FL 32611 USA; Univ Miami, Rosenstiel Sch Marine &amp; Atmospher Sci, Coral Gables, FL 33124 USA; Florida State Univ, Ctr Ocean Atmospher Predict Studies, Tallahassee, FL 32306 USA; Univ Georgia, Dept Biol &amp; Agr Engn, Athens, GA 30602 USA; Auburn Univ, Inst Environm, Auburn, AL 36849 USA</t>
  </si>
  <si>
    <t>Fraisse, CW (corresponding author), Univ Florida, Dept Agr &amp; Biol Engn, Gainesville, FL 32611 USA.</t>
  </si>
  <si>
    <t>cfraisse@ufl.edu</t>
  </si>
  <si>
    <t>Paz, Joel O/F-7685-2010; Dolk, Shaun/B-5656-2012; Hoogenboom, Gerrit/F-3946-2010; Cabrera, Victor/AAB-9413-2021; Garcia y Garcia, Axel/C-3675-2009; Jones, James/AAP-9048-2020</t>
  </si>
  <si>
    <t>Paz, Joel O/0000-0003-0193-3681; Hoogenboom, Gerrit/0000-0002-1555-0537; Cabrera, Victor/0000-0003-1739-7457; Garcia y Garcia, Axel/0000-0002-7263-530X; Jones, James/0000-0002-3239-8960</t>
  </si>
  <si>
    <t>10.1016/j.compag.2006.03.002</t>
  </si>
  <si>
    <t>068MS</t>
  </si>
  <si>
    <t>WOS:000239379000002</t>
  </si>
  <si>
    <t>TRAVEL MODE CHOICE; ECOLOGICAL NORM; GREAT-BRITAIN</t>
  </si>
  <si>
    <t>Univ Aberdeen, Dept Geog &amp; Environm, Sch Geosci, Aberdeen AB24 3UF, Scotland; Robert Gordon Univ, Ctr Transport Policy, Aberdeen Business Sch, Aberdeen AB10 1FR, Scotland</t>
  </si>
  <si>
    <t>Shaw, J (corresponding author), Univ Aberdeen, Dept Geog &amp; Environm, Sch Geosci, Elphinstone Rd, Aberdeen AB24 3UF, Scotland.</t>
  </si>
  <si>
    <t>j.shaw@abdn.ac.uk; c.j.hunter@abdn.ac.uk; david.gray@rgu.ac.uk</t>
  </si>
  <si>
    <t>PION LTD</t>
  </si>
  <si>
    <t>207 BRONDESBURY PARK, LONDON NW2 5JN, ENGLAND</t>
  </si>
  <si>
    <t>079FG</t>
  </si>
  <si>
    <t>agricultural reform; biodiversity; conservation; fisheries; land management; restoration ecology</t>
  </si>
  <si>
    <t>CLIMATE-CHANGE; CONSERVATION; VULNERABILITY; BIODIVERSITY; EXTINCTION; IMPACTS</t>
  </si>
  <si>
    <t>Univ E Anglia, Sch Biol Sci, Ctr Ecol Evolut &amp; Conservat, Norwich NR4 7TJ, Norfolk, England; RSPB, Sandy SG19 5DL, Beds, England; Univ Sheffield, Dept Anim &amp; Plant Sci, Sheffield S10 2TN, S Yorkshire, England; Butterfly Conservat, Wareham BH20 5QP, Dorset, England; British Waterways, Leeds LS9 8PB, W Yorkshire, England; Macaulay Inst, Aberdeen AB15 8QH, Scotland; Brtish Trust Ornithol, Nunnery, Thetford IP24 2PU, Norfolk, England; Rural Dev Serv, Dept Environm &amp; Rural Affairs, Wolverhampton WV6 8TQ, England; Ctr Environm Fisheries &amp; Aquaculture Sci, Lowestoft Lab, Lowestoft NR33 0HT, Suffolk, England; British Ecol Soc, London SW15 2NU, England; Assoc Natl Pk Author, Cardiff CF10 5LE, Wales; Univ Sheffield, Dept Anim &amp; Plant Sci, Sheffield S10 2TN, S Yorkshire, England; Imperial Coll London, NERC Ctr Populat Biol, Ascot SL5 7PY, Berks, England; Sci Govt Directorate, Off Sci &amp; Technol, Dept Trade &amp; Ind, London SW1, England; Natl Trust, Swindon SN2 2NA, Wilts, England; Country Land &amp; Business Assoc, London SW1X 8PQ, England; English Nat, Peterborough P61 1UA, England; Natl Farmers Union, Stoneleigh CV8 2TZ, Warwick, England; Defra, Nat Resource &amp; Rural Affairs Sci Div, Bristol BS1 6EB, Avon, England; Univ Leeds, Sch Biol, Earth &amp; Biosphere Inst, Leeds LS2 9JT, W Yorkshire, England; Univ Oxford, Wildlife Conservat Res Unit, Tubney OX13 5QL, Oxon, England; Off Deputy Prime Minister, London SW1E 5DU, England; Environm Agcy, Warrington WA4 1HG, Cheshire, England; Countryside Agcy, Cheltenham GL50 3RA, Glos, England; Campaign Protect Rural England, London SE1 0SW, England; Lancaster Environm Ctr, Ctr Ecol &amp; Hydrol, Lancaster LA1 4AP, England; Univ Birmingham, Sch Biosci, Ctr Evidence Based Conservat, Birmingham B15 2TT, W Midlands, England; Buglife Invertebrate Conservat Trust, Peterborough PE1 2UF, England; Middlemarch Environm Ltd, Coventry CV5 9AZ, W Midlands, England; Woodland Trust, Grantham NG31 6LL, Lincs, England; Marine Conservat Soc, Ross On Wye HR9 5NB, England; Forest Enterprise, Lyndhurst SO43 7NH, Hants, England; Scottish Environm Protect Agcy, Stirling FK9 4TR, Scotland; Univ York, Dept Biol, Area 18, York YO10 5YW, N Yorkshire, England; Inst Ecol &amp; Environm Management, Winchester SO23 9EH, Hants, England; Off Sci &amp; Technol, Exploitat Grp, London SW1H 0ET, England; Univ Manchester, Sch Life Sci, Manchester M13 9PT, Lancs, England; Univ E Anglia, Sch Biol Sci, Norwich NR4 7TJ, Norfolk, England; Univ E Anglia, Sch Environm Sci, Norwich NR4 7TJ, Norfolk, England; Univ E Anglia, Tyndall Ctr Climate Change Res, Norwich NR4 7TJ, Norfolk, England</t>
  </si>
  <si>
    <t>Sutherland, WJ (corresponding author), Univ E Anglia, Sch Biol Sci, Ctr Ecol Evolut &amp; Conservat, Norwich NR4 7TJ, Norfolk, England.</t>
  </si>
  <si>
    <t>W.Sutherland@uea.ac.uk</t>
  </si>
  <si>
    <t>Watkinson, Andrew R/N-1649-2013; Thomas, Chris D/A-1460-2014; Thomas, Chris D/A-1894-2012; Freckleton, Rob P/B-6455-2013; Campbell, Colin D/B-3944-2010; Sutherland, William/B-1291-2013; Dulvy, Nicholas/I-2895-2012; Chamberlain, Dan/K-1809-2015</t>
  </si>
  <si>
    <t>Thomas, Chris D/0000-0003-2822-1334; Thomas, Chris D/0000-0003-2822-1334; Campbell, Colin D/0000-0002-5163-7656; Dulvy, Nicholas/0000-0002-4295-9725; Freckleton, Robert/0000-0002-8338-864X; Chamberlain, Dan/0000-0002-5381-2024; Armsworth, Paul/0000-0003-0918-0573; Sutherland, William/0000-0002-6498-0437; Smith, Paul/0000-0001-8421-4177; Smithers, Richard/0000-0003-4795-7013; Spray, Chris/0000-0001-8622-335X; Pullin, Andrew/0000-0001-5299-8042</t>
  </si>
  <si>
    <t>Natural Environment Research Council [NE/C508734/1, CEH010021] Funding Source: researchfish</t>
  </si>
  <si>
    <t>Natural Environment Research Council(UK Research &amp; Innovation (UKRI)Natural Environment Research Council (NERC))</t>
  </si>
  <si>
    <t>J APPL ECOL</t>
  </si>
  <si>
    <t>J. Appl. Ecol.</t>
  </si>
  <si>
    <t>055YL</t>
  </si>
  <si>
    <t>FAMILY-THERAPY SAVES; RAZORS EDGE; GROUP WORK; BEHAVIOR; PLANET</t>
  </si>
  <si>
    <t>Northwestern Univ, Family Inst, Peaceable Sch Program, Evanston, IL 60201 USA; Northwestern Univ, Ctr Psychol &amp; Family Studies, Evanston, IL 60201 USA; Northwestern Univ, Family Inst, Making Smart Choice, Evanston, IL 60201 USA</t>
  </si>
  <si>
    <t>Breunlin, DC (corresponding author), Northwestern Univ, Family Inst, Peaceable Sch Program, 618 Lib Pl, Evanston, IL 60201 USA.</t>
  </si>
  <si>
    <t>d-breunlin@northwestern.edu</t>
  </si>
  <si>
    <t>J FAM THER</t>
  </si>
  <si>
    <t>J. Fam. Ther.</t>
  </si>
  <si>
    <t>Psychology, Clinical; Family Studies</t>
  </si>
  <si>
    <t>Psychology; Family Studies</t>
  </si>
  <si>
    <t>063HE</t>
  </si>
  <si>
    <t>Schatzmann, M; Bachlin, W; Emeis, S; Kuhlwein, J; Leitl, B; Muller, WJ; Schafer, K; Schlunzen, H</t>
  </si>
  <si>
    <t>Schatzmann, M.; Baechlin, W.; Emeis, S.; Kuehlwein, J.; Leitl, B.; Mueller, W. J.; Schaefer, K.; Schluenzen, H.</t>
  </si>
  <si>
    <t>Development and validation of tools for the implementation of european air quality policy in Germany (Project VALIUM)</t>
  </si>
  <si>
    <t>ATMOSPHERIC CHEMISTRY AND PHYSICS</t>
  </si>
  <si>
    <t>CEILOMETER; SODAR</t>
  </si>
  <si>
    <t>In the framework of the German Atmospheric Research Program AFO-2000 a system of consistent coupled numerical models has been developed. The purpose of the model system is to serve as a tool for the execution of European urban air quality regulations. A consortium with the acronym VALIUM was formed, which consisted of German research institutes, environmental consultancies and an environmental agency. A substantial part of the VALIUM program was devoted to the generation of a set of high quality data for the validation of the numerical model system. The validation data are based on a combination of field studies, tracer experiments and corresponding wind tunnel experiments. The field experiments were carried out inside and around a street canyon in a city district of Hanover/Germany. After a brief introduction to the VALIUM project a summary of the main results will be given.</t>
  </si>
  <si>
    <t>Univ Hamburg, ZMAW, Inst Meteorol, Hamburg, Germany; Ingenieurburo Lohmeyer GmbH &amp; Co KG, Karlsruhe, Germany; Forschungszentrum Karlsruhe, IMK IFU, Garmisch Partenkirchen, Germany; Univ Stuttgart, Inst Energy Econ &amp; Rat Use Energy, D-7000 Stuttgart, Germany; Lower Saxony State Agcy Ecol, Hannover, Germany</t>
  </si>
  <si>
    <t>Schatzmann, M (corresponding author), Univ Hamburg, ZMAW, Inst Meteorol, Hamburg, Germany.</t>
  </si>
  <si>
    <t>schatzmann@zmaw.de</t>
  </si>
  <si>
    <t>Emeis, Stefan/B-6205-2008; Schäfer, Klaus/A-6173-2013</t>
  </si>
  <si>
    <t>Emeis, Stefan/0000-0001-6114-6212; Schäfer, Klaus/0000-0003-2491-6331</t>
  </si>
  <si>
    <t>1680-7316</t>
  </si>
  <si>
    <t>1680-7324</t>
  </si>
  <si>
    <t>ATMOS CHEM PHYS</t>
  </si>
  <si>
    <t>Atmos. Chem. Phys.</t>
  </si>
  <si>
    <t>JUL 24</t>
  </si>
  <si>
    <t>10.5194/acp-6-3077-2006</t>
  </si>
  <si>
    <t>066ZW</t>
  </si>
  <si>
    <t>WOS:000239270700005</t>
  </si>
  <si>
    <t>allergy; guidelines; IAQ; legislation; tobacco smoke; respiratory disease</t>
  </si>
  <si>
    <t>EXPOSURE; CHILDREN; ASTHMA</t>
  </si>
  <si>
    <t>European Federat Allergy &amp; Airways Dis Patients, Brussels, Belgium; Univ Milan, Dept Occupat Hlth, Milan, Italy; Commiss European Union, Inst Hlth &amp; Consumer Protect, Ispra, Italy; ER Hlth Consultancy, Slenaken, Neth Antilles; Aalto Univ, Federat European Heating &amp; Air Conditioning Assoc, Helsinki, Finland; Tech Univ Eindhoven, NL-5600 MB Eindhoven, Netherlands; CNR, Pulm Environm Epidemiol Unit, Inst Clin Physiol, I-56100 Pisa, Italy; European Resp Soc, Lausanne, Switzerland; Sci Commun, Naples, Italy</t>
  </si>
  <si>
    <t>Franchi, M (corresponding author), Turku Allergy Ctr, Kotkankatu 2, FIN-20610 Turku, Finland.</t>
  </si>
  <si>
    <t>Carrer, Paolo/I-7748-2017; Viegi, Giovanni/K-2746-2016; van Bronswijk, J.E.M.H./A-5827-2009</t>
  </si>
  <si>
    <t>Carrer, Paolo/0000-0001-5516-2195; Viegi, Giovanni/0000-0002-1855-4410; Dr. Kotzias, Dimitrios/0000-0001-7466-4879</t>
  </si>
  <si>
    <t>Allergy</t>
  </si>
  <si>
    <t>Allergy; Immunology</t>
  </si>
  <si>
    <t>053KW</t>
  </si>
  <si>
    <t>reputation management; insurance; media coverage Spitzer; value reporting; trust</t>
  </si>
  <si>
    <t>Media Tenor Deutschland GmbH, D-53173 Bonn, Germany</t>
  </si>
  <si>
    <t>Eccles, RG (corresponding author), Media Tenor Deutschland GmbH, Kurpk 71, D-53173 Bonn, Germany.</t>
  </si>
  <si>
    <t>m.vollbracht@medientenor.de</t>
  </si>
  <si>
    <t>GENEVA PAP R I-ISS P</t>
  </si>
  <si>
    <t>Geneva Pap. Risk Insur.-Issues Pract.</t>
  </si>
  <si>
    <t>094LS</t>
  </si>
  <si>
    <t>biodiversity; biogeochemistry; eutrophication; flooding; nature conservation; review; water management</t>
  </si>
  <si>
    <t>PLANT-SPECIES RICHNESS; AQUATIC VASCULAR PLANTS; FRESH-WATER WETLANDS; HEAVY-METALS; NUTRIENT DYNAMICS; PHOSPHORUS RETENTION; PHRAGMITES-AUSTRALIS; PHOSPHATE RELEASE; ORGANIC-MATTER; RHINE-DELTA</t>
  </si>
  <si>
    <t>Radboud Univ Nijmegen, Dept Aquat Ecol &amp; Environm Biol, Inst Wetland &amp; Water Res, NL-6525 ED Nijmegen, Netherlands; BWare Res Ctr, NL-6525 ED Nijmegen, Netherlands; Univ Utrecht, Inst Environm Biol, NL-3508 TB Utrecht, Netherlands; KNAW, NIOO, Dept Microbial Wetland Ecol, Netherlands Inst Ecol,Ctr Limnol, NL-3631 AC Nieuwersluis, Netherlands</t>
  </si>
  <si>
    <t>Lamers, LPM (corresponding author), Radboud Univ Nijmegen, Dept Aquat Ecol &amp; Environm Biol, Inst Wetland &amp; Water Res, Toernooiveld 1, NL-6525 ED Nijmegen, Netherlands.</t>
  </si>
  <si>
    <t>L.Lamers@science.ru.nl</t>
  </si>
  <si>
    <t>Lucassen, Esther C.H.E.T./H-8992-2012; Lamers, Leon P.M./A-8718-2012; Smolders, Alfons J.P./H-2583-2012; Boxman, Dries W./A-7289-2012; Roelofs, Jan GM/C-1243-2011</t>
  </si>
  <si>
    <t>Hydrobiologia</t>
  </si>
  <si>
    <t>044KG</t>
  </si>
  <si>
    <t>decision criteria; environmental services; market actors; tropical forestry; multi-criteria decision making</t>
  </si>
  <si>
    <t>COSTA-RICAN EXPERIENCE; SUSTAINABLE DEVELOPMENT; ADDITIONALITY; CERTIFICATION; PREFERENCES; INDICATORS; GOODS</t>
  </si>
  <si>
    <t>ETH Zentrum, Swiss Fed Inst Technol, HES, NSSI,HAD, CH-8092 Zurich, Switzerland; CATIE, Global Change Grp, Turrialba, Costa Rica</t>
  </si>
  <si>
    <t>Sell, J (corresponding author), ETH Zentrum, Swiss Fed Inst Technol, HES, NSSI,HAD, CH-8092 Zurich, Switzerland.</t>
  </si>
  <si>
    <t>Scholz, Roland/I-6534-2019; Scholz, Roland W./AAH-8385-2020; Koellner, Thomas/B-8286-2008; Scholz, Roland W./B-2076-2008</t>
  </si>
  <si>
    <t>054VR</t>
  </si>
  <si>
    <t>ENVIRONMENTAL RISK; NOVA-SCOTIA; COMMUNICATION; COMMUNITIES; PERCEPTION</t>
  </si>
  <si>
    <t>Duke Univ, Marine Lab, Beaufort, NC 28516 USA; McMaster Univ, Sch Geog &amp; Geol, Hamilton, ON L8S 4K1, Canada; St Josephs Hosp, Hamilton, ON L8N 4A6, Canada</t>
  </si>
  <si>
    <t>Haalboom, B (corresponding author), Duke Univ, Marine Lab, Beaufort, NC 28516 USA.</t>
  </si>
  <si>
    <t>bjh14@duke.edu; elliotts@mcmaster.ca; eyles@mcmaster.ca; hmuggah@stjosham.on.ca</t>
  </si>
  <si>
    <t>CAN GEOGR-GEOGR CAN</t>
  </si>
  <si>
    <t>Can. Geogr.-Geogr. Can.</t>
  </si>
  <si>
    <t>068RI</t>
  </si>
  <si>
    <t>King, MD; Burkardt, N; Clark, BT</t>
  </si>
  <si>
    <t>King, M. Dawn; Burkardt, Nina; Clark, Brad T.</t>
  </si>
  <si>
    <t>Watershed Management Councils and Scientific Models: Using Diffusion Literature to Explain Adoption</t>
  </si>
  <si>
    <t>Recent literature on the diffusion of innovations concentrates either specifically on public adoption of policy, where social or environmental conditions are the dependent variables for adoption, or on private adoption of an innovation, where emphasis is placed on the characteristics of the innovation itself. This article uses both the policy diffusion literature and the diffusion of innovation literature to assess watershed management councils' decisions to adopt, or not adopt, scientific models. Watershed management councils are a relevant case study because they possess both public and private attributes. We report on a survey of councils in the United States that was conducted to determine the criteria used when selecting scientific models for studying watershed conditions. We found that specific variables from each body of literature play a role in explaining the choice to adopt scientific models by these quasi-public organizations. The diffusion of innovation literature contributes to an understanding of how organizations select models by confirming the importance of a model's ability to provide better data. Variables from the policy diffusion literature showed that watershed management councils that employ consultants are more likely to use scientific models. We found a gap between those who create scientific models and those who use these models. We recommend shrinking this gap through more communication between these actors and advancing the need for developers to provide more technical assistance.</t>
  </si>
  <si>
    <t>[King, M. Dawn; Clark, Brad T.] Colorado State Univ, Dept Polit Sci, Ft Collins, CO 80523 USA; [Burkardt, Nina] US Geol Survey, Ft Collins, CO USA</t>
  </si>
  <si>
    <t>Burkardt, N (corresponding author), US Geol Survey, Ft Collins Sci Ctr, 2150 Ctr Ave,Bldg C, Ft Collins, CO 80526 USA.</t>
  </si>
  <si>
    <t>nina_burkardt@usgs.gov</t>
  </si>
  <si>
    <t>10.1017/S1466046606060212</t>
  </si>
  <si>
    <t>V79WV</t>
  </si>
  <si>
    <t>WOS:000212146000008</t>
  </si>
  <si>
    <t>Brigley, S; Johnson, C; Bird, J; Young, H</t>
  </si>
  <si>
    <t>Brigley, Stephen; Johnson, Cindy; Bird, James; Young, Howard</t>
  </si>
  <si>
    <t>Hospital doctors' views of their CPD and its relationship to learning in the organization</t>
  </si>
  <si>
    <t>MEDICAL TEACHER</t>
  </si>
  <si>
    <t>CONTINUING MEDICAL-EDUCATION</t>
  </si>
  <si>
    <t>Continuing professional development (CPD) has traditionally been an autonomous, professional concern of doctors in the UK. In a changing educational and service climate, can individualized approaches to CPD be reconciled with adult learning principles and learning that is practice-based and multidisciplinary? A survey of the CPD of consultant and non-consultant career grade staff in Wales (UK) has provided some clues on how doctors perceive their learning needs in relation to those of Trust hospitals. It indicated that these doctors pursued traditional forms of continuing education ( reading, lectures and meetings), gained clinical knowledge and changed their practice as a result. The majority saw themselves as accountable for CPD to their college and specialty. Trusts had yet to promote CPD as a clinical governance priority but respondents felt that appraisal helped to mediate individual and organizational perspectives of CPD. Most career-grade doctors believed their CPD activities met the needs of their employing organizations and felt satisfied with a 'traditional' approach to CPD. Doctors and service organizations may need to confront preconceptions regarding education and respective roles in the negotiation of CPD if team-based learning in practice is to become established.</t>
  </si>
  <si>
    <t>Cardiff Univ, Wales Coll Med Biol Life &amp; Hlth Sci, Sch Postgrad Med &amp; Dent Educ, Cardiff CF14 4XN, Wales</t>
  </si>
  <si>
    <t>Brigley, S (corresponding author), Cardiff Univ, Wales Coll Med Biol Life &amp; Hlth Sci, Sch Postgrad Med &amp; Dent Educ, Heath Pk, Cardiff CF14 4XN, Wales.</t>
  </si>
  <si>
    <t>brigleysj@cf.ac.uk</t>
  </si>
  <si>
    <t>Herring, Anna L/L-7859-2014</t>
  </si>
  <si>
    <t>0142-159X</t>
  </si>
  <si>
    <t>MED TEACH</t>
  </si>
  <si>
    <t>Med. Teach.</t>
  </si>
  <si>
    <t>10.1080/01421590600603335</t>
  </si>
  <si>
    <t>064WB</t>
  </si>
  <si>
    <t>WOS:000239119500018</t>
  </si>
  <si>
    <t>local economic policies; local business climate; East German municipalities</t>
  </si>
  <si>
    <t>Univ Kassel, Dept Econ Policy, D-34109 Kassel, Germany</t>
  </si>
  <si>
    <t>Blume, L (corresponding author), Univ Kassel, Dept Econ Policy, Nora Platiel Str 4, D-34109 Kassel, Germany.</t>
  </si>
  <si>
    <t>blume@wirtschaft.uni-kassel.de</t>
  </si>
  <si>
    <t>REG STUD</t>
  </si>
  <si>
    <t>Reg. Stud.</t>
  </si>
  <si>
    <t>Economics; Environmental Studies; Geography; Regional &amp; Urban Planning</t>
  </si>
  <si>
    <t>Business &amp; Economics; Environmental Sciences &amp; Ecology; Geography; Public Administration</t>
  </si>
  <si>
    <t>057PD</t>
  </si>
  <si>
    <t>Chinnasamy, P; Nadarajan, SB</t>
  </si>
  <si>
    <t>Chinnasamy, Palanichamy; Nadarajan, Sundar Babu</t>
  </si>
  <si>
    <t>Hourly Emission Target Constrained Economic Dispatch - A Renewable Energy Approach</t>
  </si>
  <si>
    <t>INTERNATIONAL JOURNAL OF EMERGING ELECTRIC POWER SYSTEMS</t>
  </si>
  <si>
    <t>cleaner electricity generation; emission control; renewable energy systems; energy storage systems</t>
  </si>
  <si>
    <t>Due to the more stringent environmental requirements imposed on electric utilities, utilities must adopt new technologies for the cleaner production of electricity. This paper suggests the introduction of renewable energy and energy storage systems to fossil fueled existing electric utilities for the cleaner production of electricity with hourly emission target. A cost effective dispatching algorithm for clean and economic operation of electric utilities has been proposed. The efficacy of the proposed approach is illustrated with the help of a 25-bus, 6-generator sample utility. This paper would be useful for electric utilities, consultants, regulatory bodies, policy makers and planners.</t>
  </si>
  <si>
    <t>[Chinnasamy, Palanichamy] Sultan Saiful Rijal Tech Coll, Minist Educ, Bandar Seri Begawan, Brunei; [Nadarajan, Sundar Babu] Drexel Univ, Philadelphia, PA 19104 USA</t>
  </si>
  <si>
    <t>Chinnasamy, P (corresponding author), Minist Educ, Darussalam, Brunei.</t>
  </si>
  <si>
    <t>C, Palanichamy/ABC-2365-2020</t>
  </si>
  <si>
    <t>C, Palanichamy/0000-0001-8681-9575</t>
  </si>
  <si>
    <t>1553-779X</t>
  </si>
  <si>
    <t>INT J EMERG ELECTR P</t>
  </si>
  <si>
    <t>Int. J. Emerg. Electr. Power Syst.</t>
  </si>
  <si>
    <t>10.2202/1553-779X.1134</t>
  </si>
  <si>
    <t>V91YP</t>
  </si>
  <si>
    <t>WOS:000212961800004</t>
  </si>
  <si>
    <t>ASPA,EGPA</t>
  </si>
  <si>
    <t>spirituality; workplace ethics; leadership; public policy; public integrity; spiritual engagement; Paternoster enquiry</t>
  </si>
  <si>
    <t>Care of John Wiley &amp; Sons, Publ Adm &amp; Dev, London W5 5DB, England; Univ Northampton, Northampton, England</t>
  </si>
  <si>
    <t>Kakabadse, NK (corresponding author), Care of John Wiley &amp; Sons, Publ Adm &amp; Dev, 3rd Floor Int House,7 High St, London W5 5DB, England.</t>
  </si>
  <si>
    <t>PaulCollins@padjournal.freeserve.co.uk; nada.kakabadse@northampton.ac.uk</t>
  </si>
  <si>
    <t>PUBLIC ADMIN DEVELOP</t>
  </si>
  <si>
    <t>Public Adm. Dev.</t>
  </si>
  <si>
    <t>Social Science Citation Index (SSCI); Arts &amp;amp; Humanities Citation Index (A&amp;amp;HCI); Conference Proceedings Citation Index - Social Science &amp;amp; Humanities (CPCI-SSH)</t>
  </si>
  <si>
    <t>045EP</t>
  </si>
  <si>
    <t>Plax, TG</t>
  </si>
  <si>
    <t>Plax, Timothy</t>
  </si>
  <si>
    <t>How Much Are We Worth? Estimating Fee for Services</t>
  </si>
  <si>
    <t>COMMUNICATION EDUCATION</t>
  </si>
  <si>
    <t>The question I'm asked most frequently by colleagues and students is, How much do I charge for consulting services?'' The question seems simple enough, but the answer is complex and worth addressing in this forum. I have a long history of working as an internal and external consultant to large and small organizations nationwide. I began consulting 25 years ago when I assumed a full-time position with the aerospace arm of The Rockwell International Corporation. This early six-year experience with the company gave me the unique opportunity to learn what someone with an advanced degree in communication can do beyond college teaching. Because this organization relied heavily on contracts with customers, like NASA, the Air Force, and other governmental agencies, I had an inside look at how others cost out their services. After I left Rockwell and returned to education, I continued to do consulting externally with a variety of organizations, including environmental, governmental, and financial agencies. One of my most recent long-term clients is U.S.A. Funds/Sallie Mae, the largest student loan guarantor in the country. These consulting experiences have given me a pretty good sense of what we are worth and what we can reasonably charge. Important to costing out our services is determining first what it is people would pay us to do.</t>
  </si>
  <si>
    <t>[Plax, Timothy] Calif State Univ Long Beach, Dept Commun Studies, Long Beach, CA 90840 USA</t>
  </si>
  <si>
    <t>Plax, TG (corresponding author), Calif State Univ Long Beach, Dept Commun Studies, Long Beach, CA 90840 USA.</t>
  </si>
  <si>
    <t>timplax@aol.com</t>
  </si>
  <si>
    <t>0363-4523</t>
  </si>
  <si>
    <t>1479-5795</t>
  </si>
  <si>
    <t>COMMUN EDUC</t>
  </si>
  <si>
    <t>Commun. Educ.</t>
  </si>
  <si>
    <t>10.1080/03634520600566256</t>
  </si>
  <si>
    <t>Communication; Education &amp; Educational Research</t>
  </si>
  <si>
    <t>V58HD</t>
  </si>
  <si>
    <t>WOS:000210685600008</t>
  </si>
  <si>
    <t>toxic substances; marine environment; field baseline survey; ecological and human health risk assessment; pollution evaluation; chemicals of potential concern; Hong Kong</t>
  </si>
  <si>
    <t>Hong Kong Special Adm Reg Govt, Environm Protect Dept, Wanchai, Hong Kong, Peoples R China</t>
  </si>
  <si>
    <t>Yang, RR (corresponding author), Hong Kong Special Adm Reg Govt, Environm Protect Dept, 33-F Revenue Tower,5 Gloucester Rd, Wanchai, Hong Kong, Peoples R China.</t>
  </si>
  <si>
    <t>ryang@epd.gov.hk</t>
  </si>
  <si>
    <t>HUM ECOL RISK ASSESS</t>
  </si>
  <si>
    <t>Hum. Ecol. Risk Assess.</t>
  </si>
  <si>
    <t>035SR</t>
  </si>
  <si>
    <t>LUNG-CANCER; EXPOSURE</t>
  </si>
  <si>
    <t>Hlth Canada, Safe Environm Program, Healthy Environm &amp; Consumer Safety Branch, Ottawa, ON K1A 0L2, Canada; Hlth Canada, Radiat Protect Bur, Ottawa, ON K1A 0L2, Canada; Univ Ottawa, Fac Med, Dept Epidemiol &amp; Community Med, Ottawa, ON, Canada; Univ Ottawa, McLaughlin Ctr Populat Hlth Risk Assessment, Ottawa, ON, Canada</t>
  </si>
  <si>
    <t>Zielinski, JM (corresponding author), Hlth Canada, Safe Environm Program, Healthy Environm &amp; Consumer Safety Branch, Room C414,Tupper Bldg,Address Locator 6604C, Ottawa, ON K1A 0L2, Canada.</t>
  </si>
  <si>
    <t>jan_zielinski@hc-sc.gc.ca</t>
  </si>
  <si>
    <t>J TOXICOL ENV HEAL A</t>
  </si>
  <si>
    <t>J. Toxicol. Env. Health Part A</t>
  </si>
  <si>
    <t>030AI</t>
  </si>
  <si>
    <t>ENVIRONMENTAL TOBACCO-SMOKE; PHILIP-MORRIS; LUNG-CANCER; INDUSTRY; SCIENCE; RISK; STRATEGIES; MARKET</t>
  </si>
  <si>
    <t>Johns Hopkins Bloomberg Sch Publ Hlth, Inst Global Tobacco Control, Dept Epidemiol, Baltimore, MD 21205 USA; Tobacco Policy Int, San Francisco, CA USA; WHO, CH-1211 Geneva, Switzerland</t>
  </si>
  <si>
    <t>Stillman, F (corresponding author), Johns Hopkins Bloomberg Sch Publ Hlth, Inst Global Tobacco Control, Dept Epidemiol, 615 N Wolfe St,Room W 6027, Baltimore, MD 21205 USA.</t>
  </si>
  <si>
    <t>fstillma@jhsph.edu</t>
  </si>
  <si>
    <t>NICOTINE TOB RES</t>
  </si>
  <si>
    <t>Nicotine Tob. Res.</t>
  </si>
  <si>
    <t>043UW</t>
  </si>
  <si>
    <t>public participation, waste facility management, geographical information systems, multi-criteria evaluation; environmental impact assessment, wmr 878-1</t>
  </si>
  <si>
    <t>ANALYTIC HIERARCHY PROCESS; DECISION-SUPPORT-SYSTEM; SITING MSW LANDFILLS; SUITABILITY ANALYSIS; FOREST MANAGEMENT; GIS; CRITERIA; SELECTION; CITIZEN; CHOICE</t>
  </si>
  <si>
    <t>Univ Glamorgan, Sch Comp, GIS Res Ctr, Pontypridd CF37 1DL, M Glam, Wales</t>
  </si>
  <si>
    <t>Higgs, G (corresponding author), Univ Glamorgan, Sch Comp, GIS Res Ctr, Pontypridd CF37 1DL, M Glam, Wales.</t>
  </si>
  <si>
    <t>ghiggs@glam.ac.uk</t>
  </si>
  <si>
    <t>035SW</t>
  </si>
  <si>
    <t>Tan, G; Gyllenhaal, C; Soejarto, DD</t>
  </si>
  <si>
    <t>Biodiversity as a source of anticancer drugs</t>
  </si>
  <si>
    <t>CURRENT DRUG TARGETS</t>
  </si>
  <si>
    <t>natural products; biodiversity; drug discovery; anticancer; convention on biological diversity; bioprospecting; international cooperative biodiversity groups; national cooperative drug discovery groups</t>
  </si>
  <si>
    <t>BREAST-CANCER CELLS; NATURAL-PRODUCT ANTICANCER; GREEN TEA POLYPHENOLS; ANTI-HIV AGENTS; NF-KAPPA-B; PROSTATE-CANCER; IN-VITRO; PERILLYL ALCOHOL; MOLECULAR TARGETS; CHEMOPREVENTIVE AGENT</t>
  </si>
  <si>
    <t>Natural Products have been the most significant source of drugs and drug leads in history. Their dominant role in cancer chemotherapeutics is clear with about 74% of anticancer compounds being either natural products, or natural product-derived. The biodiversity of the world provides a resource of unlimited structural diversity for bioprospecting by international drug discovery programs such as the ICBGs and NCDDGs, the latter focusing exclusively on anticancer compounds. However, many sources of natural products remain largely untapped. Technology is gradually overcoming the traditional difficulties encountered in natural products research by improving access to biodiverse resources, and ensuring the compatibility of samples with high throughput procedures. However, the acquisition of predictive biodiversity remains challenging. Plant and organism species may be selected on the basis of potentially useful phytochemical composition by consulting ethnopharmacological, chemosystematic, and ecological information. On the conservation/political front, the Convention on Biological Diversity (CBD) is allaying the anxiety surrounding the notion of biopiracy, which has defeated many attempts to discover and develop new natural products for human benefit. As it becomes increasingly evident and important, the CBD fosters cooperation and adaptation to new regulations and collaborative research agreements with source countries. Even as the past inadequacies of combinatorial chemistry are being analyzed, the intrinsic value of natural products as a source of drug leads is being increasingly appreciated. Their rich structural and stereochemical characterisics make them valuable as templates for exploring novel molecular diversity with the aim of synthesizing lead generation libraries with greater biological relevance. This will ensure an ample supply of starting materials for screening against the multitude of potentially druggable targets uncovered by genomics technologies. Far from being mutually exclusive, biodiversity and genomics should be the driving force of drug discovery in the 21st century.</t>
  </si>
  <si>
    <t>Univ Illinois, Coll Pharm, Program Collaborat Res Pharmaceut Sci, Chicago, IL 60612 USA; Field Museum Nat Hist, Dept Bot, Chicago, IL 60605 USA</t>
  </si>
  <si>
    <t>Soejarto, DD (corresponding author), Univ Illinois, Coll Pharm, Program Collaborat Res Pharmaceut Sci, 833 S Wood St, Chicago, IL 60612 USA.</t>
  </si>
  <si>
    <t>dds@uic.edu</t>
  </si>
  <si>
    <t>FOGARTY INTERNATIONAL CENTER [U01TW001015] Funding Source: NIH RePORTER; FIC NIH HHS [2-U01-TW001015-06, 1-U01-TW01015-01] Funding Source: Medline</t>
  </si>
  <si>
    <t>FOGARTY INTERNATIONAL CENTER(United States Department of Health &amp; Human ServicesNational Institutes of Health (NIH) - USANIH Fogarty International Center (FIC)); FIC NIH HHS(United States Department of Health &amp; Human ServicesNational Institutes of Health (NIH) - USANIH Fogarty International Center (FIC))</t>
  </si>
  <si>
    <t>BENTHAM SCIENCE PUBL LTD</t>
  </si>
  <si>
    <t>SHARJAH</t>
  </si>
  <si>
    <t>EXECUTIVE STE Y-2, PO BOX 7917, SAIF ZONE, 1200 BR SHARJAH, U ARAB EMIRATES</t>
  </si>
  <si>
    <t>1389-4501</t>
  </si>
  <si>
    <t>1873-5592</t>
  </si>
  <si>
    <t>CURR DRUG TARGETS</t>
  </si>
  <si>
    <t>Curr. Drug Targets</t>
  </si>
  <si>
    <t>10.2174/138945006776054942</t>
  </si>
  <si>
    <t>021EB</t>
  </si>
  <si>
    <t>WOS:000235965400004</t>
  </si>
  <si>
    <t>consultancy firms; control; identity; knowledge work</t>
  </si>
  <si>
    <t>SOCIAL IDENTITY; ORGANIZATIONAL IDENTITY; SELF-CATEGORIZATION; MANAGEMENT; CULTURE; IDENTIFICATION</t>
  </si>
  <si>
    <t>Lund Univ, Dept Business Adm, S-22100 Lund, Sweden; Coventry Univ, Fac Business Soc &amp; Environm, Coventry CV1 5FB, W Midlands, England</t>
  </si>
  <si>
    <t>Alvesson, M (corresponding author), Lund Univ, Dept Business Adm, Box 7082, S-22100 Lund, Sweden.</t>
  </si>
  <si>
    <t>mats.alvesson@fek.lu.se</t>
  </si>
  <si>
    <t>033LI</t>
  </si>
  <si>
    <t>politics; public policy; secondhand smoke; tobacco; tobacco smoke pollution</t>
  </si>
  <si>
    <t>SECONDHAND SMOKE; AIR-QUALITY; HONG-KONG; STRATEGY; SCIENCE</t>
  </si>
  <si>
    <t>Univ Calif San Francisco, Inst Cardiovasc Res, Inst Hlth Policy Studies, Ctr Tobacco Control Res &amp; Educ, San Francisco, CA 94143 USA</t>
  </si>
  <si>
    <t>Glantz, SA (corresponding author), Univ Calif San Francisco, Inst Cardiovasc Res, Inst Hlth Policy Studies, Ctr Tobacco Control Res &amp; Educ, 530 Parnassus Ave,Suite 366, San Francisco, CA 94143 USA.</t>
  </si>
  <si>
    <t>NATIONAL CANCER INSTITUTE [R01CA087472] Funding Source: NIH RePORTER; NCI NIH HHS [CA-87472] Funding Source: Medline</t>
  </si>
  <si>
    <t>NATIONAL CANCER INSTITUTE(United States Department of Health &amp; Human ServicesNational Institutes of Health (NIH) - USANIH National Cancer Institute (NCI)); NCI NIH HHS(United States Department of Health &amp; Human ServicesNational Institutes of Health (NIH) - USANIH National Cancer Institute (NCI))</t>
  </si>
  <si>
    <t>EUR J PUBLIC HEALTH</t>
  </si>
  <si>
    <t>Eur. J. Public Health</t>
  </si>
  <si>
    <t>011OQ</t>
  </si>
  <si>
    <t>Kothari, U</t>
  </si>
  <si>
    <t>Kothari, Uma</t>
  </si>
  <si>
    <t>From Colonialism to Development: Reflections of Former Colonial Officers</t>
  </si>
  <si>
    <t>COMMONWEALTH &amp; COMPARATIVE POLITICS</t>
  </si>
  <si>
    <t>Colonialism; international development; colonial administrators; development consultants</t>
  </si>
  <si>
    <t>This paper is concerned with the form and extent to which colonial discourses, cultures and practices continue to pervade the workings of the post-independence international development aid industry. It is based on the personal narratives of individuals involved in both colonial administration and subsequently in the field of development as expatriate consultants whose experiences provide a resource for interrogating the varied articulations of the transition from 'colonialism' to 'development cooperation' and the ongoing relationship between colonial forms of rule and governance and the purpose and practice of development. The paper highlights the performance of expertise and authority articulated through the forms of knowledge that were valorised at different moments and the spaces and relationships developed and mobilised by former colonial officers and contemporary development practitioners. It argues that being from, or of, the West whether as a representative of colonial or donor power ascribes status. However, the paper acknowledge that while this power and authority is sustained through different kinds of expertise, development is not always and in all places neo-colonial. Indeed, there have been significant changes with the opening up of the field over time not least in terms of the much more diverse gendered, racialised and class composition of those involved.</t>
  </si>
  <si>
    <t>[Kothari, Uma] Univ Manchester, Inst Dev Policy &amp; Management, Harold Hankins Bldg,Precinct Ctr,Oxford Rd, Manchester M13 9QH, Lancs, England</t>
  </si>
  <si>
    <t>Kothari, U (corresponding author), Univ Manchester, Inst Dev Policy &amp; Management, Harold Hankins Bldg,Precinct Ctr,Oxford Rd, Manchester M13 9QH, Lancs, England.</t>
  </si>
  <si>
    <t>uma.kothari@manchester.ac.uk</t>
  </si>
  <si>
    <t>1466-2043</t>
  </si>
  <si>
    <t>1743-9094</t>
  </si>
  <si>
    <t>COMMONW COMP POLIT</t>
  </si>
  <si>
    <t>Commonw. Comp. Polit.</t>
  </si>
  <si>
    <t>10.1080/14662040600624502</t>
  </si>
  <si>
    <t>V85AE</t>
  </si>
  <si>
    <t>WOS:000212492700007</t>
  </si>
  <si>
    <t>Choi, SM; Yoo, CJ; Chang, OB</t>
  </si>
  <si>
    <t>Gavrilova, M; Gervasi, O; Kumar, V; Tan, CJK; Taniar, D; Lagana, A; Mun, Y; Choo, H</t>
  </si>
  <si>
    <t>Choi, Seong-Man; Yoo, Cheol-Jung; Chang, Ok-Bae</t>
  </si>
  <si>
    <t>An efficient management of network traffic performance using framework-based performance management tool</t>
  </si>
  <si>
    <t>COMPUTATIONAL SCIENCE AND ITS APPLICATIONS - ICCSA 2006, PT 3</t>
  </si>
  <si>
    <t>Lecture Notes in Computer Science</t>
  </si>
  <si>
    <t>International Conference on Computational Science and Its Applications (ICCSA 2006)</t>
  </si>
  <si>
    <t>MAY 08-AUG 11, 2006</t>
  </si>
  <si>
    <t>Glasgow, SCOTLAND</t>
  </si>
  <si>
    <t>IEE,Univ Perugia,Univ Calgary,Univ Minnesota,Queens Univ, Belfast,ERCIM,OptimaNumerics,INTEL,AMD</t>
  </si>
  <si>
    <t>As the network-related technology develops the number of both internet users and the usage are explosively increasing. The networking traffic is increasing in the campus as the networking system inside universities, following the trend, adds more nodes and various networking services. Nonetheless, the quality of services for users has been degraded. Accordingly, core problems, which can cause troubles for network management, design and expansion of the network, and the cost policy, have developed. To effectively cope with the problems an analysis of a great number of technicians, tools, and budget are needed. However, it is not possible for mid and small-sized colleges to spend such a high expenditure for professional consulting. To reduce the cost and investment of creating an optimized environment, analysis of the replacement of the tools, changing the network structure, and performance analysis about capacity planning of networking is necessary. For this reason, in this paper, framework-based performance management tools are used for all steps that are related to the subject of the analysis for the network management. As the major research method, the current data in detailed categories are collected, processed, and analyzed to provide a meaningful solution to the problems. As a result we will be able to manage the network, server, and application more systematically and react efficiently to errors and degrading of performance that affect the networking tasks. Also, with the scientific and organized analyses the overall efficiency is upgraded by optimizing the cost for managing the operation of entire system.</t>
  </si>
  <si>
    <t>Chonbuk Natl Univ, Dept Comp Sci &amp; Stat Informat, Jeonju 561756, Jeonbuk, South Korea</t>
  </si>
  <si>
    <t>Choi, SM (corresponding author), Chonbuk Natl Univ, Dept Comp Sci &amp; Stat Informat, 664-14,1Ga,Duckjin Dong, Jeonju 561756, Jeonbuk, South Korea.</t>
  </si>
  <si>
    <t>sm3099@chonbuk.ac.kr; cjyoo@chonbuk.ac.kr; okjang@chonbuk.ac.kr</t>
  </si>
  <si>
    <t>SPRINGER-VERLAG BERLIN</t>
  </si>
  <si>
    <t>HEIDELBERGER PLATZ 3, D-14197 BERLIN, GERMANY</t>
  </si>
  <si>
    <t>3-540-34075-0</t>
  </si>
  <si>
    <t>LECT NOTES COMPUT SC</t>
  </si>
  <si>
    <t>Computer Science, Information Systems; Computer Science, Theory &amp; Methods</t>
  </si>
  <si>
    <t>BEL01</t>
  </si>
  <si>
    <t>WOS:000237648300025</t>
  </si>
  <si>
    <t>Manoliadis, O; Tsolas, I; Nakou, A</t>
  </si>
  <si>
    <t>Manoliadis, Odysseus; Tsolas, Ioannis; Nakou, Alexandra</t>
  </si>
  <si>
    <t>Sustainable construction and drivers of change in Greece: a Delphi study</t>
  </si>
  <si>
    <t>Change; sustainable construction; Delphi method; Greece; construction policy</t>
  </si>
  <si>
    <t>During the last decade, sustainable development issues have been gradually adopted in Greece's construction industry, changing the traditional methods and technology. The aim of this investigation is to identify potential drivers of change, to position them properly in the wider context of sustainable construction and to outline the progress to be expected in the coming decade. The methodological framework used is a Delphi technique based on a questionnaire of 20 experts (consultant engineers, construction managers and contractors). The results show that the most important influences on sustainable construction in Greece are energy conservation measures, resource conservation strategies and waste reduction. In terms of the initiatives expected in the coming decade, energy conservation measures, waste reduction measures, as well as product innovation and certification are expected to rank high. In conclusion, the results are consistent with those of previous researchers showing significant trends towards land use, energy, and resource conservation.</t>
  </si>
  <si>
    <t>[Manoliadis, Odysseus] Technol Educ Inst Western Macedonia, GR-50100 Koila Kozani, Greece; [Tsolas, Ioannis] Natl Tech Univ Athens, Sch Appl Math &amp; Phys, GR-15780 Athens, Greece; [Nakou, Alexandra] Hellenic Open Univ, GR-16422 Patras, Greece</t>
  </si>
  <si>
    <t>Manoliadis, O (corresponding author), Technol Educ Inst Western Macedonia, GR-50100 Koila Kozani, Greece.</t>
  </si>
  <si>
    <t>omano@tee.gr</t>
  </si>
  <si>
    <t>10.1080/01446190500204804</t>
  </si>
  <si>
    <t>V95JS</t>
  </si>
  <si>
    <t>WOS:000213193500002</t>
  </si>
  <si>
    <t>Lynch, R; Leo, S; Downing, K</t>
  </si>
  <si>
    <t>Lynch, Richard; Leo, Soon; Downing, Kevin</t>
  </si>
  <si>
    <t>Context dependent learning: its value and impact for workplace education</t>
  </si>
  <si>
    <t>EDUCATION AND TRAINING</t>
  </si>
  <si>
    <t>Workplace learning; Organizational culture; Performance levels; Educational policy</t>
  </si>
  <si>
    <t>Purpose - The purpose of this paper is to describe how a management development programme based on situated learning theory resulted in change for individuals, organisational culture and performance. The case study illustrates how new understandings about learning in the workplace and in higher education points towards the need to take account of the context in which learners utilise their knowledge and skills. Design/methodology/approach - Quantitative and qualitative strategies were used to provide an evaluation of the impact of a management development programme in a group of companies. A questionnaire, focus groups and semi-structured interviews were used to collect data on three cohorts of supervisors and middle managers at different stages of the programme. A triangulated approach was adopted towards data analysis that illuminated a broad and deep change process. Findings - Positive cultural change was a significant benefit to the host organisation from the training programme. It was apparent that training can move beyond individual development to bring about organisational gains. Research limitations/implications - Future research might adopt a longitudinal design and facilitate a co-researcher approach using students' learning logs of workplace experiences. Practical implications - Situated approaches to learning in higher education and the workplace need to be developed further to enhance workplace performance. A proposal is made for learning consultants to move between the two environments and facilitate knowledge exchange and improve understanding of the variety of learning contexts in business and educational settings. Originality/value - A data driven case study on the relationship between training, culture and organisational performance suggests that new approaches to learning require partnerships between the worlds of work and university that traverses theory, practice and personnel.</t>
  </si>
  <si>
    <t>[Lynch, Richard] Sheffield Hallam Univ, Fac Dev &amp; Soc, Sheffield, S Yorkshire, England; [Leo, Soon] SLA Ltd, Exeter, Devon, England; [Downing, Kevin] City Univ Hong Kong, Hong Kong, Hong Kong, Peoples R China</t>
  </si>
  <si>
    <t>Lynch, R (corresponding author), Sheffield Hallam Univ, Fac Dev &amp; Soc, Sheffield, S Yorkshire, England.</t>
  </si>
  <si>
    <t>r.lynch@shu.ac.uk</t>
  </si>
  <si>
    <t>Downing, Kevin/0000-0001-7328-0056</t>
  </si>
  <si>
    <t>0040-0912</t>
  </si>
  <si>
    <t>1758-6127</t>
  </si>
  <si>
    <t>EDUC TRAIN</t>
  </si>
  <si>
    <t>Educ. Train.</t>
  </si>
  <si>
    <t>10.1108/00400910610645707</t>
  </si>
  <si>
    <t>V98YR</t>
  </si>
  <si>
    <t>WOS:000213435200017</t>
  </si>
  <si>
    <t>Stenmark, D</t>
  </si>
  <si>
    <t>Stenmark, Dick</t>
  </si>
  <si>
    <t>Corporate intranet failures: interpreting a case study through the lens of formative context</t>
  </si>
  <si>
    <t>INTERNATIONAL JOURNAL OF BUSINESS ENVIRONMENT</t>
  </si>
  <si>
    <t>empowerment; formative context; infrastructure; intranet management</t>
  </si>
  <si>
    <t>Although intranets are well-established information environments, companies complain that their intranets are left under-utilised. Consulting the standard management literature, it seems the medicine typically prescribed is tighter management control. In this study, we examine the use of and the attitudes towards an international company's intranet. Although the respondents' testimonies seem to be in line with existing literature, advocating centrality and control, we argue that this is only a superficial pattern. When the informants' statements are not accepted as facts but instead critically questioned to reveal the underlying attitudes, an alternative view emerges. Applying the notion of formative context to the intranet, we uncover the institutionalised cognitive frames governing the actors' reasoning and explain the clashes between the espoused theory of intranet usage and the theory-in-use. In compliance with previous studies of information infrastructure, we conclude that intranet management, too, is centred on control as the supreme management objective.</t>
  </si>
  <si>
    <t>[Stenmark, Dick] IT Univ Goteborg, Dept Appl IT, POB 8718, SE-40275 Gothenburg, Sweden</t>
  </si>
  <si>
    <t>Stenmark, D (corresponding author), IT Univ Goteborg, Dept Appl IT, POB 8718, SE-40275 Gothenburg, Sweden.</t>
  </si>
  <si>
    <t>dist@ituniv.se</t>
  </si>
  <si>
    <t>1740-0589</t>
  </si>
  <si>
    <t>1740-0597</t>
  </si>
  <si>
    <t>INT J BUS ENVIRON</t>
  </si>
  <si>
    <t>Int. J. Bus. Environ.</t>
  </si>
  <si>
    <t>10.1504/IJBE.2006.010131</t>
  </si>
  <si>
    <t>VD1UH</t>
  </si>
  <si>
    <t>WOS:000436186500006</t>
  </si>
  <si>
    <t>Linowes, R; Hupert, MB</t>
  </si>
  <si>
    <t>Linowes, Richard; Hupert, Mollie Brown</t>
  </si>
  <si>
    <t>The tropical waste dilemma: waste management in Panama</t>
  </si>
  <si>
    <t>INTERNATIONAL JOURNAL OF EMERGING MARKETS</t>
  </si>
  <si>
    <t>Waste management; Recycling; Public health; Privatization; Panama; Canals</t>
  </si>
  <si>
    <t>Purpose - The Panamanian Government wants to spur economic development along the shores of the Panama Canal, but inadequate waste disposal capabilities discourage substantial investment. Squatters and scavengers now also live on the largest landfill in the area and their living conditions pose serious public health risks to the entire region. Unchecked trash disposal actually threatens the physical operation of the Panama Canal, essential to the country's and world economy, because clogged rivers and streams prevent the flow of water required to move ships through this passageway connecting Atlantic and Pacific Oceans. A governmental task force is charged with addressing these problems and they have summoned a team of American consultants to recommend an action plan for modernizing and improving the waste management system of the entire inter-oceanic region. This paper aims to examine this. Design/methodology/approach - Data were collected through field research. Findings - In their research, the IDG consultants found that the typical urban Panamanian had a casual attitude towards waste. Littering was common practice. The waste management industry all over the world seemed to have its share of shady deals, corruption and scavenger activity coupled with atrocious living conditions. The Panamanian situation was no different. The IDG team struggled with the issues and their recommendations for recycling and waste management along the Panama Canal. The four Panamanian governmental representatives would have ultimate authority in deciding whether to implement their recommended course of action. Practical implications - This field-based case study explores the range of public and private institutions that might play a role in resolving the waste management problems of the country. Originality/value - The paper is case study of environmental issues in an emerging market.</t>
  </si>
  <si>
    <t>[Linowes, Richard] Amer Univ, Kogod Sch Business, Washington, DC 20016 USA; [Hupert, Mollie Brown] Univ Washington, Washington, DC USA</t>
  </si>
  <si>
    <t>Linowes, R (corresponding author), Amer Univ, Kogod Sch Business, Washington, DC 20016 USA.</t>
  </si>
  <si>
    <t>linowes@american.edu</t>
  </si>
  <si>
    <t>1746-8809</t>
  </si>
  <si>
    <t>1746-8817</t>
  </si>
  <si>
    <t>INT J EMERG MARK</t>
  </si>
  <si>
    <t>Int. J. Emerg. Mark.</t>
  </si>
  <si>
    <t>10.1108/17468800610674453</t>
  </si>
  <si>
    <t>Business; Economics; Management</t>
  </si>
  <si>
    <t>V18GT</t>
  </si>
  <si>
    <t>WOS:000214740600004</t>
  </si>
  <si>
    <t>Univ Michigan, Ann Arbor, MI 48109 USA</t>
  </si>
  <si>
    <t>Foa, R (corresponding author), Univ Michigan, Ann Arbor, MI 48109 USA.</t>
  </si>
  <si>
    <t>MARKET RESEARCH SOC</t>
  </si>
  <si>
    <t>15 NORTHBURGH ST, LONDON EC1V  0JR, ENGLAND</t>
  </si>
  <si>
    <t>INT J MARKET RES</t>
  </si>
  <si>
    <t>Int. J. Market Res.</t>
  </si>
  <si>
    <t>10.1177/147078530604800103</t>
  </si>
  <si>
    <t>007DF</t>
  </si>
  <si>
    <t>Laurent, C; Cerf, M; Labarthe, P</t>
  </si>
  <si>
    <t>Laurent, Catherine; Cerf, Marianne; Labarthe, Pierre</t>
  </si>
  <si>
    <t>Agricultural Extension Services and Market Regulation: Learning from a Comparison of Six EU Countries</t>
  </si>
  <si>
    <t>JOURNAL OF AGRICULTURAL EDUCATION &amp; EXTENSION</t>
  </si>
  <si>
    <t>Agriculture; Agricultural extension services; Institutions; Agricultural policy; Services</t>
  </si>
  <si>
    <t>If farmers are to meet the new challenges facing agriculture (environment, rural development, etc.), appropriate knowledge has to be produced. But observations in six EU countries (France, Germany, Greece, the Netherlands, Spain and the UK) show that unexpected problems arise when technical support for agriculture is linked to market regulation, as recommended since the late 1980s. The source of these problems can be understood better by applying concepts from the service economy: i) The production of new knowledge requires strong interaction between service providers (technical support bodies) and beneficiaries (farmers). The weakening of non-market regulation procedures, which partly guaranteed these possibilities of interaction, makes the conception of an advisory service difficult. ii) As soon as consultancy becomes a paying service, some beneficiaries reduce technical interaction with their colleagues in order to benefit from a productive advantage, and the 'multipliable' nature of new knowledge is reduced. iii) An increasing number of farmers are excluded from the benefits of technical support even though they help to provide services that society expects from agriculture (management of the land, maintenance of activities in low-density areas). iv) The responsibility for combining contradictory requirements (competitiveness, environment, rural development) is most often put on the shoulders of individual farmers who are unequipped to deal with such complex issues. Observed trends attest to the fact that effects often run counter to the stated agricultural and rural development objectives of policies.</t>
  </si>
  <si>
    <t>[Laurent, Catherine; Cerf, Marianne; Labarthe, Pierre] INRA, Paris, France</t>
  </si>
  <si>
    <t>Laurent, C (corresponding author), INRA, Sci Act &amp; Dev UMR SAD APT, 16 Rue Claude Bernard, F-75231 Paris 5, France.</t>
  </si>
  <si>
    <t>laurent@inapg.inra.fr</t>
  </si>
  <si>
    <t>1389-224X</t>
  </si>
  <si>
    <t>1750-8622</t>
  </si>
  <si>
    <t>J AGRIC EDUC EXT</t>
  </si>
  <si>
    <t>J. Agric. Educ. Ext.</t>
  </si>
  <si>
    <t>10.1080/13892240600740787</t>
  </si>
  <si>
    <t>V86ZJ</t>
  </si>
  <si>
    <t>WOS:000212625800002</t>
  </si>
  <si>
    <t>cleaner production; implementation; regulatory climate; incentive programs; sustainable development; aerospace; automotive; wine; textile; wood industry; coffee; dairy; regulation; incentive</t>
  </si>
  <si>
    <t>EnviroStewards Inc, Elmira, ON N3B 3J9, Canada</t>
  </si>
  <si>
    <t>Taylor, B (corresponding author), EnviroStewards Inc, 1 Union St, Elmira, ON N3B 3J9, Canada.</t>
  </si>
  <si>
    <t>btaylor@enviro-stewards.com</t>
  </si>
  <si>
    <t>033ZL</t>
  </si>
  <si>
    <t>sustainability; higher education; policy</t>
  </si>
  <si>
    <t>Dalhousie Univ, Fac Sci Environm Programmes, Halifax, NS B3H 4R2, Canada</t>
  </si>
  <si>
    <t>Wright, TSA (corresponding author), Dalhousie Univ, Fac Sci Environm Programmes, Halifax, NS B3H 4R2, Canada.</t>
  </si>
  <si>
    <t>tarah.wright@dal.ca</t>
  </si>
  <si>
    <t>Wright, Tarah/0000-0001-7210-2039</t>
  </si>
  <si>
    <t>045QM</t>
  </si>
  <si>
    <t>Life Cycle Design; design guidelines; environmental criteria; checklist</t>
  </si>
  <si>
    <t>Politecn Milan Univ, INDACO Dept, DIS, Res Unit, I-20158 Milan, Italy</t>
  </si>
  <si>
    <t>Vezzoli, C (corresponding author), Politecn Milan Univ, INDACO Dept, DIS, Res Unit, Via Durando 38-A, I-20158 Milan, Italy.</t>
  </si>
  <si>
    <t>cario.vezzoli@polimi.it; dalia.sciama@polimi.it</t>
  </si>
  <si>
    <t>Vezzoli, Carlo/AAX-8816-2020</t>
  </si>
  <si>
    <t>081DX</t>
  </si>
  <si>
    <t>human resource management; managers; training; management consultancy</t>
  </si>
  <si>
    <t>Alexandru Ioan Cuza Univ, Iasi, Romania</t>
  </si>
  <si>
    <t>Constantin, T (corresponding author), Alexandru Ioan Cuza Univ, Iasi, Romania.</t>
  </si>
  <si>
    <t>112KF</t>
  </si>
  <si>
    <t>Boyko, CT; Cooper, R; Davey, CL; Wootton, AB</t>
  </si>
  <si>
    <t>Boyko, Christopher T.; Cooper, Rachel; Davey, Caroline L.; Wootton, Andrew B.</t>
  </si>
  <si>
    <t>Addressing sustainability early in the urban design process</t>
  </si>
  <si>
    <t>Urban areas; Design and development; Decision making; Sustainable design; Regeneration</t>
  </si>
  <si>
    <t>Purpose - Designers and planners in the UK are being asked by government to address sustainability. This paper seeks to explore how such issues can be addressed with the urban design process. From the literature, it is unclear when specific sustainability issues should be addressed, who actually makes decisions and what influences them, or how different stakeholders are engaged. Design/methodology/approach - A case study is presented, focusing on the early stages of an urban design and redevelopment process taking place in a deprived region of the UK. Interviews with key decision-makers and observations were conducted and subsequently analysed using content analysis. Findings - The findings show that the process adopted by clients and consultants was relatively similar to that identified by the literature. The importance of creating a sustainable community, and of addressing deprivation and poor services was recognised from the outset. Sustainability was referred to in the briefing to select a team of consultants to develop a vision and regeneration framework. However, specific problems related to sustainability, such as crime and poor health, were not communicated through the briefing documents, for fear of deterring private investment. Indeed, the need to attract private investment was a key aspect of early stage of the urban design process. Originality/value - This paper highlights potential difficulties of addressing sustainability at the early stage of the design process, when private sector backing is such a crucial component of the regeneration.</t>
  </si>
  <si>
    <t>[Boyko, Christopher T.; Cooper, Rachel; Davey, Caroline L.; Wootton, Andrew B.] Univ Salford, Salford, Lancs, England</t>
  </si>
  <si>
    <t>Boyko, CT (corresponding author), Univ Salford, Salford, Lancs, England.</t>
  </si>
  <si>
    <t>c.boyko@salford.ac.uk</t>
  </si>
  <si>
    <t>Cooper, Rachel/0000-0003-1503-1304; Boyko, Christopher Thomas/0000-0001-5642-5911</t>
  </si>
  <si>
    <t>10.1108/14777830610702520</t>
  </si>
  <si>
    <t>VB2XM</t>
  </si>
  <si>
    <t>WOS:000415237400017</t>
  </si>
  <si>
    <t>Univ Calif Berkeley, Goldman Sch Publ Policy, Berkeley, CA 94720 USA</t>
  </si>
  <si>
    <t>O'Hare, M (corresponding author), Univ Calif Berkeley, Goldman Sch Publ Policy, Berkeley, CA 94720 USA.</t>
  </si>
  <si>
    <t>117IO</t>
  </si>
  <si>
    <t>CORE-PERIPHERY MODEL; INCOME-DISTRIBUTION; INVESTMENT INCENTIVES; RETROSPECTIVE VIEW; ECONOMIC-GROWTH; POLE STRATEGIES; POVERTY; INEQUALITY; IMPACT; LABOR</t>
  </si>
  <si>
    <t>Ben Gurion Univ Negev, Dept Publ Policy &amp; Adm, Sch Management, IL-84105 Beer Sheva, Israel; Ben Gurion Univ Negev, Dept Business Adm, Sch Management, IL-84105 Beer Sheva, Israel</t>
  </si>
  <si>
    <t>Bar-El, R (corresponding author), Ben Gurion Univ Negev, Dept Publ Policy &amp; Adm, Sch Management, POB 653, IL-84105 Beer Sheva, Israel.</t>
  </si>
  <si>
    <t>rbarel@som.bgu.ac.il; dafnasch@som.bgu.ac.il</t>
  </si>
  <si>
    <t>1873-4510</t>
  </si>
  <si>
    <t>052MG</t>
  </si>
  <si>
    <t>Hashemite Univ, Fac Nat Resources &amp; Environm, Zarqa 13115, Jordan</t>
  </si>
  <si>
    <t>Hamdi, MR (corresponding author), Hashemite Univ, Fac Nat Resources &amp; Environm, POB 150459, Zarqa 13115, Jordan.</t>
  </si>
  <si>
    <t>moshrik@hu.edu.jo</t>
  </si>
  <si>
    <t>993NZ</t>
  </si>
  <si>
    <t>SPANNING INDIVIDUALS; PROJECT PERFORMANCE; TRANSFORMATION; COMMUNICATION; GATEKEEPERS; INTEGRATION; EXPERIENCE; DISCOURSE; POLITICS; ROLES</t>
  </si>
  <si>
    <t>City Univ London, Cass Business Sch, London EC1Y 8TZ, England; Open Univ, Sch Business, Milton Keynes MK7 6AA, Bucks, England; Univ Bath, Sch Management, Bath BA2 7AY, Avon, England; Univ Cambridge, Judge Inst Management Studies, Cambridge, England</t>
  </si>
  <si>
    <t>Balogun, J (corresponding author), City Univ London, Cass Business Sch, 106 Bunhill Row, London EC1Y 8TZ, England.</t>
  </si>
  <si>
    <t>j.balogun@city.ac.uk; Pauline@sgleadle.freeserve.co.uk; v.h.hailey@bath.ac.uk; h.willmott@jims.cam.ac.uk</t>
  </si>
  <si>
    <t>987KJ</t>
  </si>
  <si>
    <t>Denzer, R; Riparbelli, C; Villa, M; Guttler, R</t>
  </si>
  <si>
    <t>GIMMI: Geographic information and mathematical models inter-operability</t>
  </si>
  <si>
    <t>ENVIRONMENTAL MODELLING &amp; SOFTWARE</t>
  </si>
  <si>
    <t>International Symposium on Environmental Software Systems (ISESS 2003)</t>
  </si>
  <si>
    <t>Semmering, AUSTRIA</t>
  </si>
  <si>
    <t>geographic information systems; mathematical models; inter-operability; web-services; pesticide risk assessment; pesticide leaching</t>
  </si>
  <si>
    <t>DECISION-SUPPORT-SYSTEM</t>
  </si>
  <si>
    <t>GIMM1(2) project, started in April 2002, aims at bridging the gap of communication in the pesticide impact assessment domain between data providers (soil, meteorology, agronomy, pesticide experts), scientists (chemists, geologists, modellers and academic institutions), service providers (local and central governments, public administration bodies, private chemical industries manufacturing pesticides) and final users (agronomists, consultants and even citizens). This can be achieved by allowing the inter-operability via Web of Geographic Information Systems (GIS), environmental protection data and service (e.g. mathematical models) providers physically distributed, by providing the proper IT structures to represent and manage temporal knowledge, and by integrating state-of-the-art legacy systems for document management and report generation. The main results of GIMMI will be an open Web brokerage system supporting different web-services such as: On-line Data Access to seek and drill down into huge amount of distributed Geographic Information; On/Off-line Simulations allowing interrelation of distributed databases to run mathematical models. Open systems means that new data and service providers can easily be integrated in the running system while remaining autonomous. The validation scenario chosen for GIMMI is the field of pesticides impact assessment in agriculture practices and Land Protection, by the adoption of four alternative EC-validated pesticide leaching models. (C) 2005 Elsevier Ltd. All rights reserved.</t>
  </si>
  <si>
    <t>Saarland State Univ Appl Sci, Environm Informat Grp, Homburg, Germany; ERSAF, Milan, Italy; TXT e Solut Spa, I-20126 Milan, Italy</t>
  </si>
  <si>
    <t>Denzer, R (corresponding author), Saarland State Univ Appl Sci, Environm Informat Grp, Homburg, Germany.</t>
  </si>
  <si>
    <t>denzer@enviromatics.net; riparbelli@ersaf.it; matteo.villa@txt.it; guettler@enviromatics.net</t>
  </si>
  <si>
    <t>1364-8152</t>
  </si>
  <si>
    <t>ENVIRON MODELL SOFTW</t>
  </si>
  <si>
    <t>Environ. Modell. Softw.</t>
  </si>
  <si>
    <t>10.1016/j.envsoft.2004.07.018</t>
  </si>
  <si>
    <t>Computer Science, Interdisciplinary Applications; Engineering, Environmental; Environmental Sciences; Water Resources</t>
  </si>
  <si>
    <t>Computer Science; Engineering; Environmental Sciences &amp; Ecology; Water Resources</t>
  </si>
  <si>
    <t>969SZ</t>
  </si>
  <si>
    <t>WOS:000232256300004</t>
  </si>
  <si>
    <t>Trejos, A</t>
  </si>
  <si>
    <t>Trejos, Alberto</t>
  </si>
  <si>
    <t>Bilateral and Regional Free Trade Agreements, and Their Relationship with the WTO and the Doha Development Agenda</t>
  </si>
  <si>
    <t>WTO; Doha; free trade agreements</t>
  </si>
  <si>
    <t>The Doha Round differs from previous multilateral rounds since a number of participating countries are negotiating and implementing bilateral and regional free trade agreements (FTAs) at the same time as they are negotiating multilaterally. The standard arguments against FTAs involve that they create trade diversion, are difficult to administrate, involve complex rules of origin that impost added costs on firms, and attract the attention and political capital of policy makers away from the multilateral negotiation. This paper poses other arguments about FTAs being beneficial to the multilateral process. For instance, they have allowed some countries to achieve zero tariffs with all their main trading partners, and therefore a large majority of their trade, and often involve reforms in sensitive issues that, once undertaken, allow governments to assume a more offensive position at the WTO. Most importantly, by creating trade diversion away from countries that act as laggards in all negotiation fronts, they generate the competitive pressure that can move those nations to assume a more constructive position in the multilateral negotiations; also, it may be easier to harmonize existing FTAs than to seek comprehensive plurilateral and multilateral agreements from scratch. Beyond the discussion of whether FTAs help or hinder multilateral progress, the paper discusses changes in the multilateral rules, and best practices in bilateral negotiations, that can help make both fronts better complements. The issues mentioned include guidelines among rules of origin, origin accumulation, harmonization of standing agreements, bilateral trade facilitation and solutions to preference erosion. Alberto Trejos is a Professor at INCAE in Costa Rica. From 1994-1998, he was Dean of INCAE, and General Director of its Latin American Center for Competitiveness and Sustainable Development from 1999-2002. He was a professor in the Economics Department of Northwestern University from 1994-98. He has also been a visiting professor and researcher at the Institut d' Analisi Economica de Barcelona, the Federal Reserve Bank of Minneapolis, Fundacao Getulio Vargas of Rio de Janeiro, and the University of Texas. As Minister of Foreign Trade of Costa Rica in 2002-04, he was responsible for the negotiation of CAFTA and of the CARICOM-Costa Rica FTA. He was in charge of Costa Rica s ratification of its FTA with Canada and its entry into the Central American Customs Union. Trejos is a consultant for several companies, governments, and international organizations, President of CINDE (Costa Rican Investment Board), and a board member of several corporations and organizations. He has published extensively in leading journals, and he has been a National Science Foundation grantee and a Fulbright scholar. He received a PhD from the University of Pennsylvania in 1994.</t>
  </si>
  <si>
    <t>[Trejos, Alberto] INCAE, Alajuela, Costa Rica; [Trejos, Alberto] Latin Amer Ctr Competitiveness &amp; Sustainable Dev, Alajuela, Costa Rica; [Trejos, Alberto] Northwestern Univ, Econ Dept, Evanston, IL 60208 USA; [Trejos, Alberto] Inst Anal Econ Barcelona, Barcelona, Spain; [Trejos, Alberto] Fed Reserve Bank Minneapolis, Minneapolis, MN USA; [Trejos, Alberto] Fundacao Getulio Vargas Rio de Janeiro, Rio De Janeiro, Brazil; [Trejos, Alberto] Univ Texas, Rio De Janeiro, Brazil; [Trejos, Alberto] CINDE Costa Rican Investment Board, Rio De Janeiro, Brazil</t>
  </si>
  <si>
    <t>Trejos, A (corresponding author), INCAE, Alajuela, Costa Rica.</t>
  </si>
  <si>
    <t>alberto.trejos@incae.edu</t>
  </si>
  <si>
    <t>10.2202/1524-5861.1153</t>
  </si>
  <si>
    <t>VF1UQ</t>
  </si>
  <si>
    <t>WOS:000442148200018</t>
  </si>
  <si>
    <t>communication; power; scandal; space; visibility</t>
  </si>
  <si>
    <t>Univ Cambridge, Cambridge, England</t>
  </si>
  <si>
    <t>Thompson, JB (corresponding author), Univ Cambridge, Cambridge, England.</t>
  </si>
  <si>
    <t>THEOR CULT SOC</t>
  </si>
  <si>
    <t>Theory Cult. Soc.</t>
  </si>
  <si>
    <t>Cultural Studies</t>
  </si>
  <si>
    <t>992TW</t>
  </si>
  <si>
    <t>adaptation; climate change; decision-making framework; risk assessment; risk management; water resources</t>
  </si>
  <si>
    <t>Univ Oxford, Environm Change Inst, UK Climate Impacts Programme, Oxford, England</t>
  </si>
  <si>
    <t>WATER ENVIRON J</t>
  </si>
  <si>
    <t>Water Environ. J.</t>
  </si>
  <si>
    <t>998FX</t>
  </si>
  <si>
    <t>biodiversity persistence; biodiversity representation; implementation; land-use planning; mainstreaming; systematic conservation planning</t>
  </si>
  <si>
    <t>CAPE FLORISTIC REGION; SUSTAINABLE USE; BIODIVERSITY; ECOLOGY; HABITAT; GOVERNANCE; RESERVES; MAMMALS; PEOPLE; FUTURE</t>
  </si>
  <si>
    <t>Nelson Mandela Metropolitan Univ, Dept Bot &amp; Terr Ecol, Res Unit, ZA-6031 Port Elizabeth, South Africa; S African Natl Biodivers Inst, Kirstenbosch Res Ctr, ZA-7735 Claremont, South Africa</t>
  </si>
  <si>
    <t>Cowling, RM (corresponding author), Nelson Mandela Metropolitan Univ, Dept Bot &amp; Terr Ecol, Res Unit, POB 77000, ZA-6031 Port Elizabeth, South Africa.</t>
  </si>
  <si>
    <t>rmc@kingsley.co.za</t>
  </si>
  <si>
    <t>Knight, Andrew Thomas/C-8394-2009; Rouget, Mathieu/B-7249-2008; Cowling, Richard/AFU-6261-2022; Lombard, Mandy/AAE-4649-2019</t>
  </si>
  <si>
    <t>Knight, Andrew Thomas/0000-0002-6563-0500; Rouget, Mathieu/0000-0003-1836-7727; Lombard, Mandy/0000-0002-4323-1170; Rouget, Mathieu/0000-0002-6172-3152</t>
  </si>
  <si>
    <t>944RQ</t>
  </si>
  <si>
    <t>capacity building; health promotion; organizational capacity</t>
  </si>
  <si>
    <t>Univ Sydney, Australian Ctr Hlth Promot, Sydney, NSW, Australia; Univ Sydney, Coll Hlth Sci, Sydney, NSW, Australia</t>
  </si>
  <si>
    <t>Tang, KC (corresponding author), WHO, Dept Chron Dis &amp; Hlth Promot, 20 Ave Appia, CH-1211 Geneva, Switzerland.</t>
  </si>
  <si>
    <t>tangkc@who.int</t>
  </si>
  <si>
    <t>Nutbeam, Don/AAU-1571-2021</t>
  </si>
  <si>
    <t>961WU</t>
  </si>
  <si>
    <t>GULF-OF-CALIFORNIA; UNCERTAINTY; DELTA; WATER; MODEL</t>
  </si>
  <si>
    <t>Harvard Univ, Grad Sch Design, Dept Landscape Architecture, Cambridge, MA 02138 USA</t>
  </si>
  <si>
    <t>Shearer, AW (corresponding author), Harvard Univ, Grad Sch Design, Dept Landscape Architecture, 48 Quincy St, Cambridge, MA 02138 USA.</t>
  </si>
  <si>
    <t>ashearer@post.harvard.edu</t>
  </si>
  <si>
    <t>936VM</t>
  </si>
  <si>
    <t>Rudan, P; Sujoldzic, A; Skaric-Juric, T; Kolcic, I; Polasek, W; Rudan, I</t>
  </si>
  <si>
    <t>Impact analysis of a regional scientific journal (1980-2000): Supporting promising local researchers pays the greatest dividends</t>
  </si>
  <si>
    <t>COLLEGIUM ANTROPOLOGICUM</t>
  </si>
  <si>
    <t>scientific journal; editorial policy; citation analysis</t>
  </si>
  <si>
    <t>ANTHROPOLOGICAL RESEARCH; ISLAND; CROATIA; HVAR; YUGOSLAVIA</t>
  </si>
  <si>
    <t>During the past 28 years, the journal &gt;&gt; Collegium Antropologicum &lt;&lt; has continuously served as one of the main disseminators of anthropological scientific production in Central and Eastern Europe. The journal was committed to its role of a multidisciplinary platform for presenting wide range of research topics relevant to anthropology, from investigations within social and cultural anthropology and archaeology to those covering contemporary population genetics, human evolution and biomedical issues. Two key strategies aimed at sustaining and increasing the impact of this journal were oriented towards: i) identification of promising local groups of researchers who were at disadvantage by many aspects (e.g. educational curricula, financial supports, language barriers etc.) when trying to publish their research internationally, and ii) invitation and encouragement of already established international scientists to make contributions for &gt;&gt; Collegium Antropologicum &lt;&lt;. From 1980-2000, 89 articles (or 6.3% of all published papers during that period) were cited 6 or more times, contributing disproportionately to journal's impact (nearly a third of all citations received). In an attempt to identify such papers more readily among the submissions to the journal in the future, we analyzed research topics and affiliations of the authors among the 89 papers receiving most citations in comparison to all papers published. Among the papers most frequently cited, we found greater-than-expected prevalence of Croatian researchers (especially when publishing in collaboration with international scientists) and studies of special populations. Several papers received more than 25 citations or had overall citation intensity greater than 2 per year This implies that an interesting article from a local group of researchers can still resonate with international audience although published in a regional journal. Present analysis supports current editorial strategy that with a help of the international consulting editorial board continuously improves international recognition of this journal. The results imply that a balanced encouragement to promising local groups of researchers and to contributions of already established international scientists is a strategy superior to others in maintaining and increasing the impact of this regional journal.</t>
  </si>
  <si>
    <t>Inst Antropol Res, Zagreb 10000, Croatia; Univ Zagreb, Sch Med, Dept Med Stat Epidemiol &amp; Med Informat, Andrija Stampar Sch Publ Hlth, Zagreb 41000, Croatia</t>
  </si>
  <si>
    <t>Rudan, P (corresponding author), Inst Antropol Res, POB 290,Amruseva 8, Zagreb 10000, Croatia.</t>
  </si>
  <si>
    <t>pavao.rudan@inantro.hr</t>
  </si>
  <si>
    <t>Rudan, Igor/I-1467-2012; Kolcic, Ivana/E-2713-2017; Skaric-Juric, Tatjana/H-5997-2011; Polasek, Ozren/B-6002-2011</t>
  </si>
  <si>
    <t>Rudan, Igor/0000-0001-6993-6884; Kolcic, Ivana/0000-0001-7918-6052; Polasek, Ozren/0000-0002-5765-1862; Skaric-Juric, Tatjana/0000-0003-3708-6170</t>
  </si>
  <si>
    <t>INST ANTHROPOLOGICAL RES, P O BOX 290, ULICA GRADA VUKOVARA 72/IV, 10000 ZAGREB, CROATIA</t>
  </si>
  <si>
    <t>0350-6134</t>
  </si>
  <si>
    <t>COLLEGIUM ANTROPOL</t>
  </si>
  <si>
    <t>Coll. Anthropol.</t>
  </si>
  <si>
    <t>947UW</t>
  </si>
  <si>
    <t>WOS:000230673800001</t>
  </si>
  <si>
    <t>Univ S Australia, Sch Commerce, Ctr Comparat Water Policies &amp; Lawas, Div Business, Adelaide, SA 5000, Australia</t>
  </si>
  <si>
    <t>Pisaniello, JD (corresponding author), Univ S Australia, Sch Commerce, Ctr Comparat Water Policies &amp; Lawas, Div Business, Way Lee Bldg,City W Campus,N Terrace, Adelaide, SA 5000, Australia.</t>
  </si>
  <si>
    <t>John.Pisaniello@unisa.edu.au</t>
  </si>
  <si>
    <t>INT J WATER RESOUR D</t>
  </si>
  <si>
    <t>Int. J. Water Resour. Dev.</t>
  </si>
  <si>
    <t>942UE</t>
  </si>
  <si>
    <t>Clark, RL; d'Ambrosio, MB</t>
  </si>
  <si>
    <t>Recruitment, retention, and retirement: Compensation and employment policies for higher education</t>
  </si>
  <si>
    <t>EDUCATIONAL GERONTOLOGY</t>
  </si>
  <si>
    <t>FACULTY RETIREMENT</t>
  </si>
  <si>
    <t>Faculties are aging along with the rest of society. Low retirement rates and slow growth limit the number of new hiring opportunities in many institutions. Universities face a series of common challenges that will shape higher education in the 21st century. In order to maintain high quality faculties in the coming years, universities must develop compensation policies and employment practices that are appropriate for the new economic and demographic environment. This paper examines existing human resources (HR) policies and considers potential modifications that will enable institutions to recruit, retain, and retire faculty in the coming years. The analysis reviews the soaring cost of health insurance for active and retired faculty and how these plans are being amended. We also review the widespread adoption of phased retirement plans and the use of early retirement programs as components of HR policy. The increasing reliance on nontenure track faculty is also described. The analysis focuses on the challenges that universities face in the current economic and demographic conditions and the methods that administrators can adopt to fulfill their teaching and research missions. The paper presents the results from a national conference consisting of new research and intense discussion by scholars, administrators, policy-makers, and HR consultants.</t>
  </si>
  <si>
    <t>N Carolina State Univ, Dept Econ, Raleigh, NC 27695 USA; N Carolina State Univ, Dept Business Management, Raleigh, NC 27695 USA; TIAA CREF Inst, New York, NY USA</t>
  </si>
  <si>
    <t>Clark, RL (corresponding author), N Carolina State Univ, Dept Econ, Raleigh, NC 27695 USA.</t>
  </si>
  <si>
    <t>clark@gw.fis.ncsu.edu</t>
  </si>
  <si>
    <t>BRUNNER/MAZEL INC</t>
  </si>
  <si>
    <t>1900 FROST RD, STE 101, BRISTOL, PA 19007-1598 USA</t>
  </si>
  <si>
    <t>0360-1277</t>
  </si>
  <si>
    <t>EDUC GERONTOL</t>
  </si>
  <si>
    <t>Educ. Gerontol.</t>
  </si>
  <si>
    <t>10.1080/03601270590921663</t>
  </si>
  <si>
    <t>Education &amp; Educational Research; Gerontology</t>
  </si>
  <si>
    <t>Education &amp; Educational Research; Geriatrics &amp; Gerontology</t>
  </si>
  <si>
    <t>923PG</t>
  </si>
  <si>
    <t>WOS:000228921200004</t>
  </si>
  <si>
    <t>Izushi, H</t>
  </si>
  <si>
    <t>Creation of relational assets through the 'library of equipment' model: an industrial modernization approach of Japan's local technology centres</t>
  </si>
  <si>
    <t>industrial modernization; technology centers; small and medium-sized enterprises; Japan</t>
  </si>
  <si>
    <t>RESEARCH-AND-DEVELOPMENT; REGIONAL-DEVELOPMENT; PRODUCER SERVICES; INFORMATION; INNOVATION; PERFORMANCE; UNIVERSITY; POLICY; ISSUES; NORMS</t>
  </si>
  <si>
    <t>SMEs with a weak internal R&amp; D capacity show the tendency to shy away from using external sources of technical expertise. The tendency deters providers of industrial modernization services from supporting such structurally weak SMEs. This paper examines how Japan's local technology centres - kosetsushi - remove the bottleneck and reach out to a significant proportion of SMEs with a weak R&amp; D capacity in their localities. Kosetsushi centres sustain habitual interactions with client firms through 'low information gap' services solving immediate needs and lead the clients to a riskier and longer path toward innovation capacity building. This gives kosetsushi centres a position distinct from universities and consultancies in the regional innovation system. While long-term relationships between kosetsushi centres and their client. firms can increase switching costs and produce lock-in effects, a case study of two kosetsushi centres illustrates the importance of 'low-information gap' services and relational assets created thereby to the modernization of SMEs with a weak internal R&amp; D capacity. The paper calls for long-term commitment by the public sector if it addresses the issue through modernization services.</t>
  </si>
  <si>
    <t>Coventry Univ, Coventry Business Sch, Ctr Local Econ Dev, Coventry CV1 5FB, W Midlands, England</t>
  </si>
  <si>
    <t>Izushi, H (corresponding author), Coventry Univ, Coventry Business Sch, Ctr Local Econ Dev, Priory St, Coventry CV1 5FB, W Midlands, England.</t>
  </si>
  <si>
    <t>h.izushi@coventry.ac.uk</t>
  </si>
  <si>
    <t>Izushi, Hiro/0000-0002-4090-4181</t>
  </si>
  <si>
    <t>1464-5114</t>
  </si>
  <si>
    <t>ENTREP REGION DEV</t>
  </si>
  <si>
    <t>Entrep. Reg. Dev.</t>
  </si>
  <si>
    <t>10.1080/08985620500102832</t>
  </si>
  <si>
    <t>Business; Development Studies</t>
  </si>
  <si>
    <t>Business &amp; Economics; Development Studies</t>
  </si>
  <si>
    <t>941SS</t>
  </si>
  <si>
    <t>WOS:000230235100002</t>
  </si>
  <si>
    <t>PROJECT</t>
  </si>
  <si>
    <t>Royal Danish Acad Fine Arts, Sch Architecture, Ctr Urban Planning, Copenhagen, Denmark; Chiang Mai Univ, Fac Architecture, Chiang Mai 50200, Thailand</t>
  </si>
  <si>
    <t>Ribeiro, G (corresponding author), Royal Danish Acad Fine Arts, Sch Architecture, Ctr Urban Planning, Philip de Langes Alle,1435 KBH K, Copenhagen, Denmark.</t>
  </si>
  <si>
    <t>gustavo.ribeiro@karch.dk; angun@mail.arc.cmu.ac.th</t>
  </si>
  <si>
    <t>Srisuwan, angunthip/AGZ-4945-2022</t>
  </si>
  <si>
    <t>ENVIRON URBAN</t>
  </si>
  <si>
    <t>Environ. Urban.</t>
  </si>
  <si>
    <t>931BC</t>
  </si>
  <si>
    <t>Gordon, RJ</t>
  </si>
  <si>
    <t>Gordon, Robert J.</t>
  </si>
  <si>
    <t>Why is it that while the locomotive of productivity has been set in motion in the United States, Europe has remained in the railway station</t>
  </si>
  <si>
    <t>ACTUALITE ECONOMIQUE</t>
  </si>
  <si>
    <t>After fifty years of catching up to the U.S. level of productivity, since 1995 Europe has been falling behind. The growth rate in output per hour over 1995-2003 in Europe was just half that in the United States, and this annual growth shortfall caused the level of European productivity to fall back from 94 percent of the U.S. level to 85 percent. Fully one-fifth of the European catch-up (from 44 to 94 percent) over the previous half-century has been lost over the period since 1995. Disaggregated studies of industrial sectors suggest that the main difference between Europe and the U.S. is in ICT-using industries like wholesale and retail trade and in securities trading. The contrast in retailing calls attention to regulatory barriers and land-use regulations in Europe that inhibit the development of the 'big box' retailing formats that have created many of the productivity gains in the U.S. For many decades, the U.S. and Europe have gone in opposite directions in the public policies relevant for metropolitan growth. The U.S. has promoted highly dispersed low-density metropolitan areas through its policies of building intra-urban highways, starving public transit, providing tax subsidies to home ownership, and allowing local governments to maintain low density by maintaining minimum residential lot sizes. Europeans have chosen different policies that encourage high-density residential living and retail precincts in the central city while inhibiting the exploitation of 'greenfield' suburban and exurban sites suitable for modern 'big box' retail developments. The middle part of the paper draws on recent writing by Phelps: economic dynamism is promoted by policies that promote competition and flexible equity finance and is retarded by corporatist institutions designed to protect incumbent producers and inhibit new entry. European cultural attributes inhibit the development of ambition and independence by teenagers and young adults, in contrast to their encouragement in the U.S. While competition, corporatism, and culture may help to explain the differing transatlantic evolution of productivity growth, they reveal institutional flaws in both continents that are inbred and likely to persist. The final section of the paper identifies the roots of the favorable environment for innovation in the U.S. compared to Europe. Elements include an openly competitive system of private and public universities, government subsidies to universities through peer-reviewed research grants rather than unconditional subsidies for free undergraduate tuition, the world dominance of U.S. business schools and management consulting firms, strong U.S. patent protection, a flexible financial infrastructure making available venture capital finance to promising innovations, the benefits of a common language and free internal migration, and a welcoming environment for highly-skilled immigrants.</t>
  </si>
  <si>
    <t>[Gordon, Robert J.] Northwestern Univ, Evanston, IL 60208 USA; [Gordon, Robert J.] Ctr Econ Policy Res, London, England</t>
  </si>
  <si>
    <t>Gordon, RJ (corresponding author), Northwestern Univ, Evanston, IL 60208 USA.</t>
  </si>
  <si>
    <t>ECOLE DES HAUTES ETUDES COMMER</t>
  </si>
  <si>
    <t>MONTREAL</t>
  </si>
  <si>
    <t>5255 AVE DECELLES, MONTREAL, QUEBEC H3T 1V6, CANADA</t>
  </si>
  <si>
    <t>0001-771X</t>
  </si>
  <si>
    <t>1710-3991</t>
  </si>
  <si>
    <t>ACTUAL ECON</t>
  </si>
  <si>
    <t>Actual. Econ.</t>
  </si>
  <si>
    <t>MAR-JUN</t>
  </si>
  <si>
    <t>10.7202/012837ar</t>
  </si>
  <si>
    <t>VC3DG</t>
  </si>
  <si>
    <t>WOS:000433664800004</t>
  </si>
  <si>
    <t>2010 target; biodiversity loss; monitoring; indicator; wild nature</t>
  </si>
  <si>
    <t>WILD NATURE; CONSERVATION; COLLAPSE; FUTURE</t>
  </si>
  <si>
    <t>Univ Cambridge, Dept Zool, Conservat Biol Grp, Cambridge CB2 3EJ, England; Royal Bot Gardens, Richmond TW9 3AB, Surrey, England; Princeton Univ, Dept Ecol &amp; Evolutionary Biol, Princeton, NJ 08544 USA; Royal Soc Protect Birds, Sandy SG19 2DL, Beds, England; Zool Soc London, Inst Zool, London NW1 4RY, England</t>
  </si>
  <si>
    <t>Balmford, A (corresponding author), Univ Cape Town, Percy Fitzpatrick Inst African Ornithol, Private Bag, ZA-7701 Rondebosch, South Africa.</t>
  </si>
  <si>
    <t>a.balmford@zoo.cam.ac.uk</t>
  </si>
  <si>
    <t>Mace, Georgina M/0000-0001-8965-5211; Balmford, Andrew/0000-0002-0144-3589; Crane, Peter/0000-0003-4331-6948</t>
  </si>
  <si>
    <t>ROYAL SOCIETY</t>
  </si>
  <si>
    <t>PHILOS T ROY SOC B</t>
  </si>
  <si>
    <t>Philos. Trans. R. Soc. B-Biol. Sci.</t>
  </si>
  <si>
    <t>914GA</t>
  </si>
  <si>
    <t>Finneern, J; Margraf, I</t>
  </si>
  <si>
    <t>Finneern, J.; Margraf, I.</t>
  </si>
  <si>
    <t>Age Management: How to Integrate the Aspect of Age Management into the Tools of Occupational Health Management</t>
  </si>
  <si>
    <t>BEWEGUNGSTHERAPIE UND GESUNDHEITSSPORT</t>
  </si>
  <si>
    <t>Age Management; occupational health management; age-based working conditions; resources of elderly employees</t>
  </si>
  <si>
    <t>The average age of employees is rising continuously in German companies. Therefore, the Techniker Krankenkasse - a German Public Health Insurance Company - recommends to adjust the personnel policy and especially the internal efforts in the projects of health management. In this context, experts refer to Age Management. To create age-based working environments and to strengthen the resources of the elderly will contribute to maintain the health and the manpower of the ageing staff. Companies have various possibilities to satisfy and to answer the needs of their elderly employees. The TK offers consultance and support for interested companies.</t>
  </si>
  <si>
    <t>[Finneern, J.; Margraf, I.] Krankenkasse Referalseiler Gesundheitsmanagement, Bramfelder Str 140, D-22305 Hamburg, Germany</t>
  </si>
  <si>
    <t>Finneern, J (corresponding author), Krankenkasse Referalseiler Gesundheitsmanagement, Bramfelder Str 140, D-22305 Hamburg, Germany.</t>
  </si>
  <si>
    <t>Dr.Jens.Finnern@TK-Online.de; Inga.Margraf@TK-Online.de</t>
  </si>
  <si>
    <t>1613-0863</t>
  </si>
  <si>
    <t>1613-3269</t>
  </si>
  <si>
    <t>BEWEGUNGSTHERAPIE GE</t>
  </si>
  <si>
    <t>Bewegungstherapie Gesundheitssport</t>
  </si>
  <si>
    <t>10.1055/s-2005-836299</t>
  </si>
  <si>
    <t>V2A8N</t>
  </si>
  <si>
    <t>WOS:000217411600005</t>
  </si>
  <si>
    <t>Gomann, H; Kreins, P; Kunkel, R; Wendland, F</t>
  </si>
  <si>
    <t>Model based impact analysis of policy options aiming at reducing diffuse pollution by agriculture - a case study for the river Ems and a sub-catchment of the Rhine</t>
  </si>
  <si>
    <t>Conference on Policies and Tools for Sustainable Water Management in the European Union</t>
  </si>
  <si>
    <t>NOV 21-23, 2002</t>
  </si>
  <si>
    <t>Venice, ITALY</t>
  </si>
  <si>
    <t>Fond Eni Enrico Mattei</t>
  </si>
  <si>
    <t>diffuse water pollution; model-based policy consulting; interdisciplinary model networks; agricultural sector model; agri-environmental policy evaluation</t>
  </si>
  <si>
    <t>In this paper an integration of the agricultural economic model RAUMIS with the hydrological models GROWA98 and WEKU is presented. The focus lies on an area wide, regionally differentiated, consistent link-up between the indicator nitrogen balance surplus and nitrogen charges into surface waters. The model network is used to analyze the status quo situation in the year 1999 for two river catchments in Germany that feature very distinct natural and socio-economic conditions. Regarding agriculture, the study areas include regions with specializations in cash crops, in intensive livestock featuring high nitrogen surplus, and extensive livestock production on permanent grassland. Due to regionally varying hydrological conditions quite different shares of agricultural nitrogen surpluses ranging from 25 to 92% enter surface waters. Furthermore, impacts of alternative nitrogen reduction measures namely a limitation of livestock density and a tax on mineral nitrogen are quantified. Measures of the nitrogen reduction potential and costs in terms of agricultural income forgone are taken into account in the assessment. Results regarding the effects of restricting the livestock density or tax mineral nitrogen highlight that the mitigation of diffuse water pollution problems requires regionally tailored measures. (C) 2004 Elsevier Ltd. All rights reserved.</t>
  </si>
  <si>
    <t>Res Assoc Agr Policy &amp; Rural Sociol FAA, D-53175 Bonn, Germany; Res Ctr Julich, Syst Res &amp; Technol Dev FZJ, Julich, Germany</t>
  </si>
  <si>
    <t>Gomann, H (corresponding author), FAL LR, Bundesalle 50, D-38116 Braunschweig, Germany.</t>
  </si>
  <si>
    <t>horst.goemann@fal.de</t>
  </si>
  <si>
    <t>Wendland, Frank/C-4939-2008; Kunkel, Ralf/C-4934-2008</t>
  </si>
  <si>
    <t>Kunkel, Ralf/0000-0003-2022-0011; Wendland, Frank/0000-0001-6642-3311</t>
  </si>
  <si>
    <t>10.1016/j.envsoft.2004.01.004</t>
  </si>
  <si>
    <t>873EL</t>
  </si>
  <si>
    <t>WOS:000225262300015</t>
  </si>
  <si>
    <t>artisanal and small-scale mining; methods; microeconomic; policy; communities and small scale mining (CASM)</t>
  </si>
  <si>
    <t>BLACKWELL PUBL LTD</t>
  </si>
  <si>
    <t>108 COWLEY RD, OXFORD OX4 1JF, OXON, ENGLAND</t>
  </si>
  <si>
    <t>NAT RESOUR FORUM</t>
  </si>
  <si>
    <t>Nat. Resour. Forum</t>
  </si>
  <si>
    <t>910HU</t>
  </si>
  <si>
    <t>Hamilton, R</t>
  </si>
  <si>
    <t>Hamilton, Ron</t>
  </si>
  <si>
    <t>Corporate Governance in Government-Owned Companies in New Zealand: A Stock-Take</t>
  </si>
  <si>
    <t>ASIA PACIFIC JOURNAL OF PUBLIC ADMINISTRATION</t>
  </si>
  <si>
    <t>The New Zealand government's adoption in 1986 of the company model for its trading enterprises was a major development in the way in which government services and commercial operations were managed. It also marked a significant change in the role and functions of ministers, as the model changed them from day-to-day decision-makers into the equivalent of owners. Although the company model had received modest attention by governments and had existed in the private sector for decades, the formation of companies with boards for government operations led to a new and stronger focus on what has come to be known as corporate governance. This article addresses how corporate governance evolved in the years following the formation of companies as state-owned enterprises in the New Zealand government trading environment. The discussion is based largely on a close personal involvement in the developments at a senior level in government and, more recently, as a director of a private consulting, training and advisory firm dealing with both government and private companies.</t>
  </si>
  <si>
    <t>[Hamilton, Ron] Boardroom Practice Ltd, Auckland, New Zealand</t>
  </si>
  <si>
    <t>Hamilton, R (corresponding author), Boardroom Practice Ltd, Auckland, New Zealand.</t>
  </si>
  <si>
    <t>2327-6665</t>
  </si>
  <si>
    <t>2327-6673</t>
  </si>
  <si>
    <t>ASIA PAC J PUBLIC AM</t>
  </si>
  <si>
    <t>Asia Pac. J. Public Adm.</t>
  </si>
  <si>
    <t>10.1080/23276665.2005.10779310</t>
  </si>
  <si>
    <t>V9V8J</t>
  </si>
  <si>
    <t>WOS:000422570400008</t>
  </si>
  <si>
    <t>Renneberg, W</t>
  </si>
  <si>
    <t>Nuclear supervision administration by the Federal States on behalf of the Federal Government or Direct Federal Administration for Optimum Achievement</t>
  </si>
  <si>
    <t>German Atomic Energy Law Day</t>
  </si>
  <si>
    <t>NOV   11, 2004</t>
  </si>
  <si>
    <t>Berlin, GERMANY</t>
  </si>
  <si>
    <t>One year ago, Federal Minister for the Environment Jurgen Trittin expressed doubt about the long-term viability of the federal states' acting on behalf of the federal government in the field of atomic energy law administration. An alternative to this type of administration was mentioned, namely direct execution by the federal government, and a thorough examination was announced. This was to show which type of administration would achieve maximum safety for the residual operating lives of nuclear power plants. Kienbaum Management Consultants were commissioned to evaluate the current status and potential alternative structures. That study was performed within the framework of one of the key projects in reactor safety of the Federal Ministry for the Environment, Nature Conservation, and Nuclear Safety (BMU), namely the reform of nuclear administration. Further steps to be taken by the BMU by the end of this parliamentary term are presented. The federal states are to be approached in an attempt to conduct an unbiased discussion of the pros and cons of the alternatives to administration by the federal states on behalf of the federal government. Questions will be clarified which need to be examined in depth before direct administration by the federal government can be introduced. These include constitutional matters and matters of costing in financing the higher-level federal authority as well as specific questions about the organization of that authority. The purpose is to elaborate, by the end of this parliamentary term, a workable concept of introducing direct federal administration of nuclear safety.</t>
  </si>
  <si>
    <t>Bundesminist Umwelt Naturschutz &amp; Reaktorsicherhe, D-53048 Bonn, Germany</t>
  </si>
  <si>
    <t>Renneberg, W (corresponding author), Bundesminist Umwelt Naturschutz &amp; Reaktorsicherhe, Postfach 12 06 29, D-53048 Bonn, Germany.</t>
  </si>
  <si>
    <t>VERLAGSGRP HANDELSBLATT GMBH</t>
  </si>
  <si>
    <t>DUSSELDORF</t>
  </si>
  <si>
    <t>POSTFACH 10 11 02, D-40002 DUSSELDORF, GERMANY</t>
  </si>
  <si>
    <t>909XZ</t>
  </si>
  <si>
    <t>WOS:000227895300003</t>
  </si>
  <si>
    <t>Akporhonor, BA</t>
  </si>
  <si>
    <t>Akporhonor, Blessings Amina</t>
  </si>
  <si>
    <t>Library funding in Nigeria: past, present and future</t>
  </si>
  <si>
    <t>Libraries; Developing countries; Financing; Fundraising; Nigeria</t>
  </si>
  <si>
    <t>Purpose - To document current sources of revenue for Nigerian libraries, and offer suggestions for alternative funding. Nigerian libraries nation-wide depend mainly on annual budget allocations from the government. Design/methodology/approach - Surveys current literature to determine the current source of funds for each type of library, and then identifies various alternative funding sources that libraries have tried in the past. Each alternative funding source is described, with significant advantages and disadvantages noted when applicable. Findings - Funds for Nigerian library and information services are traditionally derived from a parent institution. These revenues vary from a fixed percentage of an institution's overall budget to an ad hoc arrangement. Most libraries receive far less funding than the percentage that is usually earmarked for them. Originality/value - Emerging spending patterns and societal pressure require libraries to launch new and sustained initiatives to generate funds internally. Steady exploitation of money-yielding ventures, such as consulting, soliciting donations and pricing information services, can generate revenue. Libraries can also share resources in order to expand their services.</t>
  </si>
  <si>
    <t>[Akporhonor, Blessings Amina] Delta State Univ, Abraka, Nigeria</t>
  </si>
  <si>
    <t>Akporhonor, BA (corresponding author), Delta State Univ, Abraka, Nigeria.</t>
  </si>
  <si>
    <t>10.1108/08880450510597505</t>
  </si>
  <si>
    <t>V2D8H</t>
  </si>
  <si>
    <t>WOS:000217489000005</t>
  </si>
  <si>
    <t>McCubbrey, DJ; Bloom, P; Younge, B</t>
  </si>
  <si>
    <t>McCubbrey, Donald J.; Bloom, Paul; Younge, Brad</t>
  </si>
  <si>
    <t>USA SWIMMING: THE DATA INTEGRATION PROJECT</t>
  </si>
  <si>
    <t>COMMUNICATIONS OF THE ASSOCIATION FOR INFORMATION SYSTEMS</t>
  </si>
  <si>
    <t>case; centralization; consulting; database; data cleansing; IV&amp;V; .Net; prototype; web portal; web services</t>
  </si>
  <si>
    <t>USA Swimming (USAS) is the National Governing Body for the sport of swimming, one of more than 40 National Governing Bodies for amateur sports in the United States. Their mission is, in part, to administer competitive swimming in accordance with the Amateur Sports Act, and to provide programs and services for our members, supporters, affiliates and the interested public The USAS membership community consists of athletes, non-athletes, and clubs. One of the most important functions USAS performs is to gather and maintain information on members in all categories. Maintaining individual swimmers' times in sanctioned meets, for example, forms the basis for swimmers to be ranked nationally. The responsibility for the gathering of data is relegated to 2,800 clubs and 59 local swimming committees scattered across the US. In their previous system, data needed for the USAS master databases was gathered by the clubs and sent to the local swimming committees, which consolidated the data and forwarded it to the national headquarters in Colorado Springs. Unfortunately, by 2002, it became clear that the hodgepodge of different hardware platforms and software used by the clubs and local swimming committees made the data gathering process ripe for errors, which resulted in unreliable data in multiple database systems at USAS headquarters. This case describes the process USAS management followed to establish and manage the development of a new system whose principal features include a new centralized database with a pre-posting holding tank for data cleansing as well as a Web portal providing valuable new functionality to the user community. The project involved significant risks, not the least of which was the widely dispersed user community. Risks were mitigated by the development of a prototype and by engaging an independent verification and validation firm. The new system achieved the benefits that USAS projected when the project was first conceived. The complicated technical infrastructure was replaced by a Web-based architecture that provides faster and more reliable service to the USAS community at a lower cost. The problem of inaccuracies in the data caused by data being stored in multiple databases was eliminated with the establishment of the new centralized database and the holding tank's data cleansing capabilities. Users at USAS headquarters and in the field embraced the new system because it simplified the data gathering process and greatly improved the reliability of the information they obtain from the centralized database. Further, the Web-based portal provides a stable operating environment for day-to-day operations and a platform that allows adding enhancements easily to the system.</t>
  </si>
  <si>
    <t>[McCubbrey, Donald J.] Univ Denver, Dept Informat Technol &amp; Elect Commerce, Denver, CO 80208 USA; [McCubbrey, Donald J.] Univ Denver, Ctr Study Elect Commerce, Daniels Coll Business, Denver, CO 80208 USA; [Bloom, Paul; Younge, Brad] Statera Inc, Denver, CO USA</t>
  </si>
  <si>
    <t>McCubbrey, DJ (corresponding author), Univ Denver, Dept Informat Technol &amp; Elect Commerce, Denver, CO 80208 USA.</t>
  </si>
  <si>
    <t>dmccubbr@du.edu</t>
  </si>
  <si>
    <t>ASSOC INFORMATION SYSTEMS</t>
  </si>
  <si>
    <t>GEORGIA STATE UNIV, 35 BROAD STREET, STE 916-917, ATLANTA, GA 30303 USA</t>
  </si>
  <si>
    <t>1529-3181</t>
  </si>
  <si>
    <t>COMMUN ASSOC INF SYS</t>
  </si>
  <si>
    <t>Commun. Assoc. Inf. Syst.</t>
  </si>
  <si>
    <t>VB2CU</t>
  </si>
  <si>
    <t>WOS:000414868700013</t>
  </si>
  <si>
    <t>Steele, A; Todd, S</t>
  </si>
  <si>
    <t>Steele, Andy; Todd, Stephen</t>
  </si>
  <si>
    <t>The future of the black and minority ethnic (BME) construction sector in England</t>
  </si>
  <si>
    <t>Equality; construction; housing; ethnic and minorities</t>
  </si>
  <si>
    <t>It is generally recognized that there is a lack of equality of opportunity for minority-led contractors and consultants (i. e. where at least 50 per cent of the workforce or ownership is from a minority group, such as women, disabled people or a black and minority ethnic community) to compete for work within the housing association sector. In response, the Housing Corporation, the government quango responsible for social housing in the UK, recently commissioned research to investigate the potential benefits of establishing a national database of such companies for the sector in England. The expectation was that such an initiative will help develop, support and promote black and minority ethnic (BME) companies and at the same time, redress the skills shortage in the construction industry. Recent funding cuts within the Housing Corporation now seriously undermine the future sustainability and development of this sector of the construction industry. This paper begins by providing an overview of the types of discrimination faced by BME contractors and consultants. This is set within the context of an unprecedented expansion in the construction sector but where restricted capacity among mainstream contractors due to skill and staff shortages is increasingly evident. The extent to which contractor registration databases have addressed these inequalities is then considered with particular reference to the largest of such contractor registration systems, Constructionline. Drawing on recent empirical work, the development requirements of such a database from the perspective of BME contractors and consultants is considered. The discussion also focuses on the future sustainability of BME small and medium enterprises. The commitment of social housing agencies to equality of opportunity will be crucial to the success of this sector.</t>
  </si>
  <si>
    <t>[Steele, Andy; Todd, Stephen] Univ Salford, Res Ctr Built &amp; Human Environm, Salford M5 4WT, Lancs, England</t>
  </si>
  <si>
    <t>Todd, S (corresponding author), Univ Salford, Res Ctr Built &amp; Human Environm, Salford M5 4WT, Lancs, England.</t>
  </si>
  <si>
    <t>s.todd@salford.ac.uk</t>
  </si>
  <si>
    <t>10.1080/01446190500372429</t>
  </si>
  <si>
    <t>V95IO</t>
  </si>
  <si>
    <t>WOS:000213190500004</t>
  </si>
  <si>
    <t>Bendell, J</t>
  </si>
  <si>
    <t>Bendell, Jem</t>
  </si>
  <si>
    <t>In whose name? The accountability of corporate social responsibility</t>
  </si>
  <si>
    <t>DEVELOPMENT IN PRACTICE</t>
  </si>
  <si>
    <t>Stakeholder dialogue, participation, and partnership have become mainstream concepts in international development policy, in particular in the field of corporate social responsibility (CSR). However, the accountability of multi- stakeholder initiatives on CSR to their intended beneficiaries in the global South is increasingly questioned. This paper looks at how the agendas of some initiatives in the areas of ethical trade and sustainability reporting are driven by what Western NGOs push for, what large companies consider feasible, and what consultants and accountants seek to provide. It describes how the resulting practices and discourse restrict change and marginalise alternative approaches developed by Southern stakeholders. It is argued that enthusiasm for stakeholder dialogue, participation, and partnership in CSR matters, and beyond, needs to be reconceived with democratic principles in mind. 'Stakeholder democracy' is offered as a conceptual framework for this endeavour, and some recommendations are made for NGOs, companies, and governments.</t>
  </si>
  <si>
    <t>[Bendell, Jem] Univ Nottingham, Sch Business, Nottingham, England; [Bendell, Jem] Auckland Univ Technol, Auckland, New Zealand</t>
  </si>
  <si>
    <t>Bendell, J (corresponding author), Univ Nottingham, Sch Business, ICCSR, Jubilee Campus,Wollaton Rd, Nottingham NG8 1BB, England.</t>
  </si>
  <si>
    <t>jem@jembendell.com</t>
  </si>
  <si>
    <t>Aspen Institute's Non-profit Sector Research Fund</t>
  </si>
  <si>
    <t>I would like to thank Virginia Rodriguez and Desiree Abrahams for research assistance and the Aspen Institute's Non-profit Sector Research Fund for supporting my doctoral research. Some of my findings are incorporated in this paper.</t>
  </si>
  <si>
    <t>0961-4524</t>
  </si>
  <si>
    <t>1364-9213</t>
  </si>
  <si>
    <t>DEV PRACT</t>
  </si>
  <si>
    <t>Dev. Pract.</t>
  </si>
  <si>
    <t>10.1080/09614520500075813</t>
  </si>
  <si>
    <t>V63KE</t>
  </si>
  <si>
    <t>WOS:000211031500010</t>
  </si>
  <si>
    <t>Falconer, R</t>
  </si>
  <si>
    <t>Falconer, Ronnie</t>
  </si>
  <si>
    <t>European Water Association Brussels Conference - 25 October 2005 'European River Basin Management Policy' European Action Programme on Flood Risk Management Background and Recent Discussions Ronnie Falconer Member of EWA Technical and Scientific Committee Senior Consultant - Flood Risk and River Basin Management Jacobs Babtie - UK</t>
  </si>
  <si>
    <t>E-WATER</t>
  </si>
  <si>
    <t>[Falconer, Ronnie] EWA Techn &amp; Sci Comm, Hennef, Germany; [Falconer, Ronnie] Flood Risk &amp; River Basin Management, Jacobs, England</t>
  </si>
  <si>
    <t>Falconer, R (corresponding author), EWA Techn &amp; Sci Comm, Hennef, Germany.</t>
  </si>
  <si>
    <t>schulte@dwa.de</t>
  </si>
  <si>
    <t>EUROPEAN WATER ASSOC</t>
  </si>
  <si>
    <t>HENNEF</t>
  </si>
  <si>
    <t>THEODOR-HEUSS-ALLEE 17, HENNEF, 53773, GERMANY</t>
  </si>
  <si>
    <t>1994-8549</t>
  </si>
  <si>
    <t>E-Water</t>
  </si>
  <si>
    <t>V9H3H</t>
  </si>
  <si>
    <t>WOS:000422312000001</t>
  </si>
  <si>
    <t>Chao, CA</t>
  </si>
  <si>
    <t>Chao, Chia-An</t>
  </si>
  <si>
    <t>Toward full participation in management consulting practice Experiences of recent college graduates</t>
  </si>
  <si>
    <t>Graduates; Workplace learning; Training</t>
  </si>
  <si>
    <t>Purpose - This study seeks to understand the college-to-work transition process from the perspectives of a group of new management consultants. Design/methodology/approach - This study focuses on the experience of a group of management consultants, how they construct meaning in their work, and the workplace itself. Participants in this study consisted of 25 consultants of a major management consulting firm in the USA. As the main source of information, interviews elicited the consultants' accounts of their experiences since they were hired and their opinions about issues and events related to their professional development. Findings - From the study, it is clear that learning from project experience and work relationships facilitated the new consultants' organizational acculturation process and their journeys of becoming management consultants required more than development of competencies. The study shows that development of professional identities and career adaptation to organizational priorities is an equally important agenda for these young professionals. Legitimate peripheral participation in this study highlights the progressive nature of the consultants' learning trajectories in the consulting practice. From an initially limited involvement in the practice to greatly increased responsibilities, the consultants moved toward full participation as their competencies developed along with their knowledge of the enterprise's social-political context. Originality/value - The consultants' journeys of becoming were idiosyncratic in their specifics, but evidenced clear common patterns of complex workplace socialization.</t>
  </si>
  <si>
    <t>[Chao, Chia-An] Indiana State Univ, Sch Business, Terre Haute, IN 47809 USA</t>
  </si>
  <si>
    <t>Chao, CA (corresponding author), Indiana State Univ, Sch Business, Terre Haute, IN 47809 USA.</t>
  </si>
  <si>
    <t>10.1108/00400910510580601</t>
  </si>
  <si>
    <t>V96QG</t>
  </si>
  <si>
    <t>WOS:000213278100020</t>
  </si>
  <si>
    <t>Best practice diffusion; chemical leasing; chemicals management; cleaner production; networking; service-oriented business models; sustainable chemistry; sustainable production</t>
  </si>
  <si>
    <t>Fed Minist Agr Forestry Environm &amp; Water Manageme, Div V2 Chem Policy, A-1010 Vienna, Austria</t>
  </si>
  <si>
    <t>Perthen-Palmisano, B (corresponding author), Fed Minist Agr Forestry Environm &amp; Water Manageme, Div V2 Chem Policy, Stubenbastei 5, A-1010 Vienna, Austria.</t>
  </si>
  <si>
    <t>Barbara.Perthen-Palmisano@lebensministerium.at</t>
  </si>
  <si>
    <t>ECOMED PUBLISHERS</t>
  </si>
  <si>
    <t>LANDSBERG</t>
  </si>
  <si>
    <t>RUDOLF-DIESEL-STR 3, D-86899 LANDSBERG, GERMANY</t>
  </si>
  <si>
    <t>893QZ</t>
  </si>
  <si>
    <t>Public relations; Marketing communications; Linear structure equation modelling; Consultants; United Kingdom</t>
  </si>
  <si>
    <t>[Lages, Carmen] ISCTE Business Sch Lisbon, Lisbon, Portugal; [Lages, Luis Filipe] Univ Nova Lisboa, P-1200 Lisbon, Portugal</t>
  </si>
  <si>
    <t>Lages, C (corresponding author), ISCTE Business Sch Lisbon, Lisbon, Portugal.</t>
  </si>
  <si>
    <t>EUR J MARKETING</t>
  </si>
  <si>
    <t>Eur. J. Market.</t>
  </si>
  <si>
    <t>V34AH</t>
  </si>
  <si>
    <t>O'Connor, J</t>
  </si>
  <si>
    <t>O'Connor, John</t>
  </si>
  <si>
    <t>Between the street and the consulting room: The role of therapeutic frame in working with homeless clients</t>
  </si>
  <si>
    <t>EUROPEAN JOURNAL OF PSYCHOTHERAPY &amp; COUNSELLING</t>
  </si>
  <si>
    <t>Homelessness; therapeutic frame; supporting frames; containment; countertransference</t>
  </si>
  <si>
    <t>This paper explores the context of psychotherapy with people who are homeless and the kinds of dynamics and challenges that typically arise in this work. The paper specifically considers the process of therapy as it takes place with clients who have been recurrently homeless and who have difficulties with sustaining shelter that has its roots in deficits in early containment. Clinical case material from psychotherapy conducted with two homeless men is presented and the implications of the approach adopted are explored both in relation to policies around the provision of services for homeless people and the more specific issue of psychotherapy intervention. It is argued that a clear, well-articulated set of expectations has to be developed around this work in order to protect it and to provide it with the greatest opportunity for providing the kind of safety that is required for the development of this work. It is argued that the most important issue here relates to the provision of a consistent therapeutic framework and a care around the development of the specific psychotherapeutic frame within, and in relation to, the other frames present in the person's life.</t>
  </si>
  <si>
    <t>[O'Connor, John] Univ Dublin, Trinity Coll, Dept Psychol, Dublin, Ireland</t>
  </si>
  <si>
    <t>O'Connor, J (corresponding author), Univ Dublin, Trinity Coll, Dept Psychol, Dublin, Ireland.</t>
  </si>
  <si>
    <t>1364-2537</t>
  </si>
  <si>
    <t>1469-5901</t>
  </si>
  <si>
    <t>EUR J PSYCHOTHER COU</t>
  </si>
  <si>
    <t>Eur. J. Psychother. Couns.</t>
  </si>
  <si>
    <t>10.1080/13642530500367597</t>
  </si>
  <si>
    <t>Psychology, Clinical</t>
  </si>
  <si>
    <t>V76FV</t>
  </si>
  <si>
    <t>WOS:000211899000002</t>
  </si>
  <si>
    <t>Moreno, AR; Morales, VG; Montes, FJL</t>
  </si>
  <si>
    <t>Learning during the quality management process - Antecedents and effects in service firms</t>
  </si>
  <si>
    <t>INDUSTRIAL MANAGEMENT &amp; DATA SYSTEMS</t>
  </si>
  <si>
    <t>quality management; service industries; learning organizations; leadership; process</t>
  </si>
  <si>
    <t>PRODUCT DEVELOPMENT; SHARED KNOWLEDGE; INNOVATION; FRAMEWORK</t>
  </si>
  <si>
    <t>Purpose - The goal of this research is to provide a model of how service firms respond to their environment by developing both different quality management (QM) practices and organizational learning. Design/methodology/approach - We review the different contributions to the study of the relationship between organizational learning and quality. Based on prior research, we propose a series of hypotheses concerning the influence in service firms of QM practices on organizational learning and the influence of the degree of implementation of the practices. Finally, we tested these hypotheses empirically using a sample of 127 service firms operating in the European Union. Findings - The results of the investigation reveal first, a strong relationship exists among organizational learning and QM practices. Second, we verified that the relations between different QM practices and between QM practices and organizational learning are stronger in service firms with a high degree of implementation of these practices. Finally, we have verified that, although QM practices have been derived from the experience of consultants and practitioners in manufacturing, these practices can be transferred to services. Research limitations/implications - The conclusions of this study may be subject to several limitations that suggest further possibilities for empirical research. First, survey data based on self-reports may be subject to social desirability bias. Second, the conclusions established by our study should be interpreted with care when generalizing, since we have concentrated exclusively on the service sector. Third, the cross-sectional nature of the research allows us to analyze only a specific situation in time of the organizations studied, not their overall conduct through time. Future research should place more emphasis on longitudinal studies. Practical implications - We have obtained a model of QM practices that encourages learning in service organizations, enabling directors to manage service environments while taking into account their unique characteristics. Originality/value - This paper identified a model of QM practices (Leadership, policy-strategy, people, processes and partnerships resources) that encourages organizational learning in service organizations.</t>
  </si>
  <si>
    <t>Univ Granada, Dept Management, Granada, Spain</t>
  </si>
  <si>
    <t>Moreno, AR (corresponding author), Univ Granada, Dept Management, Granada, Spain.</t>
  </si>
  <si>
    <t>aruizmor@ugr.es; victorj@ugr.es; floerns@ugr.es</t>
  </si>
  <si>
    <t>MONTES, FRANCISCO JAVIER LLORENS/J-8994-2017; MORALES, VÍCTOR JESÚS GARCÍA/F-9736-2016</t>
  </si>
  <si>
    <t>MONTES, FRANCISCO JAVIER LLORENS/0000-0002-8485-7065; MORALES, VÍCTOR JESÚS GARCÍA/0000-0001-9061-6973; Ruiz Moreno, Antonia/0000-0002-2151-8349</t>
  </si>
  <si>
    <t>0263-5577</t>
  </si>
  <si>
    <t>1758-5783</t>
  </si>
  <si>
    <t>IND MANAGE DATA SYST</t>
  </si>
  <si>
    <t>Ind. Manage. Data Syst.</t>
  </si>
  <si>
    <t>10.1108/02635570510624419</t>
  </si>
  <si>
    <t>Computer Science, Interdisciplinary Applications; Engineering, Industrial</t>
  </si>
  <si>
    <t>Computer Science; Engineering</t>
  </si>
  <si>
    <t>998GG</t>
  </si>
  <si>
    <t>WOS:000234306000001</t>
  </si>
  <si>
    <t>Michael, B; Ohlund, E</t>
  </si>
  <si>
    <t>Michael, Bryane; Ohlund, Erika</t>
  </si>
  <si>
    <t>The Role of Social Responsibility in Turkey's EU Accession</t>
  </si>
  <si>
    <t>INSIGHT TURKEY</t>
  </si>
  <si>
    <t>Turkish company directors must think about consulting with parties beside shareholders and bankers if Turkish business is to successfully compete in Turkish and EU markets. While Turkish boards already have complied with much of the legislation required by the acquis communautaire, they will need to continue Work on provisions regarding environmental protection, customer safety, worker's rights, competition policy, and anti-corruption. Corporate Social Responsibility represents one avenue by which Turkish firms will tackle these issues. Such responsibility entails more than philanthropic contributions -which Turkish firms do make. Instead, such responsibility will involve the way that Turkish companies implement programs such as triple bottom line reporting, limited stakeholder boards, and consultative bodies with the government, in order to work more responsibly in their business environment.</t>
  </si>
  <si>
    <t>[Ohlund, Erika] Univ Oxford, Environm &amp; Global Anticorrupt Projects, Oxford, England</t>
  </si>
  <si>
    <t>Michael, B (corresponding author), Univ Oxford, Econ &amp; Management, Oxford, England.</t>
  </si>
  <si>
    <t>Michael, Bryane/I-1544-2019</t>
  </si>
  <si>
    <t>SETA FOUNDATION</t>
  </si>
  <si>
    <t>RESIT GALIP CADDESI HEREKE SOKAK NO 10, GOP-CANKAYA, ANKARA, 06700, TURKEY</t>
  </si>
  <si>
    <t>1302-177X</t>
  </si>
  <si>
    <t>INSIGHT TURK</t>
  </si>
  <si>
    <t>Insight Turk.</t>
  </si>
  <si>
    <t>VH2IZ</t>
  </si>
  <si>
    <t>WOS:000451343600017</t>
  </si>
  <si>
    <t>Jones, P; Comfort, D; Hillier, D; Eastwood, I</t>
  </si>
  <si>
    <t>Jones, Peter; Comfort, Daphne; Hillier, David; Eastwood, Ian</t>
  </si>
  <si>
    <t>Retailers and sustainable development in the UK</t>
  </si>
  <si>
    <t>Sustainable development; Retail trade; Social responsibility; Business ethics; United Kingdom</t>
  </si>
  <si>
    <t>Purpose - Aims to offer a simple exploratory review of how the major retailers in the UK are tackling the issue of sustainable development. Design/methodology/approach - The top 20 retailers, based on 2002 sales figures, were selected for analysis and an internet search of their web sites, exploring their corporate social responsibility reports and statements, was undertaken. Findings - The review suggests that the majority of the major retailers are addressing sustainability agendas, that they recognise, albeit in varying measure, the impacts their businesses have on the environment, the economy and society and several of them are looking to measure and benchmark their performance. Originality/value - Sustainable development is attracting increasing attention in government and in the business community and the paper provides students pursuing retail and business management programmes, academic staff teaching on them and retail researchers and consultants with a contemporary view of how the UK's large retailers are addressing the issue.</t>
  </si>
  <si>
    <t>[Jones, Peter; Comfort, Daphne] Univ Gloucestershire, Cheltenham, Glos, England; [Hillier, David] Univ Glamorgan, Pontypridd, M Glam, Wales; [Eastwood, Ian] Manchester Metropolitan Univ Cheshire, Crewe, England</t>
  </si>
  <si>
    <t>Jones, P (corresponding author), Univ Gloucestershire, Cheltenham, Glos, England.</t>
  </si>
  <si>
    <t>10.1108/09590550510588370</t>
  </si>
  <si>
    <t>V74TI</t>
  </si>
  <si>
    <t>WOS:000211798900003</t>
  </si>
  <si>
    <t>organisational learning; imitation; capabilities development paths; technological catch-up; Hong Kong</t>
  </si>
  <si>
    <t>ELECTRONICS; INDUSTRIES</t>
  </si>
  <si>
    <t>Australian Def Force Acad, Sch Business, Canberra, ACT, Australia; Feng Chia Univ, Dept Econ, Taichung, Taiwan</t>
  </si>
  <si>
    <t>Yu, FLT (corresponding author), Australian Def Force Acad, Sch Business, Canberra, ACT, Australia.</t>
  </si>
  <si>
    <t>flyu@fcu.edu.tw</t>
  </si>
  <si>
    <t>903AH</t>
  </si>
  <si>
    <t>organizational change; change management; accounting firms</t>
  </si>
  <si>
    <t>Ben Gurion Univ Negev, Dept Business Adm, IL-84105 Beer Sheva, Israel; Univ Auckland, Sch Business, Auckland 1, New Zealand</t>
  </si>
  <si>
    <t>Brock, DM (corresponding author), Ben Gurion Univ Negev, Dept Business Adm, IL-84105 Beer Sheva, Israel.</t>
  </si>
  <si>
    <t>dmb@som.bgu.ac.il; m.powell@auckland.ac.nz</t>
  </si>
  <si>
    <t>973IP</t>
  </si>
  <si>
    <t>Thompson, John B.</t>
  </si>
  <si>
    <t>The New Visibility</t>
  </si>
  <si>
    <t>PAPERS-REVISTA DE SOCIOLOGIA</t>
  </si>
  <si>
    <t>media; power; communication</t>
  </si>
  <si>
    <t>This article examines the characteristics of a new form of visibility which has become a pervasive feature of the modern world and which is linked to the development of communication media. With the development of the media, the visibility of individuals, actions and events is severed from the sharing of a common locale. One no longer has to be present in the same spatial-temporal setting in order to see the other or to witness an action or event. The rise of this new form of mediated visibility has transformed the relations between visibility and power. Thanks to mediated visibility, political rulers are able to appear before their subjects in ways and on a scale that never existed previously. Skilful politicians exploit this ti their advantage; with the help of their PR consultants and communications advisors, they seek to create and sustain a basis of support by managing their visibility in the mediated arena of modern politics. But mediated visibility is a double. edged sword: it also creates new risks for political leaders, who find themselves exposed to new kinds of dangers. Hence the visibility created by the media becomes the source of a new and distinctive kind of fragility. However much political leaders try to manage their visibility, they cannot completely control it: mediated visibility can slip out of their grasp and can, on occasion, work against them.</t>
  </si>
  <si>
    <t>[Thompson, John B.] Univ Cambridge, Cambridge, England</t>
  </si>
  <si>
    <t>UNIV AUTONOMA BARCELONA, SERV PUBLICACIONS</t>
  </si>
  <si>
    <t>EDIFICI A, BELLATERRA, CARDANYOLA VALLES, BARCELONA, 08193, SPAIN</t>
  </si>
  <si>
    <t>0210-2862</t>
  </si>
  <si>
    <t>PAPERS</t>
  </si>
  <si>
    <t>Papers</t>
  </si>
  <si>
    <t>10.5565/rev/papers/v78n0.840</t>
  </si>
  <si>
    <t>V5C9N</t>
  </si>
  <si>
    <t>WOS:000219494200002</t>
  </si>
  <si>
    <t>Kolkman, MJ; Kok, M; van der Veen, A</t>
  </si>
  <si>
    <t>Mental model mapping as a new tool to analyse the use of information in decision-making in integrated water management</t>
  </si>
  <si>
    <t>PHYSICS AND CHEMISTRY OF THE EARTH</t>
  </si>
  <si>
    <t>Annual Meeting on Dealing with Floods within Constraints</t>
  </si>
  <si>
    <t>NOV, 2003</t>
  </si>
  <si>
    <t>Roermond, NETHERLANDS</t>
  </si>
  <si>
    <t>Netherlands Ctr River Studies</t>
  </si>
  <si>
    <t>concept mapping; mental model; stakeholder frames; decision-making; complex unstructured problems; integrated assessment; postnormal science</t>
  </si>
  <si>
    <t>POLICY; SCIENCE; KNOWLEDGE</t>
  </si>
  <si>
    <t>The solution of complex, unstructured problems is faced with policy controversy and dispute, unused and misused knowledge, IF project delay and failure, and decline of public trust in governmental decisions. Mental model mapping (also called concept mapping) is a technique to analyse these difficulties on a fundamental cognitive level, which can reveal experiences, perceptions, assumptions, knowledge and subjective beliefs of stakeholders, experts and other actors, and can stimulate communication and learning. This article presents the theoretical framework from which the use of mental model mapping techniques to analyse this type of problems emerges as a promising technique. The framework consists of the problem solving or policy design cycle, the knowledge production or modelling cycle, and the (computer) model as interface between the cycles. Literature attributes difficulties in the decision-making process to communication gaps between decision makers, stakeholders and scientists, and to the construction of knowledge within different paradigm groups 6 that leads to different interpretation of the problem situation. Analysis of the decision-making process literature indicates that choices, which are made in all steps of the problem solving cycle, are based on an individual decision maker's frame of perception. 6 This frame, in turn, depends on the mental model residing in the mind of the individual. Thus we identify three levels of awareness on which the decision process can be analysed. This research focuses on the third level. Mental models can be elicited using mapping techniques. In this way, analysing an individual's mental model can shed light on decision-making problems. The steps of the knowledge production cycle are, in the same manner, ultimately driven by the mental models of the scientist in a specific discipline. Remnants of this mental model can be found in the resulting computer model. The characteristics of unstructured problems (complexity, uncertainty and disagreement) can be positioned in the framework, as can the communities of knowledge construction and valuation involved in the solution of these problems (core science, applied science, and professional consultancy, and post-normal science). Mental model maps, this research hypothesises, are suitable to analyse the above aspects of the problem. This hypothesis is tested for the case of the Zwolle storm surch barrier. Analysis can aid integration between disciplines, participation of public stakeholders, and can stimulate learning processes. Mental model mapping is recommended to visualise the use of knowledge, to analyse difficulties in problem solving process, and to aid information transfer and communication. Mental model mapping help scientists to shape their new, post-normal responsibilities in a manner that complies with integrity when dealing with unstructured problems in complex, multifunctional systems. (C) 2005 Elsevier Ltd. All rights reserved.</t>
  </si>
  <si>
    <t>Univ Twente, Dept Civil Engn, Water Engn &amp; Management Grp, NL-7500 AE Enschede, Netherlands; HKV Consultants, NL-8203 AC Lelystad, Netherlands</t>
  </si>
  <si>
    <t>Kolkman, MJ (corresponding author), Univ Twente, Dept Civil Engn, Water Engn &amp; Management Grp, POB 217, NL-7500 AE Enschede, Netherlands.</t>
  </si>
  <si>
    <t>m.j.kolkman@utwente.nl; m.kok@hkv.nl</t>
  </si>
  <si>
    <t>van der Veen, Anne/A-5331-2010</t>
  </si>
  <si>
    <t>van der Veen, Anne/0000-0003-1574-9332</t>
  </si>
  <si>
    <t>1474-7065</t>
  </si>
  <si>
    <t>1873-5193</t>
  </si>
  <si>
    <t>PHYS CHEM EARTH</t>
  </si>
  <si>
    <t>Phys. Chem. Earth</t>
  </si>
  <si>
    <t>4-5</t>
  </si>
  <si>
    <t>10.1016/j.pce.2005.01.002</t>
  </si>
  <si>
    <t>941QM</t>
  </si>
  <si>
    <t>WOS:000230229300008</t>
  </si>
  <si>
    <t>Castleman, BI; Ziem, GE</t>
  </si>
  <si>
    <t>Castleman, Barry I.; Ziem, Grace E.</t>
  </si>
  <si>
    <t>Corporate influence on Threshold Limit Values</t>
  </si>
  <si>
    <t>POLICY AND PRACTICE IN HEALTH AND SAFETY</t>
  </si>
  <si>
    <t>unpublished corporate communications; TLV committee; carcinogen; conflict of interest; industrial experience; OSHA standards</t>
  </si>
  <si>
    <t>Investigations into the historical development of specific Threshold Limit Values (TLVs) for many substances have revealed serious shortcomings in the process followed by the American Conference of Governmental Industrial Hygienists. Unpublished corporate communications were important in developing TLVs for 104 substances; for 15 of these, the TLV documentation was based solely on such information. Efforts to obtain written copies of this unpublished material were mostly unsuccessful. Case studies on the TLV Committee's handling of lead and seven carcinogens illustrate various aspects of corporate influence and interaction with the committee. Corporate representatives listed officially as consultants since 1970 were given primary responsibility for developing TLVs on proprietary chemicals of the companies that employed them (Dow, DuPont). It is concluded that an ongoing international effort is needed to develop scientifically based guidelines to replace the TLVs in a climate of openness and without manipulation by vested interests.</t>
  </si>
  <si>
    <t>1477-3996</t>
  </si>
  <si>
    <t>1477-4003</t>
  </si>
  <si>
    <t>POLICY PRACT HEALTH</t>
  </si>
  <si>
    <t>Policy Pract. Health Saf.</t>
  </si>
  <si>
    <t>VD8MV</t>
  </si>
  <si>
    <t>WOS:000437661100007</t>
  </si>
  <si>
    <t>Dornhorst, A; Cripps, J; Goodyear, H; Marshall, J; Waters, E; Boddy, SA</t>
  </si>
  <si>
    <t>Working Lives Intercollegiate Comm</t>
  </si>
  <si>
    <t>Improving hospital doctors' working lives: online questionnaire survey of all grades</t>
  </si>
  <si>
    <t>POSTGRADUATE MEDICAL JOURNAL</t>
  </si>
  <si>
    <t>Background: In 2001, the Department of Health produced the Improving Working Lives (IWL) for Doctors document. This is the first national survey which asks hospital doctors what changes are needed to improve their working lives. Methods: An online questionnaire was run over a period of six weeks and was open to all doctors of all grades. Doctors were asked to choose their top five factors from a list of 35 diverse choices or to provide alternatives in free text. Demographic data were also collected. Results: 1603 hospital doctors working in the UK completed the online questionnaire. Improved secretarial or managerial support was the first IWL choice for consultants, with different aspects of clinical and non-clinical support representing their top four choices. Junior hospital doctors and staff and associate specialist grades (staff grades, associate specialists, and clinical assistants) identified improved support for education and training as their first choice, while among the female specialist registrars, it was improved support for childcare. Greater opportunities to develop new skills was an important issue for doctors in the surgical specialties and improved access to mentoring was important for all junior doctors, staff and associate specialist grades, and doctors from black and ethnic minority groups. Conclusions: Hospital doctors in the UK need more support to improve their working lives. The principle needs are better secretarial and managerial support for consultants; education, training, and mentoring for junior doctors and staff and associate specialist grades; and improved opportunities to develop new skills for those in surgical specialties. Support with childcare is an important issue for female specialist registrars. The Department of Health, NHS trusts, deaneries, and Royal Colleges need to endorse policies that promote a training and working environment that will improve working lives for all hospital doctors, ensuring that appropriate and continuing support is available from the time doctors enter the new foundation programmes and proposed run-through grades, to their time spent as consultants in today's NHS.</t>
  </si>
  <si>
    <t>Royal Coll Surgeons England, Intercollegiate IWL Comm, London WC2A 3PE, England; Royal Coll Phys London, London, England; Royal Coll Paediat &amp; Child Hlth, London, England; Royal Coll Psychiatrists, London, England</t>
  </si>
  <si>
    <t>Dornhorst, A (corresponding author), Royal Coll Surgeons England, Intercollegiate IWL Comm, 35-43 Lincolns Inn Fields, London WC2A 3PE, England.</t>
  </si>
  <si>
    <t>iwl@rcseng.ac.uk</t>
  </si>
  <si>
    <t>0032-5473</t>
  </si>
  <si>
    <t>1469-0756</t>
  </si>
  <si>
    <t>POSTGRAD MED J</t>
  </si>
  <si>
    <t>Postgrad. Med. J.</t>
  </si>
  <si>
    <t>10.1136/pgmj.2004.029512</t>
  </si>
  <si>
    <t>885VR</t>
  </si>
  <si>
    <t>WOS:000226185800008</t>
  </si>
  <si>
    <t>South Africa; development; institutions; neoliberal; regionalism</t>
  </si>
  <si>
    <t>ECONOMIC-DEVELOPMENT; STATE; POLICY; WORLD</t>
  </si>
  <si>
    <t>Univ Sussex, Dept Geog, Brighton BN1 9RH, E Sussex, England; Univ Otago, Dept Geog, Dunedin 9001, New Zealand; Rhodes Univ, Dept Geog, ZA-6140 Grahamstown, South Africa</t>
  </si>
  <si>
    <t>Bek, D (corresponding author), Univ Sussex, Dept Geog, Brighton BN1 9RH, E Sussex, England.</t>
  </si>
  <si>
    <t>bek_dave@hotmail.com; j.a.binns@geography.otago.ac.nz; E.Nel@ru.ac.za</t>
  </si>
  <si>
    <t>TIJDSCHR ECON SOC GE</t>
  </si>
  <si>
    <t>Tijdschr. Econ. Soc. Geogr.</t>
  </si>
  <si>
    <t>926WK</t>
  </si>
  <si>
    <t>Monash Univ, Sch Comp Sci &amp; Software Engn, Clayton, Vic 3800, Australia</t>
  </si>
  <si>
    <t>Zukerman, I (corresponding author), Monash Univ, Sch Comp Sci &amp; Software Engn, Clayton, Vic 3800, Australia.</t>
  </si>
  <si>
    <t>ingrid@csse.monash.edu.au; xtg@csse.monash.edu.au</t>
  </si>
  <si>
    <t>LECT NOTES ARTIF INT</t>
  </si>
  <si>
    <t>Computer Science, Artificial Intelligence</t>
  </si>
  <si>
    <t>BCV26</t>
  </si>
  <si>
    <t>WWTP effluent; pilot study; filtration techniques; reuse</t>
  </si>
  <si>
    <t>Delft Univ Technol, Fac Civil Engn, Dept Sanitary Engn, NL-2600 GA Delft, Netherlands; Witteveen &amp; Bos, NL-7400 AE Deventer, Netherlands; Rossmark Water Treatment, NL-6710 BG Ede, Netherlands; Hoogheemraadschap Delfland, NL-2601 DB Delft, Netherlands</t>
  </si>
  <si>
    <t>te Poele, S (corresponding author), Delft Univ Technol, Fac Civil Engn, Dept Sanitary Engn, POB 5048, NL-2600 GA Delft, Netherlands.</t>
  </si>
  <si>
    <t>poele@citg.tudelft.nl; h.Menkveld@witbo.nl; Jeroen.boom@veoliawater.com; wvanbragt@hhdelfland.nl</t>
  </si>
  <si>
    <t>10.2166/wst.2005.0092</t>
  </si>
  <si>
    <t>976KP</t>
  </si>
  <si>
    <t>Ho, KM; Liang, J</t>
  </si>
  <si>
    <t>Withholding and withdrawal of therapy in New Zealand intensive care units (ICUs): A survey of clinical directors</t>
  </si>
  <si>
    <t>ANAESTHESIA AND INTENSIVE CARE</t>
  </si>
  <si>
    <t>intensive care unit, therapy : withdrawal, withholding; practice, ethics</t>
  </si>
  <si>
    <t>LIFE-SUSTAINING TREATMENT; NATIONAL-SURVEY; END; DECISIONS; LIMITATION; SUPPORT</t>
  </si>
  <si>
    <t>Withdrawing and withholding life-support therapy in patients who are unlikely to survive despite treatment are common practices in intensive care units (ICUs). The literature suggests there is a large variation in practice between different ICUs in different parts of the world. We conducted a postal survey among all public ICUs in New Zealand to investigate the pattern of practice in withholding and withdrawal of therapy. Nineteen ICUs responded to this survey and they represented 74% of all the public ICU beds and 83% of the annual ICU admissions. The percentage of ICU admissions with therapy withdrawn or withheld was less than 10% in most ICUs. Only a small percentage (21%) of ICUs had formal policy in withholding and withdrawal of therapy. The timing of making the decision to withhold or withdraw therapy was very variable. The patient andlor the family, the primary medical team consultant, two or more ICU consultants, and ICU nurses were usually involved in the decision making process. ICU nurses were more commonly involved in the decision making process in smaller ICUs (5 beds vs 10 beds, P = 0.03). The patient's pre-ICU quality of life, medical comorbidities, predicted mortality, predicted post-ICU quality of life, and the family's wishes were important factors in deciding whether ICU therapy would be withheld or withdrawn. Hospice ward or the patient's home was the preferred place for palliative care in 32% of the responses.</t>
  </si>
  <si>
    <t>N Shore Hosp, Dept Anaesthesia &amp; Intens Care, Auckland 1309, New Zealand</t>
  </si>
  <si>
    <t>Ho, KM (corresponding author), ICU, Royal Perth Hosp, Perth, WA 6000, Australia.</t>
  </si>
  <si>
    <t>Ho, Kwok M./E-3546-2010</t>
  </si>
  <si>
    <t>Ho, Kwok M./0000-0002-6705-6004</t>
  </si>
  <si>
    <t>0310-057X</t>
  </si>
  <si>
    <t>1448-0271</t>
  </si>
  <si>
    <t>ANAESTH INTENS CARE</t>
  </si>
  <si>
    <t>Anaesth. Intensive Care</t>
  </si>
  <si>
    <t>10.1177/0310057X0403200609</t>
  </si>
  <si>
    <t>Anesthesiology; Critical Care Medicine</t>
  </si>
  <si>
    <t>Anesthesiology; General &amp; Internal Medicine</t>
  </si>
  <si>
    <t>883XD</t>
  </si>
  <si>
    <t>WOS:000226048100009</t>
  </si>
  <si>
    <t>LUNG-CANCER RISK; SECONDHAND SMOKE; INDUSTRY; SCIENCE</t>
  </si>
  <si>
    <t>Univ Sydney, Sch Publ Hlth, Sydney, NSW 2006, Australia</t>
  </si>
  <si>
    <t>Assunta, M (corresponding author), Univ Sydney, Sch Publ Hlth, Room 129A,Edward Ford Bldg A27, Sydney, NSW 2006, Australia.</t>
  </si>
  <si>
    <t>marya@health.usyd.edu.au</t>
  </si>
  <si>
    <t>Chapman, Simon/D-4114-2009</t>
  </si>
  <si>
    <t>879RE</t>
  </si>
  <si>
    <t>SECONDHAND SMOKE; STRATEGY</t>
  </si>
  <si>
    <t>Chapman, S (corresponding author), Univ Sydney, Sch Publ Hlth, Room 320B Edward Ford Bldg,A27, Sydney, NSW 2006, Australia.</t>
  </si>
  <si>
    <t>simonchapman@health.usyd.edu.au</t>
  </si>
  <si>
    <t>environment impact; visual impact evaluation matrix; wind farm</t>
  </si>
  <si>
    <t>Univ Extremadura, Dpto Electr &amp; Ingn Elect Mech, E-06071 Badajoz, Spain; Univ Oviedo, Dpto Energia, Gijon 33271, Spain</t>
  </si>
  <si>
    <t>Fernandez, J (corresponding author), Univ Extremadura, Dpto Electr &amp; Ingn Elect Mech, E-06071 Badajoz, Spain.</t>
  </si>
  <si>
    <t>ffrancos@unex.es</t>
  </si>
  <si>
    <t>Marigorta, Eduardo Blanco/D-9754-2013; Hurtado Cruz, Juan Pablo/K-2568-2013; Parrondo, Jorge/G-4474-2011; Francos, Joaquin Fernández/AAA-7637-2019</t>
  </si>
  <si>
    <t>Marigorta, Eduardo Blanco/0000-0003-3290-201X; Hurtado Cruz, Juan Pablo/0000-0001-7602-8278; Parrondo, Jorge/0000-0002-7462-8285; Francos, Joaquin Fernández/0000-0003-1495-9848</t>
  </si>
  <si>
    <t>857KB</t>
  </si>
  <si>
    <t>Muggli, ME; Hurt, RD; Becker, LB</t>
  </si>
  <si>
    <t>Turning free speech into corporate speech: Philip Morris' efforts to influence US and European journalists regarding the US EPA report on secondhand smoke</t>
  </si>
  <si>
    <t>tobacco industry; EPA; environmental tobacco smoke; journalists</t>
  </si>
  <si>
    <t>ENVIRONMENTAL TOBACCO-SMOKE; PASSIVE SMOKING; INDUSTRY DOCUMENTS; LUNG-CANCER; WILLIAMSON DOCUMENTS; 2ND-HAND SMOKE; HEART-DISEASE; SCIENCE; RISK; EPIDEMIOLOGY</t>
  </si>
  <si>
    <t>Background. Previously secret internal tobacco company documents show that the tobacco industry launched an extensive multifaceted effort to influence the scientific debate about the harmful effects of secondhand smoke. Integral to the industry's campaign was an effort to derail the Environmental Protection Agency's (EPA) risk assessment on environmental tobacco smoke (ETS) by recruiting a network of journalists to generate news articles supporting the industry's position and pushing its public relations messages regarding the ETS issue. Methods. Searches of previously secret internal tobacco industry records were conducted online and at the Minnesota Tobacco Document Depository. In addition, searches on the World Wide Web were conducted for each National Journalism Center alumnus. Lexis-Nexis was used to locate news stories written by the journalists cited in this paper. Results. Philip Morris turned to its public relations firm Burson Marsteller to build considerable reasonable doubt... particularly among consumers about the scientific weaknesses of the EPA report. A Washington, DC, media and political consultant Richard Hines was a key player in carrying out Burson Marsteller's media recommendations of EPA bashing for Philip Morris. In March 1993, Philip Morris' vice president of corporate affairs policy and administration reported to Steve Parrish, vice president and general counsel of Philip Morris, that their consultant was responsible for a number of articles that have appeared in... major news publications regarding EPA and ETS. In addition to placing favorable stories in the press through its consultant, Philip Morris sought to expand its journalist network by financially supporting a U.S. school of journalism; the National Journalism Center (NJC). Philip Morris gleaned about 15 years worth of journalists at print and visual media throughout the country... to get across [its] side of the story resulting in numerous pieces consistent with our point of view. The company planned to design innovative strategies to communicate [its] position on ETS through education programs targeting policy makers and the media via the NJC. Finally, journalists associated with think tanks that were financially supported by Philip Morris wrote numerous articles critical of the EPA. Conclusions. This is the first report, from the tobacco industry's own documents, to show the extent to which the tobacco industry has gone to influence the print media on the issue of the health effects of secondhand smoke. Unfortunately, what we report here is that even journalists can fall victim to well-orchestrated and presented public relations efforts regardless of their scientific validity. It is not clear how various professional media organizations oversee the ethical conduct of their members. Certainly, on the topic of the health effects of secondhand smoke, more scrutiny is warranted from these organizations for articles written by their members lest the public be misinformed and thus ill served. (C) 2004 The Institute For Cancer Prevention and Elsevier Inc. All rights reserved.</t>
  </si>
  <si>
    <t>Mayo Clin, Nicotine Dependence Ctr, Rochester, MN 55905 USA; Tobacco Document Consultancy, St Paul, MN 55905 USA; Univ Georgia, James M Cox Jr Ctr Int Mass Commun Training &amp; Res, Grady Coll Journalism &amp; Mass Commun, Athens, GA 30602 USA</t>
  </si>
  <si>
    <t>Hurt, RD (corresponding author), Mayo Clin, Nicotine Dependence Ctr, 200 1st St SW, Rochester, MN 55905 USA.</t>
  </si>
  <si>
    <t>rhurt@mayo.edu</t>
  </si>
  <si>
    <t>NATIONAL CANCER INSTITUTE [R01CA090791] Funding Source: NIH RePORTER; NCI NIH HHS [R01 CA90791] Funding Source: Medline</t>
  </si>
  <si>
    <t>10.1016/j.ypmed.2004.02.014</t>
  </si>
  <si>
    <t>852MS</t>
  </si>
  <si>
    <t>WOS:000223760000017</t>
  </si>
  <si>
    <t>Dodgson, JE; Chee, YO; Yap, TS</t>
  </si>
  <si>
    <t>Workplace breastfeeding support for hospital employees</t>
  </si>
  <si>
    <t>JOURNAL OF ADVANCED NURSING</t>
  </si>
  <si>
    <t>breastfeeding; employment; breastfeeding support programmes; Hong Kong; nursing mothers' rooms; nursing</t>
  </si>
  <si>
    <t>HONG-KONG; INFANT ILLNESS; INITIATION; DURATION; RATES</t>
  </si>
  <si>
    <t>Background Breastfeeding initiation rates have been steadily rising in Hong Kong, but most employed women wean prior to returning to work. While health care providers promote breastfeeding, women receive little support from employers. A few health care facilities offer some workplace breastfeeding support, but little is known about the specific types and amount of support that are offered. Aims This paper reports a study whose aim was to describe workplace supports available to breastfeeding women employed by hospitals that provide maternity services in Hong Kong, and to determine if differences in workplace supports exist based on the hospitals' numbers of employees or funding source. Methods In late 2001, a cross-sectional survey was completed by nurse managers or lactation consultants most knowledgeable about supports to breastfeeding employees in 19 hospitals. Findings The number of workplace breastfeeding supports or Breastfeeding Support Score (M = 7.47; SD = 3.37) varied considerably. Mean Breastfeeding Support Score for government-funded hospitals was significantly higher (t = 2.31; P = 0.03) than for private hospitals. Of the 14 hospitals that had a designated space for using a breast pump, only five (26.3%) had a private room with a door that locked. Only two hospitals (11.1%) allowed employees to take breaks as needed to use a pump; employees in 10 (55.6%) had to use their meal and regular break times. Hospitals having a hospital-wide committee that addressed workplace breastfeeding issues had a more supportive environment for breastfeeding employees. Although all surveyed hospitals returned the questionnaire, the sample size was small. It was difficult to ensure accuracy and to differentiate subtle variations in the services provided using a self-report survey. Conclusions Facilitating continued breastfeeding after employees' return to work requires that employers understand the needs of breastfeeding employees. Policy at the level of the employer and government is an essential component of creating a supportive environment.</t>
  </si>
  <si>
    <t>Duke Univ, Sch Nursing, Durham, NC 27705 USA; Pan Asian Lactat Consultant Assoc, Hong Kong, Hong Kong, Peoples R China</t>
  </si>
  <si>
    <t>Dodgson, JE (corresponding author), Duke Univ, Sch Nursing, 811,9th St,Suite 200, Durham, NC 27705 USA.</t>
  </si>
  <si>
    <t>dodgs001@mc.duke.edu</t>
  </si>
  <si>
    <t>BLACKWELL PUBLISHING LTD</t>
  </si>
  <si>
    <t>9600 GARSINGTON RD, OXFORD OX4 2DG, OXON, ENGLAND</t>
  </si>
  <si>
    <t>0309-2402</t>
  </si>
  <si>
    <t>J ADV NURS</t>
  </si>
  <si>
    <t>J. Adv. Nurs.</t>
  </si>
  <si>
    <t>10.1111/j.1365-2648.2004.03070.x</t>
  </si>
  <si>
    <t>825EL</t>
  </si>
  <si>
    <t>WOS:000221738700011</t>
  </si>
  <si>
    <t>junior doctor; work hours; legislation; professional regulation; medical education; UK; USA</t>
  </si>
  <si>
    <t>HOUSE OFFICERS; RESIDENT PHYSICIANS; MEDICAL INTERNSHIP; SLEEP-DEPRIVATION; DUTY HOURS; NEW-DEAL; PERFORMANCE; FATIGUE; QUALITY; STRESS</t>
  </si>
  <si>
    <t>Univ Oxford, Dept Social Policy, Oxford OX1 2ER, England; Harvard Univ, Sch Med, Massachusetts Gen Hosp, Dept Radiat Oncol, Boston, MA 02114 USA</t>
  </si>
  <si>
    <t>Surender, R (corresponding author), Univ Oxford, Dept Social Policy, Barnett House,32 Wellington Sq, Oxford OX1 2ER, England.</t>
  </si>
  <si>
    <t>rjagsi@partners.org; rebecca.surender@socres.ox.ac.uk</t>
  </si>
  <si>
    <t>SOC SCI MED</t>
  </si>
  <si>
    <t>Soc. Sci. Med.</t>
  </si>
  <si>
    <t>Public, Environmental &amp; Occupational Health; Social Sciences, Biomedical</t>
  </si>
  <si>
    <t>Public, Environmental &amp; Occupational Health; Biomedical Social Sciences</t>
  </si>
  <si>
    <t>811QJ</t>
  </si>
  <si>
    <t>occupational health service; consultant role; technological change</t>
  </si>
  <si>
    <t>WORKING ENVIRONMENT; ERGONOMICS</t>
  </si>
  <si>
    <t>Tech Univ Denmark, Dept Mfg Engn &amp; Management, DK-2800 Lyngby, Denmark</t>
  </si>
  <si>
    <t>Broberg, O (corresponding author), Tech Univ Denmark, Dept Mfg Engn &amp; Management, Bldg 303, DK-2800 Lyngby, Denmark.</t>
  </si>
  <si>
    <t>Guerrero Briceño, Manuel Jesús/L-6085-2016</t>
  </si>
  <si>
    <t>INT J IND ERGONOM</t>
  </si>
  <si>
    <t>Int. J. Ind. Ergon.</t>
  </si>
  <si>
    <t>Engineering, Industrial; Ergonomics</t>
  </si>
  <si>
    <t>802KK</t>
  </si>
  <si>
    <t>Drope, J; Bialous, SA; Glantz, SA</t>
  </si>
  <si>
    <t>Tobacco industry efforts to present ventilation as an alternative to smoke-free environments in North America</t>
  </si>
  <si>
    <t>PHILIP-MORRIS; STANDARD; SCIENCE</t>
  </si>
  <si>
    <t>Objective: To describe how the tobacco industry developed a network of consultants to promote ventilation as a solution to secondhand smoke (SHS) in the USA. Methods: Analysis of previously secret tobacco industry documents. Results: As with its other strategies to undermine the passage of clean indoor legislation and regulations, the tobacco industry used consultants who represented themselves as independent but who were promoting the industry's ventilation solution strategies under close, but generally undisclosed, industry supervision. The nature of the industry's use of ventilation consultants evolved over time. In the 1980s, the industry used them in an effort to steer the concerns about indoor air quality away from secondhand smoke, saying SHS was an insignificant component of a much larger problem of indoor air quality and inadequate ventilation. By the 1990s, the industry and its consultants were maintaining that adequate ventilation could easily accommodate moderate smoking. The consultants carried the ventilation message to businesses, particularly the hospitality business, and to local and national and international regulatory and legislative bodies. Conclusion: While the tobacco industry and its consultants have gone to considerable lengths to promote the tobacco industry's ventilation solution, this strategy has had limited success in the USA, probably because, in the end, it is simpler, cheaper, and healthier to end smoking. Tobacco control advocates need to continue to educate policymakers about this fact, particularly in regions where this strategy has been more effective.</t>
  </si>
  <si>
    <t>Univ Calif San Francisco, Ctr Tobacco Control Res &amp; Educ, San Francisco, CA 94143 USA; Tobacco Policy Int, San Francisco, CA USA</t>
  </si>
  <si>
    <t>Glantz, SA (corresponding author), Univ Calif San Francisco, Ctr Tobacco Control Res &amp; Educ, Box 1390, San Francisco, CA 94143 USA.</t>
  </si>
  <si>
    <t>NCI NIH HHS [CA-87472, CA-61021] Funding Source: Medline; NATIONAL CANCER INSTITUTE [R01CA061021, R01CA087472] Funding Source: NIH RePORTER</t>
  </si>
  <si>
    <t>NCI NIH HHS(United States Department of Health &amp; Human ServicesNational Institutes of Health (NIH) - USANIH National Cancer Institute (NCI)); NATIONAL CANCER INSTITUTE(United States Department of Health &amp; Human ServicesNational Institutes of Health (NIH) - USANIH National Cancer Institute (NCI))</t>
  </si>
  <si>
    <t>10.1136/tc.2003.004101</t>
  </si>
  <si>
    <t>803UL</t>
  </si>
  <si>
    <t>WOS:000220255900008</t>
  </si>
  <si>
    <t>Stockholm Univ, Dept Genet &amp; Cellular Toxicol, S-10691 Stockholm, Sweden</t>
  </si>
  <si>
    <t>Nilsson, R (corresponding author), Stockholm Univ, Dept Genet &amp; Cellular Toxicol, S-10691 Stockholm, Sweden.</t>
  </si>
  <si>
    <t>robert.nilsson@dbb.su.se</t>
  </si>
  <si>
    <t>ECOTOX ENVIRON SAFE</t>
  </si>
  <si>
    <t>Ecotox. Environ. Safe.</t>
  </si>
  <si>
    <t>775JB</t>
  </si>
  <si>
    <t>Pilot Programme Promot Environm Management Privat, GTZ P3U, D-53113 Bonn, Germany</t>
  </si>
  <si>
    <t>Kurzinger, E (corresponding author), Pilot Programme Promot Environm Management Privat, GTZ P3U, Tulpenfeld 2, D-53113 Bonn, Germany.</t>
  </si>
  <si>
    <t>747DJ</t>
  </si>
  <si>
    <t>Stevenson, RS</t>
  </si>
  <si>
    <t>Impact of the ASEAN Environmental Improvement Project (ASEAN-EIP) on the adoption of waste minimization practices in the Philippines</t>
  </si>
  <si>
    <t>waste minimization; cleaner production; Philippines; dissemination; policy</t>
  </si>
  <si>
    <t>An assessment was made in 1999 by a team of consultants to the United Nations Industrial Development Organization (UNIDO) of the effectiveness in promoting waste minimization (WM) practices of the plant site assessments made in the Philippines by the Association of South East Asian Nations-Environmental Improvement Project (ASEAN-EIP). This program had been funded in 1992 by the US Agency for International Development to promote an expanded concept of WM, similar to current concepts of cleaner production (CP). From 1992 until 1996 the ASEAN-EIP conducted detailed in-plant assessments in five countries of Southeast Asia. The UNIDO assessment of the impact of that work addressed the results of six such plant assessments carried out by ASEAN-EIP. in 1995 in three paper mills and three cement plants in the Philippines, and sought to learn how the information resulting from those assessments had propagated through the industry sectors concerned. (C) 2003 Elsevier Ltd. All rights reserved.</t>
  </si>
  <si>
    <t>Mantaray Management LLC, Evergreen, CO 80439 USA</t>
  </si>
  <si>
    <t>Stevenson, RS (corresponding author), Mantaray Management LLC, 27126 Wapiti Dr, Evergreen, CO 80439 USA.</t>
  </si>
  <si>
    <t>10.1016/S0959-6526(03)00100-8</t>
  </si>
  <si>
    <t>WOS:000186789700012</t>
  </si>
  <si>
    <t>grantsmanship; economics; health care economics and organizations; organized financing</t>
  </si>
  <si>
    <t>Univ Texas, MD Anderson Canc Ctr, Ctr Biomed Engn, Dept Gynecol Oncol, Houston, TX 77030 USA; NCI, Canc Therapy Evaluat Program, Bethesda, MD 20892 USA; Sioux Valley Univ Hosp, Dept Obstet &amp; Gynecol, Sioux Falls, SD USA; Univ Alabama, Dept Gynecol Oncol, Birmingham, AL USA</t>
  </si>
  <si>
    <t>Trimble, EL (corresponding author), Univ Texas, MD Anderson Canc Ctr, Ctr Biomed Engn, Dept Gynecol Oncol, 1515 Holcombe Blvd,Unit 193, Houston, TX 77030 USA.</t>
  </si>
  <si>
    <t>JOHN WILEY &amp; SONS INC</t>
  </si>
  <si>
    <t>111 RIVER ST, HOBOKEN, NJ 07030 USA</t>
  </si>
  <si>
    <t>Cancer</t>
  </si>
  <si>
    <t>737ML</t>
  </si>
  <si>
    <t>congressional elections; coordinated expenditures; party organization; political consultant (marketer)</t>
  </si>
  <si>
    <t>PROFESSIONALS</t>
  </si>
  <si>
    <t>Oakland Univ, Dept Polit Sci, Rochester, MI 48309 USA; Temple Univ, Dept Polit Sci, Philadelphia, PA 19122 USA</t>
  </si>
  <si>
    <t>Kolodny, R (corresponding author), Oakland Univ, Dept Polit Sci, 423 Varnet Hall, Rochester, MI 48309 USA.</t>
  </si>
  <si>
    <t>Kolodny, Robin/AAM-9443-2021</t>
  </si>
  <si>
    <t>6 BONHILL STREET, LONDON EC2A 4PU, ENGLAND</t>
  </si>
  <si>
    <t>PARTY POLIT</t>
  </si>
  <si>
    <t>Party Polit.</t>
  </si>
  <si>
    <t>748JX</t>
  </si>
  <si>
    <t>Mennerich-Bunge, B</t>
  </si>
  <si>
    <t>Intensive pig production - Chance or risk?</t>
  </si>
  <si>
    <t>ZUCHTUNGSKUNDE</t>
  </si>
  <si>
    <t>Annual Meeting of the Deutsche-Gesellschaft-fur-Zuchtungskunde eV</t>
  </si>
  <si>
    <t>SEP   16, 2003</t>
  </si>
  <si>
    <t>Verden, GERMANY</t>
  </si>
  <si>
    <t>Deutsch Gesell Zuchtungskunde</t>
  </si>
  <si>
    <t>Intensive animal production is characterised by a high biological and economic productivity with a simultaneously low input of labour, energy and space per animal. As a rule, intensive pig production results in bigger production units (herds), specialisation, standardised production procedures and regional concentration of specialised farms. The chances are a definitively increased competitiveness, a potential reduction of the environmental pollution (due to the increased productivity), and, most of all, the possibilty of a stringent quality management of the entire production process. The risks are a more fragile health status of the bigger population, which needs a more stringent management than in smaller herds, since the disease dynamics are changing with the population size. Apart from health, housing and husbandry conditions (such as flooring etc.) can have a negative impact on animal welfare. Recruiting the appropriate personnel for the demanding work in bigger specialised pig herds can be a problem under the current labour market situation. Furthermore, achieving and maintaining the acceptance of the non-agricultural society for intensive food animal, production is a challenge, which has been underestimated for a too long time. Solving these problems cannot be achieved by only the farming community, but politicians and industry associations need to act as well. There is an urgent need to improve the process quality of production chains for food of animal origin by establishing systems with a high health status (vertically coordinated production chains), highly qualified consulting and high-quality post gradual education programs. It has been demonstrated that there is the necessity of taking into consideration the biological needs of the animal, when health programs and husbandry systems are designed and implemented. Additionally, it needs to be tested, whether there are possibilities to increase the animals' adaptability to modern husbandry systems by improved genetic selection procedures. With optimised management systems it is possible to produce affordable and high-quality and safe food of animal origin and yet meet the society's demands for animal protection and for the sustainability of the production of food with and from animals.</t>
  </si>
  <si>
    <t>Zuchtungszentrale Deutsches Hybridschwein, D-21337 Luneburg, Germany</t>
  </si>
  <si>
    <t>Mennerich-Bunge, B (corresponding author), Zuchtungszentrale Deutsches Hybridschwein, Stadtkoppel 6, D-21337 Luneburg, Germany.</t>
  </si>
  <si>
    <t>EUGEN ULMER GMBH CO</t>
  </si>
  <si>
    <t>POSTFACH 700561 WOLLGRASWEG 41, D-70599 STUTTGART, GERMANY</t>
  </si>
  <si>
    <t>0044-5401</t>
  </si>
  <si>
    <t>Zuchtungskunde</t>
  </si>
  <si>
    <t>802JE</t>
  </si>
  <si>
    <t>WOS:000220159000004</t>
  </si>
  <si>
    <t>Hatheway, AW; Kanaori, Y; Cheema, T</t>
  </si>
  <si>
    <t>Encompassing hydrogeology, environmental geology and the applied geosciences</t>
  </si>
  <si>
    <t>ENGINEERING GEOLOGY</t>
  </si>
  <si>
    <t>engineering geology; environmental protection; natural hazards; geotechnical engineering; professional practice</t>
  </si>
  <si>
    <t>The year began with a good deal of international tension as well as various indications of recessional economics. Two weeks into the new year, a rash of bankruptcies visited the geoenvironmental consulting industry, in which some of the very companies that had grown by expansion in takeover of smaller firms were the unstable targets. The year ended with the demise of many established geotechnical and geoenvironmental consulting firms and the establishment of new entities, generally by the more substantial of the personnel becoming castaways in the reorganizations. Employment in the private sector remained brisk but much adjustment was going on because of a generally shrinking work load related to shortfalls on taxes collected by government as the basis for public-works construction, especially in the infrastructure. All nations were in deficit spending and retraction of major projects. (C) 2003 Elsevier B.V. All rights reserved.</t>
  </si>
  <si>
    <t>Yamaguchi Univ, Dept Earth Sci, Yamaguchi, Japan; Sultan Qaboos Univ, Dept Earth Sci, Muscat, Oman</t>
  </si>
  <si>
    <t>0013-7952</t>
  </si>
  <si>
    <t>ENG GEOL</t>
  </si>
  <si>
    <t>Eng. Geol.</t>
  </si>
  <si>
    <t>10.1016/S0013-7952(03)00084-X</t>
  </si>
  <si>
    <t>Engineering, Geological; Geosciences, Multidisciplinary</t>
  </si>
  <si>
    <t>727DK</t>
  </si>
  <si>
    <t>WOS:000185641200012</t>
  </si>
  <si>
    <t>business start-ups; regional differences; structural characteristics; Austria</t>
  </si>
  <si>
    <t>FIRM FORMATION; LOCATION</t>
  </si>
  <si>
    <t>Vienna Univ Econ &amp; Business Adm, Dept City &amp; Reg Dev, A-1090 Vienna, Austria; Vienna Univ Econ &amp; Business Adm, Dept Small Business Management, A-1090 Vienna, Austria</t>
  </si>
  <si>
    <t>Todtling, F (corresponding author), Vienna Univ Econ &amp; Business Adm, Dept City &amp; Reg Dev, Rossauerlande 23, A-1090 Vienna, Austria.</t>
  </si>
  <si>
    <t>Tödtling, Franz/X-3776-2019</t>
  </si>
  <si>
    <t>ROUTLEDGE TAYLOR &amp; FRANCIS LTD</t>
  </si>
  <si>
    <t>744LL</t>
  </si>
  <si>
    <t>Saidel, MA; Alves, SS</t>
  </si>
  <si>
    <t>Energy efficiency policies in the OECD countries</t>
  </si>
  <si>
    <t>9th International Energy Conference</t>
  </si>
  <si>
    <t>MAY 19-24, 2002</t>
  </si>
  <si>
    <t>KRAKOW, POLAND</t>
  </si>
  <si>
    <t>Polish Acad Sci, Mineral &amp; Energy Res Inst,Int Energy Fdn</t>
  </si>
  <si>
    <t>energy efficiency; government; policies; Brazilian energetic sector</t>
  </si>
  <si>
    <t>Due to several reasons, ranging from environmental concerns to security of energy supplies, almost every country in the OECD implemented a host of energy efficiency policies. Although each government made its choice as to which kind of measures to take in order to deal with this subject, as well as how they would implement them, all of the analyzed programs fit into five basic categories, given below: (1) restrictive regulations, (2) information to the public, (3) creation of market asymmetries, (4) funding/loans programs and (5) state capital/private capital partnerships. Class 1 programs rely on restrictive legislation in order to ensure that manufactured/marketed products are in accordance with energy-efficiency performance standards. Class 2 initiatives aim at raising public awareness of energy-efficiency issues in order to achieve better market penetration of energy-efficient technologies, adoption of demand-side management and other desirable change in lifestyles and consumer behaviour. Class 3 measures work by tipping the scale in favour of energy-efficient technologies and appliances, either by offsetting economic disadvantages they might initially present or by circumventing any other structural barrier to their adoption/purchasing. Class 4 policies refer to purchasers and energy consumers that otherwise would not be able to make use of energy-efficient technologies because of their high initial costs. The Government gives funding or loans in order to offset this cost. Most of the partnerships in class 5 are research partnerships in which governmental departments set research goals and choose private research projects for financial funding through competitive solicitation processes. Other initiatives under this classification are free-of-charge state consultancy services. There are particular programs that fall into more than one of those 'families'. Actually, initiatives in the third group are frequently a combination of measures from the first and second groups. Additionally, policies in class 5 are sometimes a mix of class 4 (funding) and 2 (information) measures. A comparative table will be assembled, where: (1) Each country will have its energy-efficiency policies classified as a regulatory program, informative campaign, creation of market asymmetry, funding/loan or partnership, with notes regarding overlapping of classes when it happens. Data will be tabulated with basic policy categories as columns; program names being entered in the proper places for their respective countries. (2) Programs will be described in brief, having their present results summarized or prognostics being given where current data only allow for that (data available August 2001). (3) Programs will be comparatively analyzed in each of the five basic policy categories. The overarching goal of this comparative table is to provide an initial basis for an applicability analysis of such policies to South America, being specifically aimed at the Brazilian energetic sector. It is part of a greater effort to achieve efficient energy use in Brazil. (C) 2003 Elsevier Science Ltd. All rights reserved.</t>
  </si>
  <si>
    <t>Univ Sao Paulo, Polytech Sch, Sao Paulo, Brazil</t>
  </si>
  <si>
    <t>Saidel, MA (corresponding author), Univ Sao Paulo, Polytech Sch, Sao Paulo, Brazil.</t>
  </si>
  <si>
    <t>Antonio Saidel, Marco/0000-0003-3719-1878</t>
  </si>
  <si>
    <t>10.1016/S0306-2619(03)00053-9</t>
  </si>
  <si>
    <t>713LV</t>
  </si>
  <si>
    <t>WOS:000184860200012</t>
  </si>
  <si>
    <t>Bittner, VA; Hardter, U</t>
  </si>
  <si>
    <t>Empirical reality and modelling of motivational conditions of informational forest-political instruments for the non-farming ownership of small-scale private forests.</t>
  </si>
  <si>
    <t>ALLGEMEINE FORST UND JAGDZEITUNG</t>
  </si>
  <si>
    <t>intrinsic motivation; model of motivational acting; social change; modernisation; urbanisation; urban forest owners; consulting and support; small-scale private forest; environmental communication</t>
  </si>
  <si>
    <t>Two research projects examined consultation and support of non-farming small-scale private forest owners as political instruments on the information level. Urban orientation as the explaining variable was used to estimate the effectiveness of current and future forest-policy programs. Due to this the experts of consultation and support as well as their clientele, the non-farming small-scale private forest owners, were analysed. It was possible to reconstruct the needs of the target group and to present a picture of today's consultation practise with the used study design. One subproject was accomplished by the Institut of forest policy and nature protection at the University of Gottingen in form of an expert-centered research design which uses qualitative methods of empirical social research. The second subproject was accomplished by the Institut of forest policy at the University of Freiburg. Within this project the clientele of non-farming owners of small-scaled private forests was examined by means of quantitative methods of empirical social research. Both research projects were closely co-ordinated and their common aspects of content were integrated into the used collection of instruments. As a result a multi-perspective view of the clientele of non-farming forest owners could be presented by using this approach based on division of labour. By designing and applying the scale,urban orientation (Fig. 1, Tab. 1) within the investigation an urban oriented type of forest owner could be identified which can be distinguished from other traditional forest owners regarding their motives concerning forest property. Also information was gained about the extent of current consulting and support concepts and how they affect non-farming forest owners. The empirical findings help to construct a model of motivational conditions (Fig. 2 and 3) for non-farming forest owners in the light of processes of consulting and support. The model can help to point out possibilities and limits for consultation and support of non-farming forest owners. Furthermore possible strategies to deal with urban forest owners can be derived to help within the decision making processes of forest policy and forest administration.</t>
  </si>
  <si>
    <t>Didaktik Biol, D-37073 Gottingen, Germany; Inst Forstpolit, D-79106 Freiburg, Germany</t>
  </si>
  <si>
    <t>Hardter, U (corresponding author), Didaktik Biol, Waldweg 26, D-37073 Gottingen, Germany.</t>
  </si>
  <si>
    <t>J D SAUERLANDERS VERLAG</t>
  </si>
  <si>
    <t>FRANKFURT</t>
  </si>
  <si>
    <t>FINKENHOFSTRASSE 21, D-60322 FRANKFURT, GERMANY</t>
  </si>
  <si>
    <t>0002-5852</t>
  </si>
  <si>
    <t>ALLG FORST JAGDZTG</t>
  </si>
  <si>
    <t>Allg. Forst Jagdztg.</t>
  </si>
  <si>
    <t>711LX</t>
  </si>
  <si>
    <t>WOS:000184743700001</t>
  </si>
  <si>
    <t>CREDIT</t>
  </si>
  <si>
    <t>American Univ, Sch Int Serv, Int Dev Program, Washington, DC 20016 USA</t>
  </si>
  <si>
    <t>Brautigam, D (corresponding author), American Univ, Sch Int Serv, Int Dev Program, Washington, DC 20016 USA.</t>
  </si>
  <si>
    <t>AFR AFFAIRS</t>
  </si>
  <si>
    <t>Afr. Aff.</t>
  </si>
  <si>
    <t>Area Studies; Political Science</t>
  </si>
  <si>
    <t>Area Studies; Government &amp; Law</t>
  </si>
  <si>
    <t>705GK</t>
  </si>
  <si>
    <t>Hill, HC (corresponding author), Univ Michigan, Ann Arbor, MI 48109 USA.</t>
  </si>
  <si>
    <t>737MF</t>
  </si>
  <si>
    <t>WELL-CHILD CARE; PSYCHOSOCIAL PROBLEMS; BEHAVIOR PROBLEMS; PEDIATRIC PRACTICE; UNITED-STATES; HEALTH; ATTITUDES; DIVORCE; PARENTS; MOTHERS</t>
  </si>
  <si>
    <t>Amer Acad Pediat, Elk Grove Village, IL 60007 USA</t>
  </si>
  <si>
    <t>Schor, EL (corresponding author), Amer Acad Pediat, Elk Grove Village, IL 60007 USA.</t>
  </si>
  <si>
    <t>AMER ACAD PEDIATRICS</t>
  </si>
  <si>
    <t>ELK GROVE VILLAGE</t>
  </si>
  <si>
    <t>141 NORTH-WEST POINT BLVD,, ELK GROVE VILLAGE, IL 60007-1098 USA</t>
  </si>
  <si>
    <t>693CD</t>
  </si>
  <si>
    <t>Royal Inst Technol, Dept Ind Econ &amp; Management, SE-10044 Stockholm, Sweden</t>
  </si>
  <si>
    <t>Bauner, D (corresponding author), Royal Inst Technol, Dept Ind Econ &amp; Management, SE-10044 Stockholm, Sweden.</t>
  </si>
  <si>
    <t>UNIV BATH</t>
  </si>
  <si>
    <t>JRNL OF TRANSPORT ECON &amp; POL CLAVERTON DOWN, BATH BA2 7AY, AVON, ENGLAND</t>
  </si>
  <si>
    <t>J TRANSP ECON POLICY</t>
  </si>
  <si>
    <t>J. Transp. Econ. Policy</t>
  </si>
  <si>
    <t>838FB</t>
  </si>
  <si>
    <t>OECD; test methods; hazard assessment; GLP</t>
  </si>
  <si>
    <t>OECD, F-75775 Paris 16, France</t>
  </si>
  <si>
    <t>Koeter, HBWM (corresponding author), OECD, 2 Rue Andre Pascal, F-75775 Paris 16, France.</t>
  </si>
  <si>
    <t>herman.koeter@oecd.org</t>
  </si>
  <si>
    <t>TOXICOL LETT</t>
  </si>
  <si>
    <t>Toxicol. Lett.</t>
  </si>
  <si>
    <t>Toxicology</t>
  </si>
  <si>
    <t>668RX</t>
  </si>
  <si>
    <t>Gilson, L; Doherty, J; Lake, S; McIntyre, D; Mwikisa, C; Thomas, S</t>
  </si>
  <si>
    <t>The SAZA study: implementing health financing reform in South Africa and Zambia</t>
  </si>
  <si>
    <t>health care financing; resource allocation; resource mobilization; policy analysis; policy process; South Africa; Zambia</t>
  </si>
  <si>
    <t>This paper explores the policy-making process in the 1990s in two countries, South Africa and Zambia, in relation to health care financing reforms. While much of the analysis of health reform programmes has looked at design issues, assuming that a technically sound design is the primary requirement of effective policy change, this paper explores the political and bureaucratic realities shaping the pattern of policy change and its impacts. Through a case study approach, it provides a picture of the policy environment and processes in the two countries, specifically considering the extent to which technical analysts and technical knowledge were able to shape policy change. The two countries' experiences indicate the strong influence of political factors and actors over which health care financing policies were implemented, and which not, as well as over the details of policy design. Moments of political transition in both countries provided political leaders, specifically Ministers of Health, with windows of opportunity in which to introduce new policies. However, these transitions, and the changes in administrative structures introduced with them, also created environments that constrained the processes of reform design and implementation and limited the equity and sustainability gains achieved by the policies. Technical analysts, working either inside or outside government, had varying and often limited influence. In part, this reflected the limits of their own capacity as well as weaknesses in the way they were used in policy development. In addition, the analysts were constrained by the fact that their preferred policies often received only weak political support. Focusing almost exclusively on designing policy reforms, these analysts gave little attention to generating adequate support for the policy options they proposed. Finally, the country experiences showed that front-line health workers, middle level managers and the public had important influences over policy implementation and its impacts. The limited attention given to communicating policy changes to, or consulting with, these actors only heightened the potential for reforms to result in unanticipated and unwanted impacts. The strength of the paper lies in its 'thick description' of the policy process in each country, an empirical case study approach to policy that is under-represented in the literature. While such an approach allows only a cautious drawing of general conclusions, it suggests a number of ways in which to strengthen the implementation of financing policies in each country.</t>
  </si>
  <si>
    <t>Univ Witwatersrand, Ctr Hlth Policy, ZA-2000 Johannesburg, South Africa; London Sch Hyg &amp; Trop Med, London WC1, England; Univ Cape Town, Hlth Econ Unit, ZA-7925 Cape Town, South Africa; Univ Zambia, Dept Econ, Lusaka, Zambia</t>
  </si>
  <si>
    <t>Gilson, L (corresponding author), Univ Witwatersrand, Ctr Hlth Policy, POB 1038, ZA-2000 Johannesburg, South Africa.</t>
  </si>
  <si>
    <t>lucyg@mail.saimr.wits.ac.za</t>
  </si>
  <si>
    <t>Gilson, Lucy/R-8846-2019</t>
  </si>
  <si>
    <t>Gilson, Lucy/0000-0002-2775-7703; Thomas, Steve/0000-0001-9306-0114; McIntyre, Diane/0000-0001-6319-4111</t>
  </si>
  <si>
    <t>10.1093/heapol/18.1.31</t>
  </si>
  <si>
    <t>653CW</t>
  </si>
  <si>
    <t>WOS:000181418500004</t>
  </si>
  <si>
    <t>CHILDREN; CAMEL</t>
  </si>
  <si>
    <t>Waxman, HA (corresponding author), B-350A Rayburn HOB, Washington, DC 20008 USA.</t>
  </si>
  <si>
    <t>BRITISH MED JOURNAL PUBL GROUP</t>
  </si>
  <si>
    <t>653NV</t>
  </si>
  <si>
    <t>Pisaniello, JD; McKay, JM</t>
  </si>
  <si>
    <t>A farmer-friendly dam safety evaluation procedure as a key part of modern Australian water laws</t>
  </si>
  <si>
    <t>farm dams; safety assurance; best-practice policy; spillways; cost-effective review</t>
  </si>
  <si>
    <t>The largest dams are generally built and managed by Governments; individual owners build small dams. Over time, many dam safety aspects have changed, such as population distributions, meteorological information, engineering methods and design standards, together with the condition of the dams, raising serious doubts about dam adequacy. For the larger dams response has been to spend vast amounts on remedial works. Unfortunately, only a few countries have developed mature safety assurance schemes for smaller dams: these are comparatively reviewed here identifying elements of minimum and best, practice, and providing policy models and guidelines of appropriate practice for varying circumstances. Farmers often overlook common law obligation to review/design dams in line with current standards because of high engineering consulting costs. A cost-effective spillway design/review procedure that is applicable to South Eastern Australia, but is transferable to any other region world-wide, is also reported here: this procedure is integrated with the policy models and guidelines, aiming to minimize cost burdens to dam owners, encourage better dam safety management, and provide an acceptable level of safety assurance to downstream communities.</t>
  </si>
  <si>
    <t>Univ S Australia, Sch Int Business, Adelaide, SA 5001, Australia</t>
  </si>
  <si>
    <t>INT WATER RESOURCES ASSOC</t>
  </si>
  <si>
    <t>CARBONDALE</t>
  </si>
  <si>
    <t>SOUTHERN ILLINOIS UNIV, 4535 FANER HALL, MC 4516, CARBONDALE, IL 62901-4516 USA</t>
  </si>
  <si>
    <t>WATER INT</t>
  </si>
  <si>
    <t>Water Int.</t>
  </si>
  <si>
    <t>10.1080/02508060308691668</t>
  </si>
  <si>
    <t>670RD</t>
  </si>
  <si>
    <t>WOS:000182421800011</t>
  </si>
  <si>
    <t>dairy products; history; minimal processing; organic food; Raw milk cheese; Swiss dairy research</t>
  </si>
  <si>
    <t>Fed Dairy Res Stn, CH-3003 Bern, Switzerland</t>
  </si>
  <si>
    <t>Ruegg, M (corresponding author), Fed Dairy Res Stn, CH-3003 Bern, Switzerland.</t>
  </si>
  <si>
    <t>INT J DAIRY TECHNOL</t>
  </si>
  <si>
    <t>Int. J. Dairy Technol.</t>
  </si>
  <si>
    <t>645GZ</t>
  </si>
  <si>
    <t>Kihlgren, AL; Fagerberg, I; Skovdahl, K; Kihlgren, M</t>
  </si>
  <si>
    <t>Referrals from home care to emergency hospital care: basis for decisions</t>
  </si>
  <si>
    <t>acute care referrals; community care; decision making; older people; staff interviews</t>
  </si>
  <si>
    <t>NURSES; EXPERIENCE; RESIDENTS; PATIENT; MODEL</t>
  </si>
  <si>
    <t>The Swedish government implemented a reform, the Adel reform, in the care of older citizens in 1992, so that the communities where older people live became responsible for their care and housing. Nurses were appointed to make sure that older people were given accurate care and to act as supervisors for nurses' aides. In this study, 10 Registered Nurses from community home care services and four consultant head physicians in primary care were interviewed in order to illuminate what they thought influenced nurses' decisions to refer patients for emergency treatment and what support they requested to facilitate the decision. Content analysis showed the necessity of feeling secure in one's role as a community nurse. The categories that developed were: own competence, knowledge about the patient and a supportive working environment. The main theme was To feel safe in one's role - a basis for decision-making. High demands were put on the nurses' competence and their burden of responsibility became too great. This influenced decision-making negatively, if nurses felt that they were lacking in their own personal competence. Training in documentation for the nurses was required, as well as the need for organizations to provide staff with sufficient time for accurate documentation. A greater input of nursing and medical care was required to make it possible for patients to be cared for at home if they so wished. Respondents described considerable deficiencies in their working environment and in co-workers' competence, and nurses' professional roles within the community were not made clear. If these problems were remedied, this would improve working conditions, increase understanding, and reduce feelings of uncertainty among decision-makers.</t>
  </si>
  <si>
    <t>Orebro Univ Hosp, Ctr Nursing Sci, S-70113 Orebro, Sweden; Karolinska Inst, Dept Clin Neurosci Occupat Therapy &amp; Elderly Care, Stockholm, Sweden; Malardalen Univ, Dept Caring &amp; Publ Hlth Sci, Vasteras, Sweden</t>
  </si>
  <si>
    <t>Kihlgren, AL (corresponding author), Orebro Univ Hosp, Ctr Nursing Sci, Box 1324, S-70113 Orebro, Sweden.</t>
  </si>
  <si>
    <t>P O BOX 88, OSNEY MEAD, OXFORD OX2 0NE, OXON, ENGLAND</t>
  </si>
  <si>
    <t>10.1046/j.1365-2702.2003.00682.x</t>
  </si>
  <si>
    <t>627QQ</t>
  </si>
  <si>
    <t>WOS:000179945800005</t>
  </si>
  <si>
    <t>change management; viewdata; managers</t>
  </si>
  <si>
    <t>Univ Groningen, Dept Int Econ &amp; Business, Groningen, Netherlands</t>
  </si>
  <si>
    <t>Saka, A (corresponding author), Univ Groningen, Dept Int Econ &amp; Business, Groningen, Netherlands.</t>
  </si>
  <si>
    <t>BRADFORD</t>
  </si>
  <si>
    <t>60/62 TOLLER LANE, BRADFORD BD8 9BY, W YORKSHIRE, ENGLAND</t>
  </si>
  <si>
    <t>738MC</t>
  </si>
  <si>
    <t>Markowitz, G; Rosner, D</t>
  </si>
  <si>
    <t>Politicizing science: The case of the bush administration's influence on the lead advisory panel at the Centers for Disease Control</t>
  </si>
  <si>
    <t>JOURNAL OF PUBLIC HEALTH POLICY</t>
  </si>
  <si>
    <t>PORT-PIRIE COHORT; ENVIRONMENTAL EXPOSURE; CHILDREN; INTELLIGENCE; THRESHOLD; BENEFITS; AGE; IQ</t>
  </si>
  <si>
    <t>Since the 1970s, the CDC has depended upon independent scientists and policy consultants, who are experts in the field to gather information and provide advice to the CDC regarding policy initiatives for a variety of toxic materials. One of the most important safeguards of the scientific integrity of governmental policy and research has been the 2 5 8 scientific advisory committees to the various branches of the CDC that presently help policymakers decide on the appropriate means of addressing serious scientific issues. These advisory committees, while not possessing the actual power to reshape policy, are important in their role as the font of expert opinion available to various CDC chiefs. During the past two years, the Bush administration has sought to short-circuit the traditional manner in which appointments to the committees have been made and to substitute a process that by and large has reflected its own well-known anti-regulatory and anti-environmental agenda. In this paper we will look at this process, focusing on one important committee that has been responsible for protecting the nation's children from the devastating effects of lead on their neurological well-being.</t>
  </si>
  <si>
    <t>John Jay Coll, New York, NY 10019 USA; City Univ Grad Ctr, New York, NY 10019 USA; Columbia Univ, New York, NY 10027 USA</t>
  </si>
  <si>
    <t>Markowitz, G (corresponding author), John Jay Coll, New York, NY 10019 USA.</t>
  </si>
  <si>
    <t>JOURNAL PUBLIC HEALTH POLICY</t>
  </si>
  <si>
    <t>S BURLINGTON</t>
  </si>
  <si>
    <t>208 MEADOWOOD DR, S BURLINGTON, VT 05403 USA</t>
  </si>
  <si>
    <t>0197-5897</t>
  </si>
  <si>
    <t>J PUBLIC HEALTH POL</t>
  </si>
  <si>
    <t>J. Public Health Policy</t>
  </si>
  <si>
    <t>10.2307/3343508</t>
  </si>
  <si>
    <t>813KC</t>
  </si>
  <si>
    <t>WOS:000220905000001</t>
  </si>
  <si>
    <t>Rmit Univ, Sch comp Sci &amp; Informat Technol,Vrije Univ Brussels, Dept Comp Sci,Univ Catania</t>
  </si>
  <si>
    <t>Univ Newcastle Upon Tyne, Sch Comp Sci, Newcastle Upon Tyne NE1 7RU, Tyne &amp; Wear, England</t>
  </si>
  <si>
    <t>Pitsilis, G (corresponding author), Univ Newcastle Upon Tyne, Sch Comp Sci, Newcastle Upon Tyne NE1 7RU, Tyne &amp; Wear, England.</t>
  </si>
  <si>
    <t>Georgios.Pitsilis@ncl.ac.uk</t>
  </si>
  <si>
    <t>Pitsilis, Georgios K./AAC-3547-2021; Pitsilis, Georgios K./AAX-4917-2020</t>
  </si>
  <si>
    <t>Computer Science, Artificial Intelligence; Computer Science, Software Engineering; Computer Science, Theory &amp; Methods</t>
  </si>
  <si>
    <t>BY25Y</t>
  </si>
  <si>
    <t>Rhine Westphalia Inst Econ Res, D-45128 Essen, Germany</t>
  </si>
  <si>
    <t>Scheuer, M (corresponding author), Rhine Westphalia Inst Econ Res, Hohenzollernstr 1-3, D-45128 Essen, Germany.</t>
  </si>
  <si>
    <t>FRANK CASS CO LTD</t>
  </si>
  <si>
    <t>ESSEX</t>
  </si>
  <si>
    <t>NEWBURY HOUSE, 900 EASTERN AVE, NEWBURY PARK, ILFORD, ESSEX IG2 7HH, ENGLAND</t>
  </si>
  <si>
    <t>Conference Proceedings Citation Index - Social Science &amp;amp; Humanities (CPCI-SSH); Social Science Citation Index (SSCI)</t>
  </si>
  <si>
    <t>643BT</t>
  </si>
  <si>
    <t>development; planning; regionalisation; stormwater; sustainability; WSUD</t>
  </si>
  <si>
    <t>Brisbane City Council Waterways Program, Brisbane, Qld 4001, Australia</t>
  </si>
  <si>
    <t>Rahman, K (corresponding author), Brisbane City Council Waterways Program, GPO Box 1434, Brisbane, Qld 4001, Australia.</t>
  </si>
  <si>
    <t>I W A PUBLISHING</t>
  </si>
  <si>
    <t>10.2166/wst.2003.0673</t>
  </si>
  <si>
    <t>688UA</t>
  </si>
  <si>
    <t>offshore wind energy; offshore wind turbine</t>
  </si>
  <si>
    <t>Delft Univ Technol, Sect Wind Energy, NL-2628 CN Delft, Netherlands; Garrad Hassan &amp; Partners Ltd, Bristol, Avon, England; John Brown Hydrocarbons Ltd, London, England; EMU, Copenhagen, Denmark; Riso Natl Lab, Roskilde, Denmark; Tractebel Energy Engn, Brussels, Belgium</t>
  </si>
  <si>
    <t>Henderson, AR (corresponding author), Delft Univ Technol, Sect Wind Energy, Stevinweg 1, NL-2628 CN Delft, Netherlands.</t>
  </si>
  <si>
    <t>a.henderson@citg.tudelft.nl</t>
  </si>
  <si>
    <t>Wind Energy</t>
  </si>
  <si>
    <t>Energy &amp; Fuels; Engineering, Mechanical</t>
  </si>
  <si>
    <t>739PM</t>
  </si>
  <si>
    <t>Bouvenot, J; Gentile, S; Ousset, S; Tardieu, S; Jouve, E; Mendizabal, H; Sambuc, R</t>
  </si>
  <si>
    <t>Factors influencing the appropriation of clinical guidelines by physicians</t>
  </si>
  <si>
    <t>PRESSE MEDICALE</t>
  </si>
  <si>
    <t>IMPLEMENTATION STRATEGIES; QUALITY IMPROVEMENT; SYSTEMATIC REVIEWS; CONTROLLED TRIAL; MANAGEMENT; ATTITUDES; AWARENESS; IMPACT; CARE</t>
  </si>
  <si>
    <t>Definition Clinical guidelines (CG) constitute a means to facilitate the decision-making process, defining what is and is not appropriate in fields concerned with public health matters or unregulated practices. Method A bibliographical review has been conducted on factors likely to influence physicians' compliance to CG. These factors involve physicians, the guidelines themselves and the actions taken to encourage their implementation. Factors related to physicians In physicians' attitudes, we find not only their propensity to ask for help, to admit mistakes and weakness, but also their wish for continuing medical education. Practicing in an establishment or group consulting off ices enhances their awareness of CG. The use of CG and the consequences of their implementation, as well as legal or financial concerns, increase physicians' confidence in the benefits of CG for themselves and their patients. Factors related to guidelines Clinical guidelines should be issued by multi-professional groups, among which there should be recognized experts and day-to-day specialists. Their access should be easy and their updating frequent. The adaptation to the individual conditions of local practices is essential. The importance of implementation Once established, an intensive dissemination and active appropriation policy should be enacted. On the other hand, it is unlikely that passively diffused and non-updated CG will be adopted by newly qualified or long-established physicians installed in routine practice. Account must also be taken of the nature of certain CG, considered restrictive or coercive, and the targeted physician's attitudes and practicing habits - which is still unusual in France.</t>
  </si>
  <si>
    <t>AP HM, Cellule Evaluat Med, F-13354 Marseille 5, France; Fac Med Marseille, Lab Sante Publ, F-13385 Marseille, France</t>
  </si>
  <si>
    <t>Bouvenot, J (corresponding author), AP HM, Cellule Evaluat Med, 80 Rue Brochier, F-13354 Marseille 5, France.</t>
  </si>
  <si>
    <t>julien.bouvenot@ap-hm.fr</t>
  </si>
  <si>
    <t>Jouve, Elisabeth/Q-7153-2017</t>
  </si>
  <si>
    <t>Jouve, Elisabeth/0000-0002-4873-6522</t>
  </si>
  <si>
    <t>MASSON EDITEUR</t>
  </si>
  <si>
    <t>MOULINEAUX CEDEX 9</t>
  </si>
  <si>
    <t>21 STREET CAMILLE DESMOULINS, ISSY, 92789 MOULINEAUX CEDEX 9, FRANCE</t>
  </si>
  <si>
    <t>0755-4982</t>
  </si>
  <si>
    <t>2213-0276</t>
  </si>
  <si>
    <t>PRESSE MED</t>
  </si>
  <si>
    <t>Presse Med.</t>
  </si>
  <si>
    <t>NOV 23</t>
  </si>
  <si>
    <t>627UA</t>
  </si>
  <si>
    <t>WOS:000179953500002</t>
  </si>
  <si>
    <t>organisational learning; tenant participation; organisational development</t>
  </si>
  <si>
    <t>S Bank Univ, Fac Built Environm, London SW8 2JZ, England; Sheffield Hallam Univ, Ctr Reg Econ &amp; Social Res, Sheffield S1 1WB, S Yorkshire, England</t>
  </si>
  <si>
    <t>Reid, B (corresponding author), S Bank Univ, Fac Built Environm, 202 Wandsworth Rd, London SW8 2JZ, England.</t>
  </si>
  <si>
    <t>reidb@sbu.ac.uk</t>
  </si>
  <si>
    <t>HOUSING STUD</t>
  </si>
  <si>
    <t>Hous. Stud.</t>
  </si>
  <si>
    <t>648PX</t>
  </si>
  <si>
    <t>environmental impact assessment; population ecology; water birds</t>
  </si>
  <si>
    <t>PRECISION; ACCURACY</t>
  </si>
  <si>
    <t>Scott Wilson Resource Consultants, Basingstoke, Hants, England</t>
  </si>
  <si>
    <t>Floater, GJ (corresponding author), Univ Cambridge Queens Coll, Cambridge CB3 9ET, England.</t>
  </si>
  <si>
    <t>gfloater@ukonline.co.uk</t>
  </si>
  <si>
    <t>610WM</t>
  </si>
  <si>
    <t>Truglio-Londrigan, M; Macali, MK; Bernstein, M; Kaider, G; Petersen, S; Tumino, MC</t>
  </si>
  <si>
    <t>A plan for the delegation of epinephrine administration in nonpublic schools to unlicensed assistive personnel</t>
  </si>
  <si>
    <t>PUBLIC HEALTH NURSING</t>
  </si>
  <si>
    <t>nonpublic school nursing; the total quality improvement process; wellness environment; unlicensed assistive personnel (UAP); delegation with accountability; collaboration and one-student-one-task principle</t>
  </si>
  <si>
    <t>Professional nurses in nonpublic schools address variables in their practice that are different from nurses in a public school setting. These may include lack of funds for full-time nursing, different educational requirements, incorporation of religious beliefs into the social milieu, and inadequate peer or union support. These variables are problematic when public law health statues require change in school/parent/student relationships. New Jersey's Public Law 1997, Chapter 368 (N.J.S.A. 18A:40-12.5 and 12.6), hereafter referred to as P. L. 1997, c. 368, was enacted because school nurses may not always be available to assess students who are experiencing severe allergic reactions. Since allergies in the school population are common and can lead to anaphylaxis which is life threatening ( Smith, 1999), P. L. 1997, c. 368, requires each educational board or chief school administrator/principal of public and nonpublic schools to develop a policy governing epinephrine administration. This article describes how public health nurses, the director of public health nursing, and a faculty consultant in the Bergen County Department of Health Services worked together to produce strategies for the safe implementation of this law. These strategies may provide a template for consideration by other public health nurses who serve the student population.</t>
  </si>
  <si>
    <t>Pace Univ, Leinhard Sch Nursing, Ctr Nursing Res Clin Practice &amp; Int Studies, Pleasantville, NY 10570 USA; Bergen Cty Dept Hlth Serv, Nonpubl Sch Div, Paramus, NJ USA; Bergen Cty Dept Hlth Serv, Off Publ Hlth Nuring, Paramus, NJ USA</t>
  </si>
  <si>
    <t>Truglio-Londrigan, M (corresponding author), Pace Univ, Leinhard Sch Nursing, Ctr Nursing Res Clin Practice &amp; Int Studies, 861 Bedford Rd, Pleasantville, NY 10570 USA.</t>
  </si>
  <si>
    <t>BLACKWELL PUBLISHING INC</t>
  </si>
  <si>
    <t>350 MAIN ST, MALDEN, MA 02148 USA</t>
  </si>
  <si>
    <t>0737-1209</t>
  </si>
  <si>
    <t>PUBLIC HEALTH NURS</t>
  </si>
  <si>
    <t>Public Health Nurs.</t>
  </si>
  <si>
    <t>10.1046/j.1525-1446.2002.19603.x</t>
  </si>
  <si>
    <t>Public, Environmental &amp; Occupational Health; Nursing</t>
  </si>
  <si>
    <t>608QM</t>
  </si>
  <si>
    <t>WOS:000178858200003</t>
  </si>
  <si>
    <t>Kirkcaldy, BD; Siefen, G</t>
  </si>
  <si>
    <t>The occupational stress and health outcome profiles of clinical directors in child and adolescent psychiatry</t>
  </si>
  <si>
    <t>STRESS AND HEALTH</t>
  </si>
  <si>
    <t>clinical directors; child and adolescent psychiatry; job stress; psychological health; physical health; social policy</t>
  </si>
  <si>
    <t>GENERAL-PRACTITIONERS; JOB-SATISFACTION; MENTAL-HEALTH; DOCTORS; PHYSICIANS; PROFESSIONALS; CONSULTANTS; HOSPITALS; DISTRESS; WORK</t>
  </si>
  <si>
    <t>Over 60 per cent of the Consultant Medical Directors of all 102 German Clinics for Child and Adolescent Psychiatry responded to a comprehensive questionnaire to assess specific facets of occupational stress and health outcome (psychological and physical well-being), as well as individual difference variables (Type A behaviour, Locus of Control, and coping). Compared to other managers (n = 287), the medical professionals tended to exhibit greater job-related stress, more specifically in terms of workload, managerial role and daily hassles. Conversely, they reported less stress associated with recognition and achievement. There were no differences in terms of Type A behaviour and coping, but medical directors displayed higher levels of internal locus of control. The majority expressed favourable evaluation of working climate. Overall, they were more satisfied with their work and this was most apparent with respect to intrinsic job satisfaction, organizational satisfaction and organizational security. Daily hassles (day to day irritants and aggravations in the workplace) emerged as the single stress determinant of physical and psychological well-being for the physician group. Copyright (C) 2002 John Wiley Sons, Ltd.</t>
  </si>
  <si>
    <t>Int Ctr Study Occupat &amp; Mental Hlth, D-40593 Dusseldorf, Germany; Westfalia Clin Child &amp; Adolescent Psychiat &amp; Psyc, Marl, Germany</t>
  </si>
  <si>
    <t>Kirkcaldy, BD (corresponding author), Int Ctr Study Occupat &amp; Mental Hlth, Haydnstr 61, D-40593 Dusseldorf, Germany.</t>
  </si>
  <si>
    <t>1532-3005</t>
  </si>
  <si>
    <t>STRESS HEALTH</t>
  </si>
  <si>
    <t>Stress Health</t>
  </si>
  <si>
    <t>10.1002/smi.943</t>
  </si>
  <si>
    <t>Psychology, Applied; Psychiatry; Psychology</t>
  </si>
  <si>
    <t>Psychology; Psychiatry</t>
  </si>
  <si>
    <t>605AX</t>
  </si>
  <si>
    <t>WOS:000178654200003</t>
  </si>
  <si>
    <t>mass and energy flow management; VOC (Volatile Organic Compounds); SME (Small and Medium sized Enterprises); LCA (Life Cycle Assessment); Decision Support</t>
  </si>
  <si>
    <t>Univ Karlsruhe, French German Inst Environm Res, DFIU, IFARE, D-76187 Karlsruhe, Germany</t>
  </si>
  <si>
    <t>Geldermann, J (corresponding author), Univ Karlsruhe, French German Inst Environm Res, DFIU, IFARE, Hertzstr 16, D-76187 Karlsruhe, Germany.</t>
  </si>
  <si>
    <t>jutta.geldermann@wiwi.uni-karlsruhe.de; nurten.avci@wiwi.uni-karlsruhe.de</t>
  </si>
  <si>
    <t>WILEY-V C H VERLAG GMBH</t>
  </si>
  <si>
    <t>WEINHEIM</t>
  </si>
  <si>
    <t>BOSCHSTRASSE 12, D-69469 WEINHEIM, GERMANY</t>
  </si>
  <si>
    <t>MACROMOL SYMP</t>
  </si>
  <si>
    <t>Macromol. Symp.</t>
  </si>
  <si>
    <t>Polymer Science</t>
  </si>
  <si>
    <t>591NK</t>
  </si>
  <si>
    <t>coastal engineering; management; sea defences</t>
  </si>
  <si>
    <t>Halcrow Grp Ltd, Swindon, Wilts, England; Shoreline Management Partnership, Chester, Cheshire, England; Univ Portsmouth, Dept Geog, Portsmouth PO1 2UP, Hants, England</t>
  </si>
  <si>
    <t>Cooper, NJ (corresponding author), Halcrow Grp Ltd, Swindon, Wilts, England.</t>
  </si>
  <si>
    <t>THOMAS TELFORD SERVICES LTD</t>
  </si>
  <si>
    <t>P I CIVIL ENG-WATER</t>
  </si>
  <si>
    <t>Proc. Inst. Civil Eng.-Water Marit. Eng</t>
  </si>
  <si>
    <t>Energy &amp; Fuels; Engineering, Civil; Engineering, Ocean; Water Resources</t>
  </si>
  <si>
    <t>Energy &amp; Fuels; Engineering; Water Resources</t>
  </si>
  <si>
    <t>607QW</t>
  </si>
  <si>
    <t>environment; quality control; roads &amp; highways</t>
  </si>
  <si>
    <t>Univ Brunei Darussalam, Gadong, Brunei</t>
  </si>
  <si>
    <t>Yong, CT (corresponding author), Univ Brunei Darussalam, Gadong, Brunei.</t>
  </si>
  <si>
    <t>586JP</t>
  </si>
  <si>
    <t>asylum seekers; detention; displacement; refugees; trauma</t>
  </si>
  <si>
    <t>POSTTRAUMATIC-STRESS; HEALTH-STATUS; SEEKERS; TRAUMA; DEPRESSION; SYMPTOMS; REFUGEES; IMMIGRANTS; ANXIETY</t>
  </si>
  <si>
    <t>Univ New S Wales, Sch Psychiat, Psychiat Res &amp; Teaching Unit, Sydney, NSW, Australia</t>
  </si>
  <si>
    <t>Silove, D (corresponding author), Univ New S Wales, Sch Psychiat, Psychiat Res &amp; Teaching Unit, Sydney, NSW, Australia.</t>
  </si>
  <si>
    <t>BLACKWELL PUBLISHING ASIA</t>
  </si>
  <si>
    <t>CARLTON</t>
  </si>
  <si>
    <t>54 UNIVERSITY ST, P O BOX 378, CARLTON, VICTORIA 3053, AUSTRALIA</t>
  </si>
  <si>
    <t>561YB</t>
  </si>
  <si>
    <t>marine monitoring; ocean monitoring; NPDES; Southern California Bight</t>
  </si>
  <si>
    <t>So Calif Coastal Water Res Project, Westminster, CA 92683 USA</t>
  </si>
  <si>
    <t>Schiff, KC (corresponding author), So Calif Coastal Water Res Project, 7171 Fenwick Lane, Westminster, CA 92683 USA.</t>
  </si>
  <si>
    <t>kens@sccwrp.org</t>
  </si>
  <si>
    <t>551GT</t>
  </si>
  <si>
    <t>Rees, J</t>
  </si>
  <si>
    <t>Submission from Serco Assurance to the DEFRA consultation on radioactive waste management</t>
  </si>
  <si>
    <t>NUCLEAR ENERGY-JOURNAL OF THE BRITISH NUCLEAR ENERGY SOCIETY</t>
  </si>
  <si>
    <t>Serco Assurance is a major UK supplier to the nuclear and other safety critical industries involved in safety managment, environmental addesments and plant perfomrnace and integrity. In the context of radioactive waste management, we have an extensive track record in evaluating option, the management of the risks involved, asset and liabilities management, conducting research and safety assessments intow aste disposal, and the safety of operating plants. Serco Assurance is therefore well-placed to contribute constructively to the discussion of issues identified in the current Consultation Paper from DEFRA. We have responded to all the issues on which views are sought in the Consultation Paper, with the main focus being on matters concerned with organisational arrangements for considering policy and the process to be used to bonduct the associated research programme. The main points stemming from our analysis are as follows: Two new bodies should be set up, both independent, with one advising ministers on policy matters, and the other managing the associated research programme. Achieving fairness (in assessing options and giving policy advice) and practicality (in the methods used) are important themes in establishing trust in the new organisations. The extent of consultation required by the public is, from current evidence, unclear. Resolution of this issue will be a high priority at the start of the policy-making programme. About four years could be required to execute effectively a process that involves consultation with the public at each stage. The techniques employed for consulting the public should be well-established to minimise the risk of late delivery. The pacing of the research programme and developing momentum during its course will be important to maintaining an appropriate resource base during the research stage and having it available to the implementation phase.</t>
  </si>
  <si>
    <t>BRITISH NUCLEAR ENERGY SOC</t>
  </si>
  <si>
    <t>WESTMINSTER, LONDON</t>
  </si>
  <si>
    <t>1-7 GREAT GEORGE ST, WESTMINSTER, LONDON SW1P 3AA, ENGLAND</t>
  </si>
  <si>
    <t>0140-4067</t>
  </si>
  <si>
    <t>NUCL ENERG-J BR NUCL</t>
  </si>
  <si>
    <t>Nucl. Energy-J. Br. Nucl. Energy Soc.</t>
  </si>
  <si>
    <t>572GJ</t>
  </si>
  <si>
    <t>WOS:000176765400011</t>
  </si>
  <si>
    <t>Natl Imagery &amp; Mapping Agcy, Reston, VA 20191 USA</t>
  </si>
  <si>
    <t>Krause, PH (corresponding author), Natl Imagery &amp; Mapping Agcy, 12310 Sunrise Valley Dr,Mail Stop P-53, Reston, VA 20191 USA.</t>
  </si>
  <si>
    <t>580YG</t>
  </si>
  <si>
    <t>Lobo, DN; Dube, MG; Neal, KR; Allison, SP; Rowlands, BJ</t>
  </si>
  <si>
    <t>Peri-operative fluid and electrolyte management: a survey of consultant surgeons in the UK</t>
  </si>
  <si>
    <t>23rd European-Society-of-Parenteral-and-Enteral-Nutrition Congress (ESPEN)</t>
  </si>
  <si>
    <t>SEP 08-12, 2001</t>
  </si>
  <si>
    <t>MUNICH, GERMANY</t>
  </si>
  <si>
    <t>European Soc Parenteral Enteral Nutr</t>
  </si>
  <si>
    <t>peri-operative; fluid management; electrolyte management; UK consultant surgeons; survey</t>
  </si>
  <si>
    <t>Background: Current peri-operative fluid and electrolyte management in the UK may be suboptimal. We assessed the attitudes of consultant surgeons to fluid and electrolyte prescribing and gathered suggestions for improvement in education on the subject. Methods: A postal questionnaire survey was sent to 1091 Fellows of the Association of Surgeons of Great Britain and Ireland. Of the 730 (67%) replies, 20 were invalid or incomplete, and 710 (65,70 questionnaires were analysed. Outcome measures included provision of guidelines and teaching to junior staff on fluid and electrolyte prescribing, appropriateness of fluid management and suggestions to improve standards. Results: junior staff were given written guidelines in 22% of instances. Only 16% of respondents felt that their preregistration house officers (PRHOs) were adequately trained in the subject before joining the firm; 15% also stated that PRHOs did not receive much training on their firm. 65% felt that fluid balance charts were accurately maintained, nursing shortages being the commonest reason for inaccuracies. Only 30% felt that postoperative patients were receiving appropriate amounts of water, sodium and potassium. Respondents who had been consultants for &gt; 5 years were more likely to prefer erring on the side of under-replacement of fluid than those who were consultants for square5 years (63% versus 47%, P &lt; 0.0005). Suggestions for improvement in education included problem-oriented ward rounds, written guidelines, and discussion of patient scenarios. Conclusions: Consultant surgeons feel that present practice in peri-operative fluid management is unsatisfactory Higher standards within clinical governance and risk management may be achieved by focused practical training combined with formal written guidelines.</t>
  </si>
  <si>
    <t>Univ Nottingham Hosp, Queens Med Ctr, Sect Surg, Nottingham NG7 2UH, England; Univ Nottingham Hosp, Queens Med Ctr, Dept Publ Hlth Med &amp; Epidemiol, Nottingham NG7 2UH, England; Univ Nottingham Hosp, Queens Med Ctr, Clin Nutr Unit, Nottingham NG7 2UH, England</t>
  </si>
  <si>
    <t>Lobo, DN (corresponding author), Univ Nottingham Hosp, Queens Med Ctr, Sect Surg, E Floor,West Block, Nottingham NG7 2UH, England.</t>
  </si>
  <si>
    <t>Lobo, Dileep/AAC-6207-2020</t>
  </si>
  <si>
    <t>Lobo, Dileep/0000-0003-1187-5796</t>
  </si>
  <si>
    <t>560TW</t>
  </si>
  <si>
    <t>WOS:000176098300002</t>
  </si>
  <si>
    <t>Univ Baltimore, Merrick Sch Business, Baltimore, MD 21201 USA; Inst Nacl Pesquisas Espaciais, BR-12200 San Jos dos Campos, SP, Brazil</t>
  </si>
  <si>
    <t>Nielsen, CS (corresponding author), Univ Baltimore, Merrick Sch Business, 1420 N Charles St, Baltimore, MD 21201 USA.</t>
  </si>
  <si>
    <t>CANADIAN AERONAUTICS SPACE INST</t>
  </si>
  <si>
    <t>1685 RUSSELL RD, UNIT 1-R, OTTAWA, ON K1G 0N1, CANADA</t>
  </si>
  <si>
    <t>550NZ</t>
  </si>
  <si>
    <t>Dunlop, P; Clough, MEJ</t>
  </si>
  <si>
    <t>Determining BPEO for discharge of residual (TC)-T-99 from the Sellafield site</t>
  </si>
  <si>
    <t>political issues; radiological discharges; regulatory system; reviews</t>
  </si>
  <si>
    <t>Discharges of technetium-99 (a long-lived, anthropogenic radionuclide, formed by the fission processes that occur in nuclear reactors),from the Sellafield site into the Irish Sea have received a high political profile. As part of the Environment Agency's (EA) full re-examination of Sellafield's discharge Authorisations under the Radioactive Substances Act 7993 (RSA93), technetium-99 (Tc-99) has warranted speck attention and has been subject to a period of public consultation. A Decision Document has recently been issued by the EA (currently awaiting the attention of the Minister), recommending that British Nuclear Fuels plc (BNFL) pursue further abatement of Tc-99 by implementing a scheme to route the major discharge stream to vitrification (solid waste). To support the Tc-99 review, BNFL was asked, by the EA, to undertake a best practicable environmental option (BPEO) study. A streamlined methodology was developed to meet the tight time-scales arid agreed with the EA. From the qualitative assessment of seven final options against seven criteria, the 'continue current operations' option was identified as the BPEO. It should be noted that the BPEO study concentrates on residual discharges of Tc-99, since current operations on the Sellafield site route greater than 90% of Tc-99 to vitrification. Recognising that the selection of a BPEO should be subject to review, BNFL asked NRG (Dutch consultants to the nuclear sector) to provide an independent peer review. In conclusion, the NRG review concurred that current operations represent BPEO, as identified in the BNFL study, but made some observations regarding the approach of the study and the methodology. The EA produced an Explanatory Document to assist the public consultation and included the BNFL BPEO study and the NRG review in the consultation documents. A,further review has also been undertaken by National Economic Research Associates (NERA) who reviewed the previous documentation and also applied a more formal multi-criteria analysis following guidance from the Department of the Environment, Transport and the Regions (DETR). NERA arrived at the same conclusion, namely that the BPEO, on present evidence, was continuation of the present processes until the end of Magnox effluent reprocessing. The Tc-99 issue raises some significant points in terms of the effectiveness of BPEO assessments for radioactive discharges and the role that they play in informing the final decision as part of Authorisation reviews. There is a need for practitioners to better understand how to undertake, present and interpret BPEO while conceding that identifying the BPEO may not be enough.</t>
  </si>
  <si>
    <t>British Nucl Fuels Plc, Sellafield, Cumbria, England</t>
  </si>
  <si>
    <t>Dunlop, P (corresponding author), British Nucl Fuels Plc, Sellafield, Cumbria, England.</t>
  </si>
  <si>
    <t>10.1680/nuen.41.2.121.39020</t>
  </si>
  <si>
    <t>554JE</t>
  </si>
  <si>
    <t>WOS:000175731400018</t>
  </si>
  <si>
    <t>WILLINGNESS-TO-PAY; COST-RECOVERY; DELIVERY-SYSTEMS; HEALTH; MECTIZAN; SUSTAINABILITY; PARTICIPATION; UGANDA; STATE</t>
  </si>
  <si>
    <t>African Programme Onchocerciasis Control, Ouagadougou 01, Burkina Faso; Univ Ibadan, Coll Med, African Reg Hlth Educ Ctr, Ibadan, Nigeria; Carter Ctr, Global 2000 River Blindness Program, Kampala, Uganda; Fed Univ Technol Yola, Yola, Nigeria; Minist Sante Publ, Grp Travail Lutte Contre Onchocercose, Yaounde, Cameroon; Onchocerciasis Control Programme W Africa, Ouagadougou, Burkina Faso; Minist Sante Populat, Programme Lutte Contre Onchocercose &amp; Cecite, Bangui, Cent Afr Republ</t>
  </si>
  <si>
    <t>Amazigo, UV (corresponding author), African Programme Onchocerciasis Control, 01 BP 549, Ouagadougou 01, Burkina Faso.</t>
  </si>
  <si>
    <t>amazigouv@oncho.oms.bf</t>
  </si>
  <si>
    <t>Brieger, William/0000-0001-9863-8296</t>
  </si>
  <si>
    <t>MANEY PUBLISHING</t>
  </si>
  <si>
    <t>LEEDS</t>
  </si>
  <si>
    <t>STE 1C, JOSEPHS WELL, HANOVER WALK, LEEDS LS3 1AB, W YORKS, ENGLAND</t>
  </si>
  <si>
    <t>ANN TROP MED PARASIT</t>
  </si>
  <si>
    <t>Ann. Trop. Med. Parasitol.</t>
  </si>
  <si>
    <t>Public, Environmental &amp; Occupational Health; Parasitology; Tropical Medicine</t>
  </si>
  <si>
    <t>544UV</t>
  </si>
  <si>
    <t>eco-costs; eco-efficiency; eco-indicator 95; EVR; LCA; product-service systems; PSS; single indicator; sustainability</t>
  </si>
  <si>
    <t>Delft Univ Technol, Fac Design Construct &amp; Prod, Sect Design Sustainabil, NL-2628 BX Delft, Netherlands</t>
  </si>
  <si>
    <t>Vogtlander, JG (corresponding author), Delft Univ Technol, Fac Design Construct &amp; Prod, Sect Design Sustainabil, Jaffalaan 9, NL-2628 BX Delft, Netherlands.</t>
  </si>
  <si>
    <t>529FU</t>
  </si>
  <si>
    <t>SHARED DECISION-MAKING; DIVERSITY; ISSUES; MODEL</t>
  </si>
  <si>
    <t>Georgia State Univ, Dept Early Childhood Educ, Atlanta, GA 30303 USA</t>
  </si>
  <si>
    <t>Meyers, B (corresponding author), Georgia State Univ, Dept Early Childhood Educ, Atlanta, GA 30303 USA.</t>
  </si>
  <si>
    <t>barbara@gsu.edu</t>
  </si>
  <si>
    <t>660DG</t>
  </si>
  <si>
    <t>Wyatt-Beynon, J; Ilieva, R; Toohey, K; Larocque, L</t>
  </si>
  <si>
    <t>A secondary school career education program for ESL students</t>
  </si>
  <si>
    <t>CURRICULUM INQUIRY</t>
  </si>
  <si>
    <t>MINORITY</t>
  </si>
  <si>
    <t>Using Bourdieu's theory of different types of capital and social fields, this paper analyzes one Curriculum model, the ESL Co-op program, which is designed to meet the needs of immigrant adolescents who are primarily dependent on their first language. The program couples instruction in English as a second language (ESL) with work experience. ESL Co-op is offered in two secondary schools in a suburban Vancouver school district that is the most rapidly growing district in British Columbia. More than 30 percent of the approximately 50,000 students enrolled in the district speak a language other than, or in addition to, English in the home. A collaborative team of university researchers and district curriculum consultants inquired into the program's success in helping recent immigrant students become aware of possible future career and job opportunities and any other aspects of the program's operation deemed salient by the interviewees. We wondered if the folk theory of success embedded in federal, provincial, and district policy discourse, which emphasizes work experience, was in fact setting the stage for educational and occupational success of these voting people. Interviews,vith 44 parents, 43 students, and six staff members from a total of 10 different language backgrounds revealed that staff perceive the program as a unique opportunity for Students to gain exposure to Canadian work environments and to develop survival, language, and job-related skills or, in Bourdieu's terms, embodied capital. Students' and parents' overriding concern is that the program precludes the possibility of graduation with the grade-12 diploma (institutional capital.) available from the mainstream program.</t>
  </si>
  <si>
    <t>Simon Fraser Univ, Burnaby, BC V5A 1S6, Canada</t>
  </si>
  <si>
    <t>Wyatt-Beynon, J (corresponding author), Simon Fraser Univ, Burnaby, BC V5A 1S6, Canada.</t>
  </si>
  <si>
    <t>Toohey, Kelleen/0000-0003-0602-2967</t>
  </si>
  <si>
    <t>BLACKWELL PUBLISHERS</t>
  </si>
  <si>
    <t>350 MAIN STREET, STE 6, MALDEN, MA 02148 USA</t>
  </si>
  <si>
    <t>0362-6784</t>
  </si>
  <si>
    <t>CURRICULUM INQ</t>
  </si>
  <si>
    <t>Curric. Inq.</t>
  </si>
  <si>
    <t>10.1111/0362-6784.00205</t>
  </si>
  <si>
    <t>504VA</t>
  </si>
  <si>
    <t>WOS:000172875500002</t>
  </si>
  <si>
    <t>SYSTEMS; MANAGEMENT</t>
  </si>
  <si>
    <t>Hebrew Univ Jerusalem, Dept Polit Sci, IL-91905 Jerusalem, Israel</t>
  </si>
  <si>
    <t>Peled, A (corresponding author), Hebrew Univ Jerusalem, Dept Polit Sci, IL-91905 Jerusalem, Israel.</t>
  </si>
  <si>
    <t>alpeled@netvision.net.il</t>
  </si>
  <si>
    <t>PUBLIC PERS MANAGE</t>
  </si>
  <si>
    <t>Public Personnel Manage.</t>
  </si>
  <si>
    <t>Industrial Relations &amp; Labor; Public Administration</t>
  </si>
  <si>
    <t>519RN</t>
  </si>
  <si>
    <t>HEALTH; PROFESSIONALS</t>
  </si>
  <si>
    <t>Univ Laval, Quebec City, PQ G1K 7P4, Canada</t>
  </si>
  <si>
    <t>Brun, JP (corresponding author), Univ Laval, Quebec City, PQ G1K 7P4, Canada.</t>
  </si>
  <si>
    <t>REVUE RELATIONS INDUSTRIELLES INDUSTRIAL RELATIONS</t>
  </si>
  <si>
    <t>ST FOY</t>
  </si>
  <si>
    <t>UNIVERSITE LAVAL, LOCAL 3131-Z, PAVILLON DE SEVE, ST FOY, PQ G1K-7P4, CANADA</t>
  </si>
  <si>
    <t>RELAT IND-IND RELAT</t>
  </si>
  <si>
    <t>Relat. Ind.-Ind. Relat.</t>
  </si>
  <si>
    <t>428EA</t>
  </si>
  <si>
    <t>PERCEIVED ENVIRONMENTAL UNCERTAINTY; INFORMATION-SYSTEMS; PRIVATE ORGANIZATIONS; COSTS; ENFORCEMENT; BEHAVIOR; PERSPECTIVE; INDUSTRY; PROGRAM; MODEL</t>
  </si>
  <si>
    <t>Georgia Tech, Atlanta, GA USA</t>
  </si>
  <si>
    <t>DeHart-Davis, L (corresponding author), Georgia Tech, Atlanta, GA USA.</t>
  </si>
  <si>
    <t>DeHart-Davis, Leisha/W-3353-2019; DeHart-Davis, Leisha/B-3373-2008</t>
  </si>
  <si>
    <t>TRANSACTION PERIOD CONSORTIUM</t>
  </si>
  <si>
    <t>RUTGERS UNIV, DEPT 8010, 35 BERRUE CIRCLE, PISCATAWAY, NJ 08854-8042 USA</t>
  </si>
  <si>
    <t>491XQ</t>
  </si>
  <si>
    <t>CARTEL PARTY</t>
  </si>
  <si>
    <t>Univ Manchester, Dept Govt, Manchester M13 9PL, Lancs, England; Temple Univ, Philadelphia, PA 19122 USA; Old Dominion Univ, Norfolk, VA 23529 USA</t>
  </si>
  <si>
    <t>Farrell, DM (corresponding author), Univ Manchester, Dept Govt, Manchester M13 9PL, Lancs, England.</t>
  </si>
  <si>
    <t>HARV INT J PRESS-POL</t>
  </si>
  <si>
    <t>Harv. Int. J. Press-Polit.</t>
  </si>
  <si>
    <t>Communication; Political Science</t>
  </si>
  <si>
    <t>Communication; Government &amp; Law</t>
  </si>
  <si>
    <t>537CX</t>
  </si>
  <si>
    <t>Powell, M</t>
  </si>
  <si>
    <t>A comparative study of TVET projects - implementation experiences from Jamaica and The Gambia</t>
  </si>
  <si>
    <t>INTERNATIONAL JOURNAL OF EDUCATIONAL DEVELOPMENT</t>
  </si>
  <si>
    <t>technical and vocational education and training; policy implementation; overseas aid; dependency; comparative education; sustainability</t>
  </si>
  <si>
    <t>The purpose of this paper is to provide some lessons for policy makers who are involved in implementing TVET projects in the developing world. It presents the findings of a study of 19 projects which were implemented in Jamaica, and in The Gambia, over the 1950 to 1996 period. A case study method was adopted, involving semi-structured interviews with key officials in each country and the collection of appropriate policy documents. The study was specifically concerned with identifying the role played by overseas aid agencies and the corresponding impact of depending on foreign consultants and project components obtained from the developed world. Overall, it found that this dependence could have a negative impact, both on a project's implementation and on its long term sustainability. Furthermore, the study illustrates how different types of dependency manifest themselves at various stages in the life cycle of TVET projects funded by overseas aid agencies. The paper concludes by suggesting steps that might be taken to reduce the likelihood of dependency being an influential factor in the implementation of future TVET projects. (C) 2001 Elsevier Science Ltd. All rights reserved.</t>
  </si>
  <si>
    <t>Dept Labour, Project 2 Informat Syst Strateg Planning, ZA-0001 Pretoria, South Africa</t>
  </si>
  <si>
    <t>Powell, M (corresponding author), Dept Labour, Project 2 Informat Syst Strateg Planning, Room 243,Private Bag X983,Laboria House,215 Schoe, ZA-0001 Pretoria, South Africa.</t>
  </si>
  <si>
    <t>0738-0593</t>
  </si>
  <si>
    <t>INT J EDUC DEV</t>
  </si>
  <si>
    <t>Int. J. Educ. Dev.</t>
  </si>
  <si>
    <t>10.1016/S0738-0593(00)00066-3</t>
  </si>
  <si>
    <t>468FA</t>
  </si>
  <si>
    <t>WOS:000170746400003</t>
  </si>
  <si>
    <t>Clark Univ, Worcester, MA 01610 USA</t>
  </si>
  <si>
    <t>Fisher, WF (corresponding author), Clark Univ, Worcester, MA 01610 USA.</t>
  </si>
  <si>
    <t>CARFAX PUBLISHING</t>
  </si>
  <si>
    <t>RANKINE RD, BASINGSTOKE RG24 8PR, HANTS, ENGLAND</t>
  </si>
  <si>
    <t>529GA</t>
  </si>
  <si>
    <t>aircraft cabins; air quality; deep vein thrombosis (DVT); infection; jet lag; work patterns</t>
  </si>
  <si>
    <t>AIR-QUALITY; COSMIC-RADIATION; EXPOSURE; FLIGHT; RISK; TUBERCULOSIS; VENTILATION; THROMBOSIS; MORTALITY; LEUKEMIA</t>
  </si>
  <si>
    <t>MRC, Inst Environm &amp; Hlth, Leicester LE1 7DD, Leics, England</t>
  </si>
  <si>
    <t>Brown, TP (corresponding author), MRC, Inst Environm &amp; Hlth, 94 Regent Rd, Leicester LE1 7DD, Leics, England.</t>
  </si>
  <si>
    <t>tpb3@le.ac.uk</t>
  </si>
  <si>
    <t>Warren, Fiona/0000-0002-3833-0182</t>
  </si>
  <si>
    <t>J R SOC PROMO HEALTH</t>
  </si>
  <si>
    <t>J. R. Soc. Promot. Health</t>
  </si>
  <si>
    <t>518RB</t>
  </si>
  <si>
    <t>alternative dispute resolution; environmental conflict; urban development; Ontario; Canada</t>
  </si>
  <si>
    <t>Univ Waterloo, Sch Planning, Waterloo, ON N2L 3G1, Canada; Hardy Stevenson Associates, Toronto, ON M4V 1W1, Canada</t>
  </si>
  <si>
    <t>Suffling, R (corresponding author), Univ Waterloo, Sch Planning, Waterloo, ON N2L 3G1, Canada.</t>
  </si>
  <si>
    <t>rcsuffli@uwaterloo.ca</t>
  </si>
  <si>
    <t>472MD</t>
  </si>
  <si>
    <t>corporate governance; shareholder activism; value correlated with governance; shareholders; directors</t>
  </si>
  <si>
    <t>Monks, RAG (corresponding author), 1200 G St,NW Suite 800, Washington, DC 20005 USA.</t>
  </si>
  <si>
    <t>Shingade, Sudam Shrikrushna/D-5452-2019</t>
  </si>
  <si>
    <t>CORP GOV</t>
  </si>
  <si>
    <t>449PQ</t>
  </si>
  <si>
    <t>alignment; elevation; decision making; tunnelling technique; urban environment</t>
  </si>
  <si>
    <t>Delft Univ Technol, Delft, Netherlands</t>
  </si>
  <si>
    <t>Arends, G (corresponding author), Delft Univ Technol, Delft, Netherlands.</t>
  </si>
  <si>
    <t>500TL</t>
  </si>
  <si>
    <t>LEARNING-DISABILITIES; YOUTH</t>
  </si>
  <si>
    <t>Univ Delaware, Sch Educ, Newark, DE 19716 USA</t>
  </si>
  <si>
    <t>Eisenman, LT (corresponding author), Univ Delaware, Sch Educ, 303G WHL, Newark, DE 19716 USA.</t>
  </si>
  <si>
    <t>PRO-ED INC</t>
  </si>
  <si>
    <t>AUSTIN</t>
  </si>
  <si>
    <t>8700 SHOAL CREEK BLVD, AUSTIN, TX 78757-6897 USA</t>
  </si>
  <si>
    <t>REM SPEC EDUC</t>
  </si>
  <si>
    <t>Remedial Spec. Educ.</t>
  </si>
  <si>
    <t>435GX</t>
  </si>
  <si>
    <t>HVAC; APEC; computer</t>
  </si>
  <si>
    <t>Kusuda, T (corresponding author), 6109 Bay Isles Dr, Boynton Beach, FL 33437 USA.</t>
  </si>
  <si>
    <t>407LA</t>
  </si>
  <si>
    <t>ecology; liberation ecology; mining; Ok Tedi; Papua New Guinea; political ecology; research conduct</t>
  </si>
  <si>
    <t>Univ Queensland, Dept Anthropol, St Lucia, Qld 4067, Australia</t>
  </si>
  <si>
    <t>Hyndman, D (corresponding author), Univ Queensland, Dept Anthropol, St Lucia, Qld 4067, Australia.</t>
  </si>
  <si>
    <t>UNIV HAWAII PRESS</t>
  </si>
  <si>
    <t>HONOLULU</t>
  </si>
  <si>
    <t>2840 KOLOWALU ST, HONOLULU, HI 96822 USA</t>
  </si>
  <si>
    <t>CONTEMP PACIFIC</t>
  </si>
  <si>
    <t>Contemp. Pacif.</t>
  </si>
  <si>
    <t>411FF</t>
  </si>
  <si>
    <t>poultry manure; farmyard manure; application to land; usage; storage; farmers' attitudes; England; Wales</t>
  </si>
  <si>
    <t>NITROGEN</t>
  </si>
  <si>
    <t>ADAS Wolverhampton, Wolverhampton WV6 8TQ, W Midlands, England; Farming &amp; Rural Conservat Agcy, London SW1P 3JR, England; ADAS Market Res, Surrey GU1 4RP, England</t>
  </si>
  <si>
    <t>Smith, KA (corresponding author), ADAS Wolverhampton, Wolverhampton WV6 8TQ, W Midlands, England.</t>
  </si>
  <si>
    <t>C A B INTERNATIONAL</t>
  </si>
  <si>
    <t>WALLINGFORD</t>
  </si>
  <si>
    <t>C/O PUBLISHING DIVISION, WALLINGFORD OX10 8DE, OXON, ENGLAND</t>
  </si>
  <si>
    <t>428QW</t>
  </si>
  <si>
    <t>Univ Aalborg, Dept Dev &amp; Planning, DK-9220 Aalborg, Denmark</t>
  </si>
  <si>
    <t>Remmen, A (corresponding author), Univ Aalborg, Dept Dev &amp; Planning, Fibigerstr 13, DK-9220 Aalborg, Denmark.</t>
  </si>
  <si>
    <t>TECHNOL ANAL STRATEG</t>
  </si>
  <si>
    <t>Technol. Anal. Strateg. Manage.</t>
  </si>
  <si>
    <t>Management; Multidisciplinary Sciences</t>
  </si>
  <si>
    <t>Business &amp; Economics; Science &amp; Technology - Other Topics</t>
  </si>
  <si>
    <t>415EV</t>
  </si>
  <si>
    <t>Calder, FR; Tan, S; Kitteringham, L; Dykes, EH</t>
  </si>
  <si>
    <t>Patterns of management of intussusception outside tertiary centres</t>
  </si>
  <si>
    <t>JOURNAL OF PEDIATRIC SURGERY</t>
  </si>
  <si>
    <t>47th Annual Congress of the British-Association-of-Paediatric-Surgeons</t>
  </si>
  <si>
    <t>JUL 18-21, 2000</t>
  </si>
  <si>
    <t>SORRENTO, ITALY</t>
  </si>
  <si>
    <t>British Assoc Paediat Surgeons</t>
  </si>
  <si>
    <t>intussusception; diagnosis; management; surgery; standards</t>
  </si>
  <si>
    <t>ENGLAND; WALES</t>
  </si>
  <si>
    <t>Background/Purpose: Intussusception is a common problem in young children and should have an excellent outcome in expert hands. Many children are treated in district general hospitals (DGH), which do not have specialist paediatric surgeons. The aim of this study was to clarify current patterns of management for such patients. Methods: The authors conducted a postal survey of DGH consultant paediatricians, radiologists, and general surgeons in a populous region of England. Results: One hundred forty-one (44%) consultants who responded comprised similar proportions of consultants from each specialty. Most respondents (79%) thought that in their location paediatricians should take responsibility for resuscitation of children with suspected intussusception. Two-thirds indicated that abdominal ultrasound scan, either alone or in combination with another modality, was their investigation of choice for confirming the diagnosis. Preferences for contrast medium for radiologic reduction varied; paediatricians favoured air (46%) or saline (28%), surgeons preferred water-soluble contrast (58%), and radiologists preferred to use barium (49%). Fifty-three percent of consultants indicated they would transfer a child with confirmed intussusception to a tertiary centre before attempting reduction, 42% would attempt reduction locally, and 5% would operate locally without attempting radiologic reduction. After failed reduction, a further 23% of consultants would consider transfer, but the remainder would operate locally. Only 13% of paediatricians thought that their surgeons had appropriate facilities and support to operate on intussusception, but 36% of surgeons claimed to be doing so, Most consultants (84%) admitted seeing fewer than 5 cases per year; 98% of surgeons were in this group. Only 16% of consultants (mostly paediatricians) were aware of any written clinical policy for managing paediatric intussusception in their hospital. Conclusion: This study shows that the management of paediatric intussusception outside tertiary centres is not uniform or standardised, and that improvements are necessary. Copyright (C) 2001 by W.B, Saunders Company.</t>
  </si>
  <si>
    <t>Univ London Kings Coll, Univ Hosp Lewisham, Dept Paediat Surg, London SE13 6LH, England; Univ London Kings Coll, Univ Hosp Lewisham, Dept Paediat, London SE13 6LH, England</t>
  </si>
  <si>
    <t>Dykes, EH (corresponding author), Univ London Kings Coll, Univ Hosp Lewisham, Dept Paediat Surg, London SE13 6LH, England.</t>
  </si>
  <si>
    <t>W B SAUNDERS CO</t>
  </si>
  <si>
    <t>INDEPENDENCE SQUARE WEST CURTIS CENTER, STE 300, PHILADELPHIA, PA 19106-3399 USA</t>
  </si>
  <si>
    <t>0022-3468</t>
  </si>
  <si>
    <t>J PEDIATR SURG</t>
  </si>
  <si>
    <t>J. Pediatr. Surg.</t>
  </si>
  <si>
    <t>10.1053/jpsu.2001.20704</t>
  </si>
  <si>
    <t>Pediatrics; Surgery</t>
  </si>
  <si>
    <t>397LU</t>
  </si>
  <si>
    <t>WOS:000166697800024</t>
  </si>
  <si>
    <t>Fineman, S</t>
  </si>
  <si>
    <t>Fashioning the environment</t>
  </si>
  <si>
    <t>consultants; environmentalism; ethics; greening; rhetoric; stakeholders</t>
  </si>
  <si>
    <t>BUSINESS</t>
  </si>
  <si>
    <t>Should we regard 'greening' as a management fashion? While green concerns are prevalent in political and industrial rhetoric, how is greening made to appear attractive and productive to organizational actors who plainly feel just the opposite? This paper explores the social and emotional architecture of greening, and its tensions and contradictions. Against a background of 'received' theory on management fashions, it examines the institutional context of greening, the role of consultants, stakeholder voices and the active efforts of industry to capture greening on its own terms. The analysis shows that, despite a strong societal surge towards greening, it can often appear neither attractive nor rational to industry-yet it is adopted, or presented, in some form.</t>
  </si>
  <si>
    <t>Univ Bath, Sch Management, Bath BA2 7AY, Avon, England</t>
  </si>
  <si>
    <t>Fineman, S (corresponding author), Univ Bath, Sch Management, Bath BA2 7AY, Avon, England.</t>
  </si>
  <si>
    <t>10.1177/135050840181002</t>
  </si>
  <si>
    <t>406RR</t>
  </si>
  <si>
    <t>WOS:000167229400002</t>
  </si>
  <si>
    <t>partnering; communication; culture change; non-adversarial; SMEs; action learning; action research; industry improvement; UK</t>
  </si>
  <si>
    <t>Univ Salford, Salford M5 4WT, Lancs, England; Univ Manchester, Inst Sci &amp; Technol, Dept Bldg Engn, Manchester M60 1QD, Lancs, England</t>
  </si>
  <si>
    <t>Davey, CL (corresponding author), Univ Salford, Salford M5 4WT, Lancs, England.</t>
  </si>
  <si>
    <t>E &amp; FN SPON</t>
  </si>
  <si>
    <t>2-6 BOUNDARY ROW, LONDON SE1 8HN, ENGLAND</t>
  </si>
  <si>
    <t>384VB</t>
  </si>
  <si>
    <t>Stacey, PR; Wright, MD</t>
  </si>
  <si>
    <t>A proficiency testing scheme for aromatic hydrocarbons in air by the manual thermal desorption-GC method: a comparison of laboratory performance with the uncertainty requirements of the European Union Ambient Air Directive</t>
  </si>
  <si>
    <t>The Workplace Analysis Scheme for Proficiency (WASP) is a proficiency testing scheme for the analysis of occupational hygiene and environmental air samples and is operated in the UK by the Health and Safety Laboratory. Since 1997, WASP has offered samples of benzene, toluene and m-xylene, at environmental levels on Tenax, and has about 35 laboratories participating, mostly from industry, local government and consultancy organisations in the UK. The results reported cover the first 10 rounds of the environmental analytes (1997-1999) and demonstrate the important role of proficiency testing in assessing the quality of laboratory performance. Estimates are obtained for within-laboratory precision and the total variability at each analyte level. The estimates of within-laboratory precision suggest that laboratories have more difficulty analysing toluene and m-xylene than benzene. Linear relationships for the reproducibility relative standard deviation (RSDT) with loading level are evident for the analytes at occupational levels. At environmental levels, the relationship between loading level and reproducibility is much less well defined. The standard deviation for the proficiency testing assessment for all three analytes at the environmental level is 14%, as derived from the benzene data. Expanded uncertainty estimates (k = 1.96), for the analysis of samples since the scheme started, are obtained from the average total variance, and are 27% for benzene, 39% for toluene and 36% for m-xylene. Although the linear trend of performance against round number was not significant at the 95% level of confidence (p = 0.23 for benzene, p = 0.3 for toluene and p = 0.32 for m-xylene), there was a general improvement in RSDT from 26-34% to about 8-13% 10 rounds later. Currently, for a laboratory to meet one of the data quality objectives in the Ambient Air Directive (indicative measurement of benzene, expanded uncertainty +/- 30% or less), it would have to achieve a level of analytical performance to satisfy the category 1 (best performance) limit of better than +/-8.8%. In the last proficiency testing round, discussed in this paper, only 58% of laboratories obtained performance scores that indicated that they were able to consistently achieve this level of performance.</t>
  </si>
  <si>
    <t>Hlth &amp; Safety Lab, Sheffield S3 7HQ, S Yorkshire, England</t>
  </si>
  <si>
    <t>Stacey, PR (corresponding author), Hlth &amp; Safety Lab, Broad Lane, Sheffield S3 7HQ, S Yorkshire, England.</t>
  </si>
  <si>
    <t>THOMAS GRAHAM HOUSE, SCIENCE PARK, MILTON RD,, CAMBRIDGE CB4 0WF, CAMBS, ENGLAND</t>
  </si>
  <si>
    <t>10.1039/b101351n</t>
  </si>
  <si>
    <t>458AE</t>
  </si>
  <si>
    <t>WOS:000170170500018</t>
  </si>
  <si>
    <t>ECOSYSTEMS; SYSTEMS; THERMODYNAMICS; DIVERSITY</t>
  </si>
  <si>
    <t>Univ Kiel, Inst Geog, D-24089 Kiel, Germany</t>
  </si>
  <si>
    <t>Franzle, O (corresponding author), Univ Kiel, Inst Geog, D-24089 Kiel, Germany.</t>
  </si>
  <si>
    <t>fraenzle@geographie.uni-kiel.de</t>
  </si>
  <si>
    <t>HUMBOLDT FIELD RESEARCH INST</t>
  </si>
  <si>
    <t>STEUBEN</t>
  </si>
  <si>
    <t>PO BOX 9, STEUBEN, ME 04680-0009 USA</t>
  </si>
  <si>
    <t>NORTHEAST NAT</t>
  </si>
  <si>
    <t>Northeast. Nat</t>
  </si>
  <si>
    <t>543TR</t>
  </si>
  <si>
    <t>Metcalfe, B; Dick, G</t>
  </si>
  <si>
    <t>Exploring organisation commitment in the police - Implications for human resource strategy</t>
  </si>
  <si>
    <t>POLICING-AN INTERNATIONAL JOURNAL OF POLICE STRATEGIES &amp; MANAGEMENT</t>
  </si>
  <si>
    <t>police; commitment; human resource planning</t>
  </si>
  <si>
    <t>ORGANIZATIONAL COMMITMENT; PERFORMANCE</t>
  </si>
  <si>
    <t>Throughout the 1980s and 1990s organisation and management consultants have researched the concept of organisational commitment and report that highly committed employees are likely to be more effective, and be concerned with contributing to organisational improvement. Given the number of police reforms in the UK that are encouraging, forces to be more innovative, it is surprising that there have been few studies that have explored commitment amongst police officers. Using survey data (total uniform population 2,898, response rate 43 per cent) the paper analyses the extent to which organisation commitment is shaped by: employees' experiences of behaviour that encourages teamwork, participation, and personal development provides feedback on role and performance, and avoids a defensive work climate. The results show that these factors strongly influence commitment in all ranks. Significantly the level of commitment varies according to position in the hierarchy, with the majority of constables demonstrating lower commitment, and senior officers (chief inspectors and above) showing higher commitment Differences in commitment across police divisions are also explored. The paper discusses the limitations in management style and personnel procedures and suggests that strategic human resource management approaches should be adopted in order to increase organisation attachment. A major implication of the findings is that ForceCo needs to develop a long-term strategy of culture change.</t>
  </si>
  <si>
    <t>Univ Manchester, Inst Dev &amp; Policy Management, Manchester M13 9PL, Lancs, England; Staffordshire Univ, Sch Business, Stoke On Trent ST4 2DE, Staffs, England</t>
  </si>
  <si>
    <t>Metcalfe, B (corresponding author), Univ Manchester, Inst Dev &amp; Policy Management, Manchester M13 9PL, Lancs, England.</t>
  </si>
  <si>
    <t>Metcalfe, Beverly Dawn/0000-0001-7605-875X</t>
  </si>
  <si>
    <t>MCB U P LIMITED</t>
  </si>
  <si>
    <t>1363-951X</t>
  </si>
  <si>
    <t>POLICING</t>
  </si>
  <si>
    <t>Policing-An Int J Police Strategies &amp; Manag.</t>
  </si>
  <si>
    <t>10.1108/EUM0000000005854</t>
  </si>
  <si>
    <t>489RX</t>
  </si>
  <si>
    <t>WOS:000172006400009</t>
  </si>
  <si>
    <t>Berg, HP; Frohmel, T</t>
  </si>
  <si>
    <t>Requirements to be met in periodic safety reviews in Germany</t>
  </si>
  <si>
    <t>ATW-INTERNATIONALE ZEITSCHRIFT FUR KERNENERGIE</t>
  </si>
  <si>
    <t>Nuclear power plants are under permanent supervision by the government regulatory authorities. This supervision covers the phases of planning, construction, operation, and decommissioning as well as any plant modifications and changes in its mode of operation, and extends to all safety-related aspects. The German Advisory Committee on Reactor Safeguards (RSK) and the competent Federal Ministry for the Environment, Nature Conservation, and Nuclear Safety (BMU) recommended in the late eighties to have a supplementary safety review of nuclear power plants conducted roughly every ten years. The PSR Working Party of the Federal States Committee on Atomic Energy established guidelines for a standardized nationwide execution of periodic safety reviews (PSR) on the basis of hearings involving plant operators and expert consultants. From the official point of view, PSR serve to advance the safety status of a nuclear plant by analyzing the actual state of technical safety and the mode of plant operation in a holistic stocktaking exercise assessing all the findings made. Accordingly, guidelines containing the objectives, requirements, and the scope of PSR have been compiled for these areas: Basic Principles of Periodic Safety Reviews of Nuclear Power Plants, Safety Status Analysis, Probabilistic Safety Analysis, and Deterministic Safety Analysis. For the time being, there is no legal obligation to conduct PSR; however, this requirement is to be incorporated in the 10th amendment to the German Atomic Energy Act now under preparation. A PSR for the Obrigheim Nuclear Power Station was completed in 1998; activities for another six nuclear power plants are under way or being prepared.</t>
  </si>
  <si>
    <t>Bundesamt Strahlenschutz, D-38201 Salzgitter, Germany</t>
  </si>
  <si>
    <t>Berg, HP (corresponding author), Bundesamt Strahlenschutz, Postfach 10 01 49, D-38201 Salzgitter, Germany.</t>
  </si>
  <si>
    <t>ATW-INT Z KERNENERG</t>
  </si>
  <si>
    <t>ATW-Int. Zeit. Kernenerg.</t>
  </si>
  <si>
    <t>389VB</t>
  </si>
  <si>
    <t>WOS:000166258400006</t>
  </si>
  <si>
    <t>analytic methods; model management; project management; water management</t>
  </si>
  <si>
    <t>Delft Univ Technol, Sch Technol Policy &amp; Management, Delft, Netherlands; Kiwa Res &amp; Advise, Nieuwegein, Netherlands; ARCADIS Heidemij Consultants BA, Shertogenbosch, Netherlands</t>
  </si>
  <si>
    <t>Beroggi, GEG (corresponding author), Delft Univ Technol, Sch Technol Policy &amp; Management, Delft, Netherlands.</t>
  </si>
  <si>
    <t>KLUWER ACADEMIC PUBL</t>
  </si>
  <si>
    <t>SPUIBOULEVARD 50, PO BOX 17, 3300 AA DORDRECHT, NETHERLANDS</t>
  </si>
  <si>
    <t>441GR</t>
  </si>
  <si>
    <t>Hassinger, WJ; Monahan, KA; Scanlon, TL; Parsons, TD</t>
  </si>
  <si>
    <t>Nutrient management practices among swine operations of various sizes</t>
  </si>
  <si>
    <t>JOURNAL OF THE AMERICAN VETERINARY MEDICAL ASSOCIATION</t>
  </si>
  <si>
    <t>DAIRY FARMS; INTEGRATED APPROACH; MANAGING NITROGEN</t>
  </si>
  <si>
    <t>Objective-To determine feeding, cropping, and manure-handling practices of swine operations of various sizes. Design-Producer survey. Sample Population-85 sow units and 132 finish floors, Procedure-Swine producers were surveyed by mail and during farm visits for information regarding herd characteristics and management practices, with emphasis on the 3 components of the nutrient cycle: cropping, feeding and nutrition, and manure handling. Farms were categorized by operation type as sow units or finish floors and, subsequently, stratified by size as small sow units (&lt; 600 head), large saw units (&lt;greater than or equal to&gt; 600 head), small finish floors (&lt; 2,000 head), and large finish floors (&lt;greater than or equal to&gt; 2,000 head). Results-Large sow units and large finish floors were approximately twice as likely to use environmentally sound nutrient management practices as small sow units or small finish floors. These large operations were more likely to use progressive feeding practices, to be aware of their nutrient flows, and to be capable of using these nutrients properly. Conclusions and Clinical Relevance-There is a need for greater environmental awareness among all swine producers, especially among small producers. This provides a possible growth area for large-animal veterinary consultants. Economy of scale and increased governmental regulations allow large farms to use environmentally sound practices. Thus, large swine farms are not necessarily harmful to the environment.</t>
  </si>
  <si>
    <t>Univ Penn, Sch Vet Med, New Bolton Ctr, Ctr Anim Hlth &amp; Productiv, Kennett Sq, PA 19348 USA</t>
  </si>
  <si>
    <t>Parsons, TD (corresponding author), Copake Vet Hosp, POB 80, Copake Falls, NY 12517 USA.</t>
  </si>
  <si>
    <t>AMER VETERINARY MEDICAL ASSOC</t>
  </si>
  <si>
    <t>SCHAUMBURG</t>
  </si>
  <si>
    <t>1931 N MEACHAM RD SUITE 100, SCHAUMBURG, IL 60173-4360 USA</t>
  </si>
  <si>
    <t>J AM VET MED ASSOC</t>
  </si>
  <si>
    <t>J. Am. Vet. Med. Assoc.</t>
  </si>
  <si>
    <t>10.2460/javma.2000.217.1526</t>
  </si>
  <si>
    <t>373QA</t>
  </si>
  <si>
    <t>WOS:000165299100025</t>
  </si>
  <si>
    <t>Expert staff in reactor safety, and the decision to opt out of the peaceful use of nuclear power</t>
  </si>
  <si>
    <t>Also the German federal parliament looked into the attitude of the federal government in matters of preserving competence in nuclear technology in Germany and the possible consequences to this country as a location of research and industry resulting from the loss of know-how in this sector and the potential shortage of expert personnel arising as a consequence. Following an initiative launched by the parliamentary group of the FDP (Liberal Democrats) in the federal parliament in connection with a parliamentary query by Members of Parliament Ulrike Flach, Cornelia Pieper, Birgit Homburger, other members, and the FDP parliamentary group, the Federal Ministry for the Environment, Nature Conservation, and Nuclear Safety responded to the catalog of questions on August 21, 2000. The topics covered include questions about the expected development of personnel in public research, and of students of nuclear and nuclear engineering disciplines, and the resultant number of expert personnel available to industry, regulatory authorities, and expert consultants, as well as questions of possible national and international dependencies in nuclear technology, nuclear safety, and the plants currently in operation.</t>
  </si>
  <si>
    <t>383UL</t>
  </si>
  <si>
    <t>WOS:000165901400004</t>
  </si>
  <si>
    <t>Univ N Carolina, Dept Environm Studies, Asheville, NC 28804 USA; Duke Univ, Durham, NC 27706 USA; Univ N Carolina, Chapel Hill, NC 27514 USA</t>
  </si>
  <si>
    <t>Eggers, DM (corresponding author), Univ N Carolina, Dept Environm Studies, Asheville, NC 28804 USA.</t>
  </si>
  <si>
    <t>AM BEHAV SCI</t>
  </si>
  <si>
    <t>Am. Behav. Sci.</t>
  </si>
  <si>
    <t>Psychology, Clinical; Social Sciences, Interdisciplinary</t>
  </si>
  <si>
    <t>Psychology; Social Sciences - Other Topics</t>
  </si>
  <si>
    <t>413UU</t>
  </si>
  <si>
    <t>Lankester, BJA; Paterson, MP; Capon, G; Belcher, J</t>
  </si>
  <si>
    <t>Delays in orthopaedic trauma treatment: setting standards for the time interval between admission and operation</t>
  </si>
  <si>
    <t>trauma; trauma lists; emergency operating; audit</t>
  </si>
  <si>
    <t>HIP-FRACTURES; MORTALITY</t>
  </si>
  <si>
    <t>Delay in operating on trauma patients leads to increased morbidity, mortality, length of hospital stay and overall cost. The urgency of operative intervention depends on the injury sustained. There are no published guidelines on what constitutes a reasonable delay between admission and operation. As part of the clinical governance in our unit, an audit was undertaken to examine the structure and process of trauma operating. Patients were allocated to groups defined by the Bath Orthopaedic Department, according to urgency of need for surgery. Group A: patients (for example, open fractures and dislocations) should have definitive treatment within 6 h of admission. Group B: patients (for example, hip fractures, long bone injuries and ankle fractures) should have operations on the day that they are presented to the consultant trauma meeting, or on the day that they are declared fit/ready for theatre. Group C: patients (for example, tendon injuries, simple hand fractures) should have operations within 5 days of presentation to the trauma meeting. Over 3 months, there were 401 acute orthopaedic admissions requiring surgery (61 group A,277 group B, 63 group C). 78% of group A patients, 58% of group B patients and 86% of group C patients were operated on within the target times. In total, 137 out of 401 operations (34%) missed the targets set. 119 of these (87%) were delayed due to lack of available operating time. This was despite the fact that 59 operations (15% of total) were done on lists normally used for elective operating. Most of the other delays were due to the need for an appropriately experienced surgeon to be available. If these targets are to be achieved for the majority of patients, the trauma theatre must become more efficient, or more flexible time must be made available during evenings or weekends to clear the backlog of trauma operations.</t>
  </si>
  <si>
    <t>Royal United Hosp, Dept Orthopaed &amp; Trauma, Bath BA1 6DS, Avon, England</t>
  </si>
  <si>
    <t>Lankester, BJA (corresponding author), Royal United Hosp, Dept Orthopaed &amp; Trauma, Combe Pk, Bath BA1 6DS, Avon, England.</t>
  </si>
  <si>
    <t>362PY</t>
  </si>
  <si>
    <t>WOS:000089787800006</t>
  </si>
  <si>
    <t>building economics; life cycle costing; building operation; maintenance; clients; procurement; green building; Sweden</t>
  </si>
  <si>
    <t>Lulea Univ Technol, Dept Civil &amp; Min Engn, Lulea, Sweden</t>
  </si>
  <si>
    <t>Sterner, E (corresponding author), Lulea Univ Technol, Dept Civil &amp; Min Engn, Lulea, Sweden.</t>
  </si>
  <si>
    <t>355AY</t>
  </si>
  <si>
    <t>environmental risk; pesticides; indicator</t>
  </si>
  <si>
    <t>Ctr Agr &amp; Environm, NL-3505 AA Utrecht, Netherlands</t>
  </si>
  <si>
    <t>Reus, JAWA (corresponding author), Ctr Agr &amp; Environm, POB 10015, NL-3505 AA Utrecht, Netherlands.</t>
  </si>
  <si>
    <t>jreus@clm.nl</t>
  </si>
  <si>
    <t>1873-6904</t>
  </si>
  <si>
    <t>CROP PROT</t>
  </si>
  <si>
    <t>Crop Prot.</t>
  </si>
  <si>
    <t>373QV</t>
  </si>
  <si>
    <t>BEHAVIOR; PERFORMANCE; OPPORTUNITY; ATTITUDES; CAREER; NEED</t>
  </si>
  <si>
    <t>Boise State Univ, Boise, ID 83725 USA; Montana State Univ, Bozeman, MT 59717 USA; Univ Calif Los Angeles, Los Angeles, CA USA</t>
  </si>
  <si>
    <t>Krueger, NF (corresponding author), Boise State Univ, Boise, ID 83725 USA.</t>
  </si>
  <si>
    <t>DEL RÍO, MIGUEL ÁNGEL MONTAÑÉS/F-2359-2013</t>
  </si>
  <si>
    <t>343LE</t>
  </si>
  <si>
    <t>Entomol Soc Amer,Amer Phytopathol Soc</t>
  </si>
  <si>
    <t>soil quality; minimum data set; on-farm research; participatory; indicators; sustainability; systems research</t>
  </si>
  <si>
    <t>CONSERVATION RESERVE PROGRAM; ORGANIC-MATTER; MANAGEMENT; PERSPECTIVE; INDICATORS; NITROGEN; ILLINOIS; FARMERS; SCALE</t>
  </si>
  <si>
    <t>Univ Illinois, Dept Nat Resources &amp; Environm Sci, Urbana, IL 61801 USA; Rodale Inst, Kutztown, PA 19530 USA</t>
  </si>
  <si>
    <t>Wander, MM (corresponding author), Univ Illinois, Dept Nat Resources &amp; Environm Sci, 1102 S Goodwin Ave, Urbana, IL 61801 USA.</t>
  </si>
  <si>
    <t>mwander@uiuc.edu; ldrink@rodaleinst.org</t>
  </si>
  <si>
    <t>APPL SOIL ECOL</t>
  </si>
  <si>
    <t>Appl. Soil Ecol.</t>
  </si>
  <si>
    <t>342PZ</t>
  </si>
  <si>
    <t>Colorado State Univ, Dept Civil Engn, Ft Collins, CO 80523 USA</t>
  </si>
  <si>
    <t>Grigg, NS (corresponding author), Colorado State Univ, Dept Civil Engn, Ft Collins, CO 80523 USA.</t>
  </si>
  <si>
    <t>345 E 47TH ST, NEW YORK, NY 10017-2398 USA</t>
  </si>
  <si>
    <t>328JX</t>
  </si>
  <si>
    <t>Univ La Rioja, Area Maquinas &amp; Motores Term, Grp Termodinam Aplicada, Edificio Dept, Logrono 26004, La Rioja, Spain; Univ Basque Country, Area Maquinas &amp; Motores Term, ETS Ingn Ind Bilbao, E-48080 Bilbao, Spain; Univ Vigo, Area Maquinas &amp; Motores Term, ETS Ingn Ind Vigo, Vigo, Spain</t>
  </si>
  <si>
    <t>Gonzalez, LML (corresponding author), Univ La Rioja, Area Maquinas &amp; Motores Term, Grp Termodinam Aplicada, Edificio Dept, C Luis de Ulloa 20, Logrono 26004, La Rioja, Spain.</t>
  </si>
  <si>
    <t>luis-maria.lopez@dim.unirioja.es</t>
  </si>
  <si>
    <t>Tabares, José Luis Miguez/L-5631-2017; López-González, Luis M./L-8289-2015</t>
  </si>
  <si>
    <t>Tabares, José Luis Miguez/0000-0003-3929-9233; López-González, Luis M./0000-0002-0645-4068</t>
  </si>
  <si>
    <t>289UE</t>
  </si>
  <si>
    <t>Univ London, Royal Holloway &amp; Bedford New Coll, Dept Geog, London WC1E 7HU, England</t>
  </si>
  <si>
    <t>Pugh, J (corresponding author), Univ London, Royal Holloway &amp; Bedford New Coll, Dept Geog, London WC1E 7HU, England.</t>
  </si>
  <si>
    <t>SINGAPORE J TROP GEO</t>
  </si>
  <si>
    <t>Singap. J. Trop. Geogr.</t>
  </si>
  <si>
    <t>348FD</t>
  </si>
  <si>
    <t>Hoogenboom, G</t>
  </si>
  <si>
    <t>Contribution of agrometeorology to the simulation of crop production and its applications</t>
  </si>
  <si>
    <t>AGRICULTURAL AND FOREST METEOROLOGY</t>
  </si>
  <si>
    <t>International Workshop on Agrometeorology in the 21st Century - Needs and Perspective</t>
  </si>
  <si>
    <t>FEB 15-17, 1999</t>
  </si>
  <si>
    <t>ACCRA, GHANA</t>
  </si>
  <si>
    <t>12th Session Commiss Agr Meteorol, World Meteorol Org</t>
  </si>
  <si>
    <t>crop model; decision support system; climate variability; climate change; strategic application; tactical application; yield forecast</t>
  </si>
  <si>
    <t>GLOBAL CLIMATE-CHANGE; INTEGRATED PEST-MANAGEMENT; ATMOSPHERIC CARBON-DIOXIDE; GENERAL-CIRCULATION MODEL; DAILY WEATHER DATA; GROUND-BASED DATA; COMPUTER-PROGRAM; UNITED-STATES; SOUTHERN OSCILLATION; DIFFERENT TILLAGE</t>
  </si>
  <si>
    <t>Weather has a significant impact on crop growth and development. This paper presents an overview of crop modeling and applications of crop models, and the significance of weather related to these applications. To account for the impact of weather and climate variability on crop production. agrometeorological variables are one of the key inputs required for the operation of crop simulation models. These include maximum and minimum air temperature, total solar radiation, and total rainfall. Most models use daily data as input, because variables at a smaller time scale are usually unavailable for most locations. It is important to define standard file formats for weather and other input data; this will expand the applicability of weather data by different models. Issues related to missing variables and data, as well as locations for which no data are available, need to be addressed for model applications, as it can affect the accuracy of the simulations. Weather generators can be used to stochastically generate daily data when data are missing or long-term historical data are unavailable. However, the use of observed weather data for model input will provide more precise crop yield simulations, especially for tropical regions. Many of the crop models have been applied towards strategic and tactical management decision making as well as yield forecasting. The predicted variability of crop yield and related variables as well as natural resource use is mainly due to the short- and long-term variation of weather and climate conditions. The results produced by the models can be used to make appropriate management decisions and to provide farmers and others with alternative options for their farming system. The crop models have been used extensively to study the impact of climate change on agricultural production and food security. Recently, they have also been applied towards the impact of climate variability and the effect of El Nino/Southern Oscillation (ENSO) on agricultural production and food security. It is expected that, with the increased availability of computers, the use of crop models by farmers and consultants as well as policy and decision makers will increase. Weather data in the form of historical data or observations made during the current growing season, and short-, medium-, and long-term weather forecasts will play a critical role in these applications. (C) 2000 Elsevier Science B.V. All rights reserved.</t>
  </si>
  <si>
    <t>Univ Georgia, Dept Biol &amp; Agr Engn, Griffin, GA 30223 USA</t>
  </si>
  <si>
    <t>Hoogenboom, G (corresponding author), Univ Georgia, Dept Biol &amp; Agr Engn, Griffin, GA 30223 USA.</t>
  </si>
  <si>
    <t>gerrit@griffin.peachnet.edu</t>
  </si>
  <si>
    <t>Hoogenboom, Gerrit/F-3946-2010</t>
  </si>
  <si>
    <t>Hoogenboom, Gerrit/0000-0002-1555-0537</t>
  </si>
  <si>
    <t>0168-1923</t>
  </si>
  <si>
    <t>1873-2240</t>
  </si>
  <si>
    <t>AGR FOREST METEOROL</t>
  </si>
  <si>
    <t>Agric. For. Meteorol.</t>
  </si>
  <si>
    <t>10.1016/S0168-1923(00)00108-8</t>
  </si>
  <si>
    <t>Agronomy; Forestry; Meteorology &amp; Atmospheric Sciences</t>
  </si>
  <si>
    <t>Agriculture; Forestry; Meteorology &amp; Atmospheric Sciences</t>
  </si>
  <si>
    <t>322VP</t>
  </si>
  <si>
    <t>WOS:000087530200013</t>
  </si>
  <si>
    <t>POPULAR-MUSIC; DECISION-MAKING; INDUSTRY; DIVERSITY; TRIUMPH</t>
  </si>
  <si>
    <t>Johnson State Coll, Behavioral Sci Dept, Johnson, VT 05656 USA; Univ Massachusetts, Amherst, MA 01003 USA</t>
  </si>
  <si>
    <t>Ahlkvist, JA (corresponding author), Johnson State Coll, Behavioral Sci Dept, McClelland Hall, Johnson, VT 05656 USA.</t>
  </si>
  <si>
    <t>Poetics</t>
  </si>
  <si>
    <t>Literature; Sociology</t>
  </si>
  <si>
    <t>330FB</t>
  </si>
  <si>
    <t>Univ N Carolina, Frank Porter Graham Child Dev Ctr, Chapel Hill, NC 27599 USA</t>
  </si>
  <si>
    <t>Winton, PJ (corresponding author), Univ N Carolina, Frank Porter Graham Child Dev Ctr, CB 8185, Chapel Hill, NC 27599 USA.</t>
  </si>
  <si>
    <t>TOP EARLY CHILD SPEC</t>
  </si>
  <si>
    <t>Top. Early Child. Spec. Educ.</t>
  </si>
  <si>
    <t>330LK</t>
  </si>
  <si>
    <t>ACAD MANAGE EXEC</t>
  </si>
  <si>
    <t>Acad. Manage. Exec.</t>
  </si>
  <si>
    <t>325YN</t>
  </si>
  <si>
    <t>Resele, G</t>
  </si>
  <si>
    <t>Duties of a consulting engineer in nuclear technology</t>
  </si>
  <si>
    <t>The duties of a consulting engineer have undergone fundamental changes in the recent past. Their working environment is now characterized mainly by the sufficient availability of electricity in Western Europe in connection with a stagnating economy, the collapse of the Eastern block followed by the opening and intensification, respectively, of the energy and power plant markets between East and West, the decline in national needs to become self-sufficient in energy supply, the declining prices of fossil fuels, the deregulation of the energy market and, specifically in Germany, the change in government. The impact of this change especially on the engineer's profession is explained by the history of Colenco Power Engineering AG. Present activities are summarized as follows: Ensuring reliable, safe, and low-cost electricity production in existing plants with Western safety standards. Completion of the power plants under construction in Central and Eastern Europe, with Western safely standards taken into account, and backfitting existing plants. Decommissioning old nuclear facilities. Reclaiming old contaminated sites. Planning and construction of facilities for waste treatment and for interim storage and repository storage.</t>
  </si>
  <si>
    <t>Colenco Power Engn AG, CH-5405 Baden, Switzerland</t>
  </si>
  <si>
    <t>Resele, G (corresponding author), Colenco Power Engn AG, Mellingerstr 207, CH-5405 Baden, Switzerland.</t>
  </si>
  <si>
    <t>324GQ</t>
  </si>
  <si>
    <t>WOS:000087613800010</t>
  </si>
  <si>
    <t>Wright, S</t>
  </si>
  <si>
    <t>Project management of Greenwich peninsula</t>
  </si>
  <si>
    <t>PROCEEDINGS OF THE INSTITUTION OF CIVIL ENGINEERS-CIVIL ENGINEERING</t>
  </si>
  <si>
    <t>urban regeneration; management consultancy</t>
  </si>
  <si>
    <t>Getting the Greenwich peninsula site ready for the millennium exhibition was a probably the stiffest management test yet for the government's urban regeneration agency, English Partnerships, It was only given the derelict wasteland at the end of 1996, yet the completion date and subsequently agreed pound 185 million budget were absolutely fixed. Furthermore, infrastructure requirements of the exhibition were constantly changing as its design developed-requiring a flexible, dynamic and co-operative working relationship between all parties involved. This paper describes how that relationship was created and sustained and how it led to completion of the project on time and under budget.</t>
  </si>
  <si>
    <t>THOMAS TELFORD HOUSE, 1 HERON QUAY, LONDON, ENGLAND E14 4JD</t>
  </si>
  <si>
    <t>0965-089X</t>
  </si>
  <si>
    <t>P I CIVIL ENG-CIV EN</t>
  </si>
  <si>
    <t>Proc. Inst. Civil Eng.-Civil Eng.</t>
  </si>
  <si>
    <t>10.1680/cien.2000.138.5.19</t>
  </si>
  <si>
    <t>315CN</t>
  </si>
  <si>
    <t>WOS:000087095200005</t>
  </si>
  <si>
    <t>Johnson, RC; Banerjee, D; Webster, DJT</t>
  </si>
  <si>
    <t>Mastectomy follow-up by biennial mammograms: is it worthwhile?</t>
  </si>
  <si>
    <t>BREAST</t>
  </si>
  <si>
    <t>BREAST-CANCER; SURVEILLANCE; MORTALITY</t>
  </si>
  <si>
    <t>The value of follow-up after mastectomy for breast cancer is controversial. One reason is to detect metachronous tumour in the contralateral breast, but the optimum method for achieving this is undecided. The long-term follow-up policy of our unit is annual clinical review combined with biennial mammography. We have assessed the benefit of this policy in the detection of tumours of the contralateral breast. The case notes of 216 patients undergoing mastectomy between 1978 and 1985, under the care of one consultant surgeon (DJTW) were reviewed. Follow-up was complete to December 1997, thus allowing a minimum follow-up of 12 years. The development of a metachronous tumour was recorded as was its method of detection : either clinically, by the patient or the clinician, or by routine mammography. Two-hundred and five patients were available for follow-up of the contralateral breast. Seventeen (8.3%) developed metachronous tumours. Eight were detected by the patient, 4 by the clinician and 5 by routine follow-up mammography. Biennial mammography does not appear to be beneficial in breast cancer follow-up. More work is required to determine the benefits of more frequent mammography, with or without breast self-examination and clinical review within the hospital environment or within primary care. (C) 2000 Harcourt Publishers Ltd.</t>
  </si>
  <si>
    <t>Llandough Hosp, Dept Surg, Cardiff CF64 2XX, S Glam, Wales</t>
  </si>
  <si>
    <t>Johnson, RC (corresponding author), Princess Wales Hosp, Dept Surg, Bro Morgannwg NHS Trust, Coity Rd, Bridgend CF31 1RQ, Wales.</t>
  </si>
  <si>
    <t>0960-9776</t>
  </si>
  <si>
    <t>Breast</t>
  </si>
  <si>
    <t>10.1054/brst.2000.0144</t>
  </si>
  <si>
    <t>Oncology; Obstetrics &amp; Gynecology</t>
  </si>
  <si>
    <t>311VN</t>
  </si>
  <si>
    <t>WOS:000086906700008</t>
  </si>
  <si>
    <t>cleaner production; sustainable development; cleaner production center</t>
  </si>
  <si>
    <t>Univ Maribor, Fac Chem &amp; Chem Engn, SLO-2000 Maribor, Slovenia</t>
  </si>
  <si>
    <t>Glavic, P (corresponding author), Univ Maribor, Fac Chem &amp; Chem Engn, Smetanova 17,POB 224, SLO-2000 Maribor, Slovenia.</t>
  </si>
  <si>
    <t>322TW</t>
  </si>
  <si>
    <t>technology management; response to change; universal representation; integrative framework</t>
  </si>
  <si>
    <t>Govt India, Dept Sci &amp; Ind Res, New Delhi 110016, India</t>
  </si>
  <si>
    <t>Kumar, V (corresponding author), Govt India, Dept Sci &amp; Ind Res, New Mehrauli Rd, New Delhi 110016, India.</t>
  </si>
  <si>
    <t>GENEVA AEROPORT</t>
  </si>
  <si>
    <t>WORLD TRADE CENTER BLDG 110 AVE LOUSIS CASAI CP 306, CH-1215 GENEVA AEROPORT, SWITZERLAND</t>
  </si>
  <si>
    <t>325FJ</t>
  </si>
  <si>
    <t>problem structuring; SODA; MCDA; fisheries management</t>
  </si>
  <si>
    <t>Univ Strathclyde, Dept Management Sci, Glasgow G1 1QE, Lanark, Scotland; Univ Cape Town, Dept Stat Sci, ZA-7700 Rondebosch, South Africa</t>
  </si>
  <si>
    <t>Malyon, BE (corresponding author), Univ Strathclyde, Dept Management Sci, Glasgow G1 1QE, Lanark, Scotland.</t>
  </si>
  <si>
    <t>LECT NOTES ECON MATH</t>
  </si>
  <si>
    <t>Economics; Mathematics, Interdisciplinary Applications; Social Sciences, Mathematical Methods</t>
  </si>
  <si>
    <t>Conference Proceedings Citation Index - Science (CPCI-S); Conference Proceedings Citation Index - Social Science &amp;amp; Humanities (CPCI-SSH); Science Citation Index Expanded (SCI-EXPANDED); Social Science Citation Index (SSCI)</t>
  </si>
  <si>
    <t>Business &amp; Economics; Mathematics; Mathematical Methods In Social Sciences</t>
  </si>
  <si>
    <t>BQ67B</t>
  </si>
  <si>
    <t>PUBLIC-OPINION</t>
  </si>
  <si>
    <t>Denison Univ, Dept Commun, Granville, OH 43023 USA</t>
  </si>
  <si>
    <t>Lipari, L (corresponding author), Denison Univ, Dept Commun, Granville, OH 43023 USA.</t>
  </si>
  <si>
    <t>173HR</t>
  </si>
  <si>
    <t>Endangered Species Act; habitat conservation plans; independent review; risk assessment; scientific data; uncertainty analysis</t>
  </si>
  <si>
    <t>POPULATION-DENSITY; ADAPTIVE MANAGEMENT; ECOLOGICAL RISK; MULTIPLE SCALES; REGIONAL SCALE; LANDSCAPE; PATTERN; EXTINCTION; LAND; FRAGMENTATION</t>
  </si>
  <si>
    <t>Calif State Univ Sacramento, Dept Biol Sci, Sacramento, CA 95819 USA</t>
  </si>
  <si>
    <t>Smallwood, KS (corresponding author), 109 Luz Pl, Davis, CA 95616 USA.</t>
  </si>
  <si>
    <t>241PN</t>
  </si>
  <si>
    <t>Hallmans, B; Stenberg, C</t>
  </si>
  <si>
    <t>Introduction to BOOT</t>
  </si>
  <si>
    <t>WSTA 4th Gulf Water Conference</t>
  </si>
  <si>
    <t>FEB 13-18, 1999</t>
  </si>
  <si>
    <t>BAHRAIN</t>
  </si>
  <si>
    <t>privatization; contractor financing; concession</t>
  </si>
  <si>
    <t>Provision of public infrastructure and services has normally been the domain of national or local governments. This has applied to the telecommunications, energy, transport infrastructure, water and wastewater, health sectors and to public buildings, ports, etc. Traditionally the government as the client has carried the responsibility for all stages of the procurement: development, planning, design, financing, construction and operation and maintenance. The investment costs and the operation and maintenance costs were borne by the public and not necessarily recoverable by the way of charges from the ultimate beneficiaries: the public. However, state budgets are, as they have often been, limited and the capacities of public agencies are insufficient to meet demand. However, governments have a responsibility toward the public to supply basic needs with regard to infrastructure. Simultaneously there may be substantial amounts of money available in the bank system. As a consequence, in many countries around the world the participation of the private sector in development and delivery of public infrastructure is encouraged. The private financing of public projects offers new challenges and roles for all parties involved: contractors, consulting engineers, operating companies, the financial sector, legal contract specialists, the international funding agencies and of course national and local governments. This paper discusses the development of the privatization concept and the basic principles for using the method where the contractor takes larger financing and operation responsibility for the project and in return gets a long-term engagement with guaranteed return on capital.</t>
  </si>
  <si>
    <t>VBB VIAK SWECO, SE-10026 Stockholm, Sweden</t>
  </si>
  <si>
    <t>Stenberg, C (corresponding author), VBB VIAK SWECO, POB 34044, SE-10026 Stockholm, Sweden.</t>
  </si>
  <si>
    <t>10.1016/S0011-9164(99)00064-8</t>
  </si>
  <si>
    <t>244ZY</t>
  </si>
  <si>
    <t>WOS:000083081600002</t>
  </si>
  <si>
    <t>LNEC, Sanit Engn Div, Lisbon, Portugal; LNEC, Hydraul Dept, Lisbon, Portugal</t>
  </si>
  <si>
    <t>Matos, MR (corresponding author), LNEC, Sanit Engn Div, Lisbon, Portugal.</t>
  </si>
  <si>
    <t>BLACKWELL SCIENCE LTD</t>
  </si>
  <si>
    <t>J WATER SERV RES TEC</t>
  </si>
  <si>
    <t>J. Water Serv. Res. Technol.-Aqua</t>
  </si>
  <si>
    <t>10.2166/aqua.1999.0020</t>
  </si>
  <si>
    <t>247GB</t>
  </si>
  <si>
    <t>Geol Survey Canada, Terrain Sci Div, Ottawa, ON K1A 0E8, Canada; Nat Resources Canada, Audit &amp; Evaluat Branch, Ottawa, ON K1A 0E4, Canada</t>
  </si>
  <si>
    <t>Belanger, JR (corresponding author), Geol Survey Canada, Terrain Sci Div, 601 Booth St, Ottawa, ON K1A 0E8, Canada.</t>
  </si>
  <si>
    <t>268TP</t>
  </si>
  <si>
    <t>Pepperdine Univ, Graziadio Sch Business &amp; Management, Malibu, CA 90265 USA</t>
  </si>
  <si>
    <t>Magasin, M (corresponding author), Pepperdine Univ, Graziadio Sch Business &amp; Management, Malibu, CA 90265 USA.</t>
  </si>
  <si>
    <t>SLOAN MANAGEMENT REVIEW ASSOC,MIT SLOAN SCHOOL MANAGEMENT</t>
  </si>
  <si>
    <t>SLOAN MANAGE REV</t>
  </si>
  <si>
    <t>Sloan Manage. Rev.</t>
  </si>
  <si>
    <t>250RE</t>
  </si>
  <si>
    <t>action research; ethnic conflict; mental health collaboration; needs assessment; social systems; suprasystem influence; system improvement and system change; systems analysis</t>
  </si>
  <si>
    <t>Florida Int Univ, Sch Social Work, N Miami, FL 33181 USA</t>
  </si>
  <si>
    <t>Sundel, M (corresponding author), Florida Int Univ, Sch Social Work, Suite 234, N Miami, FL 33181 USA.</t>
  </si>
  <si>
    <t>W SUSSEX</t>
  </si>
  <si>
    <t>BAFFINS LANE CHICHESTER, W SUSSEX PO19 1UD, ENGLAND</t>
  </si>
  <si>
    <t>SYST RES BEHAV SCI</t>
  </si>
  <si>
    <t>Syst. Res. Behav. Sci.</t>
  </si>
  <si>
    <t>241MG</t>
  </si>
  <si>
    <t>Vincent, JL</t>
  </si>
  <si>
    <t>Forgoing life support in western European intensive care units: The results of an ethical questionnaire</t>
  </si>
  <si>
    <t>CRITICAL CARE MEDICINE</t>
  </si>
  <si>
    <t>do-not-resuscitate orders; ethics consultants; futile care; intensive care unit (ICU) admission policies; withdrawing; withholding; autonomy; euthanasia</t>
  </si>
  <si>
    <t>CRITICALLY ILL PATIENTS; NOT-RESUSCITATE ORDERS; SUSTAINING TREATMENT; CARDIOPULMONARY RESUSCITATION; WITHDRAWAL; ATTITUDES; PHYSICIANS; DECISIONS; GUIDELINES; EUTHANASIA</t>
  </si>
  <si>
    <t>Objective: To determine current views of European intensive care physicians regarding end-of-life decisions. Design: A questionnaire was sent to all physician members of the European Society of Intensive Care Medicine. All questionnaires were anonymous. Results: A total of 504 completed questionnaires from 16 western European countries were analyzed. Eighty-seven percent of the respondents were male. Forty-six percent of respondents said that intensive care unit admissions were generally or commonly affected by bed shortages, particularly in the south. Nevertheless, 73% of units frequently admit patients with no hope of survival, although only 33% of respondents felt that such patients should be admitted. Eighty percent of respondents felt that written do-not-resuscitate orders should be applied, but only 58% did so, with a wide variation according to country (from 8% in Italy to 91% in The Netherlands), Ninety-three percent of physicians sometimes withhold treatment from patients with no hope of a meaningful life, but withdrawal of treatment is less common, Forty percent of respondents said that they would deliberately administer large doses of drugs to such patients until death ensued, Forty-nine percent of respondents involved staff, patients, and family in end-of-life decisions. Forty-five percent of respondents felt that an ethics consultation was useful in such situations. Physicians in the countries of southern Europe were less likely Ban those in the north to apply do-not-resuscitate orders, withhold treatment, and discuss such issues with the patients. However, they were more likely to value the opinion of an ethics consultant. Conclusions: Intensive care unit admissions are frequently limited by the availability of beds across Europe, particularly in the south and in the United Kingdom, yet 73% of intensivists still admit patients with no hope of survival. When treating patients with no hope of survival, 40% of intensivists will deliberately administer large doses of drugs until death ensues. There are interesting differences between what a physician actually does and what he or she believes should be done with regard to various ethical questions. Important differences in attitudes also exist between European countries.</t>
  </si>
  <si>
    <t>Free Univ Brussels, Dept Intens Care, Erasme Univ Hosp, B-1070 Brussels, Belgium</t>
  </si>
  <si>
    <t>Vincent, JL (corresponding author), Free Univ Brussels, Dept Intens Care, Erasme Univ Hosp, Route de Lennik 808, B-1070 Brussels, Belgium.</t>
  </si>
  <si>
    <t>jlvinven@resulb.ulb.ac.be</t>
  </si>
  <si>
    <t>Vincent, Jean-Louis/0000-0001-6011-6951</t>
  </si>
  <si>
    <t>0090-3493</t>
  </si>
  <si>
    <t>1530-0293</t>
  </si>
  <si>
    <t>CRIT CARE MED</t>
  </si>
  <si>
    <t>Crit. Care Med.</t>
  </si>
  <si>
    <t>10.1097/00003246-199908000-00042</t>
  </si>
  <si>
    <t>229WG</t>
  </si>
  <si>
    <t>WOS:000082218300033</t>
  </si>
  <si>
    <t>Hatheway, AW; Reeves, GM</t>
  </si>
  <si>
    <t>A second review of the international status of engineering geology - encompassing hydrogeology, environmental geology and the applied geosciences</t>
  </si>
  <si>
    <t>applied geoscience; environmental geology; hydrogeology; engineering geology; professional practice</t>
  </si>
  <si>
    <t>Engineering geology, in 1996, worldwide, was experiencing considerable turmoil due to the uncertain nature of national economies and the general situation of inadequate funds to meet the demands of failing of the national infrastructures that serve citizens. Aside from the previously war-damaged cities of Western Europe, new public service systems of transportation and utilities elsewhere often lagged well behind growth. It will be some time before international aid and civil engineering contracts are initiated for anything other than humanitarian and basic emergency aid work in these areas. Many countries in the western hemisphere, eastern Europe, the former Soviet Union and developing nations in particular are still in need of basic water and sewage services as well as repair and replacement of old existing systems. Continued partisan warfare in the Balkan states of Albania, Bosnia, Croatia and Serbia forecast the eventual need for redevelopment. Rumblings of broad-scale economic problems in Far-Eastern economies did little to make overseas contract opportunities in these areas very attractive. Large consulting firms were challenged by an increasing number of individual and small practices who are prepared to operate on 1970's rates and prices for services and government and industry was taking advantage of that situation. More and more individuals were offering services in engineering geology and associated engineering fields and there was a sense of not having enough work to go around. Hence, price competition was again being promoted. Consequently in both Europe and the Americas, the variability of competence was enlarging and a significant amount of so-called 'professional' work was lacking in overall quality. This was especially evident in 'Environmental' areas of work. This begs the question: 'Is not engineering geology, or any other aspect of applied geosciences, not environmental in nature and essence, fundamentally and in entirely?' Environmental restoration demands were still being made by governments, but the pressure to complete such work was being relaxed on account of economics. Our clients were asking for more service at lower fees. Clients were still largely unwilling to openly acknowledge that less money spent on competent engineering geologic consultation means that more risk should be accepted by the owner or operator of projects. (C) 1999 Elsevier Science B.V. All rights reserved.</t>
  </si>
  <si>
    <t>Univ Missouri, Dept Geol &amp; Petr Engn, Rolla, MO 65401 USA</t>
  </si>
  <si>
    <t>Hatheway, AW (corresponding author), Univ Missouri, Dept Geol &amp; Petr Engn, 129 McNutt Hall, Rolla, MO 65401 USA.</t>
  </si>
  <si>
    <t>10.1016/S0013-7952(99)00046-0</t>
  </si>
  <si>
    <t>219HR</t>
  </si>
  <si>
    <t>WOS:000081602300005</t>
  </si>
  <si>
    <t>ECONOMIC POLITICAL WEEKLY</t>
  </si>
  <si>
    <t>BOMBAY</t>
  </si>
  <si>
    <t>HITKARI HOUSE 284 SHAHID BHAGATSINGH RD, BOMBAY 400 038, INDIA</t>
  </si>
  <si>
    <t>ECON POLIT WEEKLY</t>
  </si>
  <si>
    <t>Econ. Polit. Week.</t>
  </si>
  <si>
    <t>Regional &amp; Urban Planning; Political Science</t>
  </si>
  <si>
    <t>Public Administration; Government &amp; Law</t>
  </si>
  <si>
    <t>220HX</t>
  </si>
  <si>
    <t>Univ Reading, Ctr Int Business Hist, Reading RG6 2AH, Berks, England</t>
  </si>
  <si>
    <t>Kipping, M (corresponding author), Univ Reading, Ctr Int Business Hist, Reading RG6 2AH, Berks, England.</t>
  </si>
  <si>
    <t>HARVARD BUSINESS SCHOOL</t>
  </si>
  <si>
    <t>BUSINESS HISTORY REVIEW, 60 HARVARD WAY, BOSTON, MA 02163 USA</t>
  </si>
  <si>
    <t>285VQ</t>
  </si>
  <si>
    <t>Cole, DC; Pengelly, LD; Eyles, J; Stieb, DM; Hustler, R</t>
  </si>
  <si>
    <t>Consulting the community for environmental health indicator development: the case of air quality</t>
  </si>
  <si>
    <t>environmental exposure; health education; health status indicators; program evaluation</t>
  </si>
  <si>
    <t>POLLUTION; PROMOTION</t>
  </si>
  <si>
    <t>As health promotion practitioners advocate for an integration of health and environmental concerns, they must struggle with the role of environmental health indicators in fostering and monitoring change to address these concerns. This paper reports on consultations we held with four Ontario communities as part of the development of health-based indicators of air quality (HBIAQ). Jointly with local non-governmental organizations, our university-based team invited a diverse group of participants representing a spectrum of stakeholders in air quality issues to evening consultations lasting 4 h. Participants identified a wide range of directly observable indicators of air quality based on all five senses. They were aware of relationships between air pollution and adverse health impacts, but felt that current air quality indicators did not easily permit this linkage. Participants thought that useful indicators should be relevant to community concerns, credible in their linking of observable air pollution and health outcomes, and communicable to distinct audiences in ways that stimulate changes in behaviour Significant improvements in participants' self-reported ability to assess and rule air quality indicators were documented by pre- and post-questionnaires. Suggestions emerged for resolving some tensions inherent in the development of environmental health indicators: measures of air quality versus measures of potential health outcomes; observations by residents versus technical measurements by government agency staff expert interpretation versus community complaints; neighbourhood versus urban/rural area versus wider region; change in public behaviour versus reductions of point sources; and resources internal versus external to communities. Evaluation of the utility of HBIAQ as health promotion fools must await their implementation.</t>
  </si>
  <si>
    <t>McMaster Univ, Inst Environm &amp; Hlth, Hamilton, ON L8S 4K1, Canada; Hlth Canada, Air Qual Hlth Effects Res Sect, Ottawa, ON K1A 0L2, Canada; RG Hustler Associates, Toronto, ON, Canada</t>
  </si>
  <si>
    <t>Cole, DC (corresponding author), McMaster Univ, Inst Environm &amp; Hlth, 1280 Main St W, Hamilton, ON L8S 4K1, Canada.</t>
  </si>
  <si>
    <t>Cole, Donald C/K-1040-2013</t>
  </si>
  <si>
    <t>Cole, Donald C/0000-0002-1009-603X</t>
  </si>
  <si>
    <t>10.1093/heapro/14.2.145</t>
  </si>
  <si>
    <t>205AC</t>
  </si>
  <si>
    <t>WOS:000080798200006</t>
  </si>
  <si>
    <t>Robin Saunders Environm Solut Pty Ltd, Kew, Vic 3103, Australia</t>
  </si>
  <si>
    <t>Saunders, R (corresponding author), Robin Saunders Environm Solut Pty Ltd, 12 Hodgson St, Kew, Vic 3103, Australia.</t>
  </si>
  <si>
    <t>robsaund@ozemail.com.au</t>
  </si>
  <si>
    <t>204WJ</t>
  </si>
  <si>
    <t>DIN-PACS; DICOM; benchmark testing; teleradiology; digital imaging; image management</t>
  </si>
  <si>
    <t>USA, Med Mat Agcy, Def Supply Ctr Philadelphia Liason Off, Ft Detrick, MD 21702 USA; Uniformed Serv Univ Hlth Sci, Bethesda, MD 20814 USA; Informatech Inc, Frederick, MD USA; Johns Hopkins Univ, Appl Phys Lab, Laurel, MD USA</t>
  </si>
  <si>
    <t>Richardson, NE (corresponding author), USA, Med Mat Agcy, Def Supply Ctr Philadelphia Liason Off, 1423 Sultan Dr,Suite 100, Ft Detrick, MD 21702 USA.</t>
  </si>
  <si>
    <t>J DIGIT IMAGING</t>
  </si>
  <si>
    <t>J. Digit. Imaging</t>
  </si>
  <si>
    <t>196ER</t>
  </si>
  <si>
    <t>Goldin, DS; Venneri, SL; Noor, AK</t>
  </si>
  <si>
    <t>New frontiers in design synthesis</t>
  </si>
  <si>
    <t>COMPUTERS</t>
  </si>
  <si>
    <t>The Intelligent Synthesis Environment (ISE), which is one of the major strategic technologies under development at NASA centers and the University of Virginia, is described. One of the major objectives of ISE is to significantly enhance the rapid creation of innovative affordable products and missions. ISE uses a synergistic combination of leading-edge technologies, including high performance computing, high capacity communications and networking, human-centered computing, knowledge-based engineering, computational intelligence, virtual product development, and product information management. The environment will link scientists, design teams, manufacturers, suppliers, and consultants who participate in the mission synthesis as well as in the creation and operation of the aerospace system. It will radically advance the process by which complex science missions are synthesized, and high-tech engineering systems are designed, manufactured and operated. The five major components critical to ISE are human-centered computing infrastructure for distributed collaboration rapid synthesis and simulation tools, life cycle integration and validation, and cultural change in both the engineering and science creative process. The five components and their subelements are described. Related U.S. government programs are outlined and the future impact of ISE on engineering research and education is discussed. (C) 1998 American Institute of Aeronautics and Astronautics Inc. Published by Elsevier Science Ltd. AII rights reserved.</t>
  </si>
  <si>
    <t>NASA Headquarters, Washington, DC 20546 USA</t>
  </si>
  <si>
    <t>Goldin, DS (corresponding author), NASA Headquarters, Washington, DC 20546 USA.</t>
  </si>
  <si>
    <t>7-12</t>
  </si>
  <si>
    <t>10.1016/S0094-5765(99)00087-9</t>
  </si>
  <si>
    <t>235RB</t>
  </si>
  <si>
    <t>WOS:000082555400012</t>
  </si>
  <si>
    <t>Univ Queensland, Cooperat Res Ctr Trop Pest Management, Brisbane, Qld 4072, Australia</t>
  </si>
  <si>
    <t>Norton, GA (corresponding author), Univ Queensland, Cooperat Res Ctr Trop Pest Management, Brisbane, Qld 4072, Australia.</t>
  </si>
  <si>
    <t>1366-5863</t>
  </si>
  <si>
    <t>INT J PEST MANAGE</t>
  </si>
  <si>
    <t>Int. J. Pest Manage.</t>
  </si>
  <si>
    <t>191LV</t>
  </si>
  <si>
    <t>participation; citizen panels; consensus conferences; democracy</t>
  </si>
  <si>
    <t>Univ Zurich, Ethik Zentrum, CH-8008 Zurich, Switzerland</t>
  </si>
  <si>
    <t>Rippe, KP (corresponding author), Univ Zurich, Ethik Zentrum, Zollikerstr 117, CH-8008 Zurich, Switzerland.</t>
  </si>
  <si>
    <t>10 HIGH ST, KNAPWELL, CAMBRIDGE, ENGLAND CB3 8NR</t>
  </si>
  <si>
    <t>173RL</t>
  </si>
  <si>
    <t>Meeker, DL</t>
  </si>
  <si>
    <t>What are the livestock industries doing, and what do they need from us?</t>
  </si>
  <si>
    <t>JOURNAL OF ANIMAL SCIENCE</t>
  </si>
  <si>
    <t>89th Annual Meeting of the American-Society-of-Animal-Science</t>
  </si>
  <si>
    <t>JUL 29-AUG 01, 1997</t>
  </si>
  <si>
    <t>NASHVILLE, TENNESSEE</t>
  </si>
  <si>
    <t>Amer Soc Anim Sci</t>
  </si>
  <si>
    <t>livestock; industry; industrialization; extension; research</t>
  </si>
  <si>
    <t>Livestock industries are facing global competition and revolutionary changes. While facing this global competition, the similarities of many animal meat products require that they compete on a cost-of-production basis. Additional issues include the environmental impact of animal agriculture, the role of animal products in human nutrition, food safety and quality, biotechnology, animal welfare, and market access. Progressive producers are becoming more aware of the needs of their customers and are striving to improve product quality. Checkoff funds are used to finance promotion, research, and consumer information programs and are increasingly used to finance producer education. Industrialization trends in the livestock industries are changing the needs of constituencies, delivery mechanisms, and relationships with the people involved. Characteristics of closed operations include high production cost, outdated technology, smaller size, older operators, and lack of management focus. Successful operations tend to be growing in capacity, are system-oriented, maintain high throughput, keep accurate records, use outside consultants, and control production costs. Modern livestock production has lowered the cost of production by integrating new production and management technologies. In order for producers to be successful in the future, access to technology, capital, and timely information will be critical. Animal scientists have many common objectives with livestock industries. Their work in research, teaching, and extension is critical for continued progress. However, people in the industries sometimes have the perception that academic arrogance, discipline myopia, uncoordinated research, slow technology transfer, increasing research costs, and counter-productive tenure systems prevent animal scientists from being as relevant and responsive as they could be. Support from the industries is essential as animal scientists and academic departments seek political and funding support. This support can be attained by including integrated systems research, improving communication skills, achieving more efficient research budgets, rapidly publishing results, reducing the cost of information distribution, developing flexible research agendas, retraining scientists, acquiring modern methods, and emphasizing critical thinking, communication, and teamwork when teaching.</t>
  </si>
  <si>
    <t>Ohio State Univ, Columbus, OH 43210 USA</t>
  </si>
  <si>
    <t>Meeker, DL (corresponding author), Ohio State Univ, Columbus, OH 43210 USA.</t>
  </si>
  <si>
    <t>AMER SOC ANIMAL SCIENCE</t>
  </si>
  <si>
    <t>SAVOY</t>
  </si>
  <si>
    <t>1111 NORTH DUNLAP AVE, SAVOY, IL 61874 USA</t>
  </si>
  <si>
    <t>0021-8812</t>
  </si>
  <si>
    <t>J ANIM SCI</t>
  </si>
  <si>
    <t>J. Anim. Sci.</t>
  </si>
  <si>
    <t>268XH</t>
  </si>
  <si>
    <t>WOS:000084444600011</t>
  </si>
  <si>
    <t>China; financing; road administration; toll roads</t>
  </si>
  <si>
    <t>China Int Engn Consulting Corp, Post Evaluat Dept, Beijing 100044, Peoples R China; World Bank Grp, Washington, DC 20433 USA</t>
  </si>
  <si>
    <t>Li, P (corresponding author), China Int Engn Consulting Corp, Post Evaluat Dept, 32 Chegongzhuangxilu St, Beijing 100044, Peoples R China.</t>
  </si>
  <si>
    <t>207MV</t>
  </si>
  <si>
    <t>extension; New Zealand; privatization; sustainable agriculture</t>
  </si>
  <si>
    <t>Penn State Univ, University Pk, PA 16802 USA; Massey Univ, Dept Agribusiness &amp; Resource Management, Palmerston North, New Zealand</t>
  </si>
  <si>
    <t>Hall, MH (corresponding author), Penn State Univ, 116 ASI Bldg, University Pk, PA 16802 USA.</t>
  </si>
  <si>
    <t>mhh2@psu.edu</t>
  </si>
  <si>
    <t>J SUSTAIN AGR</t>
  </si>
  <si>
    <t>J. Sustain. Agric.</t>
  </si>
  <si>
    <t>227CG</t>
  </si>
  <si>
    <t>Univ N Carolina, Kenan Flagler Business Sch, Kenan Inst Private Enterprise, Chapel Hill, NC 27514 USA; Kenan Inst Private Enterprise, Ctr Global Business Res, Chapel Hill, NC USA</t>
  </si>
  <si>
    <t>Kasarda, JD (corresponding author), Univ N Carolina, Kenan Flagler Business Sch, Kenan Inst Private Enterprise, Chapel Hill, NC 27514 USA.</t>
  </si>
  <si>
    <t>MASSACHUSETTS INST TECHNOLOGY</t>
  </si>
  <si>
    <t>SLOAN SCHOOL MANAGEMENT, 77 MASSACHUSETTS AVE, E53-416, CAMBRIDGE, MA 02139-4307 USA</t>
  </si>
  <si>
    <t>YR585</t>
  </si>
  <si>
    <t>Univ Toronto, Rotman Sch Management, Toronto, ON, Canada</t>
  </si>
  <si>
    <t>127KT</t>
  </si>
  <si>
    <t>Lalli, VR</t>
  </si>
  <si>
    <t>Space-system reliability: A historical perspective</t>
  </si>
  <si>
    <t>IEEE TRANSACTIONS ON RELIABILITY</t>
  </si>
  <si>
    <t>statistical concepts; maintainability; system safety; quality assurance; logistics support; human factors; software assurance; system effectiveness</t>
  </si>
  <si>
    <t>The NASA Strategic Plan is the backbone of its new Strategic Management System, an important aspect of which is risk management. Coincident with a decreasing NASA budget is the new working environment that demands a better, faster, cheaper way to conduct business. In such an environment where risk is considered a knowledge-based resource, mission assurance is important in understanding risk. Through the years, much of mission assurance has been aimed at increasing independent systems engineering and further refining basic design approaches. Now the time has come to direct NASA's attention to managing the risks that come from system interactions during a mission. To understand such risks, all engineering techniques are important. Mission-assurance engineers are entering the era of interaction in which engineering and system engineering must work closely to achieve better performance on time and within cost. A structured risk-management approach is critical to a successful project - this is nothing new. A risk policy must be integral to the program as part of a concurrent engineering process, and risk and risk drivers must be monitored throughout. Risk can also be managed as a resource: the new way of managing better, faster, cheaper programs encompasses up-front, knowledge-based risk assessment. The safety and mission assurance community can provide valuable support as risk management consultants.</t>
  </si>
  <si>
    <t>NASA, Lewis Res Ctr, Off Safety Environm &amp; Mission Assurance, Cleveland, OH 44135 USA</t>
  </si>
  <si>
    <t>Lalli, VR (corresponding author), NASA, Lewis Res Ctr, Off Safety Environm &amp; Mission Assurance, 21000 Brookpk Rd, Cleveland, OH 44135 USA.</t>
  </si>
  <si>
    <t>345 E 47TH ST, NEW YORK, NY 10017-2394 USA</t>
  </si>
  <si>
    <t>0018-9529</t>
  </si>
  <si>
    <t>IEEE T RELIAB</t>
  </si>
  <si>
    <t>IEEE Trans. Reliab.</t>
  </si>
  <si>
    <t>Computer Science, Hardware &amp; Architecture; Computer Science, Software Engineering; Engineering, Electrical &amp; Electronic</t>
  </si>
  <si>
    <t>158NP</t>
  </si>
  <si>
    <t>WOS:000078121900011</t>
  </si>
  <si>
    <t>water supply; planning; demand; willingness to pay; contingent valuation; rapid appraisal; participatory assessment; Uganda; Africa</t>
  </si>
  <si>
    <t>Univ N Carolina, Dept City &amp; Reg Planning, Dept Environm Sci &amp; Engn, Chapel Hill, NC USA</t>
  </si>
  <si>
    <t>Whittington, D (corresponding author), Univ N Carolina, Dept City &amp; Reg Planning, Dept Environm Sci &amp; Engn, Chapel Hill, NC USA.</t>
  </si>
  <si>
    <t>217XG</t>
  </si>
  <si>
    <t>attitudes; high-elevation mines; opinions; reclamation; surface coal mines</t>
  </si>
  <si>
    <t>FOREST-SERVICE; BIASES</t>
  </si>
  <si>
    <t>Univ Victoria, Dept Geog, Victoria, BC, Canada</t>
  </si>
  <si>
    <t>Smyth, C (corresponding author), POB 517, Blairmore, AB, Canada.</t>
  </si>
  <si>
    <t>myosotis@telusplanet.net</t>
  </si>
  <si>
    <t>133NE</t>
  </si>
  <si>
    <t>Kavanagh, NT</t>
  </si>
  <si>
    <t>Swine practice: Planning for the 21st century</t>
  </si>
  <si>
    <t>SWINE HEALTH AND PRODUCTION</t>
  </si>
  <si>
    <t>swine; practice; industry</t>
  </si>
  <si>
    <t>There is potential for pig veterinarians to broaden the range of services they provide into areas that might, initially, appear to be nonveterinary. In order to compete successfully fbr this market, the veterinarian must be educated in a wide range of ancillary areas and must demonstrate expertise for which the consumer is prepared to pay. Regulatory changes could crate new opportunities for veterinary services. Opportunities exist for greater involvement in quality assurance schemes, animal welfare, disease control and eradication programs, biosecurity procedures, environmental programs, and enhancement of food safety. Food safety programs will require close ties among veterinarians, government agencies, producers, meat processors, pharmaceutical manufacturers, consumer associations, and transporters. Because the veterinary consultant will need to play an active role in developing programs designed to improve food safety and the consumer's image of pork, food-safety-related veterinary services, laboratory services, consultancy, and quality assurance practices are likely to expand in the future. Consumer pressure could radically influence systems of intensive pig production in the future, particularly the confinement of sows, the use of totally slatted floors, and the use of farrowing crates for lactating sows. The pig veterinarian will play a key role in developing and advising about alternative systems of housing that both satisfy welfare requirements under commercial conditions and allow pork to be produced profitably.The demand for laboratory procedures is increasing. The support of a laboratory not only enhances the quality of professional services, but could also increase client satisfaction, and broaden the range of services provided by the consultant.</t>
  </si>
  <si>
    <t>Kavanagh, NT (corresponding author), Cogan St, Oldcastle, Meath, Ireland.</t>
  </si>
  <si>
    <t>AMER ASSOC SWINE PRACTITIONERS</t>
  </si>
  <si>
    <t>DES MOINES</t>
  </si>
  <si>
    <t>5921 FLEUR DR, DES MOINES, IA 50321 USA</t>
  </si>
  <si>
    <t>1066-4963</t>
  </si>
  <si>
    <t>SWINE HEALTH PROD</t>
  </si>
  <si>
    <t>Swine Health Prod.</t>
  </si>
  <si>
    <t>ZY247</t>
  </si>
  <si>
    <t>WOS:000074601000005</t>
  </si>
  <si>
    <t>Univ Adelaide, Dept Psychol, Adelaide, SA 5005, Australia</t>
  </si>
  <si>
    <t>Kirby, N (corresponding author), Univ Adelaide, Dept Psychol, Adelaide, SA 5005, Australia.</t>
  </si>
  <si>
    <t>AUSTRALIAN PSYCHOLOGICAL SOC</t>
  </si>
  <si>
    <t>1 GRATTAN STREET, CARLTON, VICTORIA 3053, AUSTRALIA</t>
  </si>
  <si>
    <t>AUST PSYCHOL</t>
  </si>
  <si>
    <t>Aust. Psychol.</t>
  </si>
  <si>
    <t>169BW</t>
  </si>
  <si>
    <t>Baxter, LL; Miles, TR; Miles, TR; Jenkins, BM; Milne, T; Dayton, D; Bryers, RW; Oden, LL</t>
  </si>
  <si>
    <t>The behavior of inorganic material in biomass-fired power boilers: field and laboratory experiences</t>
  </si>
  <si>
    <t>FUEL PROCESSING TECHNOLOGY</t>
  </si>
  <si>
    <t>inorganic material; biomass-fired power boilers; ash deposits</t>
  </si>
  <si>
    <t>COMBUSTION</t>
  </si>
  <si>
    <t>This paper highlights some of the major findings of the Alkali Deposits Investigation, a collaborative effort to understand the causes of unmanageable ash deposits in biomass-fired electric power boilers. A group of interested industrial institutions and the US DOE Energy Efficiency and Renewable Energy Office's Biomass Power Program through the National Renewable Energy Laboratory jointly sponsored the project. The industries contributed both funding and, in most cases, use of facilities to the project and included Mendota Biomass Power and Woodland Biomass Power (both associated with Thermo Electron Energy Systems), CMS Generation Operating (formerly Hydra-Co Operations), Wheelabrator, Shasta and Hudson Energy, Sithe Energy, Delano Energy, the Electric Power Research Institute, Foster Wheeler Development, and Elkraft Power of Denmark. Research contracts with Thomas R. Miles Consulting Design Engineers, Sandia National Laboratories, and The National Renewable Energy Laboratories provided the government portion of the funding. In addition, the University of California at Davis and the Bureau of Mines performed significant work in close collaboration with the other researchers. This summary highlights the major findings of the project more thoroughly discussed in a recent report [2]. We highlight fuel properties, bench-scale combustion tests, a framework for considering ash deposition processes, pilot-scale tests of biomass fuels, and field tests in commercially operating biomass power generation stations. Detailed chemical analyses of 11 biomass fuels representing a broad cross-section of commercially available fuels reveal their properties that relate to ash deposition tendencies. The fuels fall into three broad categories: (1) straws and grasses (herbaceous materials); (2) pits, shells, hulls and other agricultural by-products of a generally ligneous nature; and (3) woods and recycle fuels of commercial interest. Woods and wood-derived products represent the most commonly used biomass fuels. Herbaceous fuels contain silicon and potassium as their principal ash-forming constituents. They are also commonly high in chlorine relative to other biomass fuels. These properties portend potentially severe ash deposition problems at high or moderate combustion temperatures. The primary sources of these problems are shown to be: (1) the reaction of alkali with silica to form alkali silicates that melt or soften at low temperatures (can be lower than 700 degrees C, depending on composition), and (2) the reaction of alkali with sulfur to form alkali sulfates on combustor heat transfer surfaces. Alkali material plays a central role in both processes. The mobility of alkali material, defined as its ability to come in physical contact with other materials, is measured using chemical extractive techniques. Potassium is the dominant source of alkali in most biomass fuels. The analyses below indicate that essentially, all of the biologically occurring alkali, in particular potassium, has high mobility. The non-biologically occurring alkali is present as soil contaminants and additives to the fuels, such as clay fillers used in paper production. This non-biologically occurring alkali exhibits far lower mobility than the biological fraction. The relative amounts of biologically vs, non-biologically occurring material depend on fuel type and fuel handling. In the fuels investigated here, the dominant form of alkali was biologically occurring potassium. Some traditional indicators of deposit behavior, most notably ash fusion temperatures, poorly predict ash behavior compared with a more mechanistic interpretation of the data. Many of the agricultural by-products also contain high potassium concentrations with equally high potassium mobility. Some woods, on the other hand, contain far less ash overall, differing by as much as a factor of 40 from high-ash straws, for example. In addition, the ash-forming constituents contain greater amounts of calcium with less silicon. The total amount of potassium in wood is much lower than in straws, although this is not necessarily the case when expressed as a fraction of total ash. Calcium reacts with sulfur to form sulfates in ways analogous to potassium, but the lower mobility and vapor pressure of calcium and the structural properties of the deposits it forms are both more favorable to sustained furnace operation than the ashes formed from straws and grasses. Chlorine is shown to be a major factor in deposit formation. Chlorine facilitates the mobility of many inorganic compounds, in particular potassium. Potassium chloride is among the most stable high-temperature, gas-phase, alkali-containing species. Chlorine concentration often dictates the amount of alkali vaporized during combustion more strongly than the alkali concentration in the fuel. In most cases, the chlorine appears to play a shuttle role, facilitating the transport of alkali from the fuel to surfaces, where the alkali often forms sulfates. In the absence of sulfur, chlorides often reside on the surface. In the absence of chlorine, alkali hydroxides are the major stable gas-phase species in moist, oxidizing environments (combustion gases). Bench-scale combustion tests coupled with mass spectrometry techniques reveal the major species evolving from biomass samples during combustion. The fuels subjected to these combustion tests were also examined by chemical analyses. The tests indicate that the major release of alkali material occurs during the char combustion phase and that the primary form of stable alkali-bearing off-gases corresponds with thermodynamic estimates of product stability and vapor pressure. Investigations were performed varying temperature, oxygen concentration, and moisture levels and revealed thermodynamically consistent results; the amount of alkali vaporized increases with temperature and the amount of hydroxide formed increases with increasing moisture content. Details of other species released are also presented. Thermogravimetric and differential thermogravimetric analyses of the samples were also performed, the results of which prove to be marginally useful to predicting ash deposition. A conceptual framework expresses ash deposition as a combination of four mechanisms: inertial impaction, thermophoretic deposition, condensation, and chemical reaction is presented. This conceptual framework serves to organize the remaining discussion and observations of ash deposition at both pilot and commercial scale. The influences of boiler design, boiler operating conditions, and fuel properties on ash deposit behavior reveal themselves by emphasizing or reducing the role of one or more of these mechanisms and thereby changing deposit composition, phase, and properties. Pilot-scale investigations on the standard suite of fuels were carried out in an entrained-flow furnace. Isokinetically sampled fly ash samples and deposits collected on instrumented, temperature-regulated probes simulating both water-walls and convection pass provide the basis for in situ and subsequent ex situ examination of deposits. Deposit properties reveal spatial dependencies on probe surfaces that are consistent with both the commercial-scale tests and the conceptual framework for deposit growth and property development. In addition, changes in deposit composition with time, temperature, and other operation-relevant variables exhibit the same consistencies with commercial operation and the conceptual framework. Fuels containing high alkali and silica concentrations form alkali silicates that melt or sinter at low temperatures. The rates of deposit growth and sintering/melting increase with increasing temperature and chlorine concentration but are high at all boiler-relevant temperatures and chlorine concentrations for the straws and grasses. Surfaces exposed to impacting particles can accumulate silica and alkali silicates at very rapid rates. Surfaces exposed to combustion gases but less exposed to particle impaction show evidence of thermophoretic accumulation of deposits, vapor condensation, and sulfation of condensed alkali-laden vapors. These processes lead to deposits with markedly different properties (high reflectivity, modest thickness and growth rate) compared to the impacted regions. Fuels containing little alkali or silica indicate far less deposit growth and development of more manageable deposits, by which we mean soot blowers and boiler maintenance techniques are able to sustain operation of a facility for periods of many months without unscheduled shutdowns. Commercial-scale investigations using nearly every type of commercially significant biomass boiler design provide full scale data for analysis and comparison with pilot-scale results. Bubbling fluid beds, circulating fluid beds, and various grate-based combustors fed by stokers, augers, and a cigar burner provided the data for comparison. Fuel types ranged from wood-derived material with blended agricultural by-products to straws, sometimes blended with urban wood fuel. Many of the commercial-scale experiments were conducted in the context of commercial operation and employed varying compositions in the fuel. In all cases, comparisons of deposit composition with position in the boiler, type of deposit surface, position on the surface, and fuel properties reveal complete consistency with the fuel analyses, bench-scale combustion results, pilot-scale results, and the conceptual framework. Fuels containing high alkali and silica fractions exhibited the same rapid accumulation of ash deposits with the same sintered/molten character as was observed in the pilot-scale tests. Advanced mineralogical examinations of selected deposits indicate chemical compositions consistent with the conceptual framework and are presented as appendix material. The deposit properties are consistent with the conceptual framework for their formation and the observed bench-scale combustion results. Fuels with less alkali, chlorine, and silica, with less total ash-forming material, and with higher calcium contents exhibit more manageable ash deposits. Wood and non-recyclable paper generated the most manageable deposits. This report provides highlights of a more detailed analysis of fuel property, operating condition, and boiler design issues that dictate as deposit formation and property development [1,2]. The span of investigations from bench-top experiments to commercial operation and observations, including both practical illustrations and theoretical background, provides a self-consistent and reasonably robust basis to understand the qualitative nature of ash deposit formation in biomass boilers. While there remain many quantitative details to be pursued to complete our understanding, this project encapsulates essentially all of the conceptual aspects of the issue. It provides a basis for understanding and potentially resolving the technical and environmental issues associated with ash deposition during biomass combustion. Publised by Elsevier Science B.V.</t>
  </si>
  <si>
    <t>Sandia Natl Labs, Combust Res Facil, Livermore, CA 94550 USA; Univ Calif Davis, Dept Biol &amp; Agr Engn, Davis, CA USA; Natl Renewable Energy Lab, Golden, CO USA; Foster Wheeler Dev, Clinton, NJ USA; US Bur Mines, Albany Res Ctr, Albany, NY USA</t>
  </si>
  <si>
    <t>Baxter, LL (corresponding author), Sandia Natl Labs, Combust Res Facil, Livermore, CA 94550 USA.</t>
  </si>
  <si>
    <t>zhang, shihong/G-8433-2012; Baxter, Larry/C-8567-2009</t>
  </si>
  <si>
    <t>Jenkins, Bryan/0000-0002-0490-3210; Dayton, David/0000-0003-3244-3722; Baxter, Larry/0000-0002-0453-2659</t>
  </si>
  <si>
    <t>0378-3820</t>
  </si>
  <si>
    <t>FUEL PROCESS TECHNOL</t>
  </si>
  <si>
    <t>Fuel Process. Technol.</t>
  </si>
  <si>
    <t>10.1016/S0378-3820(97)00060-X</t>
  </si>
  <si>
    <t>Chemistry, Applied; Energy &amp; Fuels; Engineering, Chemical</t>
  </si>
  <si>
    <t>Chemistry; Energy &amp; Fuels; Engineering</t>
  </si>
  <si>
    <t>ZU549</t>
  </si>
  <si>
    <t>WOS:000074209200004</t>
  </si>
  <si>
    <t>Gray, JD; Bhopal, RS; White, M</t>
  </si>
  <si>
    <t>Developing a medical school alcohol policy</t>
  </si>
  <si>
    <t>alcohol consumption; alcoholism, therapy; England; health policy; policy making; schools, medical</t>
  </si>
  <si>
    <t>STUDENTS; DOCTORS</t>
  </si>
  <si>
    <t>The health and lifestyle problems of medical students and doctors give cause for concern on several fronts. We have developed a health policy for staff and students in Newcastle Medical School. This policy presents integrated recommendations relating to six key areas, i.e. alcohol, physical activity, sexual health, stress, occupational health and safety, and diet. The methods used to develop recommendations in relation to alcohol are described here. They were adopted by the working groups developing recommendations in the other areas. There were four key stages to policy development: establishing an information base; preparing a draft policy for consultation; consulting staff and students, and finalizing the policy. Consultation was a slow and challenging process but led to substantial revisions to the policy, enhancing its acceptability and likely success. The final policy includes a 3-year implementation plan setting out actions, resource implications and key players. Our policy, which has been adopted by the medical school and will soon be implemented, includes recommendations regarding changes to the school environment, training and education needs for staff and students, and access to services for those with alcohol related problems. Health policies should be developed in other medical schools and our approach offers a possible model.</t>
  </si>
  <si>
    <t>Univ Newcastle Upon Tyne, Sch Med, Sch Hlth Sci, Newcastle Upon Tyne NE2 4HH, Tyne &amp; Wear, England</t>
  </si>
  <si>
    <t>Gray, JD (corresponding author), Univ Newcastle Upon Tyne, Sch Med, Sch Hlth Sci, Newcastle Upon Tyne NE2 4HH, Tyne &amp; Wear, England.</t>
  </si>
  <si>
    <t>White, Martin J. R./G-2410-2010</t>
  </si>
  <si>
    <t>White, Martin/0000-0002-1861-6757</t>
  </si>
  <si>
    <t>10.1046/j.1365-2923.1998.00183.x</t>
  </si>
  <si>
    <t>ZV060</t>
  </si>
  <si>
    <t>WOS:000074264300006</t>
  </si>
  <si>
    <t>INVESTMENT</t>
  </si>
  <si>
    <t>Temple Univ, Dept Polit Sci, Philadelphia, PA 19122 USA</t>
  </si>
  <si>
    <t>Deeg, R (corresponding author), Temple Univ, Dept Polit Sci, Philadelphia, PA 19122 USA.</t>
  </si>
  <si>
    <t>SMALL BUS ECON</t>
  </si>
  <si>
    <t>Small Bus. Econ. Group</t>
  </si>
  <si>
    <t>ZA214</t>
  </si>
  <si>
    <t>Agcy Environm &amp; Maitrise Energie, Angers, France</t>
  </si>
  <si>
    <t>Armand, F (corresponding author), Agcy Environm &amp; Maitrise Energie, Angers, France.</t>
  </si>
  <si>
    <t>REVUE GENERALE ELECTRICITE S A</t>
  </si>
  <si>
    <t>PARIS CEDEX 15</t>
  </si>
  <si>
    <t>48, RUE DE LA PROCESSION, 75724 PARIS CEDEX 15, FRANCE</t>
  </si>
  <si>
    <t>148BU</t>
  </si>
  <si>
    <t>capacity building; water quality; environmental impact assessment (EIA); IMTA-UNDP; water sector</t>
  </si>
  <si>
    <t>Inst Mexicano Tecnol Agua, Cuernavaca 62550, Morelos, Mexico</t>
  </si>
  <si>
    <t>Gutierrez-Lopez, E (corresponding author), Inst Mexicano Tecnol Agua, Paseo Cuauhnahuac 8532, Cuernavaca 62550, Morelos, Mexico.</t>
  </si>
  <si>
    <t>INSTITUTO MEXICANO TECHNOLOGIAAGUA</t>
  </si>
  <si>
    <t>MORELOS</t>
  </si>
  <si>
    <t>APARTADO POSTAL 202, MORELOS 62550 CIVAC, MEXICO</t>
  </si>
  <si>
    <t>ING HIDRAUL MEX</t>
  </si>
  <si>
    <t>Ing. Hidraul. Mex.</t>
  </si>
  <si>
    <t>YT873</t>
  </si>
  <si>
    <t>Ocholla, DN</t>
  </si>
  <si>
    <t>Information consultancy and brokerage in Botswana</t>
  </si>
  <si>
    <t>JOURNAL OF INFORMATION SCIENCE</t>
  </si>
  <si>
    <t>Limited empirical research on information consultancy and brokerage is documented and almost nothing originates from authors in the developing countries despite the upsurge of reasons for involvement in the services provided in the region. However, in considering investment in consultancy and brokerage services in a unique and unknown consumer environment such as Africa, it would be foolhardy to ignore the complexities posed by the coexistence of an information-conscious population on the one hand and a semi-literate population on the other. This study investigates the need for information consultancy and brokerage services in Botswana for the advice, creation and development of information consultancy and brokerage services in the country. The study was conducted in Botswana and data was collected in Gaborone, which has 34.3% of the urban population, including 10% of the national population, and is also the capital city and seat for government and private agencies in the country. Data was collected by means of questionnaires and interviews with the public and private sectors as well as information consultants and brokers. The analysis of data and the subsequent results revealed that, while Botswana has information consultants and brokers, there is a need for their services in management mainly but also in information technology, information systems and informal training. Unexplored and less-exploited markets exist in both the private and public sector. So far, access to information used by clients is mainly through private contacts (70.6%), office files (69.6%), mass media (60.3%) and information consultancy and brokerage (34%). The study recommends that coordination, marketing, promotion and publicity of information consultancy and brokerage activities are essential. The areas identified for consultancy services need to be developed and exploited, clients' awareness of the usefulness of information management be created and the consultants and brokers be readily available when needed. The study provides a basis for market analysis that can benefit training institutions in librarianship and information management in capacity building.</t>
  </si>
  <si>
    <t>Univ Zululand, Dept Lib &amp; Informat Sci, ZA-3886 Kwa Dlangezwa, South Africa</t>
  </si>
  <si>
    <t>Ocholla, DN (corresponding author), Univ Zululand, Dept Lib &amp; Informat Sci, X1001, ZA-3886 Kwa Dlangezwa, South Africa.</t>
  </si>
  <si>
    <t>Ocholla, Dennis/0000-0003-3860-1736</t>
  </si>
  <si>
    <t>BOWKER-SAUR LTD</t>
  </si>
  <si>
    <t>E GRINSTEAD</t>
  </si>
  <si>
    <t>MAYPOLE HOUSE, MAYPOLE RD,, E GRINSTEAD RH19 1HH, W SUSSEX, ENGLAND</t>
  </si>
  <si>
    <t>0165-5515</t>
  </si>
  <si>
    <t>J INFORM SCI</t>
  </si>
  <si>
    <t>J. Inf. Sci.</t>
  </si>
  <si>
    <t>10.1177/016555159802400203</t>
  </si>
  <si>
    <t>ZE008</t>
  </si>
  <si>
    <t>WOS:000072747800003</t>
  </si>
  <si>
    <t>Penn State Univ, University Pk, PA 16802 USA</t>
  </si>
  <si>
    <t>AMER SOC AGRONOMY</t>
  </si>
  <si>
    <t>677 S SEGOE RD, MADISON, WI 53711 USA</t>
  </si>
  <si>
    <t>J PROD AGRIC</t>
  </si>
  <si>
    <t>J. Prod. Agric.</t>
  </si>
  <si>
    <t>ZD404</t>
  </si>
  <si>
    <t>Colquhoun, D</t>
  </si>
  <si>
    <t>Researching with young people on health and environment: the politics of self-esteem and stress</t>
  </si>
  <si>
    <t>HEALTH EDUCATION RESEARCH</t>
  </si>
  <si>
    <t>EDUCATION; PERSPECTIVE</t>
  </si>
  <si>
    <t>This paper describes a research project with young people from a group called the Bellarine Youth Network (BYN), The project involved the identification of the perceptions of health and environmental issues held by these young people, A foundation of the project was that perceptions of health and environment mere socially constructed, and reflected vested interests and political agendas, Traditional positivist research projects (designs) which attempted to generalize, marginalize and categorize young people were seen as inappropriate for this study, The most pressing environmental health concern for the members of the BYN was stress caused by school work, Attempts by community health workers, psychologists and consultants to minimize the stress felt by young people only served to individualize the problem, These attempts included diary keeping, time management skills, and the maintenance of a balance between work and leisure activities, These individualistic strategies to reduce stress were also based on the often perceived centrality of the concept of self-esteem, There was rarely any understanding of the complex lives of young people and the range of identities held by them, Instead of simplistic and naive projects focusing on self-esteem, future research with young people needs to be more sympathetic to the relationships between behaviour, context (or setting or environment) and meaning, and also needs to involve a recognition of the importance to young people of the varied social environments within which they find themselves.</t>
  </si>
  <si>
    <t>Deakin Univ, Fac Educ, Geelong, Vic 3217, Australia</t>
  </si>
  <si>
    <t>Colquhoun, D (corresponding author), Deakin Univ, Fac Educ, Geelong, Vic 3217, Australia.</t>
  </si>
  <si>
    <t>0268-1153</t>
  </si>
  <si>
    <t>HEALTH EDUC RES</t>
  </si>
  <si>
    <t>Health Educ. Res.</t>
  </si>
  <si>
    <t>10.1093/her/12.4.449</t>
  </si>
  <si>
    <t>Education &amp; Educational Research; Public, Environmental &amp; Occupational Health</t>
  </si>
  <si>
    <t>YN530</t>
  </si>
  <si>
    <t>WOS:000071177800006</t>
  </si>
  <si>
    <t>nature of operational research; algorithms; consultancy; social issues</t>
  </si>
  <si>
    <t>SYSTEMS STRATEGY-DEVELOPMENT; PUTTING SOFT; MANAGEMENT; WORK</t>
  </si>
  <si>
    <t>Ormerod, RJ (corresponding author), WARWICK BUSINESS SCH,WARWICK,ENGLAND.</t>
  </si>
  <si>
    <t>STOCKTON PRESS</t>
  </si>
  <si>
    <t>HOUNDMILLS, BASINGSTOKE, HAMPSHIRE, ENGLAND RG21 6XS</t>
  </si>
  <si>
    <t>J OPER RES SOC</t>
  </si>
  <si>
    <t>J. Oper. Res. Soc.</t>
  </si>
  <si>
    <t>10.2307/3010300</t>
  </si>
  <si>
    <t>Management; Operations Research &amp; Management Science</t>
  </si>
  <si>
    <t>Business &amp; Economics; Operations Research &amp; Management Science</t>
  </si>
  <si>
    <t>YD978</t>
  </si>
  <si>
    <t>research organizations; research infrastructure; construction industry; public policy; organizational change; privatization; R&amp;D; United Kingdom</t>
  </si>
  <si>
    <t>Courtney, R (corresponding author), BLDG RES ESTAB,WATFORD WD2 7JR,ENGLAND.</t>
  </si>
  <si>
    <t>ROUTLEDGE</t>
  </si>
  <si>
    <t>11 NEW FETTER LANE, LONDON, ENGLAND EC4P 4EE</t>
  </si>
  <si>
    <t>YC571</t>
  </si>
  <si>
    <t>Gismondi, M</t>
  </si>
  <si>
    <t>Sociology and environmental impact assessment</t>
  </si>
  <si>
    <t>CANADIAN JOURNAL OF SOCIOLOGY-CAHIERS CANADIENS DE SOCIOLOGIE</t>
  </si>
  <si>
    <t>The paper indicates how a critical sociology could contribute to environmental impact assessment (EIA), and argues sociologists must become involved in evaluating the EIA process itself. Topics examined include: how EIA excludes and frames social issues; why social science should precede natural science; the social construction of impact science; bias and the circulation of EIA consultants; and fairness when talking in public hearings. The author proposes an activist role for sociologists.</t>
  </si>
  <si>
    <t>Athabasca Univ, Athabasca, AB, Canada</t>
  </si>
  <si>
    <t>Gismondi, M (corresponding author), Athabasca Univ, Athabasca, AB, Canada.</t>
  </si>
  <si>
    <t>0318-6431</t>
  </si>
  <si>
    <t>CAN J SOCIOL</t>
  </si>
  <si>
    <t>Can. J. Sociol.-Cahiers Can. Sociol.</t>
  </si>
  <si>
    <t>10.2307/3341693</t>
  </si>
  <si>
    <t>YX259</t>
  </si>
  <si>
    <t>WOS:000072022300003</t>
  </si>
  <si>
    <t>Wayne State Univ, Detroit, MI 48202 USA</t>
  </si>
  <si>
    <t>Khasnabis, S (corresponding author), Wayne State Univ, Detroit, MI 48202 USA.</t>
  </si>
  <si>
    <t>ENO FOUNDATION TRANSPORT INC</t>
  </si>
  <si>
    <t>LANSDOWNE</t>
  </si>
  <si>
    <t>44211 SLATE STONE CT, LANSDOWNE, VA 22075 USA</t>
  </si>
  <si>
    <t>TRANSPORT Q</t>
  </si>
  <si>
    <t>Transp. Q.</t>
  </si>
  <si>
    <t>ZB256</t>
  </si>
  <si>
    <t>Langley, GR; Minkin, S; Till, JE</t>
  </si>
  <si>
    <t>Regional variation in nonmedical factors affecting family physicians' decisions about referral for consultation</t>
  </si>
  <si>
    <t>CANADIAN MEDICAL ASSOCIATION JOURNAL</t>
  </si>
  <si>
    <t>SMALL-AREA VARIATIONS; SURGICAL SERVICES; CASE SIMULATIONS; RATES; STYLE</t>
  </si>
  <si>
    <t>Objective: To determine whether there is regional variation in environmental (non-medical) factors affecting referral decisions of family physicians (FPs). Design: Cross-sectional interview survey. Setting: Nova Scotia. Participants: A random sample of 125 FPs grouped into 1 of 5 functionally defined geographic regions of Nova Scotia (25,in each group). Groupings were based on access to general hospital beds through active staff hospital appointments or to specialist consultants in the community, or both. Participants were personally interviewed on site. No physician refused an interview. In 9 cases the physician indicated that he or she did not fit the profile of the assigned group; the physician was excluded from the study and the next doctor on the list was substituted. Outcome measures: The questionnaire was designed to test several hypotheses about factors known to potentially influence decisions about referral. Geographic differences in factors affecting referral and in decisions about 5 hypothetical cases were assessed with the use of significance tests for proportions that were sensitive to specific orders across groups. Results: Three factors affecting referral showed unequivocal variation across the 5 groups. Access to hospital facilities and remoteness from specialist care, leading to local styles of practice or treatment policies, and the FP's relationship with specialist consultants appeared to be important nonmedical factors affecting referral decisions. For similar case scenarios the physicians living in rural areas would refer only half as often overall as those living in urban areas with tertiary care hospitals; for some cases, such as a severe asthma attack, the difference was more than 7-fold. Conclusions: Significant differences in nonmedical factors affecting referral, and in referral decisions about hypothetical cases, were found between the groups of FPs. Differences in access to resources, creating local styles of practice, appeared to explain most of the variation. The results may account for previously observed differences in actual rates of referral for these particular groups.</t>
  </si>
  <si>
    <t>ONTARIO CANC INST,DIV EPIDEMIOL &amp; STAT,TORONTO,ON M4X 1K9,CANADA</t>
  </si>
  <si>
    <t>Langley, GR (corresponding author), DALHOUSIE UNIV,QUEEN ELIZABETH II HLTH SCI CTR,DEPT MED,HALIFAX,NS B3H 2Y9,CANADA.</t>
  </si>
  <si>
    <t>Till, James/0000-0002-6532-6023</t>
  </si>
  <si>
    <t>CANADIAN MEDICAL ASSOCIATION</t>
  </si>
  <si>
    <t>1867 ALTA VISTA DR, OTTAWA ON K1G 3Y6, CANADA</t>
  </si>
  <si>
    <t>0820-3946</t>
  </si>
  <si>
    <t>CAN MED ASSOC J</t>
  </si>
  <si>
    <t>Can. Med. Assoc. J.</t>
  </si>
  <si>
    <t>XN584</t>
  </si>
  <si>
    <t>WOS:A1997XN58400030</t>
  </si>
  <si>
    <t>enterprise networks; innovative milieux; industrial districts; subcontracting; small and medium sized enterprises; mechanical engineering industry</t>
  </si>
  <si>
    <t>CORPORATE</t>
  </si>
  <si>
    <t>Grotz, R (corresponding author), UNIV BONN, GEOGRAPH INST, MECKENHEIMER ALLEE 166, D-53115 BONN, GERMANY.</t>
  </si>
  <si>
    <t>XV030</t>
  </si>
  <si>
    <t>MIDDLE-EAST WATER; SAUDI-ARABIA; COOPERATION; MANAGEMENT; CONFLICT; FUTURE; MARKET; JORDAN</t>
  </si>
  <si>
    <t>SULTAN QABOOS UNIV,DEPT CIVIL ENGN,MUSCAT,OMAN</t>
  </si>
  <si>
    <t>KING FAHD UNIV PETROLEUM MINERALS</t>
  </si>
  <si>
    <t>DHAHRAN</t>
  </si>
  <si>
    <t>C/O UNIV, DHAHRAN 31261, SAUDI ARABIA</t>
  </si>
  <si>
    <t>ARAB J SCI ENG</t>
  </si>
  <si>
    <t>Arab. J. Sci. Eng.</t>
  </si>
  <si>
    <t>XT552</t>
  </si>
  <si>
    <t>Raine, GA (corresponding author), TECH SOFTWARE CONSULTANTS LTD,6 MILL SQ,FEATHERSTONE RD,MILTON KEYNES MK12 5RB,BUCKS,ENGLAND.</t>
  </si>
  <si>
    <t>BRITISH INST NON-DESTRUCTIVE TESTING</t>
  </si>
  <si>
    <t>NORTHAMPTON</t>
  </si>
  <si>
    <t>1 SPENCER PARADE, NORTHAMPTON, NORTHANTS, ENGLAND NN1 5AA</t>
  </si>
  <si>
    <t>Insight</t>
  </si>
  <si>
    <t>Instruments &amp; Instrumentation; Materials Science, Characterization &amp; Testing</t>
  </si>
  <si>
    <t>Instruments &amp; Instrumentation; Materials Science</t>
  </si>
  <si>
    <t>XD477</t>
  </si>
  <si>
    <t>Bailey, J</t>
  </si>
  <si>
    <t>Developing a cadre of educational managers</t>
  </si>
  <si>
    <t>INNOVATIONS IN EDUCATION AND TRAINING INTERNATIONAL</t>
  </si>
  <si>
    <t>Boleswa Symposium</t>
  </si>
  <si>
    <t>AUG, 1995</t>
  </si>
  <si>
    <t>GABORONE, BOTSWANA</t>
  </si>
  <si>
    <t>The paper explores the possible impact of the Botswana Secondary Schools Management Development Project on human resource development in the education sector. The introduction describes the context of the project, relates organizational development to human resource development and outlines the concept of the self-managing school. After a discussion of the educational context, within the framework of the revised National Education Policy, the infrastructural elements of the project are related to the conceptual networks which include equity, sustainability and co-operation (teamwork). This is followed by a description of a school-focused strategy and the adoption of two key methodologies, co-consultancy and action research. Project activities are outlined in tabular form before looking at the approaches and structures that are intended to enable creative and flexible sustainability. The key section looks to the future, exploring the potential impact the project may have on the professional development of the educational manager cadre in schools and the Ministry of Education.</t>
  </si>
  <si>
    <t>Bailey, J (corresponding author), CAMBRIDGE EDUC CONSULTANTS OFF,SECONDARY EDUC PROJECT,BOX 2201,MITRA PK,KATMANDU,NEPAL.</t>
  </si>
  <si>
    <t>KOGAN PAGE LTD</t>
  </si>
  <si>
    <t>120 PENTONVILLE RD, LONDON, ENGLAND N1 9JN</t>
  </si>
  <si>
    <t>1355-8005</t>
  </si>
  <si>
    <t>INNOV EDUC TRAIN INT</t>
  </si>
  <si>
    <t>Innov. Educ. Train. Int.</t>
  </si>
  <si>
    <t>10.1080/1355800970340210</t>
  </si>
  <si>
    <t>XM524</t>
  </si>
  <si>
    <t>WOS:A1997XM52400010</t>
  </si>
  <si>
    <t>Simon, RM (corresponding author), NCI,BIOMETR RES BRANCH,DIV CANC TREATMENT DIAG &amp; CTR,BETHESDA,MD 20852, USA.</t>
  </si>
  <si>
    <t>INST MATHEMATICAL STATISTICS</t>
  </si>
  <si>
    <t>HAYWARD</t>
  </si>
  <si>
    <t>IMS BUSINESS OFFICE-SUITE 6 3401 INVESTMENT BLVD, HAYWARD, CA 94545</t>
  </si>
  <si>
    <t>STAT SCI</t>
  </si>
  <si>
    <t>Stat. Sci.</t>
  </si>
  <si>
    <t>XT268</t>
  </si>
  <si>
    <t>Gennadiev, AN</t>
  </si>
  <si>
    <t>Soil conservation policy and farmers' land ownership in the United States</t>
  </si>
  <si>
    <t>EURASIAN SOIL SCIENCE</t>
  </si>
  <si>
    <t>Stages in the development of the American system of soil resources conservation are analyzed. State initiatives of legislative, administrative, and consulting character aimed at the control of the environmental behavior of farmers and management of the quality of soils in private land tenure in the USA are considered.</t>
  </si>
  <si>
    <t>Gennadiev, AN (corresponding author), MOSCOW MV LOMONOSOV STATE UNIV,FAC GEOG,VOROBEVY GORY,MOSCOW 119899,RUSSIA.</t>
  </si>
  <si>
    <t>Gennadiyev, Alexander N/M-8013-2015</t>
  </si>
  <si>
    <t>MAIK NAUKA/INTERPERIODICA</t>
  </si>
  <si>
    <t>C/O PLENUM/CONSULTANTS BUREAU 233 SPRING ST, NEW YORK, NY 10013</t>
  </si>
  <si>
    <t>1064-2293</t>
  </si>
  <si>
    <t>EURASIAN SOIL SCI+</t>
  </si>
  <si>
    <t>Eurasian Soil Sci.</t>
  </si>
  <si>
    <t>XF437</t>
  </si>
  <si>
    <t>WOS:A1997XF43700019</t>
  </si>
  <si>
    <t>Cadle, SH; Gorse, RA; Belian, TC; Lawson, DR</t>
  </si>
  <si>
    <t>Real-world vehicle emissions: A Summary of the Sixth Coordinating Research Council On-Road Vehicle Emissions Workshop</t>
  </si>
  <si>
    <t>JOURNAL OF THE AIR &amp; WASTE MANAGEMENT ASSOCIATION</t>
  </si>
  <si>
    <t>The Coordinating Research Council (CRC) has conducted a series of workshops on real-world vehicle emissions. This article summarizes findings from the most recent research regarding on-road emissions from mobile sources, presented at the CRC workshop held in March 1996. Among the topics discussed were efforts to improve and update emission models, results from field studies designed to understand the contribution of mobile sources to emission inventories, results from gas-and particle-phase emissions studies from in-use motor vehicles, and areas of future research. The Sixth Coordinating Research Council (CRC) On-Road Vehicle Emissions Workshop was held March 18-20, 1996, in San Diego, CA. More than 160 representatives from academia, industry, government, and consulting firms in the United States, Canada, and Europe participated in the three-day meeting. The objective of the Workshop was to present the most recent information from research programs on: mobile source contributions to the emission inventory emission factor models and activity data model comparison and development emission reduction programs new developments in remote sensing studies of on-road vehicle exhaust and non-tailpipe emissions off-cycle Federal Test Procedure (FTP) studies and revisions to the FTP particle emissions from the light- and heavy-duty fleets future research needs Nine sessions were devoted to vehicle emissions models, improvements to the emission inventory, on-road and tunnel studies, off-cycle emissions, non-tailpipe and diesel emissions, emission reduction programs, and remote sensing. Overall workshop coordination was provided by Timothy Belian and the CRC staff, with Steven Cadle and Robert Gorse serving as cochairmen. Individual session chairmen were Brent Bailey (National Renewable Energy Laboratory), Mark Carlock (California Air Resources Board), Harold Haskew (General Motors), Kenneth Knapp and Philip Lorang (U.S. Environmental Protection Agency), Douglas Lawson (Colorado State University), Alan Lloyd (Desert Research Institute), Robert Slott (Shell Oil), and Timothy Truex (University of California, Riverside). In addition, during the Workshop, Lesha Hrynchuk of the California Air Resources Board (CARE) presented a hands-on demonstration using the Internet to obtain motor vehicle emissions information from groups throughout the world. The complete Workshop proceedings are available from the Coordinating Research Council, 219 Perimeter Center Parkway, Atlanta, GA 30346; phone: (770) 396-3400; fax: (770) 396-3404. The following summarizes each session and includes a short synopsis of all the papers that were presented.</t>
  </si>
  <si>
    <t>COLORADO STATE UNIV,COOPERAT INST RES ATMOSPHERE,FT COLLINS,CO 80523; FORD MOTOR CO,DEARBORN,MI 48121; COORDINATING RES COUNCIL INC,ATLANTA,GA; GEN MOTORS R&amp;D CTR,WARREN,MI</t>
  </si>
  <si>
    <t>AIR &amp; WASTE MANAGEMENT ASSOC</t>
  </si>
  <si>
    <t>ONE GATEWAY CENTER, THIRD FL, PITTSBURGH, PA 15222</t>
  </si>
  <si>
    <t>1047-3289</t>
  </si>
  <si>
    <t>J AIR WASTE MANAGE</t>
  </si>
  <si>
    <t>J. Air Waste Manage. Assoc.</t>
  </si>
  <si>
    <t>10.1080/10473289.1997.10464435</t>
  </si>
  <si>
    <t>Engineering, Environmental; Environmental Sciences; Meteorology &amp; Atmospheric Sciences</t>
  </si>
  <si>
    <t>Engineering; Environmental Sciences &amp; Ecology; Meteorology &amp; Atmospheric Sciences</t>
  </si>
  <si>
    <t>WQ335</t>
  </si>
  <si>
    <t>WOS:A1997WQ33500015</t>
  </si>
  <si>
    <t>Gierke, JS; Powers, SE</t>
  </si>
  <si>
    <t>Increasing implementation of in situ treatment technologies through field-scale performance assessments</t>
  </si>
  <si>
    <t>WATER ENVIRONMENT RESEARCH</t>
  </si>
  <si>
    <t>assessment; demonstration; groundwater; in situ treatment; performance; remediation</t>
  </si>
  <si>
    <t>POLYCHLORINATED-BIPHENYLS; CHLORINATED ALIPHATICS; INSITU BIODEGRADATION; MODEL SIMULATIONS; GROUND-WATER; BIORESTORATION; BIOSTIMULATION; ETHENES; MEDIA; OILS</t>
  </si>
  <si>
    <t>In situ treatment technologies are important components of subsurface remediation efforts at a wide variety of sites. Too often, however, innovative technologies are not given adequate consideration by consultants, regulators, and site owners due to a lack of conclusive evidence that they will be effective alternatives. Field-scale demonstrations of the efficacy of in situ remediation technologies are important for effective engineering design. These types of projects provide an increase in the accuracy of conceptual models of the governing processes and can elucidate the practical aspects of full-scale implementation. Demonstration projects conducted at the field scale have a number of components necessary for complete assessment of treatment performance. Depending somewhat on the technology, these can include: pre- and posttreatment sampling, detailed site characterization of stratigraphy and hydrogeology, and comparisons between predictions of engineering models and actual performance.</t>
  </si>
  <si>
    <t>CLARKSON UNIV,POTSDAM,NY 13676</t>
  </si>
  <si>
    <t>Gierke, JS (corresponding author), MICHIGAN TECHNOL UNIV,DEPT GEOL ENGN &amp; SCI,1400 TOWNSEND DR,HOUGHTON,MI 49931, USA.</t>
  </si>
  <si>
    <t>Gierke, John/0000-0001-5397-9556</t>
  </si>
  <si>
    <t>WATER ENVIRONMENT FEDERATION</t>
  </si>
  <si>
    <t>601 WYTHE ST, ALEXANDRIA, VA 22314-1994</t>
  </si>
  <si>
    <t>1061-4303</t>
  </si>
  <si>
    <t>WATER ENVIRON RES</t>
  </si>
  <si>
    <t>Water Environ. Res.</t>
  </si>
  <si>
    <t>10.2175/106143097X125353</t>
  </si>
  <si>
    <t>Engineering, Environmental; Environmental Sciences; Limnology; Water Resources</t>
  </si>
  <si>
    <t>Engineering; Environmental Sciences &amp; Ecology; Marine &amp; Freshwater Biology; Water Resources</t>
  </si>
  <si>
    <t>WL725</t>
  </si>
  <si>
    <t>WOS:A1997WL72500011</t>
  </si>
  <si>
    <t>LaPorte, TM (corresponding author), DELFT UNIV TECHNOL,SCH SYST ENGN &amp; POLICY ANAL,FAC SYST ENGN &amp; POLICY ANAL,POB 5015,NL-2600 GA DELFT,NETHERLANDS.</t>
  </si>
  <si>
    <t>655 AVENUE OF THE AMERICAS, NEW YORK, NY 10010</t>
  </si>
  <si>
    <t>WQ285</t>
  </si>
  <si>
    <t>pigmy hog; Sus salvanius; conservation; captive breeding; radiotelemetry; tall grasslands; Basistha; Manas National Park</t>
  </si>
  <si>
    <t>Fauna &amp; Flora Int, IUCN SSC Pigs &amp; Peccaries Specialist Grp, Cambridge CB1 2DT, England; Pigmy Hog Conservat Programme, Guwahati 781028, Assam, India</t>
  </si>
  <si>
    <t>Oliver, WLR (corresponding author), Fauna &amp; Flora Int, IUCN SSC Pigs &amp; Peccaries Specialist Grp, Great Eastern House,Tenison Rd, Cambridge CB1 2DT, England.</t>
  </si>
  <si>
    <t>JERSEY WILDLIFE PRESERVATION TRUST</t>
  </si>
  <si>
    <t>TRINITY</t>
  </si>
  <si>
    <t>LES AUGRES MANOR,, TRINITY, JERSEY, ENGLAND JE3 5BP</t>
  </si>
  <si>
    <t>DODO</t>
  </si>
  <si>
    <t>Dodo-J. Wildl. Preserv. Trusts</t>
  </si>
  <si>
    <t>117RN</t>
  </si>
  <si>
    <t>GREAT CLARENDON ST, OXFORD, ENGLAND OX2 6DP</t>
  </si>
  <si>
    <t>YG232</t>
  </si>
  <si>
    <t>Cherniss, C (corresponding author), RUTGERS STATE UNIV, GRAD SCH APPL PSYCHOL, BOX 819, PISCATAWAY, NJ 08855 USA.</t>
  </si>
  <si>
    <t>WZ390</t>
  </si>
  <si>
    <t>Aseno, JO</t>
  </si>
  <si>
    <t>Chakravarty, SC; Fellous, JL; Kasturirangan, K; Rycroft, MJ</t>
  </si>
  <si>
    <t>Space science education in the African continent</t>
  </si>
  <si>
    <t>PROBLEMS OF SPACE SCIENCE EDUCATION AND THE ROLE OF TEACHERS</t>
  </si>
  <si>
    <t>ADVANCES IN SPACE RESEARCH</t>
  </si>
  <si>
    <t>PSRDC1 Symposium of COSPAR Panel on Space Research in Developing Countries , at the 31st COSPAR Scientific Assembly</t>
  </si>
  <si>
    <t>JUL 14-21, 1996</t>
  </si>
  <si>
    <t>BIRMINGHAM, ENGLAND</t>
  </si>
  <si>
    <t>Comm Sci &amp; Technol Dev Countries, Int Biosci Networks,Comm Space Res,Int Union Biol Sci, Sci Commiss A &amp; F,Third World Acad Sci,UN Off Outer Space Affairs</t>
  </si>
  <si>
    <t>Through measurement and interpretation of the spectral, spatial and temporal variations in electromagnetic emissions and reflections from the Earth's surface, important information related to natural resources can be acquired. Furthermore, satellite technology has greatly improved the communication and positioning techniques world-wide. Consequently, space science now provides valuable and timely information about natural resources, which has become a major factor in sustainable development. The realization of the full potential of space science in the context of development in Africa requires adequate education and training in order to facilitate project formulation, planning, management and implementation. This, in turn, would lead to the formulation and adoption of national space science policies based on user needs and addressing both the short and long-term needs of a particular country. Space science education in Africa needs to address issues like (i) provision of programmes, (ii) integration of the proposed techniques within the existing infrastructure, and (iii) training in Remote Sensing, Global Positioning System, Geographic Information System and other space science techniques, in order to ensure the successful implementation of space science projects within the continent. In this context, African universities ought to play a major role in space science training, research, consultancy and publication. Through international co-operation, it is possible to develop and support national, regional and international training programmes and international scientific exchange in Africa. (C) 1997 COSPAR. Published by Elsevier Science Ltd.</t>
  </si>
  <si>
    <t>Univ Nairobi, Dept Surveying, Nairobi, Kenya</t>
  </si>
  <si>
    <t>Aseno, JO (corresponding author), Univ Nairobi, Dept Surveying, POB 30197, Nairobi, Kenya.</t>
  </si>
  <si>
    <t>PERGAMON PRESS LTD</t>
  </si>
  <si>
    <t>THE BOULEVARD LANGFORD LANE KIDLINGTON, OXFORD OX5 1GB, ENGLAND</t>
  </si>
  <si>
    <t>0273-1177</t>
  </si>
  <si>
    <t>0-08-043304-9</t>
  </si>
  <si>
    <t>ADV SPACE RES</t>
  </si>
  <si>
    <t>10.1016/S0273-1177(97)00740-0</t>
  </si>
  <si>
    <t>Engineering, Aerospace; Astronomy &amp; Astrophysics; Education, Scientific Disciplines; Geosciences, Multidisciplinary; Meteorology &amp; Atmospheric Sciences</t>
  </si>
  <si>
    <t>Engineering; Astronomy &amp; Astrophysics; Education &amp; Educational Research; Geology; Meteorology &amp; Atmospheric Sciences</t>
  </si>
  <si>
    <t>BK18K</t>
  </si>
  <si>
    <t>WOS:000071440300016</t>
  </si>
  <si>
    <t>LeBlanc, RJ</t>
  </si>
  <si>
    <t>Harold Norman Fisk as a consultant to the Mississippi River Commission, 1948-1964 - An eye-witness account</t>
  </si>
  <si>
    <t>Conference on Geology in the Lower Mississippi Valley - Implications for Engineering, the Half Century Since Fisk 1944</t>
  </si>
  <si>
    <t>DEC 05-08, 1994</t>
  </si>
  <si>
    <t>VICKSBURG, MS</t>
  </si>
  <si>
    <t>Fisk was born near Medford, Oregon, in 1908 and received his B.S. degree in Geology in 1930 and his M.S. degree in Geology at the University of Oregon. After obtaining his Ph.D. in Geology at the University of Cincinnati, he joined the Louisiana Geological Survey (LGS) in Baton Rouge, Louisiana, where he conducted research on the geology of four parishes in central Louisiana. His research results were published as LGS Bulletin No. 10 in 1938 and Bulletin No. 18 in 1940. The region mapped by Fisk included about 750 square miles (1940 km(2)) of the Lower Mississippi Valley (LMV). General Max Tyler, President of the Mississippi River commission (MRC) in Vicksburg, Mississippi, became aware of Fisk's descriptions of abandoned courses of the Mississippi River. Tyler employed Fisk as a consultant in June 1941 to conduct a geological investigation of the LMV over a period of 2 years. A few days after I had completed my master's thesis under his supervision, Fisk selected me to be his assistant on the project. In addition, three other geologists were assigned to Fisk's staff: William Hendy, Ronald Mabrey and Robert Smith. I accompanied Fisk to Tyler's office numerous times when Fisk presented ''live progress reports''. His presentations, with the aid of many maps, were absolutely amazing and exciting. Tyler was always eager to acquire new knowledge about the great river that he was trying to control. The political climate in the MRC was not very favorable and Fisk was not a diplomat. There were varying degrees of resentment and resistance to Fisk's geological studies by some MRC engineers. Fisk believed that most of the MRC engineers were smart, dedicated, and practical individuals and he was confident that he could convince them that his research would be rewarding in many ways. Fisk did not have to wait very long. The success of the original 2-year project was so great that Fisk and his staff continued to study LMV for five more years. Fisk was always much more than a consultant to the MRC. He was a very hard working and demanding boss of the staff and the amount of time that he devoted to the project was always much greater than his contract called for. Each geologist reported directly to Fisk and he always assumed full responsibility for all results submitted to the MRC. Fisk resigned as Professor of Geology at Louisiana State University (LSU) in July of 1948 to become Chief of the Geologic Research Section of the Humble Oil and Refining Company in Houston, Texas. Humble permitted Fisk to continue as consultant to MRC and the USArmy Engineer Waterways Experiment Station (WES) at no cost to MRC. After attaining international recognition, Fisk died in Houston at the age of 56 in 1964. The world lost one of its finest geologists and I lost my former professor, boss, competitor and very close personal friend and colleague.</t>
  </si>
  <si>
    <t>LeBlanc, RJ (corresponding author), LEBLANC SCH CLAST SEDIMENTS,3751 UNDERWOOD ST,HOUSTON,TX 77025, USA.</t>
  </si>
  <si>
    <t>DEC 30</t>
  </si>
  <si>
    <t>10.1016/S0013-7952(97)81955-2</t>
  </si>
  <si>
    <t>WE891</t>
  </si>
  <si>
    <t>WOS:A1996WE89100002</t>
  </si>
  <si>
    <t>McRostie, GC; Morissette, L; Louis, MWS</t>
  </si>
  <si>
    <t>Bottom-heave control of a deep sensitive clay excavation in Ottawa, Canada</t>
  </si>
  <si>
    <t>CANADIAN GEOTECHNICAL JOURNAL</t>
  </si>
  <si>
    <t>bottom heave; excavation; clay; pore pressures</t>
  </si>
  <si>
    <t>PORE PRESSURES; BEHAVIOR</t>
  </si>
  <si>
    <t>For a new Police Headquarters Complex in Ottawa, an excavation was required to a depth of 10 m in medium to stiff sensitive silty clays and clayey silts. The risk of a bottom-heave failure due to uplift caused by significant groundwater pressures in the silty soil a few metres below the bottom of the excavation was recognized, and contract requirements included a well point installation assisted by electro-osmosis, The successful bidder was able to develop an alternative method based on the observational approach and completed the foundation al a lesser cost. A small test excavation was instrumented, and digging proceeded cautiously to full depth. The observed bottom heave and pore pressure changes were encouraging, so the test area was enlarged in steps until a workable size of excavation was safely made, then the structural raft was able to be placed. A backup system of pore pressure relief wells using wick drains in the bottom of the excavation was also developed, A large pore pressure reduction, due to the release of overburden pressure, was expected by the contractor's consultant, and a slow regain of the groundwater pressure was also expected due to the low horizontal permeabilities involved. The test excavation instrumentation and observations confirmed these expectations.</t>
  </si>
  <si>
    <t>GMM CONSULTANTS INC,AYLMER,PQ J9H 5E1,CANADA</t>
  </si>
  <si>
    <t>McRostie, GC (corresponding author), MCROSTIE GENEST ST LOUIS &amp; ASSOCIATES LTD,1755 WOODWARD DR,OTTAWA,ON K2C 0P9,CANADA.</t>
  </si>
  <si>
    <t>NATL RESEARCH COUNCIL CANADA</t>
  </si>
  <si>
    <t>RESEARCH JOURNALS, MONTREAL RD, OTTAWA ON K1A 0R6, CANADA</t>
  </si>
  <si>
    <t>0008-3674</t>
  </si>
  <si>
    <t>CAN GEOTECH J</t>
  </si>
  <si>
    <t>Can. Geotech. J.</t>
  </si>
  <si>
    <t>10.1139/t96-122</t>
  </si>
  <si>
    <t>WE256</t>
  </si>
  <si>
    <t>WOS:A1996WE25600008</t>
  </si>
  <si>
    <t>Walker, A</t>
  </si>
  <si>
    <t>Environment - A new key area for Health of the Nation?</t>
  </si>
  <si>
    <t>BRITISH MEDICAL JOURNAL</t>
  </si>
  <si>
    <t>Later this month the government will be consulting on whether the environment should be adopted as a new key area for their Health of the Nation strategy. It is proposing to have five topic areas and to adopt 10-15 environmental targets. This would reaffirm its commitment to linking environmental policy and health policy following publication earlier this year of its environmental health action plan. Critics may respond to the consultation document with suggestions for more far reaching targets-based, for example, on the ''Health for All'' targets from the World Health Organisation, or those arising out of Agenda 21 from the earth summit in Rio De Janeiro. Whatever the criticism, this move will be a chance to Link environmental and health agendas at both national and local level.</t>
  </si>
  <si>
    <t>Walker, A (corresponding author), UCL, SCH MED, DEPT SEXUALLY TRANSMITTED DIS, MORTIMER MARKET CTR, LONDON WC1E 6AU, ENGLAND.</t>
  </si>
  <si>
    <t>0959-535X</t>
  </si>
  <si>
    <t>BRIT MED J</t>
  </si>
  <si>
    <t>Br. Med. J.</t>
  </si>
  <si>
    <t>10.1136/bmj.313.7066.1197</t>
  </si>
  <si>
    <t>VR907</t>
  </si>
  <si>
    <t>WOS:A1996VR90700031</t>
  </si>
  <si>
    <t>Carter, RC; Alkali, AG</t>
  </si>
  <si>
    <t>Shallow groundwater in the northeast arid zone of Nigeria</t>
  </si>
  <si>
    <t>QUARTERLY JOURNAL OF ENGINEERING GEOLOGY</t>
  </si>
  <si>
    <t>alluvium; shallow aquifers; water resources</t>
  </si>
  <si>
    <t>RECHARGE</t>
  </si>
  <si>
    <t>The natural resources of the northeast arid zone of Nigeria have been the subject of a recent five-year, European Union-funded research programme, carried out in support of rural development initiatives in the area. The shallow groundwater resources of the extensive river floodplain alluvial aquifers, and of the interfluves or uplands, have been an important focus of the research. The main issue in relation to sustainable development of these resources is the estimation of their recharge. Recharge to the alluvial aquifer of the Yobe river downstream of Gashua is shown to be limited by an extensive clay cover overlying the aquifer. As a consequence of this the main mechanism of recharge is channel seepage, vertical infiltration being severely restricted. If, as is thought by most consultants, this is the only source of recharge to the area as a whole, then it is shown that recharge to the area amounts to less than 1 mm/a. This is probably less than the present abstraction from the shallow aquifers. The paper challenges the current presumption that rainfed recharge to the shallow aquifers beneath the upland is nil. Observations from other parts of the Sahel are used to show the typical magnitudes of water table decline which have coincided with the Sahel drought (early 1960s to date). These rates of decline cannot be explained by increases in abstraction. They can however be explained by significant reductions in recharge (of several mm/a) over the period in which rainfall has reduced, and this in turn implies recharge values significantly greater than zero in the very recent past, or to date. Detailed studies by the first author in the Manga Grasslands of north east Nigeria, in which recharge of 30-60 mm/a was estimated, are used to exemplify the likely situation in at least some parts of the upland. Ignorance or uncertainty of both the natural replenishment processes, and of the impact of climatic and anthropogenic changes, is no basis for sound water resource management policy. Because of the importance of establishing a more sound understanding of the recharge processes in the northeast arid zone, an outline programme of further research is presented.</t>
  </si>
  <si>
    <t>Carter, RC (corresponding author), CRANFIELD UNIV,SILSOE COLL,WATER MANAGEMENT DEPT,SILSOE MK45 4DT,BEDS,ENGLAND.</t>
  </si>
  <si>
    <t>Carter, Richard C/O-9818-2015</t>
  </si>
  <si>
    <t>Carter, Richard C/0000-0001-9625-7182</t>
  </si>
  <si>
    <t>UNIT 7, BRASSMILL ENTERPRISE CENTRE, BATH, AVON, ENGLAND BA1 3JN</t>
  </si>
  <si>
    <t>0481-2085</t>
  </si>
  <si>
    <t>Q J ENG GEOL</t>
  </si>
  <si>
    <t>Q. J. Eng. Geol.</t>
  </si>
  <si>
    <t>10.1144/GSL.QJEGH.1996.029.P4.07</t>
  </si>
  <si>
    <t>VX724</t>
  </si>
  <si>
    <t>WOS:A1996VX72400007</t>
  </si>
  <si>
    <t>Univ Dusseldorf, Med Inst Environm Hygiene,Alfried Krupp von Bohlen &amp; Halbach Fdn Essen</t>
  </si>
  <si>
    <t>living spaces; indoor air; pollutants; mould fungi; health complaints</t>
  </si>
  <si>
    <t>Sobottka, A (corresponding author), HYG INST SACHSEN ANHALT,WALLONERBERG 2-3,D-39104 MAGDEBURG,GERMANY.</t>
  </si>
  <si>
    <t>ELSEVIER SCI IRELAND LTD</t>
  </si>
  <si>
    <t>CUSTOMER RELATIONS MANAGER, BAY 15, SHANNON INDUSTRIAL ESTATE CO, CLARE, IRELAND</t>
  </si>
  <si>
    <t>VR059</t>
  </si>
  <si>
    <t>Cohn, SM; Fisher, BT</t>
  </si>
  <si>
    <t>Do surgeons have a role as infectious disease consultants?</t>
  </si>
  <si>
    <t>ARCHIVES OF SURGERY</t>
  </si>
  <si>
    <t>Background: Antibiotic drug restriction policies have become widespread in North America hospitals mandating medical infectious disease consultation for use of routine antimicrobial agents. Objective: To determine physician and institutional attitudes regarding the credibility of surgeons in the area of infectious disease. Design: A survey of the Surgical Infectious Disease Society (SIS) membership. Participants; Members of the: SIS practicing in the United States and Canada (n=464) were sent a simple opinion poll regarding surgical infectious disease specialists. After receiving the survey, the SIS members were given approximately 4 weeks to anonymously complete the questionnaire and return it to our office. Results: Responses were received from 198 SIS members (43%). Most were from large (&gt;400 bed) institutions (63%), and the majority of them were from university centers (76%). Predictably, 85% of the respondents were in full-time academic practice. Some SIS respondents (21%) had undergone special training in infectious disease, and of these, 63% actually had completed a formal surgical infectious disease fellowship. Antibiotic restriction policies were nearly universal and required in 87% of institutions. Only 44% of surgeons in these hospitals, however, were privileged to release antibiotic drugs. Medical infectious disease physicians recognized surgical expertise in infectious disease in few instances (32%). The great majority of responding SIS members (81%) believed that an examination or certification in infectious disease for surgeons was not warranted. Conclusions: Antibiotic drug restriction is prevalent in North America, and medical infectious disease specialists do not generally recognize surgical expertise in the area of infectious disease. Despite this environment, responding SIS members believe that special credentialing of surgeons in the area of infectious disease is unnecessary.</t>
  </si>
  <si>
    <t>Cohn, SM (corresponding author), YALE UNIV,SCH MED,SECT TRAUMA &amp; SURG CRIT CARE,DEPT SURG,333 CEDAR ST,POB 208062,NEW HAVEN,CT 06520, USA.</t>
  </si>
  <si>
    <t>Fisher, Brian/0000-0002-8224-4281</t>
  </si>
  <si>
    <t>AMER MEDICAL ASSOC</t>
  </si>
  <si>
    <t>515 N STATE ST, CHICAGO, IL 60610</t>
  </si>
  <si>
    <t>0004-0010</t>
  </si>
  <si>
    <t>ARCH SURG-CHICAGO</t>
  </si>
  <si>
    <t>Arch. Surg.</t>
  </si>
  <si>
    <t>VF469</t>
  </si>
  <si>
    <t>WOS:A1996VF46900026</t>
  </si>
  <si>
    <t>round-robin test; ring test; reference toxicant tests</t>
  </si>
  <si>
    <t>SYSTEM; WATER</t>
  </si>
  <si>
    <t>US EPA, MID CONTINENT ECOL DIV, DULUTH, MN 55804 USA; NATL BIOL SERV, MIDWEST SCI CTR, COLUMBIA, MO 65201 USA; NATL BIOL SERV, SE BIOL SCI CTR, ATHENS, GA 30602 USA; MICHIGAN STATE UNIV, DEPT FISHERIES &amp; WILDLIFE, E LANSING, MI 48824 USA; US EPA, ENVIRONM MONITORING &amp; SUPPORT LAB, CINCINNATI, OH 45244 USA; UNIV WISCONSIN, LAKE SUPER RES INST, SUPERIOR, WI 54880 USA; DYNAMAC CORP, CINCINNATI, OH 45244 USA; ENVIRONM CANADA, CANADA CTR INLAND WATERS, BURLINGTON, ON L7R 4A6, CANADA; EVS CONSULTANTS LTD, N VANCOUVER, BC V7P 2R4, CANADA; WASHINGTON STATE DEPT ECOL, PORT ORCHARD, WA 98366 USA</t>
  </si>
  <si>
    <t>Burton, GA (corresponding author), WRIGHT STATE UNIV, INST ENVIRONM QUAL, DAYTON, OH 45435 USA.</t>
  </si>
  <si>
    <t>Norberg-King, Teresa/ABA-6511-2021; Burton, Glenn A/Q-9714-2016; Norberg-King, Teresa J/E-5553-2013; Lazorchak, James/E-2363-2016</t>
  </si>
  <si>
    <t>Burton, Glenn A/0000-0002-8660-6294; Norberg-King, Teresa J/0000-0001-6831-9040; Lazorchak, James/0000-0002-7354-7571</t>
  </si>
  <si>
    <t>VF371</t>
  </si>
  <si>
    <t>Blore, I (corresponding author), UNIV BIRMINGHAM,SCH PUBL POLICY,BIRMINGHAM B15 2TT,W MIDLANDS,ENGLAND.</t>
  </si>
  <si>
    <t>BAFFINS LANE CHICHESTER, W SUSSEX, ENGLAND PO19 1UD</t>
  </si>
  <si>
    <t>VH172</t>
  </si>
  <si>
    <t>CULTURAL-ANTHROPOLOGY</t>
  </si>
  <si>
    <t>Li, TM (corresponding author), DALHOUSIE UNIV, DEPT SOCIOL &amp; SOCIAL ANTHROPOL, HALIFAX, NS B3H 3J5, CANADA.</t>
  </si>
  <si>
    <t>1467-7660</t>
  </si>
  <si>
    <t>DEV CHANGE</t>
  </si>
  <si>
    <t>Dev. Change</t>
  </si>
  <si>
    <t>VA072</t>
  </si>
  <si>
    <t>Bellamy, RR; Hayes, JJ; Porco, RD; First, MW</t>
  </si>
  <si>
    <t>Twenty-Fourth DOE/NRC Nuclear Air-Cleaning and Treatment Conference</t>
  </si>
  <si>
    <t>NUCLEAR SAFETY</t>
  </si>
  <si>
    <t>The Twenty-Fourth Department of Energy/Nuclear Regulatory Commission (DOE/NRC) Nuclear Air-Cleaning and Treatment Conference was held July 14-18, 1996, in Portland, Oregon. As in previous conferences, additional sponsorship was provided by the Harvard Air-Cleaning Laboratory and the International Society of Nuclear Air Treatment Technologies, a nonprofit organization founded to promote technology transfer in the nuclear air-cleaning and treatment area. Representing the United States and nine foreign countries, a total of 146 air-cleaning specialists attended These specialists are affiliated with all aspects of the nuclear industry, including government agencies, educational institutions, utilities, architect-engineers, equipment suppliers, and consultants. International interest and participation remained high, with 30% of the papers being presented by foreign interests. A panel session was also held to discuss international progress and research in nuclear air-cleaning activities. Other major topics included standards for manufacturing, operation and testing, decontamination and decommissioning processes, waste management, instrumentation and measurement systems, adsorption, chemical operations, reactor accident scenarios, and filters and filtration. Panel sessions proved to be an outstanding mechanism to encourage participation and discussion, and panel discussions were held oil testing of air- and gas-cleaning systems, international progress and activities, and codes and standards for filters and adsorbers. A highlight of the conference concerned DOE operations at the Hanford Reservation in Richland, Washington, where a 10-year multibillion dollar decontamination and decommissioning project is under way. Conference attendees were welcome to lour the Hanford site. The change in emphasis from air cleaning to process gas treatment, obvious at the Twenty-Third Conference in July 1994, continued as a common theme throughout the conference. Particularly in the waste management area, treatment of unusual off gases, mixed with radiological and highly corrosive, flammable, and explosive chemical components, will be a challenge for specialists. Decontamination and decommissioning for reactors, materials licenses, and surrounding areas has come to the forefront of concern to regulators and environmentalists alike.</t>
  </si>
  <si>
    <t>US NUCL REGULATORY COMMISS, OFF NUCL REACTOR REGULAT, ROCKVILLE, MD USA</t>
  </si>
  <si>
    <t>Bellamy, RR (corresponding author), US NUCL REGULATORY COMMISS, DECOMMISS &amp; LAB BRANCH, 47 ALLENDALE RD, KING OF PRUSSIA, PA 19406 USA.</t>
  </si>
  <si>
    <t>US GOVERNMENT PRINTING OFFICE</t>
  </si>
  <si>
    <t>SUPT OF DOCUMENTS, WASHINGTON, DC 20402-9325</t>
  </si>
  <si>
    <t>0029-5604</t>
  </si>
  <si>
    <t>NUCL SAFETY</t>
  </si>
  <si>
    <t>Nucl. Saf.</t>
  </si>
  <si>
    <t>Environmental Sciences; Nuclear Science &amp; Technology</t>
  </si>
  <si>
    <t>Environmental Sciences &amp; Ecology; Nuclear Science &amp; Technology</t>
  </si>
  <si>
    <t>XP681</t>
  </si>
  <si>
    <t>WOS:A1997XP68100004</t>
  </si>
  <si>
    <t>Buckley, R (corresponding author), GRIFFITH UNIV,INT CTR ECOTOURISM RES,GOLD COAST 4217,AUSTRALIA.</t>
  </si>
  <si>
    <t>ROYAL SWEDISH ACAD SCIENCES</t>
  </si>
  <si>
    <t>STOCKHOLM</t>
  </si>
  <si>
    <t>PUBL DEPT BOX 50005, S-104 05 STOCKHOLM, SWEDEN</t>
  </si>
  <si>
    <t>UQ531</t>
  </si>
  <si>
    <t>GRP ANALYT NETWORK, LONDON, ENGLAND; UNIV LONDON BIRKBECK COLL, LONDON WC1E 7HX, ENGLAND; GRP ANALYT SOC, LONDON, ENGLAND</t>
  </si>
  <si>
    <t>J SOC WORK PRACT</t>
  </si>
  <si>
    <t>J. Soc. Work Pract.</t>
  </si>
  <si>
    <t>UP437</t>
  </si>
  <si>
    <t>THE BOULEVARD, LANGFORD LANE, KIDLINGTON, OXFORD, ENGLAND OX5 1GB</t>
  </si>
  <si>
    <t>UN430</t>
  </si>
  <si>
    <t>Saultz, JW</t>
  </si>
  <si>
    <t>Reflections on internal medicine and family medicine</t>
  </si>
  <si>
    <t>ANNALS OF INTERNAL MEDICINE</t>
  </si>
  <si>
    <t>PRIMARY CARE</t>
  </si>
  <si>
    <t>The manner in which U.S. medical care is organized and paid for is rapidly changing. These political and financial changes have created an environment that favors collaboration and cooperation among the primary care specialties. Although their relationship was once that of referring physician and consultant, the family physician and general internist are becoming peers, and they increasingly have similar needs and interests. Improving collaboration between the practitioners in these two fields requires a respect for important differences in their respective cultures. All family physicians work closely with internists during residency, but many general internists have had little or no experience working with family physicians. This essay reviews the practice style and philosophy of the family physician and suggests ways to improve communication and collaboration between the two disciplines.</t>
  </si>
  <si>
    <t>Saultz, JW (corresponding author), OREGON HLTH SCI UNIV, 3181 SW SAM JACKSON PK RD, L105, PORTLAND, OR 97201 USA.</t>
  </si>
  <si>
    <t>AMER COLL PHYSICIANS</t>
  </si>
  <si>
    <t>INDEPENDENCE MALL WEST 6TH AND RACE ST, PHILADELPHIA, PA 19106-1572 USA</t>
  </si>
  <si>
    <t>0003-4819</t>
  </si>
  <si>
    <t>1539-3704</t>
  </si>
  <si>
    <t>ANN INTERN MED</t>
  </si>
  <si>
    <t>Ann. Intern. Med.</t>
  </si>
  <si>
    <t>10.7326/0003-4819-124-6-199603150-00009</t>
  </si>
  <si>
    <t>TZ529</t>
  </si>
  <si>
    <t>WOS:A1996TZ52900010</t>
  </si>
  <si>
    <t>Berberich, CW (corresponding author), AWWA,EXECUT DEPT,6666 W QUINCY AVE,DENVER,CO 80235, USA.</t>
  </si>
  <si>
    <t>AMER WATER WORKS ASSN</t>
  </si>
  <si>
    <t>DENVER</t>
  </si>
  <si>
    <t>6666 W QUINCY AVE, DENVER, CO 80235</t>
  </si>
  <si>
    <t>TW061</t>
  </si>
  <si>
    <t>Int Org Biol Control,OILB</t>
  </si>
  <si>
    <t>technology transfer; farmer education; Extension Service; natural enemies; pest management policy; IPM</t>
  </si>
  <si>
    <t>Mahr, DL (corresponding author), UNIV WISCONSIN,DEPT ENTOMOL,1630 LINDEN DR,MADISON,WI 53706, USA.</t>
  </si>
  <si>
    <t>LAVOISIER ABONNEMENTS</t>
  </si>
  <si>
    <t>PARIS 08</t>
  </si>
  <si>
    <t>11 RUE LAVOISIER, F-75384 PARIS 08, FRANCE</t>
  </si>
  <si>
    <t>Entomophaga</t>
  </si>
  <si>
    <t>XN470</t>
  </si>
  <si>
    <t>Quercia, RG; Wachter, SM</t>
  </si>
  <si>
    <t>Homeownership consulting performance: How can it be measured?</t>
  </si>
  <si>
    <t>HOUSING POLICY DEBATE</t>
  </si>
  <si>
    <t>homeownership; low-income housing; programs</t>
  </si>
  <si>
    <t>MORTGAGE DEFAULT</t>
  </si>
  <si>
    <t>Homeownership counseling encompasses several educational activities. Early approaches focused on reducing the risk of default and foreclosure among participants in government-assisted mortgage programs, but more recent approaches have focused on increasing homeownership opportunities among low-income and minority households. Unfortunately, little is known about the effectiveness of these approaches in terms of the number of new homeowners and the mitigation of default risk. To address that gap, this article presents a theoretical and methodological framework to evaluate counseling efforts. A successful counseling program is defined as one that assists a household with a low long-term probability of ownership in buying a home and reducing its default risk. We concede that the methodological requirements for evaluating counseling are somewhat restrictive. However, if we establish an evaluation procedure using these goals as a framework, we can more accurately determine the effects of counseling on the sustainability of low-income homeownership.</t>
  </si>
  <si>
    <t>UNIV PENN,WHARTON SCH,PHILADELPHIA,PA 19104</t>
  </si>
  <si>
    <t>Quercia, RG (corresponding author), URBAN INST,WASHINGTON,DC 20037, USA.</t>
  </si>
  <si>
    <t>Wachter, Susan/AAW-2226-2020</t>
  </si>
  <si>
    <t>FANNIE MAE OFFICE HOUSING RES</t>
  </si>
  <si>
    <t>3900 WISCONSIN AVE, NW, WASHINGTON, DC 20016-2899</t>
  </si>
  <si>
    <t>1051-1482</t>
  </si>
  <si>
    <t>HOUS POLICY DEBATE</t>
  </si>
  <si>
    <t>Hous. Policy Debate</t>
  </si>
  <si>
    <t>10.1080/10511482.1996.9521217</t>
  </si>
  <si>
    <t>Development Studies; Urban Studies</t>
  </si>
  <si>
    <t>UW012</t>
  </si>
  <si>
    <t>WOS:A1996UW01200006</t>
  </si>
  <si>
    <t>INDUSTRIAL-ORGANIZATIONAL PSYCHOLOGY; PERCEIVED FAIRNESS; JOB-PERFORMANCE; VALIDITY; JUSTICE; PREDICTORS; VALIDATION; DECISIONS; INVENTORY; HISTORY</t>
  </si>
  <si>
    <t>GEORGE MASON UNIV,CTR BEHAV &amp; COGNIT STUDIES,DEPT PSYCHOL,FAIRFAX,VA 22030; OHIO STATE UNIV,DEPT PSYCHOL,COLUMBUS,OH 43210</t>
  </si>
  <si>
    <t>Austin, JT (corresponding author), OHIO STATE UNIV,DEPT PSYCHOL,142 TOWNSHEND HALL,1885 NEIL AVE,COLUMBUS,OH 43210, USA.</t>
  </si>
  <si>
    <t>LAWRENCE ERLBAUM ASSOC INC</t>
  </si>
  <si>
    <t>MAHWAH</t>
  </si>
  <si>
    <t>10 INDUSTRIAL AVE, MAHWAH, NJ 07430-2262</t>
  </si>
  <si>
    <t>HUM PERFORM</t>
  </si>
  <si>
    <t>Hum. Perform.</t>
  </si>
  <si>
    <t>UQ929</t>
  </si>
  <si>
    <t>design for environment; environmental policy; industrial ecology</t>
  </si>
  <si>
    <t>UNIV CALIF BERKELEY,DEPT MECH ENGN,BERKELEY,CA 94720</t>
  </si>
  <si>
    <t>ORourke, D (corresponding author), UNIV CALIF BERKELEY,ENERGY &amp; RESOURCES GRP,BARROWS HALL,RM 310,BERKELEY,CA 94720, USA.</t>
  </si>
  <si>
    <t>WORLD TRADE CENTER BLDG 110 AVE LOUIS CASAI CP 306, CH-1215 GENEVA AEROPORT, SWITZERLAND</t>
  </si>
  <si>
    <t>INT J ENVIRON POLLUT</t>
  </si>
  <si>
    <t>Int. J. Environ. Pollut.</t>
  </si>
  <si>
    <t>UR960</t>
  </si>
  <si>
    <t>Henderson, PL</t>
  </si>
  <si>
    <t>Donor and government constraints to sustainability in Nepal</t>
  </si>
  <si>
    <t>From interviews, visits and a review of available information on the health sector in Nepal, the main issues related to sustainability were identified as: the absolute level of resources available for health system investment; coordination; centralized planning, decision-making and target-setting; emphasis on projects rather than sectoral development; the relationship between planning and budgeting; the tokenism of consultation between external agencies and government; health manpower training, deployment and remuneration; the uncoordinated proliferation of NGO service delivery; and the management of available funding and resources. As observed during this study, donors' operational behaviour negatively affects sustainability. These practices include a tendency to work in a vertical fashion without sufficient coordination with others working in the same area, reliance on central level planners rather than consulting widely throughout the health system, demands for project-specific targets and accountability, impatience with slow government approval procedures, and lack of concern for long-term recurrent costs and related implications of externally-funded projects. The government shares some of these operational shortcomings but introduces additional constraints to sustainability. Political concerns were found to take precedence over established plans, budgetary allocations to health are extremely limited, and health manpower is not developed in a manner which builds and sustains capacity to provide good quality services and manage resources effectively. If donors truly wish to foster the development of a sustainable health care system in Nepal, they must modify their planning approaches to be more sensitive to government needs and processes. External agencies must also accept that the majority of their investments will not be financially sustainable for quite a long time, and provide long-term, consistent and reliable recurrent-cost funding which supports basic health activities in general. By the same token, government must be more realistic about its technical, logistical and financial capabilities when accepting assistance. All sectors of government (i.e. politicians as well as planners and technical staff) must respect established priorities and accept and use assistance in a more rational and less self-interested manner.</t>
  </si>
  <si>
    <t>OXFORD UNIV PRESS UNITED KINGDOM</t>
  </si>
  <si>
    <t>WALTON ST JOURNALS DEPT, OXFORD, ENGLAND OX2 6DP</t>
  </si>
  <si>
    <t>TM955</t>
  </si>
  <si>
    <t>WOS:A1995TM95500004</t>
  </si>
  <si>
    <t>NATL ENVIRON HEALTH ASSN</t>
  </si>
  <si>
    <t>720 S COLORADO BLVD SUITE 970, SOUTH TOWER, DENVER, CO 80222</t>
  </si>
  <si>
    <t>J ENVIRON HEALTH</t>
  </si>
  <si>
    <t>J. Environ. Health</t>
  </si>
  <si>
    <t>TT120</t>
  </si>
  <si>
    <t>MUNENE, JC (corresponding author), MAKERERE UNIV,DEPT PSYCHOL,POB 7062,KAMPALA,UGANDA.</t>
  </si>
  <si>
    <t>BRITISH PSYCHOLOGICAL SOC</t>
  </si>
  <si>
    <t>LEICESTER</t>
  </si>
  <si>
    <t>ST ANDREWS HOUSE, 48, PRINCESS RD, EAST, LEICESTER, LEICS, ENGLAND LE1 7DR</t>
  </si>
  <si>
    <t>J OCCUP ORGAN PSYCH</t>
  </si>
  <si>
    <t>J. Occup. Organ. Psychol.</t>
  </si>
  <si>
    <t>Psychology, Applied; Management</t>
  </si>
  <si>
    <t>Psychology; Business &amp; Economics</t>
  </si>
  <si>
    <t>TJ575</t>
  </si>
  <si>
    <t>RESPONSE TO THE QUESTIONNAIRE ON ENVIRONMENTAL-MANAGEMENT - REPORT-BACK TO MEMBERS</t>
  </si>
  <si>
    <t>The response was good-one of the best the SAIMM has had to its various questionnaires. 231 replies were received from 2768 members representing a response of 8,35%. For fellows and Members together, the response was 13,7%. The spread of responses based on respondents' work situation appeared to be well balanced with some bias from those in consulting organizations. Members' perceptions of their employers' positions with respect to environmental management looked somewhat optimistic, but it is encouraging to note that they reported that more than half were developing environmental management systems. Training of varying degree was taking place at all levels in their organizations. Members saw their Institute as an important agent in lifting environmental awareness, literacy and responsibility not only through the journal and symposia, but also by liaison with government departments and educational institutions. Most respondents saw environmental legislation both from local and overseas sources as affecting their organizations, their products and services with the emphasis on corporate image, core business and sales.</t>
  </si>
  <si>
    <t>SOUTH AFRICAN INST MIN METALL</t>
  </si>
  <si>
    <t>MARSHALLTOWN TRANSVAAL</t>
  </si>
  <si>
    <t>PO BOX 61127 11-13 MACLAREN ST 13TH FLOOR-CAPE TOWERS, MARSHALLTOWN TRANSVAAL 2107, SOUTH AFRICA</t>
  </si>
  <si>
    <t>TH866</t>
  </si>
  <si>
    <t>WOS:A1995TH86600005</t>
  </si>
  <si>
    <t>participative systems; participative management; alternative dispute resolution; cooperation; collaboration</t>
  </si>
  <si>
    <t>EMPLOYEE PARTICIPATION; REGULATORY ENFORCEMENT; WORKER PARTICIPATION; DISPUTE RESOLUTION; DECISION-MAKING; ORGANIZATIONS; INFORMATION; COOPERATION; PROGRAMS; POLICY</t>
  </si>
  <si>
    <t>McCaffrey, DP (corresponding author), SUNY ALBANY,DEPT PUBL ADMIN &amp; POLICY,135 WESTERN AVE,ALBANY,NY 12222, USA.</t>
  </si>
  <si>
    <t>INST OPERATIONS RESEARCH  MANAGEMENT SCIENCES</t>
  </si>
  <si>
    <t>LINTHICUM HTS</t>
  </si>
  <si>
    <t>901 ELKRIDGE LANDING RD, STE 400, LINTHICUM HTS, MD 21090-2909</t>
  </si>
  <si>
    <t>ORGAN SCI</t>
  </si>
  <si>
    <t>Organ Sci.</t>
  </si>
  <si>
    <t>TR177</t>
  </si>
  <si>
    <t>SWEDISH INST INT AFFAIRS,S-11182 STOCKHOLM,SWEDEN</t>
  </si>
  <si>
    <t>LOFSTEDT, RE (corresponding author), UNIV SURREY,CTR ENVIRONM STRATEGY,GUILDFORD GU2 5XH,SURREY,ENGLAND.</t>
  </si>
  <si>
    <t>TC110</t>
  </si>
  <si>
    <t>Item About an Individual</t>
  </si>
  <si>
    <t>MORAWETZ, H (corresponding author), POLYTECH INST NEW YORK,DEPT CHEM,BROOKLYN,NY 11201, USA.</t>
  </si>
  <si>
    <t>HUTHIG &amp; WEPF VERLAG</t>
  </si>
  <si>
    <t>AUF DEM WOLF 4 FX#001-41-61-317-94-11, CH-4052 BASEL, SWITZERLAND</t>
  </si>
  <si>
    <t>RZ124</t>
  </si>
  <si>
    <t>COHEN, N (corresponding author), RUTGERS STATE UNIV,COOK COLL,CTR ENVIRONM COMMUN,PISCATAWAY,NJ 08855, USA.</t>
  </si>
  <si>
    <t>UNIV MISSOURI-ST LOUIS</t>
  </si>
  <si>
    <t>ST LOUIS</t>
  </si>
  <si>
    <t>8001 NATURAL BRIDGE RD, ST LOUIS, MO 63121-4499</t>
  </si>
  <si>
    <t>AM REV PUBLIC ADM</t>
  </si>
  <si>
    <t>Amer. Rev. Public Adm.</t>
  </si>
  <si>
    <t>RY111</t>
  </si>
  <si>
    <t>FINNEGAN, RB (corresponding author), STONEHILL COLL,N EASTON,MA 02350, USA.</t>
  </si>
  <si>
    <t>IRISH AMERICAN CULTURAL INST</t>
  </si>
  <si>
    <t>ST PAUL</t>
  </si>
  <si>
    <t>2115 SUMMIT AVE #5026, ST PAUL, MN 55105-1096</t>
  </si>
  <si>
    <t>Eire-Irel.</t>
  </si>
  <si>
    <t>RR182</t>
  </si>
  <si>
    <t>CITIZEN ADVISORY COMMITTEES (CACS); ENVIRONMENTAL POLICY; EMPIRICAL EVALUATIONS; POLICY</t>
  </si>
  <si>
    <t>PARTICIPATION</t>
  </si>
  <si>
    <t>LYNN, FM (corresponding author), UNIV N CAROLINA,SCH PUBL HLTH,DEPT ENVIRONM SCI &amp; ENGN,CHAPEL HILL,NC 27514, USA.</t>
  </si>
  <si>
    <t>PLENUM PUBL CORP</t>
  </si>
  <si>
    <t>233 SPRING ST, NEW YORK, NY 10013</t>
  </si>
  <si>
    <t>RE091</t>
  </si>
  <si>
    <t>HOLCOMB, WF</t>
  </si>
  <si>
    <t>RADIATION SAFETY TRAINING-PROGRAM AT THE NATIONAL-INSTITUTES-OF-HEALTH</t>
  </si>
  <si>
    <t>At the U.S. Public Health Service's National Institutes of Health (NIH), one of the world's largest biomedical and clinical research institutions, 70 to 80% of all research is performed using radiation or radioactive materials. To maintain a safe environment and minimize risks to the health and safety of the employees, patients, visitors, and the surrounding community, a radiation protection program is required. Under U.S. Nuclear Regulatory Commission licenses and NIH policies, the Radiation Safety Branch (RSB), Division of Safety, administers a comprehensive radiation safety program covering over 3,500 NIH laboratories and some 7,000 laboratory and ancillary staff workers. The NIH radiation protection program provides for the effective supervision, control, and monitoring of all radioactive materials and radiation sources at NIH, This includes activities such as radiation exposure monitoring, laboratory inspections, waste management, consulting, environmental monitoring, and training, Training is considered an integral part of the radiation safety program, RSB offers an extensive training program with over 20 different training courses each year, For example, in 1993 some 6,700 employees attended 243 classes.</t>
  </si>
  <si>
    <t>HOLCOMB, WF (corresponding author), NIH,DIV SAFETY,RADIAT SAFETY BRANCH,BLDG 10,BETHESDA,MD 20892, USA.</t>
  </si>
  <si>
    <t>ASSN MILITARY SURG US</t>
  </si>
  <si>
    <t>9320 OLD GEORGETOWN RD, BETHESDA, MD 20814</t>
  </si>
  <si>
    <t>QY950</t>
  </si>
  <si>
    <t>WOS:A1995QY95000006</t>
  </si>
  <si>
    <t>GUIDOTTI, TL</t>
  </si>
  <si>
    <t>MANAGING ENVIRONMENTAL-RESEARCH IN A GOVERNMENT AGENCY - PRIORITIES IN CHEMICAL HAZARDS</t>
  </si>
  <si>
    <t>ENVIRONMENTAL RESEARCH</t>
  </si>
  <si>
    <t>In 1993, I served as consultant to a Canadian government agency with responsibility for the characterization of chemical hazards. The work was divided into three tasks: (1) an extensive review of present priorities within the agency, (2) a survey of recognized experts to determine perceived ''gaps'' in the coverage of research on chemical hazards, and (3) preparation of a set of recommendations. The 23 perceived gaps identified by the expert panel cluster into three general groups: existing projects designed to protect the health of Canadians, practical solutions to concrete problems, and robust methods for dealing with chemical mixtures and generalizable research methodology. A specific set of priorities was recommended to the agency and several procedural changes were proposed: encouragement of working partnerships, a mechanism for ongoing review of priorities, and consideration of alternatives to dedicated research projects, such as emphasizing behavioral rather than toxicological studies on tobacco smoke. A research management system was also proposed based on a matrix organization in which accountability is not divided but which features research-driven cross-program interdisciplinary colloquia within the agency. The general approach and specific findings in this study may be useful in clarifying issues in the management of other, similar agencies. (C) 1995 Academic Press, Inc.</t>
  </si>
  <si>
    <t>GUIDOTTI, TL (corresponding author), UNIV ALBERTA,FAC MED,ENVIRONM &amp; OCCUPAT HLTH PROGRAMS,13-103 CLIN SCI,EDMONTON,AB T6G 2G3,CANADA.</t>
  </si>
  <si>
    <t>ACADEMIC PRESS INC JNL-COMP SUBSCRIPTIONS</t>
  </si>
  <si>
    <t>525B STREET, SUITE 1900, SAN DIEGO, CA 92101-4495</t>
  </si>
  <si>
    <t>0013-9351</t>
  </si>
  <si>
    <t>ENVIRON RES</t>
  </si>
  <si>
    <t>Environ. Res.</t>
  </si>
  <si>
    <t>10.1006/enrs.1995.1017</t>
  </si>
  <si>
    <t>RH509</t>
  </si>
  <si>
    <t>WOS:A1995RH50900008</t>
  </si>
  <si>
    <t>Int Assoc Water Qual,Int Water Supply Assoc,Amer Water Works Assoc</t>
  </si>
  <si>
    <t>WATER TREATMENT; DISSOLVED AIR FLOTATION; PILOT PLANT; CONVENTIONAL PLANT UPGRADE</t>
  </si>
  <si>
    <t>CITY CALGARY WATERWORKS,CALGARY,AB T2P 2M5,CANADA</t>
  </si>
  <si>
    <t>VALLANCE, BC (corresponding author), ASSOCIATED ENGN ALBERTA LTD,1400,910 7 AVE SW,CALGARY,AB T2P 3N8,CANADA.</t>
  </si>
  <si>
    <t>RF872</t>
  </si>
  <si>
    <t>BRILL, YC</t>
  </si>
  <si>
    <t>LAYTON, 1919-1992 - A GUIDING LIGHT IN NUCLEAR SPACE POWER AND PROPULSION</t>
  </si>
  <si>
    <t>44th International-Astronautical-Federation Congress: Challenges of Space for a Better World</t>
  </si>
  <si>
    <t>OCT 16-22, 1993</t>
  </si>
  <si>
    <t>AUSTRIAN SPACE AGCY, GRAZ, AUSTRIA</t>
  </si>
  <si>
    <t>INT ASTRONAUT FEDERAT,INT ACAD ASTRONAUT,INT INST SPACE LAW</t>
  </si>
  <si>
    <t>AUSTRIAN SPACE AGCY</t>
  </si>
  <si>
    <t>An eventful, highly productive career ended with the death of James Preston (''Pres'') Layton in December 1992. His career in rockets, which spanned 50 years, is a chronology of developments in the U.S. space program. Layton was instrumental in the development of rocket technologies ranging from the first jet-assisted take off (JATO) boosters used on aircraft to space nuclear power and propulsion. His work on JATOs, during World War II, involved both testing of solid-fueled units on naval aircraft in the Pacific and developing advanced liquid-fueled systems at the U.S. Naval Academy's laboratory under the direction of Robert H. Goddard, the father of American rocketry. It was Goddard who inspired Layton to devote his life to rocketry. In 1948, as chief of propulsion for the Glenn L. Martin company, he became crew chief in charge of testing the first big U.S. rocket, the Viking series. Layton subsequently joined the research faculty at Princeton University where he served from 1951 to 1976, taking a brief leave in 1955 to earn a Masters Degree at Purdue University under the direction of Maurice Zucrow, another American rocket pioneer. As Chief Engineer of Princeton's Guggenheim Jet Propulsion Center, he created the nation's foremost university rocket research facilities, where he conducted the first experimental evaluation of liquid ozone as a rocket propellant. Later Layton led Princeton's Advanced Systems and Mission Analysis Laboratory, which conducted pioneering studies of space nuclear power and propulsion systems. During this period, at the Lawrence Livermore National Laboratory (on leave from Princeton), Layton helped develop and test the world's first and only nuclear ram-rocket. During his career, Layton performed many responsible consulting tasks for industry and government in the U.S.A. and abroad. He was chief technical consultant to Mathematica, Inc., whose analyses formed the basis for the current Space Shuttle design. He conducted an AIAA assessment of New Space Transportation Systems; and chaired a projection of space activities into the 2000 to 2020 time period for the National Research Council. More recently, he designed environmental and communications satellite propulsion systems for MATRA Espace and RCA Astro-Electronics. Layton was very active in the American Institute of Aeronautics and Astronautics (AIAA) and the International Astronautical Federation (IAF). In 1985, he served as International Program Committee Chairman of the 35th International Congress in Stockholm. Layton was a Fellow, American Astronautical Society, Associate Fellow of the AIAA, and a Member of the International Academy of Astronautics.</t>
  </si>
  <si>
    <t>10.1016/0094-5765(94)90275-5</t>
  </si>
  <si>
    <t>PN203</t>
  </si>
  <si>
    <t>WOS:A1994PN20300040</t>
  </si>
  <si>
    <t>MARIN MUNICIPAL WATER DIST, CORTE MADERA, CA 94925 USA</t>
  </si>
  <si>
    <t>REED, R (corresponding author), DAVID M GRIFFITH &amp; ASSOCIATES, UTIL CONSULTING, 5715 MARCONI AVE, SUITE A, CARMICHAEL, CA 95608 USA.</t>
  </si>
  <si>
    <t>AMER WATER WORKS ASSOC</t>
  </si>
  <si>
    <t>6666 W QUINCY AVE, DENVER, CO 80235 USA</t>
  </si>
  <si>
    <t>PK739</t>
  </si>
  <si>
    <t>ERICSSON, B; HALLMANS, B</t>
  </si>
  <si>
    <t>CONTROL OF THE NUTRIENT POLLUTION DISCHARGE FROM THE VISTULA RIVER BASIN IN POLAND</t>
  </si>
  <si>
    <t>IDA and WRPC World Conference on Desalination and Water Treatment</t>
  </si>
  <si>
    <t>NOV 03-06, 1993</t>
  </si>
  <si>
    <t>YOKOHAMA, JAPAN</t>
  </si>
  <si>
    <t>INT DESALINAT ASSOC,WATER REUSE PROMOT CTR</t>
  </si>
  <si>
    <t>This paper is based on a pre-feasibility study of the Vistula River Basin and Baltic Coast of Poland, financed by the World Bank and prepared by the SWECO-COWI consult - VKI Vistula Joint Venture in association with the Polish consulting companies Hydroproject and Stolica. The objective of the study has been to prepare a priority action programme to pre-feasibility level to control and reduce the present pollution of the Baltic Sea from the Vistula River Basin and Baltic Coast of Poland in line with the 1990 Baltic Sea Declaration, This includes a target objective of the adoption of measures by the countries in the region to reduce the 1987 emission levels by 50 percent by 1995. The municipal wastewater from about 1/3 of the population in Poland is not treated at all, and most of the existing treatment is of low efficiency. Also most of the industrial plants have high pollution discharge loads. Nitrogen runoff is the most obvious problem from the agriculture. The yearly discharge of nitrogen to the Baltic Sea is in the order of magnitude 100,000 tons. Phosphorus is also discharged in large quantities, as most of the sewage treatment plants are not constructed for chemical or biological phosphorus removal. Actions proposed for implementation to the year 2000 are described, primarily for protection of the Baltic Sea. These actions include mainly treatment plants for removal of phosphorus, nitrogen and biochemical oxygen demand (BOD), but also heavy metals and persistent organic substances. All major polluting industries should also take steps in order not to exceed accepted pollution levels, Finally, economic instruments and investment programmes are discussed.</t>
  </si>
  <si>
    <t>ERICSSON, B (corresponding author), VBB VIAK SWECO,STOCKHOLM,SWEDEN.</t>
  </si>
  <si>
    <t>10.1016/0011-9164(94)00143-X</t>
  </si>
  <si>
    <t>PP053</t>
  </si>
  <si>
    <t>WOS:A1994PP05300017</t>
  </si>
  <si>
    <t>HILTON HOSP,HIGHLAND HLTH BOARD,DEPT PUBL HLTH,INVERNESS IV2 3PH,SCOTLAND; SCOTTISH FORUM PUBL HLTH MED,GLASGOW G12 8QQ,SCOTLAND</t>
  </si>
  <si>
    <t>CAMPBELL, DM (corresponding author), RUCHILL HOSP,SCOTTISH CTR INFECT &amp; ENVIRONM HLTH,GLASGOW G20 9NB,SCOTLAND.</t>
  </si>
  <si>
    <t>Public Health</t>
  </si>
  <si>
    <t>Social Science Citation Index (SSCI); Science Citation Index Expanded (SCI-EXPANDED)</t>
  </si>
  <si>
    <t>PF870</t>
  </si>
  <si>
    <t>IMPLEMENTATION</t>
  </si>
  <si>
    <t>DEARING, JW (corresponding author), MICHIGAN STATE UNIV, DEPT COMMUN, E LANSING, MI 48824 USA.</t>
  </si>
  <si>
    <t>SCI COMMUN</t>
  </si>
  <si>
    <t>Sci. Commun.</t>
  </si>
  <si>
    <t>PU790</t>
  </si>
  <si>
    <t>APPLE MOTH LEPIDOPTERA; METASEIULUS-OCCIDENTALIS; TYPHLODROMUS-PYRI; TORTRICIDAE; POPULATIONS; AZINPHOSMETHYL; COLONIZATION; PHYTOSEIIDAE; HETEROPTERA; RESISTANCE</t>
  </si>
  <si>
    <t>PROKOPY, RJ (corresponding author), UNIV MASSACHUSETTS,DEPT ENTOMOL,AMHERST,MA 01003, USA.</t>
  </si>
  <si>
    <t>AGR ECOSYST ENVIRON</t>
  </si>
  <si>
    <t>Agric. Ecosyst. Environ.</t>
  </si>
  <si>
    <t>Agriculture, Multidisciplinary; Ecology; Environmental Sciences</t>
  </si>
  <si>
    <t>Agriculture; Environmental Sciences &amp; Ecology</t>
  </si>
  <si>
    <t>PE883</t>
  </si>
  <si>
    <t>CULTURAL CONSERVATION; HERITAGE TOURISM; POLITICS OF CULTURAL REPRESENTATION; TOURISM AND DEVELOPMENT; UNITED-STATES</t>
  </si>
  <si>
    <t>APPLIED ANTHROPOLOGY; TRADITION; INVENTION; IDENTITY</t>
  </si>
  <si>
    <t>HOWELL, BJ (corresponding author), UNIV TENNESSEE,KNOXVILLE,TN 37996, USA.</t>
  </si>
  <si>
    <t>SOC APPLIED ANTHROPOLOGY</t>
  </si>
  <si>
    <t>OKLAHOMA CITY</t>
  </si>
  <si>
    <t>BUSINESS OFFICE BOX 24083, OKLAHOMA CITY, OK 73124</t>
  </si>
  <si>
    <t>HUM ORGAN</t>
  </si>
  <si>
    <t>Hum. Organ.</t>
  </si>
  <si>
    <t>Anthropology; Social Sciences, Interdisciplinary</t>
  </si>
  <si>
    <t>Anthropology; Social Sciences - Other Topics</t>
  </si>
  <si>
    <t>NN826</t>
  </si>
  <si>
    <t>MOORHOUSE, DC (corresponding author), WOODWARD CLYDE GRP INC,4582 S ULSTER,STE 600,DENVER,CO 80237, USA.</t>
  </si>
  <si>
    <t>ASCE-AMER SOC CIVIL ENG</t>
  </si>
  <si>
    <t>345 E 47TH ST, NEW YORK, NY 10017-2398</t>
  </si>
  <si>
    <t>QB014</t>
  </si>
  <si>
    <t>MISCONDUCT; BACK</t>
  </si>
  <si>
    <t>LOUIS BERGER &amp; ASSOCIATES,E ORANGE,NJ</t>
  </si>
  <si>
    <t>GREENBERG, M (corresponding author), RUTGERS STATE UNIV,INST ENVIRONM &amp; OCCUPAT HLTH SCI,DIV ENVIRONM POLICY,NEW BRUNSWICK,NJ 08903, USA.</t>
  </si>
  <si>
    <t>2455 TELLER RD, THOUSAND OAKS, CA 91320</t>
  </si>
  <si>
    <t>ND367</t>
  </si>
  <si>
    <t>Discussion</t>
  </si>
  <si>
    <t>PURDUE UNIV,W LAFAYETTE,IN 47907; UNIV WOLLONGONG,WOLLONGONG,NSW 2500,AUSTRALIA; UNIV SHEFFIELD,SHEFFIELD S10 2TN,S YORKSHIRE,ENGLAND; NATL TSING HUA UNIV,HSINCHU 300,TAIWAN; HIROSHIMA UNIV,HIROSHIMA 730,JAPAN; MIT,CAMBRIDGE,MA 02139; PROD TECH ZENTRUM BERLIN,BERLIN,GERMANY; NEC CORP LTD,KAWASAKI,KANAGAWA 213,JAPAN</t>
  </si>
  <si>
    <t>KARWOWSKI, W (corresponding author), UNIV LOUISVILLE,DEPT IND ENGN,CTR IND ERGONOM,LOUISVILLE,KY 40292, USA.</t>
  </si>
  <si>
    <t>605 THIRD AVE, NEW YORK, NY 10158-0012</t>
  </si>
  <si>
    <t>INT J HUM FACTOR MAN</t>
  </si>
  <si>
    <t>Int. J. Hum. Factor Manuf.</t>
  </si>
  <si>
    <t>Engineering, Manufacturing; Ergonomics</t>
  </si>
  <si>
    <t>MZ778</t>
  </si>
  <si>
    <t>INFORMATION TRANSFER; INNOVATION PROBLEMS; INNOVATION PROCESS; SCIENCE PARKS; SMALL AND MEDIUM-SIZED COMPANIES; TECHNOLOGY CENTERS; TECHNOLOGY TRANSFER</t>
  </si>
  <si>
    <t>INST INNOVAT ADVICE GMBH,DUSSELDORF,GERMANY; INST APPL INNOVAT RES,BOCHUM,GERMANY</t>
  </si>
  <si>
    <t>STAUDT, E (corresponding author), RUHR UNIV BOCHUM,CHAIR LABOUR ECON,BUSCHEYPL 13,D-44801 BOCHUM,GERMANY.</t>
  </si>
  <si>
    <t>NY537</t>
  </si>
  <si>
    <t>HAWORTH PRESS INC</t>
  </si>
  <si>
    <t>BINGHAMTON</t>
  </si>
  <si>
    <t>10 ALICE ST, BINGHAMTON, NY 13904-1580</t>
  </si>
  <si>
    <t>NY665</t>
  </si>
  <si>
    <t>VANDERBURGT, G (corresponding author), PIANC, HOF VAN DELFTSTR 15, 2631 AH NOOTDORP, NETHERLANDS.</t>
  </si>
  <si>
    <t>MAR POLLUT BULL</t>
  </si>
  <si>
    <t>Mar. Pollut. Bull.</t>
  </si>
  <si>
    <t>RC984</t>
  </si>
  <si>
    <t>UNIV WESTERN SYDNEY,FAC COMMERCE,DEPT MANAGEMENT &amp; ADM,NEPEAN,AUSTRALIA</t>
  </si>
  <si>
    <t>JARMAN, A (corresponding author), UNIV CANBERRA,FAC MANAGEMENT,DEPT ADM STUDIES,CANBERRA,AUSTRALIA.</t>
  </si>
  <si>
    <t>INST PUBLIC ADMIN CANADA</t>
  </si>
  <si>
    <t>REVUE DE L'INSTITUT D ADMIN 150 EST, AVE.EGLINTON AVE.EAST SUITE 305, TORONTO ON M4P 1E8, CANADA</t>
  </si>
  <si>
    <t>CAN PUBLIC ADMIN</t>
  </si>
  <si>
    <t>Can. Public Adm.-Adm. Publique Can.</t>
  </si>
  <si>
    <t>MX754</t>
  </si>
  <si>
    <t>GABELNICK, F (corresponding author), MILLS COLL,5000 MACARTHUR BLVD,OAKLAND,CA 94613, USA.</t>
  </si>
  <si>
    <t>HUMAN SCI PRESS INC</t>
  </si>
  <si>
    <t>233 SPRING ST, NEW YORK, NY 10013-1578</t>
  </si>
  <si>
    <t>Group</t>
  </si>
  <si>
    <t>MQ812</t>
  </si>
  <si>
    <t>HOERL, RW; HOOPER, JH; JACOBS, PJ; LUCAS, JM</t>
  </si>
  <si>
    <t>SKILLS FOR INDUSTRIAL STATISTICIANS TO SURVIVE AND PROSPER IN THE EMERGING QUALITY ENVIRONMENT</t>
  </si>
  <si>
    <t>STATISTICAL CONSULTING; STATISTICAL PRACTICE; TOTAL QUALITY MANAGEMENT; TRAINING OF STATISTICIANS</t>
  </si>
  <si>
    <t>ENGINEERS PHYSICAL SCIENTISTS; EDUCATION; FUTURE</t>
  </si>
  <si>
    <t>There is a growing perception that statisticians are not typically equipped with the skills required to function effectively in industry. This disparity appears to be greatest for those statisticians working in the area of quality and productivity improvement. Boroto and Zahn summarized the problem when they stated: ''A sense of dissatisfaction exists in the statistics profession stemming from a consensus that statisticians in all working environments are undervalued and under-utilized.'' ''To correct the situation,'' noted Box ''requires a restructuring comparable in its depth with the political restructuring now going on in Eastern Europe.'' In October 1990, the Education Committee of the Statistics Division of the American Society for Quality Control (ASQC) chartered a team to develop a ''white paper'' on the skills required to function effectively as an industrial statistician working in the area of quality and productivity improvement. This article is the result of the team's effort. Potential root causes for the problem are discussed, and previous work in the area is reviewed. The specific statistical and nonstatistical skills required are listed, and recommendations to close the skill gap are given for academia, industry, government, professional societies, and especially statisticians themselves.</t>
  </si>
  <si>
    <t>STAT CONSULTING,ST PAUL,MN 55144; JM LUCAS &amp; ASSOCIATES,WILMINGTON,DE 19808; AT&amp;T BELL LABS,CORP QUAL OFF,HOLMDEL,NJ 07733</t>
  </si>
  <si>
    <t>HOERL, RW (corresponding author), SCOTT PAPER CO,QUAL METHODS &amp; INFORMAT,PHILADELPHIA,PA 19113, USA.</t>
  </si>
  <si>
    <t>lucas, james/AAV-8115-2020</t>
  </si>
  <si>
    <t>1429 DUKE ST, ALEXANDRIA, VA 22314</t>
  </si>
  <si>
    <t>AM STAT</t>
  </si>
  <si>
    <t>Am. Stat.</t>
  </si>
  <si>
    <t>10.2307/2685288</t>
  </si>
  <si>
    <t>MD362</t>
  </si>
  <si>
    <t>WOS:A1993MD36200008</t>
  </si>
  <si>
    <t>PIONEERING-INNOVATIVE MANAGEMENT; ARCHETYPES</t>
  </si>
  <si>
    <t>RAMACHANDRAN, K (corresponding author), INDIAN INST MANAGEMENT,AHMEDABAD 380015,GUJARAT,INDIA.</t>
  </si>
  <si>
    <t>MB747</t>
  </si>
  <si>
    <t>GEOGRAPHIC INFORMATION SYSTEM; NONPOINT SOURCE POLLUTION; MODELING; SIMULATION; REMOTE SENSING; CLEAN WATER ACT</t>
  </si>
  <si>
    <t>ROBINSON, KJ (corresponding author), UNIV MARYLAND,COLL ENGN,COLL PK,MD 20742, USA.</t>
  </si>
  <si>
    <t>AMER WATER RESOURCES ASSOC</t>
  </si>
  <si>
    <t>HERNDON</t>
  </si>
  <si>
    <t>950 HERNDON PARKWAY SUITE 300, HERNDON, VA 20170-5531</t>
  </si>
  <si>
    <t>WATER RESOUR BULL</t>
  </si>
  <si>
    <t>Water Resour. Bull.</t>
  </si>
  <si>
    <t>MW603</t>
  </si>
  <si>
    <t>IPM IMPLEMENTATION</t>
  </si>
  <si>
    <t>ZALOM, FG (corresponding author), UNIV CALIF DAVIS,STATEWIDE IPM PROJECT,DAVIS,CA 95616, USA.</t>
  </si>
  <si>
    <t>LZ679</t>
  </si>
  <si>
    <t>CONSULTANTS BUREAU 233 SPRING ST, NEW YORK, NY 10013</t>
  </si>
  <si>
    <t>CYBERN SYST ANAL+</t>
  </si>
  <si>
    <t>Cybern. Syst. Anal.</t>
  </si>
  <si>
    <t>Computer Science, Cybernetics; Mathematics, Interdisciplinary Applications</t>
  </si>
  <si>
    <t>Computer Science; Mathematics</t>
  </si>
  <si>
    <t>NT273</t>
  </si>
  <si>
    <t>FUNTOWICZ, SO (corresponding author), RES METHODS CONSULTANCY,13 TEMPLE GARDENS,LONDON NW11 0LP,ENGLAND.</t>
  </si>
  <si>
    <t>BUTTERWORTH-HEINEMANN LTD</t>
  </si>
  <si>
    <t>THE BOULEVARD, LANGFORD LANE, KIDLINGTON, OXFORD, OXON, ENGLAND OX5 1GB</t>
  </si>
  <si>
    <t>LZ967</t>
  </si>
  <si>
    <t>HAMMONS, TJ; OLSEN, A; KACEJKO, P; LEUNG, CL</t>
  </si>
  <si>
    <t>PROPOSED ICELAND UNITED-KINGDOM POWER LINK - AN INDEPTH ANALYSIS OF ISSUES AND RETURNS</t>
  </si>
  <si>
    <t>IEEE TRANSACTIONS ON ENERGY CONVERSION</t>
  </si>
  <si>
    <t>This paper examines issues and makes an indepth engineering analysis of the profit which would be expected from electricity from Iceland using possible scenarios considering variables which could impact on the viability of the Link. Considered is fluctuation of pool purchase price over half-hour periods of a complete year, discount rates, non-fossil fuel premiums, possible price movements in future years, and carbon taxes which it is expected could be imposed by the time the Link is operational, as well as capital which is tied up during construction periods, availability of plant, and transmission losses etc. The paper then discusses anticipated profits for connections which include: (i) cable to North of Scotland, then overland to the South of England, (ii) cable to Northwest Eire, overland to Southern Eire, then cable to Southwest Wales, (iii) cable to Southwest Wales, (iv) cable to North of Scotland, overland to Southwest Scotland, cable to Ireland, overland across Ireland then cable to Southwest Wales, (v) cable to the East of England, and (vi) direct power exports to North West Germany, perhaps via the UK. Also considered is cost paid for generation connected to different zones of the National Grid, possible line outages, transmission system availability, and environmental aspects of the Link. It is concluded that the Link is viable for all but the very worst scenarios, but if development costs could be reduced by 10% or more the Link would be more attractive to developers and investors on account of uncertainty and risk involved, unless EC and governmental guarantees are forthcoming. These conclusions are in agreement with an independant assessment which has recently been made by an International Energy Consulting Group. The conclusions given in this paper are summarised in an article which is featured in a recent issue of the Bulletin of the UK Parliamentary Alternative Energy Group.</t>
  </si>
  <si>
    <t>NATL POWER CO ICELAND,IS-103 REYKJAVI,ICELAND; TECH UNIV LUBLIN,PL-20618 LUBLIN,POLAND</t>
  </si>
  <si>
    <t>HAMMONS, TJ (corresponding author), UNIV GLASGOW,GLASGOW G12 8QQ,SCOTLAND.</t>
  </si>
  <si>
    <t>Kacejko, Piotr Antoni/F-2323-2010</t>
  </si>
  <si>
    <t>KACEJKO, PIOTR/0000-0003-1747-6235</t>
  </si>
  <si>
    <t>345 E 47TH ST, NEW YORK, NY 10017-2394</t>
  </si>
  <si>
    <t>0885-8969</t>
  </si>
  <si>
    <t>IEEE T ENERGY CONVER</t>
  </si>
  <si>
    <t>IEEE Trans. Energy Convers.</t>
  </si>
  <si>
    <t>10.1109/60.257075</t>
  </si>
  <si>
    <t>Energy &amp; Fuels; Engineering, Electrical &amp; Electronic</t>
  </si>
  <si>
    <t>ME997</t>
  </si>
  <si>
    <t>WOS:A1993ME99700034</t>
  </si>
  <si>
    <t>DAUTZENBERG, PLJ; DUURSMA, SA; BEZEMER, PD; VANENGEN, C; SCHONWETTER, RS; HOOYER, C</t>
  </si>
  <si>
    <t>RESUSCITATION DECISIONS ON A DUTCH GERIATRIC WARD</t>
  </si>
  <si>
    <t>QUARTERLY JOURNAL OF MEDICINE</t>
  </si>
  <si>
    <t>HOSPITAL CARDIOPULMONARY-RESUSCITATION; LIFE-SUSTAINING TREATMENT; CARDIAC-ARREST; CRITICALLY ILL; ORDERS; CARE; SURVIVAL; PREFERENCES; PATIENT; UNIT</t>
  </si>
  <si>
    <t>The use of 'do not resuscitate' (DNR) orders was analysed on a Dutch geriatric ward for a 4-month period. Of 148 admissions, 68 (58%) received a written DNR order. The use of DNR orders was significantly influenced by age (&gt;83 years) and the pre-arrest morbidity (PAM) index. PAM&gt;4 almost always resulted in a DNR order, and PAM score was the only significant contribution to DNR orders under regression analysis. The issuing of DNR orders by geriatric residents was compared with independent assessments by the other two health-care team members. In 50% of cases where significant comorbidity was zero, at least one of the team suggested a reason for a DNR order, with a mean of 1.9 reasons. The most commonly cited reasons were age (24%), depression (20%) and poor prognosis (18%). To evaluate non-patient-related factors involved in DNR decisions, we studied the involvement of patient or family in the decision, and the extent of agreement between health-care team members. Only 3% of patients and 24% of families were involved in the DNR decision. Disagreement with the residents' decisions was 20% for staff nurses and 17% for consultants. Physicians use factors besides comorbidity to make DNR decisions, and further study of such factors is necessary for the development of standardized DNR policies.</t>
  </si>
  <si>
    <t>UNIV UTRECHT HOSP,DEPT GERIATR,3511 GV UTRECHT,NETHERLANDS; FREE UNIV AMSTERDAM,DEPT THEORY MED EPIDEMIOL &amp; BIOSTAT,1007 MC AMSTERDAM,NETHERLANDS; ALKMAAR MED CENTRUM,DEPT INTERNAL MED,ALKMAAR,NETHERLANDS; UNIV S FLORIDA,COLL MED,DEPT INTERNAL MED,DIV GERIATR,TAMPA,FL 33612; FREE UNIV AMSTERDAM,DEPT PSYCHIAT,1007 MC AMSTERDAM,NETHERLANDS; SLOTERVAART HOSP,AMSTERDAM,NETHERLANDS</t>
  </si>
  <si>
    <t>DAUTZENBERG, PLJ (corresponding author), BOSCH MEDICENTRUM,DEPT GERIATR,POB 90152,5200 MD SHERTOGENBOSCH,NETHERLANDS.</t>
  </si>
  <si>
    <t>0033-5622</t>
  </si>
  <si>
    <t>Q J MED</t>
  </si>
  <si>
    <t>Q. J. Med.</t>
  </si>
  <si>
    <t>LT071</t>
  </si>
  <si>
    <t>WOS:A1993LT07100009</t>
  </si>
  <si>
    <t>NUCLEAR WASTES; ENVIRONMENTAL RISKS; SCIENTISTS, RISK PERCEPTION; RISK POLICY PREFERENCES</t>
  </si>
  <si>
    <t>UNIV NEW MEXICO,INST PUBL POLICY,DEPT POLIT SCI,ALBUQUERQUE,NM 87131; GEORGIA INST TECHNOL,SCH PUBL POLICY,ATLANTA,GA 30332</t>
  </si>
  <si>
    <t>LX892</t>
  </si>
  <si>
    <t>M E SHARPE INC</t>
  </si>
  <si>
    <t>ARMONK</t>
  </si>
  <si>
    <t>80 BUSINESS PARK DR, ARMONK, NY 10504</t>
  </si>
  <si>
    <t>EASTERN EUR ECON</t>
  </si>
  <si>
    <t>East. Eur. Econ.</t>
  </si>
  <si>
    <t>MH133</t>
  </si>
  <si>
    <t>CHANG, CS; CHAN, TT; HO, SL; LEE, KK</t>
  </si>
  <si>
    <t>AL APPLICATIONS AND SOLUTION TECHNIQUES FOR AC-RAILWAY-SYSTEM CONTROL AND SIMULATION</t>
  </si>
  <si>
    <t>IEE PROCEEDINGS-B ELECTRIC POWER APPLICATIONS</t>
  </si>
  <si>
    <t>RAILWAY ELECTRIFICATION; ARTIFICIAL INTELLIGENCE; KNOWLEDGE BASED SYSTEMS; ONLINE CONSULTANT; POWER SUPPLY NETWORKS</t>
  </si>
  <si>
    <t>The paper describes a knowledge-based online consultant which assists system operators with the simulation and control of railway systems which can assist the planning engineer by providing an accurate, easy-to-use, and flexible environment for studying different aspects of proposed expansion plans according to various requirements. It can also be used for training young engineers on the familiarisation of operating policy. Using the package, any change in the supply network and any deviation in train services from those given in the basic system configuration are assessed, and the corresponding effects on the system as a whole are simulated from time to time. Proposed changes in the operating strategy can then be verified and carried out in confidence.</t>
  </si>
  <si>
    <t>KOWLOON CANTON RAILWAY CORP,KOWLOON,HONG KONG</t>
  </si>
  <si>
    <t>CHANG, CS (corresponding author), HONG KONG POLYTECH,DEPT ELECT ENGN,KOWLOON,HONG KONG.</t>
  </si>
  <si>
    <t>HO, Siu Lau/0000-0003-1721-6177</t>
  </si>
  <si>
    <t>IEE-INST ELEC ENG</t>
  </si>
  <si>
    <t>HERTFORD</t>
  </si>
  <si>
    <t>MICHAEL FARADAY HOUSE SIX HILLS WAY STEVENAGE, HERTFORD, ENGLAND SG1 2AY</t>
  </si>
  <si>
    <t>0143-7038</t>
  </si>
  <si>
    <t>IEE PROC-B</t>
  </si>
  <si>
    <t>10.1049/ip-b.1993.0021</t>
  </si>
  <si>
    <t>LE777</t>
  </si>
  <si>
    <t>WOS:A1993LE77700002</t>
  </si>
  <si>
    <t>TERES, D</t>
  </si>
  <si>
    <t>CIVILIAN TRIAGE IN THE INTENSIVE-CARE UNIT - THE RITUAL OF THE LAST BED</t>
  </si>
  <si>
    <t>INTENSIVE CARE; CRITICAL CARE; TRIAGE; SEVERITY OF ILLNESS INDEX; RATIONING; MEDICAL DIRECTOR, INTENSIVE CARE UNIT; RESOURCE ALLOCATION; HOSPITAL BED CAPACITY; ETHICS; DEATH AND DYING</t>
  </si>
  <si>
    <t>LIFE-SUSTAINING TREATMENTS; NOT-RESUSCITATE ORDER; CHANGING ATTITUDES; PREDICTION MODELS; MEDICAL DECISION; ADULT MEDICINE; PRINCIPLES; SUPPORT; MORTALITY</t>
  </si>
  <si>
    <t>Objective: To evaluate the numerous problems that exist when there is an acute shortage of trained critical care nurses, no triage officer is available or designated, there is no cooperation among intensive care units (ICUs) or alternative sites, or there is excessive political or financial pressure applied to maintain a referral practice or to fill all the beds, or limited ability to divert ambulances to other hospitals. The Joint Commission on Accreditation of Health Care organizations now mandates a written policy: ''when patient load exceeds optimal operational capacity'' (1992). Data Sources/Study Selection: Selected clinical, philosophical, and public policy literature on the subject of triage. Data Synthesis/Data Extraction: 1) An ICU medical director, designee, or supervisory nurse should be empowered as the gatekeeper/triage officer. 2) The basis for regulating admission, discharge, or triage from the special care unit should be medical suitability (from a utilitarian or egalitarian point of view). During high-level triage when all ICU patients are receiving active therapy, these decisions should override the individual primary physician-patient relationship. 3) The guidelines should follow the ''congestive heart failure'' treatment analogy: a) preload reduction: hold high-risk patients in the postanesthesia care unit or Emergency Room, postpone surgery, hold transfers in outlying ICUs; b) improve cardiac performance: increase efficiency and decrease workload per patient by performing fewer invasive procedures and transporting fewer patients for abdominal computed tomography scans; c) afterload reduction: keep unstable patients in the postanesthesia care unit, send sicker patients to intermediate care units, send ''stable'' ventilator-dependent patients to general medical/surgical units, and transfer or resolve issues regarding ''hopeless' patients. Conclusions: It is necessary to have public disclosure of the broader issues related to high-level triage. The first issue is recognition that there are periods of time when ICU capacity is exceeded or skilled critical care nurse availability is reduced. The next issue is the decision of who is best suited to make complex and dynamic triage decisions and what kind of oversight should be provided. Other issues relate to whether there should be patient or family consent, and what to do about patients receiving marginal benefit or who are considered hopeless or unsalvageable, yet the family or surrogate decision maker (or perhaps one of the consultants) wants to continue active care in the ICU. In the conflict between individual and community rights and benefits, there should be a nonlitigious approach when a patient is harmed during these periods of high census or limited capacity. In recognition of these complex issues (including potential conflicts among ICUs, hospital administration, individual physicians, and the various medical and surgical programs feeding patients into special care units), the Society of Critical Care Medicine has organized a Task Force on the legal and ethical justification for triage.</t>
  </si>
  <si>
    <t>TUFTS UNIV,SCH MED,BAYSTATE MED CTR,DEPT SURG,BOSTON,MA 02111; TUFTS UNIV,SCH MED,BAYSTATE MED CTR,DEPT MED,BOSTON,MA 02111</t>
  </si>
  <si>
    <t>WILLIAMS &amp; WILKINS</t>
  </si>
  <si>
    <t>351 WEST CAMDEN ST, BALTIMORE, MD 21201-2436</t>
  </si>
  <si>
    <t>10.1097/00003246-199304000-00022</t>
  </si>
  <si>
    <t>KY919</t>
  </si>
  <si>
    <t>WOS:A1993KY91900022</t>
  </si>
  <si>
    <t>MORAL HAZARD; RELATIVE PERFORMANCE EVALUATIONS; INFORMATION PRODUCTION AND REPORTING</t>
  </si>
  <si>
    <t>OPTIMAL INCENTIVE CONTRACTS; AGENTS; PRINCIPAL; AUDITOR</t>
  </si>
  <si>
    <t>BOGETOFT, P (corresponding author), COPENHAGEN SCH ECON &amp; BUSINESS ADM,DASY,JULIUS THOMSENS PLADS 10,DK-1925 FREDERIKSBERG C,DENMARK.</t>
  </si>
  <si>
    <t>MANAGE SCI</t>
  </si>
  <si>
    <t>Manage. Sci.</t>
  </si>
  <si>
    <t>LB251</t>
  </si>
  <si>
    <t>ORGANIZATIONS</t>
  </si>
  <si>
    <t>UNIV CALIF SANTA BARBARA,DEPT SOCIOL,SANTA BARBARA,CA 93106</t>
  </si>
  <si>
    <t>JAI PRESS INC</t>
  </si>
  <si>
    <t>GREENWICH</t>
  </si>
  <si>
    <t>55 OLD POST RD-#2, PO BOX 1678, GREENWICH, CT 06836-1678</t>
  </si>
  <si>
    <t>J URBAN AFF</t>
  </si>
  <si>
    <t>J. Urban Aff.</t>
  </si>
  <si>
    <t>LT767</t>
  </si>
  <si>
    <t>Book Review</t>
  </si>
  <si>
    <t>BLANK, RH (corresponding author), UNIV CANTERBURY,DEPT POLIT SCI,CHRISTCHURCH 1,NEW ZEALAND.</t>
  </si>
  <si>
    <t>BEECH TREE PUBLISHING</t>
  </si>
  <si>
    <t>GUILDFORD</t>
  </si>
  <si>
    <t>10 WATFORD CLOSE, GUILDFORD, SURREY, ENGLAND GU1 2EP</t>
  </si>
  <si>
    <t>POLIT LIFE SCI</t>
  </si>
  <si>
    <t>Polit. Life Sci.</t>
  </si>
  <si>
    <t>Biology; History &amp; Philosophy Of Science; Social Issues</t>
  </si>
  <si>
    <t>Life Sciences &amp; Biomedicine - Other Topics; History &amp; Philosophy of Science; Social Issues</t>
  </si>
  <si>
    <t>JK874</t>
  </si>
  <si>
    <t>UNIV ULSTER,SOCIOL,BELFAST,NORTH IRELAND</t>
  </si>
  <si>
    <t>6 BONHILL STREET, LONDON, ENGLAND EC2A 4PU</t>
  </si>
  <si>
    <t>SOC STUD SCI</t>
  </si>
  <si>
    <t>Soc. Stud. Sci.</t>
  </si>
  <si>
    <t>Social Science Citation Index (SSCI); Arts &amp;amp; Humanities Citation Index (A&amp;amp;HCI); Science Citation Index Expanded (SCI-EXPANDED)</t>
  </si>
  <si>
    <t>JM921</t>
  </si>
  <si>
    <t>CRITICAL SYSTEMS THINKING; CRITIQUE; CHANGE PROCESS INITIATION; ORGANIZATIONAL CHANGE; CONSULTING DILEMMAS</t>
  </si>
  <si>
    <t>ORGANIZATION; POLITICS</t>
  </si>
  <si>
    <t>PAYNE, SL (corresponding author), EASTERN ILLINOIS UNIV,LUMPKIN COLL BUSINESS,CHARLESTON,IL 61920, USA.</t>
  </si>
  <si>
    <t>SYST PRACTICE</t>
  </si>
  <si>
    <t>Syst. Pract.</t>
  </si>
  <si>
    <t>HY449</t>
  </si>
  <si>
    <t>DERUITER, MA</t>
  </si>
  <si>
    <t>WATER-QUALITY RESEARCH IN THE LOOSDRECHT LAKES - PROPOSALS FOR THE FOLLOW-UP RESTORATION MEASURES</t>
  </si>
  <si>
    <t>CONF ON RESTORATION AND RECOVERY OF SHALLOW EUTROPHIC LAKE ECOSYSTEMS IN THE NETHERLANDS</t>
  </si>
  <si>
    <t>APR 18-19, 1991</t>
  </si>
  <si>
    <t>ROYAL NETHERLANDS ACAD ARTS &amp; SCI, AMSTERDAM, NETHERLANDS</t>
  </si>
  <si>
    <t>DUTCH MINIST HOUSING PHYS PLANNING &amp; ENVIRONM,LIMNOL INST,NATL INST PUBLIC HLTH &amp; ENVIRONM PROTECT NETHERLANDS</t>
  </si>
  <si>
    <t>ROYAL NETHERLANDS ACAD ARTS &amp; SCI</t>
  </si>
  <si>
    <t>EUTROPHICATION; DEPARTMENTAL POLICY; LOOSDRECHT LAKES; RECOVERY; WATER MANAGEMENT</t>
  </si>
  <si>
    <t>Reduction of the external phosphorus load in 1984 did not lead to recovery of Loosdrecht lakes. Therefore the Provincial Water Authorities of the Province of Utrecht proposed, after consulting the research group Water Quality Research Loosdrecht lakes (WQL), measures to reduce the present external phosphorus loading from 0.35 to 0.1 g Pm-2 y-1. Mathematical modelling suggested that such a reduction would benefit the water quality of the lakes. The results of the WQL investigation did not lead to additional measures (dredging, biomanipulation, chemomanipulation).</t>
  </si>
  <si>
    <t>10.1007/BF00016103</t>
  </si>
  <si>
    <t>JD648</t>
  </si>
  <si>
    <t>WOS:A1992JD64800015</t>
  </si>
  <si>
    <t>LOTHIAN REG COUNCIL,EDINBURGH,SCOTLAND</t>
  </si>
  <si>
    <t>MAY, AD (corresponding author), UNIV LEEDS,TRANSPORT ENGN,LEEDS LS2 9JT,W YORKSHIRE,ENGLAND.</t>
  </si>
  <si>
    <t>HU251</t>
  </si>
  <si>
    <t>Czech</t>
  </si>
  <si>
    <t>SLOVAK UNIV TECHNOL BRATISLAVA, CS-81231 BRATISLAVA, CZECHOSLOVAKIA</t>
  </si>
  <si>
    <t>DUDINSKA, E (corresponding author), DETASOVANE PRACOVISKO EKON UNIV, TAJOVSKEHO 11, CS-04000 KOSICE, CZECHOSLOVAKIA.</t>
  </si>
  <si>
    <t>INST ECONOMICS RESEARCH SAS &amp; INST FORECASTING CSPS SAS</t>
  </si>
  <si>
    <t>BRATISLAVA</t>
  </si>
  <si>
    <t>SANCOVA 56, BRATISLAVA, SLOVAKIA</t>
  </si>
  <si>
    <t>EKON CAS</t>
  </si>
  <si>
    <t>Ekon. Cas.</t>
  </si>
  <si>
    <t>KN102</t>
  </si>
  <si>
    <t>MARCEL DEKKER INC</t>
  </si>
  <si>
    <t>270 MADISON AVE, NEW YORK, NY 10016</t>
  </si>
  <si>
    <t>INT J PUBLIC ADMIN</t>
  </si>
  <si>
    <t>HK757</t>
  </si>
  <si>
    <t>SCHISTOSOMIASIS; CONTROL</t>
  </si>
  <si>
    <t>STURROCK, RF (corresponding author), UNIV LONDON LONDON SCH HYG &amp; TROP MED,DEPT MED PARASITOL,KEPPEL ST,GOWER ST,LONDON WC1E 7HT,ENGLAND.</t>
  </si>
  <si>
    <t>MEM INST OSWALDO CRUZ</t>
  </si>
  <si>
    <t>SECRETARY CAIXA POSTAL 926, 20001 RIO DE JANEIRO, RJ, BRAZIL</t>
  </si>
  <si>
    <t>MEM I OSWALDO CRUZ</t>
  </si>
  <si>
    <t>Mem. Inst. Oswaldo Cruz</t>
  </si>
  <si>
    <t>Parasitology; Tropical Medicine</t>
  </si>
  <si>
    <t>LB150</t>
  </si>
  <si>
    <t>MARINE OUTFALL; MARINE POLLUTION; OCEAN OUTFALL INVESTIGATION; DILUTION CALCULATIONS; WATER QUALITY CRITERIA; PUBLIC PARTICIPATION</t>
  </si>
  <si>
    <t>CITY ENGINEERS DEPT CAPE TOWN,CAPE TOWN 8000,SOUTH AFRICA</t>
  </si>
  <si>
    <t>FIJEN, APM (corresponding author), CSIR,DIV EARTH MARINE &amp; ATMOSPHER SCI &amp; TECHNOL,POB 320,STELLENBOSCH 7600,SOUTH AFRICA.</t>
  </si>
  <si>
    <t>KA789</t>
  </si>
  <si>
    <t>HORBERRY, J (corresponding author), ENVIRONM RES LTD,DIV INT DEV,106 GLOUCESTER PL,LONDON W1H 3DB,ENGLAND.</t>
  </si>
  <si>
    <t>GB615</t>
  </si>
  <si>
    <t>BIOSTATISTICAL CONSULTING UNIT; ORGANIZATIONAL STRUCTURE; STATISTICAL CONSULTING</t>
  </si>
  <si>
    <t>UNIV IOWA,DEPT PREVENT MED,DIV BIOSTAT,IOWA CITY,IA 52242</t>
  </si>
  <si>
    <t>ARNDT, S (corresponding author), UNIV IOWA,MENTAL HLTH CLIN RES CTR,BIOSTAT CORE UNIT,IOWA CITY,IA 52242, USA.</t>
  </si>
  <si>
    <t>AMER STATIST ASSN</t>
  </si>
  <si>
    <t>EU948</t>
  </si>
  <si>
    <t>AIR POLLUTANTS, ENVIRONMENTAL; AIR POLLUTANTS, OCCUPATIONAL; AIR POLLUTION; DUST; LUNG DISEASES, OBSTRUCTIVE; CANCER; ALLERGENS; IRRITANTS; ODORS</t>
  </si>
  <si>
    <t>ENVIRONMENTAL TOBACCO-SMOKE; OBSTRUCTIVE PULMONARY-DISEASE; VOLATILE ORGANIC-COMPOUNDS; LUNG-CANCER; PASSIVE SMOKING; OCCUPATIONAL ASTHMA; RESPIRATORY CANCER; HYPERSENSITIVITY PNEUMONITIS; GENERAL-POPULATION; BUILDING-MATERIALS</t>
  </si>
  <si>
    <t>BROOKS, BO (corresponding author), IBM CORP, HLTH EFFECTS RES DEPT, 415B-021C, BOULDER, CO 80302 USA.</t>
  </si>
  <si>
    <t>270 MADISON AVE, NEW YORK, NY 10016 USA</t>
  </si>
  <si>
    <t>J TOXICOL-CLIN TOXIC</t>
  </si>
  <si>
    <t>J. Toxicol.-Clin. Toxicol.</t>
  </si>
  <si>
    <t>GH539</t>
  </si>
  <si>
    <t>ARMSTRONG, NE</t>
  </si>
  <si>
    <t>GOVERNMENT ENVIRONMENTAL CONSULTING FOR ACADEMICS</t>
  </si>
  <si>
    <t>ABSTRACTS OF PAPERS OF THE AMERICAN CHEMICAL SOCIETY</t>
  </si>
  <si>
    <t>UNIV TEXAS,DEPT CIVIL ENGN,AUSTIN,TX 78712</t>
  </si>
  <si>
    <t>1155 16TH ST, NW, WASHINGTON, DC 20036</t>
  </si>
  <si>
    <t>0065-7727</t>
  </si>
  <si>
    <t>ABSTR PAP AM CHEM S</t>
  </si>
  <si>
    <t>Abstr. Pap. Am. Chem. Soc.</t>
  </si>
  <si>
    <t>SEP 25</t>
  </si>
  <si>
    <t>IEC</t>
  </si>
  <si>
    <t>P8142</t>
  </si>
  <si>
    <t>WOS:A1988P814201745</t>
  </si>
  <si>
    <t>Title and abstract no relevant = excluded</t>
  </si>
  <si>
    <t>Unsure, included for first round</t>
  </si>
  <si>
    <t>Included for sure</t>
  </si>
  <si>
    <t>Not related to environment or specifically consultats</t>
  </si>
  <si>
    <t>Not related at all</t>
  </si>
  <si>
    <t>Not related to role of consultants</t>
  </si>
  <si>
    <t>New: worth reading paper as consultants were interviewed</t>
  </si>
  <si>
    <t>Not related</t>
  </si>
  <si>
    <t>New: related to consultants, but not exactly on environment, but would read.</t>
  </si>
  <si>
    <t>Searched on 25.02.2021</t>
  </si>
  <si>
    <t>Might be comments on consultants and EIA</t>
  </si>
  <si>
    <t>Maybe check in case talks about high cost of engineering consultants</t>
  </si>
  <si>
    <t>Interviews of consultants to implement a green tool</t>
  </si>
  <si>
    <t>Worth looking</t>
  </si>
  <si>
    <t>OK. Concept on building with nature. Not so much on role of consultants. Searched on 25.02.2021</t>
  </si>
  <si>
    <t>Interesting, but not about environment. Searched on 25.02.2021</t>
  </si>
  <si>
    <t>Looks interesting</t>
  </si>
  <si>
    <t>Interesting to look at</t>
  </si>
  <si>
    <t>Could be relevant</t>
  </si>
  <si>
    <t xml:space="preserve">Searched on 25.02.2021. very good. Role of agents (consultants) in influencing transformation resilience. </t>
  </si>
  <si>
    <t>Worth to take a look</t>
  </si>
  <si>
    <t>Searched on 25.02.2021. Focus on management consultants - international expansion</t>
  </si>
  <si>
    <t>Status: Review of Title &amp; Abs.</t>
  </si>
  <si>
    <t>Could be relevant. Perceptions from consultants</t>
  </si>
  <si>
    <t>Seems relevant</t>
  </si>
  <si>
    <t>Super relevant although not environmental focus</t>
  </si>
  <si>
    <t>Might be relevant</t>
  </si>
  <si>
    <t>Searched on 25.02.2021. Very good. Use the concepts of transition actors and transition agency to highlight environmentally relevant strategies and activities of consulting engineers.</t>
  </si>
  <si>
    <t>Searched on 25.02.2021. very good.</t>
  </si>
  <si>
    <t>Searched on 25.02.2021. Very good</t>
  </si>
  <si>
    <t>Might be of relevance</t>
  </si>
  <si>
    <t>Searched on 25.02.2021. EIA consultants, not really based on theory</t>
  </si>
  <si>
    <t>Searched on 25.02.2021. Good. Looking at consultancy firms and their role to advocate and learn to advise for local solutions - not just replication sanitation solutions from the high income countries.</t>
  </si>
  <si>
    <t>Searched on 25.02.2021. Good</t>
  </si>
  <si>
    <t>Relevant</t>
  </si>
  <si>
    <t>Searched on 25.02.2021. Not about the role of consultants</t>
  </si>
  <si>
    <t>Searched on 25.02.2021. Great</t>
  </si>
  <si>
    <t>Consulting companies as intermediaries</t>
  </si>
  <si>
    <t>Not environment related, but seems interesting. Role of scientists as consultants.</t>
  </si>
  <si>
    <t>Consultants and EIAs</t>
  </si>
  <si>
    <t>Arcadis consultants and Smart City</t>
  </si>
  <si>
    <t>Searched on 25.02.2021. Learning process / opportunities of consultants while implementing EIA</t>
  </si>
  <si>
    <t>Searched on 25.02.2021. No access</t>
  </si>
  <si>
    <t>Super relevant, had not appeared on my search, but I had added it anyways. Shows that TS is a better search!</t>
  </si>
  <si>
    <t>Searched on 25.02.2021. Conversation with head of Arup</t>
  </si>
  <si>
    <t>Searched on 25.02.2021. Good, but not really based on theoretical framework</t>
  </si>
  <si>
    <t>Searched on 25.02.2021. Intersting theory, but not so relevant</t>
  </si>
  <si>
    <t>Searched on 25.02.2021. Not so relevant</t>
  </si>
  <si>
    <t>Seems very relevant</t>
  </si>
  <si>
    <t>Very relevant</t>
  </si>
  <si>
    <t>Searched on 25.02.2021. Good. Gives a consultant perspective on what drives sustainability.</t>
  </si>
  <si>
    <t>Searched on 25.02.2021. Mentions a little role of consultants</t>
  </si>
  <si>
    <t>Searched on 25.02.2021. Mentiones the role of consultants in the power relations for the implemention of EIA. Political ecology lens.</t>
  </si>
  <si>
    <t>Searched on 25.02.2021. Focus on the role of household energy consultants</t>
  </si>
  <si>
    <t>Searched on 25.02.2021. Very good. Energy Efficient consultants as change agents.</t>
  </si>
  <si>
    <t>Searched on 25.02.2021. More abour environmental agencies acting as consultants</t>
  </si>
  <si>
    <t>Searched on 25.02.2021. Good. Brings in the point of view of how donor based consulting firms profit from the development aid process.</t>
  </si>
  <si>
    <t>Searched on 25.02.2021. Pro-activeness of Spanish env. Consultancy firms for sustainable development</t>
  </si>
  <si>
    <t>Might be of relevance, but not related to environment</t>
  </si>
  <si>
    <t>Searched on 25.02.2021. Very good. Power and influence of consultants in policy process. IT consultants in UK. Not really connected to water/env.</t>
  </si>
  <si>
    <t>Searched on 25.02.2021. Read. Good</t>
  </si>
  <si>
    <t>Searched on 25.02.2021. Not relevant</t>
  </si>
  <si>
    <t>Searched on 25.02.2021. OK. Consultants as intermediaries in CSR</t>
  </si>
  <si>
    <t>Searched on 25.02.2021. More about role of consultants in internal audits on sustainability…</t>
  </si>
  <si>
    <t>Searched on 25.02.2021. Very good on forest consultants</t>
  </si>
  <si>
    <t>Searched on 25.02.2021. Gender segregation within consultancy firms which mat have an affect on policy advising</t>
  </si>
  <si>
    <t>Searched on 25.02.2021. Good.</t>
  </si>
  <si>
    <t>Searched on 25.02.2021. On sustainability consultants/managers</t>
  </si>
  <si>
    <t>Might be interesting on cost of consulting</t>
  </si>
  <si>
    <t>Repeat</t>
  </si>
  <si>
    <t>Searched on 25.02.2021. Good. Consultants as boundary org.</t>
  </si>
  <si>
    <t>Searched on 25.02.2021. Not available</t>
  </si>
  <si>
    <t>Might be of relvance</t>
  </si>
  <si>
    <t>Searched on 25.02.2021. Role of consulting firms as intermediaries for ESG</t>
  </si>
  <si>
    <t>Searched on 25.02.2021. Water</t>
  </si>
  <si>
    <t>On management consultants</t>
  </si>
  <si>
    <t>Searched on 25.02.2021. High focus on company internal audits around ESGs</t>
  </si>
  <si>
    <t>Searched on 25.02.2021. An emprirical case demonstrating the influence consultants have in strategy formulation of resilient cities. he role of international experts and consultants is significant in the strategy formulation. Although the Bangkok Resilience Strategy at- tempts to integrate broader socio-economic benefits, concrete measures to achieve this particular aim seem to be lacking and at the same time community involvement is evidently limited.</t>
  </si>
  <si>
    <t>Searched on 25.02.2021. Super interesting applied theories, but on management consultants</t>
  </si>
  <si>
    <t>Searched on 25.02.2021. mentions consultants in carbon emission schemese, but not so relevant</t>
  </si>
  <si>
    <t>Searched on 25.02.2021. sustainability efforts within consultancies</t>
  </si>
  <si>
    <t>Searched on 25.02.2021. OK. Western consultants influence golf cities.</t>
  </si>
  <si>
    <t>Searched on 25.02.2021. Not so sure… but will put green. Theory is relevant, but not necessarily applied to consultancies</t>
  </si>
  <si>
    <t>Searched on 25.02.2021. Very good. Role of consultants in the process of consultation.</t>
  </si>
  <si>
    <t>Searched on 25.02.2021. about internal sustainable management and no access</t>
  </si>
  <si>
    <t>Searched on 25.02.2021. CDM Consultants and water governance</t>
  </si>
  <si>
    <t>Searched on 25.02.2021. More about leadership roles within consultancies.</t>
  </si>
  <si>
    <t>Searched on 25.02.2021. Looks super interesting but far from role of env. Consultancies</t>
  </si>
  <si>
    <t>Searched on 25.02.2021. Mentions role of international consultants in water utility partnerhsips in Africa</t>
  </si>
  <si>
    <t>Repetition</t>
  </si>
  <si>
    <t>Searched on 25.02.2021. Politcial consultants / marketer</t>
  </si>
  <si>
    <t>Searched on 25.02.2021. Diffusion of innovation between universities and consultancies. Around hazardous waste remediation.</t>
  </si>
  <si>
    <t>Searched on 25.02.2021. Very good. Role of private consultants hired by municipal water services in Utah.</t>
  </si>
  <si>
    <t>Searched on 25.02.2021. No access, but about government think tank consultancies</t>
  </si>
  <si>
    <t>Searched on 25.02.2021. Intersting on vrole of CDM consultants</t>
  </si>
  <si>
    <t>Searched on 25.02.2021. Good as it mentions the influence of international consultants in "fantasy plans"</t>
  </si>
  <si>
    <t>Searched on 25.02.2021. Good. Particularly around concept of epistemic authority</t>
  </si>
  <si>
    <t>Searched on 25.02.2021. Great. Professional consultancy and post-normal science</t>
  </si>
  <si>
    <t>Searched on 25.02.2021. more about public agencies</t>
  </si>
  <si>
    <t xml:space="preserve">Searched on 25.02.2021. More abour the theme of knowledge and expertise, but relevant. </t>
  </si>
  <si>
    <t>Searched on 25.02.2021. No real focus on consultants</t>
  </si>
  <si>
    <t>Searched on 25.02.2021. Good. Role of consultants to diffuse knowledge within expistemic community lens.</t>
  </si>
  <si>
    <t>Searched on 25.02.2021. Interesting, as there are reocmmendations for consultants / engineers</t>
  </si>
  <si>
    <t>Searched on 25.02.2021. seems good, but no access</t>
  </si>
  <si>
    <t>Searched on 25.02.2021. On a research consultancy case in ecuador using intersting concept of competition</t>
  </si>
  <si>
    <t>Searched on 25.02.2021. Diffusion of innovations and roles of consultants as "propagators"</t>
  </si>
  <si>
    <t>Searched on 25.02.2021. No emphasis on consulting firms / case of ICLEI</t>
  </si>
  <si>
    <t>On diffusion</t>
  </si>
  <si>
    <t>Searched on 25.02.2021. Consultants role within the flow of knowledge in project-based innovation. Consultants are project based firms in communities of reflective practitioners.</t>
  </si>
  <si>
    <t>Searched on 25.02.2021. International competitiveness of consultancies</t>
  </si>
  <si>
    <t>Searched on 25.02.2021. on management consulting</t>
  </si>
  <si>
    <t>Searched on 25.02.2021. Slightly mentions need to involve private consultants and NGOs in water management research</t>
  </si>
  <si>
    <t>Searched on 25.02.2021. Looks good, but no access</t>
  </si>
  <si>
    <t>Focus on role of NGOs in EIA</t>
  </si>
  <si>
    <t>Searched on 25.02.2021. OK. consultant supporting transition in Transformational Climate Adaptation literature. In TCA experimentation is applied to select adaptation measures and, consequently, it is essen- tial to establish what exactly the city should be protected from, with knowledge depicted as a consultant offering services for urban transition.</t>
  </si>
  <si>
    <t>Searched on 25.02.2021. Not specifically on consultants, but the role of scientific experts in the policy process</t>
  </si>
  <si>
    <t>Seems extremely relevant</t>
  </si>
  <si>
    <t>Very relevant, had already included</t>
  </si>
  <si>
    <t>Searched on 25.02.2021. Diffusion of sola energy in lebanon. Includes role of consultants</t>
  </si>
  <si>
    <t>Searched on 25.02.2021. More about barriers consultants face in promoting green buildings</t>
  </si>
  <si>
    <t>Searched on 25.02.2021. Read. Relevant.</t>
  </si>
  <si>
    <t>Searched on 25.02.2021. On management consulting. Not really related to environmental consulting, although super interesting.</t>
  </si>
  <si>
    <t>Searched on 25.02.2021. Very good. Ethnogaphic work observing the role of environmental consultants in border work and how they also influence truth claims and resident participation. It hihglights the links between how consultants present their work also based on their contractor's interests. Therefore consultants present and package work to residents in a certain way. Concept of co-production of knowledge and using ethnographic methods.</t>
  </si>
  <si>
    <t>Searched on 25.02.2021. Very good. Knowledge transfer via international planning consultants</t>
  </si>
  <si>
    <t>Searched on 25.02.2021. Repeated twice on 25 02 search</t>
  </si>
  <si>
    <t>Final Short List</t>
  </si>
  <si>
    <t>Review of Texts</t>
  </si>
  <si>
    <t>Paper downloaded</t>
  </si>
  <si>
    <t>Searched 25.02.2021. More about how to procure consultants. Not a focus on consultants.</t>
  </si>
  <si>
    <t>No access</t>
  </si>
  <si>
    <t>Already have</t>
  </si>
  <si>
    <t>No access: https://arionline.uitm.edu.my/ojs/index.php/APMAJ/article/view/610</t>
  </si>
  <si>
    <t>No Access</t>
  </si>
  <si>
    <t>Not about consultants</t>
  </si>
  <si>
    <t>About results from consultancies on hydrogen reports.</t>
  </si>
  <si>
    <t>About why consultants are worth hiring, for their communication skills</t>
  </si>
  <si>
    <t>Interesting where it states the role of consultants in impact assessment. Problematizes the baised role of consultants to their clients. But more focused on Public Health and Gas.</t>
  </si>
  <si>
    <t>This is more the story of one individual consultant advising the missisipi river, but I am more interested in the role of companies.</t>
  </si>
  <si>
    <t>View of consultants on e-waste / circular economy</t>
  </si>
  <si>
    <t>A consultants point of view on the paradigm of sustainability and lobbying around it. No so much about the role of consultants.</t>
  </si>
  <si>
    <t>Not focused on consultants and mostly about construction industry.</t>
  </si>
  <si>
    <t>Good case on role of experts on water governance, but not a focus on consultants.</t>
  </si>
  <si>
    <t>On hybrid spaces of local knowledge and expertise. A call on co-production. On Flood risk management in UK</t>
  </si>
  <si>
    <t>Not specifically focused on consultants. Only mentions that heritage urbanism is left to the interpretation on consultants, architechtes and urbanist. Share with Alize.</t>
  </si>
  <si>
    <t>Science intermediaries (boundaryorganizations, consultancies,extensions) offer an avenue forresearchers to engage more indecision-making</t>
  </si>
  <si>
    <t>On development consultants as post colonial UK. Mentions one time their involvement in advising in water use.</t>
  </si>
  <si>
    <t>Mentions participation of consultants in coastal planning and interacting with stakeholders and academia. There is a suplement on the role of consultants.</t>
  </si>
  <si>
    <t>role of consultants in fashion-setting the paradigm of greening</t>
  </si>
  <si>
    <t>The study includes role of consultants in managing local knowledge. It is a critique that LK is not always taken into account.</t>
  </si>
  <si>
    <t>Mentions how green buildings in singapore are advised by green consultants. But not so much on the role of private companies.</t>
  </si>
  <si>
    <t>Not related to environment</t>
  </si>
  <si>
    <t>Little said about role of consultants in EIA</t>
  </si>
  <si>
    <t>Not on consultants</t>
  </si>
  <si>
    <t>Not very focused on consultants</t>
  </si>
  <si>
    <t>Not focused on consultants</t>
  </si>
  <si>
    <t>Only interesting is states high consulting fees, but not much more</t>
  </si>
  <si>
    <t>No about consultants, but results of opinions on consultants</t>
  </si>
  <si>
    <t>Not relevant</t>
  </si>
  <si>
    <t>No related to environment and not saying much about consultants</t>
  </si>
  <si>
    <t>Not much on role of consultants to spread sustainabibility</t>
  </si>
  <si>
    <t>Not much about role of consultants</t>
  </si>
  <si>
    <t>Not about consultants, but consulting parties</t>
  </si>
  <si>
    <t>Not about role of consultants</t>
  </si>
  <si>
    <t>Not so much about consultants or environment</t>
  </si>
  <si>
    <t xml:space="preserve"> International engineering and business consultancy firms have helped popularize a smart city global imaginary which draws on general trends and addresses a broad audience.
In my analysis, I treat this body of documents as a discourse (Foucault, 1972) while
paying particular attention to the role played by engineering and business consultants in
circulating policy agendas globally (Larner &amp; Laurie, 2010). As has been argued by
Amoore (2013), private consultancy companies act as a form of proxy sovereignty,
dispersing and mobilizing governance while simultaneously normalizing a particular
way of thinking and acting in the world. </t>
  </si>
  <si>
    <t>Papers from references of SLR</t>
  </si>
  <si>
    <t>Travelling technocrats, embodied knowledges: Globalising privatisation in telecoms and water</t>
  </si>
  <si>
    <t>14.10.2022</t>
  </si>
  <si>
    <t>Larner</t>
  </si>
  <si>
    <t>Unexpectedly, private consulting enterprises, rather than universities, have the most influential role in connecting innovative partners and aggregating project resources. This result differs from Han et al. [94] that indicates the leading role of universities in connecting innovative partners. The findings of this study have impli-cations for the selection of partners for establishing collaborative re-lationships for green-building innovations</t>
  </si>
  <si>
    <t>Looking at the role of foreign consultants in advising on sustainable development. Mostly european or north american consultants are hired and seen as prestegious by Albania. They play a role in delivering international best practices to Albania from the global north as contracted by Albania.</t>
  </si>
  <si>
    <t>For the circulation and translation sections</t>
  </si>
  <si>
    <t>More a focus on think tanks and provides a conceptual framing. Not focused on environmental governance.</t>
  </si>
  <si>
    <t>More of a comparision between the role of auditors and consultants for CRS reporting</t>
  </si>
  <si>
    <t>Very relevant in looking at scientific consultants, but focused more on the sustainable transport sector. It does talk about biased relationships with contractor and their role as intermediaries.</t>
  </si>
  <si>
    <t>No….but could be Yes</t>
  </si>
  <si>
    <t>Overview of the industry</t>
  </si>
  <si>
    <t>Super interesting about the role of project managers and consultants from international organizations in participation. But not on private consultants.</t>
  </si>
  <si>
    <t>Focus on strategic environmental assessments and interviews by consultants. Not much on the role of consultants.</t>
  </si>
  <si>
    <t>On the market of top env. Con. Firms. How the economic crisis affects theirs stocks.</t>
  </si>
  <si>
    <t>Super interesting but barely mentions role of consultancies</t>
  </si>
  <si>
    <t>Paradigm is on climate policy. How it is translated to the Colombian context and how consultants act as brokers</t>
  </si>
  <si>
    <t>Super interesting as it is the perspective of consultance on how they managed participation. But not clear if they are private consultants or from academia and this is more of an urban planning focus than environmental.</t>
  </si>
  <si>
    <t>consultants in ESG, mentions aecom</t>
  </si>
  <si>
    <t>Not so much about consultants</t>
  </si>
  <si>
    <t>Role of Arcadis in promoting Best Practices around the trend of Smart Cities</t>
  </si>
  <si>
    <t>How consultants manage participation during EIA processes in Thailand</t>
  </si>
  <si>
    <t>Consulting companies as intermediaries with a role in raising awareness on community energy</t>
  </si>
  <si>
    <t>Climate consultants</t>
  </si>
  <si>
    <t>National and international consultants who fill knowledge gaps on delta planning for bengladesh (role in transfer)</t>
  </si>
  <si>
    <t>Does not say much about consultants</t>
  </si>
  <si>
    <t>Application or transfer of an Environmental Management System (a tool) for the hotel industry</t>
  </si>
  <si>
    <t>In German</t>
  </si>
  <si>
    <t>Role of economic consultants hired by petroleum indsutry</t>
  </si>
  <si>
    <t>Hardly anything on consultants</t>
  </si>
  <si>
    <t>How international climate consultants do not contextualize their advice.</t>
  </si>
  <si>
    <t>How consultants reproduce standardized texts in EIA.</t>
  </si>
  <si>
    <t>Succesfull case of using an external consultant working hand in hand with the community. But it is not really about environmental consultancy companies.</t>
  </si>
  <si>
    <t>Explicit on role of environmental consultancies as legitimizers and norm diffusers.</t>
  </si>
  <si>
    <t>Already included</t>
  </si>
  <si>
    <t>Focus on ICT and not on Environment</t>
  </si>
  <si>
    <t>Our narratives uncover how consultants act as social and environmental issues translators who are reconstructing and repackaging issues into ‘sellable’ propositions, as market boundary negotiators who are shifting and creating boundaries to expand or pro_x0002_tect niche segments in the market for CSR consultancy services, and as responsive regu_x0002_lation enactors who regulate corporate conduct through their active reliance on, mobilization and promotion of CSR laws and standards to develop new commercial opportunities.</t>
  </si>
  <si>
    <t>Consultants as diffusion intermediaries and brokers</t>
  </si>
  <si>
    <t>Consultancies as shapers of SDGs</t>
  </si>
  <si>
    <t>Norm-setters</t>
  </si>
  <si>
    <t>Not on environment</t>
  </si>
  <si>
    <t>Focus more on non-state actor roles, but mentions consultants</t>
  </si>
  <si>
    <t>Focus on farm and not environmental related</t>
  </si>
  <si>
    <t>Focur on urban planning, not environment</t>
  </si>
  <si>
    <t>Not much on role of consultants</t>
  </si>
  <si>
    <t>Epistemic injustice and authority</t>
  </si>
  <si>
    <t>Not on consultancies</t>
  </si>
  <si>
    <t>Focus on planning, architecture and housing</t>
  </si>
  <si>
    <t>Not much on consultants</t>
  </si>
  <si>
    <t>No focus on environment</t>
  </si>
  <si>
    <t>One statement on the role of consultants in spreading best practices on waste management</t>
  </si>
  <si>
    <t>consultant ecologist</t>
  </si>
  <si>
    <t>Research done by consultants vs academics</t>
  </si>
  <si>
    <t>Focus on site consultants</t>
  </si>
  <si>
    <t>Mentions role while referencing papers I already reference on EIA.</t>
  </si>
  <si>
    <t>This study concludes that these international consulting companies represent larger-scale driving forces that are continuously reinforcing a pattern of mplementation of centralized sewerage systems as the “business as usual” technology option to manage wastewater</t>
  </si>
  <si>
    <t>Not about environment</t>
  </si>
  <si>
    <t>Thus, consulting firms cannot be neutral enough to technically lead forest diplomacy
in the Congo Basin because they are entangled in the interests of Northern countries who
control them through their pay check. This last point confirms our third hypothesis and
shows how green governmentality and its subjective dimensions that framed the design  or adoption of certain environmental decisions are a real concern. Indeed, in the case of CBc’s involvement in forest diplomacy, we observed how the commercial and economic private interests of consulting firms can influence the direction of an entire negotiation with potential impacts in the governance of forestland resources at least at the regional level. (Add in state contractors)</t>
  </si>
  <si>
    <t>More about insurance and management consultants</t>
  </si>
  <si>
    <t>Not focused on environment</t>
  </si>
  <si>
    <t>Epistemic authority</t>
  </si>
  <si>
    <t>Not on consulting</t>
  </si>
  <si>
    <t>More about academics becoming consultants</t>
  </si>
  <si>
    <t>More about forest consultant perceptions, but not an analysis on roles</t>
  </si>
  <si>
    <t>Talks about advantage of hiring independent consultants versus a company for reasonable price. Not so much on role of spreading ideas.</t>
  </si>
  <si>
    <t>Perception of a consultancy firm</t>
  </si>
  <si>
    <t>Not much on role of consultants on spreading ideas</t>
  </si>
  <si>
    <t>International consultants as transfer agents of global urban models</t>
  </si>
  <si>
    <t>How government seeks expertise from consultants for their analytical capacities.</t>
  </si>
  <si>
    <t>Le consultant est alors face à un double enjeu : celui de la crédibilité technique de son offre et celui de la crédibilité commerciale en démontrant à l’assistance que son offre a vocation à être multipliée.</t>
  </si>
  <si>
    <t>Not on role of consultants</t>
  </si>
  <si>
    <t>Little said on consultants</t>
  </si>
  <si>
    <t>Constulants involved in EIA</t>
  </si>
  <si>
    <t>Not much on role, but results from consultancy projects which seems to be contested and not accurate</t>
  </si>
  <si>
    <t>Focus on CSR, not much on role of consultants</t>
  </si>
  <si>
    <t>On corporate governance</t>
  </si>
  <si>
    <t>Not on consultancies, but consultation</t>
  </si>
  <si>
    <t>Consultants as intermediaries in EIA process, but not much on consultants</t>
  </si>
  <si>
    <t xml:space="preserve"> As a result, e-flow decisions were dominated by individuals representing politically powerful groups that view water primarily as a commodity, including river
authorities and consulting firms that regularly contract with the river authorities.----How consultants can be biased depending on who hires them. In this case basin authority</t>
  </si>
  <si>
    <t>Yes - but almost a no</t>
  </si>
  <si>
    <t>Final Short List (Yes/No)</t>
  </si>
  <si>
    <t>Read. Good</t>
  </si>
  <si>
    <t>Good. Consultants as boundary org.</t>
  </si>
  <si>
    <t>Search 1 Date</t>
  </si>
  <si>
    <t>Search 2 Date</t>
  </si>
  <si>
    <t>Good. Gives a consultant perspective on what drives sustainability.</t>
  </si>
  <si>
    <t>Good. Role of consultants to diffuse knowledge within expistemic community lens.</t>
  </si>
  <si>
    <t xml:space="preserve"> Mentiones the role of consultants in the power relations for the implemention of EIA. Political ecology lens.</t>
  </si>
  <si>
    <t>Good, but not really based on theoretical framework</t>
  </si>
  <si>
    <t>Diffusion of innovations and roles of consultants as "propagators"</t>
  </si>
  <si>
    <t xml:space="preserve">25.02.2021 </t>
  </si>
  <si>
    <t xml:space="preserve"> EIA consultants, not really based on theory</t>
  </si>
  <si>
    <t>Learning process / opportunities of consultants while implementing EIA</t>
  </si>
  <si>
    <t>Very good. Ethnogaphic work observing the role of environmental consultants in border work and how they also influence truth claims and resident participation. It hihglights the links between how consultants present their work also based on their contractor's interests. Therefore consultants present and package work to residents in a certain way. Concept of co-production of knowledge and using ethnographic methods.</t>
  </si>
  <si>
    <t>Very good. Role of consultants in the process of consultation.</t>
  </si>
  <si>
    <t>Good. Brings in the point of view of how donor based consulting firms profit from the development aid process.</t>
  </si>
  <si>
    <t>Review of Title &amp; Abs.</t>
  </si>
  <si>
    <t>very good.</t>
  </si>
  <si>
    <t xml:space="preserve">very good. Role of agents (consultants) in influencing transformation resilience. </t>
  </si>
  <si>
    <t>Very good. Use the concepts of transition actors and transition agency to highlight environmentally relevant strategies and activities of consulting engineers.</t>
  </si>
  <si>
    <t xml:space="preserve"> Good. Looking at consultancy firms and their role to advocate and learn to advise for local solutions - not just replication sanitation solutions from the high income countries.</t>
  </si>
  <si>
    <t>An emprirical case demonstrating the influence consultants have in strategy formulation of resilient cities. he role of international experts and consultants is significant in the strategy formulation. Although the Bangkok Resilience Strategy at- tempts to integrate broader socio-economic benefits, concrete measures to achieve this particular aim seem to be lacking and at the same time community involvement is evidently limited.</t>
  </si>
  <si>
    <t>Good as it mentions the influence of international consultants in "fantasy plans"</t>
  </si>
  <si>
    <t>Great</t>
  </si>
  <si>
    <t>Read. Relevant.</t>
  </si>
  <si>
    <t>Good</t>
  </si>
  <si>
    <t>Pro-activeness of Spanish env. Consultancy firms for sustainable development</t>
  </si>
  <si>
    <t>Very good</t>
  </si>
  <si>
    <t>Good.</t>
  </si>
  <si>
    <t xml:space="preserve"> Diffusion of innovation between universities and consultancies. Around hazardous waste remediation.</t>
  </si>
  <si>
    <t>Role of consulting firms as intermediaries for ESG</t>
  </si>
  <si>
    <t xml:space="preserve"> Very good on forest consultants</t>
  </si>
  <si>
    <t>Intersting on vrole of CDM consultants</t>
  </si>
  <si>
    <t>Good. Particularly around concept of epistemic authority</t>
  </si>
  <si>
    <t>Interesting, as there are reocmmendations for consultants / engineers</t>
  </si>
  <si>
    <t xml:space="preserve"> Diffusion of sola energy in lebanon. Includes role of consultants</t>
  </si>
  <si>
    <t>Very good. Role of private consultants hired by municipal water services in Utah.</t>
  </si>
  <si>
    <t>Very good. Energy Efficient consultants as change agents.</t>
  </si>
  <si>
    <t>Very good. Knowledge transfer via international planning consultants</t>
  </si>
  <si>
    <t>Great. Professional consultancy and post-normal science</t>
  </si>
  <si>
    <t>From references of the WoS 05082022</t>
  </si>
  <si>
    <t>The approval of major infrastructure and industrial developments is often dependent on the results ofenvironmental and social impact assessments (EIA and SIA, respectively). Depending on the recommendations of‘experts’ undertaking the assessments, projects are approved, rejected or modified to take account ofunintended negative consequences. In practice, there are pressures on consultants to come up with favourable results, and unfavourable results are often ignored. These pressures may be subtle. For example, because consultants are usually employed by somebody with an interest in seeing projects go ahead, any consultant with a reputation for being too negative is unlikely to get work. The present paper explores issues faced by anthropologists in SIA, as well as the structure ofinterests within which SIA is carried out, and ways in which ethical dilemmas can be negotiated. It asks whether simply opting out ofthe process altogether is an ethical option preferable to critical engagement.</t>
  </si>
  <si>
    <t>Clapp</t>
  </si>
  <si>
    <t>This small-scale exploratory study examined the role of environmental consultants in the policy-making process using one European country (Portugal) as a case study. The study focused particularly on the role of environmental consultants as knowledge brokers, providing scientific expertise to national and local government policy-makers. The research question and other topics were explored through in depth interviews and an online questionnaire. The data indicate that in Portugal environmental consultants act as knowledge brokers, providing policy-makers with access to scientific information and encouraging its use; this information feeds into the policy process at the formulation, implementation, assessment and review stages. They also play other roles such as acting as financial, legal and technical advisors.</t>
  </si>
  <si>
    <t>Author's own review</t>
  </si>
  <si>
    <t>Other searches</t>
  </si>
  <si>
    <t>Transnational policy transfer: the circulation of ideas, power and development models</t>
  </si>
  <si>
    <t>Stone, D., Pal, L.A., de Oliveira, O.P.</t>
  </si>
  <si>
    <t>Private consultants and policy advisory organizations: a blind spot on policy transfer research</t>
  </si>
  <si>
    <t>Handbook of Policy Transfer, Diffusion and Circulation</t>
  </si>
  <si>
    <t>Edward Elgar Publishing</t>
  </si>
  <si>
    <t>Cheltenham, UK.</t>
  </si>
  <si>
    <t>Not so useful</t>
  </si>
  <si>
    <t>Not so sure… but will put green. Theory is relevant, but not necessarily applied to consultancies</t>
  </si>
  <si>
    <t>OK. consultant supporting transition in Transformational Climate Adaptation literature. In TCA experimentation is applied to select adaptation measures and, consequently, it is essen- tial to establish what exactly the city should be protected from, with knowledge depicted as a consultant offering services for urban transition.</t>
  </si>
  <si>
    <t>10 new papers in 2021 since 2021 search</t>
  </si>
  <si>
    <t>9 new papers in 2022 since 2021 search</t>
  </si>
  <si>
    <t>Very relevant, had already included from my own review before</t>
  </si>
  <si>
    <t>Sustainable transport</t>
  </si>
  <si>
    <t>Larner, W; Laurie, N</t>
  </si>
  <si>
    <t>Interest navigators</t>
  </si>
  <si>
    <t>Bioremediation of hazardous waste</t>
  </si>
  <si>
    <t>Privatization</t>
  </si>
  <si>
    <t xml:space="preserve">Environmental (and Social) Impact Assessments </t>
  </si>
  <si>
    <t>Green corporate strategies and CSR</t>
  </si>
  <si>
    <t>Clean or Carbon Development Mechanism</t>
  </si>
  <si>
    <t>Renewable and smart energy technology</t>
  </si>
  <si>
    <t>Sustainability and SDGs</t>
  </si>
  <si>
    <t>Water and sanitation management approaches</t>
  </si>
  <si>
    <t>Smart cities and world city image</t>
  </si>
  <si>
    <t>Energy efficiency and transitions</t>
  </si>
  <si>
    <t>City</t>
  </si>
  <si>
    <t>National</t>
  </si>
  <si>
    <t>Scientific community</t>
  </si>
  <si>
    <t>Global-to-city</t>
  </si>
  <si>
    <t>Transboundary</t>
  </si>
  <si>
    <t>Global-to-local</t>
  </si>
  <si>
    <t>Title</t>
  </si>
  <si>
    <t>Year</t>
  </si>
  <si>
    <t>Concepts</t>
  </si>
  <si>
    <t>Objects</t>
  </si>
  <si>
    <t>Spaces</t>
  </si>
  <si>
    <t>Dilemmas</t>
  </si>
  <si>
    <t>Source</t>
  </si>
  <si>
    <t>Clapp, J.</t>
  </si>
  <si>
    <t>Global Environmental Governance for Corporate Responsibility and Accountability</t>
  </si>
  <si>
    <t>Diffusion</t>
  </si>
  <si>
    <t>Transfer/
Mobilities</t>
  </si>
  <si>
    <t>Circulation</t>
  </si>
  <si>
    <t>Translation</t>
  </si>
  <si>
    <t>Shapers of policies</t>
  </si>
  <si>
    <t>Market-drivers</t>
  </si>
  <si>
    <t>Public participation managers</t>
  </si>
  <si>
    <t>Spatial</t>
  </si>
  <si>
    <t>Epistemic/Societal</t>
  </si>
  <si>
    <t>Transnational</t>
  </si>
  <si>
    <t>Local</t>
  </si>
  <si>
    <t>Regional</t>
  </si>
  <si>
    <t>National-to-local</t>
  </si>
  <si>
    <t>Federal-to-basin level</t>
  </si>
  <si>
    <t>Funding agencies</t>
  </si>
  <si>
    <t>Private actors</t>
  </si>
  <si>
    <t>Participatory and consultation process</t>
  </si>
  <si>
    <t>Forest conservation diplomacy</t>
  </si>
  <si>
    <t>Biodiversity assessment tool</t>
  </si>
  <si>
    <t>Trusted facilitators</t>
  </si>
  <si>
    <t>Reactors to policies</t>
  </si>
  <si>
    <t>Biases</t>
  </si>
  <si>
    <t>Decontextualized global practices</t>
  </si>
  <si>
    <t>Market interests</t>
  </si>
  <si>
    <t>Manipulative practices</t>
  </si>
  <si>
    <t>Civil society</t>
  </si>
  <si>
    <t>Public actors</t>
  </si>
  <si>
    <t>Environmental expertise (generic)</t>
  </si>
  <si>
    <t>Climate expertise (generic)</t>
  </si>
  <si>
    <t>Urban planning expertise (generic)</t>
  </si>
  <si>
    <t>Reforestation expertise</t>
  </si>
  <si>
    <t>Climate and energy policy analysis</t>
  </si>
  <si>
    <t>Disaster risk reduction expertise</t>
  </si>
  <si>
    <t>Eco or green innovations</t>
  </si>
  <si>
    <t>Coastal and delta planning</t>
  </si>
  <si>
    <t>Single scale</t>
  </si>
  <si>
    <t>NA</t>
  </si>
  <si>
    <t>Cross-scale</t>
  </si>
  <si>
    <t>Single</t>
  </si>
  <si>
    <t>Cross</t>
  </si>
  <si>
    <t>National-to-regional</t>
  </si>
  <si>
    <t>x</t>
  </si>
  <si>
    <t>Explicit on consultants?</t>
  </si>
  <si>
    <t>Case continent</t>
  </si>
  <si>
    <t>Authors' institute continent</t>
  </si>
  <si>
    <t>Research method</t>
  </si>
  <si>
    <t>Capabilities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</si>
</sst>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10"/>
      <name val="Arial"/>
      <family val="2"/>
    </font>
    <font>
      <sz val="10"/>
      <name val="Arial"/>
      <family val="2"/>
    </font>
    <font>
      <b/>
      <sz val="10"/>
      <name val="Arial"/>
      <family val="2"/>
    </font>
    <font>
      <b/>
      <sz val="8"/>
      <color theme="0"/>
      <name val="Arial"/>
      <family val="2"/>
    </font>
    <font>
      <u/>
      <sz val="10"/>
      <color theme="10"/>
      <name val="Arial"/>
      <family val="2"/>
    </font>
    <font>
      <sz val="8"/>
      <name val="Arial"/>
    </font>
    <font>
      <sz val="9"/>
      <name val="Calibri"/>
      <family val="2"/>
      <scheme val="minor"/>
    </font>
    <font>
      <b/>
      <sz val="9"/>
      <color rgb="FFFFFFFF"/>
      <name val="Calibri"/>
      <family val="2"/>
      <scheme val="minor"/>
    </font>
    <font>
      <sz val="9"/>
      <color rgb="FFFF0000"/>
      <name val="Calibri"/>
      <family val="2"/>
      <scheme val="minor"/>
    </font>
  </fonts>
  <fills count="16">
    <fill>
      <patternFill patternType="none"/>
    </fill>
    <fill>
      <patternFill patternType="gray125"/>
    </fill>
    <fill>
      <patternFill patternType="solid">
        <fgColor rgb="FFC00000"/>
        <bgColor indexed="64"/>
      </patternFill>
    </fill>
    <fill>
      <patternFill patternType="solid">
        <fgColor rgb="FF00B050"/>
        <bgColor indexed="64"/>
      </patternFill>
    </fill>
    <fill>
      <patternFill patternType="solid">
        <fgColor theme="5"/>
        <bgColor indexed="64"/>
      </patternFill>
    </fill>
    <fill>
      <patternFill patternType="solid">
        <fgColor rgb="FFFF0000"/>
        <bgColor indexed="64"/>
      </patternFill>
    </fill>
    <fill>
      <patternFill patternType="solid">
        <fgColor rgb="FF7030A0"/>
        <bgColor indexed="64"/>
      </patternFill>
    </fill>
    <fill>
      <patternFill patternType="solid">
        <fgColor rgb="FF00B0F0"/>
        <bgColor indexed="64"/>
      </patternFill>
    </fill>
    <fill>
      <patternFill patternType="solid">
        <fgColor theme="9"/>
        <bgColor indexed="64"/>
      </patternFill>
    </fill>
    <fill>
      <patternFill patternType="solid">
        <fgColor theme="1"/>
        <bgColor indexed="64"/>
      </patternFill>
    </fill>
    <fill>
      <patternFill patternType="solid">
        <fgColor rgb="FF0070C0"/>
        <bgColor indexed="64"/>
      </patternFill>
    </fill>
    <fill>
      <patternFill patternType="solid">
        <fgColor rgb="FFFFFF00"/>
        <bgColor indexed="64"/>
      </patternFill>
    </fill>
    <fill>
      <patternFill patternType="solid">
        <fgColor rgb="FFFFC000"/>
        <bgColor indexed="64"/>
      </patternFill>
    </fill>
    <fill>
      <patternFill patternType="solid">
        <fgColor rgb="FF000000"/>
        <bgColor indexed="64"/>
      </patternFill>
    </fill>
    <fill>
      <patternFill patternType="solid">
        <fgColor theme="2" tint="-0.749992370372631"/>
        <bgColor indexed="64"/>
      </patternFill>
    </fill>
    <fill>
      <patternFill patternType="solid">
        <fgColor theme="2" tint="-0.499984740745262"/>
        <bgColor indexed="64"/>
      </patternFill>
    </fill>
  </fills>
  <borders count="5">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40">
    <xf numFmtId="0" fontId="0" fillId="0" borderId="0" xfId="0"/>
    <xf numFmtId="0" fontId="0" fillId="2" borderId="0" xfId="0" applyFill="1"/>
    <xf numFmtId="0" fontId="0" fillId="3" borderId="0" xfId="0" applyFill="1"/>
    <xf numFmtId="0" fontId="0" fillId="4" borderId="0" xfId="0" applyFill="1"/>
    <xf numFmtId="0" fontId="0" fillId="5" borderId="0" xfId="0" applyFill="1"/>
    <xf numFmtId="0" fontId="2" fillId="3" borderId="0" xfId="0" applyFont="1" applyFill="1"/>
    <xf numFmtId="0" fontId="0" fillId="6" borderId="0" xfId="0" applyFill="1"/>
    <xf numFmtId="0" fontId="1" fillId="0" borderId="0" xfId="0" applyFont="1"/>
    <xf numFmtId="0" fontId="3" fillId="7" borderId="0" xfId="0" applyFont="1" applyFill="1"/>
    <xf numFmtId="0" fontId="3" fillId="0" borderId="0" xfId="0" applyFont="1"/>
    <xf numFmtId="0" fontId="3" fillId="3" borderId="0" xfId="0" applyFont="1" applyFill="1"/>
    <xf numFmtId="0" fontId="1" fillId="3" borderId="0" xfId="0" applyFont="1" applyFill="1"/>
    <xf numFmtId="0" fontId="3" fillId="4" borderId="0" xfId="0" applyFont="1" applyFill="1"/>
    <xf numFmtId="0" fontId="3" fillId="5" borderId="0" xfId="0" applyFont="1" applyFill="1"/>
    <xf numFmtId="0" fontId="0" fillId="3" borderId="0" xfId="0" quotePrefix="1" applyFill="1"/>
    <xf numFmtId="0" fontId="1" fillId="4" borderId="0" xfId="0" applyFont="1" applyFill="1"/>
    <xf numFmtId="0" fontId="0" fillId="8" borderId="0" xfId="0" applyFill="1"/>
    <xf numFmtId="0" fontId="1" fillId="8" borderId="0" xfId="0" applyFont="1" applyFill="1"/>
    <xf numFmtId="0" fontId="1" fillId="6" borderId="0" xfId="0" applyFont="1" applyFill="1"/>
    <xf numFmtId="0" fontId="1" fillId="11" borderId="0" xfId="0" applyFont="1" applyFill="1"/>
    <xf numFmtId="0" fontId="4" fillId="9" borderId="0" xfId="0" applyFont="1" applyFill="1"/>
    <xf numFmtId="0" fontId="4" fillId="10" borderId="0" xfId="0" applyFont="1" applyFill="1"/>
    <xf numFmtId="0" fontId="1" fillId="5" borderId="0" xfId="0" applyFont="1" applyFill="1"/>
    <xf numFmtId="0" fontId="5" fillId="0" borderId="0" xfId="1" applyFill="1" applyAlignment="1"/>
    <xf numFmtId="0" fontId="1" fillId="12" borderId="0" xfId="0" applyFont="1" applyFill="1"/>
    <xf numFmtId="0" fontId="5" fillId="0" borderId="0" xfId="1"/>
    <xf numFmtId="0" fontId="3" fillId="11" borderId="0" xfId="0" applyFont="1" applyFill="1"/>
    <xf numFmtId="0" fontId="3" fillId="8" borderId="0" xfId="0" applyFont="1" applyFill="1"/>
    <xf numFmtId="0" fontId="7" fillId="0" borderId="0" xfId="0" applyFont="1"/>
    <xf numFmtId="0" fontId="7" fillId="0" borderId="0" xfId="0" applyFont="1" applyAlignment="1">
      <alignment horizontal="center"/>
    </xf>
    <xf numFmtId="0" fontId="7" fillId="0" borderId="0" xfId="0" applyFont="1" applyAlignment="1">
      <alignment horizontal="center" wrapText="1"/>
    </xf>
    <xf numFmtId="0" fontId="8" fillId="13" borderId="0" xfId="0" applyFont="1" applyFill="1" applyAlignment="1">
      <alignment horizontal="center" vertical="center" wrapText="1"/>
    </xf>
    <xf numFmtId="0" fontId="8" fillId="15" borderId="2" xfId="0" applyFont="1" applyFill="1" applyBorder="1" applyAlignment="1">
      <alignment horizontal="center" vertical="center" wrapText="1"/>
    </xf>
    <xf numFmtId="0" fontId="9" fillId="0" borderId="0" xfId="0" applyFont="1"/>
    <xf numFmtId="0" fontId="8" fillId="14" borderId="2" xfId="0" applyFont="1" applyFill="1" applyBorder="1" applyAlignment="1">
      <alignment horizontal="center" vertical="center" wrapText="1"/>
    </xf>
    <xf numFmtId="0" fontId="8" fillId="13" borderId="2" xfId="0" applyFont="1" applyFill="1" applyBorder="1" applyAlignment="1">
      <alignment horizontal="center" vertical="center" wrapText="1"/>
    </xf>
    <xf numFmtId="0" fontId="8" fillId="14" borderId="3" xfId="0" applyFont="1" applyFill="1" applyBorder="1" applyAlignment="1">
      <alignment horizontal="center" vertical="center" wrapText="1"/>
    </xf>
    <xf numFmtId="0" fontId="8" fillId="14" borderId="4" xfId="0" applyFont="1" applyFill="1" applyBorder="1" applyAlignment="1">
      <alignment horizontal="center" vertical="center" wrapText="1"/>
    </xf>
    <xf numFmtId="0" fontId="8" fillId="13" borderId="0" xfId="0" applyFont="1" applyFill="1" applyAlignment="1">
      <alignment horizontal="center" vertical="center" wrapText="1"/>
    </xf>
    <xf numFmtId="0" fontId="8" fillId="13"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doi.org/10.1080/14494035.2019.1619325" TargetMode="External"/><Relationship Id="rId7" Type="http://schemas.openxmlformats.org/officeDocument/2006/relationships/printerSettings" Target="../printerSettings/printerSettings2.bin"/><Relationship Id="rId2" Type="http://schemas.openxmlformats.org/officeDocument/2006/relationships/hyperlink" Target="https://doi.org/10.1504/ijepdm.2017.085407" TargetMode="External"/><Relationship Id="rId1" Type="http://schemas.openxmlformats.org/officeDocument/2006/relationships/hyperlink" Target="https://doi.org/10.1080/14442210802251670" TargetMode="External"/><Relationship Id="rId6" Type="http://schemas.openxmlformats.org/officeDocument/2006/relationships/hyperlink" Target="https://doi.org/10.1080/09640568.2019.1592745" TargetMode="External"/><Relationship Id="rId5" Type="http://schemas.openxmlformats.org/officeDocument/2006/relationships/hyperlink" Target="https://doi.org/10.1177/0042098018768490" TargetMode="External"/><Relationship Id="rId4" Type="http://schemas.openxmlformats.org/officeDocument/2006/relationships/hyperlink" Target="https://doi.org/10.1080/00045608.2010.52021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CA441-4A8B-4517-B44A-40728BC7FF2A}">
  <sheetPr>
    <pageSetUpPr fitToPage="1"/>
  </sheetPr>
  <dimension ref="A1:AG101"/>
  <sheetViews>
    <sheetView tabSelected="1" zoomScale="80" zoomScaleNormal="80" workbookViewId="0">
      <pane ySplit="3" topLeftCell="A4" activePane="bottomLeft" state="frozen"/>
      <selection pane="bottomLeft" sqref="A1:A3"/>
    </sheetView>
  </sheetViews>
  <sheetFormatPr defaultRowHeight="12" x14ac:dyDescent="0.3"/>
  <cols>
    <col min="1" max="1" width="37.453125" style="28" customWidth="1"/>
    <col min="2" max="2" width="58.81640625" style="28" customWidth="1"/>
    <col min="3" max="3" width="44.453125" style="28" customWidth="1"/>
    <col min="4" max="4" width="4.08984375" style="28" bestFit="1" customWidth="1"/>
    <col min="5" max="5" width="8.453125" style="28" bestFit="1" customWidth="1"/>
    <col min="6" max="7" width="10.1796875" style="28" bestFit="1" customWidth="1"/>
    <col min="8" max="8" width="8.08984375" style="28" bestFit="1" customWidth="1"/>
    <col min="9" max="9" width="22.6328125" style="28" bestFit="1" customWidth="1"/>
    <col min="10" max="13" width="9.453125" style="29" customWidth="1"/>
    <col min="14" max="14" width="39.81640625" style="28" bestFit="1" customWidth="1"/>
    <col min="15" max="15" width="16.81640625" style="28" bestFit="1" customWidth="1"/>
    <col min="16" max="18" width="16.81640625" style="28" customWidth="1"/>
    <col min="19" max="19" width="9.7265625" style="28" bestFit="1" customWidth="1"/>
    <col min="20" max="20" width="10.36328125" style="28" bestFit="1" customWidth="1"/>
    <col min="21" max="21" width="9" style="28" bestFit="1" customWidth="1"/>
    <col min="22" max="22" width="12.90625" style="28" bestFit="1" customWidth="1"/>
    <col min="23" max="23" width="15.36328125" style="28" bestFit="1" customWidth="1"/>
    <col min="24" max="29" width="10.36328125" style="29" customWidth="1"/>
    <col min="30" max="16384" width="8.7265625" style="28"/>
  </cols>
  <sheetData>
    <row r="1" spans="1:33" ht="13.5" customHeight="1" x14ac:dyDescent="0.3">
      <c r="A1" s="38" t="s">
        <v>1</v>
      </c>
      <c r="B1" s="38" t="s">
        <v>33246</v>
      </c>
      <c r="C1" s="38" t="s">
        <v>33252</v>
      </c>
      <c r="D1" s="38" t="s">
        <v>33247</v>
      </c>
      <c r="E1" s="38" t="s">
        <v>33297</v>
      </c>
      <c r="F1" s="38" t="s">
        <v>33298</v>
      </c>
      <c r="G1" s="38" t="s">
        <v>33299</v>
      </c>
      <c r="H1" s="38" t="s">
        <v>8415</v>
      </c>
      <c r="I1" s="35" t="s">
        <v>33300</v>
      </c>
      <c r="J1" s="35" t="s">
        <v>33248</v>
      </c>
      <c r="K1" s="35"/>
      <c r="L1" s="35"/>
      <c r="M1" s="35"/>
      <c r="N1" s="35" t="s">
        <v>33249</v>
      </c>
      <c r="O1" s="35" t="s">
        <v>33250</v>
      </c>
      <c r="P1" s="35"/>
      <c r="Q1" s="35"/>
      <c r="R1" s="35"/>
      <c r="S1" s="35"/>
      <c r="T1" s="35"/>
      <c r="U1" s="35"/>
      <c r="V1" s="35"/>
      <c r="W1" s="35"/>
      <c r="X1" s="35" t="s">
        <v>33301</v>
      </c>
      <c r="Y1" s="35"/>
      <c r="Z1" s="35"/>
      <c r="AA1" s="35"/>
      <c r="AB1" s="35"/>
      <c r="AC1" s="35"/>
      <c r="AD1" s="35" t="s">
        <v>33251</v>
      </c>
      <c r="AE1" s="35"/>
      <c r="AF1" s="35"/>
      <c r="AG1" s="35"/>
    </row>
    <row r="2" spans="1:33" ht="48.5" customHeight="1" thickBot="1" x14ac:dyDescent="0.35">
      <c r="A2" s="38"/>
      <c r="B2" s="38"/>
      <c r="C2" s="39"/>
      <c r="D2" s="38"/>
      <c r="E2" s="38"/>
      <c r="F2" s="38"/>
      <c r="G2" s="38"/>
      <c r="H2" s="38"/>
      <c r="I2" s="35"/>
      <c r="J2" s="34" t="s">
        <v>33255</v>
      </c>
      <c r="K2" s="34" t="s">
        <v>33256</v>
      </c>
      <c r="L2" s="34" t="s">
        <v>33257</v>
      </c>
      <c r="M2" s="34" t="s">
        <v>33258</v>
      </c>
      <c r="N2" s="35"/>
      <c r="O2" s="34" t="s">
        <v>33262</v>
      </c>
      <c r="P2" s="36" t="s">
        <v>33244</v>
      </c>
      <c r="Q2" s="36" t="s">
        <v>33293</v>
      </c>
      <c r="R2" s="36" t="s">
        <v>33294</v>
      </c>
      <c r="S2" s="34" t="s">
        <v>33263</v>
      </c>
      <c r="T2" s="34"/>
      <c r="U2" s="34"/>
      <c r="V2" s="34"/>
      <c r="W2" s="34"/>
      <c r="X2" s="34" t="s">
        <v>33274</v>
      </c>
      <c r="Y2" s="34" t="s">
        <v>33275</v>
      </c>
      <c r="Z2" s="34" t="s">
        <v>33259</v>
      </c>
      <c r="AA2" s="34" t="s">
        <v>33260</v>
      </c>
      <c r="AB2" s="34" t="s">
        <v>33261</v>
      </c>
      <c r="AC2" s="34" t="s">
        <v>33229</v>
      </c>
      <c r="AD2" s="34" t="s">
        <v>33276</v>
      </c>
      <c r="AE2" s="34" t="s">
        <v>33277</v>
      </c>
      <c r="AF2" s="34" t="s">
        <v>33278</v>
      </c>
      <c r="AG2" s="34" t="s">
        <v>33279</v>
      </c>
    </row>
    <row r="3" spans="1:33" ht="13" customHeight="1" x14ac:dyDescent="0.3">
      <c r="A3" s="38"/>
      <c r="B3" s="38"/>
      <c r="C3" s="31"/>
      <c r="D3" s="38"/>
      <c r="E3" s="38"/>
      <c r="F3" s="38"/>
      <c r="G3" s="38"/>
      <c r="H3" s="38"/>
      <c r="I3" s="35"/>
      <c r="J3" s="34"/>
      <c r="K3" s="34"/>
      <c r="L3" s="34"/>
      <c r="M3" s="34"/>
      <c r="N3" s="35"/>
      <c r="O3" s="34"/>
      <c r="P3" s="37"/>
      <c r="Q3" s="37"/>
      <c r="R3" s="37"/>
      <c r="S3" s="32" t="s">
        <v>33281</v>
      </c>
      <c r="T3" s="32" t="s">
        <v>33270</v>
      </c>
      <c r="U3" s="32" t="s">
        <v>33280</v>
      </c>
      <c r="V3" s="32" t="s">
        <v>33269</v>
      </c>
      <c r="W3" s="32" t="s">
        <v>33242</v>
      </c>
      <c r="X3" s="34"/>
      <c r="Y3" s="34"/>
      <c r="Z3" s="34"/>
      <c r="AA3" s="34"/>
      <c r="AB3" s="34"/>
      <c r="AC3" s="34"/>
      <c r="AD3" s="34"/>
      <c r="AE3" s="34"/>
      <c r="AF3" s="34"/>
      <c r="AG3" s="34"/>
    </row>
    <row r="4" spans="1:33" x14ac:dyDescent="0.3">
      <c r="A4" s="28" t="s">
        <v>7959</v>
      </c>
      <c r="B4" s="28" t="s">
        <v>7961</v>
      </c>
      <c r="C4" s="28" t="s">
        <v>3421</v>
      </c>
      <c r="D4" s="28">
        <v>2019</v>
      </c>
      <c r="E4" s="28" t="s">
        <v>8491</v>
      </c>
      <c r="F4" s="28" t="s">
        <v>8428</v>
      </c>
      <c r="G4" s="28" t="s">
        <v>8428</v>
      </c>
      <c r="H4" s="28" t="s">
        <v>8422</v>
      </c>
      <c r="I4" s="28" t="s">
        <v>8436</v>
      </c>
      <c r="J4" s="29" t="s">
        <v>33296</v>
      </c>
      <c r="N4" s="28" t="s">
        <v>33237</v>
      </c>
      <c r="O4" s="28" t="s">
        <v>33240</v>
      </c>
      <c r="P4" s="28" t="s">
        <v>33290</v>
      </c>
      <c r="Q4" s="28" t="s">
        <v>33240</v>
      </c>
      <c r="R4" s="28" t="s">
        <v>33291</v>
      </c>
      <c r="S4" s="29" t="s">
        <v>33296</v>
      </c>
      <c r="T4" s="29" t="s">
        <v>33296</v>
      </c>
      <c r="U4" s="29"/>
      <c r="V4" s="29"/>
      <c r="W4" s="29"/>
      <c r="X4" s="29" t="s">
        <v>33296</v>
      </c>
      <c r="AD4" s="29"/>
      <c r="AE4" s="29"/>
      <c r="AF4" s="29"/>
      <c r="AG4" s="29"/>
    </row>
    <row r="5" spans="1:33" x14ac:dyDescent="0.3">
      <c r="A5" s="28" t="s">
        <v>357</v>
      </c>
      <c r="B5" s="28" t="s">
        <v>359</v>
      </c>
      <c r="C5" s="28" t="s">
        <v>360</v>
      </c>
      <c r="D5" s="28">
        <v>2019</v>
      </c>
      <c r="E5" s="28" t="s">
        <v>8491</v>
      </c>
      <c r="F5" s="28" t="s">
        <v>8421</v>
      </c>
      <c r="G5" s="28" t="s">
        <v>8428</v>
      </c>
      <c r="H5" s="28" t="s">
        <v>8422</v>
      </c>
      <c r="I5" s="28" t="s">
        <v>8423</v>
      </c>
      <c r="J5" s="29" t="s">
        <v>69</v>
      </c>
      <c r="L5" s="30" t="s">
        <v>33296</v>
      </c>
      <c r="N5" s="28" t="s">
        <v>33236</v>
      </c>
      <c r="O5" s="28" t="s">
        <v>8421</v>
      </c>
      <c r="P5" s="28" t="s">
        <v>33290</v>
      </c>
      <c r="Q5" s="28" t="s">
        <v>8421</v>
      </c>
      <c r="R5" s="28" t="s">
        <v>33291</v>
      </c>
      <c r="S5" s="29" t="s">
        <v>33296</v>
      </c>
      <c r="T5" s="29" t="s">
        <v>33296</v>
      </c>
      <c r="U5" s="29" t="s">
        <v>33296</v>
      </c>
      <c r="V5" s="29" t="s">
        <v>33296</v>
      </c>
      <c r="W5" s="29" t="s">
        <v>33296</v>
      </c>
      <c r="Z5" s="29" t="s">
        <v>33296</v>
      </c>
      <c r="AA5" s="29" t="s">
        <v>33296</v>
      </c>
      <c r="AD5" s="29"/>
      <c r="AE5" s="29"/>
      <c r="AF5" s="29"/>
      <c r="AG5" s="29"/>
    </row>
    <row r="6" spans="1:33" x14ac:dyDescent="0.3">
      <c r="A6" s="28" t="s">
        <v>7711</v>
      </c>
      <c r="B6" s="28" t="s">
        <v>7712</v>
      </c>
      <c r="C6" s="28" t="s">
        <v>7713</v>
      </c>
      <c r="D6" s="28">
        <v>2000</v>
      </c>
      <c r="E6" s="28" t="s">
        <v>8491</v>
      </c>
      <c r="F6" s="28" t="s">
        <v>8420</v>
      </c>
      <c r="G6" s="28" t="s">
        <v>8420</v>
      </c>
      <c r="H6" s="28" t="s">
        <v>8422</v>
      </c>
      <c r="I6" s="28" t="s">
        <v>8423</v>
      </c>
      <c r="J6" s="29" t="s">
        <v>33296</v>
      </c>
      <c r="K6" s="29" t="s">
        <v>33296</v>
      </c>
      <c r="N6" s="28" t="s">
        <v>33237</v>
      </c>
      <c r="O6" s="28" t="s">
        <v>33291</v>
      </c>
      <c r="P6" s="28" t="s">
        <v>33291</v>
      </c>
      <c r="Q6" s="28" t="s">
        <v>33291</v>
      </c>
      <c r="R6" s="28" t="s">
        <v>33291</v>
      </c>
      <c r="S6" s="29" t="s">
        <v>33296</v>
      </c>
      <c r="T6" s="29" t="s">
        <v>33296</v>
      </c>
      <c r="U6" s="29" t="s">
        <v>33296</v>
      </c>
      <c r="V6" s="29" t="s">
        <v>33296</v>
      </c>
      <c r="W6" s="29" t="s">
        <v>33296</v>
      </c>
      <c r="Z6" s="29" t="s">
        <v>33296</v>
      </c>
      <c r="AD6" s="29" t="s">
        <v>33296</v>
      </c>
      <c r="AE6" s="29"/>
      <c r="AF6" s="29"/>
      <c r="AG6" s="29"/>
    </row>
    <row r="7" spans="1:33" x14ac:dyDescent="0.3">
      <c r="A7" s="28" t="s">
        <v>5589</v>
      </c>
      <c r="B7" s="28" t="s">
        <v>5591</v>
      </c>
      <c r="C7" s="28" t="s">
        <v>5592</v>
      </c>
      <c r="D7" s="28">
        <v>2012</v>
      </c>
      <c r="E7" s="28" t="s">
        <v>8490</v>
      </c>
      <c r="F7" s="28" t="s">
        <v>8420</v>
      </c>
      <c r="G7" s="28" t="s">
        <v>8420</v>
      </c>
      <c r="H7" s="28" t="s">
        <v>8422</v>
      </c>
      <c r="I7" s="28" t="s">
        <v>8423</v>
      </c>
      <c r="J7" s="29" t="s">
        <v>33296</v>
      </c>
      <c r="N7" s="28" t="s">
        <v>33231</v>
      </c>
      <c r="O7" s="28" t="s">
        <v>33240</v>
      </c>
      <c r="P7" s="28" t="s">
        <v>33290</v>
      </c>
      <c r="Q7" s="28" t="s">
        <v>33240</v>
      </c>
      <c r="R7" s="28" t="s">
        <v>33291</v>
      </c>
      <c r="S7" s="29" t="s">
        <v>33296</v>
      </c>
      <c r="T7" s="29" t="s">
        <v>33296</v>
      </c>
      <c r="U7" s="29" t="s">
        <v>33296</v>
      </c>
      <c r="V7" s="29" t="s">
        <v>33296</v>
      </c>
      <c r="W7" s="29" t="s">
        <v>33296</v>
      </c>
      <c r="X7" s="29" t="s">
        <v>33296</v>
      </c>
      <c r="Y7" s="29" t="s">
        <v>33296</v>
      </c>
      <c r="Z7" s="29" t="s">
        <v>33296</v>
      </c>
      <c r="AD7" s="29" t="s">
        <v>33296</v>
      </c>
      <c r="AE7" s="29"/>
      <c r="AF7" s="29" t="s">
        <v>33296</v>
      </c>
      <c r="AG7" s="29"/>
    </row>
    <row r="8" spans="1:33" x14ac:dyDescent="0.3">
      <c r="A8" s="28" t="s">
        <v>2402</v>
      </c>
      <c r="B8" s="28" t="s">
        <v>2404</v>
      </c>
      <c r="C8" s="28" t="s">
        <v>436</v>
      </c>
      <c r="D8" s="28">
        <v>2018</v>
      </c>
      <c r="E8" s="28" t="s">
        <v>8491</v>
      </c>
      <c r="F8" s="28" t="s">
        <v>8420</v>
      </c>
      <c r="G8" s="28" t="s">
        <v>8420</v>
      </c>
      <c r="H8" s="28" t="s">
        <v>8422</v>
      </c>
      <c r="I8" s="28" t="s">
        <v>8423</v>
      </c>
      <c r="J8" s="29" t="s">
        <v>69</v>
      </c>
      <c r="L8" s="29" t="s">
        <v>33296</v>
      </c>
      <c r="N8" s="28" t="s">
        <v>33288</v>
      </c>
      <c r="O8" s="28" t="s">
        <v>33291</v>
      </c>
      <c r="P8" s="28" t="s">
        <v>33291</v>
      </c>
      <c r="Q8" s="28" t="s">
        <v>33291</v>
      </c>
      <c r="R8" s="28" t="s">
        <v>33291</v>
      </c>
      <c r="S8" s="29"/>
      <c r="T8" s="29"/>
      <c r="U8" s="29"/>
      <c r="V8" s="29"/>
      <c r="W8" s="29" t="s">
        <v>33296</v>
      </c>
      <c r="AD8" s="29"/>
      <c r="AE8" s="29"/>
      <c r="AF8" s="29"/>
      <c r="AG8" s="29"/>
    </row>
    <row r="9" spans="1:33" x14ac:dyDescent="0.3">
      <c r="A9" s="28" t="s">
        <v>87</v>
      </c>
      <c r="B9" s="28" t="s">
        <v>89</v>
      </c>
      <c r="C9" s="28" t="s">
        <v>90</v>
      </c>
      <c r="D9" s="28">
        <v>2011</v>
      </c>
      <c r="E9" s="28" t="s">
        <v>8490</v>
      </c>
      <c r="F9" s="28" t="s">
        <v>8421</v>
      </c>
      <c r="G9" s="28" t="s">
        <v>8420</v>
      </c>
      <c r="H9" s="28" t="s">
        <v>8422</v>
      </c>
      <c r="I9" s="28" t="s">
        <v>8423</v>
      </c>
      <c r="J9" s="29" t="s">
        <v>33296</v>
      </c>
      <c r="K9" s="29" t="s">
        <v>33296</v>
      </c>
      <c r="L9" s="29" t="s">
        <v>33296</v>
      </c>
      <c r="N9" s="28" t="s">
        <v>33282</v>
      </c>
      <c r="O9" s="28" t="s">
        <v>8421</v>
      </c>
      <c r="P9" s="28" t="s">
        <v>33290</v>
      </c>
      <c r="Q9" s="28" t="s">
        <v>8421</v>
      </c>
      <c r="R9" s="28" t="s">
        <v>33291</v>
      </c>
      <c r="S9" s="29" t="s">
        <v>33296</v>
      </c>
      <c r="T9" s="29" t="s">
        <v>33296</v>
      </c>
      <c r="U9" s="29"/>
      <c r="V9" s="29"/>
      <c r="W9" s="29"/>
      <c r="Y9" s="29" t="s">
        <v>33296</v>
      </c>
      <c r="Z9" s="29" t="s">
        <v>33296</v>
      </c>
      <c r="AA9" s="29" t="s">
        <v>33296</v>
      </c>
      <c r="AC9" s="29" t="s">
        <v>33296</v>
      </c>
      <c r="AD9" s="29" t="s">
        <v>33296</v>
      </c>
      <c r="AE9" s="29"/>
      <c r="AF9" s="29" t="s">
        <v>33296</v>
      </c>
      <c r="AG9" s="29"/>
    </row>
    <row r="10" spans="1:33" x14ac:dyDescent="0.3">
      <c r="A10" s="28" t="s">
        <v>7773</v>
      </c>
      <c r="B10" s="28" t="s">
        <v>7775</v>
      </c>
      <c r="C10" s="28" t="s">
        <v>4495</v>
      </c>
      <c r="D10" s="28">
        <v>2012</v>
      </c>
      <c r="E10" s="28" t="s">
        <v>8491</v>
      </c>
      <c r="F10" s="28" t="s">
        <v>8427</v>
      </c>
      <c r="G10" s="28" t="s">
        <v>8427</v>
      </c>
      <c r="H10" s="28" t="s">
        <v>8422</v>
      </c>
      <c r="I10" s="28" t="s">
        <v>8436</v>
      </c>
      <c r="J10" s="29" t="s">
        <v>69</v>
      </c>
      <c r="N10" s="28" t="s">
        <v>33237</v>
      </c>
      <c r="O10" s="28" t="s">
        <v>33241</v>
      </c>
      <c r="P10" s="28" t="s">
        <v>33290</v>
      </c>
      <c r="Q10" s="28" t="s">
        <v>33241</v>
      </c>
      <c r="R10" s="28" t="s">
        <v>33291</v>
      </c>
      <c r="S10" s="29"/>
      <c r="T10" s="29"/>
      <c r="U10" s="29"/>
      <c r="V10" s="29"/>
      <c r="W10" s="29" t="s">
        <v>33296</v>
      </c>
      <c r="AD10" s="29"/>
      <c r="AE10" s="29"/>
      <c r="AF10" s="29"/>
      <c r="AG10" s="29"/>
    </row>
    <row r="11" spans="1:33" x14ac:dyDescent="0.3">
      <c r="A11" s="28" t="s">
        <v>4657</v>
      </c>
      <c r="B11" s="28" t="s">
        <v>4659</v>
      </c>
      <c r="C11" s="28" t="s">
        <v>715</v>
      </c>
      <c r="D11" s="28">
        <v>2015</v>
      </c>
      <c r="E11" s="28" t="s">
        <v>8490</v>
      </c>
      <c r="F11" s="28" t="s">
        <v>8420</v>
      </c>
      <c r="G11" s="28" t="s">
        <v>8420</v>
      </c>
      <c r="H11" s="28" t="s">
        <v>8422</v>
      </c>
      <c r="I11" s="28" t="s">
        <v>8436</v>
      </c>
      <c r="J11" s="29" t="s">
        <v>69</v>
      </c>
      <c r="L11" s="29" t="s">
        <v>33296</v>
      </c>
      <c r="N11" s="28" t="s">
        <v>33233</v>
      </c>
      <c r="O11" s="28" t="s">
        <v>33241</v>
      </c>
      <c r="P11" s="28" t="s">
        <v>33290</v>
      </c>
      <c r="Q11" s="28" t="s">
        <v>33241</v>
      </c>
      <c r="R11" s="28" t="s">
        <v>33291</v>
      </c>
      <c r="S11" s="29" t="s">
        <v>33296</v>
      </c>
      <c r="T11" s="29" t="s">
        <v>33296</v>
      </c>
      <c r="U11" s="29"/>
      <c r="V11" s="29"/>
      <c r="W11" s="29"/>
      <c r="Z11" s="29" t="s">
        <v>33296</v>
      </c>
      <c r="AD11" s="29"/>
      <c r="AE11" s="29"/>
      <c r="AF11" s="29"/>
      <c r="AG11" s="29"/>
    </row>
    <row r="12" spans="1:33" x14ac:dyDescent="0.3">
      <c r="A12" s="28" t="s">
        <v>1300</v>
      </c>
      <c r="B12" s="28" t="s">
        <v>1302</v>
      </c>
      <c r="C12" s="28" t="s">
        <v>929</v>
      </c>
      <c r="D12" s="28">
        <v>2015</v>
      </c>
      <c r="E12" s="28" t="s">
        <v>8490</v>
      </c>
      <c r="F12" s="28" t="s">
        <v>8429</v>
      </c>
      <c r="G12" s="28" t="s">
        <v>8429</v>
      </c>
      <c r="H12" s="28" t="s">
        <v>8422</v>
      </c>
      <c r="I12" s="28" t="s">
        <v>8423</v>
      </c>
      <c r="J12" s="29" t="s">
        <v>33296</v>
      </c>
      <c r="N12" s="28" t="s">
        <v>33232</v>
      </c>
      <c r="O12" s="28" t="s">
        <v>33241</v>
      </c>
      <c r="P12" s="28" t="s">
        <v>33290</v>
      </c>
      <c r="Q12" s="28" t="s">
        <v>33241</v>
      </c>
      <c r="R12" s="28" t="s">
        <v>33291</v>
      </c>
      <c r="S12" s="29" t="s">
        <v>33296</v>
      </c>
      <c r="T12" s="29" t="s">
        <v>33296</v>
      </c>
      <c r="U12" s="29" t="s">
        <v>33296</v>
      </c>
      <c r="V12" s="29"/>
      <c r="W12" s="29"/>
      <c r="AC12" s="29" t="s">
        <v>33296</v>
      </c>
      <c r="AD12" s="29" t="s">
        <v>33296</v>
      </c>
      <c r="AE12" s="29"/>
      <c r="AF12" s="29"/>
      <c r="AG12" s="29"/>
    </row>
    <row r="13" spans="1:33" x14ac:dyDescent="0.3">
      <c r="A13" s="28" t="s">
        <v>7410</v>
      </c>
      <c r="B13" s="28" t="s">
        <v>7412</v>
      </c>
      <c r="C13" s="28" t="s">
        <v>4399</v>
      </c>
      <c r="D13" s="28">
        <v>2017</v>
      </c>
      <c r="E13" s="28" t="s">
        <v>8491</v>
      </c>
      <c r="F13" s="28" t="s">
        <v>8421</v>
      </c>
      <c r="G13" s="28" t="s">
        <v>8428</v>
      </c>
      <c r="H13" s="28" t="s">
        <v>8422</v>
      </c>
      <c r="I13" s="28" t="s">
        <v>8423</v>
      </c>
      <c r="J13" s="29" t="s">
        <v>69</v>
      </c>
      <c r="K13" s="29" t="s">
        <v>33296</v>
      </c>
      <c r="L13" s="29" t="s">
        <v>33296</v>
      </c>
      <c r="N13" s="28" t="s">
        <v>33237</v>
      </c>
      <c r="O13" s="28" t="s">
        <v>33264</v>
      </c>
      <c r="P13" s="28" t="s">
        <v>33292</v>
      </c>
      <c r="Q13" s="28" t="s">
        <v>33291</v>
      </c>
      <c r="R13" s="28" t="s">
        <v>33264</v>
      </c>
      <c r="S13" s="29"/>
      <c r="T13" s="29" t="s">
        <v>33296</v>
      </c>
      <c r="U13" s="29"/>
      <c r="V13" s="29"/>
      <c r="W13" s="29"/>
      <c r="AA13" s="29" t="s">
        <v>33296</v>
      </c>
      <c r="AD13" s="29"/>
      <c r="AE13" s="29" t="s">
        <v>33296</v>
      </c>
      <c r="AF13" s="29" t="s">
        <v>33296</v>
      </c>
      <c r="AG13" s="29"/>
    </row>
    <row r="14" spans="1:33" x14ac:dyDescent="0.3">
      <c r="A14" s="28" t="s">
        <v>5547</v>
      </c>
      <c r="B14" s="28" t="s">
        <v>5548</v>
      </c>
      <c r="C14" s="28" t="s">
        <v>5549</v>
      </c>
      <c r="D14" s="28">
        <v>1994</v>
      </c>
      <c r="E14" s="28" t="s">
        <v>8490</v>
      </c>
      <c r="F14" s="28" t="s">
        <v>8428</v>
      </c>
      <c r="G14" s="28" t="s">
        <v>8428</v>
      </c>
      <c r="H14" s="28" t="s">
        <v>8422</v>
      </c>
      <c r="I14" s="28" t="s">
        <v>8436</v>
      </c>
      <c r="J14" s="29" t="s">
        <v>69</v>
      </c>
      <c r="L14" s="29" t="s">
        <v>33296</v>
      </c>
      <c r="N14" s="28" t="s">
        <v>33230</v>
      </c>
      <c r="O14" s="28" t="s">
        <v>33265</v>
      </c>
      <c r="P14" s="28" t="s">
        <v>33290</v>
      </c>
      <c r="Q14" s="28" t="s">
        <v>33265</v>
      </c>
      <c r="R14" s="28" t="s">
        <v>33291</v>
      </c>
      <c r="S14" s="29"/>
      <c r="T14" s="29"/>
      <c r="U14" s="29"/>
      <c r="V14" s="29"/>
      <c r="W14" s="29" t="s">
        <v>33296</v>
      </c>
      <c r="Z14" s="29" t="s">
        <v>33296</v>
      </c>
      <c r="AD14" s="29"/>
      <c r="AE14" s="29"/>
      <c r="AF14" s="29"/>
      <c r="AG14" s="29"/>
    </row>
    <row r="15" spans="1:33" x14ac:dyDescent="0.3">
      <c r="A15" s="28" t="s">
        <v>4574</v>
      </c>
      <c r="B15" s="28" t="s">
        <v>4576</v>
      </c>
      <c r="C15" s="28" t="s">
        <v>4577</v>
      </c>
      <c r="D15" s="28">
        <v>2022</v>
      </c>
      <c r="E15" s="28" t="s">
        <v>8491</v>
      </c>
      <c r="F15" s="28" t="s">
        <v>8429</v>
      </c>
      <c r="G15" s="28" t="s">
        <v>8420</v>
      </c>
      <c r="H15" s="28" t="s">
        <v>8422</v>
      </c>
      <c r="I15" s="28" t="s">
        <v>8423</v>
      </c>
      <c r="J15" s="29" t="s">
        <v>33296</v>
      </c>
      <c r="K15" s="29" t="s">
        <v>33296</v>
      </c>
      <c r="N15" s="28" t="s">
        <v>33283</v>
      </c>
      <c r="O15" s="28" t="s">
        <v>33264</v>
      </c>
      <c r="P15" s="28" t="s">
        <v>33292</v>
      </c>
      <c r="Q15" s="28" t="s">
        <v>33291</v>
      </c>
      <c r="R15" s="28" t="s">
        <v>33264</v>
      </c>
      <c r="S15" s="29"/>
      <c r="T15" s="29"/>
      <c r="U15" s="29"/>
      <c r="V15" s="29" t="s">
        <v>33296</v>
      </c>
      <c r="W15" s="29"/>
      <c r="Y15" s="29" t="s">
        <v>33296</v>
      </c>
      <c r="AC15" s="29" t="s">
        <v>33296</v>
      </c>
      <c r="AD15" s="29" t="s">
        <v>33296</v>
      </c>
      <c r="AE15" s="29" t="s">
        <v>33296</v>
      </c>
      <c r="AF15" s="29"/>
      <c r="AG15" s="29"/>
    </row>
    <row r="16" spans="1:33" x14ac:dyDescent="0.3">
      <c r="A16" s="28" t="s">
        <v>4328</v>
      </c>
      <c r="B16" s="28" t="s">
        <v>4330</v>
      </c>
      <c r="C16" s="28" t="s">
        <v>2365</v>
      </c>
      <c r="D16" s="28">
        <v>2019</v>
      </c>
      <c r="E16" s="28" t="s">
        <v>8490</v>
      </c>
      <c r="F16" s="28" t="s">
        <v>8435</v>
      </c>
      <c r="G16" s="28" t="s">
        <v>8428</v>
      </c>
      <c r="H16" s="28" t="s">
        <v>8422</v>
      </c>
      <c r="I16" s="28" t="s">
        <v>8423</v>
      </c>
      <c r="J16" s="29" t="s">
        <v>33296</v>
      </c>
      <c r="M16" s="29" t="s">
        <v>33296</v>
      </c>
      <c r="N16" s="28" t="s">
        <v>33232</v>
      </c>
      <c r="O16" s="28" t="s">
        <v>33241</v>
      </c>
      <c r="P16" s="28" t="s">
        <v>33290</v>
      </c>
      <c r="Q16" s="28" t="s">
        <v>33241</v>
      </c>
      <c r="R16" s="28" t="s">
        <v>33291</v>
      </c>
      <c r="S16" s="29" t="s">
        <v>33296</v>
      </c>
      <c r="T16" s="29" t="s">
        <v>33296</v>
      </c>
      <c r="U16" s="29"/>
      <c r="V16" s="29"/>
      <c r="W16" s="29"/>
      <c r="X16" s="29" t="s">
        <v>33296</v>
      </c>
      <c r="AC16" s="29" t="s">
        <v>33296</v>
      </c>
      <c r="AD16" s="29" t="s">
        <v>33296</v>
      </c>
      <c r="AE16" s="29"/>
      <c r="AF16" s="29"/>
      <c r="AG16" s="29" t="s">
        <v>33296</v>
      </c>
    </row>
    <row r="17" spans="1:33" x14ac:dyDescent="0.3">
      <c r="A17" s="28" t="s">
        <v>7927</v>
      </c>
      <c r="B17" s="28" t="s">
        <v>7929</v>
      </c>
      <c r="C17" s="28" t="s">
        <v>352</v>
      </c>
      <c r="D17" s="28">
        <v>2018</v>
      </c>
      <c r="E17" s="28" t="s">
        <v>8491</v>
      </c>
      <c r="F17" s="28" t="s">
        <v>8429</v>
      </c>
      <c r="G17" s="28" t="s">
        <v>8420</v>
      </c>
      <c r="H17" s="28" t="s">
        <v>8422</v>
      </c>
      <c r="I17" s="28" t="s">
        <v>8423</v>
      </c>
      <c r="J17" s="29" t="s">
        <v>69</v>
      </c>
      <c r="K17" s="29" t="s">
        <v>33296</v>
      </c>
      <c r="N17" s="28" t="s">
        <v>33235</v>
      </c>
      <c r="O17" s="28" t="s">
        <v>33241</v>
      </c>
      <c r="P17" s="28" t="s">
        <v>33290</v>
      </c>
      <c r="Q17" s="28" t="s">
        <v>33241</v>
      </c>
      <c r="R17" s="28" t="s">
        <v>33291</v>
      </c>
      <c r="S17" s="29" t="s">
        <v>33296</v>
      </c>
      <c r="T17" s="29" t="s">
        <v>33296</v>
      </c>
      <c r="U17" s="29" t="s">
        <v>33296</v>
      </c>
      <c r="V17" s="29"/>
      <c r="W17" s="29"/>
      <c r="Z17" s="29" t="s">
        <v>33296</v>
      </c>
      <c r="AD17" s="29"/>
      <c r="AE17" s="29"/>
      <c r="AF17" s="29"/>
      <c r="AG17" s="29"/>
    </row>
    <row r="18" spans="1:33" x14ac:dyDescent="0.3">
      <c r="A18" s="28" t="s">
        <v>8196</v>
      </c>
      <c r="B18" s="28" t="s">
        <v>8198</v>
      </c>
      <c r="C18" s="28" t="s">
        <v>1405</v>
      </c>
      <c r="D18" s="28">
        <v>2016</v>
      </c>
      <c r="E18" s="28" t="s">
        <v>8490</v>
      </c>
      <c r="F18" s="28" t="s">
        <v>8420</v>
      </c>
      <c r="G18" s="28" t="s">
        <v>8420</v>
      </c>
      <c r="H18" s="28" t="s">
        <v>8422</v>
      </c>
      <c r="I18" s="28" t="s">
        <v>8423</v>
      </c>
      <c r="J18" s="29" t="s">
        <v>69</v>
      </c>
      <c r="K18" s="29" t="s">
        <v>33296</v>
      </c>
      <c r="N18" s="28" t="s">
        <v>33239</v>
      </c>
      <c r="O18" s="28" t="s">
        <v>33241</v>
      </c>
      <c r="P18" s="28" t="s">
        <v>33290</v>
      </c>
      <c r="Q18" s="28" t="s">
        <v>33241</v>
      </c>
      <c r="R18" s="28" t="s">
        <v>33291</v>
      </c>
      <c r="S18" s="29" t="s">
        <v>33296</v>
      </c>
      <c r="T18" s="29" t="s">
        <v>33296</v>
      </c>
      <c r="U18" s="29" t="s">
        <v>33296</v>
      </c>
      <c r="V18" s="29"/>
      <c r="W18" s="29"/>
      <c r="Z18" s="29" t="s">
        <v>33296</v>
      </c>
      <c r="AC18" s="29" t="s">
        <v>33296</v>
      </c>
      <c r="AD18" s="29"/>
      <c r="AE18" s="29"/>
      <c r="AF18" s="29"/>
      <c r="AG18" s="29"/>
    </row>
    <row r="19" spans="1:33" x14ac:dyDescent="0.3">
      <c r="A19" s="28" t="s">
        <v>8357</v>
      </c>
      <c r="B19" s="28" t="s">
        <v>8358</v>
      </c>
      <c r="C19" s="28" t="s">
        <v>4711</v>
      </c>
      <c r="D19" s="28">
        <v>1993</v>
      </c>
      <c r="E19" s="28" t="s">
        <v>8491</v>
      </c>
      <c r="F19" s="28" t="s">
        <v>8424</v>
      </c>
      <c r="G19" s="28" t="s">
        <v>8420</v>
      </c>
      <c r="H19" s="28" t="s">
        <v>8425</v>
      </c>
      <c r="I19" s="28" t="s">
        <v>8423</v>
      </c>
      <c r="J19" s="29" t="s">
        <v>69</v>
      </c>
      <c r="N19" s="28" t="s">
        <v>33282</v>
      </c>
      <c r="O19" s="28" t="s">
        <v>33291</v>
      </c>
      <c r="P19" s="28" t="s">
        <v>33291</v>
      </c>
      <c r="Q19" s="28" t="s">
        <v>33291</v>
      </c>
      <c r="R19" s="28" t="s">
        <v>33291</v>
      </c>
      <c r="S19" s="29"/>
      <c r="T19" s="29"/>
      <c r="U19" s="29"/>
      <c r="V19" s="29"/>
      <c r="W19" s="29" t="s">
        <v>33296</v>
      </c>
      <c r="AD19" s="29"/>
      <c r="AE19" s="29"/>
      <c r="AF19" s="29"/>
      <c r="AG19" s="29"/>
    </row>
    <row r="20" spans="1:33" x14ac:dyDescent="0.3">
      <c r="A20" s="28" t="s">
        <v>4362</v>
      </c>
      <c r="B20" s="28" t="s">
        <v>4364</v>
      </c>
      <c r="C20" s="28" t="s">
        <v>2116</v>
      </c>
      <c r="D20" s="28">
        <v>2020</v>
      </c>
      <c r="E20" s="28" t="s">
        <v>8491</v>
      </c>
      <c r="F20" s="28" t="s">
        <v>8421</v>
      </c>
      <c r="G20" s="28" t="s">
        <v>8428</v>
      </c>
      <c r="H20" s="28" t="s">
        <v>8425</v>
      </c>
      <c r="I20" s="28" t="s">
        <v>8423</v>
      </c>
      <c r="J20" s="29" t="s">
        <v>69</v>
      </c>
      <c r="K20" s="29" t="s">
        <v>33296</v>
      </c>
      <c r="N20" s="28" t="s">
        <v>33237</v>
      </c>
      <c r="O20" s="28" t="s">
        <v>33264</v>
      </c>
      <c r="P20" s="28" t="s">
        <v>33292</v>
      </c>
      <c r="Q20" s="28" t="s">
        <v>33291</v>
      </c>
      <c r="R20" s="28" t="s">
        <v>33264</v>
      </c>
      <c r="S20" s="29" t="s">
        <v>33296</v>
      </c>
      <c r="T20" s="29"/>
      <c r="U20" s="29"/>
      <c r="V20" s="29"/>
      <c r="W20" s="29"/>
      <c r="Z20" s="29" t="s">
        <v>33296</v>
      </c>
      <c r="AD20" s="29"/>
      <c r="AE20" s="29" t="s">
        <v>33296</v>
      </c>
      <c r="AF20" s="29"/>
      <c r="AG20" s="29"/>
    </row>
    <row r="21" spans="1:33" x14ac:dyDescent="0.3">
      <c r="A21" s="28" t="s">
        <v>5029</v>
      </c>
      <c r="B21" s="28" t="s">
        <v>5031</v>
      </c>
      <c r="C21" s="28" t="s">
        <v>5032</v>
      </c>
      <c r="D21" s="28">
        <v>2012</v>
      </c>
      <c r="E21" s="28" t="s">
        <v>8490</v>
      </c>
      <c r="F21" s="28" t="s">
        <v>8420</v>
      </c>
      <c r="G21" s="28" t="s">
        <v>8420</v>
      </c>
      <c r="H21" s="28" t="s">
        <v>8422</v>
      </c>
      <c r="I21" s="28" t="s">
        <v>8423</v>
      </c>
      <c r="J21" s="29" t="s">
        <v>69</v>
      </c>
      <c r="K21" s="29" t="s">
        <v>33296</v>
      </c>
      <c r="N21" s="28" t="s">
        <v>33282</v>
      </c>
      <c r="O21" s="28" t="s">
        <v>33241</v>
      </c>
      <c r="P21" s="28" t="s">
        <v>33290</v>
      </c>
      <c r="Q21" s="28" t="s">
        <v>33241</v>
      </c>
      <c r="R21" s="28" t="s">
        <v>33291</v>
      </c>
      <c r="S21" s="29"/>
      <c r="T21" s="29"/>
      <c r="U21" s="29"/>
      <c r="V21" s="29"/>
      <c r="W21" s="29" t="s">
        <v>33296</v>
      </c>
      <c r="AD21" s="29"/>
      <c r="AE21" s="29"/>
      <c r="AF21" s="29"/>
      <c r="AG21" s="29"/>
    </row>
    <row r="22" spans="1:33" x14ac:dyDescent="0.3">
      <c r="A22" s="28" t="s">
        <v>2355</v>
      </c>
      <c r="B22" s="28" t="s">
        <v>2357</v>
      </c>
      <c r="C22" s="28" t="s">
        <v>582</v>
      </c>
      <c r="D22" s="28">
        <v>2018</v>
      </c>
      <c r="E22" s="28" t="s">
        <v>8490</v>
      </c>
      <c r="F22" s="28" t="s">
        <v>8429</v>
      </c>
      <c r="G22" s="28" t="s">
        <v>8429</v>
      </c>
      <c r="H22" s="28" t="s">
        <v>8422</v>
      </c>
      <c r="I22" s="28" t="s">
        <v>8423</v>
      </c>
      <c r="J22" s="29" t="s">
        <v>69</v>
      </c>
      <c r="M22" s="29" t="s">
        <v>33296</v>
      </c>
      <c r="N22" s="28" t="s">
        <v>33232</v>
      </c>
      <c r="O22" s="28" t="s">
        <v>33267</v>
      </c>
      <c r="P22" s="28" t="s">
        <v>33292</v>
      </c>
      <c r="Q22" s="28" t="s">
        <v>33291</v>
      </c>
      <c r="R22" s="28" t="s">
        <v>33267</v>
      </c>
      <c r="S22" s="29" t="s">
        <v>33296</v>
      </c>
      <c r="T22" s="29"/>
      <c r="U22" s="29" t="s">
        <v>33296</v>
      </c>
      <c r="V22" s="29"/>
      <c r="W22" s="29"/>
      <c r="AB22" s="29" t="s">
        <v>33296</v>
      </c>
      <c r="AC22" s="29" t="s">
        <v>33296</v>
      </c>
      <c r="AD22" s="29"/>
      <c r="AE22" s="29"/>
      <c r="AF22" s="29"/>
      <c r="AG22" s="29" t="s">
        <v>33296</v>
      </c>
    </row>
    <row r="23" spans="1:33" x14ac:dyDescent="0.3">
      <c r="A23" s="28" t="s">
        <v>8239</v>
      </c>
      <c r="B23" s="28" t="s">
        <v>8241</v>
      </c>
      <c r="C23" s="28" t="s">
        <v>417</v>
      </c>
      <c r="D23" s="28">
        <v>2013</v>
      </c>
      <c r="E23" s="28" t="s">
        <v>8490</v>
      </c>
      <c r="F23" s="28" t="s">
        <v>8429</v>
      </c>
      <c r="G23" s="28" t="s">
        <v>8428</v>
      </c>
      <c r="H23" s="28" t="s">
        <v>8422</v>
      </c>
      <c r="I23" s="28" t="s">
        <v>8423</v>
      </c>
      <c r="J23" s="29" t="s">
        <v>69</v>
      </c>
      <c r="K23" s="29" t="s">
        <v>33296</v>
      </c>
      <c r="M23" s="29" t="s">
        <v>33296</v>
      </c>
      <c r="N23" s="28" t="s">
        <v>33284</v>
      </c>
      <c r="O23" s="28" t="s">
        <v>33264</v>
      </c>
      <c r="P23" s="28" t="s">
        <v>33292</v>
      </c>
      <c r="Q23" s="28" t="s">
        <v>33291</v>
      </c>
      <c r="R23" s="28" t="s">
        <v>33264</v>
      </c>
      <c r="S23" s="29" t="s">
        <v>33296</v>
      </c>
      <c r="T23" s="29"/>
      <c r="U23" s="29"/>
      <c r="V23" s="29"/>
      <c r="W23" s="29"/>
      <c r="Z23" s="29" t="s">
        <v>33296</v>
      </c>
      <c r="AB23" s="29" t="s">
        <v>33296</v>
      </c>
      <c r="AD23" s="29"/>
      <c r="AE23" s="29" t="s">
        <v>33296</v>
      </c>
      <c r="AF23" s="29"/>
      <c r="AG23" s="29" t="s">
        <v>33296</v>
      </c>
    </row>
    <row r="24" spans="1:33" x14ac:dyDescent="0.3">
      <c r="A24" s="28" t="s">
        <v>7583</v>
      </c>
      <c r="B24" s="28" t="s">
        <v>7585</v>
      </c>
      <c r="C24" s="28" t="s">
        <v>7586</v>
      </c>
      <c r="D24" s="28">
        <v>2011</v>
      </c>
      <c r="E24" s="28" t="s">
        <v>8491</v>
      </c>
      <c r="F24" s="28" t="s">
        <v>8421</v>
      </c>
      <c r="G24" s="28" t="s">
        <v>8420</v>
      </c>
      <c r="H24" s="28" t="s">
        <v>8422</v>
      </c>
      <c r="I24" s="28" t="s">
        <v>8423</v>
      </c>
      <c r="J24" s="29" t="s">
        <v>69</v>
      </c>
      <c r="L24" s="29" t="s">
        <v>33296</v>
      </c>
      <c r="N24" s="28" t="s">
        <v>33234</v>
      </c>
      <c r="O24" s="28" t="s">
        <v>8421</v>
      </c>
      <c r="P24" s="28" t="s">
        <v>33290</v>
      </c>
      <c r="Q24" s="28" t="s">
        <v>8421</v>
      </c>
      <c r="R24" s="28" t="s">
        <v>33291</v>
      </c>
      <c r="S24" s="29"/>
      <c r="T24" s="29" t="s">
        <v>33296</v>
      </c>
      <c r="U24" s="29"/>
      <c r="V24" s="29"/>
      <c r="W24" s="29"/>
      <c r="AA24" s="29" t="s">
        <v>33296</v>
      </c>
      <c r="AD24" s="29"/>
      <c r="AE24" s="29"/>
      <c r="AF24" s="29" t="s">
        <v>33296</v>
      </c>
      <c r="AG24" s="29"/>
    </row>
    <row r="25" spans="1:33" x14ac:dyDescent="0.3">
      <c r="A25" s="28" t="s">
        <v>4448</v>
      </c>
      <c r="B25" s="28" t="s">
        <v>4450</v>
      </c>
      <c r="C25" s="28" t="s">
        <v>4337</v>
      </c>
      <c r="D25" s="28">
        <v>2019</v>
      </c>
      <c r="E25" s="28" t="s">
        <v>8491</v>
      </c>
      <c r="F25" s="28" t="s">
        <v>8429</v>
      </c>
      <c r="G25" s="28" t="s">
        <v>8420</v>
      </c>
      <c r="H25" s="28" t="s">
        <v>8422</v>
      </c>
      <c r="I25" s="28" t="s">
        <v>8423</v>
      </c>
      <c r="J25" s="29" t="s">
        <v>69</v>
      </c>
      <c r="M25" s="29" t="s">
        <v>33296</v>
      </c>
      <c r="N25" s="28" t="s">
        <v>8438</v>
      </c>
      <c r="O25" s="28" t="s">
        <v>33243</v>
      </c>
      <c r="P25" s="28" t="s">
        <v>33292</v>
      </c>
      <c r="Q25" s="28" t="s">
        <v>33291</v>
      </c>
      <c r="R25" s="28" t="s">
        <v>33243</v>
      </c>
      <c r="S25" s="29" t="s">
        <v>33296</v>
      </c>
      <c r="T25" s="29"/>
      <c r="U25" s="29" t="s">
        <v>33296</v>
      </c>
      <c r="V25" s="29"/>
      <c r="W25" s="29"/>
      <c r="AB25" s="29" t="s">
        <v>33296</v>
      </c>
      <c r="AC25" s="29" t="s">
        <v>33296</v>
      </c>
      <c r="AD25" s="29" t="s">
        <v>33296</v>
      </c>
      <c r="AE25" s="29"/>
      <c r="AF25" s="29"/>
      <c r="AG25" s="29" t="s">
        <v>33296</v>
      </c>
    </row>
    <row r="26" spans="1:33" x14ac:dyDescent="0.3">
      <c r="A26" s="28" t="s">
        <v>3196</v>
      </c>
      <c r="B26" s="28" t="s">
        <v>3198</v>
      </c>
      <c r="C26" s="28" t="s">
        <v>3199</v>
      </c>
      <c r="D26" s="28">
        <v>2014</v>
      </c>
      <c r="E26" s="28" t="s">
        <v>8490</v>
      </c>
      <c r="F26" s="28" t="s">
        <v>8429</v>
      </c>
      <c r="G26" s="28" t="s">
        <v>8428</v>
      </c>
      <c r="H26" s="28" t="s">
        <v>8422</v>
      </c>
      <c r="I26" s="28" t="s">
        <v>8423</v>
      </c>
      <c r="J26" s="29" t="s">
        <v>33296</v>
      </c>
      <c r="M26" s="29" t="s">
        <v>33296</v>
      </c>
      <c r="N26" s="28" t="s">
        <v>33232</v>
      </c>
      <c r="O26" s="28" t="s">
        <v>33264</v>
      </c>
      <c r="P26" s="28" t="s">
        <v>33292</v>
      </c>
      <c r="Q26" s="28" t="s">
        <v>33291</v>
      </c>
      <c r="R26" s="28" t="s">
        <v>33264</v>
      </c>
      <c r="S26" s="29" t="s">
        <v>33296</v>
      </c>
      <c r="T26" s="29" t="s">
        <v>33296</v>
      </c>
      <c r="U26" s="29" t="s">
        <v>33296</v>
      </c>
      <c r="V26" s="29"/>
      <c r="W26" s="29"/>
      <c r="X26" s="29" t="s">
        <v>33296</v>
      </c>
      <c r="AB26" s="29" t="s">
        <v>33296</v>
      </c>
      <c r="AC26" s="29" t="s">
        <v>33296</v>
      </c>
      <c r="AD26" s="29" t="s">
        <v>33296</v>
      </c>
      <c r="AE26" s="29"/>
      <c r="AF26" s="29"/>
      <c r="AG26" s="29" t="s">
        <v>33296</v>
      </c>
    </row>
    <row r="27" spans="1:33" x14ac:dyDescent="0.3">
      <c r="A27" s="28" t="s">
        <v>5389</v>
      </c>
      <c r="B27" s="28" t="s">
        <v>5391</v>
      </c>
      <c r="C27" s="28" t="s">
        <v>5392</v>
      </c>
      <c r="D27" s="28">
        <v>2010</v>
      </c>
      <c r="E27" s="28" t="s">
        <v>8490</v>
      </c>
      <c r="F27" s="28" t="s">
        <v>8421</v>
      </c>
      <c r="G27" s="28" t="s">
        <v>8433</v>
      </c>
      <c r="H27" s="28" t="s">
        <v>8422</v>
      </c>
      <c r="I27" s="28" t="s">
        <v>8423</v>
      </c>
      <c r="J27" s="29" t="s">
        <v>69</v>
      </c>
      <c r="L27" s="29" t="s">
        <v>33296</v>
      </c>
      <c r="N27" s="28" t="s">
        <v>8448</v>
      </c>
      <c r="O27" s="28" t="s">
        <v>33243</v>
      </c>
      <c r="P27" s="28" t="s">
        <v>33292</v>
      </c>
      <c r="Q27" s="28" t="s">
        <v>33291</v>
      </c>
      <c r="R27" s="28" t="s">
        <v>33243</v>
      </c>
      <c r="S27" s="29" t="s">
        <v>33296</v>
      </c>
      <c r="T27" s="29" t="s">
        <v>33296</v>
      </c>
      <c r="U27" s="29" t="s">
        <v>33296</v>
      </c>
      <c r="V27" s="29"/>
      <c r="W27" s="29"/>
      <c r="Z27" s="29" t="s">
        <v>33296</v>
      </c>
      <c r="AD27" s="29"/>
      <c r="AE27" s="29"/>
      <c r="AF27" s="29"/>
      <c r="AG27" s="29"/>
    </row>
    <row r="28" spans="1:33" x14ac:dyDescent="0.3">
      <c r="A28" s="28" t="s">
        <v>5057</v>
      </c>
      <c r="B28" s="28" t="s">
        <v>5059</v>
      </c>
      <c r="C28" s="28" t="s">
        <v>5060</v>
      </c>
      <c r="D28" s="28">
        <v>2018</v>
      </c>
      <c r="E28" s="28" t="s">
        <v>8491</v>
      </c>
      <c r="F28" s="28" t="s">
        <v>8421</v>
      </c>
      <c r="G28" s="28" t="s">
        <v>8433</v>
      </c>
      <c r="H28" s="28" t="s">
        <v>8425</v>
      </c>
      <c r="I28" s="28" t="s">
        <v>8423</v>
      </c>
      <c r="J28" s="29" t="s">
        <v>69</v>
      </c>
      <c r="L28" s="29" t="s">
        <v>33296</v>
      </c>
      <c r="N28" s="28" t="s">
        <v>8438</v>
      </c>
      <c r="O28" s="28" t="s">
        <v>33243</v>
      </c>
      <c r="P28" s="28" t="s">
        <v>33292</v>
      </c>
      <c r="Q28" s="28" t="s">
        <v>33291</v>
      </c>
      <c r="R28" s="28" t="s">
        <v>33243</v>
      </c>
      <c r="S28" s="29" t="s">
        <v>33296</v>
      </c>
      <c r="T28" s="29" t="s">
        <v>33296</v>
      </c>
      <c r="U28" s="29" t="s">
        <v>33296</v>
      </c>
      <c r="V28" s="29" t="s">
        <v>33296</v>
      </c>
      <c r="W28" s="29" t="s">
        <v>33296</v>
      </c>
      <c r="Z28" s="29" t="s">
        <v>33296</v>
      </c>
      <c r="AD28" s="29"/>
      <c r="AE28" s="29" t="s">
        <v>33296</v>
      </c>
      <c r="AF28" s="29" t="s">
        <v>33296</v>
      </c>
      <c r="AG28" s="29"/>
    </row>
    <row r="29" spans="1:33" x14ac:dyDescent="0.3">
      <c r="A29" s="28" t="s">
        <v>7428</v>
      </c>
      <c r="B29" s="28" t="s">
        <v>7430</v>
      </c>
      <c r="C29" s="28" t="s">
        <v>1831</v>
      </c>
      <c r="D29" s="28">
        <v>2016</v>
      </c>
      <c r="E29" s="28" t="s">
        <v>8491</v>
      </c>
      <c r="F29" s="28" t="s">
        <v>8420</v>
      </c>
      <c r="G29" s="28" t="s">
        <v>8420</v>
      </c>
      <c r="H29" s="28" t="s">
        <v>8422</v>
      </c>
      <c r="I29" s="28" t="s">
        <v>8423</v>
      </c>
      <c r="J29" s="29" t="s">
        <v>69</v>
      </c>
      <c r="K29" s="29" t="s">
        <v>33296</v>
      </c>
      <c r="M29" s="29" t="s">
        <v>33296</v>
      </c>
      <c r="N29" s="28" t="s">
        <v>33283</v>
      </c>
      <c r="O29" s="28" t="s">
        <v>33241</v>
      </c>
      <c r="P29" s="28" t="s">
        <v>33290</v>
      </c>
      <c r="Q29" s="28" t="s">
        <v>33241</v>
      </c>
      <c r="R29" s="28" t="s">
        <v>33291</v>
      </c>
      <c r="S29" s="29" t="s">
        <v>33296</v>
      </c>
      <c r="T29" s="29" t="s">
        <v>33296</v>
      </c>
      <c r="U29" s="29"/>
      <c r="V29" s="29"/>
      <c r="W29" s="29"/>
      <c r="AC29" s="29" t="s">
        <v>33296</v>
      </c>
      <c r="AD29" s="29"/>
      <c r="AE29" s="29" t="s">
        <v>33296</v>
      </c>
      <c r="AF29" s="29"/>
      <c r="AG29" s="29" t="s">
        <v>33296</v>
      </c>
    </row>
    <row r="30" spans="1:33" x14ac:dyDescent="0.3">
      <c r="A30" s="28" t="s">
        <v>7594</v>
      </c>
      <c r="B30" s="28" t="s">
        <v>7596</v>
      </c>
      <c r="C30" s="28" t="s">
        <v>6716</v>
      </c>
      <c r="D30" s="28">
        <v>2016</v>
      </c>
      <c r="E30" s="28" t="s">
        <v>8490</v>
      </c>
      <c r="F30" s="28" t="s">
        <v>8420</v>
      </c>
      <c r="G30" s="28" t="s">
        <v>8420</v>
      </c>
      <c r="H30" s="28" t="s">
        <v>8422</v>
      </c>
      <c r="I30" s="28" t="s">
        <v>8423</v>
      </c>
      <c r="J30" s="29" t="s">
        <v>69</v>
      </c>
      <c r="K30" s="29" t="s">
        <v>33296</v>
      </c>
      <c r="M30" s="29" t="s">
        <v>33296</v>
      </c>
      <c r="N30" s="28" t="s">
        <v>33283</v>
      </c>
      <c r="O30" s="28" t="s">
        <v>33241</v>
      </c>
      <c r="P30" s="28" t="s">
        <v>33290</v>
      </c>
      <c r="Q30" s="28" t="s">
        <v>33241</v>
      </c>
      <c r="R30" s="28" t="s">
        <v>33291</v>
      </c>
      <c r="S30" s="29" t="s">
        <v>33296</v>
      </c>
      <c r="T30" s="29" t="s">
        <v>33296</v>
      </c>
      <c r="U30" s="29"/>
      <c r="V30" s="29"/>
      <c r="W30" s="29"/>
      <c r="X30" s="29" t="s">
        <v>33296</v>
      </c>
      <c r="AC30" s="29" t="s">
        <v>33296</v>
      </c>
      <c r="AD30" s="29"/>
      <c r="AE30" s="29"/>
      <c r="AF30" s="29"/>
      <c r="AG30" s="29" t="s">
        <v>33296</v>
      </c>
    </row>
    <row r="31" spans="1:33" x14ac:dyDescent="0.3">
      <c r="A31" s="28" t="s">
        <v>4276</v>
      </c>
      <c r="B31" s="28" t="s">
        <v>4277</v>
      </c>
      <c r="C31" s="28" t="s">
        <v>4241</v>
      </c>
      <c r="D31" s="28">
        <v>1995</v>
      </c>
      <c r="E31" s="28" t="s">
        <v>8491</v>
      </c>
      <c r="F31" s="28" t="s">
        <v>8420</v>
      </c>
      <c r="G31" s="28" t="s">
        <v>8420</v>
      </c>
      <c r="H31" s="28" t="s">
        <v>8422</v>
      </c>
      <c r="I31" s="28" t="s">
        <v>8423</v>
      </c>
      <c r="J31" s="29" t="s">
        <v>69</v>
      </c>
      <c r="L31" s="29" t="s">
        <v>33296</v>
      </c>
      <c r="O31" s="28" t="s">
        <v>33264</v>
      </c>
      <c r="P31" s="28" t="s">
        <v>33292</v>
      </c>
      <c r="Q31" s="28" t="s">
        <v>33291</v>
      </c>
      <c r="R31" s="28" t="s">
        <v>33264</v>
      </c>
      <c r="S31" s="29" t="s">
        <v>33296</v>
      </c>
      <c r="T31" s="29"/>
      <c r="U31" s="29"/>
      <c r="V31" s="29" t="s">
        <v>33296</v>
      </c>
      <c r="W31" s="29"/>
      <c r="AA31" s="29" t="s">
        <v>33296</v>
      </c>
      <c r="AD31" s="29"/>
      <c r="AE31" s="29"/>
      <c r="AF31" s="29" t="s">
        <v>33296</v>
      </c>
      <c r="AG31" s="29"/>
    </row>
    <row r="32" spans="1:33" x14ac:dyDescent="0.3">
      <c r="A32" s="28" t="s">
        <v>7608</v>
      </c>
      <c r="B32" s="28" t="s">
        <v>7610</v>
      </c>
      <c r="C32" s="28" t="s">
        <v>7611</v>
      </c>
      <c r="D32" s="28">
        <v>2010</v>
      </c>
      <c r="E32" s="28" t="s">
        <v>8491</v>
      </c>
      <c r="F32" s="28" t="s">
        <v>8420</v>
      </c>
      <c r="G32" s="28" t="s">
        <v>8420</v>
      </c>
      <c r="H32" s="28" t="s">
        <v>8422</v>
      </c>
      <c r="I32" s="28" t="s">
        <v>8423</v>
      </c>
      <c r="J32" s="29" t="s">
        <v>69</v>
      </c>
      <c r="M32" s="29" t="s">
        <v>33296</v>
      </c>
      <c r="N32" s="28" t="s">
        <v>33271</v>
      </c>
      <c r="O32" s="28" t="s">
        <v>33268</v>
      </c>
      <c r="P32" s="28" t="s">
        <v>33292</v>
      </c>
      <c r="Q32" s="28" t="s">
        <v>33291</v>
      </c>
      <c r="R32" s="28" t="s">
        <v>33295</v>
      </c>
      <c r="S32" s="29"/>
      <c r="T32" s="29" t="s">
        <v>33296</v>
      </c>
      <c r="U32" s="29"/>
      <c r="V32" s="29"/>
      <c r="W32" s="29" t="s">
        <v>33296</v>
      </c>
      <c r="AB32" s="29" t="s">
        <v>33296</v>
      </c>
      <c r="AD32" s="29"/>
      <c r="AE32" s="29"/>
      <c r="AF32" s="29"/>
      <c r="AG32" s="29" t="s">
        <v>33296</v>
      </c>
    </row>
    <row r="33" spans="1:33" x14ac:dyDescent="0.3">
      <c r="A33" s="28" t="s">
        <v>7875</v>
      </c>
      <c r="B33" s="28" t="s">
        <v>7877</v>
      </c>
      <c r="C33" s="28" t="s">
        <v>3722</v>
      </c>
      <c r="D33" s="28">
        <v>2007</v>
      </c>
      <c r="E33" s="28" t="s">
        <v>8491</v>
      </c>
      <c r="F33" s="28" t="s">
        <v>8427</v>
      </c>
      <c r="G33" s="28" t="s">
        <v>8420</v>
      </c>
      <c r="H33" s="28" t="s">
        <v>8425</v>
      </c>
      <c r="I33" s="28" t="s">
        <v>8423</v>
      </c>
      <c r="J33" s="29" t="s">
        <v>69</v>
      </c>
      <c r="M33" s="29" t="s">
        <v>33296</v>
      </c>
      <c r="N33" s="28" t="s">
        <v>33237</v>
      </c>
      <c r="O33" s="28" t="s">
        <v>33264</v>
      </c>
      <c r="P33" s="28" t="s">
        <v>33292</v>
      </c>
      <c r="Q33" s="28" t="s">
        <v>33291</v>
      </c>
      <c r="R33" s="28" t="s">
        <v>33264</v>
      </c>
      <c r="S33" s="29" t="s">
        <v>33296</v>
      </c>
      <c r="T33" s="29" t="s">
        <v>33296</v>
      </c>
      <c r="U33" s="29"/>
      <c r="V33" s="29"/>
      <c r="W33" s="29"/>
      <c r="AB33" s="29" t="s">
        <v>33296</v>
      </c>
      <c r="AD33" s="29"/>
      <c r="AE33" s="29"/>
      <c r="AF33" s="29"/>
      <c r="AG33" s="29" t="s">
        <v>33296</v>
      </c>
    </row>
    <row r="34" spans="1:33" x14ac:dyDescent="0.3">
      <c r="A34" s="28" t="s">
        <v>339</v>
      </c>
      <c r="B34" s="28" t="s">
        <v>341</v>
      </c>
      <c r="C34" s="28" t="s">
        <v>342</v>
      </c>
      <c r="D34" s="28">
        <v>2022</v>
      </c>
      <c r="E34" s="28" t="s">
        <v>8490</v>
      </c>
      <c r="F34" s="28" t="s">
        <v>8427</v>
      </c>
      <c r="G34" s="28" t="s">
        <v>8427</v>
      </c>
      <c r="H34" s="28" t="s">
        <v>8422</v>
      </c>
      <c r="I34" s="28" t="s">
        <v>8423</v>
      </c>
      <c r="J34" s="29" t="s">
        <v>69</v>
      </c>
      <c r="L34" s="29" t="s">
        <v>33296</v>
      </c>
      <c r="N34" s="28" t="s">
        <v>33236</v>
      </c>
      <c r="O34" s="28" t="s">
        <v>33265</v>
      </c>
      <c r="P34" s="28" t="s">
        <v>33290</v>
      </c>
      <c r="Q34" s="28" t="s">
        <v>33265</v>
      </c>
      <c r="R34" s="28" t="s">
        <v>33291</v>
      </c>
      <c r="S34" s="29" t="s">
        <v>33296</v>
      </c>
      <c r="T34" s="29" t="s">
        <v>33296</v>
      </c>
      <c r="U34" s="29"/>
      <c r="V34" s="29"/>
      <c r="W34" s="29"/>
      <c r="Z34" s="29" t="s">
        <v>33296</v>
      </c>
      <c r="AC34" s="29" t="s">
        <v>33296</v>
      </c>
      <c r="AD34" s="29"/>
      <c r="AE34" s="29"/>
      <c r="AF34" s="29" t="s">
        <v>33296</v>
      </c>
      <c r="AG34" s="29"/>
    </row>
    <row r="35" spans="1:33" x14ac:dyDescent="0.3">
      <c r="A35" s="28" t="s">
        <v>6250</v>
      </c>
      <c r="B35" s="28" t="s">
        <v>6252</v>
      </c>
      <c r="C35" s="28" t="s">
        <v>6253</v>
      </c>
      <c r="D35" s="28">
        <v>2021</v>
      </c>
      <c r="E35" s="28" t="s">
        <v>8490</v>
      </c>
      <c r="F35" s="28" t="s">
        <v>8428</v>
      </c>
      <c r="G35" s="28" t="s">
        <v>8428</v>
      </c>
      <c r="H35" s="28" t="s">
        <v>8422</v>
      </c>
      <c r="I35" s="28" t="s">
        <v>8423</v>
      </c>
      <c r="J35" s="29" t="s">
        <v>33296</v>
      </c>
      <c r="K35" s="29" t="s">
        <v>33296</v>
      </c>
      <c r="N35" s="28" t="s">
        <v>33232</v>
      </c>
      <c r="O35" s="28" t="s">
        <v>33241</v>
      </c>
      <c r="P35" s="28" t="s">
        <v>33290</v>
      </c>
      <c r="Q35" s="28" t="s">
        <v>33241</v>
      </c>
      <c r="R35" s="28" t="s">
        <v>33291</v>
      </c>
      <c r="S35" s="29" t="s">
        <v>33296</v>
      </c>
      <c r="T35" s="29" t="s">
        <v>33296</v>
      </c>
      <c r="U35" s="29"/>
      <c r="V35" s="29"/>
      <c r="W35" s="29"/>
      <c r="X35" s="29" t="s">
        <v>33296</v>
      </c>
      <c r="AC35" s="29" t="s">
        <v>33296</v>
      </c>
      <c r="AD35" s="29" t="s">
        <v>33296</v>
      </c>
      <c r="AE35" s="29"/>
      <c r="AF35" s="29"/>
      <c r="AG35" s="29"/>
    </row>
    <row r="36" spans="1:33" x14ac:dyDescent="0.3">
      <c r="A36" s="28" t="s">
        <v>4512</v>
      </c>
      <c r="B36" s="28" t="s">
        <v>4514</v>
      </c>
      <c r="C36" s="28" t="s">
        <v>4515</v>
      </c>
      <c r="D36" s="28">
        <v>2019</v>
      </c>
      <c r="E36" s="28" t="s">
        <v>8491</v>
      </c>
      <c r="F36" s="28" t="s">
        <v>8429</v>
      </c>
      <c r="G36" s="28" t="s">
        <v>8420</v>
      </c>
      <c r="H36" s="28" t="s">
        <v>8422</v>
      </c>
      <c r="I36" s="28" t="s">
        <v>8423</v>
      </c>
      <c r="J36" s="29" t="s">
        <v>33296</v>
      </c>
      <c r="N36" s="28" t="s">
        <v>33237</v>
      </c>
      <c r="O36" s="28" t="s">
        <v>33240</v>
      </c>
      <c r="P36" s="28" t="s">
        <v>33290</v>
      </c>
      <c r="Q36" s="28" t="s">
        <v>33240</v>
      </c>
      <c r="R36" s="28" t="s">
        <v>33291</v>
      </c>
      <c r="S36" s="29" t="s">
        <v>33296</v>
      </c>
      <c r="T36" s="29"/>
      <c r="U36" s="29"/>
      <c r="V36" s="29"/>
      <c r="W36" s="29"/>
      <c r="AD36" s="29" t="s">
        <v>33296</v>
      </c>
      <c r="AE36" s="29"/>
      <c r="AF36" s="29" t="s">
        <v>33296</v>
      </c>
      <c r="AG36" s="29" t="s">
        <v>33296</v>
      </c>
    </row>
    <row r="37" spans="1:33" x14ac:dyDescent="0.3">
      <c r="A37" s="28" t="s">
        <v>2735</v>
      </c>
      <c r="B37" s="28" t="s">
        <v>2737</v>
      </c>
      <c r="C37" s="28" t="s">
        <v>582</v>
      </c>
      <c r="D37" s="28">
        <v>2017</v>
      </c>
      <c r="E37" s="28" t="s">
        <v>8490</v>
      </c>
      <c r="F37" s="28" t="s">
        <v>8424</v>
      </c>
      <c r="G37" s="28" t="s">
        <v>8435</v>
      </c>
      <c r="H37" s="28" t="s">
        <v>8425</v>
      </c>
      <c r="I37" s="28" t="s">
        <v>8423</v>
      </c>
      <c r="J37" s="29" t="s">
        <v>69</v>
      </c>
      <c r="M37" s="29" t="s">
        <v>33296</v>
      </c>
      <c r="N37" s="28" t="s">
        <v>33232</v>
      </c>
      <c r="O37" s="28" t="s">
        <v>33241</v>
      </c>
      <c r="P37" s="28" t="s">
        <v>33290</v>
      </c>
      <c r="Q37" s="28" t="s">
        <v>33241</v>
      </c>
      <c r="R37" s="28" t="s">
        <v>33291</v>
      </c>
      <c r="S37" s="29" t="s">
        <v>33296</v>
      </c>
      <c r="T37" s="29"/>
      <c r="U37" s="29" t="s">
        <v>33296</v>
      </c>
      <c r="V37" s="29" t="s">
        <v>33296</v>
      </c>
      <c r="W37" s="29"/>
      <c r="AB37" s="29" t="s">
        <v>33296</v>
      </c>
      <c r="AD37" s="29"/>
      <c r="AE37" s="29"/>
      <c r="AF37" s="29"/>
      <c r="AG37" s="29" t="s">
        <v>33296</v>
      </c>
    </row>
    <row r="38" spans="1:33" x14ac:dyDescent="0.3">
      <c r="A38" s="28" t="s">
        <v>4504</v>
      </c>
      <c r="B38" s="28" t="s">
        <v>4506</v>
      </c>
      <c r="C38" s="28" t="s">
        <v>726</v>
      </c>
      <c r="D38" s="28">
        <v>2019</v>
      </c>
      <c r="E38" s="28" t="s">
        <v>8490</v>
      </c>
      <c r="F38" s="28" t="s">
        <v>8428</v>
      </c>
      <c r="G38" s="28" t="s">
        <v>8428</v>
      </c>
      <c r="H38" s="28" t="s">
        <v>8422</v>
      </c>
      <c r="I38" s="28" t="s">
        <v>8436</v>
      </c>
      <c r="J38" s="29" t="s">
        <v>33296</v>
      </c>
      <c r="M38" s="29" t="s">
        <v>33296</v>
      </c>
      <c r="N38" s="28" t="s">
        <v>33237</v>
      </c>
      <c r="O38" s="28" t="s">
        <v>33266</v>
      </c>
      <c r="P38" s="28" t="s">
        <v>33290</v>
      </c>
      <c r="Q38" s="28" t="s">
        <v>33266</v>
      </c>
      <c r="R38" s="28" t="s">
        <v>33291</v>
      </c>
      <c r="S38" s="29" t="s">
        <v>33296</v>
      </c>
      <c r="T38" s="29" t="s">
        <v>33296</v>
      </c>
      <c r="U38" s="29" t="s">
        <v>33296</v>
      </c>
      <c r="V38" s="29"/>
      <c r="W38" s="29"/>
      <c r="AB38" s="29" t="s">
        <v>33296</v>
      </c>
      <c r="AD38" s="29" t="s">
        <v>33296</v>
      </c>
      <c r="AE38" s="29"/>
      <c r="AF38" s="29"/>
      <c r="AG38" s="29" t="s">
        <v>33296</v>
      </c>
    </row>
    <row r="39" spans="1:33" x14ac:dyDescent="0.3">
      <c r="A39" s="28" t="s">
        <v>4824</v>
      </c>
      <c r="B39" s="28" t="s">
        <v>4826</v>
      </c>
      <c r="C39" s="28" t="s">
        <v>4827</v>
      </c>
      <c r="D39" s="28">
        <v>2014</v>
      </c>
      <c r="E39" s="28" t="s">
        <v>8490</v>
      </c>
      <c r="F39" s="28" t="s">
        <v>8420</v>
      </c>
      <c r="G39" s="28" t="s">
        <v>8420</v>
      </c>
      <c r="H39" s="28" t="s">
        <v>8422</v>
      </c>
      <c r="I39" s="28" t="s">
        <v>8441</v>
      </c>
      <c r="J39" s="29" t="s">
        <v>69</v>
      </c>
      <c r="L39" s="29" t="s">
        <v>33296</v>
      </c>
      <c r="N39" s="28" t="s">
        <v>33233</v>
      </c>
      <c r="O39" s="28" t="s">
        <v>33241</v>
      </c>
      <c r="P39" s="28" t="s">
        <v>33290</v>
      </c>
      <c r="Q39" s="28" t="s">
        <v>33241</v>
      </c>
      <c r="R39" s="28" t="s">
        <v>33291</v>
      </c>
      <c r="S39" s="29"/>
      <c r="T39" s="29" t="s">
        <v>33296</v>
      </c>
      <c r="U39" s="29" t="s">
        <v>33296</v>
      </c>
      <c r="V39" s="29"/>
      <c r="W39" s="29"/>
      <c r="Z39" s="29" t="s">
        <v>33296</v>
      </c>
      <c r="AA39" s="29" t="s">
        <v>33296</v>
      </c>
      <c r="AD39" s="29"/>
      <c r="AE39" s="29"/>
      <c r="AF39" s="29" t="s">
        <v>33296</v>
      </c>
      <c r="AG39" s="29"/>
    </row>
    <row r="40" spans="1:33" x14ac:dyDescent="0.3">
      <c r="A40" s="28" t="s">
        <v>4873</v>
      </c>
      <c r="B40" s="28" t="s">
        <v>4875</v>
      </c>
      <c r="C40" s="28" t="s">
        <v>4399</v>
      </c>
      <c r="D40" s="28">
        <v>2014</v>
      </c>
      <c r="E40" s="28" t="s">
        <v>8491</v>
      </c>
      <c r="F40" s="28" t="s">
        <v>8429</v>
      </c>
      <c r="G40" s="28" t="s">
        <v>8420</v>
      </c>
      <c r="H40" s="28" t="s">
        <v>8422</v>
      </c>
      <c r="I40" s="28" t="s">
        <v>8423</v>
      </c>
      <c r="J40" s="29" t="s">
        <v>69</v>
      </c>
      <c r="M40" s="29" t="s">
        <v>33296</v>
      </c>
      <c r="N40" s="28" t="s">
        <v>33234</v>
      </c>
      <c r="O40" s="28" t="s">
        <v>33265</v>
      </c>
      <c r="P40" s="28" t="s">
        <v>33290</v>
      </c>
      <c r="Q40" s="28" t="s">
        <v>33265</v>
      </c>
      <c r="R40" s="28" t="s">
        <v>33291</v>
      </c>
      <c r="S40" s="29" t="s">
        <v>33296</v>
      </c>
      <c r="T40" s="29"/>
      <c r="U40" s="29" t="s">
        <v>33296</v>
      </c>
      <c r="V40" s="29"/>
      <c r="W40" s="29"/>
      <c r="AB40" s="29" t="s">
        <v>33296</v>
      </c>
      <c r="AC40" s="29" t="s">
        <v>33296</v>
      </c>
      <c r="AD40" s="29"/>
      <c r="AE40" s="29"/>
      <c r="AF40" s="29"/>
      <c r="AG40" s="29" t="s">
        <v>33296</v>
      </c>
    </row>
    <row r="41" spans="1:33" x14ac:dyDescent="0.3">
      <c r="A41" s="28" t="s">
        <v>4345</v>
      </c>
      <c r="B41" s="28" t="s">
        <v>4347</v>
      </c>
      <c r="C41" s="28" t="s">
        <v>4348</v>
      </c>
      <c r="D41" s="28">
        <v>2018</v>
      </c>
      <c r="E41" s="28" t="s">
        <v>8490</v>
      </c>
      <c r="F41" s="28" t="s">
        <v>8420</v>
      </c>
      <c r="G41" s="28" t="s">
        <v>8420</v>
      </c>
      <c r="H41" s="28" t="s">
        <v>8422</v>
      </c>
      <c r="I41" s="28" t="s">
        <v>8423</v>
      </c>
      <c r="J41" s="29" t="s">
        <v>69</v>
      </c>
      <c r="M41" s="29" t="s">
        <v>33296</v>
      </c>
      <c r="N41" s="28" t="s">
        <v>33236</v>
      </c>
      <c r="O41" s="28" t="s">
        <v>33241</v>
      </c>
      <c r="P41" s="28" t="s">
        <v>33290</v>
      </c>
      <c r="Q41" s="28" t="s">
        <v>33241</v>
      </c>
      <c r="R41" s="28" t="s">
        <v>33291</v>
      </c>
      <c r="S41" s="29" t="s">
        <v>33296</v>
      </c>
      <c r="T41" s="29" t="s">
        <v>33296</v>
      </c>
      <c r="U41" s="29"/>
      <c r="V41" s="29"/>
      <c r="W41" s="29"/>
      <c r="AC41" s="29" t="s">
        <v>33296</v>
      </c>
      <c r="AD41" s="29"/>
      <c r="AE41" s="29"/>
      <c r="AF41" s="29"/>
      <c r="AG41" s="29" t="s">
        <v>33296</v>
      </c>
    </row>
    <row r="42" spans="1:33" x14ac:dyDescent="0.3">
      <c r="A42" s="28" t="s">
        <v>414</v>
      </c>
      <c r="B42" s="28" t="s">
        <v>416</v>
      </c>
      <c r="C42" s="28" t="s">
        <v>417</v>
      </c>
      <c r="D42" s="28">
        <v>2017</v>
      </c>
      <c r="E42" s="28" t="s">
        <v>8491</v>
      </c>
      <c r="F42" s="28" t="s">
        <v>8427</v>
      </c>
      <c r="G42" s="28" t="s">
        <v>8420</v>
      </c>
      <c r="H42" s="28" t="s">
        <v>8422</v>
      </c>
      <c r="I42" s="28" t="s">
        <v>8423</v>
      </c>
      <c r="J42" s="29" t="s">
        <v>33296</v>
      </c>
      <c r="N42" s="28" t="s">
        <v>33232</v>
      </c>
      <c r="O42" s="28" t="s">
        <v>33241</v>
      </c>
      <c r="P42" s="28" t="s">
        <v>33290</v>
      </c>
      <c r="Q42" s="28" t="s">
        <v>33241</v>
      </c>
      <c r="R42" s="28" t="s">
        <v>33291</v>
      </c>
      <c r="S42" s="29" t="s">
        <v>33296</v>
      </c>
      <c r="T42" s="29" t="s">
        <v>33296</v>
      </c>
      <c r="U42" s="29"/>
      <c r="V42" s="29"/>
      <c r="W42" s="29"/>
      <c r="X42" s="29" t="s">
        <v>33296</v>
      </c>
      <c r="AD42" s="29"/>
      <c r="AE42" s="29"/>
      <c r="AF42" s="29" t="s">
        <v>33296</v>
      </c>
      <c r="AG42" s="29"/>
    </row>
    <row r="43" spans="1:33" x14ac:dyDescent="0.3">
      <c r="A43" s="28" t="s">
        <v>5636</v>
      </c>
      <c r="B43" s="28" t="s">
        <v>5638</v>
      </c>
      <c r="C43" s="28" t="s">
        <v>4543</v>
      </c>
      <c r="D43" s="28">
        <v>2015</v>
      </c>
      <c r="E43" s="28" t="s">
        <v>8491</v>
      </c>
      <c r="F43" s="28" t="s">
        <v>8420</v>
      </c>
      <c r="G43" s="28" t="s">
        <v>8420</v>
      </c>
      <c r="H43" s="28" t="s">
        <v>8422</v>
      </c>
      <c r="I43" s="28" t="s">
        <v>8423</v>
      </c>
      <c r="J43" s="29" t="s">
        <v>69</v>
      </c>
      <c r="M43" s="29" t="s">
        <v>33296</v>
      </c>
      <c r="N43" s="28" t="s">
        <v>33283</v>
      </c>
      <c r="O43" s="28" t="s">
        <v>33240</v>
      </c>
      <c r="P43" s="28" t="s">
        <v>33290</v>
      </c>
      <c r="Q43" s="28" t="s">
        <v>33240</v>
      </c>
      <c r="R43" s="28" t="s">
        <v>33291</v>
      </c>
      <c r="S43" s="29" t="s">
        <v>33296</v>
      </c>
      <c r="T43" s="29" t="s">
        <v>33296</v>
      </c>
      <c r="U43" s="29"/>
      <c r="V43" s="29"/>
      <c r="W43" s="29"/>
      <c r="AC43" s="29" t="s">
        <v>33296</v>
      </c>
      <c r="AD43" s="29"/>
      <c r="AE43" s="29"/>
      <c r="AF43" s="29"/>
      <c r="AG43" s="29" t="s">
        <v>33296</v>
      </c>
    </row>
    <row r="44" spans="1:33" x14ac:dyDescent="0.3">
      <c r="A44" s="28" t="s">
        <v>5945</v>
      </c>
      <c r="B44" s="28" t="s">
        <v>5947</v>
      </c>
      <c r="C44" s="28" t="s">
        <v>417</v>
      </c>
      <c r="D44" s="28">
        <v>2020</v>
      </c>
      <c r="E44" s="28" t="s">
        <v>8490</v>
      </c>
      <c r="F44" s="28" t="s">
        <v>8435</v>
      </c>
      <c r="G44" s="28" t="s">
        <v>8428</v>
      </c>
      <c r="H44" s="28" t="s">
        <v>8422</v>
      </c>
      <c r="I44" s="28" t="s">
        <v>8423</v>
      </c>
      <c r="J44" s="29" t="s">
        <v>33296</v>
      </c>
      <c r="K44" s="29" t="s">
        <v>33296</v>
      </c>
      <c r="L44" s="29" t="s">
        <v>33296</v>
      </c>
      <c r="N44" s="28" t="s">
        <v>33232</v>
      </c>
      <c r="O44" s="28" t="s">
        <v>33241</v>
      </c>
      <c r="P44" s="28" t="s">
        <v>33290</v>
      </c>
      <c r="Q44" s="28" t="s">
        <v>33241</v>
      </c>
      <c r="R44" s="28" t="s">
        <v>33291</v>
      </c>
      <c r="S44" s="29" t="s">
        <v>33296</v>
      </c>
      <c r="T44" s="29" t="s">
        <v>33296</v>
      </c>
      <c r="U44" s="29"/>
      <c r="V44" s="29"/>
      <c r="W44" s="29"/>
      <c r="AA44" s="29" t="s">
        <v>33296</v>
      </c>
      <c r="AD44" s="29"/>
      <c r="AE44" s="29" t="s">
        <v>33296</v>
      </c>
      <c r="AF44" s="29" t="s">
        <v>33296</v>
      </c>
      <c r="AG44" s="29"/>
    </row>
    <row r="45" spans="1:33" x14ac:dyDescent="0.3">
      <c r="A45" s="28" t="s">
        <v>1869</v>
      </c>
      <c r="B45" s="28" t="s">
        <v>1871</v>
      </c>
      <c r="C45" s="28" t="s">
        <v>1532</v>
      </c>
      <c r="D45" s="28">
        <v>2021</v>
      </c>
      <c r="E45" s="28" t="s">
        <v>8491</v>
      </c>
      <c r="F45" s="28" t="s">
        <v>8429</v>
      </c>
      <c r="G45" s="28" t="s">
        <v>8433</v>
      </c>
      <c r="H45" s="28" t="s">
        <v>8422</v>
      </c>
      <c r="I45" s="28" t="s">
        <v>8423</v>
      </c>
      <c r="J45" s="29" t="s">
        <v>33296</v>
      </c>
      <c r="L45" s="29" t="s">
        <v>33296</v>
      </c>
      <c r="N45" s="28" t="s">
        <v>33236</v>
      </c>
      <c r="O45" s="28" t="s">
        <v>33245</v>
      </c>
      <c r="P45" s="28" t="s">
        <v>33292</v>
      </c>
      <c r="Q45" s="28" t="s">
        <v>33291</v>
      </c>
      <c r="R45" s="28" t="s">
        <v>33245</v>
      </c>
      <c r="S45" s="29"/>
      <c r="T45" s="29" t="s">
        <v>33296</v>
      </c>
      <c r="U45" s="29"/>
      <c r="V45" s="29"/>
      <c r="W45" s="29"/>
      <c r="AA45" s="29" t="s">
        <v>33296</v>
      </c>
      <c r="AD45" s="29"/>
      <c r="AE45" s="29"/>
      <c r="AF45" s="29" t="s">
        <v>33296</v>
      </c>
      <c r="AG45" s="29"/>
    </row>
    <row r="46" spans="1:33" x14ac:dyDescent="0.3">
      <c r="A46" s="28" t="s">
        <v>6168</v>
      </c>
      <c r="B46" s="28" t="s">
        <v>6170</v>
      </c>
      <c r="C46" s="28" t="s">
        <v>6171</v>
      </c>
      <c r="D46" s="28">
        <v>2010</v>
      </c>
      <c r="E46" s="28" t="s">
        <v>8491</v>
      </c>
      <c r="F46" s="28" t="s">
        <v>8429</v>
      </c>
      <c r="G46" s="28" t="s">
        <v>8433</v>
      </c>
      <c r="H46" s="28" t="s">
        <v>8422</v>
      </c>
      <c r="I46" s="28" t="s">
        <v>8423</v>
      </c>
      <c r="J46" s="29" t="s">
        <v>69</v>
      </c>
      <c r="K46" s="29" t="s">
        <v>33296</v>
      </c>
      <c r="N46" s="28" t="s">
        <v>8451</v>
      </c>
      <c r="O46" s="28" t="s">
        <v>33264</v>
      </c>
      <c r="P46" s="28" t="s">
        <v>33292</v>
      </c>
      <c r="Q46" s="28" t="s">
        <v>33291</v>
      </c>
      <c r="R46" s="28" t="s">
        <v>33264</v>
      </c>
      <c r="S46" s="29" t="s">
        <v>33296</v>
      </c>
      <c r="T46" s="29"/>
      <c r="U46" s="29"/>
      <c r="V46" s="29" t="s">
        <v>33296</v>
      </c>
      <c r="W46" s="29"/>
      <c r="Y46" s="29" t="s">
        <v>33296</v>
      </c>
      <c r="Z46" s="29" t="s">
        <v>33296</v>
      </c>
      <c r="AC46" s="29" t="s">
        <v>33296</v>
      </c>
      <c r="AD46" s="29"/>
      <c r="AE46" s="29" t="s">
        <v>33296</v>
      </c>
      <c r="AF46" s="29" t="s">
        <v>33296</v>
      </c>
      <c r="AG46" s="29"/>
    </row>
    <row r="47" spans="1:33" x14ac:dyDescent="0.3">
      <c r="A47" s="28" t="s">
        <v>4334</v>
      </c>
      <c r="B47" s="28" t="s">
        <v>4336</v>
      </c>
      <c r="C47" s="28" t="s">
        <v>4337</v>
      </c>
      <c r="D47" s="28">
        <v>2018</v>
      </c>
      <c r="E47" s="28" t="s">
        <v>8491</v>
      </c>
      <c r="F47" s="28" t="s">
        <v>8433</v>
      </c>
      <c r="G47" s="28" t="s">
        <v>8433</v>
      </c>
      <c r="H47" s="28" t="s">
        <v>8422</v>
      </c>
      <c r="I47" s="28" t="s">
        <v>8423</v>
      </c>
      <c r="J47" s="29" t="s">
        <v>69</v>
      </c>
      <c r="L47" s="29" t="s">
        <v>33296</v>
      </c>
      <c r="N47" s="28" t="s">
        <v>8438</v>
      </c>
      <c r="O47" s="28" t="s">
        <v>33240</v>
      </c>
      <c r="P47" s="28" t="s">
        <v>33290</v>
      </c>
      <c r="Q47" s="28" t="s">
        <v>33240</v>
      </c>
      <c r="R47" s="28" t="s">
        <v>33291</v>
      </c>
      <c r="S47" s="29" t="s">
        <v>33296</v>
      </c>
      <c r="T47" s="29" t="s">
        <v>33296</v>
      </c>
      <c r="U47" s="29" t="s">
        <v>33296</v>
      </c>
      <c r="V47" s="29"/>
      <c r="W47" s="29"/>
      <c r="Z47" s="29" t="s">
        <v>33296</v>
      </c>
      <c r="AD47" s="29"/>
      <c r="AE47" s="29"/>
      <c r="AF47" s="29" t="s">
        <v>33296</v>
      </c>
      <c r="AG47" s="29"/>
    </row>
    <row r="48" spans="1:33" x14ac:dyDescent="0.3">
      <c r="A48" s="28" t="s">
        <v>277</v>
      </c>
      <c r="B48" s="28" t="s">
        <v>279</v>
      </c>
      <c r="C48" s="28" t="s">
        <v>280</v>
      </c>
      <c r="D48" s="28">
        <v>2016</v>
      </c>
      <c r="E48" s="28" t="s">
        <v>8491</v>
      </c>
      <c r="F48" s="28" t="s">
        <v>8424</v>
      </c>
      <c r="G48" s="28" t="s">
        <v>8420</v>
      </c>
      <c r="H48" s="28" t="s">
        <v>8425</v>
      </c>
      <c r="I48" s="28" t="s">
        <v>8423</v>
      </c>
      <c r="J48" s="29" t="s">
        <v>69</v>
      </c>
      <c r="K48" s="29" t="s">
        <v>33296</v>
      </c>
      <c r="O48" s="28" t="s">
        <v>33291</v>
      </c>
      <c r="P48" s="28" t="s">
        <v>33291</v>
      </c>
      <c r="Q48" s="28" t="s">
        <v>33291</v>
      </c>
      <c r="R48" s="28" t="s">
        <v>33291</v>
      </c>
      <c r="S48" s="29" t="s">
        <v>33296</v>
      </c>
      <c r="T48" s="29"/>
      <c r="U48" s="29" t="s">
        <v>33296</v>
      </c>
      <c r="V48" s="29"/>
      <c r="W48" s="29" t="s">
        <v>33296</v>
      </c>
      <c r="Z48" s="29" t="s">
        <v>33296</v>
      </c>
      <c r="AD48" s="29"/>
      <c r="AE48" s="29"/>
      <c r="AF48" s="29"/>
      <c r="AG48" s="29"/>
    </row>
    <row r="49" spans="1:33" x14ac:dyDescent="0.3">
      <c r="A49" s="28" t="s">
        <v>4455</v>
      </c>
      <c r="B49" s="28" t="s">
        <v>4457</v>
      </c>
      <c r="C49" s="28" t="s">
        <v>3312</v>
      </c>
      <c r="D49" s="28">
        <v>2019</v>
      </c>
      <c r="E49" s="28" t="s">
        <v>8491</v>
      </c>
      <c r="F49" s="28" t="s">
        <v>8429</v>
      </c>
      <c r="G49" s="28" t="s">
        <v>8428</v>
      </c>
      <c r="H49" s="28" t="s">
        <v>8422</v>
      </c>
      <c r="I49" s="28" t="s">
        <v>8423</v>
      </c>
      <c r="J49" s="29" t="s">
        <v>69</v>
      </c>
      <c r="K49" s="29" t="s">
        <v>33296</v>
      </c>
      <c r="N49" s="28" t="s">
        <v>8438</v>
      </c>
      <c r="O49" s="28" t="s">
        <v>33243</v>
      </c>
      <c r="P49" s="28" t="s">
        <v>33292</v>
      </c>
      <c r="Q49" s="28" t="s">
        <v>33291</v>
      </c>
      <c r="R49" s="28" t="s">
        <v>33243</v>
      </c>
      <c r="S49" s="29" t="s">
        <v>33296</v>
      </c>
      <c r="T49" s="29"/>
      <c r="U49" s="29"/>
      <c r="V49" s="29" t="s">
        <v>33296</v>
      </c>
      <c r="W49" s="29"/>
      <c r="Z49" s="29" t="s">
        <v>33296</v>
      </c>
      <c r="AD49" s="29"/>
      <c r="AE49" s="29" t="s">
        <v>33296</v>
      </c>
      <c r="AF49" s="29"/>
      <c r="AG49" s="29"/>
    </row>
    <row r="50" spans="1:33" x14ac:dyDescent="0.3">
      <c r="A50" s="28" t="s">
        <v>3418</v>
      </c>
      <c r="B50" s="28" t="s">
        <v>3420</v>
      </c>
      <c r="C50" s="28" t="s">
        <v>3421</v>
      </c>
      <c r="D50" s="28">
        <v>2012</v>
      </c>
      <c r="E50" s="28" t="s">
        <v>8490</v>
      </c>
      <c r="F50" s="28" t="s">
        <v>8420</v>
      </c>
      <c r="G50" s="28" t="s">
        <v>8420</v>
      </c>
      <c r="H50" s="28" t="s">
        <v>8422</v>
      </c>
      <c r="I50" s="28" t="s">
        <v>8436</v>
      </c>
      <c r="J50" s="29" t="s">
        <v>33296</v>
      </c>
      <c r="M50" s="29" t="s">
        <v>33296</v>
      </c>
      <c r="N50" s="28" t="s">
        <v>33271</v>
      </c>
      <c r="O50" s="28" t="s">
        <v>33267</v>
      </c>
      <c r="P50" s="28" t="s">
        <v>33292</v>
      </c>
      <c r="Q50" s="28" t="s">
        <v>33291</v>
      </c>
      <c r="R50" s="28" t="s">
        <v>33267</v>
      </c>
      <c r="S50" s="29" t="s">
        <v>33296</v>
      </c>
      <c r="T50" s="29" t="s">
        <v>33296</v>
      </c>
      <c r="U50" s="29" t="s">
        <v>33296</v>
      </c>
      <c r="V50" s="29"/>
      <c r="W50" s="29"/>
      <c r="AC50" s="29" t="s">
        <v>33296</v>
      </c>
      <c r="AD50" s="29" t="s">
        <v>33296</v>
      </c>
      <c r="AE50" s="29"/>
      <c r="AF50" s="29"/>
      <c r="AG50" s="29" t="s">
        <v>33296</v>
      </c>
    </row>
    <row r="51" spans="1:33" x14ac:dyDescent="0.3">
      <c r="A51" s="28" t="s">
        <v>5804</v>
      </c>
      <c r="B51" s="28" t="s">
        <v>5806</v>
      </c>
      <c r="C51" s="28" t="s">
        <v>5807</v>
      </c>
      <c r="D51" s="28">
        <v>2012</v>
      </c>
      <c r="E51" s="28" t="s">
        <v>8491</v>
      </c>
      <c r="F51" s="28" t="s">
        <v>8433</v>
      </c>
      <c r="G51" s="28" t="s">
        <v>8433</v>
      </c>
      <c r="H51" s="28" t="s">
        <v>8422</v>
      </c>
      <c r="I51" s="28" t="s">
        <v>8423</v>
      </c>
      <c r="J51" s="29" t="s">
        <v>69</v>
      </c>
      <c r="K51" s="29" t="s">
        <v>33296</v>
      </c>
      <c r="N51" s="28" t="s">
        <v>33236</v>
      </c>
      <c r="O51" s="28" t="s">
        <v>33291</v>
      </c>
      <c r="P51" s="28" t="s">
        <v>33291</v>
      </c>
      <c r="Q51" s="28" t="s">
        <v>33291</v>
      </c>
      <c r="R51" s="28" t="s">
        <v>33291</v>
      </c>
      <c r="S51" s="29"/>
      <c r="T51" s="29" t="s">
        <v>33296</v>
      </c>
      <c r="U51" s="29"/>
      <c r="V51" s="29"/>
      <c r="W51" s="29"/>
      <c r="Z51" s="29" t="s">
        <v>33296</v>
      </c>
      <c r="AD51" s="29"/>
      <c r="AE51" s="29" t="s">
        <v>33296</v>
      </c>
      <c r="AF51" s="29"/>
      <c r="AG51" s="29"/>
    </row>
    <row r="52" spans="1:33" x14ac:dyDescent="0.3">
      <c r="A52" s="28" t="s">
        <v>33253</v>
      </c>
      <c r="B52" s="28" t="s">
        <v>33254</v>
      </c>
      <c r="C52" s="28" t="s">
        <v>8464</v>
      </c>
      <c r="D52" s="28">
        <v>2005</v>
      </c>
      <c r="E52" s="28" t="s">
        <v>8491</v>
      </c>
      <c r="F52" s="28" t="s">
        <v>8421</v>
      </c>
      <c r="G52" s="28" t="s">
        <v>8428</v>
      </c>
      <c r="H52" s="28" t="s">
        <v>8422</v>
      </c>
      <c r="I52" s="28" t="s">
        <v>8423</v>
      </c>
      <c r="L52" s="29" t="s">
        <v>33296</v>
      </c>
      <c r="N52" s="28" t="s">
        <v>33282</v>
      </c>
      <c r="O52" s="28" t="s">
        <v>8421</v>
      </c>
      <c r="P52" s="28" t="s">
        <v>33290</v>
      </c>
      <c r="Q52" s="28" t="s">
        <v>8421</v>
      </c>
      <c r="R52" s="28" t="s">
        <v>33291</v>
      </c>
      <c r="S52" s="29" t="s">
        <v>33296</v>
      </c>
      <c r="T52" s="29"/>
      <c r="U52" s="29"/>
      <c r="V52" s="29"/>
      <c r="W52" s="29"/>
      <c r="Z52" s="29" t="s">
        <v>33296</v>
      </c>
      <c r="AA52" s="29" t="s">
        <v>33296</v>
      </c>
      <c r="AD52" s="29"/>
      <c r="AE52" s="29"/>
      <c r="AF52" s="29" t="s">
        <v>33296</v>
      </c>
      <c r="AG52" s="29"/>
    </row>
    <row r="53" spans="1:33" x14ac:dyDescent="0.3">
      <c r="A53" s="28" t="s">
        <v>15562</v>
      </c>
      <c r="B53" s="28" t="s">
        <v>8477</v>
      </c>
      <c r="C53" s="28" t="s">
        <v>426</v>
      </c>
      <c r="D53" s="28">
        <v>2020</v>
      </c>
      <c r="E53" s="28" t="s">
        <v>8490</v>
      </c>
      <c r="F53" s="28" t="s">
        <v>8429</v>
      </c>
      <c r="G53" s="28" t="s">
        <v>8428</v>
      </c>
      <c r="H53" s="28" t="s">
        <v>8422</v>
      </c>
      <c r="I53" s="28" t="s">
        <v>8423</v>
      </c>
      <c r="K53" s="29" t="s">
        <v>33296</v>
      </c>
      <c r="N53" s="28" t="s">
        <v>33289</v>
      </c>
      <c r="O53" s="28" t="s">
        <v>33264</v>
      </c>
      <c r="P53" s="28" t="s">
        <v>33292</v>
      </c>
      <c r="Q53" s="28" t="s">
        <v>33291</v>
      </c>
      <c r="R53" s="28" t="s">
        <v>33264</v>
      </c>
      <c r="S53" s="29" t="s">
        <v>33296</v>
      </c>
      <c r="T53" s="29"/>
      <c r="U53" s="29"/>
      <c r="V53" s="29"/>
      <c r="W53" s="29"/>
      <c r="Z53" s="29" t="s">
        <v>33296</v>
      </c>
      <c r="AC53" s="29" t="s">
        <v>33296</v>
      </c>
      <c r="AD53" s="29"/>
      <c r="AE53" s="29" t="s">
        <v>33296</v>
      </c>
      <c r="AF53" s="29"/>
      <c r="AG53" s="29"/>
    </row>
    <row r="54" spans="1:33" x14ac:dyDescent="0.3">
      <c r="A54" s="28" t="s">
        <v>8459</v>
      </c>
      <c r="B54" s="28" t="s">
        <v>8460</v>
      </c>
      <c r="C54" s="28" t="s">
        <v>8461</v>
      </c>
      <c r="D54" s="28">
        <v>2008</v>
      </c>
      <c r="E54" s="28" t="s">
        <v>8491</v>
      </c>
      <c r="F54" s="28" t="s">
        <v>8429</v>
      </c>
      <c r="G54" s="28" t="s">
        <v>8433</v>
      </c>
      <c r="H54" s="28" t="s">
        <v>8422</v>
      </c>
      <c r="I54" s="28" t="s">
        <v>8423</v>
      </c>
      <c r="J54" s="29" t="s">
        <v>33296</v>
      </c>
      <c r="M54" s="29" t="s">
        <v>33296</v>
      </c>
      <c r="N54" s="28" t="s">
        <v>33232</v>
      </c>
      <c r="O54" s="28" t="s">
        <v>33264</v>
      </c>
      <c r="P54" s="28" t="s">
        <v>33292</v>
      </c>
      <c r="Q54" s="28" t="s">
        <v>33291</v>
      </c>
      <c r="R54" s="28" t="s">
        <v>33264</v>
      </c>
      <c r="S54" s="29" t="s">
        <v>33296</v>
      </c>
      <c r="T54" s="29" t="s">
        <v>33296</v>
      </c>
      <c r="U54" s="29" t="s">
        <v>33296</v>
      </c>
      <c r="V54" s="29"/>
      <c r="W54" s="29"/>
      <c r="X54" s="29" t="s">
        <v>33296</v>
      </c>
      <c r="AC54" s="29" t="s">
        <v>33296</v>
      </c>
      <c r="AD54" s="29" t="s">
        <v>33296</v>
      </c>
      <c r="AE54" s="29"/>
      <c r="AF54" s="29"/>
      <c r="AG54" s="29" t="s">
        <v>33296</v>
      </c>
    </row>
    <row r="55" spans="1:33" x14ac:dyDescent="0.3">
      <c r="A55" s="28" t="s">
        <v>8478</v>
      </c>
      <c r="B55" s="28" t="s">
        <v>8479</v>
      </c>
      <c r="C55" s="28" t="s">
        <v>8480</v>
      </c>
      <c r="D55" s="28">
        <v>2019</v>
      </c>
      <c r="E55" s="28" t="s">
        <v>8491</v>
      </c>
      <c r="F55" s="28" t="s">
        <v>8429</v>
      </c>
      <c r="G55" s="28" t="s">
        <v>8420</v>
      </c>
      <c r="H55" s="28" t="s">
        <v>8422</v>
      </c>
      <c r="I55" s="28" t="s">
        <v>8423</v>
      </c>
      <c r="K55" s="29" t="s">
        <v>33296</v>
      </c>
      <c r="M55" s="29" t="s">
        <v>33296</v>
      </c>
      <c r="N55" s="28" t="s">
        <v>33289</v>
      </c>
      <c r="O55" s="28" t="s">
        <v>33264</v>
      </c>
      <c r="P55" s="28" t="s">
        <v>33292</v>
      </c>
      <c r="Q55" s="28" t="s">
        <v>33291</v>
      </c>
      <c r="R55" s="28" t="s">
        <v>33264</v>
      </c>
      <c r="S55" s="29" t="s">
        <v>33296</v>
      </c>
      <c r="T55" s="29"/>
      <c r="U55" s="29"/>
      <c r="V55" s="29"/>
      <c r="W55" s="29"/>
      <c r="Z55" s="29" t="s">
        <v>33296</v>
      </c>
      <c r="AB55" s="29" t="s">
        <v>33296</v>
      </c>
      <c r="AC55" s="29" t="s">
        <v>33296</v>
      </c>
      <c r="AD55" s="29"/>
      <c r="AE55" s="29" t="s">
        <v>33296</v>
      </c>
      <c r="AF55" s="29"/>
      <c r="AG55" s="29" t="s">
        <v>33296</v>
      </c>
    </row>
    <row r="56" spans="1:33" x14ac:dyDescent="0.3">
      <c r="A56" s="28" t="s">
        <v>33228</v>
      </c>
      <c r="B56" s="28" t="s">
        <v>33090</v>
      </c>
      <c r="C56" s="28" t="s">
        <v>417</v>
      </c>
      <c r="D56" s="28">
        <v>2010</v>
      </c>
      <c r="E56" s="28" t="s">
        <v>8491</v>
      </c>
      <c r="F56" s="28" t="s">
        <v>8421</v>
      </c>
      <c r="G56" s="28" t="s">
        <v>8420</v>
      </c>
      <c r="H56" s="28" t="s">
        <v>8422</v>
      </c>
      <c r="I56" s="28" t="s">
        <v>8423</v>
      </c>
      <c r="K56" s="29" t="s">
        <v>33296</v>
      </c>
      <c r="N56" s="28" t="s">
        <v>33231</v>
      </c>
      <c r="O56" s="28" t="s">
        <v>33264</v>
      </c>
      <c r="P56" s="28" t="s">
        <v>33292</v>
      </c>
      <c r="Q56" s="28" t="s">
        <v>33291</v>
      </c>
      <c r="R56" s="28" t="s">
        <v>33264</v>
      </c>
      <c r="S56" s="29" t="s">
        <v>33296</v>
      </c>
      <c r="T56" s="29" t="s">
        <v>33296</v>
      </c>
      <c r="U56" s="29"/>
      <c r="V56" s="29"/>
      <c r="W56" s="29"/>
      <c r="Z56" s="29" t="s">
        <v>33296</v>
      </c>
      <c r="AD56" s="29"/>
      <c r="AE56" s="29" t="s">
        <v>33296</v>
      </c>
      <c r="AF56" s="29"/>
      <c r="AG56" s="29"/>
    </row>
    <row r="57" spans="1:33" x14ac:dyDescent="0.3">
      <c r="A57" s="28" t="s">
        <v>8469</v>
      </c>
      <c r="B57" s="28" t="s">
        <v>8493</v>
      </c>
      <c r="C57" s="28" t="s">
        <v>8470</v>
      </c>
      <c r="D57" s="28">
        <v>2011</v>
      </c>
      <c r="E57" s="28" t="s">
        <v>8490</v>
      </c>
      <c r="F57" s="28" t="s">
        <v>8428</v>
      </c>
      <c r="G57" s="28" t="s">
        <v>8428</v>
      </c>
      <c r="H57" s="28" t="s">
        <v>8422</v>
      </c>
      <c r="I57" s="28" t="s">
        <v>8423</v>
      </c>
      <c r="K57" s="29" t="s">
        <v>33296</v>
      </c>
      <c r="N57" s="28" t="s">
        <v>33284</v>
      </c>
      <c r="O57" s="28" t="s">
        <v>33243</v>
      </c>
      <c r="P57" s="28" t="s">
        <v>33292</v>
      </c>
      <c r="Q57" s="28" t="s">
        <v>33291</v>
      </c>
      <c r="R57" s="28" t="s">
        <v>33243</v>
      </c>
      <c r="S57" s="29" t="s">
        <v>33296</v>
      </c>
      <c r="T57" s="29"/>
      <c r="U57" s="29"/>
      <c r="V57" s="29"/>
      <c r="W57" s="29"/>
      <c r="Z57" s="29" t="s">
        <v>33296</v>
      </c>
      <c r="AD57" s="29"/>
      <c r="AE57" s="29" t="s">
        <v>33296</v>
      </c>
      <c r="AF57" s="29"/>
      <c r="AG57" s="29"/>
    </row>
    <row r="58" spans="1:33" x14ac:dyDescent="0.3">
      <c r="A58" s="28" t="s">
        <v>8465</v>
      </c>
      <c r="B58" s="28" t="s">
        <v>8466</v>
      </c>
      <c r="C58" s="28" t="s">
        <v>8467</v>
      </c>
      <c r="D58" s="28">
        <v>2017</v>
      </c>
      <c r="E58" s="28" t="s">
        <v>8490</v>
      </c>
      <c r="F58" s="28" t="s">
        <v>8420</v>
      </c>
      <c r="G58" s="28" t="s">
        <v>8420</v>
      </c>
      <c r="H58" s="28" t="s">
        <v>8422</v>
      </c>
      <c r="I58" s="28" t="s">
        <v>8423</v>
      </c>
      <c r="J58" s="29" t="s">
        <v>33296</v>
      </c>
      <c r="K58" s="29" t="s">
        <v>33296</v>
      </c>
      <c r="M58" s="29" t="s">
        <v>33296</v>
      </c>
      <c r="O58" s="28" t="s">
        <v>33267</v>
      </c>
      <c r="P58" s="28" t="s">
        <v>33292</v>
      </c>
      <c r="Q58" s="28" t="s">
        <v>33291</v>
      </c>
      <c r="R58" s="28" t="s">
        <v>33267</v>
      </c>
      <c r="S58" s="29" t="s">
        <v>33296</v>
      </c>
      <c r="T58" s="29"/>
      <c r="U58" s="29" t="s">
        <v>33296</v>
      </c>
      <c r="V58" s="29"/>
      <c r="W58" s="29" t="s">
        <v>33296</v>
      </c>
      <c r="X58" s="29" t="s">
        <v>33296</v>
      </c>
      <c r="Z58" s="29" t="s">
        <v>33296</v>
      </c>
      <c r="AC58" s="29" t="s">
        <v>33296</v>
      </c>
      <c r="AD58" s="29" t="s">
        <v>33296</v>
      </c>
      <c r="AE58" s="29"/>
      <c r="AF58" s="29"/>
      <c r="AG58" s="29"/>
    </row>
    <row r="59" spans="1:33" x14ac:dyDescent="0.3">
      <c r="A59" s="28" t="s">
        <v>33216</v>
      </c>
      <c r="B59" s="28" t="s">
        <v>33217</v>
      </c>
      <c r="C59" s="28" t="s">
        <v>33218</v>
      </c>
      <c r="D59" s="28">
        <v>2021</v>
      </c>
      <c r="E59" s="28" t="s">
        <v>8490</v>
      </c>
      <c r="F59" s="28" t="s">
        <v>8421</v>
      </c>
      <c r="G59" s="28" t="s">
        <v>8420</v>
      </c>
      <c r="H59" s="28" t="s">
        <v>8422</v>
      </c>
      <c r="I59" s="28" t="s">
        <v>8423</v>
      </c>
      <c r="K59" s="29" t="s">
        <v>33296</v>
      </c>
      <c r="L59" s="29" t="s">
        <v>33296</v>
      </c>
      <c r="M59" s="29" t="s">
        <v>33296</v>
      </c>
      <c r="N59" s="28" t="s">
        <v>33285</v>
      </c>
      <c r="O59" s="28" t="s">
        <v>33264</v>
      </c>
      <c r="P59" s="28" t="s">
        <v>33292</v>
      </c>
      <c r="Q59" s="28" t="s">
        <v>33291</v>
      </c>
      <c r="R59" s="28" t="s">
        <v>33264</v>
      </c>
      <c r="S59" s="29" t="s">
        <v>33296</v>
      </c>
      <c r="T59" s="29" t="s">
        <v>33296</v>
      </c>
      <c r="U59" s="29"/>
      <c r="V59" s="29" t="s">
        <v>33296</v>
      </c>
      <c r="W59" s="29"/>
      <c r="Z59" s="29" t="s">
        <v>33296</v>
      </c>
      <c r="AA59" s="29" t="s">
        <v>33296</v>
      </c>
      <c r="AC59" s="29" t="s">
        <v>33296</v>
      </c>
      <c r="AD59" s="29"/>
      <c r="AE59" s="29" t="s">
        <v>33296</v>
      </c>
      <c r="AF59" s="29" t="s">
        <v>33296</v>
      </c>
      <c r="AG59" s="29" t="s">
        <v>33296</v>
      </c>
    </row>
    <row r="60" spans="1:33" x14ac:dyDescent="0.3">
      <c r="A60" s="28" t="s">
        <v>8454</v>
      </c>
      <c r="B60" s="28" t="s">
        <v>33215</v>
      </c>
      <c r="C60" s="28" t="s">
        <v>8455</v>
      </c>
      <c r="D60" s="28">
        <v>2020</v>
      </c>
      <c r="E60" s="28" t="s">
        <v>8490</v>
      </c>
      <c r="F60" s="28" t="s">
        <v>8421</v>
      </c>
      <c r="G60" s="28" t="s">
        <v>8420</v>
      </c>
      <c r="H60" s="28" t="s">
        <v>8422</v>
      </c>
      <c r="I60" s="28" t="s">
        <v>8423</v>
      </c>
      <c r="K60" s="29" t="s">
        <v>33296</v>
      </c>
      <c r="L60" s="29" t="s">
        <v>33296</v>
      </c>
      <c r="O60" s="28" t="s">
        <v>33264</v>
      </c>
      <c r="P60" s="28" t="s">
        <v>33292</v>
      </c>
      <c r="Q60" s="28" t="s">
        <v>33291</v>
      </c>
      <c r="R60" s="28" t="s">
        <v>33264</v>
      </c>
      <c r="S60" s="29" t="s">
        <v>33296</v>
      </c>
      <c r="T60" s="29"/>
      <c r="U60" s="29"/>
      <c r="V60" s="29" t="s">
        <v>33296</v>
      </c>
      <c r="W60" s="29"/>
      <c r="Z60" s="29" t="s">
        <v>33296</v>
      </c>
      <c r="AA60" s="29" t="s">
        <v>33296</v>
      </c>
      <c r="AD60" s="29"/>
      <c r="AE60" s="29" t="s">
        <v>33296</v>
      </c>
      <c r="AF60" s="29" t="s">
        <v>33296</v>
      </c>
      <c r="AG60" s="29"/>
    </row>
    <row r="61" spans="1:33" x14ac:dyDescent="0.3">
      <c r="A61" s="28" t="s">
        <v>8473</v>
      </c>
      <c r="B61" s="28" t="s">
        <v>8474</v>
      </c>
      <c r="C61" s="28" t="s">
        <v>8475</v>
      </c>
      <c r="D61" s="28">
        <v>2019</v>
      </c>
      <c r="E61" s="28" t="s">
        <v>8490</v>
      </c>
      <c r="F61" s="28" t="s">
        <v>8420</v>
      </c>
      <c r="G61" s="28" t="s">
        <v>8420</v>
      </c>
      <c r="H61" s="28" t="s">
        <v>8422</v>
      </c>
      <c r="I61" s="28" t="s">
        <v>8423</v>
      </c>
      <c r="M61" s="29" t="s">
        <v>33296</v>
      </c>
      <c r="N61" s="28" t="s">
        <v>33284</v>
      </c>
      <c r="O61" s="28" t="s">
        <v>33243</v>
      </c>
      <c r="P61" s="28" t="s">
        <v>33292</v>
      </c>
      <c r="Q61" s="28" t="s">
        <v>33291</v>
      </c>
      <c r="R61" s="28" t="s">
        <v>33243</v>
      </c>
      <c r="S61" s="29" t="s">
        <v>33296</v>
      </c>
      <c r="T61" s="29" t="s">
        <v>33296</v>
      </c>
      <c r="U61" s="29" t="s">
        <v>33296</v>
      </c>
      <c r="V61" s="29"/>
      <c r="W61" s="29"/>
      <c r="AB61" s="29" t="s">
        <v>33296</v>
      </c>
      <c r="AD61" s="29"/>
      <c r="AE61" s="29"/>
      <c r="AF61" s="29"/>
      <c r="AG61" s="29" t="s">
        <v>33296</v>
      </c>
    </row>
    <row r="62" spans="1:33" x14ac:dyDescent="0.3">
      <c r="A62" s="28" t="s">
        <v>21613</v>
      </c>
      <c r="B62" s="28" t="s">
        <v>21615</v>
      </c>
      <c r="C62" s="28" t="s">
        <v>21616</v>
      </c>
      <c r="D62" s="28">
        <v>2016</v>
      </c>
      <c r="E62" s="28" t="s">
        <v>8490</v>
      </c>
      <c r="F62" s="28" t="s">
        <v>8429</v>
      </c>
      <c r="G62" s="28" t="s">
        <v>8420</v>
      </c>
      <c r="H62" s="28" t="s">
        <v>8422</v>
      </c>
      <c r="I62" s="28" t="s">
        <v>8423</v>
      </c>
      <c r="J62" s="29" t="s">
        <v>33296</v>
      </c>
      <c r="K62" s="29" t="s">
        <v>33296</v>
      </c>
      <c r="L62" s="29" t="s">
        <v>33296</v>
      </c>
      <c r="M62" s="29" t="s">
        <v>33296</v>
      </c>
      <c r="N62" s="28" t="s">
        <v>33238</v>
      </c>
      <c r="O62" s="28" t="s">
        <v>33243</v>
      </c>
      <c r="P62" s="28" t="s">
        <v>33292</v>
      </c>
      <c r="Q62" s="28" t="s">
        <v>33291</v>
      </c>
      <c r="R62" s="28" t="s">
        <v>33243</v>
      </c>
      <c r="S62" s="29" t="s">
        <v>33296</v>
      </c>
      <c r="T62" s="29" t="s">
        <v>33296</v>
      </c>
      <c r="U62" s="29"/>
      <c r="V62" s="29"/>
      <c r="W62" s="29"/>
      <c r="Y62" s="29" t="s">
        <v>33296</v>
      </c>
      <c r="Z62" s="29" t="s">
        <v>33296</v>
      </c>
      <c r="AA62" s="29" t="s">
        <v>33296</v>
      </c>
      <c r="AB62" s="29" t="s">
        <v>33296</v>
      </c>
      <c r="AD62" s="29" t="s">
        <v>33296</v>
      </c>
      <c r="AE62" s="29" t="s">
        <v>33296</v>
      </c>
      <c r="AF62" s="29" t="s">
        <v>33296</v>
      </c>
      <c r="AG62" s="29" t="s">
        <v>33296</v>
      </c>
    </row>
    <row r="63" spans="1:33" x14ac:dyDescent="0.3">
      <c r="A63" s="28" t="s">
        <v>15538</v>
      </c>
      <c r="B63" s="28" t="s">
        <v>15540</v>
      </c>
      <c r="C63" s="28" t="s">
        <v>436</v>
      </c>
      <c r="D63" s="28">
        <v>2020</v>
      </c>
      <c r="E63" s="28" t="s">
        <v>8491</v>
      </c>
      <c r="F63" s="28" t="s">
        <v>8420</v>
      </c>
      <c r="G63" s="28" t="s">
        <v>8420</v>
      </c>
      <c r="H63" s="28" t="s">
        <v>8422</v>
      </c>
      <c r="I63" s="28" t="s">
        <v>8423</v>
      </c>
      <c r="K63" s="29" t="s">
        <v>33296</v>
      </c>
      <c r="L63" s="29" t="s">
        <v>33296</v>
      </c>
      <c r="N63" s="28" t="s">
        <v>33235</v>
      </c>
      <c r="O63" s="28" t="s">
        <v>33241</v>
      </c>
      <c r="P63" s="28" t="s">
        <v>33290</v>
      </c>
      <c r="Q63" s="28" t="s">
        <v>33241</v>
      </c>
      <c r="R63" s="28" t="s">
        <v>33291</v>
      </c>
      <c r="S63" s="29"/>
      <c r="T63" s="29" t="s">
        <v>33296</v>
      </c>
      <c r="U63" s="29"/>
      <c r="V63" s="29"/>
      <c r="W63" s="29"/>
      <c r="Z63" s="29" t="s">
        <v>33296</v>
      </c>
      <c r="AA63" s="29" t="s">
        <v>33296</v>
      </c>
      <c r="AD63" s="29"/>
      <c r="AE63" s="29"/>
      <c r="AF63" s="29" t="s">
        <v>33296</v>
      </c>
      <c r="AG63" s="29"/>
    </row>
    <row r="64" spans="1:33" x14ac:dyDescent="0.3">
      <c r="A64" s="28" t="s">
        <v>23468</v>
      </c>
      <c r="B64" s="28" t="s">
        <v>23470</v>
      </c>
      <c r="C64" s="28" t="s">
        <v>2307</v>
      </c>
      <c r="D64" s="28">
        <v>2014</v>
      </c>
      <c r="E64" s="28" t="s">
        <v>8490</v>
      </c>
      <c r="F64" s="28" t="s">
        <v>8428</v>
      </c>
      <c r="G64" s="28" t="s">
        <v>8428</v>
      </c>
      <c r="H64" s="28" t="s">
        <v>8422</v>
      </c>
      <c r="I64" s="28" t="s">
        <v>8423</v>
      </c>
      <c r="J64" s="29" t="s">
        <v>33296</v>
      </c>
      <c r="K64" s="29" t="s">
        <v>33296</v>
      </c>
      <c r="L64" s="29" t="s">
        <v>33296</v>
      </c>
      <c r="M64" s="29" t="s">
        <v>33296</v>
      </c>
      <c r="N64" s="28" t="s">
        <v>33233</v>
      </c>
      <c r="O64" s="28" t="s">
        <v>33266</v>
      </c>
      <c r="P64" s="28" t="s">
        <v>33290</v>
      </c>
      <c r="Q64" s="28" t="s">
        <v>33266</v>
      </c>
      <c r="R64" s="28" t="s">
        <v>33291</v>
      </c>
      <c r="S64" s="29" t="s">
        <v>33296</v>
      </c>
      <c r="T64" s="29" t="s">
        <v>33296</v>
      </c>
      <c r="U64" s="29"/>
      <c r="V64" s="29"/>
      <c r="W64" s="29"/>
      <c r="X64" s="29" t="s">
        <v>33296</v>
      </c>
      <c r="Z64" s="29" t="s">
        <v>33296</v>
      </c>
      <c r="AA64" s="29" t="s">
        <v>33296</v>
      </c>
      <c r="AC64" s="29" t="s">
        <v>33296</v>
      </c>
      <c r="AD64" s="29"/>
      <c r="AE64" s="29"/>
      <c r="AF64" s="29" t="s">
        <v>33296</v>
      </c>
      <c r="AG64" s="29" t="s">
        <v>33296</v>
      </c>
    </row>
    <row r="65" spans="1:33" x14ac:dyDescent="0.3">
      <c r="A65" s="28" t="s">
        <v>24173</v>
      </c>
      <c r="B65" s="28" t="s">
        <v>24175</v>
      </c>
      <c r="C65" s="28" t="s">
        <v>24176</v>
      </c>
      <c r="D65" s="28">
        <v>2014</v>
      </c>
      <c r="E65" s="28" t="s">
        <v>8491</v>
      </c>
      <c r="F65" s="28" t="s">
        <v>8427</v>
      </c>
      <c r="G65" s="28" t="s">
        <v>8420</v>
      </c>
      <c r="H65" s="28" t="s">
        <v>8422</v>
      </c>
      <c r="I65" s="28" t="s">
        <v>8423</v>
      </c>
      <c r="K65" s="29" t="s">
        <v>33296</v>
      </c>
      <c r="L65" s="29" t="s">
        <v>33296</v>
      </c>
      <c r="M65" s="29" t="s">
        <v>33296</v>
      </c>
      <c r="N65" s="28" t="s">
        <v>33283</v>
      </c>
      <c r="O65" s="28" t="s">
        <v>33243</v>
      </c>
      <c r="P65" s="28" t="s">
        <v>33292</v>
      </c>
      <c r="Q65" s="28" t="s">
        <v>33291</v>
      </c>
      <c r="R65" s="28" t="s">
        <v>33243</v>
      </c>
      <c r="S65" s="29" t="s">
        <v>33296</v>
      </c>
      <c r="T65" s="29" t="s">
        <v>33296</v>
      </c>
      <c r="U65" s="29" t="s">
        <v>33296</v>
      </c>
      <c r="V65" s="29"/>
      <c r="W65" s="29"/>
      <c r="Z65" s="29" t="s">
        <v>33296</v>
      </c>
      <c r="AD65" s="29"/>
      <c r="AE65" s="29" t="s">
        <v>33296</v>
      </c>
      <c r="AF65" s="29"/>
      <c r="AG65" s="29" t="s">
        <v>33296</v>
      </c>
    </row>
    <row r="66" spans="1:33" x14ac:dyDescent="0.3">
      <c r="A66" s="28" t="s">
        <v>26382</v>
      </c>
      <c r="B66" s="28" t="s">
        <v>26384</v>
      </c>
      <c r="C66" s="28" t="s">
        <v>26385</v>
      </c>
      <c r="D66" s="28">
        <v>2012</v>
      </c>
      <c r="E66" s="28" t="s">
        <v>8491</v>
      </c>
      <c r="F66" s="28" t="s">
        <v>8428</v>
      </c>
      <c r="G66" s="28" t="s">
        <v>8428</v>
      </c>
      <c r="H66" s="28" t="s">
        <v>8422</v>
      </c>
      <c r="I66" s="28" t="s">
        <v>8436</v>
      </c>
      <c r="J66" s="29" t="s">
        <v>33296</v>
      </c>
      <c r="N66" s="28" t="s">
        <v>33286</v>
      </c>
      <c r="O66" s="28" t="s">
        <v>33266</v>
      </c>
      <c r="P66" s="28" t="s">
        <v>33290</v>
      </c>
      <c r="Q66" s="28" t="s">
        <v>33266</v>
      </c>
      <c r="R66" s="28" t="s">
        <v>33291</v>
      </c>
      <c r="S66" s="29" t="s">
        <v>33296</v>
      </c>
      <c r="T66" s="29"/>
      <c r="U66" s="29"/>
      <c r="V66" s="29"/>
      <c r="W66" s="29"/>
      <c r="X66" s="29" t="s">
        <v>33296</v>
      </c>
      <c r="AD66" s="29"/>
      <c r="AE66" s="29"/>
      <c r="AF66" s="29"/>
      <c r="AG66" s="29"/>
    </row>
    <row r="67" spans="1:33" x14ac:dyDescent="0.3">
      <c r="A67" s="28" t="s">
        <v>23396</v>
      </c>
      <c r="B67" s="28" t="s">
        <v>23398</v>
      </c>
      <c r="C67" s="28" t="s">
        <v>2009</v>
      </c>
      <c r="D67" s="28">
        <v>2014</v>
      </c>
      <c r="E67" s="28" t="s">
        <v>8491</v>
      </c>
      <c r="F67" s="28" t="s">
        <v>8428</v>
      </c>
      <c r="G67" s="28" t="s">
        <v>8428</v>
      </c>
      <c r="H67" s="28" t="s">
        <v>8422</v>
      </c>
      <c r="I67" s="28" t="s">
        <v>8423</v>
      </c>
      <c r="M67" s="29" t="s">
        <v>33296</v>
      </c>
      <c r="N67" s="28" t="s">
        <v>33271</v>
      </c>
      <c r="O67" s="28" t="s">
        <v>33240</v>
      </c>
      <c r="P67" s="28" t="s">
        <v>33290</v>
      </c>
      <c r="Q67" s="28" t="s">
        <v>33240</v>
      </c>
      <c r="R67" s="28" t="s">
        <v>33291</v>
      </c>
      <c r="S67" s="29" t="s">
        <v>33296</v>
      </c>
      <c r="T67" s="29" t="s">
        <v>33296</v>
      </c>
      <c r="U67" s="29" t="s">
        <v>33296</v>
      </c>
      <c r="V67" s="29"/>
      <c r="W67" s="29"/>
      <c r="AB67" s="29" t="s">
        <v>33296</v>
      </c>
      <c r="AD67" s="29"/>
      <c r="AE67" s="29"/>
      <c r="AF67" s="29"/>
      <c r="AG67" s="29" t="s">
        <v>33296</v>
      </c>
    </row>
    <row r="68" spans="1:33" x14ac:dyDescent="0.3">
      <c r="A68" s="28" t="s">
        <v>8949</v>
      </c>
      <c r="B68" s="28" t="s">
        <v>8951</v>
      </c>
      <c r="C68" s="28" t="s">
        <v>352</v>
      </c>
      <c r="D68" s="28">
        <v>2022</v>
      </c>
      <c r="E68" s="28" t="s">
        <v>8491</v>
      </c>
      <c r="F68" s="28" t="s">
        <v>8429</v>
      </c>
      <c r="G68" s="28" t="s">
        <v>8420</v>
      </c>
      <c r="H68" s="28" t="s">
        <v>8422</v>
      </c>
      <c r="I68" s="28" t="s">
        <v>8436</v>
      </c>
      <c r="L68" s="29" t="s">
        <v>33296</v>
      </c>
      <c r="N68" s="28" t="s">
        <v>33239</v>
      </c>
      <c r="O68" s="28" t="s">
        <v>33241</v>
      </c>
      <c r="P68" s="28" t="s">
        <v>33290</v>
      </c>
      <c r="Q68" s="28" t="s">
        <v>33241</v>
      </c>
      <c r="R68" s="28" t="s">
        <v>33291</v>
      </c>
      <c r="S68" s="29" t="s">
        <v>33296</v>
      </c>
      <c r="T68" s="29" t="s">
        <v>33296</v>
      </c>
      <c r="U68" s="29"/>
      <c r="V68" s="29"/>
      <c r="W68" s="29"/>
      <c r="AD68" s="29"/>
      <c r="AE68" s="29"/>
      <c r="AF68" s="29"/>
      <c r="AG68" s="29"/>
    </row>
    <row r="69" spans="1:33" x14ac:dyDescent="0.3">
      <c r="A69" s="28" t="s">
        <v>31651</v>
      </c>
      <c r="B69" s="28" t="s">
        <v>31652</v>
      </c>
      <c r="C69" s="28" t="s">
        <v>3321</v>
      </c>
      <c r="D69" s="28">
        <v>2001</v>
      </c>
      <c r="E69" s="28" t="s">
        <v>8491</v>
      </c>
      <c r="F69" s="28" t="s">
        <v>8421</v>
      </c>
      <c r="G69" s="28" t="s">
        <v>8420</v>
      </c>
      <c r="H69" s="28" t="s">
        <v>8425</v>
      </c>
      <c r="I69" s="28" t="s">
        <v>8423</v>
      </c>
      <c r="K69" s="29" t="s">
        <v>33296</v>
      </c>
      <c r="L69" s="29" t="s">
        <v>33296</v>
      </c>
      <c r="M69" s="29" t="s">
        <v>33296</v>
      </c>
      <c r="N69" s="28" t="s">
        <v>33233</v>
      </c>
      <c r="O69" s="28" t="s">
        <v>8421</v>
      </c>
      <c r="P69" s="28" t="s">
        <v>33290</v>
      </c>
      <c r="Q69" s="28" t="s">
        <v>8421</v>
      </c>
      <c r="R69" s="28" t="s">
        <v>33291</v>
      </c>
      <c r="S69" s="29"/>
      <c r="T69" s="29" t="s">
        <v>33296</v>
      </c>
      <c r="U69" s="29"/>
      <c r="V69" s="29"/>
      <c r="W69" s="29"/>
      <c r="Z69" s="29" t="s">
        <v>33296</v>
      </c>
      <c r="AD69" s="29"/>
      <c r="AE69" s="29"/>
      <c r="AF69" s="29" t="s">
        <v>33296</v>
      </c>
      <c r="AG69" s="29" t="s">
        <v>33296</v>
      </c>
    </row>
    <row r="70" spans="1:33" x14ac:dyDescent="0.3">
      <c r="A70" s="28" t="s">
        <v>18695</v>
      </c>
      <c r="B70" s="28" t="s">
        <v>18697</v>
      </c>
      <c r="C70" s="28" t="s">
        <v>14890</v>
      </c>
      <c r="D70" s="28">
        <v>2018</v>
      </c>
      <c r="E70" s="28" t="s">
        <v>8491</v>
      </c>
      <c r="F70" s="28" t="s">
        <v>8420</v>
      </c>
      <c r="G70" s="28" t="s">
        <v>8420</v>
      </c>
      <c r="H70" s="28" t="s">
        <v>8422</v>
      </c>
      <c r="I70" s="28" t="s">
        <v>8423</v>
      </c>
      <c r="J70" s="29" t="s">
        <v>33296</v>
      </c>
      <c r="K70" s="29" t="s">
        <v>33296</v>
      </c>
      <c r="N70" s="28" t="s">
        <v>33227</v>
      </c>
      <c r="O70" s="28" t="s">
        <v>33240</v>
      </c>
      <c r="P70" s="28" t="s">
        <v>33290</v>
      </c>
      <c r="Q70" s="28" t="s">
        <v>33240</v>
      </c>
      <c r="R70" s="28" t="s">
        <v>33291</v>
      </c>
      <c r="S70" s="29" t="s">
        <v>33296</v>
      </c>
      <c r="T70" s="29"/>
      <c r="U70" s="29"/>
      <c r="V70" s="29"/>
      <c r="W70" s="29" t="s">
        <v>33296</v>
      </c>
      <c r="Y70" s="29" t="s">
        <v>33296</v>
      </c>
      <c r="AD70" s="29" t="s">
        <v>33296</v>
      </c>
      <c r="AE70" s="29"/>
      <c r="AF70" s="29"/>
      <c r="AG70" s="29"/>
    </row>
    <row r="71" spans="1:33" x14ac:dyDescent="0.3">
      <c r="A71" s="28" t="s">
        <v>13244</v>
      </c>
      <c r="B71" s="28" t="s">
        <v>13246</v>
      </c>
      <c r="C71" s="28" t="s">
        <v>4739</v>
      </c>
      <c r="D71" s="28">
        <v>2021</v>
      </c>
      <c r="E71" s="28" t="s">
        <v>8491</v>
      </c>
      <c r="F71" s="28" t="s">
        <v>8421</v>
      </c>
      <c r="G71" s="28" t="s">
        <v>8420</v>
      </c>
      <c r="H71" s="28" t="s">
        <v>8422</v>
      </c>
      <c r="I71" s="28" t="s">
        <v>8423</v>
      </c>
      <c r="K71" s="29" t="s">
        <v>33296</v>
      </c>
      <c r="N71" s="28" t="s">
        <v>33237</v>
      </c>
      <c r="O71" s="28" t="s">
        <v>33264</v>
      </c>
      <c r="P71" s="28" t="s">
        <v>33292</v>
      </c>
      <c r="Q71" s="28" t="s">
        <v>33291</v>
      </c>
      <c r="R71" s="28" t="s">
        <v>33264</v>
      </c>
      <c r="S71" s="29" t="s">
        <v>33296</v>
      </c>
      <c r="T71" s="29"/>
      <c r="U71" s="29"/>
      <c r="V71" s="29"/>
      <c r="W71" s="29"/>
      <c r="Z71" s="29" t="s">
        <v>33296</v>
      </c>
      <c r="AD71" s="29"/>
      <c r="AE71" s="29" t="s">
        <v>33296</v>
      </c>
      <c r="AF71" s="29"/>
      <c r="AG71" s="29"/>
    </row>
    <row r="72" spans="1:33" x14ac:dyDescent="0.3">
      <c r="A72" s="28" t="s">
        <v>22595</v>
      </c>
      <c r="B72" s="28" t="s">
        <v>22597</v>
      </c>
      <c r="C72" s="28" t="s">
        <v>22598</v>
      </c>
      <c r="D72" s="28">
        <v>2015</v>
      </c>
      <c r="E72" s="28" t="s">
        <v>8490</v>
      </c>
      <c r="F72" s="28" t="s">
        <v>8420</v>
      </c>
      <c r="G72" s="28" t="s">
        <v>8420</v>
      </c>
      <c r="H72" s="28" t="s">
        <v>8422</v>
      </c>
      <c r="I72" s="28" t="s">
        <v>8423</v>
      </c>
      <c r="J72" s="29" t="s">
        <v>33296</v>
      </c>
      <c r="M72" s="30" t="s">
        <v>33296</v>
      </c>
      <c r="N72" s="28" t="s">
        <v>33237</v>
      </c>
      <c r="O72" s="28" t="s">
        <v>33265</v>
      </c>
      <c r="P72" s="28" t="s">
        <v>33290</v>
      </c>
      <c r="Q72" s="28" t="s">
        <v>33265</v>
      </c>
      <c r="R72" s="28" t="s">
        <v>33291</v>
      </c>
      <c r="S72" s="29" t="s">
        <v>33296</v>
      </c>
      <c r="T72" s="29"/>
      <c r="U72" s="29"/>
      <c r="V72" s="29"/>
      <c r="W72" s="29"/>
      <c r="X72" s="29" t="s">
        <v>33296</v>
      </c>
      <c r="AB72" s="29" t="s">
        <v>33296</v>
      </c>
      <c r="AD72" s="29"/>
      <c r="AE72" s="29"/>
      <c r="AF72" s="29"/>
      <c r="AG72" s="29" t="s">
        <v>33296</v>
      </c>
    </row>
    <row r="73" spans="1:33" x14ac:dyDescent="0.3">
      <c r="A73" s="28" t="s">
        <v>9132</v>
      </c>
      <c r="B73" s="28" t="s">
        <v>9134</v>
      </c>
      <c r="C73" s="28" t="s">
        <v>417</v>
      </c>
      <c r="D73" s="28">
        <v>2022</v>
      </c>
      <c r="E73" s="28" t="s">
        <v>8491</v>
      </c>
      <c r="F73" s="28" t="s">
        <v>8435</v>
      </c>
      <c r="G73" s="28" t="s">
        <v>8435</v>
      </c>
      <c r="H73" s="28" t="s">
        <v>8422</v>
      </c>
      <c r="I73" s="28" t="s">
        <v>8423</v>
      </c>
      <c r="J73" s="29" t="s">
        <v>33296</v>
      </c>
      <c r="K73" s="29" t="s">
        <v>33296</v>
      </c>
      <c r="L73" s="29" t="s">
        <v>33296</v>
      </c>
      <c r="M73" s="29" t="s">
        <v>33296</v>
      </c>
      <c r="N73" s="28" t="s">
        <v>33283</v>
      </c>
      <c r="O73" s="28" t="s">
        <v>33245</v>
      </c>
      <c r="P73" s="28" t="s">
        <v>33292</v>
      </c>
      <c r="Q73" s="28" t="s">
        <v>33291</v>
      </c>
      <c r="R73" s="28" t="s">
        <v>33245</v>
      </c>
      <c r="S73" s="29" t="s">
        <v>33296</v>
      </c>
      <c r="T73" s="29"/>
      <c r="U73" s="29"/>
      <c r="V73" s="29" t="s">
        <v>33296</v>
      </c>
      <c r="W73" s="29"/>
      <c r="X73" s="29" t="s">
        <v>33296</v>
      </c>
      <c r="AB73" s="29" t="s">
        <v>33296</v>
      </c>
      <c r="AD73" s="29"/>
      <c r="AE73" s="29" t="s">
        <v>33296</v>
      </c>
      <c r="AF73" s="29"/>
      <c r="AG73" s="29"/>
    </row>
    <row r="74" spans="1:33" x14ac:dyDescent="0.3">
      <c r="A74" s="28" t="s">
        <v>9081</v>
      </c>
      <c r="B74" s="28" t="s">
        <v>9083</v>
      </c>
      <c r="C74" s="28" t="s">
        <v>4552</v>
      </c>
      <c r="D74" s="28">
        <v>2022</v>
      </c>
      <c r="E74" s="28" t="s">
        <v>8491</v>
      </c>
      <c r="F74" s="28" t="s">
        <v>8429</v>
      </c>
      <c r="G74" s="28" t="s">
        <v>8429</v>
      </c>
      <c r="H74" s="28" t="s">
        <v>8422</v>
      </c>
      <c r="I74" s="28" t="s">
        <v>8423</v>
      </c>
      <c r="K74" s="29" t="s">
        <v>33296</v>
      </c>
      <c r="N74" s="28" t="s">
        <v>33289</v>
      </c>
      <c r="O74" s="28" t="s">
        <v>33264</v>
      </c>
      <c r="P74" s="28" t="s">
        <v>33292</v>
      </c>
      <c r="Q74" s="28" t="s">
        <v>33291</v>
      </c>
      <c r="R74" s="28" t="s">
        <v>33264</v>
      </c>
      <c r="S74" s="29" t="s">
        <v>33296</v>
      </c>
      <c r="T74" s="29"/>
      <c r="U74" s="29"/>
      <c r="V74" s="29" t="s">
        <v>33296</v>
      </c>
      <c r="W74" s="29"/>
      <c r="Z74" s="29" t="s">
        <v>33296</v>
      </c>
      <c r="AD74" s="29"/>
      <c r="AE74" s="29" t="s">
        <v>33296</v>
      </c>
      <c r="AF74" s="29"/>
      <c r="AG74" s="29"/>
    </row>
    <row r="75" spans="1:33" x14ac:dyDescent="0.3">
      <c r="A75" s="28" t="s">
        <v>16512</v>
      </c>
      <c r="B75" s="28" t="s">
        <v>16514</v>
      </c>
      <c r="C75" s="28" t="s">
        <v>16515</v>
      </c>
      <c r="D75" s="28">
        <v>2019</v>
      </c>
      <c r="E75" s="28" t="s">
        <v>8490</v>
      </c>
      <c r="F75" s="28" t="s">
        <v>8433</v>
      </c>
      <c r="G75" s="28" t="s">
        <v>8433</v>
      </c>
      <c r="H75" s="28" t="s">
        <v>8422</v>
      </c>
      <c r="I75" s="28" t="s">
        <v>8423</v>
      </c>
      <c r="K75" s="29" t="s">
        <v>33296</v>
      </c>
      <c r="N75" s="28" t="s">
        <v>33283</v>
      </c>
      <c r="O75" s="28" t="s">
        <v>33241</v>
      </c>
      <c r="P75" s="28" t="s">
        <v>33290</v>
      </c>
      <c r="Q75" s="28" t="s">
        <v>33241</v>
      </c>
      <c r="R75" s="28" t="s">
        <v>33291</v>
      </c>
      <c r="S75" s="29" t="s">
        <v>33296</v>
      </c>
      <c r="T75" s="29"/>
      <c r="U75" s="29"/>
      <c r="V75" s="29"/>
      <c r="W75" s="29"/>
      <c r="Z75" s="29" t="s">
        <v>33296</v>
      </c>
      <c r="AD75" s="29"/>
      <c r="AE75" s="29"/>
      <c r="AF75" s="29" t="s">
        <v>33296</v>
      </c>
      <c r="AG75" s="29"/>
    </row>
    <row r="76" spans="1:33" x14ac:dyDescent="0.3">
      <c r="A76" s="28" t="s">
        <v>12154</v>
      </c>
      <c r="B76" s="28" t="s">
        <v>12156</v>
      </c>
      <c r="C76" s="28" t="s">
        <v>582</v>
      </c>
      <c r="D76" s="28">
        <v>2021</v>
      </c>
      <c r="E76" s="28" t="s">
        <v>8491</v>
      </c>
      <c r="F76" s="28" t="s">
        <v>8429</v>
      </c>
      <c r="G76" s="28" t="s">
        <v>8429</v>
      </c>
      <c r="H76" s="28" t="s">
        <v>8422</v>
      </c>
      <c r="I76" s="28" t="s">
        <v>8423</v>
      </c>
      <c r="J76" s="29" t="s">
        <v>33296</v>
      </c>
      <c r="M76" s="29" t="s">
        <v>33296</v>
      </c>
      <c r="N76" s="28" t="s">
        <v>33232</v>
      </c>
      <c r="O76" s="28" t="s">
        <v>33266</v>
      </c>
      <c r="P76" s="28" t="s">
        <v>33290</v>
      </c>
      <c r="Q76" s="28" t="s">
        <v>33266</v>
      </c>
      <c r="R76" s="28" t="s">
        <v>33291</v>
      </c>
      <c r="S76" s="29" t="s">
        <v>33296</v>
      </c>
      <c r="T76" s="29" t="s">
        <v>33296</v>
      </c>
      <c r="U76" s="29"/>
      <c r="V76" s="29"/>
      <c r="W76" s="29"/>
      <c r="AC76" s="29" t="s">
        <v>33296</v>
      </c>
      <c r="AD76" s="29"/>
      <c r="AE76" s="29"/>
      <c r="AF76" s="29"/>
      <c r="AG76" s="29" t="s">
        <v>33296</v>
      </c>
    </row>
    <row r="77" spans="1:33" x14ac:dyDescent="0.3">
      <c r="A77" s="28" t="s">
        <v>15580</v>
      </c>
      <c r="B77" s="28" t="s">
        <v>15582</v>
      </c>
      <c r="C77" s="28" t="s">
        <v>15583</v>
      </c>
      <c r="D77" s="28">
        <v>2020</v>
      </c>
      <c r="E77" s="28" t="s">
        <v>8490</v>
      </c>
      <c r="F77" s="28" t="s">
        <v>8427</v>
      </c>
      <c r="G77" s="28" t="s">
        <v>8420</v>
      </c>
      <c r="H77" s="28" t="s">
        <v>8422</v>
      </c>
      <c r="I77" s="28" t="s">
        <v>8423</v>
      </c>
      <c r="M77" s="29" t="s">
        <v>33296</v>
      </c>
      <c r="N77" s="28" t="s">
        <v>8492</v>
      </c>
      <c r="O77" s="28" t="s">
        <v>33264</v>
      </c>
      <c r="P77" s="28" t="s">
        <v>33292</v>
      </c>
      <c r="Q77" s="28" t="s">
        <v>33291</v>
      </c>
      <c r="R77" s="28" t="s">
        <v>33264</v>
      </c>
      <c r="S77" s="29" t="s">
        <v>33296</v>
      </c>
      <c r="T77" s="29"/>
      <c r="U77" s="29"/>
      <c r="V77" s="29" t="s">
        <v>33296</v>
      </c>
      <c r="W77" s="29"/>
      <c r="AB77" s="29" t="s">
        <v>33296</v>
      </c>
      <c r="AD77" s="29"/>
      <c r="AE77" s="29"/>
      <c r="AF77" s="29"/>
      <c r="AG77" s="29" t="s">
        <v>33296</v>
      </c>
    </row>
    <row r="78" spans="1:33" x14ac:dyDescent="0.3">
      <c r="A78" s="28" t="s">
        <v>12896</v>
      </c>
      <c r="B78" s="28" t="s">
        <v>12898</v>
      </c>
      <c r="C78" s="28" t="s">
        <v>352</v>
      </c>
      <c r="D78" s="28">
        <v>2021</v>
      </c>
      <c r="E78" s="28" t="s">
        <v>8491</v>
      </c>
      <c r="F78" s="28" t="s">
        <v>8421</v>
      </c>
      <c r="G78" s="28" t="s">
        <v>8420</v>
      </c>
      <c r="H78" s="28" t="s">
        <v>8422</v>
      </c>
      <c r="I78" s="28" t="s">
        <v>8423</v>
      </c>
      <c r="K78" s="29" t="s">
        <v>33296</v>
      </c>
      <c r="N78" s="28" t="s">
        <v>33238</v>
      </c>
      <c r="O78" s="28" t="s">
        <v>33243</v>
      </c>
      <c r="P78" s="28" t="s">
        <v>33292</v>
      </c>
      <c r="Q78" s="28" t="s">
        <v>33291</v>
      </c>
      <c r="R78" s="28" t="s">
        <v>33243</v>
      </c>
      <c r="S78" s="29" t="s">
        <v>33296</v>
      </c>
      <c r="T78" s="29" t="s">
        <v>33296</v>
      </c>
      <c r="U78" s="29"/>
      <c r="V78" s="29"/>
      <c r="W78" s="29"/>
      <c r="Z78" s="29" t="s">
        <v>33296</v>
      </c>
      <c r="AD78" s="29"/>
      <c r="AE78" s="29" t="s">
        <v>33296</v>
      </c>
      <c r="AF78" s="29"/>
      <c r="AG78" s="29"/>
    </row>
    <row r="79" spans="1:33" x14ac:dyDescent="0.3">
      <c r="A79" s="28" t="s">
        <v>12952</v>
      </c>
      <c r="B79" s="28" t="s">
        <v>12954</v>
      </c>
      <c r="C79" s="28" t="s">
        <v>1128</v>
      </c>
      <c r="D79" s="28">
        <v>2021</v>
      </c>
      <c r="E79" s="28" t="s">
        <v>8491</v>
      </c>
      <c r="F79" s="28" t="s">
        <v>8429</v>
      </c>
      <c r="G79" s="28" t="s">
        <v>8420</v>
      </c>
      <c r="H79" s="28" t="s">
        <v>8422</v>
      </c>
      <c r="I79" s="28" t="s">
        <v>8423</v>
      </c>
      <c r="K79" s="29" t="s">
        <v>33296</v>
      </c>
      <c r="M79" s="29" t="s">
        <v>33296</v>
      </c>
      <c r="N79" s="28" t="s">
        <v>33271</v>
      </c>
      <c r="O79" s="28" t="s">
        <v>33245</v>
      </c>
      <c r="P79" s="28" t="s">
        <v>33292</v>
      </c>
      <c r="Q79" s="28" t="s">
        <v>33291</v>
      </c>
      <c r="R79" s="28" t="s">
        <v>33245</v>
      </c>
      <c r="S79" s="29" t="s">
        <v>33296</v>
      </c>
      <c r="T79" s="29" t="s">
        <v>33296</v>
      </c>
      <c r="U79" s="29" t="s">
        <v>33296</v>
      </c>
      <c r="V79" s="29"/>
      <c r="W79" s="29"/>
      <c r="Z79" s="29" t="s">
        <v>33296</v>
      </c>
      <c r="AB79" s="29" t="s">
        <v>33296</v>
      </c>
      <c r="AD79" s="29"/>
      <c r="AE79" s="29"/>
      <c r="AF79" s="29"/>
      <c r="AG79" s="29" t="s">
        <v>33296</v>
      </c>
    </row>
    <row r="80" spans="1:33" x14ac:dyDescent="0.3">
      <c r="A80" s="28" t="s">
        <v>8964</v>
      </c>
      <c r="B80" s="28" t="s">
        <v>8966</v>
      </c>
      <c r="C80" s="28" t="s">
        <v>5400</v>
      </c>
      <c r="D80" s="28">
        <v>2022</v>
      </c>
      <c r="E80" s="28" t="s">
        <v>8490</v>
      </c>
      <c r="F80" s="28" t="s">
        <v>8421</v>
      </c>
      <c r="G80" s="28" t="s">
        <v>8428</v>
      </c>
      <c r="H80" s="28" t="s">
        <v>8422</v>
      </c>
      <c r="I80" s="28" t="s">
        <v>8436</v>
      </c>
      <c r="L80" s="29" t="s">
        <v>33296</v>
      </c>
      <c r="N80" s="28" t="s">
        <v>33283</v>
      </c>
      <c r="O80" s="28" t="s">
        <v>33245</v>
      </c>
      <c r="P80" s="28" t="s">
        <v>33292</v>
      </c>
      <c r="Q80" s="28" t="s">
        <v>33291</v>
      </c>
      <c r="R80" s="28" t="s">
        <v>33245</v>
      </c>
      <c r="S80" s="29" t="s">
        <v>33296</v>
      </c>
      <c r="T80" s="29" t="s">
        <v>33296</v>
      </c>
      <c r="U80" s="29"/>
      <c r="V80" s="29"/>
      <c r="W80" s="29"/>
      <c r="AA80" s="29" t="s">
        <v>33296</v>
      </c>
      <c r="AD80" s="29"/>
      <c r="AE80" s="29"/>
      <c r="AF80" s="29" t="s">
        <v>33296</v>
      </c>
      <c r="AG80" s="29"/>
    </row>
    <row r="81" spans="1:33" x14ac:dyDescent="0.3">
      <c r="A81" s="28" t="s">
        <v>8964</v>
      </c>
      <c r="B81" s="28" t="s">
        <v>10246</v>
      </c>
      <c r="C81" s="28" t="s">
        <v>10247</v>
      </c>
      <c r="D81" s="28">
        <v>2022</v>
      </c>
      <c r="E81" s="28" t="s">
        <v>8490</v>
      </c>
      <c r="F81" s="28" t="s">
        <v>8421</v>
      </c>
      <c r="G81" s="28" t="s">
        <v>8428</v>
      </c>
      <c r="H81" s="28" t="s">
        <v>8422</v>
      </c>
      <c r="I81" s="28" t="s">
        <v>8436</v>
      </c>
      <c r="J81" s="29" t="s">
        <v>33296</v>
      </c>
      <c r="K81" s="29" t="s">
        <v>33296</v>
      </c>
      <c r="L81" s="29" t="s">
        <v>33296</v>
      </c>
      <c r="N81" s="28" t="s">
        <v>33283</v>
      </c>
      <c r="O81" s="28" t="s">
        <v>33240</v>
      </c>
      <c r="P81" s="28" t="s">
        <v>33290</v>
      </c>
      <c r="Q81" s="28" t="s">
        <v>33240</v>
      </c>
      <c r="R81" s="28" t="s">
        <v>33291</v>
      </c>
      <c r="S81" s="29" t="s">
        <v>33296</v>
      </c>
      <c r="T81" s="29"/>
      <c r="U81" s="29"/>
      <c r="V81" s="29"/>
      <c r="W81" s="29"/>
      <c r="X81" s="29" t="s">
        <v>33296</v>
      </c>
      <c r="Z81" s="29" t="s">
        <v>33296</v>
      </c>
      <c r="AA81" s="29" t="s">
        <v>33296</v>
      </c>
      <c r="AD81" s="29"/>
      <c r="AE81" s="29"/>
      <c r="AF81" s="29" t="s">
        <v>33296</v>
      </c>
      <c r="AG81" s="29"/>
    </row>
    <row r="82" spans="1:33" x14ac:dyDescent="0.3">
      <c r="A82" s="28" t="s">
        <v>7428</v>
      </c>
      <c r="B82" s="28" t="s">
        <v>22522</v>
      </c>
      <c r="C82" s="28" t="s">
        <v>22523</v>
      </c>
      <c r="D82" s="28">
        <v>2015</v>
      </c>
      <c r="E82" s="28" t="s">
        <v>8490</v>
      </c>
      <c r="F82" s="28" t="s">
        <v>8420</v>
      </c>
      <c r="G82" s="28" t="s">
        <v>8420</v>
      </c>
      <c r="H82" s="28" t="s">
        <v>8422</v>
      </c>
      <c r="I82" s="28" t="s">
        <v>8423</v>
      </c>
      <c r="J82" s="29" t="s">
        <v>33296</v>
      </c>
      <c r="K82" s="29" t="s">
        <v>33296</v>
      </c>
      <c r="M82" s="29" t="s">
        <v>33296</v>
      </c>
      <c r="N82" s="28" t="s">
        <v>33283</v>
      </c>
      <c r="O82" s="28" t="s">
        <v>33241</v>
      </c>
      <c r="P82" s="28" t="s">
        <v>33290</v>
      </c>
      <c r="Q82" s="28" t="s">
        <v>33241</v>
      </c>
      <c r="R82" s="28" t="s">
        <v>33291</v>
      </c>
      <c r="S82" s="29" t="s">
        <v>33296</v>
      </c>
      <c r="T82" s="29" t="s">
        <v>33296</v>
      </c>
      <c r="U82" s="29"/>
      <c r="V82" s="29"/>
      <c r="W82" s="29"/>
      <c r="AC82" s="29" t="s">
        <v>33296</v>
      </c>
      <c r="AD82" s="29"/>
      <c r="AE82" s="29"/>
      <c r="AF82" s="29"/>
      <c r="AG82" s="29" t="s">
        <v>33296</v>
      </c>
    </row>
    <row r="83" spans="1:33" x14ac:dyDescent="0.3">
      <c r="A83" s="28" t="s">
        <v>15401</v>
      </c>
      <c r="B83" s="28" t="s">
        <v>15403</v>
      </c>
      <c r="C83" s="28" t="s">
        <v>15404</v>
      </c>
      <c r="D83" s="28">
        <v>2021</v>
      </c>
      <c r="E83" s="28" t="s">
        <v>8491</v>
      </c>
      <c r="F83" s="28" t="s">
        <v>8421</v>
      </c>
      <c r="G83" s="28" t="s">
        <v>8433</v>
      </c>
      <c r="H83" s="28" t="s">
        <v>8425</v>
      </c>
      <c r="I83" s="28" t="s">
        <v>8423</v>
      </c>
      <c r="J83" s="29" t="s">
        <v>33296</v>
      </c>
      <c r="L83" s="29" t="s">
        <v>33296</v>
      </c>
      <c r="M83" s="29" t="s">
        <v>33296</v>
      </c>
      <c r="N83" s="28" t="s">
        <v>33282</v>
      </c>
      <c r="O83" s="28" t="s">
        <v>8421</v>
      </c>
      <c r="P83" s="28" t="s">
        <v>33290</v>
      </c>
      <c r="Q83" s="28" t="s">
        <v>8421</v>
      </c>
      <c r="R83" s="28" t="s">
        <v>33291</v>
      </c>
      <c r="S83" s="29"/>
      <c r="T83" s="29"/>
      <c r="U83" s="29"/>
      <c r="V83" s="29"/>
      <c r="W83" s="29" t="s">
        <v>33296</v>
      </c>
      <c r="X83" s="29" t="s">
        <v>33296</v>
      </c>
      <c r="AD83" s="29"/>
      <c r="AE83" s="29" t="s">
        <v>33296</v>
      </c>
      <c r="AF83" s="29"/>
      <c r="AG83" s="29"/>
    </row>
    <row r="84" spans="1:33" x14ac:dyDescent="0.3">
      <c r="A84" s="28" t="s">
        <v>20542</v>
      </c>
      <c r="B84" s="28" t="s">
        <v>21314</v>
      </c>
      <c r="C84" s="28" t="s">
        <v>10712</v>
      </c>
      <c r="D84" s="28">
        <v>2016</v>
      </c>
      <c r="E84" s="28" t="s">
        <v>8491</v>
      </c>
      <c r="F84" s="28" t="s">
        <v>8433</v>
      </c>
      <c r="G84" s="28" t="s">
        <v>8433</v>
      </c>
      <c r="H84" s="28" t="s">
        <v>8422</v>
      </c>
      <c r="I84" s="28" t="s">
        <v>8423</v>
      </c>
      <c r="J84" s="29" t="s">
        <v>33296</v>
      </c>
      <c r="K84" s="29" t="s">
        <v>33296</v>
      </c>
      <c r="N84" s="28" t="s">
        <v>33235</v>
      </c>
      <c r="O84" s="28" t="s">
        <v>33245</v>
      </c>
      <c r="P84" s="28" t="s">
        <v>33292</v>
      </c>
      <c r="Q84" s="28" t="s">
        <v>33291</v>
      </c>
      <c r="R84" s="28" t="s">
        <v>33245</v>
      </c>
      <c r="S84" s="29" t="s">
        <v>33296</v>
      </c>
      <c r="T84" s="29"/>
      <c r="U84" s="29"/>
      <c r="V84" s="29"/>
      <c r="W84" s="29"/>
      <c r="X84" s="29" t="s">
        <v>33296</v>
      </c>
      <c r="Z84" s="29" t="s">
        <v>33296</v>
      </c>
      <c r="AD84" s="29"/>
      <c r="AE84" s="29" t="s">
        <v>33296</v>
      </c>
      <c r="AF84" s="29"/>
      <c r="AG84" s="29"/>
    </row>
    <row r="85" spans="1:33" x14ac:dyDescent="0.3">
      <c r="A85" s="28" t="s">
        <v>12239</v>
      </c>
      <c r="B85" s="28" t="s">
        <v>12241</v>
      </c>
      <c r="C85" s="28" t="s">
        <v>252</v>
      </c>
      <c r="D85" s="28">
        <v>2021</v>
      </c>
      <c r="E85" s="28" t="s">
        <v>8491</v>
      </c>
      <c r="F85" s="28" t="s">
        <v>8427</v>
      </c>
      <c r="G85" s="28" t="s">
        <v>8420</v>
      </c>
      <c r="H85" s="28" t="s">
        <v>8422</v>
      </c>
      <c r="I85" s="28" t="s">
        <v>8423</v>
      </c>
      <c r="J85" s="29" t="s">
        <v>33296</v>
      </c>
      <c r="K85" s="29" t="s">
        <v>33296</v>
      </c>
      <c r="N85" s="28" t="s">
        <v>33272</v>
      </c>
      <c r="O85" s="28" t="s">
        <v>33264</v>
      </c>
      <c r="P85" s="28" t="s">
        <v>33292</v>
      </c>
      <c r="Q85" s="28" t="s">
        <v>33291</v>
      </c>
      <c r="R85" s="28" t="s">
        <v>33264</v>
      </c>
      <c r="S85" s="29" t="s">
        <v>33296</v>
      </c>
      <c r="T85" s="29"/>
      <c r="U85" s="29"/>
      <c r="V85" s="29" t="s">
        <v>33296</v>
      </c>
      <c r="W85" s="29"/>
      <c r="X85" s="29" t="s">
        <v>33296</v>
      </c>
      <c r="AC85" s="29" t="s">
        <v>33296</v>
      </c>
      <c r="AD85" s="29" t="s">
        <v>33296</v>
      </c>
      <c r="AE85" s="29" t="s">
        <v>33296</v>
      </c>
      <c r="AF85" s="29"/>
      <c r="AG85" s="29"/>
    </row>
    <row r="86" spans="1:33" x14ac:dyDescent="0.3">
      <c r="A86" s="28" t="s">
        <v>20692</v>
      </c>
      <c r="B86" s="28" t="s">
        <v>20694</v>
      </c>
      <c r="C86" s="28" t="s">
        <v>929</v>
      </c>
      <c r="D86" s="28">
        <v>2017</v>
      </c>
      <c r="E86" s="28" t="s">
        <v>8491</v>
      </c>
      <c r="F86" s="28" t="s">
        <v>8429</v>
      </c>
      <c r="G86" s="28" t="s">
        <v>8429</v>
      </c>
      <c r="H86" s="28" t="s">
        <v>8422</v>
      </c>
      <c r="I86" s="28" t="s">
        <v>8436</v>
      </c>
      <c r="J86" s="29" t="s">
        <v>33296</v>
      </c>
      <c r="K86" s="29" t="s">
        <v>33296</v>
      </c>
      <c r="M86" s="29" t="s">
        <v>33296</v>
      </c>
      <c r="N86" s="28" t="s">
        <v>33271</v>
      </c>
      <c r="O86" s="28" t="s">
        <v>33245</v>
      </c>
      <c r="P86" s="28" t="s">
        <v>33292</v>
      </c>
      <c r="Q86" s="28" t="s">
        <v>33291</v>
      </c>
      <c r="R86" s="28" t="s">
        <v>33245</v>
      </c>
      <c r="S86" s="29" t="s">
        <v>33296</v>
      </c>
      <c r="T86" s="29" t="s">
        <v>33296</v>
      </c>
      <c r="U86" s="29" t="s">
        <v>33296</v>
      </c>
      <c r="V86" s="29" t="s">
        <v>33296</v>
      </c>
      <c r="W86" s="29"/>
      <c r="Y86" s="29" t="s">
        <v>33296</v>
      </c>
      <c r="AB86" s="29" t="s">
        <v>33296</v>
      </c>
      <c r="AD86" s="29"/>
      <c r="AE86" s="29"/>
      <c r="AF86" s="29"/>
      <c r="AG86" s="29" t="s">
        <v>33296</v>
      </c>
    </row>
    <row r="87" spans="1:33" x14ac:dyDescent="0.3">
      <c r="A87" s="28" t="s">
        <v>9935</v>
      </c>
      <c r="B87" s="28" t="s">
        <v>9937</v>
      </c>
      <c r="C87" s="28" t="s">
        <v>9938</v>
      </c>
      <c r="D87" s="28">
        <v>2022</v>
      </c>
      <c r="E87" s="28" t="s">
        <v>8490</v>
      </c>
      <c r="F87" s="28" t="s">
        <v>8420</v>
      </c>
      <c r="G87" s="28" t="s">
        <v>8433</v>
      </c>
      <c r="H87" s="28" t="s">
        <v>8422</v>
      </c>
      <c r="I87" s="28" t="s">
        <v>8423</v>
      </c>
      <c r="J87" s="29" t="s">
        <v>33296</v>
      </c>
      <c r="K87" s="29" t="s">
        <v>33296</v>
      </c>
      <c r="M87" s="30" t="s">
        <v>33296</v>
      </c>
      <c r="N87" s="28" t="s">
        <v>33284</v>
      </c>
      <c r="O87" s="28" t="s">
        <v>33264</v>
      </c>
      <c r="P87" s="28" t="s">
        <v>33292</v>
      </c>
      <c r="Q87" s="28" t="s">
        <v>33291</v>
      </c>
      <c r="R87" s="28" t="s">
        <v>33264</v>
      </c>
      <c r="S87" s="29" t="s">
        <v>33296</v>
      </c>
      <c r="T87" s="29"/>
      <c r="U87" s="29"/>
      <c r="V87" s="29" t="s">
        <v>33296</v>
      </c>
      <c r="W87" s="29"/>
      <c r="X87" s="29" t="s">
        <v>33296</v>
      </c>
      <c r="Z87" s="29" t="s">
        <v>33296</v>
      </c>
      <c r="AD87" s="29" t="s">
        <v>33296</v>
      </c>
      <c r="AE87" s="29" t="s">
        <v>33296</v>
      </c>
      <c r="AF87" s="29"/>
      <c r="AG87" s="29" t="s">
        <v>33296</v>
      </c>
    </row>
    <row r="88" spans="1:33" x14ac:dyDescent="0.3">
      <c r="A88" s="28" t="s">
        <v>20095</v>
      </c>
      <c r="B88" s="28" t="s">
        <v>20097</v>
      </c>
      <c r="C88" s="28" t="s">
        <v>2017</v>
      </c>
      <c r="D88" s="28">
        <v>2017</v>
      </c>
      <c r="E88" s="28" t="s">
        <v>8490</v>
      </c>
      <c r="F88" s="28" t="s">
        <v>8429</v>
      </c>
      <c r="G88" s="28" t="s">
        <v>8420</v>
      </c>
      <c r="H88" s="28" t="s">
        <v>8422</v>
      </c>
      <c r="I88" s="28" t="s">
        <v>8423</v>
      </c>
      <c r="J88" s="29" t="s">
        <v>33296</v>
      </c>
      <c r="K88" s="29" t="s">
        <v>33296</v>
      </c>
      <c r="L88" s="29" t="s">
        <v>33296</v>
      </c>
      <c r="M88" s="29" t="s">
        <v>33296</v>
      </c>
      <c r="N88" s="28" t="s">
        <v>8448</v>
      </c>
      <c r="O88" s="28" t="s">
        <v>33264</v>
      </c>
      <c r="P88" s="28" t="s">
        <v>33292</v>
      </c>
      <c r="Q88" s="28" t="s">
        <v>33291</v>
      </c>
      <c r="R88" s="28" t="s">
        <v>33264</v>
      </c>
      <c r="S88" s="29" t="s">
        <v>33296</v>
      </c>
      <c r="T88" s="29" t="s">
        <v>33296</v>
      </c>
      <c r="U88" s="29"/>
      <c r="V88" s="29" t="s">
        <v>33296</v>
      </c>
      <c r="W88" s="29"/>
      <c r="Z88" s="29" t="s">
        <v>33296</v>
      </c>
      <c r="AD88" s="29"/>
      <c r="AE88" s="29" t="s">
        <v>33296</v>
      </c>
      <c r="AF88" s="29"/>
      <c r="AG88" s="29"/>
    </row>
    <row r="89" spans="1:33" x14ac:dyDescent="0.3">
      <c r="A89" s="28" t="s">
        <v>11030</v>
      </c>
      <c r="B89" s="28" t="s">
        <v>11032</v>
      </c>
      <c r="C89" s="28" t="s">
        <v>1360</v>
      </c>
      <c r="D89" s="28">
        <v>2022</v>
      </c>
      <c r="E89" s="28" t="s">
        <v>8491</v>
      </c>
      <c r="F89" s="28" t="s">
        <v>8433</v>
      </c>
      <c r="G89" s="28" t="s">
        <v>8433</v>
      </c>
      <c r="H89" s="28" t="s">
        <v>8422</v>
      </c>
      <c r="I89" s="28" t="s">
        <v>8423</v>
      </c>
      <c r="K89" s="29" t="s">
        <v>33296</v>
      </c>
      <c r="N89" s="28" t="s">
        <v>33289</v>
      </c>
      <c r="O89" s="28" t="s">
        <v>33265</v>
      </c>
      <c r="P89" s="28" t="s">
        <v>33290</v>
      </c>
      <c r="Q89" s="28" t="s">
        <v>33265</v>
      </c>
      <c r="R89" s="28" t="s">
        <v>33291</v>
      </c>
      <c r="S89" s="29" t="s">
        <v>33296</v>
      </c>
      <c r="T89" s="29"/>
      <c r="U89" s="29" t="s">
        <v>33296</v>
      </c>
      <c r="V89" s="29"/>
      <c r="W89" s="29" t="s">
        <v>33296</v>
      </c>
      <c r="Z89" s="29" t="s">
        <v>33296</v>
      </c>
      <c r="AD89" s="29"/>
      <c r="AE89" s="29"/>
      <c r="AF89" s="29"/>
      <c r="AG89" s="29"/>
    </row>
    <row r="90" spans="1:33" x14ac:dyDescent="0.3">
      <c r="A90" s="28" t="s">
        <v>10425</v>
      </c>
      <c r="B90" s="28" t="s">
        <v>10427</v>
      </c>
      <c r="C90" s="28" t="s">
        <v>3969</v>
      </c>
      <c r="D90" s="28">
        <v>2022</v>
      </c>
      <c r="E90" s="28" t="s">
        <v>8491</v>
      </c>
      <c r="F90" s="28" t="s">
        <v>8428</v>
      </c>
      <c r="G90" s="28" t="s">
        <v>8428</v>
      </c>
      <c r="H90" s="28" t="s">
        <v>8422</v>
      </c>
      <c r="I90" s="28" t="s">
        <v>8436</v>
      </c>
      <c r="J90" s="29" t="s">
        <v>33296</v>
      </c>
      <c r="K90" s="29" t="s">
        <v>33296</v>
      </c>
      <c r="M90" s="29" t="s">
        <v>33296</v>
      </c>
      <c r="N90" s="28" t="s">
        <v>33232</v>
      </c>
      <c r="O90" s="28" t="s">
        <v>33241</v>
      </c>
      <c r="P90" s="28" t="s">
        <v>33290</v>
      </c>
      <c r="Q90" s="28" t="s">
        <v>33241</v>
      </c>
      <c r="R90" s="28" t="s">
        <v>33291</v>
      </c>
      <c r="S90" s="29" t="s">
        <v>33296</v>
      </c>
      <c r="T90" s="29"/>
      <c r="U90" s="29"/>
      <c r="V90" s="29"/>
      <c r="W90" s="29"/>
      <c r="X90" s="29" t="s">
        <v>33296</v>
      </c>
      <c r="Z90" s="29" t="s">
        <v>33296</v>
      </c>
      <c r="AC90" s="29" t="s">
        <v>33296</v>
      </c>
      <c r="AD90" s="29"/>
      <c r="AE90" s="29"/>
      <c r="AF90" s="29"/>
      <c r="AG90" s="29" t="s">
        <v>33296</v>
      </c>
    </row>
    <row r="91" spans="1:33" x14ac:dyDescent="0.3">
      <c r="A91" s="28" t="s">
        <v>15999</v>
      </c>
      <c r="B91" s="28" t="s">
        <v>16001</v>
      </c>
      <c r="C91" s="28" t="s">
        <v>16002</v>
      </c>
      <c r="D91" s="28">
        <v>2020</v>
      </c>
      <c r="E91" s="28" t="s">
        <v>8491</v>
      </c>
      <c r="F91" s="28" t="s">
        <v>8428</v>
      </c>
      <c r="G91" s="28" t="s">
        <v>8428</v>
      </c>
      <c r="H91" s="28" t="s">
        <v>8422</v>
      </c>
      <c r="I91" s="28" t="s">
        <v>8423</v>
      </c>
      <c r="M91" s="29" t="s">
        <v>33296</v>
      </c>
      <c r="N91" s="28" t="s">
        <v>33232</v>
      </c>
      <c r="O91" s="28" t="s">
        <v>33267</v>
      </c>
      <c r="P91" s="28" t="s">
        <v>33292</v>
      </c>
      <c r="Q91" s="28" t="s">
        <v>33291</v>
      </c>
      <c r="R91" s="28" t="s">
        <v>33267</v>
      </c>
      <c r="S91" s="29" t="s">
        <v>33296</v>
      </c>
      <c r="T91" s="29"/>
      <c r="U91" s="29" t="s">
        <v>33296</v>
      </c>
      <c r="V91" s="29"/>
      <c r="W91" s="29"/>
      <c r="AB91" s="29" t="s">
        <v>33296</v>
      </c>
      <c r="AC91" s="29" t="s">
        <v>33296</v>
      </c>
      <c r="AD91" s="29"/>
      <c r="AE91" s="29"/>
      <c r="AF91" s="29"/>
      <c r="AG91" s="29" t="s">
        <v>33296</v>
      </c>
    </row>
    <row r="92" spans="1:33" x14ac:dyDescent="0.3">
      <c r="A92" s="28" t="s">
        <v>12474</v>
      </c>
      <c r="B92" s="28" t="s">
        <v>12476</v>
      </c>
      <c r="C92" s="28" t="s">
        <v>12477</v>
      </c>
      <c r="D92" s="28">
        <v>2021</v>
      </c>
      <c r="E92" s="28" t="s">
        <v>8491</v>
      </c>
      <c r="F92" s="28" t="s">
        <v>8427</v>
      </c>
      <c r="G92" s="28" t="s">
        <v>8420</v>
      </c>
      <c r="H92" s="28" t="s">
        <v>8422</v>
      </c>
      <c r="I92" s="28" t="s">
        <v>8423</v>
      </c>
      <c r="M92" s="29" t="s">
        <v>33296</v>
      </c>
      <c r="N92" s="28" t="s">
        <v>33287</v>
      </c>
      <c r="O92" s="28" t="s">
        <v>33267</v>
      </c>
      <c r="P92" s="28" t="s">
        <v>33292</v>
      </c>
      <c r="Q92" s="28" t="s">
        <v>33291</v>
      </c>
      <c r="R92" s="28" t="s">
        <v>33267</v>
      </c>
      <c r="S92" s="29" t="s">
        <v>33296</v>
      </c>
      <c r="T92" s="29"/>
      <c r="U92" s="29" t="s">
        <v>33296</v>
      </c>
      <c r="V92" s="29"/>
      <c r="W92" s="29"/>
      <c r="AB92" s="29" t="s">
        <v>33296</v>
      </c>
      <c r="AD92" s="29"/>
      <c r="AE92" s="29"/>
      <c r="AF92" s="29"/>
      <c r="AG92" s="29" t="s">
        <v>33296</v>
      </c>
    </row>
    <row r="93" spans="1:33" x14ac:dyDescent="0.3">
      <c r="A93" s="28" t="s">
        <v>19069</v>
      </c>
      <c r="B93" s="28" t="s">
        <v>19071</v>
      </c>
      <c r="C93" s="28" t="s">
        <v>19072</v>
      </c>
      <c r="D93" s="28">
        <v>2018</v>
      </c>
      <c r="E93" s="28" t="s">
        <v>8491</v>
      </c>
      <c r="F93" s="28" t="s">
        <v>8421</v>
      </c>
      <c r="G93" s="28" t="s">
        <v>8428</v>
      </c>
      <c r="H93" s="28" t="s">
        <v>8422</v>
      </c>
      <c r="I93" s="28" t="s">
        <v>8423</v>
      </c>
      <c r="J93" s="29" t="s">
        <v>33296</v>
      </c>
      <c r="K93" s="29" t="s">
        <v>33296</v>
      </c>
      <c r="M93" s="29" t="s">
        <v>33296</v>
      </c>
      <c r="N93" s="28" t="s">
        <v>33289</v>
      </c>
      <c r="O93" s="28" t="s">
        <v>8421</v>
      </c>
      <c r="P93" s="28" t="s">
        <v>33290</v>
      </c>
      <c r="Q93" s="28" t="s">
        <v>8421</v>
      </c>
      <c r="R93" s="28" t="s">
        <v>33291</v>
      </c>
      <c r="S93" s="29" t="s">
        <v>33296</v>
      </c>
      <c r="T93" s="29"/>
      <c r="U93" s="29" t="s">
        <v>33296</v>
      </c>
      <c r="V93" s="29"/>
      <c r="W93" s="29" t="s">
        <v>33296</v>
      </c>
      <c r="X93" s="29" t="s">
        <v>33296</v>
      </c>
      <c r="AD93" s="29"/>
      <c r="AE93" s="29"/>
      <c r="AF93" s="29"/>
      <c r="AG93" s="29" t="s">
        <v>33296</v>
      </c>
    </row>
    <row r="94" spans="1:33" x14ac:dyDescent="0.3">
      <c r="A94" s="28" t="s">
        <v>11959</v>
      </c>
      <c r="B94" s="28" t="s">
        <v>11961</v>
      </c>
      <c r="C94" s="28" t="s">
        <v>6253</v>
      </c>
      <c r="D94" s="28">
        <v>2022</v>
      </c>
      <c r="E94" s="28" t="s">
        <v>8491</v>
      </c>
      <c r="F94" s="28" t="s">
        <v>8421</v>
      </c>
      <c r="G94" s="28" t="s">
        <v>8420</v>
      </c>
      <c r="H94" s="28" t="s">
        <v>8422</v>
      </c>
      <c r="I94" s="28" t="s">
        <v>8423</v>
      </c>
      <c r="L94" s="29" t="s">
        <v>33296</v>
      </c>
      <c r="M94" s="29" t="s">
        <v>33296</v>
      </c>
      <c r="N94" s="28" t="s">
        <v>33236</v>
      </c>
      <c r="O94" s="28" t="s">
        <v>33245</v>
      </c>
      <c r="P94" s="28" t="s">
        <v>33292</v>
      </c>
      <c r="Q94" s="28" t="s">
        <v>33291</v>
      </c>
      <c r="R94" s="28" t="s">
        <v>33245</v>
      </c>
      <c r="S94" s="29" t="s">
        <v>33296</v>
      </c>
      <c r="T94" s="29" t="s">
        <v>33296</v>
      </c>
      <c r="U94" s="29" t="s">
        <v>33296</v>
      </c>
      <c r="V94" s="29" t="s">
        <v>33296</v>
      </c>
      <c r="W94" s="29"/>
      <c r="AA94" s="29" t="s">
        <v>33296</v>
      </c>
      <c r="AC94" s="29" t="s">
        <v>33296</v>
      </c>
      <c r="AD94" s="29"/>
      <c r="AE94" s="29"/>
      <c r="AF94" s="29" t="s">
        <v>33296</v>
      </c>
      <c r="AG94" s="29" t="s">
        <v>33296</v>
      </c>
    </row>
    <row r="95" spans="1:33" x14ac:dyDescent="0.3">
      <c r="A95" s="28" t="s">
        <v>12748</v>
      </c>
      <c r="B95" s="28" t="s">
        <v>12750</v>
      </c>
      <c r="C95" s="28" t="s">
        <v>151</v>
      </c>
      <c r="D95" s="28">
        <v>2021</v>
      </c>
      <c r="E95" s="28" t="s">
        <v>8491</v>
      </c>
      <c r="F95" s="28" t="s">
        <v>8429</v>
      </c>
      <c r="G95" s="28" t="s">
        <v>8429</v>
      </c>
      <c r="H95" s="28" t="s">
        <v>8422</v>
      </c>
      <c r="I95" s="28" t="s">
        <v>8436</v>
      </c>
      <c r="K95" s="29" t="s">
        <v>33296</v>
      </c>
      <c r="N95" s="28" t="s">
        <v>33288</v>
      </c>
      <c r="O95" s="28" t="s">
        <v>33241</v>
      </c>
      <c r="P95" s="28" t="s">
        <v>33290</v>
      </c>
      <c r="Q95" s="28" t="s">
        <v>33241</v>
      </c>
      <c r="R95" s="28" t="s">
        <v>33291</v>
      </c>
      <c r="S95" s="29" t="s">
        <v>33296</v>
      </c>
      <c r="T95" s="29" t="s">
        <v>33296</v>
      </c>
      <c r="U95" s="29"/>
      <c r="V95" s="29"/>
      <c r="W95" s="29" t="s">
        <v>33296</v>
      </c>
      <c r="Z95" s="29" t="s">
        <v>33296</v>
      </c>
      <c r="AD95" s="29"/>
      <c r="AE95" s="29"/>
      <c r="AF95" s="29"/>
      <c r="AG95" s="29"/>
    </row>
    <row r="96" spans="1:33" x14ac:dyDescent="0.3">
      <c r="A96" s="28" t="s">
        <v>14996</v>
      </c>
      <c r="B96" s="28" t="s">
        <v>14998</v>
      </c>
      <c r="C96" s="28" t="s">
        <v>967</v>
      </c>
      <c r="D96" s="28">
        <v>2020</v>
      </c>
      <c r="E96" s="28" t="s">
        <v>8491</v>
      </c>
      <c r="F96" s="28" t="s">
        <v>8429</v>
      </c>
      <c r="G96" s="28" t="s">
        <v>8433</v>
      </c>
      <c r="H96" s="28" t="s">
        <v>8422</v>
      </c>
      <c r="I96" s="28" t="s">
        <v>8423</v>
      </c>
      <c r="J96" s="29" t="s">
        <v>33296</v>
      </c>
      <c r="K96" s="29" t="s">
        <v>33296</v>
      </c>
      <c r="L96" s="29" t="s">
        <v>33296</v>
      </c>
      <c r="M96" s="29" t="s">
        <v>33296</v>
      </c>
      <c r="N96" s="28" t="s">
        <v>8438</v>
      </c>
      <c r="O96" s="28" t="s">
        <v>33243</v>
      </c>
      <c r="P96" s="28" t="s">
        <v>33292</v>
      </c>
      <c r="Q96" s="28" t="s">
        <v>33291</v>
      </c>
      <c r="R96" s="28" t="s">
        <v>33243</v>
      </c>
      <c r="S96" s="29" t="s">
        <v>33296</v>
      </c>
      <c r="T96" s="29" t="s">
        <v>33296</v>
      </c>
      <c r="U96" s="29" t="s">
        <v>33296</v>
      </c>
      <c r="V96" s="29" t="s">
        <v>33296</v>
      </c>
      <c r="W96" s="29" t="s">
        <v>33296</v>
      </c>
      <c r="X96" s="29" t="s">
        <v>33296</v>
      </c>
      <c r="Z96" s="29" t="s">
        <v>33296</v>
      </c>
      <c r="AA96" s="29" t="s">
        <v>33296</v>
      </c>
      <c r="AB96" s="29" t="s">
        <v>33296</v>
      </c>
      <c r="AD96" s="29"/>
      <c r="AE96" s="29" t="s">
        <v>33296</v>
      </c>
      <c r="AF96" s="29" t="s">
        <v>33296</v>
      </c>
      <c r="AG96" s="29" t="s">
        <v>33296</v>
      </c>
    </row>
    <row r="97" spans="1:33" x14ac:dyDescent="0.3">
      <c r="A97" s="28" t="s">
        <v>22237</v>
      </c>
      <c r="B97" s="28" t="s">
        <v>22239</v>
      </c>
      <c r="C97" s="28" t="s">
        <v>5060</v>
      </c>
      <c r="D97" s="28">
        <v>2016</v>
      </c>
      <c r="E97" s="28" t="s">
        <v>8491</v>
      </c>
      <c r="F97" s="28" t="s">
        <v>8421</v>
      </c>
      <c r="G97" s="28" t="s">
        <v>8420</v>
      </c>
      <c r="H97" s="28" t="s">
        <v>8422</v>
      </c>
      <c r="I97" s="28" t="s">
        <v>8423</v>
      </c>
      <c r="J97" s="29" t="s">
        <v>33296</v>
      </c>
      <c r="K97" s="29" t="s">
        <v>33296</v>
      </c>
      <c r="L97" s="29" t="s">
        <v>33296</v>
      </c>
      <c r="N97" s="28" t="s">
        <v>33238</v>
      </c>
      <c r="O97" s="28" t="s">
        <v>33243</v>
      </c>
      <c r="P97" s="28" t="s">
        <v>33292</v>
      </c>
      <c r="Q97" s="28" t="s">
        <v>33291</v>
      </c>
      <c r="R97" s="28" t="s">
        <v>33243</v>
      </c>
      <c r="S97" s="29" t="s">
        <v>33296</v>
      </c>
      <c r="T97" s="29"/>
      <c r="U97" s="29"/>
      <c r="V97" s="29"/>
      <c r="W97" s="29"/>
      <c r="Z97" s="29" t="s">
        <v>33296</v>
      </c>
      <c r="AA97" s="29" t="s">
        <v>33296</v>
      </c>
      <c r="AD97" s="29"/>
      <c r="AE97" s="29" t="s">
        <v>33296</v>
      </c>
      <c r="AF97" s="29"/>
      <c r="AG97" s="29"/>
    </row>
    <row r="98" spans="1:33" x14ac:dyDescent="0.3">
      <c r="A98" s="28" t="s">
        <v>28934</v>
      </c>
      <c r="B98" s="28" t="s">
        <v>28936</v>
      </c>
      <c r="C98" s="28" t="s">
        <v>4526</v>
      </c>
      <c r="D98" s="28">
        <v>2009</v>
      </c>
      <c r="E98" s="28" t="s">
        <v>8490</v>
      </c>
      <c r="F98" s="28" t="s">
        <v>8433</v>
      </c>
      <c r="G98" s="28" t="s">
        <v>8433</v>
      </c>
      <c r="H98" s="28" t="s">
        <v>8422</v>
      </c>
      <c r="I98" s="28" t="s">
        <v>8423</v>
      </c>
      <c r="J98" s="30" t="s">
        <v>33296</v>
      </c>
      <c r="K98" s="29" t="s">
        <v>33296</v>
      </c>
      <c r="N98" s="28" t="s">
        <v>33273</v>
      </c>
      <c r="O98" s="28" t="s">
        <v>33267</v>
      </c>
      <c r="P98" s="28" t="s">
        <v>33292</v>
      </c>
      <c r="Q98" s="28" t="s">
        <v>33291</v>
      </c>
      <c r="R98" s="28" t="s">
        <v>33267</v>
      </c>
      <c r="S98" s="29" t="s">
        <v>33296</v>
      </c>
      <c r="T98" s="29" t="s">
        <v>33296</v>
      </c>
      <c r="U98" s="29" t="s">
        <v>33296</v>
      </c>
      <c r="V98" s="29"/>
      <c r="W98" s="29"/>
      <c r="X98" s="29" t="s">
        <v>33296</v>
      </c>
      <c r="Z98" s="29" t="s">
        <v>33296</v>
      </c>
      <c r="AD98" s="29" t="s">
        <v>33296</v>
      </c>
      <c r="AE98" s="29"/>
      <c r="AF98" s="29"/>
      <c r="AG98" s="29"/>
    </row>
    <row r="99" spans="1:33" x14ac:dyDescent="0.3">
      <c r="AD99" s="29"/>
      <c r="AE99" s="29"/>
      <c r="AF99" s="29"/>
      <c r="AG99" s="29"/>
    </row>
    <row r="101" spans="1:33" x14ac:dyDescent="0.3">
      <c r="S101" s="33"/>
    </row>
  </sheetData>
  <mergeCells count="33">
    <mergeCell ref="A1:A3"/>
    <mergeCell ref="B1:B3"/>
    <mergeCell ref="AD1:AG1"/>
    <mergeCell ref="J1:M1"/>
    <mergeCell ref="X1:AC1"/>
    <mergeCell ref="C1:C2"/>
    <mergeCell ref="O1:W1"/>
    <mergeCell ref="D1:D3"/>
    <mergeCell ref="E1:E3"/>
    <mergeCell ref="F1:F3"/>
    <mergeCell ref="G1:G3"/>
    <mergeCell ref="H1:H3"/>
    <mergeCell ref="I1:I3"/>
    <mergeCell ref="J2:J3"/>
    <mergeCell ref="K2:K3"/>
    <mergeCell ref="L2:L3"/>
    <mergeCell ref="M2:M3"/>
    <mergeCell ref="N1:N3"/>
    <mergeCell ref="O2:O3"/>
    <mergeCell ref="S2:W2"/>
    <mergeCell ref="X2:X3"/>
    <mergeCell ref="P2:P3"/>
    <mergeCell ref="Q2:Q3"/>
    <mergeCell ref="R2:R3"/>
    <mergeCell ref="Y2:Y3"/>
    <mergeCell ref="AE2:AE3"/>
    <mergeCell ref="AF2:AF3"/>
    <mergeCell ref="AG2:AG3"/>
    <mergeCell ref="Z2:Z3"/>
    <mergeCell ref="AA2:AA3"/>
    <mergeCell ref="AB2:AB3"/>
    <mergeCell ref="AC2:AC3"/>
    <mergeCell ref="AD2:AD3"/>
  </mergeCells>
  <pageMargins left="0.23622047244094491" right="0.23622047244094491" top="0.74803149606299213" bottom="0.74803149606299213" header="0.31496062992125984" footer="0.31496062992125984"/>
  <pageSetup paperSize="9" scale="2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EDDD8-771D-4AFA-A729-AD1FF100DEA7}">
  <dimension ref="A1:CU1956"/>
  <sheetViews>
    <sheetView zoomScaleNormal="100" workbookViewId="0">
      <pane xSplit="2" ySplit="1" topLeftCell="Y2" activePane="bottomRight" state="frozen"/>
      <selection activeCell="G11" sqref="G11"/>
      <selection pane="topRight" activeCell="G11" sqref="G11"/>
      <selection pane="bottomLeft" activeCell="G11" sqref="G11"/>
      <selection pane="bottomRight" activeCell="Y1889" sqref="Y1889"/>
    </sheetView>
  </sheetViews>
  <sheetFormatPr defaultRowHeight="13" x14ac:dyDescent="0.3"/>
  <cols>
    <col min="1" max="1" width="12.36328125" bestFit="1" customWidth="1"/>
    <col min="2" max="3" width="12.6328125" customWidth="1"/>
    <col min="4" max="5" width="20.453125" style="9" customWidth="1"/>
    <col min="6" max="6" width="22.08984375" style="9" bestFit="1" customWidth="1"/>
    <col min="7" max="7" width="16.90625" style="9" customWidth="1"/>
    <col min="9" max="9" width="19" customWidth="1"/>
    <col min="10" max="12" width="8.7265625" customWidth="1"/>
    <col min="13" max="13" width="19.81640625" customWidth="1"/>
    <col min="14" max="15" width="8.7265625" customWidth="1"/>
    <col min="16" max="16" width="27.1796875" customWidth="1"/>
    <col min="17" max="17" width="22" customWidth="1"/>
    <col min="18" max="28" width="8.7265625" customWidth="1"/>
    <col min="29" max="29" width="31.54296875" customWidth="1"/>
    <col min="30" max="51" width="8.7265625" customWidth="1"/>
  </cols>
  <sheetData>
    <row r="1" spans="1:99" x14ac:dyDescent="0.3">
      <c r="A1" t="s">
        <v>33172</v>
      </c>
      <c r="B1" t="s">
        <v>33173</v>
      </c>
      <c r="C1" t="s">
        <v>33214</v>
      </c>
      <c r="D1" s="8" t="s">
        <v>33185</v>
      </c>
      <c r="E1" s="8" t="s">
        <v>33050</v>
      </c>
      <c r="F1" s="8" t="s">
        <v>33169</v>
      </c>
      <c r="G1" s="9" t="s">
        <v>33051</v>
      </c>
      <c r="H1" t="s">
        <v>0</v>
      </c>
      <c r="I1" t="s">
        <v>1</v>
      </c>
      <c r="J1" t="s">
        <v>2</v>
      </c>
      <c r="K1" t="s">
        <v>3</v>
      </c>
      <c r="L1" t="s">
        <v>4</v>
      </c>
      <c r="M1" t="s">
        <v>5</v>
      </c>
      <c r="N1" t="s">
        <v>6</v>
      </c>
      <c r="O1" t="s">
        <v>7</v>
      </c>
      <c r="P1" t="s">
        <v>8</v>
      </c>
      <c r="Q1" t="s">
        <v>9</v>
      </c>
      <c r="R1" t="s">
        <v>10</v>
      </c>
      <c r="S1" t="s">
        <v>11</v>
      </c>
      <c r="T1" t="s">
        <v>12</v>
      </c>
      <c r="U1" t="s">
        <v>13</v>
      </c>
      <c r="V1" t="s">
        <v>14</v>
      </c>
      <c r="W1" t="s">
        <v>15</v>
      </c>
      <c r="X1" t="s">
        <v>16</v>
      </c>
      <c r="Y1" t="s">
        <v>17</v>
      </c>
      <c r="Z1" t="s">
        <v>18</v>
      </c>
      <c r="AA1" t="s">
        <v>19</v>
      </c>
      <c r="AB1" t="s">
        <v>20</v>
      </c>
      <c r="AC1" t="s">
        <v>21</v>
      </c>
      <c r="AD1" t="s">
        <v>22</v>
      </c>
      <c r="AE1" t="s">
        <v>8496</v>
      </c>
      <c r="AF1" t="s">
        <v>23</v>
      </c>
      <c r="AG1" t="s">
        <v>24</v>
      </c>
      <c r="AH1" t="s">
        <v>25</v>
      </c>
      <c r="AI1" t="s">
        <v>26</v>
      </c>
      <c r="AJ1" t="s">
        <v>27</v>
      </c>
      <c r="AK1" t="s">
        <v>8497</v>
      </c>
      <c r="AL1" t="s">
        <v>28</v>
      </c>
      <c r="AM1" t="s">
        <v>29</v>
      </c>
      <c r="AN1" t="s">
        <v>30</v>
      </c>
      <c r="AO1" t="s">
        <v>31</v>
      </c>
      <c r="AP1" t="s">
        <v>32</v>
      </c>
      <c r="AQ1" t="s">
        <v>33</v>
      </c>
      <c r="AR1" t="s">
        <v>34</v>
      </c>
      <c r="AS1" t="s">
        <v>35</v>
      </c>
      <c r="AT1" t="s">
        <v>36</v>
      </c>
      <c r="AU1" t="s">
        <v>37</v>
      </c>
      <c r="AV1" t="s">
        <v>38</v>
      </c>
      <c r="AW1" t="s">
        <v>39</v>
      </c>
      <c r="AX1" t="s">
        <v>40</v>
      </c>
      <c r="AY1" t="s">
        <v>41</v>
      </c>
      <c r="AZ1" t="s">
        <v>42</v>
      </c>
      <c r="BA1" t="s">
        <v>43</v>
      </c>
      <c r="BB1" t="s">
        <v>44</v>
      </c>
      <c r="BC1" t="s">
        <v>45</v>
      </c>
      <c r="BD1" t="s">
        <v>46</v>
      </c>
      <c r="BE1" t="s">
        <v>47</v>
      </c>
      <c r="BF1" t="s">
        <v>48</v>
      </c>
      <c r="BG1" t="s">
        <v>49</v>
      </c>
      <c r="BH1" t="s">
        <v>50</v>
      </c>
      <c r="BI1" t="s">
        <v>51</v>
      </c>
      <c r="BJ1" t="s">
        <v>52</v>
      </c>
      <c r="BK1" t="s">
        <v>53</v>
      </c>
      <c r="BL1" t="s">
        <v>54</v>
      </c>
      <c r="BM1" t="s">
        <v>8498</v>
      </c>
      <c r="BN1" t="s">
        <v>55</v>
      </c>
      <c r="BO1" t="s">
        <v>56</v>
      </c>
      <c r="BP1" t="s">
        <v>57</v>
      </c>
      <c r="BQ1" t="s">
        <v>58</v>
      </c>
      <c r="BR1" t="s">
        <v>8499</v>
      </c>
      <c r="BS1" t="s">
        <v>59</v>
      </c>
      <c r="BT1" t="s">
        <v>60</v>
      </c>
      <c r="BU1" t="s">
        <v>61</v>
      </c>
      <c r="BV1" t="s">
        <v>62</v>
      </c>
      <c r="BW1" t="s">
        <v>63</v>
      </c>
      <c r="BX1" t="s">
        <v>64</v>
      </c>
      <c r="BY1" t="s">
        <v>65</v>
      </c>
      <c r="BZ1" t="s">
        <v>66</v>
      </c>
      <c r="CA1" t="s">
        <v>8500</v>
      </c>
      <c r="CB1" s="20" t="s">
        <v>8431</v>
      </c>
      <c r="CC1" s="20" t="s">
        <v>8494</v>
      </c>
      <c r="CD1" s="20" t="s">
        <v>8411</v>
      </c>
      <c r="CE1" s="20" t="s">
        <v>8412</v>
      </c>
      <c r="CF1" s="20" t="s">
        <v>8413</v>
      </c>
      <c r="CG1" s="20" t="s">
        <v>8414</v>
      </c>
      <c r="CH1" s="20" t="s">
        <v>8415</v>
      </c>
      <c r="CI1" s="20" t="s">
        <v>8419</v>
      </c>
      <c r="CJ1" s="20" t="s">
        <v>8416</v>
      </c>
      <c r="CK1" s="20" t="s">
        <v>8417</v>
      </c>
      <c r="CL1" s="20" t="s">
        <v>8440</v>
      </c>
      <c r="CM1" s="20" t="s">
        <v>8418</v>
      </c>
      <c r="CN1" s="20" t="s">
        <v>8437</v>
      </c>
      <c r="CO1" s="20" t="s">
        <v>8432</v>
      </c>
      <c r="CP1" s="20" t="s">
        <v>8430</v>
      </c>
      <c r="CQ1" s="20" t="s">
        <v>8</v>
      </c>
      <c r="CR1" s="20" t="s">
        <v>9</v>
      </c>
      <c r="CS1" s="21" t="s">
        <v>8489</v>
      </c>
      <c r="CT1" s="21" t="s">
        <v>8410</v>
      </c>
      <c r="CU1" s="21" t="s">
        <v>8409</v>
      </c>
    </row>
    <row r="2" spans="1:99" ht="12.5" x14ac:dyDescent="0.25">
      <c r="B2" t="s">
        <v>8495</v>
      </c>
      <c r="D2" s="22" t="s">
        <v>32927</v>
      </c>
      <c r="E2" s="7"/>
      <c r="F2" s="7"/>
      <c r="G2" s="7"/>
      <c r="H2" t="s">
        <v>67</v>
      </c>
      <c r="I2" t="s">
        <v>24783</v>
      </c>
      <c r="J2" t="s">
        <v>69</v>
      </c>
      <c r="K2" t="s">
        <v>69</v>
      </c>
      <c r="L2" t="s">
        <v>69</v>
      </c>
      <c r="M2" t="s">
        <v>24784</v>
      </c>
      <c r="N2" t="s">
        <v>69</v>
      </c>
      <c r="O2" t="s">
        <v>69</v>
      </c>
      <c r="P2" t="s">
        <v>24785</v>
      </c>
      <c r="Q2" t="s">
        <v>24786</v>
      </c>
      <c r="R2" t="s">
        <v>69</v>
      </c>
      <c r="S2" t="s">
        <v>69</v>
      </c>
      <c r="T2" t="s">
        <v>8505</v>
      </c>
      <c r="U2" t="s">
        <v>8506</v>
      </c>
      <c r="V2" t="s">
        <v>69</v>
      </c>
      <c r="W2" t="s">
        <v>69</v>
      </c>
      <c r="X2" t="s">
        <v>69</v>
      </c>
      <c r="Y2" t="s">
        <v>69</v>
      </c>
      <c r="Z2" t="s">
        <v>69</v>
      </c>
      <c r="AA2" t="s">
        <v>24787</v>
      </c>
      <c r="AB2" t="s">
        <v>69</v>
      </c>
      <c r="AC2" t="s">
        <v>24788</v>
      </c>
      <c r="AD2" t="s">
        <v>24789</v>
      </c>
      <c r="AE2" t="s">
        <v>69</v>
      </c>
      <c r="AF2" t="s">
        <v>24790</v>
      </c>
      <c r="AG2" t="s">
        <v>24791</v>
      </c>
      <c r="AH2" t="s">
        <v>69</v>
      </c>
      <c r="AI2" t="s">
        <v>24792</v>
      </c>
      <c r="AJ2" t="s">
        <v>24793</v>
      </c>
      <c r="AK2" t="s">
        <v>24793</v>
      </c>
      <c r="AL2" t="s">
        <v>24794</v>
      </c>
      <c r="AM2" t="s">
        <v>69</v>
      </c>
      <c r="AN2">
        <v>41</v>
      </c>
      <c r="AO2">
        <v>9</v>
      </c>
      <c r="AP2">
        <v>9</v>
      </c>
      <c r="AQ2">
        <v>0</v>
      </c>
      <c r="AR2">
        <v>0</v>
      </c>
      <c r="AS2" t="s">
        <v>24795</v>
      </c>
      <c r="AT2" t="s">
        <v>24796</v>
      </c>
      <c r="AU2" t="s">
        <v>24797</v>
      </c>
      <c r="AV2" t="s">
        <v>24798</v>
      </c>
      <c r="AW2" t="s">
        <v>69</v>
      </c>
      <c r="AX2" t="s">
        <v>69</v>
      </c>
      <c r="AY2" t="s">
        <v>24799</v>
      </c>
      <c r="AZ2" t="s">
        <v>24800</v>
      </c>
      <c r="BA2" t="s">
        <v>201</v>
      </c>
      <c r="BB2">
        <v>2013</v>
      </c>
      <c r="BC2">
        <v>3</v>
      </c>
      <c r="BD2">
        <v>3</v>
      </c>
      <c r="BE2" t="s">
        <v>69</v>
      </c>
      <c r="BF2" t="s">
        <v>69</v>
      </c>
      <c r="BG2" t="s">
        <v>69</v>
      </c>
      <c r="BH2" t="s">
        <v>69</v>
      </c>
      <c r="BI2">
        <v>155</v>
      </c>
      <c r="BJ2">
        <v>173</v>
      </c>
      <c r="BK2" t="s">
        <v>69</v>
      </c>
      <c r="BL2" t="s">
        <v>69</v>
      </c>
      <c r="BM2" t="s">
        <v>69</v>
      </c>
      <c r="BN2" t="s">
        <v>69</v>
      </c>
      <c r="BO2" t="s">
        <v>69</v>
      </c>
      <c r="BP2">
        <v>19</v>
      </c>
      <c r="BQ2" t="s">
        <v>13825</v>
      </c>
      <c r="BR2" t="s">
        <v>8573</v>
      </c>
      <c r="BS2" t="s">
        <v>8594</v>
      </c>
      <c r="BT2" t="s">
        <v>24801</v>
      </c>
      <c r="BU2" t="s">
        <v>24802</v>
      </c>
      <c r="BV2" t="s">
        <v>69</v>
      </c>
      <c r="BW2" t="s">
        <v>11853</v>
      </c>
      <c r="BX2" t="s">
        <v>69</v>
      </c>
      <c r="BY2" t="s">
        <v>69</v>
      </c>
      <c r="BZ2" t="s">
        <v>8526</v>
      </c>
      <c r="CA2" t="str">
        <f>HYPERLINK("https%3A%2F%2Fwww.webofscience.com%2Fwos%2Fwoscc%2Ffull-record%2FWOS:000218851300009","View Full Record in Web of Science")</f>
        <v>View Full Record in Web of Science</v>
      </c>
    </row>
    <row r="3" spans="1:99" ht="12.5" x14ac:dyDescent="0.25">
      <c r="B3" t="s">
        <v>8495</v>
      </c>
      <c r="D3" s="22" t="s">
        <v>32928</v>
      </c>
      <c r="E3" s="7"/>
      <c r="F3" s="7"/>
      <c r="G3" s="7"/>
      <c r="H3" t="s">
        <v>67</v>
      </c>
      <c r="I3" t="s">
        <v>25936</v>
      </c>
      <c r="J3" t="s">
        <v>69</v>
      </c>
      <c r="K3" t="s">
        <v>69</v>
      </c>
      <c r="L3" t="s">
        <v>69</v>
      </c>
      <c r="M3" t="s">
        <v>25937</v>
      </c>
      <c r="N3" t="s">
        <v>69</v>
      </c>
      <c r="O3" t="s">
        <v>69</v>
      </c>
      <c r="P3" t="s">
        <v>25938</v>
      </c>
      <c r="Q3" t="s">
        <v>25939</v>
      </c>
      <c r="R3" t="s">
        <v>69</v>
      </c>
      <c r="S3" t="s">
        <v>69</v>
      </c>
      <c r="T3" t="s">
        <v>19054</v>
      </c>
      <c r="U3" t="s">
        <v>8506</v>
      </c>
      <c r="V3" t="s">
        <v>69</v>
      </c>
      <c r="W3" t="s">
        <v>69</v>
      </c>
      <c r="X3" t="s">
        <v>69</v>
      </c>
      <c r="Y3" t="s">
        <v>69</v>
      </c>
      <c r="Z3" t="s">
        <v>69</v>
      </c>
      <c r="AA3" t="s">
        <v>25940</v>
      </c>
      <c r="AB3" t="s">
        <v>69</v>
      </c>
      <c r="AC3" t="s">
        <v>25941</v>
      </c>
      <c r="AD3" t="s">
        <v>25942</v>
      </c>
      <c r="AE3" t="s">
        <v>69</v>
      </c>
      <c r="AF3" t="s">
        <v>25943</v>
      </c>
      <c r="AG3" t="s">
        <v>69</v>
      </c>
      <c r="AH3" t="s">
        <v>69</v>
      </c>
      <c r="AI3" t="s">
        <v>69</v>
      </c>
      <c r="AJ3" t="s">
        <v>69</v>
      </c>
      <c r="AK3" t="s">
        <v>69</v>
      </c>
      <c r="AL3" t="s">
        <v>69</v>
      </c>
      <c r="AM3" t="s">
        <v>69</v>
      </c>
      <c r="AN3">
        <v>27</v>
      </c>
      <c r="AO3">
        <v>0</v>
      </c>
      <c r="AP3">
        <v>0</v>
      </c>
      <c r="AQ3">
        <v>0</v>
      </c>
      <c r="AR3">
        <v>0</v>
      </c>
      <c r="AS3" t="s">
        <v>25944</v>
      </c>
      <c r="AT3" t="s">
        <v>25945</v>
      </c>
      <c r="AU3" t="s">
        <v>25946</v>
      </c>
      <c r="AV3" t="s">
        <v>25947</v>
      </c>
      <c r="AW3" t="s">
        <v>69</v>
      </c>
      <c r="AX3" t="s">
        <v>69</v>
      </c>
      <c r="AY3" t="s">
        <v>25948</v>
      </c>
      <c r="AZ3" t="s">
        <v>25949</v>
      </c>
      <c r="BA3" t="s">
        <v>155</v>
      </c>
      <c r="BB3">
        <v>2012</v>
      </c>
      <c r="BC3">
        <v>2</v>
      </c>
      <c r="BD3">
        <v>3</v>
      </c>
      <c r="BE3" t="s">
        <v>69</v>
      </c>
      <c r="BF3" t="s">
        <v>69</v>
      </c>
      <c r="BG3" t="s">
        <v>69</v>
      </c>
      <c r="BH3" t="s">
        <v>69</v>
      </c>
      <c r="BI3">
        <v>103</v>
      </c>
      <c r="BJ3">
        <v>115</v>
      </c>
      <c r="BK3" t="s">
        <v>69</v>
      </c>
      <c r="BL3" t="s">
        <v>69</v>
      </c>
      <c r="BM3" t="s">
        <v>69</v>
      </c>
      <c r="BN3" t="s">
        <v>69</v>
      </c>
      <c r="BO3" t="s">
        <v>69</v>
      </c>
      <c r="BP3">
        <v>13</v>
      </c>
      <c r="BQ3" t="s">
        <v>12930</v>
      </c>
      <c r="BR3" t="s">
        <v>8573</v>
      </c>
      <c r="BS3" t="s">
        <v>12930</v>
      </c>
      <c r="BT3" t="s">
        <v>25950</v>
      </c>
      <c r="BU3" t="s">
        <v>25951</v>
      </c>
      <c r="BV3" t="s">
        <v>69</v>
      </c>
      <c r="BW3" t="s">
        <v>69</v>
      </c>
      <c r="BX3" t="s">
        <v>69</v>
      </c>
      <c r="BY3" t="s">
        <v>69</v>
      </c>
      <c r="BZ3" t="s">
        <v>8526</v>
      </c>
      <c r="CA3" t="str">
        <f>HYPERLINK("https%3A%2F%2Fwww.webofscience.com%2Fwos%2Fwoscc%2Ffull-record%2FWOS:000420707800009","View Full Record in Web of Science")</f>
        <v>View Full Record in Web of Science</v>
      </c>
    </row>
    <row r="4" spans="1:99" x14ac:dyDescent="0.3">
      <c r="A4" s="7" t="s">
        <v>8408</v>
      </c>
      <c r="B4" t="s">
        <v>8495</v>
      </c>
      <c r="E4" s="7"/>
      <c r="F4" s="7"/>
      <c r="G4" s="7"/>
      <c r="H4" t="s">
        <v>67</v>
      </c>
      <c r="I4" t="s">
        <v>5020</v>
      </c>
      <c r="J4" t="s">
        <v>69</v>
      </c>
      <c r="K4" t="s">
        <v>69</v>
      </c>
      <c r="L4" t="s">
        <v>69</v>
      </c>
      <c r="M4" t="s">
        <v>5021</v>
      </c>
      <c r="N4" t="s">
        <v>69</v>
      </c>
      <c r="O4" t="s">
        <v>69</v>
      </c>
      <c r="P4" t="s">
        <v>5022</v>
      </c>
      <c r="Q4" t="s">
        <v>5023</v>
      </c>
      <c r="R4" t="s">
        <v>69</v>
      </c>
      <c r="S4" t="s">
        <v>69</v>
      </c>
      <c r="T4" t="s">
        <v>8505</v>
      </c>
      <c r="U4" t="s">
        <v>8506</v>
      </c>
      <c r="V4" t="s">
        <v>69</v>
      </c>
      <c r="W4" t="s">
        <v>69</v>
      </c>
      <c r="X4" t="s">
        <v>69</v>
      </c>
      <c r="Y4" t="s">
        <v>69</v>
      </c>
      <c r="Z4" t="s">
        <v>69</v>
      </c>
      <c r="AA4" t="s">
        <v>22161</v>
      </c>
      <c r="AB4" t="s">
        <v>22162</v>
      </c>
      <c r="AC4" t="s">
        <v>5024</v>
      </c>
      <c r="AD4" t="s">
        <v>22163</v>
      </c>
      <c r="AE4" t="s">
        <v>69</v>
      </c>
      <c r="AF4" t="s">
        <v>22164</v>
      </c>
      <c r="AG4" t="s">
        <v>69</v>
      </c>
      <c r="AH4" t="s">
        <v>22165</v>
      </c>
      <c r="AI4" t="s">
        <v>22166</v>
      </c>
      <c r="AJ4" t="s">
        <v>69</v>
      </c>
      <c r="AK4" t="s">
        <v>69</v>
      </c>
      <c r="AL4" t="s">
        <v>69</v>
      </c>
      <c r="AM4" t="s">
        <v>69</v>
      </c>
      <c r="AN4">
        <v>65</v>
      </c>
      <c r="AO4">
        <v>38</v>
      </c>
      <c r="AP4">
        <v>39</v>
      </c>
      <c r="AQ4">
        <v>1</v>
      </c>
      <c r="AR4">
        <v>68</v>
      </c>
      <c r="AS4" t="s">
        <v>8846</v>
      </c>
      <c r="AT4" t="s">
        <v>8847</v>
      </c>
      <c r="AU4" t="s">
        <v>8848</v>
      </c>
      <c r="AV4" t="s">
        <v>5025</v>
      </c>
      <c r="AW4" t="s">
        <v>5026</v>
      </c>
      <c r="AX4" t="s">
        <v>69</v>
      </c>
      <c r="AY4" t="s">
        <v>22167</v>
      </c>
      <c r="AZ4" t="s">
        <v>22168</v>
      </c>
      <c r="BA4" t="s">
        <v>373</v>
      </c>
      <c r="BB4">
        <v>2016</v>
      </c>
      <c r="BC4">
        <v>34</v>
      </c>
      <c r="BD4">
        <v>1</v>
      </c>
      <c r="BE4" t="s">
        <v>69</v>
      </c>
      <c r="BF4" t="s">
        <v>69</v>
      </c>
      <c r="BG4" t="s">
        <v>69</v>
      </c>
      <c r="BH4" t="s">
        <v>69</v>
      </c>
      <c r="BI4">
        <v>55</v>
      </c>
      <c r="BJ4">
        <v>82</v>
      </c>
      <c r="BK4" t="s">
        <v>69</v>
      </c>
      <c r="BL4" t="s">
        <v>5027</v>
      </c>
      <c r="BM4" t="str">
        <f>HYPERLINK("http://dx.doi.org/10.1111/dpr.12147","http://dx.doi.org/10.1111/dpr.12147")</f>
        <v>http://dx.doi.org/10.1111/dpr.12147</v>
      </c>
      <c r="BN4" t="s">
        <v>69</v>
      </c>
      <c r="BO4" t="s">
        <v>69</v>
      </c>
      <c r="BP4">
        <v>28</v>
      </c>
      <c r="BQ4" t="s">
        <v>17018</v>
      </c>
      <c r="BR4" t="s">
        <v>8661</v>
      </c>
      <c r="BS4" t="s">
        <v>17018</v>
      </c>
      <c r="BT4" t="s">
        <v>22169</v>
      </c>
      <c r="BU4" t="s">
        <v>5028</v>
      </c>
      <c r="BV4" t="s">
        <v>69</v>
      </c>
      <c r="BW4" t="s">
        <v>22170</v>
      </c>
      <c r="BX4" t="s">
        <v>69</v>
      </c>
      <c r="BY4" t="s">
        <v>69</v>
      </c>
      <c r="BZ4" t="s">
        <v>8526</v>
      </c>
      <c r="CA4" t="str">
        <f>HYPERLINK("https%3A%2F%2Fwww.webofscience.com%2Fwos%2Fwoscc%2Ffull-record%2FWOS:000366450100003","View Full Record in Web of Science")</f>
        <v>View Full Record in Web of Science</v>
      </c>
    </row>
    <row r="5" spans="1:99" x14ac:dyDescent="0.3">
      <c r="A5" s="7" t="s">
        <v>8408</v>
      </c>
      <c r="B5" t="s">
        <v>8495</v>
      </c>
      <c r="E5" s="7"/>
      <c r="F5" s="7"/>
      <c r="G5" s="7"/>
      <c r="H5" t="s">
        <v>67</v>
      </c>
      <c r="I5" t="s">
        <v>4523</v>
      </c>
      <c r="J5" t="s">
        <v>69</v>
      </c>
      <c r="K5" t="s">
        <v>69</v>
      </c>
      <c r="L5" t="s">
        <v>69</v>
      </c>
      <c r="M5" t="s">
        <v>4524</v>
      </c>
      <c r="N5" t="s">
        <v>69</v>
      </c>
      <c r="O5" t="s">
        <v>69</v>
      </c>
      <c r="P5" t="s">
        <v>4525</v>
      </c>
      <c r="Q5" t="s">
        <v>4526</v>
      </c>
      <c r="R5" t="s">
        <v>69</v>
      </c>
      <c r="S5" t="s">
        <v>69</v>
      </c>
      <c r="T5" t="s">
        <v>8505</v>
      </c>
      <c r="U5" t="s">
        <v>8506</v>
      </c>
      <c r="V5" t="s">
        <v>69</v>
      </c>
      <c r="W5" t="s">
        <v>69</v>
      </c>
      <c r="X5" t="s">
        <v>69</v>
      </c>
      <c r="Y5" t="s">
        <v>69</v>
      </c>
      <c r="Z5" t="s">
        <v>69</v>
      </c>
      <c r="AA5" t="s">
        <v>17337</v>
      </c>
      <c r="AB5" t="s">
        <v>17338</v>
      </c>
      <c r="AC5" t="s">
        <v>4527</v>
      </c>
      <c r="AD5" t="s">
        <v>17339</v>
      </c>
      <c r="AE5" t="s">
        <v>69</v>
      </c>
      <c r="AF5" t="s">
        <v>17340</v>
      </c>
      <c r="AG5" t="s">
        <v>17341</v>
      </c>
      <c r="AH5" t="s">
        <v>69</v>
      </c>
      <c r="AI5" t="s">
        <v>17342</v>
      </c>
      <c r="AJ5" t="s">
        <v>17343</v>
      </c>
      <c r="AK5" t="s">
        <v>17344</v>
      </c>
      <c r="AL5" t="s">
        <v>17345</v>
      </c>
      <c r="AM5" t="s">
        <v>69</v>
      </c>
      <c r="AN5">
        <v>68</v>
      </c>
      <c r="AO5">
        <v>3</v>
      </c>
      <c r="AP5">
        <v>3</v>
      </c>
      <c r="AQ5">
        <v>4</v>
      </c>
      <c r="AR5">
        <v>18</v>
      </c>
      <c r="AS5" t="s">
        <v>8865</v>
      </c>
      <c r="AT5" t="s">
        <v>8612</v>
      </c>
      <c r="AU5" t="s">
        <v>8866</v>
      </c>
      <c r="AV5" t="s">
        <v>4528</v>
      </c>
      <c r="AW5" t="s">
        <v>4529</v>
      </c>
      <c r="AX5" t="s">
        <v>69</v>
      </c>
      <c r="AY5" t="s">
        <v>17346</v>
      </c>
      <c r="AZ5" t="s">
        <v>17347</v>
      </c>
      <c r="BA5" t="s">
        <v>4530</v>
      </c>
      <c r="BB5">
        <v>2019</v>
      </c>
      <c r="BC5">
        <v>24</v>
      </c>
      <c r="BD5">
        <v>4</v>
      </c>
      <c r="BE5" t="s">
        <v>69</v>
      </c>
      <c r="BF5" t="s">
        <v>69</v>
      </c>
      <c r="BG5" t="s">
        <v>69</v>
      </c>
      <c r="BH5" t="s">
        <v>69</v>
      </c>
      <c r="BI5">
        <v>358</v>
      </c>
      <c r="BJ5">
        <v>373</v>
      </c>
      <c r="BK5" t="s">
        <v>69</v>
      </c>
      <c r="BL5" t="s">
        <v>4531</v>
      </c>
      <c r="BM5" t="str">
        <f>HYPERLINK("http://dx.doi.org/10.1080/13549839.2019.1572728","http://dx.doi.org/10.1080/13549839.2019.1572728")</f>
        <v>http://dx.doi.org/10.1080/13549839.2019.1572728</v>
      </c>
      <c r="BN5" t="s">
        <v>69</v>
      </c>
      <c r="BO5" t="s">
        <v>69</v>
      </c>
      <c r="BP5">
        <v>16</v>
      </c>
      <c r="BQ5" t="s">
        <v>17348</v>
      </c>
      <c r="BR5" t="s">
        <v>8523</v>
      </c>
      <c r="BS5" t="s">
        <v>17349</v>
      </c>
      <c r="BT5" t="s">
        <v>17350</v>
      </c>
      <c r="BU5" t="s">
        <v>4532</v>
      </c>
      <c r="BV5" t="s">
        <v>69</v>
      </c>
      <c r="BW5" t="s">
        <v>8746</v>
      </c>
      <c r="BX5" t="s">
        <v>69</v>
      </c>
      <c r="BY5" t="s">
        <v>69</v>
      </c>
      <c r="BZ5" t="s">
        <v>8526</v>
      </c>
      <c r="CA5" t="str">
        <f>HYPERLINK("https%3A%2F%2Fwww.webofscience.com%2Fwos%2Fwoscc%2Ffull-record%2FWOS:000459718500004","View Full Record in Web of Science")</f>
        <v>View Full Record in Web of Science</v>
      </c>
    </row>
    <row r="6" spans="1:99" x14ac:dyDescent="0.3">
      <c r="A6" s="7" t="s">
        <v>8408</v>
      </c>
      <c r="B6" t="s">
        <v>8495</v>
      </c>
      <c r="E6" s="7"/>
      <c r="F6" s="7"/>
      <c r="G6" s="7"/>
      <c r="H6" t="s">
        <v>67</v>
      </c>
      <c r="I6" t="s">
        <v>7861</v>
      </c>
      <c r="J6" t="s">
        <v>69</v>
      </c>
      <c r="K6" t="s">
        <v>69</v>
      </c>
      <c r="L6" t="s">
        <v>69</v>
      </c>
      <c r="M6" t="s">
        <v>7862</v>
      </c>
      <c r="N6" t="s">
        <v>69</v>
      </c>
      <c r="O6" t="s">
        <v>69</v>
      </c>
      <c r="P6" t="s">
        <v>7863</v>
      </c>
      <c r="Q6" t="s">
        <v>1969</v>
      </c>
      <c r="R6" t="s">
        <v>69</v>
      </c>
      <c r="S6" t="s">
        <v>69</v>
      </c>
      <c r="T6" t="s">
        <v>8505</v>
      </c>
      <c r="U6" t="s">
        <v>8506</v>
      </c>
      <c r="V6" t="s">
        <v>69</v>
      </c>
      <c r="W6" t="s">
        <v>69</v>
      </c>
      <c r="X6" t="s">
        <v>69</v>
      </c>
      <c r="Y6" t="s">
        <v>69</v>
      </c>
      <c r="Z6" t="s">
        <v>69</v>
      </c>
      <c r="AA6" t="s">
        <v>15702</v>
      </c>
      <c r="AB6" t="s">
        <v>15703</v>
      </c>
      <c r="AC6" t="s">
        <v>7864</v>
      </c>
      <c r="AD6" t="s">
        <v>15704</v>
      </c>
      <c r="AE6" t="s">
        <v>69</v>
      </c>
      <c r="AF6" t="s">
        <v>15705</v>
      </c>
      <c r="AG6" t="s">
        <v>15706</v>
      </c>
      <c r="AH6" t="s">
        <v>7785</v>
      </c>
      <c r="AI6" t="s">
        <v>7786</v>
      </c>
      <c r="AJ6" t="s">
        <v>69</v>
      </c>
      <c r="AK6" t="s">
        <v>69</v>
      </c>
      <c r="AL6" t="s">
        <v>69</v>
      </c>
      <c r="AM6" t="s">
        <v>69</v>
      </c>
      <c r="AN6">
        <v>61</v>
      </c>
      <c r="AO6">
        <v>9</v>
      </c>
      <c r="AP6">
        <v>9</v>
      </c>
      <c r="AQ6">
        <v>2</v>
      </c>
      <c r="AR6">
        <v>16</v>
      </c>
      <c r="AS6" t="s">
        <v>8586</v>
      </c>
      <c r="AT6" t="s">
        <v>8587</v>
      </c>
      <c r="AU6" t="s">
        <v>8588</v>
      </c>
      <c r="AV6" t="s">
        <v>1971</v>
      </c>
      <c r="AW6" t="s">
        <v>1972</v>
      </c>
      <c r="AX6" t="s">
        <v>69</v>
      </c>
      <c r="AY6" t="s">
        <v>15149</v>
      </c>
      <c r="AZ6" t="s">
        <v>15150</v>
      </c>
      <c r="BA6" t="s">
        <v>7865</v>
      </c>
      <c r="BB6">
        <v>2020</v>
      </c>
      <c r="BC6">
        <v>31</v>
      </c>
      <c r="BD6">
        <v>3</v>
      </c>
      <c r="BE6" t="s">
        <v>69</v>
      </c>
      <c r="BF6" t="s">
        <v>69</v>
      </c>
      <c r="BG6" t="s">
        <v>69</v>
      </c>
      <c r="BH6" t="s">
        <v>69</v>
      </c>
      <c r="BI6">
        <v>602</v>
      </c>
      <c r="BJ6">
        <v>623</v>
      </c>
      <c r="BK6" t="s">
        <v>69</v>
      </c>
      <c r="BL6" t="s">
        <v>7866</v>
      </c>
      <c r="BM6" t="str">
        <f>HYPERLINK("http://dx.doi.org/10.1108/MEQ-04-2019-0085","http://dx.doi.org/10.1108/MEQ-04-2019-0085")</f>
        <v>http://dx.doi.org/10.1108/MEQ-04-2019-0085</v>
      </c>
      <c r="BN6" t="s">
        <v>69</v>
      </c>
      <c r="BO6" t="s">
        <v>7867</v>
      </c>
      <c r="BP6">
        <v>22</v>
      </c>
      <c r="BQ6" t="s">
        <v>8660</v>
      </c>
      <c r="BR6" t="s">
        <v>8573</v>
      </c>
      <c r="BS6" t="s">
        <v>8662</v>
      </c>
      <c r="BT6" t="s">
        <v>15707</v>
      </c>
      <c r="BU6" t="s">
        <v>7868</v>
      </c>
      <c r="BV6" t="s">
        <v>69</v>
      </c>
      <c r="BW6" t="s">
        <v>69</v>
      </c>
      <c r="BX6" t="s">
        <v>69</v>
      </c>
      <c r="BY6" t="s">
        <v>69</v>
      </c>
      <c r="BZ6" t="s">
        <v>8526</v>
      </c>
      <c r="CA6" t="str">
        <f>HYPERLINK("https%3A%2F%2Fwww.webofscience.com%2Fwos%2Fwoscc%2Ffull-record%2FWOS:000514673300001","View Full Record in Web of Science")</f>
        <v>View Full Record in Web of Science</v>
      </c>
    </row>
    <row r="7" spans="1:99" x14ac:dyDescent="0.3">
      <c r="A7" s="7" t="s">
        <v>8408</v>
      </c>
      <c r="B7" t="s">
        <v>8495</v>
      </c>
      <c r="E7" s="7"/>
      <c r="F7" s="7"/>
      <c r="G7" s="7"/>
      <c r="H7" t="s">
        <v>67</v>
      </c>
      <c r="I7" t="s">
        <v>5515</v>
      </c>
      <c r="J7" t="s">
        <v>69</v>
      </c>
      <c r="K7" t="s">
        <v>69</v>
      </c>
      <c r="L7" t="s">
        <v>69</v>
      </c>
      <c r="M7" t="s">
        <v>5516</v>
      </c>
      <c r="N7" t="s">
        <v>69</v>
      </c>
      <c r="O7" t="s">
        <v>69</v>
      </c>
      <c r="P7" t="s">
        <v>5517</v>
      </c>
      <c r="Q7" t="s">
        <v>2160</v>
      </c>
      <c r="R7" t="s">
        <v>69</v>
      </c>
      <c r="S7" t="s">
        <v>69</v>
      </c>
      <c r="T7" t="s">
        <v>8505</v>
      </c>
      <c r="U7" t="s">
        <v>8506</v>
      </c>
      <c r="V7" t="s">
        <v>69</v>
      </c>
      <c r="W7" t="s">
        <v>69</v>
      </c>
      <c r="X7" t="s">
        <v>69</v>
      </c>
      <c r="Y7" t="s">
        <v>69</v>
      </c>
      <c r="Z7" t="s">
        <v>69</v>
      </c>
      <c r="AA7" t="s">
        <v>16794</v>
      </c>
      <c r="AB7" t="s">
        <v>69</v>
      </c>
      <c r="AC7" t="s">
        <v>5518</v>
      </c>
      <c r="AD7" t="s">
        <v>16795</v>
      </c>
      <c r="AE7" t="s">
        <v>69</v>
      </c>
      <c r="AF7" t="s">
        <v>16796</v>
      </c>
      <c r="AG7" t="s">
        <v>16797</v>
      </c>
      <c r="AH7" t="s">
        <v>69</v>
      </c>
      <c r="AI7" t="s">
        <v>69</v>
      </c>
      <c r="AJ7" t="s">
        <v>16798</v>
      </c>
      <c r="AK7" t="s">
        <v>16798</v>
      </c>
      <c r="AL7" t="s">
        <v>16799</v>
      </c>
      <c r="AM7" t="s">
        <v>69</v>
      </c>
      <c r="AN7">
        <v>0</v>
      </c>
      <c r="AO7">
        <v>2</v>
      </c>
      <c r="AP7">
        <v>2</v>
      </c>
      <c r="AQ7">
        <v>1</v>
      </c>
      <c r="AR7">
        <v>28</v>
      </c>
      <c r="AS7" t="s">
        <v>13195</v>
      </c>
      <c r="AT7" t="s">
        <v>13196</v>
      </c>
      <c r="AU7" t="s">
        <v>13197</v>
      </c>
      <c r="AV7" t="s">
        <v>2163</v>
      </c>
      <c r="AW7" t="s">
        <v>2164</v>
      </c>
      <c r="AX7" t="s">
        <v>69</v>
      </c>
      <c r="AY7" t="s">
        <v>16800</v>
      </c>
      <c r="AZ7" t="s">
        <v>16801</v>
      </c>
      <c r="BA7" t="s">
        <v>255</v>
      </c>
      <c r="BB7">
        <v>2019</v>
      </c>
      <c r="BC7">
        <v>172</v>
      </c>
      <c r="BD7">
        <v>7</v>
      </c>
      <c r="BE7" t="s">
        <v>69</v>
      </c>
      <c r="BF7" t="s">
        <v>69</v>
      </c>
      <c r="BG7" t="s">
        <v>69</v>
      </c>
      <c r="BH7" t="s">
        <v>69</v>
      </c>
      <c r="BI7">
        <v>327</v>
      </c>
      <c r="BJ7">
        <v>334</v>
      </c>
      <c r="BK7" t="s">
        <v>69</v>
      </c>
      <c r="BL7" t="s">
        <v>5519</v>
      </c>
      <c r="BM7" t="str">
        <f>HYPERLINK("http://dx.doi.org/10.1680/jensu.17.00038","http://dx.doi.org/10.1680/jensu.17.00038")</f>
        <v>http://dx.doi.org/10.1680/jensu.17.00038</v>
      </c>
      <c r="BN7" t="s">
        <v>69</v>
      </c>
      <c r="BO7" t="s">
        <v>69</v>
      </c>
      <c r="BP7">
        <v>8</v>
      </c>
      <c r="BQ7" t="s">
        <v>16802</v>
      </c>
      <c r="BR7" t="s">
        <v>8548</v>
      </c>
      <c r="BS7" t="s">
        <v>16803</v>
      </c>
      <c r="BT7" t="s">
        <v>16804</v>
      </c>
      <c r="BU7" t="s">
        <v>5520</v>
      </c>
      <c r="BV7" t="s">
        <v>69</v>
      </c>
      <c r="BW7" t="s">
        <v>69</v>
      </c>
      <c r="BX7" t="s">
        <v>69</v>
      </c>
      <c r="BY7" t="s">
        <v>69</v>
      </c>
      <c r="BZ7" t="s">
        <v>8526</v>
      </c>
      <c r="CA7" t="str">
        <f>HYPERLINK("https%3A%2F%2Fwww.webofscience.com%2Fwos%2Fwoscc%2Ffull-record%2FWOS:000485796600002","View Full Record in Web of Science")</f>
        <v>View Full Record in Web of Science</v>
      </c>
    </row>
    <row r="8" spans="1:99" ht="12.5" x14ac:dyDescent="0.25">
      <c r="B8" t="s">
        <v>8495</v>
      </c>
      <c r="D8" s="22" t="s">
        <v>32929</v>
      </c>
      <c r="E8" s="7"/>
      <c r="F8" s="7"/>
      <c r="G8" s="7"/>
      <c r="H8" t="s">
        <v>67</v>
      </c>
      <c r="I8" t="s">
        <v>11795</v>
      </c>
      <c r="J8" t="s">
        <v>69</v>
      </c>
      <c r="K8" t="s">
        <v>69</v>
      </c>
      <c r="L8" t="s">
        <v>69</v>
      </c>
      <c r="M8" t="s">
        <v>11796</v>
      </c>
      <c r="N8" t="s">
        <v>69</v>
      </c>
      <c r="O8" t="s">
        <v>69</v>
      </c>
      <c r="P8" t="s">
        <v>11797</v>
      </c>
      <c r="Q8" t="s">
        <v>436</v>
      </c>
      <c r="R8" t="s">
        <v>69</v>
      </c>
      <c r="S8" t="s">
        <v>69</v>
      </c>
      <c r="T8" t="s">
        <v>8505</v>
      </c>
      <c r="U8" t="s">
        <v>8506</v>
      </c>
      <c r="V8" t="s">
        <v>69</v>
      </c>
      <c r="W8" t="s">
        <v>69</v>
      </c>
      <c r="X8" t="s">
        <v>69</v>
      </c>
      <c r="Y8" t="s">
        <v>69</v>
      </c>
      <c r="Z8" t="s">
        <v>69</v>
      </c>
      <c r="AA8" t="s">
        <v>11798</v>
      </c>
      <c r="AB8" t="s">
        <v>11799</v>
      </c>
      <c r="AC8" t="s">
        <v>11800</v>
      </c>
      <c r="AD8" t="s">
        <v>11801</v>
      </c>
      <c r="AE8" t="s">
        <v>69</v>
      </c>
      <c r="AF8" t="s">
        <v>11802</v>
      </c>
      <c r="AG8" t="s">
        <v>11803</v>
      </c>
      <c r="AH8" t="s">
        <v>11804</v>
      </c>
      <c r="AI8" t="s">
        <v>11805</v>
      </c>
      <c r="AJ8" t="s">
        <v>11806</v>
      </c>
      <c r="AK8" t="s">
        <v>11807</v>
      </c>
      <c r="AL8" t="s">
        <v>11808</v>
      </c>
      <c r="AM8" t="s">
        <v>69</v>
      </c>
      <c r="AN8">
        <v>95</v>
      </c>
      <c r="AO8">
        <v>9</v>
      </c>
      <c r="AP8">
        <v>9</v>
      </c>
      <c r="AQ8">
        <v>8</v>
      </c>
      <c r="AR8">
        <v>16</v>
      </c>
      <c r="AS8" t="s">
        <v>8636</v>
      </c>
      <c r="AT8" t="s">
        <v>8637</v>
      </c>
      <c r="AU8" t="s">
        <v>8638</v>
      </c>
      <c r="AV8" t="s">
        <v>440</v>
      </c>
      <c r="AW8" t="s">
        <v>441</v>
      </c>
      <c r="AX8" t="s">
        <v>69</v>
      </c>
      <c r="AY8" t="s">
        <v>8639</v>
      </c>
      <c r="AZ8" t="s">
        <v>8640</v>
      </c>
      <c r="BA8" t="s">
        <v>11809</v>
      </c>
      <c r="BB8">
        <v>2021</v>
      </c>
      <c r="BC8">
        <v>316</v>
      </c>
      <c r="BD8" t="s">
        <v>69</v>
      </c>
      <c r="BE8" t="s">
        <v>69</v>
      </c>
      <c r="BF8" t="s">
        <v>69</v>
      </c>
      <c r="BG8" t="s">
        <v>69</v>
      </c>
      <c r="BH8" t="s">
        <v>69</v>
      </c>
      <c r="BI8" t="s">
        <v>69</v>
      </c>
      <c r="BJ8" t="s">
        <v>69</v>
      </c>
      <c r="BK8">
        <v>128122</v>
      </c>
      <c r="BL8" t="s">
        <v>11810</v>
      </c>
      <c r="BM8" t="str">
        <f>HYPERLINK("http://dx.doi.org/10.1016/j.jclepro.2021.128122","http://dx.doi.org/10.1016/j.jclepro.2021.128122")</f>
        <v>http://dx.doi.org/10.1016/j.jclepro.2021.128122</v>
      </c>
      <c r="BN8" t="s">
        <v>69</v>
      </c>
      <c r="BO8" t="s">
        <v>11790</v>
      </c>
      <c r="BP8">
        <v>13</v>
      </c>
      <c r="BQ8" t="s">
        <v>8643</v>
      </c>
      <c r="BR8" t="s">
        <v>8548</v>
      </c>
      <c r="BS8" t="s">
        <v>8644</v>
      </c>
      <c r="BT8" t="s">
        <v>11811</v>
      </c>
      <c r="BU8" t="s">
        <v>11812</v>
      </c>
      <c r="BV8" t="s">
        <v>69</v>
      </c>
      <c r="BW8" t="s">
        <v>69</v>
      </c>
      <c r="BX8" t="s">
        <v>69</v>
      </c>
      <c r="BY8" t="s">
        <v>69</v>
      </c>
      <c r="BZ8" t="s">
        <v>8526</v>
      </c>
      <c r="CA8" t="str">
        <f>HYPERLINK("https%3A%2F%2Fwww.webofscience.com%2Fwos%2Fwoscc%2Ffull-record%2FWOS:000696499700002","View Full Record in Web of Science")</f>
        <v>View Full Record in Web of Science</v>
      </c>
    </row>
    <row r="9" spans="1:99" ht="12.5" x14ac:dyDescent="0.25">
      <c r="A9" t="s">
        <v>8408</v>
      </c>
      <c r="B9" t="s">
        <v>8495</v>
      </c>
      <c r="D9" s="7"/>
      <c r="E9" s="7"/>
      <c r="F9" s="7"/>
      <c r="G9" s="7"/>
      <c r="H9" t="s">
        <v>67</v>
      </c>
      <c r="I9" t="s">
        <v>1828</v>
      </c>
      <c r="J9" t="s">
        <v>69</v>
      </c>
      <c r="K9" t="s">
        <v>69</v>
      </c>
      <c r="L9" t="s">
        <v>69</v>
      </c>
      <c r="M9" t="s">
        <v>1829</v>
      </c>
      <c r="N9" t="s">
        <v>69</v>
      </c>
      <c r="O9" t="s">
        <v>69</v>
      </c>
      <c r="P9" t="s">
        <v>1830</v>
      </c>
      <c r="Q9" t="s">
        <v>1831</v>
      </c>
      <c r="R9" t="s">
        <v>69</v>
      </c>
      <c r="S9" t="s">
        <v>69</v>
      </c>
      <c r="T9" t="s">
        <v>8505</v>
      </c>
      <c r="U9" t="s">
        <v>8506</v>
      </c>
      <c r="V9" t="s">
        <v>69</v>
      </c>
      <c r="W9" t="s">
        <v>69</v>
      </c>
      <c r="X9" t="s">
        <v>69</v>
      </c>
      <c r="Y9" t="s">
        <v>69</v>
      </c>
      <c r="Z9" t="s">
        <v>69</v>
      </c>
      <c r="AA9" t="s">
        <v>13281</v>
      </c>
      <c r="AB9" t="s">
        <v>13282</v>
      </c>
      <c r="AC9" t="s">
        <v>1832</v>
      </c>
      <c r="AD9" t="s">
        <v>13283</v>
      </c>
      <c r="AE9" t="s">
        <v>69</v>
      </c>
      <c r="AF9" t="s">
        <v>13284</v>
      </c>
      <c r="AG9" t="s">
        <v>13285</v>
      </c>
      <c r="AH9" t="s">
        <v>13286</v>
      </c>
      <c r="AI9" t="s">
        <v>13287</v>
      </c>
      <c r="AJ9" t="s">
        <v>13288</v>
      </c>
      <c r="AK9" t="s">
        <v>13289</v>
      </c>
      <c r="AL9" t="s">
        <v>13290</v>
      </c>
      <c r="AM9" t="s">
        <v>69</v>
      </c>
      <c r="AN9">
        <v>106</v>
      </c>
      <c r="AO9">
        <v>4</v>
      </c>
      <c r="AP9">
        <v>4</v>
      </c>
      <c r="AQ9">
        <v>4</v>
      </c>
      <c r="AR9">
        <v>12</v>
      </c>
      <c r="AS9" t="s">
        <v>8516</v>
      </c>
      <c r="AT9" t="s">
        <v>8517</v>
      </c>
      <c r="AU9" t="s">
        <v>8518</v>
      </c>
      <c r="AV9" t="s">
        <v>1833</v>
      </c>
      <c r="AW9" t="s">
        <v>1834</v>
      </c>
      <c r="AX9" t="s">
        <v>69</v>
      </c>
      <c r="AY9" t="s">
        <v>13291</v>
      </c>
      <c r="AZ9" t="s">
        <v>13292</v>
      </c>
      <c r="BA9" t="s">
        <v>191</v>
      </c>
      <c r="BB9">
        <v>2021</v>
      </c>
      <c r="BC9">
        <v>123</v>
      </c>
      <c r="BD9" t="s">
        <v>69</v>
      </c>
      <c r="BE9" t="s">
        <v>69</v>
      </c>
      <c r="BF9" t="s">
        <v>69</v>
      </c>
      <c r="BG9" t="s">
        <v>69</v>
      </c>
      <c r="BH9" t="s">
        <v>69</v>
      </c>
      <c r="BI9" t="s">
        <v>69</v>
      </c>
      <c r="BJ9" t="s">
        <v>69</v>
      </c>
      <c r="BK9">
        <v>102356</v>
      </c>
      <c r="BL9" t="s">
        <v>1835</v>
      </c>
      <c r="BM9" t="str">
        <f>HYPERLINK("http://dx.doi.org/10.1016/j.forpol.2020.102356","http://dx.doi.org/10.1016/j.forpol.2020.102356")</f>
        <v>http://dx.doi.org/10.1016/j.forpol.2020.102356</v>
      </c>
      <c r="BN9" t="s">
        <v>69</v>
      </c>
      <c r="BO9" t="s">
        <v>69</v>
      </c>
      <c r="BP9">
        <v>14</v>
      </c>
      <c r="BQ9" t="s">
        <v>13293</v>
      </c>
      <c r="BR9" t="s">
        <v>8523</v>
      </c>
      <c r="BS9" t="s">
        <v>13294</v>
      </c>
      <c r="BT9" t="s">
        <v>13295</v>
      </c>
      <c r="BU9" t="s">
        <v>1836</v>
      </c>
      <c r="BV9" t="s">
        <v>69</v>
      </c>
      <c r="BW9" t="s">
        <v>69</v>
      </c>
      <c r="BX9" t="s">
        <v>69</v>
      </c>
      <c r="BY9" t="s">
        <v>69</v>
      </c>
      <c r="BZ9" t="s">
        <v>8526</v>
      </c>
      <c r="CA9" t="str">
        <f>HYPERLINK("https%3A%2F%2Fwww.webofscience.com%2Fwos%2Fwoscc%2Ffull-record%2FWOS:000607033300012","View Full Record in Web of Science")</f>
        <v>View Full Record in Web of Science</v>
      </c>
    </row>
    <row r="10" spans="1:99" ht="12.5" x14ac:dyDescent="0.25">
      <c r="A10" t="s">
        <v>8408</v>
      </c>
      <c r="B10" t="s">
        <v>8495</v>
      </c>
      <c r="D10" s="15"/>
      <c r="E10" s="7"/>
      <c r="F10" s="7"/>
      <c r="G10" s="7"/>
      <c r="H10" t="s">
        <v>67</v>
      </c>
      <c r="I10" t="s">
        <v>4665</v>
      </c>
      <c r="J10" t="s">
        <v>69</v>
      </c>
      <c r="K10" t="s">
        <v>69</v>
      </c>
      <c r="L10" t="s">
        <v>69</v>
      </c>
      <c r="M10" t="s">
        <v>4666</v>
      </c>
      <c r="N10" t="s">
        <v>69</v>
      </c>
      <c r="O10" t="s">
        <v>69</v>
      </c>
      <c r="P10" t="s">
        <v>4667</v>
      </c>
      <c r="Q10" t="s">
        <v>4668</v>
      </c>
      <c r="R10" t="s">
        <v>69</v>
      </c>
      <c r="S10" t="s">
        <v>69</v>
      </c>
      <c r="T10" t="s">
        <v>14800</v>
      </c>
      <c r="U10" t="s">
        <v>8506</v>
      </c>
      <c r="V10" t="s">
        <v>69</v>
      </c>
      <c r="W10" t="s">
        <v>69</v>
      </c>
      <c r="X10" t="s">
        <v>69</v>
      </c>
      <c r="Y10" t="s">
        <v>69</v>
      </c>
      <c r="Z10" t="s">
        <v>69</v>
      </c>
      <c r="AA10" t="s">
        <v>17712</v>
      </c>
      <c r="AB10" t="s">
        <v>17713</v>
      </c>
      <c r="AC10" t="s">
        <v>4669</v>
      </c>
      <c r="AD10" t="s">
        <v>17714</v>
      </c>
      <c r="AE10" t="s">
        <v>69</v>
      </c>
      <c r="AF10" t="s">
        <v>17715</v>
      </c>
      <c r="AG10" t="s">
        <v>17716</v>
      </c>
      <c r="AH10" t="s">
        <v>69</v>
      </c>
      <c r="AI10" t="s">
        <v>69</v>
      </c>
      <c r="AJ10" t="s">
        <v>69</v>
      </c>
      <c r="AK10" t="s">
        <v>69</v>
      </c>
      <c r="AL10" t="s">
        <v>69</v>
      </c>
      <c r="AM10" t="s">
        <v>69</v>
      </c>
      <c r="AN10">
        <v>35</v>
      </c>
      <c r="AO10">
        <v>0</v>
      </c>
      <c r="AP10">
        <v>0</v>
      </c>
      <c r="AQ10">
        <v>0</v>
      </c>
      <c r="AR10">
        <v>11</v>
      </c>
      <c r="AS10" t="s">
        <v>17717</v>
      </c>
      <c r="AT10" t="s">
        <v>17718</v>
      </c>
      <c r="AU10" t="s">
        <v>17719</v>
      </c>
      <c r="AV10" t="s">
        <v>4670</v>
      </c>
      <c r="AW10" t="s">
        <v>69</v>
      </c>
      <c r="AX10" t="s">
        <v>69</v>
      </c>
      <c r="AY10" t="s">
        <v>17720</v>
      </c>
      <c r="AZ10" t="s">
        <v>17721</v>
      </c>
      <c r="BA10" t="s">
        <v>69</v>
      </c>
      <c r="BB10">
        <v>2019</v>
      </c>
      <c r="BC10">
        <v>13</v>
      </c>
      <c r="BD10">
        <v>3</v>
      </c>
      <c r="BE10" t="s">
        <v>69</v>
      </c>
      <c r="BF10" t="s">
        <v>69</v>
      </c>
      <c r="BG10" t="s">
        <v>69</v>
      </c>
      <c r="BH10" t="s">
        <v>69</v>
      </c>
      <c r="BI10">
        <v>897</v>
      </c>
      <c r="BJ10">
        <v>917</v>
      </c>
      <c r="BK10" t="s">
        <v>69</v>
      </c>
      <c r="BL10" t="s">
        <v>69</v>
      </c>
      <c r="BM10" t="s">
        <v>69</v>
      </c>
      <c r="BN10" t="s">
        <v>69</v>
      </c>
      <c r="BO10" t="s">
        <v>69</v>
      </c>
      <c r="BP10">
        <v>21</v>
      </c>
      <c r="BQ10" t="s">
        <v>10299</v>
      </c>
      <c r="BR10" t="s">
        <v>8573</v>
      </c>
      <c r="BS10" t="s">
        <v>10279</v>
      </c>
      <c r="BT10" t="s">
        <v>17722</v>
      </c>
      <c r="BU10" t="s">
        <v>4671</v>
      </c>
      <c r="BV10" t="s">
        <v>69</v>
      </c>
      <c r="BW10" t="s">
        <v>69</v>
      </c>
      <c r="BX10" t="s">
        <v>69</v>
      </c>
      <c r="BY10" t="s">
        <v>69</v>
      </c>
      <c r="BZ10" t="s">
        <v>8526</v>
      </c>
      <c r="CA10" t="str">
        <f>HYPERLINK("https%3A%2F%2Fwww.webofscience.com%2Fwos%2Fwoscc%2Ffull-record%2FWOS:000485756700013","View Full Record in Web of Science")</f>
        <v>View Full Record in Web of Science</v>
      </c>
    </row>
    <row r="11" spans="1:99" ht="12.5" x14ac:dyDescent="0.25">
      <c r="B11" t="s">
        <v>8495</v>
      </c>
      <c r="D11" s="15" t="s">
        <v>32930</v>
      </c>
      <c r="E11" s="7" t="s">
        <v>33077</v>
      </c>
      <c r="F11" s="7"/>
      <c r="G11" s="7" t="s">
        <v>8490</v>
      </c>
      <c r="H11" t="s">
        <v>67</v>
      </c>
      <c r="I11" t="s">
        <v>12299</v>
      </c>
      <c r="J11" t="s">
        <v>69</v>
      </c>
      <c r="K11" t="s">
        <v>69</v>
      </c>
      <c r="L11" t="s">
        <v>69</v>
      </c>
      <c r="M11" t="s">
        <v>12300</v>
      </c>
      <c r="N11" t="s">
        <v>69</v>
      </c>
      <c r="O11" t="s">
        <v>69</v>
      </c>
      <c r="P11" t="s">
        <v>12301</v>
      </c>
      <c r="Q11" t="s">
        <v>11776</v>
      </c>
      <c r="R11" t="s">
        <v>69</v>
      </c>
      <c r="S11" t="s">
        <v>69</v>
      </c>
      <c r="T11" t="s">
        <v>8505</v>
      </c>
      <c r="U11" t="s">
        <v>8506</v>
      </c>
      <c r="V11" t="s">
        <v>69</v>
      </c>
      <c r="W11" t="s">
        <v>69</v>
      </c>
      <c r="X11" t="s">
        <v>69</v>
      </c>
      <c r="Y11" t="s">
        <v>69</v>
      </c>
      <c r="Z11" t="s">
        <v>69</v>
      </c>
      <c r="AA11" t="s">
        <v>12302</v>
      </c>
      <c r="AB11" t="s">
        <v>12303</v>
      </c>
      <c r="AC11" t="s">
        <v>12304</v>
      </c>
      <c r="AD11" t="s">
        <v>12305</v>
      </c>
      <c r="AE11" t="s">
        <v>69</v>
      </c>
      <c r="AF11" t="s">
        <v>12306</v>
      </c>
      <c r="AG11" t="s">
        <v>12307</v>
      </c>
      <c r="AH11" t="s">
        <v>69</v>
      </c>
      <c r="AI11" t="s">
        <v>69</v>
      </c>
      <c r="AJ11" t="s">
        <v>12308</v>
      </c>
      <c r="AK11" t="s">
        <v>12309</v>
      </c>
      <c r="AL11" t="s">
        <v>12310</v>
      </c>
      <c r="AM11" t="s">
        <v>69</v>
      </c>
      <c r="AN11">
        <v>72</v>
      </c>
      <c r="AO11">
        <v>1</v>
      </c>
      <c r="AP11">
        <v>1</v>
      </c>
      <c r="AQ11">
        <v>1</v>
      </c>
      <c r="AR11">
        <v>1</v>
      </c>
      <c r="AS11" t="s">
        <v>9047</v>
      </c>
      <c r="AT11" t="s">
        <v>8693</v>
      </c>
      <c r="AU11" t="s">
        <v>11784</v>
      </c>
      <c r="AV11" t="s">
        <v>11785</v>
      </c>
      <c r="AW11" t="s">
        <v>11786</v>
      </c>
      <c r="AX11" t="s">
        <v>69</v>
      </c>
      <c r="AY11" t="s">
        <v>11787</v>
      </c>
      <c r="AZ11" t="s">
        <v>11788</v>
      </c>
      <c r="BA11" t="s">
        <v>255</v>
      </c>
      <c r="BB11">
        <v>2021</v>
      </c>
      <c r="BC11">
        <v>11</v>
      </c>
      <c r="BD11">
        <v>3</v>
      </c>
      <c r="BE11" t="s">
        <v>69</v>
      </c>
      <c r="BF11" t="s">
        <v>69</v>
      </c>
      <c r="BG11" t="s">
        <v>114</v>
      </c>
      <c r="BH11" t="s">
        <v>69</v>
      </c>
      <c r="BI11">
        <v>392</v>
      </c>
      <c r="BJ11">
        <v>403</v>
      </c>
      <c r="BK11" t="s">
        <v>69</v>
      </c>
      <c r="BL11" t="s">
        <v>12311</v>
      </c>
      <c r="BM11" t="str">
        <f>HYPERLINK("http://dx.doi.org/10.1007/s13412-021-00689-y","http://dx.doi.org/10.1007/s13412-021-00689-y")</f>
        <v>http://dx.doi.org/10.1007/s13412-021-00689-y</v>
      </c>
      <c r="BN11" t="s">
        <v>69</v>
      </c>
      <c r="BO11" t="s">
        <v>12312</v>
      </c>
      <c r="BP11">
        <v>12</v>
      </c>
      <c r="BQ11" t="s">
        <v>11791</v>
      </c>
      <c r="BR11" t="s">
        <v>8573</v>
      </c>
      <c r="BS11" t="s">
        <v>8662</v>
      </c>
      <c r="BT11" t="s">
        <v>11792</v>
      </c>
      <c r="BU11" t="s">
        <v>12313</v>
      </c>
      <c r="BV11" t="s">
        <v>69</v>
      </c>
      <c r="BW11" t="s">
        <v>8622</v>
      </c>
      <c r="BX11" t="s">
        <v>69</v>
      </c>
      <c r="BY11" t="s">
        <v>69</v>
      </c>
      <c r="BZ11" t="s">
        <v>8526</v>
      </c>
      <c r="CA11" t="str">
        <f>HYPERLINK("https%3A%2F%2Fwww.webofscience.com%2Fwos%2Fwoscc%2Ffull-record%2FWOS:000645870800001","View Full Record in Web of Science")</f>
        <v>View Full Record in Web of Science</v>
      </c>
    </row>
    <row r="12" spans="1:99" ht="12.5" x14ac:dyDescent="0.25">
      <c r="B12" t="s">
        <v>8495</v>
      </c>
      <c r="D12" s="22" t="s">
        <v>32931</v>
      </c>
      <c r="E12" s="7"/>
      <c r="F12" s="7"/>
      <c r="G12" s="7"/>
      <c r="H12" t="s">
        <v>67</v>
      </c>
      <c r="I12" t="s">
        <v>534</v>
      </c>
      <c r="J12" t="s">
        <v>69</v>
      </c>
      <c r="K12" t="s">
        <v>69</v>
      </c>
      <c r="L12" t="s">
        <v>69</v>
      </c>
      <c r="M12" t="s">
        <v>535</v>
      </c>
      <c r="N12" t="s">
        <v>69</v>
      </c>
      <c r="O12" t="s">
        <v>69</v>
      </c>
      <c r="P12" t="s">
        <v>27350</v>
      </c>
      <c r="Q12" t="s">
        <v>27351</v>
      </c>
      <c r="R12" t="s">
        <v>69</v>
      </c>
      <c r="S12" t="s">
        <v>69</v>
      </c>
      <c r="T12" t="s">
        <v>8505</v>
      </c>
      <c r="U12" t="s">
        <v>8506</v>
      </c>
      <c r="V12" t="s">
        <v>69</v>
      </c>
      <c r="W12" t="s">
        <v>69</v>
      </c>
      <c r="X12" t="s">
        <v>69</v>
      </c>
      <c r="Y12" t="s">
        <v>69</v>
      </c>
      <c r="Z12" t="s">
        <v>69</v>
      </c>
      <c r="AA12" t="s">
        <v>27352</v>
      </c>
      <c r="AB12" t="s">
        <v>69</v>
      </c>
      <c r="AC12" t="s">
        <v>27353</v>
      </c>
      <c r="AD12" t="s">
        <v>27354</v>
      </c>
      <c r="AE12" t="s">
        <v>69</v>
      </c>
      <c r="AF12" t="s">
        <v>27355</v>
      </c>
      <c r="AG12" t="s">
        <v>27356</v>
      </c>
      <c r="AH12" t="s">
        <v>539</v>
      </c>
      <c r="AI12" t="s">
        <v>540</v>
      </c>
      <c r="AJ12" t="s">
        <v>69</v>
      </c>
      <c r="AK12" t="s">
        <v>69</v>
      </c>
      <c r="AL12" t="s">
        <v>69</v>
      </c>
      <c r="AM12" t="s">
        <v>69</v>
      </c>
      <c r="AN12">
        <v>11</v>
      </c>
      <c r="AO12">
        <v>8</v>
      </c>
      <c r="AP12">
        <v>8</v>
      </c>
      <c r="AQ12">
        <v>0</v>
      </c>
      <c r="AR12">
        <v>1</v>
      </c>
      <c r="AS12" t="s">
        <v>13509</v>
      </c>
      <c r="AT12" t="s">
        <v>13510</v>
      </c>
      <c r="AU12" t="s">
        <v>13511</v>
      </c>
      <c r="AV12" t="s">
        <v>27357</v>
      </c>
      <c r="AW12" t="s">
        <v>27358</v>
      </c>
      <c r="AX12" t="s">
        <v>69</v>
      </c>
      <c r="AY12" t="s">
        <v>27359</v>
      </c>
      <c r="AZ12" t="s">
        <v>27360</v>
      </c>
      <c r="BA12" t="s">
        <v>69</v>
      </c>
      <c r="BB12">
        <v>2011</v>
      </c>
      <c r="BC12">
        <v>10</v>
      </c>
      <c r="BD12">
        <v>3</v>
      </c>
      <c r="BE12" t="s">
        <v>69</v>
      </c>
      <c r="BF12" t="s">
        <v>69</v>
      </c>
      <c r="BG12" t="s">
        <v>69</v>
      </c>
      <c r="BH12" t="s">
        <v>69</v>
      </c>
      <c r="BI12">
        <v>246</v>
      </c>
      <c r="BJ12">
        <v>266</v>
      </c>
      <c r="BK12" t="s">
        <v>69</v>
      </c>
      <c r="BL12" t="s">
        <v>27361</v>
      </c>
      <c r="BM12" t="str">
        <f>HYPERLINK("http://dx.doi.org/10.1504/IJESD.2011.045366","http://dx.doi.org/10.1504/IJESD.2011.045366")</f>
        <v>http://dx.doi.org/10.1504/IJESD.2011.045366</v>
      </c>
      <c r="BN12" t="s">
        <v>69</v>
      </c>
      <c r="BO12" t="s">
        <v>69</v>
      </c>
      <c r="BP12">
        <v>21</v>
      </c>
      <c r="BQ12" t="s">
        <v>8660</v>
      </c>
      <c r="BR12" t="s">
        <v>8573</v>
      </c>
      <c r="BS12" t="s">
        <v>8662</v>
      </c>
      <c r="BT12" t="s">
        <v>27362</v>
      </c>
      <c r="BU12" t="s">
        <v>27363</v>
      </c>
      <c r="BV12" t="s">
        <v>69</v>
      </c>
      <c r="BW12" t="s">
        <v>69</v>
      </c>
      <c r="BX12" t="s">
        <v>69</v>
      </c>
      <c r="BY12" t="s">
        <v>69</v>
      </c>
      <c r="BZ12" t="s">
        <v>8526</v>
      </c>
      <c r="CA12" t="str">
        <f>HYPERLINK("https%3A%2F%2Fwww.webofscience.com%2Fwos%2Fwoscc%2Ffull-record%2FWOS:000436574900002","View Full Record in Web of Science")</f>
        <v>View Full Record in Web of Science</v>
      </c>
    </row>
    <row r="13" spans="1:99" ht="12.5" x14ac:dyDescent="0.25">
      <c r="A13" t="s">
        <v>8408</v>
      </c>
      <c r="B13" t="s">
        <v>8495</v>
      </c>
      <c r="D13" s="7"/>
      <c r="E13" s="7"/>
      <c r="F13" s="7"/>
      <c r="G13" s="7"/>
      <c r="H13" t="s">
        <v>67</v>
      </c>
      <c r="I13" t="s">
        <v>6601</v>
      </c>
      <c r="J13" t="s">
        <v>69</v>
      </c>
      <c r="K13" t="s">
        <v>69</v>
      </c>
      <c r="L13" t="s">
        <v>69</v>
      </c>
      <c r="M13" t="s">
        <v>6602</v>
      </c>
      <c r="N13" t="s">
        <v>69</v>
      </c>
      <c r="O13" t="s">
        <v>69</v>
      </c>
      <c r="P13" t="s">
        <v>6603</v>
      </c>
      <c r="Q13" t="s">
        <v>1405</v>
      </c>
      <c r="R13" t="s">
        <v>69</v>
      </c>
      <c r="S13" t="s">
        <v>69</v>
      </c>
      <c r="T13" t="s">
        <v>8505</v>
      </c>
      <c r="U13" t="s">
        <v>8506</v>
      </c>
      <c r="V13" t="s">
        <v>69</v>
      </c>
      <c r="W13" t="s">
        <v>69</v>
      </c>
      <c r="X13" t="s">
        <v>69</v>
      </c>
      <c r="Y13" t="s">
        <v>69</v>
      </c>
      <c r="Z13" t="s">
        <v>69</v>
      </c>
      <c r="AA13" t="s">
        <v>27785</v>
      </c>
      <c r="AB13" t="s">
        <v>27786</v>
      </c>
      <c r="AC13" t="s">
        <v>6604</v>
      </c>
      <c r="AD13" t="s">
        <v>27787</v>
      </c>
      <c r="AE13" t="s">
        <v>69</v>
      </c>
      <c r="AF13" t="s">
        <v>27788</v>
      </c>
      <c r="AG13" t="s">
        <v>27789</v>
      </c>
      <c r="AH13" t="s">
        <v>6605</v>
      </c>
      <c r="AI13" t="s">
        <v>69</v>
      </c>
      <c r="AJ13" t="s">
        <v>69</v>
      </c>
      <c r="AK13" t="s">
        <v>69</v>
      </c>
      <c r="AL13" t="s">
        <v>69</v>
      </c>
      <c r="AM13" t="s">
        <v>69</v>
      </c>
      <c r="AN13">
        <v>31</v>
      </c>
      <c r="AO13">
        <v>119</v>
      </c>
      <c r="AP13">
        <v>125</v>
      </c>
      <c r="AQ13">
        <v>1</v>
      </c>
      <c r="AR13">
        <v>36</v>
      </c>
      <c r="AS13" t="s">
        <v>8636</v>
      </c>
      <c r="AT13" t="s">
        <v>8637</v>
      </c>
      <c r="AU13" t="s">
        <v>8638</v>
      </c>
      <c r="AV13" t="s">
        <v>1407</v>
      </c>
      <c r="AW13" t="s">
        <v>1408</v>
      </c>
      <c r="AX13" t="s">
        <v>69</v>
      </c>
      <c r="AY13" t="s">
        <v>14240</v>
      </c>
      <c r="AZ13" t="s">
        <v>8486</v>
      </c>
      <c r="BA13" t="s">
        <v>586</v>
      </c>
      <c r="BB13">
        <v>2010</v>
      </c>
      <c r="BC13">
        <v>38</v>
      </c>
      <c r="BD13">
        <v>5</v>
      </c>
      <c r="BE13" t="s">
        <v>69</v>
      </c>
      <c r="BF13" t="s">
        <v>69</v>
      </c>
      <c r="BG13" t="s">
        <v>69</v>
      </c>
      <c r="BH13" t="s">
        <v>69</v>
      </c>
      <c r="BI13">
        <v>2386</v>
      </c>
      <c r="BJ13">
        <v>2394</v>
      </c>
      <c r="BK13" t="s">
        <v>69</v>
      </c>
      <c r="BL13" t="s">
        <v>6606</v>
      </c>
      <c r="BM13" t="str">
        <f>HYPERLINK("http://dx.doi.org/10.1016/j.enpol.2009.12.030","http://dx.doi.org/10.1016/j.enpol.2009.12.030")</f>
        <v>http://dx.doi.org/10.1016/j.enpol.2009.12.030</v>
      </c>
      <c r="BN13" t="s">
        <v>69</v>
      </c>
      <c r="BO13" t="s">
        <v>69</v>
      </c>
      <c r="BP13">
        <v>9</v>
      </c>
      <c r="BQ13" t="s">
        <v>14242</v>
      </c>
      <c r="BR13" t="s">
        <v>8523</v>
      </c>
      <c r="BS13" t="s">
        <v>14243</v>
      </c>
      <c r="BT13" t="s">
        <v>27790</v>
      </c>
      <c r="BU13" t="s">
        <v>6607</v>
      </c>
      <c r="BV13" t="s">
        <v>69</v>
      </c>
      <c r="BW13" t="s">
        <v>69</v>
      </c>
      <c r="BX13" t="s">
        <v>69</v>
      </c>
      <c r="BY13" t="s">
        <v>69</v>
      </c>
      <c r="BZ13" t="s">
        <v>8526</v>
      </c>
      <c r="CA13" t="str">
        <f>HYPERLINK("https%3A%2F%2Fwww.webofscience.com%2Fwos%2Fwoscc%2Ffull-record%2FWOS:000276289500037","View Full Record in Web of Science")</f>
        <v>View Full Record in Web of Science</v>
      </c>
    </row>
    <row r="14" spans="1:99" ht="12.5" x14ac:dyDescent="0.25">
      <c r="B14" t="s">
        <v>8495</v>
      </c>
      <c r="D14" s="22" t="s">
        <v>32931</v>
      </c>
      <c r="E14" s="7"/>
      <c r="F14" s="7"/>
      <c r="G14" s="7"/>
      <c r="H14" t="s">
        <v>67</v>
      </c>
      <c r="I14" t="s">
        <v>12549</v>
      </c>
      <c r="J14" t="s">
        <v>69</v>
      </c>
      <c r="K14" t="s">
        <v>69</v>
      </c>
      <c r="L14" t="s">
        <v>69</v>
      </c>
      <c r="M14" t="s">
        <v>12550</v>
      </c>
      <c r="N14" t="s">
        <v>69</v>
      </c>
      <c r="O14" t="s">
        <v>69</v>
      </c>
      <c r="P14" t="s">
        <v>12551</v>
      </c>
      <c r="Q14" t="s">
        <v>352</v>
      </c>
      <c r="R14" t="s">
        <v>69</v>
      </c>
      <c r="S14" t="s">
        <v>69</v>
      </c>
      <c r="T14" t="s">
        <v>8505</v>
      </c>
      <c r="U14" t="s">
        <v>8506</v>
      </c>
      <c r="V14" t="s">
        <v>69</v>
      </c>
      <c r="W14" t="s">
        <v>69</v>
      </c>
      <c r="X14" t="s">
        <v>69</v>
      </c>
      <c r="Y14" t="s">
        <v>69</v>
      </c>
      <c r="Z14" t="s">
        <v>69</v>
      </c>
      <c r="AA14" t="s">
        <v>12552</v>
      </c>
      <c r="AB14" t="s">
        <v>69</v>
      </c>
      <c r="AC14" t="s">
        <v>12553</v>
      </c>
      <c r="AD14" t="s">
        <v>12554</v>
      </c>
      <c r="AE14" t="s">
        <v>69</v>
      </c>
      <c r="AF14" t="s">
        <v>12555</v>
      </c>
      <c r="AG14" t="s">
        <v>12556</v>
      </c>
      <c r="AH14" t="s">
        <v>12557</v>
      </c>
      <c r="AI14" t="s">
        <v>12558</v>
      </c>
      <c r="AJ14" t="s">
        <v>69</v>
      </c>
      <c r="AK14" t="s">
        <v>69</v>
      </c>
      <c r="AL14" t="s">
        <v>69</v>
      </c>
      <c r="AM14" t="s">
        <v>69</v>
      </c>
      <c r="AN14">
        <v>47</v>
      </c>
      <c r="AO14">
        <v>2</v>
      </c>
      <c r="AP14">
        <v>2</v>
      </c>
      <c r="AQ14">
        <v>4</v>
      </c>
      <c r="AR14">
        <v>11</v>
      </c>
      <c r="AS14" t="s">
        <v>8924</v>
      </c>
      <c r="AT14" t="s">
        <v>8925</v>
      </c>
      <c r="AU14" t="s">
        <v>8926</v>
      </c>
      <c r="AV14" t="s">
        <v>69</v>
      </c>
      <c r="AW14" t="s">
        <v>354</v>
      </c>
      <c r="AX14" t="s">
        <v>69</v>
      </c>
      <c r="AY14" t="s">
        <v>8958</v>
      </c>
      <c r="AZ14" t="s">
        <v>8434</v>
      </c>
      <c r="BA14" t="s">
        <v>246</v>
      </c>
      <c r="BB14">
        <v>2021</v>
      </c>
      <c r="BC14">
        <v>13</v>
      </c>
      <c r="BD14">
        <v>8</v>
      </c>
      <c r="BE14" t="s">
        <v>69</v>
      </c>
      <c r="BF14" t="s">
        <v>69</v>
      </c>
      <c r="BG14" t="s">
        <v>69</v>
      </c>
      <c r="BH14" t="s">
        <v>69</v>
      </c>
      <c r="BI14" t="s">
        <v>69</v>
      </c>
      <c r="BJ14" t="s">
        <v>69</v>
      </c>
      <c r="BK14">
        <v>4552</v>
      </c>
      <c r="BL14" t="s">
        <v>12559</v>
      </c>
      <c r="BM14" t="str">
        <f>HYPERLINK("http://dx.doi.org/10.3390/su13084552","http://dx.doi.org/10.3390/su13084552")</f>
        <v>http://dx.doi.org/10.3390/su13084552</v>
      </c>
      <c r="BN14" t="s">
        <v>69</v>
      </c>
      <c r="BO14" t="s">
        <v>69</v>
      </c>
      <c r="BP14">
        <v>13</v>
      </c>
      <c r="BQ14" t="s">
        <v>8960</v>
      </c>
      <c r="BR14" t="s">
        <v>8523</v>
      </c>
      <c r="BS14" t="s">
        <v>8961</v>
      </c>
      <c r="BT14" t="s">
        <v>12560</v>
      </c>
      <c r="BU14" t="s">
        <v>12561</v>
      </c>
      <c r="BV14" t="s">
        <v>69</v>
      </c>
      <c r="BW14" t="s">
        <v>8812</v>
      </c>
      <c r="BX14" t="s">
        <v>69</v>
      </c>
      <c r="BY14" t="s">
        <v>69</v>
      </c>
      <c r="BZ14" t="s">
        <v>8526</v>
      </c>
      <c r="CA14" t="str">
        <f>HYPERLINK("https%3A%2F%2Fwww.webofscience.com%2Fwos%2Fwoscc%2Ffull-record%2FWOS:000645360000001","View Full Record in Web of Science")</f>
        <v>View Full Record in Web of Science</v>
      </c>
    </row>
    <row r="15" spans="1:99" ht="12.5" x14ac:dyDescent="0.25">
      <c r="B15" t="s">
        <v>8495</v>
      </c>
      <c r="D15" s="15" t="s">
        <v>32932</v>
      </c>
      <c r="E15" s="7" t="s">
        <v>33076</v>
      </c>
      <c r="F15" s="7"/>
      <c r="G15" s="7" t="s">
        <v>8490</v>
      </c>
      <c r="H15" t="s">
        <v>67</v>
      </c>
      <c r="I15" t="s">
        <v>31553</v>
      </c>
      <c r="J15" t="s">
        <v>69</v>
      </c>
      <c r="K15" t="s">
        <v>69</v>
      </c>
      <c r="L15" t="s">
        <v>69</v>
      </c>
      <c r="M15" t="s">
        <v>31553</v>
      </c>
      <c r="N15" t="s">
        <v>69</v>
      </c>
      <c r="O15" t="s">
        <v>69</v>
      </c>
      <c r="P15" t="s">
        <v>31554</v>
      </c>
      <c r="Q15" t="s">
        <v>31555</v>
      </c>
      <c r="R15" t="s">
        <v>69</v>
      </c>
      <c r="S15" t="s">
        <v>69</v>
      </c>
      <c r="T15" t="s">
        <v>8505</v>
      </c>
      <c r="U15" t="s">
        <v>8506</v>
      </c>
      <c r="V15" t="s">
        <v>69</v>
      </c>
      <c r="W15" t="s">
        <v>69</v>
      </c>
      <c r="X15" t="s">
        <v>69</v>
      </c>
      <c r="Y15" t="s">
        <v>69</v>
      </c>
      <c r="Z15" t="s">
        <v>69</v>
      </c>
      <c r="AA15" t="s">
        <v>31556</v>
      </c>
      <c r="AB15" t="s">
        <v>17171</v>
      </c>
      <c r="AC15" t="s">
        <v>31557</v>
      </c>
      <c r="AD15" t="s">
        <v>31558</v>
      </c>
      <c r="AE15" t="s">
        <v>69</v>
      </c>
      <c r="AF15" t="s">
        <v>31559</v>
      </c>
      <c r="AG15" t="s">
        <v>69</v>
      </c>
      <c r="AH15" t="s">
        <v>69</v>
      </c>
      <c r="AI15" t="s">
        <v>69</v>
      </c>
      <c r="AJ15" t="s">
        <v>69</v>
      </c>
      <c r="AK15" t="s">
        <v>69</v>
      </c>
      <c r="AL15" t="s">
        <v>69</v>
      </c>
      <c r="AM15" t="s">
        <v>69</v>
      </c>
      <c r="AN15">
        <v>46</v>
      </c>
      <c r="AO15">
        <v>9</v>
      </c>
      <c r="AP15">
        <v>9</v>
      </c>
      <c r="AQ15">
        <v>1</v>
      </c>
      <c r="AR15">
        <v>7</v>
      </c>
      <c r="AS15" t="s">
        <v>9145</v>
      </c>
      <c r="AT15" t="s">
        <v>8637</v>
      </c>
      <c r="AU15" t="s">
        <v>9146</v>
      </c>
      <c r="AV15" t="s">
        <v>31560</v>
      </c>
      <c r="AW15" t="s">
        <v>69</v>
      </c>
      <c r="AX15" t="s">
        <v>69</v>
      </c>
      <c r="AY15" t="s">
        <v>31561</v>
      </c>
      <c r="AZ15" t="s">
        <v>31562</v>
      </c>
      <c r="BA15" t="s">
        <v>255</v>
      </c>
      <c r="BB15">
        <v>2001</v>
      </c>
      <c r="BC15">
        <v>21</v>
      </c>
      <c r="BD15">
        <v>5</v>
      </c>
      <c r="BE15" t="s">
        <v>69</v>
      </c>
      <c r="BF15" t="s">
        <v>69</v>
      </c>
      <c r="BG15" t="s">
        <v>69</v>
      </c>
      <c r="BH15" t="s">
        <v>69</v>
      </c>
      <c r="BI15">
        <v>417</v>
      </c>
      <c r="BJ15">
        <v>431</v>
      </c>
      <c r="BK15" t="s">
        <v>69</v>
      </c>
      <c r="BL15" t="s">
        <v>31563</v>
      </c>
      <c r="BM15" t="str">
        <f>HYPERLINK("http://dx.doi.org/10.1016/S0738-0593(00)00066-3","http://dx.doi.org/10.1016/S0738-0593(00)00066-3")</f>
        <v>http://dx.doi.org/10.1016/S0738-0593(00)00066-3</v>
      </c>
      <c r="BN15" t="s">
        <v>69</v>
      </c>
      <c r="BO15" t="s">
        <v>69</v>
      </c>
      <c r="BP15">
        <v>15</v>
      </c>
      <c r="BQ15" t="s">
        <v>9290</v>
      </c>
      <c r="BR15" t="s">
        <v>8661</v>
      </c>
      <c r="BS15" t="s">
        <v>9290</v>
      </c>
      <c r="BT15" t="s">
        <v>31564</v>
      </c>
      <c r="BU15" t="s">
        <v>31565</v>
      </c>
      <c r="BV15" t="s">
        <v>69</v>
      </c>
      <c r="BW15" t="s">
        <v>69</v>
      </c>
      <c r="BX15" t="s">
        <v>69</v>
      </c>
      <c r="BY15" t="s">
        <v>69</v>
      </c>
      <c r="BZ15" t="s">
        <v>8526</v>
      </c>
      <c r="CA15" t="str">
        <f>HYPERLINK("https%3A%2F%2Fwww.webofscience.com%2Fwos%2Fwoscc%2Ffull-record%2FWOS:000170746400003","View Full Record in Web of Science")</f>
        <v>View Full Record in Web of Science</v>
      </c>
    </row>
    <row r="16" spans="1:99" x14ac:dyDescent="0.3">
      <c r="A16" s="7" t="s">
        <v>8408</v>
      </c>
      <c r="B16" t="s">
        <v>8495</v>
      </c>
      <c r="E16" s="7"/>
      <c r="F16" s="7"/>
      <c r="G16" s="7"/>
      <c r="H16" t="s">
        <v>67</v>
      </c>
      <c r="I16" t="s">
        <v>639</v>
      </c>
      <c r="J16" t="s">
        <v>69</v>
      </c>
      <c r="K16" t="s">
        <v>69</v>
      </c>
      <c r="L16" t="s">
        <v>69</v>
      </c>
      <c r="M16" t="s">
        <v>640</v>
      </c>
      <c r="N16" t="s">
        <v>69</v>
      </c>
      <c r="O16" t="s">
        <v>69</v>
      </c>
      <c r="P16" t="s">
        <v>641</v>
      </c>
      <c r="Q16" t="s">
        <v>151</v>
      </c>
      <c r="R16" t="s">
        <v>69</v>
      </c>
      <c r="S16" t="s">
        <v>69</v>
      </c>
      <c r="T16" t="s">
        <v>8505</v>
      </c>
      <c r="U16" t="s">
        <v>8442</v>
      </c>
      <c r="V16" t="s">
        <v>69</v>
      </c>
      <c r="W16" t="s">
        <v>69</v>
      </c>
      <c r="X16" t="s">
        <v>69</v>
      </c>
      <c r="Y16" t="s">
        <v>69</v>
      </c>
      <c r="Z16" t="s">
        <v>69</v>
      </c>
      <c r="AA16" t="s">
        <v>23535</v>
      </c>
      <c r="AB16" t="s">
        <v>23536</v>
      </c>
      <c r="AC16" t="s">
        <v>642</v>
      </c>
      <c r="AD16" t="s">
        <v>23537</v>
      </c>
      <c r="AE16" t="s">
        <v>69</v>
      </c>
      <c r="AF16" t="s">
        <v>23538</v>
      </c>
      <c r="AG16" t="s">
        <v>23539</v>
      </c>
      <c r="AH16" t="s">
        <v>23540</v>
      </c>
      <c r="AI16" t="s">
        <v>23541</v>
      </c>
      <c r="AJ16" t="s">
        <v>69</v>
      </c>
      <c r="AK16" t="s">
        <v>69</v>
      </c>
      <c r="AL16" t="s">
        <v>69</v>
      </c>
      <c r="AM16" t="s">
        <v>69</v>
      </c>
      <c r="AN16">
        <v>37</v>
      </c>
      <c r="AO16">
        <v>2</v>
      </c>
      <c r="AP16">
        <v>2</v>
      </c>
      <c r="AQ16">
        <v>0</v>
      </c>
      <c r="AR16">
        <v>17</v>
      </c>
      <c r="AS16" t="s">
        <v>9145</v>
      </c>
      <c r="AT16" t="s">
        <v>8637</v>
      </c>
      <c r="AU16" t="s">
        <v>9146</v>
      </c>
      <c r="AV16" t="s">
        <v>154</v>
      </c>
      <c r="AW16" t="s">
        <v>69</v>
      </c>
      <c r="AX16" t="s">
        <v>69</v>
      </c>
      <c r="AY16" t="s">
        <v>12762</v>
      </c>
      <c r="AZ16" t="s">
        <v>12763</v>
      </c>
      <c r="BA16" t="s">
        <v>381</v>
      </c>
      <c r="BB16">
        <v>2014</v>
      </c>
      <c r="BC16">
        <v>38</v>
      </c>
      <c r="BD16" t="s">
        <v>69</v>
      </c>
      <c r="BE16" t="s">
        <v>69</v>
      </c>
      <c r="BF16" t="s">
        <v>69</v>
      </c>
      <c r="BG16" t="s">
        <v>69</v>
      </c>
      <c r="BH16" t="s">
        <v>69</v>
      </c>
      <c r="BI16">
        <v>700</v>
      </c>
      <c r="BJ16">
        <v>705</v>
      </c>
      <c r="BK16" t="s">
        <v>69</v>
      </c>
      <c r="BL16" t="s">
        <v>643</v>
      </c>
      <c r="BM16" t="str">
        <f>HYPERLINK("http://dx.doi.org/10.1016/j.rser.2014.07.012","http://dx.doi.org/10.1016/j.rser.2014.07.012")</f>
        <v>http://dx.doi.org/10.1016/j.rser.2014.07.012</v>
      </c>
      <c r="BN16" t="s">
        <v>69</v>
      </c>
      <c r="BO16" t="s">
        <v>69</v>
      </c>
      <c r="BP16">
        <v>6</v>
      </c>
      <c r="BQ16" t="s">
        <v>9931</v>
      </c>
      <c r="BR16" t="s">
        <v>8548</v>
      </c>
      <c r="BS16" t="s">
        <v>9932</v>
      </c>
      <c r="BT16" t="s">
        <v>23542</v>
      </c>
      <c r="BU16" t="s">
        <v>644</v>
      </c>
      <c r="BV16" t="s">
        <v>69</v>
      </c>
      <c r="BW16" t="s">
        <v>69</v>
      </c>
      <c r="BX16" t="s">
        <v>69</v>
      </c>
      <c r="BY16" t="s">
        <v>69</v>
      </c>
      <c r="BZ16" t="s">
        <v>8526</v>
      </c>
      <c r="CA16" t="str">
        <f>HYPERLINK("https%3A%2F%2Fwww.webofscience.com%2Fwos%2Fwoscc%2Ffull-record%2FWOS:000341676100054","View Full Record in Web of Science")</f>
        <v>View Full Record in Web of Science</v>
      </c>
    </row>
    <row r="17" spans="1:79" x14ac:dyDescent="0.3">
      <c r="A17" s="7" t="s">
        <v>8408</v>
      </c>
      <c r="B17" t="s">
        <v>8495</v>
      </c>
      <c r="E17" s="7"/>
      <c r="F17" s="7"/>
      <c r="G17" s="7"/>
      <c r="H17" t="s">
        <v>67</v>
      </c>
      <c r="I17" t="s">
        <v>1202</v>
      </c>
      <c r="J17" t="s">
        <v>69</v>
      </c>
      <c r="K17" t="s">
        <v>69</v>
      </c>
      <c r="L17" t="s">
        <v>69</v>
      </c>
      <c r="M17" t="s">
        <v>1203</v>
      </c>
      <c r="N17" t="s">
        <v>69</v>
      </c>
      <c r="O17" t="s">
        <v>69</v>
      </c>
      <c r="P17" t="s">
        <v>1204</v>
      </c>
      <c r="Q17" t="s">
        <v>436</v>
      </c>
      <c r="R17" t="s">
        <v>69</v>
      </c>
      <c r="S17" t="s">
        <v>69</v>
      </c>
      <c r="T17" t="s">
        <v>8505</v>
      </c>
      <c r="U17" t="s">
        <v>8506</v>
      </c>
      <c r="V17" t="s">
        <v>69</v>
      </c>
      <c r="W17" t="s">
        <v>69</v>
      </c>
      <c r="X17" t="s">
        <v>69</v>
      </c>
      <c r="Y17" t="s">
        <v>69</v>
      </c>
      <c r="Z17" t="s">
        <v>69</v>
      </c>
      <c r="AA17" t="s">
        <v>21202</v>
      </c>
      <c r="AB17" t="s">
        <v>21203</v>
      </c>
      <c r="AC17" t="s">
        <v>1205</v>
      </c>
      <c r="AD17" t="s">
        <v>21204</v>
      </c>
      <c r="AE17" t="s">
        <v>69</v>
      </c>
      <c r="AF17" t="s">
        <v>21205</v>
      </c>
      <c r="AG17" t="s">
        <v>21206</v>
      </c>
      <c r="AH17" t="s">
        <v>69</v>
      </c>
      <c r="AI17" t="s">
        <v>21207</v>
      </c>
      <c r="AJ17" t="s">
        <v>21208</v>
      </c>
      <c r="AK17" t="s">
        <v>21209</v>
      </c>
      <c r="AL17" t="s">
        <v>21210</v>
      </c>
      <c r="AM17" t="s">
        <v>69</v>
      </c>
      <c r="AN17">
        <v>63</v>
      </c>
      <c r="AO17">
        <v>42</v>
      </c>
      <c r="AP17">
        <v>43</v>
      </c>
      <c r="AQ17">
        <v>11</v>
      </c>
      <c r="AR17">
        <v>53</v>
      </c>
      <c r="AS17" t="s">
        <v>8636</v>
      </c>
      <c r="AT17" t="s">
        <v>8637</v>
      </c>
      <c r="AU17" t="s">
        <v>8638</v>
      </c>
      <c r="AV17" t="s">
        <v>440</v>
      </c>
      <c r="AW17" t="s">
        <v>441</v>
      </c>
      <c r="AX17" t="s">
        <v>69</v>
      </c>
      <c r="AY17" t="s">
        <v>8639</v>
      </c>
      <c r="AZ17" t="s">
        <v>8640</v>
      </c>
      <c r="BA17" t="s">
        <v>1206</v>
      </c>
      <c r="BB17">
        <v>2016</v>
      </c>
      <c r="BC17">
        <v>135</v>
      </c>
      <c r="BD17" t="s">
        <v>69</v>
      </c>
      <c r="BE17" t="s">
        <v>69</v>
      </c>
      <c r="BF17" t="s">
        <v>69</v>
      </c>
      <c r="BG17" t="s">
        <v>69</v>
      </c>
      <c r="BH17" t="s">
        <v>69</v>
      </c>
      <c r="BI17">
        <v>1034</v>
      </c>
      <c r="BJ17">
        <v>1044</v>
      </c>
      <c r="BK17" t="s">
        <v>69</v>
      </c>
      <c r="BL17" t="s">
        <v>1207</v>
      </c>
      <c r="BM17" t="str">
        <f>HYPERLINK("http://dx.doi.org/10.1016/j.jclepro.2016.07.027","http://dx.doi.org/10.1016/j.jclepro.2016.07.027")</f>
        <v>http://dx.doi.org/10.1016/j.jclepro.2016.07.027</v>
      </c>
      <c r="BN17" t="s">
        <v>69</v>
      </c>
      <c r="BO17" t="s">
        <v>69</v>
      </c>
      <c r="BP17">
        <v>11</v>
      </c>
      <c r="BQ17" t="s">
        <v>8643</v>
      </c>
      <c r="BR17" t="s">
        <v>8523</v>
      </c>
      <c r="BS17" t="s">
        <v>8644</v>
      </c>
      <c r="BT17" t="s">
        <v>21211</v>
      </c>
      <c r="BU17" t="s">
        <v>1208</v>
      </c>
      <c r="BV17" t="s">
        <v>69</v>
      </c>
      <c r="BW17" t="s">
        <v>17235</v>
      </c>
      <c r="BX17" t="s">
        <v>69</v>
      </c>
      <c r="BY17" t="s">
        <v>69</v>
      </c>
      <c r="BZ17" t="s">
        <v>8526</v>
      </c>
      <c r="CA17" t="str">
        <f>HYPERLINK("https%3A%2F%2Fwww.webofscience.com%2Fwos%2Fwoscc%2Ffull-record%2FWOS:000382792900089","View Full Record in Web of Science")</f>
        <v>View Full Record in Web of Science</v>
      </c>
    </row>
    <row r="18" spans="1:79" x14ac:dyDescent="0.3">
      <c r="A18" s="7" t="s">
        <v>8408</v>
      </c>
      <c r="B18" t="s">
        <v>8495</v>
      </c>
      <c r="E18" s="7"/>
      <c r="F18" s="7"/>
      <c r="G18" s="7"/>
      <c r="H18" t="s">
        <v>67</v>
      </c>
      <c r="I18" t="s">
        <v>5335</v>
      </c>
      <c r="J18" t="s">
        <v>69</v>
      </c>
      <c r="K18" t="s">
        <v>69</v>
      </c>
      <c r="L18" t="s">
        <v>69</v>
      </c>
      <c r="M18" t="s">
        <v>5336</v>
      </c>
      <c r="N18" t="s">
        <v>69</v>
      </c>
      <c r="O18" t="s">
        <v>69</v>
      </c>
      <c r="P18" t="s">
        <v>5337</v>
      </c>
      <c r="Q18" t="s">
        <v>5338</v>
      </c>
      <c r="R18" t="s">
        <v>69</v>
      </c>
      <c r="S18" t="s">
        <v>69</v>
      </c>
      <c r="T18" t="s">
        <v>8505</v>
      </c>
      <c r="U18" t="s">
        <v>8506</v>
      </c>
      <c r="V18" t="s">
        <v>69</v>
      </c>
      <c r="W18" t="s">
        <v>69</v>
      </c>
      <c r="X18" t="s">
        <v>69</v>
      </c>
      <c r="Y18" t="s">
        <v>69</v>
      </c>
      <c r="Z18" t="s">
        <v>69</v>
      </c>
      <c r="AA18" t="s">
        <v>21744</v>
      </c>
      <c r="AB18" t="s">
        <v>21745</v>
      </c>
      <c r="AC18" t="s">
        <v>5339</v>
      </c>
      <c r="AD18" t="s">
        <v>21746</v>
      </c>
      <c r="AE18" t="s">
        <v>69</v>
      </c>
      <c r="AF18" t="s">
        <v>21747</v>
      </c>
      <c r="AG18" t="s">
        <v>21748</v>
      </c>
      <c r="AH18" t="s">
        <v>21749</v>
      </c>
      <c r="AI18" t="s">
        <v>69</v>
      </c>
      <c r="AJ18" t="s">
        <v>69</v>
      </c>
      <c r="AK18" t="s">
        <v>69</v>
      </c>
      <c r="AL18" t="s">
        <v>69</v>
      </c>
      <c r="AM18" t="s">
        <v>69</v>
      </c>
      <c r="AN18">
        <v>48</v>
      </c>
      <c r="AO18">
        <v>5</v>
      </c>
      <c r="AP18">
        <v>6</v>
      </c>
      <c r="AQ18">
        <v>3</v>
      </c>
      <c r="AR18">
        <v>79</v>
      </c>
      <c r="AS18" t="s">
        <v>9047</v>
      </c>
      <c r="AT18" t="s">
        <v>9048</v>
      </c>
      <c r="AU18" t="s">
        <v>9049</v>
      </c>
      <c r="AV18" t="s">
        <v>5340</v>
      </c>
      <c r="AW18" t="s">
        <v>5341</v>
      </c>
      <c r="AX18" t="s">
        <v>69</v>
      </c>
      <c r="AY18" t="s">
        <v>21750</v>
      </c>
      <c r="AZ18" t="s">
        <v>21751</v>
      </c>
      <c r="BA18" t="s">
        <v>246</v>
      </c>
      <c r="BB18">
        <v>2016</v>
      </c>
      <c r="BC18">
        <v>90</v>
      </c>
      <c r="BD18">
        <v>2</v>
      </c>
      <c r="BE18" t="s">
        <v>69</v>
      </c>
      <c r="BF18" t="s">
        <v>69</v>
      </c>
      <c r="BG18" t="s">
        <v>69</v>
      </c>
      <c r="BH18" t="s">
        <v>69</v>
      </c>
      <c r="BI18">
        <v>219</v>
      </c>
      <c r="BJ18">
        <v>236</v>
      </c>
      <c r="BK18" t="s">
        <v>69</v>
      </c>
      <c r="BL18" t="s">
        <v>5342</v>
      </c>
      <c r="BM18" t="str">
        <f>HYPERLINK("http://dx.doi.org/10.1007/s10457-015-9848-0","http://dx.doi.org/10.1007/s10457-015-9848-0")</f>
        <v>http://dx.doi.org/10.1007/s10457-015-9848-0</v>
      </c>
      <c r="BN18" t="s">
        <v>69</v>
      </c>
      <c r="BO18" t="s">
        <v>69</v>
      </c>
      <c r="BP18">
        <v>18</v>
      </c>
      <c r="BQ18" t="s">
        <v>21752</v>
      </c>
      <c r="BR18" t="s">
        <v>8548</v>
      </c>
      <c r="BS18" t="s">
        <v>21753</v>
      </c>
      <c r="BT18" t="s">
        <v>21754</v>
      </c>
      <c r="BU18" t="s">
        <v>5343</v>
      </c>
      <c r="BV18" t="s">
        <v>69</v>
      </c>
      <c r="BW18" t="s">
        <v>69</v>
      </c>
      <c r="BX18" t="s">
        <v>69</v>
      </c>
      <c r="BY18" t="s">
        <v>69</v>
      </c>
      <c r="BZ18" t="s">
        <v>8526</v>
      </c>
      <c r="CA18" t="str">
        <f>HYPERLINK("https%3A%2F%2Fwww.webofscience.com%2Fwos%2Fwoscc%2Ffull-record%2FWOS:000373298200003","View Full Record in Web of Science")</f>
        <v>View Full Record in Web of Science</v>
      </c>
    </row>
    <row r="19" spans="1:79" x14ac:dyDescent="0.3">
      <c r="A19" s="7" t="s">
        <v>8408</v>
      </c>
      <c r="B19" t="s">
        <v>8495</v>
      </c>
      <c r="E19" s="7"/>
      <c r="F19" s="7"/>
      <c r="G19" s="7"/>
      <c r="H19" t="s">
        <v>67</v>
      </c>
      <c r="I19" t="s">
        <v>3683</v>
      </c>
      <c r="J19" t="s">
        <v>69</v>
      </c>
      <c r="K19" t="s">
        <v>69</v>
      </c>
      <c r="L19" t="s">
        <v>69</v>
      </c>
      <c r="M19" t="s">
        <v>3684</v>
      </c>
      <c r="N19" t="s">
        <v>69</v>
      </c>
      <c r="O19" t="s">
        <v>69</v>
      </c>
      <c r="P19" t="s">
        <v>3685</v>
      </c>
      <c r="Q19" t="s">
        <v>3686</v>
      </c>
      <c r="R19" t="s">
        <v>69</v>
      </c>
      <c r="S19" t="s">
        <v>69</v>
      </c>
      <c r="T19" t="s">
        <v>8505</v>
      </c>
      <c r="U19" t="s">
        <v>8506</v>
      </c>
      <c r="V19" t="s">
        <v>69</v>
      </c>
      <c r="W19" t="s">
        <v>69</v>
      </c>
      <c r="X19" t="s">
        <v>69</v>
      </c>
      <c r="Y19" t="s">
        <v>69</v>
      </c>
      <c r="Z19" t="s">
        <v>69</v>
      </c>
      <c r="AA19" t="s">
        <v>29426</v>
      </c>
      <c r="AB19" t="s">
        <v>29427</v>
      </c>
      <c r="AC19" t="s">
        <v>3687</v>
      </c>
      <c r="AD19" t="s">
        <v>29428</v>
      </c>
      <c r="AE19" t="s">
        <v>69</v>
      </c>
      <c r="AF19" t="s">
        <v>29429</v>
      </c>
      <c r="AG19" t="s">
        <v>69</v>
      </c>
      <c r="AH19" t="s">
        <v>69</v>
      </c>
      <c r="AI19" t="s">
        <v>69</v>
      </c>
      <c r="AJ19" t="s">
        <v>69</v>
      </c>
      <c r="AK19" t="s">
        <v>69</v>
      </c>
      <c r="AL19" t="s">
        <v>69</v>
      </c>
      <c r="AM19" t="s">
        <v>69</v>
      </c>
      <c r="AN19">
        <v>32</v>
      </c>
      <c r="AO19">
        <v>26</v>
      </c>
      <c r="AP19">
        <v>28</v>
      </c>
      <c r="AQ19">
        <v>0</v>
      </c>
      <c r="AR19">
        <v>25</v>
      </c>
      <c r="AS19" t="s">
        <v>23880</v>
      </c>
      <c r="AT19" t="s">
        <v>23881</v>
      </c>
      <c r="AU19" t="s">
        <v>23882</v>
      </c>
      <c r="AV19" t="s">
        <v>3688</v>
      </c>
      <c r="AW19" t="s">
        <v>3689</v>
      </c>
      <c r="AX19" t="s">
        <v>69</v>
      </c>
      <c r="AY19" t="s">
        <v>29430</v>
      </c>
      <c r="AZ19" t="s">
        <v>29431</v>
      </c>
      <c r="BA19" t="s">
        <v>373</v>
      </c>
      <c r="BB19">
        <v>2008</v>
      </c>
      <c r="BC19">
        <v>5</v>
      </c>
      <c r="BD19">
        <v>1</v>
      </c>
      <c r="BE19" t="s">
        <v>69</v>
      </c>
      <c r="BF19" t="s">
        <v>69</v>
      </c>
      <c r="BG19" t="s">
        <v>69</v>
      </c>
      <c r="BH19" t="s">
        <v>69</v>
      </c>
      <c r="BI19">
        <v>158</v>
      </c>
      <c r="BJ19">
        <v>168</v>
      </c>
      <c r="BK19" t="s">
        <v>69</v>
      </c>
      <c r="BL19" t="s">
        <v>3690</v>
      </c>
      <c r="BM19" t="str">
        <f>HYPERLINK("http://dx.doi.org/10.1123/jpah.5.1.158","http://dx.doi.org/10.1123/jpah.5.1.158")</f>
        <v>http://dx.doi.org/10.1123/jpah.5.1.158</v>
      </c>
      <c r="BN19" t="s">
        <v>69</v>
      </c>
      <c r="BO19" t="s">
        <v>69</v>
      </c>
      <c r="BP19">
        <v>11</v>
      </c>
      <c r="BQ19" t="s">
        <v>8810</v>
      </c>
      <c r="BR19" t="s">
        <v>8661</v>
      </c>
      <c r="BS19" t="s">
        <v>8810</v>
      </c>
      <c r="BT19" t="s">
        <v>29432</v>
      </c>
      <c r="BU19" t="s">
        <v>3691</v>
      </c>
      <c r="BV19">
        <v>18209261</v>
      </c>
      <c r="BW19" t="s">
        <v>69</v>
      </c>
      <c r="BX19" t="s">
        <v>69</v>
      </c>
      <c r="BY19" t="s">
        <v>69</v>
      </c>
      <c r="BZ19" t="s">
        <v>8526</v>
      </c>
      <c r="CA19" t="str">
        <f>HYPERLINK("https%3A%2F%2Fwww.webofscience.com%2Fwos%2Fwoscc%2Ffull-record%2FWOS:000208015100013","View Full Record in Web of Science")</f>
        <v>View Full Record in Web of Science</v>
      </c>
    </row>
    <row r="20" spans="1:79" ht="12.5" x14ac:dyDescent="0.25">
      <c r="B20" t="s">
        <v>8495</v>
      </c>
      <c r="D20" s="22" t="s">
        <v>32931</v>
      </c>
      <c r="E20" s="7"/>
      <c r="F20" s="7"/>
      <c r="G20" s="7"/>
      <c r="H20" t="s">
        <v>67</v>
      </c>
      <c r="I20" t="s">
        <v>26086</v>
      </c>
      <c r="J20" t="s">
        <v>69</v>
      </c>
      <c r="K20" t="s">
        <v>69</v>
      </c>
      <c r="L20" t="s">
        <v>69</v>
      </c>
      <c r="M20" t="s">
        <v>26087</v>
      </c>
      <c r="N20" t="s">
        <v>69</v>
      </c>
      <c r="O20" t="s">
        <v>69</v>
      </c>
      <c r="P20" t="s">
        <v>26088</v>
      </c>
      <c r="Q20" t="s">
        <v>26089</v>
      </c>
      <c r="R20" t="s">
        <v>69</v>
      </c>
      <c r="S20" t="s">
        <v>69</v>
      </c>
      <c r="T20" t="s">
        <v>8505</v>
      </c>
      <c r="U20" t="s">
        <v>8506</v>
      </c>
      <c r="V20" t="s">
        <v>69</v>
      </c>
      <c r="W20" t="s">
        <v>69</v>
      </c>
      <c r="X20" t="s">
        <v>69</v>
      </c>
      <c r="Y20" t="s">
        <v>69</v>
      </c>
      <c r="Z20" t="s">
        <v>69</v>
      </c>
      <c r="AA20" t="s">
        <v>26090</v>
      </c>
      <c r="AB20" t="s">
        <v>26091</v>
      </c>
      <c r="AC20" t="s">
        <v>26092</v>
      </c>
      <c r="AD20" t="s">
        <v>26093</v>
      </c>
      <c r="AE20" t="s">
        <v>69</v>
      </c>
      <c r="AF20" t="s">
        <v>26094</v>
      </c>
      <c r="AG20" t="s">
        <v>26095</v>
      </c>
      <c r="AH20" t="s">
        <v>26096</v>
      </c>
      <c r="AI20" t="s">
        <v>26097</v>
      </c>
      <c r="AJ20" t="s">
        <v>69</v>
      </c>
      <c r="AK20" t="s">
        <v>69</v>
      </c>
      <c r="AL20" t="s">
        <v>69</v>
      </c>
      <c r="AM20" t="s">
        <v>69</v>
      </c>
      <c r="AN20">
        <v>64</v>
      </c>
      <c r="AO20">
        <v>2</v>
      </c>
      <c r="AP20">
        <v>2</v>
      </c>
      <c r="AQ20">
        <v>0</v>
      </c>
      <c r="AR20">
        <v>0</v>
      </c>
      <c r="AS20" t="s">
        <v>8563</v>
      </c>
      <c r="AT20" t="s">
        <v>8564</v>
      </c>
      <c r="AU20" t="s">
        <v>8565</v>
      </c>
      <c r="AV20" t="s">
        <v>26098</v>
      </c>
      <c r="AW20" t="s">
        <v>26099</v>
      </c>
      <c r="AX20" t="s">
        <v>69</v>
      </c>
      <c r="AY20" t="s">
        <v>26100</v>
      </c>
      <c r="AZ20" t="s">
        <v>26101</v>
      </c>
      <c r="BA20" t="s">
        <v>246</v>
      </c>
      <c r="BB20">
        <v>2012</v>
      </c>
      <c r="BC20">
        <v>2</v>
      </c>
      <c r="BD20">
        <v>1</v>
      </c>
      <c r="BE20" t="s">
        <v>69</v>
      </c>
      <c r="BF20" t="s">
        <v>69</v>
      </c>
      <c r="BG20" t="s">
        <v>69</v>
      </c>
      <c r="BH20" t="s">
        <v>69</v>
      </c>
      <c r="BI20">
        <v>63</v>
      </c>
      <c r="BJ20">
        <v>79</v>
      </c>
      <c r="BK20" t="s">
        <v>69</v>
      </c>
      <c r="BL20" t="s">
        <v>26102</v>
      </c>
      <c r="BM20" t="str">
        <f>HYPERLINK("http://dx.doi.org/10.1007/s12553-012-0018-3","http://dx.doi.org/10.1007/s12553-012-0018-3")</f>
        <v>http://dx.doi.org/10.1007/s12553-012-0018-3</v>
      </c>
      <c r="BN20" t="s">
        <v>69</v>
      </c>
      <c r="BO20" t="s">
        <v>69</v>
      </c>
      <c r="BP20">
        <v>17</v>
      </c>
      <c r="BQ20" t="s">
        <v>26103</v>
      </c>
      <c r="BR20" t="s">
        <v>8573</v>
      </c>
      <c r="BS20" t="s">
        <v>26103</v>
      </c>
      <c r="BT20" t="s">
        <v>26104</v>
      </c>
      <c r="BU20" t="s">
        <v>26105</v>
      </c>
      <c r="BV20" t="s">
        <v>69</v>
      </c>
      <c r="BW20" t="s">
        <v>69</v>
      </c>
      <c r="BX20" t="s">
        <v>69</v>
      </c>
      <c r="BY20" t="s">
        <v>69</v>
      </c>
      <c r="BZ20" t="s">
        <v>8526</v>
      </c>
      <c r="CA20" t="str">
        <f>HYPERLINK("https%3A%2F%2Fwww.webofscience.com%2Fwos%2Fwoscc%2Ffull-record%2FWOS:000218825700007","View Full Record in Web of Science")</f>
        <v>View Full Record in Web of Science</v>
      </c>
    </row>
    <row r="21" spans="1:79" x14ac:dyDescent="0.3">
      <c r="A21" s="7" t="s">
        <v>8408</v>
      </c>
      <c r="B21" t="s">
        <v>8495</v>
      </c>
      <c r="E21" s="7"/>
      <c r="F21" s="7"/>
      <c r="G21" s="7"/>
      <c r="H21" t="s">
        <v>67</v>
      </c>
      <c r="I21" t="s">
        <v>6000</v>
      </c>
      <c r="J21" t="s">
        <v>69</v>
      </c>
      <c r="K21" t="s">
        <v>69</v>
      </c>
      <c r="L21" t="s">
        <v>69</v>
      </c>
      <c r="M21" t="s">
        <v>6000</v>
      </c>
      <c r="N21" t="s">
        <v>69</v>
      </c>
      <c r="O21" t="s">
        <v>69</v>
      </c>
      <c r="P21" t="s">
        <v>6001</v>
      </c>
      <c r="Q21" t="s">
        <v>6002</v>
      </c>
      <c r="R21" t="s">
        <v>69</v>
      </c>
      <c r="S21" t="s">
        <v>69</v>
      </c>
      <c r="T21" t="s">
        <v>8505</v>
      </c>
      <c r="U21" t="s">
        <v>8506</v>
      </c>
      <c r="V21" t="s">
        <v>69</v>
      </c>
      <c r="W21" t="s">
        <v>69</v>
      </c>
      <c r="X21" t="s">
        <v>69</v>
      </c>
      <c r="Y21" t="s">
        <v>69</v>
      </c>
      <c r="Z21" t="s">
        <v>69</v>
      </c>
      <c r="AA21" t="s">
        <v>69</v>
      </c>
      <c r="AB21" t="s">
        <v>69</v>
      </c>
      <c r="AC21" t="s">
        <v>6003</v>
      </c>
      <c r="AD21" t="s">
        <v>69</v>
      </c>
      <c r="AE21" t="s">
        <v>69</v>
      </c>
      <c r="AF21" t="s">
        <v>32265</v>
      </c>
      <c r="AG21" t="s">
        <v>69</v>
      </c>
      <c r="AH21" t="s">
        <v>69</v>
      </c>
      <c r="AI21" t="s">
        <v>69</v>
      </c>
      <c r="AJ21" t="s">
        <v>69</v>
      </c>
      <c r="AK21" t="s">
        <v>69</v>
      </c>
      <c r="AL21" t="s">
        <v>69</v>
      </c>
      <c r="AM21" t="s">
        <v>69</v>
      </c>
      <c r="AN21">
        <v>5</v>
      </c>
      <c r="AO21">
        <v>1</v>
      </c>
      <c r="AP21">
        <v>1</v>
      </c>
      <c r="AQ21">
        <v>0</v>
      </c>
      <c r="AR21">
        <v>3</v>
      </c>
      <c r="AS21" t="s">
        <v>32266</v>
      </c>
      <c r="AT21" t="s">
        <v>32267</v>
      </c>
      <c r="AU21" t="s">
        <v>32268</v>
      </c>
      <c r="AV21" t="s">
        <v>6004</v>
      </c>
      <c r="AW21" t="s">
        <v>69</v>
      </c>
      <c r="AX21" t="s">
        <v>69</v>
      </c>
      <c r="AY21" t="s">
        <v>32269</v>
      </c>
      <c r="AZ21" t="s">
        <v>32270</v>
      </c>
      <c r="BA21" t="s">
        <v>586</v>
      </c>
      <c r="BB21">
        <v>1997</v>
      </c>
      <c r="BC21">
        <v>12</v>
      </c>
      <c r="BD21">
        <v>2</v>
      </c>
      <c r="BE21" t="s">
        <v>69</v>
      </c>
      <c r="BF21" t="s">
        <v>69</v>
      </c>
      <c r="BG21" t="s">
        <v>69</v>
      </c>
      <c r="BH21" t="s">
        <v>69</v>
      </c>
      <c r="BI21">
        <v>98</v>
      </c>
      <c r="BJ21">
        <v>102</v>
      </c>
      <c r="BK21" t="s">
        <v>69</v>
      </c>
      <c r="BL21" t="s">
        <v>69</v>
      </c>
      <c r="BM21" t="s">
        <v>69</v>
      </c>
      <c r="BN21" t="s">
        <v>69</v>
      </c>
      <c r="BO21" t="s">
        <v>69</v>
      </c>
      <c r="BP21">
        <v>5</v>
      </c>
      <c r="BQ21" t="s">
        <v>25853</v>
      </c>
      <c r="BR21" t="s">
        <v>8548</v>
      </c>
      <c r="BS21" t="s">
        <v>25854</v>
      </c>
      <c r="BT21" t="s">
        <v>32271</v>
      </c>
      <c r="BU21" t="s">
        <v>6005</v>
      </c>
      <c r="BV21" t="s">
        <v>69</v>
      </c>
      <c r="BW21" t="s">
        <v>69</v>
      </c>
      <c r="BX21" t="s">
        <v>69</v>
      </c>
      <c r="BY21" t="s">
        <v>69</v>
      </c>
      <c r="BZ21" t="s">
        <v>8526</v>
      </c>
      <c r="CA21" t="str">
        <f>HYPERLINK("https%3A%2F%2Fwww.webofscience.com%2Fwos%2Fwoscc%2Ffull-record%2FWOS:A1997XT26800004","View Full Record in Web of Science")</f>
        <v>View Full Record in Web of Science</v>
      </c>
    </row>
    <row r="22" spans="1:79" x14ac:dyDescent="0.3">
      <c r="A22" s="7" t="s">
        <v>8408</v>
      </c>
      <c r="B22" t="s">
        <v>8495</v>
      </c>
      <c r="E22" s="7"/>
      <c r="F22" s="7"/>
      <c r="G22" s="7"/>
      <c r="H22" t="s">
        <v>67</v>
      </c>
      <c r="I22" t="s">
        <v>743</v>
      </c>
      <c r="J22" t="s">
        <v>69</v>
      </c>
      <c r="K22" t="s">
        <v>69</v>
      </c>
      <c r="L22" t="s">
        <v>69</v>
      </c>
      <c r="M22" t="s">
        <v>744</v>
      </c>
      <c r="N22" t="s">
        <v>69</v>
      </c>
      <c r="O22" t="s">
        <v>69</v>
      </c>
      <c r="P22" t="s">
        <v>745</v>
      </c>
      <c r="Q22" t="s">
        <v>215</v>
      </c>
      <c r="R22" t="s">
        <v>69</v>
      </c>
      <c r="S22" t="s">
        <v>69</v>
      </c>
      <c r="T22" t="s">
        <v>8505</v>
      </c>
      <c r="U22" t="s">
        <v>8442</v>
      </c>
      <c r="V22" t="s">
        <v>69</v>
      </c>
      <c r="W22" t="s">
        <v>69</v>
      </c>
      <c r="X22" t="s">
        <v>69</v>
      </c>
      <c r="Y22" t="s">
        <v>69</v>
      </c>
      <c r="Z22" t="s">
        <v>69</v>
      </c>
      <c r="AA22" t="s">
        <v>15232</v>
      </c>
      <c r="AB22" t="s">
        <v>15233</v>
      </c>
      <c r="AC22" t="s">
        <v>746</v>
      </c>
      <c r="AD22" t="s">
        <v>15234</v>
      </c>
      <c r="AE22" t="s">
        <v>69</v>
      </c>
      <c r="AF22" t="s">
        <v>15235</v>
      </c>
      <c r="AG22" t="s">
        <v>15236</v>
      </c>
      <c r="AH22" t="s">
        <v>69</v>
      </c>
      <c r="AI22" t="s">
        <v>69</v>
      </c>
      <c r="AJ22" t="s">
        <v>15237</v>
      </c>
      <c r="AK22" t="s">
        <v>15238</v>
      </c>
      <c r="AL22" t="s">
        <v>15239</v>
      </c>
      <c r="AM22" t="s">
        <v>69</v>
      </c>
      <c r="AN22">
        <v>186</v>
      </c>
      <c r="AO22">
        <v>6</v>
      </c>
      <c r="AP22">
        <v>6</v>
      </c>
      <c r="AQ22">
        <v>6</v>
      </c>
      <c r="AR22">
        <v>17</v>
      </c>
      <c r="AS22" t="s">
        <v>9145</v>
      </c>
      <c r="AT22" t="s">
        <v>8637</v>
      </c>
      <c r="AU22" t="s">
        <v>9146</v>
      </c>
      <c r="AV22" t="s">
        <v>218</v>
      </c>
      <c r="AW22" t="s">
        <v>69</v>
      </c>
      <c r="AX22" t="s">
        <v>69</v>
      </c>
      <c r="AY22" t="s">
        <v>15240</v>
      </c>
      <c r="AZ22" t="s">
        <v>15241</v>
      </c>
      <c r="BA22" t="s">
        <v>586</v>
      </c>
      <c r="BB22">
        <v>2020</v>
      </c>
      <c r="BC22">
        <v>138</v>
      </c>
      <c r="BD22" t="s">
        <v>69</v>
      </c>
      <c r="BE22" t="s">
        <v>69</v>
      </c>
      <c r="BF22" t="s">
        <v>69</v>
      </c>
      <c r="BG22" t="s">
        <v>69</v>
      </c>
      <c r="BH22" t="s">
        <v>69</v>
      </c>
      <c r="BI22" t="s">
        <v>69</v>
      </c>
      <c r="BJ22" t="s">
        <v>69</v>
      </c>
      <c r="BK22">
        <v>100428</v>
      </c>
      <c r="BL22" t="s">
        <v>747</v>
      </c>
      <c r="BM22" t="str">
        <f>HYPERLINK("http://dx.doi.org/10.1016/j.progress.2018.11.001","http://dx.doi.org/10.1016/j.progress.2018.11.001")</f>
        <v>http://dx.doi.org/10.1016/j.progress.2018.11.001</v>
      </c>
      <c r="BN22" t="s">
        <v>69</v>
      </c>
      <c r="BO22" t="s">
        <v>69</v>
      </c>
      <c r="BP22">
        <v>24</v>
      </c>
      <c r="BQ22" t="s">
        <v>15242</v>
      </c>
      <c r="BR22" t="s">
        <v>8661</v>
      </c>
      <c r="BS22" t="s">
        <v>15243</v>
      </c>
      <c r="BT22" t="s">
        <v>15244</v>
      </c>
      <c r="BU22" t="s">
        <v>748</v>
      </c>
      <c r="BV22" t="s">
        <v>69</v>
      </c>
      <c r="BW22" t="s">
        <v>10363</v>
      </c>
      <c r="BX22" t="s">
        <v>69</v>
      </c>
      <c r="BY22" t="s">
        <v>69</v>
      </c>
      <c r="BZ22" t="s">
        <v>8526</v>
      </c>
      <c r="CA22" t="str">
        <f>HYPERLINK("https%3A%2F%2Fwww.webofscience.com%2Fwos%2Fwoscc%2Ffull-record%2FWOS:000536783500001","View Full Record in Web of Science")</f>
        <v>View Full Record in Web of Science</v>
      </c>
    </row>
    <row r="23" spans="1:79" ht="12.5" x14ac:dyDescent="0.25">
      <c r="B23" t="s">
        <v>8495</v>
      </c>
      <c r="D23" s="15" t="s">
        <v>32934</v>
      </c>
      <c r="E23" s="7" t="s">
        <v>33078</v>
      </c>
      <c r="F23" s="7"/>
      <c r="G23" s="7" t="s">
        <v>8490</v>
      </c>
      <c r="H23" t="s">
        <v>67</v>
      </c>
      <c r="I23" t="s">
        <v>24582</v>
      </c>
      <c r="J23" t="s">
        <v>69</v>
      </c>
      <c r="K23" t="s">
        <v>69</v>
      </c>
      <c r="L23" t="s">
        <v>69</v>
      </c>
      <c r="M23" t="s">
        <v>24583</v>
      </c>
      <c r="N23" t="s">
        <v>69</v>
      </c>
      <c r="O23" t="s">
        <v>69</v>
      </c>
      <c r="P23" t="s">
        <v>24584</v>
      </c>
      <c r="Q23" t="s">
        <v>582</v>
      </c>
      <c r="R23" t="s">
        <v>69</v>
      </c>
      <c r="S23" t="s">
        <v>69</v>
      </c>
      <c r="T23" t="s">
        <v>8505</v>
      </c>
      <c r="U23" t="s">
        <v>8506</v>
      </c>
      <c r="V23" t="s">
        <v>69</v>
      </c>
      <c r="W23" t="s">
        <v>69</v>
      </c>
      <c r="X23" t="s">
        <v>69</v>
      </c>
      <c r="Y23" t="s">
        <v>69</v>
      </c>
      <c r="Z23" t="s">
        <v>69</v>
      </c>
      <c r="AA23" t="s">
        <v>24585</v>
      </c>
      <c r="AB23" t="s">
        <v>24586</v>
      </c>
      <c r="AC23" t="s">
        <v>24587</v>
      </c>
      <c r="AD23" t="s">
        <v>24588</v>
      </c>
      <c r="AE23" t="s">
        <v>69</v>
      </c>
      <c r="AF23" t="s">
        <v>24589</v>
      </c>
      <c r="AG23" t="s">
        <v>24590</v>
      </c>
      <c r="AH23" t="s">
        <v>69</v>
      </c>
      <c r="AI23" t="s">
        <v>24591</v>
      </c>
      <c r="AJ23" t="s">
        <v>69</v>
      </c>
      <c r="AK23" t="s">
        <v>69</v>
      </c>
      <c r="AL23" t="s">
        <v>69</v>
      </c>
      <c r="AM23" t="s">
        <v>69</v>
      </c>
      <c r="AN23">
        <v>67</v>
      </c>
      <c r="AO23">
        <v>31</v>
      </c>
      <c r="AP23">
        <v>34</v>
      </c>
      <c r="AQ23">
        <v>1</v>
      </c>
      <c r="AR23">
        <v>41</v>
      </c>
      <c r="AS23" t="s">
        <v>8692</v>
      </c>
      <c r="AT23" t="s">
        <v>8693</v>
      </c>
      <c r="AU23" t="s">
        <v>18139</v>
      </c>
      <c r="AV23" t="s">
        <v>584</v>
      </c>
      <c r="AW23" t="s">
        <v>69</v>
      </c>
      <c r="AX23" t="s">
        <v>69</v>
      </c>
      <c r="AY23" t="s">
        <v>8695</v>
      </c>
      <c r="AZ23" t="s">
        <v>8696</v>
      </c>
      <c r="BA23" t="s">
        <v>274</v>
      </c>
      <c r="BB23">
        <v>2013</v>
      </c>
      <c r="BC23">
        <v>43</v>
      </c>
      <c r="BD23" t="s">
        <v>69</v>
      </c>
      <c r="BE23" t="s">
        <v>69</v>
      </c>
      <c r="BF23" t="s">
        <v>69</v>
      </c>
      <c r="BG23" t="s">
        <v>69</v>
      </c>
      <c r="BH23" t="s">
        <v>69</v>
      </c>
      <c r="BI23">
        <v>31</v>
      </c>
      <c r="BJ23">
        <v>39</v>
      </c>
      <c r="BK23" t="s">
        <v>69</v>
      </c>
      <c r="BL23" t="s">
        <v>24592</v>
      </c>
      <c r="BM23" t="str">
        <f>HYPERLINK("http://dx.doi.org/10.1016/j.eiar.2013.05.001","http://dx.doi.org/10.1016/j.eiar.2013.05.001")</f>
        <v>http://dx.doi.org/10.1016/j.eiar.2013.05.001</v>
      </c>
      <c r="BN23" t="s">
        <v>69</v>
      </c>
      <c r="BO23" t="s">
        <v>69</v>
      </c>
      <c r="BP23">
        <v>9</v>
      </c>
      <c r="BQ23" t="s">
        <v>8660</v>
      </c>
      <c r="BR23" t="s">
        <v>8661</v>
      </c>
      <c r="BS23" t="s">
        <v>8662</v>
      </c>
      <c r="BT23" t="s">
        <v>24593</v>
      </c>
      <c r="BU23" t="s">
        <v>24594</v>
      </c>
      <c r="BV23" t="s">
        <v>69</v>
      </c>
      <c r="BW23" t="s">
        <v>69</v>
      </c>
      <c r="BX23" t="s">
        <v>69</v>
      </c>
      <c r="BY23" t="s">
        <v>69</v>
      </c>
      <c r="BZ23" t="s">
        <v>8526</v>
      </c>
      <c r="CA23" t="str">
        <f>HYPERLINK("https%3A%2F%2Fwww.webofscience.com%2Fwos%2Fwoscc%2Ffull-record%2FWOS:000324970500004","View Full Record in Web of Science")</f>
        <v>View Full Record in Web of Science</v>
      </c>
    </row>
    <row r="24" spans="1:79" x14ac:dyDescent="0.3">
      <c r="A24" s="7" t="s">
        <v>8408</v>
      </c>
      <c r="B24" t="s">
        <v>8495</v>
      </c>
      <c r="E24" s="7"/>
      <c r="F24" s="7"/>
      <c r="G24" s="7"/>
      <c r="H24" t="s">
        <v>67</v>
      </c>
      <c r="I24" t="s">
        <v>2454</v>
      </c>
      <c r="J24" t="s">
        <v>69</v>
      </c>
      <c r="K24" t="s">
        <v>69</v>
      </c>
      <c r="L24" t="s">
        <v>69</v>
      </c>
      <c r="M24" t="s">
        <v>2455</v>
      </c>
      <c r="N24" t="s">
        <v>69</v>
      </c>
      <c r="O24" t="s">
        <v>69</v>
      </c>
      <c r="P24" t="s">
        <v>2456</v>
      </c>
      <c r="Q24" t="s">
        <v>2457</v>
      </c>
      <c r="R24" t="s">
        <v>69</v>
      </c>
      <c r="S24" t="s">
        <v>69</v>
      </c>
      <c r="T24" t="s">
        <v>8505</v>
      </c>
      <c r="U24" t="s">
        <v>8506</v>
      </c>
      <c r="V24" t="s">
        <v>69</v>
      </c>
      <c r="W24" t="s">
        <v>69</v>
      </c>
      <c r="X24" t="s">
        <v>69</v>
      </c>
      <c r="Y24" t="s">
        <v>69</v>
      </c>
      <c r="Z24" t="s">
        <v>69</v>
      </c>
      <c r="AA24" t="s">
        <v>19571</v>
      </c>
      <c r="AB24" t="s">
        <v>19572</v>
      </c>
      <c r="AC24" t="s">
        <v>2458</v>
      </c>
      <c r="AD24" t="s">
        <v>19573</v>
      </c>
      <c r="AE24" t="s">
        <v>69</v>
      </c>
      <c r="AF24" t="s">
        <v>19574</v>
      </c>
      <c r="AG24" t="s">
        <v>19361</v>
      </c>
      <c r="AH24" t="s">
        <v>69</v>
      </c>
      <c r="AI24" t="s">
        <v>19575</v>
      </c>
      <c r="AJ24" t="s">
        <v>69</v>
      </c>
      <c r="AK24" t="s">
        <v>69</v>
      </c>
      <c r="AL24" t="s">
        <v>69</v>
      </c>
      <c r="AM24" t="s">
        <v>69</v>
      </c>
      <c r="AN24">
        <v>76</v>
      </c>
      <c r="AO24">
        <v>95</v>
      </c>
      <c r="AP24">
        <v>97</v>
      </c>
      <c r="AQ24">
        <v>4</v>
      </c>
      <c r="AR24">
        <v>93</v>
      </c>
      <c r="AS24" t="s">
        <v>8611</v>
      </c>
      <c r="AT24" t="s">
        <v>8612</v>
      </c>
      <c r="AU24" t="s">
        <v>8613</v>
      </c>
      <c r="AV24" t="s">
        <v>2459</v>
      </c>
      <c r="AW24" t="s">
        <v>2460</v>
      </c>
      <c r="AX24" t="s">
        <v>69</v>
      </c>
      <c r="AY24" t="s">
        <v>19576</v>
      </c>
      <c r="AZ24" t="s">
        <v>19577</v>
      </c>
      <c r="BA24" t="s">
        <v>69</v>
      </c>
      <c r="BB24">
        <v>2018</v>
      </c>
      <c r="BC24">
        <v>56</v>
      </c>
      <c r="BD24" t="s">
        <v>336</v>
      </c>
      <c r="BE24" t="s">
        <v>69</v>
      </c>
      <c r="BF24" t="s">
        <v>69</v>
      </c>
      <c r="BG24" t="s">
        <v>114</v>
      </c>
      <c r="BH24" t="s">
        <v>69</v>
      </c>
      <c r="BI24">
        <v>312</v>
      </c>
      <c r="BJ24">
        <v>332</v>
      </c>
      <c r="BK24" t="s">
        <v>69</v>
      </c>
      <c r="BL24" t="s">
        <v>2461</v>
      </c>
      <c r="BM24" t="str">
        <f>HYPERLINK("http://dx.doi.org/10.1080/00207543.2017.1395522","http://dx.doi.org/10.1080/00207543.2017.1395522")</f>
        <v>http://dx.doi.org/10.1080/00207543.2017.1395522</v>
      </c>
      <c r="BN24" t="s">
        <v>69</v>
      </c>
      <c r="BO24" t="s">
        <v>69</v>
      </c>
      <c r="BP24">
        <v>21</v>
      </c>
      <c r="BQ24" t="s">
        <v>19578</v>
      </c>
      <c r="BR24" t="s">
        <v>8523</v>
      </c>
      <c r="BS24" t="s">
        <v>13011</v>
      </c>
      <c r="BT24" t="s">
        <v>19579</v>
      </c>
      <c r="BU24" t="s">
        <v>2462</v>
      </c>
      <c r="BV24" t="s">
        <v>69</v>
      </c>
      <c r="BW24" t="s">
        <v>69</v>
      </c>
      <c r="BX24" t="s">
        <v>69</v>
      </c>
      <c r="BY24" t="s">
        <v>69</v>
      </c>
      <c r="BZ24" t="s">
        <v>8526</v>
      </c>
      <c r="CA24" t="str">
        <f>HYPERLINK("https%3A%2F%2Fwww.webofscience.com%2Fwos%2Fwoscc%2Ffull-record%2FWOS:000428859200019","View Full Record in Web of Science")</f>
        <v>View Full Record in Web of Science</v>
      </c>
    </row>
    <row r="25" spans="1:79" x14ac:dyDescent="0.3">
      <c r="A25" s="7" t="s">
        <v>8408</v>
      </c>
      <c r="B25" t="s">
        <v>8495</v>
      </c>
      <c r="E25" s="7"/>
      <c r="F25" s="7"/>
      <c r="G25" s="7"/>
      <c r="H25" t="s">
        <v>67</v>
      </c>
      <c r="I25" t="s">
        <v>1875</v>
      </c>
      <c r="J25" t="s">
        <v>69</v>
      </c>
      <c r="K25" t="s">
        <v>69</v>
      </c>
      <c r="L25" t="s">
        <v>69</v>
      </c>
      <c r="M25" t="s">
        <v>1876</v>
      </c>
      <c r="N25" t="s">
        <v>69</v>
      </c>
      <c r="O25" t="s">
        <v>69</v>
      </c>
      <c r="P25" t="s">
        <v>1877</v>
      </c>
      <c r="Q25" t="s">
        <v>1878</v>
      </c>
      <c r="R25" t="s">
        <v>69</v>
      </c>
      <c r="S25" t="s">
        <v>69</v>
      </c>
      <c r="T25" t="s">
        <v>8505</v>
      </c>
      <c r="U25" t="s">
        <v>8506</v>
      </c>
      <c r="V25" t="s">
        <v>69</v>
      </c>
      <c r="W25" t="s">
        <v>69</v>
      </c>
      <c r="X25" t="s">
        <v>69</v>
      </c>
      <c r="Y25" t="s">
        <v>69</v>
      </c>
      <c r="Z25" t="s">
        <v>69</v>
      </c>
      <c r="AA25" t="s">
        <v>14246</v>
      </c>
      <c r="AB25" t="s">
        <v>14247</v>
      </c>
      <c r="AC25" t="s">
        <v>1879</v>
      </c>
      <c r="AD25" t="s">
        <v>14248</v>
      </c>
      <c r="AE25" t="s">
        <v>69</v>
      </c>
      <c r="AF25" t="s">
        <v>14249</v>
      </c>
      <c r="AG25" t="s">
        <v>14250</v>
      </c>
      <c r="AH25" t="s">
        <v>69</v>
      </c>
      <c r="AI25" t="s">
        <v>1880</v>
      </c>
      <c r="AJ25" t="s">
        <v>14251</v>
      </c>
      <c r="AK25" t="s">
        <v>14251</v>
      </c>
      <c r="AL25" t="s">
        <v>14252</v>
      </c>
      <c r="AM25" t="s">
        <v>69</v>
      </c>
      <c r="AN25">
        <v>76</v>
      </c>
      <c r="AO25">
        <v>4</v>
      </c>
      <c r="AP25">
        <v>4</v>
      </c>
      <c r="AQ25">
        <v>0</v>
      </c>
      <c r="AR25">
        <v>1</v>
      </c>
      <c r="AS25" t="s">
        <v>8563</v>
      </c>
      <c r="AT25" t="s">
        <v>8564</v>
      </c>
      <c r="AU25" t="s">
        <v>8565</v>
      </c>
      <c r="AV25" t="s">
        <v>1881</v>
      </c>
      <c r="AW25" t="s">
        <v>1882</v>
      </c>
      <c r="AX25" t="s">
        <v>69</v>
      </c>
      <c r="AY25" t="s">
        <v>14253</v>
      </c>
      <c r="AZ25" t="s">
        <v>14254</v>
      </c>
      <c r="BA25" t="s">
        <v>381</v>
      </c>
      <c r="BB25">
        <v>2021</v>
      </c>
      <c r="BC25">
        <v>34</v>
      </c>
      <c r="BD25">
        <v>3</v>
      </c>
      <c r="BE25" t="s">
        <v>69</v>
      </c>
      <c r="BF25" t="s">
        <v>69</v>
      </c>
      <c r="BG25" t="s">
        <v>69</v>
      </c>
      <c r="BH25" t="s">
        <v>69</v>
      </c>
      <c r="BI25">
        <v>345</v>
      </c>
      <c r="BJ25">
        <v>370</v>
      </c>
      <c r="BK25" t="s">
        <v>69</v>
      </c>
      <c r="BL25" t="s">
        <v>1883</v>
      </c>
      <c r="BM25" t="str">
        <f>HYPERLINK("http://dx.doi.org/10.1007/s13563-020-00240-5","http://dx.doi.org/10.1007/s13563-020-00240-5")</f>
        <v>http://dx.doi.org/10.1007/s13563-020-00240-5</v>
      </c>
      <c r="BN25" t="s">
        <v>69</v>
      </c>
      <c r="BO25" t="s">
        <v>683</v>
      </c>
      <c r="BP25">
        <v>26</v>
      </c>
      <c r="BQ25" t="s">
        <v>9726</v>
      </c>
      <c r="BR25" t="s">
        <v>8573</v>
      </c>
      <c r="BS25" t="s">
        <v>8594</v>
      </c>
      <c r="BT25" t="s">
        <v>14255</v>
      </c>
      <c r="BU25" t="s">
        <v>1884</v>
      </c>
      <c r="BV25" t="s">
        <v>69</v>
      </c>
      <c r="BW25" t="s">
        <v>69</v>
      </c>
      <c r="BX25" t="s">
        <v>69</v>
      </c>
      <c r="BY25" t="s">
        <v>69</v>
      </c>
      <c r="BZ25" t="s">
        <v>8526</v>
      </c>
      <c r="CA25" t="str">
        <f>HYPERLINK("https%3A%2F%2Fwww.webofscience.com%2Fwos%2Fwoscc%2Ffull-record%2FWOS:000573438900001","View Full Record in Web of Science")</f>
        <v>View Full Record in Web of Science</v>
      </c>
    </row>
    <row r="26" spans="1:79" x14ac:dyDescent="0.3">
      <c r="A26" s="7" t="s">
        <v>8408</v>
      </c>
      <c r="B26" t="s">
        <v>8495</v>
      </c>
      <c r="E26" s="7"/>
      <c r="F26" s="7"/>
      <c r="G26" s="7"/>
      <c r="H26" t="s">
        <v>67</v>
      </c>
      <c r="I26" t="s">
        <v>5666</v>
      </c>
      <c r="J26" t="s">
        <v>69</v>
      </c>
      <c r="K26" t="s">
        <v>69</v>
      </c>
      <c r="L26" t="s">
        <v>69</v>
      </c>
      <c r="M26" t="s">
        <v>5667</v>
      </c>
      <c r="N26" t="s">
        <v>69</v>
      </c>
      <c r="O26" t="s">
        <v>69</v>
      </c>
      <c r="P26" t="s">
        <v>5668</v>
      </c>
      <c r="Q26" t="s">
        <v>5669</v>
      </c>
      <c r="R26" t="s">
        <v>69</v>
      </c>
      <c r="S26" t="s">
        <v>69</v>
      </c>
      <c r="T26" t="s">
        <v>8505</v>
      </c>
      <c r="U26" t="s">
        <v>8506</v>
      </c>
      <c r="V26" t="s">
        <v>69</v>
      </c>
      <c r="W26" t="s">
        <v>69</v>
      </c>
      <c r="X26" t="s">
        <v>69</v>
      </c>
      <c r="Y26" t="s">
        <v>69</v>
      </c>
      <c r="Z26" t="s">
        <v>69</v>
      </c>
      <c r="AA26" t="s">
        <v>17873</v>
      </c>
      <c r="AB26" t="s">
        <v>69</v>
      </c>
      <c r="AC26" t="s">
        <v>5670</v>
      </c>
      <c r="AD26" t="s">
        <v>17874</v>
      </c>
      <c r="AE26" t="s">
        <v>69</v>
      </c>
      <c r="AF26" t="s">
        <v>17875</v>
      </c>
      <c r="AG26" t="s">
        <v>69</v>
      </c>
      <c r="AH26" t="s">
        <v>69</v>
      </c>
      <c r="AI26" t="s">
        <v>69</v>
      </c>
      <c r="AJ26" t="s">
        <v>69</v>
      </c>
      <c r="AK26" t="s">
        <v>69</v>
      </c>
      <c r="AL26" t="s">
        <v>69</v>
      </c>
      <c r="AM26" t="s">
        <v>69</v>
      </c>
      <c r="AN26">
        <v>44</v>
      </c>
      <c r="AO26">
        <v>0</v>
      </c>
      <c r="AP26">
        <v>0</v>
      </c>
      <c r="AQ26">
        <v>1</v>
      </c>
      <c r="AR26">
        <v>5</v>
      </c>
      <c r="AS26" t="s">
        <v>17876</v>
      </c>
      <c r="AT26" t="s">
        <v>16204</v>
      </c>
      <c r="AU26" t="s">
        <v>17877</v>
      </c>
      <c r="AV26" t="s">
        <v>5671</v>
      </c>
      <c r="AW26" t="s">
        <v>5672</v>
      </c>
      <c r="AX26" t="s">
        <v>69</v>
      </c>
      <c r="AY26" t="s">
        <v>17878</v>
      </c>
      <c r="AZ26" t="s">
        <v>17879</v>
      </c>
      <c r="BA26" t="s">
        <v>2512</v>
      </c>
      <c r="BB26">
        <v>2019</v>
      </c>
      <c r="BC26">
        <v>14</v>
      </c>
      <c r="BD26">
        <v>1</v>
      </c>
      <c r="BE26" t="s">
        <v>69</v>
      </c>
      <c r="BF26" t="s">
        <v>69</v>
      </c>
      <c r="BG26" t="s">
        <v>69</v>
      </c>
      <c r="BH26" t="s">
        <v>69</v>
      </c>
      <c r="BI26">
        <v>29</v>
      </c>
      <c r="BJ26">
        <v>50</v>
      </c>
      <c r="BK26" t="s">
        <v>69</v>
      </c>
      <c r="BL26" t="s">
        <v>5673</v>
      </c>
      <c r="BM26" t="str">
        <f>HYPERLINK("http://dx.doi.org/10.11156/aibr.140103","http://dx.doi.org/10.11156/aibr.140103")</f>
        <v>http://dx.doi.org/10.11156/aibr.140103</v>
      </c>
      <c r="BN26" t="s">
        <v>69</v>
      </c>
      <c r="BO26" t="s">
        <v>69</v>
      </c>
      <c r="BP26">
        <v>22</v>
      </c>
      <c r="BQ26" t="s">
        <v>8463</v>
      </c>
      <c r="BR26" t="s">
        <v>8661</v>
      </c>
      <c r="BS26" t="s">
        <v>8463</v>
      </c>
      <c r="BT26" t="s">
        <v>17880</v>
      </c>
      <c r="BU26" t="s">
        <v>5674</v>
      </c>
      <c r="BV26" t="s">
        <v>69</v>
      </c>
      <c r="BW26" t="s">
        <v>8931</v>
      </c>
      <c r="BX26" t="s">
        <v>69</v>
      </c>
      <c r="BY26" t="s">
        <v>69</v>
      </c>
      <c r="BZ26" t="s">
        <v>8526</v>
      </c>
      <c r="CA26" t="str">
        <f>HYPERLINK("https%3A%2F%2Fwww.webofscience.com%2Fwos%2Fwoscc%2Ffull-record%2FWOS:000458203700003","View Full Record in Web of Science")</f>
        <v>View Full Record in Web of Science</v>
      </c>
    </row>
    <row r="27" spans="1:79" ht="12.5" x14ac:dyDescent="0.25">
      <c r="B27" t="s">
        <v>8495</v>
      </c>
      <c r="D27" s="22" t="s">
        <v>32931</v>
      </c>
      <c r="E27" s="7"/>
      <c r="F27" s="7"/>
      <c r="G27" s="7"/>
      <c r="H27" t="s">
        <v>67</v>
      </c>
      <c r="I27" t="s">
        <v>8933</v>
      </c>
      <c r="J27" t="s">
        <v>69</v>
      </c>
      <c r="K27" t="s">
        <v>69</v>
      </c>
      <c r="L27" t="s">
        <v>69</v>
      </c>
      <c r="M27" t="s">
        <v>8934</v>
      </c>
      <c r="N27" t="s">
        <v>69</v>
      </c>
      <c r="O27" t="s">
        <v>69</v>
      </c>
      <c r="P27" t="s">
        <v>8935</v>
      </c>
      <c r="Q27" t="s">
        <v>8256</v>
      </c>
      <c r="R27" t="s">
        <v>69</v>
      </c>
      <c r="S27" t="s">
        <v>69</v>
      </c>
      <c r="T27" t="s">
        <v>8505</v>
      </c>
      <c r="U27" t="s">
        <v>8506</v>
      </c>
      <c r="V27" t="s">
        <v>69</v>
      </c>
      <c r="W27" t="s">
        <v>69</v>
      </c>
      <c r="X27" t="s">
        <v>69</v>
      </c>
      <c r="Y27" t="s">
        <v>69</v>
      </c>
      <c r="Z27" t="s">
        <v>69</v>
      </c>
      <c r="AA27" t="s">
        <v>8936</v>
      </c>
      <c r="AB27" t="s">
        <v>8937</v>
      </c>
      <c r="AC27" t="s">
        <v>8938</v>
      </c>
      <c r="AD27" t="s">
        <v>8939</v>
      </c>
      <c r="AE27" t="s">
        <v>69</v>
      </c>
      <c r="AF27" t="s">
        <v>8940</v>
      </c>
      <c r="AG27" t="s">
        <v>8941</v>
      </c>
      <c r="AH27" t="s">
        <v>69</v>
      </c>
      <c r="AI27" t="s">
        <v>8942</v>
      </c>
      <c r="AJ27" t="s">
        <v>8943</v>
      </c>
      <c r="AK27" t="s">
        <v>8944</v>
      </c>
      <c r="AL27" t="s">
        <v>8945</v>
      </c>
      <c r="AM27" t="s">
        <v>69</v>
      </c>
      <c r="AN27">
        <v>149</v>
      </c>
      <c r="AO27">
        <v>0</v>
      </c>
      <c r="AP27">
        <v>0</v>
      </c>
      <c r="AQ27">
        <v>2</v>
      </c>
      <c r="AR27">
        <v>2</v>
      </c>
      <c r="AS27" t="s">
        <v>8924</v>
      </c>
      <c r="AT27" t="s">
        <v>8925</v>
      </c>
      <c r="AU27" t="s">
        <v>8926</v>
      </c>
      <c r="AV27" t="s">
        <v>69</v>
      </c>
      <c r="AW27" t="s">
        <v>8258</v>
      </c>
      <c r="AX27" t="s">
        <v>69</v>
      </c>
      <c r="AY27" t="s">
        <v>8927</v>
      </c>
      <c r="AZ27" t="s">
        <v>8928</v>
      </c>
      <c r="BA27" t="s">
        <v>155</v>
      </c>
      <c r="BB27">
        <v>2022</v>
      </c>
      <c r="BC27">
        <v>11</v>
      </c>
      <c r="BD27">
        <v>6</v>
      </c>
      <c r="BE27" t="s">
        <v>69</v>
      </c>
      <c r="BF27" t="s">
        <v>69</v>
      </c>
      <c r="BG27" t="s">
        <v>69</v>
      </c>
      <c r="BH27" t="s">
        <v>69</v>
      </c>
      <c r="BI27" t="s">
        <v>69</v>
      </c>
      <c r="BJ27" t="s">
        <v>69</v>
      </c>
      <c r="BK27">
        <v>942</v>
      </c>
      <c r="BL27" t="s">
        <v>8946</v>
      </c>
      <c r="BM27" t="str">
        <f>HYPERLINK("http://dx.doi.org/10.3390/land11060942","http://dx.doi.org/10.3390/land11060942")</f>
        <v>http://dx.doi.org/10.3390/land11060942</v>
      </c>
      <c r="BN27" t="s">
        <v>69</v>
      </c>
      <c r="BO27" t="s">
        <v>69</v>
      </c>
      <c r="BP27">
        <v>31</v>
      </c>
      <c r="BQ27" t="s">
        <v>8660</v>
      </c>
      <c r="BR27" t="s">
        <v>8661</v>
      </c>
      <c r="BS27" t="s">
        <v>8662</v>
      </c>
      <c r="BT27" t="s">
        <v>8947</v>
      </c>
      <c r="BU27" t="s">
        <v>8948</v>
      </c>
      <c r="BV27" t="s">
        <v>69</v>
      </c>
      <c r="BW27" t="s">
        <v>8931</v>
      </c>
      <c r="BX27" t="s">
        <v>69</v>
      </c>
      <c r="BY27" t="s">
        <v>69</v>
      </c>
      <c r="BZ27" t="s">
        <v>8526</v>
      </c>
      <c r="CA27" t="str">
        <f>HYPERLINK("https%3A%2F%2Fwww.webofscience.com%2Fwos%2Fwoscc%2Ffull-record%2FWOS:000816635000001","View Full Record in Web of Science")</f>
        <v>View Full Record in Web of Science</v>
      </c>
    </row>
    <row r="28" spans="1:79" ht="12.5" x14ac:dyDescent="0.25">
      <c r="B28" t="s">
        <v>8495</v>
      </c>
      <c r="D28" s="15" t="s">
        <v>32935</v>
      </c>
      <c r="E28" s="7" t="s">
        <v>33079</v>
      </c>
      <c r="F28" s="7"/>
      <c r="G28" s="7" t="s">
        <v>8490</v>
      </c>
      <c r="H28" t="s">
        <v>67</v>
      </c>
      <c r="I28" t="s">
        <v>31260</v>
      </c>
      <c r="J28" t="s">
        <v>69</v>
      </c>
      <c r="K28" t="s">
        <v>69</v>
      </c>
      <c r="L28" t="s">
        <v>69</v>
      </c>
      <c r="M28" t="s">
        <v>31260</v>
      </c>
      <c r="N28" t="s">
        <v>69</v>
      </c>
      <c r="O28" t="s">
        <v>69</v>
      </c>
      <c r="P28" t="s">
        <v>31261</v>
      </c>
      <c r="Q28" t="s">
        <v>4679</v>
      </c>
      <c r="R28" t="s">
        <v>69</v>
      </c>
      <c r="S28" t="s">
        <v>69</v>
      </c>
      <c r="T28" t="s">
        <v>8505</v>
      </c>
      <c r="U28" t="s">
        <v>8506</v>
      </c>
      <c r="V28" t="s">
        <v>69</v>
      </c>
      <c r="W28" t="s">
        <v>69</v>
      </c>
      <c r="X28" t="s">
        <v>69</v>
      </c>
      <c r="Y28" t="s">
        <v>69</v>
      </c>
      <c r="Z28" t="s">
        <v>69</v>
      </c>
      <c r="AA28" t="s">
        <v>31262</v>
      </c>
      <c r="AB28" t="s">
        <v>69</v>
      </c>
      <c r="AC28" t="s">
        <v>31263</v>
      </c>
      <c r="AD28" t="s">
        <v>31264</v>
      </c>
      <c r="AE28" t="s">
        <v>69</v>
      </c>
      <c r="AF28" t="s">
        <v>69</v>
      </c>
      <c r="AG28" t="s">
        <v>69</v>
      </c>
      <c r="AH28" t="s">
        <v>5705</v>
      </c>
      <c r="AI28" t="s">
        <v>5706</v>
      </c>
      <c r="AJ28" t="s">
        <v>69</v>
      </c>
      <c r="AK28" t="s">
        <v>69</v>
      </c>
      <c r="AL28" t="s">
        <v>69</v>
      </c>
      <c r="AM28" t="s">
        <v>69</v>
      </c>
      <c r="AN28">
        <v>35</v>
      </c>
      <c r="AO28">
        <v>8</v>
      </c>
      <c r="AP28">
        <v>8</v>
      </c>
      <c r="AQ28">
        <v>0</v>
      </c>
      <c r="AR28">
        <v>6</v>
      </c>
      <c r="AS28" t="s">
        <v>31265</v>
      </c>
      <c r="AT28" t="s">
        <v>31266</v>
      </c>
      <c r="AU28" t="s">
        <v>31267</v>
      </c>
      <c r="AV28" t="s">
        <v>4681</v>
      </c>
      <c r="AW28" t="s">
        <v>69</v>
      </c>
      <c r="AX28" t="s">
        <v>69</v>
      </c>
      <c r="AY28" t="s">
        <v>31268</v>
      </c>
      <c r="AZ28" t="s">
        <v>31269</v>
      </c>
      <c r="BA28" t="s">
        <v>94</v>
      </c>
      <c r="BB28">
        <v>2003</v>
      </c>
      <c r="BC28">
        <v>28</v>
      </c>
      <c r="BD28">
        <v>1</v>
      </c>
      <c r="BE28" t="s">
        <v>69</v>
      </c>
      <c r="BF28" t="s">
        <v>69</v>
      </c>
      <c r="BG28" t="s">
        <v>69</v>
      </c>
      <c r="BH28" t="s">
        <v>69</v>
      </c>
      <c r="BI28">
        <v>90</v>
      </c>
      <c r="BJ28">
        <v>102</v>
      </c>
      <c r="BK28" t="s">
        <v>69</v>
      </c>
      <c r="BL28" t="s">
        <v>31270</v>
      </c>
      <c r="BM28" t="str">
        <f>HYPERLINK("http://dx.doi.org/10.1080/02508060308691668","http://dx.doi.org/10.1080/02508060308691668")</f>
        <v>http://dx.doi.org/10.1080/02508060308691668</v>
      </c>
      <c r="BN28" t="s">
        <v>69</v>
      </c>
      <c r="BO28" t="s">
        <v>69</v>
      </c>
      <c r="BP28">
        <v>13</v>
      </c>
      <c r="BQ28" t="s">
        <v>9229</v>
      </c>
      <c r="BR28" t="s">
        <v>8548</v>
      </c>
      <c r="BS28" t="s">
        <v>9230</v>
      </c>
      <c r="BT28" t="s">
        <v>31271</v>
      </c>
      <c r="BU28" t="s">
        <v>31272</v>
      </c>
      <c r="BV28" t="s">
        <v>69</v>
      </c>
      <c r="BW28" t="s">
        <v>69</v>
      </c>
      <c r="BX28" t="s">
        <v>69</v>
      </c>
      <c r="BY28" t="s">
        <v>69</v>
      </c>
      <c r="BZ28" t="s">
        <v>8526</v>
      </c>
      <c r="CA28" t="str">
        <f>HYPERLINK("https%3A%2F%2Fwww.webofscience.com%2Fwos%2Fwoscc%2Ffull-record%2FWOS:000182421800011","View Full Record in Web of Science")</f>
        <v>View Full Record in Web of Science</v>
      </c>
    </row>
    <row r="29" spans="1:79" ht="12.5" x14ac:dyDescent="0.25">
      <c r="B29" t="s">
        <v>8495</v>
      </c>
      <c r="D29" s="22" t="s">
        <v>32931</v>
      </c>
      <c r="E29" s="7"/>
      <c r="F29" s="7"/>
      <c r="G29" s="7"/>
      <c r="H29" t="s">
        <v>67</v>
      </c>
      <c r="I29" t="s">
        <v>17808</v>
      </c>
      <c r="J29" t="s">
        <v>69</v>
      </c>
      <c r="K29" t="s">
        <v>69</v>
      </c>
      <c r="L29" t="s">
        <v>69</v>
      </c>
      <c r="M29" t="s">
        <v>17809</v>
      </c>
      <c r="N29" t="s">
        <v>69</v>
      </c>
      <c r="O29" t="s">
        <v>69</v>
      </c>
      <c r="P29" t="s">
        <v>17810</v>
      </c>
      <c r="Q29" t="s">
        <v>10306</v>
      </c>
      <c r="R29" t="s">
        <v>69</v>
      </c>
      <c r="S29" t="s">
        <v>69</v>
      </c>
      <c r="T29" t="s">
        <v>8505</v>
      </c>
      <c r="U29" t="s">
        <v>8506</v>
      </c>
      <c r="V29" t="s">
        <v>69</v>
      </c>
      <c r="W29" t="s">
        <v>69</v>
      </c>
      <c r="X29" t="s">
        <v>69</v>
      </c>
      <c r="Y29" t="s">
        <v>69</v>
      </c>
      <c r="Z29" t="s">
        <v>69</v>
      </c>
      <c r="AA29" t="s">
        <v>17811</v>
      </c>
      <c r="AB29" t="s">
        <v>17812</v>
      </c>
      <c r="AC29" t="s">
        <v>17813</v>
      </c>
      <c r="AD29" t="s">
        <v>17814</v>
      </c>
      <c r="AE29" t="s">
        <v>69</v>
      </c>
      <c r="AF29" t="s">
        <v>17815</v>
      </c>
      <c r="AG29" t="s">
        <v>17816</v>
      </c>
      <c r="AH29" t="s">
        <v>17817</v>
      </c>
      <c r="AI29" t="s">
        <v>17818</v>
      </c>
      <c r="AJ29" t="s">
        <v>17819</v>
      </c>
      <c r="AK29" t="s">
        <v>17820</v>
      </c>
      <c r="AL29" t="s">
        <v>17821</v>
      </c>
      <c r="AM29" t="s">
        <v>69</v>
      </c>
      <c r="AN29">
        <v>32</v>
      </c>
      <c r="AO29">
        <v>6</v>
      </c>
      <c r="AP29">
        <v>6</v>
      </c>
      <c r="AQ29">
        <v>20</v>
      </c>
      <c r="AR29">
        <v>77</v>
      </c>
      <c r="AS29" t="s">
        <v>10315</v>
      </c>
      <c r="AT29" t="s">
        <v>10316</v>
      </c>
      <c r="AU29" t="s">
        <v>10317</v>
      </c>
      <c r="AV29" t="s">
        <v>10318</v>
      </c>
      <c r="AW29" t="s">
        <v>69</v>
      </c>
      <c r="AX29" t="s">
        <v>69</v>
      </c>
      <c r="AY29" t="s">
        <v>10306</v>
      </c>
      <c r="AZ29" t="s">
        <v>10319</v>
      </c>
      <c r="BA29" t="s">
        <v>69</v>
      </c>
      <c r="BB29">
        <v>2019</v>
      </c>
      <c r="BC29">
        <v>7</v>
      </c>
      <c r="BD29" t="s">
        <v>69</v>
      </c>
      <c r="BE29" t="s">
        <v>69</v>
      </c>
      <c r="BF29" t="s">
        <v>69</v>
      </c>
      <c r="BG29" t="s">
        <v>69</v>
      </c>
      <c r="BH29" t="s">
        <v>69</v>
      </c>
      <c r="BI29">
        <v>50330</v>
      </c>
      <c r="BJ29">
        <v>50338</v>
      </c>
      <c r="BK29" t="s">
        <v>69</v>
      </c>
      <c r="BL29" t="s">
        <v>17822</v>
      </c>
      <c r="BM29" t="str">
        <f>HYPERLINK("http://dx.doi.org/10.1109/ACCESS.2019.2910838","http://dx.doi.org/10.1109/ACCESS.2019.2910838")</f>
        <v>http://dx.doi.org/10.1109/ACCESS.2019.2910838</v>
      </c>
      <c r="BN29" t="s">
        <v>69</v>
      </c>
      <c r="BO29" t="s">
        <v>69</v>
      </c>
      <c r="BP29">
        <v>9</v>
      </c>
      <c r="BQ29" t="s">
        <v>10321</v>
      </c>
      <c r="BR29" t="s">
        <v>8523</v>
      </c>
      <c r="BS29" t="s">
        <v>10322</v>
      </c>
      <c r="BT29" t="s">
        <v>17823</v>
      </c>
      <c r="BU29" t="s">
        <v>17824</v>
      </c>
      <c r="BV29" t="s">
        <v>69</v>
      </c>
      <c r="BW29" t="s">
        <v>8931</v>
      </c>
      <c r="BX29" t="s">
        <v>69</v>
      </c>
      <c r="BY29" t="s">
        <v>69</v>
      </c>
      <c r="BZ29" t="s">
        <v>8526</v>
      </c>
      <c r="CA29" t="str">
        <f>HYPERLINK("https%3A%2F%2Fwww.webofscience.com%2Fwos%2Fwoscc%2Ffull-record%2FWOS:000466771300001","View Full Record in Web of Science")</f>
        <v>View Full Record in Web of Science</v>
      </c>
    </row>
    <row r="30" spans="1:79" ht="12.5" x14ac:dyDescent="0.25">
      <c r="B30" t="s">
        <v>8495</v>
      </c>
      <c r="D30" s="7" t="s">
        <v>32933</v>
      </c>
      <c r="E30" s="7"/>
      <c r="F30" s="7"/>
      <c r="G30" s="7"/>
      <c r="H30" t="s">
        <v>67</v>
      </c>
      <c r="I30" t="s">
        <v>4605</v>
      </c>
      <c r="J30" t="s">
        <v>69</v>
      </c>
      <c r="K30" t="s">
        <v>69</v>
      </c>
      <c r="L30" t="s">
        <v>69</v>
      </c>
      <c r="M30" t="s">
        <v>4605</v>
      </c>
      <c r="N30" t="s">
        <v>69</v>
      </c>
      <c r="O30" t="s">
        <v>69</v>
      </c>
      <c r="P30" t="s">
        <v>4606</v>
      </c>
      <c r="Q30" t="s">
        <v>4607</v>
      </c>
      <c r="R30" t="s">
        <v>69</v>
      </c>
      <c r="S30" t="s">
        <v>69</v>
      </c>
      <c r="T30" t="s">
        <v>8505</v>
      </c>
      <c r="U30" t="s">
        <v>8506</v>
      </c>
      <c r="V30" t="s">
        <v>69</v>
      </c>
      <c r="W30" t="s">
        <v>69</v>
      </c>
      <c r="X30" t="s">
        <v>69</v>
      </c>
      <c r="Y30" t="s">
        <v>69</v>
      </c>
      <c r="Z30" t="s">
        <v>69</v>
      </c>
      <c r="AA30" t="s">
        <v>30589</v>
      </c>
      <c r="AB30" t="s">
        <v>69</v>
      </c>
      <c r="AC30" t="s">
        <v>4608</v>
      </c>
      <c r="AD30" t="s">
        <v>30590</v>
      </c>
      <c r="AE30" t="s">
        <v>69</v>
      </c>
      <c r="AF30" t="s">
        <v>69</v>
      </c>
      <c r="AG30" t="s">
        <v>69</v>
      </c>
      <c r="AH30" t="s">
        <v>69</v>
      </c>
      <c r="AI30" t="s">
        <v>69</v>
      </c>
      <c r="AJ30" t="s">
        <v>69</v>
      </c>
      <c r="AK30" t="s">
        <v>69</v>
      </c>
      <c r="AL30" t="s">
        <v>69</v>
      </c>
      <c r="AM30" t="s">
        <v>69</v>
      </c>
      <c r="AN30">
        <v>11</v>
      </c>
      <c r="AO30">
        <v>5</v>
      </c>
      <c r="AP30">
        <v>5</v>
      </c>
      <c r="AQ30">
        <v>0</v>
      </c>
      <c r="AR30">
        <v>7</v>
      </c>
      <c r="AS30" t="s">
        <v>8846</v>
      </c>
      <c r="AT30" t="s">
        <v>8847</v>
      </c>
      <c r="AU30" t="s">
        <v>8848</v>
      </c>
      <c r="AV30" t="s">
        <v>4609</v>
      </c>
      <c r="AW30" t="s">
        <v>4610</v>
      </c>
      <c r="AX30" t="s">
        <v>69</v>
      </c>
      <c r="AY30" t="s">
        <v>30591</v>
      </c>
      <c r="AZ30" t="s">
        <v>30592</v>
      </c>
      <c r="BA30" t="s">
        <v>75</v>
      </c>
      <c r="BB30">
        <v>2005</v>
      </c>
      <c r="BC30">
        <v>19</v>
      </c>
      <c r="BD30">
        <v>4</v>
      </c>
      <c r="BE30" t="s">
        <v>69</v>
      </c>
      <c r="BF30" t="s">
        <v>69</v>
      </c>
      <c r="BG30" t="s">
        <v>69</v>
      </c>
      <c r="BH30" t="s">
        <v>69</v>
      </c>
      <c r="BI30">
        <v>352</v>
      </c>
      <c r="BJ30">
        <v>360</v>
      </c>
      <c r="BK30" t="s">
        <v>69</v>
      </c>
      <c r="BL30" t="s">
        <v>4611</v>
      </c>
      <c r="BM30" t="str">
        <f>HYPERLINK("http://dx.doi.org/10.1111/j.1747-6593.2005.tb00573.x","http://dx.doi.org/10.1111/j.1747-6593.2005.tb00573.x")</f>
        <v>http://dx.doi.org/10.1111/j.1747-6593.2005.tb00573.x</v>
      </c>
      <c r="BN30" t="s">
        <v>69</v>
      </c>
      <c r="BO30" t="s">
        <v>69</v>
      </c>
      <c r="BP30">
        <v>9</v>
      </c>
      <c r="BQ30" t="s">
        <v>15825</v>
      </c>
      <c r="BR30" t="s">
        <v>8548</v>
      </c>
      <c r="BS30" t="s">
        <v>15826</v>
      </c>
      <c r="BT30" t="s">
        <v>30593</v>
      </c>
      <c r="BU30" t="s">
        <v>4612</v>
      </c>
      <c r="BV30" t="s">
        <v>69</v>
      </c>
      <c r="BW30" t="s">
        <v>69</v>
      </c>
      <c r="BX30" t="s">
        <v>69</v>
      </c>
      <c r="BY30" t="s">
        <v>69</v>
      </c>
      <c r="BZ30" t="s">
        <v>8526</v>
      </c>
      <c r="CA30" t="str">
        <f>HYPERLINK("https%3A%2F%2Fwww.webofscience.com%2Fwos%2Fwoscc%2Ffull-record%2FWOS:000234305100009","View Full Record in Web of Science")</f>
        <v>View Full Record in Web of Science</v>
      </c>
    </row>
    <row r="31" spans="1:79" ht="12.5" x14ac:dyDescent="0.25">
      <c r="B31" t="s">
        <v>8495</v>
      </c>
      <c r="D31" s="22" t="s">
        <v>32931</v>
      </c>
      <c r="E31" s="7"/>
      <c r="F31" s="7"/>
      <c r="G31" s="7"/>
      <c r="H31" t="s">
        <v>67</v>
      </c>
      <c r="I31" t="s">
        <v>22381</v>
      </c>
      <c r="J31" t="s">
        <v>69</v>
      </c>
      <c r="K31" t="s">
        <v>69</v>
      </c>
      <c r="L31" t="s">
        <v>69</v>
      </c>
      <c r="M31" t="s">
        <v>22382</v>
      </c>
      <c r="N31" t="s">
        <v>69</v>
      </c>
      <c r="O31" t="s">
        <v>69</v>
      </c>
      <c r="P31" t="s">
        <v>22383</v>
      </c>
      <c r="Q31" t="s">
        <v>22384</v>
      </c>
      <c r="R31" t="s">
        <v>69</v>
      </c>
      <c r="S31" t="s">
        <v>69</v>
      </c>
      <c r="T31" t="s">
        <v>8505</v>
      </c>
      <c r="U31" t="s">
        <v>8506</v>
      </c>
      <c r="V31" t="s">
        <v>69</v>
      </c>
      <c r="W31" t="s">
        <v>69</v>
      </c>
      <c r="X31" t="s">
        <v>69</v>
      </c>
      <c r="Y31" t="s">
        <v>69</v>
      </c>
      <c r="Z31" t="s">
        <v>69</v>
      </c>
      <c r="AA31" t="s">
        <v>22385</v>
      </c>
      <c r="AB31" t="s">
        <v>69</v>
      </c>
      <c r="AC31" t="s">
        <v>22386</v>
      </c>
      <c r="AD31" t="s">
        <v>22387</v>
      </c>
      <c r="AE31" t="s">
        <v>69</v>
      </c>
      <c r="AF31" t="s">
        <v>22388</v>
      </c>
      <c r="AG31" t="s">
        <v>22389</v>
      </c>
      <c r="AH31" t="s">
        <v>69</v>
      </c>
      <c r="AI31" t="s">
        <v>69</v>
      </c>
      <c r="AJ31" t="s">
        <v>69</v>
      </c>
      <c r="AK31" t="s">
        <v>69</v>
      </c>
      <c r="AL31" t="s">
        <v>69</v>
      </c>
      <c r="AM31" t="s">
        <v>69</v>
      </c>
      <c r="AN31">
        <v>17</v>
      </c>
      <c r="AO31">
        <v>1</v>
      </c>
      <c r="AP31">
        <v>1</v>
      </c>
      <c r="AQ31">
        <v>0</v>
      </c>
      <c r="AR31">
        <v>5</v>
      </c>
      <c r="AS31" t="s">
        <v>22390</v>
      </c>
      <c r="AT31" t="s">
        <v>8763</v>
      </c>
      <c r="AU31" t="s">
        <v>22391</v>
      </c>
      <c r="AV31" t="s">
        <v>22392</v>
      </c>
      <c r="AW31" t="s">
        <v>69</v>
      </c>
      <c r="AX31" t="s">
        <v>69</v>
      </c>
      <c r="AY31" t="s">
        <v>22393</v>
      </c>
      <c r="AZ31" t="s">
        <v>22394</v>
      </c>
      <c r="BA31" t="s">
        <v>274</v>
      </c>
      <c r="BB31">
        <v>2015</v>
      </c>
      <c r="BC31" t="s">
        <v>69</v>
      </c>
      <c r="BD31" t="s">
        <v>69</v>
      </c>
      <c r="BE31" t="s">
        <v>69</v>
      </c>
      <c r="BF31" t="s">
        <v>69</v>
      </c>
      <c r="BG31" t="s">
        <v>69</v>
      </c>
      <c r="BH31" t="s">
        <v>69</v>
      </c>
      <c r="BI31" t="s">
        <v>69</v>
      </c>
      <c r="BJ31" t="s">
        <v>69</v>
      </c>
      <c r="BK31" t="s">
        <v>22395</v>
      </c>
      <c r="BL31" t="s">
        <v>22396</v>
      </c>
      <c r="BM31" t="str">
        <f>HYPERLINK("http://dx.doi.org/10.7717/peerj-cs.29","http://dx.doi.org/10.7717/peerj-cs.29")</f>
        <v>http://dx.doi.org/10.7717/peerj-cs.29</v>
      </c>
      <c r="BN31" t="s">
        <v>69</v>
      </c>
      <c r="BO31" t="s">
        <v>69</v>
      </c>
      <c r="BP31">
        <v>31</v>
      </c>
      <c r="BQ31" t="s">
        <v>22397</v>
      </c>
      <c r="BR31" t="s">
        <v>8573</v>
      </c>
      <c r="BS31" t="s">
        <v>10976</v>
      </c>
      <c r="BT31" t="s">
        <v>22398</v>
      </c>
      <c r="BU31" t="s">
        <v>22399</v>
      </c>
      <c r="BV31" t="s">
        <v>69</v>
      </c>
      <c r="BW31" t="s">
        <v>8931</v>
      </c>
      <c r="BX31" t="s">
        <v>69</v>
      </c>
      <c r="BY31" t="s">
        <v>69</v>
      </c>
      <c r="BZ31" t="s">
        <v>8526</v>
      </c>
      <c r="CA31" t="str">
        <f>HYPERLINK("https%3A%2F%2Fwww.webofscience.com%2Fwos%2Fwoscc%2Ffull-record%2FWOS:000437430700006","View Full Record in Web of Science")</f>
        <v>View Full Record in Web of Science</v>
      </c>
    </row>
    <row r="32" spans="1:79" ht="12.5" x14ac:dyDescent="0.25">
      <c r="B32" t="s">
        <v>8495</v>
      </c>
      <c r="D32" s="7" t="s">
        <v>32933</v>
      </c>
      <c r="E32" s="7"/>
      <c r="F32" s="7"/>
      <c r="G32" s="7"/>
      <c r="H32" t="s">
        <v>67</v>
      </c>
      <c r="I32" t="s">
        <v>562</v>
      </c>
      <c r="J32" t="s">
        <v>69</v>
      </c>
      <c r="K32" t="s">
        <v>69</v>
      </c>
      <c r="L32" t="s">
        <v>69</v>
      </c>
      <c r="M32" t="s">
        <v>563</v>
      </c>
      <c r="N32" t="s">
        <v>69</v>
      </c>
      <c r="O32" t="s">
        <v>69</v>
      </c>
      <c r="P32" t="s">
        <v>564</v>
      </c>
      <c r="Q32" t="s">
        <v>565</v>
      </c>
      <c r="R32" t="s">
        <v>69</v>
      </c>
      <c r="S32" t="s">
        <v>69</v>
      </c>
      <c r="T32" t="s">
        <v>8505</v>
      </c>
      <c r="U32" t="s">
        <v>15797</v>
      </c>
      <c r="V32" t="s">
        <v>566</v>
      </c>
      <c r="W32" t="s">
        <v>567</v>
      </c>
      <c r="X32" t="s">
        <v>568</v>
      </c>
      <c r="Y32" t="s">
        <v>69</v>
      </c>
      <c r="Z32" t="s">
        <v>69</v>
      </c>
      <c r="AA32" t="s">
        <v>69</v>
      </c>
      <c r="AB32" t="s">
        <v>69</v>
      </c>
      <c r="AC32" t="s">
        <v>569</v>
      </c>
      <c r="AD32" t="s">
        <v>29743</v>
      </c>
      <c r="AE32" t="s">
        <v>69</v>
      </c>
      <c r="AF32" t="s">
        <v>29744</v>
      </c>
      <c r="AG32" t="s">
        <v>29745</v>
      </c>
      <c r="AH32" t="s">
        <v>69</v>
      </c>
      <c r="AI32" t="s">
        <v>69</v>
      </c>
      <c r="AJ32" t="s">
        <v>69</v>
      </c>
      <c r="AK32" t="s">
        <v>69</v>
      </c>
      <c r="AL32" t="s">
        <v>69</v>
      </c>
      <c r="AM32" t="s">
        <v>69</v>
      </c>
      <c r="AN32">
        <v>18</v>
      </c>
      <c r="AO32">
        <v>2</v>
      </c>
      <c r="AP32">
        <v>2</v>
      </c>
      <c r="AQ32">
        <v>0</v>
      </c>
      <c r="AR32">
        <v>23</v>
      </c>
      <c r="AS32" t="s">
        <v>8846</v>
      </c>
      <c r="AT32" t="s">
        <v>8847</v>
      </c>
      <c r="AU32" t="s">
        <v>8848</v>
      </c>
      <c r="AV32" t="s">
        <v>570</v>
      </c>
      <c r="AW32" t="s">
        <v>571</v>
      </c>
      <c r="AX32" t="s">
        <v>69</v>
      </c>
      <c r="AY32" t="s">
        <v>29746</v>
      </c>
      <c r="AZ32" t="s">
        <v>29747</v>
      </c>
      <c r="BA32" t="s">
        <v>246</v>
      </c>
      <c r="BB32">
        <v>2007</v>
      </c>
      <c r="BC32">
        <v>19</v>
      </c>
      <c r="BD32">
        <v>1</v>
      </c>
      <c r="BE32" t="s">
        <v>69</v>
      </c>
      <c r="BF32" t="s">
        <v>69</v>
      </c>
      <c r="BG32" t="s">
        <v>69</v>
      </c>
      <c r="BH32" t="s">
        <v>69</v>
      </c>
      <c r="BI32">
        <v>217</v>
      </c>
      <c r="BJ32">
        <v>255</v>
      </c>
      <c r="BK32" t="s">
        <v>69</v>
      </c>
      <c r="BL32" t="s">
        <v>572</v>
      </c>
      <c r="BM32" t="str">
        <f>HYPERLINK("http://dx.doi.org/10.1111/j.1467-8268.2007.00152.x","http://dx.doi.org/10.1111/j.1467-8268.2007.00152.x")</f>
        <v>http://dx.doi.org/10.1111/j.1467-8268.2007.00152.x</v>
      </c>
      <c r="BN32" t="s">
        <v>69</v>
      </c>
      <c r="BO32" t="s">
        <v>69</v>
      </c>
      <c r="BP32">
        <v>39</v>
      </c>
      <c r="BQ32" t="s">
        <v>17018</v>
      </c>
      <c r="BR32" t="s">
        <v>18588</v>
      </c>
      <c r="BS32" t="s">
        <v>17018</v>
      </c>
      <c r="BT32" t="s">
        <v>29748</v>
      </c>
      <c r="BU32" t="s">
        <v>573</v>
      </c>
      <c r="BV32" t="s">
        <v>69</v>
      </c>
      <c r="BW32" t="s">
        <v>69</v>
      </c>
      <c r="BX32" t="s">
        <v>69</v>
      </c>
      <c r="BY32" t="s">
        <v>69</v>
      </c>
      <c r="BZ32" t="s">
        <v>8526</v>
      </c>
      <c r="CA32" t="str">
        <f>HYPERLINK("https%3A%2F%2Fwww.webofscience.com%2Fwos%2Fwoscc%2Ffull-record%2FWOS:000250402100009","View Full Record in Web of Science")</f>
        <v>View Full Record in Web of Science</v>
      </c>
    </row>
    <row r="33" spans="2:79" ht="12.5" x14ac:dyDescent="0.25">
      <c r="B33" t="s">
        <v>8495</v>
      </c>
      <c r="D33" s="7" t="s">
        <v>32933</v>
      </c>
      <c r="E33" s="7"/>
      <c r="F33" s="7"/>
      <c r="G33" s="7"/>
      <c r="H33" t="s">
        <v>67</v>
      </c>
      <c r="I33" t="s">
        <v>4463</v>
      </c>
      <c r="J33" t="s">
        <v>69</v>
      </c>
      <c r="K33" t="s">
        <v>69</v>
      </c>
      <c r="L33" t="s">
        <v>69</v>
      </c>
      <c r="M33" t="s">
        <v>4464</v>
      </c>
      <c r="N33" t="s">
        <v>69</v>
      </c>
      <c r="O33" t="s">
        <v>69</v>
      </c>
      <c r="P33" t="s">
        <v>4465</v>
      </c>
      <c r="Q33" t="s">
        <v>4466</v>
      </c>
      <c r="R33" t="s">
        <v>69</v>
      </c>
      <c r="S33" t="s">
        <v>69</v>
      </c>
      <c r="T33" t="s">
        <v>8505</v>
      </c>
      <c r="U33" t="s">
        <v>8506</v>
      </c>
      <c r="V33" t="s">
        <v>69</v>
      </c>
      <c r="W33" t="s">
        <v>69</v>
      </c>
      <c r="X33" t="s">
        <v>69</v>
      </c>
      <c r="Y33" t="s">
        <v>69</v>
      </c>
      <c r="Z33" t="s">
        <v>69</v>
      </c>
      <c r="AA33" t="s">
        <v>18121</v>
      </c>
      <c r="AB33" t="s">
        <v>18122</v>
      </c>
      <c r="AC33" t="s">
        <v>4467</v>
      </c>
      <c r="AD33" t="s">
        <v>18123</v>
      </c>
      <c r="AE33" t="s">
        <v>69</v>
      </c>
      <c r="AF33" t="s">
        <v>18124</v>
      </c>
      <c r="AG33" t="s">
        <v>18125</v>
      </c>
      <c r="AH33" t="s">
        <v>69</v>
      </c>
      <c r="AI33" t="s">
        <v>69</v>
      </c>
      <c r="AJ33" t="s">
        <v>18126</v>
      </c>
      <c r="AK33" t="s">
        <v>18127</v>
      </c>
      <c r="AL33" t="s">
        <v>18128</v>
      </c>
      <c r="AM33" t="s">
        <v>69</v>
      </c>
      <c r="AN33">
        <v>28</v>
      </c>
      <c r="AO33">
        <v>11</v>
      </c>
      <c r="AP33">
        <v>11</v>
      </c>
      <c r="AQ33">
        <v>6</v>
      </c>
      <c r="AR33">
        <v>60</v>
      </c>
      <c r="AS33" t="s">
        <v>8563</v>
      </c>
      <c r="AT33" t="s">
        <v>8564</v>
      </c>
      <c r="AU33" t="s">
        <v>8565</v>
      </c>
      <c r="AV33" t="s">
        <v>4468</v>
      </c>
      <c r="AW33" t="s">
        <v>4469</v>
      </c>
      <c r="AX33" t="s">
        <v>69</v>
      </c>
      <c r="AY33" t="s">
        <v>18129</v>
      </c>
      <c r="AZ33" t="s">
        <v>18130</v>
      </c>
      <c r="BA33" t="s">
        <v>274</v>
      </c>
      <c r="BB33">
        <v>2018</v>
      </c>
      <c r="BC33">
        <v>11</v>
      </c>
      <c r="BD33">
        <v>22</v>
      </c>
      <c r="BE33" t="s">
        <v>69</v>
      </c>
      <c r="BF33" t="s">
        <v>69</v>
      </c>
      <c r="BG33" t="s">
        <v>69</v>
      </c>
      <c r="BH33" t="s">
        <v>69</v>
      </c>
      <c r="BI33" t="s">
        <v>69</v>
      </c>
      <c r="BJ33" t="s">
        <v>69</v>
      </c>
      <c r="BK33">
        <v>714</v>
      </c>
      <c r="BL33" t="s">
        <v>4470</v>
      </c>
      <c r="BM33" t="str">
        <f>HYPERLINK("http://dx.doi.org/10.1007/s12517-018-4071-8","http://dx.doi.org/10.1007/s12517-018-4071-8")</f>
        <v>http://dx.doi.org/10.1007/s12517-018-4071-8</v>
      </c>
      <c r="BN33" t="s">
        <v>69</v>
      </c>
      <c r="BO33" t="s">
        <v>69</v>
      </c>
      <c r="BP33">
        <v>10</v>
      </c>
      <c r="BQ33" t="s">
        <v>17732</v>
      </c>
      <c r="BR33" t="s">
        <v>8548</v>
      </c>
      <c r="BS33" t="s">
        <v>17733</v>
      </c>
      <c r="BT33" t="s">
        <v>18131</v>
      </c>
      <c r="BU33" t="s">
        <v>4471</v>
      </c>
      <c r="BV33" t="s">
        <v>69</v>
      </c>
      <c r="BW33" t="s">
        <v>69</v>
      </c>
      <c r="BX33" t="s">
        <v>69</v>
      </c>
      <c r="BY33" t="s">
        <v>69</v>
      </c>
      <c r="BZ33" t="s">
        <v>8526</v>
      </c>
      <c r="CA33" t="str">
        <f>HYPERLINK("https%3A%2F%2Fwww.webofscience.com%2Fwos%2Fwoscc%2Ffull-record%2FWOS:000450990400004","View Full Record in Web of Science")</f>
        <v>View Full Record in Web of Science</v>
      </c>
    </row>
    <row r="34" spans="2:79" ht="12.5" x14ac:dyDescent="0.25">
      <c r="B34" t="s">
        <v>8495</v>
      </c>
      <c r="D34" s="22" t="s">
        <v>32931</v>
      </c>
      <c r="E34" s="7"/>
      <c r="F34" s="7"/>
      <c r="G34" s="7"/>
      <c r="H34" t="s">
        <v>67</v>
      </c>
      <c r="I34" t="s">
        <v>12724</v>
      </c>
      <c r="J34" t="s">
        <v>69</v>
      </c>
      <c r="K34" t="s">
        <v>69</v>
      </c>
      <c r="L34" t="s">
        <v>69</v>
      </c>
      <c r="M34" t="s">
        <v>12725</v>
      </c>
      <c r="N34" t="s">
        <v>69</v>
      </c>
      <c r="O34" t="s">
        <v>69</v>
      </c>
      <c r="P34" t="s">
        <v>12726</v>
      </c>
      <c r="Q34" t="s">
        <v>12727</v>
      </c>
      <c r="R34" t="s">
        <v>69</v>
      </c>
      <c r="S34" t="s">
        <v>69</v>
      </c>
      <c r="T34" t="s">
        <v>8505</v>
      </c>
      <c r="U34" t="s">
        <v>8506</v>
      </c>
      <c r="V34" t="s">
        <v>69</v>
      </c>
      <c r="W34" t="s">
        <v>69</v>
      </c>
      <c r="X34" t="s">
        <v>69</v>
      </c>
      <c r="Y34" t="s">
        <v>69</v>
      </c>
      <c r="Z34" t="s">
        <v>69</v>
      </c>
      <c r="AA34" t="s">
        <v>12728</v>
      </c>
      <c r="AB34" t="s">
        <v>69</v>
      </c>
      <c r="AC34" t="s">
        <v>12729</v>
      </c>
      <c r="AD34" t="s">
        <v>12730</v>
      </c>
      <c r="AE34" t="s">
        <v>69</v>
      </c>
      <c r="AF34" t="s">
        <v>12731</v>
      </c>
      <c r="AG34" t="s">
        <v>12732</v>
      </c>
      <c r="AH34" t="s">
        <v>69</v>
      </c>
      <c r="AI34" t="s">
        <v>69</v>
      </c>
      <c r="AJ34" t="s">
        <v>12733</v>
      </c>
      <c r="AK34" t="s">
        <v>12734</v>
      </c>
      <c r="AL34" t="s">
        <v>12735</v>
      </c>
      <c r="AM34" t="s">
        <v>69</v>
      </c>
      <c r="AN34">
        <v>89</v>
      </c>
      <c r="AO34">
        <v>3</v>
      </c>
      <c r="AP34">
        <v>3</v>
      </c>
      <c r="AQ34">
        <v>6</v>
      </c>
      <c r="AR34">
        <v>26</v>
      </c>
      <c r="AS34" t="s">
        <v>12736</v>
      </c>
      <c r="AT34" t="s">
        <v>12737</v>
      </c>
      <c r="AU34" t="s">
        <v>12738</v>
      </c>
      <c r="AV34" t="s">
        <v>12739</v>
      </c>
      <c r="AW34" t="s">
        <v>12740</v>
      </c>
      <c r="AX34" t="s">
        <v>69</v>
      </c>
      <c r="AY34" t="s">
        <v>12741</v>
      </c>
      <c r="AZ34" t="s">
        <v>12742</v>
      </c>
      <c r="BA34" t="s">
        <v>586</v>
      </c>
      <c r="BB34">
        <v>2021</v>
      </c>
      <c r="BC34">
        <v>60</v>
      </c>
      <c r="BD34" t="s">
        <v>69</v>
      </c>
      <c r="BE34" t="s">
        <v>69</v>
      </c>
      <c r="BF34" t="s">
        <v>69</v>
      </c>
      <c r="BG34" t="s">
        <v>69</v>
      </c>
      <c r="BH34" t="s">
        <v>69</v>
      </c>
      <c r="BI34" t="s">
        <v>69</v>
      </c>
      <c r="BJ34" t="s">
        <v>69</v>
      </c>
      <c r="BK34">
        <v>127087</v>
      </c>
      <c r="BL34" t="s">
        <v>12743</v>
      </c>
      <c r="BM34" t="str">
        <f>HYPERLINK("http://dx.doi.org/10.1016/j.ufug.2021.127087","http://dx.doi.org/10.1016/j.ufug.2021.127087")</f>
        <v>http://dx.doi.org/10.1016/j.ufug.2021.127087</v>
      </c>
      <c r="BN34" t="s">
        <v>69</v>
      </c>
      <c r="BO34" t="s">
        <v>12704</v>
      </c>
      <c r="BP34">
        <v>13</v>
      </c>
      <c r="BQ34" t="s">
        <v>12744</v>
      </c>
      <c r="BR34" t="s">
        <v>8523</v>
      </c>
      <c r="BS34" t="s">
        <v>12745</v>
      </c>
      <c r="BT34" t="s">
        <v>12746</v>
      </c>
      <c r="BU34" t="s">
        <v>12747</v>
      </c>
      <c r="BV34" t="s">
        <v>69</v>
      </c>
      <c r="BW34" t="s">
        <v>9374</v>
      </c>
      <c r="BX34" t="s">
        <v>69</v>
      </c>
      <c r="BY34" t="s">
        <v>69</v>
      </c>
      <c r="BZ34" t="s">
        <v>8526</v>
      </c>
      <c r="CA34" t="str">
        <f>HYPERLINK("https%3A%2F%2Fwww.webofscience.com%2Fwos%2Fwoscc%2Ffull-record%2FWOS:000636302600007","View Full Record in Web of Science")</f>
        <v>View Full Record in Web of Science</v>
      </c>
    </row>
    <row r="35" spans="2:79" ht="12.5" x14ac:dyDescent="0.25">
      <c r="B35" t="s">
        <v>8495</v>
      </c>
      <c r="D35" s="22" t="s">
        <v>32931</v>
      </c>
      <c r="E35" s="7"/>
      <c r="F35" s="7"/>
      <c r="G35" s="7"/>
      <c r="H35" t="s">
        <v>67</v>
      </c>
      <c r="I35" t="s">
        <v>29456</v>
      </c>
      <c r="J35" t="s">
        <v>69</v>
      </c>
      <c r="K35" t="s">
        <v>69</v>
      </c>
      <c r="L35" t="s">
        <v>69</v>
      </c>
      <c r="M35" t="s">
        <v>29457</v>
      </c>
      <c r="N35" t="s">
        <v>69</v>
      </c>
      <c r="O35" t="s">
        <v>69</v>
      </c>
      <c r="P35" t="s">
        <v>29458</v>
      </c>
      <c r="Q35" t="s">
        <v>1969</v>
      </c>
      <c r="R35" t="s">
        <v>69</v>
      </c>
      <c r="S35" t="s">
        <v>69</v>
      </c>
      <c r="T35" t="s">
        <v>8505</v>
      </c>
      <c r="U35" t="s">
        <v>8506</v>
      </c>
      <c r="V35" t="s">
        <v>69</v>
      </c>
      <c r="W35" t="s">
        <v>69</v>
      </c>
      <c r="X35" t="s">
        <v>69</v>
      </c>
      <c r="Y35" t="s">
        <v>69</v>
      </c>
      <c r="Z35" t="s">
        <v>69</v>
      </c>
      <c r="AA35" t="s">
        <v>29459</v>
      </c>
      <c r="AB35" t="s">
        <v>69</v>
      </c>
      <c r="AC35" t="s">
        <v>29460</v>
      </c>
      <c r="AD35" t="s">
        <v>29461</v>
      </c>
      <c r="AE35" t="s">
        <v>69</v>
      </c>
      <c r="AF35" t="s">
        <v>29462</v>
      </c>
      <c r="AG35" t="s">
        <v>29463</v>
      </c>
      <c r="AH35" t="s">
        <v>69</v>
      </c>
      <c r="AI35" t="s">
        <v>69</v>
      </c>
      <c r="AJ35" t="s">
        <v>69</v>
      </c>
      <c r="AK35" t="s">
        <v>69</v>
      </c>
      <c r="AL35" t="s">
        <v>69</v>
      </c>
      <c r="AM35" t="s">
        <v>69</v>
      </c>
      <c r="AN35">
        <v>24</v>
      </c>
      <c r="AO35">
        <v>33</v>
      </c>
      <c r="AP35">
        <v>33</v>
      </c>
      <c r="AQ35">
        <v>0</v>
      </c>
      <c r="AR35">
        <v>1</v>
      </c>
      <c r="AS35" t="s">
        <v>8586</v>
      </c>
      <c r="AT35" t="s">
        <v>8587</v>
      </c>
      <c r="AU35" t="s">
        <v>8588</v>
      </c>
      <c r="AV35" t="s">
        <v>1971</v>
      </c>
      <c r="AW35" t="s">
        <v>1972</v>
      </c>
      <c r="AX35" t="s">
        <v>69</v>
      </c>
      <c r="AY35" t="s">
        <v>15149</v>
      </c>
      <c r="AZ35" t="s">
        <v>15150</v>
      </c>
      <c r="BA35" t="s">
        <v>69</v>
      </c>
      <c r="BB35">
        <v>2008</v>
      </c>
      <c r="BC35">
        <v>19</v>
      </c>
      <c r="BD35">
        <v>4</v>
      </c>
      <c r="BE35" t="s">
        <v>69</v>
      </c>
      <c r="BF35" t="s">
        <v>69</v>
      </c>
      <c r="BG35" t="s">
        <v>114</v>
      </c>
      <c r="BH35" t="s">
        <v>69</v>
      </c>
      <c r="BI35">
        <v>467</v>
      </c>
      <c r="BJ35">
        <v>479</v>
      </c>
      <c r="BK35" t="s">
        <v>69</v>
      </c>
      <c r="BL35" t="s">
        <v>29464</v>
      </c>
      <c r="BM35" t="str">
        <f>HYPERLINK("http://dx.doi.org/10.1108/14777830810878650","http://dx.doi.org/10.1108/14777830810878650")</f>
        <v>http://dx.doi.org/10.1108/14777830810878650</v>
      </c>
      <c r="BN35" t="s">
        <v>69</v>
      </c>
      <c r="BO35" t="s">
        <v>69</v>
      </c>
      <c r="BP35">
        <v>13</v>
      </c>
      <c r="BQ35" t="s">
        <v>8660</v>
      </c>
      <c r="BR35" t="s">
        <v>8573</v>
      </c>
      <c r="BS35" t="s">
        <v>8662</v>
      </c>
      <c r="BT35" t="s">
        <v>29465</v>
      </c>
      <c r="BU35" t="s">
        <v>29466</v>
      </c>
      <c r="BV35" t="s">
        <v>69</v>
      </c>
      <c r="BW35" t="s">
        <v>69</v>
      </c>
      <c r="BX35" t="s">
        <v>69</v>
      </c>
      <c r="BY35" t="s">
        <v>69</v>
      </c>
      <c r="BZ35" t="s">
        <v>8526</v>
      </c>
      <c r="CA35" t="str">
        <f>HYPERLINK("https%3A%2F%2Fwww.webofscience.com%2Fwos%2Fwoscc%2Ffull-record%2FWOS:000415377000018","View Full Record in Web of Science")</f>
        <v>View Full Record in Web of Science</v>
      </c>
    </row>
    <row r="36" spans="2:79" ht="12.5" x14ac:dyDescent="0.25">
      <c r="B36" t="s">
        <v>8495</v>
      </c>
      <c r="D36" s="22" t="s">
        <v>32931</v>
      </c>
      <c r="E36" s="7"/>
      <c r="F36" s="7"/>
      <c r="G36" s="7"/>
      <c r="H36" t="s">
        <v>67</v>
      </c>
      <c r="I36" t="s">
        <v>10832</v>
      </c>
      <c r="J36" t="s">
        <v>69</v>
      </c>
      <c r="K36" t="s">
        <v>69</v>
      </c>
      <c r="L36" t="s">
        <v>69</v>
      </c>
      <c r="M36" t="s">
        <v>10833</v>
      </c>
      <c r="N36" t="s">
        <v>69</v>
      </c>
      <c r="O36" t="s">
        <v>69</v>
      </c>
      <c r="P36" t="s">
        <v>10834</v>
      </c>
      <c r="Q36" t="s">
        <v>10835</v>
      </c>
      <c r="R36" t="s">
        <v>69</v>
      </c>
      <c r="S36" t="s">
        <v>69</v>
      </c>
      <c r="T36" t="s">
        <v>8505</v>
      </c>
      <c r="U36" t="s">
        <v>8556</v>
      </c>
      <c r="V36" t="s">
        <v>69</v>
      </c>
      <c r="W36" t="s">
        <v>69</v>
      </c>
      <c r="X36" t="s">
        <v>69</v>
      </c>
      <c r="Y36" t="s">
        <v>69</v>
      </c>
      <c r="Z36" t="s">
        <v>69</v>
      </c>
      <c r="AA36" t="s">
        <v>10836</v>
      </c>
      <c r="AB36" t="s">
        <v>10837</v>
      </c>
      <c r="AC36" t="s">
        <v>10838</v>
      </c>
      <c r="AD36" t="s">
        <v>10839</v>
      </c>
      <c r="AE36" t="s">
        <v>69</v>
      </c>
      <c r="AF36" t="s">
        <v>10840</v>
      </c>
      <c r="AG36" t="s">
        <v>10841</v>
      </c>
      <c r="AH36" t="s">
        <v>69</v>
      </c>
      <c r="AI36" t="s">
        <v>69</v>
      </c>
      <c r="AJ36" t="s">
        <v>10842</v>
      </c>
      <c r="AK36" t="s">
        <v>9925</v>
      </c>
      <c r="AL36" t="s">
        <v>10843</v>
      </c>
      <c r="AM36" t="s">
        <v>69</v>
      </c>
      <c r="AN36">
        <v>87</v>
      </c>
      <c r="AO36">
        <v>1</v>
      </c>
      <c r="AP36">
        <v>1</v>
      </c>
      <c r="AQ36">
        <v>8</v>
      </c>
      <c r="AR36">
        <v>16</v>
      </c>
      <c r="AS36" t="s">
        <v>8846</v>
      </c>
      <c r="AT36" t="s">
        <v>8847</v>
      </c>
      <c r="AU36" t="s">
        <v>8848</v>
      </c>
      <c r="AV36" t="s">
        <v>10844</v>
      </c>
      <c r="AW36" t="s">
        <v>10845</v>
      </c>
      <c r="AX36" t="s">
        <v>69</v>
      </c>
      <c r="AY36" t="s">
        <v>10846</v>
      </c>
      <c r="AZ36" t="s">
        <v>10847</v>
      </c>
      <c r="BA36" t="s">
        <v>69</v>
      </c>
      <c r="BB36" t="s">
        <v>69</v>
      </c>
      <c r="BC36" t="s">
        <v>69</v>
      </c>
      <c r="BD36" t="s">
        <v>69</v>
      </c>
      <c r="BE36" t="s">
        <v>69</v>
      </c>
      <c r="BF36" t="s">
        <v>69</v>
      </c>
      <c r="BG36" t="s">
        <v>69</v>
      </c>
      <c r="BH36" t="s">
        <v>69</v>
      </c>
      <c r="BI36" t="s">
        <v>69</v>
      </c>
      <c r="BJ36" t="s">
        <v>69</v>
      </c>
      <c r="BK36" t="s">
        <v>69</v>
      </c>
      <c r="BL36" t="s">
        <v>10848</v>
      </c>
      <c r="BM36" t="str">
        <f>HYPERLINK("http://dx.doi.org/10.1002/sd.2249","http://dx.doi.org/10.1002/sd.2249")</f>
        <v>http://dx.doi.org/10.1002/sd.2249</v>
      </c>
      <c r="BN36" t="s">
        <v>69</v>
      </c>
      <c r="BO36" t="s">
        <v>10646</v>
      </c>
      <c r="BP36">
        <v>24</v>
      </c>
      <c r="BQ36" t="s">
        <v>10849</v>
      </c>
      <c r="BR36" t="s">
        <v>8661</v>
      </c>
      <c r="BS36" t="s">
        <v>10850</v>
      </c>
      <c r="BT36" t="s">
        <v>10851</v>
      </c>
      <c r="BU36" t="s">
        <v>10852</v>
      </c>
      <c r="BV36" t="s">
        <v>69</v>
      </c>
      <c r="BW36" t="s">
        <v>69</v>
      </c>
      <c r="BX36" t="s">
        <v>69</v>
      </c>
      <c r="BY36" t="s">
        <v>69</v>
      </c>
      <c r="BZ36" t="s">
        <v>8526</v>
      </c>
      <c r="CA36" t="str">
        <f>HYPERLINK("https%3A%2F%2Fwww.webofscience.com%2Fwos%2Fwoscc%2Ffull-record%2FWOS:000715149600001","View Full Record in Web of Science")</f>
        <v>View Full Record in Web of Science</v>
      </c>
    </row>
    <row r="37" spans="2:79" ht="12.5" x14ac:dyDescent="0.25">
      <c r="B37" t="s">
        <v>8495</v>
      </c>
      <c r="D37" s="22" t="s">
        <v>32931</v>
      </c>
      <c r="E37" s="7"/>
      <c r="F37" s="7"/>
      <c r="G37" s="7"/>
      <c r="H37" t="s">
        <v>67</v>
      </c>
      <c r="I37" t="s">
        <v>13759</v>
      </c>
      <c r="J37" t="s">
        <v>69</v>
      </c>
      <c r="K37" t="s">
        <v>69</v>
      </c>
      <c r="L37" t="s">
        <v>69</v>
      </c>
      <c r="M37" t="s">
        <v>13760</v>
      </c>
      <c r="N37" t="s">
        <v>69</v>
      </c>
      <c r="O37" t="s">
        <v>69</v>
      </c>
      <c r="P37" t="s">
        <v>13761</v>
      </c>
      <c r="Q37" t="s">
        <v>6989</v>
      </c>
      <c r="R37" t="s">
        <v>69</v>
      </c>
      <c r="S37" t="s">
        <v>69</v>
      </c>
      <c r="T37" t="s">
        <v>8505</v>
      </c>
      <c r="U37" t="s">
        <v>8506</v>
      </c>
      <c r="V37" t="s">
        <v>69</v>
      </c>
      <c r="W37" t="s">
        <v>69</v>
      </c>
      <c r="X37" t="s">
        <v>69</v>
      </c>
      <c r="Y37" t="s">
        <v>69</v>
      </c>
      <c r="Z37" t="s">
        <v>69</v>
      </c>
      <c r="AA37" t="s">
        <v>13762</v>
      </c>
      <c r="AB37" t="s">
        <v>69</v>
      </c>
      <c r="AC37" t="s">
        <v>13763</v>
      </c>
      <c r="AD37" t="s">
        <v>13764</v>
      </c>
      <c r="AE37" t="s">
        <v>69</v>
      </c>
      <c r="AF37" t="s">
        <v>13765</v>
      </c>
      <c r="AG37" t="s">
        <v>13766</v>
      </c>
      <c r="AH37" t="s">
        <v>13767</v>
      </c>
      <c r="AI37" t="s">
        <v>13768</v>
      </c>
      <c r="AJ37" t="s">
        <v>69</v>
      </c>
      <c r="AK37" t="s">
        <v>69</v>
      </c>
      <c r="AL37" t="s">
        <v>69</v>
      </c>
      <c r="AM37" t="s">
        <v>69</v>
      </c>
      <c r="AN37">
        <v>59</v>
      </c>
      <c r="AO37">
        <v>4</v>
      </c>
      <c r="AP37">
        <v>4</v>
      </c>
      <c r="AQ37">
        <v>2</v>
      </c>
      <c r="AR37">
        <v>4</v>
      </c>
      <c r="AS37" t="s">
        <v>13769</v>
      </c>
      <c r="AT37" t="s">
        <v>13770</v>
      </c>
      <c r="AU37" t="s">
        <v>13771</v>
      </c>
      <c r="AV37" t="s">
        <v>6993</v>
      </c>
      <c r="AW37" t="s">
        <v>69</v>
      </c>
      <c r="AX37" t="s">
        <v>69</v>
      </c>
      <c r="AY37" t="s">
        <v>13772</v>
      </c>
      <c r="AZ37" t="s">
        <v>13773</v>
      </c>
      <c r="BA37" t="s">
        <v>451</v>
      </c>
      <c r="BB37">
        <v>2021</v>
      </c>
      <c r="BC37">
        <v>8</v>
      </c>
      <c r="BD37">
        <v>1</v>
      </c>
      <c r="BE37" t="s">
        <v>69</v>
      </c>
      <c r="BF37" t="s">
        <v>69</v>
      </c>
      <c r="BG37" t="s">
        <v>69</v>
      </c>
      <c r="BH37" t="s">
        <v>69</v>
      </c>
      <c r="BI37" t="s">
        <v>69</v>
      </c>
      <c r="BJ37" t="s">
        <v>69</v>
      </c>
      <c r="BK37">
        <v>1891701</v>
      </c>
      <c r="BL37" t="s">
        <v>13774</v>
      </c>
      <c r="BM37" t="str">
        <f>HYPERLINK("http://dx.doi.org/10.1080/23311916.2021.1891701","http://dx.doi.org/10.1080/23311916.2021.1891701")</f>
        <v>http://dx.doi.org/10.1080/23311916.2021.1891701</v>
      </c>
      <c r="BN37" t="s">
        <v>69</v>
      </c>
      <c r="BO37" t="s">
        <v>69</v>
      </c>
      <c r="BP37">
        <v>23</v>
      </c>
      <c r="BQ37" t="s">
        <v>9891</v>
      </c>
      <c r="BR37" t="s">
        <v>8573</v>
      </c>
      <c r="BS37" t="s">
        <v>8445</v>
      </c>
      <c r="BT37" t="s">
        <v>13775</v>
      </c>
      <c r="BU37" t="s">
        <v>13776</v>
      </c>
      <c r="BV37" t="s">
        <v>69</v>
      </c>
      <c r="BW37" t="s">
        <v>8931</v>
      </c>
      <c r="BX37" t="s">
        <v>69</v>
      </c>
      <c r="BY37" t="s">
        <v>69</v>
      </c>
      <c r="BZ37" t="s">
        <v>8526</v>
      </c>
      <c r="CA37" t="str">
        <f>HYPERLINK("https%3A%2F%2Fwww.webofscience.com%2Fwos%2Fwoscc%2Ffull-record%2FWOS:000626956400001","View Full Record in Web of Science")</f>
        <v>View Full Record in Web of Science</v>
      </c>
    </row>
    <row r="38" spans="2:79" ht="12.5" x14ac:dyDescent="0.25">
      <c r="B38" t="s">
        <v>8495</v>
      </c>
      <c r="D38" s="22" t="s">
        <v>32931</v>
      </c>
      <c r="E38" s="7"/>
      <c r="F38" s="7"/>
      <c r="G38" s="7"/>
      <c r="H38" t="s">
        <v>67</v>
      </c>
      <c r="I38" t="s">
        <v>15303</v>
      </c>
      <c r="J38" t="s">
        <v>69</v>
      </c>
      <c r="K38" t="s">
        <v>69</v>
      </c>
      <c r="L38" t="s">
        <v>69</v>
      </c>
      <c r="M38" t="s">
        <v>15304</v>
      </c>
      <c r="N38" t="s">
        <v>69</v>
      </c>
      <c r="O38" t="s">
        <v>69</v>
      </c>
      <c r="P38" t="s">
        <v>15305</v>
      </c>
      <c r="Q38" t="s">
        <v>15306</v>
      </c>
      <c r="R38" t="s">
        <v>69</v>
      </c>
      <c r="S38" t="s">
        <v>69</v>
      </c>
      <c r="T38" t="s">
        <v>8505</v>
      </c>
      <c r="U38" t="s">
        <v>8506</v>
      </c>
      <c r="V38" t="s">
        <v>69</v>
      </c>
      <c r="W38" t="s">
        <v>69</v>
      </c>
      <c r="X38" t="s">
        <v>69</v>
      </c>
      <c r="Y38" t="s">
        <v>69</v>
      </c>
      <c r="Z38" t="s">
        <v>69</v>
      </c>
      <c r="AA38" t="s">
        <v>15307</v>
      </c>
      <c r="AB38" t="s">
        <v>15308</v>
      </c>
      <c r="AC38" t="s">
        <v>15309</v>
      </c>
      <c r="AD38" t="s">
        <v>15310</v>
      </c>
      <c r="AE38" t="s">
        <v>69</v>
      </c>
      <c r="AF38" t="s">
        <v>15311</v>
      </c>
      <c r="AG38" t="s">
        <v>15312</v>
      </c>
      <c r="AH38" t="s">
        <v>15313</v>
      </c>
      <c r="AI38" t="s">
        <v>15314</v>
      </c>
      <c r="AJ38" t="s">
        <v>15315</v>
      </c>
      <c r="AK38" t="s">
        <v>15316</v>
      </c>
      <c r="AL38" t="s">
        <v>15317</v>
      </c>
      <c r="AM38" t="s">
        <v>69</v>
      </c>
      <c r="AN38">
        <v>43</v>
      </c>
      <c r="AO38">
        <v>20</v>
      </c>
      <c r="AP38">
        <v>20</v>
      </c>
      <c r="AQ38">
        <v>8</v>
      </c>
      <c r="AR38">
        <v>20</v>
      </c>
      <c r="AS38" t="s">
        <v>8636</v>
      </c>
      <c r="AT38" t="s">
        <v>8637</v>
      </c>
      <c r="AU38" t="s">
        <v>8638</v>
      </c>
      <c r="AV38" t="s">
        <v>15318</v>
      </c>
      <c r="AW38" t="s">
        <v>15319</v>
      </c>
      <c r="AX38" t="s">
        <v>69</v>
      </c>
      <c r="AY38" t="s">
        <v>15320</v>
      </c>
      <c r="AZ38" t="s">
        <v>15321</v>
      </c>
      <c r="BA38" t="s">
        <v>586</v>
      </c>
      <c r="BB38">
        <v>2020</v>
      </c>
      <c r="BC38">
        <v>172</v>
      </c>
      <c r="BD38" t="s">
        <v>69</v>
      </c>
      <c r="BE38" t="s">
        <v>69</v>
      </c>
      <c r="BF38" t="s">
        <v>69</v>
      </c>
      <c r="BG38" t="s">
        <v>69</v>
      </c>
      <c r="BH38" t="s">
        <v>69</v>
      </c>
      <c r="BI38" t="s">
        <v>69</v>
      </c>
      <c r="BJ38" t="s">
        <v>69</v>
      </c>
      <c r="BK38">
        <v>105305</v>
      </c>
      <c r="BL38" t="s">
        <v>15322</v>
      </c>
      <c r="BM38" t="str">
        <f>HYPERLINK("http://dx.doi.org/10.1016/j.compag.2020.105305","http://dx.doi.org/10.1016/j.compag.2020.105305")</f>
        <v>http://dx.doi.org/10.1016/j.compag.2020.105305</v>
      </c>
      <c r="BN38" t="s">
        <v>69</v>
      </c>
      <c r="BO38" t="s">
        <v>69</v>
      </c>
      <c r="BP38">
        <v>12</v>
      </c>
      <c r="BQ38" t="s">
        <v>15323</v>
      </c>
      <c r="BR38" t="s">
        <v>8523</v>
      </c>
      <c r="BS38" t="s">
        <v>15324</v>
      </c>
      <c r="BT38" t="s">
        <v>15325</v>
      </c>
      <c r="BU38" t="s">
        <v>15326</v>
      </c>
      <c r="BV38" t="s">
        <v>69</v>
      </c>
      <c r="BW38" t="s">
        <v>8746</v>
      </c>
      <c r="BX38" t="s">
        <v>69</v>
      </c>
      <c r="BY38" t="s">
        <v>69</v>
      </c>
      <c r="BZ38" t="s">
        <v>8526</v>
      </c>
      <c r="CA38" t="str">
        <f>HYPERLINK("https%3A%2F%2Fwww.webofscience.com%2Fwos%2Fwoscc%2Ffull-record%2FWOS:000525324700029","View Full Record in Web of Science")</f>
        <v>View Full Record in Web of Science</v>
      </c>
    </row>
    <row r="39" spans="2:79" ht="12.5" x14ac:dyDescent="0.25">
      <c r="B39" t="s">
        <v>8495</v>
      </c>
      <c r="D39" s="15" t="s">
        <v>32933</v>
      </c>
      <c r="E39" s="7"/>
      <c r="F39" s="7"/>
      <c r="G39" s="7"/>
      <c r="H39" t="s">
        <v>67</v>
      </c>
      <c r="I39" t="s">
        <v>7014</v>
      </c>
      <c r="J39" t="s">
        <v>69</v>
      </c>
      <c r="K39" t="s">
        <v>69</v>
      </c>
      <c r="L39" t="s">
        <v>69</v>
      </c>
      <c r="M39" t="s">
        <v>7015</v>
      </c>
      <c r="N39" t="s">
        <v>69</v>
      </c>
      <c r="O39" t="s">
        <v>69</v>
      </c>
      <c r="P39" s="3" t="s">
        <v>7016</v>
      </c>
      <c r="Q39" t="s">
        <v>2744</v>
      </c>
      <c r="R39" t="s">
        <v>69</v>
      </c>
      <c r="S39" t="s">
        <v>69</v>
      </c>
      <c r="T39" t="s">
        <v>8505</v>
      </c>
      <c r="U39" t="s">
        <v>10174</v>
      </c>
      <c r="V39" t="s">
        <v>69</v>
      </c>
      <c r="W39" t="s">
        <v>69</v>
      </c>
      <c r="X39" t="s">
        <v>69</v>
      </c>
      <c r="Y39" t="s">
        <v>69</v>
      </c>
      <c r="Z39" t="s">
        <v>69</v>
      </c>
      <c r="AA39" t="s">
        <v>22216</v>
      </c>
      <c r="AB39" t="s">
        <v>22217</v>
      </c>
      <c r="AC39" t="s">
        <v>7017</v>
      </c>
      <c r="AD39" t="s">
        <v>22218</v>
      </c>
      <c r="AE39" t="s">
        <v>69</v>
      </c>
      <c r="AF39" t="s">
        <v>22219</v>
      </c>
      <c r="AG39" t="s">
        <v>22220</v>
      </c>
      <c r="AH39" t="s">
        <v>20646</v>
      </c>
      <c r="AI39" t="s">
        <v>20647</v>
      </c>
      <c r="AJ39" t="s">
        <v>22221</v>
      </c>
      <c r="AK39" t="s">
        <v>22222</v>
      </c>
      <c r="AL39" t="s">
        <v>22223</v>
      </c>
      <c r="AM39" t="s">
        <v>69</v>
      </c>
      <c r="AN39">
        <v>22</v>
      </c>
      <c r="AO39">
        <v>6</v>
      </c>
      <c r="AP39">
        <v>6</v>
      </c>
      <c r="AQ39">
        <v>0</v>
      </c>
      <c r="AR39">
        <v>3</v>
      </c>
      <c r="AS39" t="s">
        <v>8865</v>
      </c>
      <c r="AT39" t="s">
        <v>8612</v>
      </c>
      <c r="AU39" t="s">
        <v>8866</v>
      </c>
      <c r="AV39" t="s">
        <v>2746</v>
      </c>
      <c r="AW39" t="s">
        <v>2747</v>
      </c>
      <c r="AX39" t="s">
        <v>69</v>
      </c>
      <c r="AY39" t="s">
        <v>20651</v>
      </c>
      <c r="AZ39" t="s">
        <v>20652</v>
      </c>
      <c r="BA39" t="s">
        <v>69</v>
      </c>
      <c r="BB39">
        <v>2016</v>
      </c>
      <c r="BC39">
        <v>2</v>
      </c>
      <c r="BD39">
        <v>4</v>
      </c>
      <c r="BE39" t="s">
        <v>69</v>
      </c>
      <c r="BF39" t="s">
        <v>69</v>
      </c>
      <c r="BG39" t="s">
        <v>114</v>
      </c>
      <c r="BH39" t="s">
        <v>69</v>
      </c>
      <c r="BI39">
        <v>367</v>
      </c>
      <c r="BJ39">
        <v>372</v>
      </c>
      <c r="BK39" t="s">
        <v>69</v>
      </c>
      <c r="BL39" t="s">
        <v>7018</v>
      </c>
      <c r="BM39" t="str">
        <f>HYPERLINK("http://dx.doi.org/10.1080/23288604.2016.1202368","http://dx.doi.org/10.1080/23288604.2016.1202368")</f>
        <v>http://dx.doi.org/10.1080/23288604.2016.1202368</v>
      </c>
      <c r="BN39" t="s">
        <v>69</v>
      </c>
      <c r="BO39" t="s">
        <v>69</v>
      </c>
      <c r="BP39">
        <v>6</v>
      </c>
      <c r="BQ39" t="s">
        <v>19970</v>
      </c>
      <c r="BR39" t="s">
        <v>8573</v>
      </c>
      <c r="BS39" t="s">
        <v>11565</v>
      </c>
      <c r="BT39" t="s">
        <v>22224</v>
      </c>
      <c r="BU39" t="s">
        <v>7019</v>
      </c>
      <c r="BV39">
        <v>31514717</v>
      </c>
      <c r="BW39" t="s">
        <v>9374</v>
      </c>
      <c r="BX39" t="s">
        <v>69</v>
      </c>
      <c r="BY39" t="s">
        <v>69</v>
      </c>
      <c r="BZ39" t="s">
        <v>8526</v>
      </c>
      <c r="CA39" t="str">
        <f>HYPERLINK("https%3A%2F%2Fwww.webofscience.com%2Fwos%2Fwoscc%2Ffull-record%2FWOS:000445285800009","View Full Record in Web of Science")</f>
        <v>View Full Record in Web of Science</v>
      </c>
    </row>
    <row r="40" spans="2:79" ht="12.5" x14ac:dyDescent="0.25">
      <c r="B40" t="s">
        <v>8495</v>
      </c>
      <c r="D40" s="22" t="s">
        <v>32931</v>
      </c>
      <c r="E40" s="7"/>
      <c r="F40" s="7"/>
      <c r="G40" s="7"/>
      <c r="H40" t="s">
        <v>67</v>
      </c>
      <c r="I40" t="s">
        <v>9665</v>
      </c>
      <c r="J40" t="s">
        <v>69</v>
      </c>
      <c r="K40" t="s">
        <v>69</v>
      </c>
      <c r="L40" t="s">
        <v>69</v>
      </c>
      <c r="M40" t="s">
        <v>9666</v>
      </c>
      <c r="N40" t="s">
        <v>69</v>
      </c>
      <c r="O40" t="s">
        <v>69</v>
      </c>
      <c r="P40" t="s">
        <v>9667</v>
      </c>
      <c r="Q40" t="s">
        <v>9668</v>
      </c>
      <c r="R40" t="s">
        <v>69</v>
      </c>
      <c r="S40" t="s">
        <v>69</v>
      </c>
      <c r="T40" t="s">
        <v>8505</v>
      </c>
      <c r="U40" t="s">
        <v>8506</v>
      </c>
      <c r="V40" t="s">
        <v>69</v>
      </c>
      <c r="W40" t="s">
        <v>69</v>
      </c>
      <c r="X40" t="s">
        <v>69</v>
      </c>
      <c r="Y40" t="s">
        <v>69</v>
      </c>
      <c r="Z40" t="s">
        <v>69</v>
      </c>
      <c r="AA40" t="s">
        <v>9669</v>
      </c>
      <c r="AB40" t="s">
        <v>9670</v>
      </c>
      <c r="AC40" t="s">
        <v>9671</v>
      </c>
      <c r="AD40" t="s">
        <v>9672</v>
      </c>
      <c r="AE40" t="s">
        <v>69</v>
      </c>
      <c r="AF40" t="s">
        <v>9673</v>
      </c>
      <c r="AG40" t="s">
        <v>9674</v>
      </c>
      <c r="AH40" t="s">
        <v>69</v>
      </c>
      <c r="AI40" t="s">
        <v>69</v>
      </c>
      <c r="AJ40" t="s">
        <v>9675</v>
      </c>
      <c r="AK40" t="s">
        <v>9676</v>
      </c>
      <c r="AL40" t="s">
        <v>9677</v>
      </c>
      <c r="AM40" t="s">
        <v>69</v>
      </c>
      <c r="AN40">
        <v>45</v>
      </c>
      <c r="AO40">
        <v>0</v>
      </c>
      <c r="AP40">
        <v>0</v>
      </c>
      <c r="AQ40">
        <v>7</v>
      </c>
      <c r="AR40">
        <v>7</v>
      </c>
      <c r="AS40" t="s">
        <v>8516</v>
      </c>
      <c r="AT40" t="s">
        <v>8517</v>
      </c>
      <c r="AU40" t="s">
        <v>8518</v>
      </c>
      <c r="AV40" t="s">
        <v>9678</v>
      </c>
      <c r="AW40" t="s">
        <v>9679</v>
      </c>
      <c r="AX40" t="s">
        <v>69</v>
      </c>
      <c r="AY40" t="s">
        <v>9680</v>
      </c>
      <c r="AZ40" t="s">
        <v>9681</v>
      </c>
      <c r="BA40" t="s">
        <v>94</v>
      </c>
      <c r="BB40">
        <v>2022</v>
      </c>
      <c r="BC40">
        <v>208</v>
      </c>
      <c r="BD40" t="s">
        <v>69</v>
      </c>
      <c r="BE40" t="s">
        <v>69</v>
      </c>
      <c r="BF40" t="s">
        <v>69</v>
      </c>
      <c r="BG40" t="s">
        <v>69</v>
      </c>
      <c r="BH40" t="s">
        <v>69</v>
      </c>
      <c r="BI40" t="s">
        <v>69</v>
      </c>
      <c r="BJ40" t="s">
        <v>69</v>
      </c>
      <c r="BK40">
        <v>106637</v>
      </c>
      <c r="BL40" t="s">
        <v>9682</v>
      </c>
      <c r="BM40" t="str">
        <f>HYPERLINK("http://dx.doi.org/10.1016/j.smallrumres.2022.106637","http://dx.doi.org/10.1016/j.smallrumres.2022.106637")</f>
        <v>http://dx.doi.org/10.1016/j.smallrumres.2022.106637</v>
      </c>
      <c r="BN40" t="s">
        <v>69</v>
      </c>
      <c r="BO40" t="s">
        <v>69</v>
      </c>
      <c r="BP40">
        <v>10</v>
      </c>
      <c r="BQ40" t="s">
        <v>9683</v>
      </c>
      <c r="BR40" t="s">
        <v>8548</v>
      </c>
      <c r="BS40" t="s">
        <v>8450</v>
      </c>
      <c r="BT40" t="s">
        <v>9684</v>
      </c>
      <c r="BU40" t="s">
        <v>9685</v>
      </c>
      <c r="BV40" t="s">
        <v>69</v>
      </c>
      <c r="BW40" t="s">
        <v>69</v>
      </c>
      <c r="BX40" t="s">
        <v>69</v>
      </c>
      <c r="BY40" t="s">
        <v>69</v>
      </c>
      <c r="BZ40" t="s">
        <v>8526</v>
      </c>
      <c r="CA40" t="str">
        <f>HYPERLINK("https%3A%2F%2Fwww.webofscience.com%2Fwos%2Fwoscc%2Ffull-record%2FWOS:000788062900008","View Full Record in Web of Science")</f>
        <v>View Full Record in Web of Science</v>
      </c>
    </row>
    <row r="41" spans="2:79" ht="12.5" x14ac:dyDescent="0.25">
      <c r="B41" t="s">
        <v>8495</v>
      </c>
      <c r="D41" s="7" t="s">
        <v>32933</v>
      </c>
      <c r="E41" s="7"/>
      <c r="F41" s="7"/>
      <c r="G41" s="7"/>
      <c r="H41" t="s">
        <v>67</v>
      </c>
      <c r="I41" t="s">
        <v>6300</v>
      </c>
      <c r="J41" t="s">
        <v>69</v>
      </c>
      <c r="K41" t="s">
        <v>69</v>
      </c>
      <c r="L41" t="s">
        <v>69</v>
      </c>
      <c r="M41" t="s">
        <v>6301</v>
      </c>
      <c r="N41" t="s">
        <v>69</v>
      </c>
      <c r="O41" t="s">
        <v>69</v>
      </c>
      <c r="P41" t="s">
        <v>6302</v>
      </c>
      <c r="Q41" t="s">
        <v>6303</v>
      </c>
      <c r="R41" t="s">
        <v>69</v>
      </c>
      <c r="S41" t="s">
        <v>69</v>
      </c>
      <c r="T41" t="s">
        <v>8505</v>
      </c>
      <c r="U41" t="s">
        <v>8506</v>
      </c>
      <c r="V41" t="s">
        <v>69</v>
      </c>
      <c r="W41" t="s">
        <v>69</v>
      </c>
      <c r="X41" t="s">
        <v>69</v>
      </c>
      <c r="Y41" t="s">
        <v>69</v>
      </c>
      <c r="Z41" t="s">
        <v>69</v>
      </c>
      <c r="AA41" t="s">
        <v>69</v>
      </c>
      <c r="AB41" t="s">
        <v>69</v>
      </c>
      <c r="AC41" t="s">
        <v>6304</v>
      </c>
      <c r="AD41" t="s">
        <v>22794</v>
      </c>
      <c r="AE41" t="s">
        <v>69</v>
      </c>
      <c r="AF41" t="s">
        <v>22795</v>
      </c>
      <c r="AG41" t="s">
        <v>22796</v>
      </c>
      <c r="AH41" t="s">
        <v>69</v>
      </c>
      <c r="AI41" t="s">
        <v>69</v>
      </c>
      <c r="AJ41" t="s">
        <v>69</v>
      </c>
      <c r="AK41" t="s">
        <v>69</v>
      </c>
      <c r="AL41" t="s">
        <v>69</v>
      </c>
      <c r="AM41" t="s">
        <v>69</v>
      </c>
      <c r="AN41">
        <v>23</v>
      </c>
      <c r="AO41">
        <v>2</v>
      </c>
      <c r="AP41">
        <v>2</v>
      </c>
      <c r="AQ41">
        <v>1</v>
      </c>
      <c r="AR41">
        <v>4</v>
      </c>
      <c r="AS41" t="s">
        <v>8865</v>
      </c>
      <c r="AT41" t="s">
        <v>8612</v>
      </c>
      <c r="AU41" t="s">
        <v>8866</v>
      </c>
      <c r="AV41" t="s">
        <v>6305</v>
      </c>
      <c r="AW41" t="s">
        <v>6306</v>
      </c>
      <c r="AX41" t="s">
        <v>69</v>
      </c>
      <c r="AY41" t="s">
        <v>6303</v>
      </c>
      <c r="AZ41" t="s">
        <v>22797</v>
      </c>
      <c r="BA41" t="s">
        <v>4530</v>
      </c>
      <c r="BB41">
        <v>2015</v>
      </c>
      <c r="BC41">
        <v>51</v>
      </c>
      <c r="BD41">
        <v>2</v>
      </c>
      <c r="BE41" t="s">
        <v>69</v>
      </c>
      <c r="BF41" t="s">
        <v>69</v>
      </c>
      <c r="BG41" t="s">
        <v>69</v>
      </c>
      <c r="BH41" t="s">
        <v>69</v>
      </c>
      <c r="BI41">
        <v>16</v>
      </c>
      <c r="BJ41">
        <v>27</v>
      </c>
      <c r="BK41" t="s">
        <v>69</v>
      </c>
      <c r="BL41" t="s">
        <v>6307</v>
      </c>
      <c r="BM41" t="str">
        <f>HYPERLINK("http://dx.doi.org/10.1080/02513625.2015.1064644","http://dx.doi.org/10.1080/02513625.2015.1064644")</f>
        <v>http://dx.doi.org/10.1080/02513625.2015.1064644</v>
      </c>
      <c r="BN41" t="s">
        <v>69</v>
      </c>
      <c r="BO41" t="s">
        <v>69</v>
      </c>
      <c r="BP41">
        <v>12</v>
      </c>
      <c r="BQ41" t="s">
        <v>14187</v>
      </c>
      <c r="BR41" t="s">
        <v>8661</v>
      </c>
      <c r="BS41" t="s">
        <v>12182</v>
      </c>
      <c r="BT41" t="s">
        <v>22798</v>
      </c>
      <c r="BU41" t="s">
        <v>6308</v>
      </c>
      <c r="BV41" t="s">
        <v>69</v>
      </c>
      <c r="BW41" t="s">
        <v>10423</v>
      </c>
      <c r="BX41" t="s">
        <v>69</v>
      </c>
      <c r="BY41" t="s">
        <v>69</v>
      </c>
      <c r="BZ41" t="s">
        <v>8526</v>
      </c>
      <c r="CA41" t="str">
        <f>HYPERLINK("https%3A%2F%2Fwww.webofscience.com%2Fwos%2Fwoscc%2Ffull-record%2FWOS:000359695300004","View Full Record in Web of Science")</f>
        <v>View Full Record in Web of Science</v>
      </c>
    </row>
    <row r="42" spans="2:79" ht="12.5" x14ac:dyDescent="0.25">
      <c r="B42" t="s">
        <v>8495</v>
      </c>
      <c r="D42" s="22" t="s">
        <v>32931</v>
      </c>
      <c r="E42" s="7"/>
      <c r="F42" s="7"/>
      <c r="G42" s="7"/>
      <c r="H42" t="s">
        <v>67</v>
      </c>
      <c r="I42" t="s">
        <v>19125</v>
      </c>
      <c r="J42" t="s">
        <v>69</v>
      </c>
      <c r="K42" t="s">
        <v>69</v>
      </c>
      <c r="L42" t="s">
        <v>69</v>
      </c>
      <c r="M42" t="s">
        <v>19126</v>
      </c>
      <c r="N42" t="s">
        <v>69</v>
      </c>
      <c r="O42" t="s">
        <v>69</v>
      </c>
      <c r="P42" t="s">
        <v>19127</v>
      </c>
      <c r="Q42" t="s">
        <v>19128</v>
      </c>
      <c r="R42" t="s">
        <v>69</v>
      </c>
      <c r="S42" t="s">
        <v>69</v>
      </c>
      <c r="T42" t="s">
        <v>8505</v>
      </c>
      <c r="U42" t="s">
        <v>8506</v>
      </c>
      <c r="V42" t="s">
        <v>69</v>
      </c>
      <c r="W42" t="s">
        <v>69</v>
      </c>
      <c r="X42" t="s">
        <v>69</v>
      </c>
      <c r="Y42" t="s">
        <v>69</v>
      </c>
      <c r="Z42" t="s">
        <v>69</v>
      </c>
      <c r="AA42" t="s">
        <v>19129</v>
      </c>
      <c r="AB42" t="s">
        <v>19130</v>
      </c>
      <c r="AC42" t="s">
        <v>19131</v>
      </c>
      <c r="AD42" t="s">
        <v>19132</v>
      </c>
      <c r="AE42" t="s">
        <v>69</v>
      </c>
      <c r="AF42" t="s">
        <v>19133</v>
      </c>
      <c r="AG42" t="s">
        <v>19134</v>
      </c>
      <c r="AH42" t="s">
        <v>1904</v>
      </c>
      <c r="AI42" t="s">
        <v>19135</v>
      </c>
      <c r="AJ42" t="s">
        <v>69</v>
      </c>
      <c r="AK42" t="s">
        <v>69</v>
      </c>
      <c r="AL42" t="s">
        <v>69</v>
      </c>
      <c r="AM42" t="s">
        <v>69</v>
      </c>
      <c r="AN42">
        <v>62</v>
      </c>
      <c r="AO42">
        <v>34</v>
      </c>
      <c r="AP42">
        <v>34</v>
      </c>
      <c r="AQ42">
        <v>1</v>
      </c>
      <c r="AR42">
        <v>15</v>
      </c>
      <c r="AS42" t="s">
        <v>8636</v>
      </c>
      <c r="AT42" t="s">
        <v>8637</v>
      </c>
      <c r="AU42" t="s">
        <v>8638</v>
      </c>
      <c r="AV42" t="s">
        <v>19136</v>
      </c>
      <c r="AW42" t="s">
        <v>19137</v>
      </c>
      <c r="AX42" t="s">
        <v>69</v>
      </c>
      <c r="AY42" t="s">
        <v>19138</v>
      </c>
      <c r="AZ42" t="s">
        <v>19139</v>
      </c>
      <c r="BA42" t="s">
        <v>1384</v>
      </c>
      <c r="BB42">
        <v>2018</v>
      </c>
      <c r="BC42">
        <v>212</v>
      </c>
      <c r="BD42" t="s">
        <v>69</v>
      </c>
      <c r="BE42" t="s">
        <v>69</v>
      </c>
      <c r="BF42" t="s">
        <v>69</v>
      </c>
      <c r="BG42" t="s">
        <v>69</v>
      </c>
      <c r="BH42" t="s">
        <v>69</v>
      </c>
      <c r="BI42">
        <v>428</v>
      </c>
      <c r="BJ42">
        <v>442</v>
      </c>
      <c r="BK42" t="s">
        <v>69</v>
      </c>
      <c r="BL42" t="s">
        <v>19140</v>
      </c>
      <c r="BM42" t="str">
        <f>HYPERLINK("http://dx.doi.org/10.1016/j.apenergy.2017.12.066","http://dx.doi.org/10.1016/j.apenergy.2017.12.066")</f>
        <v>http://dx.doi.org/10.1016/j.apenergy.2017.12.066</v>
      </c>
      <c r="BN42" t="s">
        <v>69</v>
      </c>
      <c r="BO42" t="s">
        <v>69</v>
      </c>
      <c r="BP42">
        <v>15</v>
      </c>
      <c r="BQ42" t="s">
        <v>19141</v>
      </c>
      <c r="BR42" t="s">
        <v>8548</v>
      </c>
      <c r="BS42" t="s">
        <v>19142</v>
      </c>
      <c r="BT42" t="s">
        <v>19143</v>
      </c>
      <c r="BU42" t="s">
        <v>19144</v>
      </c>
      <c r="BV42" t="s">
        <v>69</v>
      </c>
      <c r="BW42" t="s">
        <v>8622</v>
      </c>
      <c r="BX42" t="s">
        <v>69</v>
      </c>
      <c r="BY42" t="s">
        <v>69</v>
      </c>
      <c r="BZ42" t="s">
        <v>8526</v>
      </c>
      <c r="CA42" t="str">
        <f>HYPERLINK("https%3A%2F%2Fwww.webofscience.com%2Fwos%2Fwoscc%2Ffull-record%2FWOS:000425200700031","View Full Record in Web of Science")</f>
        <v>View Full Record in Web of Science</v>
      </c>
    </row>
    <row r="43" spans="2:79" ht="12.5" x14ac:dyDescent="0.25">
      <c r="B43" t="s">
        <v>8495</v>
      </c>
      <c r="D43" s="7" t="s">
        <v>32933</v>
      </c>
      <c r="E43" s="7"/>
      <c r="F43" s="7"/>
      <c r="G43" s="7"/>
      <c r="H43" t="s">
        <v>67</v>
      </c>
      <c r="I43" t="s">
        <v>6107</v>
      </c>
      <c r="J43" t="s">
        <v>69</v>
      </c>
      <c r="K43" t="s">
        <v>69</v>
      </c>
      <c r="L43" t="s">
        <v>69</v>
      </c>
      <c r="M43" t="s">
        <v>6108</v>
      </c>
      <c r="N43" t="s">
        <v>69</v>
      </c>
      <c r="O43" t="s">
        <v>69</v>
      </c>
      <c r="P43" t="s">
        <v>6109</v>
      </c>
      <c r="Q43" t="s">
        <v>352</v>
      </c>
      <c r="R43" t="s">
        <v>69</v>
      </c>
      <c r="S43" t="s">
        <v>69</v>
      </c>
      <c r="T43" t="s">
        <v>8505</v>
      </c>
      <c r="U43" t="s">
        <v>8506</v>
      </c>
      <c r="V43" t="s">
        <v>69</v>
      </c>
      <c r="W43" t="s">
        <v>69</v>
      </c>
      <c r="X43" t="s">
        <v>69</v>
      </c>
      <c r="Y43" t="s">
        <v>69</v>
      </c>
      <c r="Z43" t="s">
        <v>69</v>
      </c>
      <c r="AA43" t="s">
        <v>18568</v>
      </c>
      <c r="AB43" t="s">
        <v>18569</v>
      </c>
      <c r="AC43" t="s">
        <v>6110</v>
      </c>
      <c r="AD43" t="s">
        <v>18570</v>
      </c>
      <c r="AE43" t="s">
        <v>69</v>
      </c>
      <c r="AF43" t="s">
        <v>18571</v>
      </c>
      <c r="AG43" t="s">
        <v>18572</v>
      </c>
      <c r="AH43" t="s">
        <v>69</v>
      </c>
      <c r="AI43" t="s">
        <v>69</v>
      </c>
      <c r="AJ43" t="s">
        <v>69</v>
      </c>
      <c r="AK43" t="s">
        <v>69</v>
      </c>
      <c r="AL43" t="s">
        <v>69</v>
      </c>
      <c r="AM43" t="s">
        <v>69</v>
      </c>
      <c r="AN43">
        <v>28</v>
      </c>
      <c r="AO43">
        <v>2</v>
      </c>
      <c r="AP43">
        <v>2</v>
      </c>
      <c r="AQ43">
        <v>3</v>
      </c>
      <c r="AR43">
        <v>16</v>
      </c>
      <c r="AS43" t="s">
        <v>8924</v>
      </c>
      <c r="AT43" t="s">
        <v>8925</v>
      </c>
      <c r="AU43" t="s">
        <v>8926</v>
      </c>
      <c r="AV43" t="s">
        <v>69</v>
      </c>
      <c r="AW43" t="s">
        <v>354</v>
      </c>
      <c r="AX43" t="s">
        <v>69</v>
      </c>
      <c r="AY43" t="s">
        <v>8958</v>
      </c>
      <c r="AZ43" t="s">
        <v>8434</v>
      </c>
      <c r="BA43" t="s">
        <v>84</v>
      </c>
      <c r="BB43">
        <v>2018</v>
      </c>
      <c r="BC43">
        <v>10</v>
      </c>
      <c r="BD43">
        <v>7</v>
      </c>
      <c r="BE43" t="s">
        <v>69</v>
      </c>
      <c r="BF43" t="s">
        <v>69</v>
      </c>
      <c r="BG43" t="s">
        <v>69</v>
      </c>
      <c r="BH43" t="s">
        <v>69</v>
      </c>
      <c r="BI43" t="s">
        <v>69</v>
      </c>
      <c r="BJ43" t="s">
        <v>69</v>
      </c>
      <c r="BK43">
        <v>2354</v>
      </c>
      <c r="BL43" t="s">
        <v>6111</v>
      </c>
      <c r="BM43" t="str">
        <f>HYPERLINK("http://dx.doi.org/10.3390/su10072354","http://dx.doi.org/10.3390/su10072354")</f>
        <v>http://dx.doi.org/10.3390/su10072354</v>
      </c>
      <c r="BN43" t="s">
        <v>69</v>
      </c>
      <c r="BO43" t="s">
        <v>69</v>
      </c>
      <c r="BP43">
        <v>11</v>
      </c>
      <c r="BQ43" t="s">
        <v>8960</v>
      </c>
      <c r="BR43" t="s">
        <v>8523</v>
      </c>
      <c r="BS43" t="s">
        <v>8961</v>
      </c>
      <c r="BT43" t="s">
        <v>18573</v>
      </c>
      <c r="BU43" t="s">
        <v>6112</v>
      </c>
      <c r="BV43" t="s">
        <v>69</v>
      </c>
      <c r="BW43" t="s">
        <v>8812</v>
      </c>
      <c r="BX43" t="s">
        <v>69</v>
      </c>
      <c r="BY43" t="s">
        <v>69</v>
      </c>
      <c r="BZ43" t="s">
        <v>8526</v>
      </c>
      <c r="CA43" t="str">
        <f>HYPERLINK("https%3A%2F%2Fwww.webofscience.com%2Fwos%2Fwoscc%2Ffull-record%2FWOS:000440947600245","View Full Record in Web of Science")</f>
        <v>View Full Record in Web of Science</v>
      </c>
    </row>
    <row r="44" spans="2:79" ht="12.5" x14ac:dyDescent="0.25">
      <c r="B44" t="s">
        <v>8495</v>
      </c>
      <c r="D44" s="22" t="s">
        <v>32931</v>
      </c>
      <c r="E44" s="7"/>
      <c r="F44" s="7"/>
      <c r="G44" s="7"/>
      <c r="H44" t="s">
        <v>67</v>
      </c>
      <c r="I44" t="s">
        <v>11098</v>
      </c>
      <c r="J44" t="s">
        <v>69</v>
      </c>
      <c r="K44" t="s">
        <v>69</v>
      </c>
      <c r="L44" t="s">
        <v>69</v>
      </c>
      <c r="M44" t="s">
        <v>11099</v>
      </c>
      <c r="N44" t="s">
        <v>69</v>
      </c>
      <c r="O44" t="s">
        <v>69</v>
      </c>
      <c r="P44" t="s">
        <v>11100</v>
      </c>
      <c r="Q44" t="s">
        <v>11101</v>
      </c>
      <c r="R44" t="s">
        <v>69</v>
      </c>
      <c r="S44" t="s">
        <v>69</v>
      </c>
      <c r="T44" t="s">
        <v>8505</v>
      </c>
      <c r="U44" t="s">
        <v>8506</v>
      </c>
      <c r="V44" t="s">
        <v>69</v>
      </c>
      <c r="W44" t="s">
        <v>69</v>
      </c>
      <c r="X44" t="s">
        <v>69</v>
      </c>
      <c r="Y44" t="s">
        <v>69</v>
      </c>
      <c r="Z44" t="s">
        <v>69</v>
      </c>
      <c r="AA44" t="s">
        <v>11102</v>
      </c>
      <c r="AB44" t="s">
        <v>11103</v>
      </c>
      <c r="AC44" t="s">
        <v>11104</v>
      </c>
      <c r="AD44" t="s">
        <v>11105</v>
      </c>
      <c r="AE44" t="s">
        <v>69</v>
      </c>
      <c r="AF44" t="s">
        <v>11106</v>
      </c>
      <c r="AG44" t="s">
        <v>11107</v>
      </c>
      <c r="AH44" t="s">
        <v>69</v>
      </c>
      <c r="AI44" t="s">
        <v>11108</v>
      </c>
      <c r="AJ44" t="s">
        <v>69</v>
      </c>
      <c r="AK44" t="s">
        <v>69</v>
      </c>
      <c r="AL44" t="s">
        <v>69</v>
      </c>
      <c r="AM44" t="s">
        <v>69</v>
      </c>
      <c r="AN44">
        <v>114</v>
      </c>
      <c r="AO44">
        <v>1</v>
      </c>
      <c r="AP44">
        <v>1</v>
      </c>
      <c r="AQ44">
        <v>4</v>
      </c>
      <c r="AR44">
        <v>5</v>
      </c>
      <c r="AS44" t="s">
        <v>8846</v>
      </c>
      <c r="AT44" t="s">
        <v>8847</v>
      </c>
      <c r="AU44" t="s">
        <v>8848</v>
      </c>
      <c r="AV44" t="s">
        <v>11109</v>
      </c>
      <c r="AW44" t="s">
        <v>11110</v>
      </c>
      <c r="AX44" t="s">
        <v>69</v>
      </c>
      <c r="AY44" t="s">
        <v>11111</v>
      </c>
      <c r="AZ44" t="s">
        <v>11112</v>
      </c>
      <c r="BA44" t="s">
        <v>373</v>
      </c>
      <c r="BB44">
        <v>2022</v>
      </c>
      <c r="BC44">
        <v>59</v>
      </c>
      <c r="BD44">
        <v>1</v>
      </c>
      <c r="BE44" t="s">
        <v>69</v>
      </c>
      <c r="BF44" t="s">
        <v>69</v>
      </c>
      <c r="BG44" t="s">
        <v>114</v>
      </c>
      <c r="BH44" t="s">
        <v>69</v>
      </c>
      <c r="BI44">
        <v>14</v>
      </c>
      <c r="BJ44">
        <v>33</v>
      </c>
      <c r="BK44" t="s">
        <v>69</v>
      </c>
      <c r="BL44" t="s">
        <v>11113</v>
      </c>
      <c r="BM44" t="str">
        <f>HYPERLINK("http://dx.doi.org/10.1002/pits.22593","http://dx.doi.org/10.1002/pits.22593")</f>
        <v>http://dx.doi.org/10.1002/pits.22593</v>
      </c>
      <c r="BN44" t="s">
        <v>69</v>
      </c>
      <c r="BO44" t="s">
        <v>10991</v>
      </c>
      <c r="BP44">
        <v>20</v>
      </c>
      <c r="BQ44" t="s">
        <v>11114</v>
      </c>
      <c r="BR44" t="s">
        <v>8661</v>
      </c>
      <c r="BS44" t="s">
        <v>9001</v>
      </c>
      <c r="BT44" t="s">
        <v>11115</v>
      </c>
      <c r="BU44" t="s">
        <v>11116</v>
      </c>
      <c r="BV44" t="s">
        <v>69</v>
      </c>
      <c r="BW44" t="s">
        <v>69</v>
      </c>
      <c r="BX44" t="s">
        <v>69</v>
      </c>
      <c r="BY44" t="s">
        <v>69</v>
      </c>
      <c r="BZ44" t="s">
        <v>8526</v>
      </c>
      <c r="CA44" t="str">
        <f>HYPERLINK("https%3A%2F%2Fwww.webofscience.com%2Fwos%2Fwoscc%2Ffull-record%2FWOS:000705113400001","View Full Record in Web of Science")</f>
        <v>View Full Record in Web of Science</v>
      </c>
    </row>
    <row r="45" spans="2:79" ht="12.5" x14ac:dyDescent="0.25">
      <c r="B45" t="s">
        <v>8495</v>
      </c>
      <c r="D45" s="22" t="s">
        <v>32931</v>
      </c>
      <c r="E45" s="7"/>
      <c r="F45" s="7"/>
      <c r="G45" s="7"/>
      <c r="H45" t="s">
        <v>67</v>
      </c>
      <c r="I45" t="s">
        <v>11508</v>
      </c>
      <c r="J45" t="s">
        <v>69</v>
      </c>
      <c r="K45" t="s">
        <v>69</v>
      </c>
      <c r="L45" t="s">
        <v>69</v>
      </c>
      <c r="M45" t="s">
        <v>11509</v>
      </c>
      <c r="N45" t="s">
        <v>69</v>
      </c>
      <c r="O45" t="s">
        <v>69</v>
      </c>
      <c r="P45" t="s">
        <v>11510</v>
      </c>
      <c r="Q45" t="s">
        <v>11511</v>
      </c>
      <c r="R45" t="s">
        <v>69</v>
      </c>
      <c r="S45" t="s">
        <v>69</v>
      </c>
      <c r="T45" t="s">
        <v>8505</v>
      </c>
      <c r="U45" t="s">
        <v>8556</v>
      </c>
      <c r="V45" t="s">
        <v>69</v>
      </c>
      <c r="W45" t="s">
        <v>69</v>
      </c>
      <c r="X45" t="s">
        <v>69</v>
      </c>
      <c r="Y45" t="s">
        <v>69</v>
      </c>
      <c r="Z45" t="s">
        <v>69</v>
      </c>
      <c r="AA45" t="s">
        <v>11512</v>
      </c>
      <c r="AB45" t="s">
        <v>11513</v>
      </c>
      <c r="AC45" t="s">
        <v>11514</v>
      </c>
      <c r="AD45" t="s">
        <v>11515</v>
      </c>
      <c r="AE45" t="s">
        <v>69</v>
      </c>
      <c r="AF45" t="s">
        <v>11516</v>
      </c>
      <c r="AG45" t="s">
        <v>11517</v>
      </c>
      <c r="AH45" t="s">
        <v>69</v>
      </c>
      <c r="AI45" t="s">
        <v>11518</v>
      </c>
      <c r="AJ45" t="s">
        <v>69</v>
      </c>
      <c r="AK45" t="s">
        <v>69</v>
      </c>
      <c r="AL45" t="s">
        <v>69</v>
      </c>
      <c r="AM45" t="s">
        <v>69</v>
      </c>
      <c r="AN45">
        <v>84</v>
      </c>
      <c r="AO45">
        <v>0</v>
      </c>
      <c r="AP45">
        <v>0</v>
      </c>
      <c r="AQ45">
        <v>1</v>
      </c>
      <c r="AR45">
        <v>4</v>
      </c>
      <c r="AS45" t="s">
        <v>8865</v>
      </c>
      <c r="AT45" t="s">
        <v>8612</v>
      </c>
      <c r="AU45" t="s">
        <v>8866</v>
      </c>
      <c r="AV45" t="s">
        <v>11519</v>
      </c>
      <c r="AW45" t="s">
        <v>11520</v>
      </c>
      <c r="AX45" t="s">
        <v>69</v>
      </c>
      <c r="AY45" t="s">
        <v>11521</v>
      </c>
      <c r="AZ45" t="s">
        <v>11522</v>
      </c>
      <c r="BA45" t="s">
        <v>69</v>
      </c>
      <c r="BB45" t="s">
        <v>69</v>
      </c>
      <c r="BC45" t="s">
        <v>69</v>
      </c>
      <c r="BD45" t="s">
        <v>69</v>
      </c>
      <c r="BE45" t="s">
        <v>69</v>
      </c>
      <c r="BF45" t="s">
        <v>69</v>
      </c>
      <c r="BG45" t="s">
        <v>69</v>
      </c>
      <c r="BH45" t="s">
        <v>69</v>
      </c>
      <c r="BI45" t="s">
        <v>69</v>
      </c>
      <c r="BJ45" t="s">
        <v>69</v>
      </c>
      <c r="BK45" t="s">
        <v>69</v>
      </c>
      <c r="BL45" t="s">
        <v>11523</v>
      </c>
      <c r="BM45" t="str">
        <f>HYPERLINK("http://dx.doi.org/10.1080/10291954.2021.1938882","http://dx.doi.org/10.1080/10291954.2021.1938882")</f>
        <v>http://dx.doi.org/10.1080/10291954.2021.1938882</v>
      </c>
      <c r="BN45" t="s">
        <v>69</v>
      </c>
      <c r="BO45" t="s">
        <v>11486</v>
      </c>
      <c r="BP45">
        <v>18</v>
      </c>
      <c r="BQ45" t="s">
        <v>9749</v>
      </c>
      <c r="BR45" t="s">
        <v>8573</v>
      </c>
      <c r="BS45" t="s">
        <v>8594</v>
      </c>
      <c r="BT45" t="s">
        <v>11524</v>
      </c>
      <c r="BU45" t="s">
        <v>11525</v>
      </c>
      <c r="BV45" t="s">
        <v>69</v>
      </c>
      <c r="BW45" t="s">
        <v>69</v>
      </c>
      <c r="BX45" t="s">
        <v>69</v>
      </c>
      <c r="BY45" t="s">
        <v>69</v>
      </c>
      <c r="BZ45" t="s">
        <v>8526</v>
      </c>
      <c r="CA45" t="str">
        <f>HYPERLINK("https%3A%2F%2Fwww.webofscience.com%2Fwos%2Fwoscc%2Ffull-record%2FWOS:000690311600001","View Full Record in Web of Science")</f>
        <v>View Full Record in Web of Science</v>
      </c>
    </row>
    <row r="46" spans="2:79" ht="12.5" x14ac:dyDescent="0.25">
      <c r="B46" t="s">
        <v>8495</v>
      </c>
      <c r="D46" s="11" t="s">
        <v>32936</v>
      </c>
      <c r="E46" s="7" t="s">
        <v>33080</v>
      </c>
      <c r="F46" s="7"/>
      <c r="G46" s="7" t="s">
        <v>8490</v>
      </c>
      <c r="H46" t="s">
        <v>67</v>
      </c>
      <c r="I46" t="s">
        <v>10818</v>
      </c>
      <c r="J46" t="s">
        <v>69</v>
      </c>
      <c r="K46" t="s">
        <v>69</v>
      </c>
      <c r="L46" t="s">
        <v>69</v>
      </c>
      <c r="M46" t="s">
        <v>10819</v>
      </c>
      <c r="N46" t="s">
        <v>69</v>
      </c>
      <c r="O46" t="s">
        <v>69</v>
      </c>
      <c r="P46" t="s">
        <v>10820</v>
      </c>
      <c r="Q46" t="s">
        <v>715</v>
      </c>
      <c r="R46" t="s">
        <v>69</v>
      </c>
      <c r="S46" t="s">
        <v>69</v>
      </c>
      <c r="T46" t="s">
        <v>8505</v>
      </c>
      <c r="U46" t="s">
        <v>8506</v>
      </c>
      <c r="V46" t="s">
        <v>69</v>
      </c>
      <c r="W46" t="s">
        <v>69</v>
      </c>
      <c r="X46" t="s">
        <v>69</v>
      </c>
      <c r="Y46" t="s">
        <v>69</v>
      </c>
      <c r="Z46" t="s">
        <v>69</v>
      </c>
      <c r="AA46" t="s">
        <v>10821</v>
      </c>
      <c r="AB46" t="s">
        <v>10822</v>
      </c>
      <c r="AC46" t="s">
        <v>10823</v>
      </c>
      <c r="AD46" t="s">
        <v>10824</v>
      </c>
      <c r="AE46" t="s">
        <v>69</v>
      </c>
      <c r="AF46" t="s">
        <v>10825</v>
      </c>
      <c r="AG46" t="s">
        <v>10826</v>
      </c>
      <c r="AH46" t="s">
        <v>10827</v>
      </c>
      <c r="AI46" t="s">
        <v>10828</v>
      </c>
      <c r="AJ46" t="s">
        <v>69</v>
      </c>
      <c r="AK46" t="s">
        <v>69</v>
      </c>
      <c r="AL46" t="s">
        <v>69</v>
      </c>
      <c r="AM46" t="s">
        <v>69</v>
      </c>
      <c r="AN46">
        <v>103</v>
      </c>
      <c r="AO46">
        <v>5</v>
      </c>
      <c r="AP46">
        <v>5</v>
      </c>
      <c r="AQ46">
        <v>4</v>
      </c>
      <c r="AR46">
        <v>14</v>
      </c>
      <c r="AS46" t="s">
        <v>8846</v>
      </c>
      <c r="AT46" t="s">
        <v>8847</v>
      </c>
      <c r="AU46" t="s">
        <v>8848</v>
      </c>
      <c r="AV46" t="s">
        <v>719</v>
      </c>
      <c r="AW46" t="s">
        <v>720</v>
      </c>
      <c r="AX46" t="s">
        <v>69</v>
      </c>
      <c r="AY46" t="s">
        <v>9110</v>
      </c>
      <c r="AZ46" t="s">
        <v>9111</v>
      </c>
      <c r="BA46" t="s">
        <v>94</v>
      </c>
      <c r="BB46">
        <v>2022</v>
      </c>
      <c r="BC46">
        <v>31</v>
      </c>
      <c r="BD46">
        <v>3</v>
      </c>
      <c r="BE46" t="s">
        <v>69</v>
      </c>
      <c r="BF46" t="s">
        <v>69</v>
      </c>
      <c r="BG46" t="s">
        <v>69</v>
      </c>
      <c r="BH46" t="s">
        <v>69</v>
      </c>
      <c r="BI46">
        <v>1074</v>
      </c>
      <c r="BJ46">
        <v>1090</v>
      </c>
      <c r="BK46" t="s">
        <v>69</v>
      </c>
      <c r="BL46" t="s">
        <v>10829</v>
      </c>
      <c r="BM46" t="str">
        <f>HYPERLINK("http://dx.doi.org/10.1002/bse.2936","http://dx.doi.org/10.1002/bse.2936")</f>
        <v>http://dx.doi.org/10.1002/bse.2936</v>
      </c>
      <c r="BN46" t="s">
        <v>69</v>
      </c>
      <c r="BO46" t="s">
        <v>10646</v>
      </c>
      <c r="BP46">
        <v>17</v>
      </c>
      <c r="BQ46" t="s">
        <v>9113</v>
      </c>
      <c r="BR46" t="s">
        <v>8661</v>
      </c>
      <c r="BS46" t="s">
        <v>9114</v>
      </c>
      <c r="BT46" t="s">
        <v>10830</v>
      </c>
      <c r="BU46" t="s">
        <v>10831</v>
      </c>
      <c r="BV46" t="s">
        <v>69</v>
      </c>
      <c r="BW46" t="s">
        <v>69</v>
      </c>
      <c r="BX46" t="s">
        <v>69</v>
      </c>
      <c r="BY46" t="s">
        <v>69</v>
      </c>
      <c r="BZ46" t="s">
        <v>8526</v>
      </c>
      <c r="CA46" t="str">
        <f>HYPERLINK("https%3A%2F%2Fwww.webofscience.com%2Fwos%2Fwoscc%2Ffull-record%2FWOS:000715878300001","View Full Record in Web of Science")</f>
        <v>View Full Record in Web of Science</v>
      </c>
    </row>
    <row r="47" spans="2:79" ht="12.5" x14ac:dyDescent="0.25">
      <c r="B47" t="s">
        <v>8495</v>
      </c>
      <c r="D47" s="7" t="s">
        <v>32933</v>
      </c>
      <c r="E47" s="7"/>
      <c r="F47" s="7"/>
      <c r="G47" s="7"/>
      <c r="H47" t="s">
        <v>67</v>
      </c>
      <c r="I47" t="s">
        <v>5111</v>
      </c>
      <c r="J47" t="s">
        <v>69</v>
      </c>
      <c r="K47" t="s">
        <v>69</v>
      </c>
      <c r="L47" t="s">
        <v>69</v>
      </c>
      <c r="M47" t="s">
        <v>5112</v>
      </c>
      <c r="N47" t="s">
        <v>69</v>
      </c>
      <c r="O47" t="s">
        <v>69</v>
      </c>
      <c r="P47" t="s">
        <v>5113</v>
      </c>
      <c r="Q47" t="s">
        <v>4337</v>
      </c>
      <c r="R47" t="s">
        <v>69</v>
      </c>
      <c r="S47" t="s">
        <v>69</v>
      </c>
      <c r="T47" t="s">
        <v>8505</v>
      </c>
      <c r="U47" t="s">
        <v>8506</v>
      </c>
      <c r="V47" t="s">
        <v>69</v>
      </c>
      <c r="W47" t="s">
        <v>69</v>
      </c>
      <c r="X47" t="s">
        <v>69</v>
      </c>
      <c r="Y47" t="s">
        <v>69</v>
      </c>
      <c r="Z47" t="s">
        <v>69</v>
      </c>
      <c r="AA47" t="s">
        <v>26709</v>
      </c>
      <c r="AB47" t="s">
        <v>26710</v>
      </c>
      <c r="AC47" t="s">
        <v>5114</v>
      </c>
      <c r="AD47" t="s">
        <v>26711</v>
      </c>
      <c r="AE47" t="s">
        <v>69</v>
      </c>
      <c r="AF47" t="s">
        <v>26712</v>
      </c>
      <c r="AG47" t="s">
        <v>26713</v>
      </c>
      <c r="AH47" t="s">
        <v>69</v>
      </c>
      <c r="AI47" t="s">
        <v>69</v>
      </c>
      <c r="AJ47" t="s">
        <v>69</v>
      </c>
      <c r="AK47" t="s">
        <v>69</v>
      </c>
      <c r="AL47" t="s">
        <v>69</v>
      </c>
      <c r="AM47" t="s">
        <v>69</v>
      </c>
      <c r="AN47">
        <v>23</v>
      </c>
      <c r="AO47">
        <v>5</v>
      </c>
      <c r="AP47">
        <v>6</v>
      </c>
      <c r="AQ47">
        <v>1</v>
      </c>
      <c r="AR47">
        <v>22</v>
      </c>
      <c r="AS47" t="s">
        <v>8636</v>
      </c>
      <c r="AT47" t="s">
        <v>8637</v>
      </c>
      <c r="AU47" t="s">
        <v>8638</v>
      </c>
      <c r="AV47" t="s">
        <v>4341</v>
      </c>
      <c r="AW47" t="s">
        <v>69</v>
      </c>
      <c r="AX47" t="s">
        <v>69</v>
      </c>
      <c r="AY47" t="s">
        <v>4337</v>
      </c>
      <c r="AZ47" t="s">
        <v>8447</v>
      </c>
      <c r="BA47" t="s">
        <v>75</v>
      </c>
      <c r="BB47">
        <v>2011</v>
      </c>
      <c r="BC47">
        <v>28</v>
      </c>
      <c r="BD47">
        <v>6</v>
      </c>
      <c r="BE47" t="s">
        <v>69</v>
      </c>
      <c r="BF47" t="s">
        <v>69</v>
      </c>
      <c r="BG47" t="s">
        <v>114</v>
      </c>
      <c r="BH47" t="s">
        <v>69</v>
      </c>
      <c r="BI47">
        <v>567</v>
      </c>
      <c r="BJ47">
        <v>575</v>
      </c>
      <c r="BK47" t="s">
        <v>69</v>
      </c>
      <c r="BL47" t="s">
        <v>5115</v>
      </c>
      <c r="BM47" t="str">
        <f>HYPERLINK("http://dx.doi.org/10.1016/j.cities.2011.06.002","http://dx.doi.org/10.1016/j.cities.2011.06.002")</f>
        <v>http://dx.doi.org/10.1016/j.cities.2011.06.002</v>
      </c>
      <c r="BN47" t="s">
        <v>69</v>
      </c>
      <c r="BO47" t="s">
        <v>69</v>
      </c>
      <c r="BP47">
        <v>9</v>
      </c>
      <c r="BQ47" t="s">
        <v>8475</v>
      </c>
      <c r="BR47" t="s">
        <v>8661</v>
      </c>
      <c r="BS47" t="s">
        <v>8475</v>
      </c>
      <c r="BT47" t="s">
        <v>26714</v>
      </c>
      <c r="BU47" t="s">
        <v>5116</v>
      </c>
      <c r="BV47" t="s">
        <v>69</v>
      </c>
      <c r="BW47" t="s">
        <v>69</v>
      </c>
      <c r="BX47" t="s">
        <v>69</v>
      </c>
      <c r="BY47" t="s">
        <v>69</v>
      </c>
      <c r="BZ47" t="s">
        <v>8526</v>
      </c>
      <c r="CA47" t="str">
        <f>HYPERLINK("https%3A%2F%2Fwww.webofscience.com%2Fwos%2Fwoscc%2Ffull-record%2FWOS:000296488100009","View Full Record in Web of Science")</f>
        <v>View Full Record in Web of Science</v>
      </c>
    </row>
    <row r="48" spans="2:79" ht="12.5" x14ac:dyDescent="0.25">
      <c r="B48" t="s">
        <v>8495</v>
      </c>
      <c r="D48" s="22" t="s">
        <v>32931</v>
      </c>
      <c r="E48" s="7"/>
      <c r="F48" s="7"/>
      <c r="G48" s="7"/>
      <c r="H48" t="s">
        <v>67</v>
      </c>
      <c r="I48" t="s">
        <v>27289</v>
      </c>
      <c r="J48" t="s">
        <v>69</v>
      </c>
      <c r="K48" t="s">
        <v>69</v>
      </c>
      <c r="L48" t="s">
        <v>69</v>
      </c>
      <c r="M48" t="s">
        <v>27290</v>
      </c>
      <c r="N48" t="s">
        <v>69</v>
      </c>
      <c r="O48" t="s">
        <v>69</v>
      </c>
      <c r="P48" t="s">
        <v>27291</v>
      </c>
      <c r="Q48" t="s">
        <v>387</v>
      </c>
      <c r="R48" t="s">
        <v>69</v>
      </c>
      <c r="S48" t="s">
        <v>69</v>
      </c>
      <c r="T48" t="s">
        <v>8505</v>
      </c>
      <c r="U48" t="s">
        <v>8506</v>
      </c>
      <c r="V48" t="s">
        <v>69</v>
      </c>
      <c r="W48" t="s">
        <v>69</v>
      </c>
      <c r="X48" t="s">
        <v>69</v>
      </c>
      <c r="Y48" t="s">
        <v>69</v>
      </c>
      <c r="Z48" t="s">
        <v>69</v>
      </c>
      <c r="AA48" t="s">
        <v>27292</v>
      </c>
      <c r="AB48" t="s">
        <v>27293</v>
      </c>
      <c r="AC48" t="s">
        <v>27294</v>
      </c>
      <c r="AD48" t="s">
        <v>27295</v>
      </c>
      <c r="AE48" t="s">
        <v>69</v>
      </c>
      <c r="AF48" t="s">
        <v>27296</v>
      </c>
      <c r="AG48" t="s">
        <v>27297</v>
      </c>
      <c r="AH48" t="s">
        <v>27298</v>
      </c>
      <c r="AI48" t="s">
        <v>27299</v>
      </c>
      <c r="AJ48" t="s">
        <v>69</v>
      </c>
      <c r="AK48" t="s">
        <v>69</v>
      </c>
      <c r="AL48" t="s">
        <v>69</v>
      </c>
      <c r="AM48" t="s">
        <v>69</v>
      </c>
      <c r="AN48">
        <v>30</v>
      </c>
      <c r="AO48">
        <v>58</v>
      </c>
      <c r="AP48">
        <v>59</v>
      </c>
      <c r="AQ48">
        <v>1</v>
      </c>
      <c r="AR48">
        <v>7</v>
      </c>
      <c r="AS48" t="s">
        <v>8586</v>
      </c>
      <c r="AT48" t="s">
        <v>8587</v>
      </c>
      <c r="AU48" t="s">
        <v>8588</v>
      </c>
      <c r="AV48" t="s">
        <v>390</v>
      </c>
      <c r="AW48" t="s">
        <v>391</v>
      </c>
      <c r="AX48" t="s">
        <v>69</v>
      </c>
      <c r="AY48" t="s">
        <v>16996</v>
      </c>
      <c r="AZ48" t="s">
        <v>16997</v>
      </c>
      <c r="BA48" t="s">
        <v>69</v>
      </c>
      <c r="BB48">
        <v>2011</v>
      </c>
      <c r="BC48">
        <v>1</v>
      </c>
      <c r="BD48">
        <v>1</v>
      </c>
      <c r="BE48" t="s">
        <v>69</v>
      </c>
      <c r="BF48" t="s">
        <v>69</v>
      </c>
      <c r="BG48" t="s">
        <v>69</v>
      </c>
      <c r="BH48" t="s">
        <v>69</v>
      </c>
      <c r="BI48">
        <v>32</v>
      </c>
      <c r="BJ48">
        <v>44</v>
      </c>
      <c r="BK48" t="s">
        <v>69</v>
      </c>
      <c r="BL48" t="s">
        <v>27300</v>
      </c>
      <c r="BM48" t="str">
        <f>HYPERLINK("http://dx.doi.org/10.1108/20441241111143768","http://dx.doi.org/10.1108/20441241111143768")</f>
        <v>http://dx.doi.org/10.1108/20441241111143768</v>
      </c>
      <c r="BN48" t="s">
        <v>69</v>
      </c>
      <c r="BO48" t="s">
        <v>69</v>
      </c>
      <c r="BP48">
        <v>13</v>
      </c>
      <c r="BQ48" t="s">
        <v>13537</v>
      </c>
      <c r="BR48" t="s">
        <v>8573</v>
      </c>
      <c r="BS48" t="s">
        <v>8445</v>
      </c>
      <c r="BT48" t="s">
        <v>27301</v>
      </c>
      <c r="BU48" t="s">
        <v>27302</v>
      </c>
      <c r="BV48" t="s">
        <v>69</v>
      </c>
      <c r="BW48" t="s">
        <v>69</v>
      </c>
      <c r="BX48" t="s">
        <v>69</v>
      </c>
      <c r="BY48" t="s">
        <v>69</v>
      </c>
      <c r="BZ48" t="s">
        <v>8526</v>
      </c>
      <c r="CA48" t="str">
        <f>HYPERLINK("https%3A%2F%2Fwww.webofscience.com%2Fwos%2Fwoscc%2Ffull-record%2FWOS:000215224700004","View Full Record in Web of Science")</f>
        <v>View Full Record in Web of Science</v>
      </c>
    </row>
    <row r="49" spans="2:79" ht="12.5" x14ac:dyDescent="0.25">
      <c r="B49" t="s">
        <v>8495</v>
      </c>
      <c r="D49" s="7" t="s">
        <v>32933</v>
      </c>
      <c r="E49" s="7"/>
      <c r="F49" s="7"/>
      <c r="G49" s="7"/>
      <c r="H49" t="s">
        <v>67</v>
      </c>
      <c r="I49" t="s">
        <v>2265</v>
      </c>
      <c r="J49" t="s">
        <v>69</v>
      </c>
      <c r="K49" t="s">
        <v>69</v>
      </c>
      <c r="L49" t="s">
        <v>69</v>
      </c>
      <c r="M49" t="s">
        <v>2266</v>
      </c>
      <c r="N49" t="s">
        <v>69</v>
      </c>
      <c r="O49" t="s">
        <v>69</v>
      </c>
      <c r="P49" t="s">
        <v>2267</v>
      </c>
      <c r="Q49" t="s">
        <v>1602</v>
      </c>
      <c r="R49" t="s">
        <v>69</v>
      </c>
      <c r="S49" t="s">
        <v>69</v>
      </c>
      <c r="T49" t="s">
        <v>8505</v>
      </c>
      <c r="U49" t="s">
        <v>8506</v>
      </c>
      <c r="V49" t="s">
        <v>69</v>
      </c>
      <c r="W49" t="s">
        <v>69</v>
      </c>
      <c r="X49" t="s">
        <v>69</v>
      </c>
      <c r="Y49" t="s">
        <v>69</v>
      </c>
      <c r="Z49" t="s">
        <v>69</v>
      </c>
      <c r="AA49" t="s">
        <v>17292</v>
      </c>
      <c r="AB49" t="s">
        <v>69</v>
      </c>
      <c r="AC49" t="s">
        <v>2268</v>
      </c>
      <c r="AD49" t="s">
        <v>17293</v>
      </c>
      <c r="AE49" t="s">
        <v>69</v>
      </c>
      <c r="AF49" t="s">
        <v>17294</v>
      </c>
      <c r="AG49" t="s">
        <v>17295</v>
      </c>
      <c r="AH49" t="s">
        <v>69</v>
      </c>
      <c r="AI49" t="s">
        <v>69</v>
      </c>
      <c r="AJ49" t="s">
        <v>17296</v>
      </c>
      <c r="AK49" t="s">
        <v>17296</v>
      </c>
      <c r="AL49" t="s">
        <v>17297</v>
      </c>
      <c r="AM49" t="s">
        <v>69</v>
      </c>
      <c r="AN49">
        <v>33</v>
      </c>
      <c r="AO49">
        <v>10</v>
      </c>
      <c r="AP49">
        <v>10</v>
      </c>
      <c r="AQ49">
        <v>2</v>
      </c>
      <c r="AR49">
        <v>15</v>
      </c>
      <c r="AS49" t="s">
        <v>8762</v>
      </c>
      <c r="AT49" t="s">
        <v>8763</v>
      </c>
      <c r="AU49" t="s">
        <v>8764</v>
      </c>
      <c r="AV49" t="s">
        <v>1604</v>
      </c>
      <c r="AW49" t="s">
        <v>2269</v>
      </c>
      <c r="AX49" t="s">
        <v>69</v>
      </c>
      <c r="AY49" t="s">
        <v>15091</v>
      </c>
      <c r="AZ49" t="s">
        <v>15092</v>
      </c>
      <c r="BA49" t="s">
        <v>586</v>
      </c>
      <c r="BB49">
        <v>2019</v>
      </c>
      <c r="BC49">
        <v>56</v>
      </c>
      <c r="BD49">
        <v>6</v>
      </c>
      <c r="BE49" t="s">
        <v>69</v>
      </c>
      <c r="BF49" t="s">
        <v>69</v>
      </c>
      <c r="BG49" t="s">
        <v>69</v>
      </c>
      <c r="BH49" t="s">
        <v>69</v>
      </c>
      <c r="BI49">
        <v>1234</v>
      </c>
      <c r="BJ49">
        <v>1249</v>
      </c>
      <c r="BK49" t="s">
        <v>69</v>
      </c>
      <c r="BL49" t="s">
        <v>2270</v>
      </c>
      <c r="BM49" t="str">
        <f>HYPERLINK("http://dx.doi.org/10.1177/0042098018757601","http://dx.doi.org/10.1177/0042098018757601")</f>
        <v>http://dx.doi.org/10.1177/0042098018757601</v>
      </c>
      <c r="BN49" t="s">
        <v>69</v>
      </c>
      <c r="BO49" t="s">
        <v>69</v>
      </c>
      <c r="BP49">
        <v>16</v>
      </c>
      <c r="BQ49" t="s">
        <v>15093</v>
      </c>
      <c r="BR49" t="s">
        <v>8661</v>
      </c>
      <c r="BS49" t="s">
        <v>15094</v>
      </c>
      <c r="BT49" t="s">
        <v>17298</v>
      </c>
      <c r="BU49" t="s">
        <v>2271</v>
      </c>
      <c r="BV49" t="s">
        <v>69</v>
      </c>
      <c r="BW49" t="s">
        <v>69</v>
      </c>
      <c r="BX49" t="s">
        <v>69</v>
      </c>
      <c r="BY49" t="s">
        <v>69</v>
      </c>
      <c r="BZ49" t="s">
        <v>8526</v>
      </c>
      <c r="CA49" t="str">
        <f>HYPERLINK("https%3A%2F%2Fwww.webofscience.com%2Fwos%2Fwoscc%2Ffull-record%2FWOS:000463031800010","View Full Record in Web of Science")</f>
        <v>View Full Record in Web of Science</v>
      </c>
    </row>
    <row r="50" spans="2:79" ht="12.5" x14ac:dyDescent="0.25">
      <c r="B50" t="s">
        <v>8495</v>
      </c>
      <c r="D50" s="7" t="s">
        <v>32933</v>
      </c>
      <c r="E50" s="7"/>
      <c r="F50" s="7"/>
      <c r="G50" s="7"/>
      <c r="H50" t="s">
        <v>67</v>
      </c>
      <c r="I50" t="s">
        <v>5951</v>
      </c>
      <c r="J50" t="s">
        <v>69</v>
      </c>
      <c r="K50" t="s">
        <v>69</v>
      </c>
      <c r="L50" t="s">
        <v>69</v>
      </c>
      <c r="M50" t="s">
        <v>5952</v>
      </c>
      <c r="N50" t="s">
        <v>69</v>
      </c>
      <c r="O50" t="s">
        <v>69</v>
      </c>
      <c r="P50" t="s">
        <v>5953</v>
      </c>
      <c r="Q50" t="s">
        <v>5954</v>
      </c>
      <c r="R50" t="s">
        <v>69</v>
      </c>
      <c r="S50" t="s">
        <v>69</v>
      </c>
      <c r="T50" t="s">
        <v>8505</v>
      </c>
      <c r="U50" t="s">
        <v>8506</v>
      </c>
      <c r="V50" t="s">
        <v>69</v>
      </c>
      <c r="W50" t="s">
        <v>69</v>
      </c>
      <c r="X50" t="s">
        <v>69</v>
      </c>
      <c r="Y50" t="s">
        <v>69</v>
      </c>
      <c r="Z50" t="s">
        <v>69</v>
      </c>
      <c r="AA50" t="s">
        <v>69</v>
      </c>
      <c r="AB50" t="s">
        <v>69</v>
      </c>
      <c r="AC50" t="s">
        <v>5955</v>
      </c>
      <c r="AD50" t="s">
        <v>19818</v>
      </c>
      <c r="AE50" t="s">
        <v>69</v>
      </c>
      <c r="AF50" t="s">
        <v>19819</v>
      </c>
      <c r="AG50" t="s">
        <v>69</v>
      </c>
      <c r="AH50" t="s">
        <v>69</v>
      </c>
      <c r="AI50" t="s">
        <v>69</v>
      </c>
      <c r="AJ50" t="s">
        <v>69</v>
      </c>
      <c r="AK50" t="s">
        <v>69</v>
      </c>
      <c r="AL50" t="s">
        <v>69</v>
      </c>
      <c r="AM50" t="s">
        <v>69</v>
      </c>
      <c r="AN50">
        <v>26</v>
      </c>
      <c r="AO50">
        <v>2</v>
      </c>
      <c r="AP50">
        <v>2</v>
      </c>
      <c r="AQ50">
        <v>0</v>
      </c>
      <c r="AR50">
        <v>10</v>
      </c>
      <c r="AS50" t="s">
        <v>8846</v>
      </c>
      <c r="AT50" t="s">
        <v>8847</v>
      </c>
      <c r="AU50" t="s">
        <v>8848</v>
      </c>
      <c r="AV50" t="s">
        <v>5956</v>
      </c>
      <c r="AW50" t="s">
        <v>5957</v>
      </c>
      <c r="AX50" t="s">
        <v>69</v>
      </c>
      <c r="AY50" t="s">
        <v>19820</v>
      </c>
      <c r="AZ50" t="s">
        <v>19821</v>
      </c>
      <c r="BA50" t="s">
        <v>274</v>
      </c>
      <c r="BB50">
        <v>2017</v>
      </c>
      <c r="BC50">
        <v>8</v>
      </c>
      <c r="BD50">
        <v>4</v>
      </c>
      <c r="BE50" t="s">
        <v>69</v>
      </c>
      <c r="BF50" t="s">
        <v>69</v>
      </c>
      <c r="BG50" t="s">
        <v>69</v>
      </c>
      <c r="BH50" t="s">
        <v>69</v>
      </c>
      <c r="BI50">
        <v>569</v>
      </c>
      <c r="BJ50">
        <v>573</v>
      </c>
      <c r="BK50" t="s">
        <v>69</v>
      </c>
      <c r="BL50" t="s">
        <v>5958</v>
      </c>
      <c r="BM50" t="str">
        <f>HYPERLINK("http://dx.doi.org/10.1111/1758-5899.12470","http://dx.doi.org/10.1111/1758-5899.12470")</f>
        <v>http://dx.doi.org/10.1111/1758-5899.12470</v>
      </c>
      <c r="BN50" t="s">
        <v>69</v>
      </c>
      <c r="BO50" t="s">
        <v>69</v>
      </c>
      <c r="BP50">
        <v>5</v>
      </c>
      <c r="BQ50" t="s">
        <v>16728</v>
      </c>
      <c r="BR50" t="s">
        <v>8661</v>
      </c>
      <c r="BS50" t="s">
        <v>16729</v>
      </c>
      <c r="BT50" t="s">
        <v>19822</v>
      </c>
      <c r="BU50" t="s">
        <v>5959</v>
      </c>
      <c r="BV50" t="s">
        <v>69</v>
      </c>
      <c r="BW50" t="s">
        <v>69</v>
      </c>
      <c r="BX50" t="s">
        <v>69</v>
      </c>
      <c r="BY50" t="s">
        <v>69</v>
      </c>
      <c r="BZ50" t="s">
        <v>8526</v>
      </c>
      <c r="CA50" t="str">
        <f>HYPERLINK("https%3A%2F%2Fwww.webofscience.com%2Fwos%2Fwoscc%2Ffull-record%2FWOS:000416427200016","View Full Record in Web of Science")</f>
        <v>View Full Record in Web of Science</v>
      </c>
    </row>
    <row r="51" spans="2:79" ht="12.5" x14ac:dyDescent="0.25">
      <c r="B51" t="s">
        <v>8495</v>
      </c>
      <c r="D51" s="22" t="s">
        <v>32931</v>
      </c>
      <c r="E51" s="7"/>
      <c r="F51" s="7"/>
      <c r="G51" s="7"/>
      <c r="H51" t="s">
        <v>67</v>
      </c>
      <c r="I51" t="s">
        <v>15937</v>
      </c>
      <c r="J51" t="s">
        <v>69</v>
      </c>
      <c r="K51" t="s">
        <v>69</v>
      </c>
      <c r="L51" t="s">
        <v>69</v>
      </c>
      <c r="M51" t="s">
        <v>15938</v>
      </c>
      <c r="N51" t="s">
        <v>69</v>
      </c>
      <c r="O51" t="s">
        <v>69</v>
      </c>
      <c r="P51" t="s">
        <v>15939</v>
      </c>
      <c r="Q51" t="s">
        <v>15940</v>
      </c>
      <c r="R51" t="s">
        <v>69</v>
      </c>
      <c r="S51" t="s">
        <v>69</v>
      </c>
      <c r="T51" t="s">
        <v>8505</v>
      </c>
      <c r="U51" t="s">
        <v>8506</v>
      </c>
      <c r="V51" t="s">
        <v>69</v>
      </c>
      <c r="W51" t="s">
        <v>69</v>
      </c>
      <c r="X51" t="s">
        <v>69</v>
      </c>
      <c r="Y51" t="s">
        <v>69</v>
      </c>
      <c r="Z51" t="s">
        <v>69</v>
      </c>
      <c r="AA51" t="s">
        <v>15941</v>
      </c>
      <c r="AB51" t="s">
        <v>15942</v>
      </c>
      <c r="AC51" t="s">
        <v>15943</v>
      </c>
      <c r="AD51" t="s">
        <v>15944</v>
      </c>
      <c r="AE51" t="s">
        <v>69</v>
      </c>
      <c r="AF51" t="s">
        <v>15945</v>
      </c>
      <c r="AG51" t="s">
        <v>15946</v>
      </c>
      <c r="AH51" t="s">
        <v>1120</v>
      </c>
      <c r="AI51" t="s">
        <v>15947</v>
      </c>
      <c r="AJ51" t="s">
        <v>69</v>
      </c>
      <c r="AK51" t="s">
        <v>69</v>
      </c>
      <c r="AL51" t="s">
        <v>69</v>
      </c>
      <c r="AM51" t="s">
        <v>69</v>
      </c>
      <c r="AN51">
        <v>20</v>
      </c>
      <c r="AO51">
        <v>2</v>
      </c>
      <c r="AP51">
        <v>2</v>
      </c>
      <c r="AQ51">
        <v>0</v>
      </c>
      <c r="AR51">
        <v>7</v>
      </c>
      <c r="AS51" t="s">
        <v>8846</v>
      </c>
      <c r="AT51" t="s">
        <v>8847</v>
      </c>
      <c r="AU51" t="s">
        <v>8848</v>
      </c>
      <c r="AV51" t="s">
        <v>15948</v>
      </c>
      <c r="AW51" t="s">
        <v>15949</v>
      </c>
      <c r="AX51" t="s">
        <v>69</v>
      </c>
      <c r="AY51" t="s">
        <v>15950</v>
      </c>
      <c r="AZ51" t="s">
        <v>15951</v>
      </c>
      <c r="BA51" t="s">
        <v>84</v>
      </c>
      <c r="BB51">
        <v>2020</v>
      </c>
      <c r="BC51">
        <v>39</v>
      </c>
      <c r="BD51">
        <v>4</v>
      </c>
      <c r="BE51" t="s">
        <v>69</v>
      </c>
      <c r="BF51" t="s">
        <v>69</v>
      </c>
      <c r="BG51" t="s">
        <v>114</v>
      </c>
      <c r="BH51" t="s">
        <v>69</v>
      </c>
      <c r="BI51" t="s">
        <v>69</v>
      </c>
      <c r="BJ51" t="s">
        <v>69</v>
      </c>
      <c r="BK51" t="s">
        <v>15952</v>
      </c>
      <c r="BL51" t="s">
        <v>15953</v>
      </c>
      <c r="BM51" t="str">
        <f>HYPERLINK("http://dx.doi.org/10.1002/ep.13385","http://dx.doi.org/10.1002/ep.13385")</f>
        <v>http://dx.doi.org/10.1002/ep.13385</v>
      </c>
      <c r="BN51" t="s">
        <v>69</v>
      </c>
      <c r="BO51" t="s">
        <v>15934</v>
      </c>
      <c r="BP51">
        <v>9</v>
      </c>
      <c r="BQ51" t="s">
        <v>15954</v>
      </c>
      <c r="BR51" t="s">
        <v>8548</v>
      </c>
      <c r="BS51" t="s">
        <v>8644</v>
      </c>
      <c r="BT51" t="s">
        <v>15955</v>
      </c>
      <c r="BU51" t="s">
        <v>15956</v>
      </c>
      <c r="BV51" t="s">
        <v>69</v>
      </c>
      <c r="BW51" t="s">
        <v>69</v>
      </c>
      <c r="BX51" t="s">
        <v>69</v>
      </c>
      <c r="BY51" t="s">
        <v>69</v>
      </c>
      <c r="BZ51" t="s">
        <v>8526</v>
      </c>
      <c r="CA51" t="str">
        <f>HYPERLINK("https%3A%2F%2Fwww.webofscience.com%2Fwos%2Fwoscc%2Ffull-record%2FWOS:000506441100001","View Full Record in Web of Science")</f>
        <v>View Full Record in Web of Science</v>
      </c>
    </row>
    <row r="52" spans="2:79" ht="12.5" x14ac:dyDescent="0.25">
      <c r="B52" t="s">
        <v>8495</v>
      </c>
      <c r="D52" s="22" t="s">
        <v>32931</v>
      </c>
      <c r="E52" s="7"/>
      <c r="F52" s="7"/>
      <c r="G52" s="7"/>
      <c r="H52" t="s">
        <v>67</v>
      </c>
      <c r="I52" t="s">
        <v>9913</v>
      </c>
      <c r="J52" t="s">
        <v>69</v>
      </c>
      <c r="K52" t="s">
        <v>69</v>
      </c>
      <c r="L52" t="s">
        <v>69</v>
      </c>
      <c r="M52" t="s">
        <v>9914</v>
      </c>
      <c r="N52" t="s">
        <v>69</v>
      </c>
      <c r="O52" t="s">
        <v>69</v>
      </c>
      <c r="P52" t="s">
        <v>9915</v>
      </c>
      <c r="Q52" t="s">
        <v>1902</v>
      </c>
      <c r="R52" t="s">
        <v>69</v>
      </c>
      <c r="S52" t="s">
        <v>69</v>
      </c>
      <c r="T52" t="s">
        <v>8505</v>
      </c>
      <c r="U52" t="s">
        <v>8506</v>
      </c>
      <c r="V52" t="s">
        <v>69</v>
      </c>
      <c r="W52" t="s">
        <v>69</v>
      </c>
      <c r="X52" t="s">
        <v>69</v>
      </c>
      <c r="Y52" t="s">
        <v>69</v>
      </c>
      <c r="Z52" t="s">
        <v>69</v>
      </c>
      <c r="AA52" t="s">
        <v>9916</v>
      </c>
      <c r="AB52" t="s">
        <v>9917</v>
      </c>
      <c r="AC52" t="s">
        <v>9918</v>
      </c>
      <c r="AD52" t="s">
        <v>9919</v>
      </c>
      <c r="AE52" t="s">
        <v>69</v>
      </c>
      <c r="AF52" t="s">
        <v>9920</v>
      </c>
      <c r="AG52" t="s">
        <v>9921</v>
      </c>
      <c r="AH52" t="s">
        <v>9922</v>
      </c>
      <c r="AI52" t="s">
        <v>9923</v>
      </c>
      <c r="AJ52" t="s">
        <v>9924</v>
      </c>
      <c r="AK52" t="s">
        <v>9925</v>
      </c>
      <c r="AL52" t="s">
        <v>9926</v>
      </c>
      <c r="AM52" t="s">
        <v>69</v>
      </c>
      <c r="AN52">
        <v>128</v>
      </c>
      <c r="AO52">
        <v>5</v>
      </c>
      <c r="AP52">
        <v>5</v>
      </c>
      <c r="AQ52">
        <v>6</v>
      </c>
      <c r="AR52">
        <v>6</v>
      </c>
      <c r="AS52" t="s">
        <v>9145</v>
      </c>
      <c r="AT52" t="s">
        <v>8637</v>
      </c>
      <c r="AU52" t="s">
        <v>9146</v>
      </c>
      <c r="AV52" t="s">
        <v>1906</v>
      </c>
      <c r="AW52" t="s">
        <v>9927</v>
      </c>
      <c r="AX52" t="s">
        <v>69</v>
      </c>
      <c r="AY52" t="s">
        <v>9928</v>
      </c>
      <c r="AZ52" t="s">
        <v>9929</v>
      </c>
      <c r="BA52" t="s">
        <v>191</v>
      </c>
      <c r="BB52">
        <v>2022</v>
      </c>
      <c r="BC52">
        <v>185</v>
      </c>
      <c r="BD52" t="s">
        <v>69</v>
      </c>
      <c r="BE52" t="s">
        <v>69</v>
      </c>
      <c r="BF52" t="s">
        <v>69</v>
      </c>
      <c r="BG52" t="s">
        <v>69</v>
      </c>
      <c r="BH52" t="s">
        <v>69</v>
      </c>
      <c r="BI52">
        <v>321</v>
      </c>
      <c r="BJ52">
        <v>337</v>
      </c>
      <c r="BK52" t="s">
        <v>69</v>
      </c>
      <c r="BL52" t="s">
        <v>9930</v>
      </c>
      <c r="BM52" t="str">
        <f>HYPERLINK("http://dx.doi.org/10.1016/j.renene.2021.12.077","http://dx.doi.org/10.1016/j.renene.2021.12.077")</f>
        <v>http://dx.doi.org/10.1016/j.renene.2021.12.077</v>
      </c>
      <c r="BN52" t="s">
        <v>69</v>
      </c>
      <c r="BO52" t="s">
        <v>69</v>
      </c>
      <c r="BP52">
        <v>17</v>
      </c>
      <c r="BQ52" t="s">
        <v>9931</v>
      </c>
      <c r="BR52" t="s">
        <v>8523</v>
      </c>
      <c r="BS52" t="s">
        <v>9932</v>
      </c>
      <c r="BT52" t="s">
        <v>9933</v>
      </c>
      <c r="BU52" t="s">
        <v>9934</v>
      </c>
      <c r="BV52" t="s">
        <v>69</v>
      </c>
      <c r="BW52" t="s">
        <v>69</v>
      </c>
      <c r="BX52" t="s">
        <v>69</v>
      </c>
      <c r="BY52" t="s">
        <v>69</v>
      </c>
      <c r="BZ52" t="s">
        <v>8526</v>
      </c>
      <c r="CA52" t="str">
        <f>HYPERLINK("https%3A%2F%2Fwww.webofscience.com%2Fwos%2Fwoscc%2Ffull-record%2FWOS:000778545900013","View Full Record in Web of Science")</f>
        <v>View Full Record in Web of Science</v>
      </c>
    </row>
    <row r="53" spans="2:79" ht="12.5" x14ac:dyDescent="0.25">
      <c r="B53" t="s">
        <v>8495</v>
      </c>
      <c r="D53" s="22" t="s">
        <v>32931</v>
      </c>
      <c r="E53" s="7"/>
      <c r="F53" s="7"/>
      <c r="G53" s="7"/>
      <c r="H53" t="s">
        <v>67</v>
      </c>
      <c r="I53" t="s">
        <v>8774</v>
      </c>
      <c r="J53" t="s">
        <v>69</v>
      </c>
      <c r="K53" t="s">
        <v>69</v>
      </c>
      <c r="L53" t="s">
        <v>69</v>
      </c>
      <c r="M53" t="s">
        <v>8775</v>
      </c>
      <c r="N53" t="s">
        <v>69</v>
      </c>
      <c r="O53" t="s">
        <v>69</v>
      </c>
      <c r="P53" t="s">
        <v>8776</v>
      </c>
      <c r="Q53" t="s">
        <v>8777</v>
      </c>
      <c r="R53" t="s">
        <v>69</v>
      </c>
      <c r="S53" t="s">
        <v>69</v>
      </c>
      <c r="T53" t="s">
        <v>8505</v>
      </c>
      <c r="U53" t="s">
        <v>8556</v>
      </c>
      <c r="V53" t="s">
        <v>69</v>
      </c>
      <c r="W53" t="s">
        <v>69</v>
      </c>
      <c r="X53" t="s">
        <v>69</v>
      </c>
      <c r="Y53" t="s">
        <v>69</v>
      </c>
      <c r="Z53" t="s">
        <v>69</v>
      </c>
      <c r="AA53" t="s">
        <v>8778</v>
      </c>
      <c r="AB53" t="s">
        <v>8779</v>
      </c>
      <c r="AC53" t="s">
        <v>8780</v>
      </c>
      <c r="AD53" t="s">
        <v>8781</v>
      </c>
      <c r="AE53" t="s">
        <v>69</v>
      </c>
      <c r="AF53" t="s">
        <v>8782</v>
      </c>
      <c r="AG53" t="s">
        <v>8783</v>
      </c>
      <c r="AH53" t="s">
        <v>8784</v>
      </c>
      <c r="AI53" t="s">
        <v>8785</v>
      </c>
      <c r="AJ53" t="s">
        <v>69</v>
      </c>
      <c r="AK53" t="s">
        <v>69</v>
      </c>
      <c r="AL53" t="s">
        <v>69</v>
      </c>
      <c r="AM53" t="s">
        <v>69</v>
      </c>
      <c r="AN53">
        <v>90</v>
      </c>
      <c r="AO53">
        <v>0</v>
      </c>
      <c r="AP53">
        <v>0</v>
      </c>
      <c r="AQ53">
        <v>3</v>
      </c>
      <c r="AR53">
        <v>3</v>
      </c>
      <c r="AS53" t="s">
        <v>8586</v>
      </c>
      <c r="AT53" t="s">
        <v>8587</v>
      </c>
      <c r="AU53" t="s">
        <v>8588</v>
      </c>
      <c r="AV53" t="s">
        <v>8786</v>
      </c>
      <c r="AW53" t="s">
        <v>8787</v>
      </c>
      <c r="AX53" t="s">
        <v>69</v>
      </c>
      <c r="AY53" t="s">
        <v>8788</v>
      </c>
      <c r="AZ53" t="s">
        <v>8789</v>
      </c>
      <c r="BA53" t="s">
        <v>69</v>
      </c>
      <c r="BB53" t="s">
        <v>69</v>
      </c>
      <c r="BC53" t="s">
        <v>69</v>
      </c>
      <c r="BD53" t="s">
        <v>69</v>
      </c>
      <c r="BE53" t="s">
        <v>69</v>
      </c>
      <c r="BF53" t="s">
        <v>69</v>
      </c>
      <c r="BG53" t="s">
        <v>69</v>
      </c>
      <c r="BH53" t="s">
        <v>69</v>
      </c>
      <c r="BI53" t="s">
        <v>69</v>
      </c>
      <c r="BJ53" t="s">
        <v>69</v>
      </c>
      <c r="BK53" t="s">
        <v>69</v>
      </c>
      <c r="BL53" t="s">
        <v>8790</v>
      </c>
      <c r="BM53" t="str">
        <f>HYPERLINK("http://dx.doi.org/10.1108/JFMM-03-2022-0044","http://dx.doi.org/10.1108/JFMM-03-2022-0044")</f>
        <v>http://dx.doi.org/10.1108/JFMM-03-2022-0044</v>
      </c>
      <c r="BN53" t="s">
        <v>69</v>
      </c>
      <c r="BO53" t="s">
        <v>8742</v>
      </c>
      <c r="BP53">
        <v>25</v>
      </c>
      <c r="BQ53" t="s">
        <v>8791</v>
      </c>
      <c r="BR53" t="s">
        <v>8661</v>
      </c>
      <c r="BS53" t="s">
        <v>8594</v>
      </c>
      <c r="BT53" t="s">
        <v>8792</v>
      </c>
      <c r="BU53" t="s">
        <v>8793</v>
      </c>
      <c r="BV53" t="s">
        <v>69</v>
      </c>
      <c r="BW53" t="s">
        <v>69</v>
      </c>
      <c r="BX53" t="s">
        <v>69</v>
      </c>
      <c r="BY53" t="s">
        <v>69</v>
      </c>
      <c r="BZ53" t="s">
        <v>8526</v>
      </c>
      <c r="CA53" t="str">
        <f>HYPERLINK("https%3A%2F%2Fwww.webofscience.com%2Fwos%2Fwoscc%2Ffull-record%2FWOS:000811685700001","View Full Record in Web of Science")</f>
        <v>View Full Record in Web of Science</v>
      </c>
    </row>
    <row r="54" spans="2:79" ht="12.5" x14ac:dyDescent="0.25">
      <c r="B54" t="s">
        <v>8495</v>
      </c>
      <c r="D54" s="7" t="s">
        <v>32933</v>
      </c>
      <c r="E54" s="7"/>
      <c r="F54" s="7"/>
      <c r="G54" s="7"/>
      <c r="H54" t="s">
        <v>67</v>
      </c>
      <c r="I54" t="s">
        <v>6316</v>
      </c>
      <c r="J54" t="s">
        <v>69</v>
      </c>
      <c r="K54" t="s">
        <v>69</v>
      </c>
      <c r="L54" t="s">
        <v>69</v>
      </c>
      <c r="M54" t="s">
        <v>6317</v>
      </c>
      <c r="N54" t="s">
        <v>69</v>
      </c>
      <c r="O54" t="s">
        <v>69</v>
      </c>
      <c r="P54" t="s">
        <v>6318</v>
      </c>
      <c r="Q54" t="s">
        <v>1990</v>
      </c>
      <c r="R54" t="s">
        <v>69</v>
      </c>
      <c r="S54" t="s">
        <v>69</v>
      </c>
      <c r="T54" t="s">
        <v>8505</v>
      </c>
      <c r="U54" t="s">
        <v>8506</v>
      </c>
      <c r="V54" t="s">
        <v>69</v>
      </c>
      <c r="W54" t="s">
        <v>69</v>
      </c>
      <c r="X54" t="s">
        <v>69</v>
      </c>
      <c r="Y54" t="s">
        <v>69</v>
      </c>
      <c r="Z54" t="s">
        <v>69</v>
      </c>
      <c r="AA54" t="s">
        <v>15133</v>
      </c>
      <c r="AB54" t="s">
        <v>15134</v>
      </c>
      <c r="AC54" t="s">
        <v>6319</v>
      </c>
      <c r="AD54" t="s">
        <v>15135</v>
      </c>
      <c r="AE54" t="s">
        <v>69</v>
      </c>
      <c r="AF54" t="s">
        <v>15136</v>
      </c>
      <c r="AG54" t="s">
        <v>15137</v>
      </c>
      <c r="AH54" t="s">
        <v>69</v>
      </c>
      <c r="AI54" t="s">
        <v>15138</v>
      </c>
      <c r="AJ54" t="s">
        <v>69</v>
      </c>
      <c r="AK54" t="s">
        <v>69</v>
      </c>
      <c r="AL54" t="s">
        <v>69</v>
      </c>
      <c r="AM54" t="s">
        <v>69</v>
      </c>
      <c r="AN54">
        <v>79</v>
      </c>
      <c r="AO54">
        <v>0</v>
      </c>
      <c r="AP54">
        <v>0</v>
      </c>
      <c r="AQ54">
        <v>1</v>
      </c>
      <c r="AR54">
        <v>3</v>
      </c>
      <c r="AS54" t="s">
        <v>8846</v>
      </c>
      <c r="AT54" t="s">
        <v>8847</v>
      </c>
      <c r="AU54" t="s">
        <v>8848</v>
      </c>
      <c r="AV54" t="s">
        <v>1992</v>
      </c>
      <c r="AW54" t="s">
        <v>1993</v>
      </c>
      <c r="AX54" t="s">
        <v>69</v>
      </c>
      <c r="AY54" t="s">
        <v>15139</v>
      </c>
      <c r="AZ54" t="s">
        <v>15140</v>
      </c>
      <c r="BA54" t="s">
        <v>191</v>
      </c>
      <c r="BB54">
        <v>2022</v>
      </c>
      <c r="BC54">
        <v>38</v>
      </c>
      <c r="BD54">
        <v>1</v>
      </c>
      <c r="BE54" t="s">
        <v>69</v>
      </c>
      <c r="BF54" t="s">
        <v>69</v>
      </c>
      <c r="BG54" t="s">
        <v>69</v>
      </c>
      <c r="BH54" t="s">
        <v>69</v>
      </c>
      <c r="BI54">
        <v>3</v>
      </c>
      <c r="BJ54">
        <v>28</v>
      </c>
      <c r="BK54" t="s">
        <v>69</v>
      </c>
      <c r="BL54" t="s">
        <v>6320</v>
      </c>
      <c r="BM54" t="str">
        <f>HYPERLINK("http://dx.doi.org/10.1111/faam.12252","http://dx.doi.org/10.1111/faam.12252")</f>
        <v>http://dx.doi.org/10.1111/faam.12252</v>
      </c>
      <c r="BN54" t="s">
        <v>69</v>
      </c>
      <c r="BO54" t="s">
        <v>732</v>
      </c>
      <c r="BP54">
        <v>26</v>
      </c>
      <c r="BQ54" t="s">
        <v>9749</v>
      </c>
      <c r="BR54" t="s">
        <v>8573</v>
      </c>
      <c r="BS54" t="s">
        <v>8594</v>
      </c>
      <c r="BT54" t="s">
        <v>15141</v>
      </c>
      <c r="BU54" t="s">
        <v>6321</v>
      </c>
      <c r="BV54" t="s">
        <v>69</v>
      </c>
      <c r="BW54" t="s">
        <v>10995</v>
      </c>
      <c r="BX54" t="s">
        <v>69</v>
      </c>
      <c r="BY54" t="s">
        <v>69</v>
      </c>
      <c r="BZ54" t="s">
        <v>8526</v>
      </c>
      <c r="CA54" t="str">
        <f>HYPERLINK("https%3A%2F%2Fwww.webofscience.com%2Fwos%2Fwoscc%2Ffull-record%2FWOS:000535092200001","View Full Record in Web of Science")</f>
        <v>View Full Record in Web of Science</v>
      </c>
    </row>
    <row r="55" spans="2:79" ht="12.5" x14ac:dyDescent="0.25">
      <c r="B55" t="s">
        <v>8495</v>
      </c>
      <c r="D55" s="22" t="s">
        <v>32931</v>
      </c>
      <c r="E55" s="7"/>
      <c r="F55" s="7"/>
      <c r="G55" s="7"/>
      <c r="H55" t="s">
        <v>67</v>
      </c>
      <c r="I55" t="s">
        <v>23717</v>
      </c>
      <c r="J55" t="s">
        <v>69</v>
      </c>
      <c r="K55" t="s">
        <v>69</v>
      </c>
      <c r="L55" t="s">
        <v>69</v>
      </c>
      <c r="M55" t="s">
        <v>23718</v>
      </c>
      <c r="N55" t="s">
        <v>69</v>
      </c>
      <c r="O55" t="s">
        <v>69</v>
      </c>
      <c r="P55" t="s">
        <v>23719</v>
      </c>
      <c r="Q55" t="s">
        <v>23720</v>
      </c>
      <c r="R55" t="s">
        <v>69</v>
      </c>
      <c r="S55" t="s">
        <v>69</v>
      </c>
      <c r="T55" t="s">
        <v>8505</v>
      </c>
      <c r="U55" t="s">
        <v>8506</v>
      </c>
      <c r="V55" t="s">
        <v>69</v>
      </c>
      <c r="W55" t="s">
        <v>69</v>
      </c>
      <c r="X55" t="s">
        <v>69</v>
      </c>
      <c r="Y55" t="s">
        <v>69</v>
      </c>
      <c r="Z55" t="s">
        <v>69</v>
      </c>
      <c r="AA55" t="s">
        <v>23721</v>
      </c>
      <c r="AB55" t="s">
        <v>23722</v>
      </c>
      <c r="AC55" t="s">
        <v>23723</v>
      </c>
      <c r="AD55" t="s">
        <v>23724</v>
      </c>
      <c r="AE55" t="s">
        <v>69</v>
      </c>
      <c r="AF55" t="s">
        <v>23725</v>
      </c>
      <c r="AG55" t="s">
        <v>23726</v>
      </c>
      <c r="AH55" t="s">
        <v>23727</v>
      </c>
      <c r="AI55" t="s">
        <v>23728</v>
      </c>
      <c r="AJ55" t="s">
        <v>69</v>
      </c>
      <c r="AK55" t="s">
        <v>69</v>
      </c>
      <c r="AL55" t="s">
        <v>69</v>
      </c>
      <c r="AM55" t="s">
        <v>69</v>
      </c>
      <c r="AN55">
        <v>54</v>
      </c>
      <c r="AO55">
        <v>14</v>
      </c>
      <c r="AP55">
        <v>14</v>
      </c>
      <c r="AQ55">
        <v>0</v>
      </c>
      <c r="AR55">
        <v>13</v>
      </c>
      <c r="AS55" t="s">
        <v>9203</v>
      </c>
      <c r="AT55" t="s">
        <v>8763</v>
      </c>
      <c r="AU55" t="s">
        <v>9204</v>
      </c>
      <c r="AV55" t="s">
        <v>23729</v>
      </c>
      <c r="AW55" t="s">
        <v>69</v>
      </c>
      <c r="AX55" t="s">
        <v>69</v>
      </c>
      <c r="AY55" t="s">
        <v>23730</v>
      </c>
      <c r="AZ55" t="s">
        <v>23731</v>
      </c>
      <c r="BA55" t="s">
        <v>6504</v>
      </c>
      <c r="BB55">
        <v>2014</v>
      </c>
      <c r="BC55">
        <v>14</v>
      </c>
      <c r="BD55" t="s">
        <v>69</v>
      </c>
      <c r="BE55" t="s">
        <v>69</v>
      </c>
      <c r="BF55" t="s">
        <v>69</v>
      </c>
      <c r="BG55" t="s">
        <v>69</v>
      </c>
      <c r="BH55" t="s">
        <v>69</v>
      </c>
      <c r="BI55" t="s">
        <v>69</v>
      </c>
      <c r="BJ55" t="s">
        <v>69</v>
      </c>
      <c r="BK55">
        <v>236</v>
      </c>
      <c r="BL55" t="s">
        <v>23732</v>
      </c>
      <c r="BM55" t="str">
        <f>HYPERLINK("http://dx.doi.org/10.1186/1471-2393-14-236","http://dx.doi.org/10.1186/1471-2393-14-236")</f>
        <v>http://dx.doi.org/10.1186/1471-2393-14-236</v>
      </c>
      <c r="BN55" t="s">
        <v>69</v>
      </c>
      <c r="BO55" t="s">
        <v>69</v>
      </c>
      <c r="BP55">
        <v>14</v>
      </c>
      <c r="BQ55" t="s">
        <v>23733</v>
      </c>
      <c r="BR55" t="s">
        <v>8523</v>
      </c>
      <c r="BS55" t="s">
        <v>23733</v>
      </c>
      <c r="BT55" t="s">
        <v>23734</v>
      </c>
      <c r="BU55" t="s">
        <v>23735</v>
      </c>
      <c r="BV55">
        <v>25034120</v>
      </c>
      <c r="BW55" t="s">
        <v>8812</v>
      </c>
      <c r="BX55" t="s">
        <v>69</v>
      </c>
      <c r="BY55" t="s">
        <v>69</v>
      </c>
      <c r="BZ55" t="s">
        <v>8526</v>
      </c>
      <c r="CA55" t="str">
        <f>HYPERLINK("https%3A%2F%2Fwww.webofscience.com%2Fwos%2Fwoscc%2Ffull-record%2FWOS:000339376600001","View Full Record in Web of Science")</f>
        <v>View Full Record in Web of Science</v>
      </c>
    </row>
    <row r="56" spans="2:79" ht="12.5" x14ac:dyDescent="0.25">
      <c r="B56" t="s">
        <v>8495</v>
      </c>
      <c r="D56" s="7" t="s">
        <v>32933</v>
      </c>
      <c r="E56" s="7"/>
      <c r="F56" s="7"/>
      <c r="G56" s="7"/>
      <c r="H56" t="s">
        <v>67</v>
      </c>
      <c r="I56" t="s">
        <v>329</v>
      </c>
      <c r="J56" t="s">
        <v>69</v>
      </c>
      <c r="K56" t="s">
        <v>69</v>
      </c>
      <c r="L56" t="s">
        <v>69</v>
      </c>
      <c r="M56" t="s">
        <v>330</v>
      </c>
      <c r="N56" t="s">
        <v>69</v>
      </c>
      <c r="O56" t="s">
        <v>69</v>
      </c>
      <c r="P56" t="s">
        <v>2970</v>
      </c>
      <c r="Q56" t="s">
        <v>2971</v>
      </c>
      <c r="R56" t="s">
        <v>69</v>
      </c>
      <c r="S56" t="s">
        <v>69</v>
      </c>
      <c r="T56" t="s">
        <v>8505</v>
      </c>
      <c r="U56" t="s">
        <v>8506</v>
      </c>
      <c r="V56" t="s">
        <v>69</v>
      </c>
      <c r="W56" t="s">
        <v>69</v>
      </c>
      <c r="X56" t="s">
        <v>69</v>
      </c>
      <c r="Y56" t="s">
        <v>69</v>
      </c>
      <c r="Z56" t="s">
        <v>69</v>
      </c>
      <c r="AA56" t="s">
        <v>22027</v>
      </c>
      <c r="AB56" t="s">
        <v>69</v>
      </c>
      <c r="AC56" t="s">
        <v>2972</v>
      </c>
      <c r="AD56" t="s">
        <v>22028</v>
      </c>
      <c r="AE56" t="s">
        <v>69</v>
      </c>
      <c r="AF56" t="s">
        <v>22029</v>
      </c>
      <c r="AG56" t="s">
        <v>22030</v>
      </c>
      <c r="AH56" t="s">
        <v>69</v>
      </c>
      <c r="AI56" t="s">
        <v>69</v>
      </c>
      <c r="AJ56" t="s">
        <v>22031</v>
      </c>
      <c r="AK56" t="s">
        <v>22031</v>
      </c>
      <c r="AL56" t="s">
        <v>22032</v>
      </c>
      <c r="AM56" t="s">
        <v>69</v>
      </c>
      <c r="AN56">
        <v>31</v>
      </c>
      <c r="AO56">
        <v>3</v>
      </c>
      <c r="AP56">
        <v>3</v>
      </c>
      <c r="AQ56">
        <v>1</v>
      </c>
      <c r="AR56">
        <v>9</v>
      </c>
      <c r="AS56" t="s">
        <v>8586</v>
      </c>
      <c r="AT56" t="s">
        <v>8587</v>
      </c>
      <c r="AU56" t="s">
        <v>8588</v>
      </c>
      <c r="AV56" t="s">
        <v>2973</v>
      </c>
      <c r="AW56" t="s">
        <v>2974</v>
      </c>
      <c r="AX56" t="s">
        <v>69</v>
      </c>
      <c r="AY56" t="s">
        <v>14174</v>
      </c>
      <c r="AZ56" t="s">
        <v>14175</v>
      </c>
      <c r="BA56" t="s">
        <v>69</v>
      </c>
      <c r="BB56">
        <v>2016</v>
      </c>
      <c r="BC56">
        <v>14</v>
      </c>
      <c r="BD56">
        <v>3</v>
      </c>
      <c r="BE56" t="s">
        <v>69</v>
      </c>
      <c r="BF56" t="s">
        <v>69</v>
      </c>
      <c r="BG56" t="s">
        <v>69</v>
      </c>
      <c r="BH56" t="s">
        <v>69</v>
      </c>
      <c r="BI56">
        <v>249</v>
      </c>
      <c r="BJ56">
        <v>265</v>
      </c>
      <c r="BK56" t="s">
        <v>69</v>
      </c>
      <c r="BL56" t="s">
        <v>2975</v>
      </c>
      <c r="BM56" t="str">
        <f>HYPERLINK("http://dx.doi.org/10.1108/JFM-05-2015-0017","http://dx.doi.org/10.1108/JFM-05-2015-0017")</f>
        <v>http://dx.doi.org/10.1108/JFM-05-2015-0017</v>
      </c>
      <c r="BN56" t="s">
        <v>69</v>
      </c>
      <c r="BO56" t="s">
        <v>69</v>
      </c>
      <c r="BP56">
        <v>17</v>
      </c>
      <c r="BQ56" t="s">
        <v>9410</v>
      </c>
      <c r="BR56" t="s">
        <v>8573</v>
      </c>
      <c r="BS56" t="s">
        <v>8594</v>
      </c>
      <c r="BT56" t="s">
        <v>22033</v>
      </c>
      <c r="BU56" t="s">
        <v>2976</v>
      </c>
      <c r="BV56" t="s">
        <v>69</v>
      </c>
      <c r="BW56" t="s">
        <v>69</v>
      </c>
      <c r="BX56" t="s">
        <v>69</v>
      </c>
      <c r="BY56" t="s">
        <v>69</v>
      </c>
      <c r="BZ56" t="s">
        <v>8526</v>
      </c>
      <c r="CA56" t="str">
        <f>HYPERLINK("https%3A%2F%2Fwww.webofscience.com%2Fwos%2Fwoscc%2Ffull-record%2FWOS:000379807600003","View Full Record in Web of Science")</f>
        <v>View Full Record in Web of Science</v>
      </c>
    </row>
    <row r="57" spans="2:79" ht="12.5" x14ac:dyDescent="0.25">
      <c r="B57" t="s">
        <v>8495</v>
      </c>
      <c r="D57" s="22" t="s">
        <v>32931</v>
      </c>
      <c r="E57" s="7"/>
      <c r="F57" s="7"/>
      <c r="G57" s="7"/>
      <c r="H57" t="s">
        <v>67</v>
      </c>
      <c r="I57" t="s">
        <v>31372</v>
      </c>
      <c r="J57" t="s">
        <v>69</v>
      </c>
      <c r="K57" t="s">
        <v>69</v>
      </c>
      <c r="L57" t="s">
        <v>69</v>
      </c>
      <c r="M57" t="s">
        <v>31372</v>
      </c>
      <c r="N57" t="s">
        <v>69</v>
      </c>
      <c r="O57" t="s">
        <v>69</v>
      </c>
      <c r="P57" t="s">
        <v>31373</v>
      </c>
      <c r="Q57" t="s">
        <v>31374</v>
      </c>
      <c r="R57" t="s">
        <v>69</v>
      </c>
      <c r="S57" t="s">
        <v>69</v>
      </c>
      <c r="T57" t="s">
        <v>8505</v>
      </c>
      <c r="U57" t="s">
        <v>8506</v>
      </c>
      <c r="V57" t="s">
        <v>69</v>
      </c>
      <c r="W57" t="s">
        <v>69</v>
      </c>
      <c r="X57" t="s">
        <v>69</v>
      </c>
      <c r="Y57" t="s">
        <v>69</v>
      </c>
      <c r="Z57" t="s">
        <v>69</v>
      </c>
      <c r="AA57" t="s">
        <v>31375</v>
      </c>
      <c r="AB57" t="s">
        <v>69</v>
      </c>
      <c r="AC57" t="s">
        <v>31376</v>
      </c>
      <c r="AD57" t="s">
        <v>31377</v>
      </c>
      <c r="AE57" t="s">
        <v>69</v>
      </c>
      <c r="AF57" t="s">
        <v>31378</v>
      </c>
      <c r="AG57" t="s">
        <v>69</v>
      </c>
      <c r="AH57" t="s">
        <v>69</v>
      </c>
      <c r="AI57" t="s">
        <v>69</v>
      </c>
      <c r="AJ57" t="s">
        <v>69</v>
      </c>
      <c r="AK57" t="s">
        <v>69</v>
      </c>
      <c r="AL57" t="s">
        <v>69</v>
      </c>
      <c r="AM57" t="s">
        <v>69</v>
      </c>
      <c r="AN57">
        <v>16</v>
      </c>
      <c r="AO57">
        <v>0</v>
      </c>
      <c r="AP57">
        <v>0</v>
      </c>
      <c r="AQ57">
        <v>0</v>
      </c>
      <c r="AR57">
        <v>1</v>
      </c>
      <c r="AS57" t="s">
        <v>31379</v>
      </c>
      <c r="AT57" t="s">
        <v>26670</v>
      </c>
      <c r="AU57" t="s">
        <v>31380</v>
      </c>
      <c r="AV57" t="s">
        <v>31381</v>
      </c>
      <c r="AW57" t="s">
        <v>69</v>
      </c>
      <c r="AX57" t="s">
        <v>69</v>
      </c>
      <c r="AY57" t="s">
        <v>31382</v>
      </c>
      <c r="AZ57" t="s">
        <v>31383</v>
      </c>
      <c r="BA57" t="s">
        <v>619</v>
      </c>
      <c r="BB57">
        <v>2002</v>
      </c>
      <c r="BC57">
        <v>19</v>
      </c>
      <c r="BD57">
        <v>6</v>
      </c>
      <c r="BE57" t="s">
        <v>69</v>
      </c>
      <c r="BF57" t="s">
        <v>69</v>
      </c>
      <c r="BG57" t="s">
        <v>69</v>
      </c>
      <c r="BH57" t="s">
        <v>69</v>
      </c>
      <c r="BI57">
        <v>412</v>
      </c>
      <c r="BJ57">
        <v>422</v>
      </c>
      <c r="BK57" t="s">
        <v>69</v>
      </c>
      <c r="BL57" t="s">
        <v>31384</v>
      </c>
      <c r="BM57" t="str">
        <f>HYPERLINK("http://dx.doi.org/10.1046/j.1525-1446.2002.19603.x","http://dx.doi.org/10.1046/j.1525-1446.2002.19603.x")</f>
        <v>http://dx.doi.org/10.1046/j.1525-1446.2002.19603.x</v>
      </c>
      <c r="BN57" t="s">
        <v>69</v>
      </c>
      <c r="BO57" t="s">
        <v>69</v>
      </c>
      <c r="BP57">
        <v>11</v>
      </c>
      <c r="BQ57" t="s">
        <v>31385</v>
      </c>
      <c r="BR57" t="s">
        <v>8661</v>
      </c>
      <c r="BS57" t="s">
        <v>31385</v>
      </c>
      <c r="BT57" t="s">
        <v>31386</v>
      </c>
      <c r="BU57" t="s">
        <v>31387</v>
      </c>
      <c r="BV57">
        <v>12406176</v>
      </c>
      <c r="BW57" t="s">
        <v>69</v>
      </c>
      <c r="BX57" t="s">
        <v>69</v>
      </c>
      <c r="BY57" t="s">
        <v>69</v>
      </c>
      <c r="BZ57" t="s">
        <v>8526</v>
      </c>
      <c r="CA57" t="str">
        <f>HYPERLINK("https%3A%2F%2Fwww.webofscience.com%2Fwos%2Fwoscc%2Ffull-record%2FWOS:000178858200003","View Full Record in Web of Science")</f>
        <v>View Full Record in Web of Science</v>
      </c>
    </row>
    <row r="58" spans="2:79" ht="12.5" x14ac:dyDescent="0.25">
      <c r="B58" t="s">
        <v>8495</v>
      </c>
      <c r="D58" s="7" t="s">
        <v>32933</v>
      </c>
      <c r="E58" s="7"/>
      <c r="F58" s="7"/>
      <c r="G58" s="7"/>
      <c r="H58" t="s">
        <v>67</v>
      </c>
      <c r="I58" t="s">
        <v>7326</v>
      </c>
      <c r="J58" t="s">
        <v>69</v>
      </c>
      <c r="K58" t="s">
        <v>69</v>
      </c>
      <c r="L58" t="s">
        <v>69</v>
      </c>
      <c r="M58" t="s">
        <v>7327</v>
      </c>
      <c r="N58" t="s">
        <v>69</v>
      </c>
      <c r="O58" t="s">
        <v>69</v>
      </c>
      <c r="P58" t="s">
        <v>7328</v>
      </c>
      <c r="Q58" t="s">
        <v>632</v>
      </c>
      <c r="R58" t="s">
        <v>69</v>
      </c>
      <c r="S58" t="s">
        <v>69</v>
      </c>
      <c r="T58" t="s">
        <v>8505</v>
      </c>
      <c r="U58" t="s">
        <v>8506</v>
      </c>
      <c r="V58" t="s">
        <v>69</v>
      </c>
      <c r="W58" t="s">
        <v>69</v>
      </c>
      <c r="X58" t="s">
        <v>69</v>
      </c>
      <c r="Y58" t="s">
        <v>69</v>
      </c>
      <c r="Z58" t="s">
        <v>69</v>
      </c>
      <c r="AA58" t="s">
        <v>16561</v>
      </c>
      <c r="AB58" t="s">
        <v>16562</v>
      </c>
      <c r="AC58" t="s">
        <v>7329</v>
      </c>
      <c r="AD58" t="s">
        <v>16563</v>
      </c>
      <c r="AE58" t="s">
        <v>69</v>
      </c>
      <c r="AF58" t="s">
        <v>16564</v>
      </c>
      <c r="AG58" t="s">
        <v>16565</v>
      </c>
      <c r="AH58" t="s">
        <v>16566</v>
      </c>
      <c r="AI58" t="s">
        <v>7330</v>
      </c>
      <c r="AJ58" t="s">
        <v>16567</v>
      </c>
      <c r="AK58" t="s">
        <v>16568</v>
      </c>
      <c r="AL58" t="s">
        <v>16569</v>
      </c>
      <c r="AM58" t="s">
        <v>69</v>
      </c>
      <c r="AN58">
        <v>59</v>
      </c>
      <c r="AO58">
        <v>45</v>
      </c>
      <c r="AP58">
        <v>45</v>
      </c>
      <c r="AQ58">
        <v>18</v>
      </c>
      <c r="AR58">
        <v>93</v>
      </c>
      <c r="AS58" t="s">
        <v>8516</v>
      </c>
      <c r="AT58" t="s">
        <v>8517</v>
      </c>
      <c r="AU58" t="s">
        <v>8518</v>
      </c>
      <c r="AV58" t="s">
        <v>634</v>
      </c>
      <c r="AW58" t="s">
        <v>635</v>
      </c>
      <c r="AX58" t="s">
        <v>69</v>
      </c>
      <c r="AY58" t="s">
        <v>8714</v>
      </c>
      <c r="AZ58" t="s">
        <v>8715</v>
      </c>
      <c r="BA58" t="s">
        <v>7048</v>
      </c>
      <c r="BB58">
        <v>2019</v>
      </c>
      <c r="BC58">
        <v>686</v>
      </c>
      <c r="BD58" t="s">
        <v>69</v>
      </c>
      <c r="BE58" t="s">
        <v>69</v>
      </c>
      <c r="BF58" t="s">
        <v>69</v>
      </c>
      <c r="BG58" t="s">
        <v>69</v>
      </c>
      <c r="BH58" t="s">
        <v>69</v>
      </c>
      <c r="BI58">
        <v>856</v>
      </c>
      <c r="BJ58">
        <v>868</v>
      </c>
      <c r="BK58" t="s">
        <v>69</v>
      </c>
      <c r="BL58" t="s">
        <v>7331</v>
      </c>
      <c r="BM58" t="str">
        <f>HYPERLINK("http://dx.doi.org/10.1016/j.scitotenv.2019.06.051","http://dx.doi.org/10.1016/j.scitotenv.2019.06.051")</f>
        <v>http://dx.doi.org/10.1016/j.scitotenv.2019.06.051</v>
      </c>
      <c r="BN58" t="s">
        <v>69</v>
      </c>
      <c r="BO58" t="s">
        <v>69</v>
      </c>
      <c r="BP58">
        <v>13</v>
      </c>
      <c r="BQ58" t="s">
        <v>8717</v>
      </c>
      <c r="BR58" t="s">
        <v>8523</v>
      </c>
      <c r="BS58" t="s">
        <v>8662</v>
      </c>
      <c r="BT58" t="s">
        <v>16570</v>
      </c>
      <c r="BU58" t="s">
        <v>7332</v>
      </c>
      <c r="BV58">
        <v>31412525</v>
      </c>
      <c r="BW58" t="s">
        <v>10363</v>
      </c>
      <c r="BX58" t="s">
        <v>69</v>
      </c>
      <c r="BY58" t="s">
        <v>69</v>
      </c>
      <c r="BZ58" t="s">
        <v>8526</v>
      </c>
      <c r="CA58" t="str">
        <f>HYPERLINK("https%3A%2F%2Fwww.webofscience.com%2Fwos%2Fwoscc%2Ffull-record%2FWOS:000479029700077","View Full Record in Web of Science")</f>
        <v>View Full Record in Web of Science</v>
      </c>
    </row>
    <row r="59" spans="2:79" ht="12.5" x14ac:dyDescent="0.25">
      <c r="B59" t="s">
        <v>8495</v>
      </c>
      <c r="D59" s="22" t="s">
        <v>32931</v>
      </c>
      <c r="E59" s="7"/>
      <c r="F59" s="7"/>
      <c r="G59" s="7"/>
      <c r="H59" t="s">
        <v>67</v>
      </c>
      <c r="I59" t="s">
        <v>20968</v>
      </c>
      <c r="J59" t="s">
        <v>69</v>
      </c>
      <c r="K59" t="s">
        <v>69</v>
      </c>
      <c r="L59" t="s">
        <v>69</v>
      </c>
      <c r="M59" t="s">
        <v>20969</v>
      </c>
      <c r="N59" t="s">
        <v>69</v>
      </c>
      <c r="O59" t="s">
        <v>69</v>
      </c>
      <c r="P59" t="s">
        <v>20970</v>
      </c>
      <c r="Q59" t="s">
        <v>20971</v>
      </c>
      <c r="R59" t="s">
        <v>69</v>
      </c>
      <c r="S59" t="s">
        <v>69</v>
      </c>
      <c r="T59" t="s">
        <v>8505</v>
      </c>
      <c r="U59" t="s">
        <v>8506</v>
      </c>
      <c r="V59" t="s">
        <v>69</v>
      </c>
      <c r="W59" t="s">
        <v>69</v>
      </c>
      <c r="X59" t="s">
        <v>69</v>
      </c>
      <c r="Y59" t="s">
        <v>69</v>
      </c>
      <c r="Z59" t="s">
        <v>69</v>
      </c>
      <c r="AA59" t="s">
        <v>20972</v>
      </c>
      <c r="AB59" t="s">
        <v>20973</v>
      </c>
      <c r="AC59" t="s">
        <v>20974</v>
      </c>
      <c r="AD59" t="s">
        <v>20975</v>
      </c>
      <c r="AE59" t="s">
        <v>69</v>
      </c>
      <c r="AF59" t="s">
        <v>20976</v>
      </c>
      <c r="AG59" t="s">
        <v>20977</v>
      </c>
      <c r="AH59" t="s">
        <v>20978</v>
      </c>
      <c r="AI59" t="s">
        <v>20979</v>
      </c>
      <c r="AJ59" t="s">
        <v>20980</v>
      </c>
      <c r="AK59" t="s">
        <v>20981</v>
      </c>
      <c r="AL59" t="s">
        <v>20982</v>
      </c>
      <c r="AM59" t="s">
        <v>69</v>
      </c>
      <c r="AN59">
        <v>75</v>
      </c>
      <c r="AO59">
        <v>8</v>
      </c>
      <c r="AP59">
        <v>8</v>
      </c>
      <c r="AQ59">
        <v>0</v>
      </c>
      <c r="AR59">
        <v>13</v>
      </c>
      <c r="AS59" t="s">
        <v>8865</v>
      </c>
      <c r="AT59" t="s">
        <v>8612</v>
      </c>
      <c r="AU59" t="s">
        <v>8866</v>
      </c>
      <c r="AV59" t="s">
        <v>20983</v>
      </c>
      <c r="AW59" t="s">
        <v>20984</v>
      </c>
      <c r="AX59" t="s">
        <v>69</v>
      </c>
      <c r="AY59" t="s">
        <v>20985</v>
      </c>
      <c r="AZ59" t="s">
        <v>20986</v>
      </c>
      <c r="BA59" t="s">
        <v>69</v>
      </c>
      <c r="BB59">
        <v>2017</v>
      </c>
      <c r="BC59">
        <v>12</v>
      </c>
      <c r="BD59">
        <v>4</v>
      </c>
      <c r="BE59" t="s">
        <v>69</v>
      </c>
      <c r="BF59" t="s">
        <v>69</v>
      </c>
      <c r="BG59" t="s">
        <v>69</v>
      </c>
      <c r="BH59" t="s">
        <v>69</v>
      </c>
      <c r="BI59">
        <v>432</v>
      </c>
      <c r="BJ59">
        <v>448</v>
      </c>
      <c r="BK59" t="s">
        <v>69</v>
      </c>
      <c r="BL59" t="s">
        <v>20987</v>
      </c>
      <c r="BM59" t="str">
        <f>HYPERLINK("http://dx.doi.org/10.1080/17441692.2016.1170868","http://dx.doi.org/10.1080/17441692.2016.1170868")</f>
        <v>http://dx.doi.org/10.1080/17441692.2016.1170868</v>
      </c>
      <c r="BN59" t="s">
        <v>69</v>
      </c>
      <c r="BO59" t="s">
        <v>69</v>
      </c>
      <c r="BP59">
        <v>17</v>
      </c>
      <c r="BQ59" t="s">
        <v>8810</v>
      </c>
      <c r="BR59" t="s">
        <v>8661</v>
      </c>
      <c r="BS59" t="s">
        <v>8810</v>
      </c>
      <c r="BT59" t="s">
        <v>20988</v>
      </c>
      <c r="BU59" t="s">
        <v>20989</v>
      </c>
      <c r="BV59">
        <v>27079136</v>
      </c>
      <c r="BW59" t="s">
        <v>9292</v>
      </c>
      <c r="BX59" t="s">
        <v>69</v>
      </c>
      <c r="BY59" t="s">
        <v>69</v>
      </c>
      <c r="BZ59" t="s">
        <v>8526</v>
      </c>
      <c r="CA59" t="str">
        <f>HYPERLINK("https%3A%2F%2Fwww.webofscience.com%2Fwos%2Fwoscc%2Ffull-record%2FWOS:000395009700004","View Full Record in Web of Science")</f>
        <v>View Full Record in Web of Science</v>
      </c>
    </row>
    <row r="60" spans="2:79" ht="12.5" x14ac:dyDescent="0.25">
      <c r="B60" t="s">
        <v>8495</v>
      </c>
      <c r="D60" s="7" t="s">
        <v>32933</v>
      </c>
      <c r="E60" s="7"/>
      <c r="F60" s="7"/>
      <c r="G60" s="7"/>
      <c r="H60" t="s">
        <v>67</v>
      </c>
      <c r="I60" t="s">
        <v>8203</v>
      </c>
      <c r="J60" t="s">
        <v>69</v>
      </c>
      <c r="K60" t="s">
        <v>69</v>
      </c>
      <c r="L60" t="s">
        <v>69</v>
      </c>
      <c r="M60" t="s">
        <v>8204</v>
      </c>
      <c r="N60" t="s">
        <v>69</v>
      </c>
      <c r="O60" t="s">
        <v>69</v>
      </c>
      <c r="P60" t="s">
        <v>8205</v>
      </c>
      <c r="Q60" t="s">
        <v>4079</v>
      </c>
      <c r="R60" t="s">
        <v>69</v>
      </c>
      <c r="S60" t="s">
        <v>69</v>
      </c>
      <c r="T60" t="s">
        <v>8505</v>
      </c>
      <c r="U60" t="s">
        <v>8506</v>
      </c>
      <c r="V60" t="s">
        <v>69</v>
      </c>
      <c r="W60" t="s">
        <v>69</v>
      </c>
      <c r="X60" t="s">
        <v>69</v>
      </c>
      <c r="Y60" t="s">
        <v>69</v>
      </c>
      <c r="Z60" t="s">
        <v>69</v>
      </c>
      <c r="AA60" t="s">
        <v>21755</v>
      </c>
      <c r="AB60" t="s">
        <v>21756</v>
      </c>
      <c r="AC60" t="s">
        <v>8206</v>
      </c>
      <c r="AD60" t="s">
        <v>21757</v>
      </c>
      <c r="AE60" t="s">
        <v>69</v>
      </c>
      <c r="AF60" t="s">
        <v>21758</v>
      </c>
      <c r="AG60" t="s">
        <v>21759</v>
      </c>
      <c r="AH60" t="s">
        <v>69</v>
      </c>
      <c r="AI60" t="s">
        <v>69</v>
      </c>
      <c r="AJ60" t="s">
        <v>69</v>
      </c>
      <c r="AK60" t="s">
        <v>69</v>
      </c>
      <c r="AL60" t="s">
        <v>69</v>
      </c>
      <c r="AM60" t="s">
        <v>69</v>
      </c>
      <c r="AN60">
        <v>54</v>
      </c>
      <c r="AO60">
        <v>26</v>
      </c>
      <c r="AP60">
        <v>27</v>
      </c>
      <c r="AQ60">
        <v>1</v>
      </c>
      <c r="AR60">
        <v>23</v>
      </c>
      <c r="AS60" t="s">
        <v>18779</v>
      </c>
      <c r="AT60" t="s">
        <v>8993</v>
      </c>
      <c r="AU60" t="s">
        <v>18780</v>
      </c>
      <c r="AV60" t="s">
        <v>4084</v>
      </c>
      <c r="AW60" t="s">
        <v>8000</v>
      </c>
      <c r="AX60" t="s">
        <v>69</v>
      </c>
      <c r="AY60" t="s">
        <v>18781</v>
      </c>
      <c r="AZ60" t="s">
        <v>18782</v>
      </c>
      <c r="BA60" t="s">
        <v>8207</v>
      </c>
      <c r="BB60">
        <v>2016</v>
      </c>
      <c r="BC60">
        <v>116</v>
      </c>
      <c r="BD60" t="s">
        <v>69</v>
      </c>
      <c r="BE60" t="s">
        <v>69</v>
      </c>
      <c r="BF60" t="s">
        <v>69</v>
      </c>
      <c r="BG60" t="s">
        <v>69</v>
      </c>
      <c r="BH60" t="s">
        <v>69</v>
      </c>
      <c r="BI60">
        <v>522</v>
      </c>
      <c r="BJ60">
        <v>534</v>
      </c>
      <c r="BK60" t="s">
        <v>69</v>
      </c>
      <c r="BL60" t="s">
        <v>8208</v>
      </c>
      <c r="BM60" t="str">
        <f>HYPERLINK("http://dx.doi.org/10.1016/j.enbuild.2016.01.022","http://dx.doi.org/10.1016/j.enbuild.2016.01.022")</f>
        <v>http://dx.doi.org/10.1016/j.enbuild.2016.01.022</v>
      </c>
      <c r="BN60" t="s">
        <v>69</v>
      </c>
      <c r="BO60" t="s">
        <v>69</v>
      </c>
      <c r="BP60">
        <v>13</v>
      </c>
      <c r="BQ60" t="s">
        <v>18783</v>
      </c>
      <c r="BR60" t="s">
        <v>8548</v>
      </c>
      <c r="BS60" t="s">
        <v>18784</v>
      </c>
      <c r="BT60" t="s">
        <v>21760</v>
      </c>
      <c r="BU60" t="s">
        <v>8209</v>
      </c>
      <c r="BV60" t="s">
        <v>69</v>
      </c>
      <c r="BW60" t="s">
        <v>69</v>
      </c>
      <c r="BX60" t="s">
        <v>69</v>
      </c>
      <c r="BY60" t="s">
        <v>69</v>
      </c>
      <c r="BZ60" t="s">
        <v>8526</v>
      </c>
      <c r="CA60" t="str">
        <f>HYPERLINK("https%3A%2F%2Fwww.webofscience.com%2Fwos%2Fwoscc%2Ffull-record%2FWOS:000373863300046","View Full Record in Web of Science")</f>
        <v>View Full Record in Web of Science</v>
      </c>
    </row>
    <row r="61" spans="2:79" ht="12.5" x14ac:dyDescent="0.25">
      <c r="B61" t="s">
        <v>8495</v>
      </c>
      <c r="D61" s="7" t="s">
        <v>32933</v>
      </c>
      <c r="E61" s="7"/>
      <c r="F61" s="7"/>
      <c r="G61" s="7"/>
      <c r="H61" t="s">
        <v>67</v>
      </c>
      <c r="I61" t="s">
        <v>8089</v>
      </c>
      <c r="J61" t="s">
        <v>69</v>
      </c>
      <c r="K61" t="s">
        <v>69</v>
      </c>
      <c r="L61" t="s">
        <v>69</v>
      </c>
      <c r="M61" t="s">
        <v>8090</v>
      </c>
      <c r="N61" t="s">
        <v>69</v>
      </c>
      <c r="O61" t="s">
        <v>69</v>
      </c>
      <c r="P61" t="s">
        <v>8091</v>
      </c>
      <c r="Q61" t="s">
        <v>8092</v>
      </c>
      <c r="R61" t="s">
        <v>69</v>
      </c>
      <c r="S61" t="s">
        <v>69</v>
      </c>
      <c r="T61" t="s">
        <v>8505</v>
      </c>
      <c r="U61" t="s">
        <v>8506</v>
      </c>
      <c r="V61" t="s">
        <v>69</v>
      </c>
      <c r="W61" t="s">
        <v>69</v>
      </c>
      <c r="X61" t="s">
        <v>69</v>
      </c>
      <c r="Y61" t="s">
        <v>69</v>
      </c>
      <c r="Z61" t="s">
        <v>69</v>
      </c>
      <c r="AA61" t="s">
        <v>16849</v>
      </c>
      <c r="AB61" t="s">
        <v>16850</v>
      </c>
      <c r="AC61" t="s">
        <v>8093</v>
      </c>
      <c r="AD61" t="s">
        <v>16851</v>
      </c>
      <c r="AE61" t="s">
        <v>69</v>
      </c>
      <c r="AF61" t="s">
        <v>16852</v>
      </c>
      <c r="AG61" t="s">
        <v>16853</v>
      </c>
      <c r="AH61" t="s">
        <v>69</v>
      </c>
      <c r="AI61" t="s">
        <v>69</v>
      </c>
      <c r="AJ61" t="s">
        <v>69</v>
      </c>
      <c r="AK61" t="s">
        <v>69</v>
      </c>
      <c r="AL61" t="s">
        <v>69</v>
      </c>
      <c r="AM61" t="s">
        <v>69</v>
      </c>
      <c r="AN61">
        <v>62</v>
      </c>
      <c r="AO61">
        <v>7</v>
      </c>
      <c r="AP61">
        <v>8</v>
      </c>
      <c r="AQ61">
        <v>4</v>
      </c>
      <c r="AR61">
        <v>11</v>
      </c>
      <c r="AS61" t="s">
        <v>9047</v>
      </c>
      <c r="AT61" t="s">
        <v>8693</v>
      </c>
      <c r="AU61" t="s">
        <v>11784</v>
      </c>
      <c r="AV61" t="s">
        <v>8094</v>
      </c>
      <c r="AW61" t="s">
        <v>8095</v>
      </c>
      <c r="AX61" t="s">
        <v>69</v>
      </c>
      <c r="AY61" t="s">
        <v>16854</v>
      </c>
      <c r="AZ61" t="s">
        <v>16855</v>
      </c>
      <c r="BA61" t="s">
        <v>255</v>
      </c>
      <c r="BB61">
        <v>2019</v>
      </c>
      <c r="BC61">
        <v>10</v>
      </c>
      <c r="BD61">
        <v>3</v>
      </c>
      <c r="BE61" t="s">
        <v>69</v>
      </c>
      <c r="BF61" t="s">
        <v>69</v>
      </c>
      <c r="BG61" t="s">
        <v>69</v>
      </c>
      <c r="BH61" t="s">
        <v>69</v>
      </c>
      <c r="BI61">
        <v>1272</v>
      </c>
      <c r="BJ61">
        <v>1296</v>
      </c>
      <c r="BK61" t="s">
        <v>69</v>
      </c>
      <c r="BL61" t="s">
        <v>8096</v>
      </c>
      <c r="BM61" t="str">
        <f>HYPERLINK("http://dx.doi.org/10.1007/s13132-018-0521-5","http://dx.doi.org/10.1007/s13132-018-0521-5")</f>
        <v>http://dx.doi.org/10.1007/s13132-018-0521-5</v>
      </c>
      <c r="BN61" t="s">
        <v>69</v>
      </c>
      <c r="BO61" t="s">
        <v>69</v>
      </c>
      <c r="BP61">
        <v>25</v>
      </c>
      <c r="BQ61" t="s">
        <v>9726</v>
      </c>
      <c r="BR61" t="s">
        <v>8661</v>
      </c>
      <c r="BS61" t="s">
        <v>8594</v>
      </c>
      <c r="BT61" t="s">
        <v>16856</v>
      </c>
      <c r="BU61" t="s">
        <v>8097</v>
      </c>
      <c r="BV61" t="s">
        <v>69</v>
      </c>
      <c r="BW61" t="s">
        <v>10363</v>
      </c>
      <c r="BX61" t="s">
        <v>69</v>
      </c>
      <c r="BY61" t="s">
        <v>69</v>
      </c>
      <c r="BZ61" t="s">
        <v>8526</v>
      </c>
      <c r="CA61" t="str">
        <f>HYPERLINK("https%3A%2F%2Fwww.webofscience.com%2Fwos%2Fwoscc%2Ffull-record%2FWOS:000479145300019","View Full Record in Web of Science")</f>
        <v>View Full Record in Web of Science</v>
      </c>
    </row>
    <row r="62" spans="2:79" ht="12.5" x14ac:dyDescent="0.25">
      <c r="B62" t="s">
        <v>8495</v>
      </c>
      <c r="D62" s="22" t="s">
        <v>32931</v>
      </c>
      <c r="E62" s="7"/>
      <c r="F62" s="7"/>
      <c r="G62" s="7"/>
      <c r="H62" t="s">
        <v>67</v>
      </c>
      <c r="I62" t="s">
        <v>31667</v>
      </c>
      <c r="J62" t="s">
        <v>69</v>
      </c>
      <c r="K62" t="s">
        <v>69</v>
      </c>
      <c r="L62" t="s">
        <v>69</v>
      </c>
      <c r="M62" t="s">
        <v>31667</v>
      </c>
      <c r="N62" t="s">
        <v>69</v>
      </c>
      <c r="O62" t="s">
        <v>69</v>
      </c>
      <c r="P62" t="s">
        <v>31668</v>
      </c>
      <c r="Q62" t="s">
        <v>29970</v>
      </c>
      <c r="R62" t="s">
        <v>69</v>
      </c>
      <c r="S62" t="s">
        <v>69</v>
      </c>
      <c r="T62" t="s">
        <v>8505</v>
      </c>
      <c r="U62" t="s">
        <v>8506</v>
      </c>
      <c r="V62" t="s">
        <v>69</v>
      </c>
      <c r="W62" t="s">
        <v>69</v>
      </c>
      <c r="X62" t="s">
        <v>69</v>
      </c>
      <c r="Y62" t="s">
        <v>69</v>
      </c>
      <c r="Z62" t="s">
        <v>69</v>
      </c>
      <c r="AA62" t="s">
        <v>69</v>
      </c>
      <c r="AB62" t="s">
        <v>69</v>
      </c>
      <c r="AC62" t="s">
        <v>31669</v>
      </c>
      <c r="AD62" t="s">
        <v>31670</v>
      </c>
      <c r="AE62" t="s">
        <v>69</v>
      </c>
      <c r="AF62" t="s">
        <v>31671</v>
      </c>
      <c r="AG62" t="s">
        <v>69</v>
      </c>
      <c r="AH62" t="s">
        <v>69</v>
      </c>
      <c r="AI62" t="s">
        <v>69</v>
      </c>
      <c r="AJ62" t="s">
        <v>69</v>
      </c>
      <c r="AK62" t="s">
        <v>69</v>
      </c>
      <c r="AL62" t="s">
        <v>69</v>
      </c>
      <c r="AM62" t="s">
        <v>69</v>
      </c>
      <c r="AN62">
        <v>15</v>
      </c>
      <c r="AO62">
        <v>4</v>
      </c>
      <c r="AP62">
        <v>4</v>
      </c>
      <c r="AQ62">
        <v>0</v>
      </c>
      <c r="AR62">
        <v>3</v>
      </c>
      <c r="AS62" t="s">
        <v>29982</v>
      </c>
      <c r="AT62" t="s">
        <v>9979</v>
      </c>
      <c r="AU62" t="s">
        <v>31672</v>
      </c>
      <c r="AV62" t="s">
        <v>29984</v>
      </c>
      <c r="AW62" t="s">
        <v>69</v>
      </c>
      <c r="AX62" t="s">
        <v>69</v>
      </c>
      <c r="AY62" t="s">
        <v>29986</v>
      </c>
      <c r="AZ62" t="s">
        <v>29987</v>
      </c>
      <c r="BA62" t="s">
        <v>69</v>
      </c>
      <c r="BB62">
        <v>2001</v>
      </c>
      <c r="BC62">
        <v>3</v>
      </c>
      <c r="BD62">
        <v>4</v>
      </c>
      <c r="BE62" t="s">
        <v>69</v>
      </c>
      <c r="BF62" t="s">
        <v>69</v>
      </c>
      <c r="BG62" t="s">
        <v>69</v>
      </c>
      <c r="BH62" t="s">
        <v>69</v>
      </c>
      <c r="BI62">
        <v>425</v>
      </c>
      <c r="BJ62">
        <v>431</v>
      </c>
      <c r="BK62" t="s">
        <v>69</v>
      </c>
      <c r="BL62" t="s">
        <v>31673</v>
      </c>
      <c r="BM62" t="str">
        <f>HYPERLINK("http://dx.doi.org/10.1039/b101351n","http://dx.doi.org/10.1039/b101351n")</f>
        <v>http://dx.doi.org/10.1039/b101351n</v>
      </c>
      <c r="BN62" t="s">
        <v>69</v>
      </c>
      <c r="BO62" t="s">
        <v>69</v>
      </c>
      <c r="BP62">
        <v>7</v>
      </c>
      <c r="BQ62" t="s">
        <v>29989</v>
      </c>
      <c r="BR62" t="s">
        <v>8548</v>
      </c>
      <c r="BS62" t="s">
        <v>29990</v>
      </c>
      <c r="BT62" t="s">
        <v>31674</v>
      </c>
      <c r="BU62" t="s">
        <v>31675</v>
      </c>
      <c r="BV62">
        <v>11523445</v>
      </c>
      <c r="BW62" t="s">
        <v>69</v>
      </c>
      <c r="BX62" t="s">
        <v>69</v>
      </c>
      <c r="BY62" t="s">
        <v>69</v>
      </c>
      <c r="BZ62" t="s">
        <v>8526</v>
      </c>
      <c r="CA62" t="str">
        <f>HYPERLINK("https%3A%2F%2Fwww.webofscience.com%2Fwos%2Fwoscc%2Ffull-record%2FWOS:000170170500018","View Full Record in Web of Science")</f>
        <v>View Full Record in Web of Science</v>
      </c>
    </row>
    <row r="63" spans="2:79" ht="12.5" x14ac:dyDescent="0.25">
      <c r="B63" t="s">
        <v>8495</v>
      </c>
      <c r="D63" s="22" t="s">
        <v>32931</v>
      </c>
      <c r="E63" s="7"/>
      <c r="F63" s="7"/>
      <c r="G63" s="7"/>
      <c r="H63" t="s">
        <v>67</v>
      </c>
      <c r="I63" t="s">
        <v>28107</v>
      </c>
      <c r="J63" t="s">
        <v>69</v>
      </c>
      <c r="K63" t="s">
        <v>69</v>
      </c>
      <c r="L63" t="s">
        <v>69</v>
      </c>
      <c r="M63" t="s">
        <v>28108</v>
      </c>
      <c r="N63" t="s">
        <v>69</v>
      </c>
      <c r="O63" t="s">
        <v>69</v>
      </c>
      <c r="P63" t="s">
        <v>28109</v>
      </c>
      <c r="Q63" t="s">
        <v>3658</v>
      </c>
      <c r="R63" t="s">
        <v>69</v>
      </c>
      <c r="S63" t="s">
        <v>69</v>
      </c>
      <c r="T63" t="s">
        <v>8505</v>
      </c>
      <c r="U63" t="s">
        <v>8506</v>
      </c>
      <c r="V63" t="s">
        <v>69</v>
      </c>
      <c r="W63" t="s">
        <v>69</v>
      </c>
      <c r="X63" t="s">
        <v>69</v>
      </c>
      <c r="Y63" t="s">
        <v>69</v>
      </c>
      <c r="Z63" t="s">
        <v>69</v>
      </c>
      <c r="AA63" t="s">
        <v>69</v>
      </c>
      <c r="AB63" t="s">
        <v>28110</v>
      </c>
      <c r="AC63" t="s">
        <v>28111</v>
      </c>
      <c r="AD63" t="s">
        <v>28112</v>
      </c>
      <c r="AE63" t="s">
        <v>69</v>
      </c>
      <c r="AF63" t="s">
        <v>28113</v>
      </c>
      <c r="AG63" t="s">
        <v>28114</v>
      </c>
      <c r="AH63" t="s">
        <v>69</v>
      </c>
      <c r="AI63" t="s">
        <v>69</v>
      </c>
      <c r="AJ63" t="s">
        <v>69</v>
      </c>
      <c r="AK63" t="s">
        <v>69</v>
      </c>
      <c r="AL63" t="s">
        <v>69</v>
      </c>
      <c r="AM63" t="s">
        <v>69</v>
      </c>
      <c r="AN63">
        <v>39</v>
      </c>
      <c r="AO63">
        <v>18</v>
      </c>
      <c r="AP63">
        <v>21</v>
      </c>
      <c r="AQ63">
        <v>0</v>
      </c>
      <c r="AR63">
        <v>15</v>
      </c>
      <c r="AS63" t="s">
        <v>8865</v>
      </c>
      <c r="AT63" t="s">
        <v>8612</v>
      </c>
      <c r="AU63" t="s">
        <v>8866</v>
      </c>
      <c r="AV63" t="s">
        <v>3660</v>
      </c>
      <c r="AW63" t="s">
        <v>3661</v>
      </c>
      <c r="AX63" t="s">
        <v>69</v>
      </c>
      <c r="AY63" t="s">
        <v>17632</v>
      </c>
      <c r="AZ63" t="s">
        <v>17633</v>
      </c>
      <c r="BA63" t="s">
        <v>69</v>
      </c>
      <c r="BB63">
        <v>2010</v>
      </c>
      <c r="BC63">
        <v>20</v>
      </c>
      <c r="BD63">
        <v>4</v>
      </c>
      <c r="BE63" t="s">
        <v>69</v>
      </c>
      <c r="BF63" t="s">
        <v>69</v>
      </c>
      <c r="BG63" t="s">
        <v>69</v>
      </c>
      <c r="BH63" t="s">
        <v>69</v>
      </c>
      <c r="BI63">
        <v>288</v>
      </c>
      <c r="BJ63">
        <v>315</v>
      </c>
      <c r="BK63" t="s">
        <v>28115</v>
      </c>
      <c r="BL63" t="s">
        <v>28116</v>
      </c>
      <c r="BM63" t="str">
        <f>HYPERLINK("http://dx.doi.org/10.1080/10474412.2010.522878","http://dx.doi.org/10.1080/10474412.2010.522878")</f>
        <v>http://dx.doi.org/10.1080/10474412.2010.522878</v>
      </c>
      <c r="BN63" t="s">
        <v>69</v>
      </c>
      <c r="BO63" t="s">
        <v>69</v>
      </c>
      <c r="BP63">
        <v>28</v>
      </c>
      <c r="BQ63" t="s">
        <v>11114</v>
      </c>
      <c r="BR63" t="s">
        <v>8661</v>
      </c>
      <c r="BS63" t="s">
        <v>9001</v>
      </c>
      <c r="BT63" t="s">
        <v>28117</v>
      </c>
      <c r="BU63" t="s">
        <v>28118</v>
      </c>
      <c r="BV63" t="s">
        <v>69</v>
      </c>
      <c r="BW63" t="s">
        <v>69</v>
      </c>
      <c r="BX63" t="s">
        <v>69</v>
      </c>
      <c r="BY63" t="s">
        <v>69</v>
      </c>
      <c r="BZ63" t="s">
        <v>8526</v>
      </c>
      <c r="CA63" t="str">
        <f>HYPERLINK("https%3A%2F%2Fwww.webofscience.com%2Fwos%2Fwoscc%2Ffull-record%2FWOS:000285352300002","View Full Record in Web of Science")</f>
        <v>View Full Record in Web of Science</v>
      </c>
    </row>
    <row r="64" spans="2:79" ht="12.5" x14ac:dyDescent="0.25">
      <c r="B64" t="s">
        <v>8495</v>
      </c>
      <c r="D64" s="22" t="s">
        <v>32933</v>
      </c>
      <c r="E64" s="7"/>
      <c r="F64" s="7"/>
      <c r="G64" s="7"/>
      <c r="H64" t="s">
        <v>67</v>
      </c>
      <c r="I64" t="s">
        <v>313</v>
      </c>
      <c r="J64" t="s">
        <v>69</v>
      </c>
      <c r="K64" t="s">
        <v>69</v>
      </c>
      <c r="L64" t="s">
        <v>69</v>
      </c>
      <c r="M64" t="s">
        <v>314</v>
      </c>
      <c r="N64" t="s">
        <v>69</v>
      </c>
      <c r="O64" t="s">
        <v>69</v>
      </c>
      <c r="P64" t="s">
        <v>315</v>
      </c>
      <c r="Q64" t="s">
        <v>316</v>
      </c>
      <c r="R64" t="s">
        <v>69</v>
      </c>
      <c r="S64" t="s">
        <v>69</v>
      </c>
      <c r="T64" t="s">
        <v>8505</v>
      </c>
      <c r="U64" t="s">
        <v>8506</v>
      </c>
      <c r="V64" t="s">
        <v>69</v>
      </c>
      <c r="W64" t="s">
        <v>69</v>
      </c>
      <c r="X64" t="s">
        <v>69</v>
      </c>
      <c r="Y64" t="s">
        <v>69</v>
      </c>
      <c r="Z64" t="s">
        <v>69</v>
      </c>
      <c r="AA64" t="s">
        <v>14189</v>
      </c>
      <c r="AB64" t="s">
        <v>14190</v>
      </c>
      <c r="AC64" t="s">
        <v>317</v>
      </c>
      <c r="AD64" t="s">
        <v>14191</v>
      </c>
      <c r="AE64" t="s">
        <v>69</v>
      </c>
      <c r="AF64" t="s">
        <v>14192</v>
      </c>
      <c r="AG64" t="s">
        <v>14193</v>
      </c>
      <c r="AH64" t="s">
        <v>69</v>
      </c>
      <c r="AI64" t="s">
        <v>69</v>
      </c>
      <c r="AJ64" t="s">
        <v>69</v>
      </c>
      <c r="AK64" t="s">
        <v>69</v>
      </c>
      <c r="AL64" t="s">
        <v>69</v>
      </c>
      <c r="AM64" t="s">
        <v>69</v>
      </c>
      <c r="AN64">
        <v>71</v>
      </c>
      <c r="AO64">
        <v>1</v>
      </c>
      <c r="AP64">
        <v>1</v>
      </c>
      <c r="AQ64">
        <v>1</v>
      </c>
      <c r="AR64">
        <v>5</v>
      </c>
      <c r="AS64" t="s">
        <v>8586</v>
      </c>
      <c r="AT64" t="s">
        <v>8587</v>
      </c>
      <c r="AU64" t="s">
        <v>8588</v>
      </c>
      <c r="AV64" t="s">
        <v>318</v>
      </c>
      <c r="AW64" t="s">
        <v>319</v>
      </c>
      <c r="AX64" t="s">
        <v>69</v>
      </c>
      <c r="AY64" t="s">
        <v>11313</v>
      </c>
      <c r="AZ64" t="s">
        <v>11314</v>
      </c>
      <c r="BA64" t="s">
        <v>14194</v>
      </c>
      <c r="BB64">
        <v>2021</v>
      </c>
      <c r="BC64">
        <v>21</v>
      </c>
      <c r="BD64">
        <v>2</v>
      </c>
      <c r="BE64" t="s">
        <v>69</v>
      </c>
      <c r="BF64" t="s">
        <v>69</v>
      </c>
      <c r="BG64" t="s">
        <v>69</v>
      </c>
      <c r="BH64" t="s">
        <v>69</v>
      </c>
      <c r="BI64">
        <v>321</v>
      </c>
      <c r="BJ64">
        <v>344</v>
      </c>
      <c r="BK64" t="s">
        <v>69</v>
      </c>
      <c r="BL64" t="s">
        <v>320</v>
      </c>
      <c r="BM64" t="str">
        <f>HYPERLINK("http://dx.doi.org/10.1108/CI-12-2019-0153","http://dx.doi.org/10.1108/CI-12-2019-0153")</f>
        <v>http://dx.doi.org/10.1108/CI-12-2019-0153</v>
      </c>
      <c r="BN64" t="s">
        <v>69</v>
      </c>
      <c r="BO64" t="s">
        <v>311</v>
      </c>
      <c r="BP64">
        <v>24</v>
      </c>
      <c r="BQ64" t="s">
        <v>10105</v>
      </c>
      <c r="BR64" t="s">
        <v>8573</v>
      </c>
      <c r="BS64" t="s">
        <v>10105</v>
      </c>
      <c r="BT64" t="s">
        <v>14195</v>
      </c>
      <c r="BU64" t="s">
        <v>321</v>
      </c>
      <c r="BV64" t="s">
        <v>69</v>
      </c>
      <c r="BW64" t="s">
        <v>69</v>
      </c>
      <c r="BX64" t="s">
        <v>69</v>
      </c>
      <c r="BY64" t="s">
        <v>69</v>
      </c>
      <c r="BZ64" t="s">
        <v>8526</v>
      </c>
      <c r="CA64" t="str">
        <f>HYPERLINK("https%3A%2F%2Fwww.webofscience.com%2Fwos%2Fwoscc%2Ffull-record%2FWOS:000574593100001","View Full Record in Web of Science")</f>
        <v>View Full Record in Web of Science</v>
      </c>
    </row>
    <row r="65" spans="2:79" ht="12.5" x14ac:dyDescent="0.25">
      <c r="B65" t="s">
        <v>8495</v>
      </c>
      <c r="D65" s="7" t="s">
        <v>32933</v>
      </c>
      <c r="E65" s="7"/>
      <c r="F65" s="7"/>
      <c r="G65" s="7"/>
      <c r="H65" t="s">
        <v>67</v>
      </c>
      <c r="I65" t="s">
        <v>7789</v>
      </c>
      <c r="J65" t="s">
        <v>69</v>
      </c>
      <c r="K65" t="s">
        <v>69</v>
      </c>
      <c r="L65" t="s">
        <v>69</v>
      </c>
      <c r="M65" t="s">
        <v>7790</v>
      </c>
      <c r="N65" t="s">
        <v>69</v>
      </c>
      <c r="O65" t="s">
        <v>69</v>
      </c>
      <c r="P65" t="s">
        <v>7791</v>
      </c>
      <c r="Q65" t="s">
        <v>7792</v>
      </c>
      <c r="R65" t="s">
        <v>69</v>
      </c>
      <c r="S65" t="s">
        <v>69</v>
      </c>
      <c r="T65" t="s">
        <v>8505</v>
      </c>
      <c r="U65" t="s">
        <v>8506</v>
      </c>
      <c r="V65" t="s">
        <v>69</v>
      </c>
      <c r="W65" t="s">
        <v>69</v>
      </c>
      <c r="X65" t="s">
        <v>69</v>
      </c>
      <c r="Y65" t="s">
        <v>69</v>
      </c>
      <c r="Z65" t="s">
        <v>69</v>
      </c>
      <c r="AA65" t="s">
        <v>21888</v>
      </c>
      <c r="AB65" t="s">
        <v>69</v>
      </c>
      <c r="AC65" t="s">
        <v>7793</v>
      </c>
      <c r="AD65" t="s">
        <v>21889</v>
      </c>
      <c r="AE65" t="s">
        <v>69</v>
      </c>
      <c r="AF65" t="s">
        <v>21890</v>
      </c>
      <c r="AG65" t="s">
        <v>21891</v>
      </c>
      <c r="AH65" t="s">
        <v>69</v>
      </c>
      <c r="AI65" t="s">
        <v>69</v>
      </c>
      <c r="AJ65" t="s">
        <v>69</v>
      </c>
      <c r="AK65" t="s">
        <v>69</v>
      </c>
      <c r="AL65" t="s">
        <v>69</v>
      </c>
      <c r="AM65" t="s">
        <v>69</v>
      </c>
      <c r="AN65">
        <v>25</v>
      </c>
      <c r="AO65">
        <v>1</v>
      </c>
      <c r="AP65">
        <v>1</v>
      </c>
      <c r="AQ65">
        <v>0</v>
      </c>
      <c r="AR65">
        <v>4</v>
      </c>
      <c r="AS65" t="s">
        <v>21892</v>
      </c>
      <c r="AT65" t="s">
        <v>21893</v>
      </c>
      <c r="AU65" t="s">
        <v>21894</v>
      </c>
      <c r="AV65" t="s">
        <v>7794</v>
      </c>
      <c r="AW65" t="s">
        <v>7795</v>
      </c>
      <c r="AX65" t="s">
        <v>69</v>
      </c>
      <c r="AY65" t="s">
        <v>21895</v>
      </c>
      <c r="AZ65" t="s">
        <v>21896</v>
      </c>
      <c r="BA65" t="s">
        <v>69</v>
      </c>
      <c r="BB65">
        <v>2016</v>
      </c>
      <c r="BC65">
        <v>12</v>
      </c>
      <c r="BD65">
        <v>1</v>
      </c>
      <c r="BE65" t="s">
        <v>69</v>
      </c>
      <c r="BF65" t="s">
        <v>69</v>
      </c>
      <c r="BG65" t="s">
        <v>69</v>
      </c>
      <c r="BH65" t="s">
        <v>69</v>
      </c>
      <c r="BI65">
        <v>23</v>
      </c>
      <c r="BJ65">
        <v>31</v>
      </c>
      <c r="BK65" t="s">
        <v>69</v>
      </c>
      <c r="BL65" t="s">
        <v>69</v>
      </c>
      <c r="BM65" t="s">
        <v>69</v>
      </c>
      <c r="BN65" t="s">
        <v>69</v>
      </c>
      <c r="BO65" t="s">
        <v>69</v>
      </c>
      <c r="BP65">
        <v>9</v>
      </c>
      <c r="BQ65" t="s">
        <v>10815</v>
      </c>
      <c r="BR65" t="s">
        <v>8573</v>
      </c>
      <c r="BS65" t="s">
        <v>8450</v>
      </c>
      <c r="BT65" t="s">
        <v>21897</v>
      </c>
      <c r="BU65" t="s">
        <v>7796</v>
      </c>
      <c r="BV65" t="s">
        <v>69</v>
      </c>
      <c r="BW65" t="s">
        <v>69</v>
      </c>
      <c r="BX65" t="s">
        <v>69</v>
      </c>
      <c r="BY65" t="s">
        <v>69</v>
      </c>
      <c r="BZ65" t="s">
        <v>8526</v>
      </c>
      <c r="CA65" t="str">
        <f>HYPERLINK("https%3A%2F%2Fwww.webofscience.com%2Fwos%2Fwoscc%2Ffull-record%2FWOS:000382770100004","View Full Record in Web of Science")</f>
        <v>View Full Record in Web of Science</v>
      </c>
    </row>
    <row r="66" spans="2:79" ht="12.5" x14ac:dyDescent="0.25">
      <c r="B66" t="s">
        <v>8495</v>
      </c>
      <c r="D66" s="7" t="s">
        <v>32933</v>
      </c>
      <c r="E66" s="7"/>
      <c r="F66" s="7"/>
      <c r="G66" s="7"/>
      <c r="H66" t="s">
        <v>67</v>
      </c>
      <c r="I66" t="s">
        <v>3000</v>
      </c>
      <c r="J66" t="s">
        <v>69</v>
      </c>
      <c r="K66" t="s">
        <v>69</v>
      </c>
      <c r="L66" t="s">
        <v>69</v>
      </c>
      <c r="M66" t="s">
        <v>3001</v>
      </c>
      <c r="N66" t="s">
        <v>69</v>
      </c>
      <c r="O66" t="s">
        <v>69</v>
      </c>
      <c r="P66" t="s">
        <v>3002</v>
      </c>
      <c r="Q66" t="s">
        <v>3003</v>
      </c>
      <c r="R66" t="s">
        <v>69</v>
      </c>
      <c r="S66" t="s">
        <v>69</v>
      </c>
      <c r="T66" t="s">
        <v>8505</v>
      </c>
      <c r="U66" t="s">
        <v>8506</v>
      </c>
      <c r="V66" t="s">
        <v>69</v>
      </c>
      <c r="W66" t="s">
        <v>69</v>
      </c>
      <c r="X66" t="s">
        <v>69</v>
      </c>
      <c r="Y66" t="s">
        <v>69</v>
      </c>
      <c r="Z66" t="s">
        <v>69</v>
      </c>
      <c r="AA66" t="s">
        <v>22473</v>
      </c>
      <c r="AB66" t="s">
        <v>69</v>
      </c>
      <c r="AC66" t="s">
        <v>3004</v>
      </c>
      <c r="AD66" t="s">
        <v>22474</v>
      </c>
      <c r="AE66" t="s">
        <v>69</v>
      </c>
      <c r="AF66" t="s">
        <v>22475</v>
      </c>
      <c r="AG66" t="s">
        <v>22476</v>
      </c>
      <c r="AH66" t="s">
        <v>69</v>
      </c>
      <c r="AI66" t="s">
        <v>69</v>
      </c>
      <c r="AJ66" t="s">
        <v>69</v>
      </c>
      <c r="AK66" t="s">
        <v>69</v>
      </c>
      <c r="AL66" t="s">
        <v>69</v>
      </c>
      <c r="AM66" t="s">
        <v>69</v>
      </c>
      <c r="AN66">
        <v>10</v>
      </c>
      <c r="AO66">
        <v>6</v>
      </c>
      <c r="AP66">
        <v>6</v>
      </c>
      <c r="AQ66">
        <v>1</v>
      </c>
      <c r="AR66">
        <v>1</v>
      </c>
      <c r="AS66" t="s">
        <v>22477</v>
      </c>
      <c r="AT66" t="s">
        <v>22478</v>
      </c>
      <c r="AU66" t="s">
        <v>22479</v>
      </c>
      <c r="AV66" t="s">
        <v>3005</v>
      </c>
      <c r="AW66" t="s">
        <v>3006</v>
      </c>
      <c r="AX66" t="s">
        <v>69</v>
      </c>
      <c r="AY66" t="s">
        <v>22480</v>
      </c>
      <c r="AZ66" t="s">
        <v>22481</v>
      </c>
      <c r="BA66" t="s">
        <v>255</v>
      </c>
      <c r="BB66">
        <v>2015</v>
      </c>
      <c r="BC66">
        <v>47</v>
      </c>
      <c r="BD66">
        <v>8</v>
      </c>
      <c r="BE66" t="s">
        <v>69</v>
      </c>
      <c r="BF66" t="s">
        <v>69</v>
      </c>
      <c r="BG66" t="s">
        <v>69</v>
      </c>
      <c r="BH66" t="s">
        <v>69</v>
      </c>
      <c r="BI66">
        <v>682</v>
      </c>
      <c r="BJ66">
        <v>687</v>
      </c>
      <c r="BK66" t="s">
        <v>69</v>
      </c>
      <c r="BL66" t="s">
        <v>3007</v>
      </c>
      <c r="BM66" t="str">
        <f>HYPERLINK("http://dx.doi.org/10.2340/16501977-1997","http://dx.doi.org/10.2340/16501977-1997")</f>
        <v>http://dx.doi.org/10.2340/16501977-1997</v>
      </c>
      <c r="BN66" t="s">
        <v>69</v>
      </c>
      <c r="BO66" t="s">
        <v>69</v>
      </c>
      <c r="BP66">
        <v>6</v>
      </c>
      <c r="BQ66" t="s">
        <v>22482</v>
      </c>
      <c r="BR66" t="s">
        <v>8548</v>
      </c>
      <c r="BS66" t="s">
        <v>22482</v>
      </c>
      <c r="BT66" t="s">
        <v>22483</v>
      </c>
      <c r="BU66" t="s">
        <v>3008</v>
      </c>
      <c r="BV66">
        <v>26271518</v>
      </c>
      <c r="BW66" t="s">
        <v>8931</v>
      </c>
      <c r="BX66" t="s">
        <v>69</v>
      </c>
      <c r="BY66" t="s">
        <v>69</v>
      </c>
      <c r="BZ66" t="s">
        <v>8526</v>
      </c>
      <c r="CA66" t="str">
        <f>HYPERLINK("https%3A%2F%2Fwww.webofscience.com%2Fwos%2Fwoscc%2Ffull-record%2FWOS:000361420600003","View Full Record in Web of Science")</f>
        <v>View Full Record in Web of Science</v>
      </c>
    </row>
    <row r="67" spans="2:79" ht="12.5" x14ac:dyDescent="0.25">
      <c r="B67" t="s">
        <v>8495</v>
      </c>
      <c r="D67" s="22" t="s">
        <v>32931</v>
      </c>
      <c r="E67" s="7"/>
      <c r="F67" s="7"/>
      <c r="G67" s="7"/>
      <c r="H67" t="s">
        <v>67</v>
      </c>
      <c r="I67" t="s">
        <v>12134</v>
      </c>
      <c r="J67" t="s">
        <v>69</v>
      </c>
      <c r="K67" t="s">
        <v>69</v>
      </c>
      <c r="L67" t="s">
        <v>69</v>
      </c>
      <c r="M67" t="s">
        <v>12135</v>
      </c>
      <c r="N67" t="s">
        <v>69</v>
      </c>
      <c r="O67" t="s">
        <v>69</v>
      </c>
      <c r="P67" t="s">
        <v>12136</v>
      </c>
      <c r="Q67" t="s">
        <v>12137</v>
      </c>
      <c r="R67" t="s">
        <v>69</v>
      </c>
      <c r="S67" t="s">
        <v>69</v>
      </c>
      <c r="T67" t="s">
        <v>8505</v>
      </c>
      <c r="U67" t="s">
        <v>8506</v>
      </c>
      <c r="V67" t="s">
        <v>69</v>
      </c>
      <c r="W67" t="s">
        <v>69</v>
      </c>
      <c r="X67" t="s">
        <v>69</v>
      </c>
      <c r="Y67" t="s">
        <v>69</v>
      </c>
      <c r="Z67" t="s">
        <v>69</v>
      </c>
      <c r="AA67" t="s">
        <v>12138</v>
      </c>
      <c r="AB67" t="s">
        <v>12139</v>
      </c>
      <c r="AC67" t="s">
        <v>12140</v>
      </c>
      <c r="AD67" t="s">
        <v>12141</v>
      </c>
      <c r="AE67" t="s">
        <v>69</v>
      </c>
      <c r="AF67" t="s">
        <v>12142</v>
      </c>
      <c r="AG67" t="s">
        <v>12143</v>
      </c>
      <c r="AH67" t="s">
        <v>69</v>
      </c>
      <c r="AI67" t="s">
        <v>12144</v>
      </c>
      <c r="AJ67" t="s">
        <v>69</v>
      </c>
      <c r="AK67" t="s">
        <v>69</v>
      </c>
      <c r="AL67" t="s">
        <v>69</v>
      </c>
      <c r="AM67" t="s">
        <v>69</v>
      </c>
      <c r="AN67">
        <v>61</v>
      </c>
      <c r="AO67">
        <v>0</v>
      </c>
      <c r="AP67">
        <v>0</v>
      </c>
      <c r="AQ67">
        <v>1</v>
      </c>
      <c r="AR67">
        <v>6</v>
      </c>
      <c r="AS67" t="s">
        <v>8586</v>
      </c>
      <c r="AT67" t="s">
        <v>8587</v>
      </c>
      <c r="AU67" t="s">
        <v>8588</v>
      </c>
      <c r="AV67" t="s">
        <v>12145</v>
      </c>
      <c r="AW67" t="s">
        <v>69</v>
      </c>
      <c r="AX67" t="s">
        <v>69</v>
      </c>
      <c r="AY67" t="s">
        <v>12146</v>
      </c>
      <c r="AZ67" t="s">
        <v>12147</v>
      </c>
      <c r="BA67" t="s">
        <v>12148</v>
      </c>
      <c r="BB67">
        <v>2021</v>
      </c>
      <c r="BC67">
        <v>25</v>
      </c>
      <c r="BD67">
        <v>4</v>
      </c>
      <c r="BE67" t="s">
        <v>69</v>
      </c>
      <c r="BF67" t="s">
        <v>69</v>
      </c>
      <c r="BG67" t="s">
        <v>69</v>
      </c>
      <c r="BH67" t="s">
        <v>69</v>
      </c>
      <c r="BI67">
        <v>396</v>
      </c>
      <c r="BJ67">
        <v>413</v>
      </c>
      <c r="BK67" t="s">
        <v>69</v>
      </c>
      <c r="BL67" t="s">
        <v>12149</v>
      </c>
      <c r="BM67" t="str">
        <f>HYPERLINK("http://dx.doi.org/10.1108/RJTA-11-2020-0130","http://dx.doi.org/10.1108/RJTA-11-2020-0130")</f>
        <v>http://dx.doi.org/10.1108/RJTA-11-2020-0130</v>
      </c>
      <c r="BN67" t="s">
        <v>69</v>
      </c>
      <c r="BO67" t="s">
        <v>12111</v>
      </c>
      <c r="BP67">
        <v>18</v>
      </c>
      <c r="BQ67" t="s">
        <v>12150</v>
      </c>
      <c r="BR67" t="s">
        <v>8573</v>
      </c>
      <c r="BS67" t="s">
        <v>12151</v>
      </c>
      <c r="BT67" t="s">
        <v>12152</v>
      </c>
      <c r="BU67" t="s">
        <v>12153</v>
      </c>
      <c r="BV67" t="s">
        <v>69</v>
      </c>
      <c r="BW67" t="s">
        <v>69</v>
      </c>
      <c r="BX67" t="s">
        <v>69</v>
      </c>
      <c r="BY67" t="s">
        <v>69</v>
      </c>
      <c r="BZ67" t="s">
        <v>8526</v>
      </c>
      <c r="CA67" t="str">
        <f>HYPERLINK("https%3A%2F%2Fwww.webofscience.com%2Fwos%2Fwoscc%2Ffull-record%2FWOS:000654441400001","View Full Record in Web of Science")</f>
        <v>View Full Record in Web of Science</v>
      </c>
    </row>
    <row r="68" spans="2:79" ht="12.5" x14ac:dyDescent="0.25">
      <c r="B68" t="s">
        <v>8495</v>
      </c>
      <c r="D68" s="7" t="s">
        <v>32933</v>
      </c>
      <c r="E68" s="7"/>
      <c r="F68" s="7"/>
      <c r="G68" s="7"/>
      <c r="H68" t="s">
        <v>67</v>
      </c>
      <c r="I68" t="s">
        <v>6986</v>
      </c>
      <c r="J68" t="s">
        <v>69</v>
      </c>
      <c r="K68" t="s">
        <v>69</v>
      </c>
      <c r="L68" t="s">
        <v>69</v>
      </c>
      <c r="M68" t="s">
        <v>6987</v>
      </c>
      <c r="N68" t="s">
        <v>69</v>
      </c>
      <c r="O68" t="s">
        <v>69</v>
      </c>
      <c r="P68" t="s">
        <v>6988</v>
      </c>
      <c r="Q68" t="s">
        <v>6989</v>
      </c>
      <c r="R68" t="s">
        <v>69</v>
      </c>
      <c r="S68" t="s">
        <v>69</v>
      </c>
      <c r="T68" t="s">
        <v>8505</v>
      </c>
      <c r="U68" t="s">
        <v>8442</v>
      </c>
      <c r="V68" t="s">
        <v>69</v>
      </c>
      <c r="W68" t="s">
        <v>69</v>
      </c>
      <c r="X68" t="s">
        <v>69</v>
      </c>
      <c r="Y68" t="s">
        <v>69</v>
      </c>
      <c r="Z68" t="s">
        <v>69</v>
      </c>
      <c r="AA68" t="s">
        <v>22200</v>
      </c>
      <c r="AB68" t="s">
        <v>22201</v>
      </c>
      <c r="AC68" t="s">
        <v>6990</v>
      </c>
      <c r="AD68" t="s">
        <v>22202</v>
      </c>
      <c r="AE68" t="s">
        <v>69</v>
      </c>
      <c r="AF68" t="s">
        <v>22203</v>
      </c>
      <c r="AG68" t="s">
        <v>22204</v>
      </c>
      <c r="AH68" t="s">
        <v>6991</v>
      </c>
      <c r="AI68" t="s">
        <v>6992</v>
      </c>
      <c r="AJ68" t="s">
        <v>69</v>
      </c>
      <c r="AK68" t="s">
        <v>69</v>
      </c>
      <c r="AL68" t="s">
        <v>69</v>
      </c>
      <c r="AM68" t="s">
        <v>69</v>
      </c>
      <c r="AN68">
        <v>51</v>
      </c>
      <c r="AO68">
        <v>47</v>
      </c>
      <c r="AP68">
        <v>46</v>
      </c>
      <c r="AQ68">
        <v>3</v>
      </c>
      <c r="AR68">
        <v>12</v>
      </c>
      <c r="AS68" t="s">
        <v>13769</v>
      </c>
      <c r="AT68" t="s">
        <v>13770</v>
      </c>
      <c r="AU68" t="s">
        <v>13771</v>
      </c>
      <c r="AV68" t="s">
        <v>6993</v>
      </c>
      <c r="AW68" t="s">
        <v>69</v>
      </c>
      <c r="AX68" t="s">
        <v>69</v>
      </c>
      <c r="AY68" t="s">
        <v>13772</v>
      </c>
      <c r="AZ68" t="s">
        <v>13773</v>
      </c>
      <c r="BA68" t="s">
        <v>69</v>
      </c>
      <c r="BB68">
        <v>2016</v>
      </c>
      <c r="BC68">
        <v>3</v>
      </c>
      <c r="BD68">
        <v>1</v>
      </c>
      <c r="BE68" t="s">
        <v>69</v>
      </c>
      <c r="BF68" t="s">
        <v>69</v>
      </c>
      <c r="BG68" t="s">
        <v>69</v>
      </c>
      <c r="BH68" t="s">
        <v>69</v>
      </c>
      <c r="BI68" t="s">
        <v>69</v>
      </c>
      <c r="BJ68" t="s">
        <v>69</v>
      </c>
      <c r="BK68">
        <v>1155274</v>
      </c>
      <c r="BL68" t="s">
        <v>6994</v>
      </c>
      <c r="BM68" t="str">
        <f>HYPERLINK("http://dx.doi.org/10.1080/23311916.2016.1155274","http://dx.doi.org/10.1080/23311916.2016.1155274")</f>
        <v>http://dx.doi.org/10.1080/23311916.2016.1155274</v>
      </c>
      <c r="BN68" t="s">
        <v>69</v>
      </c>
      <c r="BO68" t="s">
        <v>69</v>
      </c>
      <c r="BP68">
        <v>26</v>
      </c>
      <c r="BQ68" t="s">
        <v>9891</v>
      </c>
      <c r="BR68" t="s">
        <v>8573</v>
      </c>
      <c r="BS68" t="s">
        <v>8445</v>
      </c>
      <c r="BT68" t="s">
        <v>22205</v>
      </c>
      <c r="BU68" t="s">
        <v>6995</v>
      </c>
      <c r="BV68" t="s">
        <v>69</v>
      </c>
      <c r="BW68" t="s">
        <v>9352</v>
      </c>
      <c r="BX68" t="s">
        <v>69</v>
      </c>
      <c r="BY68" t="s">
        <v>69</v>
      </c>
      <c r="BZ68" t="s">
        <v>8526</v>
      </c>
      <c r="CA68" t="str">
        <f>HYPERLINK("https%3A%2F%2Fwww.webofscience.com%2Fwos%2Fwoscc%2Ffull-record%2FWOS:000397384100017","View Full Record in Web of Science")</f>
        <v>View Full Record in Web of Science</v>
      </c>
    </row>
    <row r="69" spans="2:79" ht="12.5" x14ac:dyDescent="0.25">
      <c r="B69" t="s">
        <v>8495</v>
      </c>
      <c r="D69" s="7" t="s">
        <v>32933</v>
      </c>
      <c r="E69" s="7"/>
      <c r="F69" s="7"/>
      <c r="G69" s="7"/>
      <c r="H69" t="s">
        <v>67</v>
      </c>
      <c r="I69" t="s">
        <v>1683</v>
      </c>
      <c r="J69" t="s">
        <v>69</v>
      </c>
      <c r="K69" t="s">
        <v>69</v>
      </c>
      <c r="L69" t="s">
        <v>69</v>
      </c>
      <c r="M69" t="s">
        <v>1683</v>
      </c>
      <c r="N69" t="s">
        <v>69</v>
      </c>
      <c r="O69" t="s">
        <v>69</v>
      </c>
      <c r="P69" t="s">
        <v>1684</v>
      </c>
      <c r="Q69" t="s">
        <v>473</v>
      </c>
      <c r="R69" t="s">
        <v>69</v>
      </c>
      <c r="S69" t="s">
        <v>69</v>
      </c>
      <c r="T69" t="s">
        <v>8505</v>
      </c>
      <c r="U69" t="s">
        <v>8506</v>
      </c>
      <c r="V69" t="s">
        <v>69</v>
      </c>
      <c r="W69" t="s">
        <v>69</v>
      </c>
      <c r="X69" t="s">
        <v>69</v>
      </c>
      <c r="Y69" t="s">
        <v>69</v>
      </c>
      <c r="Z69" t="s">
        <v>69</v>
      </c>
      <c r="AA69" t="s">
        <v>31366</v>
      </c>
      <c r="AB69" t="s">
        <v>31367</v>
      </c>
      <c r="AC69" t="s">
        <v>1685</v>
      </c>
      <c r="AD69" t="s">
        <v>31368</v>
      </c>
      <c r="AE69" t="s">
        <v>69</v>
      </c>
      <c r="AF69" t="s">
        <v>31369</v>
      </c>
      <c r="AG69" t="s">
        <v>31370</v>
      </c>
      <c r="AH69" t="s">
        <v>69</v>
      </c>
      <c r="AI69" t="s">
        <v>69</v>
      </c>
      <c r="AJ69" t="s">
        <v>69</v>
      </c>
      <c r="AK69" t="s">
        <v>69</v>
      </c>
      <c r="AL69" t="s">
        <v>69</v>
      </c>
      <c r="AM69" t="s">
        <v>69</v>
      </c>
      <c r="AN69">
        <v>12</v>
      </c>
      <c r="AO69">
        <v>5</v>
      </c>
      <c r="AP69">
        <v>7</v>
      </c>
      <c r="AQ69">
        <v>0</v>
      </c>
      <c r="AR69">
        <v>6</v>
      </c>
      <c r="AS69" t="s">
        <v>18272</v>
      </c>
      <c r="AT69" t="s">
        <v>8763</v>
      </c>
      <c r="AU69" t="s">
        <v>18273</v>
      </c>
      <c r="AV69" t="s">
        <v>475</v>
      </c>
      <c r="AW69" t="s">
        <v>476</v>
      </c>
      <c r="AX69" t="s">
        <v>69</v>
      </c>
      <c r="AY69" t="s">
        <v>18274</v>
      </c>
      <c r="AZ69" t="s">
        <v>18275</v>
      </c>
      <c r="BA69" t="s">
        <v>274</v>
      </c>
      <c r="BB69">
        <v>2002</v>
      </c>
      <c r="BC69">
        <v>66</v>
      </c>
      <c r="BD69">
        <v>3</v>
      </c>
      <c r="BE69" t="s">
        <v>69</v>
      </c>
      <c r="BF69" t="s">
        <v>69</v>
      </c>
      <c r="BG69" t="s">
        <v>69</v>
      </c>
      <c r="BH69" t="s">
        <v>69</v>
      </c>
      <c r="BI69">
        <v>307</v>
      </c>
      <c r="BJ69">
        <v>316</v>
      </c>
      <c r="BK69" t="s">
        <v>69</v>
      </c>
      <c r="BL69" t="s">
        <v>1686</v>
      </c>
      <c r="BM69" t="str">
        <f>HYPERLINK("http://dx.doi.org/10.1006/jema.2002.0586","http://dx.doi.org/10.1006/jema.2002.0586")</f>
        <v>http://dx.doi.org/10.1006/jema.2002.0586</v>
      </c>
      <c r="BN69" t="s">
        <v>69</v>
      </c>
      <c r="BO69" t="s">
        <v>69</v>
      </c>
      <c r="BP69">
        <v>10</v>
      </c>
      <c r="BQ69" t="s">
        <v>8717</v>
      </c>
      <c r="BR69" t="s">
        <v>8548</v>
      </c>
      <c r="BS69" t="s">
        <v>8662</v>
      </c>
      <c r="BT69" t="s">
        <v>31371</v>
      </c>
      <c r="BU69" t="s">
        <v>1687</v>
      </c>
      <c r="BV69">
        <v>12448408</v>
      </c>
      <c r="BW69" t="s">
        <v>69</v>
      </c>
      <c r="BX69" t="s">
        <v>69</v>
      </c>
      <c r="BY69" t="s">
        <v>69</v>
      </c>
      <c r="BZ69" t="s">
        <v>8526</v>
      </c>
      <c r="CA69" t="str">
        <f>HYPERLINK("https%3A%2F%2Fwww.webofscience.com%2Fwos%2Fwoscc%2Ffull-record%2FWOS:000178984800008","View Full Record in Web of Science")</f>
        <v>View Full Record in Web of Science</v>
      </c>
    </row>
    <row r="70" spans="2:79" ht="12.5" x14ac:dyDescent="0.25">
      <c r="B70" t="s">
        <v>8495</v>
      </c>
      <c r="D70" s="7" t="s">
        <v>32933</v>
      </c>
      <c r="E70" s="7"/>
      <c r="F70" s="7"/>
      <c r="G70" s="7"/>
      <c r="H70" t="s">
        <v>67</v>
      </c>
      <c r="I70" t="s">
        <v>1160</v>
      </c>
      <c r="J70" t="s">
        <v>69</v>
      </c>
      <c r="K70" t="s">
        <v>69</v>
      </c>
      <c r="L70" t="s">
        <v>69</v>
      </c>
      <c r="M70" t="s">
        <v>1161</v>
      </c>
      <c r="N70" t="s">
        <v>69</v>
      </c>
      <c r="O70" t="s">
        <v>69</v>
      </c>
      <c r="P70" t="s">
        <v>1162</v>
      </c>
      <c r="Q70" t="s">
        <v>436</v>
      </c>
      <c r="R70" t="s">
        <v>69</v>
      </c>
      <c r="S70" t="s">
        <v>69</v>
      </c>
      <c r="T70" t="s">
        <v>8505</v>
      </c>
      <c r="U70" t="s">
        <v>8506</v>
      </c>
      <c r="V70" t="s">
        <v>69</v>
      </c>
      <c r="W70" t="s">
        <v>69</v>
      </c>
      <c r="X70" t="s">
        <v>69</v>
      </c>
      <c r="Y70" t="s">
        <v>69</v>
      </c>
      <c r="Z70" t="s">
        <v>69</v>
      </c>
      <c r="AA70" t="s">
        <v>20586</v>
      </c>
      <c r="AB70" t="s">
        <v>20587</v>
      </c>
      <c r="AC70" t="s">
        <v>1163</v>
      </c>
      <c r="AD70" t="s">
        <v>20588</v>
      </c>
      <c r="AE70" t="s">
        <v>69</v>
      </c>
      <c r="AF70" t="s">
        <v>20589</v>
      </c>
      <c r="AG70" t="s">
        <v>20590</v>
      </c>
      <c r="AH70" t="s">
        <v>1164</v>
      </c>
      <c r="AI70" t="s">
        <v>1165</v>
      </c>
      <c r="AJ70" t="s">
        <v>20591</v>
      </c>
      <c r="AK70" t="s">
        <v>20592</v>
      </c>
      <c r="AL70" t="s">
        <v>20593</v>
      </c>
      <c r="AM70" t="s">
        <v>69</v>
      </c>
      <c r="AN70">
        <v>38</v>
      </c>
      <c r="AO70">
        <v>26</v>
      </c>
      <c r="AP70">
        <v>27</v>
      </c>
      <c r="AQ70">
        <v>1</v>
      </c>
      <c r="AR70">
        <v>36</v>
      </c>
      <c r="AS70" t="s">
        <v>8636</v>
      </c>
      <c r="AT70" t="s">
        <v>8637</v>
      </c>
      <c r="AU70" t="s">
        <v>8638</v>
      </c>
      <c r="AV70" t="s">
        <v>440</v>
      </c>
      <c r="AW70" t="s">
        <v>441</v>
      </c>
      <c r="AX70" t="s">
        <v>69</v>
      </c>
      <c r="AY70" t="s">
        <v>8639</v>
      </c>
      <c r="AZ70" t="s">
        <v>8640</v>
      </c>
      <c r="BA70" t="s">
        <v>442</v>
      </c>
      <c r="BB70">
        <v>2017</v>
      </c>
      <c r="BC70">
        <v>142</v>
      </c>
      <c r="BD70" t="s">
        <v>69</v>
      </c>
      <c r="BE70">
        <v>1</v>
      </c>
      <c r="BF70" t="s">
        <v>69</v>
      </c>
      <c r="BG70" t="s">
        <v>114</v>
      </c>
      <c r="BH70" t="s">
        <v>69</v>
      </c>
      <c r="BI70">
        <v>157</v>
      </c>
      <c r="BJ70">
        <v>172</v>
      </c>
      <c r="BK70" t="s">
        <v>69</v>
      </c>
      <c r="BL70" t="s">
        <v>1166</v>
      </c>
      <c r="BM70" t="str">
        <f>HYPERLINK("http://dx.doi.org/10.1016/j.jclepro.2016.06.189","http://dx.doi.org/10.1016/j.jclepro.2016.06.189")</f>
        <v>http://dx.doi.org/10.1016/j.jclepro.2016.06.189</v>
      </c>
      <c r="BN70" t="s">
        <v>69</v>
      </c>
      <c r="BO70" t="s">
        <v>69</v>
      </c>
      <c r="BP70">
        <v>16</v>
      </c>
      <c r="BQ70" t="s">
        <v>8643</v>
      </c>
      <c r="BR70" t="s">
        <v>8523</v>
      </c>
      <c r="BS70" t="s">
        <v>8644</v>
      </c>
      <c r="BT70" t="s">
        <v>20594</v>
      </c>
      <c r="BU70" t="s">
        <v>1167</v>
      </c>
      <c r="BV70" t="s">
        <v>69</v>
      </c>
      <c r="BW70" t="s">
        <v>69</v>
      </c>
      <c r="BX70" t="s">
        <v>69</v>
      </c>
      <c r="BY70" t="s">
        <v>69</v>
      </c>
      <c r="BZ70" t="s">
        <v>8526</v>
      </c>
      <c r="CA70" t="str">
        <f>HYPERLINK("https%3A%2F%2Fwww.webofscience.com%2Fwos%2Fwoscc%2Ffull-record%2FWOS:000391897300015","View Full Record in Web of Science")</f>
        <v>View Full Record in Web of Science</v>
      </c>
    </row>
    <row r="71" spans="2:79" ht="12.5" x14ac:dyDescent="0.25">
      <c r="B71" t="s">
        <v>8495</v>
      </c>
      <c r="D71" s="22" t="s">
        <v>32931</v>
      </c>
      <c r="E71" s="7"/>
      <c r="F71" s="7"/>
      <c r="G71" s="7"/>
      <c r="H71" t="s">
        <v>67</v>
      </c>
      <c r="I71" t="s">
        <v>22123</v>
      </c>
      <c r="J71" t="s">
        <v>69</v>
      </c>
      <c r="K71" t="s">
        <v>69</v>
      </c>
      <c r="L71" t="s">
        <v>69</v>
      </c>
      <c r="M71" t="s">
        <v>22124</v>
      </c>
      <c r="N71" t="s">
        <v>69</v>
      </c>
      <c r="O71" t="s">
        <v>69</v>
      </c>
      <c r="P71" t="s">
        <v>22125</v>
      </c>
      <c r="Q71" t="s">
        <v>22126</v>
      </c>
      <c r="R71" t="s">
        <v>69</v>
      </c>
      <c r="S71" t="s">
        <v>69</v>
      </c>
      <c r="T71" t="s">
        <v>8505</v>
      </c>
      <c r="U71" t="s">
        <v>8442</v>
      </c>
      <c r="V71" t="s">
        <v>69</v>
      </c>
      <c r="W71" t="s">
        <v>69</v>
      </c>
      <c r="X71" t="s">
        <v>69</v>
      </c>
      <c r="Y71" t="s">
        <v>69</v>
      </c>
      <c r="Z71" t="s">
        <v>69</v>
      </c>
      <c r="AA71" t="s">
        <v>22127</v>
      </c>
      <c r="AB71" t="s">
        <v>22128</v>
      </c>
      <c r="AC71" t="s">
        <v>22129</v>
      </c>
      <c r="AD71" t="s">
        <v>22130</v>
      </c>
      <c r="AE71" t="s">
        <v>69</v>
      </c>
      <c r="AF71" t="s">
        <v>22131</v>
      </c>
      <c r="AG71" t="s">
        <v>22132</v>
      </c>
      <c r="AH71" t="s">
        <v>69</v>
      </c>
      <c r="AI71" t="s">
        <v>69</v>
      </c>
      <c r="AJ71" t="s">
        <v>69</v>
      </c>
      <c r="AK71" t="s">
        <v>69</v>
      </c>
      <c r="AL71" t="s">
        <v>69</v>
      </c>
      <c r="AM71" t="s">
        <v>69</v>
      </c>
      <c r="AN71">
        <v>66</v>
      </c>
      <c r="AO71">
        <v>9</v>
      </c>
      <c r="AP71">
        <v>9</v>
      </c>
      <c r="AQ71">
        <v>0</v>
      </c>
      <c r="AR71">
        <v>0</v>
      </c>
      <c r="AS71" t="s">
        <v>22133</v>
      </c>
      <c r="AT71" t="s">
        <v>22134</v>
      </c>
      <c r="AU71" t="s">
        <v>22135</v>
      </c>
      <c r="AV71" t="s">
        <v>22136</v>
      </c>
      <c r="AW71" t="s">
        <v>69</v>
      </c>
      <c r="AX71" t="s">
        <v>69</v>
      </c>
      <c r="AY71" t="s">
        <v>22126</v>
      </c>
      <c r="AZ71" t="s">
        <v>22137</v>
      </c>
      <c r="BA71" t="s">
        <v>373</v>
      </c>
      <c r="BB71">
        <v>2016</v>
      </c>
      <c r="BC71">
        <v>19</v>
      </c>
      <c r="BD71">
        <v>1</v>
      </c>
      <c r="BE71" t="s">
        <v>69</v>
      </c>
      <c r="BF71" t="s">
        <v>69</v>
      </c>
      <c r="BG71" t="s">
        <v>69</v>
      </c>
      <c r="BH71" t="s">
        <v>69</v>
      </c>
      <c r="BI71" t="s">
        <v>22138</v>
      </c>
      <c r="BJ71" t="s">
        <v>22139</v>
      </c>
      <c r="BK71" t="s">
        <v>69</v>
      </c>
      <c r="BL71" t="s">
        <v>69</v>
      </c>
      <c r="BM71" t="s">
        <v>69</v>
      </c>
      <c r="BN71" t="s">
        <v>69</v>
      </c>
      <c r="BO71" t="s">
        <v>69</v>
      </c>
      <c r="BP71">
        <v>14</v>
      </c>
      <c r="BQ71" t="s">
        <v>22140</v>
      </c>
      <c r="BR71" t="s">
        <v>8548</v>
      </c>
      <c r="BS71" t="s">
        <v>22141</v>
      </c>
      <c r="BT71" t="s">
        <v>22142</v>
      </c>
      <c r="BU71" t="s">
        <v>22143</v>
      </c>
      <c r="BV71">
        <v>26752478</v>
      </c>
      <c r="BW71" t="s">
        <v>69</v>
      </c>
      <c r="BX71" t="s">
        <v>69</v>
      </c>
      <c r="BY71" t="s">
        <v>69</v>
      </c>
      <c r="BZ71" t="s">
        <v>8526</v>
      </c>
      <c r="CA71" t="str">
        <f>HYPERLINK("https%3A%2F%2Fwww.webofscience.com%2Fwos%2Fwoscc%2Ffull-record%2FWOS:000368990800001","View Full Record in Web of Science")</f>
        <v>View Full Record in Web of Science</v>
      </c>
    </row>
    <row r="72" spans="2:79" ht="12.5" x14ac:dyDescent="0.25">
      <c r="B72" t="s">
        <v>8495</v>
      </c>
      <c r="D72" s="15" t="s">
        <v>32937</v>
      </c>
      <c r="E72" s="7" t="s">
        <v>33081</v>
      </c>
      <c r="F72" s="7"/>
      <c r="G72" s="7" t="s">
        <v>8490</v>
      </c>
      <c r="H72" t="s">
        <v>67</v>
      </c>
      <c r="I72" t="s">
        <v>31944</v>
      </c>
      <c r="J72" t="s">
        <v>69</v>
      </c>
      <c r="K72" t="s">
        <v>69</v>
      </c>
      <c r="L72" t="s">
        <v>69</v>
      </c>
      <c r="M72" t="s">
        <v>31944</v>
      </c>
      <c r="N72" t="s">
        <v>69</v>
      </c>
      <c r="O72" t="s">
        <v>69</v>
      </c>
      <c r="P72" t="s">
        <v>31945</v>
      </c>
      <c r="Q72" t="s">
        <v>31165</v>
      </c>
      <c r="R72" t="s">
        <v>69</v>
      </c>
      <c r="S72" t="s">
        <v>69</v>
      </c>
      <c r="T72" t="s">
        <v>8505</v>
      </c>
      <c r="U72" t="s">
        <v>8442</v>
      </c>
      <c r="V72" t="s">
        <v>69</v>
      </c>
      <c r="W72" t="s">
        <v>69</v>
      </c>
      <c r="X72" t="s">
        <v>69</v>
      </c>
      <c r="Y72" t="s">
        <v>69</v>
      </c>
      <c r="Z72" t="s">
        <v>69</v>
      </c>
      <c r="AA72" t="s">
        <v>31946</v>
      </c>
      <c r="AB72" t="s">
        <v>69</v>
      </c>
      <c r="AC72" t="s">
        <v>31947</v>
      </c>
      <c r="AD72" t="s">
        <v>31948</v>
      </c>
      <c r="AE72" t="s">
        <v>69</v>
      </c>
      <c r="AF72" t="s">
        <v>31949</v>
      </c>
      <c r="AG72" t="s">
        <v>69</v>
      </c>
      <c r="AH72" t="s">
        <v>69</v>
      </c>
      <c r="AI72" t="s">
        <v>69</v>
      </c>
      <c r="AJ72" t="s">
        <v>69</v>
      </c>
      <c r="AK72" t="s">
        <v>69</v>
      </c>
      <c r="AL72" t="s">
        <v>69</v>
      </c>
      <c r="AM72" t="s">
        <v>69</v>
      </c>
      <c r="AN72">
        <v>24</v>
      </c>
      <c r="AO72">
        <v>1</v>
      </c>
      <c r="AP72">
        <v>1</v>
      </c>
      <c r="AQ72">
        <v>5</v>
      </c>
      <c r="AR72">
        <v>22</v>
      </c>
      <c r="AS72" t="s">
        <v>17140</v>
      </c>
      <c r="AT72" t="s">
        <v>8517</v>
      </c>
      <c r="AU72" t="s">
        <v>17141</v>
      </c>
      <c r="AV72" t="s">
        <v>31169</v>
      </c>
      <c r="AW72" t="s">
        <v>69</v>
      </c>
      <c r="AX72" t="s">
        <v>69</v>
      </c>
      <c r="AY72" t="s">
        <v>31170</v>
      </c>
      <c r="AZ72" t="s">
        <v>31171</v>
      </c>
      <c r="BA72" t="s">
        <v>84</v>
      </c>
      <c r="BB72">
        <v>1999</v>
      </c>
      <c r="BC72">
        <v>53</v>
      </c>
      <c r="BD72" t="s">
        <v>145</v>
      </c>
      <c r="BE72" t="s">
        <v>69</v>
      </c>
      <c r="BF72" t="s">
        <v>69</v>
      </c>
      <c r="BG72" t="s">
        <v>69</v>
      </c>
      <c r="BH72" t="s">
        <v>69</v>
      </c>
      <c r="BI72">
        <v>259</v>
      </c>
      <c r="BJ72">
        <v>296</v>
      </c>
      <c r="BK72" t="s">
        <v>69</v>
      </c>
      <c r="BL72" t="s">
        <v>31950</v>
      </c>
      <c r="BM72" t="str">
        <f>HYPERLINK("http://dx.doi.org/10.1016/S0013-7952(99)00046-0","http://dx.doi.org/10.1016/S0013-7952(99)00046-0")</f>
        <v>http://dx.doi.org/10.1016/S0013-7952(99)00046-0</v>
      </c>
      <c r="BN72" t="s">
        <v>69</v>
      </c>
      <c r="BO72" t="s">
        <v>69</v>
      </c>
      <c r="BP72">
        <v>38</v>
      </c>
      <c r="BQ72" t="s">
        <v>31173</v>
      </c>
      <c r="BR72" t="s">
        <v>8548</v>
      </c>
      <c r="BS72" t="s">
        <v>29172</v>
      </c>
      <c r="BT72" t="s">
        <v>31951</v>
      </c>
      <c r="BU72" t="s">
        <v>31952</v>
      </c>
      <c r="BV72" t="s">
        <v>69</v>
      </c>
      <c r="BW72" t="s">
        <v>69</v>
      </c>
      <c r="BX72" t="s">
        <v>69</v>
      </c>
      <c r="BY72" t="s">
        <v>69</v>
      </c>
      <c r="BZ72" t="s">
        <v>8526</v>
      </c>
      <c r="CA72" t="str">
        <f>HYPERLINK("https%3A%2F%2Fwww.webofscience.com%2Fwos%2Fwoscc%2Ffull-record%2FWOS:000081602300005","View Full Record in Web of Science")</f>
        <v>View Full Record in Web of Science</v>
      </c>
    </row>
    <row r="73" spans="2:79" ht="12.5" x14ac:dyDescent="0.25">
      <c r="B73" t="s">
        <v>8495</v>
      </c>
      <c r="D73" s="22" t="s">
        <v>32931</v>
      </c>
      <c r="E73" s="7"/>
      <c r="F73" s="7"/>
      <c r="G73" s="7"/>
      <c r="H73" t="s">
        <v>67</v>
      </c>
      <c r="I73" t="s">
        <v>31505</v>
      </c>
      <c r="J73" t="s">
        <v>69</v>
      </c>
      <c r="K73" t="s">
        <v>69</v>
      </c>
      <c r="L73" t="s">
        <v>69</v>
      </c>
      <c r="M73" t="s">
        <v>31505</v>
      </c>
      <c r="N73" t="s">
        <v>69</v>
      </c>
      <c r="O73" t="s">
        <v>69</v>
      </c>
      <c r="P73" t="s">
        <v>31506</v>
      </c>
      <c r="Q73" t="s">
        <v>31507</v>
      </c>
      <c r="R73" t="s">
        <v>69</v>
      </c>
      <c r="S73" t="s">
        <v>69</v>
      </c>
      <c r="T73" t="s">
        <v>8505</v>
      </c>
      <c r="U73" t="s">
        <v>8506</v>
      </c>
      <c r="V73" t="s">
        <v>69</v>
      </c>
      <c r="W73" t="s">
        <v>69</v>
      </c>
      <c r="X73" t="s">
        <v>69</v>
      </c>
      <c r="Y73" t="s">
        <v>69</v>
      </c>
      <c r="Z73" t="s">
        <v>69</v>
      </c>
      <c r="AA73" t="s">
        <v>69</v>
      </c>
      <c r="AB73" t="s">
        <v>31508</v>
      </c>
      <c r="AC73" t="s">
        <v>31509</v>
      </c>
      <c r="AD73" t="s">
        <v>31510</v>
      </c>
      <c r="AE73" t="s">
        <v>69</v>
      </c>
      <c r="AF73" t="s">
        <v>31511</v>
      </c>
      <c r="AG73" t="s">
        <v>69</v>
      </c>
      <c r="AH73" t="s">
        <v>69</v>
      </c>
      <c r="AI73" t="s">
        <v>31512</v>
      </c>
      <c r="AJ73" t="s">
        <v>69</v>
      </c>
      <c r="AK73" t="s">
        <v>69</v>
      </c>
      <c r="AL73" t="s">
        <v>69</v>
      </c>
      <c r="AM73" t="s">
        <v>69</v>
      </c>
      <c r="AN73">
        <v>30</v>
      </c>
      <c r="AO73">
        <v>0</v>
      </c>
      <c r="AP73">
        <v>0</v>
      </c>
      <c r="AQ73">
        <v>1</v>
      </c>
      <c r="AR73">
        <v>9</v>
      </c>
      <c r="AS73" t="s">
        <v>31513</v>
      </c>
      <c r="AT73" t="s">
        <v>26670</v>
      </c>
      <c r="AU73" t="s">
        <v>31514</v>
      </c>
      <c r="AV73" t="s">
        <v>31515</v>
      </c>
      <c r="AW73" t="s">
        <v>69</v>
      </c>
      <c r="AX73" t="s">
        <v>69</v>
      </c>
      <c r="AY73" t="s">
        <v>31516</v>
      </c>
      <c r="AZ73" t="s">
        <v>31517</v>
      </c>
      <c r="BA73" t="s">
        <v>1710</v>
      </c>
      <c r="BB73">
        <v>2001</v>
      </c>
      <c r="BC73">
        <v>31</v>
      </c>
      <c r="BD73">
        <v>4</v>
      </c>
      <c r="BE73" t="s">
        <v>69</v>
      </c>
      <c r="BF73" t="s">
        <v>69</v>
      </c>
      <c r="BG73" t="s">
        <v>69</v>
      </c>
      <c r="BH73" t="s">
        <v>69</v>
      </c>
      <c r="BI73">
        <v>399</v>
      </c>
      <c r="BJ73">
        <v>420</v>
      </c>
      <c r="BK73" t="s">
        <v>69</v>
      </c>
      <c r="BL73" t="s">
        <v>31518</v>
      </c>
      <c r="BM73" t="str">
        <f>HYPERLINK("http://dx.doi.org/10.1111/0362-6784.00205","http://dx.doi.org/10.1111/0362-6784.00205")</f>
        <v>http://dx.doi.org/10.1111/0362-6784.00205</v>
      </c>
      <c r="BN73" t="s">
        <v>69</v>
      </c>
      <c r="BO73" t="s">
        <v>69</v>
      </c>
      <c r="BP73">
        <v>22</v>
      </c>
      <c r="BQ73" t="s">
        <v>9290</v>
      </c>
      <c r="BR73" t="s">
        <v>8661</v>
      </c>
      <c r="BS73" t="s">
        <v>9290</v>
      </c>
      <c r="BT73" t="s">
        <v>31519</v>
      </c>
      <c r="BU73" t="s">
        <v>31520</v>
      </c>
      <c r="BV73" t="s">
        <v>69</v>
      </c>
      <c r="BW73" t="s">
        <v>69</v>
      </c>
      <c r="BX73" t="s">
        <v>69</v>
      </c>
      <c r="BY73" t="s">
        <v>69</v>
      </c>
      <c r="BZ73" t="s">
        <v>8526</v>
      </c>
      <c r="CA73" t="str">
        <f>HYPERLINK("https%3A%2F%2Fwww.webofscience.com%2Fwos%2Fwoscc%2Ffull-record%2FWOS:000172875500002","View Full Record in Web of Science")</f>
        <v>View Full Record in Web of Science</v>
      </c>
    </row>
    <row r="74" spans="2:79" ht="12.5" x14ac:dyDescent="0.25">
      <c r="B74" t="s">
        <v>8495</v>
      </c>
      <c r="D74" s="15" t="s">
        <v>32938</v>
      </c>
      <c r="E74" s="7"/>
      <c r="F74" s="7"/>
      <c r="G74" s="7"/>
      <c r="H74" t="s">
        <v>67</v>
      </c>
      <c r="I74" t="s">
        <v>176</v>
      </c>
      <c r="J74" t="s">
        <v>69</v>
      </c>
      <c r="K74" t="s">
        <v>69</v>
      </c>
      <c r="L74" t="s">
        <v>69</v>
      </c>
      <c r="M74" t="s">
        <v>177</v>
      </c>
      <c r="N74" t="s">
        <v>69</v>
      </c>
      <c r="O74" t="s">
        <v>69</v>
      </c>
      <c r="P74" s="11" t="s">
        <v>178</v>
      </c>
      <c r="Q74" t="s">
        <v>179</v>
      </c>
      <c r="R74" t="s">
        <v>69</v>
      </c>
      <c r="S74" t="s">
        <v>69</v>
      </c>
      <c r="T74" t="s">
        <v>8505</v>
      </c>
      <c r="U74" t="s">
        <v>8506</v>
      </c>
      <c r="V74" t="s">
        <v>69</v>
      </c>
      <c r="W74" t="s">
        <v>69</v>
      </c>
      <c r="X74" t="s">
        <v>69</v>
      </c>
      <c r="Y74" t="s">
        <v>69</v>
      </c>
      <c r="Z74" t="s">
        <v>69</v>
      </c>
      <c r="AA74" t="s">
        <v>23760</v>
      </c>
      <c r="AB74" t="s">
        <v>69</v>
      </c>
      <c r="AC74" t="s">
        <v>180</v>
      </c>
      <c r="AD74" t="s">
        <v>23761</v>
      </c>
      <c r="AE74" t="s">
        <v>69</v>
      </c>
      <c r="AF74" t="s">
        <v>23762</v>
      </c>
      <c r="AG74" t="s">
        <v>23763</v>
      </c>
      <c r="AH74" t="s">
        <v>69</v>
      </c>
      <c r="AI74" t="s">
        <v>69</v>
      </c>
      <c r="AJ74" t="s">
        <v>23764</v>
      </c>
      <c r="AK74" t="s">
        <v>23765</v>
      </c>
      <c r="AL74" t="s">
        <v>23766</v>
      </c>
      <c r="AM74" t="s">
        <v>69</v>
      </c>
      <c r="AN74">
        <v>50</v>
      </c>
      <c r="AO74">
        <v>8</v>
      </c>
      <c r="AP74">
        <v>9</v>
      </c>
      <c r="AQ74">
        <v>1</v>
      </c>
      <c r="AR74">
        <v>17</v>
      </c>
      <c r="AS74" t="s">
        <v>9047</v>
      </c>
      <c r="AT74" t="s">
        <v>8693</v>
      </c>
      <c r="AU74" t="s">
        <v>16643</v>
      </c>
      <c r="AV74" t="s">
        <v>181</v>
      </c>
      <c r="AW74" t="s">
        <v>182</v>
      </c>
      <c r="AX74" t="s">
        <v>69</v>
      </c>
      <c r="AY74" t="s">
        <v>17432</v>
      </c>
      <c r="AZ74" t="s">
        <v>17433</v>
      </c>
      <c r="BA74" t="s">
        <v>84</v>
      </c>
      <c r="BB74">
        <v>2014</v>
      </c>
      <c r="BC74">
        <v>54</v>
      </c>
      <c r="BD74">
        <v>1</v>
      </c>
      <c r="BE74" t="s">
        <v>69</v>
      </c>
      <c r="BF74" t="s">
        <v>69</v>
      </c>
      <c r="BG74" t="s">
        <v>69</v>
      </c>
      <c r="BH74" t="s">
        <v>69</v>
      </c>
      <c r="BI74">
        <v>3</v>
      </c>
      <c r="BJ74">
        <v>13</v>
      </c>
      <c r="BK74" t="s">
        <v>69</v>
      </c>
      <c r="BL74" t="s">
        <v>183</v>
      </c>
      <c r="BM74" t="str">
        <f>HYPERLINK("http://dx.doi.org/10.1007/s00267-014-0285-z","http://dx.doi.org/10.1007/s00267-014-0285-z")</f>
        <v>http://dx.doi.org/10.1007/s00267-014-0285-z</v>
      </c>
      <c r="BN74" t="s">
        <v>69</v>
      </c>
      <c r="BO74" t="s">
        <v>69</v>
      </c>
      <c r="BP74">
        <v>11</v>
      </c>
      <c r="BQ74" t="s">
        <v>8717</v>
      </c>
      <c r="BR74" t="s">
        <v>8548</v>
      </c>
      <c r="BS74" t="s">
        <v>8662</v>
      </c>
      <c r="BT74" t="s">
        <v>23767</v>
      </c>
      <c r="BU74" t="s">
        <v>184</v>
      </c>
      <c r="BV74">
        <v>24809286</v>
      </c>
      <c r="BW74" t="s">
        <v>17250</v>
      </c>
      <c r="BX74" t="s">
        <v>69</v>
      </c>
      <c r="BY74" t="s">
        <v>69</v>
      </c>
      <c r="BZ74" t="s">
        <v>8526</v>
      </c>
      <c r="CA74" t="str">
        <f>HYPERLINK("https%3A%2F%2Fwww.webofscience.com%2Fwos%2Fwoscc%2Ffull-record%2FWOS:000337285900002","View Full Record in Web of Science")</f>
        <v>View Full Record in Web of Science</v>
      </c>
    </row>
    <row r="75" spans="2:79" ht="12.5" x14ac:dyDescent="0.25">
      <c r="B75" t="s">
        <v>8495</v>
      </c>
      <c r="D75" s="22" t="s">
        <v>32933</v>
      </c>
      <c r="E75" s="7"/>
      <c r="F75" s="7"/>
      <c r="G75" s="7"/>
      <c r="H75" t="s">
        <v>67</v>
      </c>
      <c r="I75" t="s">
        <v>8280</v>
      </c>
      <c r="J75" t="s">
        <v>69</v>
      </c>
      <c r="K75" t="s">
        <v>69</v>
      </c>
      <c r="L75" t="s">
        <v>69</v>
      </c>
      <c r="M75" t="s">
        <v>8281</v>
      </c>
      <c r="N75" t="s">
        <v>69</v>
      </c>
      <c r="O75" t="s">
        <v>8282</v>
      </c>
      <c r="P75" s="4" t="s">
        <v>8283</v>
      </c>
      <c r="Q75" t="s">
        <v>8284</v>
      </c>
      <c r="R75" t="s">
        <v>69</v>
      </c>
      <c r="S75" t="s">
        <v>69</v>
      </c>
      <c r="T75" t="s">
        <v>8505</v>
      </c>
      <c r="U75" t="s">
        <v>8506</v>
      </c>
      <c r="V75" t="s">
        <v>69</v>
      </c>
      <c r="W75" t="s">
        <v>69</v>
      </c>
      <c r="X75" t="s">
        <v>69</v>
      </c>
      <c r="Y75" t="s">
        <v>69</v>
      </c>
      <c r="Z75" t="s">
        <v>69</v>
      </c>
      <c r="AA75" t="s">
        <v>19927</v>
      </c>
      <c r="AB75" t="s">
        <v>19928</v>
      </c>
      <c r="AC75" t="s">
        <v>8285</v>
      </c>
      <c r="AD75" t="s">
        <v>19929</v>
      </c>
      <c r="AE75" t="s">
        <v>69</v>
      </c>
      <c r="AF75" t="s">
        <v>19930</v>
      </c>
      <c r="AG75" t="s">
        <v>19931</v>
      </c>
      <c r="AH75" t="s">
        <v>19932</v>
      </c>
      <c r="AI75" t="s">
        <v>19933</v>
      </c>
      <c r="AJ75" t="s">
        <v>19934</v>
      </c>
      <c r="AK75" t="s">
        <v>19935</v>
      </c>
      <c r="AL75" t="s">
        <v>19936</v>
      </c>
      <c r="AM75" t="s">
        <v>69</v>
      </c>
      <c r="AN75">
        <v>30</v>
      </c>
      <c r="AO75">
        <v>33</v>
      </c>
      <c r="AP75">
        <v>33</v>
      </c>
      <c r="AQ75">
        <v>1</v>
      </c>
      <c r="AR75">
        <v>3</v>
      </c>
      <c r="AS75" t="s">
        <v>8692</v>
      </c>
      <c r="AT75" t="s">
        <v>8693</v>
      </c>
      <c r="AU75" t="s">
        <v>18139</v>
      </c>
      <c r="AV75" t="s">
        <v>8286</v>
      </c>
      <c r="AW75" t="s">
        <v>8287</v>
      </c>
      <c r="AX75" t="s">
        <v>69</v>
      </c>
      <c r="AY75" t="s">
        <v>19937</v>
      </c>
      <c r="AZ75" t="s">
        <v>19938</v>
      </c>
      <c r="BA75" t="s">
        <v>381</v>
      </c>
      <c r="BB75">
        <v>2017</v>
      </c>
      <c r="BC75">
        <v>17</v>
      </c>
      <c r="BD75">
        <v>10</v>
      </c>
      <c r="BE75" t="s">
        <v>69</v>
      </c>
      <c r="BF75" t="s">
        <v>69</v>
      </c>
      <c r="BG75" t="s">
        <v>69</v>
      </c>
      <c r="BH75" t="s">
        <v>69</v>
      </c>
      <c r="BI75">
        <v>1383</v>
      </c>
      <c r="BJ75">
        <v>1392</v>
      </c>
      <c r="BK75" t="s">
        <v>69</v>
      </c>
      <c r="BL75" t="s">
        <v>8288</v>
      </c>
      <c r="BM75" t="str">
        <f>HYPERLINK("http://dx.doi.org/10.1016/j.spinee.2017.05.031","http://dx.doi.org/10.1016/j.spinee.2017.05.031")</f>
        <v>http://dx.doi.org/10.1016/j.spinee.2017.05.031</v>
      </c>
      <c r="BN75" t="s">
        <v>69</v>
      </c>
      <c r="BO75" t="s">
        <v>69</v>
      </c>
      <c r="BP75">
        <v>10</v>
      </c>
      <c r="BQ75" t="s">
        <v>19939</v>
      </c>
      <c r="BR75" t="s">
        <v>8548</v>
      </c>
      <c r="BS75" t="s">
        <v>19940</v>
      </c>
      <c r="BT75" t="s">
        <v>19941</v>
      </c>
      <c r="BU75" t="s">
        <v>8289</v>
      </c>
      <c r="BV75">
        <v>28716636</v>
      </c>
      <c r="BW75" t="s">
        <v>8622</v>
      </c>
      <c r="BX75" t="s">
        <v>69</v>
      </c>
      <c r="BY75" t="s">
        <v>69</v>
      </c>
      <c r="BZ75" t="s">
        <v>8526</v>
      </c>
      <c r="CA75" t="str">
        <f>HYPERLINK("https%3A%2F%2Fwww.webofscience.com%2Fwos%2Fwoscc%2Ffull-record%2FWOS:000415273900001","View Full Record in Web of Science")</f>
        <v>View Full Record in Web of Science</v>
      </c>
    </row>
    <row r="76" spans="2:79" ht="12.5" x14ac:dyDescent="0.25">
      <c r="B76" t="s">
        <v>8495</v>
      </c>
      <c r="D76" s="7" t="s">
        <v>32933</v>
      </c>
      <c r="E76" s="7"/>
      <c r="F76" s="7"/>
      <c r="G76" s="7"/>
      <c r="H76" t="s">
        <v>67</v>
      </c>
      <c r="I76" t="s">
        <v>5168</v>
      </c>
      <c r="J76" t="s">
        <v>69</v>
      </c>
      <c r="K76" t="s">
        <v>69</v>
      </c>
      <c r="L76" t="s">
        <v>69</v>
      </c>
      <c r="M76" t="s">
        <v>5169</v>
      </c>
      <c r="N76" t="s">
        <v>69</v>
      </c>
      <c r="O76" t="s">
        <v>69</v>
      </c>
      <c r="P76" t="s">
        <v>5170</v>
      </c>
      <c r="Q76" t="s">
        <v>5171</v>
      </c>
      <c r="R76" t="s">
        <v>69</v>
      </c>
      <c r="S76" t="s">
        <v>69</v>
      </c>
      <c r="T76" t="s">
        <v>14800</v>
      </c>
      <c r="U76" t="s">
        <v>8506</v>
      </c>
      <c r="V76" t="s">
        <v>69</v>
      </c>
      <c r="W76" t="s">
        <v>69</v>
      </c>
      <c r="X76" t="s">
        <v>69</v>
      </c>
      <c r="Y76" t="s">
        <v>69</v>
      </c>
      <c r="Z76" t="s">
        <v>69</v>
      </c>
      <c r="AA76" t="s">
        <v>27220</v>
      </c>
      <c r="AB76" t="s">
        <v>27221</v>
      </c>
      <c r="AC76" t="s">
        <v>5172</v>
      </c>
      <c r="AD76" t="s">
        <v>27222</v>
      </c>
      <c r="AE76" t="s">
        <v>69</v>
      </c>
      <c r="AF76" t="s">
        <v>27223</v>
      </c>
      <c r="AG76" t="s">
        <v>27224</v>
      </c>
      <c r="AH76" t="s">
        <v>5173</v>
      </c>
      <c r="AI76" t="s">
        <v>5174</v>
      </c>
      <c r="AJ76" t="s">
        <v>69</v>
      </c>
      <c r="AK76" t="s">
        <v>69</v>
      </c>
      <c r="AL76" t="s">
        <v>69</v>
      </c>
      <c r="AM76" t="s">
        <v>69</v>
      </c>
      <c r="AN76">
        <v>19</v>
      </c>
      <c r="AO76">
        <v>2</v>
      </c>
      <c r="AP76">
        <v>2</v>
      </c>
      <c r="AQ76">
        <v>0</v>
      </c>
      <c r="AR76">
        <v>9</v>
      </c>
      <c r="AS76" t="s">
        <v>17244</v>
      </c>
      <c r="AT76" t="s">
        <v>17245</v>
      </c>
      <c r="AU76" t="s">
        <v>17246</v>
      </c>
      <c r="AV76" t="s">
        <v>5175</v>
      </c>
      <c r="AW76" t="s">
        <v>69</v>
      </c>
      <c r="AX76" t="s">
        <v>69</v>
      </c>
      <c r="AY76" t="s">
        <v>27225</v>
      </c>
      <c r="AZ76" t="s">
        <v>27226</v>
      </c>
      <c r="BA76" t="s">
        <v>2512</v>
      </c>
      <c r="BB76">
        <v>2011</v>
      </c>
      <c r="BC76">
        <v>20</v>
      </c>
      <c r="BD76" t="s">
        <v>336</v>
      </c>
      <c r="BE76" t="s">
        <v>69</v>
      </c>
      <c r="BF76" t="s">
        <v>69</v>
      </c>
      <c r="BG76" t="s">
        <v>69</v>
      </c>
      <c r="BH76" t="s">
        <v>69</v>
      </c>
      <c r="BI76">
        <v>105</v>
      </c>
      <c r="BJ76">
        <v>111</v>
      </c>
      <c r="BK76" t="s">
        <v>69</v>
      </c>
      <c r="BL76" t="s">
        <v>5176</v>
      </c>
      <c r="BM76" t="str">
        <f>HYPERLINK("http://dx.doi.org/10.1684/agr.2010.0463","http://dx.doi.org/10.1684/agr.2010.0463")</f>
        <v>http://dx.doi.org/10.1684/agr.2010.0463</v>
      </c>
      <c r="BN76" t="s">
        <v>69</v>
      </c>
      <c r="BO76" t="s">
        <v>69</v>
      </c>
      <c r="BP76">
        <v>7</v>
      </c>
      <c r="BQ76" t="s">
        <v>27227</v>
      </c>
      <c r="BR76" t="s">
        <v>8548</v>
      </c>
      <c r="BS76" t="s">
        <v>8450</v>
      </c>
      <c r="BT76" t="s">
        <v>27228</v>
      </c>
      <c r="BU76" t="s">
        <v>5177</v>
      </c>
      <c r="BV76" t="s">
        <v>69</v>
      </c>
      <c r="BW76" t="s">
        <v>24397</v>
      </c>
      <c r="BX76" t="s">
        <v>69</v>
      </c>
      <c r="BY76" t="s">
        <v>69</v>
      </c>
      <c r="BZ76" t="s">
        <v>8526</v>
      </c>
      <c r="CA76" t="str">
        <f>HYPERLINK("https%3A%2F%2Fwww.webofscience.com%2Fwos%2Fwoscc%2Ffull-record%2FWOS:000290230300016","View Full Record in Web of Science")</f>
        <v>View Full Record in Web of Science</v>
      </c>
    </row>
    <row r="77" spans="2:79" ht="12.5" x14ac:dyDescent="0.25">
      <c r="B77" t="s">
        <v>8495</v>
      </c>
      <c r="D77" s="7" t="s">
        <v>32933</v>
      </c>
      <c r="E77" s="7"/>
      <c r="F77" s="7"/>
      <c r="G77" s="7"/>
      <c r="H77" t="s">
        <v>67</v>
      </c>
      <c r="I77" t="s">
        <v>1769</v>
      </c>
      <c r="J77" t="s">
        <v>69</v>
      </c>
      <c r="K77" t="s">
        <v>69</v>
      </c>
      <c r="L77" t="s">
        <v>69</v>
      </c>
      <c r="M77" t="s">
        <v>1769</v>
      </c>
      <c r="N77" t="s">
        <v>69</v>
      </c>
      <c r="O77" t="s">
        <v>69</v>
      </c>
      <c r="P77" t="s">
        <v>1770</v>
      </c>
      <c r="Q77" t="s">
        <v>1771</v>
      </c>
      <c r="R77" t="s">
        <v>69</v>
      </c>
      <c r="S77" t="s">
        <v>69</v>
      </c>
      <c r="T77" t="s">
        <v>8505</v>
      </c>
      <c r="U77" t="s">
        <v>8506</v>
      </c>
      <c r="V77" t="s">
        <v>69</v>
      </c>
      <c r="W77" t="s">
        <v>69</v>
      </c>
      <c r="X77" t="s">
        <v>69</v>
      </c>
      <c r="Y77" t="s">
        <v>69</v>
      </c>
      <c r="Z77" t="s">
        <v>69</v>
      </c>
      <c r="AA77" t="s">
        <v>31919</v>
      </c>
      <c r="AB77" t="s">
        <v>69</v>
      </c>
      <c r="AC77" t="s">
        <v>1772</v>
      </c>
      <c r="AD77" t="s">
        <v>31920</v>
      </c>
      <c r="AE77" t="s">
        <v>69</v>
      </c>
      <c r="AF77" t="s">
        <v>31921</v>
      </c>
      <c r="AG77" t="s">
        <v>69</v>
      </c>
      <c r="AH77" t="s">
        <v>69</v>
      </c>
      <c r="AI77" t="s">
        <v>69</v>
      </c>
      <c r="AJ77" t="s">
        <v>69</v>
      </c>
      <c r="AK77" t="s">
        <v>69</v>
      </c>
      <c r="AL77" t="s">
        <v>69</v>
      </c>
      <c r="AM77" t="s">
        <v>69</v>
      </c>
      <c r="AN77">
        <v>33</v>
      </c>
      <c r="AO77">
        <v>2</v>
      </c>
      <c r="AP77">
        <v>2</v>
      </c>
      <c r="AQ77">
        <v>0</v>
      </c>
      <c r="AR77">
        <v>5</v>
      </c>
      <c r="AS77" t="s">
        <v>28353</v>
      </c>
      <c r="AT77" t="s">
        <v>31922</v>
      </c>
      <c r="AU77" t="s">
        <v>31923</v>
      </c>
      <c r="AV77" t="s">
        <v>1773</v>
      </c>
      <c r="AW77" t="s">
        <v>69</v>
      </c>
      <c r="AX77" t="s">
        <v>69</v>
      </c>
      <c r="AY77" t="s">
        <v>31924</v>
      </c>
      <c r="AZ77" t="s">
        <v>31925</v>
      </c>
      <c r="BA77" t="s">
        <v>1774</v>
      </c>
      <c r="BB77">
        <v>1999</v>
      </c>
      <c r="BC77">
        <v>16</v>
      </c>
      <c r="BD77">
        <v>5</v>
      </c>
      <c r="BE77" t="s">
        <v>69</v>
      </c>
      <c r="BF77" t="s">
        <v>69</v>
      </c>
      <c r="BG77" t="s">
        <v>69</v>
      </c>
      <c r="BH77" t="s">
        <v>69</v>
      </c>
      <c r="BI77">
        <v>463</v>
      </c>
      <c r="BJ77">
        <v>472</v>
      </c>
      <c r="BK77" t="s">
        <v>69</v>
      </c>
      <c r="BL77" t="s">
        <v>69</v>
      </c>
      <c r="BM77" t="s">
        <v>69</v>
      </c>
      <c r="BN77" t="s">
        <v>69</v>
      </c>
      <c r="BO77" t="s">
        <v>69</v>
      </c>
      <c r="BP77">
        <v>10</v>
      </c>
      <c r="BQ77" t="s">
        <v>17548</v>
      </c>
      <c r="BR77" t="s">
        <v>8661</v>
      </c>
      <c r="BS77" t="s">
        <v>15524</v>
      </c>
      <c r="BT77" t="s">
        <v>31926</v>
      </c>
      <c r="BU77" t="s">
        <v>1775</v>
      </c>
      <c r="BV77" t="s">
        <v>69</v>
      </c>
      <c r="BW77" t="s">
        <v>69</v>
      </c>
      <c r="BX77" t="s">
        <v>69</v>
      </c>
      <c r="BY77" t="s">
        <v>69</v>
      </c>
      <c r="BZ77" t="s">
        <v>8526</v>
      </c>
      <c r="CA77" t="str">
        <f>HYPERLINK("https%3A%2F%2Fwww.webofscience.com%2Fwos%2Fwoscc%2Ffull-record%2FWOS:000082886600006","View Full Record in Web of Science")</f>
        <v>View Full Record in Web of Science</v>
      </c>
    </row>
    <row r="78" spans="2:79" ht="12.5" x14ac:dyDescent="0.25">
      <c r="B78" t="s">
        <v>8495</v>
      </c>
      <c r="D78" s="22" t="s">
        <v>32931</v>
      </c>
      <c r="E78" s="7"/>
      <c r="F78" s="7"/>
      <c r="G78" s="7"/>
      <c r="H78" t="s">
        <v>67</v>
      </c>
      <c r="I78" t="s">
        <v>20131</v>
      </c>
      <c r="J78" t="s">
        <v>69</v>
      </c>
      <c r="K78" t="s">
        <v>69</v>
      </c>
      <c r="L78" t="s">
        <v>69</v>
      </c>
      <c r="M78" t="s">
        <v>20132</v>
      </c>
      <c r="N78" t="s">
        <v>69</v>
      </c>
      <c r="O78" t="s">
        <v>69</v>
      </c>
      <c r="P78" t="s">
        <v>20133</v>
      </c>
      <c r="Q78" t="s">
        <v>20134</v>
      </c>
      <c r="R78" t="s">
        <v>69</v>
      </c>
      <c r="S78" t="s">
        <v>69</v>
      </c>
      <c r="T78" t="s">
        <v>8505</v>
      </c>
      <c r="U78" t="s">
        <v>8506</v>
      </c>
      <c r="V78" t="s">
        <v>69</v>
      </c>
      <c r="W78" t="s">
        <v>69</v>
      </c>
      <c r="X78" t="s">
        <v>69</v>
      </c>
      <c r="Y78" t="s">
        <v>69</v>
      </c>
      <c r="Z78" t="s">
        <v>69</v>
      </c>
      <c r="AA78" t="s">
        <v>69</v>
      </c>
      <c r="AB78" t="s">
        <v>69</v>
      </c>
      <c r="AC78" t="s">
        <v>20135</v>
      </c>
      <c r="AD78" t="s">
        <v>20136</v>
      </c>
      <c r="AE78" t="s">
        <v>69</v>
      </c>
      <c r="AF78" t="s">
        <v>20137</v>
      </c>
      <c r="AG78" t="s">
        <v>20138</v>
      </c>
      <c r="AH78" t="s">
        <v>69</v>
      </c>
      <c r="AI78" t="s">
        <v>69</v>
      </c>
      <c r="AJ78" t="s">
        <v>20139</v>
      </c>
      <c r="AK78" t="s">
        <v>20140</v>
      </c>
      <c r="AL78" t="s">
        <v>20141</v>
      </c>
      <c r="AM78" t="s">
        <v>69</v>
      </c>
      <c r="AN78">
        <v>2</v>
      </c>
      <c r="AO78">
        <v>5</v>
      </c>
      <c r="AP78">
        <v>5</v>
      </c>
      <c r="AQ78">
        <v>0</v>
      </c>
      <c r="AR78">
        <v>6</v>
      </c>
      <c r="AS78" t="s">
        <v>9145</v>
      </c>
      <c r="AT78" t="s">
        <v>8637</v>
      </c>
      <c r="AU78" t="s">
        <v>9146</v>
      </c>
      <c r="AV78" t="s">
        <v>20142</v>
      </c>
      <c r="AW78" t="s">
        <v>20143</v>
      </c>
      <c r="AX78" t="s">
        <v>69</v>
      </c>
      <c r="AY78" t="s">
        <v>20144</v>
      </c>
      <c r="AZ78" t="s">
        <v>20145</v>
      </c>
      <c r="BA78" t="s">
        <v>201</v>
      </c>
      <c r="BB78">
        <v>2017</v>
      </c>
      <c r="BC78">
        <v>137</v>
      </c>
      <c r="BD78" t="s">
        <v>69</v>
      </c>
      <c r="BE78" t="s">
        <v>69</v>
      </c>
      <c r="BF78" t="s">
        <v>69</v>
      </c>
      <c r="BG78" t="s">
        <v>69</v>
      </c>
      <c r="BH78" t="s">
        <v>69</v>
      </c>
      <c r="BI78">
        <v>482</v>
      </c>
      <c r="BJ78">
        <v>489</v>
      </c>
      <c r="BK78" t="s">
        <v>69</v>
      </c>
      <c r="BL78" t="s">
        <v>20146</v>
      </c>
      <c r="BM78" t="str">
        <f>HYPERLINK("http://dx.doi.org/10.1016/j.actaastro.2017.01.005","http://dx.doi.org/10.1016/j.actaastro.2017.01.005")</f>
        <v>http://dx.doi.org/10.1016/j.actaastro.2017.01.005</v>
      </c>
      <c r="BN78" t="s">
        <v>69</v>
      </c>
      <c r="BO78" t="s">
        <v>69</v>
      </c>
      <c r="BP78">
        <v>8</v>
      </c>
      <c r="BQ78" t="s">
        <v>14497</v>
      </c>
      <c r="BR78" t="s">
        <v>8548</v>
      </c>
      <c r="BS78" t="s">
        <v>8445</v>
      </c>
      <c r="BT78" t="s">
        <v>20147</v>
      </c>
      <c r="BU78" t="s">
        <v>20148</v>
      </c>
      <c r="BV78" t="s">
        <v>69</v>
      </c>
      <c r="BW78" t="s">
        <v>69</v>
      </c>
      <c r="BX78" t="s">
        <v>69</v>
      </c>
      <c r="BY78" t="s">
        <v>69</v>
      </c>
      <c r="BZ78" t="s">
        <v>8526</v>
      </c>
      <c r="CA78" t="str">
        <f>HYPERLINK("https%3A%2F%2Fwww.webofscience.com%2Fwos%2Fwoscc%2Ffull-record%2FWOS:000405042000048","View Full Record in Web of Science")</f>
        <v>View Full Record in Web of Science</v>
      </c>
    </row>
    <row r="79" spans="2:79" ht="12.5" x14ac:dyDescent="0.25">
      <c r="B79" t="s">
        <v>8495</v>
      </c>
      <c r="D79" s="7" t="s">
        <v>32933</v>
      </c>
      <c r="E79" s="7"/>
      <c r="F79" s="7"/>
      <c r="G79" s="7"/>
      <c r="H79" t="s">
        <v>67</v>
      </c>
      <c r="I79" t="s">
        <v>7020</v>
      </c>
      <c r="J79" t="s">
        <v>69</v>
      </c>
      <c r="K79" t="s">
        <v>69</v>
      </c>
      <c r="L79" t="s">
        <v>69</v>
      </c>
      <c r="M79" t="s">
        <v>7021</v>
      </c>
      <c r="N79" t="s">
        <v>69</v>
      </c>
      <c r="O79" t="s">
        <v>69</v>
      </c>
      <c r="P79" t="s">
        <v>7022</v>
      </c>
      <c r="Q79" t="s">
        <v>1799</v>
      </c>
      <c r="R79" t="s">
        <v>69</v>
      </c>
      <c r="S79" t="s">
        <v>69</v>
      </c>
      <c r="T79" t="s">
        <v>8505</v>
      </c>
      <c r="U79" t="s">
        <v>8506</v>
      </c>
      <c r="V79" t="s">
        <v>69</v>
      </c>
      <c r="W79" t="s">
        <v>69</v>
      </c>
      <c r="X79" t="s">
        <v>69</v>
      </c>
      <c r="Y79" t="s">
        <v>69</v>
      </c>
      <c r="Z79" t="s">
        <v>69</v>
      </c>
      <c r="AA79" t="s">
        <v>15118</v>
      </c>
      <c r="AB79" t="s">
        <v>15119</v>
      </c>
      <c r="AC79" t="s">
        <v>7023</v>
      </c>
      <c r="AD79" t="s">
        <v>15120</v>
      </c>
      <c r="AE79" t="s">
        <v>69</v>
      </c>
      <c r="AF79" t="s">
        <v>15121</v>
      </c>
      <c r="AG79" t="s">
        <v>15122</v>
      </c>
      <c r="AH79" t="s">
        <v>15123</v>
      </c>
      <c r="AI79" t="s">
        <v>15124</v>
      </c>
      <c r="AJ79" t="s">
        <v>15125</v>
      </c>
      <c r="AK79" t="s">
        <v>15126</v>
      </c>
      <c r="AL79" t="s">
        <v>15127</v>
      </c>
      <c r="AM79" t="s">
        <v>69</v>
      </c>
      <c r="AN79">
        <v>76</v>
      </c>
      <c r="AO79">
        <v>4</v>
      </c>
      <c r="AP79">
        <v>4</v>
      </c>
      <c r="AQ79">
        <v>12</v>
      </c>
      <c r="AR79">
        <v>58</v>
      </c>
      <c r="AS79" t="s">
        <v>8846</v>
      </c>
      <c r="AT79" t="s">
        <v>8847</v>
      </c>
      <c r="AU79" t="s">
        <v>8848</v>
      </c>
      <c r="AV79" t="s">
        <v>1801</v>
      </c>
      <c r="AW79" t="s">
        <v>6345</v>
      </c>
      <c r="AX79" t="s">
        <v>69</v>
      </c>
      <c r="AY79" t="s">
        <v>15128</v>
      </c>
      <c r="AZ79" t="s">
        <v>15129</v>
      </c>
      <c r="BA79" t="s">
        <v>255</v>
      </c>
      <c r="BB79">
        <v>2020</v>
      </c>
      <c r="BC79">
        <v>40</v>
      </c>
      <c r="BD79">
        <v>9</v>
      </c>
      <c r="BE79" t="s">
        <v>69</v>
      </c>
      <c r="BF79" t="s">
        <v>69</v>
      </c>
      <c r="BG79" t="s">
        <v>69</v>
      </c>
      <c r="BH79" t="s">
        <v>69</v>
      </c>
      <c r="BI79">
        <v>1863</v>
      </c>
      <c r="BJ79">
        <v>1886</v>
      </c>
      <c r="BK79" t="s">
        <v>69</v>
      </c>
      <c r="BL79" t="s">
        <v>7024</v>
      </c>
      <c r="BM79" t="str">
        <f>HYPERLINK("http://dx.doi.org/10.1111/risa.13509","http://dx.doi.org/10.1111/risa.13509")</f>
        <v>http://dx.doi.org/10.1111/risa.13509</v>
      </c>
      <c r="BN79" t="s">
        <v>69</v>
      </c>
      <c r="BO79" t="s">
        <v>732</v>
      </c>
      <c r="BP79">
        <v>24</v>
      </c>
      <c r="BQ79" t="s">
        <v>15130</v>
      </c>
      <c r="BR79" t="s">
        <v>8523</v>
      </c>
      <c r="BS79" t="s">
        <v>15131</v>
      </c>
      <c r="BT79" t="s">
        <v>15132</v>
      </c>
      <c r="BU79" t="s">
        <v>7025</v>
      </c>
      <c r="BV79">
        <v>32469115</v>
      </c>
      <c r="BW79" t="s">
        <v>69</v>
      </c>
      <c r="BX79" t="s">
        <v>69</v>
      </c>
      <c r="BY79" t="s">
        <v>69</v>
      </c>
      <c r="BZ79" t="s">
        <v>8526</v>
      </c>
      <c r="CA79" t="str">
        <f>HYPERLINK("https%3A%2F%2Fwww.webofscience.com%2Fwos%2Fwoscc%2Ffull-record%2FWOS:000536232800001","View Full Record in Web of Science")</f>
        <v>View Full Record in Web of Science</v>
      </c>
    </row>
    <row r="80" spans="2:79" ht="12.5" x14ac:dyDescent="0.25">
      <c r="B80" t="s">
        <v>8495</v>
      </c>
      <c r="D80" s="22" t="s">
        <v>32931</v>
      </c>
      <c r="E80" s="7"/>
      <c r="F80" s="7"/>
      <c r="G80" s="7"/>
      <c r="H80" t="s">
        <v>67</v>
      </c>
      <c r="I80" t="s">
        <v>26647</v>
      </c>
      <c r="J80" t="s">
        <v>69</v>
      </c>
      <c r="K80" t="s">
        <v>69</v>
      </c>
      <c r="L80" t="s">
        <v>69</v>
      </c>
      <c r="M80" t="s">
        <v>26648</v>
      </c>
      <c r="N80" t="s">
        <v>69</v>
      </c>
      <c r="O80" t="s">
        <v>69</v>
      </c>
      <c r="P80" t="s">
        <v>26649</v>
      </c>
      <c r="Q80" t="s">
        <v>26650</v>
      </c>
      <c r="R80" t="s">
        <v>69</v>
      </c>
      <c r="S80" t="s">
        <v>69</v>
      </c>
      <c r="T80" t="s">
        <v>8505</v>
      </c>
      <c r="U80" t="s">
        <v>8506</v>
      </c>
      <c r="V80" t="s">
        <v>69</v>
      </c>
      <c r="W80" t="s">
        <v>69</v>
      </c>
      <c r="X80" t="s">
        <v>69</v>
      </c>
      <c r="Y80" t="s">
        <v>69</v>
      </c>
      <c r="Z80" t="s">
        <v>69</v>
      </c>
      <c r="AA80" t="s">
        <v>69</v>
      </c>
      <c r="AB80" t="s">
        <v>26651</v>
      </c>
      <c r="AC80" t="s">
        <v>26652</v>
      </c>
      <c r="AD80" t="s">
        <v>26653</v>
      </c>
      <c r="AE80" t="s">
        <v>69</v>
      </c>
      <c r="AF80" t="s">
        <v>26654</v>
      </c>
      <c r="AG80" t="s">
        <v>26655</v>
      </c>
      <c r="AH80" t="s">
        <v>26656</v>
      </c>
      <c r="AI80" t="s">
        <v>26657</v>
      </c>
      <c r="AJ80" t="s">
        <v>69</v>
      </c>
      <c r="AK80" t="s">
        <v>69</v>
      </c>
      <c r="AL80" t="s">
        <v>69</v>
      </c>
      <c r="AM80" t="s">
        <v>69</v>
      </c>
      <c r="AN80">
        <v>51</v>
      </c>
      <c r="AO80">
        <v>1</v>
      </c>
      <c r="AP80">
        <v>1</v>
      </c>
      <c r="AQ80">
        <v>0</v>
      </c>
      <c r="AR80">
        <v>21</v>
      </c>
      <c r="AS80" t="s">
        <v>8611</v>
      </c>
      <c r="AT80" t="s">
        <v>8612</v>
      </c>
      <c r="AU80" t="s">
        <v>8613</v>
      </c>
      <c r="AV80" t="s">
        <v>26658</v>
      </c>
      <c r="AW80" t="s">
        <v>26659</v>
      </c>
      <c r="AX80" t="s">
        <v>69</v>
      </c>
      <c r="AY80" t="s">
        <v>26660</v>
      </c>
      <c r="AZ80" t="s">
        <v>26661</v>
      </c>
      <c r="BA80" t="s">
        <v>69</v>
      </c>
      <c r="BB80">
        <v>2012</v>
      </c>
      <c r="BC80">
        <v>32</v>
      </c>
      <c r="BD80">
        <v>3</v>
      </c>
      <c r="BE80" t="s">
        <v>69</v>
      </c>
      <c r="BF80" t="s">
        <v>69</v>
      </c>
      <c r="BG80" t="s">
        <v>69</v>
      </c>
      <c r="BH80" t="s">
        <v>69</v>
      </c>
      <c r="BI80">
        <v>333</v>
      </c>
      <c r="BJ80">
        <v>349</v>
      </c>
      <c r="BK80" t="s">
        <v>69</v>
      </c>
      <c r="BL80" t="s">
        <v>26662</v>
      </c>
      <c r="BM80" t="str">
        <f>HYPERLINK("http://dx.doi.org/10.1080/01441647.2011.647837","http://dx.doi.org/10.1080/01441647.2011.647837")</f>
        <v>http://dx.doi.org/10.1080/01441647.2011.647837</v>
      </c>
      <c r="BN80" t="s">
        <v>69</v>
      </c>
      <c r="BO80" t="s">
        <v>69</v>
      </c>
      <c r="BP80">
        <v>17</v>
      </c>
      <c r="BQ80" t="s">
        <v>16486</v>
      </c>
      <c r="BR80" t="s">
        <v>8661</v>
      </c>
      <c r="BS80" t="s">
        <v>16486</v>
      </c>
      <c r="BT80" t="s">
        <v>26663</v>
      </c>
      <c r="BU80" t="s">
        <v>26664</v>
      </c>
      <c r="BV80" t="s">
        <v>69</v>
      </c>
      <c r="BW80" t="s">
        <v>69</v>
      </c>
      <c r="BX80" t="s">
        <v>69</v>
      </c>
      <c r="BY80" t="s">
        <v>69</v>
      </c>
      <c r="BZ80" t="s">
        <v>8526</v>
      </c>
      <c r="CA80" t="str">
        <f>HYPERLINK("https%3A%2F%2Fwww.webofscience.com%2Fwos%2Fwoscc%2Ffull-record%2FWOS:000303592100004","View Full Record in Web of Science")</f>
        <v>View Full Record in Web of Science</v>
      </c>
    </row>
    <row r="81" spans="2:79" ht="12.5" x14ac:dyDescent="0.25">
      <c r="B81" t="s">
        <v>8495</v>
      </c>
      <c r="D81" s="22" t="s">
        <v>32931</v>
      </c>
      <c r="E81" s="7"/>
      <c r="F81" s="7"/>
      <c r="G81" s="7"/>
      <c r="H81" t="s">
        <v>67</v>
      </c>
      <c r="I81" t="s">
        <v>28889</v>
      </c>
      <c r="J81" t="s">
        <v>69</v>
      </c>
      <c r="K81" t="s">
        <v>69</v>
      </c>
      <c r="L81" t="s">
        <v>69</v>
      </c>
      <c r="M81" t="s">
        <v>28890</v>
      </c>
      <c r="N81" t="s">
        <v>69</v>
      </c>
      <c r="O81" t="s">
        <v>69</v>
      </c>
      <c r="P81" t="s">
        <v>28891</v>
      </c>
      <c r="Q81" t="s">
        <v>10050</v>
      </c>
      <c r="R81" t="s">
        <v>69</v>
      </c>
      <c r="S81" t="s">
        <v>69</v>
      </c>
      <c r="T81" t="s">
        <v>8505</v>
      </c>
      <c r="U81" t="s">
        <v>8506</v>
      </c>
      <c r="V81" t="s">
        <v>69</v>
      </c>
      <c r="W81" t="s">
        <v>69</v>
      </c>
      <c r="X81" t="s">
        <v>69</v>
      </c>
      <c r="Y81" t="s">
        <v>69</v>
      </c>
      <c r="Z81" t="s">
        <v>69</v>
      </c>
      <c r="AA81" t="s">
        <v>28892</v>
      </c>
      <c r="AB81" t="s">
        <v>69</v>
      </c>
      <c r="AC81" t="s">
        <v>28893</v>
      </c>
      <c r="AD81" t="s">
        <v>28894</v>
      </c>
      <c r="AE81" t="s">
        <v>69</v>
      </c>
      <c r="AF81" t="s">
        <v>28895</v>
      </c>
      <c r="AG81" t="s">
        <v>28896</v>
      </c>
      <c r="AH81" t="s">
        <v>69</v>
      </c>
      <c r="AI81" t="s">
        <v>28897</v>
      </c>
      <c r="AJ81" t="s">
        <v>69</v>
      </c>
      <c r="AK81" t="s">
        <v>69</v>
      </c>
      <c r="AL81" t="s">
        <v>69</v>
      </c>
      <c r="AM81" t="s">
        <v>69</v>
      </c>
      <c r="AN81">
        <v>17</v>
      </c>
      <c r="AO81">
        <v>1</v>
      </c>
      <c r="AP81">
        <v>1</v>
      </c>
      <c r="AQ81">
        <v>0</v>
      </c>
      <c r="AR81">
        <v>1</v>
      </c>
      <c r="AS81" t="s">
        <v>8586</v>
      </c>
      <c r="AT81" t="s">
        <v>8587</v>
      </c>
      <c r="AU81" t="s">
        <v>8588</v>
      </c>
      <c r="AV81" t="s">
        <v>10059</v>
      </c>
      <c r="AW81" t="s">
        <v>10060</v>
      </c>
      <c r="AX81" t="s">
        <v>69</v>
      </c>
      <c r="AY81" t="s">
        <v>10061</v>
      </c>
      <c r="AZ81" t="s">
        <v>10062</v>
      </c>
      <c r="BA81" t="s">
        <v>69</v>
      </c>
      <c r="BB81">
        <v>2009</v>
      </c>
      <c r="BC81">
        <v>14</v>
      </c>
      <c r="BD81">
        <v>1</v>
      </c>
      <c r="BE81" t="s">
        <v>69</v>
      </c>
      <c r="BF81" t="s">
        <v>69</v>
      </c>
      <c r="BG81" t="s">
        <v>69</v>
      </c>
      <c r="BH81" t="s">
        <v>69</v>
      </c>
      <c r="BI81">
        <v>79</v>
      </c>
      <c r="BJ81">
        <v>89</v>
      </c>
      <c r="BK81" t="s">
        <v>69</v>
      </c>
      <c r="BL81" t="s">
        <v>28898</v>
      </c>
      <c r="BM81" t="str">
        <f>HYPERLINK("http://dx.doi.org/10.1108/13664380910942653","http://dx.doi.org/10.1108/13664380910942653")</f>
        <v>http://dx.doi.org/10.1108/13664380910942653</v>
      </c>
      <c r="BN81" t="s">
        <v>69</v>
      </c>
      <c r="BO81" t="s">
        <v>69</v>
      </c>
      <c r="BP81">
        <v>11</v>
      </c>
      <c r="BQ81" t="s">
        <v>9749</v>
      </c>
      <c r="BR81" t="s">
        <v>8573</v>
      </c>
      <c r="BS81" t="s">
        <v>8594</v>
      </c>
      <c r="BT81" t="s">
        <v>28899</v>
      </c>
      <c r="BU81" t="s">
        <v>28900</v>
      </c>
      <c r="BV81" t="s">
        <v>69</v>
      </c>
      <c r="BW81" t="s">
        <v>69</v>
      </c>
      <c r="BX81" t="s">
        <v>69</v>
      </c>
      <c r="BY81" t="s">
        <v>69</v>
      </c>
      <c r="BZ81" t="s">
        <v>8526</v>
      </c>
      <c r="CA81" t="str">
        <f>HYPERLINK("https%3A%2F%2Fwww.webofscience.com%2Fwos%2Fwoscc%2Ffull-record%2FWOS:000211558800006","View Full Record in Web of Science")</f>
        <v>View Full Record in Web of Science</v>
      </c>
    </row>
    <row r="82" spans="2:79" ht="12.5" x14ac:dyDescent="0.25">
      <c r="B82" t="s">
        <v>8495</v>
      </c>
      <c r="D82" s="7" t="s">
        <v>32933</v>
      </c>
      <c r="E82" s="7"/>
      <c r="F82" s="7"/>
      <c r="G82" s="7"/>
      <c r="H82" t="s">
        <v>67</v>
      </c>
      <c r="I82" t="s">
        <v>2075</v>
      </c>
      <c r="J82" t="s">
        <v>69</v>
      </c>
      <c r="K82" t="s">
        <v>69</v>
      </c>
      <c r="L82" t="s">
        <v>69</v>
      </c>
      <c r="M82" t="s">
        <v>2076</v>
      </c>
      <c r="N82" t="s">
        <v>69</v>
      </c>
      <c r="O82" t="s">
        <v>69</v>
      </c>
      <c r="P82" t="s">
        <v>2077</v>
      </c>
      <c r="Q82" t="s">
        <v>2078</v>
      </c>
      <c r="R82" t="s">
        <v>69</v>
      </c>
      <c r="S82" t="s">
        <v>69</v>
      </c>
      <c r="T82" t="s">
        <v>8505</v>
      </c>
      <c r="U82" t="s">
        <v>8506</v>
      </c>
      <c r="V82" t="s">
        <v>69</v>
      </c>
      <c r="W82" t="s">
        <v>69</v>
      </c>
      <c r="X82" t="s">
        <v>69</v>
      </c>
      <c r="Y82" t="s">
        <v>69</v>
      </c>
      <c r="Z82" t="s">
        <v>69</v>
      </c>
      <c r="AA82" t="s">
        <v>16043</v>
      </c>
      <c r="AB82" t="s">
        <v>69</v>
      </c>
      <c r="AC82" t="s">
        <v>2079</v>
      </c>
      <c r="AD82" t="s">
        <v>16044</v>
      </c>
      <c r="AE82" t="s">
        <v>69</v>
      </c>
      <c r="AF82" t="s">
        <v>16045</v>
      </c>
      <c r="AG82" t="s">
        <v>16046</v>
      </c>
      <c r="AH82" t="s">
        <v>2080</v>
      </c>
      <c r="AI82" t="s">
        <v>16047</v>
      </c>
      <c r="AJ82" t="s">
        <v>69</v>
      </c>
      <c r="AK82" t="s">
        <v>69</v>
      </c>
      <c r="AL82" t="s">
        <v>69</v>
      </c>
      <c r="AM82" t="s">
        <v>69</v>
      </c>
      <c r="AN82">
        <v>93</v>
      </c>
      <c r="AO82">
        <v>4</v>
      </c>
      <c r="AP82">
        <v>4</v>
      </c>
      <c r="AQ82">
        <v>4</v>
      </c>
      <c r="AR82">
        <v>18</v>
      </c>
      <c r="AS82" t="s">
        <v>16048</v>
      </c>
      <c r="AT82" t="s">
        <v>8517</v>
      </c>
      <c r="AU82" t="s">
        <v>16049</v>
      </c>
      <c r="AV82" t="s">
        <v>2081</v>
      </c>
      <c r="AW82" t="s">
        <v>2082</v>
      </c>
      <c r="AX82" t="s">
        <v>69</v>
      </c>
      <c r="AY82" t="s">
        <v>16050</v>
      </c>
      <c r="AZ82" t="s">
        <v>16051</v>
      </c>
      <c r="BA82" t="s">
        <v>69</v>
      </c>
      <c r="BB82">
        <v>2020</v>
      </c>
      <c r="BC82">
        <v>39</v>
      </c>
      <c r="BD82">
        <v>4</v>
      </c>
      <c r="BE82" t="s">
        <v>69</v>
      </c>
      <c r="BF82" t="s">
        <v>69</v>
      </c>
      <c r="BG82" t="s">
        <v>69</v>
      </c>
      <c r="BH82" t="s">
        <v>69</v>
      </c>
      <c r="BI82">
        <v>511</v>
      </c>
      <c r="BJ82">
        <v>527</v>
      </c>
      <c r="BK82" t="s">
        <v>69</v>
      </c>
      <c r="BL82" t="s">
        <v>2083</v>
      </c>
      <c r="BM82" t="str">
        <f>HYPERLINK("http://dx.doi.org/10.3233/HSM-201034","http://dx.doi.org/10.3233/HSM-201034")</f>
        <v>http://dx.doi.org/10.3233/HSM-201034</v>
      </c>
      <c r="BN82" t="s">
        <v>69</v>
      </c>
      <c r="BO82" t="s">
        <v>69</v>
      </c>
      <c r="BP82">
        <v>17</v>
      </c>
      <c r="BQ82" t="s">
        <v>9410</v>
      </c>
      <c r="BR82" t="s">
        <v>8573</v>
      </c>
      <c r="BS82" t="s">
        <v>8594</v>
      </c>
      <c r="BT82" t="s">
        <v>16052</v>
      </c>
      <c r="BU82" t="s">
        <v>2084</v>
      </c>
      <c r="BV82" t="s">
        <v>69</v>
      </c>
      <c r="BW82" t="s">
        <v>69</v>
      </c>
      <c r="BX82" t="s">
        <v>69</v>
      </c>
      <c r="BY82" t="s">
        <v>69</v>
      </c>
      <c r="BZ82" t="s">
        <v>8526</v>
      </c>
      <c r="CA82" t="str">
        <f>HYPERLINK("https%3A%2F%2Fwww.webofscience.com%2Fwos%2Fwoscc%2Ffull-record%2FWOS:000592803300004","View Full Record in Web of Science")</f>
        <v>View Full Record in Web of Science</v>
      </c>
    </row>
    <row r="83" spans="2:79" ht="12.5" x14ac:dyDescent="0.25">
      <c r="B83" t="s">
        <v>8495</v>
      </c>
      <c r="D83" s="22" t="s">
        <v>32931</v>
      </c>
      <c r="E83" s="7"/>
      <c r="F83" s="7"/>
      <c r="G83" s="7"/>
      <c r="H83" t="s">
        <v>67</v>
      </c>
      <c r="I83" t="s">
        <v>27422</v>
      </c>
      <c r="J83" t="s">
        <v>69</v>
      </c>
      <c r="K83" t="s">
        <v>69</v>
      </c>
      <c r="L83" t="s">
        <v>69</v>
      </c>
      <c r="M83" t="s">
        <v>27423</v>
      </c>
      <c r="N83" t="s">
        <v>69</v>
      </c>
      <c r="O83" t="s">
        <v>69</v>
      </c>
      <c r="P83" t="s">
        <v>27424</v>
      </c>
      <c r="Q83" t="s">
        <v>27425</v>
      </c>
      <c r="R83" t="s">
        <v>69</v>
      </c>
      <c r="S83" t="s">
        <v>69</v>
      </c>
      <c r="T83" t="s">
        <v>8505</v>
      </c>
      <c r="U83" t="s">
        <v>8506</v>
      </c>
      <c r="V83" t="s">
        <v>69</v>
      </c>
      <c r="W83" t="s">
        <v>69</v>
      </c>
      <c r="X83" t="s">
        <v>69</v>
      </c>
      <c r="Y83" t="s">
        <v>69</v>
      </c>
      <c r="Z83" t="s">
        <v>69</v>
      </c>
      <c r="AA83" t="s">
        <v>27426</v>
      </c>
      <c r="AB83" t="s">
        <v>69</v>
      </c>
      <c r="AC83" t="s">
        <v>27427</v>
      </c>
      <c r="AD83" t="s">
        <v>27428</v>
      </c>
      <c r="AE83" t="s">
        <v>69</v>
      </c>
      <c r="AF83" t="s">
        <v>27429</v>
      </c>
      <c r="AG83" t="s">
        <v>27430</v>
      </c>
      <c r="AH83" t="s">
        <v>27431</v>
      </c>
      <c r="AI83" t="s">
        <v>27432</v>
      </c>
      <c r="AJ83" t="s">
        <v>69</v>
      </c>
      <c r="AK83" t="s">
        <v>69</v>
      </c>
      <c r="AL83" t="s">
        <v>69</v>
      </c>
      <c r="AM83" t="s">
        <v>69</v>
      </c>
      <c r="AN83">
        <v>25</v>
      </c>
      <c r="AO83">
        <v>6</v>
      </c>
      <c r="AP83">
        <v>6</v>
      </c>
      <c r="AQ83">
        <v>0</v>
      </c>
      <c r="AR83">
        <v>1</v>
      </c>
      <c r="AS83" t="s">
        <v>8586</v>
      </c>
      <c r="AT83" t="s">
        <v>8587</v>
      </c>
      <c r="AU83" t="s">
        <v>8588</v>
      </c>
      <c r="AV83" t="s">
        <v>27433</v>
      </c>
      <c r="AW83" t="s">
        <v>69</v>
      </c>
      <c r="AX83" t="s">
        <v>69</v>
      </c>
      <c r="AY83" t="s">
        <v>27434</v>
      </c>
      <c r="AZ83" t="s">
        <v>27435</v>
      </c>
      <c r="BA83" t="s">
        <v>69</v>
      </c>
      <c r="BB83">
        <v>2011</v>
      </c>
      <c r="BC83">
        <v>4</v>
      </c>
      <c r="BD83">
        <v>1</v>
      </c>
      <c r="BE83" t="s">
        <v>69</v>
      </c>
      <c r="BF83" t="s">
        <v>69</v>
      </c>
      <c r="BG83" t="s">
        <v>69</v>
      </c>
      <c r="BH83" t="s">
        <v>69</v>
      </c>
      <c r="BI83">
        <v>62</v>
      </c>
      <c r="BJ83">
        <v>81</v>
      </c>
      <c r="BK83" t="s">
        <v>69</v>
      </c>
      <c r="BL83" t="s">
        <v>27436</v>
      </c>
      <c r="BM83" t="str">
        <f>HYPERLINK("http://dx.doi.org/10.1108/17554251111110122","http://dx.doi.org/10.1108/17554251111110122")</f>
        <v>http://dx.doi.org/10.1108/17554251111110122</v>
      </c>
      <c r="BN83" t="s">
        <v>69</v>
      </c>
      <c r="BO83" t="s">
        <v>69</v>
      </c>
      <c r="BP83">
        <v>20</v>
      </c>
      <c r="BQ83" t="s">
        <v>9410</v>
      </c>
      <c r="BR83" t="s">
        <v>8573</v>
      </c>
      <c r="BS83" t="s">
        <v>8594</v>
      </c>
      <c r="BT83" t="s">
        <v>27437</v>
      </c>
      <c r="BU83" t="s">
        <v>27438</v>
      </c>
      <c r="BV83" t="s">
        <v>69</v>
      </c>
      <c r="BW83" t="s">
        <v>69</v>
      </c>
      <c r="BX83" t="s">
        <v>69</v>
      </c>
      <c r="BY83" t="s">
        <v>69</v>
      </c>
      <c r="BZ83" t="s">
        <v>8526</v>
      </c>
      <c r="CA83" t="str">
        <f>HYPERLINK("https%3A%2F%2Fwww.webofscience.com%2Fwos%2Fwoscc%2Ffull-record%2FWOS:000214551000004","View Full Record in Web of Science")</f>
        <v>View Full Record in Web of Science</v>
      </c>
    </row>
    <row r="84" spans="2:79" ht="12.5" x14ac:dyDescent="0.25">
      <c r="B84" t="s">
        <v>8495</v>
      </c>
      <c r="D84" s="22" t="s">
        <v>32931</v>
      </c>
      <c r="E84" s="7"/>
      <c r="F84" s="7"/>
      <c r="G84" s="7"/>
      <c r="H84" t="s">
        <v>67</v>
      </c>
      <c r="I84" t="s">
        <v>26504</v>
      </c>
      <c r="J84" t="s">
        <v>69</v>
      </c>
      <c r="K84" t="s">
        <v>69</v>
      </c>
      <c r="L84" t="s">
        <v>69</v>
      </c>
      <c r="M84" t="s">
        <v>26505</v>
      </c>
      <c r="N84" t="s">
        <v>69</v>
      </c>
      <c r="O84" t="s">
        <v>69</v>
      </c>
      <c r="P84" t="s">
        <v>26506</v>
      </c>
      <c r="Q84" t="s">
        <v>11049</v>
      </c>
      <c r="R84" t="s">
        <v>69</v>
      </c>
      <c r="S84" t="s">
        <v>69</v>
      </c>
      <c r="T84" t="s">
        <v>8505</v>
      </c>
      <c r="U84" t="s">
        <v>8506</v>
      </c>
      <c r="V84" t="s">
        <v>69</v>
      </c>
      <c r="W84" t="s">
        <v>69</v>
      </c>
      <c r="X84" t="s">
        <v>69</v>
      </c>
      <c r="Y84" t="s">
        <v>69</v>
      </c>
      <c r="Z84" t="s">
        <v>69</v>
      </c>
      <c r="AA84" t="s">
        <v>26507</v>
      </c>
      <c r="AB84" t="s">
        <v>69</v>
      </c>
      <c r="AC84" t="s">
        <v>26508</v>
      </c>
      <c r="AD84" t="s">
        <v>26509</v>
      </c>
      <c r="AE84" t="s">
        <v>69</v>
      </c>
      <c r="AF84" t="s">
        <v>26510</v>
      </c>
      <c r="AG84" t="s">
        <v>26511</v>
      </c>
      <c r="AH84" t="s">
        <v>69</v>
      </c>
      <c r="AI84" t="s">
        <v>69</v>
      </c>
      <c r="AJ84" t="s">
        <v>69</v>
      </c>
      <c r="AK84" t="s">
        <v>69</v>
      </c>
      <c r="AL84" t="s">
        <v>69</v>
      </c>
      <c r="AM84" t="s">
        <v>69</v>
      </c>
      <c r="AN84">
        <v>86</v>
      </c>
      <c r="AO84">
        <v>10</v>
      </c>
      <c r="AP84">
        <v>10</v>
      </c>
      <c r="AQ84">
        <v>0</v>
      </c>
      <c r="AR84">
        <v>1</v>
      </c>
      <c r="AS84" t="s">
        <v>8586</v>
      </c>
      <c r="AT84" t="s">
        <v>8587</v>
      </c>
      <c r="AU84" t="s">
        <v>8588</v>
      </c>
      <c r="AV84" t="s">
        <v>11058</v>
      </c>
      <c r="AW84" t="s">
        <v>11059</v>
      </c>
      <c r="AX84" t="s">
        <v>69</v>
      </c>
      <c r="AY84" t="s">
        <v>11060</v>
      </c>
      <c r="AZ84" t="s">
        <v>11061</v>
      </c>
      <c r="BA84" t="s">
        <v>69</v>
      </c>
      <c r="BB84">
        <v>2012</v>
      </c>
      <c r="BC84">
        <v>25</v>
      </c>
      <c r="BD84">
        <v>6</v>
      </c>
      <c r="BE84" t="s">
        <v>69</v>
      </c>
      <c r="BF84" t="s">
        <v>69</v>
      </c>
      <c r="BG84" t="s">
        <v>69</v>
      </c>
      <c r="BH84" t="s">
        <v>69</v>
      </c>
      <c r="BI84">
        <v>509</v>
      </c>
      <c r="BJ84" t="s">
        <v>219</v>
      </c>
      <c r="BK84" t="s">
        <v>69</v>
      </c>
      <c r="BL84" t="s">
        <v>26512</v>
      </c>
      <c r="BM84" t="str">
        <f>HYPERLINK("http://dx.doi.org/10.1108/17410391211272810","http://dx.doi.org/10.1108/17410391211272810")</f>
        <v>http://dx.doi.org/10.1108/17410391211272810</v>
      </c>
      <c r="BN84" t="s">
        <v>69</v>
      </c>
      <c r="BO84" t="s">
        <v>69</v>
      </c>
      <c r="BP84">
        <v>29</v>
      </c>
      <c r="BQ84" t="s">
        <v>11063</v>
      </c>
      <c r="BR84" t="s">
        <v>8573</v>
      </c>
      <c r="BS84" t="s">
        <v>11064</v>
      </c>
      <c r="BT84" t="s">
        <v>26513</v>
      </c>
      <c r="BU84" t="s">
        <v>26514</v>
      </c>
      <c r="BV84" t="s">
        <v>69</v>
      </c>
      <c r="BW84" t="s">
        <v>69</v>
      </c>
      <c r="BX84" t="s">
        <v>69</v>
      </c>
      <c r="BY84" t="s">
        <v>69</v>
      </c>
      <c r="BZ84" t="s">
        <v>8526</v>
      </c>
      <c r="CA84" t="str">
        <f>HYPERLINK("https%3A%2F%2Fwww.webofscience.com%2Fwos%2Fwoscc%2Ffull-record%2FWOS:000212900700002","View Full Record in Web of Science")</f>
        <v>View Full Record in Web of Science</v>
      </c>
    </row>
    <row r="85" spans="2:79" ht="12.5" x14ac:dyDescent="0.25">
      <c r="B85" t="s">
        <v>8495</v>
      </c>
      <c r="D85" s="22" t="s">
        <v>32931</v>
      </c>
      <c r="E85" s="7"/>
      <c r="F85" s="7"/>
      <c r="G85" s="7"/>
      <c r="H85" t="s">
        <v>67</v>
      </c>
      <c r="I85" t="s">
        <v>26573</v>
      </c>
      <c r="J85" t="s">
        <v>69</v>
      </c>
      <c r="K85" t="s">
        <v>69</v>
      </c>
      <c r="L85" t="s">
        <v>69</v>
      </c>
      <c r="M85" t="s">
        <v>26574</v>
      </c>
      <c r="N85" t="s">
        <v>69</v>
      </c>
      <c r="O85" t="s">
        <v>69</v>
      </c>
      <c r="P85" t="s">
        <v>26575</v>
      </c>
      <c r="Q85" t="s">
        <v>26576</v>
      </c>
      <c r="R85" t="s">
        <v>69</v>
      </c>
      <c r="S85" t="s">
        <v>69</v>
      </c>
      <c r="T85" t="s">
        <v>25721</v>
      </c>
      <c r="U85" t="s">
        <v>8506</v>
      </c>
      <c r="V85" t="s">
        <v>69</v>
      </c>
      <c r="W85" t="s">
        <v>69</v>
      </c>
      <c r="X85" t="s">
        <v>69</v>
      </c>
      <c r="Y85" t="s">
        <v>69</v>
      </c>
      <c r="Z85" t="s">
        <v>69</v>
      </c>
      <c r="AA85" t="s">
        <v>26577</v>
      </c>
      <c r="AB85" t="s">
        <v>69</v>
      </c>
      <c r="AC85" t="s">
        <v>26578</v>
      </c>
      <c r="AD85" t="s">
        <v>26579</v>
      </c>
      <c r="AE85" t="s">
        <v>69</v>
      </c>
      <c r="AF85" t="s">
        <v>26580</v>
      </c>
      <c r="AG85" t="s">
        <v>26581</v>
      </c>
      <c r="AH85" t="s">
        <v>26582</v>
      </c>
      <c r="AI85" t="s">
        <v>69</v>
      </c>
      <c r="AJ85" t="s">
        <v>69</v>
      </c>
      <c r="AK85" t="s">
        <v>69</v>
      </c>
      <c r="AL85" t="s">
        <v>69</v>
      </c>
      <c r="AM85" t="s">
        <v>69</v>
      </c>
      <c r="AN85">
        <v>13</v>
      </c>
      <c r="AO85">
        <v>5</v>
      </c>
      <c r="AP85">
        <v>5</v>
      </c>
      <c r="AQ85">
        <v>0</v>
      </c>
      <c r="AR85">
        <v>0</v>
      </c>
      <c r="AS85" t="s">
        <v>26583</v>
      </c>
      <c r="AT85" t="s">
        <v>26584</v>
      </c>
      <c r="AU85" t="s">
        <v>26585</v>
      </c>
      <c r="AV85" t="s">
        <v>26586</v>
      </c>
      <c r="AW85" t="s">
        <v>69</v>
      </c>
      <c r="AX85" t="s">
        <v>69</v>
      </c>
      <c r="AY85" t="s">
        <v>26576</v>
      </c>
      <c r="AZ85" t="s">
        <v>26587</v>
      </c>
      <c r="BA85" t="s">
        <v>69</v>
      </c>
      <c r="BB85">
        <v>2012</v>
      </c>
      <c r="BC85">
        <v>7</v>
      </c>
      <c r="BD85">
        <v>2</v>
      </c>
      <c r="BE85" t="s">
        <v>69</v>
      </c>
      <c r="BF85" t="s">
        <v>69</v>
      </c>
      <c r="BG85" t="s">
        <v>69</v>
      </c>
      <c r="BH85" t="s">
        <v>69</v>
      </c>
      <c r="BI85">
        <v>94</v>
      </c>
      <c r="BJ85">
        <v>102</v>
      </c>
      <c r="BK85" t="s">
        <v>69</v>
      </c>
      <c r="BL85" t="s">
        <v>69</v>
      </c>
      <c r="BM85" t="s">
        <v>69</v>
      </c>
      <c r="BN85" t="s">
        <v>69</v>
      </c>
      <c r="BO85" t="s">
        <v>69</v>
      </c>
      <c r="BP85">
        <v>9</v>
      </c>
      <c r="BQ85" t="s">
        <v>8449</v>
      </c>
      <c r="BR85" t="s">
        <v>8573</v>
      </c>
      <c r="BS85" t="s">
        <v>8449</v>
      </c>
      <c r="BT85" t="s">
        <v>26588</v>
      </c>
      <c r="BU85" t="s">
        <v>26589</v>
      </c>
      <c r="BV85" t="s">
        <v>69</v>
      </c>
      <c r="BW85" t="s">
        <v>69</v>
      </c>
      <c r="BX85" t="s">
        <v>69</v>
      </c>
      <c r="BY85" t="s">
        <v>69</v>
      </c>
      <c r="BZ85" t="s">
        <v>8526</v>
      </c>
      <c r="CA85" t="str">
        <f>HYPERLINK("https%3A%2F%2Fwww.webofscience.com%2Fwos%2Fwoscc%2Ffull-record%2FWOS:000421686800002","View Full Record in Web of Science")</f>
        <v>View Full Record in Web of Science</v>
      </c>
    </row>
    <row r="86" spans="2:79" ht="12.5" x14ac:dyDescent="0.25">
      <c r="B86" t="s">
        <v>8495</v>
      </c>
      <c r="D86" s="22" t="s">
        <v>32931</v>
      </c>
      <c r="E86" s="7"/>
      <c r="F86" s="7"/>
      <c r="G86" s="7"/>
      <c r="H86" t="s">
        <v>67</v>
      </c>
      <c r="I86" t="s">
        <v>21416</v>
      </c>
      <c r="J86" t="s">
        <v>69</v>
      </c>
      <c r="K86" t="s">
        <v>69</v>
      </c>
      <c r="L86" t="s">
        <v>69</v>
      </c>
      <c r="M86" t="s">
        <v>21417</v>
      </c>
      <c r="N86" t="s">
        <v>69</v>
      </c>
      <c r="O86" t="s">
        <v>69</v>
      </c>
      <c r="P86" t="s">
        <v>21418</v>
      </c>
      <c r="Q86" t="s">
        <v>1128</v>
      </c>
      <c r="R86" t="s">
        <v>69</v>
      </c>
      <c r="S86" t="s">
        <v>69</v>
      </c>
      <c r="T86" t="s">
        <v>8505</v>
      </c>
      <c r="U86" t="s">
        <v>8506</v>
      </c>
      <c r="V86" t="s">
        <v>69</v>
      </c>
      <c r="W86" t="s">
        <v>69</v>
      </c>
      <c r="X86" t="s">
        <v>69</v>
      </c>
      <c r="Y86" t="s">
        <v>69</v>
      </c>
      <c r="Z86" t="s">
        <v>69</v>
      </c>
      <c r="AA86" t="s">
        <v>21419</v>
      </c>
      <c r="AB86" t="s">
        <v>21420</v>
      </c>
      <c r="AC86" t="s">
        <v>21421</v>
      </c>
      <c r="AD86" t="s">
        <v>21422</v>
      </c>
      <c r="AE86" t="s">
        <v>69</v>
      </c>
      <c r="AF86" t="s">
        <v>21423</v>
      </c>
      <c r="AG86" t="s">
        <v>21424</v>
      </c>
      <c r="AH86" t="s">
        <v>21425</v>
      </c>
      <c r="AI86" t="s">
        <v>21426</v>
      </c>
      <c r="AJ86" t="s">
        <v>21427</v>
      </c>
      <c r="AK86" t="s">
        <v>21428</v>
      </c>
      <c r="AL86" t="s">
        <v>21429</v>
      </c>
      <c r="AM86" t="s">
        <v>69</v>
      </c>
      <c r="AN86">
        <v>131</v>
      </c>
      <c r="AO86">
        <v>16</v>
      </c>
      <c r="AP86">
        <v>16</v>
      </c>
      <c r="AQ86">
        <v>2</v>
      </c>
      <c r="AR86">
        <v>60</v>
      </c>
      <c r="AS86" t="s">
        <v>8636</v>
      </c>
      <c r="AT86" t="s">
        <v>8637</v>
      </c>
      <c r="AU86" t="s">
        <v>8638</v>
      </c>
      <c r="AV86" t="s">
        <v>1130</v>
      </c>
      <c r="AW86" t="s">
        <v>1131</v>
      </c>
      <c r="AX86" t="s">
        <v>69</v>
      </c>
      <c r="AY86" t="s">
        <v>1128</v>
      </c>
      <c r="AZ86" t="s">
        <v>8658</v>
      </c>
      <c r="BA86" t="s">
        <v>255</v>
      </c>
      <c r="BB86">
        <v>2016</v>
      </c>
      <c r="BC86">
        <v>55</v>
      </c>
      <c r="BD86" t="s">
        <v>69</v>
      </c>
      <c r="BE86" t="s">
        <v>69</v>
      </c>
      <c r="BF86" t="s">
        <v>69</v>
      </c>
      <c r="BG86" t="s">
        <v>69</v>
      </c>
      <c r="BH86" t="s">
        <v>69</v>
      </c>
      <c r="BI86">
        <v>240</v>
      </c>
      <c r="BJ86">
        <v>256</v>
      </c>
      <c r="BK86" t="s">
        <v>69</v>
      </c>
      <c r="BL86" t="s">
        <v>21430</v>
      </c>
      <c r="BM86" t="str">
        <f>HYPERLINK("http://dx.doi.org/10.1016/j.landusepol.2016.04.005","http://dx.doi.org/10.1016/j.landusepol.2016.04.005")</f>
        <v>http://dx.doi.org/10.1016/j.landusepol.2016.04.005</v>
      </c>
      <c r="BN86" t="s">
        <v>69</v>
      </c>
      <c r="BO86" t="s">
        <v>69</v>
      </c>
      <c r="BP86">
        <v>17</v>
      </c>
      <c r="BQ86" t="s">
        <v>8660</v>
      </c>
      <c r="BR86" t="s">
        <v>8661</v>
      </c>
      <c r="BS86" t="s">
        <v>8662</v>
      </c>
      <c r="BT86" t="s">
        <v>21431</v>
      </c>
      <c r="BU86" t="s">
        <v>21433</v>
      </c>
      <c r="BV86" t="s">
        <v>69</v>
      </c>
      <c r="BW86" t="s">
        <v>21432</v>
      </c>
      <c r="BX86" t="s">
        <v>69</v>
      </c>
      <c r="BY86" t="s">
        <v>69</v>
      </c>
      <c r="BZ86" t="s">
        <v>8526</v>
      </c>
      <c r="CA86" t="str">
        <f>HYPERLINK("https%3A%2F%2Fwww.webofscience.com%2Fwos%2Fwoscc%2Ffull-record%2FWOS:000376803100022","View Full Record in Web of Science")</f>
        <v>View Full Record in Web of Science</v>
      </c>
    </row>
    <row r="87" spans="2:79" ht="12.5" x14ac:dyDescent="0.25">
      <c r="B87" t="s">
        <v>8495</v>
      </c>
      <c r="D87" s="7" t="s">
        <v>32933</v>
      </c>
      <c r="E87" s="7"/>
      <c r="F87" s="7"/>
      <c r="G87" s="7"/>
      <c r="H87" t="s">
        <v>67</v>
      </c>
      <c r="I87" t="s">
        <v>3077</v>
      </c>
      <c r="J87" t="s">
        <v>69</v>
      </c>
      <c r="K87" t="s">
        <v>69</v>
      </c>
      <c r="L87" t="s">
        <v>69</v>
      </c>
      <c r="M87" t="s">
        <v>3078</v>
      </c>
      <c r="N87" t="s">
        <v>69</v>
      </c>
      <c r="O87" t="s">
        <v>69</v>
      </c>
      <c r="P87" t="s">
        <v>3079</v>
      </c>
      <c r="Q87" t="s">
        <v>387</v>
      </c>
      <c r="R87" t="s">
        <v>69</v>
      </c>
      <c r="S87" t="s">
        <v>69</v>
      </c>
      <c r="T87" t="s">
        <v>8505</v>
      </c>
      <c r="U87" t="s">
        <v>8506</v>
      </c>
      <c r="V87" t="s">
        <v>69</v>
      </c>
      <c r="W87" t="s">
        <v>69</v>
      </c>
      <c r="X87" t="s">
        <v>69</v>
      </c>
      <c r="Y87" t="s">
        <v>69</v>
      </c>
      <c r="Z87" t="s">
        <v>69</v>
      </c>
      <c r="AA87" t="s">
        <v>23045</v>
      </c>
      <c r="AB87" t="s">
        <v>69</v>
      </c>
      <c r="AC87" t="s">
        <v>3080</v>
      </c>
      <c r="AD87" t="s">
        <v>23046</v>
      </c>
      <c r="AE87" t="s">
        <v>69</v>
      </c>
      <c r="AF87" t="s">
        <v>23047</v>
      </c>
      <c r="AG87" t="s">
        <v>23048</v>
      </c>
      <c r="AH87" t="s">
        <v>3081</v>
      </c>
      <c r="AI87" t="s">
        <v>3082</v>
      </c>
      <c r="AJ87" t="s">
        <v>69</v>
      </c>
      <c r="AK87" t="s">
        <v>69</v>
      </c>
      <c r="AL87" t="s">
        <v>69</v>
      </c>
      <c r="AM87" t="s">
        <v>69</v>
      </c>
      <c r="AN87">
        <v>55</v>
      </c>
      <c r="AO87">
        <v>47</v>
      </c>
      <c r="AP87">
        <v>48</v>
      </c>
      <c r="AQ87">
        <v>0</v>
      </c>
      <c r="AR87">
        <v>57</v>
      </c>
      <c r="AS87" t="s">
        <v>8586</v>
      </c>
      <c r="AT87" t="s">
        <v>8587</v>
      </c>
      <c r="AU87" t="s">
        <v>8588</v>
      </c>
      <c r="AV87" t="s">
        <v>390</v>
      </c>
      <c r="AW87" t="s">
        <v>391</v>
      </c>
      <c r="AX87" t="s">
        <v>69</v>
      </c>
      <c r="AY87" t="s">
        <v>16996</v>
      </c>
      <c r="AZ87" t="s">
        <v>16997</v>
      </c>
      <c r="BA87" t="s">
        <v>69</v>
      </c>
      <c r="BB87">
        <v>2015</v>
      </c>
      <c r="BC87">
        <v>5</v>
      </c>
      <c r="BD87">
        <v>1</v>
      </c>
      <c r="BE87" t="s">
        <v>69</v>
      </c>
      <c r="BF87" t="s">
        <v>69</v>
      </c>
      <c r="BG87" t="s">
        <v>69</v>
      </c>
      <c r="BH87" t="s">
        <v>69</v>
      </c>
      <c r="BI87">
        <v>4</v>
      </c>
      <c r="BJ87">
        <v>21</v>
      </c>
      <c r="BK87" t="s">
        <v>69</v>
      </c>
      <c r="BL87" t="s">
        <v>3083</v>
      </c>
      <c r="BM87" t="str">
        <f>HYPERLINK("http://dx.doi.org/10.1108/BEPAM-07-2013-0023","http://dx.doi.org/10.1108/BEPAM-07-2013-0023")</f>
        <v>http://dx.doi.org/10.1108/BEPAM-07-2013-0023</v>
      </c>
      <c r="BN87" t="s">
        <v>69</v>
      </c>
      <c r="BO87" t="s">
        <v>69</v>
      </c>
      <c r="BP87">
        <v>18</v>
      </c>
      <c r="BQ87" t="s">
        <v>13537</v>
      </c>
      <c r="BR87" t="s">
        <v>8573</v>
      </c>
      <c r="BS87" t="s">
        <v>8445</v>
      </c>
      <c r="BT87" t="s">
        <v>23049</v>
      </c>
      <c r="BU87" t="s">
        <v>3084</v>
      </c>
      <c r="BV87" t="s">
        <v>69</v>
      </c>
      <c r="BW87" t="s">
        <v>69</v>
      </c>
      <c r="BX87" t="s">
        <v>69</v>
      </c>
      <c r="BY87" t="s">
        <v>69</v>
      </c>
      <c r="BZ87" t="s">
        <v>8526</v>
      </c>
      <c r="CA87" t="str">
        <f>HYPERLINK("https%3A%2F%2Fwww.webofscience.com%2Fwos%2Fwoscc%2Ffull-record%2FWOS:000359444700001","View Full Record in Web of Science")</f>
        <v>View Full Record in Web of Science</v>
      </c>
    </row>
    <row r="88" spans="2:79" ht="12.5" x14ac:dyDescent="0.25">
      <c r="B88" t="s">
        <v>8495</v>
      </c>
      <c r="D88" s="22" t="s">
        <v>32931</v>
      </c>
      <c r="E88" s="7"/>
      <c r="F88" s="7"/>
      <c r="G88" s="7"/>
      <c r="H88" t="s">
        <v>67</v>
      </c>
      <c r="I88" t="s">
        <v>9488</v>
      </c>
      <c r="J88" t="s">
        <v>69</v>
      </c>
      <c r="K88" t="s">
        <v>69</v>
      </c>
      <c r="L88" t="s">
        <v>69</v>
      </c>
      <c r="M88" t="s">
        <v>9489</v>
      </c>
      <c r="N88" t="s">
        <v>69</v>
      </c>
      <c r="O88" t="s">
        <v>69</v>
      </c>
      <c r="P88" t="s">
        <v>9490</v>
      </c>
      <c r="Q88" t="s">
        <v>9491</v>
      </c>
      <c r="R88" t="s">
        <v>69</v>
      </c>
      <c r="S88" t="s">
        <v>69</v>
      </c>
      <c r="T88" t="s">
        <v>8505</v>
      </c>
      <c r="U88" t="s">
        <v>8506</v>
      </c>
      <c r="V88" t="s">
        <v>69</v>
      </c>
      <c r="W88" t="s">
        <v>69</v>
      </c>
      <c r="X88" t="s">
        <v>69</v>
      </c>
      <c r="Y88" t="s">
        <v>69</v>
      </c>
      <c r="Z88" t="s">
        <v>69</v>
      </c>
      <c r="AA88" t="s">
        <v>9492</v>
      </c>
      <c r="AB88" t="s">
        <v>9493</v>
      </c>
      <c r="AC88" t="s">
        <v>9494</v>
      </c>
      <c r="AD88" t="s">
        <v>9495</v>
      </c>
      <c r="AE88" t="s">
        <v>69</v>
      </c>
      <c r="AF88" t="s">
        <v>9496</v>
      </c>
      <c r="AG88" t="s">
        <v>9497</v>
      </c>
      <c r="AH88" t="s">
        <v>69</v>
      </c>
      <c r="AI88" t="s">
        <v>9498</v>
      </c>
      <c r="AJ88" t="s">
        <v>9499</v>
      </c>
      <c r="AK88" t="s">
        <v>9499</v>
      </c>
      <c r="AL88" t="s">
        <v>9500</v>
      </c>
      <c r="AM88" t="s">
        <v>69</v>
      </c>
      <c r="AN88">
        <v>25</v>
      </c>
      <c r="AO88">
        <v>0</v>
      </c>
      <c r="AP88">
        <v>0</v>
      </c>
      <c r="AQ88">
        <v>0</v>
      </c>
      <c r="AR88">
        <v>0</v>
      </c>
      <c r="AS88" t="s">
        <v>8846</v>
      </c>
      <c r="AT88" t="s">
        <v>8847</v>
      </c>
      <c r="AU88" t="s">
        <v>8848</v>
      </c>
      <c r="AV88" t="s">
        <v>9501</v>
      </c>
      <c r="AW88" t="s">
        <v>9502</v>
      </c>
      <c r="AX88" t="s">
        <v>69</v>
      </c>
      <c r="AY88" t="s">
        <v>9503</v>
      </c>
      <c r="AZ88" t="s">
        <v>9504</v>
      </c>
      <c r="BA88" t="s">
        <v>586</v>
      </c>
      <c r="BB88">
        <v>2022</v>
      </c>
      <c r="BC88">
        <v>30</v>
      </c>
      <c r="BD88">
        <v>4</v>
      </c>
      <c r="BE88" t="s">
        <v>69</v>
      </c>
      <c r="BF88" t="s">
        <v>69</v>
      </c>
      <c r="BG88" t="s">
        <v>69</v>
      </c>
      <c r="BH88" t="s">
        <v>69</v>
      </c>
      <c r="BI88">
        <v>1053</v>
      </c>
      <c r="BJ88">
        <v>1060</v>
      </c>
      <c r="BK88" t="s">
        <v>69</v>
      </c>
      <c r="BL88" t="s">
        <v>9505</v>
      </c>
      <c r="BM88" t="str">
        <f>HYPERLINK("http://dx.doi.org/10.1111/jonm.13602","http://dx.doi.org/10.1111/jonm.13602")</f>
        <v>http://dx.doi.org/10.1111/jonm.13602</v>
      </c>
      <c r="BN88" t="s">
        <v>69</v>
      </c>
      <c r="BO88" t="s">
        <v>9485</v>
      </c>
      <c r="BP88">
        <v>8</v>
      </c>
      <c r="BQ88" t="s">
        <v>9506</v>
      </c>
      <c r="BR88" t="s">
        <v>8523</v>
      </c>
      <c r="BS88" t="s">
        <v>9507</v>
      </c>
      <c r="BT88" t="s">
        <v>9508</v>
      </c>
      <c r="BU88" t="s">
        <v>9509</v>
      </c>
      <c r="BV88">
        <v>35307900</v>
      </c>
      <c r="BW88" t="s">
        <v>8622</v>
      </c>
      <c r="BX88" t="s">
        <v>69</v>
      </c>
      <c r="BY88" t="s">
        <v>69</v>
      </c>
      <c r="BZ88" t="s">
        <v>8526</v>
      </c>
      <c r="CA88" t="str">
        <f>HYPERLINK("https%3A%2F%2Fwww.webofscience.com%2Fwos%2Fwoscc%2Ffull-record%2FWOS:000773267100001","View Full Record in Web of Science")</f>
        <v>View Full Record in Web of Science</v>
      </c>
    </row>
    <row r="89" spans="2:79" ht="12.5" x14ac:dyDescent="0.25">
      <c r="B89" t="s">
        <v>8495</v>
      </c>
      <c r="D89" s="22" t="s">
        <v>32931</v>
      </c>
      <c r="E89" s="7"/>
      <c r="F89" s="7"/>
      <c r="G89" s="7"/>
      <c r="H89" t="s">
        <v>67</v>
      </c>
      <c r="I89" t="s">
        <v>17375</v>
      </c>
      <c r="J89" t="s">
        <v>69</v>
      </c>
      <c r="K89" t="s">
        <v>69</v>
      </c>
      <c r="L89" t="s">
        <v>69</v>
      </c>
      <c r="M89" t="s">
        <v>17376</v>
      </c>
      <c r="N89" t="s">
        <v>69</v>
      </c>
      <c r="O89" t="s">
        <v>69</v>
      </c>
      <c r="P89" t="s">
        <v>17377</v>
      </c>
      <c r="Q89" t="s">
        <v>17378</v>
      </c>
      <c r="R89" t="s">
        <v>69</v>
      </c>
      <c r="S89" t="s">
        <v>69</v>
      </c>
      <c r="T89" t="s">
        <v>8505</v>
      </c>
      <c r="U89" t="s">
        <v>8506</v>
      </c>
      <c r="V89" t="s">
        <v>69</v>
      </c>
      <c r="W89" t="s">
        <v>69</v>
      </c>
      <c r="X89" t="s">
        <v>69</v>
      </c>
      <c r="Y89" t="s">
        <v>69</v>
      </c>
      <c r="Z89" t="s">
        <v>69</v>
      </c>
      <c r="AA89" t="s">
        <v>17379</v>
      </c>
      <c r="AB89" t="s">
        <v>17380</v>
      </c>
      <c r="AC89" t="s">
        <v>17381</v>
      </c>
      <c r="AD89" t="s">
        <v>17382</v>
      </c>
      <c r="AE89" t="s">
        <v>69</v>
      </c>
      <c r="AF89" t="s">
        <v>17383</v>
      </c>
      <c r="AG89" t="s">
        <v>17384</v>
      </c>
      <c r="AH89" t="s">
        <v>69</v>
      </c>
      <c r="AI89" t="s">
        <v>69</v>
      </c>
      <c r="AJ89" t="s">
        <v>69</v>
      </c>
      <c r="AK89" t="s">
        <v>69</v>
      </c>
      <c r="AL89" t="s">
        <v>69</v>
      </c>
      <c r="AM89" t="s">
        <v>69</v>
      </c>
      <c r="AN89">
        <v>40</v>
      </c>
      <c r="AO89">
        <v>2</v>
      </c>
      <c r="AP89">
        <v>2</v>
      </c>
      <c r="AQ89">
        <v>0</v>
      </c>
      <c r="AR89">
        <v>1</v>
      </c>
      <c r="AS89" t="s">
        <v>9554</v>
      </c>
      <c r="AT89" t="s">
        <v>9555</v>
      </c>
      <c r="AU89" t="s">
        <v>9556</v>
      </c>
      <c r="AV89" t="s">
        <v>17385</v>
      </c>
      <c r="AW89" t="s">
        <v>17386</v>
      </c>
      <c r="AX89" t="s">
        <v>69</v>
      </c>
      <c r="AY89" t="s">
        <v>17387</v>
      </c>
      <c r="AZ89" t="s">
        <v>17388</v>
      </c>
      <c r="BA89" t="s">
        <v>246</v>
      </c>
      <c r="BB89">
        <v>2019</v>
      </c>
      <c r="BC89">
        <v>4</v>
      </c>
      <c r="BD89">
        <v>2</v>
      </c>
      <c r="BE89" t="s">
        <v>69</v>
      </c>
      <c r="BF89" t="s">
        <v>69</v>
      </c>
      <c r="BG89" t="s">
        <v>69</v>
      </c>
      <c r="BH89" t="s">
        <v>69</v>
      </c>
      <c r="BI89">
        <v>187</v>
      </c>
      <c r="BJ89">
        <v>195</v>
      </c>
      <c r="BK89" t="s">
        <v>69</v>
      </c>
      <c r="BL89" t="s">
        <v>17389</v>
      </c>
      <c r="BM89" t="str">
        <f>HYPERLINK("http://dx.doi.org/10.1177/2380084418815458","http://dx.doi.org/10.1177/2380084418815458")</f>
        <v>http://dx.doi.org/10.1177/2380084418815458</v>
      </c>
      <c r="BN89" t="s">
        <v>69</v>
      </c>
      <c r="BO89" t="s">
        <v>69</v>
      </c>
      <c r="BP89">
        <v>9</v>
      </c>
      <c r="BQ89" t="s">
        <v>17390</v>
      </c>
      <c r="BR89" t="s">
        <v>8573</v>
      </c>
      <c r="BS89" t="s">
        <v>17390</v>
      </c>
      <c r="BT89" t="s">
        <v>17391</v>
      </c>
      <c r="BU89" t="s">
        <v>17392</v>
      </c>
      <c r="BV89">
        <v>30931706</v>
      </c>
      <c r="BW89" t="s">
        <v>69</v>
      </c>
      <c r="BX89" t="s">
        <v>69</v>
      </c>
      <c r="BY89" t="s">
        <v>69</v>
      </c>
      <c r="BZ89" t="s">
        <v>8526</v>
      </c>
      <c r="CA89" t="str">
        <f>HYPERLINK("https%3A%2F%2Fwww.webofscience.com%2Fwos%2Fwoscc%2Ffull-record%2FWOS:000489598100011","View Full Record in Web of Science")</f>
        <v>View Full Record in Web of Science</v>
      </c>
    </row>
    <row r="90" spans="2:79" ht="12.5" x14ac:dyDescent="0.25">
      <c r="B90" t="s">
        <v>8495</v>
      </c>
      <c r="D90" s="7" t="s">
        <v>32933</v>
      </c>
      <c r="E90" s="7"/>
      <c r="F90" s="7"/>
      <c r="G90" s="7"/>
      <c r="H90" t="s">
        <v>67</v>
      </c>
      <c r="I90" t="s">
        <v>4095</v>
      </c>
      <c r="J90" t="s">
        <v>69</v>
      </c>
      <c r="K90" t="s">
        <v>69</v>
      </c>
      <c r="L90" t="s">
        <v>69</v>
      </c>
      <c r="M90" t="s">
        <v>4095</v>
      </c>
      <c r="N90" t="s">
        <v>69</v>
      </c>
      <c r="O90" t="s">
        <v>69</v>
      </c>
      <c r="P90" t="s">
        <v>4096</v>
      </c>
      <c r="Q90" t="s">
        <v>4097</v>
      </c>
      <c r="R90" t="s">
        <v>69</v>
      </c>
      <c r="S90" t="s">
        <v>69</v>
      </c>
      <c r="T90" t="s">
        <v>8505</v>
      </c>
      <c r="U90" t="s">
        <v>8506</v>
      </c>
      <c r="V90" t="s">
        <v>69</v>
      </c>
      <c r="W90" t="s">
        <v>69</v>
      </c>
      <c r="X90" t="s">
        <v>69</v>
      </c>
      <c r="Y90" t="s">
        <v>69</v>
      </c>
      <c r="Z90" t="s">
        <v>69</v>
      </c>
      <c r="AA90" t="s">
        <v>31615</v>
      </c>
      <c r="AB90" t="s">
        <v>31616</v>
      </c>
      <c r="AC90" t="s">
        <v>4098</v>
      </c>
      <c r="AD90" t="s">
        <v>31617</v>
      </c>
      <c r="AE90" t="s">
        <v>69</v>
      </c>
      <c r="AF90" t="s">
        <v>31618</v>
      </c>
      <c r="AG90" t="s">
        <v>69</v>
      </c>
      <c r="AH90" t="s">
        <v>69</v>
      </c>
      <c r="AI90" t="s">
        <v>69</v>
      </c>
      <c r="AJ90" t="s">
        <v>69</v>
      </c>
      <c r="AK90" t="s">
        <v>69</v>
      </c>
      <c r="AL90" t="s">
        <v>69</v>
      </c>
      <c r="AM90" t="s">
        <v>69</v>
      </c>
      <c r="AN90">
        <v>23</v>
      </c>
      <c r="AO90">
        <v>15</v>
      </c>
      <c r="AP90">
        <v>15</v>
      </c>
      <c r="AQ90">
        <v>1</v>
      </c>
      <c r="AR90">
        <v>23</v>
      </c>
      <c r="AS90" t="s">
        <v>31619</v>
      </c>
      <c r="AT90" t="s">
        <v>31620</v>
      </c>
      <c r="AU90" t="s">
        <v>31621</v>
      </c>
      <c r="AV90" t="s">
        <v>4099</v>
      </c>
      <c r="AW90" t="s">
        <v>69</v>
      </c>
      <c r="AX90" t="s">
        <v>69</v>
      </c>
      <c r="AY90" t="s">
        <v>19769</v>
      </c>
      <c r="AZ90" t="s">
        <v>19770</v>
      </c>
      <c r="BA90" t="s">
        <v>94</v>
      </c>
      <c r="BB90">
        <v>2001</v>
      </c>
      <c r="BC90">
        <v>17</v>
      </c>
      <c r="BD90">
        <v>1</v>
      </c>
      <c r="BE90" t="s">
        <v>69</v>
      </c>
      <c r="BF90" t="s">
        <v>69</v>
      </c>
      <c r="BG90" t="s">
        <v>69</v>
      </c>
      <c r="BH90" t="s">
        <v>69</v>
      </c>
      <c r="BI90">
        <v>48</v>
      </c>
      <c r="BJ90">
        <v>56</v>
      </c>
      <c r="BK90" t="s">
        <v>69</v>
      </c>
      <c r="BL90" t="s">
        <v>69</v>
      </c>
      <c r="BM90" t="s">
        <v>69</v>
      </c>
      <c r="BN90" t="s">
        <v>69</v>
      </c>
      <c r="BO90" t="s">
        <v>69</v>
      </c>
      <c r="BP90">
        <v>9</v>
      </c>
      <c r="BQ90" t="s">
        <v>17154</v>
      </c>
      <c r="BR90" t="s">
        <v>8548</v>
      </c>
      <c r="BS90" t="s">
        <v>8450</v>
      </c>
      <c r="BT90" t="s">
        <v>31622</v>
      </c>
      <c r="BU90" t="s">
        <v>4100</v>
      </c>
      <c r="BV90" t="s">
        <v>69</v>
      </c>
      <c r="BW90" t="s">
        <v>69</v>
      </c>
      <c r="BX90" t="s">
        <v>69</v>
      </c>
      <c r="BY90" t="s">
        <v>69</v>
      </c>
      <c r="BZ90" t="s">
        <v>8526</v>
      </c>
      <c r="CA90" t="str">
        <f>HYPERLINK("https%3A%2F%2Fwww.webofscience.com%2Fwos%2Fwoscc%2Ffull-record%2FWOS:000168473200007","View Full Record in Web of Science")</f>
        <v>View Full Record in Web of Science</v>
      </c>
    </row>
    <row r="91" spans="2:79" ht="12.5" x14ac:dyDescent="0.25">
      <c r="B91" t="s">
        <v>8495</v>
      </c>
      <c r="D91" s="7" t="s">
        <v>32933</v>
      </c>
      <c r="E91" s="7"/>
      <c r="F91" s="7"/>
      <c r="G91" s="7"/>
      <c r="H91" t="s">
        <v>67</v>
      </c>
      <c r="I91" t="s">
        <v>2129</v>
      </c>
      <c r="J91" t="s">
        <v>69</v>
      </c>
      <c r="K91" t="s">
        <v>69</v>
      </c>
      <c r="L91" t="s">
        <v>69</v>
      </c>
      <c r="M91" t="s">
        <v>2130</v>
      </c>
      <c r="N91" t="s">
        <v>69</v>
      </c>
      <c r="O91" t="s">
        <v>69</v>
      </c>
      <c r="P91" t="s">
        <v>2131</v>
      </c>
      <c r="Q91" t="s">
        <v>352</v>
      </c>
      <c r="R91" t="s">
        <v>69</v>
      </c>
      <c r="S91" t="s">
        <v>69</v>
      </c>
      <c r="T91" t="s">
        <v>8505</v>
      </c>
      <c r="U91" t="s">
        <v>8442</v>
      </c>
      <c r="V91" t="s">
        <v>69</v>
      </c>
      <c r="W91" t="s">
        <v>69</v>
      </c>
      <c r="X91" t="s">
        <v>69</v>
      </c>
      <c r="Y91" t="s">
        <v>69</v>
      </c>
      <c r="Z91" t="s">
        <v>69</v>
      </c>
      <c r="AA91" t="s">
        <v>16657</v>
      </c>
      <c r="AB91" t="s">
        <v>16658</v>
      </c>
      <c r="AC91" t="s">
        <v>2132</v>
      </c>
      <c r="AD91" t="s">
        <v>16659</v>
      </c>
      <c r="AE91" t="s">
        <v>69</v>
      </c>
      <c r="AF91" t="s">
        <v>16660</v>
      </c>
      <c r="AG91" t="s">
        <v>16661</v>
      </c>
      <c r="AH91" t="s">
        <v>2133</v>
      </c>
      <c r="AI91" t="s">
        <v>2134</v>
      </c>
      <c r="AJ91" t="s">
        <v>16662</v>
      </c>
      <c r="AK91" t="s">
        <v>69</v>
      </c>
      <c r="AL91" t="s">
        <v>16663</v>
      </c>
      <c r="AM91" t="s">
        <v>69</v>
      </c>
      <c r="AN91">
        <v>146</v>
      </c>
      <c r="AO91">
        <v>23</v>
      </c>
      <c r="AP91">
        <v>23</v>
      </c>
      <c r="AQ91">
        <v>38</v>
      </c>
      <c r="AR91">
        <v>128</v>
      </c>
      <c r="AS91" t="s">
        <v>8924</v>
      </c>
      <c r="AT91" t="s">
        <v>8925</v>
      </c>
      <c r="AU91" t="s">
        <v>8926</v>
      </c>
      <c r="AV91" t="s">
        <v>69</v>
      </c>
      <c r="AW91" t="s">
        <v>354</v>
      </c>
      <c r="AX91" t="s">
        <v>69</v>
      </c>
      <c r="AY91" t="s">
        <v>8958</v>
      </c>
      <c r="AZ91" t="s">
        <v>8434</v>
      </c>
      <c r="BA91" t="s">
        <v>904</v>
      </c>
      <c r="BB91">
        <v>2019</v>
      </c>
      <c r="BC91">
        <v>11</v>
      </c>
      <c r="BD91">
        <v>19</v>
      </c>
      <c r="BE91" t="s">
        <v>69</v>
      </c>
      <c r="BF91" t="s">
        <v>69</v>
      </c>
      <c r="BG91" t="s">
        <v>69</v>
      </c>
      <c r="BH91" t="s">
        <v>69</v>
      </c>
      <c r="BI91" t="s">
        <v>69</v>
      </c>
      <c r="BJ91" t="s">
        <v>69</v>
      </c>
      <c r="BK91">
        <v>5385</v>
      </c>
      <c r="BL91" t="s">
        <v>2135</v>
      </c>
      <c r="BM91" t="str">
        <f>HYPERLINK("http://dx.doi.org/10.3390/su11195385","http://dx.doi.org/10.3390/su11195385")</f>
        <v>http://dx.doi.org/10.3390/su11195385</v>
      </c>
      <c r="BN91" t="s">
        <v>69</v>
      </c>
      <c r="BO91" t="s">
        <v>69</v>
      </c>
      <c r="BP91">
        <v>29</v>
      </c>
      <c r="BQ91" t="s">
        <v>8960</v>
      </c>
      <c r="BR91" t="s">
        <v>8523</v>
      </c>
      <c r="BS91" t="s">
        <v>8961</v>
      </c>
      <c r="BT91" t="s">
        <v>16656</v>
      </c>
      <c r="BU91" t="s">
        <v>2136</v>
      </c>
      <c r="BV91" t="s">
        <v>69</v>
      </c>
      <c r="BW91" t="s">
        <v>12220</v>
      </c>
      <c r="BX91" t="s">
        <v>69</v>
      </c>
      <c r="BY91" t="s">
        <v>69</v>
      </c>
      <c r="BZ91" t="s">
        <v>8526</v>
      </c>
      <c r="CA91" t="str">
        <f>HYPERLINK("https%3A%2F%2Fwww.webofscience.com%2Fwos%2Fwoscc%2Ffull-record%2FWOS:000493525500244","View Full Record in Web of Science")</f>
        <v>View Full Record in Web of Science</v>
      </c>
    </row>
    <row r="92" spans="2:79" x14ac:dyDescent="0.3">
      <c r="B92" t="s">
        <v>8495</v>
      </c>
      <c r="D92" s="12" t="s">
        <v>32939</v>
      </c>
      <c r="H92" t="s">
        <v>67</v>
      </c>
      <c r="I92" t="s">
        <v>6722</v>
      </c>
      <c r="J92" t="s">
        <v>69</v>
      </c>
      <c r="K92" t="s">
        <v>69</v>
      </c>
      <c r="L92" t="s">
        <v>69</v>
      </c>
      <c r="M92" s="3" t="s">
        <v>6723</v>
      </c>
      <c r="N92" t="s">
        <v>69</v>
      </c>
      <c r="O92" t="s">
        <v>69</v>
      </c>
      <c r="P92" s="2" t="s">
        <v>6724</v>
      </c>
      <c r="Q92" t="s">
        <v>6725</v>
      </c>
      <c r="R92" t="s">
        <v>69</v>
      </c>
      <c r="S92" t="s">
        <v>69</v>
      </c>
      <c r="T92" t="s">
        <v>8505</v>
      </c>
      <c r="U92" t="s">
        <v>8506</v>
      </c>
      <c r="V92" t="s">
        <v>69</v>
      </c>
      <c r="W92" t="s">
        <v>69</v>
      </c>
      <c r="X92" t="s">
        <v>69</v>
      </c>
      <c r="Y92" t="s">
        <v>69</v>
      </c>
      <c r="Z92" t="s">
        <v>69</v>
      </c>
      <c r="AA92" t="s">
        <v>25312</v>
      </c>
      <c r="AB92" t="s">
        <v>25313</v>
      </c>
      <c r="AC92" t="s">
        <v>6726</v>
      </c>
      <c r="AD92" t="s">
        <v>25314</v>
      </c>
      <c r="AE92" t="s">
        <v>69</v>
      </c>
      <c r="AF92" t="s">
        <v>25315</v>
      </c>
      <c r="AG92" t="s">
        <v>25316</v>
      </c>
      <c r="AH92" t="s">
        <v>25317</v>
      </c>
      <c r="AI92" t="s">
        <v>25318</v>
      </c>
      <c r="AJ92" t="s">
        <v>69</v>
      </c>
      <c r="AK92" t="s">
        <v>69</v>
      </c>
      <c r="AL92" t="s">
        <v>69</v>
      </c>
      <c r="AM92" t="s">
        <v>69</v>
      </c>
      <c r="AN92">
        <v>37</v>
      </c>
      <c r="AO92">
        <v>25</v>
      </c>
      <c r="AP92">
        <v>26</v>
      </c>
      <c r="AQ92">
        <v>1</v>
      </c>
      <c r="AR92">
        <v>35</v>
      </c>
      <c r="AS92" t="s">
        <v>8586</v>
      </c>
      <c r="AT92" t="s">
        <v>8587</v>
      </c>
      <c r="AU92" t="s">
        <v>8588</v>
      </c>
      <c r="AV92" t="s">
        <v>6727</v>
      </c>
      <c r="AW92" t="s">
        <v>6728</v>
      </c>
      <c r="AX92" t="s">
        <v>69</v>
      </c>
      <c r="AY92" t="s">
        <v>25319</v>
      </c>
      <c r="AZ92" t="s">
        <v>25320</v>
      </c>
      <c r="BA92" t="s">
        <v>69</v>
      </c>
      <c r="BB92">
        <v>2013</v>
      </c>
      <c r="BC92">
        <v>51</v>
      </c>
      <c r="BD92">
        <v>3</v>
      </c>
      <c r="BE92" t="s">
        <v>69</v>
      </c>
      <c r="BF92" t="s">
        <v>69</v>
      </c>
      <c r="BG92" t="s">
        <v>69</v>
      </c>
      <c r="BH92" t="s">
        <v>69</v>
      </c>
      <c r="BI92">
        <v>566</v>
      </c>
      <c r="BJ92">
        <v>593</v>
      </c>
      <c r="BK92" t="s">
        <v>69</v>
      </c>
      <c r="BL92" t="s">
        <v>6729</v>
      </c>
      <c r="BM92" t="str">
        <f>HYPERLINK("http://dx.doi.org/10.1108/00251741311309661","http://dx.doi.org/10.1108/00251741311309661")</f>
        <v>http://dx.doi.org/10.1108/00251741311309661</v>
      </c>
      <c r="BN92" t="s">
        <v>69</v>
      </c>
      <c r="BO92" t="s">
        <v>69</v>
      </c>
      <c r="BP92">
        <v>28</v>
      </c>
      <c r="BQ92" t="s">
        <v>8791</v>
      </c>
      <c r="BR92" t="s">
        <v>8661</v>
      </c>
      <c r="BS92" t="s">
        <v>8594</v>
      </c>
      <c r="BT92" t="s">
        <v>25321</v>
      </c>
      <c r="BU92" t="s">
        <v>6730</v>
      </c>
      <c r="BV92" t="s">
        <v>69</v>
      </c>
      <c r="BW92" t="s">
        <v>69</v>
      </c>
      <c r="BX92" t="s">
        <v>69</v>
      </c>
      <c r="BY92" t="s">
        <v>69</v>
      </c>
      <c r="BZ92" t="s">
        <v>8526</v>
      </c>
      <c r="CA92" t="str">
        <f>HYPERLINK("https%3A%2F%2Fwww.webofscience.com%2Fwos%2Fwoscc%2Ffull-record%2FWOS:000317797900007","View Full Record in Web of Science")</f>
        <v>View Full Record in Web of Science</v>
      </c>
    </row>
    <row r="93" spans="2:79" x14ac:dyDescent="0.3">
      <c r="B93" t="s">
        <v>8495</v>
      </c>
      <c r="D93" s="12" t="s">
        <v>33052</v>
      </c>
      <c r="H93" t="s">
        <v>67</v>
      </c>
      <c r="I93" t="s">
        <v>329</v>
      </c>
      <c r="J93" t="s">
        <v>69</v>
      </c>
      <c r="K93" t="s">
        <v>69</v>
      </c>
      <c r="L93" t="s">
        <v>69</v>
      </c>
      <c r="M93" t="s">
        <v>330</v>
      </c>
      <c r="N93" t="s">
        <v>69</v>
      </c>
      <c r="O93" t="s">
        <v>69</v>
      </c>
      <c r="P93" s="2" t="s">
        <v>331</v>
      </c>
      <c r="Q93" t="s">
        <v>332</v>
      </c>
      <c r="R93" t="s">
        <v>69</v>
      </c>
      <c r="S93" t="s">
        <v>69</v>
      </c>
      <c r="T93" t="s">
        <v>8505</v>
      </c>
      <c r="U93" t="s">
        <v>8506</v>
      </c>
      <c r="V93" t="s">
        <v>69</v>
      </c>
      <c r="W93" t="s">
        <v>69</v>
      </c>
      <c r="X93" t="s">
        <v>69</v>
      </c>
      <c r="Y93" t="s">
        <v>69</v>
      </c>
      <c r="Z93" t="s">
        <v>69</v>
      </c>
      <c r="AA93" t="s">
        <v>16279</v>
      </c>
      <c r="AB93" t="s">
        <v>16227</v>
      </c>
      <c r="AC93" t="s">
        <v>333</v>
      </c>
      <c r="AD93" t="s">
        <v>16280</v>
      </c>
      <c r="AE93" t="s">
        <v>69</v>
      </c>
      <c r="AF93" t="s">
        <v>16281</v>
      </c>
      <c r="AG93" t="s">
        <v>16282</v>
      </c>
      <c r="AH93" t="s">
        <v>69</v>
      </c>
      <c r="AI93" t="s">
        <v>69</v>
      </c>
      <c r="AJ93" t="s">
        <v>16283</v>
      </c>
      <c r="AK93" t="s">
        <v>16283</v>
      </c>
      <c r="AL93" t="s">
        <v>16284</v>
      </c>
      <c r="AM93" t="s">
        <v>69</v>
      </c>
      <c r="AN93">
        <v>42</v>
      </c>
      <c r="AO93">
        <v>6</v>
      </c>
      <c r="AP93">
        <v>6</v>
      </c>
      <c r="AQ93">
        <v>4</v>
      </c>
      <c r="AR93">
        <v>9</v>
      </c>
      <c r="AS93" t="s">
        <v>8586</v>
      </c>
      <c r="AT93" t="s">
        <v>8587</v>
      </c>
      <c r="AU93" t="s">
        <v>8588</v>
      </c>
      <c r="AV93" t="s">
        <v>334</v>
      </c>
      <c r="AW93" t="s">
        <v>335</v>
      </c>
      <c r="AX93" t="s">
        <v>69</v>
      </c>
      <c r="AY93" t="s">
        <v>332</v>
      </c>
      <c r="AZ93" t="s">
        <v>16285</v>
      </c>
      <c r="BA93" t="s">
        <v>69</v>
      </c>
      <c r="BB93">
        <v>2020</v>
      </c>
      <c r="BC93">
        <v>38</v>
      </c>
      <c r="BD93" t="s">
        <v>336</v>
      </c>
      <c r="BE93" t="s">
        <v>69</v>
      </c>
      <c r="BF93" t="s">
        <v>69</v>
      </c>
      <c r="BG93" t="s">
        <v>69</v>
      </c>
      <c r="BH93" t="s">
        <v>69</v>
      </c>
      <c r="BI93">
        <v>98</v>
      </c>
      <c r="BJ93">
        <v>113</v>
      </c>
      <c r="BK93" t="s">
        <v>69</v>
      </c>
      <c r="BL93" t="s">
        <v>337</v>
      </c>
      <c r="BM93" t="str">
        <f>HYPERLINK("http://dx.doi.org/10.1108/F-12-2018-0147","http://dx.doi.org/10.1108/F-12-2018-0147")</f>
        <v>http://dx.doi.org/10.1108/F-12-2018-0147</v>
      </c>
      <c r="BN93" t="s">
        <v>69</v>
      </c>
      <c r="BO93" t="s">
        <v>69</v>
      </c>
      <c r="BP93">
        <v>16</v>
      </c>
      <c r="BQ93" t="s">
        <v>9410</v>
      </c>
      <c r="BR93" t="s">
        <v>8573</v>
      </c>
      <c r="BS93" t="s">
        <v>8594</v>
      </c>
      <c r="BT93" t="s">
        <v>16286</v>
      </c>
      <c r="BU93" t="s">
        <v>338</v>
      </c>
      <c r="BV93" t="s">
        <v>69</v>
      </c>
      <c r="BW93" t="s">
        <v>69</v>
      </c>
      <c r="BX93" t="s">
        <v>69</v>
      </c>
      <c r="BY93" t="s">
        <v>69</v>
      </c>
      <c r="BZ93" t="s">
        <v>8526</v>
      </c>
      <c r="CA93" t="str">
        <f>HYPERLINK("https%3A%2F%2Fwww.webofscience.com%2Fwos%2Fwoscc%2Ffull-record%2FWOS:000507569100001","View Full Record in Web of Science")</f>
        <v>View Full Record in Web of Science</v>
      </c>
    </row>
    <row r="94" spans="2:79" ht="12.5" x14ac:dyDescent="0.25">
      <c r="B94" t="s">
        <v>8495</v>
      </c>
      <c r="D94" s="22" t="s">
        <v>32931</v>
      </c>
      <c r="E94" s="7"/>
      <c r="F94" s="7"/>
      <c r="G94" s="7"/>
      <c r="H94" t="s">
        <v>67</v>
      </c>
      <c r="I94" t="s">
        <v>8700</v>
      </c>
      <c r="J94" t="s">
        <v>69</v>
      </c>
      <c r="K94" t="s">
        <v>69</v>
      </c>
      <c r="L94" t="s">
        <v>69</v>
      </c>
      <c r="M94" t="s">
        <v>8701</v>
      </c>
      <c r="N94" t="s">
        <v>69</v>
      </c>
      <c r="O94" t="s">
        <v>69</v>
      </c>
      <c r="P94" t="s">
        <v>8702</v>
      </c>
      <c r="Q94" t="s">
        <v>632</v>
      </c>
      <c r="R94" t="s">
        <v>69</v>
      </c>
      <c r="S94" t="s">
        <v>69</v>
      </c>
      <c r="T94" t="s">
        <v>8505</v>
      </c>
      <c r="U94" t="s">
        <v>8442</v>
      </c>
      <c r="V94" t="s">
        <v>69</v>
      </c>
      <c r="W94" t="s">
        <v>69</v>
      </c>
      <c r="X94" t="s">
        <v>69</v>
      </c>
      <c r="Y94" t="s">
        <v>69</v>
      </c>
      <c r="Z94" t="s">
        <v>69</v>
      </c>
      <c r="AA94" t="s">
        <v>8703</v>
      </c>
      <c r="AB94" t="s">
        <v>8704</v>
      </c>
      <c r="AC94" t="s">
        <v>8705</v>
      </c>
      <c r="AD94" t="s">
        <v>8706</v>
      </c>
      <c r="AE94" t="s">
        <v>69</v>
      </c>
      <c r="AF94" t="s">
        <v>8707</v>
      </c>
      <c r="AG94" t="s">
        <v>8708</v>
      </c>
      <c r="AH94" t="s">
        <v>8709</v>
      </c>
      <c r="AI94" t="s">
        <v>8710</v>
      </c>
      <c r="AJ94" t="s">
        <v>8711</v>
      </c>
      <c r="AK94" t="s">
        <v>8712</v>
      </c>
      <c r="AL94" t="s">
        <v>8713</v>
      </c>
      <c r="AM94" t="s">
        <v>69</v>
      </c>
      <c r="AN94">
        <v>94</v>
      </c>
      <c r="AO94">
        <v>0</v>
      </c>
      <c r="AP94">
        <v>0</v>
      </c>
      <c r="AQ94">
        <v>12</v>
      </c>
      <c r="AR94">
        <v>12</v>
      </c>
      <c r="AS94" t="s">
        <v>8516</v>
      </c>
      <c r="AT94" t="s">
        <v>8517</v>
      </c>
      <c r="AU94" t="s">
        <v>8518</v>
      </c>
      <c r="AV94" t="s">
        <v>634</v>
      </c>
      <c r="AW94" t="s">
        <v>635</v>
      </c>
      <c r="AX94" t="s">
        <v>69</v>
      </c>
      <c r="AY94" t="s">
        <v>8714</v>
      </c>
      <c r="AZ94" t="s">
        <v>8715</v>
      </c>
      <c r="BA94" t="s">
        <v>2216</v>
      </c>
      <c r="BB94">
        <v>2022</v>
      </c>
      <c r="BC94">
        <v>828</v>
      </c>
      <c r="BD94" t="s">
        <v>69</v>
      </c>
      <c r="BE94" t="s">
        <v>69</v>
      </c>
      <c r="BF94" t="s">
        <v>69</v>
      </c>
      <c r="BG94" t="s">
        <v>69</v>
      </c>
      <c r="BH94" t="s">
        <v>69</v>
      </c>
      <c r="BI94" t="s">
        <v>69</v>
      </c>
      <c r="BJ94" t="s">
        <v>69</v>
      </c>
      <c r="BK94">
        <v>154523</v>
      </c>
      <c r="BL94" t="s">
        <v>8716</v>
      </c>
      <c r="BM94" t="str">
        <f>HYPERLINK("http://dx.doi.org/10.1016/j.scitotenv.2022.154523","http://dx.doi.org/10.1016/j.scitotenv.2022.154523")</f>
        <v>http://dx.doi.org/10.1016/j.scitotenv.2022.154523</v>
      </c>
      <c r="BN94" t="s">
        <v>69</v>
      </c>
      <c r="BO94" t="s">
        <v>69</v>
      </c>
      <c r="BP94">
        <v>12</v>
      </c>
      <c r="BQ94" t="s">
        <v>8717</v>
      </c>
      <c r="BR94" t="s">
        <v>8523</v>
      </c>
      <c r="BS94" t="s">
        <v>8662</v>
      </c>
      <c r="BT94" t="s">
        <v>8718</v>
      </c>
      <c r="BU94" t="s">
        <v>8719</v>
      </c>
      <c r="BV94">
        <v>35292319</v>
      </c>
      <c r="BW94" t="s">
        <v>69</v>
      </c>
      <c r="BX94" t="s">
        <v>69</v>
      </c>
      <c r="BY94" t="s">
        <v>69</v>
      </c>
      <c r="BZ94" t="s">
        <v>8526</v>
      </c>
      <c r="CA94" t="str">
        <f>HYPERLINK("https%3A%2F%2Fwww.webofscience.com%2Fwos%2Fwoscc%2Ffull-record%2FWOS:000790382800014","View Full Record in Web of Science")</f>
        <v>View Full Record in Web of Science</v>
      </c>
    </row>
    <row r="95" spans="2:79" ht="12.5" x14ac:dyDescent="0.25">
      <c r="B95" t="s">
        <v>8495</v>
      </c>
      <c r="D95" s="7" t="s">
        <v>32933</v>
      </c>
      <c r="E95" s="7"/>
      <c r="F95" s="7"/>
      <c r="G95" s="7"/>
      <c r="H95" t="s">
        <v>67</v>
      </c>
      <c r="I95" t="s">
        <v>7109</v>
      </c>
      <c r="J95" t="s">
        <v>69</v>
      </c>
      <c r="K95" t="s">
        <v>69</v>
      </c>
      <c r="L95" t="s">
        <v>69</v>
      </c>
      <c r="M95" t="s">
        <v>7110</v>
      </c>
      <c r="N95" t="s">
        <v>69</v>
      </c>
      <c r="O95" t="s">
        <v>69</v>
      </c>
      <c r="P95" t="s">
        <v>7111</v>
      </c>
      <c r="Q95" t="s">
        <v>436</v>
      </c>
      <c r="R95" t="s">
        <v>69</v>
      </c>
      <c r="S95" t="s">
        <v>69</v>
      </c>
      <c r="T95" t="s">
        <v>8505</v>
      </c>
      <c r="U95" t="s">
        <v>8442</v>
      </c>
      <c r="V95" t="s">
        <v>69</v>
      </c>
      <c r="W95" t="s">
        <v>69</v>
      </c>
      <c r="X95" t="s">
        <v>69</v>
      </c>
      <c r="Y95" t="s">
        <v>69</v>
      </c>
      <c r="Z95" t="s">
        <v>69</v>
      </c>
      <c r="AA95" t="s">
        <v>17581</v>
      </c>
      <c r="AB95" t="s">
        <v>17582</v>
      </c>
      <c r="AC95" t="s">
        <v>7112</v>
      </c>
      <c r="AD95" t="s">
        <v>17583</v>
      </c>
      <c r="AE95" t="s">
        <v>69</v>
      </c>
      <c r="AF95" t="s">
        <v>17584</v>
      </c>
      <c r="AG95" t="s">
        <v>17585</v>
      </c>
      <c r="AH95" t="s">
        <v>7113</v>
      </c>
      <c r="AI95" t="s">
        <v>17586</v>
      </c>
      <c r="AJ95" t="s">
        <v>69</v>
      </c>
      <c r="AK95" t="s">
        <v>69</v>
      </c>
      <c r="AL95" t="s">
        <v>69</v>
      </c>
      <c r="AM95" t="s">
        <v>69</v>
      </c>
      <c r="AN95">
        <v>120</v>
      </c>
      <c r="AO95">
        <v>240</v>
      </c>
      <c r="AP95">
        <v>243</v>
      </c>
      <c r="AQ95">
        <v>32</v>
      </c>
      <c r="AR95">
        <v>217</v>
      </c>
      <c r="AS95" t="s">
        <v>8636</v>
      </c>
      <c r="AT95" t="s">
        <v>8637</v>
      </c>
      <c r="AU95" t="s">
        <v>8638</v>
      </c>
      <c r="AV95" t="s">
        <v>440</v>
      </c>
      <c r="AW95" t="s">
        <v>441</v>
      </c>
      <c r="AX95" t="s">
        <v>69</v>
      </c>
      <c r="AY95" t="s">
        <v>8639</v>
      </c>
      <c r="AZ95" t="s">
        <v>8640</v>
      </c>
      <c r="BA95" t="s">
        <v>6297</v>
      </c>
      <c r="BB95">
        <v>2019</v>
      </c>
      <c r="BC95">
        <v>207</v>
      </c>
      <c r="BD95" t="s">
        <v>69</v>
      </c>
      <c r="BE95" t="s">
        <v>69</v>
      </c>
      <c r="BF95" t="s">
        <v>69</v>
      </c>
      <c r="BG95" t="s">
        <v>69</v>
      </c>
      <c r="BH95" t="s">
        <v>69</v>
      </c>
      <c r="BI95">
        <v>542</v>
      </c>
      <c r="BJ95">
        <v>559</v>
      </c>
      <c r="BK95" t="s">
        <v>69</v>
      </c>
      <c r="BL95" t="s">
        <v>7114</v>
      </c>
      <c r="BM95" t="str">
        <f>HYPERLINK("http://dx.doi.org/10.1016/j.jclepro.2018.10.014","http://dx.doi.org/10.1016/j.jclepro.2018.10.014")</f>
        <v>http://dx.doi.org/10.1016/j.jclepro.2018.10.014</v>
      </c>
      <c r="BN95" t="s">
        <v>69</v>
      </c>
      <c r="BO95" t="s">
        <v>69</v>
      </c>
      <c r="BP95">
        <v>18</v>
      </c>
      <c r="BQ95" t="s">
        <v>8643</v>
      </c>
      <c r="BR95" t="s">
        <v>8548</v>
      </c>
      <c r="BS95" t="s">
        <v>8644</v>
      </c>
      <c r="BT95" t="s">
        <v>17587</v>
      </c>
      <c r="BU95" t="s">
        <v>7115</v>
      </c>
      <c r="BV95" t="s">
        <v>69</v>
      </c>
      <c r="BW95" t="s">
        <v>10995</v>
      </c>
      <c r="BX95" t="s">
        <v>15211</v>
      </c>
      <c r="BY95" t="s">
        <v>15212</v>
      </c>
      <c r="BZ95" t="s">
        <v>8526</v>
      </c>
      <c r="CA95" t="str">
        <f>HYPERLINK("https%3A%2F%2Fwww.webofscience.com%2Fwos%2Fwoscc%2Ffull-record%2FWOS:000451105200046","View Full Record in Web of Science")</f>
        <v>View Full Record in Web of Science</v>
      </c>
    </row>
    <row r="96" spans="2:79" ht="12.5" x14ac:dyDescent="0.25">
      <c r="B96" t="s">
        <v>8495</v>
      </c>
      <c r="D96" s="22" t="s">
        <v>32931</v>
      </c>
      <c r="E96" s="7"/>
      <c r="F96" s="7"/>
      <c r="G96" s="7"/>
      <c r="H96" t="s">
        <v>67</v>
      </c>
      <c r="I96" t="s">
        <v>11855</v>
      </c>
      <c r="J96" t="s">
        <v>69</v>
      </c>
      <c r="K96" t="s">
        <v>69</v>
      </c>
      <c r="L96" t="s">
        <v>69</v>
      </c>
      <c r="M96" t="s">
        <v>11856</v>
      </c>
      <c r="N96" t="s">
        <v>69</v>
      </c>
      <c r="O96" t="s">
        <v>69</v>
      </c>
      <c r="P96" t="s">
        <v>11857</v>
      </c>
      <c r="Q96" t="s">
        <v>6876</v>
      </c>
      <c r="R96" t="s">
        <v>69</v>
      </c>
      <c r="S96" t="s">
        <v>69</v>
      </c>
      <c r="T96" t="s">
        <v>8505</v>
      </c>
      <c r="U96" t="s">
        <v>8506</v>
      </c>
      <c r="V96" t="s">
        <v>69</v>
      </c>
      <c r="W96" t="s">
        <v>69</v>
      </c>
      <c r="X96" t="s">
        <v>69</v>
      </c>
      <c r="Y96" t="s">
        <v>69</v>
      </c>
      <c r="Z96" t="s">
        <v>69</v>
      </c>
      <c r="AA96" t="s">
        <v>11858</v>
      </c>
      <c r="AB96" t="s">
        <v>11859</v>
      </c>
      <c r="AC96" t="s">
        <v>11860</v>
      </c>
      <c r="AD96" t="s">
        <v>11861</v>
      </c>
      <c r="AE96" t="s">
        <v>69</v>
      </c>
      <c r="AF96" t="s">
        <v>11862</v>
      </c>
      <c r="AG96" t="s">
        <v>11863</v>
      </c>
      <c r="AH96" t="s">
        <v>69</v>
      </c>
      <c r="AI96" t="s">
        <v>69</v>
      </c>
      <c r="AJ96" t="s">
        <v>69</v>
      </c>
      <c r="AK96" t="s">
        <v>69</v>
      </c>
      <c r="AL96" t="s">
        <v>69</v>
      </c>
      <c r="AM96" t="s">
        <v>69</v>
      </c>
      <c r="AN96">
        <v>17</v>
      </c>
      <c r="AO96">
        <v>0</v>
      </c>
      <c r="AP96">
        <v>0</v>
      </c>
      <c r="AQ96">
        <v>0</v>
      </c>
      <c r="AR96">
        <v>0</v>
      </c>
      <c r="AS96" t="s">
        <v>10538</v>
      </c>
      <c r="AT96" t="s">
        <v>10539</v>
      </c>
      <c r="AU96" t="s">
        <v>10540</v>
      </c>
      <c r="AV96" t="s">
        <v>6879</v>
      </c>
      <c r="AW96" t="s">
        <v>6880</v>
      </c>
      <c r="AX96" t="s">
        <v>69</v>
      </c>
      <c r="AY96" t="s">
        <v>11864</v>
      </c>
      <c r="AZ96" t="s">
        <v>11865</v>
      </c>
      <c r="BA96" t="s">
        <v>5888</v>
      </c>
      <c r="BB96">
        <v>2021</v>
      </c>
      <c r="BC96">
        <v>25</v>
      </c>
      <c r="BD96">
        <v>3</v>
      </c>
      <c r="BE96" t="s">
        <v>69</v>
      </c>
      <c r="BF96" t="s">
        <v>69</v>
      </c>
      <c r="BG96" t="s">
        <v>69</v>
      </c>
      <c r="BH96" t="s">
        <v>69</v>
      </c>
      <c r="BI96">
        <v>163</v>
      </c>
      <c r="BJ96">
        <v>168</v>
      </c>
      <c r="BK96" t="s">
        <v>69</v>
      </c>
      <c r="BL96" t="s">
        <v>11866</v>
      </c>
      <c r="BM96" t="str">
        <f>HYPERLINK("http://dx.doi.org/10.4103/ijoem.ijoem_409_20","http://dx.doi.org/10.4103/ijoem.ijoem_409_20")</f>
        <v>http://dx.doi.org/10.4103/ijoem.ijoem_409_20</v>
      </c>
      <c r="BN96" t="s">
        <v>69</v>
      </c>
      <c r="BO96" t="s">
        <v>69</v>
      </c>
      <c r="BP96">
        <v>6</v>
      </c>
      <c r="BQ96" t="s">
        <v>8810</v>
      </c>
      <c r="BR96" t="s">
        <v>8573</v>
      </c>
      <c r="BS96" t="s">
        <v>8810</v>
      </c>
      <c r="BT96" t="s">
        <v>11867</v>
      </c>
      <c r="BU96" t="s">
        <v>11868</v>
      </c>
      <c r="BV96">
        <v>34759604</v>
      </c>
      <c r="BW96" t="s">
        <v>10423</v>
      </c>
      <c r="BX96" t="s">
        <v>69</v>
      </c>
      <c r="BY96" t="s">
        <v>69</v>
      </c>
      <c r="BZ96" t="s">
        <v>8526</v>
      </c>
      <c r="CA96" t="str">
        <f>HYPERLINK("https%3A%2F%2Fwww.webofscience.com%2Fwos%2Fwoscc%2Ffull-record%2FWOS:000720981400008","View Full Record in Web of Science")</f>
        <v>View Full Record in Web of Science</v>
      </c>
    </row>
    <row r="97" spans="2:79" ht="12.5" x14ac:dyDescent="0.25">
      <c r="B97" t="s">
        <v>8495</v>
      </c>
      <c r="D97" s="7" t="s">
        <v>32933</v>
      </c>
      <c r="E97" s="7"/>
      <c r="F97" s="7"/>
      <c r="G97" s="7"/>
      <c r="H97" t="s">
        <v>67</v>
      </c>
      <c r="I97" t="s">
        <v>2488</v>
      </c>
      <c r="J97" t="s">
        <v>69</v>
      </c>
      <c r="K97" t="s">
        <v>69</v>
      </c>
      <c r="L97" t="s">
        <v>69</v>
      </c>
      <c r="M97" t="s">
        <v>2489</v>
      </c>
      <c r="N97" t="s">
        <v>69</v>
      </c>
      <c r="O97" t="s">
        <v>69</v>
      </c>
      <c r="P97" t="s">
        <v>2490</v>
      </c>
      <c r="Q97" t="s">
        <v>2491</v>
      </c>
      <c r="R97" t="s">
        <v>69</v>
      </c>
      <c r="S97" t="s">
        <v>69</v>
      </c>
      <c r="T97" t="s">
        <v>8505</v>
      </c>
      <c r="U97" t="s">
        <v>8506</v>
      </c>
      <c r="V97" t="s">
        <v>69</v>
      </c>
      <c r="W97" t="s">
        <v>69</v>
      </c>
      <c r="X97" t="s">
        <v>69</v>
      </c>
      <c r="Y97" t="s">
        <v>69</v>
      </c>
      <c r="Z97" t="s">
        <v>69</v>
      </c>
      <c r="AA97" t="s">
        <v>19580</v>
      </c>
      <c r="AB97" t="s">
        <v>19581</v>
      </c>
      <c r="AC97" t="s">
        <v>2492</v>
      </c>
      <c r="AD97" t="s">
        <v>19582</v>
      </c>
      <c r="AE97" t="s">
        <v>69</v>
      </c>
      <c r="AF97" t="s">
        <v>19583</v>
      </c>
      <c r="AG97" t="s">
        <v>19584</v>
      </c>
      <c r="AH97" t="s">
        <v>2493</v>
      </c>
      <c r="AI97" t="s">
        <v>2494</v>
      </c>
      <c r="AJ97" t="s">
        <v>69</v>
      </c>
      <c r="AK97" t="s">
        <v>69</v>
      </c>
      <c r="AL97" t="s">
        <v>69</v>
      </c>
      <c r="AM97" t="s">
        <v>69</v>
      </c>
      <c r="AN97">
        <v>19</v>
      </c>
      <c r="AO97">
        <v>2</v>
      </c>
      <c r="AP97">
        <v>2</v>
      </c>
      <c r="AQ97">
        <v>1</v>
      </c>
      <c r="AR97">
        <v>6</v>
      </c>
      <c r="AS97" t="s">
        <v>17216</v>
      </c>
      <c r="AT97" t="s">
        <v>17217</v>
      </c>
      <c r="AU97" t="s">
        <v>17218</v>
      </c>
      <c r="AV97" t="s">
        <v>2495</v>
      </c>
      <c r="AW97" t="s">
        <v>69</v>
      </c>
      <c r="AX97" t="s">
        <v>69</v>
      </c>
      <c r="AY97" t="s">
        <v>19585</v>
      </c>
      <c r="AZ97" t="s">
        <v>19586</v>
      </c>
      <c r="BA97" t="s">
        <v>69</v>
      </c>
      <c r="BB97">
        <v>2018</v>
      </c>
      <c r="BC97">
        <v>8</v>
      </c>
      <c r="BD97">
        <v>1</v>
      </c>
      <c r="BE97" t="s">
        <v>69</v>
      </c>
      <c r="BF97" t="s">
        <v>69</v>
      </c>
      <c r="BG97" t="s">
        <v>69</v>
      </c>
      <c r="BH97" t="s">
        <v>69</v>
      </c>
      <c r="BI97">
        <v>56</v>
      </c>
      <c r="BJ97">
        <v>80</v>
      </c>
      <c r="BK97" t="s">
        <v>69</v>
      </c>
      <c r="BL97" t="s">
        <v>2496</v>
      </c>
      <c r="BM97" t="str">
        <f>HYPERLINK("http://dx.doi.org/10.3991/ijep.v8i1.7667","http://dx.doi.org/10.3991/ijep.v8i1.7667")</f>
        <v>http://dx.doi.org/10.3991/ijep.v8i1.7667</v>
      </c>
      <c r="BN97" t="s">
        <v>69</v>
      </c>
      <c r="BO97" t="s">
        <v>69</v>
      </c>
      <c r="BP97">
        <v>25</v>
      </c>
      <c r="BQ97" t="s">
        <v>19587</v>
      </c>
      <c r="BR97" t="s">
        <v>8573</v>
      </c>
      <c r="BS97" t="s">
        <v>9290</v>
      </c>
      <c r="BT97" t="s">
        <v>19588</v>
      </c>
      <c r="BU97" t="s">
        <v>2497</v>
      </c>
      <c r="BV97" t="s">
        <v>69</v>
      </c>
      <c r="BW97" t="s">
        <v>8931</v>
      </c>
      <c r="BX97" t="s">
        <v>69</v>
      </c>
      <c r="BY97" t="s">
        <v>69</v>
      </c>
      <c r="BZ97" t="s">
        <v>8526</v>
      </c>
      <c r="CA97" t="str">
        <f>HYPERLINK("https%3A%2F%2Fwww.webofscience.com%2Fwos%2Fwoscc%2Ffull-record%2FWOS:000428715300005","View Full Record in Web of Science")</f>
        <v>View Full Record in Web of Science</v>
      </c>
    </row>
    <row r="98" spans="2:79" ht="12.5" x14ac:dyDescent="0.25">
      <c r="B98" t="s">
        <v>8495</v>
      </c>
      <c r="D98" s="22" t="s">
        <v>32931</v>
      </c>
      <c r="E98" s="7"/>
      <c r="F98" s="7"/>
      <c r="G98" s="7"/>
      <c r="H98" t="s">
        <v>67</v>
      </c>
      <c r="I98" t="s">
        <v>14750</v>
      </c>
      <c r="J98" t="s">
        <v>69</v>
      </c>
      <c r="K98" t="s">
        <v>69</v>
      </c>
      <c r="L98" t="s">
        <v>69</v>
      </c>
      <c r="M98" t="s">
        <v>14751</v>
      </c>
      <c r="N98" t="s">
        <v>69</v>
      </c>
      <c r="O98" t="s">
        <v>69</v>
      </c>
      <c r="P98" t="s">
        <v>14752</v>
      </c>
      <c r="Q98" t="s">
        <v>14753</v>
      </c>
      <c r="R98" t="s">
        <v>69</v>
      </c>
      <c r="S98" t="s">
        <v>69</v>
      </c>
      <c r="T98" t="s">
        <v>8505</v>
      </c>
      <c r="U98" t="s">
        <v>8506</v>
      </c>
      <c r="V98" t="s">
        <v>69</v>
      </c>
      <c r="W98" t="s">
        <v>69</v>
      </c>
      <c r="X98" t="s">
        <v>69</v>
      </c>
      <c r="Y98" t="s">
        <v>69</v>
      </c>
      <c r="Z98" t="s">
        <v>69</v>
      </c>
      <c r="AA98" t="s">
        <v>14754</v>
      </c>
      <c r="AB98" t="s">
        <v>14755</v>
      </c>
      <c r="AC98" t="s">
        <v>14756</v>
      </c>
      <c r="AD98" t="s">
        <v>14757</v>
      </c>
      <c r="AE98" t="s">
        <v>69</v>
      </c>
      <c r="AF98" t="s">
        <v>14758</v>
      </c>
      <c r="AG98" t="s">
        <v>14759</v>
      </c>
      <c r="AH98" t="s">
        <v>14760</v>
      </c>
      <c r="AI98" t="s">
        <v>14761</v>
      </c>
      <c r="AJ98" t="s">
        <v>14762</v>
      </c>
      <c r="AK98" t="s">
        <v>14763</v>
      </c>
      <c r="AL98" t="s">
        <v>14764</v>
      </c>
      <c r="AM98" t="s">
        <v>69</v>
      </c>
      <c r="AN98">
        <v>35</v>
      </c>
      <c r="AO98">
        <v>1</v>
      </c>
      <c r="AP98">
        <v>1</v>
      </c>
      <c r="AQ98">
        <v>1</v>
      </c>
      <c r="AR98">
        <v>6</v>
      </c>
      <c r="AS98" t="s">
        <v>8992</v>
      </c>
      <c r="AT98" t="s">
        <v>8993</v>
      </c>
      <c r="AU98" t="s">
        <v>8994</v>
      </c>
      <c r="AV98" t="s">
        <v>69</v>
      </c>
      <c r="AW98" t="s">
        <v>14765</v>
      </c>
      <c r="AX98" t="s">
        <v>69</v>
      </c>
      <c r="AY98" t="s">
        <v>14766</v>
      </c>
      <c r="AZ98" t="s">
        <v>14767</v>
      </c>
      <c r="BA98" t="s">
        <v>364</v>
      </c>
      <c r="BB98">
        <v>2020</v>
      </c>
      <c r="BC98">
        <v>7</v>
      </c>
      <c r="BD98" t="s">
        <v>69</v>
      </c>
      <c r="BE98" t="s">
        <v>69</v>
      </c>
      <c r="BF98" t="s">
        <v>69</v>
      </c>
      <c r="BG98" t="s">
        <v>69</v>
      </c>
      <c r="BH98" t="s">
        <v>69</v>
      </c>
      <c r="BI98" t="s">
        <v>69</v>
      </c>
      <c r="BJ98" t="s">
        <v>69</v>
      </c>
      <c r="BK98">
        <v>361</v>
      </c>
      <c r="BL98" t="s">
        <v>14768</v>
      </c>
      <c r="BM98" t="str">
        <f>HYPERLINK("http://dx.doi.org/10.3389/fvets.2020.00361","http://dx.doi.org/10.3389/fvets.2020.00361")</f>
        <v>http://dx.doi.org/10.3389/fvets.2020.00361</v>
      </c>
      <c r="BN98" t="s">
        <v>69</v>
      </c>
      <c r="BO98" t="s">
        <v>69</v>
      </c>
      <c r="BP98">
        <v>18</v>
      </c>
      <c r="BQ98" t="s">
        <v>14769</v>
      </c>
      <c r="BR98" t="s">
        <v>8548</v>
      </c>
      <c r="BS98" t="s">
        <v>14769</v>
      </c>
      <c r="BT98" t="s">
        <v>14770</v>
      </c>
      <c r="BU98" t="s">
        <v>14772</v>
      </c>
      <c r="BV98">
        <v>32714948</v>
      </c>
      <c r="BW98" t="s">
        <v>14771</v>
      </c>
      <c r="BX98" t="s">
        <v>69</v>
      </c>
      <c r="BY98" t="s">
        <v>69</v>
      </c>
      <c r="BZ98" t="s">
        <v>8526</v>
      </c>
      <c r="CA98" t="str">
        <f>HYPERLINK("https%3A%2F%2Fwww.webofscience.com%2Fwos%2Fwoscc%2Ffull-record%2FWOS:000553777600001","View Full Record in Web of Science")</f>
        <v>View Full Record in Web of Science</v>
      </c>
    </row>
    <row r="99" spans="2:79" ht="12.5" x14ac:dyDescent="0.25">
      <c r="B99" t="s">
        <v>8495</v>
      </c>
      <c r="D99" s="11" t="s">
        <v>32940</v>
      </c>
      <c r="E99" s="7" t="s">
        <v>33082</v>
      </c>
      <c r="F99" s="7"/>
      <c r="G99" s="7" t="s">
        <v>8490</v>
      </c>
      <c r="H99" t="s">
        <v>67</v>
      </c>
      <c r="I99" t="s">
        <v>28996</v>
      </c>
      <c r="J99" t="s">
        <v>69</v>
      </c>
      <c r="K99" t="s">
        <v>69</v>
      </c>
      <c r="L99" t="s">
        <v>69</v>
      </c>
      <c r="M99" t="s">
        <v>28997</v>
      </c>
      <c r="N99" t="s">
        <v>69</v>
      </c>
      <c r="O99" t="s">
        <v>69</v>
      </c>
      <c r="P99" t="s">
        <v>28998</v>
      </c>
      <c r="Q99" t="s">
        <v>28999</v>
      </c>
      <c r="R99" t="s">
        <v>69</v>
      </c>
      <c r="S99" t="s">
        <v>69</v>
      </c>
      <c r="T99" t="s">
        <v>10071</v>
      </c>
      <c r="U99" t="s">
        <v>8506</v>
      </c>
      <c r="V99" t="s">
        <v>69</v>
      </c>
      <c r="W99" t="s">
        <v>69</v>
      </c>
      <c r="X99" t="s">
        <v>69</v>
      </c>
      <c r="Y99" t="s">
        <v>69</v>
      </c>
      <c r="Z99" t="s">
        <v>69</v>
      </c>
      <c r="AA99" t="s">
        <v>29000</v>
      </c>
      <c r="AB99" t="s">
        <v>69</v>
      </c>
      <c r="AC99" t="s">
        <v>29001</v>
      </c>
      <c r="AD99" t="s">
        <v>29002</v>
      </c>
      <c r="AE99" t="s">
        <v>69</v>
      </c>
      <c r="AF99" t="s">
        <v>29003</v>
      </c>
      <c r="AG99" t="s">
        <v>69</v>
      </c>
      <c r="AH99" t="s">
        <v>69</v>
      </c>
      <c r="AI99" t="s">
        <v>69</v>
      </c>
      <c r="AJ99" t="s">
        <v>69</v>
      </c>
      <c r="AK99" t="s">
        <v>69</v>
      </c>
      <c r="AL99" t="s">
        <v>69</v>
      </c>
      <c r="AM99" t="s">
        <v>69</v>
      </c>
      <c r="AN99">
        <v>50</v>
      </c>
      <c r="AO99">
        <v>0</v>
      </c>
      <c r="AP99">
        <v>0</v>
      </c>
      <c r="AQ99">
        <v>0</v>
      </c>
      <c r="AR99">
        <v>0</v>
      </c>
      <c r="AS99" t="s">
        <v>29004</v>
      </c>
      <c r="AT99" t="s">
        <v>21649</v>
      </c>
      <c r="AU99" t="s">
        <v>29005</v>
      </c>
      <c r="AV99" t="s">
        <v>29006</v>
      </c>
      <c r="AW99" t="s">
        <v>69</v>
      </c>
      <c r="AX99" t="s">
        <v>69</v>
      </c>
      <c r="AY99" t="s">
        <v>29007</v>
      </c>
      <c r="AZ99" t="s">
        <v>29008</v>
      </c>
      <c r="BA99" t="s">
        <v>75</v>
      </c>
      <c r="BB99">
        <v>2008</v>
      </c>
      <c r="BC99">
        <v>65</v>
      </c>
      <c r="BD99">
        <v>146</v>
      </c>
      <c r="BE99" t="s">
        <v>69</v>
      </c>
      <c r="BF99" t="s">
        <v>69</v>
      </c>
      <c r="BG99" t="s">
        <v>69</v>
      </c>
      <c r="BH99" t="s">
        <v>69</v>
      </c>
      <c r="BI99">
        <v>112</v>
      </c>
      <c r="BJ99">
        <v>145</v>
      </c>
      <c r="BK99" t="s">
        <v>69</v>
      </c>
      <c r="BL99" t="s">
        <v>69</v>
      </c>
      <c r="BM99" t="s">
        <v>69</v>
      </c>
      <c r="BN99" t="s">
        <v>69</v>
      </c>
      <c r="BO99" t="s">
        <v>69</v>
      </c>
      <c r="BP99">
        <v>34</v>
      </c>
      <c r="BQ99" t="s">
        <v>8452</v>
      </c>
      <c r="BR99" t="s">
        <v>8573</v>
      </c>
      <c r="BS99" t="s">
        <v>10084</v>
      </c>
      <c r="BT99" t="s">
        <v>29009</v>
      </c>
      <c r="BU99" t="s">
        <v>29010</v>
      </c>
      <c r="BV99" t="s">
        <v>69</v>
      </c>
      <c r="BW99" t="s">
        <v>69</v>
      </c>
      <c r="BX99" t="s">
        <v>69</v>
      </c>
      <c r="BY99" t="s">
        <v>69</v>
      </c>
      <c r="BZ99" t="s">
        <v>8526</v>
      </c>
      <c r="CA99" t="str">
        <f>HYPERLINK("https%3A%2F%2Fwww.webofscience.com%2Fwos%2Fwoscc%2Ffull-record%2FWOS:000215518100005","View Full Record in Web of Science")</f>
        <v>View Full Record in Web of Science</v>
      </c>
    </row>
    <row r="100" spans="2:79" ht="12.5" x14ac:dyDescent="0.25">
      <c r="B100" t="s">
        <v>8495</v>
      </c>
      <c r="D100" s="7" t="s">
        <v>32933</v>
      </c>
      <c r="E100" s="7"/>
      <c r="F100" s="7"/>
      <c r="G100" s="7"/>
      <c r="H100" t="s">
        <v>67</v>
      </c>
      <c r="I100" t="s">
        <v>7911</v>
      </c>
      <c r="J100" t="s">
        <v>69</v>
      </c>
      <c r="K100" t="s">
        <v>69</v>
      </c>
      <c r="L100" t="s">
        <v>69</v>
      </c>
      <c r="M100" t="s">
        <v>7912</v>
      </c>
      <c r="N100" t="s">
        <v>69</v>
      </c>
      <c r="O100" t="s">
        <v>69</v>
      </c>
      <c r="P100" t="s">
        <v>7913</v>
      </c>
      <c r="Q100" t="s">
        <v>7914</v>
      </c>
      <c r="R100" t="s">
        <v>69</v>
      </c>
      <c r="S100" t="s">
        <v>69</v>
      </c>
      <c r="T100" t="s">
        <v>8505</v>
      </c>
      <c r="U100" t="s">
        <v>8506</v>
      </c>
      <c r="V100" t="s">
        <v>69</v>
      </c>
      <c r="W100" t="s">
        <v>69</v>
      </c>
      <c r="X100" t="s">
        <v>69</v>
      </c>
      <c r="Y100" t="s">
        <v>69</v>
      </c>
      <c r="Z100" t="s">
        <v>69</v>
      </c>
      <c r="AA100" t="s">
        <v>69</v>
      </c>
      <c r="AB100" t="s">
        <v>69</v>
      </c>
      <c r="AC100" t="s">
        <v>7915</v>
      </c>
      <c r="AD100" t="s">
        <v>17896</v>
      </c>
      <c r="AE100" t="s">
        <v>69</v>
      </c>
      <c r="AF100" t="s">
        <v>17897</v>
      </c>
      <c r="AG100" t="s">
        <v>17898</v>
      </c>
      <c r="AH100" t="s">
        <v>69</v>
      </c>
      <c r="AI100" t="s">
        <v>69</v>
      </c>
      <c r="AJ100" t="s">
        <v>69</v>
      </c>
      <c r="AK100" t="s">
        <v>69</v>
      </c>
      <c r="AL100" t="s">
        <v>69</v>
      </c>
      <c r="AM100" t="s">
        <v>69</v>
      </c>
      <c r="AN100">
        <v>18</v>
      </c>
      <c r="AO100">
        <v>0</v>
      </c>
      <c r="AP100">
        <v>0</v>
      </c>
      <c r="AQ100">
        <v>1</v>
      </c>
      <c r="AR100">
        <v>1</v>
      </c>
      <c r="AS100" t="s">
        <v>13178</v>
      </c>
      <c r="AT100" t="s">
        <v>13179</v>
      </c>
      <c r="AU100" t="s">
        <v>13180</v>
      </c>
      <c r="AV100" t="s">
        <v>7916</v>
      </c>
      <c r="AW100" t="s">
        <v>7917</v>
      </c>
      <c r="AX100" t="s">
        <v>69</v>
      </c>
      <c r="AY100" t="s">
        <v>17899</v>
      </c>
      <c r="AZ100" t="s">
        <v>17900</v>
      </c>
      <c r="BA100" t="s">
        <v>69</v>
      </c>
      <c r="BB100">
        <v>2019</v>
      </c>
      <c r="BC100">
        <v>36</v>
      </c>
      <c r="BD100">
        <v>1</v>
      </c>
      <c r="BE100" t="s">
        <v>69</v>
      </c>
      <c r="BF100" t="s">
        <v>69</v>
      </c>
      <c r="BG100" t="s">
        <v>69</v>
      </c>
      <c r="BH100" t="s">
        <v>69</v>
      </c>
      <c r="BI100">
        <v>135</v>
      </c>
      <c r="BJ100">
        <v>160</v>
      </c>
      <c r="BK100" t="s">
        <v>69</v>
      </c>
      <c r="BL100" t="s">
        <v>69</v>
      </c>
      <c r="BM100" t="s">
        <v>69</v>
      </c>
      <c r="BN100" t="s">
        <v>69</v>
      </c>
      <c r="BO100" t="s">
        <v>69</v>
      </c>
      <c r="BP100">
        <v>26</v>
      </c>
      <c r="BQ100" t="s">
        <v>8452</v>
      </c>
      <c r="BR100" t="s">
        <v>8573</v>
      </c>
      <c r="BS100" t="s">
        <v>10084</v>
      </c>
      <c r="BT100" t="s">
        <v>17901</v>
      </c>
      <c r="BU100" t="s">
        <v>7918</v>
      </c>
      <c r="BV100" t="s">
        <v>69</v>
      </c>
      <c r="BW100" t="s">
        <v>69</v>
      </c>
      <c r="BX100" t="s">
        <v>69</v>
      </c>
      <c r="BY100" t="s">
        <v>69</v>
      </c>
      <c r="BZ100" t="s">
        <v>8526</v>
      </c>
      <c r="CA100" t="str">
        <f>HYPERLINK("https%3A%2F%2Fwww.webofscience.com%2Fwos%2Fwoscc%2Ffull-record%2FWOS:000457251500006","View Full Record in Web of Science")</f>
        <v>View Full Record in Web of Science</v>
      </c>
    </row>
    <row r="101" spans="2:79" ht="12.5" x14ac:dyDescent="0.25">
      <c r="B101" t="s">
        <v>8495</v>
      </c>
      <c r="D101" s="7" t="s">
        <v>32933</v>
      </c>
      <c r="E101" s="7"/>
      <c r="F101" s="7"/>
      <c r="G101" s="7"/>
      <c r="H101" t="s">
        <v>67</v>
      </c>
      <c r="I101" t="s">
        <v>498</v>
      </c>
      <c r="J101" t="s">
        <v>69</v>
      </c>
      <c r="K101" t="s">
        <v>69</v>
      </c>
      <c r="L101" t="s">
        <v>69</v>
      </c>
      <c r="M101" t="s">
        <v>499</v>
      </c>
      <c r="N101" t="s">
        <v>69</v>
      </c>
      <c r="O101" t="s">
        <v>69</v>
      </c>
      <c r="P101" t="s">
        <v>500</v>
      </c>
      <c r="Q101" t="s">
        <v>436</v>
      </c>
      <c r="R101" t="s">
        <v>69</v>
      </c>
      <c r="S101" t="s">
        <v>69</v>
      </c>
      <c r="T101" t="s">
        <v>8505</v>
      </c>
      <c r="U101" t="s">
        <v>8506</v>
      </c>
      <c r="V101" t="s">
        <v>69</v>
      </c>
      <c r="W101" t="s">
        <v>69</v>
      </c>
      <c r="X101" t="s">
        <v>69</v>
      </c>
      <c r="Y101" t="s">
        <v>69</v>
      </c>
      <c r="Z101" t="s">
        <v>69</v>
      </c>
      <c r="AA101" t="s">
        <v>24399</v>
      </c>
      <c r="AB101" t="s">
        <v>24400</v>
      </c>
      <c r="AC101" t="s">
        <v>501</v>
      </c>
      <c r="AD101" t="s">
        <v>24401</v>
      </c>
      <c r="AE101" t="s">
        <v>69</v>
      </c>
      <c r="AF101" t="s">
        <v>24402</v>
      </c>
      <c r="AG101" t="s">
        <v>24403</v>
      </c>
      <c r="AH101" t="s">
        <v>502</v>
      </c>
      <c r="AI101" t="s">
        <v>503</v>
      </c>
      <c r="AJ101" t="s">
        <v>24404</v>
      </c>
      <c r="AK101" t="s">
        <v>24405</v>
      </c>
      <c r="AL101" t="s">
        <v>24406</v>
      </c>
      <c r="AM101" t="s">
        <v>69</v>
      </c>
      <c r="AN101">
        <v>56</v>
      </c>
      <c r="AO101">
        <v>55</v>
      </c>
      <c r="AP101">
        <v>57</v>
      </c>
      <c r="AQ101">
        <v>6</v>
      </c>
      <c r="AR101">
        <v>83</v>
      </c>
      <c r="AS101" t="s">
        <v>8636</v>
      </c>
      <c r="AT101" t="s">
        <v>8637</v>
      </c>
      <c r="AU101" t="s">
        <v>8638</v>
      </c>
      <c r="AV101" t="s">
        <v>440</v>
      </c>
      <c r="AW101" t="s">
        <v>441</v>
      </c>
      <c r="AX101" t="s">
        <v>69</v>
      </c>
      <c r="AY101" t="s">
        <v>8639</v>
      </c>
      <c r="AZ101" t="s">
        <v>8640</v>
      </c>
      <c r="BA101" t="s">
        <v>504</v>
      </c>
      <c r="BB101">
        <v>2013</v>
      </c>
      <c r="BC101">
        <v>61</v>
      </c>
      <c r="BD101" t="s">
        <v>69</v>
      </c>
      <c r="BE101" t="s">
        <v>69</v>
      </c>
      <c r="BF101" t="s">
        <v>69</v>
      </c>
      <c r="BG101" t="s">
        <v>69</v>
      </c>
      <c r="BH101" t="s">
        <v>69</v>
      </c>
      <c r="BI101">
        <v>6</v>
      </c>
      <c r="BJ101">
        <v>12</v>
      </c>
      <c r="BK101" t="s">
        <v>69</v>
      </c>
      <c r="BL101" t="s">
        <v>505</v>
      </c>
      <c r="BM101" t="str">
        <f>HYPERLINK("http://dx.doi.org/10.1016/j.jclepro.2013.05.014","http://dx.doi.org/10.1016/j.jclepro.2013.05.014")</f>
        <v>http://dx.doi.org/10.1016/j.jclepro.2013.05.014</v>
      </c>
      <c r="BN101" t="s">
        <v>69</v>
      </c>
      <c r="BO101" t="s">
        <v>69</v>
      </c>
      <c r="BP101">
        <v>7</v>
      </c>
      <c r="BQ101" t="s">
        <v>8643</v>
      </c>
      <c r="BR101" t="s">
        <v>8523</v>
      </c>
      <c r="BS101" t="s">
        <v>8644</v>
      </c>
      <c r="BT101" t="s">
        <v>24407</v>
      </c>
      <c r="BU101" t="s">
        <v>506</v>
      </c>
      <c r="BV101" t="s">
        <v>69</v>
      </c>
      <c r="BW101" t="s">
        <v>69</v>
      </c>
      <c r="BX101" t="s">
        <v>69</v>
      </c>
      <c r="BY101" t="s">
        <v>69</v>
      </c>
      <c r="BZ101" t="s">
        <v>8526</v>
      </c>
      <c r="CA101" t="str">
        <f>HYPERLINK("https%3A%2F%2Fwww.webofscience.com%2Fwos%2Fwoscc%2Ffull-record%2FWOS:000327676600002","View Full Record in Web of Science")</f>
        <v>View Full Record in Web of Science</v>
      </c>
    </row>
    <row r="102" spans="2:79" ht="12.5" x14ac:dyDescent="0.25">
      <c r="B102" t="s">
        <v>8495</v>
      </c>
      <c r="D102" s="7" t="s">
        <v>32933</v>
      </c>
      <c r="E102" s="7"/>
      <c r="F102" s="7"/>
      <c r="G102" s="7"/>
      <c r="H102" t="s">
        <v>67</v>
      </c>
      <c r="I102" t="s">
        <v>3519</v>
      </c>
      <c r="J102" t="s">
        <v>69</v>
      </c>
      <c r="K102" t="s">
        <v>69</v>
      </c>
      <c r="L102" t="s">
        <v>69</v>
      </c>
      <c r="M102" t="s">
        <v>3520</v>
      </c>
      <c r="N102" t="s">
        <v>69</v>
      </c>
      <c r="O102" t="s">
        <v>69</v>
      </c>
      <c r="P102" t="s">
        <v>3521</v>
      </c>
      <c r="Q102" t="s">
        <v>3522</v>
      </c>
      <c r="R102" t="s">
        <v>69</v>
      </c>
      <c r="S102" t="s">
        <v>69</v>
      </c>
      <c r="T102" t="s">
        <v>8505</v>
      </c>
      <c r="U102" t="s">
        <v>8506</v>
      </c>
      <c r="V102" t="s">
        <v>69</v>
      </c>
      <c r="W102" t="s">
        <v>69</v>
      </c>
      <c r="X102" t="s">
        <v>69</v>
      </c>
      <c r="Y102" t="s">
        <v>69</v>
      </c>
      <c r="Z102" t="s">
        <v>69</v>
      </c>
      <c r="AA102" t="s">
        <v>69</v>
      </c>
      <c r="AB102" t="s">
        <v>69</v>
      </c>
      <c r="AC102" t="s">
        <v>3523</v>
      </c>
      <c r="AD102" t="s">
        <v>27647</v>
      </c>
      <c r="AE102" t="s">
        <v>69</v>
      </c>
      <c r="AF102" t="s">
        <v>27648</v>
      </c>
      <c r="AG102" t="s">
        <v>27649</v>
      </c>
      <c r="AH102" t="s">
        <v>69</v>
      </c>
      <c r="AI102" t="s">
        <v>69</v>
      </c>
      <c r="AJ102" t="s">
        <v>27650</v>
      </c>
      <c r="AK102" t="s">
        <v>27651</v>
      </c>
      <c r="AL102" t="s">
        <v>27652</v>
      </c>
      <c r="AM102" t="s">
        <v>69</v>
      </c>
      <c r="AN102">
        <v>19</v>
      </c>
      <c r="AO102">
        <v>38</v>
      </c>
      <c r="AP102">
        <v>40</v>
      </c>
      <c r="AQ102">
        <v>0</v>
      </c>
      <c r="AR102">
        <v>29</v>
      </c>
      <c r="AS102" t="s">
        <v>8846</v>
      </c>
      <c r="AT102" t="s">
        <v>8847</v>
      </c>
      <c r="AU102" t="s">
        <v>8848</v>
      </c>
      <c r="AV102" t="s">
        <v>3524</v>
      </c>
      <c r="AW102" t="s">
        <v>3525</v>
      </c>
      <c r="AX102" t="s">
        <v>69</v>
      </c>
      <c r="AY102" t="s">
        <v>27653</v>
      </c>
      <c r="AZ102" t="s">
        <v>27654</v>
      </c>
      <c r="BA102" t="s">
        <v>201</v>
      </c>
      <c r="BB102">
        <v>2010</v>
      </c>
      <c r="BC102">
        <v>8</v>
      </c>
      <c r="BD102">
        <v>6</v>
      </c>
      <c r="BE102" t="s">
        <v>69</v>
      </c>
      <c r="BF102" t="s">
        <v>69</v>
      </c>
      <c r="BG102" t="s">
        <v>69</v>
      </c>
      <c r="BH102" t="s">
        <v>69</v>
      </c>
      <c r="BI102">
        <v>299</v>
      </c>
      <c r="BJ102">
        <v>305</v>
      </c>
      <c r="BK102" t="s">
        <v>69</v>
      </c>
      <c r="BL102" t="s">
        <v>3526</v>
      </c>
      <c r="BM102" t="str">
        <f>HYPERLINK("http://dx.doi.org/10.1890/090143","http://dx.doi.org/10.1890/090143")</f>
        <v>http://dx.doi.org/10.1890/090143</v>
      </c>
      <c r="BN102" t="s">
        <v>69</v>
      </c>
      <c r="BO102" t="s">
        <v>69</v>
      </c>
      <c r="BP102">
        <v>7</v>
      </c>
      <c r="BQ102" t="s">
        <v>27655</v>
      </c>
      <c r="BR102" t="s">
        <v>8548</v>
      </c>
      <c r="BS102" t="s">
        <v>8662</v>
      </c>
      <c r="BT102" t="s">
        <v>27656</v>
      </c>
      <c r="BU102" t="s">
        <v>3527</v>
      </c>
      <c r="BV102" t="s">
        <v>69</v>
      </c>
      <c r="BW102" t="s">
        <v>69</v>
      </c>
      <c r="BX102" t="s">
        <v>69</v>
      </c>
      <c r="BY102" t="s">
        <v>69</v>
      </c>
      <c r="BZ102" t="s">
        <v>8526</v>
      </c>
      <c r="CA102" t="str">
        <f>HYPERLINK("https%3A%2F%2Fwww.webofscience.com%2Fwos%2Fwoscc%2Ffull-record%2FWOS:000280871100004","View Full Record in Web of Science")</f>
        <v>View Full Record in Web of Science</v>
      </c>
    </row>
    <row r="103" spans="2:79" ht="12.5" x14ac:dyDescent="0.25">
      <c r="B103" t="s">
        <v>8495</v>
      </c>
      <c r="D103" s="7" t="s">
        <v>32933</v>
      </c>
      <c r="E103" s="7"/>
      <c r="F103" s="7"/>
      <c r="G103" s="7"/>
      <c r="H103" t="s">
        <v>67</v>
      </c>
      <c r="I103" t="s">
        <v>4087</v>
      </c>
      <c r="J103" t="s">
        <v>69</v>
      </c>
      <c r="K103" t="s">
        <v>69</v>
      </c>
      <c r="L103" t="s">
        <v>69</v>
      </c>
      <c r="M103" t="s">
        <v>4087</v>
      </c>
      <c r="N103" t="s">
        <v>69</v>
      </c>
      <c r="O103" t="s">
        <v>69</v>
      </c>
      <c r="P103" t="s">
        <v>4088</v>
      </c>
      <c r="Q103" t="s">
        <v>4089</v>
      </c>
      <c r="R103" t="s">
        <v>69</v>
      </c>
      <c r="S103" t="s">
        <v>69</v>
      </c>
      <c r="T103" t="s">
        <v>8505</v>
      </c>
      <c r="U103" t="s">
        <v>8506</v>
      </c>
      <c r="V103" t="s">
        <v>69</v>
      </c>
      <c r="W103" t="s">
        <v>69</v>
      </c>
      <c r="X103" t="s">
        <v>69</v>
      </c>
      <c r="Y103" t="s">
        <v>69</v>
      </c>
      <c r="Z103" t="s">
        <v>69</v>
      </c>
      <c r="AA103" t="s">
        <v>31606</v>
      </c>
      <c r="AB103" t="s">
        <v>69</v>
      </c>
      <c r="AC103" t="s">
        <v>4090</v>
      </c>
      <c r="AD103" t="s">
        <v>31607</v>
      </c>
      <c r="AE103" t="s">
        <v>69</v>
      </c>
      <c r="AF103" t="s">
        <v>31608</v>
      </c>
      <c r="AG103" t="s">
        <v>69</v>
      </c>
      <c r="AH103" t="s">
        <v>69</v>
      </c>
      <c r="AI103" t="s">
        <v>69</v>
      </c>
      <c r="AJ103" t="s">
        <v>69</v>
      </c>
      <c r="AK103" t="s">
        <v>69</v>
      </c>
      <c r="AL103" t="s">
        <v>69</v>
      </c>
      <c r="AM103" t="s">
        <v>69</v>
      </c>
      <c r="AN103">
        <v>56</v>
      </c>
      <c r="AO103">
        <v>19</v>
      </c>
      <c r="AP103">
        <v>20</v>
      </c>
      <c r="AQ103">
        <v>0</v>
      </c>
      <c r="AR103">
        <v>4</v>
      </c>
      <c r="AS103" t="s">
        <v>31609</v>
      </c>
      <c r="AT103" t="s">
        <v>31610</v>
      </c>
      <c r="AU103" t="s">
        <v>31611</v>
      </c>
      <c r="AV103" t="s">
        <v>4091</v>
      </c>
      <c r="AW103" t="s">
        <v>69</v>
      </c>
      <c r="AX103" t="s">
        <v>69</v>
      </c>
      <c r="AY103" t="s">
        <v>31612</v>
      </c>
      <c r="AZ103" t="s">
        <v>31613</v>
      </c>
      <c r="BA103" t="s">
        <v>4092</v>
      </c>
      <c r="BB103">
        <v>2001</v>
      </c>
      <c r="BC103">
        <v>13</v>
      </c>
      <c r="BD103">
        <v>1</v>
      </c>
      <c r="BE103" t="s">
        <v>69</v>
      </c>
      <c r="BF103" t="s">
        <v>69</v>
      </c>
      <c r="BG103" t="s">
        <v>69</v>
      </c>
      <c r="BH103" t="s">
        <v>69</v>
      </c>
      <c r="BI103">
        <v>33</v>
      </c>
      <c r="BJ103">
        <v>54</v>
      </c>
      <c r="BK103" t="s">
        <v>69</v>
      </c>
      <c r="BL103" t="s">
        <v>4093</v>
      </c>
      <c r="BM103" t="str">
        <f>HYPERLINK("http://dx.doi.org/10.1353/cp.2001.0014","http://dx.doi.org/10.1353/cp.2001.0014")</f>
        <v>http://dx.doi.org/10.1353/cp.2001.0014</v>
      </c>
      <c r="BN103" t="s">
        <v>69</v>
      </c>
      <c r="BO103" t="s">
        <v>69</v>
      </c>
      <c r="BP103">
        <v>22</v>
      </c>
      <c r="BQ103" t="s">
        <v>17049</v>
      </c>
      <c r="BR103" t="s">
        <v>8661</v>
      </c>
      <c r="BS103" t="s">
        <v>17049</v>
      </c>
      <c r="BT103" t="s">
        <v>31614</v>
      </c>
      <c r="BU103" t="s">
        <v>4094</v>
      </c>
      <c r="BV103" t="s">
        <v>69</v>
      </c>
      <c r="BW103" t="s">
        <v>10423</v>
      </c>
      <c r="BX103" t="s">
        <v>69</v>
      </c>
      <c r="BY103" t="s">
        <v>69</v>
      </c>
      <c r="BZ103" t="s">
        <v>8526</v>
      </c>
      <c r="CA103" t="str">
        <f>HYPERLINK("https%3A%2F%2Fwww.webofscience.com%2Fwos%2Fwoscc%2Ffull-record%2FWOS:000167486900002","View Full Record in Web of Science")</f>
        <v>View Full Record in Web of Science</v>
      </c>
    </row>
    <row r="104" spans="2:79" ht="12.5" x14ac:dyDescent="0.25">
      <c r="B104" t="s">
        <v>8495</v>
      </c>
      <c r="D104" s="22" t="s">
        <v>32931</v>
      </c>
      <c r="E104" s="7"/>
      <c r="F104" s="7"/>
      <c r="G104" s="7"/>
      <c r="H104" t="s">
        <v>67</v>
      </c>
      <c r="I104" t="s">
        <v>15891</v>
      </c>
      <c r="J104" t="s">
        <v>69</v>
      </c>
      <c r="K104" t="s">
        <v>69</v>
      </c>
      <c r="L104" t="s">
        <v>69</v>
      </c>
      <c r="M104" t="s">
        <v>15892</v>
      </c>
      <c r="N104" t="s">
        <v>69</v>
      </c>
      <c r="O104" t="s">
        <v>69</v>
      </c>
      <c r="P104" t="s">
        <v>15893</v>
      </c>
      <c r="Q104" t="s">
        <v>15894</v>
      </c>
      <c r="R104" t="s">
        <v>69</v>
      </c>
      <c r="S104" t="s">
        <v>69</v>
      </c>
      <c r="T104" t="s">
        <v>8505</v>
      </c>
      <c r="U104" t="s">
        <v>8506</v>
      </c>
      <c r="V104" t="s">
        <v>69</v>
      </c>
      <c r="W104" t="s">
        <v>69</v>
      </c>
      <c r="X104" t="s">
        <v>69</v>
      </c>
      <c r="Y104" t="s">
        <v>69</v>
      </c>
      <c r="Z104" t="s">
        <v>69</v>
      </c>
      <c r="AA104" t="s">
        <v>69</v>
      </c>
      <c r="AB104" t="s">
        <v>15895</v>
      </c>
      <c r="AC104" t="s">
        <v>15896</v>
      </c>
      <c r="AD104" t="s">
        <v>15897</v>
      </c>
      <c r="AE104" t="s">
        <v>69</v>
      </c>
      <c r="AF104" t="s">
        <v>15898</v>
      </c>
      <c r="AG104" t="s">
        <v>15899</v>
      </c>
      <c r="AH104" t="s">
        <v>69</v>
      </c>
      <c r="AI104" t="s">
        <v>69</v>
      </c>
      <c r="AJ104" t="s">
        <v>69</v>
      </c>
      <c r="AK104" t="s">
        <v>69</v>
      </c>
      <c r="AL104" t="s">
        <v>69</v>
      </c>
      <c r="AM104" t="s">
        <v>69</v>
      </c>
      <c r="AN104">
        <v>74</v>
      </c>
      <c r="AO104">
        <v>1</v>
      </c>
      <c r="AP104">
        <v>1</v>
      </c>
      <c r="AQ104">
        <v>0</v>
      </c>
      <c r="AR104">
        <v>3</v>
      </c>
      <c r="AS104" t="s">
        <v>15900</v>
      </c>
      <c r="AT104" t="s">
        <v>15901</v>
      </c>
      <c r="AU104" t="s">
        <v>15902</v>
      </c>
      <c r="AV104" t="s">
        <v>15903</v>
      </c>
      <c r="AW104" t="s">
        <v>15904</v>
      </c>
      <c r="AX104" t="s">
        <v>69</v>
      </c>
      <c r="AY104" t="s">
        <v>15905</v>
      </c>
      <c r="AZ104" t="s">
        <v>15906</v>
      </c>
      <c r="BA104" t="s">
        <v>133</v>
      </c>
      <c r="BB104">
        <v>2020</v>
      </c>
      <c r="BC104">
        <v>64</v>
      </c>
      <c r="BD104">
        <v>1</v>
      </c>
      <c r="BE104" t="s">
        <v>69</v>
      </c>
      <c r="BF104" t="s">
        <v>69</v>
      </c>
      <c r="BG104" t="s">
        <v>69</v>
      </c>
      <c r="BH104" t="s">
        <v>69</v>
      </c>
      <c r="BI104">
        <v>66</v>
      </c>
      <c r="BJ104">
        <v>86</v>
      </c>
      <c r="BK104" t="s">
        <v>69</v>
      </c>
      <c r="BL104" t="s">
        <v>15907</v>
      </c>
      <c r="BM104" t="str">
        <f>HYPERLINK("http://dx.doi.org/10.1086/706822","http://dx.doi.org/10.1086/706822")</f>
        <v>http://dx.doi.org/10.1086/706822</v>
      </c>
      <c r="BN104" t="s">
        <v>69</v>
      </c>
      <c r="BO104" t="s">
        <v>69</v>
      </c>
      <c r="BP104">
        <v>21</v>
      </c>
      <c r="BQ104" t="s">
        <v>9290</v>
      </c>
      <c r="BR104" t="s">
        <v>8661</v>
      </c>
      <c r="BS104" t="s">
        <v>9290</v>
      </c>
      <c r="BT104" t="s">
        <v>15908</v>
      </c>
      <c r="BU104" t="s">
        <v>15909</v>
      </c>
      <c r="BV104" t="s">
        <v>69</v>
      </c>
      <c r="BW104" t="s">
        <v>69</v>
      </c>
      <c r="BX104" t="s">
        <v>69</v>
      </c>
      <c r="BY104" t="s">
        <v>69</v>
      </c>
      <c r="BZ104" t="s">
        <v>8526</v>
      </c>
      <c r="CA104" t="str">
        <f>HYPERLINK("https%3A%2F%2Fwww.webofscience.com%2Fwos%2Fwoscc%2Ffull-record%2FWOS:000515701900004","View Full Record in Web of Science")</f>
        <v>View Full Record in Web of Science</v>
      </c>
    </row>
    <row r="105" spans="2:79" ht="12.5" x14ac:dyDescent="0.25">
      <c r="B105" t="s">
        <v>8495</v>
      </c>
      <c r="D105" s="7" t="s">
        <v>32933</v>
      </c>
      <c r="E105" s="7"/>
      <c r="F105" s="7"/>
      <c r="G105" s="7"/>
      <c r="H105" t="s">
        <v>67</v>
      </c>
      <c r="I105" t="s">
        <v>605</v>
      </c>
      <c r="J105" t="s">
        <v>69</v>
      </c>
      <c r="K105" t="s">
        <v>69</v>
      </c>
      <c r="L105" t="s">
        <v>69</v>
      </c>
      <c r="M105" t="s">
        <v>606</v>
      </c>
      <c r="N105" t="s">
        <v>69</v>
      </c>
      <c r="O105" t="s">
        <v>69</v>
      </c>
      <c r="P105" t="s">
        <v>607</v>
      </c>
      <c r="Q105" t="s">
        <v>608</v>
      </c>
      <c r="R105" t="s">
        <v>69</v>
      </c>
      <c r="S105" t="s">
        <v>69</v>
      </c>
      <c r="T105" t="s">
        <v>8505</v>
      </c>
      <c r="U105" t="s">
        <v>8506</v>
      </c>
      <c r="V105" t="s">
        <v>69</v>
      </c>
      <c r="W105" t="s">
        <v>69</v>
      </c>
      <c r="X105" t="s">
        <v>69</v>
      </c>
      <c r="Y105" t="s">
        <v>69</v>
      </c>
      <c r="Z105" t="s">
        <v>69</v>
      </c>
      <c r="AA105" t="s">
        <v>16721</v>
      </c>
      <c r="AB105" t="s">
        <v>16722</v>
      </c>
      <c r="AC105" t="s">
        <v>609</v>
      </c>
      <c r="AD105" t="s">
        <v>16723</v>
      </c>
      <c r="AE105" t="s">
        <v>69</v>
      </c>
      <c r="AF105" t="s">
        <v>16724</v>
      </c>
      <c r="AG105" t="s">
        <v>16725</v>
      </c>
      <c r="AH105" t="s">
        <v>69</v>
      </c>
      <c r="AI105" t="s">
        <v>610</v>
      </c>
      <c r="AJ105" t="s">
        <v>69</v>
      </c>
      <c r="AK105" t="s">
        <v>69</v>
      </c>
      <c r="AL105" t="s">
        <v>69</v>
      </c>
      <c r="AM105" t="s">
        <v>69</v>
      </c>
      <c r="AN105">
        <v>59</v>
      </c>
      <c r="AO105">
        <v>3</v>
      </c>
      <c r="AP105">
        <v>3</v>
      </c>
      <c r="AQ105">
        <v>3</v>
      </c>
      <c r="AR105">
        <v>6</v>
      </c>
      <c r="AS105" t="s">
        <v>9978</v>
      </c>
      <c r="AT105" t="s">
        <v>9979</v>
      </c>
      <c r="AU105" t="s">
        <v>9980</v>
      </c>
      <c r="AV105" t="s">
        <v>69</v>
      </c>
      <c r="AW105" t="s">
        <v>611</v>
      </c>
      <c r="AX105" t="s">
        <v>69</v>
      </c>
      <c r="AY105" t="s">
        <v>16726</v>
      </c>
      <c r="AZ105" t="s">
        <v>16727</v>
      </c>
      <c r="BA105" t="s">
        <v>255</v>
      </c>
      <c r="BB105">
        <v>2019</v>
      </c>
      <c r="BC105">
        <v>21</v>
      </c>
      <c r="BD105">
        <v>3</v>
      </c>
      <c r="BE105" t="s">
        <v>69</v>
      </c>
      <c r="BF105" t="s">
        <v>69</v>
      </c>
      <c r="BG105" t="s">
        <v>69</v>
      </c>
      <c r="BH105" t="s">
        <v>69</v>
      </c>
      <c r="BI105">
        <v>297</v>
      </c>
      <c r="BJ105">
        <v>326</v>
      </c>
      <c r="BK105" t="s">
        <v>69</v>
      </c>
      <c r="BL105" t="s">
        <v>612</v>
      </c>
      <c r="BM105" t="str">
        <f>HYPERLINK("http://dx.doi.org/10.1017/bap.2019.6","http://dx.doi.org/10.1017/bap.2019.6")</f>
        <v>http://dx.doi.org/10.1017/bap.2019.6</v>
      </c>
      <c r="BN105" t="s">
        <v>69</v>
      </c>
      <c r="BO105" t="s">
        <v>69</v>
      </c>
      <c r="BP105">
        <v>30</v>
      </c>
      <c r="BQ105" t="s">
        <v>16728</v>
      </c>
      <c r="BR105" t="s">
        <v>8661</v>
      </c>
      <c r="BS105" t="s">
        <v>16729</v>
      </c>
      <c r="BT105" t="s">
        <v>16730</v>
      </c>
      <c r="BU105" t="s">
        <v>613</v>
      </c>
      <c r="BV105" t="s">
        <v>69</v>
      </c>
      <c r="BW105" t="s">
        <v>10648</v>
      </c>
      <c r="BX105" t="s">
        <v>69</v>
      </c>
      <c r="BY105" t="s">
        <v>69</v>
      </c>
      <c r="BZ105" t="s">
        <v>8526</v>
      </c>
      <c r="CA105" t="str">
        <f>HYPERLINK("https%3A%2F%2Fwww.webofscience.com%2Fwos%2Fwoscc%2Ffull-record%2FWOS:000513003000001","View Full Record in Web of Science")</f>
        <v>View Full Record in Web of Science</v>
      </c>
    </row>
    <row r="106" spans="2:79" ht="12.5" x14ac:dyDescent="0.25">
      <c r="B106" t="s">
        <v>8495</v>
      </c>
      <c r="D106" s="22" t="s">
        <v>32931</v>
      </c>
      <c r="E106" s="7"/>
      <c r="F106" s="7"/>
      <c r="G106" s="7"/>
      <c r="H106" t="s">
        <v>67</v>
      </c>
      <c r="I106" t="s">
        <v>28719</v>
      </c>
      <c r="J106" t="s">
        <v>69</v>
      </c>
      <c r="K106" t="s">
        <v>69</v>
      </c>
      <c r="L106" t="s">
        <v>69</v>
      </c>
      <c r="M106" t="s">
        <v>28720</v>
      </c>
      <c r="N106" t="s">
        <v>69</v>
      </c>
      <c r="O106" t="s">
        <v>69</v>
      </c>
      <c r="P106" t="s">
        <v>28721</v>
      </c>
      <c r="Q106" t="s">
        <v>28722</v>
      </c>
      <c r="R106" t="s">
        <v>69</v>
      </c>
      <c r="S106" t="s">
        <v>69</v>
      </c>
      <c r="T106" t="s">
        <v>8505</v>
      </c>
      <c r="U106" t="s">
        <v>8506</v>
      </c>
      <c r="V106" t="s">
        <v>69</v>
      </c>
      <c r="W106" t="s">
        <v>69</v>
      </c>
      <c r="X106" t="s">
        <v>69</v>
      </c>
      <c r="Y106" t="s">
        <v>69</v>
      </c>
      <c r="Z106" t="s">
        <v>69</v>
      </c>
      <c r="AA106" t="s">
        <v>28723</v>
      </c>
      <c r="AB106" t="s">
        <v>69</v>
      </c>
      <c r="AC106" t="s">
        <v>28724</v>
      </c>
      <c r="AD106" t="s">
        <v>28725</v>
      </c>
      <c r="AE106" t="s">
        <v>69</v>
      </c>
      <c r="AF106" t="s">
        <v>28726</v>
      </c>
      <c r="AG106" t="s">
        <v>28727</v>
      </c>
      <c r="AH106" t="s">
        <v>69</v>
      </c>
      <c r="AI106" t="s">
        <v>69</v>
      </c>
      <c r="AJ106" t="s">
        <v>69</v>
      </c>
      <c r="AK106" t="s">
        <v>69</v>
      </c>
      <c r="AL106" t="s">
        <v>69</v>
      </c>
      <c r="AM106" t="s">
        <v>69</v>
      </c>
      <c r="AN106">
        <v>0</v>
      </c>
      <c r="AO106">
        <v>0</v>
      </c>
      <c r="AP106">
        <v>0</v>
      </c>
      <c r="AQ106">
        <v>0</v>
      </c>
      <c r="AR106">
        <v>0</v>
      </c>
      <c r="AS106" t="s">
        <v>28728</v>
      </c>
      <c r="AT106" t="s">
        <v>28729</v>
      </c>
      <c r="AU106" t="s">
        <v>28730</v>
      </c>
      <c r="AV106" t="s">
        <v>28731</v>
      </c>
      <c r="AW106" t="s">
        <v>28732</v>
      </c>
      <c r="AX106" t="s">
        <v>69</v>
      </c>
      <c r="AY106" t="s">
        <v>28733</v>
      </c>
      <c r="AZ106" t="s">
        <v>28734</v>
      </c>
      <c r="BA106" t="s">
        <v>69</v>
      </c>
      <c r="BB106">
        <v>2009</v>
      </c>
      <c r="BC106">
        <v>9</v>
      </c>
      <c r="BD106" t="s">
        <v>69</v>
      </c>
      <c r="BE106" t="s">
        <v>69</v>
      </c>
      <c r="BF106" t="s">
        <v>69</v>
      </c>
      <c r="BG106" t="s">
        <v>69</v>
      </c>
      <c r="BH106" t="s">
        <v>69</v>
      </c>
      <c r="BI106">
        <v>215</v>
      </c>
      <c r="BJ106">
        <v>229</v>
      </c>
      <c r="BK106" t="s">
        <v>69</v>
      </c>
      <c r="BL106" t="s">
        <v>69</v>
      </c>
      <c r="BM106" t="s">
        <v>69</v>
      </c>
      <c r="BN106" t="s">
        <v>69</v>
      </c>
      <c r="BO106" t="s">
        <v>69</v>
      </c>
      <c r="BP106">
        <v>15</v>
      </c>
      <c r="BQ106" t="s">
        <v>11206</v>
      </c>
      <c r="BR106" t="s">
        <v>8573</v>
      </c>
      <c r="BS106" t="s">
        <v>11208</v>
      </c>
      <c r="BT106" t="s">
        <v>28735</v>
      </c>
      <c r="BU106" t="s">
        <v>28736</v>
      </c>
      <c r="BV106" t="s">
        <v>69</v>
      </c>
      <c r="BW106" t="s">
        <v>69</v>
      </c>
      <c r="BX106" t="s">
        <v>69</v>
      </c>
      <c r="BY106" t="s">
        <v>69</v>
      </c>
      <c r="BZ106" t="s">
        <v>8526</v>
      </c>
      <c r="CA106" t="str">
        <f>HYPERLINK("https%3A%2F%2Fwww.webofscience.com%2Fwos%2Fwoscc%2Ffull-record%2FWOS:000216452200009","View Full Record in Web of Science")</f>
        <v>View Full Record in Web of Science</v>
      </c>
    </row>
    <row r="107" spans="2:79" ht="12.5" x14ac:dyDescent="0.25">
      <c r="B107" t="s">
        <v>8495</v>
      </c>
      <c r="D107" s="22" t="s">
        <v>32931</v>
      </c>
      <c r="E107" s="7"/>
      <c r="F107" s="7"/>
      <c r="G107" s="7"/>
      <c r="H107" t="s">
        <v>67</v>
      </c>
      <c r="I107" t="s">
        <v>12783</v>
      </c>
      <c r="J107" t="s">
        <v>69</v>
      </c>
      <c r="K107" t="s">
        <v>69</v>
      </c>
      <c r="L107" t="s">
        <v>69</v>
      </c>
      <c r="M107" t="s">
        <v>12784</v>
      </c>
      <c r="N107" t="s">
        <v>69</v>
      </c>
      <c r="O107" t="s">
        <v>69</v>
      </c>
      <c r="P107" t="s">
        <v>12785</v>
      </c>
      <c r="Q107" t="s">
        <v>5875</v>
      </c>
      <c r="R107" t="s">
        <v>69</v>
      </c>
      <c r="S107" t="s">
        <v>69</v>
      </c>
      <c r="T107" t="s">
        <v>8505</v>
      </c>
      <c r="U107" t="s">
        <v>8506</v>
      </c>
      <c r="V107" t="s">
        <v>69</v>
      </c>
      <c r="W107" t="s">
        <v>69</v>
      </c>
      <c r="X107" t="s">
        <v>69</v>
      </c>
      <c r="Y107" t="s">
        <v>69</v>
      </c>
      <c r="Z107" t="s">
        <v>69</v>
      </c>
      <c r="AA107" t="s">
        <v>12786</v>
      </c>
      <c r="AB107" t="s">
        <v>69</v>
      </c>
      <c r="AC107" t="s">
        <v>12787</v>
      </c>
      <c r="AD107" t="s">
        <v>12788</v>
      </c>
      <c r="AE107" t="s">
        <v>69</v>
      </c>
      <c r="AF107" t="s">
        <v>12789</v>
      </c>
      <c r="AG107" t="s">
        <v>12790</v>
      </c>
      <c r="AH107" t="s">
        <v>69</v>
      </c>
      <c r="AI107" t="s">
        <v>69</v>
      </c>
      <c r="AJ107" t="s">
        <v>12791</v>
      </c>
      <c r="AK107" t="s">
        <v>12792</v>
      </c>
      <c r="AL107" t="s">
        <v>12793</v>
      </c>
      <c r="AM107" t="s">
        <v>69</v>
      </c>
      <c r="AN107">
        <v>8</v>
      </c>
      <c r="AO107">
        <v>1</v>
      </c>
      <c r="AP107">
        <v>1</v>
      </c>
      <c r="AQ107">
        <v>1</v>
      </c>
      <c r="AR107">
        <v>4</v>
      </c>
      <c r="AS107" t="s">
        <v>8846</v>
      </c>
      <c r="AT107" t="s">
        <v>8847</v>
      </c>
      <c r="AU107" t="s">
        <v>8848</v>
      </c>
      <c r="AV107" t="s">
        <v>5877</v>
      </c>
      <c r="AW107" t="s">
        <v>5878</v>
      </c>
      <c r="AX107" t="s">
        <v>69</v>
      </c>
      <c r="AY107" t="s">
        <v>12794</v>
      </c>
      <c r="AZ107" t="s">
        <v>12795</v>
      </c>
      <c r="BA107" t="s">
        <v>246</v>
      </c>
      <c r="BB107">
        <v>2021</v>
      </c>
      <c r="BC107">
        <v>40</v>
      </c>
      <c r="BD107">
        <v>4</v>
      </c>
      <c r="BE107" t="s">
        <v>69</v>
      </c>
      <c r="BF107" t="s">
        <v>69</v>
      </c>
      <c r="BG107" t="s">
        <v>69</v>
      </c>
      <c r="BH107" t="s">
        <v>69</v>
      </c>
      <c r="BI107">
        <v>1188</v>
      </c>
      <c r="BJ107">
        <v>1193</v>
      </c>
      <c r="BK107" t="s">
        <v>69</v>
      </c>
      <c r="BL107" t="s">
        <v>12796</v>
      </c>
      <c r="BM107" t="str">
        <f>HYPERLINK("http://dx.doi.org/10.1002/etc.4977","http://dx.doi.org/10.1002/etc.4977")</f>
        <v>http://dx.doi.org/10.1002/etc.4977</v>
      </c>
      <c r="BN107" t="s">
        <v>69</v>
      </c>
      <c r="BO107" t="s">
        <v>12704</v>
      </c>
      <c r="BP107">
        <v>6</v>
      </c>
      <c r="BQ107" t="s">
        <v>12797</v>
      </c>
      <c r="BR107" t="s">
        <v>8548</v>
      </c>
      <c r="BS107" t="s">
        <v>12798</v>
      </c>
      <c r="BT107" t="s">
        <v>12799</v>
      </c>
      <c r="BU107" t="s">
        <v>12800</v>
      </c>
      <c r="BV107">
        <v>33369771</v>
      </c>
      <c r="BW107" t="s">
        <v>69</v>
      </c>
      <c r="BX107" t="s">
        <v>69</v>
      </c>
      <c r="BY107" t="s">
        <v>69</v>
      </c>
      <c r="BZ107" t="s">
        <v>8526</v>
      </c>
      <c r="CA107" t="str">
        <f>HYPERLINK("https%3A%2F%2Fwww.webofscience.com%2Fwos%2Fwoscc%2Ffull-record%2FWOS:000626983400001","View Full Record in Web of Science")</f>
        <v>View Full Record in Web of Science</v>
      </c>
    </row>
    <row r="108" spans="2:79" x14ac:dyDescent="0.3">
      <c r="B108" t="s">
        <v>8495</v>
      </c>
      <c r="D108" s="9" t="s">
        <v>32973</v>
      </c>
      <c r="E108" s="9" t="s">
        <v>33156</v>
      </c>
      <c r="F108" s="10" t="s">
        <v>8490</v>
      </c>
      <c r="G108" s="9" t="s">
        <v>8490</v>
      </c>
      <c r="H108" t="s">
        <v>67</v>
      </c>
      <c r="I108" t="s">
        <v>21613</v>
      </c>
      <c r="J108" t="s">
        <v>69</v>
      </c>
      <c r="K108" t="s">
        <v>69</v>
      </c>
      <c r="L108" t="s">
        <v>69</v>
      </c>
      <c r="M108" t="s">
        <v>21614</v>
      </c>
      <c r="N108" t="s">
        <v>69</v>
      </c>
      <c r="O108" t="s">
        <v>69</v>
      </c>
      <c r="P108" t="s">
        <v>21615</v>
      </c>
      <c r="Q108" t="s">
        <v>21616</v>
      </c>
      <c r="R108" t="s">
        <v>69</v>
      </c>
      <c r="S108" t="s">
        <v>69</v>
      </c>
      <c r="T108" t="s">
        <v>8505</v>
      </c>
      <c r="U108" t="s">
        <v>8506</v>
      </c>
      <c r="V108" t="s">
        <v>69</v>
      </c>
      <c r="W108" t="s">
        <v>69</v>
      </c>
      <c r="X108" t="s">
        <v>69</v>
      </c>
      <c r="Y108" t="s">
        <v>69</v>
      </c>
      <c r="Z108" t="s">
        <v>69</v>
      </c>
      <c r="AA108" t="s">
        <v>21617</v>
      </c>
      <c r="AB108" t="s">
        <v>21618</v>
      </c>
      <c r="AC108" t="s">
        <v>21619</v>
      </c>
      <c r="AD108" t="s">
        <v>21620</v>
      </c>
      <c r="AE108" t="s">
        <v>69</v>
      </c>
      <c r="AF108" t="s">
        <v>21621</v>
      </c>
      <c r="AG108" t="s">
        <v>21622</v>
      </c>
      <c r="AH108" t="s">
        <v>21623</v>
      </c>
      <c r="AI108" t="s">
        <v>21624</v>
      </c>
      <c r="AJ108" t="s">
        <v>69</v>
      </c>
      <c r="AK108" t="s">
        <v>69</v>
      </c>
      <c r="AL108" t="s">
        <v>69</v>
      </c>
      <c r="AM108" t="s">
        <v>69</v>
      </c>
      <c r="AN108">
        <v>36</v>
      </c>
      <c r="AO108">
        <v>5</v>
      </c>
      <c r="AP108">
        <v>5</v>
      </c>
      <c r="AQ108">
        <v>0</v>
      </c>
      <c r="AR108">
        <v>4</v>
      </c>
      <c r="AS108" t="s">
        <v>8516</v>
      </c>
      <c r="AT108" t="s">
        <v>8517</v>
      </c>
      <c r="AU108" t="s">
        <v>8518</v>
      </c>
      <c r="AV108" t="s">
        <v>21625</v>
      </c>
      <c r="AW108" t="s">
        <v>21626</v>
      </c>
      <c r="AX108" t="s">
        <v>69</v>
      </c>
      <c r="AY108" t="s">
        <v>21627</v>
      </c>
      <c r="AZ108" t="s">
        <v>21628</v>
      </c>
      <c r="BA108" t="s">
        <v>155</v>
      </c>
      <c r="BB108">
        <v>2016</v>
      </c>
      <c r="BC108">
        <v>5</v>
      </c>
      <c r="BD108">
        <v>2</v>
      </c>
      <c r="BE108" t="s">
        <v>69</v>
      </c>
      <c r="BF108" t="s">
        <v>69</v>
      </c>
      <c r="BG108" t="s">
        <v>69</v>
      </c>
      <c r="BH108" t="s">
        <v>69</v>
      </c>
      <c r="BI108">
        <v>254</v>
      </c>
      <c r="BJ108">
        <v>264</v>
      </c>
      <c r="BK108" t="s">
        <v>69</v>
      </c>
      <c r="BL108" t="s">
        <v>21629</v>
      </c>
      <c r="BM108" t="str">
        <f>HYPERLINK("http://dx.doi.org/10.1016/j.foar.2016.01.003","http://dx.doi.org/10.1016/j.foar.2016.01.003")</f>
        <v>http://dx.doi.org/10.1016/j.foar.2016.01.003</v>
      </c>
      <c r="BN108" t="s">
        <v>69</v>
      </c>
      <c r="BO108" t="s">
        <v>69</v>
      </c>
      <c r="BP108">
        <v>11</v>
      </c>
      <c r="BQ108" t="s">
        <v>8449</v>
      </c>
      <c r="BR108" t="s">
        <v>8573</v>
      </c>
      <c r="BS108" t="s">
        <v>8449</v>
      </c>
      <c r="BT108" t="s">
        <v>21630</v>
      </c>
      <c r="BU108" t="s">
        <v>21631</v>
      </c>
      <c r="BV108" t="s">
        <v>69</v>
      </c>
      <c r="BW108" t="s">
        <v>9352</v>
      </c>
      <c r="BX108" t="s">
        <v>69</v>
      </c>
      <c r="BY108" t="s">
        <v>69</v>
      </c>
      <c r="BZ108" t="s">
        <v>8526</v>
      </c>
      <c r="CA108" t="str">
        <f>HYPERLINK("https%3A%2F%2Fwww.webofscience.com%2Fwos%2Fwoscc%2Ffull-record%2FWOS:000377455500009","View Full Record in Web of Science")</f>
        <v>View Full Record in Web of Science</v>
      </c>
    </row>
    <row r="109" spans="2:79" ht="12.5" x14ac:dyDescent="0.25">
      <c r="B109" t="s">
        <v>8495</v>
      </c>
      <c r="D109" s="7" t="s">
        <v>32933</v>
      </c>
      <c r="E109" s="7"/>
      <c r="F109" s="7"/>
      <c r="G109" s="7"/>
      <c r="H109" t="s">
        <v>67</v>
      </c>
      <c r="I109" t="s">
        <v>6354</v>
      </c>
      <c r="J109" t="s">
        <v>69</v>
      </c>
      <c r="K109" t="s">
        <v>69</v>
      </c>
      <c r="L109" t="s">
        <v>69</v>
      </c>
      <c r="M109" t="s">
        <v>6355</v>
      </c>
      <c r="N109" t="s">
        <v>69</v>
      </c>
      <c r="O109" t="s">
        <v>69</v>
      </c>
      <c r="P109" t="s">
        <v>6356</v>
      </c>
      <c r="Q109" t="s">
        <v>2691</v>
      </c>
      <c r="R109" t="s">
        <v>69</v>
      </c>
      <c r="S109" t="s">
        <v>69</v>
      </c>
      <c r="T109" t="s">
        <v>8505</v>
      </c>
      <c r="U109" t="s">
        <v>8506</v>
      </c>
      <c r="V109" t="s">
        <v>69</v>
      </c>
      <c r="W109" t="s">
        <v>69</v>
      </c>
      <c r="X109" t="s">
        <v>69</v>
      </c>
      <c r="Y109" t="s">
        <v>69</v>
      </c>
      <c r="Z109" t="s">
        <v>69</v>
      </c>
      <c r="AA109" t="s">
        <v>28045</v>
      </c>
      <c r="AB109" t="s">
        <v>28046</v>
      </c>
      <c r="AC109" t="s">
        <v>6357</v>
      </c>
      <c r="AD109" t="s">
        <v>28047</v>
      </c>
      <c r="AE109" t="s">
        <v>69</v>
      </c>
      <c r="AF109" t="s">
        <v>28048</v>
      </c>
      <c r="AG109" t="s">
        <v>28049</v>
      </c>
      <c r="AH109" t="s">
        <v>28050</v>
      </c>
      <c r="AI109" t="s">
        <v>28051</v>
      </c>
      <c r="AJ109" t="s">
        <v>69</v>
      </c>
      <c r="AK109" t="s">
        <v>69</v>
      </c>
      <c r="AL109" t="s">
        <v>69</v>
      </c>
      <c r="AM109" t="s">
        <v>69</v>
      </c>
      <c r="AN109">
        <v>42</v>
      </c>
      <c r="AO109">
        <v>14</v>
      </c>
      <c r="AP109">
        <v>15</v>
      </c>
      <c r="AQ109">
        <v>1</v>
      </c>
      <c r="AR109">
        <v>27</v>
      </c>
      <c r="AS109" t="s">
        <v>8586</v>
      </c>
      <c r="AT109" t="s">
        <v>8587</v>
      </c>
      <c r="AU109" t="s">
        <v>8588</v>
      </c>
      <c r="AV109" t="s">
        <v>2693</v>
      </c>
      <c r="AW109" t="s">
        <v>2694</v>
      </c>
      <c r="AX109" t="s">
        <v>69</v>
      </c>
      <c r="AY109" t="s">
        <v>20616</v>
      </c>
      <c r="AZ109" t="s">
        <v>20617</v>
      </c>
      <c r="BA109" t="s">
        <v>69</v>
      </c>
      <c r="BB109">
        <v>2010</v>
      </c>
      <c r="BC109">
        <v>2</v>
      </c>
      <c r="BD109">
        <v>1</v>
      </c>
      <c r="BE109" t="s">
        <v>69</v>
      </c>
      <c r="BF109" t="s">
        <v>69</v>
      </c>
      <c r="BG109" t="s">
        <v>69</v>
      </c>
      <c r="BH109" t="s">
        <v>69</v>
      </c>
      <c r="BI109">
        <v>84</v>
      </c>
      <c r="BJ109">
        <v>97</v>
      </c>
      <c r="BK109" t="s">
        <v>69</v>
      </c>
      <c r="BL109" t="s">
        <v>6358</v>
      </c>
      <c r="BM109" t="str">
        <f>HYPERLINK("http://dx.doi.org/10.1108/17568691011020274","http://dx.doi.org/10.1108/17568691011020274")</f>
        <v>http://dx.doi.org/10.1108/17568691011020274</v>
      </c>
      <c r="BN109" t="s">
        <v>69</v>
      </c>
      <c r="BO109" t="s">
        <v>69</v>
      </c>
      <c r="BP109">
        <v>14</v>
      </c>
      <c r="BQ109" t="s">
        <v>8660</v>
      </c>
      <c r="BR109" t="s">
        <v>8661</v>
      </c>
      <c r="BS109" t="s">
        <v>8662</v>
      </c>
      <c r="BT109" t="s">
        <v>28052</v>
      </c>
      <c r="BU109" t="s">
        <v>6359</v>
      </c>
      <c r="BV109" t="s">
        <v>69</v>
      </c>
      <c r="BW109" t="s">
        <v>69</v>
      </c>
      <c r="BX109" t="s">
        <v>69</v>
      </c>
      <c r="BY109" t="s">
        <v>69</v>
      </c>
      <c r="BZ109" t="s">
        <v>8526</v>
      </c>
      <c r="CA109" t="str">
        <f>HYPERLINK("https%3A%2F%2Fwww.webofscience.com%2Fwos%2Fwoscc%2Ffull-record%2FWOS:000290086200006","View Full Record in Web of Science")</f>
        <v>View Full Record in Web of Science</v>
      </c>
    </row>
    <row r="110" spans="2:79" ht="12.5" x14ac:dyDescent="0.25">
      <c r="B110" t="s">
        <v>8495</v>
      </c>
      <c r="D110" s="7" t="s">
        <v>32933</v>
      </c>
      <c r="E110" s="7"/>
      <c r="F110" s="7"/>
      <c r="G110" s="7"/>
      <c r="H110" t="s">
        <v>67</v>
      </c>
      <c r="I110" t="s">
        <v>4596</v>
      </c>
      <c r="J110" t="s">
        <v>69</v>
      </c>
      <c r="K110" t="s">
        <v>69</v>
      </c>
      <c r="L110" t="s">
        <v>69</v>
      </c>
      <c r="M110" t="s">
        <v>4597</v>
      </c>
      <c r="N110" t="s">
        <v>69</v>
      </c>
      <c r="O110" t="s">
        <v>69</v>
      </c>
      <c r="P110" t="s">
        <v>4598</v>
      </c>
      <c r="Q110" t="s">
        <v>4599</v>
      </c>
      <c r="R110" t="s">
        <v>69</v>
      </c>
      <c r="S110" t="s">
        <v>69</v>
      </c>
      <c r="T110" t="s">
        <v>8505</v>
      </c>
      <c r="U110" t="s">
        <v>8506</v>
      </c>
      <c r="V110" t="s">
        <v>69</v>
      </c>
      <c r="W110" t="s">
        <v>69</v>
      </c>
      <c r="X110" t="s">
        <v>69</v>
      </c>
      <c r="Y110" t="s">
        <v>69</v>
      </c>
      <c r="Z110" t="s">
        <v>69</v>
      </c>
      <c r="AA110" t="s">
        <v>21842</v>
      </c>
      <c r="AB110" t="s">
        <v>21843</v>
      </c>
      <c r="AC110" t="s">
        <v>4600</v>
      </c>
      <c r="AD110" t="s">
        <v>21844</v>
      </c>
      <c r="AE110" t="s">
        <v>69</v>
      </c>
      <c r="AF110" t="s">
        <v>21845</v>
      </c>
      <c r="AG110" t="s">
        <v>21846</v>
      </c>
      <c r="AH110" t="s">
        <v>69</v>
      </c>
      <c r="AI110" t="s">
        <v>69</v>
      </c>
      <c r="AJ110" t="s">
        <v>21847</v>
      </c>
      <c r="AK110" t="s">
        <v>21848</v>
      </c>
      <c r="AL110" t="s">
        <v>21849</v>
      </c>
      <c r="AM110" t="s">
        <v>69</v>
      </c>
      <c r="AN110">
        <v>55</v>
      </c>
      <c r="AO110">
        <v>16</v>
      </c>
      <c r="AP110">
        <v>16</v>
      </c>
      <c r="AQ110">
        <v>1</v>
      </c>
      <c r="AR110">
        <v>59</v>
      </c>
      <c r="AS110" t="s">
        <v>8846</v>
      </c>
      <c r="AT110" t="s">
        <v>8847</v>
      </c>
      <c r="AU110" t="s">
        <v>8848</v>
      </c>
      <c r="AV110" t="s">
        <v>4601</v>
      </c>
      <c r="AW110" t="s">
        <v>4602</v>
      </c>
      <c r="AX110" t="s">
        <v>69</v>
      </c>
      <c r="AY110" t="s">
        <v>8849</v>
      </c>
      <c r="AZ110" t="s">
        <v>8850</v>
      </c>
      <c r="BA110" t="s">
        <v>191</v>
      </c>
      <c r="BB110">
        <v>2016</v>
      </c>
      <c r="BC110">
        <v>52</v>
      </c>
      <c r="BD110">
        <v>1</v>
      </c>
      <c r="BE110" t="s">
        <v>69</v>
      </c>
      <c r="BF110" t="s">
        <v>69</v>
      </c>
      <c r="BG110" t="s">
        <v>69</v>
      </c>
      <c r="BH110" t="s">
        <v>69</v>
      </c>
      <c r="BI110">
        <v>222</v>
      </c>
      <c r="BJ110">
        <v>240</v>
      </c>
      <c r="BK110" t="s">
        <v>69</v>
      </c>
      <c r="BL110" t="s">
        <v>4603</v>
      </c>
      <c r="BM110" t="str">
        <f>HYPERLINK("http://dx.doi.org/10.1111/1752-1688.12378","http://dx.doi.org/10.1111/1752-1688.12378")</f>
        <v>http://dx.doi.org/10.1111/1752-1688.12378</v>
      </c>
      <c r="BN110" t="s">
        <v>69</v>
      </c>
      <c r="BO110" t="s">
        <v>69</v>
      </c>
      <c r="BP110">
        <v>19</v>
      </c>
      <c r="BQ110" t="s">
        <v>8852</v>
      </c>
      <c r="BR110" t="s">
        <v>8548</v>
      </c>
      <c r="BS110" t="s">
        <v>8853</v>
      </c>
      <c r="BT110" t="s">
        <v>21850</v>
      </c>
      <c r="BU110" t="s">
        <v>4604</v>
      </c>
      <c r="BV110" t="s">
        <v>69</v>
      </c>
      <c r="BW110" t="s">
        <v>69</v>
      </c>
      <c r="BX110" t="s">
        <v>69</v>
      </c>
      <c r="BY110" t="s">
        <v>69</v>
      </c>
      <c r="BZ110" t="s">
        <v>8526</v>
      </c>
      <c r="CA110" t="str">
        <f>HYPERLINK("https%3A%2F%2Fwww.webofscience.com%2Fwos%2Fwoscc%2Ffull-record%2FWOS:000369999100015","View Full Record in Web of Science")</f>
        <v>View Full Record in Web of Science</v>
      </c>
    </row>
    <row r="111" spans="2:79" ht="12.5" x14ac:dyDescent="0.25">
      <c r="B111" t="s">
        <v>8495</v>
      </c>
      <c r="D111" s="22" t="s">
        <v>32931</v>
      </c>
      <c r="E111" s="7"/>
      <c r="F111" s="7"/>
      <c r="G111" s="7"/>
      <c r="H111" t="s">
        <v>67</v>
      </c>
      <c r="I111" t="s">
        <v>23797</v>
      </c>
      <c r="J111" t="s">
        <v>69</v>
      </c>
      <c r="M111" t="s">
        <v>23798</v>
      </c>
      <c r="N111" t="s">
        <v>69</v>
      </c>
      <c r="O111" t="s">
        <v>69</v>
      </c>
      <c r="P111" t="s">
        <v>23799</v>
      </c>
      <c r="Q111" t="s">
        <v>12117</v>
      </c>
      <c r="R111" t="s">
        <v>69</v>
      </c>
      <c r="S111" t="s">
        <v>69</v>
      </c>
      <c r="T111" t="s">
        <v>8505</v>
      </c>
      <c r="U111" t="s">
        <v>8506</v>
      </c>
      <c r="V111" t="s">
        <v>69</v>
      </c>
      <c r="W111" t="s">
        <v>69</v>
      </c>
      <c r="X111" t="s">
        <v>69</v>
      </c>
      <c r="Y111" t="s">
        <v>69</v>
      </c>
      <c r="Z111" t="s">
        <v>69</v>
      </c>
      <c r="AA111" t="s">
        <v>23800</v>
      </c>
      <c r="AB111" t="s">
        <v>23801</v>
      </c>
      <c r="AC111" t="s">
        <v>23802</v>
      </c>
      <c r="AD111" t="s">
        <v>23803</v>
      </c>
      <c r="AE111" t="s">
        <v>69</v>
      </c>
      <c r="AF111" t="s">
        <v>23804</v>
      </c>
      <c r="AG111" t="s">
        <v>23805</v>
      </c>
      <c r="AH111" t="s">
        <v>23806</v>
      </c>
      <c r="AI111" t="s">
        <v>23807</v>
      </c>
      <c r="AJ111" t="s">
        <v>69</v>
      </c>
      <c r="AK111" t="s">
        <v>69</v>
      </c>
      <c r="AL111" t="s">
        <v>69</v>
      </c>
      <c r="AM111" t="s">
        <v>69</v>
      </c>
      <c r="AN111">
        <v>32</v>
      </c>
      <c r="AO111">
        <v>9</v>
      </c>
      <c r="AP111">
        <v>10</v>
      </c>
      <c r="AQ111">
        <v>2</v>
      </c>
      <c r="AR111">
        <v>26</v>
      </c>
      <c r="AS111" t="s">
        <v>8846</v>
      </c>
      <c r="AT111" t="s">
        <v>8847</v>
      </c>
      <c r="AU111" t="s">
        <v>8848</v>
      </c>
      <c r="AV111" t="s">
        <v>12126</v>
      </c>
      <c r="AW111" t="s">
        <v>12127</v>
      </c>
      <c r="AX111" t="s">
        <v>69</v>
      </c>
      <c r="AY111" t="s">
        <v>12128</v>
      </c>
      <c r="AZ111" t="s">
        <v>12129</v>
      </c>
      <c r="BA111" t="s">
        <v>1375</v>
      </c>
      <c r="BB111">
        <v>2014</v>
      </c>
      <c r="BC111">
        <v>21</v>
      </c>
      <c r="BD111">
        <v>3</v>
      </c>
      <c r="BE111" t="s">
        <v>69</v>
      </c>
      <c r="BF111" t="s">
        <v>69</v>
      </c>
      <c r="BG111" t="s">
        <v>114</v>
      </c>
      <c r="BH111" t="s">
        <v>69</v>
      </c>
      <c r="BI111">
        <v>155</v>
      </c>
      <c r="BJ111">
        <v>166</v>
      </c>
      <c r="BK111" t="s">
        <v>69</v>
      </c>
      <c r="BL111" t="s">
        <v>23808</v>
      </c>
      <c r="BM111" t="str">
        <f>HYPERLINK("http://dx.doi.org/10.1002/csr.1314","http://dx.doi.org/10.1002/csr.1314")</f>
        <v>http://dx.doi.org/10.1002/csr.1314</v>
      </c>
      <c r="BN111" t="s">
        <v>69</v>
      </c>
      <c r="BO111" t="s">
        <v>69</v>
      </c>
      <c r="BP111">
        <v>12</v>
      </c>
      <c r="BQ111" t="s">
        <v>9113</v>
      </c>
      <c r="BR111" t="s">
        <v>8661</v>
      </c>
      <c r="BS111" t="s">
        <v>9114</v>
      </c>
      <c r="BT111" t="s">
        <v>23809</v>
      </c>
      <c r="BU111" t="s">
        <v>23810</v>
      </c>
      <c r="BV111" t="s">
        <v>69</v>
      </c>
      <c r="BW111" t="s">
        <v>10423</v>
      </c>
      <c r="BX111" t="s">
        <v>69</v>
      </c>
      <c r="BY111" t="s">
        <v>69</v>
      </c>
      <c r="BZ111" t="s">
        <v>8526</v>
      </c>
      <c r="CA111" t="str">
        <f>HYPERLINK("https%3A%2F%2Fwww.webofscience.com%2Fwos%2Fwoscc%2Ffull-record%2FWOS:000340291000004","View Full Record in Web of Science")</f>
        <v>View Full Record in Web of Science</v>
      </c>
    </row>
    <row r="112" spans="2:79" ht="12.5" x14ac:dyDescent="0.25">
      <c r="B112" t="s">
        <v>8495</v>
      </c>
      <c r="D112" s="22" t="s">
        <v>32931</v>
      </c>
      <c r="E112" s="7"/>
      <c r="F112" s="7"/>
      <c r="G112" s="7"/>
      <c r="H112" t="s">
        <v>67</v>
      </c>
      <c r="I112" t="s">
        <v>11139</v>
      </c>
      <c r="J112" t="s">
        <v>69</v>
      </c>
      <c r="K112" t="s">
        <v>69</v>
      </c>
      <c r="L112" t="s">
        <v>69</v>
      </c>
      <c r="M112" t="s">
        <v>11140</v>
      </c>
      <c r="N112" t="s">
        <v>69</v>
      </c>
      <c r="O112" t="s">
        <v>69</v>
      </c>
      <c r="P112" t="s">
        <v>11141</v>
      </c>
      <c r="Q112" t="s">
        <v>11142</v>
      </c>
      <c r="R112" t="s">
        <v>69</v>
      </c>
      <c r="S112" t="s">
        <v>69</v>
      </c>
      <c r="T112" t="s">
        <v>8505</v>
      </c>
      <c r="U112" t="s">
        <v>8442</v>
      </c>
      <c r="V112" t="s">
        <v>69</v>
      </c>
      <c r="W112" t="s">
        <v>69</v>
      </c>
      <c r="X112" t="s">
        <v>69</v>
      </c>
      <c r="Y112" t="s">
        <v>69</v>
      </c>
      <c r="Z112" t="s">
        <v>69</v>
      </c>
      <c r="AA112" t="s">
        <v>11143</v>
      </c>
      <c r="AB112" t="s">
        <v>11144</v>
      </c>
      <c r="AC112" t="s">
        <v>11145</v>
      </c>
      <c r="AD112" t="s">
        <v>11146</v>
      </c>
      <c r="AE112" t="s">
        <v>69</v>
      </c>
      <c r="AF112" t="s">
        <v>11147</v>
      </c>
      <c r="AG112" t="s">
        <v>11148</v>
      </c>
      <c r="AH112" t="s">
        <v>69</v>
      </c>
      <c r="AI112" t="s">
        <v>11149</v>
      </c>
      <c r="AJ112" t="s">
        <v>69</v>
      </c>
      <c r="AK112" t="s">
        <v>69</v>
      </c>
      <c r="AL112" t="s">
        <v>69</v>
      </c>
      <c r="AM112" t="s">
        <v>69</v>
      </c>
      <c r="AN112">
        <v>109</v>
      </c>
      <c r="AO112">
        <v>0</v>
      </c>
      <c r="AP112">
        <v>0</v>
      </c>
      <c r="AQ112">
        <v>1</v>
      </c>
      <c r="AR112">
        <v>7</v>
      </c>
      <c r="AS112" t="s">
        <v>8516</v>
      </c>
      <c r="AT112" t="s">
        <v>8517</v>
      </c>
      <c r="AU112" t="s">
        <v>8518</v>
      </c>
      <c r="AV112" t="s">
        <v>11150</v>
      </c>
      <c r="AW112" t="s">
        <v>11151</v>
      </c>
      <c r="AX112" t="s">
        <v>69</v>
      </c>
      <c r="AY112" t="s">
        <v>11152</v>
      </c>
      <c r="AZ112" t="s">
        <v>11153</v>
      </c>
      <c r="BA112" t="s">
        <v>373</v>
      </c>
      <c r="BB112">
        <v>2022</v>
      </c>
      <c r="BC112">
        <v>58</v>
      </c>
      <c r="BD112" t="s">
        <v>69</v>
      </c>
      <c r="BE112" t="s">
        <v>69</v>
      </c>
      <c r="BF112" t="s">
        <v>69</v>
      </c>
      <c r="BG112" t="s">
        <v>69</v>
      </c>
      <c r="BH112" t="s">
        <v>69</v>
      </c>
      <c r="BI112" t="s">
        <v>69</v>
      </c>
      <c r="BJ112" t="s">
        <v>69</v>
      </c>
      <c r="BK112">
        <v>102075</v>
      </c>
      <c r="BL112" t="s">
        <v>11154</v>
      </c>
      <c r="BM112" t="str">
        <f>HYPERLINK("http://dx.doi.org/10.1016/j.psychsport.2021.102075","http://dx.doi.org/10.1016/j.psychsport.2021.102075")</f>
        <v>http://dx.doi.org/10.1016/j.psychsport.2021.102075</v>
      </c>
      <c r="BN112" t="s">
        <v>69</v>
      </c>
      <c r="BO112" t="s">
        <v>10991</v>
      </c>
      <c r="BP112">
        <v>10</v>
      </c>
      <c r="BQ112" t="s">
        <v>10399</v>
      </c>
      <c r="BR112" t="s">
        <v>8523</v>
      </c>
      <c r="BS112" t="s">
        <v>10400</v>
      </c>
      <c r="BT112" t="s">
        <v>11155</v>
      </c>
      <c r="BU112" t="s">
        <v>11156</v>
      </c>
      <c r="BV112" t="s">
        <v>69</v>
      </c>
      <c r="BW112" t="s">
        <v>69</v>
      </c>
      <c r="BX112" t="s">
        <v>69</v>
      </c>
      <c r="BY112" t="s">
        <v>69</v>
      </c>
      <c r="BZ112" t="s">
        <v>8526</v>
      </c>
      <c r="CA112" t="str">
        <f>HYPERLINK("https%3A%2F%2Fwww.webofscience.com%2Fwos%2Fwoscc%2Ffull-record%2FWOS:000710000400009","View Full Record in Web of Science")</f>
        <v>View Full Record in Web of Science</v>
      </c>
    </row>
    <row r="113" spans="2:79" ht="12.5" x14ac:dyDescent="0.25">
      <c r="B113" t="s">
        <v>8495</v>
      </c>
      <c r="D113" s="24" t="s">
        <v>32941</v>
      </c>
      <c r="E113" s="7" t="s">
        <v>33083</v>
      </c>
      <c r="F113" s="7"/>
      <c r="G113" s="7" t="s">
        <v>8490</v>
      </c>
      <c r="H113" t="s">
        <v>67</v>
      </c>
      <c r="I113" t="s">
        <v>30522</v>
      </c>
      <c r="J113" t="s">
        <v>69</v>
      </c>
      <c r="K113" t="s">
        <v>69</v>
      </c>
      <c r="L113" t="s">
        <v>69</v>
      </c>
      <c r="M113" t="s">
        <v>30523</v>
      </c>
      <c r="N113" t="s">
        <v>69</v>
      </c>
      <c r="O113" t="s">
        <v>69</v>
      </c>
      <c r="P113" t="s">
        <v>30524</v>
      </c>
      <c r="Q113" t="s">
        <v>1969</v>
      </c>
      <c r="R113" t="s">
        <v>69</v>
      </c>
      <c r="S113" t="s">
        <v>69</v>
      </c>
      <c r="T113" t="s">
        <v>8505</v>
      </c>
      <c r="U113" t="s">
        <v>8506</v>
      </c>
      <c r="V113" t="s">
        <v>69</v>
      </c>
      <c r="W113" t="s">
        <v>69</v>
      </c>
      <c r="X113" t="s">
        <v>69</v>
      </c>
      <c r="Y113" t="s">
        <v>69</v>
      </c>
      <c r="Z113" t="s">
        <v>69</v>
      </c>
      <c r="AA113" t="s">
        <v>30525</v>
      </c>
      <c r="AB113" t="s">
        <v>69</v>
      </c>
      <c r="AC113" t="s">
        <v>30526</v>
      </c>
      <c r="AD113" t="s">
        <v>30527</v>
      </c>
      <c r="AE113" t="s">
        <v>69</v>
      </c>
      <c r="AF113" t="s">
        <v>30528</v>
      </c>
      <c r="AG113" t="s">
        <v>30529</v>
      </c>
      <c r="AH113" t="s">
        <v>69</v>
      </c>
      <c r="AI113" t="s">
        <v>30530</v>
      </c>
      <c r="AJ113" t="s">
        <v>69</v>
      </c>
      <c r="AK113" t="s">
        <v>69</v>
      </c>
      <c r="AL113" t="s">
        <v>69</v>
      </c>
      <c r="AM113" t="s">
        <v>69</v>
      </c>
      <c r="AN113">
        <v>56</v>
      </c>
      <c r="AO113">
        <v>38</v>
      </c>
      <c r="AP113">
        <v>39</v>
      </c>
      <c r="AQ113">
        <v>0</v>
      </c>
      <c r="AR113">
        <v>0</v>
      </c>
      <c r="AS113" t="s">
        <v>8586</v>
      </c>
      <c r="AT113" t="s">
        <v>8587</v>
      </c>
      <c r="AU113" t="s">
        <v>8588</v>
      </c>
      <c r="AV113" t="s">
        <v>1971</v>
      </c>
      <c r="AW113" t="s">
        <v>1972</v>
      </c>
      <c r="AX113" t="s">
        <v>69</v>
      </c>
      <c r="AY113" t="s">
        <v>15149</v>
      </c>
      <c r="AZ113" t="s">
        <v>15150</v>
      </c>
      <c r="BA113" t="s">
        <v>69</v>
      </c>
      <c r="BB113">
        <v>2006</v>
      </c>
      <c r="BC113">
        <v>17</v>
      </c>
      <c r="BD113">
        <v>6</v>
      </c>
      <c r="BE113" t="s">
        <v>69</v>
      </c>
      <c r="BF113" t="s">
        <v>69</v>
      </c>
      <c r="BG113" t="s">
        <v>69</v>
      </c>
      <c r="BH113" t="s">
        <v>69</v>
      </c>
      <c r="BI113">
        <v>689</v>
      </c>
      <c r="BJ113">
        <v>706</v>
      </c>
      <c r="BK113" t="s">
        <v>69</v>
      </c>
      <c r="BL113" t="s">
        <v>30531</v>
      </c>
      <c r="BM113" t="str">
        <f>HYPERLINK("http://dx.doi.org/10.1108/14777830610702520","http://dx.doi.org/10.1108/14777830610702520")</f>
        <v>http://dx.doi.org/10.1108/14777830610702520</v>
      </c>
      <c r="BN113" t="s">
        <v>69</v>
      </c>
      <c r="BO113" t="s">
        <v>69</v>
      </c>
      <c r="BP113">
        <v>18</v>
      </c>
      <c r="BQ113" t="s">
        <v>8660</v>
      </c>
      <c r="BR113" t="s">
        <v>8573</v>
      </c>
      <c r="BS113" t="s">
        <v>8662</v>
      </c>
      <c r="BT113" t="s">
        <v>30532</v>
      </c>
      <c r="BU113" t="s">
        <v>30533</v>
      </c>
      <c r="BV113" t="s">
        <v>69</v>
      </c>
      <c r="BW113" t="s">
        <v>69</v>
      </c>
      <c r="BX113" t="s">
        <v>69</v>
      </c>
      <c r="BY113" t="s">
        <v>69</v>
      </c>
      <c r="BZ113" t="s">
        <v>8526</v>
      </c>
      <c r="CA113" t="str">
        <f>HYPERLINK("https%3A%2F%2Fwww.webofscience.com%2Fwos%2Fwoscc%2Ffull-record%2FWOS:000415237400017","View Full Record in Web of Science")</f>
        <v>View Full Record in Web of Science</v>
      </c>
    </row>
    <row r="114" spans="2:79" ht="12.5" x14ac:dyDescent="0.25">
      <c r="B114" t="s">
        <v>8495</v>
      </c>
      <c r="D114" s="7" t="s">
        <v>32942</v>
      </c>
      <c r="E114" s="7"/>
      <c r="F114" s="7"/>
      <c r="G114" s="7" t="s">
        <v>33053</v>
      </c>
      <c r="H114" t="s">
        <v>67</v>
      </c>
      <c r="I114" t="s">
        <v>24914</v>
      </c>
      <c r="J114" t="s">
        <v>69</v>
      </c>
      <c r="K114" t="s">
        <v>69</v>
      </c>
      <c r="L114" t="s">
        <v>69</v>
      </c>
      <c r="M114" t="s">
        <v>24915</v>
      </c>
      <c r="N114" t="s">
        <v>69</v>
      </c>
      <c r="O114" t="s">
        <v>69</v>
      </c>
      <c r="P114" t="s">
        <v>24916</v>
      </c>
      <c r="Q114" t="s">
        <v>24917</v>
      </c>
      <c r="R114" t="s">
        <v>69</v>
      </c>
      <c r="S114" t="s">
        <v>69</v>
      </c>
      <c r="T114" t="s">
        <v>10153</v>
      </c>
      <c r="U114" t="s">
        <v>8506</v>
      </c>
      <c r="V114" t="s">
        <v>69</v>
      </c>
      <c r="W114" t="s">
        <v>69</v>
      </c>
      <c r="X114" t="s">
        <v>69</v>
      </c>
      <c r="Y114" t="s">
        <v>69</v>
      </c>
      <c r="Z114" t="s">
        <v>69</v>
      </c>
      <c r="AA114" t="s">
        <v>24918</v>
      </c>
      <c r="AB114" t="s">
        <v>69</v>
      </c>
      <c r="AC114" t="s">
        <v>24919</v>
      </c>
      <c r="AD114" t="s">
        <v>24920</v>
      </c>
      <c r="AE114" t="s">
        <v>69</v>
      </c>
      <c r="AF114" t="s">
        <v>24921</v>
      </c>
      <c r="AG114" t="s">
        <v>24922</v>
      </c>
      <c r="AH114" t="s">
        <v>24923</v>
      </c>
      <c r="AI114" t="s">
        <v>69</v>
      </c>
      <c r="AJ114" t="s">
        <v>69</v>
      </c>
      <c r="AK114" t="s">
        <v>69</v>
      </c>
      <c r="AL114" t="s">
        <v>69</v>
      </c>
      <c r="AM114" t="s">
        <v>69</v>
      </c>
      <c r="AN114">
        <v>27</v>
      </c>
      <c r="AO114">
        <v>0</v>
      </c>
      <c r="AP114">
        <v>2</v>
      </c>
      <c r="AQ114">
        <v>0</v>
      </c>
      <c r="AR114">
        <v>0</v>
      </c>
      <c r="AS114" t="s">
        <v>13738</v>
      </c>
      <c r="AT114" t="s">
        <v>13739</v>
      </c>
      <c r="AU114" t="s">
        <v>13740</v>
      </c>
      <c r="AV114" t="s">
        <v>24924</v>
      </c>
      <c r="AW114" t="s">
        <v>69</v>
      </c>
      <c r="AX114" t="s">
        <v>69</v>
      </c>
      <c r="AY114" t="s">
        <v>24925</v>
      </c>
      <c r="AZ114" t="s">
        <v>24926</v>
      </c>
      <c r="BA114" t="s">
        <v>6479</v>
      </c>
      <c r="BB114">
        <v>2013</v>
      </c>
      <c r="BC114">
        <v>2</v>
      </c>
      <c r="BD114">
        <v>2</v>
      </c>
      <c r="BE114" t="s">
        <v>69</v>
      </c>
      <c r="BF114" t="s">
        <v>69</v>
      </c>
      <c r="BG114" t="s">
        <v>69</v>
      </c>
      <c r="BH114" t="s">
        <v>69</v>
      </c>
      <c r="BI114">
        <v>125</v>
      </c>
      <c r="BJ114">
        <v>153</v>
      </c>
      <c r="BK114" t="s">
        <v>69</v>
      </c>
      <c r="BL114" t="s">
        <v>24927</v>
      </c>
      <c r="BM114" s="25" t="str">
        <f>HYPERLINK("http://dx.doi.org/10.5585/geas.v2i2.55","http://dx.doi.org/10.5585/geas.v2i2.55")</f>
        <v>http://dx.doi.org/10.5585/geas.v2i2.55</v>
      </c>
      <c r="BN114" t="s">
        <v>69</v>
      </c>
      <c r="BO114" t="s">
        <v>69</v>
      </c>
      <c r="BP114">
        <v>29</v>
      </c>
      <c r="BQ114" t="s">
        <v>17917</v>
      </c>
      <c r="BR114" t="s">
        <v>8573</v>
      </c>
      <c r="BS114" t="s">
        <v>8961</v>
      </c>
      <c r="BT114" t="s">
        <v>24928</v>
      </c>
      <c r="BU114" t="s">
        <v>24929</v>
      </c>
      <c r="BV114" t="s">
        <v>69</v>
      </c>
      <c r="BW114" t="s">
        <v>12220</v>
      </c>
      <c r="BX114" t="s">
        <v>69</v>
      </c>
      <c r="BY114" t="s">
        <v>69</v>
      </c>
      <c r="BZ114" t="s">
        <v>8526</v>
      </c>
      <c r="CA114" t="str">
        <f>HYPERLINK("https%3A%2F%2Fwww.webofscience.com%2Fwos%2Fwoscc%2Ffull-record%2FWOS:000216013900006","View Full Record in Web of Science")</f>
        <v>View Full Record in Web of Science</v>
      </c>
    </row>
    <row r="115" spans="2:79" ht="12.5" x14ac:dyDescent="0.25">
      <c r="B115" t="s">
        <v>8495</v>
      </c>
      <c r="D115" s="22" t="s">
        <v>32931</v>
      </c>
      <c r="E115" s="7"/>
      <c r="F115" s="7"/>
      <c r="G115" s="7"/>
      <c r="H115" t="s">
        <v>67</v>
      </c>
      <c r="I115" t="s">
        <v>29301</v>
      </c>
      <c r="J115" t="s">
        <v>69</v>
      </c>
      <c r="K115" t="s">
        <v>69</v>
      </c>
      <c r="L115" t="s">
        <v>69</v>
      </c>
      <c r="M115" t="s">
        <v>29302</v>
      </c>
      <c r="N115" t="s">
        <v>69</v>
      </c>
      <c r="O115" t="s">
        <v>69</v>
      </c>
      <c r="P115" t="s">
        <v>29303</v>
      </c>
      <c r="Q115" t="s">
        <v>29304</v>
      </c>
      <c r="R115" t="s">
        <v>69</v>
      </c>
      <c r="S115" t="s">
        <v>69</v>
      </c>
      <c r="T115" t="s">
        <v>8505</v>
      </c>
      <c r="U115" t="s">
        <v>8506</v>
      </c>
      <c r="V115" t="s">
        <v>69</v>
      </c>
      <c r="W115" t="s">
        <v>69</v>
      </c>
      <c r="X115" t="s">
        <v>69</v>
      </c>
      <c r="Y115" t="s">
        <v>69</v>
      </c>
      <c r="Z115" t="s">
        <v>69</v>
      </c>
      <c r="AA115" t="s">
        <v>29305</v>
      </c>
      <c r="AB115" t="s">
        <v>69</v>
      </c>
      <c r="AC115" t="s">
        <v>29306</v>
      </c>
      <c r="AD115" t="s">
        <v>29307</v>
      </c>
      <c r="AE115" t="s">
        <v>69</v>
      </c>
      <c r="AF115" t="s">
        <v>29308</v>
      </c>
      <c r="AG115" t="s">
        <v>29309</v>
      </c>
      <c r="AH115" t="s">
        <v>69</v>
      </c>
      <c r="AI115" t="s">
        <v>69</v>
      </c>
      <c r="AJ115" t="s">
        <v>69</v>
      </c>
      <c r="AK115" t="s">
        <v>69</v>
      </c>
      <c r="AL115" t="s">
        <v>69</v>
      </c>
      <c r="AM115" t="s">
        <v>69</v>
      </c>
      <c r="AN115">
        <v>34</v>
      </c>
      <c r="AO115">
        <v>39</v>
      </c>
      <c r="AP115">
        <v>40</v>
      </c>
      <c r="AQ115">
        <v>0</v>
      </c>
      <c r="AR115">
        <v>0</v>
      </c>
      <c r="AS115" t="s">
        <v>8636</v>
      </c>
      <c r="AT115" t="s">
        <v>8637</v>
      </c>
      <c r="AU115" t="s">
        <v>8638</v>
      </c>
      <c r="AV115" t="s">
        <v>29310</v>
      </c>
      <c r="AW115" t="s">
        <v>29311</v>
      </c>
      <c r="AX115" t="s">
        <v>69</v>
      </c>
      <c r="AY115" t="s">
        <v>29304</v>
      </c>
      <c r="AZ115" t="s">
        <v>29312</v>
      </c>
      <c r="BA115" t="s">
        <v>191</v>
      </c>
      <c r="BB115">
        <v>2008</v>
      </c>
      <c r="BC115">
        <v>14</v>
      </c>
      <c r="BD115">
        <v>1</v>
      </c>
      <c r="BE115" t="s">
        <v>69</v>
      </c>
      <c r="BF115" t="s">
        <v>69</v>
      </c>
      <c r="BG115" t="s">
        <v>69</v>
      </c>
      <c r="BH115" t="s">
        <v>69</v>
      </c>
      <c r="BI115">
        <v>24</v>
      </c>
      <c r="BJ115">
        <v>31</v>
      </c>
      <c r="BK115" t="s">
        <v>69</v>
      </c>
      <c r="BL115" t="s">
        <v>29313</v>
      </c>
      <c r="BM115" t="str">
        <f>HYPERLINK("http://dx.doi.org/10.1016/j.radi.2006.07.001","http://dx.doi.org/10.1016/j.radi.2006.07.001")</f>
        <v>http://dx.doi.org/10.1016/j.radi.2006.07.001</v>
      </c>
      <c r="BN115" t="s">
        <v>69</v>
      </c>
      <c r="BO115" t="s">
        <v>69</v>
      </c>
      <c r="BP115">
        <v>8</v>
      </c>
      <c r="BQ115" t="s">
        <v>14443</v>
      </c>
      <c r="BR115" t="s">
        <v>8573</v>
      </c>
      <c r="BS115" t="s">
        <v>14443</v>
      </c>
      <c r="BT115" t="s">
        <v>29314</v>
      </c>
      <c r="BU115" t="s">
        <v>29315</v>
      </c>
      <c r="BV115" t="s">
        <v>69</v>
      </c>
      <c r="BW115" t="s">
        <v>69</v>
      </c>
      <c r="BX115" t="s">
        <v>69</v>
      </c>
      <c r="BY115" t="s">
        <v>69</v>
      </c>
      <c r="BZ115" t="s">
        <v>8526</v>
      </c>
      <c r="CA115" t="str">
        <f>HYPERLINK("https%3A%2F%2Fwww.webofscience.com%2Fwos%2Fwoscc%2Ffull-record%2FWOS:000213740100005","View Full Record in Web of Science")</f>
        <v>View Full Record in Web of Science</v>
      </c>
    </row>
    <row r="116" spans="2:79" ht="12.5" x14ac:dyDescent="0.25">
      <c r="B116" t="s">
        <v>8495</v>
      </c>
      <c r="D116" s="7" t="s">
        <v>32933</v>
      </c>
      <c r="E116" s="7"/>
      <c r="F116" s="7"/>
      <c r="G116" s="7"/>
      <c r="H116" t="s">
        <v>67</v>
      </c>
      <c r="I116" t="s">
        <v>4834</v>
      </c>
      <c r="J116" t="s">
        <v>69</v>
      </c>
      <c r="K116" t="s">
        <v>69</v>
      </c>
      <c r="L116" t="s">
        <v>69</v>
      </c>
      <c r="M116" t="s">
        <v>4834</v>
      </c>
      <c r="N116" t="s">
        <v>69</v>
      </c>
      <c r="O116" t="s">
        <v>69</v>
      </c>
      <c r="P116" t="s">
        <v>4835</v>
      </c>
      <c r="Q116" t="s">
        <v>4836</v>
      </c>
      <c r="R116" t="s">
        <v>69</v>
      </c>
      <c r="S116" t="s">
        <v>69</v>
      </c>
      <c r="T116" t="s">
        <v>10071</v>
      </c>
      <c r="U116" t="s">
        <v>8442</v>
      </c>
      <c r="V116" t="s">
        <v>69</v>
      </c>
      <c r="W116" t="s">
        <v>69</v>
      </c>
      <c r="X116" t="s">
        <v>69</v>
      </c>
      <c r="Y116" t="s">
        <v>69</v>
      </c>
      <c r="Z116" t="s">
        <v>69</v>
      </c>
      <c r="AA116" t="s">
        <v>32133</v>
      </c>
      <c r="AB116" t="s">
        <v>69</v>
      </c>
      <c r="AC116" t="s">
        <v>4837</v>
      </c>
      <c r="AD116" t="s">
        <v>32134</v>
      </c>
      <c r="AE116" t="s">
        <v>69</v>
      </c>
      <c r="AF116" t="s">
        <v>32135</v>
      </c>
      <c r="AG116" t="s">
        <v>69</v>
      </c>
      <c r="AH116" t="s">
        <v>69</v>
      </c>
      <c r="AI116" t="s">
        <v>69</v>
      </c>
      <c r="AJ116" t="s">
        <v>69</v>
      </c>
      <c r="AK116" t="s">
        <v>69</v>
      </c>
      <c r="AL116" t="s">
        <v>69</v>
      </c>
      <c r="AM116" t="s">
        <v>69</v>
      </c>
      <c r="AN116">
        <v>34</v>
      </c>
      <c r="AO116">
        <v>0</v>
      </c>
      <c r="AP116">
        <v>0</v>
      </c>
      <c r="AQ116">
        <v>0</v>
      </c>
      <c r="AR116">
        <v>5</v>
      </c>
      <c r="AS116" t="s">
        <v>32136</v>
      </c>
      <c r="AT116" t="s">
        <v>32137</v>
      </c>
      <c r="AU116" t="s">
        <v>32138</v>
      </c>
      <c r="AV116" t="s">
        <v>4838</v>
      </c>
      <c r="AW116" t="s">
        <v>69</v>
      </c>
      <c r="AX116" t="s">
        <v>69</v>
      </c>
      <c r="AY116" t="s">
        <v>32139</v>
      </c>
      <c r="AZ116" t="s">
        <v>32140</v>
      </c>
      <c r="BA116" t="s">
        <v>2512</v>
      </c>
      <c r="BB116">
        <v>1998</v>
      </c>
      <c r="BC116">
        <v>13</v>
      </c>
      <c r="BD116">
        <v>1</v>
      </c>
      <c r="BE116" t="s">
        <v>69</v>
      </c>
      <c r="BF116" t="s">
        <v>69</v>
      </c>
      <c r="BG116" t="s">
        <v>69</v>
      </c>
      <c r="BH116" t="s">
        <v>69</v>
      </c>
      <c r="BI116">
        <v>77</v>
      </c>
      <c r="BJ116">
        <v>89</v>
      </c>
      <c r="BK116" t="s">
        <v>69</v>
      </c>
      <c r="BL116" t="s">
        <v>69</v>
      </c>
      <c r="BM116" t="s">
        <v>69</v>
      </c>
      <c r="BN116" t="s">
        <v>69</v>
      </c>
      <c r="BO116" t="s">
        <v>69</v>
      </c>
      <c r="BP116">
        <v>13</v>
      </c>
      <c r="BQ116" t="s">
        <v>9229</v>
      </c>
      <c r="BR116" t="s">
        <v>8548</v>
      </c>
      <c r="BS116" t="s">
        <v>9230</v>
      </c>
      <c r="BT116" t="s">
        <v>32141</v>
      </c>
      <c r="BU116" t="s">
        <v>4839</v>
      </c>
      <c r="BV116" t="s">
        <v>69</v>
      </c>
      <c r="BW116" t="s">
        <v>69</v>
      </c>
      <c r="BX116" t="s">
        <v>69</v>
      </c>
      <c r="BY116" t="s">
        <v>69</v>
      </c>
      <c r="BZ116" t="s">
        <v>8526</v>
      </c>
      <c r="CA116" t="str">
        <f>HYPERLINK("https%3A%2F%2Fwww.webofscience.com%2Fwos%2Fwoscc%2Ffull-record%2FWOS:000071654000007","View Full Record in Web of Science")</f>
        <v>View Full Record in Web of Science</v>
      </c>
    </row>
    <row r="117" spans="2:79" ht="12.5" x14ac:dyDescent="0.25">
      <c r="B117" t="s">
        <v>8495</v>
      </c>
      <c r="D117" s="7" t="s">
        <v>32944</v>
      </c>
      <c r="E117" s="7"/>
      <c r="F117" s="7"/>
      <c r="G117" s="7" t="s">
        <v>33053</v>
      </c>
      <c r="H117" t="s">
        <v>67</v>
      </c>
      <c r="I117" t="s">
        <v>29708</v>
      </c>
      <c r="J117" t="s">
        <v>69</v>
      </c>
      <c r="K117" t="s">
        <v>69</v>
      </c>
      <c r="L117" t="s">
        <v>69</v>
      </c>
      <c r="M117" t="s">
        <v>29709</v>
      </c>
      <c r="N117" t="s">
        <v>69</v>
      </c>
      <c r="O117" t="s">
        <v>69</v>
      </c>
      <c r="P117" t="s">
        <v>29710</v>
      </c>
      <c r="Q117" t="s">
        <v>29711</v>
      </c>
      <c r="R117" t="s">
        <v>69</v>
      </c>
      <c r="S117" t="s">
        <v>69</v>
      </c>
      <c r="T117" t="s">
        <v>8505</v>
      </c>
      <c r="U117" t="s">
        <v>8506</v>
      </c>
      <c r="V117" t="s">
        <v>69</v>
      </c>
      <c r="W117" t="s">
        <v>69</v>
      </c>
      <c r="X117" t="s">
        <v>69</v>
      </c>
      <c r="Y117" t="s">
        <v>69</v>
      </c>
      <c r="Z117" t="s">
        <v>69</v>
      </c>
      <c r="AA117" t="s">
        <v>29712</v>
      </c>
      <c r="AB117" t="s">
        <v>69</v>
      </c>
      <c r="AC117" t="s">
        <v>29713</v>
      </c>
      <c r="AD117" t="s">
        <v>29714</v>
      </c>
      <c r="AE117" t="s">
        <v>69</v>
      </c>
      <c r="AF117" t="s">
        <v>29715</v>
      </c>
      <c r="AG117" t="s">
        <v>29716</v>
      </c>
      <c r="AH117" t="s">
        <v>69</v>
      </c>
      <c r="AI117" t="s">
        <v>69</v>
      </c>
      <c r="AJ117" t="s">
        <v>69</v>
      </c>
      <c r="AK117" t="s">
        <v>69</v>
      </c>
      <c r="AL117" t="s">
        <v>69</v>
      </c>
      <c r="AM117" t="s">
        <v>69</v>
      </c>
      <c r="AN117">
        <v>13</v>
      </c>
      <c r="AO117">
        <v>4</v>
      </c>
      <c r="AP117">
        <v>4</v>
      </c>
      <c r="AQ117">
        <v>0</v>
      </c>
      <c r="AR117">
        <v>0</v>
      </c>
      <c r="AS117" t="s">
        <v>9091</v>
      </c>
      <c r="AT117" t="s">
        <v>8763</v>
      </c>
      <c r="AU117" t="s">
        <v>15468</v>
      </c>
      <c r="AV117" t="s">
        <v>29717</v>
      </c>
      <c r="AW117" t="s">
        <v>69</v>
      </c>
      <c r="AX117" t="s">
        <v>69</v>
      </c>
      <c r="AY117" t="s">
        <v>29718</v>
      </c>
      <c r="AZ117" t="s">
        <v>29719</v>
      </c>
      <c r="BA117" t="s">
        <v>155</v>
      </c>
      <c r="BB117">
        <v>2007</v>
      </c>
      <c r="BC117">
        <v>2</v>
      </c>
      <c r="BD117">
        <v>2</v>
      </c>
      <c r="BE117" t="s">
        <v>69</v>
      </c>
      <c r="BF117" t="s">
        <v>69</v>
      </c>
      <c r="BG117" t="s">
        <v>69</v>
      </c>
      <c r="BH117" t="s">
        <v>69</v>
      </c>
      <c r="BI117" t="s">
        <v>69</v>
      </c>
      <c r="BJ117" t="s">
        <v>69</v>
      </c>
      <c r="BK117" t="s">
        <v>29720</v>
      </c>
      <c r="BL117" t="s">
        <v>29721</v>
      </c>
      <c r="BM117" t="str">
        <f>HYPERLINK("http://dx.doi.org/10.2166/WPT.2007054","http://dx.doi.org/10.2166/WPT.2007054")</f>
        <v>http://dx.doi.org/10.2166/WPT.2007054</v>
      </c>
      <c r="BN117" t="s">
        <v>69</v>
      </c>
      <c r="BO117" t="s">
        <v>69</v>
      </c>
      <c r="BP117">
        <v>9</v>
      </c>
      <c r="BQ117" t="s">
        <v>9096</v>
      </c>
      <c r="BR117" t="s">
        <v>8573</v>
      </c>
      <c r="BS117" t="s">
        <v>9096</v>
      </c>
      <c r="BT117" t="s">
        <v>29722</v>
      </c>
      <c r="BU117" t="s">
        <v>29723</v>
      </c>
      <c r="BV117" t="s">
        <v>69</v>
      </c>
      <c r="BW117" t="s">
        <v>69</v>
      </c>
      <c r="BX117" t="s">
        <v>69</v>
      </c>
      <c r="BY117" t="s">
        <v>69</v>
      </c>
      <c r="BZ117" t="s">
        <v>8526</v>
      </c>
      <c r="CA117" t="str">
        <f>HYPERLINK("https%3A%2F%2Fwww.webofscience.com%2Fwos%2Fwoscc%2Ffull-record%2FWOS:000420194300026","View Full Record in Web of Science")</f>
        <v>View Full Record in Web of Science</v>
      </c>
    </row>
    <row r="118" spans="2:79" ht="12.5" x14ac:dyDescent="0.25">
      <c r="B118" t="s">
        <v>8495</v>
      </c>
      <c r="D118" s="7" t="s">
        <v>32933</v>
      </c>
      <c r="E118" s="7"/>
      <c r="F118" s="7"/>
      <c r="G118" s="7"/>
      <c r="H118" t="s">
        <v>67</v>
      </c>
      <c r="I118" t="s">
        <v>4200</v>
      </c>
      <c r="J118" t="s">
        <v>69</v>
      </c>
      <c r="K118" t="s">
        <v>69</v>
      </c>
      <c r="L118" t="s">
        <v>69</v>
      </c>
      <c r="M118" t="s">
        <v>4200</v>
      </c>
      <c r="N118" t="s">
        <v>69</v>
      </c>
      <c r="O118" t="s">
        <v>69</v>
      </c>
      <c r="P118" t="s">
        <v>4201</v>
      </c>
      <c r="Q118" t="s">
        <v>4202</v>
      </c>
      <c r="R118" t="s">
        <v>69</v>
      </c>
      <c r="S118" t="s">
        <v>69</v>
      </c>
      <c r="T118" t="s">
        <v>8505</v>
      </c>
      <c r="U118" t="s">
        <v>8506</v>
      </c>
      <c r="V118" t="s">
        <v>69</v>
      </c>
      <c r="W118" t="s">
        <v>69</v>
      </c>
      <c r="X118" t="s">
        <v>69</v>
      </c>
      <c r="Y118" t="s">
        <v>69</v>
      </c>
      <c r="Z118" t="s">
        <v>69</v>
      </c>
      <c r="AA118" t="s">
        <v>69</v>
      </c>
      <c r="AB118" t="s">
        <v>69</v>
      </c>
      <c r="AC118" t="s">
        <v>4203</v>
      </c>
      <c r="AD118" t="s">
        <v>69</v>
      </c>
      <c r="AE118" t="s">
        <v>69</v>
      </c>
      <c r="AF118" t="s">
        <v>69</v>
      </c>
      <c r="AG118" t="s">
        <v>69</v>
      </c>
      <c r="AH118" t="s">
        <v>69</v>
      </c>
      <c r="AI118" t="s">
        <v>69</v>
      </c>
      <c r="AJ118" t="s">
        <v>69</v>
      </c>
      <c r="AK118" t="s">
        <v>69</v>
      </c>
      <c r="AL118" t="s">
        <v>69</v>
      </c>
      <c r="AM118" t="s">
        <v>69</v>
      </c>
      <c r="AN118">
        <v>6</v>
      </c>
      <c r="AO118">
        <v>4</v>
      </c>
      <c r="AP118">
        <v>5</v>
      </c>
      <c r="AQ118">
        <v>0</v>
      </c>
      <c r="AR118">
        <v>1</v>
      </c>
      <c r="AS118" t="s">
        <v>10352</v>
      </c>
      <c r="AT118" t="s">
        <v>8637</v>
      </c>
      <c r="AU118" t="s">
        <v>32331</v>
      </c>
      <c r="AV118" t="s">
        <v>4204</v>
      </c>
      <c r="AW118" t="s">
        <v>69</v>
      </c>
      <c r="AX118" t="s">
        <v>69</v>
      </c>
      <c r="AY118" t="s">
        <v>4202</v>
      </c>
      <c r="AZ118" t="s">
        <v>8453</v>
      </c>
      <c r="BA118" t="s">
        <v>69</v>
      </c>
      <c r="BB118">
        <v>1997</v>
      </c>
      <c r="BC118">
        <v>70</v>
      </c>
      <c r="BD118">
        <v>4</v>
      </c>
      <c r="BE118" t="s">
        <v>69</v>
      </c>
      <c r="BF118" t="s">
        <v>69</v>
      </c>
      <c r="BG118" t="s">
        <v>69</v>
      </c>
      <c r="BH118" t="s">
        <v>69</v>
      </c>
      <c r="BI118">
        <v>343</v>
      </c>
      <c r="BJ118">
        <v>349</v>
      </c>
      <c r="BK118" t="s">
        <v>69</v>
      </c>
      <c r="BL118" t="s">
        <v>4205</v>
      </c>
      <c r="BM118" t="str">
        <f>HYPERLINK("http://dx.doi.org/10.1093/forestry/70.4.343","http://dx.doi.org/10.1093/forestry/70.4.343")</f>
        <v>http://dx.doi.org/10.1093/forestry/70.4.343</v>
      </c>
      <c r="BN118" t="s">
        <v>69</v>
      </c>
      <c r="BO118" t="s">
        <v>69</v>
      </c>
      <c r="BP118">
        <v>7</v>
      </c>
      <c r="BQ118" t="s">
        <v>8453</v>
      </c>
      <c r="BR118" t="s">
        <v>8548</v>
      </c>
      <c r="BS118" t="s">
        <v>8453</v>
      </c>
      <c r="BT118" t="s">
        <v>32332</v>
      </c>
      <c r="BU118" t="s">
        <v>4206</v>
      </c>
      <c r="BV118" t="s">
        <v>69</v>
      </c>
      <c r="BW118" t="s">
        <v>19019</v>
      </c>
      <c r="BX118" t="s">
        <v>69</v>
      </c>
      <c r="BY118" t="s">
        <v>69</v>
      </c>
      <c r="BZ118" t="s">
        <v>8526</v>
      </c>
      <c r="CA118" t="str">
        <f>HYPERLINK("https%3A%2F%2Fwww.webofscience.com%2Fwos%2Fwoscc%2Ffull-record%2FWOS:A1997YG23200009","View Full Record in Web of Science")</f>
        <v>View Full Record in Web of Science</v>
      </c>
    </row>
    <row r="119" spans="2:79" ht="12.5" x14ac:dyDescent="0.25">
      <c r="B119" t="s">
        <v>8495</v>
      </c>
      <c r="D119" s="22" t="s">
        <v>32931</v>
      </c>
      <c r="E119" s="7"/>
      <c r="F119" s="7"/>
      <c r="G119" s="7"/>
      <c r="H119" t="s">
        <v>67</v>
      </c>
      <c r="I119" t="s">
        <v>30142</v>
      </c>
      <c r="J119" t="s">
        <v>69</v>
      </c>
      <c r="K119" t="s">
        <v>69</v>
      </c>
      <c r="L119" t="s">
        <v>69</v>
      </c>
      <c r="M119" t="s">
        <v>30143</v>
      </c>
      <c r="N119" t="s">
        <v>69</v>
      </c>
      <c r="O119" t="s">
        <v>69</v>
      </c>
      <c r="P119" t="s">
        <v>30144</v>
      </c>
      <c r="Q119" t="s">
        <v>15306</v>
      </c>
      <c r="R119" t="s">
        <v>69</v>
      </c>
      <c r="S119" t="s">
        <v>69</v>
      </c>
      <c r="T119" t="s">
        <v>8505</v>
      </c>
      <c r="U119" t="s">
        <v>8506</v>
      </c>
      <c r="V119" t="s">
        <v>69</v>
      </c>
      <c r="W119" t="s">
        <v>69</v>
      </c>
      <c r="X119" t="s">
        <v>69</v>
      </c>
      <c r="Y119" t="s">
        <v>69</v>
      </c>
      <c r="Z119" t="s">
        <v>69</v>
      </c>
      <c r="AA119" t="s">
        <v>30145</v>
      </c>
      <c r="AB119" t="s">
        <v>30146</v>
      </c>
      <c r="AC119" t="s">
        <v>30147</v>
      </c>
      <c r="AD119" t="s">
        <v>30148</v>
      </c>
      <c r="AE119" t="s">
        <v>69</v>
      </c>
      <c r="AF119" t="s">
        <v>30149</v>
      </c>
      <c r="AG119" t="s">
        <v>30150</v>
      </c>
      <c r="AH119" t="s">
        <v>30151</v>
      </c>
      <c r="AI119" t="s">
        <v>30152</v>
      </c>
      <c r="AJ119" t="s">
        <v>69</v>
      </c>
      <c r="AK119" t="s">
        <v>69</v>
      </c>
      <c r="AL119" t="s">
        <v>69</v>
      </c>
      <c r="AM119" t="s">
        <v>69</v>
      </c>
      <c r="AN119">
        <v>40</v>
      </c>
      <c r="AO119">
        <v>104</v>
      </c>
      <c r="AP119">
        <v>108</v>
      </c>
      <c r="AQ119">
        <v>0</v>
      </c>
      <c r="AR119">
        <v>29</v>
      </c>
      <c r="AS119" t="s">
        <v>8636</v>
      </c>
      <c r="AT119" t="s">
        <v>8637</v>
      </c>
      <c r="AU119" t="s">
        <v>8638</v>
      </c>
      <c r="AV119" t="s">
        <v>15318</v>
      </c>
      <c r="AW119" t="s">
        <v>69</v>
      </c>
      <c r="AX119" t="s">
        <v>69</v>
      </c>
      <c r="AY119" t="s">
        <v>15320</v>
      </c>
      <c r="AZ119" t="s">
        <v>15321</v>
      </c>
      <c r="BA119" t="s">
        <v>201</v>
      </c>
      <c r="BB119">
        <v>2006</v>
      </c>
      <c r="BC119">
        <v>53</v>
      </c>
      <c r="BD119">
        <v>1</v>
      </c>
      <c r="BE119" t="s">
        <v>69</v>
      </c>
      <c r="BF119" t="s">
        <v>69</v>
      </c>
      <c r="BG119" t="s">
        <v>69</v>
      </c>
      <c r="BH119" t="s">
        <v>69</v>
      </c>
      <c r="BI119">
        <v>13</v>
      </c>
      <c r="BJ119">
        <v>27</v>
      </c>
      <c r="BK119" t="s">
        <v>69</v>
      </c>
      <c r="BL119" t="s">
        <v>30153</v>
      </c>
      <c r="BM119" t="str">
        <f>HYPERLINK("http://dx.doi.org/10.1016/j.compag.2006.03.002","http://dx.doi.org/10.1016/j.compag.2006.03.002")</f>
        <v>http://dx.doi.org/10.1016/j.compag.2006.03.002</v>
      </c>
      <c r="BN119" t="s">
        <v>69</v>
      </c>
      <c r="BO119" t="s">
        <v>69</v>
      </c>
      <c r="BP119">
        <v>15</v>
      </c>
      <c r="BQ119" t="s">
        <v>15323</v>
      </c>
      <c r="BR119" t="s">
        <v>8548</v>
      </c>
      <c r="BS119" t="s">
        <v>15324</v>
      </c>
      <c r="BT119" t="s">
        <v>30154</v>
      </c>
      <c r="BU119" t="s">
        <v>30155</v>
      </c>
      <c r="BV119" t="s">
        <v>69</v>
      </c>
      <c r="BW119" t="s">
        <v>69</v>
      </c>
      <c r="BX119" t="s">
        <v>69</v>
      </c>
      <c r="BY119" t="s">
        <v>69</v>
      </c>
      <c r="BZ119" t="s">
        <v>8526</v>
      </c>
      <c r="CA119" t="str">
        <f>HYPERLINK("https%3A%2F%2Fwww.webofscience.com%2Fwos%2Fwoscc%2Ffull-record%2FWOS:000239379000002","View Full Record in Web of Science")</f>
        <v>View Full Record in Web of Science</v>
      </c>
    </row>
    <row r="120" spans="2:79" ht="12.5" x14ac:dyDescent="0.25">
      <c r="B120" t="s">
        <v>8495</v>
      </c>
      <c r="D120" s="22" t="s">
        <v>32931</v>
      </c>
      <c r="E120" s="7"/>
      <c r="F120" s="7"/>
      <c r="G120" s="7"/>
      <c r="H120" t="s">
        <v>67</v>
      </c>
      <c r="I120" t="s">
        <v>30707</v>
      </c>
      <c r="J120" t="s">
        <v>69</v>
      </c>
      <c r="K120" t="s">
        <v>69</v>
      </c>
      <c r="L120" t="s">
        <v>69</v>
      </c>
      <c r="M120" t="s">
        <v>30708</v>
      </c>
      <c r="N120" t="s">
        <v>69</v>
      </c>
      <c r="O120" t="s">
        <v>69</v>
      </c>
      <c r="P120" t="s">
        <v>30709</v>
      </c>
      <c r="Q120" t="s">
        <v>30710</v>
      </c>
      <c r="R120" t="s">
        <v>69</v>
      </c>
      <c r="S120" t="s">
        <v>69</v>
      </c>
      <c r="T120" t="s">
        <v>12534</v>
      </c>
      <c r="U120" t="s">
        <v>8506</v>
      </c>
      <c r="V120" t="s">
        <v>69</v>
      </c>
      <c r="W120" t="s">
        <v>69</v>
      </c>
      <c r="X120" t="s">
        <v>69</v>
      </c>
      <c r="Y120" t="s">
        <v>69</v>
      </c>
      <c r="Z120" t="s">
        <v>69</v>
      </c>
      <c r="AA120" t="s">
        <v>30711</v>
      </c>
      <c r="AB120" t="s">
        <v>69</v>
      </c>
      <c r="AC120" t="s">
        <v>30712</v>
      </c>
      <c r="AD120" t="s">
        <v>30713</v>
      </c>
      <c r="AE120" t="s">
        <v>69</v>
      </c>
      <c r="AF120" t="s">
        <v>30714</v>
      </c>
      <c r="AG120" t="s">
        <v>30715</v>
      </c>
      <c r="AH120" t="s">
        <v>69</v>
      </c>
      <c r="AI120" t="s">
        <v>69</v>
      </c>
      <c r="AJ120" t="s">
        <v>69</v>
      </c>
      <c r="AK120" t="s">
        <v>69</v>
      </c>
      <c r="AL120" t="s">
        <v>69</v>
      </c>
      <c r="AM120" t="s">
        <v>69</v>
      </c>
      <c r="AN120">
        <v>0</v>
      </c>
      <c r="AO120">
        <v>0</v>
      </c>
      <c r="AP120">
        <v>0</v>
      </c>
      <c r="AQ120">
        <v>0</v>
      </c>
      <c r="AR120">
        <v>0</v>
      </c>
      <c r="AS120" t="s">
        <v>23706</v>
      </c>
      <c r="AT120" t="s">
        <v>19533</v>
      </c>
      <c r="AU120" t="s">
        <v>23707</v>
      </c>
      <c r="AV120" t="s">
        <v>30716</v>
      </c>
      <c r="AW120" t="s">
        <v>30717</v>
      </c>
      <c r="AX120" t="s">
        <v>69</v>
      </c>
      <c r="AY120" t="s">
        <v>30718</v>
      </c>
      <c r="AZ120" t="s">
        <v>30719</v>
      </c>
      <c r="BA120" t="s">
        <v>191</v>
      </c>
      <c r="BB120">
        <v>2005</v>
      </c>
      <c r="BC120">
        <v>21</v>
      </c>
      <c r="BD120">
        <v>1</v>
      </c>
      <c r="BE120" t="s">
        <v>69</v>
      </c>
      <c r="BF120" t="s">
        <v>69</v>
      </c>
      <c r="BG120" t="s">
        <v>69</v>
      </c>
      <c r="BH120" t="s">
        <v>69</v>
      </c>
      <c r="BI120">
        <v>22</v>
      </c>
      <c r="BJ120">
        <v>25</v>
      </c>
      <c r="BK120" t="s">
        <v>69</v>
      </c>
      <c r="BL120" t="s">
        <v>30720</v>
      </c>
      <c r="BM120" t="str">
        <f>HYPERLINK("http://dx.doi.org/10.1055/s-2005-836299","http://dx.doi.org/10.1055/s-2005-836299")</f>
        <v>http://dx.doi.org/10.1055/s-2005-836299</v>
      </c>
      <c r="BN120" t="s">
        <v>69</v>
      </c>
      <c r="BO120" t="s">
        <v>69</v>
      </c>
      <c r="BP120">
        <v>4</v>
      </c>
      <c r="BQ120" t="s">
        <v>10024</v>
      </c>
      <c r="BR120" t="s">
        <v>8573</v>
      </c>
      <c r="BS120" t="s">
        <v>10024</v>
      </c>
      <c r="BT120" t="s">
        <v>30721</v>
      </c>
      <c r="BU120" t="s">
        <v>30722</v>
      </c>
      <c r="BV120" t="s">
        <v>69</v>
      </c>
      <c r="BW120" t="s">
        <v>69</v>
      </c>
      <c r="BX120" t="s">
        <v>69</v>
      </c>
      <c r="BY120" t="s">
        <v>69</v>
      </c>
      <c r="BZ120" t="s">
        <v>8526</v>
      </c>
      <c r="CA120" t="str">
        <f>HYPERLINK("https%3A%2F%2Fwww.webofscience.com%2Fwos%2Fwoscc%2Ffull-record%2FWOS:000217411600005","View Full Record in Web of Science")</f>
        <v>View Full Record in Web of Science</v>
      </c>
    </row>
    <row r="121" spans="2:79" ht="12.5" x14ac:dyDescent="0.25">
      <c r="B121" t="s">
        <v>8495</v>
      </c>
      <c r="D121" s="7" t="s">
        <v>32933</v>
      </c>
      <c r="E121" s="7"/>
      <c r="F121" s="7"/>
      <c r="G121" s="7"/>
      <c r="H121" t="s">
        <v>67</v>
      </c>
      <c r="I121" t="s">
        <v>3459</v>
      </c>
      <c r="J121" t="s">
        <v>69</v>
      </c>
      <c r="K121" t="s">
        <v>69</v>
      </c>
      <c r="L121" t="s">
        <v>69</v>
      </c>
      <c r="M121" t="s">
        <v>3460</v>
      </c>
      <c r="N121" t="s">
        <v>69</v>
      </c>
      <c r="O121" t="s">
        <v>69</v>
      </c>
      <c r="P121" t="s">
        <v>3461</v>
      </c>
      <c r="Q121" t="s">
        <v>90</v>
      </c>
      <c r="R121" t="s">
        <v>69</v>
      </c>
      <c r="S121" t="s">
        <v>69</v>
      </c>
      <c r="T121" t="s">
        <v>8505</v>
      </c>
      <c r="U121" t="s">
        <v>8506</v>
      </c>
      <c r="V121" t="s">
        <v>69</v>
      </c>
      <c r="W121" t="s">
        <v>69</v>
      </c>
      <c r="X121" t="s">
        <v>69</v>
      </c>
      <c r="Y121" t="s">
        <v>69</v>
      </c>
      <c r="Z121" t="s">
        <v>69</v>
      </c>
      <c r="AA121" t="s">
        <v>27136</v>
      </c>
      <c r="AB121" t="s">
        <v>27130</v>
      </c>
      <c r="AC121" t="s">
        <v>3462</v>
      </c>
      <c r="AD121" t="s">
        <v>27137</v>
      </c>
      <c r="AE121" t="s">
        <v>69</v>
      </c>
      <c r="AF121" t="s">
        <v>27138</v>
      </c>
      <c r="AG121" t="s">
        <v>27139</v>
      </c>
      <c r="AH121" t="s">
        <v>3455</v>
      </c>
      <c r="AI121" t="s">
        <v>3456</v>
      </c>
      <c r="AJ121" t="s">
        <v>69</v>
      </c>
      <c r="AK121" t="s">
        <v>69</v>
      </c>
      <c r="AL121" t="s">
        <v>69</v>
      </c>
      <c r="AM121" t="s">
        <v>69</v>
      </c>
      <c r="AN121">
        <v>46</v>
      </c>
      <c r="AO121">
        <v>58</v>
      </c>
      <c r="AP121">
        <v>58</v>
      </c>
      <c r="AQ121">
        <v>1</v>
      </c>
      <c r="AR121">
        <v>20</v>
      </c>
      <c r="AS121" t="s">
        <v>9047</v>
      </c>
      <c r="AT121" t="s">
        <v>9048</v>
      </c>
      <c r="AU121" t="s">
        <v>9049</v>
      </c>
      <c r="AV121" t="s">
        <v>92</v>
      </c>
      <c r="AW121" t="s">
        <v>93</v>
      </c>
      <c r="AX121" t="s">
        <v>69</v>
      </c>
      <c r="AY121" t="s">
        <v>27104</v>
      </c>
      <c r="AZ121" t="s">
        <v>27105</v>
      </c>
      <c r="BA121" t="s">
        <v>94</v>
      </c>
      <c r="BB121">
        <v>2011</v>
      </c>
      <c r="BC121">
        <v>11</v>
      </c>
      <c r="BD121">
        <v>1</v>
      </c>
      <c r="BE121" t="s">
        <v>69</v>
      </c>
      <c r="BF121" t="s">
        <v>69</v>
      </c>
      <c r="BG121" t="s">
        <v>69</v>
      </c>
      <c r="BH121" t="s">
        <v>69</v>
      </c>
      <c r="BI121">
        <v>85</v>
      </c>
      <c r="BJ121">
        <v>98</v>
      </c>
      <c r="BK121" t="s">
        <v>69</v>
      </c>
      <c r="BL121" t="s">
        <v>3463</v>
      </c>
      <c r="BM121" t="str">
        <f>HYPERLINK("http://dx.doi.org/10.1007/s10784-011-9147-9","http://dx.doi.org/10.1007/s10784-011-9147-9")</f>
        <v>http://dx.doi.org/10.1007/s10784-011-9147-9</v>
      </c>
      <c r="BN121" t="s">
        <v>69</v>
      </c>
      <c r="BO121" t="s">
        <v>69</v>
      </c>
      <c r="BP121">
        <v>14</v>
      </c>
      <c r="BQ121" t="s">
        <v>27106</v>
      </c>
      <c r="BR121" t="s">
        <v>8661</v>
      </c>
      <c r="BS121" t="s">
        <v>27107</v>
      </c>
      <c r="BT121" t="s">
        <v>27108</v>
      </c>
      <c r="BU121" t="s">
        <v>3464</v>
      </c>
      <c r="BV121" t="s">
        <v>69</v>
      </c>
      <c r="BW121" t="s">
        <v>8746</v>
      </c>
      <c r="BX121" t="s">
        <v>69</v>
      </c>
      <c r="BY121" t="s">
        <v>69</v>
      </c>
      <c r="BZ121" t="s">
        <v>8526</v>
      </c>
      <c r="CA121" t="str">
        <f>HYPERLINK("https%3A%2F%2Fwww.webofscience.com%2Fwos%2Fwoscc%2Ffull-record%2FWOS:000293788900006","View Full Record in Web of Science")</f>
        <v>View Full Record in Web of Science</v>
      </c>
    </row>
    <row r="122" spans="2:79" ht="12.5" x14ac:dyDescent="0.25">
      <c r="B122" t="s">
        <v>8495</v>
      </c>
      <c r="D122" s="7" t="s">
        <v>32933</v>
      </c>
      <c r="E122" s="7"/>
      <c r="F122" s="7"/>
      <c r="G122" s="7"/>
      <c r="H122" t="s">
        <v>67</v>
      </c>
      <c r="I122" t="s">
        <v>985</v>
      </c>
      <c r="J122" t="s">
        <v>69</v>
      </c>
      <c r="K122" t="s">
        <v>69</v>
      </c>
      <c r="L122" t="s">
        <v>69</v>
      </c>
      <c r="M122" t="s">
        <v>986</v>
      </c>
      <c r="N122" t="s">
        <v>69</v>
      </c>
      <c r="O122" t="s">
        <v>69</v>
      </c>
      <c r="P122" t="s">
        <v>987</v>
      </c>
      <c r="Q122" t="s">
        <v>988</v>
      </c>
      <c r="R122" t="s">
        <v>69</v>
      </c>
      <c r="S122" t="s">
        <v>69</v>
      </c>
      <c r="T122" t="s">
        <v>10071</v>
      </c>
      <c r="U122" t="s">
        <v>8506</v>
      </c>
      <c r="V122" t="s">
        <v>69</v>
      </c>
      <c r="W122" t="s">
        <v>69</v>
      </c>
      <c r="X122" t="s">
        <v>69</v>
      </c>
      <c r="Y122" t="s">
        <v>69</v>
      </c>
      <c r="Z122" t="s">
        <v>69</v>
      </c>
      <c r="AA122" t="s">
        <v>17735</v>
      </c>
      <c r="AB122" t="s">
        <v>69</v>
      </c>
      <c r="AC122" t="s">
        <v>989</v>
      </c>
      <c r="AD122" t="s">
        <v>69</v>
      </c>
      <c r="AE122" t="s">
        <v>69</v>
      </c>
      <c r="AF122" t="s">
        <v>69</v>
      </c>
      <c r="AG122" t="s">
        <v>17736</v>
      </c>
      <c r="AH122" t="s">
        <v>69</v>
      </c>
      <c r="AI122" t="s">
        <v>69</v>
      </c>
      <c r="AJ122" t="s">
        <v>69</v>
      </c>
      <c r="AK122" t="s">
        <v>69</v>
      </c>
      <c r="AL122" t="s">
        <v>69</v>
      </c>
      <c r="AM122" t="s">
        <v>69</v>
      </c>
      <c r="AN122">
        <v>39</v>
      </c>
      <c r="AO122">
        <v>2</v>
      </c>
      <c r="AP122">
        <v>2</v>
      </c>
      <c r="AQ122">
        <v>1</v>
      </c>
      <c r="AR122">
        <v>4</v>
      </c>
      <c r="AS122" t="s">
        <v>17737</v>
      </c>
      <c r="AT122" t="s">
        <v>16204</v>
      </c>
      <c r="AU122" t="s">
        <v>17738</v>
      </c>
      <c r="AV122" t="s">
        <v>990</v>
      </c>
      <c r="AW122" t="s">
        <v>991</v>
      </c>
      <c r="AX122" t="s">
        <v>69</v>
      </c>
      <c r="AY122" t="s">
        <v>17739</v>
      </c>
      <c r="AZ122" t="s">
        <v>17740</v>
      </c>
      <c r="BA122" t="s">
        <v>69</v>
      </c>
      <c r="BB122">
        <v>2019</v>
      </c>
      <c r="BC122">
        <v>32</v>
      </c>
      <c r="BD122">
        <v>2</v>
      </c>
      <c r="BE122" t="s">
        <v>69</v>
      </c>
      <c r="BF122" t="s">
        <v>69</v>
      </c>
      <c r="BG122" t="s">
        <v>69</v>
      </c>
      <c r="BH122" t="s">
        <v>69</v>
      </c>
      <c r="BI122">
        <v>431</v>
      </c>
      <c r="BJ122">
        <v>444</v>
      </c>
      <c r="BK122" t="s">
        <v>69</v>
      </c>
      <c r="BL122" t="s">
        <v>992</v>
      </c>
      <c r="BM122" t="str">
        <f>HYPERLINK("http://dx.doi.org/10.5209/cuts.58801","http://dx.doi.org/10.5209/cuts.58801")</f>
        <v>http://dx.doi.org/10.5209/cuts.58801</v>
      </c>
      <c r="BN122" t="s">
        <v>69</v>
      </c>
      <c r="BO122" t="s">
        <v>69</v>
      </c>
      <c r="BP122">
        <v>14</v>
      </c>
      <c r="BQ122" t="s">
        <v>17741</v>
      </c>
      <c r="BR122" t="s">
        <v>8573</v>
      </c>
      <c r="BS122" t="s">
        <v>17741</v>
      </c>
      <c r="BT122" t="s">
        <v>17742</v>
      </c>
      <c r="BU122" t="s">
        <v>993</v>
      </c>
      <c r="BV122" t="s">
        <v>69</v>
      </c>
      <c r="BW122" t="s">
        <v>8931</v>
      </c>
      <c r="BX122" t="s">
        <v>69</v>
      </c>
      <c r="BY122" t="s">
        <v>69</v>
      </c>
      <c r="BZ122" t="s">
        <v>8526</v>
      </c>
      <c r="CA122" t="str">
        <f>HYPERLINK("https%3A%2F%2Fwww.webofscience.com%2Fwos%2Fwoscc%2Ffull-record%2FWOS:000480516600013","View Full Record in Web of Science")</f>
        <v>View Full Record in Web of Science</v>
      </c>
    </row>
    <row r="123" spans="2:79" ht="12.5" x14ac:dyDescent="0.25">
      <c r="B123" t="s">
        <v>8495</v>
      </c>
      <c r="D123" s="7" t="s">
        <v>32944</v>
      </c>
      <c r="E123" s="7"/>
      <c r="F123" s="7"/>
      <c r="G123" s="7" t="s">
        <v>33053</v>
      </c>
      <c r="H123" t="s">
        <v>67</v>
      </c>
      <c r="I123" t="s">
        <v>30485</v>
      </c>
      <c r="J123" t="s">
        <v>69</v>
      </c>
      <c r="K123" t="s">
        <v>69</v>
      </c>
      <c r="L123" t="s">
        <v>69</v>
      </c>
      <c r="M123" t="s">
        <v>30486</v>
      </c>
      <c r="N123" t="s">
        <v>69</v>
      </c>
      <c r="O123" t="s">
        <v>69</v>
      </c>
      <c r="P123" t="s">
        <v>30487</v>
      </c>
      <c r="Q123" t="s">
        <v>30488</v>
      </c>
      <c r="R123" t="s">
        <v>69</v>
      </c>
      <c r="S123" t="s">
        <v>69</v>
      </c>
      <c r="T123" t="s">
        <v>8505</v>
      </c>
      <c r="U123" t="s">
        <v>8506</v>
      </c>
      <c r="V123" t="s">
        <v>69</v>
      </c>
      <c r="W123" t="s">
        <v>69</v>
      </c>
      <c r="X123" t="s">
        <v>69</v>
      </c>
      <c r="Y123" t="s">
        <v>69</v>
      </c>
      <c r="Z123" t="s">
        <v>69</v>
      </c>
      <c r="AA123" t="s">
        <v>30489</v>
      </c>
      <c r="AB123" t="s">
        <v>69</v>
      </c>
      <c r="AC123" t="s">
        <v>30490</v>
      </c>
      <c r="AD123" t="s">
        <v>30491</v>
      </c>
      <c r="AE123" t="s">
        <v>69</v>
      </c>
      <c r="AF123" t="s">
        <v>30492</v>
      </c>
      <c r="AG123" t="s">
        <v>30493</v>
      </c>
      <c r="AH123" t="s">
        <v>69</v>
      </c>
      <c r="AI123" t="s">
        <v>1932</v>
      </c>
      <c r="AJ123" t="s">
        <v>69</v>
      </c>
      <c r="AK123" t="s">
        <v>69</v>
      </c>
      <c r="AL123" t="s">
        <v>69</v>
      </c>
      <c r="AM123" t="s">
        <v>69</v>
      </c>
      <c r="AN123">
        <v>33</v>
      </c>
      <c r="AO123">
        <v>39</v>
      </c>
      <c r="AP123">
        <v>39</v>
      </c>
      <c r="AQ123">
        <v>0</v>
      </c>
      <c r="AR123">
        <v>0</v>
      </c>
      <c r="AS123" t="s">
        <v>8865</v>
      </c>
      <c r="AT123" t="s">
        <v>8612</v>
      </c>
      <c r="AU123" t="s">
        <v>8866</v>
      </c>
      <c r="AV123" t="s">
        <v>30494</v>
      </c>
      <c r="AW123" t="s">
        <v>30495</v>
      </c>
      <c r="AX123" t="s">
        <v>69</v>
      </c>
      <c r="AY123" t="s">
        <v>30496</v>
      </c>
      <c r="AZ123" t="s">
        <v>30497</v>
      </c>
      <c r="BA123" t="s">
        <v>69</v>
      </c>
      <c r="BB123">
        <v>2006</v>
      </c>
      <c r="BC123">
        <v>12</v>
      </c>
      <c r="BD123">
        <v>1</v>
      </c>
      <c r="BE123" t="s">
        <v>69</v>
      </c>
      <c r="BF123" t="s">
        <v>69</v>
      </c>
      <c r="BG123" t="s">
        <v>69</v>
      </c>
      <c r="BH123" t="s">
        <v>69</v>
      </c>
      <c r="BI123">
        <v>5</v>
      </c>
      <c r="BJ123">
        <v>16</v>
      </c>
      <c r="BK123" t="s">
        <v>69</v>
      </c>
      <c r="BL123" t="s">
        <v>30498</v>
      </c>
      <c r="BM123" t="str">
        <f>HYPERLINK("http://dx.doi.org/10.1080/13892240600740787","http://dx.doi.org/10.1080/13892240600740787")</f>
        <v>http://dx.doi.org/10.1080/13892240600740787</v>
      </c>
      <c r="BN123" t="s">
        <v>69</v>
      </c>
      <c r="BO123" t="s">
        <v>69</v>
      </c>
      <c r="BP123">
        <v>12</v>
      </c>
      <c r="BQ123" t="s">
        <v>15416</v>
      </c>
      <c r="BR123" t="s">
        <v>8573</v>
      </c>
      <c r="BS123" t="s">
        <v>15417</v>
      </c>
      <c r="BT123" t="s">
        <v>30499</v>
      </c>
      <c r="BU123" t="s">
        <v>30500</v>
      </c>
      <c r="BV123" t="s">
        <v>69</v>
      </c>
      <c r="BW123" t="s">
        <v>69</v>
      </c>
      <c r="BX123" t="s">
        <v>69</v>
      </c>
      <c r="BY123" t="s">
        <v>69</v>
      </c>
      <c r="BZ123" t="s">
        <v>8526</v>
      </c>
      <c r="CA123" t="str">
        <f>HYPERLINK("https%3A%2F%2Fwww.webofscience.com%2Fwos%2Fwoscc%2Ffull-record%2FWOS:000212625800002","View Full Record in Web of Science")</f>
        <v>View Full Record in Web of Science</v>
      </c>
    </row>
    <row r="124" spans="2:79" ht="12.5" x14ac:dyDescent="0.25">
      <c r="B124" t="s">
        <v>8495</v>
      </c>
      <c r="D124" s="7" t="s">
        <v>32933</v>
      </c>
      <c r="E124" s="7"/>
      <c r="F124" s="7"/>
      <c r="G124" s="7"/>
      <c r="H124" t="s">
        <v>67</v>
      </c>
      <c r="I124" t="s">
        <v>6883</v>
      </c>
      <c r="J124" t="s">
        <v>69</v>
      </c>
      <c r="K124" t="s">
        <v>69</v>
      </c>
      <c r="L124" t="s">
        <v>69</v>
      </c>
      <c r="M124" t="s">
        <v>6884</v>
      </c>
      <c r="N124" t="s">
        <v>69</v>
      </c>
      <c r="O124" t="s">
        <v>69</v>
      </c>
      <c r="P124" t="s">
        <v>6885</v>
      </c>
      <c r="Q124" t="s">
        <v>6886</v>
      </c>
      <c r="R124" t="s">
        <v>69</v>
      </c>
      <c r="S124" t="s">
        <v>69</v>
      </c>
      <c r="T124" t="s">
        <v>10071</v>
      </c>
      <c r="U124" t="s">
        <v>8506</v>
      </c>
      <c r="V124" t="s">
        <v>69</v>
      </c>
      <c r="W124" t="s">
        <v>69</v>
      </c>
      <c r="X124" t="s">
        <v>69</v>
      </c>
      <c r="Y124" t="s">
        <v>69</v>
      </c>
      <c r="Z124" t="s">
        <v>69</v>
      </c>
      <c r="AA124" t="s">
        <v>17799</v>
      </c>
      <c r="AB124" t="s">
        <v>17800</v>
      </c>
      <c r="AC124" t="s">
        <v>6887</v>
      </c>
      <c r="AD124" t="s">
        <v>17801</v>
      </c>
      <c r="AE124" t="s">
        <v>69</v>
      </c>
      <c r="AF124" t="s">
        <v>17802</v>
      </c>
      <c r="AG124" t="s">
        <v>17803</v>
      </c>
      <c r="AH124" t="s">
        <v>6888</v>
      </c>
      <c r="AI124" t="s">
        <v>6889</v>
      </c>
      <c r="AJ124" t="s">
        <v>69</v>
      </c>
      <c r="AK124" t="s">
        <v>69</v>
      </c>
      <c r="AL124" t="s">
        <v>69</v>
      </c>
      <c r="AM124" t="s">
        <v>69</v>
      </c>
      <c r="AN124">
        <v>32</v>
      </c>
      <c r="AO124">
        <v>2</v>
      </c>
      <c r="AP124">
        <v>2</v>
      </c>
      <c r="AQ124">
        <v>3</v>
      </c>
      <c r="AR124">
        <v>8</v>
      </c>
      <c r="AS124" t="s">
        <v>17737</v>
      </c>
      <c r="AT124" t="s">
        <v>16204</v>
      </c>
      <c r="AU124" t="s">
        <v>17738</v>
      </c>
      <c r="AV124" t="s">
        <v>6890</v>
      </c>
      <c r="AW124" t="s">
        <v>6891</v>
      </c>
      <c r="AX124" t="s">
        <v>69</v>
      </c>
      <c r="AY124" t="s">
        <v>17804</v>
      </c>
      <c r="AZ124" t="s">
        <v>17805</v>
      </c>
      <c r="BA124" t="s">
        <v>69</v>
      </c>
      <c r="BB124">
        <v>2019</v>
      </c>
      <c r="BC124" t="s">
        <v>69</v>
      </c>
      <c r="BD124">
        <v>130</v>
      </c>
      <c r="BE124" t="s">
        <v>69</v>
      </c>
      <c r="BF124" t="s">
        <v>69</v>
      </c>
      <c r="BG124" t="s">
        <v>69</v>
      </c>
      <c r="BH124" t="s">
        <v>69</v>
      </c>
      <c r="BI124">
        <v>73</v>
      </c>
      <c r="BJ124">
        <v>98</v>
      </c>
      <c r="BK124" t="s">
        <v>69</v>
      </c>
      <c r="BL124" t="s">
        <v>6892</v>
      </c>
      <c r="BM124" t="str">
        <f>HYPERLINK("http://dx.doi.org/10.5209/REVE.62811","http://dx.doi.org/10.5209/REVE.62811")</f>
        <v>http://dx.doi.org/10.5209/REVE.62811</v>
      </c>
      <c r="BN124" t="s">
        <v>69</v>
      </c>
      <c r="BO124" t="s">
        <v>69</v>
      </c>
      <c r="BP124">
        <v>26</v>
      </c>
      <c r="BQ124" t="s">
        <v>9726</v>
      </c>
      <c r="BR124" t="s">
        <v>8573</v>
      </c>
      <c r="BS124" t="s">
        <v>8594</v>
      </c>
      <c r="BT124" t="s">
        <v>17806</v>
      </c>
      <c r="BU124" t="s">
        <v>6893</v>
      </c>
      <c r="BV124" t="s">
        <v>69</v>
      </c>
      <c r="BW124" t="s">
        <v>17807</v>
      </c>
      <c r="BX124" t="s">
        <v>69</v>
      </c>
      <c r="BY124" t="s">
        <v>69</v>
      </c>
      <c r="BZ124" t="s">
        <v>8526</v>
      </c>
      <c r="CA124" t="str">
        <f>HYPERLINK("https%3A%2F%2Fwww.webofscience.com%2Fwos%2Fwoscc%2Ffull-record%2FWOS:000467074700004","View Full Record in Web of Science")</f>
        <v>View Full Record in Web of Science</v>
      </c>
    </row>
    <row r="125" spans="2:79" ht="12.5" x14ac:dyDescent="0.25">
      <c r="B125" t="s">
        <v>8495</v>
      </c>
      <c r="D125" s="22" t="s">
        <v>32931</v>
      </c>
      <c r="E125" s="7"/>
      <c r="F125" s="7"/>
      <c r="G125" s="7"/>
      <c r="H125" t="s">
        <v>67</v>
      </c>
      <c r="I125" t="s">
        <v>32795</v>
      </c>
      <c r="J125" t="s">
        <v>69</v>
      </c>
      <c r="K125" t="s">
        <v>69</v>
      </c>
      <c r="L125" t="s">
        <v>69</v>
      </c>
      <c r="M125" t="s">
        <v>32795</v>
      </c>
      <c r="N125" t="s">
        <v>69</v>
      </c>
      <c r="O125" t="s">
        <v>69</v>
      </c>
      <c r="P125" t="s">
        <v>32796</v>
      </c>
      <c r="Q125" t="s">
        <v>32797</v>
      </c>
      <c r="R125" t="s">
        <v>69</v>
      </c>
      <c r="S125" t="s">
        <v>69</v>
      </c>
      <c r="T125" t="s">
        <v>8505</v>
      </c>
      <c r="U125" t="s">
        <v>8506</v>
      </c>
      <c r="V125" t="s">
        <v>69</v>
      </c>
      <c r="W125" t="s">
        <v>69</v>
      </c>
      <c r="X125" t="s">
        <v>69</v>
      </c>
      <c r="Y125" t="s">
        <v>69</v>
      </c>
      <c r="Z125" t="s">
        <v>69</v>
      </c>
      <c r="AA125" t="s">
        <v>32798</v>
      </c>
      <c r="AB125" t="s">
        <v>69</v>
      </c>
      <c r="AC125" t="s">
        <v>32799</v>
      </c>
      <c r="AD125" t="s">
        <v>32800</v>
      </c>
      <c r="AE125" t="s">
        <v>69</v>
      </c>
      <c r="AF125" t="s">
        <v>32801</v>
      </c>
      <c r="AG125" t="s">
        <v>69</v>
      </c>
      <c r="AH125" t="s">
        <v>69</v>
      </c>
      <c r="AI125" t="s">
        <v>32802</v>
      </c>
      <c r="AJ125" t="s">
        <v>69</v>
      </c>
      <c r="AK125" t="s">
        <v>69</v>
      </c>
      <c r="AL125" t="s">
        <v>69</v>
      </c>
      <c r="AM125" t="s">
        <v>69</v>
      </c>
      <c r="AN125">
        <v>18</v>
      </c>
      <c r="AO125">
        <v>4</v>
      </c>
      <c r="AP125">
        <v>4</v>
      </c>
      <c r="AQ125">
        <v>0</v>
      </c>
      <c r="AR125">
        <v>0</v>
      </c>
      <c r="AS125" t="s">
        <v>32803</v>
      </c>
      <c r="AT125" t="s">
        <v>32804</v>
      </c>
      <c r="AU125" t="s">
        <v>32805</v>
      </c>
      <c r="AV125" t="s">
        <v>32806</v>
      </c>
      <c r="AW125" t="s">
        <v>69</v>
      </c>
      <c r="AX125" t="s">
        <v>69</v>
      </c>
      <c r="AY125" t="s">
        <v>32807</v>
      </c>
      <c r="AZ125" t="s">
        <v>69</v>
      </c>
      <c r="BA125" t="s">
        <v>586</v>
      </c>
      <c r="BB125">
        <v>1993</v>
      </c>
      <c r="BC125">
        <v>140</v>
      </c>
      <c r="BD125">
        <v>3</v>
      </c>
      <c r="BE125" t="s">
        <v>69</v>
      </c>
      <c r="BF125" t="s">
        <v>69</v>
      </c>
      <c r="BG125" t="s">
        <v>69</v>
      </c>
      <c r="BH125" t="s">
        <v>69</v>
      </c>
      <c r="BI125">
        <v>166</v>
      </c>
      <c r="BJ125">
        <v>176</v>
      </c>
      <c r="BK125" t="s">
        <v>69</v>
      </c>
      <c r="BL125" t="s">
        <v>32808</v>
      </c>
      <c r="BM125" t="str">
        <f>HYPERLINK("http://dx.doi.org/10.1049/ip-b.1993.0021","http://dx.doi.org/10.1049/ip-b.1993.0021")</f>
        <v>http://dx.doi.org/10.1049/ip-b.1993.0021</v>
      </c>
      <c r="BN125" t="s">
        <v>69</v>
      </c>
      <c r="BO125" t="s">
        <v>69</v>
      </c>
      <c r="BP125">
        <v>11</v>
      </c>
      <c r="BQ125" t="s">
        <v>22702</v>
      </c>
      <c r="BR125" t="s">
        <v>8548</v>
      </c>
      <c r="BS125" t="s">
        <v>8445</v>
      </c>
      <c r="BT125" t="s">
        <v>32809</v>
      </c>
      <c r="BU125" t="s">
        <v>32810</v>
      </c>
      <c r="BV125" t="s">
        <v>69</v>
      </c>
      <c r="BW125" t="s">
        <v>69</v>
      </c>
      <c r="BX125" t="s">
        <v>69</v>
      </c>
      <c r="BY125" t="s">
        <v>69</v>
      </c>
      <c r="BZ125" t="s">
        <v>8526</v>
      </c>
      <c r="CA125" t="str">
        <f>HYPERLINK("https%3A%2F%2Fwww.webofscience.com%2Fwos%2Fwoscc%2Ffull-record%2FWOS:A1993LE77700002","View Full Record in Web of Science")</f>
        <v>View Full Record in Web of Science</v>
      </c>
    </row>
    <row r="126" spans="2:79" ht="12.5" x14ac:dyDescent="0.25">
      <c r="B126" t="s">
        <v>8495</v>
      </c>
      <c r="D126" s="7" t="s">
        <v>32933</v>
      </c>
      <c r="E126" s="7"/>
      <c r="F126" s="7"/>
      <c r="G126" s="7"/>
      <c r="H126" t="s">
        <v>67</v>
      </c>
      <c r="I126" t="s">
        <v>1947</v>
      </c>
      <c r="J126" t="s">
        <v>69</v>
      </c>
      <c r="K126" t="s">
        <v>69</v>
      </c>
      <c r="L126" t="s">
        <v>69</v>
      </c>
      <c r="M126" t="s">
        <v>1948</v>
      </c>
      <c r="N126" t="s">
        <v>69</v>
      </c>
      <c r="O126" t="s">
        <v>69</v>
      </c>
      <c r="P126" t="s">
        <v>1949</v>
      </c>
      <c r="Q126" t="s">
        <v>1950</v>
      </c>
      <c r="R126" t="s">
        <v>69</v>
      </c>
      <c r="S126" t="s">
        <v>69</v>
      </c>
      <c r="T126" t="s">
        <v>8505</v>
      </c>
      <c r="U126" t="s">
        <v>8442</v>
      </c>
      <c r="V126" t="s">
        <v>69</v>
      </c>
      <c r="W126" t="s">
        <v>69</v>
      </c>
      <c r="X126" t="s">
        <v>69</v>
      </c>
      <c r="Y126" t="s">
        <v>69</v>
      </c>
      <c r="Z126" t="s">
        <v>69</v>
      </c>
      <c r="AA126" t="s">
        <v>14840</v>
      </c>
      <c r="AB126" t="s">
        <v>14841</v>
      </c>
      <c r="AC126" t="s">
        <v>1951</v>
      </c>
      <c r="AD126" t="s">
        <v>14842</v>
      </c>
      <c r="AE126" t="s">
        <v>69</v>
      </c>
      <c r="AF126" t="s">
        <v>14843</v>
      </c>
      <c r="AG126" t="s">
        <v>14844</v>
      </c>
      <c r="AH126" t="s">
        <v>69</v>
      </c>
      <c r="AI126" t="s">
        <v>69</v>
      </c>
      <c r="AJ126" t="s">
        <v>69</v>
      </c>
      <c r="AK126" t="s">
        <v>69</v>
      </c>
      <c r="AL126" t="s">
        <v>69</v>
      </c>
      <c r="AM126" t="s">
        <v>69</v>
      </c>
      <c r="AN126">
        <v>77</v>
      </c>
      <c r="AO126">
        <v>7</v>
      </c>
      <c r="AP126">
        <v>7</v>
      </c>
      <c r="AQ126">
        <v>2</v>
      </c>
      <c r="AR126">
        <v>4</v>
      </c>
      <c r="AS126" t="s">
        <v>9178</v>
      </c>
      <c r="AT126" t="s">
        <v>8763</v>
      </c>
      <c r="AU126" t="s">
        <v>9179</v>
      </c>
      <c r="AV126" t="s">
        <v>1952</v>
      </c>
      <c r="AW126" t="s">
        <v>1953</v>
      </c>
      <c r="AX126" t="s">
        <v>69</v>
      </c>
      <c r="AY126" t="s">
        <v>14845</v>
      </c>
      <c r="AZ126" t="s">
        <v>14846</v>
      </c>
      <c r="BA126" t="s">
        <v>84</v>
      </c>
      <c r="BB126">
        <v>2020</v>
      </c>
      <c r="BC126">
        <v>11</v>
      </c>
      <c r="BD126">
        <v>4</v>
      </c>
      <c r="BE126" t="s">
        <v>69</v>
      </c>
      <c r="BF126" t="s">
        <v>69</v>
      </c>
      <c r="BG126" t="s">
        <v>69</v>
      </c>
      <c r="BH126" t="s">
        <v>69</v>
      </c>
      <c r="BI126">
        <v>293</v>
      </c>
      <c r="BJ126">
        <v>302</v>
      </c>
      <c r="BK126" t="s">
        <v>69</v>
      </c>
      <c r="BL126" t="s">
        <v>1954</v>
      </c>
      <c r="BM126" t="str">
        <f>HYPERLINK("http://dx.doi.org/10.1136/flgastro-2019-101241","http://dx.doi.org/10.1136/flgastro-2019-101241")</f>
        <v>http://dx.doi.org/10.1136/flgastro-2019-101241</v>
      </c>
      <c r="BN126" t="s">
        <v>69</v>
      </c>
      <c r="BO126" t="s">
        <v>69</v>
      </c>
      <c r="BP126">
        <v>10</v>
      </c>
      <c r="BQ126" t="s">
        <v>14847</v>
      </c>
      <c r="BR126" t="s">
        <v>8573</v>
      </c>
      <c r="BS126" t="s">
        <v>14847</v>
      </c>
      <c r="BT126" t="s">
        <v>14848</v>
      </c>
      <c r="BU126" t="s">
        <v>1955</v>
      </c>
      <c r="BV126">
        <v>32582422</v>
      </c>
      <c r="BW126" t="s">
        <v>10363</v>
      </c>
      <c r="BX126" t="s">
        <v>69</v>
      </c>
      <c r="BY126" t="s">
        <v>69</v>
      </c>
      <c r="BZ126" t="s">
        <v>8526</v>
      </c>
      <c r="CA126" t="str">
        <f>HYPERLINK("https%3A%2F%2Fwww.webofscience.com%2Fwos%2Fwoscc%2Ffull-record%2FWOS:000542943900008","View Full Record in Web of Science")</f>
        <v>View Full Record in Web of Science</v>
      </c>
    </row>
    <row r="127" spans="2:79" ht="12.5" x14ac:dyDescent="0.25">
      <c r="B127" t="s">
        <v>8495</v>
      </c>
      <c r="D127" s="7" t="s">
        <v>32933</v>
      </c>
      <c r="E127" s="7"/>
      <c r="F127" s="7"/>
      <c r="G127" s="7"/>
      <c r="H127" t="s">
        <v>67</v>
      </c>
      <c r="I127" t="s">
        <v>5197</v>
      </c>
      <c r="J127" t="s">
        <v>69</v>
      </c>
      <c r="K127" t="s">
        <v>69</v>
      </c>
      <c r="L127" t="s">
        <v>69</v>
      </c>
      <c r="M127" t="s">
        <v>5197</v>
      </c>
      <c r="N127" t="s">
        <v>69</v>
      </c>
      <c r="O127" t="s">
        <v>69</v>
      </c>
      <c r="P127" s="3" t="s">
        <v>5198</v>
      </c>
      <c r="Q127" t="s">
        <v>5199</v>
      </c>
      <c r="R127" t="s">
        <v>69</v>
      </c>
      <c r="S127" t="s">
        <v>69</v>
      </c>
      <c r="T127" t="s">
        <v>8505</v>
      </c>
      <c r="U127" t="s">
        <v>15797</v>
      </c>
      <c r="V127" t="s">
        <v>5200</v>
      </c>
      <c r="W127" t="s">
        <v>5201</v>
      </c>
      <c r="X127" t="s">
        <v>5202</v>
      </c>
      <c r="Y127" t="s">
        <v>69</v>
      </c>
      <c r="Z127" t="s">
        <v>5203</v>
      </c>
      <c r="AA127" t="s">
        <v>69</v>
      </c>
      <c r="AB127" t="s">
        <v>31676</v>
      </c>
      <c r="AC127" t="s">
        <v>5204</v>
      </c>
      <c r="AD127" t="s">
        <v>31677</v>
      </c>
      <c r="AE127" t="s">
        <v>69</v>
      </c>
      <c r="AF127" t="s">
        <v>31678</v>
      </c>
      <c r="AG127" t="s">
        <v>31679</v>
      </c>
      <c r="AH127" t="s">
        <v>69</v>
      </c>
      <c r="AI127" t="s">
        <v>69</v>
      </c>
      <c r="AJ127" t="s">
        <v>69</v>
      </c>
      <c r="AK127" t="s">
        <v>69</v>
      </c>
      <c r="AL127" t="s">
        <v>69</v>
      </c>
      <c r="AM127" t="s">
        <v>69</v>
      </c>
      <c r="AN127">
        <v>118</v>
      </c>
      <c r="AO127">
        <v>3</v>
      </c>
      <c r="AP127">
        <v>3</v>
      </c>
      <c r="AQ127">
        <v>0</v>
      </c>
      <c r="AR127">
        <v>15</v>
      </c>
      <c r="AS127" t="s">
        <v>31680</v>
      </c>
      <c r="AT127" t="s">
        <v>31681</v>
      </c>
      <c r="AU127" t="s">
        <v>31682</v>
      </c>
      <c r="AV127" t="s">
        <v>5205</v>
      </c>
      <c r="AW127" t="s">
        <v>69</v>
      </c>
      <c r="AX127" t="s">
        <v>69</v>
      </c>
      <c r="AY127" t="s">
        <v>31683</v>
      </c>
      <c r="AZ127" t="s">
        <v>31684</v>
      </c>
      <c r="BA127" t="s">
        <v>69</v>
      </c>
      <c r="BB127">
        <v>2001</v>
      </c>
      <c r="BC127">
        <v>8</v>
      </c>
      <c r="BD127" t="s">
        <v>69</v>
      </c>
      <c r="BE127" t="s">
        <v>69</v>
      </c>
      <c r="BF127" t="s">
        <v>69</v>
      </c>
      <c r="BG127">
        <v>1</v>
      </c>
      <c r="BH127" t="s">
        <v>69</v>
      </c>
      <c r="BI127">
        <v>57</v>
      </c>
      <c r="BJ127">
        <v>90</v>
      </c>
      <c r="BK127" t="s">
        <v>69</v>
      </c>
      <c r="BL127" t="s">
        <v>5206</v>
      </c>
      <c r="BM127" t="str">
        <f>HYPERLINK("http://dx.doi.org/10.1656/1092-6194(2001)8[57:AVHHWV]2.0.CO;2","http://dx.doi.org/10.1656/1092-6194(2001)8[57:AVHHWV]2.0.CO;2")</f>
        <v>http://dx.doi.org/10.1656/1092-6194(2001)8[57:AVHHWV]2.0.CO;2</v>
      </c>
      <c r="BN127" t="s">
        <v>69</v>
      </c>
      <c r="BO127" t="s">
        <v>69</v>
      </c>
      <c r="BP127">
        <v>34</v>
      </c>
      <c r="BQ127" t="s">
        <v>15451</v>
      </c>
      <c r="BR127" t="s">
        <v>15808</v>
      </c>
      <c r="BS127" t="s">
        <v>15452</v>
      </c>
      <c r="BT127" t="s">
        <v>31685</v>
      </c>
      <c r="BU127" t="s">
        <v>5207</v>
      </c>
      <c r="BV127" t="s">
        <v>69</v>
      </c>
      <c r="BW127" t="s">
        <v>69</v>
      </c>
      <c r="BX127" t="s">
        <v>69</v>
      </c>
      <c r="BY127" t="s">
        <v>69</v>
      </c>
      <c r="BZ127" t="s">
        <v>8526</v>
      </c>
      <c r="CA127" t="str">
        <f>HYPERLINK("https%3A%2F%2Fwww.webofscience.com%2Fwos%2Fwoscc%2Ffull-record%2FWOS:000175117700008","View Full Record in Web of Science")</f>
        <v>View Full Record in Web of Science</v>
      </c>
    </row>
    <row r="128" spans="2:79" ht="12.5" x14ac:dyDescent="0.25">
      <c r="B128" t="s">
        <v>8495</v>
      </c>
      <c r="D128" s="7" t="s">
        <v>32933</v>
      </c>
      <c r="E128" s="7"/>
      <c r="F128" s="7"/>
      <c r="G128" s="7"/>
      <c r="H128" t="s">
        <v>67</v>
      </c>
      <c r="I128" t="s">
        <v>1837</v>
      </c>
      <c r="J128" t="s">
        <v>69</v>
      </c>
      <c r="K128" t="s">
        <v>69</v>
      </c>
      <c r="L128" t="s">
        <v>69</v>
      </c>
      <c r="M128" t="s">
        <v>1838</v>
      </c>
      <c r="N128" t="s">
        <v>69</v>
      </c>
      <c r="O128" t="s">
        <v>69</v>
      </c>
      <c r="P128" t="s">
        <v>1839</v>
      </c>
      <c r="Q128" t="s">
        <v>436</v>
      </c>
      <c r="R128" t="s">
        <v>69</v>
      </c>
      <c r="S128" t="s">
        <v>69</v>
      </c>
      <c r="T128" t="s">
        <v>8505</v>
      </c>
      <c r="U128" t="s">
        <v>8506</v>
      </c>
      <c r="V128" t="s">
        <v>69</v>
      </c>
      <c r="W128" t="s">
        <v>69</v>
      </c>
      <c r="X128" t="s">
        <v>69</v>
      </c>
      <c r="Y128" t="s">
        <v>69</v>
      </c>
      <c r="Z128" t="s">
        <v>69</v>
      </c>
      <c r="AA128" t="s">
        <v>13392</v>
      </c>
      <c r="AB128" t="s">
        <v>13393</v>
      </c>
      <c r="AC128" t="s">
        <v>1840</v>
      </c>
      <c r="AD128" t="s">
        <v>13394</v>
      </c>
      <c r="AE128" t="s">
        <v>69</v>
      </c>
      <c r="AF128" t="s">
        <v>13395</v>
      </c>
      <c r="AG128" t="s">
        <v>13396</v>
      </c>
      <c r="AH128" t="s">
        <v>1841</v>
      </c>
      <c r="AI128" t="s">
        <v>69</v>
      </c>
      <c r="AJ128" t="s">
        <v>13397</v>
      </c>
      <c r="AK128" t="s">
        <v>13397</v>
      </c>
      <c r="AL128" t="s">
        <v>13398</v>
      </c>
      <c r="AM128" t="s">
        <v>69</v>
      </c>
      <c r="AN128">
        <v>94</v>
      </c>
      <c r="AO128">
        <v>3</v>
      </c>
      <c r="AP128">
        <v>3</v>
      </c>
      <c r="AQ128">
        <v>4</v>
      </c>
      <c r="AR128">
        <v>19</v>
      </c>
      <c r="AS128" t="s">
        <v>8636</v>
      </c>
      <c r="AT128" t="s">
        <v>8637</v>
      </c>
      <c r="AU128" t="s">
        <v>8638</v>
      </c>
      <c r="AV128" t="s">
        <v>440</v>
      </c>
      <c r="AW128" t="s">
        <v>441</v>
      </c>
      <c r="AX128" t="s">
        <v>69</v>
      </c>
      <c r="AY128" t="s">
        <v>8639</v>
      </c>
      <c r="AZ128" t="s">
        <v>8640</v>
      </c>
      <c r="BA128" t="s">
        <v>442</v>
      </c>
      <c r="BB128">
        <v>2021</v>
      </c>
      <c r="BC128">
        <v>280</v>
      </c>
      <c r="BD128" t="s">
        <v>69</v>
      </c>
      <c r="BE128">
        <v>2</v>
      </c>
      <c r="BF128" t="s">
        <v>69</v>
      </c>
      <c r="BG128" t="s">
        <v>69</v>
      </c>
      <c r="BH128" t="s">
        <v>69</v>
      </c>
      <c r="BI128" t="s">
        <v>69</v>
      </c>
      <c r="BJ128" t="s">
        <v>69</v>
      </c>
      <c r="BK128">
        <v>123702</v>
      </c>
      <c r="BL128" t="s">
        <v>1842</v>
      </c>
      <c r="BM128" t="str">
        <f>HYPERLINK("http://dx.doi.org/10.1016/j.jclepro.2020.123702","http://dx.doi.org/10.1016/j.jclepro.2020.123702")</f>
        <v>http://dx.doi.org/10.1016/j.jclepro.2020.123702</v>
      </c>
      <c r="BN128" t="s">
        <v>69</v>
      </c>
      <c r="BO128" t="s">
        <v>69</v>
      </c>
      <c r="BP128">
        <v>10</v>
      </c>
      <c r="BQ128" t="s">
        <v>8643</v>
      </c>
      <c r="BR128" t="s">
        <v>8523</v>
      </c>
      <c r="BS128" t="s">
        <v>8644</v>
      </c>
      <c r="BT128" t="s">
        <v>13399</v>
      </c>
      <c r="BU128" t="s">
        <v>1843</v>
      </c>
      <c r="BV128" t="s">
        <v>69</v>
      </c>
      <c r="BW128" t="s">
        <v>69</v>
      </c>
      <c r="BX128" t="s">
        <v>69</v>
      </c>
      <c r="BY128" t="s">
        <v>69</v>
      </c>
      <c r="BZ128" t="s">
        <v>8526</v>
      </c>
      <c r="CA128" t="str">
        <f>HYPERLINK("https%3A%2F%2Fwww.webofscience.com%2Fwos%2Fwoscc%2Ffull-record%2FWOS:000605181700008","View Full Record in Web of Science")</f>
        <v>View Full Record in Web of Science</v>
      </c>
    </row>
    <row r="129" spans="2:79" x14ac:dyDescent="0.3">
      <c r="B129" t="s">
        <v>8495</v>
      </c>
      <c r="D129" s="9" t="s">
        <v>32942</v>
      </c>
      <c r="G129" s="9" t="s">
        <v>33053</v>
      </c>
      <c r="H129" t="s">
        <v>67</v>
      </c>
      <c r="I129" t="s">
        <v>12066</v>
      </c>
      <c r="J129" t="s">
        <v>69</v>
      </c>
      <c r="K129" t="s">
        <v>69</v>
      </c>
      <c r="L129" t="s">
        <v>69</v>
      </c>
      <c r="M129" t="s">
        <v>12067</v>
      </c>
      <c r="N129" t="s">
        <v>69</v>
      </c>
      <c r="O129" t="s">
        <v>69</v>
      </c>
      <c r="P129" t="s">
        <v>12068</v>
      </c>
      <c r="Q129" t="s">
        <v>12069</v>
      </c>
      <c r="R129" t="s">
        <v>69</v>
      </c>
      <c r="S129" t="s">
        <v>69</v>
      </c>
      <c r="T129" t="s">
        <v>8505</v>
      </c>
      <c r="U129" t="s">
        <v>8506</v>
      </c>
      <c r="V129" t="s">
        <v>69</v>
      </c>
      <c r="W129" t="s">
        <v>69</v>
      </c>
      <c r="X129" t="s">
        <v>69</v>
      </c>
      <c r="Y129" t="s">
        <v>69</v>
      </c>
      <c r="Z129" t="s">
        <v>69</v>
      </c>
      <c r="AA129" t="s">
        <v>69</v>
      </c>
      <c r="AB129" t="s">
        <v>69</v>
      </c>
      <c r="AC129" t="s">
        <v>12070</v>
      </c>
      <c r="AD129" t="s">
        <v>12071</v>
      </c>
      <c r="AE129" t="s">
        <v>69</v>
      </c>
      <c r="AF129" t="s">
        <v>12072</v>
      </c>
      <c r="AG129" t="s">
        <v>69</v>
      </c>
      <c r="AH129" t="s">
        <v>69</v>
      </c>
      <c r="AI129" t="s">
        <v>69</v>
      </c>
      <c r="AJ129" t="s">
        <v>69</v>
      </c>
      <c r="AK129" t="s">
        <v>69</v>
      </c>
      <c r="AL129" t="s">
        <v>69</v>
      </c>
      <c r="AM129" t="s">
        <v>69</v>
      </c>
      <c r="AN129">
        <v>2</v>
      </c>
      <c r="AO129">
        <v>0</v>
      </c>
      <c r="AP129">
        <v>0</v>
      </c>
      <c r="AQ129">
        <v>0</v>
      </c>
      <c r="AR129">
        <v>0</v>
      </c>
      <c r="AS129" t="s">
        <v>12073</v>
      </c>
      <c r="AT129" t="s">
        <v>12074</v>
      </c>
      <c r="AU129" t="s">
        <v>12075</v>
      </c>
      <c r="AV129" t="s">
        <v>12076</v>
      </c>
      <c r="AW129" t="s">
        <v>69</v>
      </c>
      <c r="AX129" t="s">
        <v>69</v>
      </c>
      <c r="AY129" t="s">
        <v>12077</v>
      </c>
      <c r="AZ129" t="s">
        <v>12078</v>
      </c>
      <c r="BA129" t="s">
        <v>155</v>
      </c>
      <c r="BB129">
        <v>2021</v>
      </c>
      <c r="BC129">
        <v>56</v>
      </c>
      <c r="BD129">
        <v>2</v>
      </c>
      <c r="BE129" t="s">
        <v>69</v>
      </c>
      <c r="BF129" t="s">
        <v>69</v>
      </c>
      <c r="BG129" t="s">
        <v>69</v>
      </c>
      <c r="BH129" t="s">
        <v>69</v>
      </c>
      <c r="BI129">
        <v>117</v>
      </c>
      <c r="BJ129">
        <v>125</v>
      </c>
      <c r="BK129" t="s">
        <v>69</v>
      </c>
      <c r="BL129" t="s">
        <v>69</v>
      </c>
      <c r="BM129" t="s">
        <v>69</v>
      </c>
      <c r="BN129" t="s">
        <v>69</v>
      </c>
      <c r="BO129" t="s">
        <v>69</v>
      </c>
      <c r="BP129">
        <v>9</v>
      </c>
      <c r="BQ129" t="s">
        <v>12079</v>
      </c>
      <c r="BR129" t="s">
        <v>8573</v>
      </c>
      <c r="BS129" t="s">
        <v>8445</v>
      </c>
      <c r="BT129" t="s">
        <v>12080</v>
      </c>
      <c r="BU129" t="s">
        <v>12081</v>
      </c>
      <c r="BV129" t="s">
        <v>69</v>
      </c>
      <c r="BW129" t="s">
        <v>69</v>
      </c>
      <c r="BX129" t="s">
        <v>69</v>
      </c>
      <c r="BY129" t="s">
        <v>69</v>
      </c>
      <c r="BZ129" t="s">
        <v>8526</v>
      </c>
      <c r="CA129" t="str">
        <f>HYPERLINK("https%3A%2F%2Fwww.webofscience.com%2Fwos%2Fwoscc%2Ffull-record%2FWOS:000664039600011","View Full Record in Web of Science")</f>
        <v>View Full Record in Web of Science</v>
      </c>
    </row>
    <row r="130" spans="2:79" ht="12.5" x14ac:dyDescent="0.25">
      <c r="B130" t="s">
        <v>8495</v>
      </c>
      <c r="D130" s="7" t="s">
        <v>32933</v>
      </c>
      <c r="E130" s="7"/>
      <c r="F130" s="7"/>
      <c r="G130" s="7"/>
      <c r="H130" t="s">
        <v>67</v>
      </c>
      <c r="I130" t="s">
        <v>4058</v>
      </c>
      <c r="J130" t="s">
        <v>69</v>
      </c>
      <c r="K130" t="s">
        <v>69</v>
      </c>
      <c r="L130" t="s">
        <v>69</v>
      </c>
      <c r="M130" t="s">
        <v>4058</v>
      </c>
      <c r="N130" t="s">
        <v>69</v>
      </c>
      <c r="O130" t="s">
        <v>69</v>
      </c>
      <c r="P130" t="s">
        <v>4059</v>
      </c>
      <c r="Q130" t="s">
        <v>3592</v>
      </c>
      <c r="R130" t="s">
        <v>69</v>
      </c>
      <c r="S130" t="s">
        <v>69</v>
      </c>
      <c r="T130" t="s">
        <v>8505</v>
      </c>
      <c r="U130" t="s">
        <v>8506</v>
      </c>
      <c r="V130" t="s">
        <v>69</v>
      </c>
      <c r="W130" t="s">
        <v>69</v>
      </c>
      <c r="X130" t="s">
        <v>69</v>
      </c>
      <c r="Y130" t="s">
        <v>69</v>
      </c>
      <c r="Z130" t="s">
        <v>69</v>
      </c>
      <c r="AA130" t="s">
        <v>31580</v>
      </c>
      <c r="AB130" t="s">
        <v>24758</v>
      </c>
      <c r="AC130" t="s">
        <v>4060</v>
      </c>
      <c r="AD130" t="s">
        <v>31581</v>
      </c>
      <c r="AE130" t="s">
        <v>69</v>
      </c>
      <c r="AF130" t="s">
        <v>31582</v>
      </c>
      <c r="AG130" t="s">
        <v>31583</v>
      </c>
      <c r="AH130" t="s">
        <v>69</v>
      </c>
      <c r="AI130" t="s">
        <v>69</v>
      </c>
      <c r="AJ130" t="s">
        <v>69</v>
      </c>
      <c r="AK130" t="s">
        <v>69</v>
      </c>
      <c r="AL130" t="s">
        <v>69</v>
      </c>
      <c r="AM130" t="s">
        <v>69</v>
      </c>
      <c r="AN130">
        <v>17</v>
      </c>
      <c r="AO130">
        <v>14</v>
      </c>
      <c r="AP130">
        <v>14</v>
      </c>
      <c r="AQ130">
        <v>0</v>
      </c>
      <c r="AR130">
        <v>9</v>
      </c>
      <c r="AS130" t="s">
        <v>8516</v>
      </c>
      <c r="AT130" t="s">
        <v>8517</v>
      </c>
      <c r="AU130" t="s">
        <v>8518</v>
      </c>
      <c r="AV130" t="s">
        <v>3594</v>
      </c>
      <c r="AW130" t="s">
        <v>3595</v>
      </c>
      <c r="AX130" t="s">
        <v>69</v>
      </c>
      <c r="AY130" t="s">
        <v>8519</v>
      </c>
      <c r="AZ130" t="s">
        <v>8520</v>
      </c>
      <c r="BA130" t="s">
        <v>477</v>
      </c>
      <c r="BB130">
        <v>2001</v>
      </c>
      <c r="BC130">
        <v>56</v>
      </c>
      <c r="BD130" t="s">
        <v>336</v>
      </c>
      <c r="BE130" t="s">
        <v>69</v>
      </c>
      <c r="BF130" t="s">
        <v>69</v>
      </c>
      <c r="BG130" t="s">
        <v>69</v>
      </c>
      <c r="BH130" t="s">
        <v>69</v>
      </c>
      <c r="BI130">
        <v>1</v>
      </c>
      <c r="BJ130">
        <v>9</v>
      </c>
      <c r="BK130" t="s">
        <v>69</v>
      </c>
      <c r="BL130" t="s">
        <v>4061</v>
      </c>
      <c r="BM130" t="str">
        <f>HYPERLINK("http://dx.doi.org/10.1016/S0169-2046(01)00156-6","http://dx.doi.org/10.1016/S0169-2046(01)00156-6")</f>
        <v>http://dx.doi.org/10.1016/S0169-2046(01)00156-6</v>
      </c>
      <c r="BN130" t="s">
        <v>69</v>
      </c>
      <c r="BO130" t="s">
        <v>69</v>
      </c>
      <c r="BP130">
        <v>9</v>
      </c>
      <c r="BQ130" t="s">
        <v>8522</v>
      </c>
      <c r="BR130" t="s">
        <v>8523</v>
      </c>
      <c r="BS130" t="s">
        <v>8524</v>
      </c>
      <c r="BT130" t="s">
        <v>31584</v>
      </c>
      <c r="BU130" t="s">
        <v>4062</v>
      </c>
      <c r="BV130" t="s">
        <v>69</v>
      </c>
      <c r="BW130" t="s">
        <v>69</v>
      </c>
      <c r="BX130" t="s">
        <v>69</v>
      </c>
      <c r="BY130" t="s">
        <v>69</v>
      </c>
      <c r="BZ130" t="s">
        <v>8526</v>
      </c>
      <c r="CA130" t="str">
        <f>HYPERLINK("https%3A%2F%2Fwww.webofscience.com%2Fwos%2Fwoscc%2Ffull-record%2FWOS:000170987200001","View Full Record in Web of Science")</f>
        <v>View Full Record in Web of Science</v>
      </c>
    </row>
    <row r="131" spans="2:79" ht="12.5" x14ac:dyDescent="0.25">
      <c r="B131" t="s">
        <v>8495</v>
      </c>
      <c r="D131" s="7" t="s">
        <v>32933</v>
      </c>
      <c r="E131" s="7"/>
      <c r="F131" s="7"/>
      <c r="G131" s="7"/>
      <c r="H131" t="s">
        <v>67</v>
      </c>
      <c r="I131" t="s">
        <v>1055</v>
      </c>
      <c r="J131" t="s">
        <v>69</v>
      </c>
      <c r="K131" t="s">
        <v>69</v>
      </c>
      <c r="L131" t="s">
        <v>69</v>
      </c>
      <c r="M131" t="s">
        <v>1056</v>
      </c>
      <c r="N131" t="s">
        <v>69</v>
      </c>
      <c r="O131" t="s">
        <v>69</v>
      </c>
      <c r="P131" t="s">
        <v>1057</v>
      </c>
      <c r="Q131" t="s">
        <v>1058</v>
      </c>
      <c r="R131" t="s">
        <v>69</v>
      </c>
      <c r="S131" t="s">
        <v>69</v>
      </c>
      <c r="T131" t="s">
        <v>8505</v>
      </c>
      <c r="U131" t="s">
        <v>8506</v>
      </c>
      <c r="V131" t="s">
        <v>69</v>
      </c>
      <c r="W131" t="s">
        <v>69</v>
      </c>
      <c r="X131" t="s">
        <v>69</v>
      </c>
      <c r="Y131" t="s">
        <v>69</v>
      </c>
      <c r="Z131" t="s">
        <v>69</v>
      </c>
      <c r="AA131" t="s">
        <v>69</v>
      </c>
      <c r="AB131" t="s">
        <v>18542</v>
      </c>
      <c r="AC131" t="s">
        <v>1059</v>
      </c>
      <c r="AD131" t="s">
        <v>18543</v>
      </c>
      <c r="AE131" t="s">
        <v>69</v>
      </c>
      <c r="AF131" t="s">
        <v>18544</v>
      </c>
      <c r="AG131" t="s">
        <v>69</v>
      </c>
      <c r="AH131" t="s">
        <v>1060</v>
      </c>
      <c r="AI131" t="s">
        <v>1061</v>
      </c>
      <c r="AJ131" t="s">
        <v>18545</v>
      </c>
      <c r="AK131" t="s">
        <v>18546</v>
      </c>
      <c r="AL131" t="s">
        <v>18547</v>
      </c>
      <c r="AM131" t="s">
        <v>69</v>
      </c>
      <c r="AN131">
        <v>109</v>
      </c>
      <c r="AO131">
        <v>14</v>
      </c>
      <c r="AP131">
        <v>15</v>
      </c>
      <c r="AQ131">
        <v>3</v>
      </c>
      <c r="AR131">
        <v>12</v>
      </c>
      <c r="AS131" t="s">
        <v>18548</v>
      </c>
      <c r="AT131" t="s">
        <v>18549</v>
      </c>
      <c r="AU131" t="s">
        <v>18550</v>
      </c>
      <c r="AV131" t="s">
        <v>1062</v>
      </c>
      <c r="AW131" t="s">
        <v>1063</v>
      </c>
      <c r="AX131" t="s">
        <v>69</v>
      </c>
      <c r="AY131" t="s">
        <v>18551</v>
      </c>
      <c r="AZ131" t="s">
        <v>18552</v>
      </c>
      <c r="BA131" t="s">
        <v>84</v>
      </c>
      <c r="BB131">
        <v>2018</v>
      </c>
      <c r="BC131">
        <v>59</v>
      </c>
      <c r="BD131">
        <v>3</v>
      </c>
      <c r="BE131" t="s">
        <v>69</v>
      </c>
      <c r="BF131" t="s">
        <v>69</v>
      </c>
      <c r="BG131" t="s">
        <v>69</v>
      </c>
      <c r="BH131" t="s">
        <v>69</v>
      </c>
      <c r="BI131">
        <v>620</v>
      </c>
      <c r="BJ131">
        <v>651</v>
      </c>
      <c r="BK131" t="s">
        <v>69</v>
      </c>
      <c r="BL131" t="s">
        <v>1064</v>
      </c>
      <c r="BM131" t="str">
        <f>HYPERLINK("http://dx.doi.org/10.1353/tech.2018.0061","http://dx.doi.org/10.1353/tech.2018.0061")</f>
        <v>http://dx.doi.org/10.1353/tech.2018.0061</v>
      </c>
      <c r="BN131" t="s">
        <v>69</v>
      </c>
      <c r="BO131" t="s">
        <v>69</v>
      </c>
      <c r="BP131">
        <v>32</v>
      </c>
      <c r="BQ131" t="s">
        <v>16099</v>
      </c>
      <c r="BR131" t="s">
        <v>18553</v>
      </c>
      <c r="BS131" t="s">
        <v>16101</v>
      </c>
      <c r="BT131" t="s">
        <v>18554</v>
      </c>
      <c r="BU131" t="s">
        <v>1065</v>
      </c>
      <c r="BV131">
        <v>30245497</v>
      </c>
      <c r="BW131" t="s">
        <v>10065</v>
      </c>
      <c r="BX131" t="s">
        <v>69</v>
      </c>
      <c r="BY131" t="s">
        <v>69</v>
      </c>
      <c r="BZ131" t="s">
        <v>8526</v>
      </c>
      <c r="CA131" t="str">
        <f>HYPERLINK("https%3A%2F%2Fwww.webofscience.com%2Fwos%2Fwoscc%2Ffull-record%2FWOS:000445099900004","View Full Record in Web of Science")</f>
        <v>View Full Record in Web of Science</v>
      </c>
    </row>
    <row r="132" spans="2:79" ht="12.5" x14ac:dyDescent="0.25">
      <c r="B132" t="s">
        <v>8495</v>
      </c>
      <c r="D132" s="22" t="s">
        <v>32931</v>
      </c>
      <c r="E132" s="7"/>
      <c r="F132" s="7"/>
      <c r="G132" s="7"/>
      <c r="H132" t="s">
        <v>67</v>
      </c>
      <c r="I132" t="s">
        <v>24209</v>
      </c>
      <c r="J132" t="s">
        <v>69</v>
      </c>
      <c r="K132" t="s">
        <v>69</v>
      </c>
      <c r="L132" t="s">
        <v>69</v>
      </c>
      <c r="M132" t="s">
        <v>24210</v>
      </c>
      <c r="N132" t="s">
        <v>69</v>
      </c>
      <c r="O132" t="s">
        <v>69</v>
      </c>
      <c r="P132" t="s">
        <v>24211</v>
      </c>
      <c r="Q132" t="s">
        <v>24212</v>
      </c>
      <c r="R132" t="s">
        <v>69</v>
      </c>
      <c r="S132" t="s">
        <v>69</v>
      </c>
      <c r="T132" t="s">
        <v>8505</v>
      </c>
      <c r="U132" t="s">
        <v>8506</v>
      </c>
      <c r="V132" t="s">
        <v>69</v>
      </c>
      <c r="W132" t="s">
        <v>69</v>
      </c>
      <c r="X132" t="s">
        <v>69</v>
      </c>
      <c r="Y132" t="s">
        <v>69</v>
      </c>
      <c r="Z132" t="s">
        <v>69</v>
      </c>
      <c r="AA132" t="s">
        <v>24213</v>
      </c>
      <c r="AB132" t="s">
        <v>69</v>
      </c>
      <c r="AC132" t="s">
        <v>24214</v>
      </c>
      <c r="AD132" t="s">
        <v>24215</v>
      </c>
      <c r="AE132" t="s">
        <v>69</v>
      </c>
      <c r="AF132" t="s">
        <v>24216</v>
      </c>
      <c r="AG132" t="s">
        <v>24217</v>
      </c>
      <c r="AH132" t="s">
        <v>69</v>
      </c>
      <c r="AI132" t="s">
        <v>69</v>
      </c>
      <c r="AJ132" t="s">
        <v>69</v>
      </c>
      <c r="AK132" t="s">
        <v>69</v>
      </c>
      <c r="AL132" t="s">
        <v>69</v>
      </c>
      <c r="AM132" t="s">
        <v>69</v>
      </c>
      <c r="AN132">
        <v>66</v>
      </c>
      <c r="AO132">
        <v>3</v>
      </c>
      <c r="AP132">
        <v>3</v>
      </c>
      <c r="AQ132">
        <v>0</v>
      </c>
      <c r="AR132">
        <v>1</v>
      </c>
      <c r="AS132" t="s">
        <v>8586</v>
      </c>
      <c r="AT132" t="s">
        <v>8587</v>
      </c>
      <c r="AU132" t="s">
        <v>8588</v>
      </c>
      <c r="AV132" t="s">
        <v>24218</v>
      </c>
      <c r="AW132" t="s">
        <v>24219</v>
      </c>
      <c r="AX132" t="s">
        <v>69</v>
      </c>
      <c r="AY132" t="s">
        <v>24220</v>
      </c>
      <c r="AZ132" t="s">
        <v>24221</v>
      </c>
      <c r="BA132" t="s">
        <v>69</v>
      </c>
      <c r="BB132">
        <v>2014</v>
      </c>
      <c r="BC132">
        <v>6</v>
      </c>
      <c r="BD132" t="s">
        <v>336</v>
      </c>
      <c r="BE132" t="s">
        <v>69</v>
      </c>
      <c r="BF132" t="s">
        <v>69</v>
      </c>
      <c r="BG132" t="s">
        <v>69</v>
      </c>
      <c r="BH132" t="s">
        <v>69</v>
      </c>
      <c r="BI132">
        <v>91</v>
      </c>
      <c r="BJ132">
        <v>105</v>
      </c>
      <c r="BK132" t="s">
        <v>69</v>
      </c>
      <c r="BL132" t="s">
        <v>24222</v>
      </c>
      <c r="BM132" t="str">
        <f>HYPERLINK("http://dx.doi.org/10.1108/IJLBE-05-2013-0022","http://dx.doi.org/10.1108/IJLBE-05-2013-0022")</f>
        <v>http://dx.doi.org/10.1108/IJLBE-05-2013-0022</v>
      </c>
      <c r="BN132" t="s">
        <v>69</v>
      </c>
      <c r="BO132" t="s">
        <v>69</v>
      </c>
      <c r="BP132">
        <v>15</v>
      </c>
      <c r="BQ132" t="s">
        <v>8452</v>
      </c>
      <c r="BR132" t="s">
        <v>8573</v>
      </c>
      <c r="BS132" t="s">
        <v>10084</v>
      </c>
      <c r="BT132" t="s">
        <v>24223</v>
      </c>
      <c r="BU132" t="s">
        <v>24224</v>
      </c>
      <c r="BV132" t="s">
        <v>69</v>
      </c>
      <c r="BW132" t="s">
        <v>69</v>
      </c>
      <c r="BX132" t="s">
        <v>69</v>
      </c>
      <c r="BY132" t="s">
        <v>69</v>
      </c>
      <c r="BZ132" t="s">
        <v>8526</v>
      </c>
      <c r="CA132" t="str">
        <f>HYPERLINK("https%3A%2F%2Fwww.webofscience.com%2Fwos%2Fwoscc%2Ffull-record%2FWOS:000214026700007","View Full Record in Web of Science")</f>
        <v>View Full Record in Web of Science</v>
      </c>
    </row>
    <row r="133" spans="2:79" x14ac:dyDescent="0.3">
      <c r="B133" t="s">
        <v>8495</v>
      </c>
      <c r="D133" s="9" t="s">
        <v>32942</v>
      </c>
      <c r="E133" s="9" t="s">
        <v>33084</v>
      </c>
      <c r="G133" s="9" t="s">
        <v>8490</v>
      </c>
      <c r="H133" t="s">
        <v>67</v>
      </c>
      <c r="I133" t="s">
        <v>29375</v>
      </c>
      <c r="J133" t="s">
        <v>69</v>
      </c>
      <c r="K133" t="s">
        <v>69</v>
      </c>
      <c r="L133" t="s">
        <v>69</v>
      </c>
      <c r="M133" t="s">
        <v>29376</v>
      </c>
      <c r="N133" t="s">
        <v>69</v>
      </c>
      <c r="O133" t="s">
        <v>69</v>
      </c>
      <c r="P133" t="s">
        <v>29377</v>
      </c>
      <c r="Q133" t="s">
        <v>7734</v>
      </c>
      <c r="R133" t="s">
        <v>69</v>
      </c>
      <c r="S133" t="s">
        <v>69</v>
      </c>
      <c r="T133" t="s">
        <v>8505</v>
      </c>
      <c r="U133" t="s">
        <v>8506</v>
      </c>
      <c r="V133" t="s">
        <v>69</v>
      </c>
      <c r="W133" t="s">
        <v>69</v>
      </c>
      <c r="X133" t="s">
        <v>69</v>
      </c>
      <c r="Y133" t="s">
        <v>69</v>
      </c>
      <c r="Z133" t="s">
        <v>69</v>
      </c>
      <c r="AA133" t="s">
        <v>29378</v>
      </c>
      <c r="AB133" t="s">
        <v>69</v>
      </c>
      <c r="AC133" t="s">
        <v>29379</v>
      </c>
      <c r="AD133" t="s">
        <v>29380</v>
      </c>
      <c r="AE133" t="s">
        <v>69</v>
      </c>
      <c r="AF133" t="s">
        <v>29381</v>
      </c>
      <c r="AG133" t="s">
        <v>29382</v>
      </c>
      <c r="AH133" t="s">
        <v>69</v>
      </c>
      <c r="AI133" t="s">
        <v>69</v>
      </c>
      <c r="AJ133" t="s">
        <v>69</v>
      </c>
      <c r="AK133" t="s">
        <v>69</v>
      </c>
      <c r="AL133" t="s">
        <v>69</v>
      </c>
      <c r="AM133" t="s">
        <v>69</v>
      </c>
      <c r="AN133">
        <v>21</v>
      </c>
      <c r="AO133">
        <v>0</v>
      </c>
      <c r="AP133">
        <v>0</v>
      </c>
      <c r="AQ133">
        <v>0</v>
      </c>
      <c r="AR133">
        <v>0</v>
      </c>
      <c r="AS133" t="s">
        <v>8586</v>
      </c>
      <c r="AT133" t="s">
        <v>8587</v>
      </c>
      <c r="AU133" t="s">
        <v>8588</v>
      </c>
      <c r="AV133" t="s">
        <v>7738</v>
      </c>
      <c r="AW133" t="s">
        <v>7739</v>
      </c>
      <c r="AX133" t="s">
        <v>69</v>
      </c>
      <c r="AY133" t="s">
        <v>7734</v>
      </c>
      <c r="AZ133" t="s">
        <v>20901</v>
      </c>
      <c r="BA133" t="s">
        <v>69</v>
      </c>
      <c r="BB133">
        <v>2008</v>
      </c>
      <c r="BC133">
        <v>10</v>
      </c>
      <c r="BD133">
        <v>4</v>
      </c>
      <c r="BE133" t="s">
        <v>69</v>
      </c>
      <c r="BF133" t="s">
        <v>69</v>
      </c>
      <c r="BG133" t="s">
        <v>114</v>
      </c>
      <c r="BH133" t="s">
        <v>69</v>
      </c>
      <c r="BI133">
        <v>31</v>
      </c>
      <c r="BJ133">
        <v>42</v>
      </c>
      <c r="BK133" t="s">
        <v>69</v>
      </c>
      <c r="BL133" t="s">
        <v>29383</v>
      </c>
      <c r="BM133" t="str">
        <f>HYPERLINK("http://dx.doi.org/10.1108/14636680810908028","http://dx.doi.org/10.1108/14636680810908028")</f>
        <v>http://dx.doi.org/10.1108/14636680810908028</v>
      </c>
      <c r="BN133" t="s">
        <v>69</v>
      </c>
      <c r="BO133" t="s">
        <v>69</v>
      </c>
      <c r="BP133">
        <v>12</v>
      </c>
      <c r="BQ133" t="s">
        <v>14187</v>
      </c>
      <c r="BR133" t="s">
        <v>8573</v>
      </c>
      <c r="BS133" t="s">
        <v>12182</v>
      </c>
      <c r="BT133" t="s">
        <v>29384</v>
      </c>
      <c r="BU133" t="s">
        <v>29385</v>
      </c>
      <c r="BV133" t="s">
        <v>69</v>
      </c>
      <c r="BW133" t="s">
        <v>69</v>
      </c>
      <c r="BX133" t="s">
        <v>69</v>
      </c>
      <c r="BY133" t="s">
        <v>69</v>
      </c>
      <c r="BZ133" t="s">
        <v>8526</v>
      </c>
      <c r="CA133" t="str">
        <f>HYPERLINK("https%3A%2F%2Fwww.webofscience.com%2Fwos%2Fwoscc%2Ffull-record%2FWOS:000213096300004","View Full Record in Web of Science")</f>
        <v>View Full Record in Web of Science</v>
      </c>
    </row>
    <row r="134" spans="2:79" x14ac:dyDescent="0.3">
      <c r="B134" t="s">
        <v>8495</v>
      </c>
      <c r="D134" s="12" t="s">
        <v>32945</v>
      </c>
      <c r="H134" t="s">
        <v>67</v>
      </c>
      <c r="I134" t="s">
        <v>4968</v>
      </c>
      <c r="J134" t="s">
        <v>69</v>
      </c>
      <c r="K134" t="s">
        <v>69</v>
      </c>
      <c r="L134" t="s">
        <v>69</v>
      </c>
      <c r="M134" s="3" t="s">
        <v>4968</v>
      </c>
      <c r="N134" t="s">
        <v>69</v>
      </c>
      <c r="O134" t="s">
        <v>69</v>
      </c>
      <c r="P134" s="2" t="s">
        <v>4969</v>
      </c>
      <c r="Q134" t="s">
        <v>4970</v>
      </c>
      <c r="R134" t="s">
        <v>69</v>
      </c>
      <c r="S134" t="s">
        <v>69</v>
      </c>
      <c r="T134" t="s">
        <v>8505</v>
      </c>
      <c r="U134" t="s">
        <v>15797</v>
      </c>
      <c r="V134" t="s">
        <v>4971</v>
      </c>
      <c r="W134" t="s">
        <v>4972</v>
      </c>
      <c r="X134" t="s">
        <v>4973</v>
      </c>
      <c r="Y134" t="s">
        <v>4974</v>
      </c>
      <c r="Z134" t="s">
        <v>69</v>
      </c>
      <c r="AA134" t="s">
        <v>69</v>
      </c>
      <c r="AB134" t="s">
        <v>69</v>
      </c>
      <c r="AC134" t="s">
        <v>4975</v>
      </c>
      <c r="AD134" t="s">
        <v>31961</v>
      </c>
      <c r="AE134" t="s">
        <v>69</v>
      </c>
      <c r="AF134" t="s">
        <v>31962</v>
      </c>
      <c r="AG134" t="s">
        <v>69</v>
      </c>
      <c r="AH134" t="s">
        <v>69</v>
      </c>
      <c r="AI134" t="s">
        <v>69</v>
      </c>
      <c r="AJ134" t="s">
        <v>69</v>
      </c>
      <c r="AK134" t="s">
        <v>69</v>
      </c>
      <c r="AL134" t="s">
        <v>69</v>
      </c>
      <c r="AM134" t="s">
        <v>69</v>
      </c>
      <c r="AN134">
        <v>110</v>
      </c>
      <c r="AO134">
        <v>92</v>
      </c>
      <c r="AP134">
        <v>93</v>
      </c>
      <c r="AQ134">
        <v>0</v>
      </c>
      <c r="AR134">
        <v>20</v>
      </c>
      <c r="AS134" t="s">
        <v>31963</v>
      </c>
      <c r="AT134" t="s">
        <v>10186</v>
      </c>
      <c r="AU134" t="s">
        <v>31964</v>
      </c>
      <c r="AV134" t="s">
        <v>4976</v>
      </c>
      <c r="AW134" t="s">
        <v>69</v>
      </c>
      <c r="AX134" t="s">
        <v>69</v>
      </c>
      <c r="AY134" t="s">
        <v>26697</v>
      </c>
      <c r="AZ134" t="s">
        <v>26698</v>
      </c>
      <c r="BA134" t="s">
        <v>1628</v>
      </c>
      <c r="BB134">
        <v>1999</v>
      </c>
      <c r="BC134">
        <v>73</v>
      </c>
      <c r="BD134">
        <v>2</v>
      </c>
      <c r="BE134" t="s">
        <v>69</v>
      </c>
      <c r="BF134" t="s">
        <v>69</v>
      </c>
      <c r="BG134" t="s">
        <v>69</v>
      </c>
      <c r="BH134" t="s">
        <v>69</v>
      </c>
      <c r="BI134">
        <v>190</v>
      </c>
      <c r="BJ134">
        <v>220</v>
      </c>
      <c r="BK134" t="s">
        <v>69</v>
      </c>
      <c r="BL134" t="s">
        <v>4977</v>
      </c>
      <c r="BM134" t="str">
        <f>HYPERLINK("http://dx.doi.org/10.2307/3116240","http://dx.doi.org/10.2307/3116240")</f>
        <v>http://dx.doi.org/10.2307/3116240</v>
      </c>
      <c r="BN134" t="s">
        <v>69</v>
      </c>
      <c r="BO134" t="s">
        <v>69</v>
      </c>
      <c r="BP134">
        <v>31</v>
      </c>
      <c r="BQ134" t="s">
        <v>26699</v>
      </c>
      <c r="BR134" t="s">
        <v>31324</v>
      </c>
      <c r="BS134" t="s">
        <v>15524</v>
      </c>
      <c r="BT134" t="s">
        <v>31965</v>
      </c>
      <c r="BU134" t="s">
        <v>4978</v>
      </c>
      <c r="BV134" t="s">
        <v>69</v>
      </c>
      <c r="BW134" t="s">
        <v>69</v>
      </c>
      <c r="BX134" t="s">
        <v>69</v>
      </c>
      <c r="BY134" t="s">
        <v>69</v>
      </c>
      <c r="BZ134" t="s">
        <v>8526</v>
      </c>
      <c r="CA134" t="str">
        <f>HYPERLINK("https%3A%2F%2Fwww.webofscience.com%2Fwos%2Fwoscc%2Ffull-record%2FWOS:000085409300002","View Full Record in Web of Science")</f>
        <v>View Full Record in Web of Science</v>
      </c>
    </row>
    <row r="135" spans="2:79" x14ac:dyDescent="0.3">
      <c r="B135" t="s">
        <v>8495</v>
      </c>
      <c r="D135" s="9" t="s">
        <v>32942</v>
      </c>
      <c r="E135" s="9" t="s">
        <v>33085</v>
      </c>
      <c r="G135" s="9" t="s">
        <v>8490</v>
      </c>
      <c r="H135" t="s">
        <v>67</v>
      </c>
      <c r="I135" t="s">
        <v>15708</v>
      </c>
      <c r="J135" t="s">
        <v>69</v>
      </c>
      <c r="K135" t="s">
        <v>69</v>
      </c>
      <c r="L135" t="s">
        <v>69</v>
      </c>
      <c r="M135" t="s">
        <v>15709</v>
      </c>
      <c r="N135" t="s">
        <v>69</v>
      </c>
      <c r="O135" t="s">
        <v>69</v>
      </c>
      <c r="P135" t="s">
        <v>15710</v>
      </c>
      <c r="Q135" t="s">
        <v>15711</v>
      </c>
      <c r="R135" t="s">
        <v>69</v>
      </c>
      <c r="S135" t="s">
        <v>69</v>
      </c>
      <c r="T135" t="s">
        <v>8505</v>
      </c>
      <c r="U135" t="s">
        <v>8506</v>
      </c>
      <c r="V135" t="s">
        <v>69</v>
      </c>
      <c r="W135" t="s">
        <v>69</v>
      </c>
      <c r="X135" t="s">
        <v>69</v>
      </c>
      <c r="Y135" t="s">
        <v>69</v>
      </c>
      <c r="Z135" t="s">
        <v>69</v>
      </c>
      <c r="AA135" t="s">
        <v>15712</v>
      </c>
      <c r="AB135" t="s">
        <v>15713</v>
      </c>
      <c r="AC135" t="s">
        <v>15714</v>
      </c>
      <c r="AD135" t="s">
        <v>15715</v>
      </c>
      <c r="AE135" t="s">
        <v>69</v>
      </c>
      <c r="AF135" t="s">
        <v>15716</v>
      </c>
      <c r="AG135" t="s">
        <v>15717</v>
      </c>
      <c r="AH135" t="s">
        <v>69</v>
      </c>
      <c r="AI135" t="s">
        <v>69</v>
      </c>
      <c r="AJ135" t="s">
        <v>15718</v>
      </c>
      <c r="AK135" t="s">
        <v>15719</v>
      </c>
      <c r="AL135" t="s">
        <v>15720</v>
      </c>
      <c r="AM135" t="s">
        <v>69</v>
      </c>
      <c r="AN135">
        <v>49</v>
      </c>
      <c r="AO135">
        <v>7</v>
      </c>
      <c r="AP135">
        <v>7</v>
      </c>
      <c r="AQ135">
        <v>24</v>
      </c>
      <c r="AR135">
        <v>74</v>
      </c>
      <c r="AS135" t="s">
        <v>9047</v>
      </c>
      <c r="AT135" t="s">
        <v>9048</v>
      </c>
      <c r="AU135" t="s">
        <v>9049</v>
      </c>
      <c r="AV135" t="s">
        <v>15721</v>
      </c>
      <c r="AW135" t="s">
        <v>15722</v>
      </c>
      <c r="AX135" t="s">
        <v>69</v>
      </c>
      <c r="AY135" t="s">
        <v>15723</v>
      </c>
      <c r="AZ135" t="s">
        <v>15724</v>
      </c>
      <c r="BA135" t="s">
        <v>75</v>
      </c>
      <c r="BB135">
        <v>2020</v>
      </c>
      <c r="BC135">
        <v>35</v>
      </c>
      <c r="BD135">
        <v>4</v>
      </c>
      <c r="BE135" t="s">
        <v>69</v>
      </c>
      <c r="BF135" t="s">
        <v>69</v>
      </c>
      <c r="BG135" t="s">
        <v>69</v>
      </c>
      <c r="BH135" t="s">
        <v>69</v>
      </c>
      <c r="BI135">
        <v>1177</v>
      </c>
      <c r="BJ135">
        <v>1199</v>
      </c>
      <c r="BK135" t="s">
        <v>69</v>
      </c>
      <c r="BL135" t="s">
        <v>15725</v>
      </c>
      <c r="BM135" t="str">
        <f>HYPERLINK("http://dx.doi.org/10.1007/s10901-020-09733-9","http://dx.doi.org/10.1007/s10901-020-09733-9")</f>
        <v>http://dx.doi.org/10.1007/s10901-020-09733-9</v>
      </c>
      <c r="BN135" t="s">
        <v>69</v>
      </c>
      <c r="BO135" t="s">
        <v>7867</v>
      </c>
      <c r="BP135">
        <v>23</v>
      </c>
      <c r="BQ135" t="s">
        <v>15726</v>
      </c>
      <c r="BR135" t="s">
        <v>8661</v>
      </c>
      <c r="BS135" t="s">
        <v>15727</v>
      </c>
      <c r="BT135" t="s">
        <v>15728</v>
      </c>
      <c r="BU135" t="s">
        <v>15729</v>
      </c>
      <c r="BV135" t="s">
        <v>69</v>
      </c>
      <c r="BW135" t="s">
        <v>8622</v>
      </c>
      <c r="BX135" t="s">
        <v>69</v>
      </c>
      <c r="BY135" t="s">
        <v>69</v>
      </c>
      <c r="BZ135" t="s">
        <v>8526</v>
      </c>
      <c r="CA135" t="str">
        <f>HYPERLINK("https%3A%2F%2Fwww.webofscience.com%2Fwos%2Fwoscc%2Ffull-record%2FWOS:000516228700001","View Full Record in Web of Science")</f>
        <v>View Full Record in Web of Science</v>
      </c>
    </row>
    <row r="136" spans="2:79" ht="12.5" x14ac:dyDescent="0.25">
      <c r="B136" t="s">
        <v>8495</v>
      </c>
      <c r="D136" s="7" t="s">
        <v>32933</v>
      </c>
      <c r="E136" s="7"/>
      <c r="F136" s="7"/>
      <c r="G136" s="7"/>
      <c r="H136" t="s">
        <v>67</v>
      </c>
      <c r="I136" t="s">
        <v>8137</v>
      </c>
      <c r="J136" t="s">
        <v>69</v>
      </c>
      <c r="K136" t="s">
        <v>69</v>
      </c>
      <c r="L136" t="s">
        <v>69</v>
      </c>
      <c r="M136" t="s">
        <v>8138</v>
      </c>
      <c r="N136" t="s">
        <v>69</v>
      </c>
      <c r="O136" t="s">
        <v>69</v>
      </c>
      <c r="P136" t="s">
        <v>8139</v>
      </c>
      <c r="Q136" t="s">
        <v>8140</v>
      </c>
      <c r="R136" t="s">
        <v>69</v>
      </c>
      <c r="S136" t="s">
        <v>69</v>
      </c>
      <c r="T136" t="s">
        <v>8505</v>
      </c>
      <c r="U136" t="s">
        <v>8506</v>
      </c>
      <c r="V136" t="s">
        <v>69</v>
      </c>
      <c r="W136" t="s">
        <v>69</v>
      </c>
      <c r="X136" t="s">
        <v>69</v>
      </c>
      <c r="Y136" t="s">
        <v>69</v>
      </c>
      <c r="Z136" t="s">
        <v>69</v>
      </c>
      <c r="AA136" t="s">
        <v>18944</v>
      </c>
      <c r="AB136" t="s">
        <v>18945</v>
      </c>
      <c r="AC136" t="s">
        <v>8141</v>
      </c>
      <c r="AD136" t="s">
        <v>18946</v>
      </c>
      <c r="AE136" t="s">
        <v>69</v>
      </c>
      <c r="AF136" t="s">
        <v>18947</v>
      </c>
      <c r="AG136" t="s">
        <v>18948</v>
      </c>
      <c r="AH136" t="s">
        <v>8142</v>
      </c>
      <c r="AI136" t="s">
        <v>18949</v>
      </c>
      <c r="AJ136" t="s">
        <v>69</v>
      </c>
      <c r="AK136" t="s">
        <v>69</v>
      </c>
      <c r="AL136" t="s">
        <v>69</v>
      </c>
      <c r="AM136" t="s">
        <v>69</v>
      </c>
      <c r="AN136">
        <v>95</v>
      </c>
      <c r="AO136">
        <v>13</v>
      </c>
      <c r="AP136">
        <v>14</v>
      </c>
      <c r="AQ136">
        <v>1</v>
      </c>
      <c r="AR136">
        <v>2</v>
      </c>
      <c r="AS136" t="s">
        <v>18749</v>
      </c>
      <c r="AT136" t="s">
        <v>8763</v>
      </c>
      <c r="AU136" t="s">
        <v>18750</v>
      </c>
      <c r="AV136" t="s">
        <v>8143</v>
      </c>
      <c r="AW136" t="s">
        <v>8144</v>
      </c>
      <c r="AX136" t="s">
        <v>69</v>
      </c>
      <c r="AY136" t="s">
        <v>18950</v>
      </c>
      <c r="AZ136" t="s">
        <v>18951</v>
      </c>
      <c r="BA136" t="s">
        <v>7502</v>
      </c>
      <c r="BB136">
        <v>2018</v>
      </c>
      <c r="BC136">
        <v>72</v>
      </c>
      <c r="BD136" t="s">
        <v>69</v>
      </c>
      <c r="BE136" t="s">
        <v>69</v>
      </c>
      <c r="BF136" t="s">
        <v>69</v>
      </c>
      <c r="BG136" t="s">
        <v>69</v>
      </c>
      <c r="BH136" t="s">
        <v>69</v>
      </c>
      <c r="BI136" t="s">
        <v>69</v>
      </c>
      <c r="BJ136" t="s">
        <v>69</v>
      </c>
      <c r="BK136">
        <v>5</v>
      </c>
      <c r="BL136" t="s">
        <v>8145</v>
      </c>
      <c r="BM136" t="str">
        <f>HYPERLINK("http://dx.doi.org/10.1186/s10152-018-0507-5","http://dx.doi.org/10.1186/s10152-018-0507-5")</f>
        <v>http://dx.doi.org/10.1186/s10152-018-0507-5</v>
      </c>
      <c r="BN136" t="s">
        <v>69</v>
      </c>
      <c r="BO136" t="s">
        <v>69</v>
      </c>
      <c r="BP136">
        <v>10</v>
      </c>
      <c r="BQ136" t="s">
        <v>18952</v>
      </c>
      <c r="BR136" t="s">
        <v>8548</v>
      </c>
      <c r="BS136" t="s">
        <v>18952</v>
      </c>
      <c r="BT136" t="s">
        <v>18953</v>
      </c>
      <c r="BU136" t="s">
        <v>8146</v>
      </c>
      <c r="BV136" t="s">
        <v>69</v>
      </c>
      <c r="BW136" t="s">
        <v>9352</v>
      </c>
      <c r="BX136" t="s">
        <v>69</v>
      </c>
      <c r="BY136" t="s">
        <v>69</v>
      </c>
      <c r="BZ136" t="s">
        <v>8526</v>
      </c>
      <c r="CA136" t="str">
        <f>HYPERLINK("https%3A%2F%2Fwww.webofscience.com%2Fwos%2Fwoscc%2Ffull-record%2FWOS:000432371400001","View Full Record in Web of Science")</f>
        <v>View Full Record in Web of Science</v>
      </c>
    </row>
    <row r="137" spans="2:79" ht="12.5" x14ac:dyDescent="0.25">
      <c r="B137" t="s">
        <v>8495</v>
      </c>
      <c r="D137" s="22" t="s">
        <v>32931</v>
      </c>
      <c r="E137" s="7"/>
      <c r="F137" s="7"/>
      <c r="G137" s="7"/>
      <c r="H137" t="s">
        <v>67</v>
      </c>
      <c r="I137" t="s">
        <v>13065</v>
      </c>
      <c r="J137" t="s">
        <v>69</v>
      </c>
      <c r="K137" t="s">
        <v>69</v>
      </c>
      <c r="L137" t="s">
        <v>69</v>
      </c>
      <c r="M137" t="s">
        <v>13066</v>
      </c>
      <c r="N137" t="s">
        <v>69</v>
      </c>
      <c r="O137" t="s">
        <v>69</v>
      </c>
      <c r="P137" t="s">
        <v>13067</v>
      </c>
      <c r="Q137" t="s">
        <v>5162</v>
      </c>
      <c r="R137" t="s">
        <v>69</v>
      </c>
      <c r="S137" t="s">
        <v>69</v>
      </c>
      <c r="T137" t="s">
        <v>8505</v>
      </c>
      <c r="U137" t="s">
        <v>8506</v>
      </c>
      <c r="V137" t="s">
        <v>69</v>
      </c>
      <c r="W137" t="s">
        <v>69</v>
      </c>
      <c r="X137" t="s">
        <v>69</v>
      </c>
      <c r="Y137" t="s">
        <v>69</v>
      </c>
      <c r="Z137" t="s">
        <v>69</v>
      </c>
      <c r="AA137" t="s">
        <v>13068</v>
      </c>
      <c r="AB137" t="s">
        <v>13069</v>
      </c>
      <c r="AC137" t="s">
        <v>13070</v>
      </c>
      <c r="AD137" t="s">
        <v>13071</v>
      </c>
      <c r="AE137" t="s">
        <v>69</v>
      </c>
      <c r="AF137" t="s">
        <v>13072</v>
      </c>
      <c r="AG137" t="s">
        <v>13073</v>
      </c>
      <c r="AH137" t="s">
        <v>13074</v>
      </c>
      <c r="AI137" t="s">
        <v>13075</v>
      </c>
      <c r="AJ137" t="s">
        <v>13076</v>
      </c>
      <c r="AK137" t="s">
        <v>13077</v>
      </c>
      <c r="AL137" t="s">
        <v>13078</v>
      </c>
      <c r="AM137" t="s">
        <v>69</v>
      </c>
      <c r="AN137">
        <v>39</v>
      </c>
      <c r="AO137">
        <v>5</v>
      </c>
      <c r="AP137">
        <v>5</v>
      </c>
      <c r="AQ137">
        <v>4</v>
      </c>
      <c r="AR137">
        <v>8</v>
      </c>
      <c r="AS137" t="s">
        <v>8636</v>
      </c>
      <c r="AT137" t="s">
        <v>8637</v>
      </c>
      <c r="AU137" t="s">
        <v>8638</v>
      </c>
      <c r="AV137" t="s">
        <v>5164</v>
      </c>
      <c r="AW137" t="s">
        <v>5165</v>
      </c>
      <c r="AX137" t="s">
        <v>69</v>
      </c>
      <c r="AY137" t="s">
        <v>11987</v>
      </c>
      <c r="AZ137" t="s">
        <v>11988</v>
      </c>
      <c r="BA137" t="s">
        <v>586</v>
      </c>
      <c r="BB137">
        <v>2021</v>
      </c>
      <c r="BC137">
        <v>127</v>
      </c>
      <c r="BD137" t="s">
        <v>69</v>
      </c>
      <c r="BE137" t="s">
        <v>69</v>
      </c>
      <c r="BF137" t="s">
        <v>69</v>
      </c>
      <c r="BG137" t="s">
        <v>69</v>
      </c>
      <c r="BH137" t="s">
        <v>69</v>
      </c>
      <c r="BI137" t="s">
        <v>69</v>
      </c>
      <c r="BJ137" t="s">
        <v>69</v>
      </c>
      <c r="BK137">
        <v>104443</v>
      </c>
      <c r="BL137" t="s">
        <v>13079</v>
      </c>
      <c r="BM137" t="str">
        <f>HYPERLINK("http://dx.doi.org/10.1016/j.marpol.2021.104443","http://dx.doi.org/10.1016/j.marpol.2021.104443")</f>
        <v>http://dx.doi.org/10.1016/j.marpol.2021.104443</v>
      </c>
      <c r="BN137" t="s">
        <v>69</v>
      </c>
      <c r="BO137" t="s">
        <v>13029</v>
      </c>
      <c r="BP137">
        <v>15</v>
      </c>
      <c r="BQ137" t="s">
        <v>11990</v>
      </c>
      <c r="BR137" t="s">
        <v>8661</v>
      </c>
      <c r="BS137" t="s">
        <v>11991</v>
      </c>
      <c r="BT137" t="s">
        <v>13080</v>
      </c>
      <c r="BU137" t="s">
        <v>13081</v>
      </c>
      <c r="BV137" t="s">
        <v>69</v>
      </c>
      <c r="BW137" t="s">
        <v>8746</v>
      </c>
      <c r="BX137" t="s">
        <v>69</v>
      </c>
      <c r="BY137" t="s">
        <v>69</v>
      </c>
      <c r="BZ137" t="s">
        <v>8526</v>
      </c>
      <c r="CA137" t="str">
        <f>HYPERLINK("https%3A%2F%2Fwww.webofscience.com%2Fwos%2Fwoscc%2Ffull-record%2FWOS:000653628000016","View Full Record in Web of Science")</f>
        <v>View Full Record in Web of Science</v>
      </c>
    </row>
    <row r="138" spans="2:79" x14ac:dyDescent="0.3">
      <c r="B138" t="s">
        <v>8495</v>
      </c>
      <c r="D138" s="9" t="s">
        <v>32942</v>
      </c>
      <c r="E138" s="9" t="s">
        <v>33086</v>
      </c>
      <c r="G138" s="9" t="s">
        <v>8490</v>
      </c>
      <c r="H138" t="s">
        <v>67</v>
      </c>
      <c r="I138" t="s">
        <v>28370</v>
      </c>
      <c r="J138" t="s">
        <v>69</v>
      </c>
      <c r="K138" t="s">
        <v>69</v>
      </c>
      <c r="L138" t="s">
        <v>69</v>
      </c>
      <c r="M138" t="s">
        <v>28371</v>
      </c>
      <c r="N138" t="s">
        <v>69</v>
      </c>
      <c r="O138" t="s">
        <v>69</v>
      </c>
      <c r="P138" t="s">
        <v>28372</v>
      </c>
      <c r="Q138" t="s">
        <v>715</v>
      </c>
      <c r="R138" t="s">
        <v>69</v>
      </c>
      <c r="S138" t="s">
        <v>69</v>
      </c>
      <c r="T138" t="s">
        <v>8505</v>
      </c>
      <c r="U138" t="s">
        <v>8506</v>
      </c>
      <c r="V138" t="s">
        <v>69</v>
      </c>
      <c r="W138" t="s">
        <v>69</v>
      </c>
      <c r="X138" t="s">
        <v>69</v>
      </c>
      <c r="Y138" t="s">
        <v>69</v>
      </c>
      <c r="Z138" t="s">
        <v>69</v>
      </c>
      <c r="AA138" t="s">
        <v>28373</v>
      </c>
      <c r="AB138" t="s">
        <v>28374</v>
      </c>
      <c r="AC138" t="s">
        <v>28375</v>
      </c>
      <c r="AD138" t="s">
        <v>28376</v>
      </c>
      <c r="AE138" t="s">
        <v>69</v>
      </c>
      <c r="AF138" t="s">
        <v>28377</v>
      </c>
      <c r="AG138" t="s">
        <v>28378</v>
      </c>
      <c r="AH138" t="s">
        <v>69</v>
      </c>
      <c r="AI138" t="s">
        <v>69</v>
      </c>
      <c r="AJ138" t="s">
        <v>69</v>
      </c>
      <c r="AK138" t="s">
        <v>69</v>
      </c>
      <c r="AL138" t="s">
        <v>69</v>
      </c>
      <c r="AM138" t="s">
        <v>69</v>
      </c>
      <c r="AN138">
        <v>29</v>
      </c>
      <c r="AO138">
        <v>9</v>
      </c>
      <c r="AP138">
        <v>9</v>
      </c>
      <c r="AQ138">
        <v>0</v>
      </c>
      <c r="AR138">
        <v>38</v>
      </c>
      <c r="AS138" t="s">
        <v>14856</v>
      </c>
      <c r="AT138" t="s">
        <v>26670</v>
      </c>
      <c r="AU138" t="s">
        <v>28379</v>
      </c>
      <c r="AV138" t="s">
        <v>719</v>
      </c>
      <c r="AW138" t="s">
        <v>69</v>
      </c>
      <c r="AX138" t="s">
        <v>69</v>
      </c>
      <c r="AY138" t="s">
        <v>9110</v>
      </c>
      <c r="AZ138" t="s">
        <v>9111</v>
      </c>
      <c r="BA138" t="s">
        <v>255</v>
      </c>
      <c r="BB138">
        <v>2009</v>
      </c>
      <c r="BC138">
        <v>18</v>
      </c>
      <c r="BD138">
        <v>6</v>
      </c>
      <c r="BE138" t="s">
        <v>69</v>
      </c>
      <c r="BF138" t="s">
        <v>69</v>
      </c>
      <c r="BG138" t="s">
        <v>69</v>
      </c>
      <c r="BH138" t="s">
        <v>69</v>
      </c>
      <c r="BI138">
        <v>380</v>
      </c>
      <c r="BJ138">
        <v>396</v>
      </c>
      <c r="BK138" t="s">
        <v>69</v>
      </c>
      <c r="BL138" t="s">
        <v>28380</v>
      </c>
      <c r="BM138" t="str">
        <f>HYPERLINK("http://dx.doi.org/10.1002/bse.605","http://dx.doi.org/10.1002/bse.605")</f>
        <v>http://dx.doi.org/10.1002/bse.605</v>
      </c>
      <c r="BN138" t="s">
        <v>69</v>
      </c>
      <c r="BO138" t="s">
        <v>69</v>
      </c>
      <c r="BP138">
        <v>17</v>
      </c>
      <c r="BQ138" t="s">
        <v>9113</v>
      </c>
      <c r="BR138" t="s">
        <v>8661</v>
      </c>
      <c r="BS138" t="s">
        <v>9114</v>
      </c>
      <c r="BT138" t="s">
        <v>28381</v>
      </c>
      <c r="BU138" t="s">
        <v>28382</v>
      </c>
      <c r="BV138" t="s">
        <v>69</v>
      </c>
      <c r="BW138" t="s">
        <v>69</v>
      </c>
      <c r="BX138" t="s">
        <v>69</v>
      </c>
      <c r="BY138" t="s">
        <v>69</v>
      </c>
      <c r="BZ138" t="s">
        <v>8526</v>
      </c>
      <c r="CA138" t="str">
        <f>HYPERLINK("https%3A%2F%2Fwww.webofscience.com%2Fwos%2Fwoscc%2Ffull-record%2FWOS:000207902900003","View Full Record in Web of Science")</f>
        <v>View Full Record in Web of Science</v>
      </c>
    </row>
    <row r="139" spans="2:79" ht="12.5" x14ac:dyDescent="0.25">
      <c r="B139" t="s">
        <v>8495</v>
      </c>
      <c r="D139" s="7" t="s">
        <v>32933</v>
      </c>
      <c r="E139" s="7"/>
      <c r="F139" s="7"/>
      <c r="G139" s="7"/>
      <c r="H139" t="s">
        <v>67</v>
      </c>
      <c r="I139" t="s">
        <v>7934</v>
      </c>
      <c r="J139" t="s">
        <v>69</v>
      </c>
      <c r="K139" t="s">
        <v>69</v>
      </c>
      <c r="L139" t="s">
        <v>69</v>
      </c>
      <c r="M139" t="s">
        <v>7935</v>
      </c>
      <c r="N139" t="s">
        <v>69</v>
      </c>
      <c r="O139" t="s">
        <v>69</v>
      </c>
      <c r="P139" t="s">
        <v>7936</v>
      </c>
      <c r="Q139" t="s">
        <v>7038</v>
      </c>
      <c r="R139" t="s">
        <v>69</v>
      </c>
      <c r="S139" t="s">
        <v>69</v>
      </c>
      <c r="T139" t="s">
        <v>8505</v>
      </c>
      <c r="U139" t="s">
        <v>8506</v>
      </c>
      <c r="V139" t="s">
        <v>69</v>
      </c>
      <c r="W139" t="s">
        <v>69</v>
      </c>
      <c r="X139" t="s">
        <v>69</v>
      </c>
      <c r="Y139" t="s">
        <v>69</v>
      </c>
      <c r="Z139" t="s">
        <v>69</v>
      </c>
      <c r="AA139" t="s">
        <v>24647</v>
      </c>
      <c r="AB139" t="s">
        <v>24648</v>
      </c>
      <c r="AC139" t="s">
        <v>7937</v>
      </c>
      <c r="AD139" t="s">
        <v>24649</v>
      </c>
      <c r="AE139" t="s">
        <v>69</v>
      </c>
      <c r="AF139" t="s">
        <v>24650</v>
      </c>
      <c r="AG139" t="s">
        <v>24651</v>
      </c>
      <c r="AH139" t="s">
        <v>7938</v>
      </c>
      <c r="AI139" t="s">
        <v>7939</v>
      </c>
      <c r="AJ139" t="s">
        <v>69</v>
      </c>
      <c r="AK139" t="s">
        <v>69</v>
      </c>
      <c r="AL139" t="s">
        <v>69</v>
      </c>
      <c r="AM139" t="s">
        <v>69</v>
      </c>
      <c r="AN139">
        <v>44</v>
      </c>
      <c r="AO139">
        <v>14</v>
      </c>
      <c r="AP139">
        <v>14</v>
      </c>
      <c r="AQ139">
        <v>0</v>
      </c>
      <c r="AR139">
        <v>22</v>
      </c>
      <c r="AS139" t="s">
        <v>9203</v>
      </c>
      <c r="AT139" t="s">
        <v>8763</v>
      </c>
      <c r="AU139" t="s">
        <v>9204</v>
      </c>
      <c r="AV139" t="s">
        <v>7040</v>
      </c>
      <c r="AW139" t="s">
        <v>69</v>
      </c>
      <c r="AX139" t="s">
        <v>69</v>
      </c>
      <c r="AY139" t="s">
        <v>9205</v>
      </c>
      <c r="AZ139" t="s">
        <v>9206</v>
      </c>
      <c r="BA139" t="s">
        <v>7940</v>
      </c>
      <c r="BB139">
        <v>2013</v>
      </c>
      <c r="BC139">
        <v>11</v>
      </c>
      <c r="BD139" t="s">
        <v>69</v>
      </c>
      <c r="BE139" t="s">
        <v>69</v>
      </c>
      <c r="BF139" t="s">
        <v>69</v>
      </c>
      <c r="BG139" t="s">
        <v>69</v>
      </c>
      <c r="BH139" t="s">
        <v>69</v>
      </c>
      <c r="BI139" t="s">
        <v>69</v>
      </c>
      <c r="BJ139" t="s">
        <v>69</v>
      </c>
      <c r="BK139">
        <v>38</v>
      </c>
      <c r="BL139" t="s">
        <v>7941</v>
      </c>
      <c r="BM139" t="str">
        <f>HYPERLINK("http://dx.doi.org/10.1186/1478-4505-11-38","http://dx.doi.org/10.1186/1478-4505-11-38")</f>
        <v>http://dx.doi.org/10.1186/1478-4505-11-38</v>
      </c>
      <c r="BN139" t="s">
        <v>69</v>
      </c>
      <c r="BO139" t="s">
        <v>69</v>
      </c>
      <c r="BP139">
        <v>11</v>
      </c>
      <c r="BQ139" t="s">
        <v>9208</v>
      </c>
      <c r="BR139" t="s">
        <v>8661</v>
      </c>
      <c r="BS139" t="s">
        <v>9209</v>
      </c>
      <c r="BT139" t="s">
        <v>24652</v>
      </c>
      <c r="BU139" t="s">
        <v>7942</v>
      </c>
      <c r="BV139">
        <v>24139603</v>
      </c>
      <c r="BW139" t="s">
        <v>9352</v>
      </c>
      <c r="BX139" t="s">
        <v>69</v>
      </c>
      <c r="BY139" t="s">
        <v>69</v>
      </c>
      <c r="BZ139" t="s">
        <v>8526</v>
      </c>
      <c r="CA139" t="str">
        <f>HYPERLINK("https%3A%2F%2Fwww.webofscience.com%2Fwos%2Fwoscc%2Ffull-record%2FWOS:000326579100001","View Full Record in Web of Science")</f>
        <v>View Full Record in Web of Science</v>
      </c>
    </row>
    <row r="140" spans="2:79" ht="12.5" x14ac:dyDescent="0.25">
      <c r="B140" t="s">
        <v>8495</v>
      </c>
      <c r="D140" s="22" t="s">
        <v>32931</v>
      </c>
      <c r="E140" s="7"/>
      <c r="F140" s="7"/>
      <c r="G140" s="7"/>
      <c r="H140" t="s">
        <v>67</v>
      </c>
      <c r="I140" t="s">
        <v>10671</v>
      </c>
      <c r="J140" t="s">
        <v>69</v>
      </c>
      <c r="K140" t="s">
        <v>69</v>
      </c>
      <c r="L140" t="s">
        <v>69</v>
      </c>
      <c r="M140" t="s">
        <v>10672</v>
      </c>
      <c r="N140" t="s">
        <v>69</v>
      </c>
      <c r="O140" t="s">
        <v>69</v>
      </c>
      <c r="P140" t="s">
        <v>10673</v>
      </c>
      <c r="Q140" t="s">
        <v>6437</v>
      </c>
      <c r="R140" t="s">
        <v>69</v>
      </c>
      <c r="S140" t="s">
        <v>69</v>
      </c>
      <c r="T140" t="s">
        <v>8505</v>
      </c>
      <c r="U140" t="s">
        <v>8506</v>
      </c>
      <c r="V140" t="s">
        <v>69</v>
      </c>
      <c r="W140" t="s">
        <v>69</v>
      </c>
      <c r="X140" t="s">
        <v>69</v>
      </c>
      <c r="Y140" t="s">
        <v>69</v>
      </c>
      <c r="Z140" t="s">
        <v>69</v>
      </c>
      <c r="AA140" t="s">
        <v>10674</v>
      </c>
      <c r="AB140" t="s">
        <v>10675</v>
      </c>
      <c r="AC140" t="s">
        <v>10676</v>
      </c>
      <c r="AD140" t="s">
        <v>10677</v>
      </c>
      <c r="AE140" t="s">
        <v>69</v>
      </c>
      <c r="AF140" t="s">
        <v>10678</v>
      </c>
      <c r="AG140" t="s">
        <v>10679</v>
      </c>
      <c r="AH140" t="s">
        <v>69</v>
      </c>
      <c r="AI140" t="s">
        <v>69</v>
      </c>
      <c r="AJ140" t="s">
        <v>10680</v>
      </c>
      <c r="AK140" t="s">
        <v>10681</v>
      </c>
      <c r="AL140" t="s">
        <v>10682</v>
      </c>
      <c r="AM140" t="s">
        <v>69</v>
      </c>
      <c r="AN140">
        <v>45</v>
      </c>
      <c r="AO140">
        <v>1</v>
      </c>
      <c r="AP140">
        <v>1</v>
      </c>
      <c r="AQ140">
        <v>58</v>
      </c>
      <c r="AR140">
        <v>90</v>
      </c>
      <c r="AS140" t="s">
        <v>9145</v>
      </c>
      <c r="AT140" t="s">
        <v>8637</v>
      </c>
      <c r="AU140" t="s">
        <v>9146</v>
      </c>
      <c r="AV140" t="s">
        <v>6439</v>
      </c>
      <c r="AW140" t="s">
        <v>10683</v>
      </c>
      <c r="AX140" t="s">
        <v>69</v>
      </c>
      <c r="AY140" t="s">
        <v>10684</v>
      </c>
      <c r="AZ140" t="s">
        <v>10685</v>
      </c>
      <c r="BA140" t="s">
        <v>133</v>
      </c>
      <c r="BB140">
        <v>2022</v>
      </c>
      <c r="BC140">
        <v>209</v>
      </c>
      <c r="BD140" t="s">
        <v>69</v>
      </c>
      <c r="BE140" t="s">
        <v>69</v>
      </c>
      <c r="BF140" t="s">
        <v>69</v>
      </c>
      <c r="BG140" t="s">
        <v>69</v>
      </c>
      <c r="BH140" t="s">
        <v>69</v>
      </c>
      <c r="BI140" t="s">
        <v>69</v>
      </c>
      <c r="BJ140" t="s">
        <v>69</v>
      </c>
      <c r="BK140">
        <v>117885</v>
      </c>
      <c r="BL140" t="s">
        <v>10686</v>
      </c>
      <c r="BM140" t="str">
        <f>HYPERLINK("http://dx.doi.org/10.1016/j.watres.2021.117885","http://dx.doi.org/10.1016/j.watres.2021.117885")</f>
        <v>http://dx.doi.org/10.1016/j.watres.2021.117885</v>
      </c>
      <c r="BN140" t="s">
        <v>69</v>
      </c>
      <c r="BO140" t="s">
        <v>10646</v>
      </c>
      <c r="BP140">
        <v>9</v>
      </c>
      <c r="BQ140" t="s">
        <v>10687</v>
      </c>
      <c r="BR140" t="s">
        <v>8548</v>
      </c>
      <c r="BS140" t="s">
        <v>10688</v>
      </c>
      <c r="BT140" t="s">
        <v>10689</v>
      </c>
      <c r="BU140" t="s">
        <v>10690</v>
      </c>
      <c r="BV140">
        <v>34847392</v>
      </c>
      <c r="BW140" t="s">
        <v>69</v>
      </c>
      <c r="BX140" t="s">
        <v>69</v>
      </c>
      <c r="BY140" t="s">
        <v>69</v>
      </c>
      <c r="BZ140" t="s">
        <v>8526</v>
      </c>
      <c r="CA140" t="str">
        <f>HYPERLINK("https%3A%2F%2Fwww.webofscience.com%2Fwos%2Fwoscc%2Ffull-record%2FWOS:000724975900009","View Full Record in Web of Science")</f>
        <v>View Full Record in Web of Science</v>
      </c>
    </row>
    <row r="141" spans="2:79" ht="12.5" x14ac:dyDescent="0.25">
      <c r="B141" t="s">
        <v>8495</v>
      </c>
      <c r="D141" s="7" t="s">
        <v>32933</v>
      </c>
      <c r="E141" s="7"/>
      <c r="F141" s="7"/>
      <c r="G141" s="7"/>
      <c r="H141" t="s">
        <v>67</v>
      </c>
      <c r="I141" t="s">
        <v>236</v>
      </c>
      <c r="J141" t="s">
        <v>69</v>
      </c>
      <c r="K141" t="s">
        <v>69</v>
      </c>
      <c r="L141" t="s">
        <v>69</v>
      </c>
      <c r="M141" t="s">
        <v>236</v>
      </c>
      <c r="N141" t="s">
        <v>69</v>
      </c>
      <c r="O141" t="s">
        <v>69</v>
      </c>
      <c r="P141" t="s">
        <v>237</v>
      </c>
      <c r="Q141" t="s">
        <v>238</v>
      </c>
      <c r="R141" t="s">
        <v>69</v>
      </c>
      <c r="S141" t="s">
        <v>69</v>
      </c>
      <c r="T141" t="s">
        <v>8505</v>
      </c>
      <c r="U141" t="s">
        <v>15797</v>
      </c>
      <c r="V141" t="s">
        <v>239</v>
      </c>
      <c r="W141" t="s">
        <v>240</v>
      </c>
      <c r="X141" t="s">
        <v>241</v>
      </c>
      <c r="Y141" t="s">
        <v>69</v>
      </c>
      <c r="Z141" t="s">
        <v>242</v>
      </c>
      <c r="AA141" t="s">
        <v>30316</v>
      </c>
      <c r="AB141" t="s">
        <v>69</v>
      </c>
      <c r="AC141" t="s">
        <v>243</v>
      </c>
      <c r="AD141" t="s">
        <v>30317</v>
      </c>
      <c r="AE141" t="s">
        <v>69</v>
      </c>
      <c r="AF141" t="s">
        <v>30318</v>
      </c>
      <c r="AG141" t="s">
        <v>30319</v>
      </c>
      <c r="AH141" t="s">
        <v>69</v>
      </c>
      <c r="AI141" t="s">
        <v>69</v>
      </c>
      <c r="AJ141" t="s">
        <v>69</v>
      </c>
      <c r="AK141" t="s">
        <v>69</v>
      </c>
      <c r="AL141" t="s">
        <v>69</v>
      </c>
      <c r="AM141" t="s">
        <v>69</v>
      </c>
      <c r="AN141">
        <v>38</v>
      </c>
      <c r="AO141">
        <v>4</v>
      </c>
      <c r="AP141">
        <v>4</v>
      </c>
      <c r="AQ141">
        <v>0</v>
      </c>
      <c r="AR141">
        <v>9</v>
      </c>
      <c r="AS141" t="s">
        <v>15611</v>
      </c>
      <c r="AT141" t="s">
        <v>10924</v>
      </c>
      <c r="AU141" t="s">
        <v>15612</v>
      </c>
      <c r="AV141" t="s">
        <v>244</v>
      </c>
      <c r="AW141" t="s">
        <v>245</v>
      </c>
      <c r="AX141" t="s">
        <v>69</v>
      </c>
      <c r="AY141" t="s">
        <v>30320</v>
      </c>
      <c r="AZ141" t="s">
        <v>30321</v>
      </c>
      <c r="BA141" t="s">
        <v>246</v>
      </c>
      <c r="BB141">
        <v>2006</v>
      </c>
      <c r="BC141">
        <v>12</v>
      </c>
      <c r="BD141">
        <v>2</v>
      </c>
      <c r="BE141" t="s">
        <v>69</v>
      </c>
      <c r="BF141" t="s">
        <v>69</v>
      </c>
      <c r="BG141" t="s">
        <v>69</v>
      </c>
      <c r="BH141" t="s">
        <v>69</v>
      </c>
      <c r="BI141">
        <v>339</v>
      </c>
      <c r="BJ141">
        <v>362</v>
      </c>
      <c r="BK141" t="s">
        <v>69</v>
      </c>
      <c r="BL141" t="s">
        <v>247</v>
      </c>
      <c r="BM141" t="str">
        <f>HYPERLINK("http://dx.doi.org/10.1080/10807030500536850","http://dx.doi.org/10.1080/10807030500536850")</f>
        <v>http://dx.doi.org/10.1080/10807030500536850</v>
      </c>
      <c r="BN141" t="s">
        <v>69</v>
      </c>
      <c r="BO141" t="s">
        <v>69</v>
      </c>
      <c r="BP141">
        <v>24</v>
      </c>
      <c r="BQ141" t="s">
        <v>24534</v>
      </c>
      <c r="BR141" t="s">
        <v>15808</v>
      </c>
      <c r="BS141" t="s">
        <v>15452</v>
      </c>
      <c r="BT141" t="s">
        <v>30322</v>
      </c>
      <c r="BU141" t="s">
        <v>248</v>
      </c>
      <c r="BV141" t="s">
        <v>69</v>
      </c>
      <c r="BW141" t="s">
        <v>69</v>
      </c>
      <c r="BX141" t="s">
        <v>69</v>
      </c>
      <c r="BY141" t="s">
        <v>69</v>
      </c>
      <c r="BZ141" t="s">
        <v>8526</v>
      </c>
      <c r="CA141" t="str">
        <f>HYPERLINK("https%3A%2F%2Fwww.webofscience.com%2Fwos%2Fwoscc%2Ffull-record%2FWOS:000237022500013","View Full Record in Web of Science")</f>
        <v>View Full Record in Web of Science</v>
      </c>
    </row>
    <row r="142" spans="2:79" ht="12.5" x14ac:dyDescent="0.25">
      <c r="B142" t="s">
        <v>8495</v>
      </c>
      <c r="D142" s="22" t="s">
        <v>32931</v>
      </c>
      <c r="E142" s="7"/>
      <c r="F142" s="7"/>
      <c r="G142" s="7"/>
      <c r="H142" t="s">
        <v>627</v>
      </c>
      <c r="I142" t="s">
        <v>30395</v>
      </c>
      <c r="J142" t="s">
        <v>69</v>
      </c>
      <c r="K142" t="s">
        <v>30396</v>
      </c>
      <c r="L142" t="s">
        <v>69</v>
      </c>
      <c r="M142" t="s">
        <v>30397</v>
      </c>
      <c r="N142" t="s">
        <v>69</v>
      </c>
      <c r="O142" t="s">
        <v>69</v>
      </c>
      <c r="P142" t="s">
        <v>30398</v>
      </c>
      <c r="Q142" t="s">
        <v>30399</v>
      </c>
      <c r="R142" t="s">
        <v>30400</v>
      </c>
      <c r="S142" t="s">
        <v>69</v>
      </c>
      <c r="T142" t="s">
        <v>8505</v>
      </c>
      <c r="U142" t="s">
        <v>15797</v>
      </c>
      <c r="V142" t="s">
        <v>30401</v>
      </c>
      <c r="W142" t="s">
        <v>30402</v>
      </c>
      <c r="X142" t="s">
        <v>30403</v>
      </c>
      <c r="Y142" t="s">
        <v>30404</v>
      </c>
      <c r="Z142" t="s">
        <v>69</v>
      </c>
      <c r="AA142" t="s">
        <v>69</v>
      </c>
      <c r="AB142" t="s">
        <v>69</v>
      </c>
      <c r="AC142" t="s">
        <v>30405</v>
      </c>
      <c r="AD142" t="s">
        <v>30406</v>
      </c>
      <c r="AE142" t="s">
        <v>69</v>
      </c>
      <c r="AF142" t="s">
        <v>30407</v>
      </c>
      <c r="AG142" t="s">
        <v>30408</v>
      </c>
      <c r="AH142" t="s">
        <v>69</v>
      </c>
      <c r="AI142" t="s">
        <v>69</v>
      </c>
      <c r="AJ142" t="s">
        <v>69</v>
      </c>
      <c r="AK142" t="s">
        <v>69</v>
      </c>
      <c r="AL142" t="s">
        <v>69</v>
      </c>
      <c r="AM142" t="s">
        <v>69</v>
      </c>
      <c r="AN142">
        <v>8</v>
      </c>
      <c r="AO142">
        <v>0</v>
      </c>
      <c r="AP142">
        <v>0</v>
      </c>
      <c r="AQ142">
        <v>0</v>
      </c>
      <c r="AR142">
        <v>2</v>
      </c>
      <c r="AS142" t="s">
        <v>30409</v>
      </c>
      <c r="AT142" t="s">
        <v>11361</v>
      </c>
      <c r="AU142" t="s">
        <v>30410</v>
      </c>
      <c r="AV142" t="s">
        <v>4011</v>
      </c>
      <c r="AW142" t="s">
        <v>5699</v>
      </c>
      <c r="AX142" t="s">
        <v>30411</v>
      </c>
      <c r="AY142" t="s">
        <v>30412</v>
      </c>
      <c r="AZ142" t="s">
        <v>69</v>
      </c>
      <c r="BA142" t="s">
        <v>69</v>
      </c>
      <c r="BB142">
        <v>2006</v>
      </c>
      <c r="BC142">
        <v>3982</v>
      </c>
      <c r="BD142" t="s">
        <v>69</v>
      </c>
      <c r="BE142" t="s">
        <v>69</v>
      </c>
      <c r="BF142" t="s">
        <v>69</v>
      </c>
      <c r="BG142" t="s">
        <v>69</v>
      </c>
      <c r="BH142" t="s">
        <v>69</v>
      </c>
      <c r="BI142">
        <v>222</v>
      </c>
      <c r="BJ142">
        <v>233</v>
      </c>
      <c r="BK142" t="s">
        <v>69</v>
      </c>
      <c r="BL142" t="s">
        <v>69</v>
      </c>
      <c r="BM142" t="s">
        <v>69</v>
      </c>
      <c r="BN142" t="s">
        <v>69</v>
      </c>
      <c r="BO142" t="s">
        <v>69</v>
      </c>
      <c r="BP142">
        <v>12</v>
      </c>
      <c r="BQ142" t="s">
        <v>30413</v>
      </c>
      <c r="BR142" t="s">
        <v>29550</v>
      </c>
      <c r="BS142" t="s">
        <v>10976</v>
      </c>
      <c r="BT142" t="s">
        <v>30414</v>
      </c>
      <c r="BU142" t="s">
        <v>30415</v>
      </c>
      <c r="BV142" t="s">
        <v>69</v>
      </c>
      <c r="BW142" t="s">
        <v>69</v>
      </c>
      <c r="BX142" t="s">
        <v>69</v>
      </c>
      <c r="BY142" t="s">
        <v>69</v>
      </c>
      <c r="BZ142" t="s">
        <v>8526</v>
      </c>
      <c r="CA142" t="str">
        <f>HYPERLINK("https%3A%2F%2Fwww.webofscience.com%2Fwos%2Fwoscc%2Ffull-record%2FWOS:000237648300025","View Full Record in Web of Science")</f>
        <v>View Full Record in Web of Science</v>
      </c>
    </row>
    <row r="143" spans="2:79" x14ac:dyDescent="0.3">
      <c r="B143" t="s">
        <v>8495</v>
      </c>
      <c r="D143" s="9" t="s">
        <v>32947</v>
      </c>
      <c r="E143" s="9" t="s">
        <v>33086</v>
      </c>
      <c r="G143" s="9" t="s">
        <v>8490</v>
      </c>
      <c r="H143" t="s">
        <v>67</v>
      </c>
      <c r="I143" t="s">
        <v>19842</v>
      </c>
      <c r="J143" t="s">
        <v>69</v>
      </c>
      <c r="K143" t="s">
        <v>69</v>
      </c>
      <c r="L143" t="s">
        <v>69</v>
      </c>
      <c r="M143" t="s">
        <v>19843</v>
      </c>
      <c r="N143" t="s">
        <v>69</v>
      </c>
      <c r="O143" t="s">
        <v>69</v>
      </c>
      <c r="P143" t="s">
        <v>19844</v>
      </c>
      <c r="Q143" t="s">
        <v>881</v>
      </c>
      <c r="R143" t="s">
        <v>69</v>
      </c>
      <c r="S143" t="s">
        <v>69</v>
      </c>
      <c r="T143" t="s">
        <v>8505</v>
      </c>
      <c r="U143" t="s">
        <v>8506</v>
      </c>
      <c r="V143" t="s">
        <v>69</v>
      </c>
      <c r="W143" t="s">
        <v>69</v>
      </c>
      <c r="X143" t="s">
        <v>69</v>
      </c>
      <c r="Y143" t="s">
        <v>69</v>
      </c>
      <c r="Z143" t="s">
        <v>69</v>
      </c>
      <c r="AA143" t="s">
        <v>19845</v>
      </c>
      <c r="AB143" t="s">
        <v>19846</v>
      </c>
      <c r="AC143" t="s">
        <v>19847</v>
      </c>
      <c r="AD143" t="s">
        <v>19848</v>
      </c>
      <c r="AE143" t="s">
        <v>69</v>
      </c>
      <c r="AF143" t="s">
        <v>19849</v>
      </c>
      <c r="AG143" t="s">
        <v>19850</v>
      </c>
      <c r="AH143" t="s">
        <v>19851</v>
      </c>
      <c r="AI143" t="s">
        <v>19852</v>
      </c>
      <c r="AJ143" t="s">
        <v>19853</v>
      </c>
      <c r="AK143" t="s">
        <v>19854</v>
      </c>
      <c r="AL143" t="s">
        <v>19855</v>
      </c>
      <c r="AM143" t="s">
        <v>69</v>
      </c>
      <c r="AN143">
        <v>63</v>
      </c>
      <c r="AO143">
        <v>174</v>
      </c>
      <c r="AP143">
        <v>179</v>
      </c>
      <c r="AQ143">
        <v>17</v>
      </c>
      <c r="AR143">
        <v>169</v>
      </c>
      <c r="AS143" t="s">
        <v>17140</v>
      </c>
      <c r="AT143" t="s">
        <v>8517</v>
      </c>
      <c r="AU143" t="s">
        <v>17141</v>
      </c>
      <c r="AV143" t="s">
        <v>883</v>
      </c>
      <c r="AW143" t="s">
        <v>884</v>
      </c>
      <c r="AX143" t="s">
        <v>69</v>
      </c>
      <c r="AY143" t="s">
        <v>12415</v>
      </c>
      <c r="AZ143" t="s">
        <v>12416</v>
      </c>
      <c r="BA143" t="s">
        <v>274</v>
      </c>
      <c r="BB143">
        <v>2017</v>
      </c>
      <c r="BC143">
        <v>126</v>
      </c>
      <c r="BD143" t="s">
        <v>69</v>
      </c>
      <c r="BE143" t="s">
        <v>69</v>
      </c>
      <c r="BF143" t="s">
        <v>69</v>
      </c>
      <c r="BG143" t="s">
        <v>69</v>
      </c>
      <c r="BH143" t="s">
        <v>69</v>
      </c>
      <c r="BI143">
        <v>86</v>
      </c>
      <c r="BJ143">
        <v>98</v>
      </c>
      <c r="BK143" t="s">
        <v>69</v>
      </c>
      <c r="BL143" t="s">
        <v>19856</v>
      </c>
      <c r="BM143" t="str">
        <f>HYPERLINK("http://dx.doi.org/10.1016/j.resconrec.2017.07.034","http://dx.doi.org/10.1016/j.resconrec.2017.07.034")</f>
        <v>http://dx.doi.org/10.1016/j.resconrec.2017.07.034</v>
      </c>
      <c r="BN143" t="s">
        <v>69</v>
      </c>
      <c r="BO143" t="s">
        <v>69</v>
      </c>
      <c r="BP143">
        <v>13</v>
      </c>
      <c r="BQ143" t="s">
        <v>8743</v>
      </c>
      <c r="BR143" t="s">
        <v>8548</v>
      </c>
      <c r="BS143" t="s">
        <v>8744</v>
      </c>
      <c r="BT143" t="s">
        <v>19857</v>
      </c>
      <c r="BU143" t="s">
        <v>19858</v>
      </c>
      <c r="BV143" t="s">
        <v>69</v>
      </c>
      <c r="BW143" t="s">
        <v>16029</v>
      </c>
      <c r="BX143" t="s">
        <v>69</v>
      </c>
      <c r="BY143" t="s">
        <v>69</v>
      </c>
      <c r="BZ143" t="s">
        <v>8526</v>
      </c>
      <c r="CA143" t="str">
        <f>HYPERLINK("https%3A%2F%2Fwww.webofscience.com%2Fwos%2Fwoscc%2Ffull-record%2FWOS:000411298400014","View Full Record in Web of Science")</f>
        <v>View Full Record in Web of Science</v>
      </c>
    </row>
    <row r="144" spans="2:79" ht="12.5" x14ac:dyDescent="0.25">
      <c r="B144" t="s">
        <v>8495</v>
      </c>
      <c r="D144" s="7" t="s">
        <v>32933</v>
      </c>
      <c r="E144" s="7"/>
      <c r="F144" s="7"/>
      <c r="G144" s="7"/>
      <c r="H144" t="s">
        <v>67</v>
      </c>
      <c r="I144" t="s">
        <v>2472</v>
      </c>
      <c r="J144" t="s">
        <v>69</v>
      </c>
      <c r="K144" t="s">
        <v>69</v>
      </c>
      <c r="L144" t="s">
        <v>69</v>
      </c>
      <c r="M144" t="s">
        <v>2473</v>
      </c>
      <c r="N144" t="s">
        <v>69</v>
      </c>
      <c r="O144" t="s">
        <v>69</v>
      </c>
      <c r="P144" t="s">
        <v>2474</v>
      </c>
      <c r="Q144" t="s">
        <v>2475</v>
      </c>
      <c r="R144" t="s">
        <v>69</v>
      </c>
      <c r="S144" t="s">
        <v>69</v>
      </c>
      <c r="T144" t="s">
        <v>8505</v>
      </c>
      <c r="U144" t="s">
        <v>8506</v>
      </c>
      <c r="V144" t="s">
        <v>69</v>
      </c>
      <c r="W144" t="s">
        <v>69</v>
      </c>
      <c r="X144" t="s">
        <v>69</v>
      </c>
      <c r="Y144" t="s">
        <v>69</v>
      </c>
      <c r="Z144" t="s">
        <v>69</v>
      </c>
      <c r="AA144" t="s">
        <v>19492</v>
      </c>
      <c r="AB144" t="s">
        <v>19493</v>
      </c>
      <c r="AC144" t="s">
        <v>2476</v>
      </c>
      <c r="AD144" t="s">
        <v>19494</v>
      </c>
      <c r="AE144" t="s">
        <v>69</v>
      </c>
      <c r="AF144" t="s">
        <v>19495</v>
      </c>
      <c r="AG144" t="s">
        <v>19496</v>
      </c>
      <c r="AH144" t="s">
        <v>2477</v>
      </c>
      <c r="AI144" t="s">
        <v>2478</v>
      </c>
      <c r="AJ144" t="s">
        <v>19497</v>
      </c>
      <c r="AK144" t="s">
        <v>19498</v>
      </c>
      <c r="AL144" t="s">
        <v>19499</v>
      </c>
      <c r="AM144" t="s">
        <v>69</v>
      </c>
      <c r="AN144">
        <v>110</v>
      </c>
      <c r="AO144">
        <v>5</v>
      </c>
      <c r="AP144">
        <v>5</v>
      </c>
      <c r="AQ144">
        <v>0</v>
      </c>
      <c r="AR144">
        <v>12</v>
      </c>
      <c r="AS144" t="s">
        <v>8586</v>
      </c>
      <c r="AT144" t="s">
        <v>8587</v>
      </c>
      <c r="AU144" t="s">
        <v>8588</v>
      </c>
      <c r="AV144" t="s">
        <v>2479</v>
      </c>
      <c r="AW144" t="s">
        <v>69</v>
      </c>
      <c r="AX144" t="s">
        <v>69</v>
      </c>
      <c r="AY144" t="s">
        <v>9888</v>
      </c>
      <c r="AZ144" t="s">
        <v>9889</v>
      </c>
      <c r="BA144" t="s">
        <v>69</v>
      </c>
      <c r="BB144">
        <v>2018</v>
      </c>
      <c r="BC144">
        <v>16</v>
      </c>
      <c r="BD144">
        <v>3</v>
      </c>
      <c r="BE144" t="s">
        <v>69</v>
      </c>
      <c r="BF144" t="s">
        <v>69</v>
      </c>
      <c r="BG144" t="s">
        <v>69</v>
      </c>
      <c r="BH144" t="s">
        <v>69</v>
      </c>
      <c r="BI144">
        <v>360</v>
      </c>
      <c r="BJ144">
        <v>384</v>
      </c>
      <c r="BK144" t="s">
        <v>69</v>
      </c>
      <c r="BL144" t="s">
        <v>2480</v>
      </c>
      <c r="BM144" t="str">
        <f>HYPERLINK("http://dx.doi.org/10.1108/JEDT-12-2017-0125","http://dx.doi.org/10.1108/JEDT-12-2017-0125")</f>
        <v>http://dx.doi.org/10.1108/JEDT-12-2017-0125</v>
      </c>
      <c r="BN144" t="s">
        <v>69</v>
      </c>
      <c r="BO144" t="s">
        <v>69</v>
      </c>
      <c r="BP144">
        <v>25</v>
      </c>
      <c r="BQ144" t="s">
        <v>9891</v>
      </c>
      <c r="BR144" t="s">
        <v>8573</v>
      </c>
      <c r="BS144" t="s">
        <v>8445</v>
      </c>
      <c r="BT144" t="s">
        <v>19500</v>
      </c>
      <c r="BU144" t="s">
        <v>2481</v>
      </c>
      <c r="BV144" t="s">
        <v>69</v>
      </c>
      <c r="BW144" t="s">
        <v>69</v>
      </c>
      <c r="BX144" t="s">
        <v>69</v>
      </c>
      <c r="BY144" t="s">
        <v>69</v>
      </c>
      <c r="BZ144" t="s">
        <v>8526</v>
      </c>
      <c r="CA144" t="str">
        <f>HYPERLINK("https%3A%2F%2Fwww.webofscience.com%2Fwos%2Fwoscc%2Ffull-record%2FWOS:000437162600002","View Full Record in Web of Science")</f>
        <v>View Full Record in Web of Science</v>
      </c>
    </row>
    <row r="145" spans="2:79" ht="12.5" x14ac:dyDescent="0.25">
      <c r="B145" t="s">
        <v>8495</v>
      </c>
      <c r="D145" s="7" t="s">
        <v>32933</v>
      </c>
      <c r="E145" s="7"/>
      <c r="F145" s="7"/>
      <c r="G145" s="7"/>
      <c r="H145" t="s">
        <v>67</v>
      </c>
      <c r="I145" t="s">
        <v>1368</v>
      </c>
      <c r="J145" t="s">
        <v>69</v>
      </c>
      <c r="K145" t="s">
        <v>69</v>
      </c>
      <c r="L145" t="s">
        <v>69</v>
      </c>
      <c r="M145" t="s">
        <v>1369</v>
      </c>
      <c r="N145" t="s">
        <v>69</v>
      </c>
      <c r="O145" t="s">
        <v>69</v>
      </c>
      <c r="P145" t="s">
        <v>1370</v>
      </c>
      <c r="Q145" t="s">
        <v>1371</v>
      </c>
      <c r="R145" t="s">
        <v>69</v>
      </c>
      <c r="S145" t="s">
        <v>69</v>
      </c>
      <c r="T145" t="s">
        <v>8505</v>
      </c>
      <c r="U145" t="s">
        <v>8506</v>
      </c>
      <c r="V145" t="s">
        <v>69</v>
      </c>
      <c r="W145" t="s">
        <v>69</v>
      </c>
      <c r="X145" t="s">
        <v>69</v>
      </c>
      <c r="Y145" t="s">
        <v>69</v>
      </c>
      <c r="Z145" t="s">
        <v>69</v>
      </c>
      <c r="AA145" t="s">
        <v>69</v>
      </c>
      <c r="AB145" t="s">
        <v>23823</v>
      </c>
      <c r="AC145" t="s">
        <v>1372</v>
      </c>
      <c r="AD145" t="s">
        <v>23824</v>
      </c>
      <c r="AE145" t="s">
        <v>69</v>
      </c>
      <c r="AF145" t="s">
        <v>23825</v>
      </c>
      <c r="AG145" t="s">
        <v>23826</v>
      </c>
      <c r="AH145" t="s">
        <v>69</v>
      </c>
      <c r="AI145" t="s">
        <v>69</v>
      </c>
      <c r="AJ145" t="s">
        <v>69</v>
      </c>
      <c r="AK145" t="s">
        <v>69</v>
      </c>
      <c r="AL145" t="s">
        <v>69</v>
      </c>
      <c r="AM145" t="s">
        <v>69</v>
      </c>
      <c r="AN145">
        <v>45</v>
      </c>
      <c r="AO145">
        <v>9</v>
      </c>
      <c r="AP145">
        <v>9</v>
      </c>
      <c r="AQ145">
        <v>0</v>
      </c>
      <c r="AR145">
        <v>8</v>
      </c>
      <c r="AS145" t="s">
        <v>10352</v>
      </c>
      <c r="AT145" t="s">
        <v>8637</v>
      </c>
      <c r="AU145" t="s">
        <v>10353</v>
      </c>
      <c r="AV145" t="s">
        <v>1373</v>
      </c>
      <c r="AW145" t="s">
        <v>1374</v>
      </c>
      <c r="AX145" t="s">
        <v>69</v>
      </c>
      <c r="AY145" t="s">
        <v>23827</v>
      </c>
      <c r="AZ145" t="s">
        <v>23828</v>
      </c>
      <c r="BA145" t="s">
        <v>1375</v>
      </c>
      <c r="BB145">
        <v>2014</v>
      </c>
      <c r="BC145">
        <v>49</v>
      </c>
      <c r="BD145">
        <v>3</v>
      </c>
      <c r="BE145" t="s">
        <v>69</v>
      </c>
      <c r="BF145" t="s">
        <v>69</v>
      </c>
      <c r="BG145" t="s">
        <v>69</v>
      </c>
      <c r="BH145" t="s">
        <v>69</v>
      </c>
      <c r="BI145">
        <v>356</v>
      </c>
      <c r="BJ145">
        <v>362</v>
      </c>
      <c r="BK145" t="s">
        <v>69</v>
      </c>
      <c r="BL145" t="s">
        <v>1376</v>
      </c>
      <c r="BM145" t="str">
        <f>HYPERLINK("http://dx.doi.org/10.1093/alcalc/agt142","http://dx.doi.org/10.1093/alcalc/agt142")</f>
        <v>http://dx.doi.org/10.1093/alcalc/agt142</v>
      </c>
      <c r="BN145" t="s">
        <v>69</v>
      </c>
      <c r="BO145" t="s">
        <v>69</v>
      </c>
      <c r="BP145">
        <v>7</v>
      </c>
      <c r="BQ145" t="s">
        <v>19419</v>
      </c>
      <c r="BR145" t="s">
        <v>8523</v>
      </c>
      <c r="BS145" t="s">
        <v>19419</v>
      </c>
      <c r="BT145" t="s">
        <v>23829</v>
      </c>
      <c r="BU145" t="s">
        <v>1377</v>
      </c>
      <c r="BV145">
        <v>24052534</v>
      </c>
      <c r="BW145" t="s">
        <v>9374</v>
      </c>
      <c r="BX145" t="s">
        <v>69</v>
      </c>
      <c r="BY145" t="s">
        <v>69</v>
      </c>
      <c r="BZ145" t="s">
        <v>8526</v>
      </c>
      <c r="CA145" t="str">
        <f>HYPERLINK("https%3A%2F%2Fwww.webofscience.com%2Fwos%2Fwoscc%2Ffull-record%2FWOS:000335331100019","View Full Record in Web of Science")</f>
        <v>View Full Record in Web of Science</v>
      </c>
    </row>
    <row r="146" spans="2:79" ht="12.5" x14ac:dyDescent="0.25">
      <c r="B146" t="s">
        <v>8495</v>
      </c>
      <c r="D146" s="7" t="s">
        <v>32933</v>
      </c>
      <c r="E146" s="7"/>
      <c r="F146" s="7"/>
      <c r="G146" s="7"/>
      <c r="H146" t="s">
        <v>67</v>
      </c>
      <c r="I146" t="s">
        <v>6534</v>
      </c>
      <c r="J146" t="s">
        <v>69</v>
      </c>
      <c r="K146" t="s">
        <v>69</v>
      </c>
      <c r="L146" t="s">
        <v>69</v>
      </c>
      <c r="M146" t="s">
        <v>6535</v>
      </c>
      <c r="N146" t="s">
        <v>69</v>
      </c>
      <c r="O146" t="s">
        <v>69</v>
      </c>
      <c r="P146" t="s">
        <v>6536</v>
      </c>
      <c r="Q146" t="s">
        <v>6537</v>
      </c>
      <c r="R146" t="s">
        <v>69</v>
      </c>
      <c r="S146" t="s">
        <v>69</v>
      </c>
      <c r="T146" t="s">
        <v>8505</v>
      </c>
      <c r="U146" t="s">
        <v>8506</v>
      </c>
      <c r="V146" t="s">
        <v>69</v>
      </c>
      <c r="W146" t="s">
        <v>69</v>
      </c>
      <c r="X146" t="s">
        <v>69</v>
      </c>
      <c r="Y146" t="s">
        <v>69</v>
      </c>
      <c r="Z146" t="s">
        <v>69</v>
      </c>
      <c r="AA146" t="s">
        <v>25190</v>
      </c>
      <c r="AB146" t="s">
        <v>69</v>
      </c>
      <c r="AC146" t="s">
        <v>6538</v>
      </c>
      <c r="AD146" t="s">
        <v>25191</v>
      </c>
      <c r="AE146" t="s">
        <v>69</v>
      </c>
      <c r="AF146" t="s">
        <v>25192</v>
      </c>
      <c r="AG146" t="s">
        <v>25193</v>
      </c>
      <c r="AH146" t="s">
        <v>25194</v>
      </c>
      <c r="AI146" t="s">
        <v>25195</v>
      </c>
      <c r="AJ146" t="s">
        <v>25196</v>
      </c>
      <c r="AK146" t="s">
        <v>25196</v>
      </c>
      <c r="AL146" t="s">
        <v>25197</v>
      </c>
      <c r="AM146" t="s">
        <v>69</v>
      </c>
      <c r="AN146">
        <v>43</v>
      </c>
      <c r="AO146">
        <v>8</v>
      </c>
      <c r="AP146">
        <v>8</v>
      </c>
      <c r="AQ146">
        <v>0</v>
      </c>
      <c r="AR146">
        <v>69</v>
      </c>
      <c r="AS146" t="s">
        <v>25198</v>
      </c>
      <c r="AT146" t="s">
        <v>8763</v>
      </c>
      <c r="AU146" t="s">
        <v>25199</v>
      </c>
      <c r="AV146" t="s">
        <v>6539</v>
      </c>
      <c r="AW146" t="s">
        <v>6540</v>
      </c>
      <c r="AX146" t="s">
        <v>69</v>
      </c>
      <c r="AY146" t="s">
        <v>6537</v>
      </c>
      <c r="AZ146" t="s">
        <v>25200</v>
      </c>
      <c r="BA146" t="s">
        <v>6541</v>
      </c>
      <c r="BB146">
        <v>2013</v>
      </c>
      <c r="BC146">
        <v>3</v>
      </c>
      <c r="BD146">
        <v>1</v>
      </c>
      <c r="BE146" t="s">
        <v>69</v>
      </c>
      <c r="BF146" t="s">
        <v>69</v>
      </c>
      <c r="BG146" t="s">
        <v>69</v>
      </c>
      <c r="BH146" t="s">
        <v>69</v>
      </c>
      <c r="BI146" t="s">
        <v>69</v>
      </c>
      <c r="BJ146" t="s">
        <v>69</v>
      </c>
      <c r="BK146">
        <v>20120039</v>
      </c>
      <c r="BL146" t="s">
        <v>6542</v>
      </c>
      <c r="BM146" t="str">
        <f>HYPERLINK("http://dx.doi.org/10.1098/rsfs.2012.0039","http://dx.doi.org/10.1098/rsfs.2012.0039")</f>
        <v>http://dx.doi.org/10.1098/rsfs.2012.0039</v>
      </c>
      <c r="BN146" t="s">
        <v>69</v>
      </c>
      <c r="BO146" t="s">
        <v>69</v>
      </c>
      <c r="BP146">
        <v>9</v>
      </c>
      <c r="BQ146" t="s">
        <v>24555</v>
      </c>
      <c r="BR146" t="s">
        <v>8523</v>
      </c>
      <c r="BS146" t="s">
        <v>24556</v>
      </c>
      <c r="BT146" t="s">
        <v>25201</v>
      </c>
      <c r="BU146" t="s">
        <v>6543</v>
      </c>
      <c r="BV146">
        <v>24427512</v>
      </c>
      <c r="BW146" t="s">
        <v>25202</v>
      </c>
      <c r="BX146" t="s">
        <v>69</v>
      </c>
      <c r="BY146" t="s">
        <v>69</v>
      </c>
      <c r="BZ146" t="s">
        <v>8526</v>
      </c>
      <c r="CA146" t="str">
        <f>HYPERLINK("https%3A%2F%2Fwww.webofscience.com%2Fwos%2Fwoscc%2Ffull-record%2FWOS:000312740800004","View Full Record in Web of Science")</f>
        <v>View Full Record in Web of Science</v>
      </c>
    </row>
    <row r="147" spans="2:79" ht="12.5" x14ac:dyDescent="0.25">
      <c r="B147" t="s">
        <v>8495</v>
      </c>
      <c r="D147" s="22" t="s">
        <v>32931</v>
      </c>
      <c r="E147" s="7"/>
      <c r="F147" s="7"/>
      <c r="G147" s="7"/>
      <c r="H147" t="s">
        <v>67</v>
      </c>
      <c r="I147" t="s">
        <v>26933</v>
      </c>
      <c r="J147" t="s">
        <v>69</v>
      </c>
      <c r="K147" t="s">
        <v>69</v>
      </c>
      <c r="L147" t="s">
        <v>69</v>
      </c>
      <c r="M147" t="s">
        <v>26934</v>
      </c>
      <c r="N147" t="s">
        <v>69</v>
      </c>
      <c r="O147" t="s">
        <v>69</v>
      </c>
      <c r="P147" t="s">
        <v>26935</v>
      </c>
      <c r="Q147" t="s">
        <v>26936</v>
      </c>
      <c r="R147" t="s">
        <v>69</v>
      </c>
      <c r="S147" t="s">
        <v>69</v>
      </c>
      <c r="T147" t="s">
        <v>8505</v>
      </c>
      <c r="U147" t="s">
        <v>8506</v>
      </c>
      <c r="V147" t="s">
        <v>69</v>
      </c>
      <c r="W147" t="s">
        <v>69</v>
      </c>
      <c r="X147" t="s">
        <v>69</v>
      </c>
      <c r="Y147" t="s">
        <v>69</v>
      </c>
      <c r="Z147" t="s">
        <v>69</v>
      </c>
      <c r="AA147" t="s">
        <v>26937</v>
      </c>
      <c r="AB147" t="s">
        <v>69</v>
      </c>
      <c r="AC147" t="s">
        <v>26938</v>
      </c>
      <c r="AD147" t="s">
        <v>26939</v>
      </c>
      <c r="AE147" t="s">
        <v>69</v>
      </c>
      <c r="AF147" t="s">
        <v>26940</v>
      </c>
      <c r="AG147" t="s">
        <v>26941</v>
      </c>
      <c r="AH147" t="s">
        <v>69</v>
      </c>
      <c r="AI147" t="s">
        <v>69</v>
      </c>
      <c r="AJ147" t="s">
        <v>69</v>
      </c>
      <c r="AK147" t="s">
        <v>69</v>
      </c>
      <c r="AL147" t="s">
        <v>69</v>
      </c>
      <c r="AM147" t="s">
        <v>69</v>
      </c>
      <c r="AN147">
        <v>60</v>
      </c>
      <c r="AO147">
        <v>25</v>
      </c>
      <c r="AP147">
        <v>25</v>
      </c>
      <c r="AQ147">
        <v>0</v>
      </c>
      <c r="AR147">
        <v>1</v>
      </c>
      <c r="AS147" t="s">
        <v>10097</v>
      </c>
      <c r="AT147" t="s">
        <v>10098</v>
      </c>
      <c r="AU147" t="s">
        <v>10099</v>
      </c>
      <c r="AV147" t="s">
        <v>26942</v>
      </c>
      <c r="AW147" t="s">
        <v>26943</v>
      </c>
      <c r="AX147" t="s">
        <v>69</v>
      </c>
      <c r="AY147" t="s">
        <v>26944</v>
      </c>
      <c r="AZ147" t="s">
        <v>26945</v>
      </c>
      <c r="BA147" t="s">
        <v>84</v>
      </c>
      <c r="BB147">
        <v>2011</v>
      </c>
      <c r="BC147">
        <v>16</v>
      </c>
      <c r="BD147">
        <v>2</v>
      </c>
      <c r="BE147" t="s">
        <v>69</v>
      </c>
      <c r="BF147" t="s">
        <v>69</v>
      </c>
      <c r="BG147" t="s">
        <v>69</v>
      </c>
      <c r="BH147" t="s">
        <v>69</v>
      </c>
      <c r="BI147">
        <v>77</v>
      </c>
      <c r="BJ147">
        <v>105</v>
      </c>
      <c r="BK147" t="s">
        <v>69</v>
      </c>
      <c r="BL147" t="s">
        <v>69</v>
      </c>
      <c r="BM147" t="s">
        <v>69</v>
      </c>
      <c r="BN147" t="s">
        <v>69</v>
      </c>
      <c r="BO147" t="s">
        <v>69</v>
      </c>
      <c r="BP147">
        <v>29</v>
      </c>
      <c r="BQ147" t="s">
        <v>9410</v>
      </c>
      <c r="BR147" t="s">
        <v>8573</v>
      </c>
      <c r="BS147" t="s">
        <v>8594</v>
      </c>
      <c r="BT147" t="s">
        <v>26946</v>
      </c>
      <c r="BU147" t="s">
        <v>26947</v>
      </c>
      <c r="BV147" t="s">
        <v>69</v>
      </c>
      <c r="BW147" t="s">
        <v>69</v>
      </c>
      <c r="BX147" t="s">
        <v>69</v>
      </c>
      <c r="BY147" t="s">
        <v>69</v>
      </c>
      <c r="BZ147" t="s">
        <v>8526</v>
      </c>
      <c r="CA147" t="str">
        <f>HYPERLINK("https%3A%2F%2Fwww.webofscience.com%2Fwos%2Fwoscc%2Ffull-record%2FWOS:000210018200004","View Full Record in Web of Science")</f>
        <v>View Full Record in Web of Science</v>
      </c>
    </row>
    <row r="148" spans="2:79" ht="12.5" x14ac:dyDescent="0.25">
      <c r="B148" t="s">
        <v>8495</v>
      </c>
      <c r="D148" s="7" t="s">
        <v>32933</v>
      </c>
      <c r="E148" s="7"/>
      <c r="F148" s="7"/>
      <c r="G148" s="7"/>
      <c r="H148" t="s">
        <v>67</v>
      </c>
      <c r="I148" t="s">
        <v>7804</v>
      </c>
      <c r="J148" t="s">
        <v>69</v>
      </c>
      <c r="K148" t="s">
        <v>69</v>
      </c>
      <c r="L148" t="s">
        <v>69</v>
      </c>
      <c r="M148" t="s">
        <v>7805</v>
      </c>
      <c r="N148" t="s">
        <v>69</v>
      </c>
      <c r="O148" t="s">
        <v>69</v>
      </c>
      <c r="P148" t="s">
        <v>7806</v>
      </c>
      <c r="Q148" t="s">
        <v>436</v>
      </c>
      <c r="R148" t="s">
        <v>69</v>
      </c>
      <c r="S148" t="s">
        <v>69</v>
      </c>
      <c r="T148" t="s">
        <v>8505</v>
      </c>
      <c r="U148" t="s">
        <v>8506</v>
      </c>
      <c r="V148" t="s">
        <v>69</v>
      </c>
      <c r="W148" t="s">
        <v>69</v>
      </c>
      <c r="X148" t="s">
        <v>69</v>
      </c>
      <c r="Y148" t="s">
        <v>69</v>
      </c>
      <c r="Z148" t="s">
        <v>69</v>
      </c>
      <c r="AA148" t="s">
        <v>22294</v>
      </c>
      <c r="AB148" t="s">
        <v>22295</v>
      </c>
      <c r="AC148" t="s">
        <v>7807</v>
      </c>
      <c r="AD148" t="s">
        <v>22296</v>
      </c>
      <c r="AE148" t="s">
        <v>69</v>
      </c>
      <c r="AF148" t="s">
        <v>22297</v>
      </c>
      <c r="AG148" t="s">
        <v>22298</v>
      </c>
      <c r="AH148" t="s">
        <v>7808</v>
      </c>
      <c r="AI148" t="s">
        <v>7809</v>
      </c>
      <c r="AJ148" t="s">
        <v>22299</v>
      </c>
      <c r="AK148" t="s">
        <v>22300</v>
      </c>
      <c r="AL148" t="s">
        <v>22301</v>
      </c>
      <c r="AM148" t="s">
        <v>69</v>
      </c>
      <c r="AN148">
        <v>68</v>
      </c>
      <c r="AO148">
        <v>33</v>
      </c>
      <c r="AP148">
        <v>34</v>
      </c>
      <c r="AQ148">
        <v>3</v>
      </c>
      <c r="AR148">
        <v>57</v>
      </c>
      <c r="AS148" t="s">
        <v>8636</v>
      </c>
      <c r="AT148" t="s">
        <v>8637</v>
      </c>
      <c r="AU148" t="s">
        <v>8638</v>
      </c>
      <c r="AV148" t="s">
        <v>440</v>
      </c>
      <c r="AW148" t="s">
        <v>441</v>
      </c>
      <c r="AX148" t="s">
        <v>69</v>
      </c>
      <c r="AY148" t="s">
        <v>8639</v>
      </c>
      <c r="AZ148" t="s">
        <v>8640</v>
      </c>
      <c r="BA148" t="s">
        <v>863</v>
      </c>
      <c r="BB148">
        <v>2015</v>
      </c>
      <c r="BC148">
        <v>109</v>
      </c>
      <c r="BD148" t="s">
        <v>69</v>
      </c>
      <c r="BE148" t="s">
        <v>69</v>
      </c>
      <c r="BF148" t="s">
        <v>69</v>
      </c>
      <c r="BG148" t="s">
        <v>114</v>
      </c>
      <c r="BH148" t="s">
        <v>69</v>
      </c>
      <c r="BI148">
        <v>62</v>
      </c>
      <c r="BJ148">
        <v>75</v>
      </c>
      <c r="BK148" t="s">
        <v>69</v>
      </c>
      <c r="BL148" t="s">
        <v>7810</v>
      </c>
      <c r="BM148" t="str">
        <f>HYPERLINK("http://dx.doi.org/10.1016/j.jclepro.2015.06.140","http://dx.doi.org/10.1016/j.jclepro.2015.06.140")</f>
        <v>http://dx.doi.org/10.1016/j.jclepro.2015.06.140</v>
      </c>
      <c r="BN148" t="s">
        <v>69</v>
      </c>
      <c r="BO148" t="s">
        <v>69</v>
      </c>
      <c r="BP148">
        <v>14</v>
      </c>
      <c r="BQ148" t="s">
        <v>8643</v>
      </c>
      <c r="BR148" t="s">
        <v>8523</v>
      </c>
      <c r="BS148" t="s">
        <v>8644</v>
      </c>
      <c r="BT148" t="s">
        <v>22302</v>
      </c>
      <c r="BU148" t="s">
        <v>7811</v>
      </c>
      <c r="BV148" t="s">
        <v>69</v>
      </c>
      <c r="BW148" t="s">
        <v>9374</v>
      </c>
      <c r="BX148" t="s">
        <v>69</v>
      </c>
      <c r="BY148" t="s">
        <v>69</v>
      </c>
      <c r="BZ148" t="s">
        <v>8526</v>
      </c>
      <c r="CA148" t="str">
        <f>HYPERLINK("https%3A%2F%2Fwww.webofscience.com%2Fwos%2Fwoscc%2Ffull-record%2FWOS:000367410000006","View Full Record in Web of Science")</f>
        <v>View Full Record in Web of Science</v>
      </c>
    </row>
    <row r="149" spans="2:79" ht="12.5" x14ac:dyDescent="0.25">
      <c r="B149" t="s">
        <v>8495</v>
      </c>
      <c r="D149" s="22" t="s">
        <v>32931</v>
      </c>
      <c r="E149" s="7"/>
      <c r="F149" s="7"/>
      <c r="G149" s="7"/>
      <c r="H149" t="s">
        <v>67</v>
      </c>
      <c r="I149" t="s">
        <v>18879</v>
      </c>
      <c r="J149" t="s">
        <v>69</v>
      </c>
      <c r="K149" t="s">
        <v>69</v>
      </c>
      <c r="L149" t="s">
        <v>69</v>
      </c>
      <c r="M149" t="s">
        <v>18880</v>
      </c>
      <c r="N149" t="s">
        <v>69</v>
      </c>
      <c r="O149" t="s">
        <v>69</v>
      </c>
      <c r="P149" t="s">
        <v>18881</v>
      </c>
      <c r="Q149" t="s">
        <v>18882</v>
      </c>
      <c r="R149" t="s">
        <v>69</v>
      </c>
      <c r="S149" t="s">
        <v>69</v>
      </c>
      <c r="T149" t="s">
        <v>8505</v>
      </c>
      <c r="U149" t="s">
        <v>8506</v>
      </c>
      <c r="V149" t="s">
        <v>69</v>
      </c>
      <c r="W149" t="s">
        <v>69</v>
      </c>
      <c r="X149" t="s">
        <v>69</v>
      </c>
      <c r="Y149" t="s">
        <v>69</v>
      </c>
      <c r="Z149" t="s">
        <v>69</v>
      </c>
      <c r="AA149" t="s">
        <v>18883</v>
      </c>
      <c r="AB149" t="s">
        <v>18884</v>
      </c>
      <c r="AC149" t="s">
        <v>18885</v>
      </c>
      <c r="AD149" t="s">
        <v>18886</v>
      </c>
      <c r="AE149" t="s">
        <v>69</v>
      </c>
      <c r="AF149" t="s">
        <v>18887</v>
      </c>
      <c r="AG149" t="s">
        <v>18888</v>
      </c>
      <c r="AH149" t="s">
        <v>18889</v>
      </c>
      <c r="AI149" t="s">
        <v>18890</v>
      </c>
      <c r="AJ149" t="s">
        <v>18891</v>
      </c>
      <c r="AK149" t="s">
        <v>18892</v>
      </c>
      <c r="AL149" t="s">
        <v>18893</v>
      </c>
      <c r="AM149" t="s">
        <v>69</v>
      </c>
      <c r="AN149">
        <v>46</v>
      </c>
      <c r="AO149">
        <v>5</v>
      </c>
      <c r="AP149">
        <v>5</v>
      </c>
      <c r="AQ149">
        <v>3</v>
      </c>
      <c r="AR149">
        <v>20</v>
      </c>
      <c r="AS149" t="s">
        <v>9047</v>
      </c>
      <c r="AT149" t="s">
        <v>8693</v>
      </c>
      <c r="AU149" t="s">
        <v>16643</v>
      </c>
      <c r="AV149" t="s">
        <v>18894</v>
      </c>
      <c r="AW149" t="s">
        <v>18895</v>
      </c>
      <c r="AX149" t="s">
        <v>69</v>
      </c>
      <c r="AY149" t="s">
        <v>18896</v>
      </c>
      <c r="AZ149" t="s">
        <v>18897</v>
      </c>
      <c r="BA149" t="s">
        <v>586</v>
      </c>
      <c r="BB149">
        <v>2018</v>
      </c>
      <c r="BC149">
        <v>25</v>
      </c>
      <c r="BD149">
        <v>5</v>
      </c>
      <c r="BE149" t="s">
        <v>69</v>
      </c>
      <c r="BF149" t="s">
        <v>69</v>
      </c>
      <c r="BG149" t="s">
        <v>69</v>
      </c>
      <c r="BH149" t="s">
        <v>69</v>
      </c>
      <c r="BI149">
        <v>524</v>
      </c>
      <c r="BJ149">
        <v>538</v>
      </c>
      <c r="BK149" t="s">
        <v>69</v>
      </c>
      <c r="BL149" t="s">
        <v>18898</v>
      </c>
      <c r="BM149" t="str">
        <f>HYPERLINK("http://dx.doi.org/10.1007/s42243-018-0064-9","http://dx.doi.org/10.1007/s42243-018-0064-9")</f>
        <v>http://dx.doi.org/10.1007/s42243-018-0064-9</v>
      </c>
      <c r="BN149" t="s">
        <v>69</v>
      </c>
      <c r="BO149" t="s">
        <v>69</v>
      </c>
      <c r="BP149">
        <v>15</v>
      </c>
      <c r="BQ149" t="s">
        <v>18899</v>
      </c>
      <c r="BR149" t="s">
        <v>8523</v>
      </c>
      <c r="BS149" t="s">
        <v>18899</v>
      </c>
      <c r="BT149" t="s">
        <v>18900</v>
      </c>
      <c r="BU149" t="s">
        <v>18901</v>
      </c>
      <c r="BV149" t="s">
        <v>69</v>
      </c>
      <c r="BW149" t="s">
        <v>69</v>
      </c>
      <c r="BX149" t="s">
        <v>69</v>
      </c>
      <c r="BY149" t="s">
        <v>69</v>
      </c>
      <c r="BZ149" t="s">
        <v>8526</v>
      </c>
      <c r="CA149" t="str">
        <f>HYPERLINK("https%3A%2F%2Fwww.webofscience.com%2Fwos%2Fwoscc%2Ffull-record%2FWOS:000435396400006","View Full Record in Web of Science")</f>
        <v>View Full Record in Web of Science</v>
      </c>
    </row>
    <row r="150" spans="2:79" ht="12.5" x14ac:dyDescent="0.25">
      <c r="B150" t="s">
        <v>8495</v>
      </c>
      <c r="D150" s="7" t="s">
        <v>32933</v>
      </c>
      <c r="E150" s="7"/>
      <c r="F150" s="7"/>
      <c r="G150" s="7"/>
      <c r="H150" t="s">
        <v>67</v>
      </c>
      <c r="I150" t="s">
        <v>464</v>
      </c>
      <c r="J150" t="s">
        <v>69</v>
      </c>
      <c r="K150" t="s">
        <v>69</v>
      </c>
      <c r="L150" t="s">
        <v>69</v>
      </c>
      <c r="M150" t="s">
        <v>465</v>
      </c>
      <c r="N150" t="s">
        <v>69</v>
      </c>
      <c r="O150" t="s">
        <v>69</v>
      </c>
      <c r="P150" t="s">
        <v>466</v>
      </c>
      <c r="Q150" t="s">
        <v>352</v>
      </c>
      <c r="R150" t="s">
        <v>69</v>
      </c>
      <c r="S150" t="s">
        <v>69</v>
      </c>
      <c r="T150" t="s">
        <v>8505</v>
      </c>
      <c r="U150" t="s">
        <v>8506</v>
      </c>
      <c r="V150" t="s">
        <v>69</v>
      </c>
      <c r="W150" t="s">
        <v>69</v>
      </c>
      <c r="X150" t="s">
        <v>69</v>
      </c>
      <c r="Y150" t="s">
        <v>69</v>
      </c>
      <c r="Z150" t="s">
        <v>69</v>
      </c>
      <c r="AA150" t="s">
        <v>21516</v>
      </c>
      <c r="AB150" t="s">
        <v>21517</v>
      </c>
      <c r="AC150" t="s">
        <v>467</v>
      </c>
      <c r="AD150" t="s">
        <v>21518</v>
      </c>
      <c r="AE150" t="s">
        <v>69</v>
      </c>
      <c r="AF150" t="s">
        <v>21519</v>
      </c>
      <c r="AG150" t="s">
        <v>21520</v>
      </c>
      <c r="AH150" t="s">
        <v>21521</v>
      </c>
      <c r="AI150" t="s">
        <v>21522</v>
      </c>
      <c r="AJ150" t="s">
        <v>21523</v>
      </c>
      <c r="AK150" t="s">
        <v>21523</v>
      </c>
      <c r="AL150" t="s">
        <v>21524</v>
      </c>
      <c r="AM150" t="s">
        <v>69</v>
      </c>
      <c r="AN150">
        <v>60</v>
      </c>
      <c r="AO150">
        <v>12</v>
      </c>
      <c r="AP150">
        <v>12</v>
      </c>
      <c r="AQ150">
        <v>0</v>
      </c>
      <c r="AR150">
        <v>26</v>
      </c>
      <c r="AS150" t="s">
        <v>19814</v>
      </c>
      <c r="AT150" t="s">
        <v>8925</v>
      </c>
      <c r="AU150" t="s">
        <v>8926</v>
      </c>
      <c r="AV150" t="s">
        <v>354</v>
      </c>
      <c r="AW150" t="s">
        <v>69</v>
      </c>
      <c r="AX150" t="s">
        <v>69</v>
      </c>
      <c r="AY150" t="s">
        <v>8958</v>
      </c>
      <c r="AZ150" t="s">
        <v>8434</v>
      </c>
      <c r="BA150" t="s">
        <v>84</v>
      </c>
      <c r="BB150">
        <v>2016</v>
      </c>
      <c r="BC150">
        <v>8</v>
      </c>
      <c r="BD150">
        <v>7</v>
      </c>
      <c r="BE150" t="s">
        <v>69</v>
      </c>
      <c r="BF150" t="s">
        <v>69</v>
      </c>
      <c r="BG150" t="s">
        <v>69</v>
      </c>
      <c r="BH150" t="s">
        <v>69</v>
      </c>
      <c r="BI150" t="s">
        <v>69</v>
      </c>
      <c r="BJ150" t="s">
        <v>69</v>
      </c>
      <c r="BK150">
        <v>603</v>
      </c>
      <c r="BL150" t="s">
        <v>468</v>
      </c>
      <c r="BM150" t="str">
        <f>HYPERLINK("http://dx.doi.org/10.3390/su8070603","http://dx.doi.org/10.3390/su8070603")</f>
        <v>http://dx.doi.org/10.3390/su8070603</v>
      </c>
      <c r="BN150" t="s">
        <v>69</v>
      </c>
      <c r="BO150" t="s">
        <v>69</v>
      </c>
      <c r="BP150">
        <v>25</v>
      </c>
      <c r="BQ150" t="s">
        <v>8960</v>
      </c>
      <c r="BR150" t="s">
        <v>8523</v>
      </c>
      <c r="BS150" t="s">
        <v>8961</v>
      </c>
      <c r="BT150" t="s">
        <v>21525</v>
      </c>
      <c r="BU150" t="s">
        <v>469</v>
      </c>
      <c r="BV150" t="s">
        <v>69</v>
      </c>
      <c r="BW150" t="s">
        <v>16763</v>
      </c>
      <c r="BX150" t="s">
        <v>69</v>
      </c>
      <c r="BY150" t="s">
        <v>69</v>
      </c>
      <c r="BZ150" t="s">
        <v>8526</v>
      </c>
      <c r="CA150" t="str">
        <f>HYPERLINK("https%3A%2F%2Fwww.webofscience.com%2Fwos%2Fwoscc%2Ffull-record%2FWOS:000380760400014","View Full Record in Web of Science")</f>
        <v>View Full Record in Web of Science</v>
      </c>
    </row>
    <row r="151" spans="2:79" ht="12.5" x14ac:dyDescent="0.25">
      <c r="B151" t="s">
        <v>8495</v>
      </c>
      <c r="D151" s="7" t="s">
        <v>32933</v>
      </c>
      <c r="E151" s="7"/>
      <c r="F151" s="7"/>
      <c r="G151" s="7"/>
      <c r="H151" t="s">
        <v>67</v>
      </c>
      <c r="I151" t="s">
        <v>936</v>
      </c>
      <c r="J151" t="s">
        <v>69</v>
      </c>
      <c r="K151" t="s">
        <v>69</v>
      </c>
      <c r="L151" t="s">
        <v>69</v>
      </c>
      <c r="M151" t="s">
        <v>937</v>
      </c>
      <c r="N151" t="s">
        <v>69</v>
      </c>
      <c r="O151" t="s">
        <v>69</v>
      </c>
      <c r="P151" t="s">
        <v>938</v>
      </c>
      <c r="Q151" t="s">
        <v>632</v>
      </c>
      <c r="R151" t="s">
        <v>69</v>
      </c>
      <c r="S151" t="s">
        <v>69</v>
      </c>
      <c r="T151" t="s">
        <v>8505</v>
      </c>
      <c r="U151" t="s">
        <v>8442</v>
      </c>
      <c r="V151" t="s">
        <v>69</v>
      </c>
      <c r="W151" t="s">
        <v>69</v>
      </c>
      <c r="X151" t="s">
        <v>69</v>
      </c>
      <c r="Y151" t="s">
        <v>69</v>
      </c>
      <c r="Z151" t="s">
        <v>69</v>
      </c>
      <c r="AA151" t="s">
        <v>17133</v>
      </c>
      <c r="AB151" t="s">
        <v>17134</v>
      </c>
      <c r="AC151" t="s">
        <v>939</v>
      </c>
      <c r="AD151" t="s">
        <v>17135</v>
      </c>
      <c r="AE151" t="s">
        <v>69</v>
      </c>
      <c r="AF151" t="s">
        <v>17136</v>
      </c>
      <c r="AG151" t="s">
        <v>17137</v>
      </c>
      <c r="AH151" t="s">
        <v>17138</v>
      </c>
      <c r="AI151" t="s">
        <v>17139</v>
      </c>
      <c r="AJ151" t="s">
        <v>69</v>
      </c>
      <c r="AK151" t="s">
        <v>69</v>
      </c>
      <c r="AL151" t="s">
        <v>69</v>
      </c>
      <c r="AM151" t="s">
        <v>69</v>
      </c>
      <c r="AN151">
        <v>130</v>
      </c>
      <c r="AO151">
        <v>66</v>
      </c>
      <c r="AP151">
        <v>66</v>
      </c>
      <c r="AQ151">
        <v>17</v>
      </c>
      <c r="AR151">
        <v>144</v>
      </c>
      <c r="AS151" t="s">
        <v>17140</v>
      </c>
      <c r="AT151" t="s">
        <v>8517</v>
      </c>
      <c r="AU151" t="s">
        <v>17141</v>
      </c>
      <c r="AV151" t="s">
        <v>634</v>
      </c>
      <c r="AW151" t="s">
        <v>635</v>
      </c>
      <c r="AX151" t="s">
        <v>69</v>
      </c>
      <c r="AY151" t="s">
        <v>8714</v>
      </c>
      <c r="AZ151" t="s">
        <v>8715</v>
      </c>
      <c r="BA151" t="s">
        <v>940</v>
      </c>
      <c r="BB151">
        <v>2019</v>
      </c>
      <c r="BC151">
        <v>670</v>
      </c>
      <c r="BD151" t="s">
        <v>69</v>
      </c>
      <c r="BE151" t="s">
        <v>69</v>
      </c>
      <c r="BF151" t="s">
        <v>69</v>
      </c>
      <c r="BG151" t="s">
        <v>69</v>
      </c>
      <c r="BH151" t="s">
        <v>69</v>
      </c>
      <c r="BI151">
        <v>555</v>
      </c>
      <c r="BJ151">
        <v>568</v>
      </c>
      <c r="BK151" t="s">
        <v>69</v>
      </c>
      <c r="BL151" t="s">
        <v>941</v>
      </c>
      <c r="BM151" t="str">
        <f>HYPERLINK("http://dx.doi.org/10.1016/j.scitotenv.2019.03.261","http://dx.doi.org/10.1016/j.scitotenv.2019.03.261")</f>
        <v>http://dx.doi.org/10.1016/j.scitotenv.2019.03.261</v>
      </c>
      <c r="BN151" t="s">
        <v>69</v>
      </c>
      <c r="BO151" t="s">
        <v>69</v>
      </c>
      <c r="BP151">
        <v>14</v>
      </c>
      <c r="BQ151" t="s">
        <v>8717</v>
      </c>
      <c r="BR151" t="s">
        <v>8548</v>
      </c>
      <c r="BS151" t="s">
        <v>8662</v>
      </c>
      <c r="BT151" t="s">
        <v>17142</v>
      </c>
      <c r="BU151" t="s">
        <v>942</v>
      </c>
      <c r="BV151">
        <v>30909033</v>
      </c>
      <c r="BW151" t="s">
        <v>69</v>
      </c>
      <c r="BX151" t="s">
        <v>69</v>
      </c>
      <c r="BY151" t="s">
        <v>69</v>
      </c>
      <c r="BZ151" t="s">
        <v>8526</v>
      </c>
      <c r="CA151" t="str">
        <f>HYPERLINK("https%3A%2F%2Fwww.webofscience.com%2Fwos%2Fwoscc%2Ffull-record%2FWOS:000464681800055","View Full Record in Web of Science")</f>
        <v>View Full Record in Web of Science</v>
      </c>
    </row>
    <row r="152" spans="2:79" ht="12.5" x14ac:dyDescent="0.25">
      <c r="B152" t="s">
        <v>8495</v>
      </c>
      <c r="D152" s="7" t="s">
        <v>32933</v>
      </c>
      <c r="E152" s="7"/>
      <c r="F152" s="7"/>
      <c r="G152" s="7"/>
      <c r="H152" t="s">
        <v>67</v>
      </c>
      <c r="I152" t="s">
        <v>6442</v>
      </c>
      <c r="J152" t="s">
        <v>69</v>
      </c>
      <c r="K152" t="s">
        <v>69</v>
      </c>
      <c r="L152" t="s">
        <v>69</v>
      </c>
      <c r="M152" t="s">
        <v>6443</v>
      </c>
      <c r="N152" t="s">
        <v>69</v>
      </c>
      <c r="O152" t="s">
        <v>69</v>
      </c>
      <c r="P152" t="s">
        <v>6444</v>
      </c>
      <c r="Q152" t="s">
        <v>6445</v>
      </c>
      <c r="R152" t="s">
        <v>69</v>
      </c>
      <c r="S152" t="s">
        <v>69</v>
      </c>
      <c r="T152" t="s">
        <v>8505</v>
      </c>
      <c r="U152" t="s">
        <v>8506</v>
      </c>
      <c r="V152" t="s">
        <v>69</v>
      </c>
      <c r="W152" t="s">
        <v>69</v>
      </c>
      <c r="X152" t="s">
        <v>69</v>
      </c>
      <c r="Y152" t="s">
        <v>69</v>
      </c>
      <c r="Z152" t="s">
        <v>69</v>
      </c>
      <c r="AA152" t="s">
        <v>27581</v>
      </c>
      <c r="AB152" t="s">
        <v>27582</v>
      </c>
      <c r="AC152" t="s">
        <v>6446</v>
      </c>
      <c r="AD152" t="s">
        <v>27583</v>
      </c>
      <c r="AE152" t="s">
        <v>69</v>
      </c>
      <c r="AF152" t="s">
        <v>27584</v>
      </c>
      <c r="AG152" t="s">
        <v>69</v>
      </c>
      <c r="AH152" t="s">
        <v>6447</v>
      </c>
      <c r="AI152" t="s">
        <v>6448</v>
      </c>
      <c r="AJ152" t="s">
        <v>27585</v>
      </c>
      <c r="AK152" t="s">
        <v>27585</v>
      </c>
      <c r="AL152" t="s">
        <v>27586</v>
      </c>
      <c r="AM152" t="s">
        <v>69</v>
      </c>
      <c r="AN152">
        <v>16</v>
      </c>
      <c r="AO152">
        <v>0</v>
      </c>
      <c r="AP152">
        <v>0</v>
      </c>
      <c r="AQ152">
        <v>0</v>
      </c>
      <c r="AR152">
        <v>5</v>
      </c>
      <c r="AS152" t="s">
        <v>27587</v>
      </c>
      <c r="AT152" t="s">
        <v>27588</v>
      </c>
      <c r="AU152" t="s">
        <v>27589</v>
      </c>
      <c r="AV152" t="s">
        <v>6449</v>
      </c>
      <c r="AW152" t="s">
        <v>69</v>
      </c>
      <c r="AX152" t="s">
        <v>69</v>
      </c>
      <c r="AY152" t="s">
        <v>27590</v>
      </c>
      <c r="AZ152" t="s">
        <v>27591</v>
      </c>
      <c r="BA152" t="s">
        <v>274</v>
      </c>
      <c r="BB152">
        <v>2010</v>
      </c>
      <c r="BC152">
        <v>48</v>
      </c>
      <c r="BD152">
        <v>6</v>
      </c>
      <c r="BE152" t="s">
        <v>69</v>
      </c>
      <c r="BF152" t="s">
        <v>69</v>
      </c>
      <c r="BG152" t="s">
        <v>69</v>
      </c>
      <c r="BH152" t="s">
        <v>69</v>
      </c>
      <c r="BI152">
        <v>749</v>
      </c>
      <c r="BJ152">
        <v>757</v>
      </c>
      <c r="BK152" t="s">
        <v>69</v>
      </c>
      <c r="BL152" t="s">
        <v>6450</v>
      </c>
      <c r="BM152" t="str">
        <f>HYPERLINK("http://dx.doi.org/10.2486/indhealth.MS1113","http://dx.doi.org/10.2486/indhealth.MS1113")</f>
        <v>http://dx.doi.org/10.2486/indhealth.MS1113</v>
      </c>
      <c r="BN152" t="s">
        <v>69</v>
      </c>
      <c r="BO152" t="s">
        <v>69</v>
      </c>
      <c r="BP152">
        <v>9</v>
      </c>
      <c r="BQ152" t="s">
        <v>23971</v>
      </c>
      <c r="BR152" t="s">
        <v>8548</v>
      </c>
      <c r="BS152" t="s">
        <v>23972</v>
      </c>
      <c r="BT152" t="s">
        <v>27592</v>
      </c>
      <c r="BU152" t="s">
        <v>6451</v>
      </c>
      <c r="BV152">
        <v>20616473</v>
      </c>
      <c r="BW152" t="s">
        <v>9374</v>
      </c>
      <c r="BX152" t="s">
        <v>69</v>
      </c>
      <c r="BY152" t="s">
        <v>69</v>
      </c>
      <c r="BZ152" t="s">
        <v>8526</v>
      </c>
      <c r="CA152" t="str">
        <f>HYPERLINK("https%3A%2F%2Fwww.webofscience.com%2Fwos%2Fwoscc%2Ffull-record%2FWOS:000284811900002","View Full Record in Web of Science")</f>
        <v>View Full Record in Web of Science</v>
      </c>
    </row>
    <row r="153" spans="2:79" ht="12.5" x14ac:dyDescent="0.25">
      <c r="B153" t="s">
        <v>8495</v>
      </c>
      <c r="D153" s="22" t="s">
        <v>32931</v>
      </c>
      <c r="E153" s="7"/>
      <c r="F153" s="7"/>
      <c r="G153" s="7"/>
      <c r="H153" t="s">
        <v>67</v>
      </c>
      <c r="I153" t="s">
        <v>6550</v>
      </c>
      <c r="J153" t="s">
        <v>69</v>
      </c>
      <c r="K153" t="s">
        <v>69</v>
      </c>
      <c r="L153" t="s">
        <v>69</v>
      </c>
      <c r="M153" t="s">
        <v>6551</v>
      </c>
      <c r="N153" t="s">
        <v>69</v>
      </c>
      <c r="O153" t="s">
        <v>69</v>
      </c>
      <c r="P153" t="s">
        <v>28125</v>
      </c>
      <c r="Q153" t="s">
        <v>28126</v>
      </c>
      <c r="R153" t="s">
        <v>69</v>
      </c>
      <c r="S153" t="s">
        <v>69</v>
      </c>
      <c r="T153" t="s">
        <v>8505</v>
      </c>
      <c r="U153" t="s">
        <v>8506</v>
      </c>
      <c r="V153" t="s">
        <v>69</v>
      </c>
      <c r="W153" t="s">
        <v>69</v>
      </c>
      <c r="X153" t="s">
        <v>69</v>
      </c>
      <c r="Y153" t="s">
        <v>69</v>
      </c>
      <c r="Z153" t="s">
        <v>69</v>
      </c>
      <c r="AA153" t="s">
        <v>28127</v>
      </c>
      <c r="AB153" t="s">
        <v>69</v>
      </c>
      <c r="AC153" t="s">
        <v>28128</v>
      </c>
      <c r="AD153" t="s">
        <v>28129</v>
      </c>
      <c r="AE153" t="s">
        <v>69</v>
      </c>
      <c r="AF153" t="s">
        <v>28130</v>
      </c>
      <c r="AG153" t="s">
        <v>27702</v>
      </c>
      <c r="AH153" t="s">
        <v>6447</v>
      </c>
      <c r="AI153" t="s">
        <v>6448</v>
      </c>
      <c r="AJ153" t="s">
        <v>69</v>
      </c>
      <c r="AK153" t="s">
        <v>69</v>
      </c>
      <c r="AL153" t="s">
        <v>69</v>
      </c>
      <c r="AM153" t="s">
        <v>69</v>
      </c>
      <c r="AN153">
        <v>24</v>
      </c>
      <c r="AO153">
        <v>0</v>
      </c>
      <c r="AP153">
        <v>0</v>
      </c>
      <c r="AQ153">
        <v>0</v>
      </c>
      <c r="AR153">
        <v>0</v>
      </c>
      <c r="AS153" t="s">
        <v>8611</v>
      </c>
      <c r="AT153" t="s">
        <v>8612</v>
      </c>
      <c r="AU153" t="s">
        <v>8613</v>
      </c>
      <c r="AV153" t="s">
        <v>28131</v>
      </c>
      <c r="AW153" t="s">
        <v>28132</v>
      </c>
      <c r="AX153" t="s">
        <v>69</v>
      </c>
      <c r="AY153" t="s">
        <v>28133</v>
      </c>
      <c r="AZ153" t="s">
        <v>28134</v>
      </c>
      <c r="BA153" t="s">
        <v>69</v>
      </c>
      <c r="BB153">
        <v>2010</v>
      </c>
      <c r="BC153">
        <v>27</v>
      </c>
      <c r="BD153">
        <v>6</v>
      </c>
      <c r="BE153" t="s">
        <v>69</v>
      </c>
      <c r="BF153" t="s">
        <v>69</v>
      </c>
      <c r="BG153" t="s">
        <v>69</v>
      </c>
      <c r="BH153" t="s">
        <v>69</v>
      </c>
      <c r="BI153">
        <v>438</v>
      </c>
      <c r="BJ153">
        <v>448</v>
      </c>
      <c r="BK153" t="s">
        <v>69</v>
      </c>
      <c r="BL153" t="s">
        <v>28135</v>
      </c>
      <c r="BM153" t="str">
        <f>HYPERLINK("http://dx.doi.org/10.1080/10170669.2010.525850","http://dx.doi.org/10.1080/10170669.2010.525850")</f>
        <v>http://dx.doi.org/10.1080/10170669.2010.525850</v>
      </c>
      <c r="BN153" t="s">
        <v>69</v>
      </c>
      <c r="BO153" t="s">
        <v>69</v>
      </c>
      <c r="BP153">
        <v>11</v>
      </c>
      <c r="BQ153" t="s">
        <v>10459</v>
      </c>
      <c r="BR153" t="s">
        <v>8573</v>
      </c>
      <c r="BS153" t="s">
        <v>8445</v>
      </c>
      <c r="BT153" t="s">
        <v>28136</v>
      </c>
      <c r="BU153" t="s">
        <v>28137</v>
      </c>
      <c r="BV153" t="s">
        <v>69</v>
      </c>
      <c r="BW153" t="s">
        <v>69</v>
      </c>
      <c r="BX153" t="s">
        <v>69</v>
      </c>
      <c r="BY153" t="s">
        <v>69</v>
      </c>
      <c r="BZ153" t="s">
        <v>8526</v>
      </c>
      <c r="CA153" t="str">
        <f>HYPERLINK("https%3A%2F%2Fwww.webofscience.com%2Fwos%2Fwoscc%2Ffull-record%2FWOS:000218797800004","View Full Record in Web of Science")</f>
        <v>View Full Record in Web of Science</v>
      </c>
    </row>
    <row r="154" spans="2:79" ht="12.5" x14ac:dyDescent="0.25">
      <c r="B154" t="s">
        <v>8495</v>
      </c>
      <c r="D154" s="7" t="s">
        <v>32933</v>
      </c>
      <c r="E154" s="7"/>
      <c r="F154" s="7"/>
      <c r="G154" s="7"/>
      <c r="H154" t="s">
        <v>67</v>
      </c>
      <c r="I154" t="s">
        <v>6550</v>
      </c>
      <c r="J154" t="s">
        <v>69</v>
      </c>
      <c r="K154" t="s">
        <v>69</v>
      </c>
      <c r="L154" t="s">
        <v>69</v>
      </c>
      <c r="M154" t="s">
        <v>6551</v>
      </c>
      <c r="N154" t="s">
        <v>69</v>
      </c>
      <c r="O154" t="s">
        <v>69</v>
      </c>
      <c r="P154" t="s">
        <v>6552</v>
      </c>
      <c r="Q154" t="s">
        <v>6553</v>
      </c>
      <c r="R154" t="s">
        <v>69</v>
      </c>
      <c r="S154" t="s">
        <v>69</v>
      </c>
      <c r="T154" t="s">
        <v>8505</v>
      </c>
      <c r="U154" t="s">
        <v>8506</v>
      </c>
      <c r="V154" t="s">
        <v>69</v>
      </c>
      <c r="W154" t="s">
        <v>69</v>
      </c>
      <c r="X154" t="s">
        <v>69</v>
      </c>
      <c r="Y154" t="s">
        <v>69</v>
      </c>
      <c r="Z154" t="s">
        <v>69</v>
      </c>
      <c r="AA154" t="s">
        <v>27698</v>
      </c>
      <c r="AB154" t="s">
        <v>27699</v>
      </c>
      <c r="AC154" t="s">
        <v>6554</v>
      </c>
      <c r="AD154" t="s">
        <v>27700</v>
      </c>
      <c r="AE154" t="s">
        <v>69</v>
      </c>
      <c r="AF154" t="s">
        <v>27701</v>
      </c>
      <c r="AG154" t="s">
        <v>27702</v>
      </c>
      <c r="AH154" t="s">
        <v>6447</v>
      </c>
      <c r="AI154" t="s">
        <v>6448</v>
      </c>
      <c r="AJ154" t="s">
        <v>27703</v>
      </c>
      <c r="AK154" t="s">
        <v>27703</v>
      </c>
      <c r="AL154" t="s">
        <v>27703</v>
      </c>
      <c r="AM154" t="s">
        <v>69</v>
      </c>
      <c r="AN154">
        <v>22</v>
      </c>
      <c r="AO154">
        <v>1</v>
      </c>
      <c r="AP154">
        <v>2</v>
      </c>
      <c r="AQ154">
        <v>1</v>
      </c>
      <c r="AR154">
        <v>11</v>
      </c>
      <c r="AS154" t="s">
        <v>10352</v>
      </c>
      <c r="AT154" t="s">
        <v>8637</v>
      </c>
      <c r="AU154" t="s">
        <v>10353</v>
      </c>
      <c r="AV154" t="s">
        <v>6555</v>
      </c>
      <c r="AW154" t="s">
        <v>6556</v>
      </c>
      <c r="AX154" t="s">
        <v>69</v>
      </c>
      <c r="AY154" t="s">
        <v>27704</v>
      </c>
      <c r="AZ154" t="s">
        <v>27705</v>
      </c>
      <c r="BA154" t="s">
        <v>84</v>
      </c>
      <c r="BB154">
        <v>2010</v>
      </c>
      <c r="BC154">
        <v>54</v>
      </c>
      <c r="BD154">
        <v>5</v>
      </c>
      <c r="BE154" t="s">
        <v>69</v>
      </c>
      <c r="BF154" t="s">
        <v>69</v>
      </c>
      <c r="BG154" t="s">
        <v>69</v>
      </c>
      <c r="BH154" t="s">
        <v>69</v>
      </c>
      <c r="BI154">
        <v>557</v>
      </c>
      <c r="BJ154">
        <v>565</v>
      </c>
      <c r="BK154" t="s">
        <v>69</v>
      </c>
      <c r="BL154" t="s">
        <v>6557</v>
      </c>
      <c r="BM154" t="str">
        <f>HYPERLINK("http://dx.doi.org/10.1093/annhyg/meq017","http://dx.doi.org/10.1093/annhyg/meq017")</f>
        <v>http://dx.doi.org/10.1093/annhyg/meq017</v>
      </c>
      <c r="BN154" t="s">
        <v>69</v>
      </c>
      <c r="BO154" t="s">
        <v>69</v>
      </c>
      <c r="BP154">
        <v>9</v>
      </c>
      <c r="BQ154" t="s">
        <v>27706</v>
      </c>
      <c r="BR154" t="s">
        <v>8548</v>
      </c>
      <c r="BS154" t="s">
        <v>27706</v>
      </c>
      <c r="BT154" t="s">
        <v>27707</v>
      </c>
      <c r="BU154" t="s">
        <v>6558</v>
      </c>
      <c r="BV154">
        <v>20332160</v>
      </c>
      <c r="BW154" t="s">
        <v>9374</v>
      </c>
      <c r="BX154" t="s">
        <v>69</v>
      </c>
      <c r="BY154" t="s">
        <v>69</v>
      </c>
      <c r="BZ154" t="s">
        <v>8526</v>
      </c>
      <c r="CA154" t="str">
        <f>HYPERLINK("https%3A%2F%2Fwww.webofscience.com%2Fwos%2Fwoscc%2Ffull-record%2FWOS:000280415100007","View Full Record in Web of Science")</f>
        <v>View Full Record in Web of Science</v>
      </c>
    </row>
    <row r="155" spans="2:79" ht="12.5" x14ac:dyDescent="0.25">
      <c r="B155" t="s">
        <v>8495</v>
      </c>
      <c r="D155" s="22" t="s">
        <v>32931</v>
      </c>
      <c r="E155" s="7"/>
      <c r="F155" s="7"/>
      <c r="G155" s="7"/>
      <c r="H155" t="s">
        <v>67</v>
      </c>
      <c r="I155" t="s">
        <v>19801</v>
      </c>
      <c r="J155" t="s">
        <v>69</v>
      </c>
      <c r="K155" t="s">
        <v>69</v>
      </c>
      <c r="L155" t="s">
        <v>69</v>
      </c>
      <c r="M155" t="s">
        <v>19802</v>
      </c>
      <c r="N155" t="s">
        <v>69</v>
      </c>
      <c r="O155" t="s">
        <v>69</v>
      </c>
      <c r="P155" t="s">
        <v>19803</v>
      </c>
      <c r="Q155" t="s">
        <v>2107</v>
      </c>
      <c r="R155" t="s">
        <v>69</v>
      </c>
      <c r="S155" t="s">
        <v>69</v>
      </c>
      <c r="T155" t="s">
        <v>8505</v>
      </c>
      <c r="U155" t="s">
        <v>8506</v>
      </c>
      <c r="V155" t="s">
        <v>69</v>
      </c>
      <c r="W155" t="s">
        <v>69</v>
      </c>
      <c r="X155" t="s">
        <v>69</v>
      </c>
      <c r="Y155" t="s">
        <v>69</v>
      </c>
      <c r="Z155" t="s">
        <v>69</v>
      </c>
      <c r="AA155" t="s">
        <v>19804</v>
      </c>
      <c r="AB155" t="s">
        <v>19805</v>
      </c>
      <c r="AC155" t="s">
        <v>19806</v>
      </c>
      <c r="AD155" t="s">
        <v>19807</v>
      </c>
      <c r="AE155" t="s">
        <v>69</v>
      </c>
      <c r="AF155" t="s">
        <v>19808</v>
      </c>
      <c r="AG155" t="s">
        <v>19809</v>
      </c>
      <c r="AH155" t="s">
        <v>69</v>
      </c>
      <c r="AI155" t="s">
        <v>19810</v>
      </c>
      <c r="AJ155" t="s">
        <v>19811</v>
      </c>
      <c r="AK155" t="s">
        <v>19812</v>
      </c>
      <c r="AL155" t="s">
        <v>19813</v>
      </c>
      <c r="AM155" t="s">
        <v>69</v>
      </c>
      <c r="AN155">
        <v>38</v>
      </c>
      <c r="AO155">
        <v>5</v>
      </c>
      <c r="AP155">
        <v>5</v>
      </c>
      <c r="AQ155">
        <v>1</v>
      </c>
      <c r="AR155">
        <v>3</v>
      </c>
      <c r="AS155" t="s">
        <v>19814</v>
      </c>
      <c r="AT155" t="s">
        <v>8925</v>
      </c>
      <c r="AU155" t="s">
        <v>8926</v>
      </c>
      <c r="AV155" t="s">
        <v>2110</v>
      </c>
      <c r="AW155" t="s">
        <v>69</v>
      </c>
      <c r="AX155" t="s">
        <v>69</v>
      </c>
      <c r="AY155" t="s">
        <v>10592</v>
      </c>
      <c r="AZ155" t="s">
        <v>10593</v>
      </c>
      <c r="BA155" t="s">
        <v>274</v>
      </c>
      <c r="BB155">
        <v>2017</v>
      </c>
      <c r="BC155">
        <v>14</v>
      </c>
      <c r="BD155">
        <v>11</v>
      </c>
      <c r="BE155" t="s">
        <v>69</v>
      </c>
      <c r="BF155" t="s">
        <v>69</v>
      </c>
      <c r="BG155" t="s">
        <v>69</v>
      </c>
      <c r="BH155" t="s">
        <v>69</v>
      </c>
      <c r="BI155" t="s">
        <v>69</v>
      </c>
      <c r="BJ155" t="s">
        <v>69</v>
      </c>
      <c r="BK155">
        <v>1299</v>
      </c>
      <c r="BL155" t="s">
        <v>19815</v>
      </c>
      <c r="BM155" t="str">
        <f>HYPERLINK("http://dx.doi.org/10.3390/ijerph14111299","http://dx.doi.org/10.3390/ijerph14111299")</f>
        <v>http://dx.doi.org/10.3390/ijerph14111299</v>
      </c>
      <c r="BN155" t="s">
        <v>69</v>
      </c>
      <c r="BO155" t="s">
        <v>69</v>
      </c>
      <c r="BP155">
        <v>14</v>
      </c>
      <c r="BQ155" t="s">
        <v>10595</v>
      </c>
      <c r="BR155" t="s">
        <v>8523</v>
      </c>
      <c r="BS155" t="s">
        <v>10596</v>
      </c>
      <c r="BT155" t="s">
        <v>19816</v>
      </c>
      <c r="BU155" t="s">
        <v>19817</v>
      </c>
      <c r="BV155">
        <v>29072618</v>
      </c>
      <c r="BW155" t="s">
        <v>10482</v>
      </c>
      <c r="BX155" t="s">
        <v>69</v>
      </c>
      <c r="BY155" t="s">
        <v>69</v>
      </c>
      <c r="BZ155" t="s">
        <v>8526</v>
      </c>
      <c r="CA155" t="str">
        <f>HYPERLINK("https%3A%2F%2Fwww.webofscience.com%2Fwos%2Fwoscc%2Ffull-record%2FWOS:000416545200015","View Full Record in Web of Science")</f>
        <v>View Full Record in Web of Science</v>
      </c>
    </row>
    <row r="156" spans="2:79" ht="12.5" x14ac:dyDescent="0.25">
      <c r="B156" t="s">
        <v>8495</v>
      </c>
      <c r="D156" s="7" t="s">
        <v>32933</v>
      </c>
      <c r="E156" s="7"/>
      <c r="F156" s="7"/>
      <c r="G156" s="7"/>
      <c r="H156" t="s">
        <v>67</v>
      </c>
      <c r="I156" t="s">
        <v>6277</v>
      </c>
      <c r="J156" t="s">
        <v>69</v>
      </c>
      <c r="K156" t="s">
        <v>69</v>
      </c>
      <c r="L156" t="s">
        <v>69</v>
      </c>
      <c r="M156" t="s">
        <v>6278</v>
      </c>
      <c r="N156" t="s">
        <v>69</v>
      </c>
      <c r="O156" t="s">
        <v>69</v>
      </c>
      <c r="P156" t="s">
        <v>6279</v>
      </c>
      <c r="Q156" t="s">
        <v>6280</v>
      </c>
      <c r="R156" t="s">
        <v>69</v>
      </c>
      <c r="S156" t="s">
        <v>69</v>
      </c>
      <c r="T156" t="s">
        <v>8505</v>
      </c>
      <c r="U156" t="s">
        <v>8506</v>
      </c>
      <c r="V156" t="s">
        <v>69</v>
      </c>
      <c r="W156" t="s">
        <v>69</v>
      </c>
      <c r="X156" t="s">
        <v>69</v>
      </c>
      <c r="Y156" t="s">
        <v>69</v>
      </c>
      <c r="Z156" t="s">
        <v>69</v>
      </c>
      <c r="AA156" t="s">
        <v>24958</v>
      </c>
      <c r="AB156" t="s">
        <v>24959</v>
      </c>
      <c r="AC156" t="s">
        <v>6281</v>
      </c>
      <c r="AD156" t="s">
        <v>24960</v>
      </c>
      <c r="AE156" t="s">
        <v>69</v>
      </c>
      <c r="AF156" t="s">
        <v>24961</v>
      </c>
      <c r="AG156" t="s">
        <v>24962</v>
      </c>
      <c r="AH156" t="s">
        <v>69</v>
      </c>
      <c r="AI156" t="s">
        <v>24963</v>
      </c>
      <c r="AJ156" t="s">
        <v>69</v>
      </c>
      <c r="AK156" t="s">
        <v>69</v>
      </c>
      <c r="AL156" t="s">
        <v>69</v>
      </c>
      <c r="AM156" t="s">
        <v>69</v>
      </c>
      <c r="AN156">
        <v>90</v>
      </c>
      <c r="AO156">
        <v>43</v>
      </c>
      <c r="AP156">
        <v>43</v>
      </c>
      <c r="AQ156">
        <v>0</v>
      </c>
      <c r="AR156">
        <v>66</v>
      </c>
      <c r="AS156" t="s">
        <v>18272</v>
      </c>
      <c r="AT156" t="s">
        <v>8763</v>
      </c>
      <c r="AU156" t="s">
        <v>18273</v>
      </c>
      <c r="AV156" t="s">
        <v>6282</v>
      </c>
      <c r="AW156" t="s">
        <v>6283</v>
      </c>
      <c r="AX156" t="s">
        <v>69</v>
      </c>
      <c r="AY156" t="s">
        <v>24964</v>
      </c>
      <c r="AZ156" t="s">
        <v>24965</v>
      </c>
      <c r="BA156" t="s">
        <v>155</v>
      </c>
      <c r="BB156">
        <v>2013</v>
      </c>
      <c r="BC156">
        <v>34</v>
      </c>
      <c r="BD156" t="s">
        <v>69</v>
      </c>
      <c r="BE156" t="s">
        <v>69</v>
      </c>
      <c r="BF156" t="s">
        <v>69</v>
      </c>
      <c r="BG156" t="s">
        <v>69</v>
      </c>
      <c r="BH156" t="s">
        <v>69</v>
      </c>
      <c r="BI156">
        <v>137</v>
      </c>
      <c r="BJ156">
        <v>150</v>
      </c>
      <c r="BK156" t="s">
        <v>69</v>
      </c>
      <c r="BL156" t="s">
        <v>6284</v>
      </c>
      <c r="BM156" t="str">
        <f>HYPERLINK("http://dx.doi.org/10.1016/j.jenvp.2013.02.002","http://dx.doi.org/10.1016/j.jenvp.2013.02.002")</f>
        <v>http://dx.doi.org/10.1016/j.jenvp.2013.02.002</v>
      </c>
      <c r="BN156" t="s">
        <v>69</v>
      </c>
      <c r="BO156" t="s">
        <v>69</v>
      </c>
      <c r="BP156">
        <v>14</v>
      </c>
      <c r="BQ156" t="s">
        <v>24966</v>
      </c>
      <c r="BR156" t="s">
        <v>8661</v>
      </c>
      <c r="BS156" t="s">
        <v>24967</v>
      </c>
      <c r="BT156" t="s">
        <v>24968</v>
      </c>
      <c r="BU156" t="s">
        <v>6285</v>
      </c>
      <c r="BV156" t="s">
        <v>69</v>
      </c>
      <c r="BW156" t="s">
        <v>69</v>
      </c>
      <c r="BX156" t="s">
        <v>69</v>
      </c>
      <c r="BY156" t="s">
        <v>69</v>
      </c>
      <c r="BZ156" t="s">
        <v>8526</v>
      </c>
      <c r="CA156" t="str">
        <f>HYPERLINK("https%3A%2F%2Fwww.webofscience.com%2Fwos%2Fwoscc%2Ffull-record%2FWOS:000319641800013","View Full Record in Web of Science")</f>
        <v>View Full Record in Web of Science</v>
      </c>
    </row>
    <row r="157" spans="2:79" ht="12.5" x14ac:dyDescent="0.25">
      <c r="B157" t="s">
        <v>8495</v>
      </c>
      <c r="D157" s="7" t="s">
        <v>32933</v>
      </c>
      <c r="E157" s="7"/>
      <c r="F157" s="7"/>
      <c r="G157" s="7"/>
      <c r="H157" t="s">
        <v>67</v>
      </c>
      <c r="I157" t="s">
        <v>7974</v>
      </c>
      <c r="J157" t="s">
        <v>69</v>
      </c>
      <c r="K157" t="s">
        <v>69</v>
      </c>
      <c r="L157" t="s">
        <v>69</v>
      </c>
      <c r="M157" t="s">
        <v>7975</v>
      </c>
      <c r="N157" t="s">
        <v>69</v>
      </c>
      <c r="O157" t="s">
        <v>69</v>
      </c>
      <c r="P157" t="s">
        <v>7976</v>
      </c>
      <c r="Q157" t="s">
        <v>4552</v>
      </c>
      <c r="R157" t="s">
        <v>69</v>
      </c>
      <c r="S157" t="s">
        <v>69</v>
      </c>
      <c r="T157" t="s">
        <v>8505</v>
      </c>
      <c r="U157" t="s">
        <v>8506</v>
      </c>
      <c r="V157" t="s">
        <v>69</v>
      </c>
      <c r="W157" t="s">
        <v>69</v>
      </c>
      <c r="X157" t="s">
        <v>69</v>
      </c>
      <c r="Y157" t="s">
        <v>69</v>
      </c>
      <c r="Z157" t="s">
        <v>69</v>
      </c>
      <c r="AA157" t="s">
        <v>26344</v>
      </c>
      <c r="AB157" t="s">
        <v>69</v>
      </c>
      <c r="AC157" t="s">
        <v>7977</v>
      </c>
      <c r="AD157" t="s">
        <v>26345</v>
      </c>
      <c r="AE157" t="s">
        <v>69</v>
      </c>
      <c r="AF157" t="s">
        <v>26346</v>
      </c>
      <c r="AG157" t="s">
        <v>26347</v>
      </c>
      <c r="AH157" t="s">
        <v>69</v>
      </c>
      <c r="AI157" t="s">
        <v>69</v>
      </c>
      <c r="AJ157" t="s">
        <v>69</v>
      </c>
      <c r="AK157" t="s">
        <v>69</v>
      </c>
      <c r="AL157" t="s">
        <v>69</v>
      </c>
      <c r="AM157" t="s">
        <v>69</v>
      </c>
      <c r="AN157">
        <v>16</v>
      </c>
      <c r="AO157">
        <v>5</v>
      </c>
      <c r="AP157">
        <v>5</v>
      </c>
      <c r="AQ157">
        <v>2</v>
      </c>
      <c r="AR157">
        <v>8</v>
      </c>
      <c r="AS157" t="s">
        <v>9091</v>
      </c>
      <c r="AT157" t="s">
        <v>8763</v>
      </c>
      <c r="AU157" t="s">
        <v>15468</v>
      </c>
      <c r="AV157" t="s">
        <v>4556</v>
      </c>
      <c r="AW157" t="s">
        <v>69</v>
      </c>
      <c r="AX157" t="s">
        <v>69</v>
      </c>
      <c r="AY157" t="s">
        <v>4552</v>
      </c>
      <c r="AZ157" t="s">
        <v>9094</v>
      </c>
      <c r="BA157" t="s">
        <v>69</v>
      </c>
      <c r="BB157">
        <v>2012</v>
      </c>
      <c r="BC157">
        <v>14</v>
      </c>
      <c r="BD157" t="s">
        <v>69</v>
      </c>
      <c r="BE157" t="s">
        <v>69</v>
      </c>
      <c r="BF157">
        <v>1</v>
      </c>
      <c r="BG157" t="s">
        <v>69</v>
      </c>
      <c r="BH157" t="s">
        <v>69</v>
      </c>
      <c r="BI157">
        <v>121</v>
      </c>
      <c r="BJ157">
        <v>135</v>
      </c>
      <c r="BK157" t="s">
        <v>69</v>
      </c>
      <c r="BL157" t="s">
        <v>7978</v>
      </c>
      <c r="BM157" t="str">
        <f>HYPERLINK("http://dx.doi.org/10.2166/wp.2012.006","http://dx.doi.org/10.2166/wp.2012.006")</f>
        <v>http://dx.doi.org/10.2166/wp.2012.006</v>
      </c>
      <c r="BN157" t="s">
        <v>69</v>
      </c>
      <c r="BO157" t="s">
        <v>69</v>
      </c>
      <c r="BP157">
        <v>15</v>
      </c>
      <c r="BQ157" t="s">
        <v>9096</v>
      </c>
      <c r="BR157" t="s">
        <v>8548</v>
      </c>
      <c r="BS157" t="s">
        <v>9096</v>
      </c>
      <c r="BT157" t="s">
        <v>26348</v>
      </c>
      <c r="BU157" t="s">
        <v>7979</v>
      </c>
      <c r="BV157" t="s">
        <v>69</v>
      </c>
      <c r="BW157" t="s">
        <v>69</v>
      </c>
      <c r="BX157" t="s">
        <v>69</v>
      </c>
      <c r="BY157" t="s">
        <v>69</v>
      </c>
      <c r="BZ157" t="s">
        <v>8526</v>
      </c>
      <c r="CA157" t="str">
        <f>HYPERLINK("https%3A%2F%2Fwww.webofscience.com%2Fwos%2Fwoscc%2Ffull-record%2FWOS:000301183200011","View Full Record in Web of Science")</f>
        <v>View Full Record in Web of Science</v>
      </c>
    </row>
    <row r="158" spans="2:79" ht="12.5" x14ac:dyDescent="0.25">
      <c r="B158" t="s">
        <v>8495</v>
      </c>
      <c r="D158" s="7" t="s">
        <v>32933</v>
      </c>
      <c r="E158" s="7"/>
      <c r="F158" s="7"/>
      <c r="G158" s="7"/>
      <c r="H158" t="s">
        <v>67</v>
      </c>
      <c r="I158" t="s">
        <v>5483</v>
      </c>
      <c r="J158" t="s">
        <v>69</v>
      </c>
      <c r="K158" t="s">
        <v>69</v>
      </c>
      <c r="L158" t="s">
        <v>69</v>
      </c>
      <c r="M158" t="s">
        <v>5484</v>
      </c>
      <c r="N158" t="s">
        <v>69</v>
      </c>
      <c r="O158" t="s">
        <v>69</v>
      </c>
      <c r="P158" t="s">
        <v>5485</v>
      </c>
      <c r="Q158" t="s">
        <v>3274</v>
      </c>
      <c r="R158" t="s">
        <v>69</v>
      </c>
      <c r="S158" t="s">
        <v>69</v>
      </c>
      <c r="T158" t="s">
        <v>8505</v>
      </c>
      <c r="U158" t="s">
        <v>8506</v>
      </c>
      <c r="V158" t="s">
        <v>69</v>
      </c>
      <c r="W158" t="s">
        <v>69</v>
      </c>
      <c r="X158" t="s">
        <v>69</v>
      </c>
      <c r="Y158" t="s">
        <v>69</v>
      </c>
      <c r="Z158" t="s">
        <v>69</v>
      </c>
      <c r="AA158" t="s">
        <v>69</v>
      </c>
      <c r="AB158" t="s">
        <v>29770</v>
      </c>
      <c r="AC158" t="s">
        <v>5486</v>
      </c>
      <c r="AD158" t="s">
        <v>29771</v>
      </c>
      <c r="AE158" t="s">
        <v>69</v>
      </c>
      <c r="AF158" t="s">
        <v>29772</v>
      </c>
      <c r="AG158" t="s">
        <v>29773</v>
      </c>
      <c r="AH158" t="s">
        <v>69</v>
      </c>
      <c r="AI158" t="s">
        <v>69</v>
      </c>
      <c r="AJ158" t="s">
        <v>69</v>
      </c>
      <c r="AK158" t="s">
        <v>69</v>
      </c>
      <c r="AL158" t="s">
        <v>69</v>
      </c>
      <c r="AM158" t="s">
        <v>69</v>
      </c>
      <c r="AN158">
        <v>22</v>
      </c>
      <c r="AO158">
        <v>14</v>
      </c>
      <c r="AP158">
        <v>14</v>
      </c>
      <c r="AQ158">
        <v>1</v>
      </c>
      <c r="AR158">
        <v>29</v>
      </c>
      <c r="AS158" t="s">
        <v>17140</v>
      </c>
      <c r="AT158" t="s">
        <v>8517</v>
      </c>
      <c r="AU158" t="s">
        <v>17141</v>
      </c>
      <c r="AV158" t="s">
        <v>3276</v>
      </c>
      <c r="AW158" t="s">
        <v>69</v>
      </c>
      <c r="AX158" t="s">
        <v>69</v>
      </c>
      <c r="AY158" t="s">
        <v>24546</v>
      </c>
      <c r="AZ158" t="s">
        <v>24547</v>
      </c>
      <c r="BA158" t="s">
        <v>5487</v>
      </c>
      <c r="BB158">
        <v>2007</v>
      </c>
      <c r="BC158">
        <v>140</v>
      </c>
      <c r="BD158">
        <v>3</v>
      </c>
      <c r="BE158" t="s">
        <v>69</v>
      </c>
      <c r="BF158" t="s">
        <v>69</v>
      </c>
      <c r="BG158" t="s">
        <v>69</v>
      </c>
      <c r="BH158" t="s">
        <v>69</v>
      </c>
      <c r="BI158">
        <v>488</v>
      </c>
      <c r="BJ158">
        <v>503</v>
      </c>
      <c r="BK158" t="s">
        <v>69</v>
      </c>
      <c r="BL158" t="s">
        <v>5488</v>
      </c>
      <c r="BM158" t="str">
        <f>HYPERLINK("http://dx.doi.org/10.1016/j.jhazmat.2006.10.049","http://dx.doi.org/10.1016/j.jhazmat.2006.10.049")</f>
        <v>http://dx.doi.org/10.1016/j.jhazmat.2006.10.049</v>
      </c>
      <c r="BN158" t="s">
        <v>69</v>
      </c>
      <c r="BO158" t="s">
        <v>69</v>
      </c>
      <c r="BP158">
        <v>16</v>
      </c>
      <c r="BQ158" t="s">
        <v>8743</v>
      </c>
      <c r="BR158" t="s">
        <v>8548</v>
      </c>
      <c r="BS158" t="s">
        <v>8744</v>
      </c>
      <c r="BT158" t="s">
        <v>29774</v>
      </c>
      <c r="BU158" t="s">
        <v>5489</v>
      </c>
      <c r="BV158">
        <v>17110025</v>
      </c>
      <c r="BW158" t="s">
        <v>69</v>
      </c>
      <c r="BX158" t="s">
        <v>69</v>
      </c>
      <c r="BY158" t="s">
        <v>69</v>
      </c>
      <c r="BZ158" t="s">
        <v>8526</v>
      </c>
      <c r="CA158" t="str">
        <f>HYPERLINK("https%3A%2F%2Fwww.webofscience.com%2Fwos%2Fwoscc%2Ffull-record%2FWOS:000244772700008","View Full Record in Web of Science")</f>
        <v>View Full Record in Web of Science</v>
      </c>
    </row>
    <row r="159" spans="2:79" ht="12.5" x14ac:dyDescent="0.25">
      <c r="B159" t="s">
        <v>8495</v>
      </c>
      <c r="D159" s="7" t="s">
        <v>32933</v>
      </c>
      <c r="E159" s="7"/>
      <c r="F159" s="7"/>
      <c r="G159" s="7"/>
      <c r="H159" t="s">
        <v>67</v>
      </c>
      <c r="I159" t="s">
        <v>2482</v>
      </c>
      <c r="J159" t="s">
        <v>69</v>
      </c>
      <c r="K159" t="s">
        <v>69</v>
      </c>
      <c r="L159" t="s">
        <v>69</v>
      </c>
      <c r="M159" t="s">
        <v>2483</v>
      </c>
      <c r="N159" t="s">
        <v>69</v>
      </c>
      <c r="O159" t="s">
        <v>69</v>
      </c>
      <c r="P159" t="s">
        <v>2484</v>
      </c>
      <c r="Q159" t="s">
        <v>1969</v>
      </c>
      <c r="R159" t="s">
        <v>69</v>
      </c>
      <c r="S159" t="s">
        <v>69</v>
      </c>
      <c r="T159" t="s">
        <v>8505</v>
      </c>
      <c r="U159" t="s">
        <v>8506</v>
      </c>
      <c r="V159" t="s">
        <v>69</v>
      </c>
      <c r="W159" t="s">
        <v>69</v>
      </c>
      <c r="X159" t="s">
        <v>69</v>
      </c>
      <c r="Y159" t="s">
        <v>69</v>
      </c>
      <c r="Z159" t="s">
        <v>69</v>
      </c>
      <c r="AA159" t="s">
        <v>19399</v>
      </c>
      <c r="AB159" t="s">
        <v>19400</v>
      </c>
      <c r="AC159" t="s">
        <v>2485</v>
      </c>
      <c r="AD159" t="s">
        <v>19401</v>
      </c>
      <c r="AE159" t="s">
        <v>69</v>
      </c>
      <c r="AF159" t="s">
        <v>19402</v>
      </c>
      <c r="AG159" t="s">
        <v>19403</v>
      </c>
      <c r="AH159" t="s">
        <v>19404</v>
      </c>
      <c r="AI159" t="s">
        <v>19405</v>
      </c>
      <c r="AJ159" t="s">
        <v>69</v>
      </c>
      <c r="AK159" t="s">
        <v>69</v>
      </c>
      <c r="AL159" t="s">
        <v>69</v>
      </c>
      <c r="AM159" t="s">
        <v>69</v>
      </c>
      <c r="AN159">
        <v>51</v>
      </c>
      <c r="AO159">
        <v>3</v>
      </c>
      <c r="AP159">
        <v>3</v>
      </c>
      <c r="AQ159">
        <v>1</v>
      </c>
      <c r="AR159">
        <v>3</v>
      </c>
      <c r="AS159" t="s">
        <v>8586</v>
      </c>
      <c r="AT159" t="s">
        <v>8587</v>
      </c>
      <c r="AU159" t="s">
        <v>8588</v>
      </c>
      <c r="AV159" t="s">
        <v>1971</v>
      </c>
      <c r="AW159" t="s">
        <v>1972</v>
      </c>
      <c r="AX159" t="s">
        <v>69</v>
      </c>
      <c r="AY159" t="s">
        <v>15149</v>
      </c>
      <c r="AZ159" t="s">
        <v>15150</v>
      </c>
      <c r="BA159" t="s">
        <v>69</v>
      </c>
      <c r="BB159">
        <v>2018</v>
      </c>
      <c r="BC159">
        <v>29</v>
      </c>
      <c r="BD159">
        <v>1</v>
      </c>
      <c r="BE159" t="s">
        <v>69</v>
      </c>
      <c r="BF159" t="s">
        <v>69</v>
      </c>
      <c r="BG159" t="s">
        <v>69</v>
      </c>
      <c r="BH159" t="s">
        <v>69</v>
      </c>
      <c r="BI159">
        <v>49</v>
      </c>
      <c r="BJ159">
        <v>62</v>
      </c>
      <c r="BK159" t="s">
        <v>69</v>
      </c>
      <c r="BL159" t="s">
        <v>2486</v>
      </c>
      <c r="BM159" t="str">
        <f>HYPERLINK("http://dx.doi.org/10.1108/MEQ-10-2016-0072","http://dx.doi.org/10.1108/MEQ-10-2016-0072")</f>
        <v>http://dx.doi.org/10.1108/MEQ-10-2016-0072</v>
      </c>
      <c r="BN159" t="s">
        <v>69</v>
      </c>
      <c r="BO159" t="s">
        <v>69</v>
      </c>
      <c r="BP159">
        <v>14</v>
      </c>
      <c r="BQ159" t="s">
        <v>8660</v>
      </c>
      <c r="BR159" t="s">
        <v>8573</v>
      </c>
      <c r="BS159" t="s">
        <v>8662</v>
      </c>
      <c r="BT159" t="s">
        <v>19406</v>
      </c>
      <c r="BU159" t="s">
        <v>2487</v>
      </c>
      <c r="BV159" t="s">
        <v>69</v>
      </c>
      <c r="BW159" t="s">
        <v>69</v>
      </c>
      <c r="BX159" t="s">
        <v>69</v>
      </c>
      <c r="BY159" t="s">
        <v>69</v>
      </c>
      <c r="BZ159" t="s">
        <v>8526</v>
      </c>
      <c r="CA159" t="str">
        <f>HYPERLINK("https%3A%2F%2Fwww.webofscience.com%2Fwos%2Fwoscc%2Ffull-record%2FWOS:000418357300004","View Full Record in Web of Science")</f>
        <v>View Full Record in Web of Science</v>
      </c>
    </row>
    <row r="160" spans="2:79" ht="12.5" x14ac:dyDescent="0.25">
      <c r="B160" t="s">
        <v>8495</v>
      </c>
      <c r="D160" s="22" t="s">
        <v>32931</v>
      </c>
      <c r="E160" s="7"/>
      <c r="F160" s="7"/>
      <c r="G160" s="7"/>
      <c r="H160" t="s">
        <v>67</v>
      </c>
      <c r="I160" t="s">
        <v>20365</v>
      </c>
      <c r="J160" t="s">
        <v>69</v>
      </c>
      <c r="K160" t="s">
        <v>69</v>
      </c>
      <c r="L160" t="s">
        <v>69</v>
      </c>
      <c r="M160" t="s">
        <v>20366</v>
      </c>
      <c r="N160" t="s">
        <v>69</v>
      </c>
      <c r="O160" t="s">
        <v>69</v>
      </c>
      <c r="P160" t="s">
        <v>20367</v>
      </c>
      <c r="Q160" t="s">
        <v>20368</v>
      </c>
      <c r="R160" t="s">
        <v>69</v>
      </c>
      <c r="S160" t="s">
        <v>69</v>
      </c>
      <c r="T160" t="s">
        <v>8505</v>
      </c>
      <c r="U160" t="s">
        <v>8506</v>
      </c>
      <c r="V160" t="s">
        <v>69</v>
      </c>
      <c r="W160" t="s">
        <v>69</v>
      </c>
      <c r="X160" t="s">
        <v>69</v>
      </c>
      <c r="Y160" t="s">
        <v>69</v>
      </c>
      <c r="Z160" t="s">
        <v>69</v>
      </c>
      <c r="AA160" t="s">
        <v>20369</v>
      </c>
      <c r="AB160" t="s">
        <v>20370</v>
      </c>
      <c r="AC160" t="s">
        <v>20371</v>
      </c>
      <c r="AD160" t="s">
        <v>20372</v>
      </c>
      <c r="AE160" t="s">
        <v>69</v>
      </c>
      <c r="AF160" t="s">
        <v>20373</v>
      </c>
      <c r="AG160" t="s">
        <v>20374</v>
      </c>
      <c r="AH160" t="s">
        <v>20375</v>
      </c>
      <c r="AI160" t="s">
        <v>20376</v>
      </c>
      <c r="AJ160" t="s">
        <v>69</v>
      </c>
      <c r="AK160" t="s">
        <v>69</v>
      </c>
      <c r="AL160" t="s">
        <v>69</v>
      </c>
      <c r="AM160" t="s">
        <v>69</v>
      </c>
      <c r="AN160">
        <v>31</v>
      </c>
      <c r="AO160">
        <v>10</v>
      </c>
      <c r="AP160">
        <v>10</v>
      </c>
      <c r="AQ160">
        <v>0</v>
      </c>
      <c r="AR160">
        <v>19</v>
      </c>
      <c r="AS160" t="s">
        <v>9554</v>
      </c>
      <c r="AT160" t="s">
        <v>9555</v>
      </c>
      <c r="AU160" t="s">
        <v>9556</v>
      </c>
      <c r="AV160" t="s">
        <v>20377</v>
      </c>
      <c r="AW160" t="s">
        <v>20378</v>
      </c>
      <c r="AX160" t="s">
        <v>69</v>
      </c>
      <c r="AY160" t="s">
        <v>20379</v>
      </c>
      <c r="AZ160" t="s">
        <v>20380</v>
      </c>
      <c r="BA160" t="s">
        <v>20381</v>
      </c>
      <c r="BB160">
        <v>2017</v>
      </c>
      <c r="BC160">
        <v>54</v>
      </c>
      <c r="BD160" t="s">
        <v>69</v>
      </c>
      <c r="BE160" t="s">
        <v>69</v>
      </c>
      <c r="BF160" t="s">
        <v>69</v>
      </c>
      <c r="BG160" t="s">
        <v>69</v>
      </c>
      <c r="BH160" t="s">
        <v>69</v>
      </c>
      <c r="BI160" t="s">
        <v>69</v>
      </c>
      <c r="BJ160" t="s">
        <v>69</v>
      </c>
      <c r="BK160">
        <v>46958017707872</v>
      </c>
      <c r="BL160" t="s">
        <v>20382</v>
      </c>
      <c r="BM160" t="str">
        <f>HYPERLINK("http://dx.doi.org/10.1177/0046958017707872","http://dx.doi.org/10.1177/0046958017707872")</f>
        <v>http://dx.doi.org/10.1177/0046958017707872</v>
      </c>
      <c r="BN160" t="s">
        <v>69</v>
      </c>
      <c r="BO160" t="s">
        <v>69</v>
      </c>
      <c r="BP160">
        <v>6</v>
      </c>
      <c r="BQ160" t="s">
        <v>9809</v>
      </c>
      <c r="BR160" t="s">
        <v>8523</v>
      </c>
      <c r="BS160" t="s">
        <v>9209</v>
      </c>
      <c r="BT160" t="s">
        <v>20383</v>
      </c>
      <c r="BU160" t="s">
        <v>20384</v>
      </c>
      <c r="BV160">
        <v>28494624</v>
      </c>
      <c r="BW160" t="s">
        <v>9352</v>
      </c>
      <c r="BX160" t="s">
        <v>69</v>
      </c>
      <c r="BY160" t="s">
        <v>69</v>
      </c>
      <c r="BZ160" t="s">
        <v>8526</v>
      </c>
      <c r="CA160" t="str">
        <f>HYPERLINK("https%3A%2F%2Fwww.webofscience.com%2Fwos%2Fwoscc%2Ffull-record%2FWOS:000401154600001","View Full Record in Web of Science")</f>
        <v>View Full Record in Web of Science</v>
      </c>
    </row>
    <row r="161" spans="1:79" ht="12.5" x14ac:dyDescent="0.25">
      <c r="B161" t="s">
        <v>8495</v>
      </c>
      <c r="D161" s="7" t="s">
        <v>32933</v>
      </c>
      <c r="E161" s="7"/>
      <c r="F161" s="7"/>
      <c r="G161" s="7"/>
      <c r="H161" t="s">
        <v>67</v>
      </c>
      <c r="I161" t="s">
        <v>6944</v>
      </c>
      <c r="J161" t="s">
        <v>69</v>
      </c>
      <c r="K161" t="s">
        <v>69</v>
      </c>
      <c r="L161" t="s">
        <v>69</v>
      </c>
      <c r="M161" t="s">
        <v>6945</v>
      </c>
      <c r="N161" t="s">
        <v>69</v>
      </c>
      <c r="O161" t="s">
        <v>69</v>
      </c>
      <c r="P161" t="s">
        <v>6946</v>
      </c>
      <c r="Q161" t="s">
        <v>6947</v>
      </c>
      <c r="R161" t="s">
        <v>69</v>
      </c>
      <c r="S161" t="s">
        <v>69</v>
      </c>
      <c r="T161" t="s">
        <v>8505</v>
      </c>
      <c r="U161" t="s">
        <v>8506</v>
      </c>
      <c r="V161" t="s">
        <v>69</v>
      </c>
      <c r="W161" t="s">
        <v>69</v>
      </c>
      <c r="X161" t="s">
        <v>69</v>
      </c>
      <c r="Y161" t="s">
        <v>69</v>
      </c>
      <c r="Z161" t="s">
        <v>69</v>
      </c>
      <c r="AA161" t="s">
        <v>21139</v>
      </c>
      <c r="AB161" t="s">
        <v>21140</v>
      </c>
      <c r="AC161" t="s">
        <v>6948</v>
      </c>
      <c r="AD161" t="s">
        <v>21141</v>
      </c>
      <c r="AE161" t="s">
        <v>69</v>
      </c>
      <c r="AF161" t="s">
        <v>21142</v>
      </c>
      <c r="AG161" t="s">
        <v>21143</v>
      </c>
      <c r="AH161" t="s">
        <v>21144</v>
      </c>
      <c r="AI161" t="s">
        <v>21145</v>
      </c>
      <c r="AJ161" t="s">
        <v>69</v>
      </c>
      <c r="AK161" t="s">
        <v>69</v>
      </c>
      <c r="AL161" t="s">
        <v>69</v>
      </c>
      <c r="AM161" t="s">
        <v>69</v>
      </c>
      <c r="AN161">
        <v>83</v>
      </c>
      <c r="AO161">
        <v>29</v>
      </c>
      <c r="AP161">
        <v>32</v>
      </c>
      <c r="AQ161">
        <v>0</v>
      </c>
      <c r="AR161">
        <v>3</v>
      </c>
      <c r="AS161" t="s">
        <v>8516</v>
      </c>
      <c r="AT161" t="s">
        <v>8517</v>
      </c>
      <c r="AU161" t="s">
        <v>8518</v>
      </c>
      <c r="AV161" t="s">
        <v>69</v>
      </c>
      <c r="AW161" t="s">
        <v>6949</v>
      </c>
      <c r="AX161" t="s">
        <v>69</v>
      </c>
      <c r="AY161" t="s">
        <v>21146</v>
      </c>
      <c r="AZ161" t="s">
        <v>21147</v>
      </c>
      <c r="BA161" t="s">
        <v>75</v>
      </c>
      <c r="BB161">
        <v>2016</v>
      </c>
      <c r="BC161">
        <v>8</v>
      </c>
      <c r="BD161" t="s">
        <v>69</v>
      </c>
      <c r="BE161" t="s">
        <v>69</v>
      </c>
      <c r="BF161" t="s">
        <v>69</v>
      </c>
      <c r="BG161" t="s">
        <v>69</v>
      </c>
      <c r="BH161" t="s">
        <v>69</v>
      </c>
      <c r="BI161">
        <v>82</v>
      </c>
      <c r="BJ161">
        <v>94</v>
      </c>
      <c r="BK161" t="s">
        <v>69</v>
      </c>
      <c r="BL161" t="s">
        <v>6950</v>
      </c>
      <c r="BM161" t="str">
        <f>HYPERLINK("http://dx.doi.org/10.1016/j.ejrh.2016.06.003","http://dx.doi.org/10.1016/j.ejrh.2016.06.003")</f>
        <v>http://dx.doi.org/10.1016/j.ejrh.2016.06.003</v>
      </c>
      <c r="BN161" t="s">
        <v>69</v>
      </c>
      <c r="BO161" t="s">
        <v>69</v>
      </c>
      <c r="BP161">
        <v>13</v>
      </c>
      <c r="BQ161" t="s">
        <v>9096</v>
      </c>
      <c r="BR161" t="s">
        <v>8573</v>
      </c>
      <c r="BS161" t="s">
        <v>9096</v>
      </c>
      <c r="BT161" t="s">
        <v>21148</v>
      </c>
      <c r="BU161" t="s">
        <v>6951</v>
      </c>
      <c r="BV161" t="s">
        <v>69</v>
      </c>
      <c r="BW161" t="s">
        <v>8931</v>
      </c>
      <c r="BX161" t="s">
        <v>69</v>
      </c>
      <c r="BY161" t="s">
        <v>69</v>
      </c>
      <c r="BZ161" t="s">
        <v>8526</v>
      </c>
      <c r="CA161" t="str">
        <f>HYPERLINK("https%3A%2F%2Fwww.webofscience.com%2Fwos%2Fwoscc%2Ffull-record%2FWOS:000407358500007","View Full Record in Web of Science")</f>
        <v>View Full Record in Web of Science</v>
      </c>
    </row>
    <row r="162" spans="1:79" x14ac:dyDescent="0.3">
      <c r="B162" t="s">
        <v>8495</v>
      </c>
      <c r="D162" s="9" t="s">
        <v>32948</v>
      </c>
      <c r="E162" s="9" t="s">
        <v>33081</v>
      </c>
      <c r="G162" s="9" t="s">
        <v>8490</v>
      </c>
      <c r="H162" t="s">
        <v>67</v>
      </c>
      <c r="I162" t="s">
        <v>9880</v>
      </c>
      <c r="J162" t="s">
        <v>69</v>
      </c>
      <c r="K162" t="s">
        <v>69</v>
      </c>
      <c r="L162" t="s">
        <v>69</v>
      </c>
      <c r="M162" t="s">
        <v>9881</v>
      </c>
      <c r="N162" t="s">
        <v>69</v>
      </c>
      <c r="O162" t="s">
        <v>69</v>
      </c>
      <c r="P162" t="s">
        <v>9882</v>
      </c>
      <c r="Q162" t="s">
        <v>2475</v>
      </c>
      <c r="R162" t="s">
        <v>69</v>
      </c>
      <c r="S162" t="s">
        <v>69</v>
      </c>
      <c r="T162" t="s">
        <v>8505</v>
      </c>
      <c r="U162" t="s">
        <v>8556</v>
      </c>
      <c r="V162" t="s">
        <v>69</v>
      </c>
      <c r="W162" t="s">
        <v>69</v>
      </c>
      <c r="X162" t="s">
        <v>69</v>
      </c>
      <c r="Y162" t="s">
        <v>69</v>
      </c>
      <c r="Z162" t="s">
        <v>69</v>
      </c>
      <c r="AA162" t="s">
        <v>9883</v>
      </c>
      <c r="AB162" t="s">
        <v>69</v>
      </c>
      <c r="AC162" t="s">
        <v>9884</v>
      </c>
      <c r="AD162" t="s">
        <v>9885</v>
      </c>
      <c r="AE162" t="s">
        <v>69</v>
      </c>
      <c r="AF162" t="s">
        <v>9886</v>
      </c>
      <c r="AG162" t="s">
        <v>9887</v>
      </c>
      <c r="AH162" t="s">
        <v>69</v>
      </c>
      <c r="AI162" t="s">
        <v>69</v>
      </c>
      <c r="AJ162" t="s">
        <v>69</v>
      </c>
      <c r="AK162" t="s">
        <v>69</v>
      </c>
      <c r="AL162" t="s">
        <v>69</v>
      </c>
      <c r="AM162" t="s">
        <v>69</v>
      </c>
      <c r="AN162">
        <v>76</v>
      </c>
      <c r="AO162">
        <v>0</v>
      </c>
      <c r="AP162">
        <v>0</v>
      </c>
      <c r="AQ162">
        <v>3</v>
      </c>
      <c r="AR162">
        <v>3</v>
      </c>
      <c r="AS162" t="s">
        <v>8586</v>
      </c>
      <c r="AT162" t="s">
        <v>8587</v>
      </c>
      <c r="AU162" t="s">
        <v>8588</v>
      </c>
      <c r="AV162" t="s">
        <v>2479</v>
      </c>
      <c r="AW162" t="s">
        <v>69</v>
      </c>
      <c r="AX162" t="s">
        <v>69</v>
      </c>
      <c r="AY162" t="s">
        <v>9888</v>
      </c>
      <c r="AZ162" t="s">
        <v>9889</v>
      </c>
      <c r="BA162" t="s">
        <v>69</v>
      </c>
      <c r="BB162" t="s">
        <v>69</v>
      </c>
      <c r="BC162" t="s">
        <v>69</v>
      </c>
      <c r="BD162" t="s">
        <v>69</v>
      </c>
      <c r="BE162" t="s">
        <v>69</v>
      </c>
      <c r="BF162" t="s">
        <v>69</v>
      </c>
      <c r="BG162" t="s">
        <v>69</v>
      </c>
      <c r="BH162" t="s">
        <v>69</v>
      </c>
      <c r="BI162" t="s">
        <v>69</v>
      </c>
      <c r="BJ162" t="s">
        <v>69</v>
      </c>
      <c r="BK162" t="s">
        <v>69</v>
      </c>
      <c r="BL162" t="s">
        <v>9890</v>
      </c>
      <c r="BM162" t="str">
        <f>HYPERLINK("http://dx.doi.org/10.1108/JEDT-11-2021-0640","http://dx.doi.org/10.1108/JEDT-11-2021-0640")</f>
        <v>http://dx.doi.org/10.1108/JEDT-11-2021-0640</v>
      </c>
      <c r="BN162" t="s">
        <v>69</v>
      </c>
      <c r="BO162" t="s">
        <v>9808</v>
      </c>
      <c r="BP162">
        <v>24</v>
      </c>
      <c r="BQ162" t="s">
        <v>9891</v>
      </c>
      <c r="BR162" t="s">
        <v>8573</v>
      </c>
      <c r="BS162" t="s">
        <v>8445</v>
      </c>
      <c r="BT162" t="s">
        <v>9892</v>
      </c>
      <c r="BU162" t="s">
        <v>9893</v>
      </c>
      <c r="BV162" t="s">
        <v>69</v>
      </c>
      <c r="BW162" t="s">
        <v>69</v>
      </c>
      <c r="BX162" t="s">
        <v>69</v>
      </c>
      <c r="BY162" t="s">
        <v>69</v>
      </c>
      <c r="BZ162" t="s">
        <v>8526</v>
      </c>
      <c r="CA162" t="str">
        <f>HYPERLINK("https%3A%2F%2Fwww.webofscience.com%2Fwos%2Fwoscc%2Ffull-record%2FWOS:000753512400001","View Full Record in Web of Science")</f>
        <v>View Full Record in Web of Science</v>
      </c>
    </row>
    <row r="163" spans="1:79" ht="12.5" x14ac:dyDescent="0.25">
      <c r="B163" t="s">
        <v>8495</v>
      </c>
      <c r="D163" s="22" t="s">
        <v>32931</v>
      </c>
      <c r="E163" s="7"/>
      <c r="F163" s="7"/>
      <c r="G163" s="7"/>
      <c r="H163" t="s">
        <v>67</v>
      </c>
      <c r="I163" t="s">
        <v>11067</v>
      </c>
      <c r="J163" t="s">
        <v>69</v>
      </c>
      <c r="K163" t="s">
        <v>69</v>
      </c>
      <c r="L163" t="s">
        <v>69</v>
      </c>
      <c r="M163" t="s">
        <v>11068</v>
      </c>
      <c r="N163" t="s">
        <v>69</v>
      </c>
      <c r="O163" t="s">
        <v>69</v>
      </c>
      <c r="P163" t="s">
        <v>11069</v>
      </c>
      <c r="Q163" t="s">
        <v>11070</v>
      </c>
      <c r="R163" t="s">
        <v>69</v>
      </c>
      <c r="S163" t="s">
        <v>69</v>
      </c>
      <c r="T163" t="s">
        <v>8505</v>
      </c>
      <c r="U163" t="s">
        <v>8506</v>
      </c>
      <c r="V163" t="s">
        <v>69</v>
      </c>
      <c r="W163" t="s">
        <v>69</v>
      </c>
      <c r="X163" t="s">
        <v>69</v>
      </c>
      <c r="Y163" t="s">
        <v>69</v>
      </c>
      <c r="Z163" t="s">
        <v>69</v>
      </c>
      <c r="AA163" t="s">
        <v>11071</v>
      </c>
      <c r="AB163" t="s">
        <v>11072</v>
      </c>
      <c r="AC163" t="s">
        <v>11073</v>
      </c>
      <c r="AD163" t="s">
        <v>11074</v>
      </c>
      <c r="AE163" t="s">
        <v>69</v>
      </c>
      <c r="AF163" t="s">
        <v>11075</v>
      </c>
      <c r="AG163" t="s">
        <v>11076</v>
      </c>
      <c r="AH163" t="s">
        <v>69</v>
      </c>
      <c r="AI163" t="s">
        <v>69</v>
      </c>
      <c r="AJ163" t="s">
        <v>69</v>
      </c>
      <c r="AK163" t="s">
        <v>69</v>
      </c>
      <c r="AL163" t="s">
        <v>69</v>
      </c>
      <c r="AM163" t="s">
        <v>69</v>
      </c>
      <c r="AN163">
        <v>50</v>
      </c>
      <c r="AO163">
        <v>0</v>
      </c>
      <c r="AP163">
        <v>0</v>
      </c>
      <c r="AQ163">
        <v>1</v>
      </c>
      <c r="AR163">
        <v>1</v>
      </c>
      <c r="AS163" t="s">
        <v>8611</v>
      </c>
      <c r="AT163" t="s">
        <v>8612</v>
      </c>
      <c r="AU163" t="s">
        <v>8613</v>
      </c>
      <c r="AV163" t="s">
        <v>11077</v>
      </c>
      <c r="AW163" t="s">
        <v>11078</v>
      </c>
      <c r="AX163" t="s">
        <v>69</v>
      </c>
      <c r="AY163" t="s">
        <v>11079</v>
      </c>
      <c r="AZ163" t="s">
        <v>11080</v>
      </c>
      <c r="BA163" t="s">
        <v>922</v>
      </c>
      <c r="BB163">
        <v>2021</v>
      </c>
      <c r="BC163">
        <v>14</v>
      </c>
      <c r="BD163">
        <v>6</v>
      </c>
      <c r="BE163" t="s">
        <v>69</v>
      </c>
      <c r="BF163" t="s">
        <v>69</v>
      </c>
      <c r="BG163" t="s">
        <v>69</v>
      </c>
      <c r="BH163" t="s">
        <v>69</v>
      </c>
      <c r="BI163">
        <v>1893</v>
      </c>
      <c r="BJ163">
        <v>1906</v>
      </c>
      <c r="BK163" t="s">
        <v>69</v>
      </c>
      <c r="BL163" t="s">
        <v>11081</v>
      </c>
      <c r="BM163" t="str">
        <f>HYPERLINK("http://dx.doi.org/10.1080/19397038.2021.1986589","http://dx.doi.org/10.1080/19397038.2021.1986589")</f>
        <v>http://dx.doi.org/10.1080/19397038.2021.1986589</v>
      </c>
      <c r="BN163" t="s">
        <v>69</v>
      </c>
      <c r="BO163" t="s">
        <v>10991</v>
      </c>
      <c r="BP163">
        <v>14</v>
      </c>
      <c r="BQ163" t="s">
        <v>10126</v>
      </c>
      <c r="BR163" t="s">
        <v>8573</v>
      </c>
      <c r="BS163" t="s">
        <v>8620</v>
      </c>
      <c r="BT163" t="s">
        <v>11082</v>
      </c>
      <c r="BU163" t="s">
        <v>11083</v>
      </c>
      <c r="BV163" t="s">
        <v>69</v>
      </c>
      <c r="BW163" t="s">
        <v>9374</v>
      </c>
      <c r="BX163" t="s">
        <v>69</v>
      </c>
      <c r="BY163" t="s">
        <v>69</v>
      </c>
      <c r="BZ163" t="s">
        <v>8526</v>
      </c>
      <c r="CA163" t="str">
        <f>HYPERLINK("https%3A%2F%2Fwww.webofscience.com%2Fwos%2Fwoscc%2Ffull-record%2FWOS:000708249100001","View Full Record in Web of Science")</f>
        <v>View Full Record in Web of Science</v>
      </c>
    </row>
    <row r="164" spans="1:79" ht="12.5" x14ac:dyDescent="0.25">
      <c r="B164" t="s">
        <v>8495</v>
      </c>
      <c r="D164" s="22" t="s">
        <v>32931</v>
      </c>
      <c r="E164" s="7"/>
      <c r="F164" s="7"/>
      <c r="G164" s="7"/>
      <c r="H164" t="s">
        <v>67</v>
      </c>
      <c r="I164" t="s">
        <v>9542</v>
      </c>
      <c r="J164" t="s">
        <v>69</v>
      </c>
      <c r="K164" t="s">
        <v>69</v>
      </c>
      <c r="L164" t="s">
        <v>69</v>
      </c>
      <c r="M164" t="s">
        <v>9543</v>
      </c>
      <c r="N164" t="s">
        <v>69</v>
      </c>
      <c r="O164" t="s">
        <v>69</v>
      </c>
      <c r="P164" t="s">
        <v>9544</v>
      </c>
      <c r="Q164" t="s">
        <v>1457</v>
      </c>
      <c r="R164" t="s">
        <v>69</v>
      </c>
      <c r="S164" t="s">
        <v>69</v>
      </c>
      <c r="T164" t="s">
        <v>8505</v>
      </c>
      <c r="U164" t="s">
        <v>8556</v>
      </c>
      <c r="V164" t="s">
        <v>69</v>
      </c>
      <c r="W164" t="s">
        <v>69</v>
      </c>
      <c r="X164" t="s">
        <v>69</v>
      </c>
      <c r="Y164" t="s">
        <v>69</v>
      </c>
      <c r="Z164" t="s">
        <v>69</v>
      </c>
      <c r="AA164" t="s">
        <v>9545</v>
      </c>
      <c r="AB164" t="s">
        <v>69</v>
      </c>
      <c r="AC164" t="s">
        <v>9546</v>
      </c>
      <c r="AD164" t="s">
        <v>9547</v>
      </c>
      <c r="AE164" t="s">
        <v>69</v>
      </c>
      <c r="AF164" t="s">
        <v>9548</v>
      </c>
      <c r="AG164" t="s">
        <v>9549</v>
      </c>
      <c r="AH164" t="s">
        <v>69</v>
      </c>
      <c r="AI164" t="s">
        <v>9550</v>
      </c>
      <c r="AJ164" t="s">
        <v>9551</v>
      </c>
      <c r="AK164" t="s">
        <v>9552</v>
      </c>
      <c r="AL164" t="s">
        <v>9553</v>
      </c>
      <c r="AM164" t="s">
        <v>69</v>
      </c>
      <c r="AN164">
        <v>37</v>
      </c>
      <c r="AO164">
        <v>0</v>
      </c>
      <c r="AP164">
        <v>0</v>
      </c>
      <c r="AQ164">
        <v>0</v>
      </c>
      <c r="AR164">
        <v>0</v>
      </c>
      <c r="AS164" t="s">
        <v>9554</v>
      </c>
      <c r="AT164" t="s">
        <v>9555</v>
      </c>
      <c r="AU164" t="s">
        <v>9556</v>
      </c>
      <c r="AV164" t="s">
        <v>1460</v>
      </c>
      <c r="AW164" t="s">
        <v>1461</v>
      </c>
      <c r="AX164" t="s">
        <v>69</v>
      </c>
      <c r="AY164" t="s">
        <v>9557</v>
      </c>
      <c r="AZ164" t="s">
        <v>9558</v>
      </c>
      <c r="BA164" t="s">
        <v>69</v>
      </c>
      <c r="BB164" t="s">
        <v>69</v>
      </c>
      <c r="BC164" t="s">
        <v>69</v>
      </c>
      <c r="BD164" t="s">
        <v>69</v>
      </c>
      <c r="BE164" t="s">
        <v>69</v>
      </c>
      <c r="BF164" t="s">
        <v>69</v>
      </c>
      <c r="BG164" t="s">
        <v>69</v>
      </c>
      <c r="BH164" t="s">
        <v>69</v>
      </c>
      <c r="BI164" t="s">
        <v>69</v>
      </c>
      <c r="BJ164" t="s">
        <v>69</v>
      </c>
      <c r="BK164">
        <v>3611981221082534</v>
      </c>
      <c r="BL164" t="s">
        <v>9559</v>
      </c>
      <c r="BM164" t="str">
        <f>HYPERLINK("http://dx.doi.org/10.1177/03611981221082534","http://dx.doi.org/10.1177/03611981221082534")</f>
        <v>http://dx.doi.org/10.1177/03611981221082534</v>
      </c>
      <c r="BN164" t="s">
        <v>69</v>
      </c>
      <c r="BO164" t="s">
        <v>9485</v>
      </c>
      <c r="BP164">
        <v>13</v>
      </c>
      <c r="BQ164" t="s">
        <v>9560</v>
      </c>
      <c r="BR164" t="s">
        <v>8548</v>
      </c>
      <c r="BS164" t="s">
        <v>9561</v>
      </c>
      <c r="BT164" t="s">
        <v>9562</v>
      </c>
      <c r="BU164" t="s">
        <v>9563</v>
      </c>
      <c r="BV164" t="s">
        <v>69</v>
      </c>
      <c r="BW164" t="s">
        <v>69</v>
      </c>
      <c r="BX164" t="s">
        <v>69</v>
      </c>
      <c r="BY164" t="s">
        <v>69</v>
      </c>
      <c r="BZ164" t="s">
        <v>8526</v>
      </c>
      <c r="CA164" t="str">
        <f>HYPERLINK("https%3A%2F%2Fwww.webofscience.com%2Fwos%2Fwoscc%2Ffull-record%2FWOS:000772404000001","View Full Record in Web of Science")</f>
        <v>View Full Record in Web of Science</v>
      </c>
    </row>
    <row r="165" spans="1:79" ht="12.5" x14ac:dyDescent="0.25">
      <c r="B165" t="s">
        <v>8495</v>
      </c>
      <c r="D165" s="22" t="s">
        <v>32931</v>
      </c>
      <c r="E165" s="7"/>
      <c r="F165" s="7"/>
      <c r="G165" s="7"/>
      <c r="H165" t="s">
        <v>67</v>
      </c>
      <c r="I165" t="s">
        <v>27677</v>
      </c>
      <c r="J165" t="s">
        <v>69</v>
      </c>
      <c r="K165" t="s">
        <v>69</v>
      </c>
      <c r="L165" t="s">
        <v>69</v>
      </c>
      <c r="M165" t="s">
        <v>27678</v>
      </c>
      <c r="N165" t="s">
        <v>69</v>
      </c>
      <c r="O165" t="s">
        <v>69</v>
      </c>
      <c r="P165" t="s">
        <v>27679</v>
      </c>
      <c r="Q165" t="s">
        <v>26109</v>
      </c>
      <c r="R165" t="s">
        <v>69</v>
      </c>
      <c r="S165" t="s">
        <v>69</v>
      </c>
      <c r="T165" t="s">
        <v>8505</v>
      </c>
      <c r="U165" t="s">
        <v>8506</v>
      </c>
      <c r="V165" t="s">
        <v>69</v>
      </c>
      <c r="W165" t="s">
        <v>69</v>
      </c>
      <c r="X165" t="s">
        <v>69</v>
      </c>
      <c r="Y165" t="s">
        <v>69</v>
      </c>
      <c r="Z165" t="s">
        <v>69</v>
      </c>
      <c r="AA165" t="s">
        <v>27680</v>
      </c>
      <c r="AB165" t="s">
        <v>69</v>
      </c>
      <c r="AC165" t="s">
        <v>27681</v>
      </c>
      <c r="AD165" t="s">
        <v>27682</v>
      </c>
      <c r="AE165" t="s">
        <v>69</v>
      </c>
      <c r="AF165" t="s">
        <v>27683</v>
      </c>
      <c r="AG165" t="s">
        <v>27684</v>
      </c>
      <c r="AH165" t="s">
        <v>69</v>
      </c>
      <c r="AI165" t="s">
        <v>69</v>
      </c>
      <c r="AJ165" t="s">
        <v>69</v>
      </c>
      <c r="AK165" t="s">
        <v>69</v>
      </c>
      <c r="AL165" t="s">
        <v>69</v>
      </c>
      <c r="AM165" t="s">
        <v>69</v>
      </c>
      <c r="AN165">
        <v>26</v>
      </c>
      <c r="AO165">
        <v>5</v>
      </c>
      <c r="AP165">
        <v>5</v>
      </c>
      <c r="AQ165">
        <v>4</v>
      </c>
      <c r="AR165">
        <v>10</v>
      </c>
      <c r="AS165" t="s">
        <v>26115</v>
      </c>
      <c r="AT165" t="s">
        <v>26116</v>
      </c>
      <c r="AU165" t="s">
        <v>26117</v>
      </c>
      <c r="AV165" t="s">
        <v>26118</v>
      </c>
      <c r="AW165" t="s">
        <v>26119</v>
      </c>
      <c r="AX165" t="s">
        <v>69</v>
      </c>
      <c r="AY165" t="s">
        <v>26120</v>
      </c>
      <c r="AZ165" t="s">
        <v>26121</v>
      </c>
      <c r="BA165" t="s">
        <v>201</v>
      </c>
      <c r="BB165">
        <v>2010</v>
      </c>
      <c r="BC165">
        <v>25</v>
      </c>
      <c r="BD165">
        <v>2</v>
      </c>
      <c r="BE165" t="s">
        <v>69</v>
      </c>
      <c r="BF165" t="s">
        <v>69</v>
      </c>
      <c r="BG165" t="s">
        <v>69</v>
      </c>
      <c r="BH165" t="s">
        <v>69</v>
      </c>
      <c r="BI165">
        <v>161</v>
      </c>
      <c r="BJ165">
        <v>214</v>
      </c>
      <c r="BK165" t="s">
        <v>69</v>
      </c>
      <c r="BL165" t="s">
        <v>27685</v>
      </c>
      <c r="BM165" t="str">
        <f>HYPERLINK("http://dx.doi.org/10.4067/S0718-50732010000200002","http://dx.doi.org/10.4067/S0718-50732010000200002")</f>
        <v>http://dx.doi.org/10.4067/S0718-50732010000200002</v>
      </c>
      <c r="BN165" t="s">
        <v>69</v>
      </c>
      <c r="BO165" t="s">
        <v>69</v>
      </c>
      <c r="BP165">
        <v>54</v>
      </c>
      <c r="BQ165" t="s">
        <v>10105</v>
      </c>
      <c r="BR165" t="s">
        <v>8573</v>
      </c>
      <c r="BS165" t="s">
        <v>10105</v>
      </c>
      <c r="BT165" t="s">
        <v>27686</v>
      </c>
      <c r="BU165" t="s">
        <v>27687</v>
      </c>
      <c r="BV165" t="s">
        <v>69</v>
      </c>
      <c r="BW165" t="s">
        <v>12220</v>
      </c>
      <c r="BX165" t="s">
        <v>69</v>
      </c>
      <c r="BY165" t="s">
        <v>69</v>
      </c>
      <c r="BZ165" t="s">
        <v>8526</v>
      </c>
      <c r="CA165" t="str">
        <f>HYPERLINK("https%3A%2F%2Fwww.webofscience.com%2Fwos%2Fwoscc%2Ffull-record%2FWOS:000420978400002","View Full Record in Web of Science")</f>
        <v>View Full Record in Web of Science</v>
      </c>
    </row>
    <row r="166" spans="1:79" ht="12.5" x14ac:dyDescent="0.25">
      <c r="B166" t="s">
        <v>8495</v>
      </c>
      <c r="D166" s="22" t="s">
        <v>32931</v>
      </c>
      <c r="E166" s="7"/>
      <c r="F166" s="7"/>
      <c r="G166" s="7"/>
      <c r="H166" t="s">
        <v>67</v>
      </c>
      <c r="I166" t="s">
        <v>17649</v>
      </c>
      <c r="J166" t="s">
        <v>69</v>
      </c>
      <c r="K166" t="s">
        <v>69</v>
      </c>
      <c r="L166" t="s">
        <v>69</v>
      </c>
      <c r="M166" t="s">
        <v>17650</v>
      </c>
      <c r="N166" t="s">
        <v>69</v>
      </c>
      <c r="O166" t="s">
        <v>69</v>
      </c>
      <c r="P166" t="s">
        <v>17651</v>
      </c>
      <c r="Q166" t="s">
        <v>17652</v>
      </c>
      <c r="R166" t="s">
        <v>69</v>
      </c>
      <c r="S166" t="s">
        <v>69</v>
      </c>
      <c r="T166" t="s">
        <v>8505</v>
      </c>
      <c r="U166" t="s">
        <v>8506</v>
      </c>
      <c r="V166" t="s">
        <v>69</v>
      </c>
      <c r="W166" t="s">
        <v>69</v>
      </c>
      <c r="X166" t="s">
        <v>69</v>
      </c>
      <c r="Y166" t="s">
        <v>69</v>
      </c>
      <c r="Z166" t="s">
        <v>69</v>
      </c>
      <c r="AA166" t="s">
        <v>17653</v>
      </c>
      <c r="AB166" t="s">
        <v>17654</v>
      </c>
      <c r="AC166" t="s">
        <v>17655</v>
      </c>
      <c r="AD166" t="s">
        <v>17656</v>
      </c>
      <c r="AE166" t="s">
        <v>69</v>
      </c>
      <c r="AF166" t="s">
        <v>17657</v>
      </c>
      <c r="AG166" t="s">
        <v>17658</v>
      </c>
      <c r="AH166" t="s">
        <v>69</v>
      </c>
      <c r="AI166" t="s">
        <v>69</v>
      </c>
      <c r="AJ166" t="s">
        <v>69</v>
      </c>
      <c r="AK166" t="s">
        <v>69</v>
      </c>
      <c r="AL166" t="s">
        <v>69</v>
      </c>
      <c r="AM166" t="s">
        <v>69</v>
      </c>
      <c r="AN166">
        <v>70</v>
      </c>
      <c r="AO166">
        <v>7</v>
      </c>
      <c r="AP166">
        <v>7</v>
      </c>
      <c r="AQ166">
        <v>1</v>
      </c>
      <c r="AR166">
        <v>9</v>
      </c>
      <c r="AS166" t="s">
        <v>17659</v>
      </c>
      <c r="AT166" t="s">
        <v>14820</v>
      </c>
      <c r="AU166" t="s">
        <v>17660</v>
      </c>
      <c r="AV166" t="s">
        <v>17661</v>
      </c>
      <c r="AW166" t="s">
        <v>69</v>
      </c>
      <c r="AX166" t="s">
        <v>69</v>
      </c>
      <c r="AY166" t="s">
        <v>17662</v>
      </c>
      <c r="AZ166" t="s">
        <v>17663</v>
      </c>
      <c r="BA166" t="s">
        <v>69</v>
      </c>
      <c r="BB166">
        <v>2019</v>
      </c>
      <c r="BC166">
        <v>21</v>
      </c>
      <c r="BD166" t="s">
        <v>69</v>
      </c>
      <c r="BE166" t="s">
        <v>69</v>
      </c>
      <c r="BF166" t="s">
        <v>627</v>
      </c>
      <c r="BG166" t="s">
        <v>69</v>
      </c>
      <c r="BH166" t="s">
        <v>69</v>
      </c>
      <c r="BI166">
        <v>1657</v>
      </c>
      <c r="BJ166">
        <v>1671</v>
      </c>
      <c r="BK166" t="s">
        <v>69</v>
      </c>
      <c r="BL166" t="s">
        <v>69</v>
      </c>
      <c r="BM166" t="s">
        <v>69</v>
      </c>
      <c r="BN166" t="s">
        <v>69</v>
      </c>
      <c r="BO166" t="s">
        <v>69</v>
      </c>
      <c r="BP166">
        <v>15</v>
      </c>
      <c r="BQ166" t="s">
        <v>17664</v>
      </c>
      <c r="BR166" t="s">
        <v>8548</v>
      </c>
      <c r="BS166" t="s">
        <v>8450</v>
      </c>
      <c r="BT166" t="s">
        <v>17665</v>
      </c>
      <c r="BU166" t="s">
        <v>17666</v>
      </c>
      <c r="BV166" t="s">
        <v>69</v>
      </c>
      <c r="BW166" t="s">
        <v>69</v>
      </c>
      <c r="BX166" t="s">
        <v>69</v>
      </c>
      <c r="BY166" t="s">
        <v>69</v>
      </c>
      <c r="BZ166" t="s">
        <v>8526</v>
      </c>
      <c r="CA166" t="str">
        <f>HYPERLINK("https%3A%2F%2Fwww.webofscience.com%2Fwos%2Fwoscc%2Ffull-record%2FWOS:000504634300002","View Full Record in Web of Science")</f>
        <v>View Full Record in Web of Science</v>
      </c>
    </row>
    <row r="167" spans="1:79" ht="12.5" x14ac:dyDescent="0.25">
      <c r="B167" t="s">
        <v>8495</v>
      </c>
      <c r="D167" s="22" t="s">
        <v>32931</v>
      </c>
      <c r="E167" s="7"/>
      <c r="F167" s="7"/>
      <c r="G167" s="7"/>
      <c r="H167" t="s">
        <v>67</v>
      </c>
      <c r="I167" t="s">
        <v>13452</v>
      </c>
      <c r="J167" t="s">
        <v>69</v>
      </c>
      <c r="K167" t="s">
        <v>69</v>
      </c>
      <c r="L167" t="s">
        <v>69</v>
      </c>
      <c r="M167" t="s">
        <v>13453</v>
      </c>
      <c r="N167" t="s">
        <v>69</v>
      </c>
      <c r="O167" t="s">
        <v>69</v>
      </c>
      <c r="P167" t="s">
        <v>13454</v>
      </c>
      <c r="Q167" t="s">
        <v>13455</v>
      </c>
      <c r="R167" t="s">
        <v>69</v>
      </c>
      <c r="S167" t="s">
        <v>69</v>
      </c>
      <c r="T167" t="s">
        <v>8505</v>
      </c>
      <c r="U167" t="s">
        <v>8506</v>
      </c>
      <c r="V167" t="s">
        <v>69</v>
      </c>
      <c r="W167" t="s">
        <v>69</v>
      </c>
      <c r="X167" t="s">
        <v>69</v>
      </c>
      <c r="Y167" t="s">
        <v>69</v>
      </c>
      <c r="Z167" t="s">
        <v>69</v>
      </c>
      <c r="AA167" t="s">
        <v>13456</v>
      </c>
      <c r="AB167" t="s">
        <v>13457</v>
      </c>
      <c r="AC167" t="s">
        <v>13458</v>
      </c>
      <c r="AD167" t="s">
        <v>13459</v>
      </c>
      <c r="AE167" t="s">
        <v>69</v>
      </c>
      <c r="AF167" t="s">
        <v>13460</v>
      </c>
      <c r="AG167" t="s">
        <v>13461</v>
      </c>
      <c r="AH167" t="s">
        <v>13462</v>
      </c>
      <c r="AI167" t="s">
        <v>13463</v>
      </c>
      <c r="AJ167" t="s">
        <v>13464</v>
      </c>
      <c r="AK167" t="s">
        <v>13465</v>
      </c>
      <c r="AL167" t="s">
        <v>13466</v>
      </c>
      <c r="AM167" t="s">
        <v>69</v>
      </c>
      <c r="AN167">
        <v>97</v>
      </c>
      <c r="AO167">
        <v>1</v>
      </c>
      <c r="AP167">
        <v>1</v>
      </c>
      <c r="AQ167">
        <v>2</v>
      </c>
      <c r="AR167">
        <v>3</v>
      </c>
      <c r="AS167" t="s">
        <v>13467</v>
      </c>
      <c r="AT167" t="s">
        <v>13468</v>
      </c>
      <c r="AU167" t="s">
        <v>13469</v>
      </c>
      <c r="AV167" t="s">
        <v>13470</v>
      </c>
      <c r="AW167" t="s">
        <v>69</v>
      </c>
      <c r="AX167" t="s">
        <v>69</v>
      </c>
      <c r="AY167" t="s">
        <v>13471</v>
      </c>
      <c r="AZ167" t="s">
        <v>13472</v>
      </c>
      <c r="BA167" t="s">
        <v>69</v>
      </c>
      <c r="BB167">
        <v>2021</v>
      </c>
      <c r="BC167">
        <v>14</v>
      </c>
      <c r="BD167" t="s">
        <v>69</v>
      </c>
      <c r="BE167" t="s">
        <v>69</v>
      </c>
      <c r="BF167" t="s">
        <v>69</v>
      </c>
      <c r="BG167" t="s">
        <v>69</v>
      </c>
      <c r="BH167" t="s">
        <v>69</v>
      </c>
      <c r="BI167">
        <v>389</v>
      </c>
      <c r="BJ167">
        <v>409</v>
      </c>
      <c r="BK167" t="s">
        <v>69</v>
      </c>
      <c r="BL167" t="s">
        <v>13473</v>
      </c>
      <c r="BM167" t="str">
        <f>HYPERLINK("http://dx.doi.org/10.2147/MDER.S328996","http://dx.doi.org/10.2147/MDER.S328996")</f>
        <v>http://dx.doi.org/10.2147/MDER.S328996</v>
      </c>
      <c r="BN167" t="s">
        <v>69</v>
      </c>
      <c r="BO167" t="s">
        <v>69</v>
      </c>
      <c r="BP167">
        <v>21</v>
      </c>
      <c r="BQ167" t="s">
        <v>13474</v>
      </c>
      <c r="BR167" t="s">
        <v>8573</v>
      </c>
      <c r="BS167" t="s">
        <v>8445</v>
      </c>
      <c r="BT167" t="s">
        <v>13475</v>
      </c>
      <c r="BU167" t="s">
        <v>13476</v>
      </c>
      <c r="BV167">
        <v>34853541</v>
      </c>
      <c r="BW167" t="s">
        <v>9352</v>
      </c>
      <c r="BX167" t="s">
        <v>69</v>
      </c>
      <c r="BY167" t="s">
        <v>69</v>
      </c>
      <c r="BZ167" t="s">
        <v>8526</v>
      </c>
      <c r="CA167" t="str">
        <f>HYPERLINK("https%3A%2F%2Fwww.webofscience.com%2Fwos%2Fwoscc%2Ffull-record%2FWOS:000724691700001","View Full Record in Web of Science")</f>
        <v>View Full Record in Web of Science</v>
      </c>
    </row>
    <row r="168" spans="1:79" x14ac:dyDescent="0.3">
      <c r="B168" t="s">
        <v>8495</v>
      </c>
      <c r="D168" s="10" t="s">
        <v>32949</v>
      </c>
      <c r="E168" s="9" t="s">
        <v>33087</v>
      </c>
      <c r="G168" s="9" t="s">
        <v>8490</v>
      </c>
      <c r="H168" t="s">
        <v>67</v>
      </c>
      <c r="I168" t="s">
        <v>27082</v>
      </c>
      <c r="J168" t="s">
        <v>69</v>
      </c>
      <c r="K168" t="s">
        <v>69</v>
      </c>
      <c r="L168" t="s">
        <v>69</v>
      </c>
      <c r="M168" t="s">
        <v>27083</v>
      </c>
      <c r="N168" t="s">
        <v>69</v>
      </c>
      <c r="O168" t="s">
        <v>69</v>
      </c>
      <c r="P168" t="s">
        <v>27084</v>
      </c>
      <c r="Q168" t="s">
        <v>27085</v>
      </c>
      <c r="R168" t="s">
        <v>69</v>
      </c>
      <c r="S168" t="s">
        <v>69</v>
      </c>
      <c r="T168" t="s">
        <v>8505</v>
      </c>
      <c r="U168" t="s">
        <v>8442</v>
      </c>
      <c r="V168" t="s">
        <v>69</v>
      </c>
      <c r="W168" t="s">
        <v>69</v>
      </c>
      <c r="X168" t="s">
        <v>69</v>
      </c>
      <c r="Y168" t="s">
        <v>69</v>
      </c>
      <c r="Z168" t="s">
        <v>69</v>
      </c>
      <c r="AA168" t="s">
        <v>27086</v>
      </c>
      <c r="AB168" t="s">
        <v>69</v>
      </c>
      <c r="AC168" t="s">
        <v>27087</v>
      </c>
      <c r="AD168" t="s">
        <v>27088</v>
      </c>
      <c r="AE168" t="s">
        <v>69</v>
      </c>
      <c r="AF168" t="s">
        <v>27089</v>
      </c>
      <c r="AG168" t="s">
        <v>27090</v>
      </c>
      <c r="AH168" t="s">
        <v>69</v>
      </c>
      <c r="AI168" t="s">
        <v>69</v>
      </c>
      <c r="AJ168" t="s">
        <v>69</v>
      </c>
      <c r="AK168" t="s">
        <v>69</v>
      </c>
      <c r="AL168" t="s">
        <v>69</v>
      </c>
      <c r="AM168" t="s">
        <v>69</v>
      </c>
      <c r="AN168">
        <v>23</v>
      </c>
      <c r="AO168">
        <v>5</v>
      </c>
      <c r="AP168">
        <v>5</v>
      </c>
      <c r="AQ168">
        <v>0</v>
      </c>
      <c r="AR168">
        <v>0</v>
      </c>
      <c r="AS168" t="s">
        <v>27091</v>
      </c>
      <c r="AT168" t="s">
        <v>13701</v>
      </c>
      <c r="AU168" t="s">
        <v>27092</v>
      </c>
      <c r="AV168" t="s">
        <v>27093</v>
      </c>
      <c r="AW168" t="s">
        <v>27094</v>
      </c>
      <c r="AX168" t="s">
        <v>69</v>
      </c>
      <c r="AY168" t="s">
        <v>27095</v>
      </c>
      <c r="AZ168" t="s">
        <v>27096</v>
      </c>
      <c r="BA168" t="s">
        <v>246</v>
      </c>
      <c r="BB168">
        <v>2011</v>
      </c>
      <c r="BC168">
        <v>48</v>
      </c>
      <c r="BD168">
        <v>5</v>
      </c>
      <c r="BE168" t="s">
        <v>69</v>
      </c>
      <c r="BF168" t="s">
        <v>69</v>
      </c>
      <c r="BG168" t="s">
        <v>69</v>
      </c>
      <c r="BH168" t="s">
        <v>69</v>
      </c>
      <c r="BI168">
        <v>125</v>
      </c>
      <c r="BJ168">
        <v>140</v>
      </c>
      <c r="BK168" t="s">
        <v>69</v>
      </c>
      <c r="BL168" t="s">
        <v>69</v>
      </c>
      <c r="BM168" t="s">
        <v>69</v>
      </c>
      <c r="BN168" t="s">
        <v>69</v>
      </c>
      <c r="BO168" t="s">
        <v>69</v>
      </c>
      <c r="BP168">
        <v>16</v>
      </c>
      <c r="BQ168" t="s">
        <v>13241</v>
      </c>
      <c r="BR168" t="s">
        <v>8573</v>
      </c>
      <c r="BS168" t="s">
        <v>10084</v>
      </c>
      <c r="BT168" t="s">
        <v>27097</v>
      </c>
      <c r="BU168" t="s">
        <v>27098</v>
      </c>
      <c r="BV168" t="s">
        <v>69</v>
      </c>
      <c r="BW168" t="s">
        <v>69</v>
      </c>
      <c r="BX168" t="s">
        <v>69</v>
      </c>
      <c r="BY168" t="s">
        <v>69</v>
      </c>
      <c r="BZ168" t="s">
        <v>8526</v>
      </c>
      <c r="CA168" t="str">
        <f>HYPERLINK("https%3A%2F%2Fwww.webofscience.com%2Fwos%2Fwoscc%2Ffull-record%2FWOS:000443249300008","View Full Record in Web of Science")</f>
        <v>View Full Record in Web of Science</v>
      </c>
    </row>
    <row r="169" spans="1:79" ht="12.5" x14ac:dyDescent="0.25">
      <c r="B169" t="s">
        <v>8495</v>
      </c>
      <c r="D169" s="7" t="s">
        <v>32933</v>
      </c>
      <c r="E169" s="7"/>
      <c r="F169" s="7"/>
      <c r="G169" s="7"/>
      <c r="H169" t="s">
        <v>67</v>
      </c>
      <c r="I169" t="s">
        <v>6404</v>
      </c>
      <c r="J169" t="s">
        <v>69</v>
      </c>
      <c r="K169" t="s">
        <v>69</v>
      </c>
      <c r="L169" t="s">
        <v>69</v>
      </c>
      <c r="M169" t="s">
        <v>6405</v>
      </c>
      <c r="N169" t="s">
        <v>69</v>
      </c>
      <c r="O169" t="s">
        <v>69</v>
      </c>
      <c r="P169" t="s">
        <v>6406</v>
      </c>
      <c r="Q169" t="s">
        <v>6407</v>
      </c>
      <c r="R169" t="s">
        <v>69</v>
      </c>
      <c r="S169" t="s">
        <v>69</v>
      </c>
      <c r="T169" t="s">
        <v>25259</v>
      </c>
      <c r="U169" t="s">
        <v>8506</v>
      </c>
      <c r="V169" t="s">
        <v>69</v>
      </c>
      <c r="W169" t="s">
        <v>69</v>
      </c>
      <c r="X169" t="s">
        <v>69</v>
      </c>
      <c r="Y169" t="s">
        <v>69</v>
      </c>
      <c r="Z169" t="s">
        <v>69</v>
      </c>
      <c r="AA169" t="s">
        <v>27524</v>
      </c>
      <c r="AB169" t="s">
        <v>69</v>
      </c>
      <c r="AC169" t="s">
        <v>6408</v>
      </c>
      <c r="AD169" t="s">
        <v>27525</v>
      </c>
      <c r="AE169" t="s">
        <v>69</v>
      </c>
      <c r="AF169" t="s">
        <v>27526</v>
      </c>
      <c r="AG169" t="s">
        <v>27527</v>
      </c>
      <c r="AH169" t="s">
        <v>69</v>
      </c>
      <c r="AI169" t="s">
        <v>6409</v>
      </c>
      <c r="AJ169" t="s">
        <v>69</v>
      </c>
      <c r="AK169" t="s">
        <v>69</v>
      </c>
      <c r="AL169" t="s">
        <v>69</v>
      </c>
      <c r="AM169" t="s">
        <v>69</v>
      </c>
      <c r="AN169">
        <v>49</v>
      </c>
      <c r="AO169">
        <v>4</v>
      </c>
      <c r="AP169">
        <v>4</v>
      </c>
      <c r="AQ169">
        <v>0</v>
      </c>
      <c r="AR169">
        <v>3</v>
      </c>
      <c r="AS169" t="s">
        <v>27528</v>
      </c>
      <c r="AT169" t="s">
        <v>13701</v>
      </c>
      <c r="AU169" t="s">
        <v>27529</v>
      </c>
      <c r="AV169" t="s">
        <v>6410</v>
      </c>
      <c r="AW169" t="s">
        <v>69</v>
      </c>
      <c r="AX169" t="s">
        <v>69</v>
      </c>
      <c r="AY169" t="s">
        <v>27530</v>
      </c>
      <c r="AZ169" t="s">
        <v>27531</v>
      </c>
      <c r="BA169" t="s">
        <v>69</v>
      </c>
      <c r="BB169">
        <v>2011</v>
      </c>
      <c r="BC169">
        <v>135</v>
      </c>
      <c r="BD169" t="s">
        <v>2217</v>
      </c>
      <c r="BE169" t="s">
        <v>69</v>
      </c>
      <c r="BF169" t="s">
        <v>69</v>
      </c>
      <c r="BG169" t="s">
        <v>69</v>
      </c>
      <c r="BH169" t="s">
        <v>69</v>
      </c>
      <c r="BI169">
        <v>449</v>
      </c>
      <c r="BJ169">
        <v>466</v>
      </c>
      <c r="BK169" t="s">
        <v>69</v>
      </c>
      <c r="BL169" t="s">
        <v>69</v>
      </c>
      <c r="BM169" t="s">
        <v>69</v>
      </c>
      <c r="BN169" t="s">
        <v>69</v>
      </c>
      <c r="BO169" t="s">
        <v>69</v>
      </c>
      <c r="BP169">
        <v>18</v>
      </c>
      <c r="BQ169" t="s">
        <v>8453</v>
      </c>
      <c r="BR169" t="s">
        <v>8548</v>
      </c>
      <c r="BS169" t="s">
        <v>8453</v>
      </c>
      <c r="BT169" t="s">
        <v>27532</v>
      </c>
      <c r="BU169" t="s">
        <v>6411</v>
      </c>
      <c r="BV169" t="s">
        <v>69</v>
      </c>
      <c r="BW169" t="s">
        <v>69</v>
      </c>
      <c r="BX169" t="s">
        <v>69</v>
      </c>
      <c r="BY169" t="s">
        <v>69</v>
      </c>
      <c r="BZ169" t="s">
        <v>8526</v>
      </c>
      <c r="CA169" t="str">
        <f>HYPERLINK("https%3A%2F%2Fwww.webofscience.com%2Fwos%2Fwoscc%2Ffull-record%2FWOS:000297378300003","View Full Record in Web of Science")</f>
        <v>View Full Record in Web of Science</v>
      </c>
    </row>
    <row r="170" spans="1:79" ht="12.5" x14ac:dyDescent="0.25">
      <c r="B170" t="s">
        <v>8495</v>
      </c>
      <c r="D170" s="22" t="s">
        <v>32931</v>
      </c>
      <c r="E170" s="7"/>
      <c r="F170" s="7"/>
      <c r="G170" s="7"/>
      <c r="H170" t="s">
        <v>67</v>
      </c>
      <c r="I170" t="s">
        <v>10599</v>
      </c>
      <c r="J170" t="s">
        <v>69</v>
      </c>
      <c r="K170" t="s">
        <v>69</v>
      </c>
      <c r="L170" t="s">
        <v>69</v>
      </c>
      <c r="M170" t="s">
        <v>10600</v>
      </c>
      <c r="N170" t="s">
        <v>69</v>
      </c>
      <c r="O170" t="s">
        <v>69</v>
      </c>
      <c r="P170" t="s">
        <v>10601</v>
      </c>
      <c r="Q170" t="s">
        <v>352</v>
      </c>
      <c r="R170" t="s">
        <v>69</v>
      </c>
      <c r="S170" t="s">
        <v>69</v>
      </c>
      <c r="T170" t="s">
        <v>8505</v>
      </c>
      <c r="U170" t="s">
        <v>8506</v>
      </c>
      <c r="V170" t="s">
        <v>69</v>
      </c>
      <c r="W170" t="s">
        <v>69</v>
      </c>
      <c r="X170" t="s">
        <v>69</v>
      </c>
      <c r="Y170" t="s">
        <v>69</v>
      </c>
      <c r="Z170" t="s">
        <v>69</v>
      </c>
      <c r="AA170" t="s">
        <v>10602</v>
      </c>
      <c r="AB170" t="s">
        <v>10603</v>
      </c>
      <c r="AC170" t="s">
        <v>10604</v>
      </c>
      <c r="AD170" t="s">
        <v>10605</v>
      </c>
      <c r="AE170" t="s">
        <v>69</v>
      </c>
      <c r="AF170" t="s">
        <v>10606</v>
      </c>
      <c r="AG170" t="s">
        <v>10607</v>
      </c>
      <c r="AH170" t="s">
        <v>69</v>
      </c>
      <c r="AI170" t="s">
        <v>69</v>
      </c>
      <c r="AJ170" t="s">
        <v>10608</v>
      </c>
      <c r="AK170" t="s">
        <v>10609</v>
      </c>
      <c r="AL170" t="s">
        <v>10610</v>
      </c>
      <c r="AM170" t="s">
        <v>69</v>
      </c>
      <c r="AN170">
        <v>49</v>
      </c>
      <c r="AO170">
        <v>0</v>
      </c>
      <c r="AP170">
        <v>0</v>
      </c>
      <c r="AQ170">
        <v>9</v>
      </c>
      <c r="AR170">
        <v>12</v>
      </c>
      <c r="AS170" t="s">
        <v>8924</v>
      </c>
      <c r="AT170" t="s">
        <v>8925</v>
      </c>
      <c r="AU170" t="s">
        <v>8926</v>
      </c>
      <c r="AV170" t="s">
        <v>69</v>
      </c>
      <c r="AW170" t="s">
        <v>354</v>
      </c>
      <c r="AX170" t="s">
        <v>69</v>
      </c>
      <c r="AY170" t="s">
        <v>8958</v>
      </c>
      <c r="AZ170" t="s">
        <v>8434</v>
      </c>
      <c r="BA170" t="s">
        <v>75</v>
      </c>
      <c r="BB170">
        <v>2021</v>
      </c>
      <c r="BC170">
        <v>13</v>
      </c>
      <c r="BD170">
        <v>24</v>
      </c>
      <c r="BE170" t="s">
        <v>69</v>
      </c>
      <c r="BF170" t="s">
        <v>69</v>
      </c>
      <c r="BG170" t="s">
        <v>69</v>
      </c>
      <c r="BH170" t="s">
        <v>69</v>
      </c>
      <c r="BI170" t="s">
        <v>69</v>
      </c>
      <c r="BJ170" t="s">
        <v>69</v>
      </c>
      <c r="BK170">
        <v>13694</v>
      </c>
      <c r="BL170" t="s">
        <v>10611</v>
      </c>
      <c r="BM170" t="str">
        <f>HYPERLINK("http://dx.doi.org/10.3390/su132413694","http://dx.doi.org/10.3390/su132413694")</f>
        <v>http://dx.doi.org/10.3390/su132413694</v>
      </c>
      <c r="BN170" t="s">
        <v>69</v>
      </c>
      <c r="BO170" t="s">
        <v>69</v>
      </c>
      <c r="BP170">
        <v>18</v>
      </c>
      <c r="BQ170" t="s">
        <v>8960</v>
      </c>
      <c r="BR170" t="s">
        <v>8523</v>
      </c>
      <c r="BS170" t="s">
        <v>8961</v>
      </c>
      <c r="BT170" t="s">
        <v>10612</v>
      </c>
      <c r="BU170" t="s">
        <v>10613</v>
      </c>
      <c r="BV170" t="s">
        <v>69</v>
      </c>
      <c r="BW170" t="s">
        <v>8812</v>
      </c>
      <c r="BX170" t="s">
        <v>69</v>
      </c>
      <c r="BY170" t="s">
        <v>69</v>
      </c>
      <c r="BZ170" t="s">
        <v>8526</v>
      </c>
      <c r="CA170" t="str">
        <f>HYPERLINK("https%3A%2F%2Fwww.webofscience.com%2Fwos%2Fwoscc%2Ffull-record%2FWOS:000737475300001","View Full Record in Web of Science")</f>
        <v>View Full Record in Web of Science</v>
      </c>
    </row>
    <row r="171" spans="1:79" ht="12.5" x14ac:dyDescent="0.25">
      <c r="B171" t="s">
        <v>8495</v>
      </c>
      <c r="D171" s="7" t="s">
        <v>32933</v>
      </c>
      <c r="E171" s="7"/>
      <c r="F171" s="7"/>
      <c r="G171" s="7"/>
      <c r="H171" t="s">
        <v>67</v>
      </c>
      <c r="I171" t="s">
        <v>1322</v>
      </c>
      <c r="J171" t="s">
        <v>69</v>
      </c>
      <c r="K171" t="s">
        <v>69</v>
      </c>
      <c r="L171" t="s">
        <v>69</v>
      </c>
      <c r="M171" t="s">
        <v>1323</v>
      </c>
      <c r="N171" t="s">
        <v>69</v>
      </c>
      <c r="O171" t="s">
        <v>69</v>
      </c>
      <c r="P171" t="s">
        <v>1324</v>
      </c>
      <c r="Q171" t="s">
        <v>436</v>
      </c>
      <c r="R171" t="s">
        <v>69</v>
      </c>
      <c r="S171" t="s">
        <v>69</v>
      </c>
      <c r="T171" t="s">
        <v>8505</v>
      </c>
      <c r="U171" t="s">
        <v>8506</v>
      </c>
      <c r="V171" t="s">
        <v>69</v>
      </c>
      <c r="W171" t="s">
        <v>69</v>
      </c>
      <c r="X171" t="s">
        <v>69</v>
      </c>
      <c r="Y171" t="s">
        <v>69</v>
      </c>
      <c r="Z171" t="s">
        <v>69</v>
      </c>
      <c r="AA171" t="s">
        <v>23211</v>
      </c>
      <c r="AB171" t="s">
        <v>23212</v>
      </c>
      <c r="AC171" t="s">
        <v>1325</v>
      </c>
      <c r="AD171" t="s">
        <v>23213</v>
      </c>
      <c r="AE171" t="s">
        <v>69</v>
      </c>
      <c r="AF171" t="s">
        <v>23214</v>
      </c>
      <c r="AG171" t="s">
        <v>23215</v>
      </c>
      <c r="AH171" t="s">
        <v>69</v>
      </c>
      <c r="AI171" t="s">
        <v>23216</v>
      </c>
      <c r="AJ171" t="s">
        <v>69</v>
      </c>
      <c r="AK171" t="s">
        <v>69</v>
      </c>
      <c r="AL171" t="s">
        <v>69</v>
      </c>
      <c r="AM171" t="s">
        <v>69</v>
      </c>
      <c r="AN171">
        <v>67</v>
      </c>
      <c r="AO171">
        <v>19</v>
      </c>
      <c r="AP171">
        <v>19</v>
      </c>
      <c r="AQ171">
        <v>3</v>
      </c>
      <c r="AR171">
        <v>38</v>
      </c>
      <c r="AS171" t="s">
        <v>8636</v>
      </c>
      <c r="AT171" t="s">
        <v>8637</v>
      </c>
      <c r="AU171" t="s">
        <v>8638</v>
      </c>
      <c r="AV171" t="s">
        <v>440</v>
      </c>
      <c r="AW171" t="s">
        <v>441</v>
      </c>
      <c r="AX171" t="s">
        <v>69</v>
      </c>
      <c r="AY171" t="s">
        <v>8639</v>
      </c>
      <c r="AZ171" t="s">
        <v>8640</v>
      </c>
      <c r="BA171" t="s">
        <v>451</v>
      </c>
      <c r="BB171">
        <v>2015</v>
      </c>
      <c r="BC171">
        <v>86</v>
      </c>
      <c r="BD171" t="s">
        <v>69</v>
      </c>
      <c r="BE171" t="s">
        <v>69</v>
      </c>
      <c r="BF171" t="s">
        <v>69</v>
      </c>
      <c r="BG171" t="s">
        <v>69</v>
      </c>
      <c r="BH171" t="s">
        <v>69</v>
      </c>
      <c r="BI171">
        <v>245</v>
      </c>
      <c r="BJ171">
        <v>255</v>
      </c>
      <c r="BK171" t="s">
        <v>69</v>
      </c>
      <c r="BL171" t="s">
        <v>1326</v>
      </c>
      <c r="BM171" t="str">
        <f>HYPERLINK("http://dx.doi.org/10.1016/j.jclepro.2014.08.021","http://dx.doi.org/10.1016/j.jclepro.2014.08.021")</f>
        <v>http://dx.doi.org/10.1016/j.jclepro.2014.08.021</v>
      </c>
      <c r="BN171" t="s">
        <v>69</v>
      </c>
      <c r="BO171" t="s">
        <v>69</v>
      </c>
      <c r="BP171">
        <v>11</v>
      </c>
      <c r="BQ171" t="s">
        <v>8643</v>
      </c>
      <c r="BR171" t="s">
        <v>8523</v>
      </c>
      <c r="BS171" t="s">
        <v>8644</v>
      </c>
      <c r="BT171" t="s">
        <v>23217</v>
      </c>
      <c r="BU171" t="s">
        <v>1327</v>
      </c>
      <c r="BV171" t="s">
        <v>69</v>
      </c>
      <c r="BW171" t="s">
        <v>69</v>
      </c>
      <c r="BX171" t="s">
        <v>69</v>
      </c>
      <c r="BY171" t="s">
        <v>69</v>
      </c>
      <c r="BZ171" t="s">
        <v>8526</v>
      </c>
      <c r="CA171" t="str">
        <f>HYPERLINK("https%3A%2F%2Fwww.webofscience.com%2Fwos%2Fwoscc%2Ffull-record%2FWOS:000347501000027","View Full Record in Web of Science")</f>
        <v>View Full Record in Web of Science</v>
      </c>
    </row>
    <row r="172" spans="1:79" ht="12.5" x14ac:dyDescent="0.25">
      <c r="B172" t="s">
        <v>8495</v>
      </c>
      <c r="D172" s="7" t="s">
        <v>32933</v>
      </c>
      <c r="E172" s="7"/>
      <c r="F172" s="7"/>
      <c r="G172" s="7"/>
      <c r="H172" t="s">
        <v>67</v>
      </c>
      <c r="I172" t="s">
        <v>4120</v>
      </c>
      <c r="J172" t="s">
        <v>69</v>
      </c>
      <c r="K172" t="s">
        <v>69</v>
      </c>
      <c r="L172" t="s">
        <v>69</v>
      </c>
      <c r="M172" t="s">
        <v>4120</v>
      </c>
      <c r="N172" t="s">
        <v>69</v>
      </c>
      <c r="O172" t="s">
        <v>69</v>
      </c>
      <c r="P172" t="s">
        <v>4121</v>
      </c>
      <c r="Q172" t="s">
        <v>4122</v>
      </c>
      <c r="R172" t="s">
        <v>69</v>
      </c>
      <c r="S172" t="s">
        <v>69</v>
      </c>
      <c r="T172" t="s">
        <v>8505</v>
      </c>
      <c r="U172" t="s">
        <v>8506</v>
      </c>
      <c r="V172" t="s">
        <v>69</v>
      </c>
      <c r="W172" t="s">
        <v>69</v>
      </c>
      <c r="X172" t="s">
        <v>69</v>
      </c>
      <c r="Y172" t="s">
        <v>69</v>
      </c>
      <c r="Z172" t="s">
        <v>69</v>
      </c>
      <c r="AA172" t="s">
        <v>69</v>
      </c>
      <c r="AB172" t="s">
        <v>31818</v>
      </c>
      <c r="AC172" t="s">
        <v>4123</v>
      </c>
      <c r="AD172" t="s">
        <v>31819</v>
      </c>
      <c r="AE172" t="s">
        <v>69</v>
      </c>
      <c r="AF172" t="s">
        <v>31820</v>
      </c>
      <c r="AG172" t="s">
        <v>69</v>
      </c>
      <c r="AH172" t="s">
        <v>69</v>
      </c>
      <c r="AI172" t="s">
        <v>69</v>
      </c>
      <c r="AJ172" t="s">
        <v>69</v>
      </c>
      <c r="AK172" t="s">
        <v>69</v>
      </c>
      <c r="AL172" t="s">
        <v>69</v>
      </c>
      <c r="AM172" t="s">
        <v>69</v>
      </c>
      <c r="AN172">
        <v>49</v>
      </c>
      <c r="AO172">
        <v>26</v>
      </c>
      <c r="AP172">
        <v>26</v>
      </c>
      <c r="AQ172">
        <v>1</v>
      </c>
      <c r="AR172">
        <v>19</v>
      </c>
      <c r="AS172" t="s">
        <v>17140</v>
      </c>
      <c r="AT172" t="s">
        <v>8517</v>
      </c>
      <c r="AU172" t="s">
        <v>17141</v>
      </c>
      <c r="AV172" t="s">
        <v>4124</v>
      </c>
      <c r="AW172" t="s">
        <v>69</v>
      </c>
      <c r="AX172" t="s">
        <v>69</v>
      </c>
      <c r="AY172" t="s">
        <v>4122</v>
      </c>
      <c r="AZ172" t="s">
        <v>31821</v>
      </c>
      <c r="BA172" t="s">
        <v>155</v>
      </c>
      <c r="BB172">
        <v>2000</v>
      </c>
      <c r="BC172">
        <v>27</v>
      </c>
      <c r="BD172" t="s">
        <v>1726</v>
      </c>
      <c r="BE172" t="s">
        <v>69</v>
      </c>
      <c r="BF172" t="s">
        <v>69</v>
      </c>
      <c r="BG172" t="s">
        <v>69</v>
      </c>
      <c r="BH172" t="s">
        <v>69</v>
      </c>
      <c r="BI172">
        <v>301</v>
      </c>
      <c r="BJ172">
        <v>325</v>
      </c>
      <c r="BK172" t="s">
        <v>69</v>
      </c>
      <c r="BL172" t="s">
        <v>4125</v>
      </c>
      <c r="BM172" t="str">
        <f>HYPERLINK("http://dx.doi.org/10.1016/S0304-422X(00)00007-3","http://dx.doi.org/10.1016/S0304-422X(00)00007-3")</f>
        <v>http://dx.doi.org/10.1016/S0304-422X(00)00007-3</v>
      </c>
      <c r="BN172" t="s">
        <v>69</v>
      </c>
      <c r="BO172" t="s">
        <v>69</v>
      </c>
      <c r="BP172">
        <v>25</v>
      </c>
      <c r="BQ172" t="s">
        <v>31822</v>
      </c>
      <c r="BR172" t="s">
        <v>11207</v>
      </c>
      <c r="BS172" t="s">
        <v>31822</v>
      </c>
      <c r="BT172" t="s">
        <v>31823</v>
      </c>
      <c r="BU172" t="s">
        <v>4126</v>
      </c>
      <c r="BV172" t="s">
        <v>69</v>
      </c>
      <c r="BW172" t="s">
        <v>69</v>
      </c>
      <c r="BX172" t="s">
        <v>69</v>
      </c>
      <c r="BY172" t="s">
        <v>69</v>
      </c>
      <c r="BZ172" t="s">
        <v>8526</v>
      </c>
      <c r="CA172" t="str">
        <f>HYPERLINK("https%3A%2F%2Fwww.webofscience.com%2Fwos%2Fwoscc%2Ffull-record%2FWOS:000087951200001","View Full Record in Web of Science")</f>
        <v>View Full Record in Web of Science</v>
      </c>
    </row>
    <row r="173" spans="1:79" ht="12.5" x14ac:dyDescent="0.25">
      <c r="B173" t="s">
        <v>8495</v>
      </c>
      <c r="D173" s="22" t="s">
        <v>32931</v>
      </c>
      <c r="E173" s="7"/>
      <c r="F173" s="7"/>
      <c r="G173" s="7"/>
      <c r="H173" t="s">
        <v>67</v>
      </c>
      <c r="I173" t="s">
        <v>20110</v>
      </c>
      <c r="J173" t="s">
        <v>69</v>
      </c>
      <c r="K173" t="s">
        <v>69</v>
      </c>
      <c r="L173" t="s">
        <v>69</v>
      </c>
      <c r="M173" t="s">
        <v>20111</v>
      </c>
      <c r="N173" t="s">
        <v>69</v>
      </c>
      <c r="O173" t="s">
        <v>69</v>
      </c>
      <c r="P173" t="s">
        <v>20112</v>
      </c>
      <c r="Q173" t="s">
        <v>20113</v>
      </c>
      <c r="R173" t="s">
        <v>69</v>
      </c>
      <c r="S173" t="s">
        <v>69</v>
      </c>
      <c r="T173" t="s">
        <v>8505</v>
      </c>
      <c r="U173" t="s">
        <v>8506</v>
      </c>
      <c r="V173" t="s">
        <v>69</v>
      </c>
      <c r="W173" t="s">
        <v>69</v>
      </c>
      <c r="X173" t="s">
        <v>69</v>
      </c>
      <c r="Y173" t="s">
        <v>69</v>
      </c>
      <c r="Z173" t="s">
        <v>69</v>
      </c>
      <c r="AA173" t="s">
        <v>20114</v>
      </c>
      <c r="AB173" t="s">
        <v>20115</v>
      </c>
      <c r="AC173" t="s">
        <v>20116</v>
      </c>
      <c r="AD173" t="s">
        <v>20117</v>
      </c>
      <c r="AE173" t="s">
        <v>69</v>
      </c>
      <c r="AF173" t="s">
        <v>20118</v>
      </c>
      <c r="AG173" t="s">
        <v>20119</v>
      </c>
      <c r="AH173" t="s">
        <v>20120</v>
      </c>
      <c r="AI173" t="s">
        <v>20121</v>
      </c>
      <c r="AJ173" t="s">
        <v>69</v>
      </c>
      <c r="AK173" t="s">
        <v>69</v>
      </c>
      <c r="AL173" t="s">
        <v>69</v>
      </c>
      <c r="AM173" t="s">
        <v>69</v>
      </c>
      <c r="AN173">
        <v>102</v>
      </c>
      <c r="AO173">
        <v>11</v>
      </c>
      <c r="AP173">
        <v>12</v>
      </c>
      <c r="AQ173">
        <v>3</v>
      </c>
      <c r="AR173">
        <v>73</v>
      </c>
      <c r="AS173" t="s">
        <v>8636</v>
      </c>
      <c r="AT173" t="s">
        <v>8637</v>
      </c>
      <c r="AU173" t="s">
        <v>8638</v>
      </c>
      <c r="AV173" t="s">
        <v>20122</v>
      </c>
      <c r="AW173" t="s">
        <v>20123</v>
      </c>
      <c r="AX173" t="s">
        <v>69</v>
      </c>
      <c r="AY173" t="s">
        <v>20124</v>
      </c>
      <c r="AZ173" t="s">
        <v>20125</v>
      </c>
      <c r="BA173" t="s">
        <v>201</v>
      </c>
      <c r="BB173">
        <v>2017</v>
      </c>
      <c r="BC173">
        <v>61</v>
      </c>
      <c r="BD173" t="s">
        <v>69</v>
      </c>
      <c r="BE173" t="s">
        <v>69</v>
      </c>
      <c r="BF173" t="s">
        <v>69</v>
      </c>
      <c r="BG173" t="s">
        <v>69</v>
      </c>
      <c r="BH173" t="s">
        <v>69</v>
      </c>
      <c r="BI173">
        <v>511</v>
      </c>
      <c r="BJ173">
        <v>522</v>
      </c>
      <c r="BK173" t="s">
        <v>69</v>
      </c>
      <c r="BL173" t="s">
        <v>20126</v>
      </c>
      <c r="BM173" t="str">
        <f>HYPERLINK("http://dx.doi.org/10.1016/j.tourman.2017.03.023","http://dx.doi.org/10.1016/j.tourman.2017.03.023")</f>
        <v>http://dx.doi.org/10.1016/j.tourman.2017.03.023</v>
      </c>
      <c r="BN173" t="s">
        <v>69</v>
      </c>
      <c r="BO173" t="s">
        <v>69</v>
      </c>
      <c r="BP173">
        <v>12</v>
      </c>
      <c r="BQ173" t="s">
        <v>20127</v>
      </c>
      <c r="BR173" t="s">
        <v>8661</v>
      </c>
      <c r="BS173" t="s">
        <v>20128</v>
      </c>
      <c r="BT173" t="s">
        <v>20129</v>
      </c>
      <c r="BU173" t="s">
        <v>20130</v>
      </c>
      <c r="BV173" t="s">
        <v>69</v>
      </c>
      <c r="BW173" t="s">
        <v>10995</v>
      </c>
      <c r="BX173" t="s">
        <v>69</v>
      </c>
      <c r="BY173" t="s">
        <v>69</v>
      </c>
      <c r="BZ173" t="s">
        <v>8526</v>
      </c>
      <c r="CA173" t="str">
        <f>HYPERLINK("https%3A%2F%2Fwww.webofscience.com%2Fwos%2Fwoscc%2Ffull-record%2FWOS:000401398200051","View Full Record in Web of Science")</f>
        <v>View Full Record in Web of Science</v>
      </c>
    </row>
    <row r="174" spans="1:79" ht="12.5" x14ac:dyDescent="0.25">
      <c r="B174" t="s">
        <v>8495</v>
      </c>
      <c r="D174" s="7" t="s">
        <v>32933</v>
      </c>
      <c r="E174" s="7"/>
      <c r="F174" s="7"/>
      <c r="G174" s="7"/>
      <c r="H174" t="s">
        <v>67</v>
      </c>
      <c r="I174" t="s">
        <v>2688</v>
      </c>
      <c r="J174" t="s">
        <v>69</v>
      </c>
      <c r="K174" t="s">
        <v>69</v>
      </c>
      <c r="L174" t="s">
        <v>69</v>
      </c>
      <c r="M174" t="s">
        <v>2689</v>
      </c>
      <c r="N174" t="s">
        <v>69</v>
      </c>
      <c r="O174" t="s">
        <v>69</v>
      </c>
      <c r="P174" t="s">
        <v>2690</v>
      </c>
      <c r="Q174" t="s">
        <v>2691</v>
      </c>
      <c r="R174" t="s">
        <v>69</v>
      </c>
      <c r="S174" t="s">
        <v>69</v>
      </c>
      <c r="T174" t="s">
        <v>8505</v>
      </c>
      <c r="U174" t="s">
        <v>8506</v>
      </c>
      <c r="V174" t="s">
        <v>69</v>
      </c>
      <c r="W174" t="s">
        <v>69</v>
      </c>
      <c r="X174" t="s">
        <v>69</v>
      </c>
      <c r="Y174" t="s">
        <v>69</v>
      </c>
      <c r="Z174" t="s">
        <v>69</v>
      </c>
      <c r="AA174" t="s">
        <v>20609</v>
      </c>
      <c r="AB174" t="s">
        <v>20610</v>
      </c>
      <c r="AC174" t="s">
        <v>2692</v>
      </c>
      <c r="AD174" t="s">
        <v>20611</v>
      </c>
      <c r="AE174" t="s">
        <v>69</v>
      </c>
      <c r="AF174" t="s">
        <v>20612</v>
      </c>
      <c r="AG174" t="s">
        <v>20613</v>
      </c>
      <c r="AH174" t="s">
        <v>20614</v>
      </c>
      <c r="AI174" t="s">
        <v>20615</v>
      </c>
      <c r="AJ174" t="s">
        <v>69</v>
      </c>
      <c r="AK174" t="s">
        <v>69</v>
      </c>
      <c r="AL174" t="s">
        <v>69</v>
      </c>
      <c r="AM174" t="s">
        <v>69</v>
      </c>
      <c r="AN174">
        <v>81</v>
      </c>
      <c r="AO174">
        <v>18</v>
      </c>
      <c r="AP174">
        <v>18</v>
      </c>
      <c r="AQ174">
        <v>1</v>
      </c>
      <c r="AR174">
        <v>16</v>
      </c>
      <c r="AS174" t="s">
        <v>8586</v>
      </c>
      <c r="AT174" t="s">
        <v>8587</v>
      </c>
      <c r="AU174" t="s">
        <v>8588</v>
      </c>
      <c r="AV174" t="s">
        <v>2693</v>
      </c>
      <c r="AW174" t="s">
        <v>2694</v>
      </c>
      <c r="AX174" t="s">
        <v>69</v>
      </c>
      <c r="AY174" t="s">
        <v>20616</v>
      </c>
      <c r="AZ174" t="s">
        <v>20617</v>
      </c>
      <c r="BA174" t="s">
        <v>69</v>
      </c>
      <c r="BB174">
        <v>2017</v>
      </c>
      <c r="BC174">
        <v>9</v>
      </c>
      <c r="BD174">
        <v>5</v>
      </c>
      <c r="BE174" t="s">
        <v>69</v>
      </c>
      <c r="BF174" t="s">
        <v>69</v>
      </c>
      <c r="BG174" t="s">
        <v>69</v>
      </c>
      <c r="BH174" t="s">
        <v>69</v>
      </c>
      <c r="BI174">
        <v>707</v>
      </c>
      <c r="BJ174">
        <v>727</v>
      </c>
      <c r="BK174" t="s">
        <v>69</v>
      </c>
      <c r="BL174" t="s">
        <v>2695</v>
      </c>
      <c r="BM174" t="str">
        <f>HYPERLINK("http://dx.doi.org/10.1108/IJCCSM-09-2016-0142","http://dx.doi.org/10.1108/IJCCSM-09-2016-0142")</f>
        <v>http://dx.doi.org/10.1108/IJCCSM-09-2016-0142</v>
      </c>
      <c r="BN174" t="s">
        <v>69</v>
      </c>
      <c r="BO174" t="s">
        <v>69</v>
      </c>
      <c r="BP174">
        <v>21</v>
      </c>
      <c r="BQ174" t="s">
        <v>8660</v>
      </c>
      <c r="BR174" t="s">
        <v>8661</v>
      </c>
      <c r="BS174" t="s">
        <v>8662</v>
      </c>
      <c r="BT174" t="s">
        <v>20618</v>
      </c>
      <c r="BU174" t="s">
        <v>2696</v>
      </c>
      <c r="BV174" t="s">
        <v>69</v>
      </c>
      <c r="BW174" t="s">
        <v>20619</v>
      </c>
      <c r="BX174" t="s">
        <v>69</v>
      </c>
      <c r="BY174" t="s">
        <v>69</v>
      </c>
      <c r="BZ174" t="s">
        <v>8526</v>
      </c>
      <c r="CA174" t="str">
        <f>HYPERLINK("https%3A%2F%2Fwww.webofscience.com%2Fwos%2Fwoscc%2Ffull-record%2FWOS:000408830700009","View Full Record in Web of Science")</f>
        <v>View Full Record in Web of Science</v>
      </c>
    </row>
    <row r="175" spans="1:79" ht="12.5" x14ac:dyDescent="0.25">
      <c r="B175" t="s">
        <v>8495</v>
      </c>
      <c r="D175" s="7" t="s">
        <v>32933</v>
      </c>
      <c r="E175" s="7"/>
      <c r="F175" s="7"/>
      <c r="G175" s="7"/>
      <c r="H175" t="s">
        <v>67</v>
      </c>
      <c r="I175" t="s">
        <v>1656</v>
      </c>
      <c r="J175" t="s">
        <v>69</v>
      </c>
      <c r="K175" t="s">
        <v>69</v>
      </c>
      <c r="L175" t="s">
        <v>69</v>
      </c>
      <c r="M175" t="s">
        <v>1657</v>
      </c>
      <c r="N175" t="s">
        <v>69</v>
      </c>
      <c r="O175" t="s">
        <v>69</v>
      </c>
      <c r="P175" t="s">
        <v>1658</v>
      </c>
      <c r="Q175" t="s">
        <v>1659</v>
      </c>
      <c r="R175" t="s">
        <v>69</v>
      </c>
      <c r="S175" t="s">
        <v>69</v>
      </c>
      <c r="T175" t="s">
        <v>8505</v>
      </c>
      <c r="U175" t="s">
        <v>8506</v>
      </c>
      <c r="V175" t="s">
        <v>69</v>
      </c>
      <c r="W175" t="s">
        <v>69</v>
      </c>
      <c r="X175" t="s">
        <v>69</v>
      </c>
      <c r="Y175" t="s">
        <v>69</v>
      </c>
      <c r="Z175" t="s">
        <v>69</v>
      </c>
      <c r="AA175" t="s">
        <v>30858</v>
      </c>
      <c r="AB175" t="s">
        <v>69</v>
      </c>
      <c r="AC175" t="s">
        <v>1660</v>
      </c>
      <c r="AD175" t="s">
        <v>30859</v>
      </c>
      <c r="AE175" t="s">
        <v>69</v>
      </c>
      <c r="AF175" t="s">
        <v>30860</v>
      </c>
      <c r="AG175" t="s">
        <v>69</v>
      </c>
      <c r="AH175" t="s">
        <v>1661</v>
      </c>
      <c r="AI175" t="s">
        <v>1662</v>
      </c>
      <c r="AJ175" t="s">
        <v>69</v>
      </c>
      <c r="AK175" t="s">
        <v>69</v>
      </c>
      <c r="AL175" t="s">
        <v>69</v>
      </c>
      <c r="AM175" t="s">
        <v>69</v>
      </c>
      <c r="AN175">
        <v>72</v>
      </c>
      <c r="AO175">
        <v>5</v>
      </c>
      <c r="AP175">
        <v>5</v>
      </c>
      <c r="AQ175">
        <v>0</v>
      </c>
      <c r="AR175">
        <v>5</v>
      </c>
      <c r="AS175" t="s">
        <v>27240</v>
      </c>
      <c r="AT175" t="s">
        <v>8587</v>
      </c>
      <c r="AU175" t="s">
        <v>8588</v>
      </c>
      <c r="AV175" t="s">
        <v>1663</v>
      </c>
      <c r="AW175" t="s">
        <v>1664</v>
      </c>
      <c r="AX175" t="s">
        <v>69</v>
      </c>
      <c r="AY175" t="s">
        <v>30861</v>
      </c>
      <c r="AZ175" t="s">
        <v>30862</v>
      </c>
      <c r="BA175" t="s">
        <v>69</v>
      </c>
      <c r="BB175">
        <v>2005</v>
      </c>
      <c r="BC175">
        <v>39</v>
      </c>
      <c r="BD175" t="s">
        <v>336</v>
      </c>
      <c r="BE175" t="s">
        <v>69</v>
      </c>
      <c r="BF175" t="s">
        <v>69</v>
      </c>
      <c r="BG175" t="s">
        <v>69</v>
      </c>
      <c r="BH175" t="s">
        <v>69</v>
      </c>
      <c r="BI175">
        <v>110</v>
      </c>
      <c r="BJ175">
        <v>128</v>
      </c>
      <c r="BK175" t="s">
        <v>69</v>
      </c>
      <c r="BL175" t="s">
        <v>1665</v>
      </c>
      <c r="BM175" t="str">
        <f>HYPERLINK("http://dx.doi.org/10.1108/03090560510572043","http://dx.doi.org/10.1108/03090560510572043")</f>
        <v>http://dx.doi.org/10.1108/03090560510572043</v>
      </c>
      <c r="BN175" t="s">
        <v>69</v>
      </c>
      <c r="BO175" t="s">
        <v>69</v>
      </c>
      <c r="BP175">
        <v>19</v>
      </c>
      <c r="BQ175" t="s">
        <v>8444</v>
      </c>
      <c r="BR175" t="s">
        <v>8661</v>
      </c>
      <c r="BS175" t="s">
        <v>8594</v>
      </c>
      <c r="BT175" t="s">
        <v>30863</v>
      </c>
      <c r="BU175" t="s">
        <v>1666</v>
      </c>
      <c r="BV175" t="s">
        <v>69</v>
      </c>
      <c r="BW175" t="s">
        <v>69</v>
      </c>
      <c r="BX175" t="s">
        <v>69</v>
      </c>
      <c r="BY175" t="s">
        <v>69</v>
      </c>
      <c r="BZ175" t="s">
        <v>8526</v>
      </c>
      <c r="CA175" t="str">
        <f>HYPERLINK("https%3A%2F%2Fwww.webofscience.com%2Fwos%2Fwoscc%2Ffull-record%2FWOS:000209058800007","View Full Record in Web of Science")</f>
        <v>View Full Record in Web of Science</v>
      </c>
    </row>
    <row r="176" spans="1:79" x14ac:dyDescent="0.3">
      <c r="A176" t="s">
        <v>8408</v>
      </c>
      <c r="B176" t="s">
        <v>8495</v>
      </c>
      <c r="D176" s="11" t="s">
        <v>33205</v>
      </c>
      <c r="E176" s="7"/>
      <c r="F176" s="10" t="s">
        <v>8490</v>
      </c>
      <c r="G176" s="7"/>
      <c r="H176" t="s">
        <v>67</v>
      </c>
      <c r="I176" t="s">
        <v>7959</v>
      </c>
      <c r="J176" t="s">
        <v>69</v>
      </c>
      <c r="K176" t="s">
        <v>69</v>
      </c>
      <c r="L176" t="s">
        <v>69</v>
      </c>
      <c r="M176" s="2" t="s">
        <v>7960</v>
      </c>
      <c r="N176" t="s">
        <v>69</v>
      </c>
      <c r="O176" t="s">
        <v>69</v>
      </c>
      <c r="P176" s="2" t="s">
        <v>7961</v>
      </c>
      <c r="Q176" t="s">
        <v>3421</v>
      </c>
      <c r="R176" t="s">
        <v>69</v>
      </c>
      <c r="S176" t="s">
        <v>69</v>
      </c>
      <c r="T176" t="s">
        <v>8505</v>
      </c>
      <c r="U176" t="s">
        <v>8506</v>
      </c>
      <c r="V176" t="s">
        <v>69</v>
      </c>
      <c r="W176" t="s">
        <v>69</v>
      </c>
      <c r="X176" t="s">
        <v>69</v>
      </c>
      <c r="Y176" t="s">
        <v>69</v>
      </c>
      <c r="Z176" t="s">
        <v>69</v>
      </c>
      <c r="AA176" t="s">
        <v>16868</v>
      </c>
      <c r="AB176" t="s">
        <v>16869</v>
      </c>
      <c r="AC176" t="s">
        <v>7962</v>
      </c>
      <c r="AD176" t="s">
        <v>16870</v>
      </c>
      <c r="AE176" t="s">
        <v>69</v>
      </c>
      <c r="AF176" t="s">
        <v>16871</v>
      </c>
      <c r="AG176" t="s">
        <v>16872</v>
      </c>
      <c r="AH176" t="s">
        <v>16873</v>
      </c>
      <c r="AI176" t="s">
        <v>16874</v>
      </c>
      <c r="AJ176" t="s">
        <v>16875</v>
      </c>
      <c r="AK176" t="s">
        <v>16876</v>
      </c>
      <c r="AL176" t="s">
        <v>16877</v>
      </c>
      <c r="AM176" t="s">
        <v>69</v>
      </c>
      <c r="AN176">
        <v>59</v>
      </c>
      <c r="AO176">
        <v>1</v>
      </c>
      <c r="AP176">
        <v>1</v>
      </c>
      <c r="AQ176">
        <v>3</v>
      </c>
      <c r="AR176">
        <v>12</v>
      </c>
      <c r="AS176" t="s">
        <v>8865</v>
      </c>
      <c r="AT176" t="s">
        <v>8612</v>
      </c>
      <c r="AU176" t="s">
        <v>8866</v>
      </c>
      <c r="AV176" t="s">
        <v>3424</v>
      </c>
      <c r="AW176" t="s">
        <v>4993</v>
      </c>
      <c r="AX176" t="s">
        <v>69</v>
      </c>
      <c r="AY176" t="s">
        <v>16878</v>
      </c>
      <c r="AZ176" t="s">
        <v>16879</v>
      </c>
      <c r="BA176" t="s">
        <v>7963</v>
      </c>
      <c r="BB176">
        <v>2019</v>
      </c>
      <c r="BC176">
        <v>62</v>
      </c>
      <c r="BD176">
        <v>10</v>
      </c>
      <c r="BE176" t="s">
        <v>69</v>
      </c>
      <c r="BF176" t="s">
        <v>69</v>
      </c>
      <c r="BG176" t="s">
        <v>69</v>
      </c>
      <c r="BH176" t="s">
        <v>69</v>
      </c>
      <c r="BI176">
        <v>1693</v>
      </c>
      <c r="BJ176">
        <v>1713</v>
      </c>
      <c r="BK176" t="s">
        <v>69</v>
      </c>
      <c r="BL176" t="s">
        <v>7964</v>
      </c>
      <c r="BM176" t="str">
        <f>HYPERLINK("http://dx.doi.org/10.1080/09640568.2018.1462774","http://dx.doi.org/10.1080/09640568.2018.1462774")</f>
        <v>http://dx.doi.org/10.1080/09640568.2018.1462774</v>
      </c>
      <c r="BN176" t="s">
        <v>69</v>
      </c>
      <c r="BO176" t="s">
        <v>69</v>
      </c>
      <c r="BP176">
        <v>21</v>
      </c>
      <c r="BQ176" t="s">
        <v>14686</v>
      </c>
      <c r="BR176" t="s">
        <v>8661</v>
      </c>
      <c r="BS176" t="s">
        <v>14687</v>
      </c>
      <c r="BT176" t="s">
        <v>16880</v>
      </c>
      <c r="BU176" t="s">
        <v>7965</v>
      </c>
      <c r="BV176" t="s">
        <v>69</v>
      </c>
      <c r="BW176" t="s">
        <v>69</v>
      </c>
      <c r="BX176" t="s">
        <v>69</v>
      </c>
      <c r="BY176" t="s">
        <v>69</v>
      </c>
      <c r="BZ176" t="s">
        <v>8526</v>
      </c>
      <c r="CA176" t="str">
        <f>HYPERLINK("https%3A%2F%2Fwww.webofscience.com%2Fwos%2Fwoscc%2Ffull-record%2FWOS:000487657700002","View Full Record in Web of Science")</f>
        <v>View Full Record in Web of Science</v>
      </c>
    </row>
    <row r="177" spans="2:79" ht="12.5" x14ac:dyDescent="0.25">
      <c r="B177" t="s">
        <v>8495</v>
      </c>
      <c r="D177" s="22" t="s">
        <v>32931</v>
      </c>
      <c r="E177" s="7"/>
      <c r="F177" s="7"/>
      <c r="G177" s="7"/>
      <c r="H177" t="s">
        <v>67</v>
      </c>
      <c r="I177" t="s">
        <v>8720</v>
      </c>
      <c r="J177" t="s">
        <v>69</v>
      </c>
      <c r="K177" t="s">
        <v>69</v>
      </c>
      <c r="L177" t="s">
        <v>69</v>
      </c>
      <c r="M177" t="s">
        <v>8721</v>
      </c>
      <c r="N177" t="s">
        <v>69</v>
      </c>
      <c r="O177" t="s">
        <v>69</v>
      </c>
      <c r="P177" t="s">
        <v>8722</v>
      </c>
      <c r="Q177" t="s">
        <v>8723</v>
      </c>
      <c r="R177" t="s">
        <v>69</v>
      </c>
      <c r="S177" t="s">
        <v>69</v>
      </c>
      <c r="T177" t="s">
        <v>8505</v>
      </c>
      <c r="U177" t="s">
        <v>8556</v>
      </c>
      <c r="V177" t="s">
        <v>69</v>
      </c>
      <c r="W177" t="s">
        <v>69</v>
      </c>
      <c r="X177" t="s">
        <v>69</v>
      </c>
      <c r="Y177" t="s">
        <v>69</v>
      </c>
      <c r="Z177" t="s">
        <v>69</v>
      </c>
      <c r="AA177" t="s">
        <v>8724</v>
      </c>
      <c r="AB177" t="s">
        <v>8725</v>
      </c>
      <c r="AC177" t="s">
        <v>8726</v>
      </c>
      <c r="AD177" t="s">
        <v>8727</v>
      </c>
      <c r="AE177" t="s">
        <v>69</v>
      </c>
      <c r="AF177" t="s">
        <v>8728</v>
      </c>
      <c r="AG177" t="s">
        <v>8729</v>
      </c>
      <c r="AH177" t="s">
        <v>69</v>
      </c>
      <c r="AI177" t="s">
        <v>8730</v>
      </c>
      <c r="AJ177" t="s">
        <v>8731</v>
      </c>
      <c r="AK177" t="s">
        <v>8732</v>
      </c>
      <c r="AL177" t="s">
        <v>8733</v>
      </c>
      <c r="AM177" t="s">
        <v>69</v>
      </c>
      <c r="AN177">
        <v>101</v>
      </c>
      <c r="AO177">
        <v>0</v>
      </c>
      <c r="AP177">
        <v>0</v>
      </c>
      <c r="AQ177">
        <v>7</v>
      </c>
      <c r="AR177">
        <v>7</v>
      </c>
      <c r="AS177" t="s">
        <v>8734</v>
      </c>
      <c r="AT177" t="s">
        <v>8735</v>
      </c>
      <c r="AU177" t="s">
        <v>8736</v>
      </c>
      <c r="AV177" t="s">
        <v>8737</v>
      </c>
      <c r="AW177" t="s">
        <v>8738</v>
      </c>
      <c r="AX177" t="s">
        <v>69</v>
      </c>
      <c r="AY177" t="s">
        <v>8739</v>
      </c>
      <c r="AZ177" t="s">
        <v>8740</v>
      </c>
      <c r="BA177" t="s">
        <v>69</v>
      </c>
      <c r="BB177" t="s">
        <v>69</v>
      </c>
      <c r="BC177" t="s">
        <v>69</v>
      </c>
      <c r="BD177" t="s">
        <v>69</v>
      </c>
      <c r="BE177" t="s">
        <v>69</v>
      </c>
      <c r="BF177" t="s">
        <v>69</v>
      </c>
      <c r="BG177" t="s">
        <v>69</v>
      </c>
      <c r="BH177" t="s">
        <v>69</v>
      </c>
      <c r="BI177" t="s">
        <v>69</v>
      </c>
      <c r="BJ177" t="s">
        <v>69</v>
      </c>
      <c r="BK177" t="s">
        <v>69</v>
      </c>
      <c r="BL177" t="s">
        <v>8741</v>
      </c>
      <c r="BM177" t="str">
        <f>HYPERLINK("http://dx.doi.org/10.1021/acs.est.1c08918","http://dx.doi.org/10.1021/acs.est.1c08918")</f>
        <v>http://dx.doi.org/10.1021/acs.est.1c08918</v>
      </c>
      <c r="BN177" t="s">
        <v>69</v>
      </c>
      <c r="BO177" t="s">
        <v>8742</v>
      </c>
      <c r="BP177">
        <v>12</v>
      </c>
      <c r="BQ177" t="s">
        <v>8743</v>
      </c>
      <c r="BR177" t="s">
        <v>8548</v>
      </c>
      <c r="BS177" t="s">
        <v>8744</v>
      </c>
      <c r="BT177" t="s">
        <v>8745</v>
      </c>
      <c r="BU177" t="s">
        <v>8747</v>
      </c>
      <c r="BV177">
        <v>35732277</v>
      </c>
      <c r="BW177" t="s">
        <v>8746</v>
      </c>
      <c r="BX177" t="s">
        <v>69</v>
      </c>
      <c r="BY177" t="s">
        <v>69</v>
      </c>
      <c r="BZ177" t="s">
        <v>8526</v>
      </c>
      <c r="CA177" t="str">
        <f>HYPERLINK("https%3A%2F%2Fwww.webofscience.com%2Fwos%2Fwoscc%2Ffull-record%2FWOS:000820601900001","View Full Record in Web of Science")</f>
        <v>View Full Record in Web of Science</v>
      </c>
    </row>
    <row r="178" spans="2:79" ht="12.5" x14ac:dyDescent="0.25">
      <c r="B178" t="s">
        <v>8495</v>
      </c>
      <c r="D178" s="22" t="s">
        <v>32931</v>
      </c>
      <c r="E178" s="7"/>
      <c r="F178" s="7"/>
      <c r="G178" s="7"/>
      <c r="H178" t="s">
        <v>67</v>
      </c>
      <c r="I178" t="s">
        <v>22144</v>
      </c>
      <c r="J178" t="s">
        <v>69</v>
      </c>
      <c r="K178" t="s">
        <v>69</v>
      </c>
      <c r="L178" t="s">
        <v>69</v>
      </c>
      <c r="M178" t="s">
        <v>22145</v>
      </c>
      <c r="N178" t="s">
        <v>69</v>
      </c>
      <c r="O178" t="s">
        <v>69</v>
      </c>
      <c r="P178" t="s">
        <v>22146</v>
      </c>
      <c r="Q178" t="s">
        <v>22147</v>
      </c>
      <c r="R178" t="s">
        <v>69</v>
      </c>
      <c r="S178" t="s">
        <v>69</v>
      </c>
      <c r="T178" t="s">
        <v>8505</v>
      </c>
      <c r="U178" t="s">
        <v>8506</v>
      </c>
      <c r="V178" t="s">
        <v>69</v>
      </c>
      <c r="W178" t="s">
        <v>69</v>
      </c>
      <c r="X178" t="s">
        <v>69</v>
      </c>
      <c r="Y178" t="s">
        <v>69</v>
      </c>
      <c r="Z178" t="s">
        <v>69</v>
      </c>
      <c r="AA178" t="s">
        <v>22148</v>
      </c>
      <c r="AB178" t="s">
        <v>22149</v>
      </c>
      <c r="AC178" t="s">
        <v>22150</v>
      </c>
      <c r="AD178" t="s">
        <v>22151</v>
      </c>
      <c r="AE178" t="s">
        <v>69</v>
      </c>
      <c r="AF178" t="s">
        <v>22152</v>
      </c>
      <c r="AG178" t="s">
        <v>22153</v>
      </c>
      <c r="AH178" t="s">
        <v>69</v>
      </c>
      <c r="AI178" t="s">
        <v>69</v>
      </c>
      <c r="AJ178" t="s">
        <v>69</v>
      </c>
      <c r="AK178" t="s">
        <v>69</v>
      </c>
      <c r="AL178" t="s">
        <v>69</v>
      </c>
      <c r="AM178" t="s">
        <v>69</v>
      </c>
      <c r="AN178">
        <v>19</v>
      </c>
      <c r="AO178">
        <v>27</v>
      </c>
      <c r="AP178">
        <v>27</v>
      </c>
      <c r="AQ178">
        <v>0</v>
      </c>
      <c r="AR178">
        <v>22</v>
      </c>
      <c r="AS178" t="s">
        <v>9047</v>
      </c>
      <c r="AT178" t="s">
        <v>9048</v>
      </c>
      <c r="AU178" t="s">
        <v>9049</v>
      </c>
      <c r="AV178" t="s">
        <v>22154</v>
      </c>
      <c r="AW178" t="s">
        <v>22155</v>
      </c>
      <c r="AX178" t="s">
        <v>69</v>
      </c>
      <c r="AY178" t="s">
        <v>22156</v>
      </c>
      <c r="AZ178" t="s">
        <v>22157</v>
      </c>
      <c r="BA178" t="s">
        <v>373</v>
      </c>
      <c r="BB178">
        <v>2016</v>
      </c>
      <c r="BC178">
        <v>48</v>
      </c>
      <c r="BD178">
        <v>1</v>
      </c>
      <c r="BE178" t="s">
        <v>69</v>
      </c>
      <c r="BF178" t="s">
        <v>69</v>
      </c>
      <c r="BG178" t="s">
        <v>69</v>
      </c>
      <c r="BH178" t="s">
        <v>69</v>
      </c>
      <c r="BI178">
        <v>189</v>
      </c>
      <c r="BJ178">
        <v>197</v>
      </c>
      <c r="BK178" t="s">
        <v>69</v>
      </c>
      <c r="BL178" t="s">
        <v>22158</v>
      </c>
      <c r="BM178" t="str">
        <f>HYPERLINK("http://dx.doi.org/10.1007/s11250-015-0939-8","http://dx.doi.org/10.1007/s11250-015-0939-8")</f>
        <v>http://dx.doi.org/10.1007/s11250-015-0939-8</v>
      </c>
      <c r="BN178" t="s">
        <v>69</v>
      </c>
      <c r="BO178" t="s">
        <v>69</v>
      </c>
      <c r="BP178">
        <v>9</v>
      </c>
      <c r="BQ178" t="s">
        <v>10221</v>
      </c>
      <c r="BR178" t="s">
        <v>8548</v>
      </c>
      <c r="BS178" t="s">
        <v>10222</v>
      </c>
      <c r="BT178" t="s">
        <v>22159</v>
      </c>
      <c r="BU178" t="s">
        <v>22160</v>
      </c>
      <c r="BV178">
        <v>26526955</v>
      </c>
      <c r="BW178" t="s">
        <v>69</v>
      </c>
      <c r="BX178" t="s">
        <v>69</v>
      </c>
      <c r="BY178" t="s">
        <v>69</v>
      </c>
      <c r="BZ178" t="s">
        <v>8526</v>
      </c>
      <c r="CA178" t="str">
        <f>HYPERLINK("https%3A%2F%2Fwww.webofscience.com%2Fwos%2Fwoscc%2Ffull-record%2FWOS:000369009100025","View Full Record in Web of Science")</f>
        <v>View Full Record in Web of Science</v>
      </c>
    </row>
    <row r="179" spans="2:79" x14ac:dyDescent="0.3">
      <c r="B179" t="s">
        <v>8495</v>
      </c>
      <c r="D179" s="9" t="s">
        <v>32950</v>
      </c>
      <c r="E179" s="9" t="s">
        <v>33115</v>
      </c>
      <c r="F179" s="9" t="s">
        <v>8491</v>
      </c>
      <c r="G179" s="9" t="s">
        <v>8490</v>
      </c>
      <c r="H179" t="s">
        <v>67</v>
      </c>
      <c r="I179" t="s">
        <v>25970</v>
      </c>
      <c r="J179" t="s">
        <v>69</v>
      </c>
      <c r="K179" t="s">
        <v>69</v>
      </c>
      <c r="L179" t="s">
        <v>69</v>
      </c>
      <c r="M179" t="s">
        <v>25971</v>
      </c>
      <c r="N179" t="s">
        <v>69</v>
      </c>
      <c r="O179" t="s">
        <v>69</v>
      </c>
      <c r="P179" t="s">
        <v>25972</v>
      </c>
      <c r="Q179" t="s">
        <v>12565</v>
      </c>
      <c r="R179" t="s">
        <v>69</v>
      </c>
      <c r="S179" t="s">
        <v>69</v>
      </c>
      <c r="T179" t="s">
        <v>8505</v>
      </c>
      <c r="U179" t="s">
        <v>8506</v>
      </c>
      <c r="V179" t="s">
        <v>69</v>
      </c>
      <c r="W179" t="s">
        <v>69</v>
      </c>
      <c r="X179" t="s">
        <v>69</v>
      </c>
      <c r="Y179" t="s">
        <v>69</v>
      </c>
      <c r="Z179" t="s">
        <v>69</v>
      </c>
      <c r="AA179" t="s">
        <v>25973</v>
      </c>
      <c r="AB179" t="s">
        <v>25974</v>
      </c>
      <c r="AC179" t="s">
        <v>25975</v>
      </c>
      <c r="AD179" t="s">
        <v>25976</v>
      </c>
      <c r="AE179" t="s">
        <v>69</v>
      </c>
      <c r="AF179" t="s">
        <v>25977</v>
      </c>
      <c r="AG179" t="s">
        <v>25978</v>
      </c>
      <c r="AH179" t="s">
        <v>12571</v>
      </c>
      <c r="AI179" t="s">
        <v>12572</v>
      </c>
      <c r="AJ179" t="s">
        <v>69</v>
      </c>
      <c r="AK179" t="s">
        <v>69</v>
      </c>
      <c r="AL179" t="s">
        <v>69</v>
      </c>
      <c r="AM179" t="s">
        <v>69</v>
      </c>
      <c r="AN179">
        <v>61</v>
      </c>
      <c r="AO179">
        <v>49</v>
      </c>
      <c r="AP179">
        <v>49</v>
      </c>
      <c r="AQ179">
        <v>2</v>
      </c>
      <c r="AR179">
        <v>27</v>
      </c>
      <c r="AS179" t="s">
        <v>8636</v>
      </c>
      <c r="AT179" t="s">
        <v>8637</v>
      </c>
      <c r="AU179" t="s">
        <v>8638</v>
      </c>
      <c r="AV179" t="s">
        <v>12576</v>
      </c>
      <c r="AW179" t="s">
        <v>12577</v>
      </c>
      <c r="AX179" t="s">
        <v>69</v>
      </c>
      <c r="AY179" t="s">
        <v>12578</v>
      </c>
      <c r="AZ179" t="s">
        <v>12579</v>
      </c>
      <c r="BA179" t="s">
        <v>155</v>
      </c>
      <c r="BB179">
        <v>2012</v>
      </c>
      <c r="BC179">
        <v>31</v>
      </c>
      <c r="BD179">
        <v>2</v>
      </c>
      <c r="BE179" t="s">
        <v>69</v>
      </c>
      <c r="BF179" t="s">
        <v>69</v>
      </c>
      <c r="BG179" t="s">
        <v>69</v>
      </c>
      <c r="BH179" t="s">
        <v>69</v>
      </c>
      <c r="BI179">
        <v>405</v>
      </c>
      <c r="BJ179">
        <v>418</v>
      </c>
      <c r="BK179" t="s">
        <v>69</v>
      </c>
      <c r="BL179" t="s">
        <v>25979</v>
      </c>
      <c r="BM179" t="str">
        <f>HYPERLINK("http://dx.doi.org/10.1016/j.ijhm.2011.06.016","http://dx.doi.org/10.1016/j.ijhm.2011.06.016")</f>
        <v>http://dx.doi.org/10.1016/j.ijhm.2011.06.016</v>
      </c>
      <c r="BN179" t="s">
        <v>69</v>
      </c>
      <c r="BO179" t="s">
        <v>69</v>
      </c>
      <c r="BP179">
        <v>14</v>
      </c>
      <c r="BQ179" t="s">
        <v>10278</v>
      </c>
      <c r="BR179" t="s">
        <v>8661</v>
      </c>
      <c r="BS179" t="s">
        <v>10279</v>
      </c>
      <c r="BT179" t="s">
        <v>25980</v>
      </c>
      <c r="BU179" t="s">
        <v>25981</v>
      </c>
      <c r="BV179" t="s">
        <v>69</v>
      </c>
      <c r="BW179" t="s">
        <v>69</v>
      </c>
      <c r="BX179" t="s">
        <v>69</v>
      </c>
      <c r="BY179" t="s">
        <v>69</v>
      </c>
      <c r="BZ179" t="s">
        <v>8526</v>
      </c>
      <c r="CA179" t="str">
        <f>HYPERLINK("https%3A%2F%2Fwww.webofscience.com%2Fwos%2Fwoscc%2Ffull-record%2FWOS:000300467900013","View Full Record in Web of Science")</f>
        <v>View Full Record in Web of Science</v>
      </c>
    </row>
    <row r="180" spans="2:79" ht="12.5" x14ac:dyDescent="0.25">
      <c r="B180" t="s">
        <v>8495</v>
      </c>
      <c r="D180" s="7" t="s">
        <v>32933</v>
      </c>
      <c r="E180" s="7"/>
      <c r="F180" s="7"/>
      <c r="G180" s="7"/>
      <c r="H180" t="s">
        <v>67</v>
      </c>
      <c r="I180" t="s">
        <v>5208</v>
      </c>
      <c r="J180" t="s">
        <v>69</v>
      </c>
      <c r="K180" t="s">
        <v>69</v>
      </c>
      <c r="L180" t="s">
        <v>69</v>
      </c>
      <c r="M180" t="s">
        <v>5209</v>
      </c>
      <c r="N180" t="s">
        <v>69</v>
      </c>
      <c r="O180" t="s">
        <v>69</v>
      </c>
      <c r="P180" t="s">
        <v>5210</v>
      </c>
      <c r="Q180" t="s">
        <v>294</v>
      </c>
      <c r="R180" t="s">
        <v>69</v>
      </c>
      <c r="S180" t="s">
        <v>69</v>
      </c>
      <c r="T180" t="s">
        <v>8505</v>
      </c>
      <c r="U180" t="s">
        <v>8506</v>
      </c>
      <c r="V180" t="s">
        <v>69</v>
      </c>
      <c r="W180" t="s">
        <v>69</v>
      </c>
      <c r="X180" t="s">
        <v>69</v>
      </c>
      <c r="Y180" t="s">
        <v>69</v>
      </c>
      <c r="Z180" t="s">
        <v>69</v>
      </c>
      <c r="AA180" t="s">
        <v>26208</v>
      </c>
      <c r="AB180" t="s">
        <v>26209</v>
      </c>
      <c r="AC180" t="s">
        <v>5211</v>
      </c>
      <c r="AD180" t="s">
        <v>26210</v>
      </c>
      <c r="AE180" t="s">
        <v>69</v>
      </c>
      <c r="AF180" t="s">
        <v>26211</v>
      </c>
      <c r="AG180" t="s">
        <v>26212</v>
      </c>
      <c r="AH180" t="s">
        <v>26213</v>
      </c>
      <c r="AI180" t="s">
        <v>5212</v>
      </c>
      <c r="AJ180" t="s">
        <v>26214</v>
      </c>
      <c r="AK180" t="s">
        <v>20592</v>
      </c>
      <c r="AL180" t="s">
        <v>26215</v>
      </c>
      <c r="AM180" t="s">
        <v>69</v>
      </c>
      <c r="AN180">
        <v>39</v>
      </c>
      <c r="AO180">
        <v>308</v>
      </c>
      <c r="AP180">
        <v>330</v>
      </c>
      <c r="AQ180">
        <v>22</v>
      </c>
      <c r="AR180">
        <v>342</v>
      </c>
      <c r="AS180" t="s">
        <v>8563</v>
      </c>
      <c r="AT180" t="s">
        <v>8564</v>
      </c>
      <c r="AU180" t="s">
        <v>8565</v>
      </c>
      <c r="AV180" t="s">
        <v>297</v>
      </c>
      <c r="AW180" t="s">
        <v>298</v>
      </c>
      <c r="AX180" t="s">
        <v>69</v>
      </c>
      <c r="AY180" t="s">
        <v>13428</v>
      </c>
      <c r="AZ180" t="s">
        <v>13429</v>
      </c>
      <c r="BA180" t="s">
        <v>191</v>
      </c>
      <c r="BB180">
        <v>2012</v>
      </c>
      <c r="BC180">
        <v>19</v>
      </c>
      <c r="BD180">
        <v>2</v>
      </c>
      <c r="BE180" t="s">
        <v>69</v>
      </c>
      <c r="BF180" t="s">
        <v>69</v>
      </c>
      <c r="BG180" t="s">
        <v>69</v>
      </c>
      <c r="BH180" t="s">
        <v>69</v>
      </c>
      <c r="BI180">
        <v>550</v>
      </c>
      <c r="BJ180">
        <v>558</v>
      </c>
      <c r="BK180" t="s">
        <v>69</v>
      </c>
      <c r="BL180" t="s">
        <v>5213</v>
      </c>
      <c r="BM180" t="str">
        <f>HYPERLINK("http://dx.doi.org/10.1007/s11356-011-0576-3","http://dx.doi.org/10.1007/s11356-011-0576-3")</f>
        <v>http://dx.doi.org/10.1007/s11356-011-0576-3</v>
      </c>
      <c r="BN180" t="s">
        <v>69</v>
      </c>
      <c r="BO180" t="s">
        <v>69</v>
      </c>
      <c r="BP180">
        <v>9</v>
      </c>
      <c r="BQ180" t="s">
        <v>8717</v>
      </c>
      <c r="BR180" t="s">
        <v>8548</v>
      </c>
      <c r="BS180" t="s">
        <v>8662</v>
      </c>
      <c r="BT180" t="s">
        <v>26216</v>
      </c>
      <c r="BU180" t="s">
        <v>5214</v>
      </c>
      <c r="BV180">
        <v>21850484</v>
      </c>
      <c r="BW180" t="s">
        <v>16029</v>
      </c>
      <c r="BX180" t="s">
        <v>69</v>
      </c>
      <c r="BY180" t="s">
        <v>69</v>
      </c>
      <c r="BZ180" t="s">
        <v>8526</v>
      </c>
      <c r="CA180" t="str">
        <f>HYPERLINK("https%3A%2F%2Fwww.webofscience.com%2Fwos%2Fwoscc%2Ffull-record%2FWOS:000299330800024","View Full Record in Web of Science")</f>
        <v>View Full Record in Web of Science</v>
      </c>
    </row>
    <row r="181" spans="2:79" ht="12.5" x14ac:dyDescent="0.25">
      <c r="B181" t="s">
        <v>8495</v>
      </c>
      <c r="D181" s="7" t="s">
        <v>32933</v>
      </c>
      <c r="E181" s="7"/>
      <c r="F181" s="7"/>
      <c r="G181" s="7"/>
      <c r="H181" t="s">
        <v>67</v>
      </c>
      <c r="I181" t="s">
        <v>3719</v>
      </c>
      <c r="J181" t="s">
        <v>69</v>
      </c>
      <c r="K181" t="s">
        <v>69</v>
      </c>
      <c r="L181" t="s">
        <v>69</v>
      </c>
      <c r="M181" t="s">
        <v>3720</v>
      </c>
      <c r="N181" t="s">
        <v>69</v>
      </c>
      <c r="O181" t="s">
        <v>69</v>
      </c>
      <c r="P181" t="s">
        <v>3721</v>
      </c>
      <c r="Q181" t="s">
        <v>3722</v>
      </c>
      <c r="R181" t="s">
        <v>69</v>
      </c>
      <c r="S181" t="s">
        <v>69</v>
      </c>
      <c r="T181" t="s">
        <v>8505</v>
      </c>
      <c r="U181" t="s">
        <v>8506</v>
      </c>
      <c r="V181" t="s">
        <v>69</v>
      </c>
      <c r="W181" t="s">
        <v>69</v>
      </c>
      <c r="X181" t="s">
        <v>69</v>
      </c>
      <c r="Y181" t="s">
        <v>69</v>
      </c>
      <c r="Z181" t="s">
        <v>69</v>
      </c>
      <c r="AA181" t="s">
        <v>29587</v>
      </c>
      <c r="AB181" t="s">
        <v>69</v>
      </c>
      <c r="AC181" t="s">
        <v>3723</v>
      </c>
      <c r="AD181" t="s">
        <v>29588</v>
      </c>
      <c r="AE181" t="s">
        <v>69</v>
      </c>
      <c r="AF181" t="s">
        <v>29589</v>
      </c>
      <c r="AG181" t="s">
        <v>69</v>
      </c>
      <c r="AH181" t="s">
        <v>69</v>
      </c>
      <c r="AI181" t="s">
        <v>69</v>
      </c>
      <c r="AJ181" t="s">
        <v>69</v>
      </c>
      <c r="AK181" t="s">
        <v>69</v>
      </c>
      <c r="AL181" t="s">
        <v>69</v>
      </c>
      <c r="AM181" t="s">
        <v>69</v>
      </c>
      <c r="AN181">
        <v>4</v>
      </c>
      <c r="AO181">
        <v>2</v>
      </c>
      <c r="AP181">
        <v>3</v>
      </c>
      <c r="AQ181">
        <v>1</v>
      </c>
      <c r="AR181">
        <v>13</v>
      </c>
      <c r="AS181" t="s">
        <v>29590</v>
      </c>
      <c r="AT181" t="s">
        <v>8763</v>
      </c>
      <c r="AU181" t="s">
        <v>29591</v>
      </c>
      <c r="AV181" t="s">
        <v>3724</v>
      </c>
      <c r="AW181" t="s">
        <v>69</v>
      </c>
      <c r="AX181" t="s">
        <v>69</v>
      </c>
      <c r="AY181" t="s">
        <v>25129</v>
      </c>
      <c r="AZ181" t="s">
        <v>25130</v>
      </c>
      <c r="BA181" t="s">
        <v>255</v>
      </c>
      <c r="BB181">
        <v>2007</v>
      </c>
      <c r="BC181">
        <v>160</v>
      </c>
      <c r="BD181">
        <v>3</v>
      </c>
      <c r="BE181" t="s">
        <v>69</v>
      </c>
      <c r="BF181" t="s">
        <v>69</v>
      </c>
      <c r="BG181" t="s">
        <v>69</v>
      </c>
      <c r="BH181" t="s">
        <v>69</v>
      </c>
      <c r="BI181">
        <v>127</v>
      </c>
      <c r="BJ181">
        <v>133</v>
      </c>
      <c r="BK181" t="s">
        <v>69</v>
      </c>
      <c r="BL181" t="s">
        <v>3725</v>
      </c>
      <c r="BM181" t="str">
        <f>HYPERLINK("http://dx.doi.org/10.1680/muen.2007.160.3.127","http://dx.doi.org/10.1680/muen.2007.160.3.127")</f>
        <v>http://dx.doi.org/10.1680/muen.2007.160.3.127</v>
      </c>
      <c r="BN181" t="s">
        <v>69</v>
      </c>
      <c r="BO181" t="s">
        <v>69</v>
      </c>
      <c r="BP181">
        <v>7</v>
      </c>
      <c r="BQ181" t="s">
        <v>13537</v>
      </c>
      <c r="BR181" t="s">
        <v>8548</v>
      </c>
      <c r="BS181" t="s">
        <v>8445</v>
      </c>
      <c r="BT181" t="s">
        <v>29592</v>
      </c>
      <c r="BU181" t="s">
        <v>3726</v>
      </c>
      <c r="BV181" t="s">
        <v>69</v>
      </c>
      <c r="BW181" t="s">
        <v>69</v>
      </c>
      <c r="BX181" t="s">
        <v>69</v>
      </c>
      <c r="BY181" t="s">
        <v>69</v>
      </c>
      <c r="BZ181" t="s">
        <v>8526</v>
      </c>
      <c r="CA181" t="str">
        <f>HYPERLINK("https%3A%2F%2Fwww.webofscience.com%2Fwos%2Fwoscc%2Ffull-record%2FWOS:000250301000003","View Full Record in Web of Science")</f>
        <v>View Full Record in Web of Science</v>
      </c>
    </row>
    <row r="182" spans="2:79" ht="12.5" x14ac:dyDescent="0.25">
      <c r="B182" t="s">
        <v>8495</v>
      </c>
      <c r="D182" s="7" t="s">
        <v>32933</v>
      </c>
      <c r="E182" s="7"/>
      <c r="F182" s="7"/>
      <c r="G182" s="7"/>
      <c r="H182" t="s">
        <v>67</v>
      </c>
      <c r="I182" t="s">
        <v>4628</v>
      </c>
      <c r="J182" t="s">
        <v>69</v>
      </c>
      <c r="K182" t="s">
        <v>69</v>
      </c>
      <c r="L182" t="s">
        <v>69</v>
      </c>
      <c r="M182" t="s">
        <v>4629</v>
      </c>
      <c r="N182" t="s">
        <v>69</v>
      </c>
      <c r="O182" t="s">
        <v>69</v>
      </c>
      <c r="P182" t="s">
        <v>4630</v>
      </c>
      <c r="Q182" t="s">
        <v>4631</v>
      </c>
      <c r="R182" t="s">
        <v>69</v>
      </c>
      <c r="S182" t="s">
        <v>69</v>
      </c>
      <c r="T182" t="s">
        <v>8505</v>
      </c>
      <c r="U182" t="s">
        <v>8506</v>
      </c>
      <c r="V182" t="s">
        <v>69</v>
      </c>
      <c r="W182" t="s">
        <v>69</v>
      </c>
      <c r="X182" t="s">
        <v>69</v>
      </c>
      <c r="Y182" t="s">
        <v>69</v>
      </c>
      <c r="Z182" t="s">
        <v>69</v>
      </c>
      <c r="AA182" t="s">
        <v>26665</v>
      </c>
      <c r="AB182" t="s">
        <v>69</v>
      </c>
      <c r="AC182" t="s">
        <v>4632</v>
      </c>
      <c r="AD182" t="s">
        <v>26666</v>
      </c>
      <c r="AE182" t="s">
        <v>69</v>
      </c>
      <c r="AF182" t="s">
        <v>26667</v>
      </c>
      <c r="AG182" t="s">
        <v>26668</v>
      </c>
      <c r="AH182" t="s">
        <v>4633</v>
      </c>
      <c r="AI182" t="s">
        <v>26669</v>
      </c>
      <c r="AJ182" t="s">
        <v>69</v>
      </c>
      <c r="AK182" t="s">
        <v>69</v>
      </c>
      <c r="AL182" t="s">
        <v>69</v>
      </c>
      <c r="AM182" t="s">
        <v>69</v>
      </c>
      <c r="AN182">
        <v>16</v>
      </c>
      <c r="AO182">
        <v>14</v>
      </c>
      <c r="AP182">
        <v>14</v>
      </c>
      <c r="AQ182">
        <v>2</v>
      </c>
      <c r="AR182">
        <v>15</v>
      </c>
      <c r="AS182" t="s">
        <v>21110</v>
      </c>
      <c r="AT182" t="s">
        <v>26670</v>
      </c>
      <c r="AU182" t="s">
        <v>26671</v>
      </c>
      <c r="AV182" t="s">
        <v>4634</v>
      </c>
      <c r="AW182" t="s">
        <v>69</v>
      </c>
      <c r="AX182" t="s">
        <v>69</v>
      </c>
      <c r="AY182" t="s">
        <v>26672</v>
      </c>
      <c r="AZ182" t="s">
        <v>26673</v>
      </c>
      <c r="BA182" t="s">
        <v>75</v>
      </c>
      <c r="BB182">
        <v>2011</v>
      </c>
      <c r="BC182">
        <v>60</v>
      </c>
      <c r="BD182" t="s">
        <v>69</v>
      </c>
      <c r="BE182" t="s">
        <v>69</v>
      </c>
      <c r="BF182">
        <v>1</v>
      </c>
      <c r="BG182" t="s">
        <v>69</v>
      </c>
      <c r="BH182" t="s">
        <v>69</v>
      </c>
      <c r="BI182">
        <v>35</v>
      </c>
      <c r="BJ182">
        <v>41</v>
      </c>
      <c r="BK182" t="s">
        <v>69</v>
      </c>
      <c r="BL182" t="s">
        <v>4635</v>
      </c>
      <c r="BM182" t="str">
        <f>HYPERLINK("http://dx.doi.org/10.1002/ird.665","http://dx.doi.org/10.1002/ird.665")</f>
        <v>http://dx.doi.org/10.1002/ird.665</v>
      </c>
      <c r="BN182" t="s">
        <v>69</v>
      </c>
      <c r="BO182" t="s">
        <v>69</v>
      </c>
      <c r="BP182">
        <v>7</v>
      </c>
      <c r="BQ182" t="s">
        <v>26674</v>
      </c>
      <c r="BR182" t="s">
        <v>8548</v>
      </c>
      <c r="BS182" t="s">
        <v>26675</v>
      </c>
      <c r="BT182" t="s">
        <v>26676</v>
      </c>
      <c r="BU182" t="s">
        <v>4636</v>
      </c>
      <c r="BV182" t="s">
        <v>69</v>
      </c>
      <c r="BW182" t="s">
        <v>69</v>
      </c>
      <c r="BX182" t="s">
        <v>69</v>
      </c>
      <c r="BY182" t="s">
        <v>69</v>
      </c>
      <c r="BZ182" t="s">
        <v>8526</v>
      </c>
      <c r="CA182" t="str">
        <f>HYPERLINK("https%3A%2F%2Fwww.webofscience.com%2Fwos%2Fwoscc%2Ffull-record%2FWOS:000298343100006","View Full Record in Web of Science")</f>
        <v>View Full Record in Web of Science</v>
      </c>
    </row>
    <row r="183" spans="2:79" ht="12.5" x14ac:dyDescent="0.25">
      <c r="B183" t="s">
        <v>8495</v>
      </c>
      <c r="D183" s="7" t="s">
        <v>32933</v>
      </c>
      <c r="E183" s="7"/>
      <c r="F183" s="7"/>
      <c r="G183" s="7"/>
      <c r="H183" t="s">
        <v>67</v>
      </c>
      <c r="I183" t="s">
        <v>5326</v>
      </c>
      <c r="J183" t="s">
        <v>69</v>
      </c>
      <c r="K183" t="s">
        <v>69</v>
      </c>
      <c r="L183" t="s">
        <v>69</v>
      </c>
      <c r="M183" t="s">
        <v>5327</v>
      </c>
      <c r="N183" t="s">
        <v>69</v>
      </c>
      <c r="O183" t="s">
        <v>69</v>
      </c>
      <c r="P183" t="s">
        <v>5328</v>
      </c>
      <c r="Q183" t="s">
        <v>5329</v>
      </c>
      <c r="R183" t="s">
        <v>69</v>
      </c>
      <c r="S183" t="s">
        <v>69</v>
      </c>
      <c r="T183" t="s">
        <v>8505</v>
      </c>
      <c r="U183" t="s">
        <v>8506</v>
      </c>
      <c r="V183" t="s">
        <v>69</v>
      </c>
      <c r="W183" t="s">
        <v>69</v>
      </c>
      <c r="X183" t="s">
        <v>69</v>
      </c>
      <c r="Y183" t="s">
        <v>69</v>
      </c>
      <c r="Z183" t="s">
        <v>69</v>
      </c>
      <c r="AA183" t="s">
        <v>14427</v>
      </c>
      <c r="AB183" t="s">
        <v>69</v>
      </c>
      <c r="AC183" t="s">
        <v>5330</v>
      </c>
      <c r="AD183" t="s">
        <v>14428</v>
      </c>
      <c r="AE183" t="s">
        <v>69</v>
      </c>
      <c r="AF183" t="s">
        <v>14429</v>
      </c>
      <c r="AG183" t="s">
        <v>14430</v>
      </c>
      <c r="AH183" t="s">
        <v>69</v>
      </c>
      <c r="AI183" t="s">
        <v>69</v>
      </c>
      <c r="AJ183" t="s">
        <v>69</v>
      </c>
      <c r="AK183" t="s">
        <v>69</v>
      </c>
      <c r="AL183" t="s">
        <v>69</v>
      </c>
      <c r="AM183" t="s">
        <v>69</v>
      </c>
      <c r="AN183">
        <v>20</v>
      </c>
      <c r="AO183">
        <v>4</v>
      </c>
      <c r="AP183">
        <v>4</v>
      </c>
      <c r="AQ183">
        <v>1</v>
      </c>
      <c r="AR183">
        <v>12</v>
      </c>
      <c r="AS183" t="s">
        <v>10538</v>
      </c>
      <c r="AT183" t="s">
        <v>10539</v>
      </c>
      <c r="AU183" t="s">
        <v>14431</v>
      </c>
      <c r="AV183" t="s">
        <v>5331</v>
      </c>
      <c r="AW183" t="s">
        <v>5332</v>
      </c>
      <c r="AX183" t="s">
        <v>69</v>
      </c>
      <c r="AY183" t="s">
        <v>14432</v>
      </c>
      <c r="AZ183" t="s">
        <v>14433</v>
      </c>
      <c r="BA183" t="s">
        <v>1053</v>
      </c>
      <c r="BB183">
        <v>2020</v>
      </c>
      <c r="BC183">
        <v>27</v>
      </c>
      <c r="BD183">
        <v>3</v>
      </c>
      <c r="BE183" t="s">
        <v>69</v>
      </c>
      <c r="BF183" t="s">
        <v>69</v>
      </c>
      <c r="BG183" t="s">
        <v>69</v>
      </c>
      <c r="BH183" t="s">
        <v>69</v>
      </c>
      <c r="BI183">
        <v>178</v>
      </c>
      <c r="BJ183">
        <v>185</v>
      </c>
      <c r="BK183" t="s">
        <v>69</v>
      </c>
      <c r="BL183" t="s">
        <v>5333</v>
      </c>
      <c r="BM183" t="str">
        <f>HYPERLINK("http://dx.doi.org/10.4103/jfcm.JFCM_92_20","http://dx.doi.org/10.4103/jfcm.JFCM_92_20")</f>
        <v>http://dx.doi.org/10.4103/jfcm.JFCM_92_20</v>
      </c>
      <c r="BN183" t="s">
        <v>69</v>
      </c>
      <c r="BO183" t="s">
        <v>69</v>
      </c>
      <c r="BP183">
        <v>8</v>
      </c>
      <c r="BQ183" t="s">
        <v>8810</v>
      </c>
      <c r="BR183" t="s">
        <v>8573</v>
      </c>
      <c r="BS183" t="s">
        <v>8810</v>
      </c>
      <c r="BT183" t="s">
        <v>14434</v>
      </c>
      <c r="BU183" t="s">
        <v>5334</v>
      </c>
      <c r="BV183">
        <v>33354148</v>
      </c>
      <c r="BW183" t="s">
        <v>10423</v>
      </c>
      <c r="BX183" t="s">
        <v>69</v>
      </c>
      <c r="BY183" t="s">
        <v>69</v>
      </c>
      <c r="BZ183" t="s">
        <v>8526</v>
      </c>
      <c r="CA183" t="str">
        <f>HYPERLINK("https%3A%2F%2Fwww.webofscience.com%2Fwos%2Fwoscc%2Ffull-record%2FWOS:000577092000004","View Full Record in Web of Science")</f>
        <v>View Full Record in Web of Science</v>
      </c>
    </row>
    <row r="184" spans="2:79" ht="12.5" x14ac:dyDescent="0.25">
      <c r="B184" t="s">
        <v>8495</v>
      </c>
      <c r="D184" s="7" t="s">
        <v>32933</v>
      </c>
      <c r="E184" s="7"/>
      <c r="F184" s="7"/>
      <c r="G184" s="7"/>
      <c r="H184" t="s">
        <v>67</v>
      </c>
      <c r="I184" t="s">
        <v>8180</v>
      </c>
      <c r="J184" t="s">
        <v>69</v>
      </c>
      <c r="K184" t="s">
        <v>69</v>
      </c>
      <c r="L184" t="s">
        <v>69</v>
      </c>
      <c r="M184" t="s">
        <v>8181</v>
      </c>
      <c r="N184" t="s">
        <v>69</v>
      </c>
      <c r="O184" t="s">
        <v>69</v>
      </c>
      <c r="P184" t="s">
        <v>8182</v>
      </c>
      <c r="Q184" t="s">
        <v>4079</v>
      </c>
      <c r="R184" t="s">
        <v>69</v>
      </c>
      <c r="S184" t="s">
        <v>69</v>
      </c>
      <c r="T184" t="s">
        <v>8505</v>
      </c>
      <c r="U184" t="s">
        <v>8506</v>
      </c>
      <c r="V184" t="s">
        <v>69</v>
      </c>
      <c r="W184" t="s">
        <v>69</v>
      </c>
      <c r="X184" t="s">
        <v>69</v>
      </c>
      <c r="Y184" t="s">
        <v>69</v>
      </c>
      <c r="Z184" t="s">
        <v>69</v>
      </c>
      <c r="AA184" t="s">
        <v>21279</v>
      </c>
      <c r="AB184" t="s">
        <v>21280</v>
      </c>
      <c r="AC184" t="s">
        <v>8183</v>
      </c>
      <c r="AD184" t="s">
        <v>21281</v>
      </c>
      <c r="AE184" t="s">
        <v>69</v>
      </c>
      <c r="AF184" t="s">
        <v>21282</v>
      </c>
      <c r="AG184" t="s">
        <v>21283</v>
      </c>
      <c r="AH184" t="s">
        <v>69</v>
      </c>
      <c r="AI184" t="s">
        <v>8184</v>
      </c>
      <c r="AJ184" t="s">
        <v>69</v>
      </c>
      <c r="AK184" t="s">
        <v>69</v>
      </c>
      <c r="AL184" t="s">
        <v>69</v>
      </c>
      <c r="AM184" t="s">
        <v>69</v>
      </c>
      <c r="AN184">
        <v>33</v>
      </c>
      <c r="AO184">
        <v>42</v>
      </c>
      <c r="AP184">
        <v>42</v>
      </c>
      <c r="AQ184">
        <v>3</v>
      </c>
      <c r="AR184">
        <v>32</v>
      </c>
      <c r="AS184" t="s">
        <v>18779</v>
      </c>
      <c r="AT184" t="s">
        <v>8993</v>
      </c>
      <c r="AU184" t="s">
        <v>18780</v>
      </c>
      <c r="AV184" t="s">
        <v>4084</v>
      </c>
      <c r="AW184" t="s">
        <v>8000</v>
      </c>
      <c r="AX184" t="s">
        <v>69</v>
      </c>
      <c r="AY184" t="s">
        <v>18781</v>
      </c>
      <c r="AZ184" t="s">
        <v>18782</v>
      </c>
      <c r="BA184" t="s">
        <v>8185</v>
      </c>
      <c r="BB184">
        <v>2016</v>
      </c>
      <c r="BC184">
        <v>128</v>
      </c>
      <c r="BD184" t="s">
        <v>69</v>
      </c>
      <c r="BE184" t="s">
        <v>69</v>
      </c>
      <c r="BF184" t="s">
        <v>69</v>
      </c>
      <c r="BG184" t="s">
        <v>69</v>
      </c>
      <c r="BH184" t="s">
        <v>69</v>
      </c>
      <c r="BI184">
        <v>431</v>
      </c>
      <c r="BJ184">
        <v>441</v>
      </c>
      <c r="BK184" t="s">
        <v>69</v>
      </c>
      <c r="BL184" t="s">
        <v>8186</v>
      </c>
      <c r="BM184" t="str">
        <f>HYPERLINK("http://dx.doi.org/10.1016/j.enbuild.2016.06.092","http://dx.doi.org/10.1016/j.enbuild.2016.06.092")</f>
        <v>http://dx.doi.org/10.1016/j.enbuild.2016.06.092</v>
      </c>
      <c r="BN184" t="s">
        <v>69</v>
      </c>
      <c r="BO184" t="s">
        <v>69</v>
      </c>
      <c r="BP184">
        <v>11</v>
      </c>
      <c r="BQ184" t="s">
        <v>18783</v>
      </c>
      <c r="BR184" t="s">
        <v>8548</v>
      </c>
      <c r="BS184" t="s">
        <v>18784</v>
      </c>
      <c r="BT184" t="s">
        <v>21284</v>
      </c>
      <c r="BU184" t="s">
        <v>8187</v>
      </c>
      <c r="BV184" t="s">
        <v>69</v>
      </c>
      <c r="BW184" t="s">
        <v>8622</v>
      </c>
      <c r="BX184" t="s">
        <v>69</v>
      </c>
      <c r="BY184" t="s">
        <v>69</v>
      </c>
      <c r="BZ184" t="s">
        <v>8526</v>
      </c>
      <c r="CA184" t="str">
        <f>HYPERLINK("https%3A%2F%2Fwww.webofscience.com%2Fwos%2Fwoscc%2Ffull-record%2FWOS:000382794200035","View Full Record in Web of Science")</f>
        <v>View Full Record in Web of Science</v>
      </c>
    </row>
    <row r="185" spans="2:79" ht="12.5" x14ac:dyDescent="0.25">
      <c r="B185" t="s">
        <v>8495</v>
      </c>
      <c r="D185" s="22" t="s">
        <v>32931</v>
      </c>
      <c r="E185" s="7"/>
      <c r="F185" s="7"/>
      <c r="G185" s="7"/>
      <c r="H185" t="s">
        <v>67</v>
      </c>
      <c r="I185" t="s">
        <v>10385</v>
      </c>
      <c r="J185" t="s">
        <v>69</v>
      </c>
      <c r="K185" t="s">
        <v>69</v>
      </c>
      <c r="L185" t="s">
        <v>69</v>
      </c>
      <c r="M185" t="s">
        <v>10386</v>
      </c>
      <c r="N185" t="s">
        <v>69</v>
      </c>
      <c r="O185" t="s">
        <v>69</v>
      </c>
      <c r="P185" t="s">
        <v>10387</v>
      </c>
      <c r="Q185" t="s">
        <v>10388</v>
      </c>
      <c r="R185" t="s">
        <v>69</v>
      </c>
      <c r="S185" t="s">
        <v>69</v>
      </c>
      <c r="T185" t="s">
        <v>8505</v>
      </c>
      <c r="U185" t="s">
        <v>8556</v>
      </c>
      <c r="V185" t="s">
        <v>69</v>
      </c>
      <c r="W185" t="s">
        <v>69</v>
      </c>
      <c r="X185" t="s">
        <v>69</v>
      </c>
      <c r="Y185" t="s">
        <v>69</v>
      </c>
      <c r="Z185" t="s">
        <v>69</v>
      </c>
      <c r="AA185" t="s">
        <v>69</v>
      </c>
      <c r="AB185" t="s">
        <v>10389</v>
      </c>
      <c r="AC185" t="s">
        <v>10390</v>
      </c>
      <c r="AD185" t="s">
        <v>10391</v>
      </c>
      <c r="AE185" t="s">
        <v>69</v>
      </c>
      <c r="AF185" t="s">
        <v>10392</v>
      </c>
      <c r="AG185" t="s">
        <v>10393</v>
      </c>
      <c r="AH185" t="s">
        <v>69</v>
      </c>
      <c r="AI185" t="s">
        <v>69</v>
      </c>
      <c r="AJ185" t="s">
        <v>69</v>
      </c>
      <c r="AK185" t="s">
        <v>69</v>
      </c>
      <c r="AL185" t="s">
        <v>69</v>
      </c>
      <c r="AM185" t="s">
        <v>69</v>
      </c>
      <c r="AN185">
        <v>94</v>
      </c>
      <c r="AO185">
        <v>1</v>
      </c>
      <c r="AP185">
        <v>1</v>
      </c>
      <c r="AQ185">
        <v>6</v>
      </c>
      <c r="AR185">
        <v>7</v>
      </c>
      <c r="AS185" t="s">
        <v>8611</v>
      </c>
      <c r="AT185" t="s">
        <v>8612</v>
      </c>
      <c r="AU185" t="s">
        <v>8613</v>
      </c>
      <c r="AV185" t="s">
        <v>10394</v>
      </c>
      <c r="AW185" t="s">
        <v>10395</v>
      </c>
      <c r="AX185" t="s">
        <v>69</v>
      </c>
      <c r="AY185" t="s">
        <v>10396</v>
      </c>
      <c r="AZ185" t="s">
        <v>10397</v>
      </c>
      <c r="BA185" t="s">
        <v>69</v>
      </c>
      <c r="BB185" t="s">
        <v>69</v>
      </c>
      <c r="BC185" t="s">
        <v>69</v>
      </c>
      <c r="BD185" t="s">
        <v>69</v>
      </c>
      <c r="BE185" t="s">
        <v>69</v>
      </c>
      <c r="BF185" t="s">
        <v>69</v>
      </c>
      <c r="BG185" t="s">
        <v>69</v>
      </c>
      <c r="BH185" t="s">
        <v>69</v>
      </c>
      <c r="BI185" t="s">
        <v>69</v>
      </c>
      <c r="BJ185" t="s">
        <v>69</v>
      </c>
      <c r="BK185" t="s">
        <v>69</v>
      </c>
      <c r="BL185" t="s">
        <v>10398</v>
      </c>
      <c r="BM185" t="str">
        <f>HYPERLINK("http://dx.doi.org/10.1080/10413200.2021.2015480","http://dx.doi.org/10.1080/10413200.2021.2015480")</f>
        <v>http://dx.doi.org/10.1080/10413200.2021.2015480</v>
      </c>
      <c r="BN185" t="s">
        <v>69</v>
      </c>
      <c r="BO185" t="s">
        <v>10359</v>
      </c>
      <c r="BP185">
        <v>18</v>
      </c>
      <c r="BQ185" t="s">
        <v>10399</v>
      </c>
      <c r="BR185" t="s">
        <v>8523</v>
      </c>
      <c r="BS185" t="s">
        <v>10400</v>
      </c>
      <c r="BT185" t="s">
        <v>10401</v>
      </c>
      <c r="BU185" t="s">
        <v>10402</v>
      </c>
      <c r="BV185" t="s">
        <v>69</v>
      </c>
      <c r="BW185" t="s">
        <v>69</v>
      </c>
      <c r="BX185" t="s">
        <v>69</v>
      </c>
      <c r="BY185" t="s">
        <v>69</v>
      </c>
      <c r="BZ185" t="s">
        <v>8526</v>
      </c>
      <c r="CA185" t="str">
        <f>HYPERLINK("https%3A%2F%2Fwww.webofscience.com%2Fwos%2Fwoscc%2Ffull-record%2FWOS:000733681100001","View Full Record in Web of Science")</f>
        <v>View Full Record in Web of Science</v>
      </c>
    </row>
    <row r="186" spans="2:79" ht="12.5" x14ac:dyDescent="0.25">
      <c r="B186" t="s">
        <v>8495</v>
      </c>
      <c r="D186" s="22" t="s">
        <v>32931</v>
      </c>
      <c r="E186" s="7"/>
      <c r="F186" s="7"/>
      <c r="G186" s="7"/>
      <c r="H186" t="s">
        <v>67</v>
      </c>
      <c r="I186" t="s">
        <v>24718</v>
      </c>
      <c r="J186" t="s">
        <v>69</v>
      </c>
      <c r="K186" t="s">
        <v>69</v>
      </c>
      <c r="L186" t="s">
        <v>69</v>
      </c>
      <c r="M186" t="s">
        <v>24719</v>
      </c>
      <c r="N186" t="s">
        <v>69</v>
      </c>
      <c r="O186" t="s">
        <v>69</v>
      </c>
      <c r="P186" t="s">
        <v>24720</v>
      </c>
      <c r="Q186" t="s">
        <v>24721</v>
      </c>
      <c r="R186" t="s">
        <v>69</v>
      </c>
      <c r="S186" t="s">
        <v>69</v>
      </c>
      <c r="T186" t="s">
        <v>8505</v>
      </c>
      <c r="U186" t="s">
        <v>8506</v>
      </c>
      <c r="V186" t="s">
        <v>69</v>
      </c>
      <c r="W186" t="s">
        <v>69</v>
      </c>
      <c r="X186" t="s">
        <v>69</v>
      </c>
      <c r="Y186" t="s">
        <v>69</v>
      </c>
      <c r="Z186" t="s">
        <v>69</v>
      </c>
      <c r="AA186" t="s">
        <v>24722</v>
      </c>
      <c r="AB186" t="s">
        <v>24723</v>
      </c>
      <c r="AC186" t="s">
        <v>24724</v>
      </c>
      <c r="AD186" t="s">
        <v>24725</v>
      </c>
      <c r="AE186" t="s">
        <v>69</v>
      </c>
      <c r="AF186" t="s">
        <v>24726</v>
      </c>
      <c r="AG186" t="s">
        <v>24727</v>
      </c>
      <c r="AH186" t="s">
        <v>69</v>
      </c>
      <c r="AI186" t="s">
        <v>24728</v>
      </c>
      <c r="AJ186" t="s">
        <v>69</v>
      </c>
      <c r="AK186" t="s">
        <v>69</v>
      </c>
      <c r="AL186" t="s">
        <v>69</v>
      </c>
      <c r="AM186" t="s">
        <v>69</v>
      </c>
      <c r="AN186">
        <v>67</v>
      </c>
      <c r="AO186">
        <v>6</v>
      </c>
      <c r="AP186">
        <v>6</v>
      </c>
      <c r="AQ186">
        <v>0</v>
      </c>
      <c r="AR186">
        <v>17</v>
      </c>
      <c r="AS186" t="s">
        <v>8865</v>
      </c>
      <c r="AT186" t="s">
        <v>8612</v>
      </c>
      <c r="AU186" t="s">
        <v>8866</v>
      </c>
      <c r="AV186" t="s">
        <v>24729</v>
      </c>
      <c r="AW186" t="s">
        <v>24730</v>
      </c>
      <c r="AX186" t="s">
        <v>69</v>
      </c>
      <c r="AY186" t="s">
        <v>24731</v>
      </c>
      <c r="AZ186" t="s">
        <v>24732</v>
      </c>
      <c r="BA186" t="s">
        <v>477</v>
      </c>
      <c r="BB186">
        <v>2013</v>
      </c>
      <c r="BC186">
        <v>33</v>
      </c>
      <c r="BD186">
        <v>3</v>
      </c>
      <c r="BE186" t="s">
        <v>69</v>
      </c>
      <c r="BF186" t="s">
        <v>69</v>
      </c>
      <c r="BG186" t="s">
        <v>69</v>
      </c>
      <c r="BH186" t="s">
        <v>69</v>
      </c>
      <c r="BI186">
        <v>350</v>
      </c>
      <c r="BJ186">
        <v>363</v>
      </c>
      <c r="BK186" t="s">
        <v>69</v>
      </c>
      <c r="BL186" t="s">
        <v>24733</v>
      </c>
      <c r="BM186" t="str">
        <f>HYPERLINK("http://dx.doi.org/10.1080/02188791.2013.787389","http://dx.doi.org/10.1080/02188791.2013.787389")</f>
        <v>http://dx.doi.org/10.1080/02188791.2013.787389</v>
      </c>
      <c r="BN186" t="s">
        <v>69</v>
      </c>
      <c r="BO186" t="s">
        <v>69</v>
      </c>
      <c r="BP186">
        <v>14</v>
      </c>
      <c r="BQ186" t="s">
        <v>9290</v>
      </c>
      <c r="BR186" t="s">
        <v>8661</v>
      </c>
      <c r="BS186" t="s">
        <v>9290</v>
      </c>
      <c r="BT186" t="s">
        <v>24734</v>
      </c>
      <c r="BU186" t="s">
        <v>24735</v>
      </c>
      <c r="BV186" t="s">
        <v>69</v>
      </c>
      <c r="BW186" t="s">
        <v>69</v>
      </c>
      <c r="BX186" t="s">
        <v>69</v>
      </c>
      <c r="BY186" t="s">
        <v>69</v>
      </c>
      <c r="BZ186" t="s">
        <v>8526</v>
      </c>
      <c r="CA186" t="str">
        <f>HYPERLINK("https%3A%2F%2Fwww.webofscience.com%2Fwos%2Fwoscc%2Ffull-record%2FWOS:000324569500009","View Full Record in Web of Science")</f>
        <v>View Full Record in Web of Science</v>
      </c>
    </row>
    <row r="187" spans="2:79" ht="12.5" x14ac:dyDescent="0.25">
      <c r="B187" t="s">
        <v>8495</v>
      </c>
      <c r="D187" s="7" t="s">
        <v>32933</v>
      </c>
      <c r="E187" s="7"/>
      <c r="F187" s="7"/>
      <c r="G187" s="7"/>
      <c r="H187" t="s">
        <v>67</v>
      </c>
      <c r="I187" t="s">
        <v>2961</v>
      </c>
      <c r="J187" t="s">
        <v>69</v>
      </c>
      <c r="K187" t="s">
        <v>69</v>
      </c>
      <c r="L187" t="s">
        <v>69</v>
      </c>
      <c r="M187" t="s">
        <v>2962</v>
      </c>
      <c r="N187" t="s">
        <v>69</v>
      </c>
      <c r="O187" t="s">
        <v>69</v>
      </c>
      <c r="P187" t="s">
        <v>2963</v>
      </c>
      <c r="Q187" t="s">
        <v>2964</v>
      </c>
      <c r="R187" t="s">
        <v>69</v>
      </c>
      <c r="S187" t="s">
        <v>69</v>
      </c>
      <c r="T187" t="s">
        <v>8505</v>
      </c>
      <c r="U187" t="s">
        <v>8506</v>
      </c>
      <c r="V187" t="s">
        <v>69</v>
      </c>
      <c r="W187" t="s">
        <v>69</v>
      </c>
      <c r="X187" t="s">
        <v>69</v>
      </c>
      <c r="Y187" t="s">
        <v>69</v>
      </c>
      <c r="Z187" t="s">
        <v>69</v>
      </c>
      <c r="AA187" t="s">
        <v>21970</v>
      </c>
      <c r="AB187" t="s">
        <v>69</v>
      </c>
      <c r="AC187" t="s">
        <v>2965</v>
      </c>
      <c r="AD187" t="s">
        <v>21971</v>
      </c>
      <c r="AE187" t="s">
        <v>69</v>
      </c>
      <c r="AF187" t="s">
        <v>21972</v>
      </c>
      <c r="AG187" t="s">
        <v>21973</v>
      </c>
      <c r="AH187" t="s">
        <v>69</v>
      </c>
      <c r="AI187" t="s">
        <v>69</v>
      </c>
      <c r="AJ187" t="s">
        <v>69</v>
      </c>
      <c r="AK187" t="s">
        <v>69</v>
      </c>
      <c r="AL187" t="s">
        <v>69</v>
      </c>
      <c r="AM187" t="s">
        <v>69</v>
      </c>
      <c r="AN187">
        <v>15</v>
      </c>
      <c r="AO187">
        <v>10</v>
      </c>
      <c r="AP187">
        <v>10</v>
      </c>
      <c r="AQ187">
        <v>3</v>
      </c>
      <c r="AR187">
        <v>12</v>
      </c>
      <c r="AS187" t="s">
        <v>8586</v>
      </c>
      <c r="AT187" t="s">
        <v>8587</v>
      </c>
      <c r="AU187" t="s">
        <v>8588</v>
      </c>
      <c r="AV187" t="s">
        <v>2966</v>
      </c>
      <c r="AW187" t="s">
        <v>2967</v>
      </c>
      <c r="AX187" t="s">
        <v>69</v>
      </c>
      <c r="AY187" t="s">
        <v>21974</v>
      </c>
      <c r="AZ187" t="s">
        <v>21975</v>
      </c>
      <c r="BA187" t="s">
        <v>69</v>
      </c>
      <c r="BB187">
        <v>2016</v>
      </c>
      <c r="BC187">
        <v>7</v>
      </c>
      <c r="BD187">
        <v>4</v>
      </c>
      <c r="BE187" t="s">
        <v>69</v>
      </c>
      <c r="BF187" t="s">
        <v>69</v>
      </c>
      <c r="BG187" t="s">
        <v>114</v>
      </c>
      <c r="BH187" t="s">
        <v>69</v>
      </c>
      <c r="BI187">
        <v>474</v>
      </c>
      <c r="BJ187">
        <v>493</v>
      </c>
      <c r="BK187" t="s">
        <v>69</v>
      </c>
      <c r="BL187" t="s">
        <v>2968</v>
      </c>
      <c r="BM187" t="str">
        <f>HYPERLINK("http://dx.doi.org/10.1108/SAMPJ-07-2015-0062","http://dx.doi.org/10.1108/SAMPJ-07-2015-0062")</f>
        <v>http://dx.doi.org/10.1108/SAMPJ-07-2015-0062</v>
      </c>
      <c r="BN187" t="s">
        <v>69</v>
      </c>
      <c r="BO187" t="s">
        <v>69</v>
      </c>
      <c r="BP187">
        <v>20</v>
      </c>
      <c r="BQ187" t="s">
        <v>21976</v>
      </c>
      <c r="BR187" t="s">
        <v>8661</v>
      </c>
      <c r="BS187" t="s">
        <v>21977</v>
      </c>
      <c r="BT187" t="s">
        <v>21978</v>
      </c>
      <c r="BU187" t="s">
        <v>2969</v>
      </c>
      <c r="BV187" t="s">
        <v>69</v>
      </c>
      <c r="BW187" t="s">
        <v>69</v>
      </c>
      <c r="BX187" t="s">
        <v>69</v>
      </c>
      <c r="BY187" t="s">
        <v>69</v>
      </c>
      <c r="BZ187" t="s">
        <v>8526</v>
      </c>
      <c r="CA187" t="str">
        <f>HYPERLINK("https%3A%2F%2Fwww.webofscience.com%2Fwos%2Fwoscc%2Ffull-record%2FWOS:000390771300001","View Full Record in Web of Science")</f>
        <v>View Full Record in Web of Science</v>
      </c>
    </row>
    <row r="188" spans="2:79" ht="12.5" x14ac:dyDescent="0.25">
      <c r="B188" t="s">
        <v>8495</v>
      </c>
      <c r="D188" s="7" t="s">
        <v>32933</v>
      </c>
      <c r="E188" s="7"/>
      <c r="F188" s="7"/>
      <c r="G188" s="7"/>
      <c r="H188" t="s">
        <v>67</v>
      </c>
      <c r="I188" t="s">
        <v>5267</v>
      </c>
      <c r="J188" t="s">
        <v>69</v>
      </c>
      <c r="K188" t="s">
        <v>69</v>
      </c>
      <c r="L188" t="s">
        <v>69</v>
      </c>
      <c r="M188" t="s">
        <v>5268</v>
      </c>
      <c r="N188" t="s">
        <v>69</v>
      </c>
      <c r="O188" t="s">
        <v>69</v>
      </c>
      <c r="P188" t="s">
        <v>5269</v>
      </c>
      <c r="Q188" t="s">
        <v>5270</v>
      </c>
      <c r="R188" t="s">
        <v>69</v>
      </c>
      <c r="S188" t="s">
        <v>69</v>
      </c>
      <c r="T188" t="s">
        <v>8505</v>
      </c>
      <c r="U188" t="s">
        <v>15797</v>
      </c>
      <c r="V188" t="s">
        <v>5271</v>
      </c>
      <c r="W188" t="s">
        <v>5272</v>
      </c>
      <c r="X188" t="s">
        <v>5273</v>
      </c>
      <c r="Y188" t="s">
        <v>69</v>
      </c>
      <c r="Z188" t="s">
        <v>69</v>
      </c>
      <c r="AA188" t="s">
        <v>69</v>
      </c>
      <c r="AB188" t="s">
        <v>28456</v>
      </c>
      <c r="AC188" t="s">
        <v>5274</v>
      </c>
      <c r="AD188" t="s">
        <v>28457</v>
      </c>
      <c r="AE188" t="s">
        <v>69</v>
      </c>
      <c r="AF188" t="s">
        <v>28458</v>
      </c>
      <c r="AG188" t="s">
        <v>28459</v>
      </c>
      <c r="AH188" t="s">
        <v>5275</v>
      </c>
      <c r="AI188" t="s">
        <v>69</v>
      </c>
      <c r="AJ188" t="s">
        <v>69</v>
      </c>
      <c r="AK188" t="s">
        <v>69</v>
      </c>
      <c r="AL188" t="s">
        <v>69</v>
      </c>
      <c r="AM188" t="s">
        <v>69</v>
      </c>
      <c r="AN188">
        <v>74</v>
      </c>
      <c r="AO188">
        <v>865</v>
      </c>
      <c r="AP188">
        <v>923</v>
      </c>
      <c r="AQ188">
        <v>13</v>
      </c>
      <c r="AR188">
        <v>297</v>
      </c>
      <c r="AS188" t="s">
        <v>8846</v>
      </c>
      <c r="AT188" t="s">
        <v>8847</v>
      </c>
      <c r="AU188" t="s">
        <v>8848</v>
      </c>
      <c r="AV188" t="s">
        <v>5276</v>
      </c>
      <c r="AW188" t="s">
        <v>5277</v>
      </c>
      <c r="AX188" t="s">
        <v>69</v>
      </c>
      <c r="AY188" t="s">
        <v>10812</v>
      </c>
      <c r="AZ188" t="s">
        <v>10813</v>
      </c>
      <c r="BA188" t="s">
        <v>1375</v>
      </c>
      <c r="BB188">
        <v>2009</v>
      </c>
      <c r="BC188">
        <v>101</v>
      </c>
      <c r="BD188">
        <v>3</v>
      </c>
      <c r="BE188" t="s">
        <v>69</v>
      </c>
      <c r="BF188" t="s">
        <v>69</v>
      </c>
      <c r="BG188" t="s">
        <v>69</v>
      </c>
      <c r="BH188" t="s">
        <v>69</v>
      </c>
      <c r="BI188">
        <v>426</v>
      </c>
      <c r="BJ188">
        <v>437</v>
      </c>
      <c r="BK188" t="s">
        <v>69</v>
      </c>
      <c r="BL188" t="s">
        <v>5278</v>
      </c>
      <c r="BM188" t="str">
        <f>HYPERLINK("http://dx.doi.org/10.2134/agronj2008.0139s","http://dx.doi.org/10.2134/agronj2008.0139s")</f>
        <v>http://dx.doi.org/10.2134/agronj2008.0139s</v>
      </c>
      <c r="BN188" t="s">
        <v>69</v>
      </c>
      <c r="BO188" t="s">
        <v>69</v>
      </c>
      <c r="BP188">
        <v>12</v>
      </c>
      <c r="BQ188" t="s">
        <v>10815</v>
      </c>
      <c r="BR188" t="s">
        <v>15808</v>
      </c>
      <c r="BS188" t="s">
        <v>8450</v>
      </c>
      <c r="BT188" t="s">
        <v>28460</v>
      </c>
      <c r="BU188" t="s">
        <v>5279</v>
      </c>
      <c r="BV188" t="s">
        <v>69</v>
      </c>
      <c r="BW188" t="s">
        <v>69</v>
      </c>
      <c r="BX188" t="s">
        <v>69</v>
      </c>
      <c r="BY188" t="s">
        <v>69</v>
      </c>
      <c r="BZ188" t="s">
        <v>8526</v>
      </c>
      <c r="CA188" t="str">
        <f>HYPERLINK("https%3A%2F%2Fwww.webofscience.com%2Fwos%2Fwoscc%2Ffull-record%2FWOS:000265899200002","View Full Record in Web of Science")</f>
        <v>View Full Record in Web of Science</v>
      </c>
    </row>
    <row r="189" spans="2:79" ht="12.5" x14ac:dyDescent="0.25">
      <c r="B189" t="s">
        <v>8495</v>
      </c>
      <c r="D189" s="22" t="s">
        <v>32931</v>
      </c>
      <c r="E189" s="7"/>
      <c r="F189" s="7"/>
      <c r="G189" s="7"/>
      <c r="H189" t="s">
        <v>67</v>
      </c>
      <c r="I189" t="s">
        <v>25438</v>
      </c>
      <c r="J189" t="s">
        <v>69</v>
      </c>
      <c r="K189" t="s">
        <v>69</v>
      </c>
      <c r="L189" t="s">
        <v>69</v>
      </c>
      <c r="M189" t="s">
        <v>25439</v>
      </c>
      <c r="N189" t="s">
        <v>69</v>
      </c>
      <c r="O189" t="s">
        <v>69</v>
      </c>
      <c r="P189" t="s">
        <v>25440</v>
      </c>
      <c r="Q189" t="s">
        <v>25441</v>
      </c>
      <c r="R189" t="s">
        <v>69</v>
      </c>
      <c r="S189" t="s">
        <v>69</v>
      </c>
      <c r="T189" t="s">
        <v>8505</v>
      </c>
      <c r="U189" t="s">
        <v>8506</v>
      </c>
      <c r="V189" t="s">
        <v>69</v>
      </c>
      <c r="W189" t="s">
        <v>69</v>
      </c>
      <c r="X189" t="s">
        <v>69</v>
      </c>
      <c r="Y189" t="s">
        <v>69</v>
      </c>
      <c r="Z189" t="s">
        <v>69</v>
      </c>
      <c r="AA189" t="s">
        <v>25442</v>
      </c>
      <c r="AB189" t="s">
        <v>69</v>
      </c>
      <c r="AC189" t="s">
        <v>25443</v>
      </c>
      <c r="AD189" t="s">
        <v>25444</v>
      </c>
      <c r="AE189" t="s">
        <v>69</v>
      </c>
      <c r="AF189" t="s">
        <v>25445</v>
      </c>
      <c r="AG189" t="s">
        <v>25446</v>
      </c>
      <c r="AH189" t="s">
        <v>25447</v>
      </c>
      <c r="AI189" t="s">
        <v>25448</v>
      </c>
      <c r="AJ189" t="s">
        <v>69</v>
      </c>
      <c r="AK189" t="s">
        <v>69</v>
      </c>
      <c r="AL189" t="s">
        <v>69</v>
      </c>
      <c r="AM189" t="s">
        <v>69</v>
      </c>
      <c r="AN189">
        <v>10</v>
      </c>
      <c r="AO189">
        <v>1</v>
      </c>
      <c r="AP189">
        <v>1</v>
      </c>
      <c r="AQ189">
        <v>0</v>
      </c>
      <c r="AR189">
        <v>7</v>
      </c>
      <c r="AS189" t="s">
        <v>8586</v>
      </c>
      <c r="AT189" t="s">
        <v>8587</v>
      </c>
      <c r="AU189" t="s">
        <v>8588</v>
      </c>
      <c r="AV189" t="s">
        <v>14965</v>
      </c>
      <c r="AW189" t="s">
        <v>14966</v>
      </c>
      <c r="AX189" t="s">
        <v>69</v>
      </c>
      <c r="AY189" t="s">
        <v>14967</v>
      </c>
      <c r="AZ189" t="s">
        <v>14968</v>
      </c>
      <c r="BA189" t="s">
        <v>69</v>
      </c>
      <c r="BB189">
        <v>2013</v>
      </c>
      <c r="BC189">
        <v>7</v>
      </c>
      <c r="BD189">
        <v>1</v>
      </c>
      <c r="BE189" t="s">
        <v>69</v>
      </c>
      <c r="BF189" t="s">
        <v>69</v>
      </c>
      <c r="BG189" t="s">
        <v>114</v>
      </c>
      <c r="BH189" t="s">
        <v>69</v>
      </c>
      <c r="BI189">
        <v>12</v>
      </c>
      <c r="BJ189">
        <v>22</v>
      </c>
      <c r="BK189" t="s">
        <v>69</v>
      </c>
      <c r="BL189" t="s">
        <v>25449</v>
      </c>
      <c r="BM189" t="str">
        <f>HYPERLINK("http://dx.doi.org/10.1108/17506201311315572","http://dx.doi.org/10.1108/17506201311315572")</f>
        <v>http://dx.doi.org/10.1108/17506201311315572</v>
      </c>
      <c r="BN189" t="s">
        <v>69</v>
      </c>
      <c r="BO189" t="s">
        <v>69</v>
      </c>
      <c r="BP189">
        <v>11</v>
      </c>
      <c r="BQ189" t="s">
        <v>8444</v>
      </c>
      <c r="BR189" t="s">
        <v>8573</v>
      </c>
      <c r="BS189" t="s">
        <v>8594</v>
      </c>
      <c r="BT189" t="s">
        <v>25450</v>
      </c>
      <c r="BU189" t="s">
        <v>25451</v>
      </c>
      <c r="BV189" t="s">
        <v>69</v>
      </c>
      <c r="BW189" t="s">
        <v>69</v>
      </c>
      <c r="BX189" t="s">
        <v>69</v>
      </c>
      <c r="BY189" t="s">
        <v>69</v>
      </c>
      <c r="BZ189" t="s">
        <v>8526</v>
      </c>
      <c r="CA189" t="str">
        <f>HYPERLINK("https%3A%2F%2Fwww.webofscience.com%2Fwos%2Fwoscc%2Ffull-record%2FWOS:000213990100003","View Full Record in Web of Science")</f>
        <v>View Full Record in Web of Science</v>
      </c>
    </row>
    <row r="190" spans="2:79" ht="12.5" x14ac:dyDescent="0.25">
      <c r="B190" t="s">
        <v>8495</v>
      </c>
      <c r="D190" s="7" t="s">
        <v>32933</v>
      </c>
      <c r="E190" s="7"/>
      <c r="F190" s="7"/>
      <c r="G190" s="7"/>
      <c r="H190" t="s">
        <v>67</v>
      </c>
      <c r="I190" t="s">
        <v>8321</v>
      </c>
      <c r="J190" t="s">
        <v>69</v>
      </c>
      <c r="K190" t="s">
        <v>69</v>
      </c>
      <c r="L190" t="s">
        <v>69</v>
      </c>
      <c r="M190" t="s">
        <v>8321</v>
      </c>
      <c r="N190" t="s">
        <v>69</v>
      </c>
      <c r="O190" t="s">
        <v>69</v>
      </c>
      <c r="P190" t="s">
        <v>8322</v>
      </c>
      <c r="Q190" t="s">
        <v>8323</v>
      </c>
      <c r="R190" t="s">
        <v>69</v>
      </c>
      <c r="S190" t="s">
        <v>69</v>
      </c>
      <c r="T190" t="s">
        <v>8505</v>
      </c>
      <c r="U190" t="s">
        <v>8506</v>
      </c>
      <c r="V190" t="s">
        <v>69</v>
      </c>
      <c r="W190" t="s">
        <v>69</v>
      </c>
      <c r="X190" t="s">
        <v>69</v>
      </c>
      <c r="Y190" t="s">
        <v>69</v>
      </c>
      <c r="Z190" t="s">
        <v>69</v>
      </c>
      <c r="AA190" t="s">
        <v>31359</v>
      </c>
      <c r="AB190" t="s">
        <v>69</v>
      </c>
      <c r="AC190" t="s">
        <v>8324</v>
      </c>
      <c r="AD190" t="s">
        <v>31360</v>
      </c>
      <c r="AE190" t="s">
        <v>69</v>
      </c>
      <c r="AF190" t="s">
        <v>31361</v>
      </c>
      <c r="AG190" t="s">
        <v>31362</v>
      </c>
      <c r="AH190" t="s">
        <v>69</v>
      </c>
      <c r="AI190" t="s">
        <v>69</v>
      </c>
      <c r="AJ190" t="s">
        <v>69</v>
      </c>
      <c r="AK190" t="s">
        <v>69</v>
      </c>
      <c r="AL190" t="s">
        <v>69</v>
      </c>
      <c r="AM190" t="s">
        <v>69</v>
      </c>
      <c r="AN190">
        <v>46</v>
      </c>
      <c r="AO190">
        <v>4</v>
      </c>
      <c r="AP190">
        <v>4</v>
      </c>
      <c r="AQ190">
        <v>1</v>
      </c>
      <c r="AR190">
        <v>9</v>
      </c>
      <c r="AS190" t="s">
        <v>8865</v>
      </c>
      <c r="AT190" t="s">
        <v>8612</v>
      </c>
      <c r="AU190" t="s">
        <v>8866</v>
      </c>
      <c r="AV190" t="s">
        <v>8325</v>
      </c>
      <c r="AW190" t="s">
        <v>8326</v>
      </c>
      <c r="AX190" t="s">
        <v>69</v>
      </c>
      <c r="AY190" t="s">
        <v>31363</v>
      </c>
      <c r="AZ190" t="s">
        <v>31364</v>
      </c>
      <c r="BA190" t="s">
        <v>274</v>
      </c>
      <c r="BB190">
        <v>2002</v>
      </c>
      <c r="BC190">
        <v>17</v>
      </c>
      <c r="BD190">
        <v>6</v>
      </c>
      <c r="BE190" t="s">
        <v>69</v>
      </c>
      <c r="BF190" t="s">
        <v>69</v>
      </c>
      <c r="BG190" t="s">
        <v>69</v>
      </c>
      <c r="BH190" t="s">
        <v>69</v>
      </c>
      <c r="BI190">
        <v>895</v>
      </c>
      <c r="BJ190">
        <v>918</v>
      </c>
      <c r="BK190" t="s">
        <v>69</v>
      </c>
      <c r="BL190" t="s">
        <v>8327</v>
      </c>
      <c r="BM190" t="str">
        <f>HYPERLINK("http://dx.doi.org/10.1080/02673030215998","http://dx.doi.org/10.1080/02673030215998")</f>
        <v>http://dx.doi.org/10.1080/02673030215998</v>
      </c>
      <c r="BN190" t="s">
        <v>69</v>
      </c>
      <c r="BO190" t="s">
        <v>69</v>
      </c>
      <c r="BP190">
        <v>24</v>
      </c>
      <c r="BQ190" t="s">
        <v>15726</v>
      </c>
      <c r="BR190" t="s">
        <v>8661</v>
      </c>
      <c r="BS190" t="s">
        <v>15727</v>
      </c>
      <c r="BT190" t="s">
        <v>31365</v>
      </c>
      <c r="BU190" t="s">
        <v>8328</v>
      </c>
      <c r="BV190" t="s">
        <v>69</v>
      </c>
      <c r="BW190" t="s">
        <v>69</v>
      </c>
      <c r="BX190" t="s">
        <v>69</v>
      </c>
      <c r="BY190" t="s">
        <v>69</v>
      </c>
      <c r="BZ190" t="s">
        <v>8526</v>
      </c>
      <c r="CA190" t="str">
        <f>HYPERLINK("https%3A%2F%2Fwww.webofscience.com%2Fwos%2Fwoscc%2Ffull-record%2FWOS:000181160700005","View Full Record in Web of Science")</f>
        <v>View Full Record in Web of Science</v>
      </c>
    </row>
    <row r="191" spans="2:79" x14ac:dyDescent="0.3">
      <c r="B191" t="s">
        <v>8495</v>
      </c>
      <c r="D191" s="9" t="s">
        <v>32948</v>
      </c>
      <c r="E191" s="9" t="s">
        <v>33114</v>
      </c>
      <c r="F191" s="9" t="s">
        <v>8491</v>
      </c>
      <c r="G191" s="9" t="s">
        <v>8490</v>
      </c>
      <c r="H191" t="s">
        <v>67</v>
      </c>
      <c r="I191" t="s">
        <v>20542</v>
      </c>
      <c r="J191" t="s">
        <v>69</v>
      </c>
      <c r="K191" t="s">
        <v>69</v>
      </c>
      <c r="L191" t="s">
        <v>69</v>
      </c>
      <c r="M191" t="s">
        <v>20543</v>
      </c>
      <c r="N191" t="s">
        <v>69</v>
      </c>
      <c r="O191" t="s">
        <v>69</v>
      </c>
      <c r="P191" t="s">
        <v>20544</v>
      </c>
      <c r="Q191" t="s">
        <v>20545</v>
      </c>
      <c r="R191" t="s">
        <v>69</v>
      </c>
      <c r="S191" t="s">
        <v>69</v>
      </c>
      <c r="T191" t="s">
        <v>8505</v>
      </c>
      <c r="U191" t="s">
        <v>8506</v>
      </c>
      <c r="V191" t="s">
        <v>69</v>
      </c>
      <c r="W191" t="s">
        <v>69</v>
      </c>
      <c r="X191" t="s">
        <v>69</v>
      </c>
      <c r="Y191" t="s">
        <v>69</v>
      </c>
      <c r="Z191" t="s">
        <v>69</v>
      </c>
      <c r="AA191" t="s">
        <v>20546</v>
      </c>
      <c r="AB191" t="s">
        <v>20547</v>
      </c>
      <c r="AC191" t="s">
        <v>20548</v>
      </c>
      <c r="AD191" t="s">
        <v>20549</v>
      </c>
      <c r="AE191" t="s">
        <v>69</v>
      </c>
      <c r="AF191" t="s">
        <v>20550</v>
      </c>
      <c r="AG191" t="s">
        <v>20551</v>
      </c>
      <c r="AH191" t="s">
        <v>20552</v>
      </c>
      <c r="AI191" t="s">
        <v>20553</v>
      </c>
      <c r="AJ191" t="s">
        <v>20554</v>
      </c>
      <c r="AK191" t="s">
        <v>20555</v>
      </c>
      <c r="AL191" t="s">
        <v>20556</v>
      </c>
      <c r="AM191" t="s">
        <v>69</v>
      </c>
      <c r="AN191">
        <v>73</v>
      </c>
      <c r="AO191">
        <v>20</v>
      </c>
      <c r="AP191">
        <v>20</v>
      </c>
      <c r="AQ191">
        <v>2</v>
      </c>
      <c r="AR191">
        <v>9</v>
      </c>
      <c r="AS191" t="s">
        <v>9554</v>
      </c>
      <c r="AT191" t="s">
        <v>9555</v>
      </c>
      <c r="AU191" t="s">
        <v>9556</v>
      </c>
      <c r="AV191" t="s">
        <v>2020</v>
      </c>
      <c r="AW191" t="s">
        <v>2021</v>
      </c>
      <c r="AX191" t="s">
        <v>69</v>
      </c>
      <c r="AY191" t="s">
        <v>15699</v>
      </c>
      <c r="AZ191" t="s">
        <v>15700</v>
      </c>
      <c r="BA191" t="s">
        <v>191</v>
      </c>
      <c r="BB191">
        <v>2017</v>
      </c>
      <c r="BC191">
        <v>49</v>
      </c>
      <c r="BD191">
        <v>2</v>
      </c>
      <c r="BE191" t="s">
        <v>69</v>
      </c>
      <c r="BF191" t="s">
        <v>69</v>
      </c>
      <c r="BG191" t="s">
        <v>69</v>
      </c>
      <c r="BH191" t="s">
        <v>69</v>
      </c>
      <c r="BI191">
        <v>314</v>
      </c>
      <c r="BJ191">
        <v>331</v>
      </c>
      <c r="BK191" t="s">
        <v>69</v>
      </c>
      <c r="BL191" t="s">
        <v>20557</v>
      </c>
      <c r="BM191" t="str">
        <f>HYPERLINK("http://dx.doi.org/10.1177/0308518X16668170","http://dx.doi.org/10.1177/0308518X16668170")</f>
        <v>http://dx.doi.org/10.1177/0308518X16668170</v>
      </c>
      <c r="BN191" t="s">
        <v>69</v>
      </c>
      <c r="BO191" t="s">
        <v>69</v>
      </c>
      <c r="BP191">
        <v>18</v>
      </c>
      <c r="BQ191" t="s">
        <v>15669</v>
      </c>
      <c r="BR191" t="s">
        <v>8661</v>
      </c>
      <c r="BS191" t="s">
        <v>15670</v>
      </c>
      <c r="BT191" t="s">
        <v>20558</v>
      </c>
      <c r="BU191" t="s">
        <v>20559</v>
      </c>
      <c r="BV191" t="s">
        <v>69</v>
      </c>
      <c r="BW191" t="s">
        <v>69</v>
      </c>
      <c r="BX191" t="s">
        <v>69</v>
      </c>
      <c r="BY191" t="s">
        <v>69</v>
      </c>
      <c r="BZ191" t="s">
        <v>8526</v>
      </c>
      <c r="CA191" t="str">
        <f>HYPERLINK("https%3A%2F%2Fwww.webofscience.com%2Fwos%2Fwoscc%2Ffull-record%2FWOS:000396922700006","View Full Record in Web of Science")</f>
        <v>View Full Record in Web of Science</v>
      </c>
    </row>
    <row r="192" spans="2:79" ht="12.5" x14ac:dyDescent="0.25">
      <c r="B192" t="s">
        <v>8495</v>
      </c>
      <c r="D192" s="7" t="s">
        <v>32933</v>
      </c>
      <c r="E192" s="7"/>
      <c r="F192" s="7"/>
      <c r="G192" s="7"/>
      <c r="H192" t="s">
        <v>67</v>
      </c>
      <c r="I192" t="s">
        <v>4766</v>
      </c>
      <c r="J192" t="s">
        <v>69</v>
      </c>
      <c r="K192" t="s">
        <v>69</v>
      </c>
      <c r="L192" t="s">
        <v>69</v>
      </c>
      <c r="M192" t="s">
        <v>4767</v>
      </c>
      <c r="N192" t="s">
        <v>69</v>
      </c>
      <c r="O192" t="s">
        <v>69</v>
      </c>
      <c r="P192" t="s">
        <v>4768</v>
      </c>
      <c r="Q192" t="s">
        <v>4166</v>
      </c>
      <c r="R192" t="s">
        <v>69</v>
      </c>
      <c r="S192" t="s">
        <v>69</v>
      </c>
      <c r="T192" t="s">
        <v>8505</v>
      </c>
      <c r="U192" t="s">
        <v>8506</v>
      </c>
      <c r="V192" t="s">
        <v>69</v>
      </c>
      <c r="W192" t="s">
        <v>69</v>
      </c>
      <c r="X192" t="s">
        <v>69</v>
      </c>
      <c r="Y192" t="s">
        <v>69</v>
      </c>
      <c r="Z192" t="s">
        <v>69</v>
      </c>
      <c r="AA192" t="s">
        <v>23658</v>
      </c>
      <c r="AB192" t="s">
        <v>23659</v>
      </c>
      <c r="AC192" t="s">
        <v>4769</v>
      </c>
      <c r="AD192" t="s">
        <v>23660</v>
      </c>
      <c r="AE192" t="s">
        <v>69</v>
      </c>
      <c r="AF192" t="s">
        <v>23661</v>
      </c>
      <c r="AG192" t="s">
        <v>23662</v>
      </c>
      <c r="AH192" t="s">
        <v>4770</v>
      </c>
      <c r="AI192" t="s">
        <v>4771</v>
      </c>
      <c r="AJ192" t="s">
        <v>23663</v>
      </c>
      <c r="AK192" t="s">
        <v>23438</v>
      </c>
      <c r="AL192" t="s">
        <v>69</v>
      </c>
      <c r="AM192" t="s">
        <v>69</v>
      </c>
      <c r="AN192">
        <v>61</v>
      </c>
      <c r="AO192">
        <v>21</v>
      </c>
      <c r="AP192">
        <v>24</v>
      </c>
      <c r="AQ192">
        <v>0</v>
      </c>
      <c r="AR192">
        <v>39</v>
      </c>
      <c r="AS192" t="s">
        <v>8636</v>
      </c>
      <c r="AT192" t="s">
        <v>8637</v>
      </c>
      <c r="AU192" t="s">
        <v>8638</v>
      </c>
      <c r="AV192" t="s">
        <v>4168</v>
      </c>
      <c r="AW192" t="s">
        <v>4169</v>
      </c>
      <c r="AX192" t="s">
        <v>69</v>
      </c>
      <c r="AY192" t="s">
        <v>23664</v>
      </c>
      <c r="AZ192" t="s">
        <v>23665</v>
      </c>
      <c r="BA192" t="s">
        <v>201</v>
      </c>
      <c r="BB192">
        <v>2014</v>
      </c>
      <c r="BC192">
        <v>52</v>
      </c>
      <c r="BD192" t="s">
        <v>69</v>
      </c>
      <c r="BE192" t="s">
        <v>69</v>
      </c>
      <c r="BF192" t="s">
        <v>69</v>
      </c>
      <c r="BG192" t="s">
        <v>69</v>
      </c>
      <c r="BH192" t="s">
        <v>69</v>
      </c>
      <c r="BI192">
        <v>14</v>
      </c>
      <c r="BJ192">
        <v>24</v>
      </c>
      <c r="BK192" t="s">
        <v>69</v>
      </c>
      <c r="BL192" t="s">
        <v>4772</v>
      </c>
      <c r="BM192" t="str">
        <f>HYPERLINK("http://dx.doi.org/10.1016/j.apgeog.2014.04.009","http://dx.doi.org/10.1016/j.apgeog.2014.04.009")</f>
        <v>http://dx.doi.org/10.1016/j.apgeog.2014.04.009</v>
      </c>
      <c r="BN192" t="s">
        <v>69</v>
      </c>
      <c r="BO192" t="s">
        <v>69</v>
      </c>
      <c r="BP192">
        <v>11</v>
      </c>
      <c r="BQ192" t="s">
        <v>8446</v>
      </c>
      <c r="BR192" t="s">
        <v>8661</v>
      </c>
      <c r="BS192" t="s">
        <v>8446</v>
      </c>
      <c r="BT192" t="s">
        <v>23666</v>
      </c>
      <c r="BU192" t="s">
        <v>4773</v>
      </c>
      <c r="BV192" t="s">
        <v>69</v>
      </c>
      <c r="BW192" t="s">
        <v>9292</v>
      </c>
      <c r="BX192" t="s">
        <v>69</v>
      </c>
      <c r="BY192" t="s">
        <v>69</v>
      </c>
      <c r="BZ192" t="s">
        <v>8526</v>
      </c>
      <c r="CA192" t="str">
        <f>HYPERLINK("https%3A%2F%2Fwww.webofscience.com%2Fwos%2Fwoscc%2Ffull-record%2FWOS:000340224900002","View Full Record in Web of Science")</f>
        <v>View Full Record in Web of Science</v>
      </c>
    </row>
    <row r="193" spans="1:79" ht="12.5" x14ac:dyDescent="0.25">
      <c r="B193" t="s">
        <v>8495</v>
      </c>
      <c r="D193" s="22" t="s">
        <v>32931</v>
      </c>
      <c r="E193" s="7"/>
      <c r="F193" s="7"/>
      <c r="G193" s="7"/>
      <c r="H193" t="s">
        <v>67</v>
      </c>
      <c r="I193" t="s">
        <v>11262</v>
      </c>
      <c r="J193" t="s">
        <v>69</v>
      </c>
      <c r="K193" t="s">
        <v>69</v>
      </c>
      <c r="L193" t="s">
        <v>69</v>
      </c>
      <c r="M193" t="s">
        <v>11263</v>
      </c>
      <c r="N193" t="s">
        <v>69</v>
      </c>
      <c r="O193" t="s">
        <v>69</v>
      </c>
      <c r="P193" t="s">
        <v>11264</v>
      </c>
      <c r="Q193" t="s">
        <v>11265</v>
      </c>
      <c r="R193" t="s">
        <v>69</v>
      </c>
      <c r="S193" t="s">
        <v>69</v>
      </c>
      <c r="T193" t="s">
        <v>8505</v>
      </c>
      <c r="U193" t="s">
        <v>8506</v>
      </c>
      <c r="V193" t="s">
        <v>69</v>
      </c>
      <c r="W193" t="s">
        <v>69</v>
      </c>
      <c r="X193" t="s">
        <v>69</v>
      </c>
      <c r="Y193" t="s">
        <v>69</v>
      </c>
      <c r="Z193" t="s">
        <v>69</v>
      </c>
      <c r="AA193" t="s">
        <v>11266</v>
      </c>
      <c r="AB193" t="s">
        <v>11267</v>
      </c>
      <c r="AC193" t="s">
        <v>11268</v>
      </c>
      <c r="AD193" t="s">
        <v>11269</v>
      </c>
      <c r="AE193" t="s">
        <v>69</v>
      </c>
      <c r="AF193" t="s">
        <v>11270</v>
      </c>
      <c r="AG193" t="s">
        <v>11271</v>
      </c>
      <c r="AH193" t="s">
        <v>69</v>
      </c>
      <c r="AI193" t="s">
        <v>11272</v>
      </c>
      <c r="AJ193" t="s">
        <v>11273</v>
      </c>
      <c r="AK193" t="s">
        <v>11274</v>
      </c>
      <c r="AL193" t="s">
        <v>11275</v>
      </c>
      <c r="AM193" t="s">
        <v>69</v>
      </c>
      <c r="AN193">
        <v>46</v>
      </c>
      <c r="AO193">
        <v>2</v>
      </c>
      <c r="AP193">
        <v>2</v>
      </c>
      <c r="AQ193">
        <v>5</v>
      </c>
      <c r="AR193">
        <v>9</v>
      </c>
      <c r="AS193" t="s">
        <v>11276</v>
      </c>
      <c r="AT193" t="s">
        <v>11277</v>
      </c>
      <c r="AU193" t="s">
        <v>11278</v>
      </c>
      <c r="AV193" t="s">
        <v>11279</v>
      </c>
      <c r="AW193" t="s">
        <v>69</v>
      </c>
      <c r="AX193" t="s">
        <v>69</v>
      </c>
      <c r="AY193" t="s">
        <v>11280</v>
      </c>
      <c r="AZ193" t="s">
        <v>11281</v>
      </c>
      <c r="BA193" t="s">
        <v>381</v>
      </c>
      <c r="BB193">
        <v>2021</v>
      </c>
      <c r="BC193">
        <v>16</v>
      </c>
      <c r="BD193">
        <v>10</v>
      </c>
      <c r="BE193" t="s">
        <v>69</v>
      </c>
      <c r="BF193" t="s">
        <v>69</v>
      </c>
      <c r="BG193" t="s">
        <v>69</v>
      </c>
      <c r="BH193" t="s">
        <v>69</v>
      </c>
      <c r="BI193" t="s">
        <v>69</v>
      </c>
      <c r="BJ193" t="s">
        <v>69</v>
      </c>
      <c r="BK193">
        <v>104019</v>
      </c>
      <c r="BL193" t="s">
        <v>11282</v>
      </c>
      <c r="BM193" t="str">
        <f>HYPERLINK("http://dx.doi.org/10.1088/1748-9326/ac24d0","http://dx.doi.org/10.1088/1748-9326/ac24d0")</f>
        <v>http://dx.doi.org/10.1088/1748-9326/ac24d0</v>
      </c>
      <c r="BN193" t="s">
        <v>69</v>
      </c>
      <c r="BO193" t="s">
        <v>69</v>
      </c>
      <c r="BP193">
        <v>14</v>
      </c>
      <c r="BQ193" t="s">
        <v>11283</v>
      </c>
      <c r="BR193" t="s">
        <v>8523</v>
      </c>
      <c r="BS193" t="s">
        <v>11284</v>
      </c>
      <c r="BT193" t="s">
        <v>11285</v>
      </c>
      <c r="BU193" t="s">
        <v>11286</v>
      </c>
      <c r="BV193" t="s">
        <v>69</v>
      </c>
      <c r="BW193" t="s">
        <v>8812</v>
      </c>
      <c r="BX193" t="s">
        <v>69</v>
      </c>
      <c r="BY193" t="s">
        <v>69</v>
      </c>
      <c r="BZ193" t="s">
        <v>8526</v>
      </c>
      <c r="CA193" t="str">
        <f>HYPERLINK("https%3A%2F%2Fwww.webofscience.com%2Fwos%2Fwoscc%2Ffull-record%2FWOS:000701260500001","View Full Record in Web of Science")</f>
        <v>View Full Record in Web of Science</v>
      </c>
    </row>
    <row r="194" spans="1:79" ht="12.5" x14ac:dyDescent="0.25">
      <c r="B194" t="s">
        <v>8495</v>
      </c>
      <c r="D194" s="22" t="s">
        <v>32931</v>
      </c>
      <c r="E194" s="7"/>
      <c r="F194" s="7"/>
      <c r="G194" s="7"/>
      <c r="H194" t="s">
        <v>67</v>
      </c>
      <c r="I194" t="s">
        <v>11475</v>
      </c>
      <c r="J194" t="s">
        <v>69</v>
      </c>
      <c r="K194" t="s">
        <v>69</v>
      </c>
      <c r="L194" t="s">
        <v>69</v>
      </c>
      <c r="M194" t="s">
        <v>11476</v>
      </c>
      <c r="N194" t="s">
        <v>69</v>
      </c>
      <c r="O194" t="s">
        <v>69</v>
      </c>
      <c r="P194" t="s">
        <v>11477</v>
      </c>
      <c r="Q194" t="s">
        <v>10050</v>
      </c>
      <c r="R194" t="s">
        <v>69</v>
      </c>
      <c r="S194" t="s">
        <v>69</v>
      </c>
      <c r="T194" t="s">
        <v>8505</v>
      </c>
      <c r="U194" t="s">
        <v>8506</v>
      </c>
      <c r="V194" t="s">
        <v>69</v>
      </c>
      <c r="W194" t="s">
        <v>69</v>
      </c>
      <c r="X194" t="s">
        <v>69</v>
      </c>
      <c r="Y194" t="s">
        <v>69</v>
      </c>
      <c r="Z194" t="s">
        <v>69</v>
      </c>
      <c r="AA194" t="s">
        <v>11478</v>
      </c>
      <c r="AB194" t="s">
        <v>11479</v>
      </c>
      <c r="AC194" t="s">
        <v>11480</v>
      </c>
      <c r="AD194" t="s">
        <v>11481</v>
      </c>
      <c r="AE194" t="s">
        <v>69</v>
      </c>
      <c r="AF194" t="s">
        <v>11482</v>
      </c>
      <c r="AG194" t="s">
        <v>11483</v>
      </c>
      <c r="AH194" t="s">
        <v>69</v>
      </c>
      <c r="AI194" t="s">
        <v>11484</v>
      </c>
      <c r="AJ194" t="s">
        <v>69</v>
      </c>
      <c r="AK194" t="s">
        <v>69</v>
      </c>
      <c r="AL194" t="s">
        <v>69</v>
      </c>
      <c r="AM194" t="s">
        <v>69</v>
      </c>
      <c r="AN194">
        <v>65</v>
      </c>
      <c r="AO194">
        <v>2</v>
      </c>
      <c r="AP194">
        <v>2</v>
      </c>
      <c r="AQ194">
        <v>1</v>
      </c>
      <c r="AR194">
        <v>1</v>
      </c>
      <c r="AS194" t="s">
        <v>8586</v>
      </c>
      <c r="AT194" t="s">
        <v>8587</v>
      </c>
      <c r="AU194" t="s">
        <v>8588</v>
      </c>
      <c r="AV194" t="s">
        <v>10059</v>
      </c>
      <c r="AW194" t="s">
        <v>10060</v>
      </c>
      <c r="AX194" t="s">
        <v>69</v>
      </c>
      <c r="AY194" t="s">
        <v>10061</v>
      </c>
      <c r="AZ194" t="s">
        <v>10062</v>
      </c>
      <c r="BA194" t="s">
        <v>5150</v>
      </c>
      <c r="BB194">
        <v>2022</v>
      </c>
      <c r="BC194">
        <v>27</v>
      </c>
      <c r="BD194">
        <v>2</v>
      </c>
      <c r="BE194" t="s">
        <v>69</v>
      </c>
      <c r="BF194" t="s">
        <v>69</v>
      </c>
      <c r="BG194" t="s">
        <v>69</v>
      </c>
      <c r="BH194" t="s">
        <v>69</v>
      </c>
      <c r="BI194">
        <v>259</v>
      </c>
      <c r="BJ194">
        <v>278</v>
      </c>
      <c r="BK194" t="s">
        <v>69</v>
      </c>
      <c r="BL194" t="s">
        <v>11485</v>
      </c>
      <c r="BM194" t="str">
        <f>HYPERLINK("http://dx.doi.org/10.1108/JFMPC-01-2021-0002","http://dx.doi.org/10.1108/JFMPC-01-2021-0002")</f>
        <v>http://dx.doi.org/10.1108/JFMPC-01-2021-0002</v>
      </c>
      <c r="BN194" t="s">
        <v>69</v>
      </c>
      <c r="BO194" t="s">
        <v>11486</v>
      </c>
      <c r="BP194">
        <v>20</v>
      </c>
      <c r="BQ194" t="s">
        <v>9749</v>
      </c>
      <c r="BR194" t="s">
        <v>8573</v>
      </c>
      <c r="BS194" t="s">
        <v>8594</v>
      </c>
      <c r="BT194" t="s">
        <v>11487</v>
      </c>
      <c r="BU194" t="s">
        <v>11488</v>
      </c>
      <c r="BV194" t="s">
        <v>69</v>
      </c>
      <c r="BW194" t="s">
        <v>69</v>
      </c>
      <c r="BX194" t="s">
        <v>69</v>
      </c>
      <c r="BY194" t="s">
        <v>69</v>
      </c>
      <c r="BZ194" t="s">
        <v>8526</v>
      </c>
      <c r="CA194" t="str">
        <f>HYPERLINK("https%3A%2F%2Fwww.webofscience.com%2Fwos%2Fwoscc%2Ffull-record%2FWOS:000691727300001","View Full Record in Web of Science")</f>
        <v>View Full Record in Web of Science</v>
      </c>
    </row>
    <row r="195" spans="1:79" ht="12.5" x14ac:dyDescent="0.25">
      <c r="B195" t="s">
        <v>8495</v>
      </c>
      <c r="D195" s="7" t="s">
        <v>32933</v>
      </c>
      <c r="E195" s="7"/>
      <c r="F195" s="7"/>
      <c r="G195" s="7"/>
      <c r="H195" t="s">
        <v>67</v>
      </c>
      <c r="I195" t="s">
        <v>5521</v>
      </c>
      <c r="J195" t="s">
        <v>69</v>
      </c>
      <c r="K195" t="s">
        <v>69</v>
      </c>
      <c r="L195" t="s">
        <v>69</v>
      </c>
      <c r="M195" t="s">
        <v>5522</v>
      </c>
      <c r="N195" t="s">
        <v>69</v>
      </c>
      <c r="O195" t="s">
        <v>69</v>
      </c>
      <c r="P195" t="s">
        <v>5523</v>
      </c>
      <c r="Q195" t="s">
        <v>5524</v>
      </c>
      <c r="R195" t="s">
        <v>69</v>
      </c>
      <c r="S195" t="s">
        <v>69</v>
      </c>
      <c r="T195" t="s">
        <v>8505</v>
      </c>
      <c r="U195" t="s">
        <v>18574</v>
      </c>
      <c r="V195" t="s">
        <v>69</v>
      </c>
      <c r="W195" t="s">
        <v>69</v>
      </c>
      <c r="X195" t="s">
        <v>69</v>
      </c>
      <c r="Y195" t="s">
        <v>69</v>
      </c>
      <c r="Z195" t="s">
        <v>69</v>
      </c>
      <c r="AA195" t="s">
        <v>69</v>
      </c>
      <c r="AB195" t="s">
        <v>69</v>
      </c>
      <c r="AC195" t="s">
        <v>5525</v>
      </c>
      <c r="AD195" t="s">
        <v>18575</v>
      </c>
      <c r="AE195" t="s">
        <v>69</v>
      </c>
      <c r="AF195" t="s">
        <v>18576</v>
      </c>
      <c r="AG195" t="s">
        <v>18577</v>
      </c>
      <c r="AH195" t="s">
        <v>69</v>
      </c>
      <c r="AI195" t="s">
        <v>69</v>
      </c>
      <c r="AJ195" t="s">
        <v>69</v>
      </c>
      <c r="AK195" t="s">
        <v>69</v>
      </c>
      <c r="AL195" t="s">
        <v>69</v>
      </c>
      <c r="AM195" t="s">
        <v>69</v>
      </c>
      <c r="AN195">
        <v>1</v>
      </c>
      <c r="AO195">
        <v>0</v>
      </c>
      <c r="AP195">
        <v>0</v>
      </c>
      <c r="AQ195">
        <v>0</v>
      </c>
      <c r="AR195">
        <v>4</v>
      </c>
      <c r="AS195" t="s">
        <v>8826</v>
      </c>
      <c r="AT195" t="s">
        <v>8827</v>
      </c>
      <c r="AU195" t="s">
        <v>8828</v>
      </c>
      <c r="AV195" t="s">
        <v>5526</v>
      </c>
      <c r="AW195" t="s">
        <v>5527</v>
      </c>
      <c r="AX195" t="s">
        <v>69</v>
      </c>
      <c r="AY195" t="s">
        <v>18578</v>
      </c>
      <c r="AZ195" t="s">
        <v>18579</v>
      </c>
      <c r="BA195" t="s">
        <v>84</v>
      </c>
      <c r="BB195">
        <v>2018</v>
      </c>
      <c r="BC195">
        <v>29</v>
      </c>
      <c r="BD195">
        <v>2</v>
      </c>
      <c r="BE195" t="s">
        <v>69</v>
      </c>
      <c r="BF195" t="s">
        <v>69</v>
      </c>
      <c r="BG195" t="s">
        <v>69</v>
      </c>
      <c r="BH195" t="s">
        <v>69</v>
      </c>
      <c r="BI195">
        <v>184</v>
      </c>
      <c r="BJ195">
        <v>190</v>
      </c>
      <c r="BK195" t="s">
        <v>69</v>
      </c>
      <c r="BL195" t="s">
        <v>5528</v>
      </c>
      <c r="BM195" t="str">
        <f>HYPERLINK("http://dx.doi.org/10.1071/HR18011","http://dx.doi.org/10.1071/HR18011")</f>
        <v>http://dx.doi.org/10.1071/HR18011</v>
      </c>
      <c r="BN195" t="s">
        <v>69</v>
      </c>
      <c r="BO195" t="s">
        <v>69</v>
      </c>
      <c r="BP195">
        <v>7</v>
      </c>
      <c r="BQ195" t="s">
        <v>16099</v>
      </c>
      <c r="BR195" t="s">
        <v>16100</v>
      </c>
      <c r="BS195" t="s">
        <v>16101</v>
      </c>
      <c r="BT195" t="s">
        <v>18580</v>
      </c>
      <c r="BU195" t="s">
        <v>5529</v>
      </c>
      <c r="BV195" t="s">
        <v>69</v>
      </c>
      <c r="BW195" t="s">
        <v>69</v>
      </c>
      <c r="BX195" t="s">
        <v>69</v>
      </c>
      <c r="BY195" t="s">
        <v>69</v>
      </c>
      <c r="BZ195" t="s">
        <v>8526</v>
      </c>
      <c r="CA195" t="str">
        <f>HYPERLINK("https%3A%2F%2Fwww.webofscience.com%2Fwos%2Fwoscc%2Ffull-record%2FWOS:000440402100013","View Full Record in Web of Science")</f>
        <v>View Full Record in Web of Science</v>
      </c>
    </row>
    <row r="196" spans="1:79" x14ac:dyDescent="0.3">
      <c r="A196" t="s">
        <v>8408</v>
      </c>
      <c r="B196" t="s">
        <v>8495</v>
      </c>
      <c r="D196" s="10" t="s">
        <v>33175</v>
      </c>
      <c r="F196" s="10" t="s">
        <v>8490</v>
      </c>
      <c r="H196" t="s">
        <v>67</v>
      </c>
      <c r="I196" t="s">
        <v>357</v>
      </c>
      <c r="J196" t="s">
        <v>69</v>
      </c>
      <c r="K196" t="s">
        <v>69</v>
      </c>
      <c r="L196" t="s">
        <v>69</v>
      </c>
      <c r="M196" t="s">
        <v>358</v>
      </c>
      <c r="N196" t="s">
        <v>69</v>
      </c>
      <c r="O196" t="s">
        <v>69</v>
      </c>
      <c r="P196" s="2" t="s">
        <v>359</v>
      </c>
      <c r="Q196" t="s">
        <v>360</v>
      </c>
      <c r="R196" t="s">
        <v>69</v>
      </c>
      <c r="S196" t="s">
        <v>69</v>
      </c>
      <c r="T196" t="s">
        <v>8505</v>
      </c>
      <c r="U196" t="s">
        <v>8506</v>
      </c>
      <c r="V196" t="s">
        <v>69</v>
      </c>
      <c r="W196" t="s">
        <v>69</v>
      </c>
      <c r="X196" t="s">
        <v>69</v>
      </c>
      <c r="Y196" t="s">
        <v>69</v>
      </c>
      <c r="Z196" t="s">
        <v>69</v>
      </c>
      <c r="AA196" t="s">
        <v>17030</v>
      </c>
      <c r="AB196" t="s">
        <v>17031</v>
      </c>
      <c r="AC196" t="s">
        <v>361</v>
      </c>
      <c r="AD196" t="s">
        <v>17032</v>
      </c>
      <c r="AE196" t="s">
        <v>69</v>
      </c>
      <c r="AF196" t="s">
        <v>17033</v>
      </c>
      <c r="AG196" t="s">
        <v>17034</v>
      </c>
      <c r="AH196" t="s">
        <v>69</v>
      </c>
      <c r="AI196" t="s">
        <v>362</v>
      </c>
      <c r="AJ196" t="s">
        <v>17035</v>
      </c>
      <c r="AK196" t="s">
        <v>17036</v>
      </c>
      <c r="AL196" t="s">
        <v>17037</v>
      </c>
      <c r="AM196" t="s">
        <v>69</v>
      </c>
      <c r="AN196">
        <v>67</v>
      </c>
      <c r="AO196">
        <v>0</v>
      </c>
      <c r="AP196">
        <v>0</v>
      </c>
      <c r="AQ196">
        <v>0</v>
      </c>
      <c r="AR196">
        <v>9</v>
      </c>
      <c r="AS196" t="s">
        <v>8865</v>
      </c>
      <c r="AT196" t="s">
        <v>8612</v>
      </c>
      <c r="AU196" t="s">
        <v>8866</v>
      </c>
      <c r="AV196" t="s">
        <v>363</v>
      </c>
      <c r="AW196" t="s">
        <v>69</v>
      </c>
      <c r="AX196" t="s">
        <v>69</v>
      </c>
      <c r="AY196" t="s">
        <v>17038</v>
      </c>
      <c r="AZ196" t="s">
        <v>17039</v>
      </c>
      <c r="BA196" t="s">
        <v>364</v>
      </c>
      <c r="BB196">
        <v>2019</v>
      </c>
      <c r="BC196">
        <v>5</v>
      </c>
      <c r="BD196">
        <v>3</v>
      </c>
      <c r="BE196" t="s">
        <v>69</v>
      </c>
      <c r="BF196" t="s">
        <v>69</v>
      </c>
      <c r="BG196" t="s">
        <v>69</v>
      </c>
      <c r="BH196" t="s">
        <v>69</v>
      </c>
      <c r="BI196">
        <v>308</v>
      </c>
      <c r="BJ196">
        <v>322</v>
      </c>
      <c r="BK196" t="s">
        <v>69</v>
      </c>
      <c r="BL196" t="s">
        <v>365</v>
      </c>
      <c r="BM196" t="str">
        <f>HYPERLINK("http://dx.doi.org/10.1080/23251042.2018.1564455","http://dx.doi.org/10.1080/23251042.2018.1564455")</f>
        <v>http://dx.doi.org/10.1080/23251042.2018.1564455</v>
      </c>
      <c r="BN196" t="s">
        <v>69</v>
      </c>
      <c r="BO196" t="s">
        <v>69</v>
      </c>
      <c r="BP196">
        <v>15</v>
      </c>
      <c r="BQ196" t="s">
        <v>8660</v>
      </c>
      <c r="BR196" t="s">
        <v>8573</v>
      </c>
      <c r="BS196" t="s">
        <v>8662</v>
      </c>
      <c r="BT196" t="s">
        <v>17040</v>
      </c>
      <c r="BU196" t="s">
        <v>366</v>
      </c>
      <c r="BV196" t="s">
        <v>69</v>
      </c>
      <c r="BW196" t="s">
        <v>69</v>
      </c>
      <c r="BX196" t="s">
        <v>69</v>
      </c>
      <c r="BY196" t="s">
        <v>69</v>
      </c>
      <c r="BZ196" t="s">
        <v>8526</v>
      </c>
      <c r="CA196" t="str">
        <f>HYPERLINK("https%3A%2F%2Fwww.webofscience.com%2Fwos%2Fwoscc%2Ffull-record%2FWOS:000473520900008","View Full Record in Web of Science")</f>
        <v>View Full Record in Web of Science</v>
      </c>
    </row>
    <row r="197" spans="1:79" ht="12.5" x14ac:dyDescent="0.25">
      <c r="B197" t="s">
        <v>8495</v>
      </c>
      <c r="D197" s="7" t="s">
        <v>32933</v>
      </c>
      <c r="E197" s="7"/>
      <c r="F197" s="7"/>
      <c r="G197" s="7"/>
      <c r="H197" t="s">
        <v>67</v>
      </c>
      <c r="I197" t="s">
        <v>6766</v>
      </c>
      <c r="J197" t="s">
        <v>69</v>
      </c>
      <c r="K197" t="s">
        <v>69</v>
      </c>
      <c r="L197" t="s">
        <v>69</v>
      </c>
      <c r="M197" t="s">
        <v>6767</v>
      </c>
      <c r="N197" t="s">
        <v>69</v>
      </c>
      <c r="O197" t="s">
        <v>69</v>
      </c>
      <c r="P197" t="s">
        <v>6768</v>
      </c>
      <c r="Q197" t="s">
        <v>2753</v>
      </c>
      <c r="R197" t="s">
        <v>69</v>
      </c>
      <c r="S197" t="s">
        <v>69</v>
      </c>
      <c r="T197" t="s">
        <v>8505</v>
      </c>
      <c r="U197" t="s">
        <v>8506</v>
      </c>
      <c r="V197" t="s">
        <v>69</v>
      </c>
      <c r="W197" t="s">
        <v>69</v>
      </c>
      <c r="X197" t="s">
        <v>69</v>
      </c>
      <c r="Y197" t="s">
        <v>69</v>
      </c>
      <c r="Z197" t="s">
        <v>69</v>
      </c>
      <c r="AA197" t="s">
        <v>19625</v>
      </c>
      <c r="AB197" t="s">
        <v>19626</v>
      </c>
      <c r="AC197" t="s">
        <v>6769</v>
      </c>
      <c r="AD197" t="s">
        <v>19627</v>
      </c>
      <c r="AE197" t="s">
        <v>69</v>
      </c>
      <c r="AF197" t="s">
        <v>19628</v>
      </c>
      <c r="AG197" t="s">
        <v>19629</v>
      </c>
      <c r="AH197" t="s">
        <v>6770</v>
      </c>
      <c r="AI197" t="s">
        <v>6771</v>
      </c>
      <c r="AJ197" t="s">
        <v>69</v>
      </c>
      <c r="AK197" t="s">
        <v>69</v>
      </c>
      <c r="AL197" t="s">
        <v>69</v>
      </c>
      <c r="AM197" t="s">
        <v>69</v>
      </c>
      <c r="AN197">
        <v>64</v>
      </c>
      <c r="AO197">
        <v>8</v>
      </c>
      <c r="AP197">
        <v>8</v>
      </c>
      <c r="AQ197">
        <v>0</v>
      </c>
      <c r="AR197">
        <v>17</v>
      </c>
      <c r="AS197" t="s">
        <v>8586</v>
      </c>
      <c r="AT197" t="s">
        <v>8587</v>
      </c>
      <c r="AU197" t="s">
        <v>8588</v>
      </c>
      <c r="AV197" t="s">
        <v>2756</v>
      </c>
      <c r="AW197" t="s">
        <v>2757</v>
      </c>
      <c r="AX197" t="s">
        <v>69</v>
      </c>
      <c r="AY197" t="s">
        <v>14987</v>
      </c>
      <c r="AZ197" t="s">
        <v>14988</v>
      </c>
      <c r="BA197" t="s">
        <v>69</v>
      </c>
      <c r="BB197">
        <v>2018</v>
      </c>
      <c r="BC197">
        <v>36</v>
      </c>
      <c r="BD197">
        <v>1</v>
      </c>
      <c r="BE197" t="s">
        <v>69</v>
      </c>
      <c r="BF197" t="s">
        <v>69</v>
      </c>
      <c r="BG197" t="s">
        <v>114</v>
      </c>
      <c r="BH197" t="s">
        <v>69</v>
      </c>
      <c r="BI197">
        <v>67</v>
      </c>
      <c r="BJ197">
        <v>85</v>
      </c>
      <c r="BK197" t="s">
        <v>69</v>
      </c>
      <c r="BL197" t="s">
        <v>6772</v>
      </c>
      <c r="BM197" t="str">
        <f>HYPERLINK("http://dx.doi.org/10.1108/PM-08-2016-0046","http://dx.doi.org/10.1108/PM-08-2016-0046")</f>
        <v>http://dx.doi.org/10.1108/PM-08-2016-0046</v>
      </c>
      <c r="BN197" t="s">
        <v>69</v>
      </c>
      <c r="BO197" t="s">
        <v>69</v>
      </c>
      <c r="BP197">
        <v>19</v>
      </c>
      <c r="BQ197" t="s">
        <v>9410</v>
      </c>
      <c r="BR197" t="s">
        <v>8573</v>
      </c>
      <c r="BS197" t="s">
        <v>8594</v>
      </c>
      <c r="BT197" t="s">
        <v>19630</v>
      </c>
      <c r="BU197" t="s">
        <v>6773</v>
      </c>
      <c r="BV197" t="s">
        <v>69</v>
      </c>
      <c r="BW197" t="s">
        <v>9292</v>
      </c>
      <c r="BX197" t="s">
        <v>69</v>
      </c>
      <c r="BY197" t="s">
        <v>69</v>
      </c>
      <c r="BZ197" t="s">
        <v>8526</v>
      </c>
      <c r="CA197" t="str">
        <f>HYPERLINK("https%3A%2F%2Fwww.webofscience.com%2Fwos%2Fwoscc%2Ffull-record%2FWOS:000424464100005","View Full Record in Web of Science")</f>
        <v>View Full Record in Web of Science</v>
      </c>
    </row>
    <row r="198" spans="1:79" x14ac:dyDescent="0.3">
      <c r="B198" t="s">
        <v>8495</v>
      </c>
      <c r="D198" s="9" t="s">
        <v>32950</v>
      </c>
      <c r="F198" s="9" t="s">
        <v>8491</v>
      </c>
      <c r="G198" s="9" t="s">
        <v>8490</v>
      </c>
      <c r="H198" t="s">
        <v>67</v>
      </c>
      <c r="I198" t="s">
        <v>10009</v>
      </c>
      <c r="J198" t="s">
        <v>69</v>
      </c>
      <c r="K198" t="s">
        <v>69</v>
      </c>
      <c r="L198" t="s">
        <v>69</v>
      </c>
      <c r="M198" t="s">
        <v>10010</v>
      </c>
      <c r="N198" t="s">
        <v>69</v>
      </c>
      <c r="O198" t="s">
        <v>69</v>
      </c>
      <c r="P198" t="s">
        <v>10011</v>
      </c>
      <c r="Q198" t="s">
        <v>10012</v>
      </c>
      <c r="R198" t="s">
        <v>69</v>
      </c>
      <c r="S198" t="s">
        <v>69</v>
      </c>
      <c r="T198" t="s">
        <v>8505</v>
      </c>
      <c r="U198" t="s">
        <v>8506</v>
      </c>
      <c r="V198" t="s">
        <v>69</v>
      </c>
      <c r="W198" t="s">
        <v>69</v>
      </c>
      <c r="X198" t="s">
        <v>69</v>
      </c>
      <c r="Y198" t="s">
        <v>69</v>
      </c>
      <c r="Z198" t="s">
        <v>69</v>
      </c>
      <c r="AA198" t="s">
        <v>10013</v>
      </c>
      <c r="AB198" t="s">
        <v>10014</v>
      </c>
      <c r="AC198" t="s">
        <v>10015</v>
      </c>
      <c r="AD198" t="s">
        <v>10016</v>
      </c>
      <c r="AE198" t="s">
        <v>69</v>
      </c>
      <c r="AF198" t="s">
        <v>10017</v>
      </c>
      <c r="AG198" t="s">
        <v>10018</v>
      </c>
      <c r="AH198" t="s">
        <v>69</v>
      </c>
      <c r="AI198" t="s">
        <v>69</v>
      </c>
      <c r="AJ198" t="s">
        <v>69</v>
      </c>
      <c r="AK198" t="s">
        <v>69</v>
      </c>
      <c r="AL198" t="s">
        <v>69</v>
      </c>
      <c r="AM198" t="s">
        <v>69</v>
      </c>
      <c r="AN198">
        <v>68</v>
      </c>
      <c r="AO198">
        <v>0</v>
      </c>
      <c r="AP198">
        <v>0</v>
      </c>
      <c r="AQ198">
        <v>11</v>
      </c>
      <c r="AR198">
        <v>11</v>
      </c>
      <c r="AS198" t="s">
        <v>8992</v>
      </c>
      <c r="AT198" t="s">
        <v>8993</v>
      </c>
      <c r="AU198" t="s">
        <v>8994</v>
      </c>
      <c r="AV198" t="s">
        <v>69</v>
      </c>
      <c r="AW198" t="s">
        <v>10019</v>
      </c>
      <c r="AX198" t="s">
        <v>69</v>
      </c>
      <c r="AY198" t="s">
        <v>10020</v>
      </c>
      <c r="AZ198" t="s">
        <v>10021</v>
      </c>
      <c r="BA198" t="s">
        <v>10022</v>
      </c>
      <c r="BB198">
        <v>2022</v>
      </c>
      <c r="BC198">
        <v>3</v>
      </c>
      <c r="BD198" t="s">
        <v>69</v>
      </c>
      <c r="BE198" t="s">
        <v>69</v>
      </c>
      <c r="BF198" t="s">
        <v>69</v>
      </c>
      <c r="BG198" t="s">
        <v>69</v>
      </c>
      <c r="BH198" t="s">
        <v>69</v>
      </c>
      <c r="BI198" t="s">
        <v>69</v>
      </c>
      <c r="BJ198" t="s">
        <v>69</v>
      </c>
      <c r="BK198">
        <v>752085</v>
      </c>
      <c r="BL198" t="s">
        <v>10023</v>
      </c>
      <c r="BM198" t="str">
        <f>HYPERLINK("http://dx.doi.org/10.3389/fspor.2021.752085","http://dx.doi.org/10.3389/fspor.2021.752085")</f>
        <v>http://dx.doi.org/10.3389/fspor.2021.752085</v>
      </c>
      <c r="BN198" t="s">
        <v>69</v>
      </c>
      <c r="BO198" t="s">
        <v>69</v>
      </c>
      <c r="BP198">
        <v>15</v>
      </c>
      <c r="BQ198" t="s">
        <v>10024</v>
      </c>
      <c r="BR198" t="s">
        <v>8573</v>
      </c>
      <c r="BS198" t="s">
        <v>10024</v>
      </c>
      <c r="BT198" t="s">
        <v>10025</v>
      </c>
      <c r="BU198" t="s">
        <v>10026</v>
      </c>
      <c r="BV198">
        <v>35098117</v>
      </c>
      <c r="BW198" t="s">
        <v>9352</v>
      </c>
      <c r="BX198" t="s">
        <v>69</v>
      </c>
      <c r="BY198" t="s">
        <v>69</v>
      </c>
      <c r="BZ198" t="s">
        <v>8526</v>
      </c>
      <c r="CA198" t="str">
        <f>HYPERLINK("https%3A%2F%2Fwww.webofscience.com%2Fwos%2Fwoscc%2Ffull-record%2FWOS:000758770500001","View Full Record in Web of Science")</f>
        <v>View Full Record in Web of Science</v>
      </c>
    </row>
    <row r="199" spans="1:79" ht="12.5" x14ac:dyDescent="0.25">
      <c r="B199" t="s">
        <v>8495</v>
      </c>
      <c r="D199" s="22" t="s">
        <v>32931</v>
      </c>
      <c r="E199" s="7"/>
      <c r="F199" s="7"/>
      <c r="G199" s="7"/>
      <c r="H199" t="s">
        <v>67</v>
      </c>
      <c r="I199" t="s">
        <v>19264</v>
      </c>
      <c r="J199" t="s">
        <v>69</v>
      </c>
      <c r="K199" t="s">
        <v>69</v>
      </c>
      <c r="L199" t="s">
        <v>69</v>
      </c>
      <c r="M199" t="s">
        <v>19265</v>
      </c>
      <c r="N199" t="s">
        <v>69</v>
      </c>
      <c r="O199" t="s">
        <v>69</v>
      </c>
      <c r="P199" t="s">
        <v>19266</v>
      </c>
      <c r="Q199" t="s">
        <v>19267</v>
      </c>
      <c r="R199" t="s">
        <v>69</v>
      </c>
      <c r="S199" t="s">
        <v>69</v>
      </c>
      <c r="T199" t="s">
        <v>8505</v>
      </c>
      <c r="U199" t="s">
        <v>8506</v>
      </c>
      <c r="V199" t="s">
        <v>69</v>
      </c>
      <c r="W199" t="s">
        <v>69</v>
      </c>
      <c r="X199" t="s">
        <v>69</v>
      </c>
      <c r="Y199" t="s">
        <v>69</v>
      </c>
      <c r="Z199" t="s">
        <v>69</v>
      </c>
      <c r="AA199" t="s">
        <v>19268</v>
      </c>
      <c r="AB199" t="s">
        <v>19269</v>
      </c>
      <c r="AC199" t="s">
        <v>19270</v>
      </c>
      <c r="AD199" t="s">
        <v>19271</v>
      </c>
      <c r="AE199" t="s">
        <v>69</v>
      </c>
      <c r="AF199" t="s">
        <v>19272</v>
      </c>
      <c r="AG199" t="s">
        <v>19273</v>
      </c>
      <c r="AH199" t="s">
        <v>69</v>
      </c>
      <c r="AI199" t="s">
        <v>69</v>
      </c>
      <c r="AJ199" t="s">
        <v>19274</v>
      </c>
      <c r="AK199" t="s">
        <v>19275</v>
      </c>
      <c r="AL199" t="s">
        <v>19276</v>
      </c>
      <c r="AM199" t="s">
        <v>69</v>
      </c>
      <c r="AN199">
        <v>84</v>
      </c>
      <c r="AO199">
        <v>52</v>
      </c>
      <c r="AP199">
        <v>52</v>
      </c>
      <c r="AQ199">
        <v>1</v>
      </c>
      <c r="AR199">
        <v>13</v>
      </c>
      <c r="AS199" t="s">
        <v>9203</v>
      </c>
      <c r="AT199" t="s">
        <v>8763</v>
      </c>
      <c r="AU199" t="s">
        <v>9204</v>
      </c>
      <c r="AV199" t="s">
        <v>19277</v>
      </c>
      <c r="AW199" t="s">
        <v>69</v>
      </c>
      <c r="AX199" t="s">
        <v>69</v>
      </c>
      <c r="AY199" t="s">
        <v>19278</v>
      </c>
      <c r="AZ199" t="s">
        <v>19279</v>
      </c>
      <c r="BA199" t="s">
        <v>19280</v>
      </c>
      <c r="BB199">
        <v>2018</v>
      </c>
      <c r="BC199">
        <v>13</v>
      </c>
      <c r="BD199" t="s">
        <v>69</v>
      </c>
      <c r="BE199" t="s">
        <v>69</v>
      </c>
      <c r="BF199" t="s">
        <v>69</v>
      </c>
      <c r="BG199" t="s">
        <v>69</v>
      </c>
      <c r="BH199" t="s">
        <v>69</v>
      </c>
      <c r="BI199" t="s">
        <v>69</v>
      </c>
      <c r="BJ199" t="s">
        <v>69</v>
      </c>
      <c r="BK199">
        <v>5</v>
      </c>
      <c r="BL199" t="s">
        <v>19281</v>
      </c>
      <c r="BM199" t="str">
        <f>HYPERLINK("http://dx.doi.org/10.1186/s13012-017-0705-6","http://dx.doi.org/10.1186/s13012-017-0705-6")</f>
        <v>http://dx.doi.org/10.1186/s13012-017-0705-6</v>
      </c>
      <c r="BN199" t="s">
        <v>69</v>
      </c>
      <c r="BO199" t="s">
        <v>69</v>
      </c>
      <c r="BP199">
        <v>14</v>
      </c>
      <c r="BQ199" t="s">
        <v>9809</v>
      </c>
      <c r="BR199" t="s">
        <v>8523</v>
      </c>
      <c r="BS199" t="s">
        <v>9209</v>
      </c>
      <c r="BT199" t="s">
        <v>19282</v>
      </c>
      <c r="BU199" t="s">
        <v>19283</v>
      </c>
      <c r="BV199">
        <v>29310673</v>
      </c>
      <c r="BW199" t="s">
        <v>9352</v>
      </c>
      <c r="BX199" t="s">
        <v>69</v>
      </c>
      <c r="BY199" t="s">
        <v>69</v>
      </c>
      <c r="BZ199" t="s">
        <v>8526</v>
      </c>
      <c r="CA199" t="str">
        <f>HYPERLINK("https%3A%2F%2Fwww.webofscience.com%2Fwos%2Fwoscc%2Ffull-record%2FWOS:000419901700001","View Full Record in Web of Science")</f>
        <v>View Full Record in Web of Science</v>
      </c>
    </row>
    <row r="200" spans="1:79" ht="12.5" x14ac:dyDescent="0.25">
      <c r="B200" t="s">
        <v>8495</v>
      </c>
      <c r="D200" s="22" t="s">
        <v>32931</v>
      </c>
      <c r="E200" s="7"/>
      <c r="F200" s="7"/>
      <c r="G200" s="7"/>
      <c r="H200" t="s">
        <v>67</v>
      </c>
      <c r="I200" t="s">
        <v>8665</v>
      </c>
      <c r="J200" t="s">
        <v>69</v>
      </c>
      <c r="K200" t="s">
        <v>69</v>
      </c>
      <c r="L200" t="s">
        <v>69</v>
      </c>
      <c r="M200" t="s">
        <v>8666</v>
      </c>
      <c r="N200" t="s">
        <v>69</v>
      </c>
      <c r="O200" t="s">
        <v>69</v>
      </c>
      <c r="P200" t="s">
        <v>8667</v>
      </c>
      <c r="Q200" t="s">
        <v>1351</v>
      </c>
      <c r="R200" t="s">
        <v>69</v>
      </c>
      <c r="S200" t="s">
        <v>69</v>
      </c>
      <c r="T200" t="s">
        <v>8505</v>
      </c>
      <c r="U200" t="s">
        <v>8506</v>
      </c>
      <c r="V200" t="s">
        <v>69</v>
      </c>
      <c r="W200" t="s">
        <v>69</v>
      </c>
      <c r="X200" t="s">
        <v>69</v>
      </c>
      <c r="Y200" t="s">
        <v>69</v>
      </c>
      <c r="Z200" t="s">
        <v>69</v>
      </c>
      <c r="AA200" t="s">
        <v>8668</v>
      </c>
      <c r="AB200" t="s">
        <v>8669</v>
      </c>
      <c r="AC200" t="s">
        <v>8670</v>
      </c>
      <c r="AD200" t="s">
        <v>8671</v>
      </c>
      <c r="AE200" t="s">
        <v>69</v>
      </c>
      <c r="AF200" t="s">
        <v>8672</v>
      </c>
      <c r="AG200" t="s">
        <v>8673</v>
      </c>
      <c r="AH200" t="s">
        <v>69</v>
      </c>
      <c r="AI200" t="s">
        <v>8674</v>
      </c>
      <c r="AJ200" t="s">
        <v>8675</v>
      </c>
      <c r="AK200" t="s">
        <v>8675</v>
      </c>
      <c r="AL200" t="s">
        <v>8676</v>
      </c>
      <c r="AM200" t="s">
        <v>69</v>
      </c>
      <c r="AN200">
        <v>78</v>
      </c>
      <c r="AO200">
        <v>0</v>
      </c>
      <c r="AP200">
        <v>0</v>
      </c>
      <c r="AQ200">
        <v>15</v>
      </c>
      <c r="AR200">
        <v>15</v>
      </c>
      <c r="AS200" t="s">
        <v>8539</v>
      </c>
      <c r="AT200" t="s">
        <v>8540</v>
      </c>
      <c r="AU200" t="s">
        <v>8541</v>
      </c>
      <c r="AV200" t="s">
        <v>1353</v>
      </c>
      <c r="AW200" t="s">
        <v>1354</v>
      </c>
      <c r="AX200" t="s">
        <v>69</v>
      </c>
      <c r="AY200" t="s">
        <v>8677</v>
      </c>
      <c r="AZ200" t="s">
        <v>8678</v>
      </c>
      <c r="BA200" t="s">
        <v>2216</v>
      </c>
      <c r="BB200">
        <v>2022</v>
      </c>
      <c r="BC200">
        <v>38</v>
      </c>
      <c r="BD200">
        <v>4</v>
      </c>
      <c r="BE200" t="s">
        <v>69</v>
      </c>
      <c r="BF200" t="s">
        <v>69</v>
      </c>
      <c r="BG200" t="s">
        <v>69</v>
      </c>
      <c r="BH200" t="s">
        <v>69</v>
      </c>
      <c r="BI200" t="s">
        <v>69</v>
      </c>
      <c r="BJ200" t="s">
        <v>69</v>
      </c>
      <c r="BK200">
        <v>5022009</v>
      </c>
      <c r="BL200" t="s">
        <v>8679</v>
      </c>
      <c r="BM200" t="str">
        <f>HYPERLINK("http://dx.doi.org/10.1061/(ASCE)ME.1943-5479.0001062","http://dx.doi.org/10.1061/(ASCE)ME.1943-5479.0001062")</f>
        <v>http://dx.doi.org/10.1061/(ASCE)ME.1943-5479.0001062</v>
      </c>
      <c r="BN200" t="s">
        <v>69</v>
      </c>
      <c r="BO200" t="s">
        <v>69</v>
      </c>
      <c r="BP200">
        <v>18</v>
      </c>
      <c r="BQ200" t="s">
        <v>8680</v>
      </c>
      <c r="BR200" t="s">
        <v>8523</v>
      </c>
      <c r="BS200" t="s">
        <v>8445</v>
      </c>
      <c r="BT200" t="s">
        <v>8681</v>
      </c>
      <c r="BU200" t="s">
        <v>8682</v>
      </c>
      <c r="BV200" t="s">
        <v>69</v>
      </c>
      <c r="BW200" t="s">
        <v>69</v>
      </c>
      <c r="BX200" t="s">
        <v>69</v>
      </c>
      <c r="BY200" t="s">
        <v>69</v>
      </c>
      <c r="BZ200" t="s">
        <v>8526</v>
      </c>
      <c r="CA200" t="str">
        <f>HYPERLINK("https%3A%2F%2Fwww.webofscience.com%2Fwos%2Fwoscc%2Ffull-record%2FWOS:000796074900016","View Full Record in Web of Science")</f>
        <v>View Full Record in Web of Science</v>
      </c>
    </row>
    <row r="201" spans="1:79" ht="12.5" x14ac:dyDescent="0.25">
      <c r="B201" t="s">
        <v>8495</v>
      </c>
      <c r="D201" s="22" t="s">
        <v>32931</v>
      </c>
      <c r="E201" s="7"/>
      <c r="F201" s="7"/>
      <c r="G201" s="7"/>
      <c r="H201" t="s">
        <v>67</v>
      </c>
      <c r="I201" t="s">
        <v>12314</v>
      </c>
      <c r="J201" t="s">
        <v>69</v>
      </c>
      <c r="K201" t="s">
        <v>69</v>
      </c>
      <c r="L201" t="s">
        <v>69</v>
      </c>
      <c r="M201" t="s">
        <v>12315</v>
      </c>
      <c r="N201" t="s">
        <v>69</v>
      </c>
      <c r="O201" t="s">
        <v>69</v>
      </c>
      <c r="P201" t="s">
        <v>12316</v>
      </c>
      <c r="Q201" t="s">
        <v>12317</v>
      </c>
      <c r="R201" t="s">
        <v>69</v>
      </c>
      <c r="S201" t="s">
        <v>69</v>
      </c>
      <c r="T201" t="s">
        <v>8505</v>
      </c>
      <c r="U201" t="s">
        <v>8506</v>
      </c>
      <c r="V201" t="s">
        <v>69</v>
      </c>
      <c r="W201" t="s">
        <v>69</v>
      </c>
      <c r="X201" t="s">
        <v>69</v>
      </c>
      <c r="Y201" t="s">
        <v>69</v>
      </c>
      <c r="Z201" t="s">
        <v>69</v>
      </c>
      <c r="AA201" t="s">
        <v>12318</v>
      </c>
      <c r="AB201" t="s">
        <v>69</v>
      </c>
      <c r="AC201" t="s">
        <v>12319</v>
      </c>
      <c r="AD201" t="s">
        <v>12320</v>
      </c>
      <c r="AE201" t="s">
        <v>69</v>
      </c>
      <c r="AF201" t="s">
        <v>12321</v>
      </c>
      <c r="AG201" t="s">
        <v>12322</v>
      </c>
      <c r="AH201" t="s">
        <v>69</v>
      </c>
      <c r="AI201" t="s">
        <v>69</v>
      </c>
      <c r="AJ201" t="s">
        <v>12323</v>
      </c>
      <c r="AK201" t="s">
        <v>12323</v>
      </c>
      <c r="AL201" t="s">
        <v>12324</v>
      </c>
      <c r="AM201" t="s">
        <v>69</v>
      </c>
      <c r="AN201">
        <v>43</v>
      </c>
      <c r="AO201">
        <v>2</v>
      </c>
      <c r="AP201">
        <v>2</v>
      </c>
      <c r="AQ201">
        <v>1</v>
      </c>
      <c r="AR201">
        <v>3</v>
      </c>
      <c r="AS201" t="s">
        <v>9203</v>
      </c>
      <c r="AT201" t="s">
        <v>8763</v>
      </c>
      <c r="AU201" t="s">
        <v>9204</v>
      </c>
      <c r="AV201" t="s">
        <v>69</v>
      </c>
      <c r="AW201" t="s">
        <v>12325</v>
      </c>
      <c r="AX201" t="s">
        <v>69</v>
      </c>
      <c r="AY201" t="s">
        <v>12326</v>
      </c>
      <c r="AZ201" t="s">
        <v>12327</v>
      </c>
      <c r="BA201" t="s">
        <v>12328</v>
      </c>
      <c r="BB201">
        <v>2021</v>
      </c>
      <c r="BC201">
        <v>21</v>
      </c>
      <c r="BD201">
        <v>1</v>
      </c>
      <c r="BE201" t="s">
        <v>69</v>
      </c>
      <c r="BF201" t="s">
        <v>69</v>
      </c>
      <c r="BG201" t="s">
        <v>69</v>
      </c>
      <c r="BH201" t="s">
        <v>69</v>
      </c>
      <c r="BI201" t="s">
        <v>69</v>
      </c>
      <c r="BJ201" t="s">
        <v>69</v>
      </c>
      <c r="BK201">
        <v>402</v>
      </c>
      <c r="BL201" t="s">
        <v>12329</v>
      </c>
      <c r="BM201" t="str">
        <f>HYPERLINK("http://dx.doi.org/10.1186/s12913-021-06402-7","http://dx.doi.org/10.1186/s12913-021-06402-7")</f>
        <v>http://dx.doi.org/10.1186/s12913-021-06402-7</v>
      </c>
      <c r="BN201" t="s">
        <v>69</v>
      </c>
      <c r="BO201" t="s">
        <v>69</v>
      </c>
      <c r="BP201">
        <v>14</v>
      </c>
      <c r="BQ201" t="s">
        <v>9209</v>
      </c>
      <c r="BR201" t="s">
        <v>8548</v>
      </c>
      <c r="BS201" t="s">
        <v>9209</v>
      </c>
      <c r="BT201" t="s">
        <v>12330</v>
      </c>
      <c r="BU201" t="s">
        <v>12331</v>
      </c>
      <c r="BV201">
        <v>33926425</v>
      </c>
      <c r="BW201" t="s">
        <v>9352</v>
      </c>
      <c r="BX201" t="s">
        <v>69</v>
      </c>
      <c r="BY201" t="s">
        <v>69</v>
      </c>
      <c r="BZ201" t="s">
        <v>8526</v>
      </c>
      <c r="CA201" t="str">
        <f>HYPERLINK("https%3A%2F%2Fwww.webofscience.com%2Fwos%2Fwoscc%2Ffull-record%2FWOS:000654934100006","View Full Record in Web of Science")</f>
        <v>View Full Record in Web of Science</v>
      </c>
    </row>
    <row r="202" spans="1:79" ht="12.5" x14ac:dyDescent="0.25">
      <c r="B202" t="s">
        <v>8495</v>
      </c>
      <c r="D202" s="7" t="s">
        <v>32933</v>
      </c>
      <c r="E202" s="7"/>
      <c r="F202" s="7"/>
      <c r="G202" s="7"/>
      <c r="H202" t="s">
        <v>67</v>
      </c>
      <c r="I202" t="s">
        <v>470</v>
      </c>
      <c r="J202" t="s">
        <v>69</v>
      </c>
      <c r="K202" t="s">
        <v>69</v>
      </c>
      <c r="L202" t="s">
        <v>69</v>
      </c>
      <c r="M202" t="s">
        <v>471</v>
      </c>
      <c r="N202" t="s">
        <v>69</v>
      </c>
      <c r="O202" t="s">
        <v>69</v>
      </c>
      <c r="P202" t="s">
        <v>472</v>
      </c>
      <c r="Q202" t="s">
        <v>473</v>
      </c>
      <c r="R202" t="s">
        <v>69</v>
      </c>
      <c r="S202" t="s">
        <v>69</v>
      </c>
      <c r="T202" t="s">
        <v>8505</v>
      </c>
      <c r="U202" t="s">
        <v>8506</v>
      </c>
      <c r="V202" t="s">
        <v>69</v>
      </c>
      <c r="W202" t="s">
        <v>69</v>
      </c>
      <c r="X202" t="s">
        <v>69</v>
      </c>
      <c r="Y202" t="s">
        <v>69</v>
      </c>
      <c r="Z202" t="s">
        <v>69</v>
      </c>
      <c r="AA202" t="s">
        <v>22503</v>
      </c>
      <c r="AB202" t="s">
        <v>22504</v>
      </c>
      <c r="AC202" t="s">
        <v>474</v>
      </c>
      <c r="AD202" t="s">
        <v>22505</v>
      </c>
      <c r="AE202" t="s">
        <v>69</v>
      </c>
      <c r="AF202" t="s">
        <v>22506</v>
      </c>
      <c r="AG202" t="s">
        <v>22507</v>
      </c>
      <c r="AH202" t="s">
        <v>69</v>
      </c>
      <c r="AI202" t="s">
        <v>69</v>
      </c>
      <c r="AJ202" t="s">
        <v>22508</v>
      </c>
      <c r="AK202" t="s">
        <v>22508</v>
      </c>
      <c r="AL202" t="s">
        <v>22509</v>
      </c>
      <c r="AM202" t="s">
        <v>69</v>
      </c>
      <c r="AN202">
        <v>45</v>
      </c>
      <c r="AO202">
        <v>17</v>
      </c>
      <c r="AP202">
        <v>19</v>
      </c>
      <c r="AQ202">
        <v>2</v>
      </c>
      <c r="AR202">
        <v>50</v>
      </c>
      <c r="AS202" t="s">
        <v>18272</v>
      </c>
      <c r="AT202" t="s">
        <v>8763</v>
      </c>
      <c r="AU202" t="s">
        <v>18273</v>
      </c>
      <c r="AV202" t="s">
        <v>475</v>
      </c>
      <c r="AW202" t="s">
        <v>476</v>
      </c>
      <c r="AX202" t="s">
        <v>69</v>
      </c>
      <c r="AY202" t="s">
        <v>18274</v>
      </c>
      <c r="AZ202" t="s">
        <v>18275</v>
      </c>
      <c r="BA202" t="s">
        <v>477</v>
      </c>
      <c r="BB202">
        <v>2015</v>
      </c>
      <c r="BC202">
        <v>160</v>
      </c>
      <c r="BD202" t="s">
        <v>69</v>
      </c>
      <c r="BE202" t="s">
        <v>69</v>
      </c>
      <c r="BF202" t="s">
        <v>69</v>
      </c>
      <c r="BG202" t="s">
        <v>69</v>
      </c>
      <c r="BH202" t="s">
        <v>69</v>
      </c>
      <c r="BI202">
        <v>241</v>
      </c>
      <c r="BJ202">
        <v>253</v>
      </c>
      <c r="BK202" t="s">
        <v>69</v>
      </c>
      <c r="BL202" t="s">
        <v>478</v>
      </c>
      <c r="BM202" t="str">
        <f>HYPERLINK("http://dx.doi.org/10.1016/j.jenvman.2015.06.022","http://dx.doi.org/10.1016/j.jenvman.2015.06.022")</f>
        <v>http://dx.doi.org/10.1016/j.jenvman.2015.06.022</v>
      </c>
      <c r="BN202" t="s">
        <v>69</v>
      </c>
      <c r="BO202" t="s">
        <v>69</v>
      </c>
      <c r="BP202">
        <v>13</v>
      </c>
      <c r="BQ202" t="s">
        <v>8717</v>
      </c>
      <c r="BR202" t="s">
        <v>8548</v>
      </c>
      <c r="BS202" t="s">
        <v>8662</v>
      </c>
      <c r="BT202" t="s">
        <v>22510</v>
      </c>
      <c r="BU202" t="s">
        <v>479</v>
      </c>
      <c r="BV202">
        <v>26119331</v>
      </c>
      <c r="BW202" t="s">
        <v>10995</v>
      </c>
      <c r="BX202" t="s">
        <v>69</v>
      </c>
      <c r="BY202" t="s">
        <v>69</v>
      </c>
      <c r="BZ202" t="s">
        <v>8526</v>
      </c>
      <c r="CA202" t="str">
        <f>HYPERLINK("https%3A%2F%2Fwww.webofscience.com%2Fwos%2Fwoscc%2Ffull-record%2FWOS:000358973300024","View Full Record in Web of Science")</f>
        <v>View Full Record in Web of Science</v>
      </c>
    </row>
    <row r="203" spans="1:79" ht="12.5" x14ac:dyDescent="0.25">
      <c r="B203" t="s">
        <v>8495</v>
      </c>
      <c r="D203" s="7" t="s">
        <v>32933</v>
      </c>
      <c r="E203" s="7"/>
      <c r="F203" s="7"/>
      <c r="G203" s="7"/>
      <c r="H203" t="s">
        <v>67</v>
      </c>
      <c r="I203" t="s">
        <v>3842</v>
      </c>
      <c r="J203" t="s">
        <v>69</v>
      </c>
      <c r="K203" t="s">
        <v>69</v>
      </c>
      <c r="L203" t="s">
        <v>69</v>
      </c>
      <c r="M203" t="s">
        <v>3842</v>
      </c>
      <c r="N203" t="s">
        <v>69</v>
      </c>
      <c r="O203" t="s">
        <v>69</v>
      </c>
      <c r="P203" t="s">
        <v>3843</v>
      </c>
      <c r="Q203" t="s">
        <v>3844</v>
      </c>
      <c r="R203" t="s">
        <v>69</v>
      </c>
      <c r="S203" t="s">
        <v>69</v>
      </c>
      <c r="T203" t="s">
        <v>8505</v>
      </c>
      <c r="U203" t="s">
        <v>8506</v>
      </c>
      <c r="V203" t="s">
        <v>69</v>
      </c>
      <c r="W203" t="s">
        <v>69</v>
      </c>
      <c r="X203" t="s">
        <v>69</v>
      </c>
      <c r="Y203" t="s">
        <v>69</v>
      </c>
      <c r="Z203" t="s">
        <v>69</v>
      </c>
      <c r="AA203" t="s">
        <v>69</v>
      </c>
      <c r="AB203" t="s">
        <v>30323</v>
      </c>
      <c r="AC203" t="s">
        <v>3845</v>
      </c>
      <c r="AD203" t="s">
        <v>30324</v>
      </c>
      <c r="AE203" t="s">
        <v>69</v>
      </c>
      <c r="AF203" t="s">
        <v>30325</v>
      </c>
      <c r="AG203" t="s">
        <v>30326</v>
      </c>
      <c r="AH203" t="s">
        <v>69</v>
      </c>
      <c r="AI203" t="s">
        <v>69</v>
      </c>
      <c r="AJ203" t="s">
        <v>69</v>
      </c>
      <c r="AK203" t="s">
        <v>69</v>
      </c>
      <c r="AL203" t="s">
        <v>69</v>
      </c>
      <c r="AM203" t="s">
        <v>69</v>
      </c>
      <c r="AN203">
        <v>37</v>
      </c>
      <c r="AO203">
        <v>17</v>
      </c>
      <c r="AP203">
        <v>18</v>
      </c>
      <c r="AQ203">
        <v>1</v>
      </c>
      <c r="AR203">
        <v>18</v>
      </c>
      <c r="AS203" t="s">
        <v>15611</v>
      </c>
      <c r="AT203" t="s">
        <v>10924</v>
      </c>
      <c r="AU203" t="s">
        <v>15612</v>
      </c>
      <c r="AV203" t="s">
        <v>3846</v>
      </c>
      <c r="AW203" t="s">
        <v>3847</v>
      </c>
      <c r="AX203" t="s">
        <v>69</v>
      </c>
      <c r="AY203" t="s">
        <v>30327</v>
      </c>
      <c r="AZ203" t="s">
        <v>30328</v>
      </c>
      <c r="BA203" t="s">
        <v>3848</v>
      </c>
      <c r="BB203">
        <v>2006</v>
      </c>
      <c r="BC203">
        <v>69</v>
      </c>
      <c r="BD203" t="s">
        <v>3849</v>
      </c>
      <c r="BE203" t="s">
        <v>69</v>
      </c>
      <c r="BF203" t="s">
        <v>69</v>
      </c>
      <c r="BG203" t="s">
        <v>69</v>
      </c>
      <c r="BH203" t="s">
        <v>69</v>
      </c>
      <c r="BI203">
        <v>735</v>
      </c>
      <c r="BJ203">
        <v>758</v>
      </c>
      <c r="BK203" t="s">
        <v>69</v>
      </c>
      <c r="BL203" t="s">
        <v>3850</v>
      </c>
      <c r="BM203" t="str">
        <f>HYPERLINK("http://dx.doi.org/10.1080/15287390500261281","http://dx.doi.org/10.1080/15287390500261281")</f>
        <v>http://dx.doi.org/10.1080/15287390500261281</v>
      </c>
      <c r="BN203" t="s">
        <v>69</v>
      </c>
      <c r="BO203" t="s">
        <v>69</v>
      </c>
      <c r="BP203">
        <v>24</v>
      </c>
      <c r="BQ203" t="s">
        <v>23971</v>
      </c>
      <c r="BR203" t="s">
        <v>8548</v>
      </c>
      <c r="BS203" t="s">
        <v>23972</v>
      </c>
      <c r="BT203" t="s">
        <v>30329</v>
      </c>
      <c r="BU203" t="s">
        <v>3851</v>
      </c>
      <c r="BV203">
        <v>16608836</v>
      </c>
      <c r="BW203" t="s">
        <v>69</v>
      </c>
      <c r="BX203" t="s">
        <v>69</v>
      </c>
      <c r="BY203" t="s">
        <v>69</v>
      </c>
      <c r="BZ203" t="s">
        <v>8526</v>
      </c>
      <c r="CA203" t="str">
        <f>HYPERLINK("https%3A%2F%2Fwww.webofscience.com%2Fwos%2Fwoscc%2Ffull-record%2FWOS:000236605100011","View Full Record in Web of Science")</f>
        <v>View Full Record in Web of Science</v>
      </c>
    </row>
    <row r="204" spans="1:79" ht="12.5" x14ac:dyDescent="0.25">
      <c r="B204" t="s">
        <v>8495</v>
      </c>
      <c r="D204" s="7" t="s">
        <v>32933</v>
      </c>
      <c r="E204" s="7"/>
      <c r="F204" s="7"/>
      <c r="G204" s="7"/>
      <c r="H204" t="s">
        <v>67</v>
      </c>
      <c r="I204" t="s">
        <v>8223</v>
      </c>
      <c r="J204" t="s">
        <v>69</v>
      </c>
      <c r="K204" t="s">
        <v>69</v>
      </c>
      <c r="L204" t="s">
        <v>69</v>
      </c>
      <c r="M204" t="s">
        <v>8224</v>
      </c>
      <c r="N204" t="s">
        <v>69</v>
      </c>
      <c r="O204" t="s">
        <v>69</v>
      </c>
      <c r="P204" t="s">
        <v>8225</v>
      </c>
      <c r="Q204" t="s">
        <v>8226</v>
      </c>
      <c r="R204" t="s">
        <v>69</v>
      </c>
      <c r="S204" t="s">
        <v>69</v>
      </c>
      <c r="T204" t="s">
        <v>8505</v>
      </c>
      <c r="U204" t="s">
        <v>8506</v>
      </c>
      <c r="V204" t="s">
        <v>69</v>
      </c>
      <c r="W204" t="s">
        <v>69</v>
      </c>
      <c r="X204" t="s">
        <v>69</v>
      </c>
      <c r="Y204" t="s">
        <v>69</v>
      </c>
      <c r="Z204" t="s">
        <v>69</v>
      </c>
      <c r="AA204" t="s">
        <v>19914</v>
      </c>
      <c r="AB204" t="s">
        <v>19915</v>
      </c>
      <c r="AC204" t="s">
        <v>8227</v>
      </c>
      <c r="AD204" t="s">
        <v>19916</v>
      </c>
      <c r="AE204" t="s">
        <v>69</v>
      </c>
      <c r="AF204" t="s">
        <v>19917</v>
      </c>
      <c r="AG204" t="s">
        <v>19918</v>
      </c>
      <c r="AH204" t="s">
        <v>69</v>
      </c>
      <c r="AI204" t="s">
        <v>8228</v>
      </c>
      <c r="AJ204" t="s">
        <v>69</v>
      </c>
      <c r="AK204" t="s">
        <v>69</v>
      </c>
      <c r="AL204" t="s">
        <v>69</v>
      </c>
      <c r="AM204" t="s">
        <v>69</v>
      </c>
      <c r="AN204">
        <v>30</v>
      </c>
      <c r="AO204">
        <v>1</v>
      </c>
      <c r="AP204">
        <v>1</v>
      </c>
      <c r="AQ204">
        <v>0</v>
      </c>
      <c r="AR204">
        <v>2</v>
      </c>
      <c r="AS204" t="s">
        <v>9047</v>
      </c>
      <c r="AT204" t="s">
        <v>9048</v>
      </c>
      <c r="AU204" t="s">
        <v>9049</v>
      </c>
      <c r="AV204" t="s">
        <v>8229</v>
      </c>
      <c r="AW204" t="s">
        <v>8230</v>
      </c>
      <c r="AX204" t="s">
        <v>69</v>
      </c>
      <c r="AY204" t="s">
        <v>19243</v>
      </c>
      <c r="AZ204" t="s">
        <v>19244</v>
      </c>
      <c r="BA204" t="s">
        <v>381</v>
      </c>
      <c r="BB204">
        <v>2017</v>
      </c>
      <c r="BC204">
        <v>10</v>
      </c>
      <c r="BD204">
        <v>5</v>
      </c>
      <c r="BE204" t="s">
        <v>69</v>
      </c>
      <c r="BF204" t="s">
        <v>69</v>
      </c>
      <c r="BG204" t="s">
        <v>69</v>
      </c>
      <c r="BH204" t="s">
        <v>69</v>
      </c>
      <c r="BI204">
        <v>1269</v>
      </c>
      <c r="BJ204">
        <v>1278</v>
      </c>
      <c r="BK204" t="s">
        <v>69</v>
      </c>
      <c r="BL204" t="s">
        <v>8231</v>
      </c>
      <c r="BM204" t="str">
        <f>HYPERLINK("http://dx.doi.org/10.1007/s12053-017-9517-4","http://dx.doi.org/10.1007/s12053-017-9517-4")</f>
        <v>http://dx.doi.org/10.1007/s12053-017-9517-4</v>
      </c>
      <c r="BN204" t="s">
        <v>69</v>
      </c>
      <c r="BO204" t="s">
        <v>69</v>
      </c>
      <c r="BP204">
        <v>10</v>
      </c>
      <c r="BQ204" t="s">
        <v>19246</v>
      </c>
      <c r="BR204" t="s">
        <v>8523</v>
      </c>
      <c r="BS204" t="s">
        <v>19247</v>
      </c>
      <c r="BT204" t="s">
        <v>19919</v>
      </c>
      <c r="BU204" t="s">
        <v>8232</v>
      </c>
      <c r="BV204" t="s">
        <v>69</v>
      </c>
      <c r="BW204" t="s">
        <v>69</v>
      </c>
      <c r="BX204" t="s">
        <v>69</v>
      </c>
      <c r="BY204" t="s">
        <v>69</v>
      </c>
      <c r="BZ204" t="s">
        <v>8526</v>
      </c>
      <c r="CA204" t="str">
        <f>HYPERLINK("https%3A%2F%2Fwww.webofscience.com%2Fwos%2Fwoscc%2Ffull-record%2FWOS:000411865800014","View Full Record in Web of Science")</f>
        <v>View Full Record in Web of Science</v>
      </c>
    </row>
    <row r="205" spans="1:79" ht="12.5" x14ac:dyDescent="0.25">
      <c r="B205" t="s">
        <v>8495</v>
      </c>
      <c r="D205" s="22" t="s">
        <v>32931</v>
      </c>
      <c r="E205" s="7"/>
      <c r="F205" s="7"/>
      <c r="G205" s="7"/>
      <c r="H205" t="s">
        <v>67</v>
      </c>
      <c r="I205" t="s">
        <v>27896</v>
      </c>
      <c r="J205" t="s">
        <v>69</v>
      </c>
      <c r="K205" t="s">
        <v>69</v>
      </c>
      <c r="L205" t="s">
        <v>69</v>
      </c>
      <c r="M205" t="s">
        <v>27897</v>
      </c>
      <c r="N205" t="s">
        <v>69</v>
      </c>
      <c r="O205" t="s">
        <v>69</v>
      </c>
      <c r="P205" t="s">
        <v>27898</v>
      </c>
      <c r="Q205" t="s">
        <v>16515</v>
      </c>
      <c r="R205" t="s">
        <v>69</v>
      </c>
      <c r="S205" t="s">
        <v>69</v>
      </c>
      <c r="T205" t="s">
        <v>8505</v>
      </c>
      <c r="U205" t="s">
        <v>8506</v>
      </c>
      <c r="V205" t="s">
        <v>69</v>
      </c>
      <c r="W205" t="s">
        <v>69</v>
      </c>
      <c r="X205" t="s">
        <v>69</v>
      </c>
      <c r="Y205" t="s">
        <v>69</v>
      </c>
      <c r="Z205" t="s">
        <v>69</v>
      </c>
      <c r="AA205" t="s">
        <v>69</v>
      </c>
      <c r="AB205" t="s">
        <v>27899</v>
      </c>
      <c r="AC205" t="s">
        <v>27900</v>
      </c>
      <c r="AD205" t="s">
        <v>27901</v>
      </c>
      <c r="AE205" t="s">
        <v>69</v>
      </c>
      <c r="AF205" t="s">
        <v>27902</v>
      </c>
      <c r="AG205" t="s">
        <v>27903</v>
      </c>
      <c r="AH205" t="s">
        <v>69</v>
      </c>
      <c r="AI205" t="s">
        <v>69</v>
      </c>
      <c r="AJ205" t="s">
        <v>27904</v>
      </c>
      <c r="AK205" t="s">
        <v>27905</v>
      </c>
      <c r="AL205" t="s">
        <v>27906</v>
      </c>
      <c r="AM205" t="s">
        <v>69</v>
      </c>
      <c r="AN205">
        <v>17</v>
      </c>
      <c r="AO205">
        <v>3</v>
      </c>
      <c r="AP205">
        <v>3</v>
      </c>
      <c r="AQ205">
        <v>0</v>
      </c>
      <c r="AR205">
        <v>13</v>
      </c>
      <c r="AS205" t="s">
        <v>9047</v>
      </c>
      <c r="AT205" t="s">
        <v>9048</v>
      </c>
      <c r="AU205" t="s">
        <v>9049</v>
      </c>
      <c r="AV205" t="s">
        <v>16525</v>
      </c>
      <c r="AW205" t="s">
        <v>16526</v>
      </c>
      <c r="AX205" t="s">
        <v>69</v>
      </c>
      <c r="AY205" t="s">
        <v>16515</v>
      </c>
      <c r="AZ205" t="s">
        <v>16527</v>
      </c>
      <c r="BA205" t="s">
        <v>191</v>
      </c>
      <c r="BB205">
        <v>2010</v>
      </c>
      <c r="BC205">
        <v>98</v>
      </c>
      <c r="BD205" t="s">
        <v>145</v>
      </c>
      <c r="BE205" t="s">
        <v>69</v>
      </c>
      <c r="BF205" t="s">
        <v>69</v>
      </c>
      <c r="BG205" t="s">
        <v>114</v>
      </c>
      <c r="BH205" t="s">
        <v>69</v>
      </c>
      <c r="BI205">
        <v>551</v>
      </c>
      <c r="BJ205">
        <v>563</v>
      </c>
      <c r="BK205" t="s">
        <v>69</v>
      </c>
      <c r="BL205" t="s">
        <v>27907</v>
      </c>
      <c r="BM205" t="str">
        <f>HYPERLINK("http://dx.doi.org/10.1007/s10584-009-9745-5","http://dx.doi.org/10.1007/s10584-009-9745-5")</f>
        <v>http://dx.doi.org/10.1007/s10584-009-9745-5</v>
      </c>
      <c r="BN205" t="s">
        <v>69</v>
      </c>
      <c r="BO205" t="s">
        <v>69</v>
      </c>
      <c r="BP205">
        <v>13</v>
      </c>
      <c r="BQ205" t="s">
        <v>11283</v>
      </c>
      <c r="BR205" t="s">
        <v>8548</v>
      </c>
      <c r="BS205" t="s">
        <v>11284</v>
      </c>
      <c r="BT205" t="s">
        <v>27908</v>
      </c>
      <c r="BU205" t="s">
        <v>27909</v>
      </c>
      <c r="BV205" t="s">
        <v>69</v>
      </c>
      <c r="BW205" t="s">
        <v>69</v>
      </c>
      <c r="BX205" t="s">
        <v>69</v>
      </c>
      <c r="BY205" t="s">
        <v>69</v>
      </c>
      <c r="BZ205" t="s">
        <v>8526</v>
      </c>
      <c r="CA205" t="str">
        <f>HYPERLINK("https%3A%2F%2Fwww.webofscience.com%2Fwos%2Fwoscc%2Ffull-record%2FWOS:000275319100012","View Full Record in Web of Science")</f>
        <v>View Full Record in Web of Science</v>
      </c>
    </row>
    <row r="206" spans="1:79" ht="12.5" x14ac:dyDescent="0.25">
      <c r="B206" t="s">
        <v>8495</v>
      </c>
      <c r="D206" s="22" t="s">
        <v>32931</v>
      </c>
      <c r="E206" s="7"/>
      <c r="F206" s="7"/>
      <c r="G206" s="7"/>
      <c r="H206" t="s">
        <v>67</v>
      </c>
      <c r="I206" t="s">
        <v>16157</v>
      </c>
      <c r="J206" t="s">
        <v>69</v>
      </c>
      <c r="K206" t="s">
        <v>69</v>
      </c>
      <c r="L206" t="s">
        <v>69</v>
      </c>
      <c r="M206" t="s">
        <v>16158</v>
      </c>
      <c r="N206" t="s">
        <v>69</v>
      </c>
      <c r="O206" t="s">
        <v>69</v>
      </c>
      <c r="P206" t="s">
        <v>16159</v>
      </c>
      <c r="Q206" t="s">
        <v>2475</v>
      </c>
      <c r="R206" t="s">
        <v>69</v>
      </c>
      <c r="S206" t="s">
        <v>69</v>
      </c>
      <c r="T206" t="s">
        <v>8505</v>
      </c>
      <c r="U206" t="s">
        <v>8506</v>
      </c>
      <c r="V206" t="s">
        <v>69</v>
      </c>
      <c r="W206" t="s">
        <v>69</v>
      </c>
      <c r="X206" t="s">
        <v>69</v>
      </c>
      <c r="Y206" t="s">
        <v>69</v>
      </c>
      <c r="Z206" t="s">
        <v>69</v>
      </c>
      <c r="AA206" t="s">
        <v>16160</v>
      </c>
      <c r="AB206" t="s">
        <v>16161</v>
      </c>
      <c r="AC206" t="s">
        <v>16162</v>
      </c>
      <c r="AD206" t="s">
        <v>16163</v>
      </c>
      <c r="AE206" t="s">
        <v>69</v>
      </c>
      <c r="AF206" t="s">
        <v>16164</v>
      </c>
      <c r="AG206" t="s">
        <v>16165</v>
      </c>
      <c r="AH206" t="s">
        <v>389</v>
      </c>
      <c r="AI206" t="s">
        <v>69</v>
      </c>
      <c r="AJ206" t="s">
        <v>69</v>
      </c>
      <c r="AK206" t="s">
        <v>69</v>
      </c>
      <c r="AL206" t="s">
        <v>69</v>
      </c>
      <c r="AM206" t="s">
        <v>69</v>
      </c>
      <c r="AN206">
        <v>64</v>
      </c>
      <c r="AO206">
        <v>10</v>
      </c>
      <c r="AP206">
        <v>10</v>
      </c>
      <c r="AQ206">
        <v>2</v>
      </c>
      <c r="AR206">
        <v>8</v>
      </c>
      <c r="AS206" t="s">
        <v>8586</v>
      </c>
      <c r="AT206" t="s">
        <v>8587</v>
      </c>
      <c r="AU206" t="s">
        <v>8588</v>
      </c>
      <c r="AV206" t="s">
        <v>2479</v>
      </c>
      <c r="AW206" t="s">
        <v>69</v>
      </c>
      <c r="AX206" t="s">
        <v>69</v>
      </c>
      <c r="AY206" t="s">
        <v>9888</v>
      </c>
      <c r="AZ206" t="s">
        <v>9889</v>
      </c>
      <c r="BA206" t="s">
        <v>69</v>
      </c>
      <c r="BB206">
        <v>2020</v>
      </c>
      <c r="BC206">
        <v>18</v>
      </c>
      <c r="BD206">
        <v>4</v>
      </c>
      <c r="BE206" t="s">
        <v>69</v>
      </c>
      <c r="BF206" t="s">
        <v>69</v>
      </c>
      <c r="BG206" t="s">
        <v>69</v>
      </c>
      <c r="BH206" t="s">
        <v>69</v>
      </c>
      <c r="BI206">
        <v>865</v>
      </c>
      <c r="BJ206">
        <v>881</v>
      </c>
      <c r="BK206" t="s">
        <v>69</v>
      </c>
      <c r="BL206" t="s">
        <v>16166</v>
      </c>
      <c r="BM206" t="str">
        <f>HYPERLINK("http://dx.doi.org/10.1108/JEDT-06-2019-0151","http://dx.doi.org/10.1108/JEDT-06-2019-0151")</f>
        <v>http://dx.doi.org/10.1108/JEDT-06-2019-0151</v>
      </c>
      <c r="BN206" t="s">
        <v>69</v>
      </c>
      <c r="BO206" t="s">
        <v>69</v>
      </c>
      <c r="BP206">
        <v>17</v>
      </c>
      <c r="BQ206" t="s">
        <v>9891</v>
      </c>
      <c r="BR206" t="s">
        <v>8573</v>
      </c>
      <c r="BS206" t="s">
        <v>8445</v>
      </c>
      <c r="BT206" t="s">
        <v>16167</v>
      </c>
      <c r="BU206" t="s">
        <v>16168</v>
      </c>
      <c r="BV206" t="s">
        <v>69</v>
      </c>
      <c r="BW206" t="s">
        <v>69</v>
      </c>
      <c r="BX206" t="s">
        <v>69</v>
      </c>
      <c r="BY206" t="s">
        <v>69</v>
      </c>
      <c r="BZ206" t="s">
        <v>8526</v>
      </c>
      <c r="CA206" t="str">
        <f>HYPERLINK("https%3A%2F%2Fwww.webofscience.com%2Fwos%2Fwoscc%2Ffull-record%2FWOS:000542493200007","View Full Record in Web of Science")</f>
        <v>View Full Record in Web of Science</v>
      </c>
    </row>
    <row r="207" spans="1:79" ht="12.5" x14ac:dyDescent="0.25">
      <c r="B207" t="s">
        <v>8495</v>
      </c>
      <c r="D207" s="22" t="s">
        <v>32931</v>
      </c>
      <c r="E207" s="7"/>
      <c r="F207" s="7"/>
      <c r="G207" s="7"/>
      <c r="H207" t="s">
        <v>67</v>
      </c>
      <c r="I207" t="s">
        <v>18036</v>
      </c>
      <c r="J207" t="s">
        <v>69</v>
      </c>
      <c r="K207" t="s">
        <v>69</v>
      </c>
      <c r="L207" t="s">
        <v>69</v>
      </c>
      <c r="M207" t="s">
        <v>18037</v>
      </c>
      <c r="N207" t="s">
        <v>69</v>
      </c>
      <c r="O207" t="s">
        <v>69</v>
      </c>
      <c r="P207" t="s">
        <v>18038</v>
      </c>
      <c r="Q207" t="s">
        <v>18039</v>
      </c>
      <c r="R207" t="s">
        <v>69</v>
      </c>
      <c r="S207" t="s">
        <v>69</v>
      </c>
      <c r="T207" t="s">
        <v>8505</v>
      </c>
      <c r="U207" t="s">
        <v>8506</v>
      </c>
      <c r="V207" t="s">
        <v>69</v>
      </c>
      <c r="W207" t="s">
        <v>69</v>
      </c>
      <c r="X207" t="s">
        <v>69</v>
      </c>
      <c r="Y207" t="s">
        <v>69</v>
      </c>
      <c r="Z207" t="s">
        <v>69</v>
      </c>
      <c r="AA207" t="s">
        <v>18040</v>
      </c>
      <c r="AB207" t="s">
        <v>18041</v>
      </c>
      <c r="AC207" t="s">
        <v>18042</v>
      </c>
      <c r="AD207" t="s">
        <v>18043</v>
      </c>
      <c r="AE207" t="s">
        <v>69</v>
      </c>
      <c r="AF207" t="s">
        <v>18044</v>
      </c>
      <c r="AG207" t="s">
        <v>18045</v>
      </c>
      <c r="AH207" t="s">
        <v>69</v>
      </c>
      <c r="AI207" t="s">
        <v>69</v>
      </c>
      <c r="AJ207" t="s">
        <v>69</v>
      </c>
      <c r="AK207" t="s">
        <v>69</v>
      </c>
      <c r="AL207" t="s">
        <v>69</v>
      </c>
      <c r="AM207" t="s">
        <v>69</v>
      </c>
      <c r="AN207">
        <v>50</v>
      </c>
      <c r="AO207">
        <v>5</v>
      </c>
      <c r="AP207">
        <v>5</v>
      </c>
      <c r="AQ207">
        <v>1</v>
      </c>
      <c r="AR207">
        <v>10</v>
      </c>
      <c r="AS207" t="s">
        <v>9554</v>
      </c>
      <c r="AT207" t="s">
        <v>9555</v>
      </c>
      <c r="AU207" t="s">
        <v>9556</v>
      </c>
      <c r="AV207" t="s">
        <v>18046</v>
      </c>
      <c r="AW207" t="s">
        <v>18047</v>
      </c>
      <c r="AX207" t="s">
        <v>69</v>
      </c>
      <c r="AY207" t="s">
        <v>18048</v>
      </c>
      <c r="AZ207" t="s">
        <v>18049</v>
      </c>
      <c r="BA207" t="s">
        <v>75</v>
      </c>
      <c r="BB207">
        <v>2018</v>
      </c>
      <c r="BC207">
        <v>49</v>
      </c>
      <c r="BD207">
        <v>6</v>
      </c>
      <c r="BE207" t="s">
        <v>69</v>
      </c>
      <c r="BF207" t="s">
        <v>69</v>
      </c>
      <c r="BG207" t="s">
        <v>69</v>
      </c>
      <c r="BH207" t="s">
        <v>69</v>
      </c>
      <c r="BI207">
        <v>602</v>
      </c>
      <c r="BJ207">
        <v>619</v>
      </c>
      <c r="BK207" t="s">
        <v>69</v>
      </c>
      <c r="BL207" t="s">
        <v>18050</v>
      </c>
      <c r="BM207" t="str">
        <f>HYPERLINK("http://dx.doi.org/10.1177/1046878118770831","http://dx.doi.org/10.1177/1046878118770831")</f>
        <v>http://dx.doi.org/10.1177/1046878118770831</v>
      </c>
      <c r="BN207" t="s">
        <v>69</v>
      </c>
      <c r="BO207" t="s">
        <v>69</v>
      </c>
      <c r="BP207">
        <v>18</v>
      </c>
      <c r="BQ207" t="s">
        <v>18051</v>
      </c>
      <c r="BR207" t="s">
        <v>8573</v>
      </c>
      <c r="BS207" t="s">
        <v>18052</v>
      </c>
      <c r="BT207" t="s">
        <v>18053</v>
      </c>
      <c r="BU207" t="s">
        <v>18054</v>
      </c>
      <c r="BV207" t="s">
        <v>69</v>
      </c>
      <c r="BW207" t="s">
        <v>69</v>
      </c>
      <c r="BX207" t="s">
        <v>69</v>
      </c>
      <c r="BY207" t="s">
        <v>69</v>
      </c>
      <c r="BZ207" t="s">
        <v>8526</v>
      </c>
      <c r="CA207" t="str">
        <f>HYPERLINK("https%3A%2F%2Fwww.webofscience.com%2Fwos%2Fwoscc%2Ffull-record%2FWOS:000453535000002","View Full Record in Web of Science")</f>
        <v>View Full Record in Web of Science</v>
      </c>
    </row>
    <row r="208" spans="1:79" ht="12.5" x14ac:dyDescent="0.25">
      <c r="B208" t="s">
        <v>8495</v>
      </c>
      <c r="D208" s="7" t="s">
        <v>32933</v>
      </c>
      <c r="E208" s="7"/>
      <c r="F208" s="7"/>
      <c r="G208" s="7"/>
      <c r="H208" t="s">
        <v>67</v>
      </c>
      <c r="I208" t="s">
        <v>8233</v>
      </c>
      <c r="J208" t="s">
        <v>69</v>
      </c>
      <c r="K208" t="s">
        <v>69</v>
      </c>
      <c r="L208" t="s">
        <v>69</v>
      </c>
      <c r="M208" t="s">
        <v>8234</v>
      </c>
      <c r="N208" t="s">
        <v>69</v>
      </c>
      <c r="O208" t="s">
        <v>69</v>
      </c>
      <c r="P208" t="s">
        <v>8235</v>
      </c>
      <c r="Q208" t="s">
        <v>2753</v>
      </c>
      <c r="R208" t="s">
        <v>69</v>
      </c>
      <c r="S208" t="s">
        <v>69</v>
      </c>
      <c r="T208" t="s">
        <v>8505</v>
      </c>
      <c r="U208" t="s">
        <v>8506</v>
      </c>
      <c r="V208" t="s">
        <v>69</v>
      </c>
      <c r="W208" t="s">
        <v>69</v>
      </c>
      <c r="X208" t="s">
        <v>69</v>
      </c>
      <c r="Y208" t="s">
        <v>69</v>
      </c>
      <c r="Z208" t="s">
        <v>69</v>
      </c>
      <c r="AA208" t="s">
        <v>14980</v>
      </c>
      <c r="AB208" t="s">
        <v>14981</v>
      </c>
      <c r="AC208" t="s">
        <v>8236</v>
      </c>
      <c r="AD208" t="s">
        <v>14982</v>
      </c>
      <c r="AE208" t="s">
        <v>69</v>
      </c>
      <c r="AF208" t="s">
        <v>14983</v>
      </c>
      <c r="AG208" t="s">
        <v>14984</v>
      </c>
      <c r="AH208" t="s">
        <v>14985</v>
      </c>
      <c r="AI208" t="s">
        <v>14986</v>
      </c>
      <c r="AJ208" t="s">
        <v>69</v>
      </c>
      <c r="AK208" t="s">
        <v>69</v>
      </c>
      <c r="AL208" t="s">
        <v>69</v>
      </c>
      <c r="AM208" t="s">
        <v>69</v>
      </c>
      <c r="AN208">
        <v>70</v>
      </c>
      <c r="AO208">
        <v>1</v>
      </c>
      <c r="AP208">
        <v>1</v>
      </c>
      <c r="AQ208">
        <v>2</v>
      </c>
      <c r="AR208">
        <v>4</v>
      </c>
      <c r="AS208" t="s">
        <v>8586</v>
      </c>
      <c r="AT208" t="s">
        <v>8587</v>
      </c>
      <c r="AU208" t="s">
        <v>8588</v>
      </c>
      <c r="AV208" t="s">
        <v>2756</v>
      </c>
      <c r="AW208" t="s">
        <v>2757</v>
      </c>
      <c r="AX208" t="s">
        <v>69</v>
      </c>
      <c r="AY208" t="s">
        <v>14987</v>
      </c>
      <c r="AZ208" t="s">
        <v>14988</v>
      </c>
      <c r="BA208" t="s">
        <v>5150</v>
      </c>
      <c r="BB208">
        <v>2020</v>
      </c>
      <c r="BC208">
        <v>38</v>
      </c>
      <c r="BD208">
        <v>3</v>
      </c>
      <c r="BE208" t="s">
        <v>69</v>
      </c>
      <c r="BF208" t="s">
        <v>69</v>
      </c>
      <c r="BG208" t="s">
        <v>69</v>
      </c>
      <c r="BH208" t="s">
        <v>69</v>
      </c>
      <c r="BI208">
        <v>457</v>
      </c>
      <c r="BJ208">
        <v>477</v>
      </c>
      <c r="BK208" t="s">
        <v>69</v>
      </c>
      <c r="BL208" t="s">
        <v>8237</v>
      </c>
      <c r="BM208" t="str">
        <f>HYPERLINK("http://dx.doi.org/10.1108/PM-03-2019-0012","http://dx.doi.org/10.1108/PM-03-2019-0012")</f>
        <v>http://dx.doi.org/10.1108/PM-03-2019-0012</v>
      </c>
      <c r="BN208" t="s">
        <v>69</v>
      </c>
      <c r="BO208" t="s">
        <v>69</v>
      </c>
      <c r="BP208">
        <v>21</v>
      </c>
      <c r="BQ208" t="s">
        <v>9410</v>
      </c>
      <c r="BR208" t="s">
        <v>8573</v>
      </c>
      <c r="BS208" t="s">
        <v>8594</v>
      </c>
      <c r="BT208" t="s">
        <v>14989</v>
      </c>
      <c r="BU208" t="s">
        <v>8238</v>
      </c>
      <c r="BV208" t="s">
        <v>69</v>
      </c>
      <c r="BW208" t="s">
        <v>69</v>
      </c>
      <c r="BX208" t="s">
        <v>69</v>
      </c>
      <c r="BY208" t="s">
        <v>69</v>
      </c>
      <c r="BZ208" t="s">
        <v>8526</v>
      </c>
      <c r="CA208" t="str">
        <f>HYPERLINK("https%3A%2F%2Fwww.webofscience.com%2Fwos%2Fwoscc%2Ffull-record%2FWOS:000536844800008","View Full Record in Web of Science")</f>
        <v>View Full Record in Web of Science</v>
      </c>
    </row>
    <row r="209" spans="2:79" x14ac:dyDescent="0.3">
      <c r="B209" t="s">
        <v>8495</v>
      </c>
      <c r="D209" s="9" t="s">
        <v>32950</v>
      </c>
      <c r="F209" s="9" t="s">
        <v>8491</v>
      </c>
      <c r="G209" s="9" t="s">
        <v>8490</v>
      </c>
      <c r="H209" t="s">
        <v>67</v>
      </c>
      <c r="I209" t="s">
        <v>14689</v>
      </c>
      <c r="J209" t="s">
        <v>69</v>
      </c>
      <c r="K209" t="s">
        <v>69</v>
      </c>
      <c r="L209" t="s">
        <v>69</v>
      </c>
      <c r="M209" t="s">
        <v>14690</v>
      </c>
      <c r="N209" t="s">
        <v>69</v>
      </c>
      <c r="O209" t="s">
        <v>69</v>
      </c>
      <c r="P209" t="s">
        <v>14691</v>
      </c>
      <c r="Q209" t="s">
        <v>14692</v>
      </c>
      <c r="R209" t="s">
        <v>69</v>
      </c>
      <c r="S209" t="s">
        <v>69</v>
      </c>
      <c r="T209" t="s">
        <v>8505</v>
      </c>
      <c r="U209" t="s">
        <v>8506</v>
      </c>
      <c r="V209" t="s">
        <v>69</v>
      </c>
      <c r="W209" t="s">
        <v>69</v>
      </c>
      <c r="X209" t="s">
        <v>69</v>
      </c>
      <c r="Y209" t="s">
        <v>69</v>
      </c>
      <c r="Z209" t="s">
        <v>69</v>
      </c>
      <c r="AA209" t="s">
        <v>14693</v>
      </c>
      <c r="AB209" t="s">
        <v>14694</v>
      </c>
      <c r="AC209" t="s">
        <v>14695</v>
      </c>
      <c r="AD209" t="s">
        <v>14696</v>
      </c>
      <c r="AE209" t="s">
        <v>69</v>
      </c>
      <c r="AF209" t="s">
        <v>14697</v>
      </c>
      <c r="AG209" t="s">
        <v>14698</v>
      </c>
      <c r="AH209" t="s">
        <v>14699</v>
      </c>
      <c r="AI209" t="s">
        <v>14700</v>
      </c>
      <c r="AJ209" t="s">
        <v>69</v>
      </c>
      <c r="AK209" t="s">
        <v>69</v>
      </c>
      <c r="AL209" t="s">
        <v>69</v>
      </c>
      <c r="AM209" t="s">
        <v>69</v>
      </c>
      <c r="AN209">
        <v>76</v>
      </c>
      <c r="AO209">
        <v>3</v>
      </c>
      <c r="AP209">
        <v>3</v>
      </c>
      <c r="AQ209">
        <v>2</v>
      </c>
      <c r="AR209">
        <v>9</v>
      </c>
      <c r="AS209" t="s">
        <v>8586</v>
      </c>
      <c r="AT209" t="s">
        <v>8587</v>
      </c>
      <c r="AU209" t="s">
        <v>8588</v>
      </c>
      <c r="AV209" t="s">
        <v>14701</v>
      </c>
      <c r="AW209" t="s">
        <v>14702</v>
      </c>
      <c r="AX209" t="s">
        <v>69</v>
      </c>
      <c r="AY209" t="s">
        <v>14703</v>
      </c>
      <c r="AZ209" t="s">
        <v>14704</v>
      </c>
      <c r="BA209" t="s">
        <v>11504</v>
      </c>
      <c r="BB209">
        <v>2021</v>
      </c>
      <c r="BC209">
        <v>29</v>
      </c>
      <c r="BD209">
        <v>1</v>
      </c>
      <c r="BE209" t="s">
        <v>69</v>
      </c>
      <c r="BF209" t="s">
        <v>69</v>
      </c>
      <c r="BG209" t="s">
        <v>69</v>
      </c>
      <c r="BH209" t="s">
        <v>69</v>
      </c>
      <c r="BI209">
        <v>39</v>
      </c>
      <c r="BJ209">
        <v>59</v>
      </c>
      <c r="BK209" t="s">
        <v>69</v>
      </c>
      <c r="BL209" t="s">
        <v>14705</v>
      </c>
      <c r="BM209" t="str">
        <f>HYPERLINK("http://dx.doi.org/10.1108/MEDAR-03-2020-0802","http://dx.doi.org/10.1108/MEDAR-03-2020-0802")</f>
        <v>http://dx.doi.org/10.1108/MEDAR-03-2020-0802</v>
      </c>
      <c r="BN209" t="s">
        <v>69</v>
      </c>
      <c r="BO209" t="s">
        <v>702</v>
      </c>
      <c r="BP209">
        <v>21</v>
      </c>
      <c r="BQ209" t="s">
        <v>9749</v>
      </c>
      <c r="BR209" t="s">
        <v>8573</v>
      </c>
      <c r="BS209" t="s">
        <v>8594</v>
      </c>
      <c r="BT209" t="s">
        <v>14706</v>
      </c>
      <c r="BU209" t="s">
        <v>14707</v>
      </c>
      <c r="BV209" t="s">
        <v>69</v>
      </c>
      <c r="BW209" t="s">
        <v>69</v>
      </c>
      <c r="BX209" t="s">
        <v>69</v>
      </c>
      <c r="BY209" t="s">
        <v>69</v>
      </c>
      <c r="BZ209" t="s">
        <v>8526</v>
      </c>
      <c r="CA209" t="str">
        <f>HYPERLINK("https%3A%2F%2Fwww.webofscience.com%2Fwos%2Fwoscc%2Ffull-record%2FWOS:000553189000001","View Full Record in Web of Science")</f>
        <v>View Full Record in Web of Science</v>
      </c>
    </row>
    <row r="210" spans="2:79" ht="12.5" x14ac:dyDescent="0.25">
      <c r="B210" t="s">
        <v>8495</v>
      </c>
      <c r="D210" s="7" t="s">
        <v>32933</v>
      </c>
      <c r="E210" s="7"/>
      <c r="F210" s="7"/>
      <c r="G210" s="7"/>
      <c r="H210" t="s">
        <v>67</v>
      </c>
      <c r="I210" t="s">
        <v>4164</v>
      </c>
      <c r="J210" t="s">
        <v>69</v>
      </c>
      <c r="K210" t="s">
        <v>69</v>
      </c>
      <c r="L210" t="s">
        <v>69</v>
      </c>
      <c r="M210" t="s">
        <v>4164</v>
      </c>
      <c r="N210" t="s">
        <v>69</v>
      </c>
      <c r="O210" t="s">
        <v>69</v>
      </c>
      <c r="P210" t="s">
        <v>4165</v>
      </c>
      <c r="Q210" t="s">
        <v>4166</v>
      </c>
      <c r="R210" t="s">
        <v>69</v>
      </c>
      <c r="S210" t="s">
        <v>69</v>
      </c>
      <c r="T210" t="s">
        <v>8505</v>
      </c>
      <c r="U210" t="s">
        <v>8506</v>
      </c>
      <c r="V210" t="s">
        <v>69</v>
      </c>
      <c r="W210" t="s">
        <v>69</v>
      </c>
      <c r="X210" t="s">
        <v>69</v>
      </c>
      <c r="Y210" t="s">
        <v>69</v>
      </c>
      <c r="Z210" t="s">
        <v>69</v>
      </c>
      <c r="AA210" t="s">
        <v>32064</v>
      </c>
      <c r="AB210" t="s">
        <v>32065</v>
      </c>
      <c r="AC210" t="s">
        <v>4167</v>
      </c>
      <c r="AD210" t="s">
        <v>32066</v>
      </c>
      <c r="AE210" t="s">
        <v>69</v>
      </c>
      <c r="AF210" t="s">
        <v>32067</v>
      </c>
      <c r="AG210" t="s">
        <v>32068</v>
      </c>
      <c r="AH210" t="s">
        <v>69</v>
      </c>
      <c r="AI210" t="s">
        <v>69</v>
      </c>
      <c r="AJ210" t="s">
        <v>69</v>
      </c>
      <c r="AK210" t="s">
        <v>69</v>
      </c>
      <c r="AL210" t="s">
        <v>69</v>
      </c>
      <c r="AM210" t="s">
        <v>69</v>
      </c>
      <c r="AN210">
        <v>61</v>
      </c>
      <c r="AO210">
        <v>7</v>
      </c>
      <c r="AP210">
        <v>7</v>
      </c>
      <c r="AQ210">
        <v>1</v>
      </c>
      <c r="AR210">
        <v>9</v>
      </c>
      <c r="AS210" t="s">
        <v>8636</v>
      </c>
      <c r="AT210" t="s">
        <v>8637</v>
      </c>
      <c r="AU210" t="s">
        <v>8638</v>
      </c>
      <c r="AV210" t="s">
        <v>4168</v>
      </c>
      <c r="AW210" t="s">
        <v>4169</v>
      </c>
      <c r="AX210" t="s">
        <v>69</v>
      </c>
      <c r="AY210" t="s">
        <v>23664</v>
      </c>
      <c r="AZ210" t="s">
        <v>23665</v>
      </c>
      <c r="BA210" t="s">
        <v>84</v>
      </c>
      <c r="BB210">
        <v>1998</v>
      </c>
      <c r="BC210">
        <v>18</v>
      </c>
      <c r="BD210">
        <v>3</v>
      </c>
      <c r="BE210" t="s">
        <v>69</v>
      </c>
      <c r="BF210" t="s">
        <v>69</v>
      </c>
      <c r="BG210" t="s">
        <v>69</v>
      </c>
      <c r="BH210" t="s">
        <v>69</v>
      </c>
      <c r="BI210">
        <v>275</v>
      </c>
      <c r="BJ210">
        <v>295</v>
      </c>
      <c r="BK210" t="s">
        <v>69</v>
      </c>
      <c r="BL210" t="s">
        <v>4170</v>
      </c>
      <c r="BM210" t="str">
        <f>HYPERLINK("http://dx.doi.org/10.1016/S0143-6228(98)00018-6","http://dx.doi.org/10.1016/S0143-6228(98)00018-6")</f>
        <v>http://dx.doi.org/10.1016/S0143-6228(98)00018-6</v>
      </c>
      <c r="BN210" t="s">
        <v>69</v>
      </c>
      <c r="BO210" t="s">
        <v>69</v>
      </c>
      <c r="BP210">
        <v>21</v>
      </c>
      <c r="BQ210" t="s">
        <v>8446</v>
      </c>
      <c r="BR210" t="s">
        <v>8661</v>
      </c>
      <c r="BS210" t="s">
        <v>8446</v>
      </c>
      <c r="BT210" t="s">
        <v>32069</v>
      </c>
      <c r="BU210" t="s">
        <v>4171</v>
      </c>
      <c r="BV210" t="s">
        <v>69</v>
      </c>
      <c r="BW210" t="s">
        <v>69</v>
      </c>
      <c r="BX210" t="s">
        <v>69</v>
      </c>
      <c r="BY210" t="s">
        <v>69</v>
      </c>
      <c r="BZ210" t="s">
        <v>8526</v>
      </c>
      <c r="CA210" t="str">
        <f>HYPERLINK("https%3A%2F%2Fwww.webofscience.com%2Fwos%2Fwoscc%2Ffull-record%2FWOS:000076692000005","View Full Record in Web of Science")</f>
        <v>View Full Record in Web of Science</v>
      </c>
    </row>
    <row r="211" spans="2:79" ht="12.5" x14ac:dyDescent="0.25">
      <c r="B211" t="s">
        <v>8495</v>
      </c>
      <c r="D211" s="7" t="s">
        <v>32933</v>
      </c>
      <c r="E211" s="7"/>
      <c r="F211" s="7"/>
      <c r="G211" s="7"/>
      <c r="H211" t="s">
        <v>67</v>
      </c>
      <c r="I211" t="s">
        <v>5702</v>
      </c>
      <c r="J211" t="s">
        <v>69</v>
      </c>
      <c r="K211" t="s">
        <v>69</v>
      </c>
      <c r="L211" t="s">
        <v>69</v>
      </c>
      <c r="M211" t="s">
        <v>5702</v>
      </c>
      <c r="N211" t="s">
        <v>69</v>
      </c>
      <c r="O211" t="s">
        <v>69</v>
      </c>
      <c r="P211" t="s">
        <v>5703</v>
      </c>
      <c r="Q211" t="s">
        <v>5129</v>
      </c>
      <c r="R211" t="s">
        <v>69</v>
      </c>
      <c r="S211" t="s">
        <v>69</v>
      </c>
      <c r="T211" t="s">
        <v>8505</v>
      </c>
      <c r="U211" t="s">
        <v>8506</v>
      </c>
      <c r="V211" t="s">
        <v>69</v>
      </c>
      <c r="W211" t="s">
        <v>69</v>
      </c>
      <c r="X211" t="s">
        <v>69</v>
      </c>
      <c r="Y211" t="s">
        <v>69</v>
      </c>
      <c r="Z211" t="s">
        <v>69</v>
      </c>
      <c r="AA211" t="s">
        <v>69</v>
      </c>
      <c r="AB211" t="s">
        <v>69</v>
      </c>
      <c r="AC211" t="s">
        <v>5704</v>
      </c>
      <c r="AD211" t="s">
        <v>30630</v>
      </c>
      <c r="AE211" t="s">
        <v>69</v>
      </c>
      <c r="AF211" t="s">
        <v>30631</v>
      </c>
      <c r="AG211" t="s">
        <v>30632</v>
      </c>
      <c r="AH211" t="s">
        <v>5705</v>
      </c>
      <c r="AI211" t="s">
        <v>5706</v>
      </c>
      <c r="AJ211" t="s">
        <v>69</v>
      </c>
      <c r="AK211" t="s">
        <v>69</v>
      </c>
      <c r="AL211" t="s">
        <v>69</v>
      </c>
      <c r="AM211" t="s">
        <v>69</v>
      </c>
      <c r="AN211">
        <v>21</v>
      </c>
      <c r="AO211">
        <v>5</v>
      </c>
      <c r="AP211">
        <v>5</v>
      </c>
      <c r="AQ211">
        <v>0</v>
      </c>
      <c r="AR211">
        <v>3</v>
      </c>
      <c r="AS211" t="s">
        <v>8865</v>
      </c>
      <c r="AT211" t="s">
        <v>8612</v>
      </c>
      <c r="AU211" t="s">
        <v>8866</v>
      </c>
      <c r="AV211" t="s">
        <v>5131</v>
      </c>
      <c r="AW211" t="s">
        <v>5707</v>
      </c>
      <c r="AX211" t="s">
        <v>69</v>
      </c>
      <c r="AY211" t="s">
        <v>30633</v>
      </c>
      <c r="AZ211" t="s">
        <v>30634</v>
      </c>
      <c r="BA211" t="s">
        <v>155</v>
      </c>
      <c r="BB211">
        <v>2005</v>
      </c>
      <c r="BC211">
        <v>21</v>
      </c>
      <c r="BD211">
        <v>2</v>
      </c>
      <c r="BE211" t="s">
        <v>69</v>
      </c>
      <c r="BF211" t="s">
        <v>69</v>
      </c>
      <c r="BG211" t="s">
        <v>69</v>
      </c>
      <c r="BH211" t="s">
        <v>69</v>
      </c>
      <c r="BI211">
        <v>325</v>
      </c>
      <c r="BJ211">
        <v>340</v>
      </c>
      <c r="BK211" t="s">
        <v>69</v>
      </c>
      <c r="BL211" t="s">
        <v>5708</v>
      </c>
      <c r="BM211" t="str">
        <f>HYPERLINK("http://dx.doi.org/10.1080/07900620500036455","http://dx.doi.org/10.1080/07900620500036455")</f>
        <v>http://dx.doi.org/10.1080/07900620500036455</v>
      </c>
      <c r="BN211" t="s">
        <v>69</v>
      </c>
      <c r="BO211" t="s">
        <v>69</v>
      </c>
      <c r="BP211">
        <v>16</v>
      </c>
      <c r="BQ211" t="s">
        <v>9096</v>
      </c>
      <c r="BR211" t="s">
        <v>8548</v>
      </c>
      <c r="BS211" t="s">
        <v>9096</v>
      </c>
      <c r="BT211" t="s">
        <v>30635</v>
      </c>
      <c r="BU211" t="s">
        <v>5709</v>
      </c>
      <c r="BV211" t="s">
        <v>69</v>
      </c>
      <c r="BW211" t="s">
        <v>69</v>
      </c>
      <c r="BX211" t="s">
        <v>69</v>
      </c>
      <c r="BY211" t="s">
        <v>69</v>
      </c>
      <c r="BZ211" t="s">
        <v>8526</v>
      </c>
      <c r="CA211" t="str">
        <f>HYPERLINK("https%3A%2F%2Fwww.webofscience.com%2Fwos%2Fwoscc%2Ffull-record%2FWOS:000230307600009","View Full Record in Web of Science")</f>
        <v>View Full Record in Web of Science</v>
      </c>
    </row>
    <row r="212" spans="2:79" ht="12.5" x14ac:dyDescent="0.25">
      <c r="B212" t="s">
        <v>8495</v>
      </c>
      <c r="D212" s="22" t="s">
        <v>32931</v>
      </c>
      <c r="E212" s="7"/>
      <c r="F212" s="7"/>
      <c r="G212" s="7"/>
      <c r="H212" t="s">
        <v>67</v>
      </c>
      <c r="I212" t="s">
        <v>8891</v>
      </c>
      <c r="J212" t="s">
        <v>69</v>
      </c>
      <c r="K212" t="s">
        <v>69</v>
      </c>
      <c r="L212" t="s">
        <v>69</v>
      </c>
      <c r="M212" t="s">
        <v>8892</v>
      </c>
      <c r="N212" t="s">
        <v>69</v>
      </c>
      <c r="O212" t="s">
        <v>69</v>
      </c>
      <c r="P212" t="s">
        <v>8893</v>
      </c>
      <c r="Q212" t="s">
        <v>8894</v>
      </c>
      <c r="R212" t="s">
        <v>69</v>
      </c>
      <c r="S212" t="s">
        <v>69</v>
      </c>
      <c r="T212" t="s">
        <v>8505</v>
      </c>
      <c r="U212" t="s">
        <v>8506</v>
      </c>
      <c r="V212" t="s">
        <v>69</v>
      </c>
      <c r="W212" t="s">
        <v>69</v>
      </c>
      <c r="X212" t="s">
        <v>69</v>
      </c>
      <c r="Y212" t="s">
        <v>69</v>
      </c>
      <c r="Z212" t="s">
        <v>69</v>
      </c>
      <c r="AA212" t="s">
        <v>69</v>
      </c>
      <c r="AB212" t="s">
        <v>69</v>
      </c>
      <c r="AC212" t="s">
        <v>8895</v>
      </c>
      <c r="AD212" t="s">
        <v>8896</v>
      </c>
      <c r="AE212" t="s">
        <v>69</v>
      </c>
      <c r="AF212" t="s">
        <v>8897</v>
      </c>
      <c r="AG212" t="s">
        <v>8898</v>
      </c>
      <c r="AH212" t="s">
        <v>69</v>
      </c>
      <c r="AI212" t="s">
        <v>69</v>
      </c>
      <c r="AJ212" t="s">
        <v>69</v>
      </c>
      <c r="AK212" t="s">
        <v>69</v>
      </c>
      <c r="AL212" t="s">
        <v>69</v>
      </c>
      <c r="AM212" t="s">
        <v>69</v>
      </c>
      <c r="AN212">
        <v>19</v>
      </c>
      <c r="AO212">
        <v>0</v>
      </c>
      <c r="AP212">
        <v>0</v>
      </c>
      <c r="AQ212">
        <v>1</v>
      </c>
      <c r="AR212">
        <v>1</v>
      </c>
      <c r="AS212" t="s">
        <v>8899</v>
      </c>
      <c r="AT212" t="s">
        <v>8900</v>
      </c>
      <c r="AU212" t="s">
        <v>8901</v>
      </c>
      <c r="AV212" t="s">
        <v>8902</v>
      </c>
      <c r="AW212" t="s">
        <v>8903</v>
      </c>
      <c r="AX212" t="s">
        <v>69</v>
      </c>
      <c r="AY212" t="s">
        <v>8904</v>
      </c>
      <c r="AZ212" t="s">
        <v>8905</v>
      </c>
      <c r="BA212" t="s">
        <v>155</v>
      </c>
      <c r="BB212">
        <v>2022</v>
      </c>
      <c r="BC212">
        <v>106</v>
      </c>
      <c r="BD212">
        <v>6</v>
      </c>
      <c r="BE212" t="s">
        <v>69</v>
      </c>
      <c r="BF212" t="s">
        <v>69</v>
      </c>
      <c r="BG212" t="s">
        <v>69</v>
      </c>
      <c r="BH212" t="s">
        <v>69</v>
      </c>
      <c r="BI212">
        <v>1646</v>
      </c>
      <c r="BJ212">
        <v>1652</v>
      </c>
      <c r="BK212" t="s">
        <v>69</v>
      </c>
      <c r="BL212" t="s">
        <v>8906</v>
      </c>
      <c r="BM212" t="str">
        <f>HYPERLINK("http://dx.doi.org/10.4269/ajtmh.21-1195","http://dx.doi.org/10.4269/ajtmh.21-1195")</f>
        <v>http://dx.doi.org/10.4269/ajtmh.21-1195</v>
      </c>
      <c r="BN212" t="s">
        <v>69</v>
      </c>
      <c r="BO212" t="s">
        <v>69</v>
      </c>
      <c r="BP212">
        <v>7</v>
      </c>
      <c r="BQ212" t="s">
        <v>8907</v>
      </c>
      <c r="BR212" t="s">
        <v>8548</v>
      </c>
      <c r="BS212" t="s">
        <v>8907</v>
      </c>
      <c r="BT212" t="s">
        <v>8908</v>
      </c>
      <c r="BU212" t="s">
        <v>8910</v>
      </c>
      <c r="BV212">
        <v>35405637</v>
      </c>
      <c r="BW212" t="s">
        <v>8909</v>
      </c>
      <c r="BX212" t="s">
        <v>69</v>
      </c>
      <c r="BY212" t="s">
        <v>69</v>
      </c>
      <c r="BZ212" t="s">
        <v>8526</v>
      </c>
      <c r="CA212" t="str">
        <f>HYPERLINK("https%3A%2F%2Fwww.webofscience.com%2Fwos%2Fwoscc%2Ffull-record%2FWOS:000828652200020","View Full Record in Web of Science")</f>
        <v>View Full Record in Web of Science</v>
      </c>
    </row>
    <row r="213" spans="2:79" ht="12.5" x14ac:dyDescent="0.25">
      <c r="B213" t="s">
        <v>8495</v>
      </c>
      <c r="D213" s="7" t="s">
        <v>32933</v>
      </c>
      <c r="E213" s="7"/>
      <c r="F213" s="7"/>
      <c r="G213" s="7"/>
      <c r="H213" t="s">
        <v>67</v>
      </c>
      <c r="I213" t="s">
        <v>1885</v>
      </c>
      <c r="J213" t="s">
        <v>69</v>
      </c>
      <c r="K213" t="s">
        <v>69</v>
      </c>
      <c r="L213" t="s">
        <v>69</v>
      </c>
      <c r="M213" t="s">
        <v>1886</v>
      </c>
      <c r="N213" t="s">
        <v>69</v>
      </c>
      <c r="O213" t="s">
        <v>69</v>
      </c>
      <c r="P213" t="s">
        <v>1887</v>
      </c>
      <c r="Q213" t="s">
        <v>352</v>
      </c>
      <c r="R213" t="s">
        <v>69</v>
      </c>
      <c r="S213" t="s">
        <v>69</v>
      </c>
      <c r="T213" t="s">
        <v>8505</v>
      </c>
      <c r="U213" t="s">
        <v>8506</v>
      </c>
      <c r="V213" t="s">
        <v>69</v>
      </c>
      <c r="W213" t="s">
        <v>69</v>
      </c>
      <c r="X213" t="s">
        <v>69</v>
      </c>
      <c r="Y213" t="s">
        <v>69</v>
      </c>
      <c r="Z213" t="s">
        <v>69</v>
      </c>
      <c r="AA213" t="s">
        <v>14370</v>
      </c>
      <c r="AB213" t="s">
        <v>14371</v>
      </c>
      <c r="AC213" t="s">
        <v>1888</v>
      </c>
      <c r="AD213" t="s">
        <v>14372</v>
      </c>
      <c r="AE213" t="s">
        <v>69</v>
      </c>
      <c r="AF213" t="s">
        <v>14373</v>
      </c>
      <c r="AG213" t="s">
        <v>14374</v>
      </c>
      <c r="AH213" t="s">
        <v>14375</v>
      </c>
      <c r="AI213" t="s">
        <v>14376</v>
      </c>
      <c r="AJ213" t="s">
        <v>14377</v>
      </c>
      <c r="AK213" t="s">
        <v>14378</v>
      </c>
      <c r="AL213" t="s">
        <v>14379</v>
      </c>
      <c r="AM213" t="s">
        <v>69</v>
      </c>
      <c r="AN213">
        <v>70</v>
      </c>
      <c r="AO213">
        <v>7</v>
      </c>
      <c r="AP213">
        <v>7</v>
      </c>
      <c r="AQ213">
        <v>5</v>
      </c>
      <c r="AR213">
        <v>32</v>
      </c>
      <c r="AS213" t="s">
        <v>8924</v>
      </c>
      <c r="AT213" t="s">
        <v>8925</v>
      </c>
      <c r="AU213" t="s">
        <v>8926</v>
      </c>
      <c r="AV213" t="s">
        <v>69</v>
      </c>
      <c r="AW213" t="s">
        <v>354</v>
      </c>
      <c r="AX213" t="s">
        <v>69</v>
      </c>
      <c r="AY213" t="s">
        <v>8958</v>
      </c>
      <c r="AZ213" t="s">
        <v>8434</v>
      </c>
      <c r="BA213" t="s">
        <v>255</v>
      </c>
      <c r="BB213">
        <v>2020</v>
      </c>
      <c r="BC213">
        <v>12</v>
      </c>
      <c r="BD213">
        <v>18</v>
      </c>
      <c r="BE213" t="s">
        <v>69</v>
      </c>
      <c r="BF213" t="s">
        <v>69</v>
      </c>
      <c r="BG213" t="s">
        <v>69</v>
      </c>
      <c r="BH213" t="s">
        <v>69</v>
      </c>
      <c r="BI213" t="s">
        <v>69</v>
      </c>
      <c r="BJ213" t="s">
        <v>69</v>
      </c>
      <c r="BK213">
        <v>7546</v>
      </c>
      <c r="BL213" t="s">
        <v>1889</v>
      </c>
      <c r="BM213" t="str">
        <f>HYPERLINK("http://dx.doi.org/10.3390/su12187546","http://dx.doi.org/10.3390/su12187546")</f>
        <v>http://dx.doi.org/10.3390/su12187546</v>
      </c>
      <c r="BN213" t="s">
        <v>69</v>
      </c>
      <c r="BO213" t="s">
        <v>69</v>
      </c>
      <c r="BP213">
        <v>16</v>
      </c>
      <c r="BQ213" t="s">
        <v>8960</v>
      </c>
      <c r="BR213" t="s">
        <v>8523</v>
      </c>
      <c r="BS213" t="s">
        <v>8961</v>
      </c>
      <c r="BT213" t="s">
        <v>14380</v>
      </c>
      <c r="BU213" t="s">
        <v>1890</v>
      </c>
      <c r="BV213" t="s">
        <v>69</v>
      </c>
      <c r="BW213" t="s">
        <v>8812</v>
      </c>
      <c r="BX213" t="s">
        <v>69</v>
      </c>
      <c r="BY213" t="s">
        <v>69</v>
      </c>
      <c r="BZ213" t="s">
        <v>8526</v>
      </c>
      <c r="CA213" t="str">
        <f>HYPERLINK("https%3A%2F%2Fwww.webofscience.com%2Fwos%2Fwoscc%2Ffull-record%2FWOS:000584314400001","View Full Record in Web of Science")</f>
        <v>View Full Record in Web of Science</v>
      </c>
    </row>
    <row r="214" spans="2:79" ht="12.5" x14ac:dyDescent="0.25">
      <c r="B214" t="s">
        <v>8495</v>
      </c>
      <c r="D214" s="7" t="s">
        <v>32933</v>
      </c>
      <c r="E214" s="7"/>
      <c r="F214" s="7"/>
      <c r="G214" s="7"/>
      <c r="H214" t="s">
        <v>67</v>
      </c>
      <c r="I214" t="s">
        <v>4613</v>
      </c>
      <c r="J214" t="s">
        <v>69</v>
      </c>
      <c r="K214" t="s">
        <v>69</v>
      </c>
      <c r="L214" t="s">
        <v>69</v>
      </c>
      <c r="M214" t="s">
        <v>4614</v>
      </c>
      <c r="N214" t="s">
        <v>69</v>
      </c>
      <c r="O214" t="s">
        <v>69</v>
      </c>
      <c r="P214" t="s">
        <v>4615</v>
      </c>
      <c r="Q214" t="s">
        <v>3237</v>
      </c>
      <c r="R214" t="s">
        <v>69</v>
      </c>
      <c r="S214" t="s">
        <v>69</v>
      </c>
      <c r="T214" t="s">
        <v>8505</v>
      </c>
      <c r="U214" t="s">
        <v>8506</v>
      </c>
      <c r="V214" t="s">
        <v>69</v>
      </c>
      <c r="W214" t="s">
        <v>69</v>
      </c>
      <c r="X214" t="s">
        <v>69</v>
      </c>
      <c r="Y214" t="s">
        <v>69</v>
      </c>
      <c r="Z214" t="s">
        <v>69</v>
      </c>
      <c r="AA214" t="s">
        <v>69</v>
      </c>
      <c r="AB214" t="s">
        <v>69</v>
      </c>
      <c r="AC214" t="s">
        <v>4616</v>
      </c>
      <c r="AD214" t="s">
        <v>20961</v>
      </c>
      <c r="AE214" t="s">
        <v>69</v>
      </c>
      <c r="AF214" t="s">
        <v>20962</v>
      </c>
      <c r="AG214" t="s">
        <v>20963</v>
      </c>
      <c r="AH214" t="s">
        <v>69</v>
      </c>
      <c r="AI214" t="s">
        <v>69</v>
      </c>
      <c r="AJ214" t="s">
        <v>20964</v>
      </c>
      <c r="AK214" t="s">
        <v>20964</v>
      </c>
      <c r="AL214" t="s">
        <v>20965</v>
      </c>
      <c r="AM214" t="s">
        <v>69</v>
      </c>
      <c r="AN214">
        <v>71</v>
      </c>
      <c r="AO214">
        <v>1</v>
      </c>
      <c r="AP214">
        <v>1</v>
      </c>
      <c r="AQ214">
        <v>0</v>
      </c>
      <c r="AR214">
        <v>3</v>
      </c>
      <c r="AS214" t="s">
        <v>8865</v>
      </c>
      <c r="AT214" t="s">
        <v>8612</v>
      </c>
      <c r="AU214" t="s">
        <v>8866</v>
      </c>
      <c r="AV214" t="s">
        <v>3239</v>
      </c>
      <c r="AW214" t="s">
        <v>3240</v>
      </c>
      <c r="AX214" t="s">
        <v>69</v>
      </c>
      <c r="AY214" t="s">
        <v>3237</v>
      </c>
      <c r="AZ214" t="s">
        <v>20966</v>
      </c>
      <c r="BA214" t="s">
        <v>69</v>
      </c>
      <c r="BB214">
        <v>2017</v>
      </c>
      <c r="BC214">
        <v>22</v>
      </c>
      <c r="BD214">
        <v>1</v>
      </c>
      <c r="BE214" t="s">
        <v>69</v>
      </c>
      <c r="BF214" t="s">
        <v>69</v>
      </c>
      <c r="BG214" t="s">
        <v>69</v>
      </c>
      <c r="BH214" t="s">
        <v>69</v>
      </c>
      <c r="BI214">
        <v>129</v>
      </c>
      <c r="BJ214">
        <v>150</v>
      </c>
      <c r="BK214" t="s">
        <v>69</v>
      </c>
      <c r="BL214" t="s">
        <v>4617</v>
      </c>
      <c r="BM214" t="str">
        <f>HYPERLINK("http://dx.doi.org/10.1080/14650045.2016.1210130","http://dx.doi.org/10.1080/14650045.2016.1210130")</f>
        <v>http://dx.doi.org/10.1080/14650045.2016.1210130</v>
      </c>
      <c r="BN214" t="s">
        <v>69</v>
      </c>
      <c r="BO214" t="s">
        <v>69</v>
      </c>
      <c r="BP214">
        <v>22</v>
      </c>
      <c r="BQ214" t="s">
        <v>14081</v>
      </c>
      <c r="BR214" t="s">
        <v>8661</v>
      </c>
      <c r="BS214" t="s">
        <v>14082</v>
      </c>
      <c r="BT214" t="s">
        <v>20967</v>
      </c>
      <c r="BU214" t="s">
        <v>4618</v>
      </c>
      <c r="BV214" t="s">
        <v>69</v>
      </c>
      <c r="BW214" t="s">
        <v>69</v>
      </c>
      <c r="BX214" t="s">
        <v>69</v>
      </c>
      <c r="BY214" t="s">
        <v>69</v>
      </c>
      <c r="BZ214" t="s">
        <v>8526</v>
      </c>
      <c r="CA214" t="str">
        <f>HYPERLINK("https%3A%2F%2Fwww.webofscience.com%2Fwos%2Fwoscc%2Ffull-record%2FWOS:000394440200008","View Full Record in Web of Science")</f>
        <v>View Full Record in Web of Science</v>
      </c>
    </row>
    <row r="215" spans="2:79" ht="12.5" x14ac:dyDescent="0.25">
      <c r="B215" t="s">
        <v>8495</v>
      </c>
      <c r="D215" s="7" t="s">
        <v>32933</v>
      </c>
      <c r="E215" s="7"/>
      <c r="F215" s="7"/>
      <c r="G215" s="7"/>
      <c r="H215" t="s">
        <v>67</v>
      </c>
      <c r="I215" t="s">
        <v>6617</v>
      </c>
      <c r="J215" t="s">
        <v>69</v>
      </c>
      <c r="K215" t="s">
        <v>69</v>
      </c>
      <c r="L215" t="s">
        <v>69</v>
      </c>
      <c r="M215" t="s">
        <v>6618</v>
      </c>
      <c r="N215" t="s">
        <v>69</v>
      </c>
      <c r="O215" t="s">
        <v>69</v>
      </c>
      <c r="P215" t="s">
        <v>6619</v>
      </c>
      <c r="Q215" t="s">
        <v>3893</v>
      </c>
      <c r="R215" t="s">
        <v>69</v>
      </c>
      <c r="S215" t="s">
        <v>69</v>
      </c>
      <c r="T215" t="s">
        <v>8505</v>
      </c>
      <c r="U215" t="s">
        <v>8506</v>
      </c>
      <c r="V215" t="s">
        <v>69</v>
      </c>
      <c r="W215" t="s">
        <v>69</v>
      </c>
      <c r="X215" t="s">
        <v>69</v>
      </c>
      <c r="Y215" t="s">
        <v>69</v>
      </c>
      <c r="Z215" t="s">
        <v>69</v>
      </c>
      <c r="AA215" t="s">
        <v>19960</v>
      </c>
      <c r="AB215" t="s">
        <v>19961</v>
      </c>
      <c r="AC215" t="s">
        <v>6620</v>
      </c>
      <c r="AD215" t="s">
        <v>19962</v>
      </c>
      <c r="AE215" t="s">
        <v>69</v>
      </c>
      <c r="AF215" t="s">
        <v>19963</v>
      </c>
      <c r="AG215" t="s">
        <v>19964</v>
      </c>
      <c r="AH215" t="s">
        <v>69</v>
      </c>
      <c r="AI215" t="s">
        <v>19965</v>
      </c>
      <c r="AJ215" t="s">
        <v>19966</v>
      </c>
      <c r="AK215" t="s">
        <v>19966</v>
      </c>
      <c r="AL215" t="s">
        <v>19967</v>
      </c>
      <c r="AM215" t="s">
        <v>69</v>
      </c>
      <c r="AN215">
        <v>58</v>
      </c>
      <c r="AO215">
        <v>2</v>
      </c>
      <c r="AP215">
        <v>2</v>
      </c>
      <c r="AQ215">
        <v>0</v>
      </c>
      <c r="AR215">
        <v>9</v>
      </c>
      <c r="AS215" t="s">
        <v>10352</v>
      </c>
      <c r="AT215" t="s">
        <v>8637</v>
      </c>
      <c r="AU215" t="s">
        <v>10353</v>
      </c>
      <c r="AV215" t="s">
        <v>3896</v>
      </c>
      <c r="AW215" t="s">
        <v>6621</v>
      </c>
      <c r="AX215" t="s">
        <v>69</v>
      </c>
      <c r="AY215" t="s">
        <v>19968</v>
      </c>
      <c r="AZ215" t="s">
        <v>19969</v>
      </c>
      <c r="BA215" t="s">
        <v>381</v>
      </c>
      <c r="BB215">
        <v>2017</v>
      </c>
      <c r="BC215">
        <v>32</v>
      </c>
      <c r="BD215">
        <v>5</v>
      </c>
      <c r="BE215" t="s">
        <v>69</v>
      </c>
      <c r="BF215" t="s">
        <v>69</v>
      </c>
      <c r="BG215" t="s">
        <v>69</v>
      </c>
      <c r="BH215" t="s">
        <v>69</v>
      </c>
      <c r="BI215">
        <v>840</v>
      </c>
      <c r="BJ215">
        <v>849</v>
      </c>
      <c r="BK215" t="s">
        <v>69</v>
      </c>
      <c r="BL215" t="s">
        <v>6622</v>
      </c>
      <c r="BM215" t="str">
        <f>HYPERLINK("http://dx.doi.org/10.1093/heapro/daw016","http://dx.doi.org/10.1093/heapro/daw016")</f>
        <v>http://dx.doi.org/10.1093/heapro/daw016</v>
      </c>
      <c r="BN215" t="s">
        <v>69</v>
      </c>
      <c r="BO215" t="s">
        <v>69</v>
      </c>
      <c r="BP215">
        <v>10</v>
      </c>
      <c r="BQ215" t="s">
        <v>19970</v>
      </c>
      <c r="BR215" t="s">
        <v>8661</v>
      </c>
      <c r="BS215" t="s">
        <v>11565</v>
      </c>
      <c r="BT215" t="s">
        <v>19971</v>
      </c>
      <c r="BU215" t="s">
        <v>6623</v>
      </c>
      <c r="BV215">
        <v>27006367</v>
      </c>
      <c r="BW215" t="s">
        <v>9374</v>
      </c>
      <c r="BX215" t="s">
        <v>69</v>
      </c>
      <c r="BY215" t="s">
        <v>69</v>
      </c>
      <c r="BZ215" t="s">
        <v>8526</v>
      </c>
      <c r="CA215" t="str">
        <f>HYPERLINK("https%3A%2F%2Fwww.webofscience.com%2Fwos%2Fwoscc%2Ffull-record%2FWOS:000412570300009","View Full Record in Web of Science")</f>
        <v>View Full Record in Web of Science</v>
      </c>
    </row>
    <row r="216" spans="2:79" ht="12.5" x14ac:dyDescent="0.25">
      <c r="B216" t="s">
        <v>8495</v>
      </c>
      <c r="D216" s="22" t="s">
        <v>32931</v>
      </c>
      <c r="E216" s="7"/>
      <c r="F216" s="7"/>
      <c r="G216" s="7"/>
      <c r="H216" t="s">
        <v>67</v>
      </c>
      <c r="I216" t="s">
        <v>15165</v>
      </c>
      <c r="J216" t="s">
        <v>69</v>
      </c>
      <c r="K216" t="s">
        <v>69</v>
      </c>
      <c r="L216" t="s">
        <v>69</v>
      </c>
      <c r="M216" t="s">
        <v>15166</v>
      </c>
      <c r="N216" t="s">
        <v>69</v>
      </c>
      <c r="O216" t="s">
        <v>69</v>
      </c>
      <c r="P216" t="s">
        <v>15167</v>
      </c>
      <c r="Q216" t="s">
        <v>15168</v>
      </c>
      <c r="R216" t="s">
        <v>69</v>
      </c>
      <c r="S216" t="s">
        <v>69</v>
      </c>
      <c r="T216" t="s">
        <v>8505</v>
      </c>
      <c r="U216" t="s">
        <v>8506</v>
      </c>
      <c r="V216" t="s">
        <v>69</v>
      </c>
      <c r="W216" t="s">
        <v>69</v>
      </c>
      <c r="X216" t="s">
        <v>69</v>
      </c>
      <c r="Y216" t="s">
        <v>69</v>
      </c>
      <c r="Z216" t="s">
        <v>69</v>
      </c>
      <c r="AA216" t="s">
        <v>15169</v>
      </c>
      <c r="AB216" t="s">
        <v>15170</v>
      </c>
      <c r="AC216" t="s">
        <v>15171</v>
      </c>
      <c r="AD216" t="s">
        <v>15172</v>
      </c>
      <c r="AE216" t="s">
        <v>69</v>
      </c>
      <c r="AF216" t="s">
        <v>15173</v>
      </c>
      <c r="AG216" t="s">
        <v>15174</v>
      </c>
      <c r="AH216" t="s">
        <v>15175</v>
      </c>
      <c r="AI216" t="s">
        <v>15176</v>
      </c>
      <c r="AJ216" t="s">
        <v>15177</v>
      </c>
      <c r="AK216" t="s">
        <v>15177</v>
      </c>
      <c r="AL216" t="s">
        <v>15178</v>
      </c>
      <c r="AM216" t="s">
        <v>69</v>
      </c>
      <c r="AN216">
        <v>48</v>
      </c>
      <c r="AO216">
        <v>2</v>
      </c>
      <c r="AP216">
        <v>2</v>
      </c>
      <c r="AQ216">
        <v>1</v>
      </c>
      <c r="AR216">
        <v>3</v>
      </c>
      <c r="AS216" t="s">
        <v>8846</v>
      </c>
      <c r="AT216" t="s">
        <v>8847</v>
      </c>
      <c r="AU216" t="s">
        <v>8848</v>
      </c>
      <c r="AV216" t="s">
        <v>15179</v>
      </c>
      <c r="AW216" t="s">
        <v>15180</v>
      </c>
      <c r="AX216" t="s">
        <v>69</v>
      </c>
      <c r="AY216" t="s">
        <v>15181</v>
      </c>
      <c r="AZ216" t="s">
        <v>15182</v>
      </c>
      <c r="BA216" t="s">
        <v>373</v>
      </c>
      <c r="BB216">
        <v>2021</v>
      </c>
      <c r="BC216">
        <v>27</v>
      </c>
      <c r="BD216">
        <v>1</v>
      </c>
      <c r="BE216" t="s">
        <v>69</v>
      </c>
      <c r="BF216" t="s">
        <v>69</v>
      </c>
      <c r="BG216" t="s">
        <v>69</v>
      </c>
      <c r="BH216" t="s">
        <v>69</v>
      </c>
      <c r="BI216">
        <v>98</v>
      </c>
      <c r="BJ216">
        <v>119</v>
      </c>
      <c r="BK216" t="s">
        <v>69</v>
      </c>
      <c r="BL216" t="s">
        <v>15183</v>
      </c>
      <c r="BM216" t="str">
        <f>HYPERLINK("http://dx.doi.org/10.1111/eufm.12268","http://dx.doi.org/10.1111/eufm.12268")</f>
        <v>http://dx.doi.org/10.1111/eufm.12268</v>
      </c>
      <c r="BN216" t="s">
        <v>69</v>
      </c>
      <c r="BO216" t="s">
        <v>732</v>
      </c>
      <c r="BP216">
        <v>22</v>
      </c>
      <c r="BQ216" t="s">
        <v>9749</v>
      </c>
      <c r="BR216" t="s">
        <v>8661</v>
      </c>
      <c r="BS216" t="s">
        <v>8594</v>
      </c>
      <c r="BT216" t="s">
        <v>15184</v>
      </c>
      <c r="BU216" t="s">
        <v>15185</v>
      </c>
      <c r="BV216" t="s">
        <v>69</v>
      </c>
      <c r="BW216" t="s">
        <v>10995</v>
      </c>
      <c r="BX216" t="s">
        <v>69</v>
      </c>
      <c r="BY216" t="s">
        <v>69</v>
      </c>
      <c r="BZ216" t="s">
        <v>8526</v>
      </c>
      <c r="CA216" t="str">
        <f>HYPERLINK("https%3A%2F%2Fwww.webofscience.com%2Fwos%2Fwoscc%2Ffull-record%2FWOS:000533558300001","View Full Record in Web of Science")</f>
        <v>View Full Record in Web of Science</v>
      </c>
    </row>
    <row r="217" spans="2:79" ht="12.5" x14ac:dyDescent="0.25">
      <c r="B217" t="s">
        <v>8495</v>
      </c>
      <c r="D217" s="22" t="s">
        <v>32931</v>
      </c>
      <c r="E217" s="7"/>
      <c r="F217" s="7"/>
      <c r="G217" s="7"/>
      <c r="H217" t="s">
        <v>67</v>
      </c>
      <c r="I217" t="s">
        <v>14906</v>
      </c>
      <c r="J217" t="s">
        <v>69</v>
      </c>
      <c r="K217" t="s">
        <v>69</v>
      </c>
      <c r="L217" t="s">
        <v>69</v>
      </c>
      <c r="M217" t="s">
        <v>14907</v>
      </c>
      <c r="N217" t="s">
        <v>69</v>
      </c>
      <c r="O217" t="s">
        <v>69</v>
      </c>
      <c r="P217" t="s">
        <v>14908</v>
      </c>
      <c r="Q217" t="s">
        <v>14038</v>
      </c>
      <c r="R217" t="s">
        <v>69</v>
      </c>
      <c r="S217" t="s">
        <v>69</v>
      </c>
      <c r="T217" t="s">
        <v>8505</v>
      </c>
      <c r="U217" t="s">
        <v>8506</v>
      </c>
      <c r="V217" t="s">
        <v>69</v>
      </c>
      <c r="W217" t="s">
        <v>69</v>
      </c>
      <c r="X217" t="s">
        <v>69</v>
      </c>
      <c r="Y217" t="s">
        <v>69</v>
      </c>
      <c r="Z217" t="s">
        <v>69</v>
      </c>
      <c r="AA217" t="s">
        <v>14909</v>
      </c>
      <c r="AB217" t="s">
        <v>14910</v>
      </c>
      <c r="AC217" t="s">
        <v>14911</v>
      </c>
      <c r="AD217" t="s">
        <v>14912</v>
      </c>
      <c r="AE217" t="s">
        <v>69</v>
      </c>
      <c r="AF217" t="s">
        <v>14913</v>
      </c>
      <c r="AG217" t="s">
        <v>14914</v>
      </c>
      <c r="AH217" t="s">
        <v>14915</v>
      </c>
      <c r="AI217" t="s">
        <v>14916</v>
      </c>
      <c r="AJ217" t="s">
        <v>14917</v>
      </c>
      <c r="AK217" t="s">
        <v>14918</v>
      </c>
      <c r="AL217" t="s">
        <v>14919</v>
      </c>
      <c r="AM217" t="s">
        <v>69</v>
      </c>
      <c r="AN217">
        <v>35</v>
      </c>
      <c r="AO217">
        <v>5</v>
      </c>
      <c r="AP217">
        <v>5</v>
      </c>
      <c r="AQ217">
        <v>3</v>
      </c>
      <c r="AR217">
        <v>5</v>
      </c>
      <c r="AS217" t="s">
        <v>9203</v>
      </c>
      <c r="AT217" t="s">
        <v>8763</v>
      </c>
      <c r="AU217" t="s">
        <v>9204</v>
      </c>
      <c r="AV217" t="s">
        <v>69</v>
      </c>
      <c r="AW217" t="s">
        <v>14047</v>
      </c>
      <c r="AX217" t="s">
        <v>69</v>
      </c>
      <c r="AY217" t="s">
        <v>14048</v>
      </c>
      <c r="AZ217" t="s">
        <v>14049</v>
      </c>
      <c r="BA217" t="s">
        <v>14920</v>
      </c>
      <c r="BB217">
        <v>2020</v>
      </c>
      <c r="BC217">
        <v>21</v>
      </c>
      <c r="BD217">
        <v>1</v>
      </c>
      <c r="BE217" t="s">
        <v>69</v>
      </c>
      <c r="BF217" t="s">
        <v>69</v>
      </c>
      <c r="BG217" t="s">
        <v>69</v>
      </c>
      <c r="BH217" t="s">
        <v>69</v>
      </c>
      <c r="BI217" t="s">
        <v>69</v>
      </c>
      <c r="BJ217" t="s">
        <v>69</v>
      </c>
      <c r="BK217" t="s">
        <v>69</v>
      </c>
      <c r="BL217" t="s">
        <v>14921</v>
      </c>
      <c r="BM217" t="str">
        <f>HYPERLINK("http://dx.doi.org/10.1186/s12875-020-01188-9","http://dx.doi.org/10.1186/s12875-020-01188-9")</f>
        <v>http://dx.doi.org/10.1186/s12875-020-01188-9</v>
      </c>
      <c r="BN217" t="s">
        <v>69</v>
      </c>
      <c r="BO217" t="s">
        <v>69</v>
      </c>
      <c r="BP217">
        <v>10</v>
      </c>
      <c r="BQ217" t="s">
        <v>14051</v>
      </c>
      <c r="BR217" t="s">
        <v>8523</v>
      </c>
      <c r="BS217" t="s">
        <v>9451</v>
      </c>
      <c r="BT217" t="s">
        <v>14922</v>
      </c>
      <c r="BU217" t="s">
        <v>14923</v>
      </c>
      <c r="BV217">
        <v>32576144</v>
      </c>
      <c r="BW217" t="s">
        <v>10482</v>
      </c>
      <c r="BX217" t="s">
        <v>69</v>
      </c>
      <c r="BY217" t="s">
        <v>69</v>
      </c>
      <c r="BZ217" t="s">
        <v>8526</v>
      </c>
      <c r="CA217" t="str">
        <f>HYPERLINK("https%3A%2F%2Fwww.webofscience.com%2Fwos%2Fwoscc%2Ffull-record%2FWOS:000544892500002","View Full Record in Web of Science")</f>
        <v>View Full Record in Web of Science</v>
      </c>
    </row>
    <row r="218" spans="2:79" ht="12.5" x14ac:dyDescent="0.25">
      <c r="B218" t="s">
        <v>8495</v>
      </c>
      <c r="D218" s="7" t="s">
        <v>32933</v>
      </c>
      <c r="E218" s="7"/>
      <c r="F218" s="7"/>
      <c r="G218" s="7"/>
      <c r="H218" t="s">
        <v>67</v>
      </c>
      <c r="I218" t="s">
        <v>5741</v>
      </c>
      <c r="J218" t="s">
        <v>69</v>
      </c>
      <c r="K218" t="s">
        <v>69</v>
      </c>
      <c r="L218" t="s">
        <v>69</v>
      </c>
      <c r="M218" t="s">
        <v>5742</v>
      </c>
      <c r="N218" t="s">
        <v>69</v>
      </c>
      <c r="O218" t="s">
        <v>69</v>
      </c>
      <c r="P218" t="s">
        <v>5743</v>
      </c>
      <c r="Q218" t="s">
        <v>2475</v>
      </c>
      <c r="R218" t="s">
        <v>69</v>
      </c>
      <c r="S218" t="s">
        <v>69</v>
      </c>
      <c r="T218" t="s">
        <v>8505</v>
      </c>
      <c r="U218" t="s">
        <v>8506</v>
      </c>
      <c r="V218" t="s">
        <v>69</v>
      </c>
      <c r="W218" t="s">
        <v>69</v>
      </c>
      <c r="X218" t="s">
        <v>69</v>
      </c>
      <c r="Y218" t="s">
        <v>69</v>
      </c>
      <c r="Z218" t="s">
        <v>69</v>
      </c>
      <c r="AA218" t="s">
        <v>23252</v>
      </c>
      <c r="AB218" t="s">
        <v>23253</v>
      </c>
      <c r="AC218" t="s">
        <v>5744</v>
      </c>
      <c r="AD218" t="s">
        <v>23254</v>
      </c>
      <c r="AE218" t="s">
        <v>69</v>
      </c>
      <c r="AF218" t="s">
        <v>23255</v>
      </c>
      <c r="AG218" t="s">
        <v>23256</v>
      </c>
      <c r="AH218" t="s">
        <v>69</v>
      </c>
      <c r="AI218" t="s">
        <v>23257</v>
      </c>
      <c r="AJ218" t="s">
        <v>69</v>
      </c>
      <c r="AK218" t="s">
        <v>69</v>
      </c>
      <c r="AL218" t="s">
        <v>69</v>
      </c>
      <c r="AM218" t="s">
        <v>69</v>
      </c>
      <c r="AN218">
        <v>87</v>
      </c>
      <c r="AO218">
        <v>4</v>
      </c>
      <c r="AP218">
        <v>4</v>
      </c>
      <c r="AQ218">
        <v>0</v>
      </c>
      <c r="AR218">
        <v>7</v>
      </c>
      <c r="AS218" t="s">
        <v>8586</v>
      </c>
      <c r="AT218" t="s">
        <v>8587</v>
      </c>
      <c r="AU218" t="s">
        <v>8588</v>
      </c>
      <c r="AV218" t="s">
        <v>2479</v>
      </c>
      <c r="AW218" t="s">
        <v>69</v>
      </c>
      <c r="AX218" t="s">
        <v>69</v>
      </c>
      <c r="AY218" t="s">
        <v>9888</v>
      </c>
      <c r="AZ218" t="s">
        <v>9889</v>
      </c>
      <c r="BA218" t="s">
        <v>69</v>
      </c>
      <c r="BB218">
        <v>2015</v>
      </c>
      <c r="BC218">
        <v>13</v>
      </c>
      <c r="BD218">
        <v>4</v>
      </c>
      <c r="BE218" t="s">
        <v>69</v>
      </c>
      <c r="BF218" t="s">
        <v>69</v>
      </c>
      <c r="BG218" t="s">
        <v>69</v>
      </c>
      <c r="BH218" t="s">
        <v>69</v>
      </c>
      <c r="BI218">
        <v>612</v>
      </c>
      <c r="BJ218">
        <v>631</v>
      </c>
      <c r="BK218" t="s">
        <v>69</v>
      </c>
      <c r="BL218" t="s">
        <v>5745</v>
      </c>
      <c r="BM218" t="str">
        <f>HYPERLINK("http://dx.doi.org/10.1108/JEDT-10-2014-0067","http://dx.doi.org/10.1108/JEDT-10-2014-0067")</f>
        <v>http://dx.doi.org/10.1108/JEDT-10-2014-0067</v>
      </c>
      <c r="BN218" t="s">
        <v>69</v>
      </c>
      <c r="BO218" t="s">
        <v>69</v>
      </c>
      <c r="BP218">
        <v>20</v>
      </c>
      <c r="BQ218" t="s">
        <v>9891</v>
      </c>
      <c r="BR218" t="s">
        <v>8573</v>
      </c>
      <c r="BS218" t="s">
        <v>8445</v>
      </c>
      <c r="BT218" t="s">
        <v>23258</v>
      </c>
      <c r="BU218" t="s">
        <v>5746</v>
      </c>
      <c r="BV218" t="s">
        <v>69</v>
      </c>
      <c r="BW218" t="s">
        <v>69</v>
      </c>
      <c r="BX218" t="s">
        <v>69</v>
      </c>
      <c r="BY218" t="s">
        <v>69</v>
      </c>
      <c r="BZ218" t="s">
        <v>8526</v>
      </c>
      <c r="CA218" t="str">
        <f>HYPERLINK("https%3A%2F%2Fwww.webofscience.com%2Fwos%2Fwoscc%2Ffull-record%2FWOS:000216278300007","View Full Record in Web of Science")</f>
        <v>View Full Record in Web of Science</v>
      </c>
    </row>
    <row r="219" spans="2:79" ht="12.5" x14ac:dyDescent="0.25">
      <c r="B219" t="s">
        <v>8495</v>
      </c>
      <c r="D219" s="22" t="s">
        <v>32931</v>
      </c>
      <c r="E219" s="7"/>
      <c r="F219" s="7"/>
      <c r="G219" s="7"/>
      <c r="H219" t="s">
        <v>67</v>
      </c>
      <c r="I219" t="s">
        <v>12583</v>
      </c>
      <c r="J219" t="s">
        <v>69</v>
      </c>
      <c r="K219" t="s">
        <v>69</v>
      </c>
      <c r="L219" t="s">
        <v>69</v>
      </c>
      <c r="M219" t="s">
        <v>12584</v>
      </c>
      <c r="N219" t="s">
        <v>69</v>
      </c>
      <c r="O219" t="s">
        <v>69</v>
      </c>
      <c r="P219" t="s">
        <v>12585</v>
      </c>
      <c r="Q219" t="s">
        <v>2107</v>
      </c>
      <c r="R219" t="s">
        <v>69</v>
      </c>
      <c r="S219" t="s">
        <v>69</v>
      </c>
      <c r="T219" t="s">
        <v>8505</v>
      </c>
      <c r="U219" t="s">
        <v>8506</v>
      </c>
      <c r="V219" t="s">
        <v>69</v>
      </c>
      <c r="W219" t="s">
        <v>69</v>
      </c>
      <c r="X219" t="s">
        <v>69</v>
      </c>
      <c r="Y219" t="s">
        <v>69</v>
      </c>
      <c r="Z219" t="s">
        <v>69</v>
      </c>
      <c r="AA219" t="s">
        <v>12586</v>
      </c>
      <c r="AB219" t="s">
        <v>69</v>
      </c>
      <c r="AC219" t="s">
        <v>12587</v>
      </c>
      <c r="AD219" t="s">
        <v>12588</v>
      </c>
      <c r="AE219" t="s">
        <v>69</v>
      </c>
      <c r="AF219" t="s">
        <v>12589</v>
      </c>
      <c r="AG219" t="s">
        <v>12590</v>
      </c>
      <c r="AH219" t="s">
        <v>69</v>
      </c>
      <c r="AI219" t="s">
        <v>12591</v>
      </c>
      <c r="AJ219" t="s">
        <v>69</v>
      </c>
      <c r="AK219" t="s">
        <v>69</v>
      </c>
      <c r="AL219" t="s">
        <v>69</v>
      </c>
      <c r="AM219" t="s">
        <v>69</v>
      </c>
      <c r="AN219">
        <v>78</v>
      </c>
      <c r="AO219">
        <v>3</v>
      </c>
      <c r="AP219">
        <v>3</v>
      </c>
      <c r="AQ219">
        <v>1</v>
      </c>
      <c r="AR219">
        <v>4</v>
      </c>
      <c r="AS219" t="s">
        <v>8924</v>
      </c>
      <c r="AT219" t="s">
        <v>8925</v>
      </c>
      <c r="AU219" t="s">
        <v>8926</v>
      </c>
      <c r="AV219" t="s">
        <v>69</v>
      </c>
      <c r="AW219" t="s">
        <v>2110</v>
      </c>
      <c r="AX219" t="s">
        <v>69</v>
      </c>
      <c r="AY219" t="s">
        <v>10592</v>
      </c>
      <c r="AZ219" t="s">
        <v>10593</v>
      </c>
      <c r="BA219" t="s">
        <v>246</v>
      </c>
      <c r="BB219">
        <v>2021</v>
      </c>
      <c r="BC219">
        <v>18</v>
      </c>
      <c r="BD219">
        <v>7</v>
      </c>
      <c r="BE219" t="s">
        <v>69</v>
      </c>
      <c r="BF219" t="s">
        <v>69</v>
      </c>
      <c r="BG219" t="s">
        <v>69</v>
      </c>
      <c r="BH219" t="s">
        <v>69</v>
      </c>
      <c r="BI219" t="s">
        <v>69</v>
      </c>
      <c r="BJ219" t="s">
        <v>69</v>
      </c>
      <c r="BK219">
        <v>3553</v>
      </c>
      <c r="BL219" t="s">
        <v>12592</v>
      </c>
      <c r="BM219" t="str">
        <f>HYPERLINK("http://dx.doi.org/10.3390/ijerph18073553","http://dx.doi.org/10.3390/ijerph18073553")</f>
        <v>http://dx.doi.org/10.3390/ijerph18073553</v>
      </c>
      <c r="BN219" t="s">
        <v>69</v>
      </c>
      <c r="BO219" t="s">
        <v>69</v>
      </c>
      <c r="BP219">
        <v>18</v>
      </c>
      <c r="BQ219" t="s">
        <v>10595</v>
      </c>
      <c r="BR219" t="s">
        <v>8523</v>
      </c>
      <c r="BS219" t="s">
        <v>10596</v>
      </c>
      <c r="BT219" t="s">
        <v>12593</v>
      </c>
      <c r="BU219" t="s">
        <v>12594</v>
      </c>
      <c r="BV219">
        <v>33805581</v>
      </c>
      <c r="BW219" t="s">
        <v>9352</v>
      </c>
      <c r="BX219" t="s">
        <v>69</v>
      </c>
      <c r="BY219" t="s">
        <v>69</v>
      </c>
      <c r="BZ219" t="s">
        <v>8526</v>
      </c>
      <c r="CA219" t="str">
        <f>HYPERLINK("https%3A%2F%2Fwww.webofscience.com%2Fwos%2Fwoscc%2Ffull-record%2FWOS:000638519200001","View Full Record in Web of Science")</f>
        <v>View Full Record in Web of Science</v>
      </c>
    </row>
    <row r="220" spans="2:79" ht="12.5" x14ac:dyDescent="0.25">
      <c r="B220" t="s">
        <v>8495</v>
      </c>
      <c r="D220" s="7" t="s">
        <v>32933</v>
      </c>
      <c r="E220" s="7"/>
      <c r="F220" s="7"/>
      <c r="G220" s="7"/>
      <c r="H220" t="s">
        <v>67</v>
      </c>
      <c r="I220" t="s">
        <v>1891</v>
      </c>
      <c r="J220" t="s">
        <v>69</v>
      </c>
      <c r="K220" t="s">
        <v>69</v>
      </c>
      <c r="L220" t="s">
        <v>69</v>
      </c>
      <c r="M220" t="s">
        <v>1892</v>
      </c>
      <c r="N220" t="s">
        <v>69</v>
      </c>
      <c r="O220" t="s">
        <v>69</v>
      </c>
      <c r="P220" t="s">
        <v>1893</v>
      </c>
      <c r="Q220" t="s">
        <v>1894</v>
      </c>
      <c r="R220" t="s">
        <v>69</v>
      </c>
      <c r="S220" t="s">
        <v>69</v>
      </c>
      <c r="T220" t="s">
        <v>8505</v>
      </c>
      <c r="U220" t="s">
        <v>8506</v>
      </c>
      <c r="V220" t="s">
        <v>69</v>
      </c>
      <c r="W220" t="s">
        <v>69</v>
      </c>
      <c r="X220" t="s">
        <v>69</v>
      </c>
      <c r="Y220" t="s">
        <v>69</v>
      </c>
      <c r="Z220" t="s">
        <v>69</v>
      </c>
      <c r="AA220" t="s">
        <v>14435</v>
      </c>
      <c r="AB220" t="s">
        <v>14436</v>
      </c>
      <c r="AC220" t="s">
        <v>1895</v>
      </c>
      <c r="AD220" t="s">
        <v>14437</v>
      </c>
      <c r="AE220" t="s">
        <v>69</v>
      </c>
      <c r="AF220" t="s">
        <v>14438</v>
      </c>
      <c r="AG220" t="s">
        <v>14439</v>
      </c>
      <c r="AH220" t="s">
        <v>69</v>
      </c>
      <c r="AI220" t="s">
        <v>14440</v>
      </c>
      <c r="AJ220" t="s">
        <v>69</v>
      </c>
      <c r="AK220" t="s">
        <v>69</v>
      </c>
      <c r="AL220" t="s">
        <v>69</v>
      </c>
      <c r="AM220" t="s">
        <v>69</v>
      </c>
      <c r="AN220">
        <v>35</v>
      </c>
      <c r="AO220">
        <v>0</v>
      </c>
      <c r="AP220">
        <v>0</v>
      </c>
      <c r="AQ220">
        <v>2</v>
      </c>
      <c r="AR220">
        <v>2</v>
      </c>
      <c r="AS220" t="s">
        <v>8692</v>
      </c>
      <c r="AT220" t="s">
        <v>8693</v>
      </c>
      <c r="AU220" t="s">
        <v>8694</v>
      </c>
      <c r="AV220" t="s">
        <v>1896</v>
      </c>
      <c r="AW220" t="s">
        <v>69</v>
      </c>
      <c r="AX220" t="s">
        <v>69</v>
      </c>
      <c r="AY220" t="s">
        <v>14441</v>
      </c>
      <c r="AZ220" t="s">
        <v>14442</v>
      </c>
      <c r="BA220" t="s">
        <v>255</v>
      </c>
      <c r="BB220">
        <v>2020</v>
      </c>
      <c r="BC220">
        <v>51</v>
      </c>
      <c r="BD220">
        <v>3</v>
      </c>
      <c r="BE220" t="s">
        <v>69</v>
      </c>
      <c r="BF220" t="s">
        <v>69</v>
      </c>
      <c r="BG220" t="s">
        <v>69</v>
      </c>
      <c r="BH220" t="s">
        <v>69</v>
      </c>
      <c r="BI220">
        <v>425</v>
      </c>
      <c r="BJ220">
        <v>435</v>
      </c>
      <c r="BK220" t="s">
        <v>69</v>
      </c>
      <c r="BL220" t="s">
        <v>1897</v>
      </c>
      <c r="BM220" t="str">
        <f>HYPERLINK("http://dx.doi.org/10.1016/j.jmir.2020.05.002","http://dx.doi.org/10.1016/j.jmir.2020.05.002")</f>
        <v>http://dx.doi.org/10.1016/j.jmir.2020.05.002</v>
      </c>
      <c r="BN220" t="s">
        <v>69</v>
      </c>
      <c r="BO220" t="s">
        <v>69</v>
      </c>
      <c r="BP220">
        <v>11</v>
      </c>
      <c r="BQ220" t="s">
        <v>14443</v>
      </c>
      <c r="BR220" t="s">
        <v>8573</v>
      </c>
      <c r="BS220" t="s">
        <v>14443</v>
      </c>
      <c r="BT220" t="s">
        <v>14444</v>
      </c>
      <c r="BU220" t="s">
        <v>1898</v>
      </c>
      <c r="BV220">
        <v>32536512</v>
      </c>
      <c r="BW220" t="s">
        <v>69</v>
      </c>
      <c r="BX220" t="s">
        <v>69</v>
      </c>
      <c r="BY220" t="s">
        <v>69</v>
      </c>
      <c r="BZ220" t="s">
        <v>8526</v>
      </c>
      <c r="CA220" t="str">
        <f>HYPERLINK("https%3A%2F%2Fwww.webofscience.com%2Fwos%2Fwoscc%2Ffull-record%2FWOS:000576693700002","View Full Record in Web of Science")</f>
        <v>View Full Record in Web of Science</v>
      </c>
    </row>
    <row r="221" spans="2:79" ht="12.5" x14ac:dyDescent="0.25">
      <c r="B221" t="s">
        <v>8495</v>
      </c>
      <c r="D221" s="22" t="s">
        <v>32931</v>
      </c>
      <c r="E221" s="7"/>
      <c r="F221" s="7"/>
      <c r="G221" s="7"/>
      <c r="H221" t="s">
        <v>67</v>
      </c>
      <c r="I221" t="s">
        <v>15652</v>
      </c>
      <c r="J221" t="s">
        <v>69</v>
      </c>
      <c r="K221" t="s">
        <v>69</v>
      </c>
      <c r="L221" t="s">
        <v>69</v>
      </c>
      <c r="M221" t="s">
        <v>15653</v>
      </c>
      <c r="N221" t="s">
        <v>69</v>
      </c>
      <c r="O221" t="s">
        <v>69</v>
      </c>
      <c r="P221" t="s">
        <v>15654</v>
      </c>
      <c r="Q221" t="s">
        <v>15655</v>
      </c>
      <c r="R221" t="s">
        <v>69</v>
      </c>
      <c r="S221" t="s">
        <v>69</v>
      </c>
      <c r="T221" t="s">
        <v>8505</v>
      </c>
      <c r="U221" t="s">
        <v>8506</v>
      </c>
      <c r="V221" t="s">
        <v>69</v>
      </c>
      <c r="W221" t="s">
        <v>69</v>
      </c>
      <c r="X221" t="s">
        <v>69</v>
      </c>
      <c r="Y221" t="s">
        <v>69</v>
      </c>
      <c r="Z221" t="s">
        <v>69</v>
      </c>
      <c r="AA221" t="s">
        <v>15656</v>
      </c>
      <c r="AB221" t="s">
        <v>69</v>
      </c>
      <c r="AC221" t="s">
        <v>15657</v>
      </c>
      <c r="AD221" t="s">
        <v>15658</v>
      </c>
      <c r="AE221" t="s">
        <v>69</v>
      </c>
      <c r="AF221" t="s">
        <v>15659</v>
      </c>
      <c r="AG221" t="s">
        <v>15660</v>
      </c>
      <c r="AH221" t="s">
        <v>69</v>
      </c>
      <c r="AI221" t="s">
        <v>15661</v>
      </c>
      <c r="AJ221" t="s">
        <v>15662</v>
      </c>
      <c r="AK221" t="s">
        <v>15662</v>
      </c>
      <c r="AL221" t="s">
        <v>15663</v>
      </c>
      <c r="AM221" t="s">
        <v>69</v>
      </c>
      <c r="AN221">
        <v>61</v>
      </c>
      <c r="AO221">
        <v>6</v>
      </c>
      <c r="AP221">
        <v>6</v>
      </c>
      <c r="AQ221">
        <v>0</v>
      </c>
      <c r="AR221">
        <v>0</v>
      </c>
      <c r="AS221" t="s">
        <v>9554</v>
      </c>
      <c r="AT221" t="s">
        <v>9555</v>
      </c>
      <c r="AU221" t="s">
        <v>9556</v>
      </c>
      <c r="AV221" t="s">
        <v>15664</v>
      </c>
      <c r="AW221" t="s">
        <v>15665</v>
      </c>
      <c r="AX221" t="s">
        <v>69</v>
      </c>
      <c r="AY221" t="s">
        <v>15666</v>
      </c>
      <c r="AZ221" t="s">
        <v>15667</v>
      </c>
      <c r="BA221" t="s">
        <v>94</v>
      </c>
      <c r="BB221">
        <v>2020</v>
      </c>
      <c r="BC221">
        <v>3</v>
      </c>
      <c r="BD221">
        <v>1</v>
      </c>
      <c r="BE221" t="s">
        <v>69</v>
      </c>
      <c r="BF221" t="s">
        <v>69</v>
      </c>
      <c r="BG221" t="s">
        <v>114</v>
      </c>
      <c r="BH221" t="s">
        <v>69</v>
      </c>
      <c r="BI221">
        <v>3</v>
      </c>
      <c r="BJ221">
        <v>19</v>
      </c>
      <c r="BK221" t="s">
        <v>69</v>
      </c>
      <c r="BL221" t="s">
        <v>15668</v>
      </c>
      <c r="BM221" t="str">
        <f>HYPERLINK("http://dx.doi.org/10.1177/2514848619898092","http://dx.doi.org/10.1177/2514848619898092")</f>
        <v>http://dx.doi.org/10.1177/2514848619898092</v>
      </c>
      <c r="BN221" t="s">
        <v>69</v>
      </c>
      <c r="BO221" t="s">
        <v>69</v>
      </c>
      <c r="BP221">
        <v>17</v>
      </c>
      <c r="BQ221" t="s">
        <v>15669</v>
      </c>
      <c r="BR221" t="s">
        <v>8661</v>
      </c>
      <c r="BS221" t="s">
        <v>15670</v>
      </c>
      <c r="BT221" t="s">
        <v>15671</v>
      </c>
      <c r="BU221" t="s">
        <v>15672</v>
      </c>
      <c r="BV221" t="s">
        <v>69</v>
      </c>
      <c r="BW221" t="s">
        <v>69</v>
      </c>
      <c r="BX221" t="s">
        <v>69</v>
      </c>
      <c r="BY221" t="s">
        <v>69</v>
      </c>
      <c r="BZ221" t="s">
        <v>8526</v>
      </c>
      <c r="CA221" t="str">
        <f>HYPERLINK("https%3A%2F%2Fwww.webofscience.com%2Fwos%2Fwoscc%2Ffull-record%2FWOS:000755970100001","View Full Record in Web of Science")</f>
        <v>View Full Record in Web of Science</v>
      </c>
    </row>
    <row r="222" spans="2:79" ht="12.5" x14ac:dyDescent="0.25">
      <c r="B222" t="s">
        <v>8495</v>
      </c>
      <c r="D222" s="22" t="s">
        <v>32931</v>
      </c>
      <c r="E222" s="7"/>
      <c r="F222" s="7"/>
      <c r="G222" s="7"/>
      <c r="H222" t="s">
        <v>67</v>
      </c>
      <c r="I222" t="s">
        <v>28026</v>
      </c>
      <c r="J222" t="s">
        <v>69</v>
      </c>
      <c r="K222" t="s">
        <v>69</v>
      </c>
      <c r="L222" t="s">
        <v>69</v>
      </c>
      <c r="M222" t="s">
        <v>28027</v>
      </c>
      <c r="N222" t="s">
        <v>69</v>
      </c>
      <c r="O222" t="s">
        <v>69</v>
      </c>
      <c r="P222" t="s">
        <v>28028</v>
      </c>
      <c r="Q222" t="s">
        <v>28029</v>
      </c>
      <c r="R222" t="s">
        <v>69</v>
      </c>
      <c r="S222" t="s">
        <v>69</v>
      </c>
      <c r="T222" t="s">
        <v>8505</v>
      </c>
      <c r="U222" t="s">
        <v>8506</v>
      </c>
      <c r="V222" t="s">
        <v>69</v>
      </c>
      <c r="W222" t="s">
        <v>69</v>
      </c>
      <c r="X222" t="s">
        <v>69</v>
      </c>
      <c r="Y222" t="s">
        <v>69</v>
      </c>
      <c r="Z222" t="s">
        <v>69</v>
      </c>
      <c r="AA222" t="s">
        <v>28030</v>
      </c>
      <c r="AB222" t="s">
        <v>69</v>
      </c>
      <c r="AC222" t="s">
        <v>28031</v>
      </c>
      <c r="AD222" t="s">
        <v>28032</v>
      </c>
      <c r="AE222" t="s">
        <v>69</v>
      </c>
      <c r="AF222" t="s">
        <v>28033</v>
      </c>
      <c r="AG222" t="s">
        <v>28034</v>
      </c>
      <c r="AH222" t="s">
        <v>69</v>
      </c>
      <c r="AI222" t="s">
        <v>69</v>
      </c>
      <c r="AJ222" t="s">
        <v>69</v>
      </c>
      <c r="AK222" t="s">
        <v>69</v>
      </c>
      <c r="AL222" t="s">
        <v>69</v>
      </c>
      <c r="AM222" t="s">
        <v>69</v>
      </c>
      <c r="AN222">
        <v>4</v>
      </c>
      <c r="AO222">
        <v>0</v>
      </c>
      <c r="AP222">
        <v>0</v>
      </c>
      <c r="AQ222">
        <v>0</v>
      </c>
      <c r="AR222">
        <v>1</v>
      </c>
      <c r="AS222" t="s">
        <v>28035</v>
      </c>
      <c r="AT222" t="s">
        <v>28036</v>
      </c>
      <c r="AU222" t="s">
        <v>28037</v>
      </c>
      <c r="AV222" t="s">
        <v>28038</v>
      </c>
      <c r="AW222" t="s">
        <v>28039</v>
      </c>
      <c r="AX222" t="s">
        <v>69</v>
      </c>
      <c r="AY222" t="s">
        <v>28040</v>
      </c>
      <c r="AZ222" t="s">
        <v>28041</v>
      </c>
      <c r="BA222" t="s">
        <v>69</v>
      </c>
      <c r="BB222">
        <v>2010</v>
      </c>
      <c r="BC222">
        <v>19</v>
      </c>
      <c r="BD222" t="s">
        <v>28042</v>
      </c>
      <c r="BE222" t="s">
        <v>69</v>
      </c>
      <c r="BF222" t="s">
        <v>69</v>
      </c>
      <c r="BG222" t="s">
        <v>114</v>
      </c>
      <c r="BH222" t="s">
        <v>69</v>
      </c>
      <c r="BI222">
        <v>2385</v>
      </c>
      <c r="BJ222">
        <v>2388</v>
      </c>
      <c r="BK222" t="s">
        <v>69</v>
      </c>
      <c r="BL222" t="s">
        <v>69</v>
      </c>
      <c r="BM222" t="s">
        <v>69</v>
      </c>
      <c r="BN222" t="s">
        <v>69</v>
      </c>
      <c r="BO222" t="s">
        <v>69</v>
      </c>
      <c r="BP222">
        <v>4</v>
      </c>
      <c r="BQ222" t="s">
        <v>8717</v>
      </c>
      <c r="BR222" t="s">
        <v>8548</v>
      </c>
      <c r="BS222" t="s">
        <v>8662</v>
      </c>
      <c r="BT222" t="s">
        <v>28043</v>
      </c>
      <c r="BU222" t="s">
        <v>28044</v>
      </c>
      <c r="BV222" t="s">
        <v>69</v>
      </c>
      <c r="BW222" t="s">
        <v>69</v>
      </c>
      <c r="BX222" t="s">
        <v>69</v>
      </c>
      <c r="BY222" t="s">
        <v>69</v>
      </c>
      <c r="BZ222" t="s">
        <v>8526</v>
      </c>
      <c r="CA222" t="str">
        <f>HYPERLINK("https%3A%2F%2Fwww.webofscience.com%2Fwos%2Fwoscc%2Ffull-record%2FWOS:000285178700013","View Full Record in Web of Science")</f>
        <v>View Full Record in Web of Science</v>
      </c>
    </row>
    <row r="223" spans="2:79" ht="12.5" x14ac:dyDescent="0.25">
      <c r="B223" t="s">
        <v>8495</v>
      </c>
      <c r="D223" s="7" t="s">
        <v>32933</v>
      </c>
      <c r="E223" s="7"/>
      <c r="F223" s="7"/>
      <c r="G223" s="7"/>
      <c r="H223" t="s">
        <v>67</v>
      </c>
      <c r="I223" t="s">
        <v>1919</v>
      </c>
      <c r="J223" t="s">
        <v>69</v>
      </c>
      <c r="K223" t="s">
        <v>69</v>
      </c>
      <c r="L223" t="s">
        <v>69</v>
      </c>
      <c r="M223" t="s">
        <v>1920</v>
      </c>
      <c r="N223" t="s">
        <v>69</v>
      </c>
      <c r="O223" t="s">
        <v>69</v>
      </c>
      <c r="P223" t="s">
        <v>1921</v>
      </c>
      <c r="Q223" t="s">
        <v>1690</v>
      </c>
      <c r="R223" t="s">
        <v>69</v>
      </c>
      <c r="S223" t="s">
        <v>69</v>
      </c>
      <c r="T223" t="s">
        <v>8505</v>
      </c>
      <c r="U223" t="s">
        <v>8506</v>
      </c>
      <c r="V223" t="s">
        <v>69</v>
      </c>
      <c r="W223" t="s">
        <v>69</v>
      </c>
      <c r="X223" t="s">
        <v>69</v>
      </c>
      <c r="Y223" t="s">
        <v>69</v>
      </c>
      <c r="Z223" t="s">
        <v>69</v>
      </c>
      <c r="AA223" t="s">
        <v>14590</v>
      </c>
      <c r="AB223" t="s">
        <v>69</v>
      </c>
      <c r="AC223" t="s">
        <v>1922</v>
      </c>
      <c r="AD223" t="s">
        <v>14591</v>
      </c>
      <c r="AE223" t="s">
        <v>69</v>
      </c>
      <c r="AF223" t="s">
        <v>14592</v>
      </c>
      <c r="AG223" t="s">
        <v>14593</v>
      </c>
      <c r="AH223" t="s">
        <v>1923</v>
      </c>
      <c r="AI223" t="s">
        <v>14594</v>
      </c>
      <c r="AJ223" t="s">
        <v>14595</v>
      </c>
      <c r="AK223" t="s">
        <v>14596</v>
      </c>
      <c r="AL223" t="s">
        <v>14597</v>
      </c>
      <c r="AM223" t="s">
        <v>69</v>
      </c>
      <c r="AN223">
        <v>19</v>
      </c>
      <c r="AO223">
        <v>3</v>
      </c>
      <c r="AP223">
        <v>3</v>
      </c>
      <c r="AQ223">
        <v>2</v>
      </c>
      <c r="AR223">
        <v>8</v>
      </c>
      <c r="AS223" t="s">
        <v>8762</v>
      </c>
      <c r="AT223" t="s">
        <v>8763</v>
      </c>
      <c r="AU223" t="s">
        <v>8764</v>
      </c>
      <c r="AV223" t="s">
        <v>1692</v>
      </c>
      <c r="AW223" t="s">
        <v>1924</v>
      </c>
      <c r="AX223" t="s">
        <v>69</v>
      </c>
      <c r="AY223" t="s">
        <v>14598</v>
      </c>
      <c r="AZ223" t="s">
        <v>14599</v>
      </c>
      <c r="BA223" t="s">
        <v>274</v>
      </c>
      <c r="BB223">
        <v>2020</v>
      </c>
      <c r="BC223">
        <v>54</v>
      </c>
      <c r="BD223">
        <v>11</v>
      </c>
      <c r="BE223" t="s">
        <v>69</v>
      </c>
      <c r="BF223" t="s">
        <v>69</v>
      </c>
      <c r="BG223" t="s">
        <v>69</v>
      </c>
      <c r="BH223" t="s">
        <v>69</v>
      </c>
      <c r="BI223">
        <v>1061</v>
      </c>
      <c r="BJ223">
        <v>1066</v>
      </c>
      <c r="BK223">
        <v>4867420946840</v>
      </c>
      <c r="BL223" t="s">
        <v>1925</v>
      </c>
      <c r="BM223" t="str">
        <f>HYPERLINK("http://dx.doi.org/10.1177/0004867420946840","http://dx.doi.org/10.1177/0004867420946840")</f>
        <v>http://dx.doi.org/10.1177/0004867420946840</v>
      </c>
      <c r="BN223" t="s">
        <v>69</v>
      </c>
      <c r="BO223" t="s">
        <v>1917</v>
      </c>
      <c r="BP223">
        <v>6</v>
      </c>
      <c r="BQ223" t="s">
        <v>9332</v>
      </c>
      <c r="BR223" t="s">
        <v>8523</v>
      </c>
      <c r="BS223" t="s">
        <v>9332</v>
      </c>
      <c r="BT223" t="s">
        <v>14600</v>
      </c>
      <c r="BU223" t="s">
        <v>1926</v>
      </c>
      <c r="BV223">
        <v>32794411</v>
      </c>
      <c r="BW223" t="s">
        <v>69</v>
      </c>
      <c r="BX223" t="s">
        <v>69</v>
      </c>
      <c r="BY223" t="s">
        <v>69</v>
      </c>
      <c r="BZ223" t="s">
        <v>8526</v>
      </c>
      <c r="CA223" t="str">
        <f>HYPERLINK("https%3A%2F%2Fwww.webofscience.com%2Fwos%2Fwoscc%2Ffull-record%2FWOS:000560194700001","View Full Record in Web of Science")</f>
        <v>View Full Record in Web of Science</v>
      </c>
    </row>
    <row r="224" spans="2:79" ht="12.5" x14ac:dyDescent="0.25">
      <c r="B224" t="s">
        <v>8495</v>
      </c>
      <c r="D224" s="22" t="s">
        <v>32931</v>
      </c>
      <c r="E224" s="7"/>
      <c r="F224" s="7"/>
      <c r="G224" s="7"/>
      <c r="H224" t="s">
        <v>67</v>
      </c>
      <c r="I224" t="s">
        <v>12875</v>
      </c>
      <c r="J224" t="s">
        <v>69</v>
      </c>
      <c r="K224" t="s">
        <v>69</v>
      </c>
      <c r="L224" t="s">
        <v>69</v>
      </c>
      <c r="M224" t="s">
        <v>12876</v>
      </c>
      <c r="N224" t="s">
        <v>69</v>
      </c>
      <c r="O224" t="s">
        <v>69</v>
      </c>
      <c r="P224" t="s">
        <v>12877</v>
      </c>
      <c r="Q224" t="s">
        <v>12878</v>
      </c>
      <c r="R224" t="s">
        <v>69</v>
      </c>
      <c r="S224" t="s">
        <v>69</v>
      </c>
      <c r="T224" t="s">
        <v>8505</v>
      </c>
      <c r="U224" t="s">
        <v>8506</v>
      </c>
      <c r="V224" t="s">
        <v>69</v>
      </c>
      <c r="W224" t="s">
        <v>69</v>
      </c>
      <c r="X224" t="s">
        <v>69</v>
      </c>
      <c r="Y224" t="s">
        <v>69</v>
      </c>
      <c r="Z224" t="s">
        <v>69</v>
      </c>
      <c r="AA224" t="s">
        <v>12879</v>
      </c>
      <c r="AB224" t="s">
        <v>12880</v>
      </c>
      <c r="AC224" t="s">
        <v>12881</v>
      </c>
      <c r="AD224" t="s">
        <v>12882</v>
      </c>
      <c r="AE224" t="s">
        <v>69</v>
      </c>
      <c r="AF224" t="s">
        <v>12883</v>
      </c>
      <c r="AG224" t="s">
        <v>12884</v>
      </c>
      <c r="AH224" t="s">
        <v>69</v>
      </c>
      <c r="AI224" t="s">
        <v>12885</v>
      </c>
      <c r="AJ224" t="s">
        <v>69</v>
      </c>
      <c r="AK224" t="s">
        <v>69</v>
      </c>
      <c r="AL224" t="s">
        <v>69</v>
      </c>
      <c r="AM224" t="s">
        <v>69</v>
      </c>
      <c r="AN224">
        <v>54</v>
      </c>
      <c r="AO224">
        <v>2</v>
      </c>
      <c r="AP224">
        <v>2</v>
      </c>
      <c r="AQ224">
        <v>0</v>
      </c>
      <c r="AR224">
        <v>1</v>
      </c>
      <c r="AS224" t="s">
        <v>12886</v>
      </c>
      <c r="AT224" t="s">
        <v>8735</v>
      </c>
      <c r="AU224" t="s">
        <v>12887</v>
      </c>
      <c r="AV224" t="s">
        <v>12888</v>
      </c>
      <c r="AW224" t="s">
        <v>12889</v>
      </c>
      <c r="AX224" t="s">
        <v>69</v>
      </c>
      <c r="AY224" t="s">
        <v>12890</v>
      </c>
      <c r="AZ224" t="s">
        <v>12891</v>
      </c>
      <c r="BA224" t="s">
        <v>94</v>
      </c>
      <c r="BB224">
        <v>2021</v>
      </c>
      <c r="BC224">
        <v>7</v>
      </c>
      <c r="BD224">
        <v>1</v>
      </c>
      <c r="BE224" t="s">
        <v>69</v>
      </c>
      <c r="BF224" t="s">
        <v>69</v>
      </c>
      <c r="BG224" t="s">
        <v>69</v>
      </c>
      <c r="BH224" t="s">
        <v>69</v>
      </c>
      <c r="BI224">
        <v>46</v>
      </c>
      <c r="BJ224">
        <v>54</v>
      </c>
      <c r="BK224" t="s">
        <v>69</v>
      </c>
      <c r="BL224" t="s">
        <v>12892</v>
      </c>
      <c r="BM224" t="str">
        <f>HYPERLINK("http://dx.doi.org/10.1037/tps0000243","http://dx.doi.org/10.1037/tps0000243")</f>
        <v>http://dx.doi.org/10.1037/tps0000243</v>
      </c>
      <c r="BN224" t="s">
        <v>69</v>
      </c>
      <c r="BO224" t="s">
        <v>69</v>
      </c>
      <c r="BP224">
        <v>9</v>
      </c>
      <c r="BQ224" t="s">
        <v>12893</v>
      </c>
      <c r="BR224" t="s">
        <v>8573</v>
      </c>
      <c r="BS224" t="s">
        <v>9001</v>
      </c>
      <c r="BT224" t="s">
        <v>12894</v>
      </c>
      <c r="BU224" t="s">
        <v>12895</v>
      </c>
      <c r="BV224" t="s">
        <v>69</v>
      </c>
      <c r="BW224" t="s">
        <v>69</v>
      </c>
      <c r="BX224" t="s">
        <v>69</v>
      </c>
      <c r="BY224" t="s">
        <v>69</v>
      </c>
      <c r="BZ224" t="s">
        <v>8526</v>
      </c>
      <c r="CA224" t="str">
        <f>HYPERLINK("https%3A%2F%2Fwww.webofscience.com%2Fwos%2Fwoscc%2Ffull-record%2FWOS:000657302900005","View Full Record in Web of Science")</f>
        <v>View Full Record in Web of Science</v>
      </c>
    </row>
    <row r="225" spans="2:79" ht="12.5" x14ac:dyDescent="0.25">
      <c r="B225" t="s">
        <v>8495</v>
      </c>
      <c r="D225" s="7" t="s">
        <v>32933</v>
      </c>
      <c r="E225" s="7"/>
      <c r="F225" s="7"/>
      <c r="G225" s="7"/>
      <c r="H225" t="s">
        <v>67</v>
      </c>
      <c r="I225" t="s">
        <v>1854</v>
      </c>
      <c r="J225" t="s">
        <v>69</v>
      </c>
      <c r="K225" t="s">
        <v>69</v>
      </c>
      <c r="L225" t="s">
        <v>69</v>
      </c>
      <c r="M225" t="s">
        <v>1855</v>
      </c>
      <c r="N225" t="s">
        <v>69</v>
      </c>
      <c r="O225" t="s">
        <v>69</v>
      </c>
      <c r="P225" t="s">
        <v>1856</v>
      </c>
      <c r="Q225" t="s">
        <v>1857</v>
      </c>
      <c r="R225" t="s">
        <v>69</v>
      </c>
      <c r="S225" t="s">
        <v>69</v>
      </c>
      <c r="T225" t="s">
        <v>8505</v>
      </c>
      <c r="U225" t="s">
        <v>8506</v>
      </c>
      <c r="V225" t="s">
        <v>69</v>
      </c>
      <c r="W225" t="s">
        <v>69</v>
      </c>
      <c r="X225" t="s">
        <v>69</v>
      </c>
      <c r="Y225" t="s">
        <v>69</v>
      </c>
      <c r="Z225" t="s">
        <v>69</v>
      </c>
      <c r="AA225" t="s">
        <v>13936</v>
      </c>
      <c r="AB225" t="s">
        <v>13937</v>
      </c>
      <c r="AC225" t="s">
        <v>1858</v>
      </c>
      <c r="AD225" t="s">
        <v>13938</v>
      </c>
      <c r="AE225" t="s">
        <v>69</v>
      </c>
      <c r="AF225" t="s">
        <v>13939</v>
      </c>
      <c r="AG225" t="s">
        <v>13940</v>
      </c>
      <c r="AH225" t="s">
        <v>69</v>
      </c>
      <c r="AI225" t="s">
        <v>69</v>
      </c>
      <c r="AJ225" t="s">
        <v>69</v>
      </c>
      <c r="AK225" t="s">
        <v>69</v>
      </c>
      <c r="AL225" t="s">
        <v>69</v>
      </c>
      <c r="AM225" t="s">
        <v>69</v>
      </c>
      <c r="AN225">
        <v>124</v>
      </c>
      <c r="AO225">
        <v>4</v>
      </c>
      <c r="AP225">
        <v>4</v>
      </c>
      <c r="AQ225">
        <v>3</v>
      </c>
      <c r="AR225">
        <v>13</v>
      </c>
      <c r="AS225" t="s">
        <v>8586</v>
      </c>
      <c r="AT225" t="s">
        <v>8587</v>
      </c>
      <c r="AU225" t="s">
        <v>8588</v>
      </c>
      <c r="AV225" t="s">
        <v>1859</v>
      </c>
      <c r="AW225" t="s">
        <v>69</v>
      </c>
      <c r="AX225" t="s">
        <v>69</v>
      </c>
      <c r="AY225" t="s">
        <v>13941</v>
      </c>
      <c r="AZ225" t="s">
        <v>13942</v>
      </c>
      <c r="BA225" t="s">
        <v>13943</v>
      </c>
      <c r="BB225">
        <v>2021</v>
      </c>
      <c r="BC225">
        <v>14</v>
      </c>
      <c r="BD225">
        <v>1</v>
      </c>
      <c r="BE225" t="s">
        <v>69</v>
      </c>
      <c r="BF225" t="s">
        <v>69</v>
      </c>
      <c r="BG225" t="s">
        <v>114</v>
      </c>
      <c r="BH225" t="s">
        <v>69</v>
      </c>
      <c r="BI225">
        <v>170</v>
      </c>
      <c r="BJ225">
        <v>201</v>
      </c>
      <c r="BK225" t="s">
        <v>69</v>
      </c>
      <c r="BL225" t="s">
        <v>1860</v>
      </c>
      <c r="BM225" t="str">
        <f>HYPERLINK("http://dx.doi.org/10.1108/JGOSS-08-2020-0050","http://dx.doi.org/10.1108/JGOSS-08-2020-0050")</f>
        <v>http://dx.doi.org/10.1108/JGOSS-08-2020-0050</v>
      </c>
      <c r="BN225" t="s">
        <v>69</v>
      </c>
      <c r="BO225" t="s">
        <v>1852</v>
      </c>
      <c r="BP225">
        <v>32</v>
      </c>
      <c r="BQ225" t="s">
        <v>9410</v>
      </c>
      <c r="BR225" t="s">
        <v>8573</v>
      </c>
      <c r="BS225" t="s">
        <v>8594</v>
      </c>
      <c r="BT225" t="s">
        <v>13944</v>
      </c>
      <c r="BU225" t="s">
        <v>1861</v>
      </c>
      <c r="BV225" t="s">
        <v>69</v>
      </c>
      <c r="BW225" t="s">
        <v>69</v>
      </c>
      <c r="BX225" t="s">
        <v>69</v>
      </c>
      <c r="BY225" t="s">
        <v>69</v>
      </c>
      <c r="BZ225" t="s">
        <v>8526</v>
      </c>
      <c r="CA225" t="str">
        <f>HYPERLINK("https%3A%2F%2Fwww.webofscience.com%2Fwos%2Fwoscc%2Ffull-record%2FWOS:000597867800001","View Full Record in Web of Science")</f>
        <v>View Full Record in Web of Science</v>
      </c>
    </row>
    <row r="226" spans="2:79" ht="12.5" x14ac:dyDescent="0.25">
      <c r="B226" t="s">
        <v>8495</v>
      </c>
      <c r="D226" s="7" t="s">
        <v>32933</v>
      </c>
      <c r="E226" s="7"/>
      <c r="F226" s="7"/>
      <c r="G226" s="7"/>
      <c r="H226" t="s">
        <v>67</v>
      </c>
      <c r="I226" t="s">
        <v>2035</v>
      </c>
      <c r="J226" t="s">
        <v>69</v>
      </c>
      <c r="K226" t="s">
        <v>69</v>
      </c>
      <c r="L226" t="s">
        <v>69</v>
      </c>
      <c r="M226" t="s">
        <v>2036</v>
      </c>
      <c r="N226" t="s">
        <v>69</v>
      </c>
      <c r="O226" t="s">
        <v>69</v>
      </c>
      <c r="P226" t="s">
        <v>2037</v>
      </c>
      <c r="Q226" t="s">
        <v>632</v>
      </c>
      <c r="R226" t="s">
        <v>69</v>
      </c>
      <c r="S226" t="s">
        <v>69</v>
      </c>
      <c r="T226" t="s">
        <v>8505</v>
      </c>
      <c r="U226" t="s">
        <v>8506</v>
      </c>
      <c r="V226" t="s">
        <v>69</v>
      </c>
      <c r="W226" t="s">
        <v>69</v>
      </c>
      <c r="X226" t="s">
        <v>69</v>
      </c>
      <c r="Y226" t="s">
        <v>69</v>
      </c>
      <c r="Z226" t="s">
        <v>69</v>
      </c>
      <c r="AA226" t="s">
        <v>16319</v>
      </c>
      <c r="AB226" t="s">
        <v>16320</v>
      </c>
      <c r="AC226" t="s">
        <v>2038</v>
      </c>
      <c r="AD226" t="s">
        <v>16321</v>
      </c>
      <c r="AE226" t="s">
        <v>69</v>
      </c>
      <c r="AF226" t="s">
        <v>16322</v>
      </c>
      <c r="AG226" t="s">
        <v>16323</v>
      </c>
      <c r="AH226" t="s">
        <v>69</v>
      </c>
      <c r="AI226" t="s">
        <v>69</v>
      </c>
      <c r="AJ226" t="s">
        <v>16324</v>
      </c>
      <c r="AK226" t="s">
        <v>16325</v>
      </c>
      <c r="AL226" t="s">
        <v>16326</v>
      </c>
      <c r="AM226" t="s">
        <v>69</v>
      </c>
      <c r="AN226">
        <v>63</v>
      </c>
      <c r="AO226">
        <v>2</v>
      </c>
      <c r="AP226">
        <v>2</v>
      </c>
      <c r="AQ226">
        <v>0</v>
      </c>
      <c r="AR226">
        <v>9</v>
      </c>
      <c r="AS226" t="s">
        <v>8516</v>
      </c>
      <c r="AT226" t="s">
        <v>8517</v>
      </c>
      <c r="AU226" t="s">
        <v>8518</v>
      </c>
      <c r="AV226" t="s">
        <v>634</v>
      </c>
      <c r="AW226" t="s">
        <v>635</v>
      </c>
      <c r="AX226" t="s">
        <v>69</v>
      </c>
      <c r="AY226" t="s">
        <v>8714</v>
      </c>
      <c r="AZ226" t="s">
        <v>8715</v>
      </c>
      <c r="BA226" t="s">
        <v>451</v>
      </c>
      <c r="BB226">
        <v>2020</v>
      </c>
      <c r="BC226">
        <v>698</v>
      </c>
      <c r="BD226" t="s">
        <v>69</v>
      </c>
      <c r="BE226" t="s">
        <v>69</v>
      </c>
      <c r="BF226" t="s">
        <v>69</v>
      </c>
      <c r="BG226" t="s">
        <v>69</v>
      </c>
      <c r="BH226" t="s">
        <v>69</v>
      </c>
      <c r="BI226" t="s">
        <v>69</v>
      </c>
      <c r="BJ226" t="s">
        <v>69</v>
      </c>
      <c r="BK226">
        <v>134265</v>
      </c>
      <c r="BL226" t="s">
        <v>2039</v>
      </c>
      <c r="BM226" t="str">
        <f>HYPERLINK("http://dx.doi.org/10.1016/j.scitotenv.2019.134265","http://dx.doi.org/10.1016/j.scitotenv.2019.134265")</f>
        <v>http://dx.doi.org/10.1016/j.scitotenv.2019.134265</v>
      </c>
      <c r="BN226" t="s">
        <v>69</v>
      </c>
      <c r="BO226" t="s">
        <v>69</v>
      </c>
      <c r="BP226">
        <v>13</v>
      </c>
      <c r="BQ226" t="s">
        <v>8717</v>
      </c>
      <c r="BR226" t="s">
        <v>8523</v>
      </c>
      <c r="BS226" t="s">
        <v>8662</v>
      </c>
      <c r="BT226" t="s">
        <v>16327</v>
      </c>
      <c r="BU226" t="s">
        <v>2040</v>
      </c>
      <c r="BV226">
        <v>31505356</v>
      </c>
      <c r="BW226" t="s">
        <v>69</v>
      </c>
      <c r="BX226" t="s">
        <v>69</v>
      </c>
      <c r="BY226" t="s">
        <v>69</v>
      </c>
      <c r="BZ226" t="s">
        <v>8526</v>
      </c>
      <c r="CA226" t="str">
        <f>HYPERLINK("https%3A%2F%2Fwww.webofscience.com%2Fwos%2Fwoscc%2Ffull-record%2FWOS:000500580700084","View Full Record in Web of Science")</f>
        <v>View Full Record in Web of Science</v>
      </c>
    </row>
    <row r="227" spans="2:79" ht="12.5" x14ac:dyDescent="0.25">
      <c r="B227" t="s">
        <v>8495</v>
      </c>
      <c r="D227" s="7" t="s">
        <v>32933</v>
      </c>
      <c r="E227" s="7"/>
      <c r="F227" s="7"/>
      <c r="G227" s="7"/>
      <c r="H227" t="s">
        <v>67</v>
      </c>
      <c r="I227" t="s">
        <v>6996</v>
      </c>
      <c r="J227" t="s">
        <v>69</v>
      </c>
      <c r="K227" t="s">
        <v>69</v>
      </c>
      <c r="L227" t="s">
        <v>69</v>
      </c>
      <c r="M227" t="s">
        <v>6997</v>
      </c>
      <c r="N227" t="s">
        <v>69</v>
      </c>
      <c r="O227" t="s">
        <v>69</v>
      </c>
      <c r="P227" t="s">
        <v>6998</v>
      </c>
      <c r="Q227" t="s">
        <v>6999</v>
      </c>
      <c r="R227" t="s">
        <v>69</v>
      </c>
      <c r="S227" t="s">
        <v>69</v>
      </c>
      <c r="T227" t="s">
        <v>8505</v>
      </c>
      <c r="U227" t="s">
        <v>8506</v>
      </c>
      <c r="V227" t="s">
        <v>69</v>
      </c>
      <c r="W227" t="s">
        <v>69</v>
      </c>
      <c r="X227" t="s">
        <v>69</v>
      </c>
      <c r="Y227" t="s">
        <v>69</v>
      </c>
      <c r="Z227" t="s">
        <v>69</v>
      </c>
      <c r="AA227" t="s">
        <v>19090</v>
      </c>
      <c r="AB227" t="s">
        <v>69</v>
      </c>
      <c r="AC227" t="s">
        <v>7000</v>
      </c>
      <c r="AD227" t="s">
        <v>19091</v>
      </c>
      <c r="AE227" t="s">
        <v>69</v>
      </c>
      <c r="AF227" t="s">
        <v>19092</v>
      </c>
      <c r="AG227" t="s">
        <v>19093</v>
      </c>
      <c r="AH227" t="s">
        <v>69</v>
      </c>
      <c r="AI227" t="s">
        <v>69</v>
      </c>
      <c r="AJ227" t="s">
        <v>69</v>
      </c>
      <c r="AK227" t="s">
        <v>69</v>
      </c>
      <c r="AL227" t="s">
        <v>69</v>
      </c>
      <c r="AM227" t="s">
        <v>69</v>
      </c>
      <c r="AN227">
        <v>35</v>
      </c>
      <c r="AO227">
        <v>1</v>
      </c>
      <c r="AP227">
        <v>1</v>
      </c>
      <c r="AQ227">
        <v>1</v>
      </c>
      <c r="AR227">
        <v>1</v>
      </c>
      <c r="AS227" t="s">
        <v>9554</v>
      </c>
      <c r="AT227" t="s">
        <v>9555</v>
      </c>
      <c r="AU227" t="s">
        <v>9556</v>
      </c>
      <c r="AV227" t="s">
        <v>7001</v>
      </c>
      <c r="AW227" t="s">
        <v>7002</v>
      </c>
      <c r="AX227" t="s">
        <v>69</v>
      </c>
      <c r="AY227" t="s">
        <v>19094</v>
      </c>
      <c r="AZ227" t="s">
        <v>19095</v>
      </c>
      <c r="BA227" t="s">
        <v>94</v>
      </c>
      <c r="BB227">
        <v>2018</v>
      </c>
      <c r="BC227">
        <v>9</v>
      </c>
      <c r="BD227">
        <v>1</v>
      </c>
      <c r="BE227" t="s">
        <v>69</v>
      </c>
      <c r="BF227" t="s">
        <v>69</v>
      </c>
      <c r="BG227" t="s">
        <v>69</v>
      </c>
      <c r="BH227" t="s">
        <v>69</v>
      </c>
      <c r="BI227">
        <v>7</v>
      </c>
      <c r="BJ227">
        <v>23</v>
      </c>
      <c r="BK227" t="s">
        <v>69</v>
      </c>
      <c r="BL227" t="s">
        <v>7003</v>
      </c>
      <c r="BM227" t="str">
        <f>HYPERLINK("http://dx.doi.org/10.1177/2031952518756907","http://dx.doi.org/10.1177/2031952518756907")</f>
        <v>http://dx.doi.org/10.1177/2031952518756907</v>
      </c>
      <c r="BN227" t="s">
        <v>69</v>
      </c>
      <c r="BO227" t="s">
        <v>69</v>
      </c>
      <c r="BP227">
        <v>17</v>
      </c>
      <c r="BQ227" t="s">
        <v>8452</v>
      </c>
      <c r="BR227" t="s">
        <v>8573</v>
      </c>
      <c r="BS227" t="s">
        <v>10084</v>
      </c>
      <c r="BT227" t="s">
        <v>19096</v>
      </c>
      <c r="BU227" t="s">
        <v>7004</v>
      </c>
      <c r="BV227" t="s">
        <v>69</v>
      </c>
      <c r="BW227" t="s">
        <v>69</v>
      </c>
      <c r="BX227" t="s">
        <v>69</v>
      </c>
      <c r="BY227" t="s">
        <v>69</v>
      </c>
      <c r="BZ227" t="s">
        <v>8526</v>
      </c>
      <c r="CA227" t="str">
        <f>HYPERLINK("https%3A%2F%2Fwww.webofscience.com%2Fwos%2Fwoscc%2Ffull-record%2FWOS:000596362400002","View Full Record in Web of Science")</f>
        <v>View Full Record in Web of Science</v>
      </c>
    </row>
    <row r="228" spans="2:79" ht="12.5" x14ac:dyDescent="0.25">
      <c r="B228" t="s">
        <v>8495</v>
      </c>
      <c r="D228" s="22" t="s">
        <v>32931</v>
      </c>
      <c r="E228" s="7"/>
      <c r="F228" s="7"/>
      <c r="G228" s="7"/>
      <c r="H228" t="s">
        <v>67</v>
      </c>
      <c r="I228" t="s">
        <v>30864</v>
      </c>
      <c r="J228" t="s">
        <v>69</v>
      </c>
      <c r="K228" t="s">
        <v>69</v>
      </c>
      <c r="L228" t="s">
        <v>69</v>
      </c>
      <c r="M228" t="s">
        <v>30865</v>
      </c>
      <c r="N228" t="s">
        <v>69</v>
      </c>
      <c r="O228" t="s">
        <v>69</v>
      </c>
      <c r="P228" t="s">
        <v>30866</v>
      </c>
      <c r="Q228" t="s">
        <v>30867</v>
      </c>
      <c r="R228" t="s">
        <v>69</v>
      </c>
      <c r="S228" t="s">
        <v>69</v>
      </c>
      <c r="T228" t="s">
        <v>8505</v>
      </c>
      <c r="U228" t="s">
        <v>8506</v>
      </c>
      <c r="V228" t="s">
        <v>69</v>
      </c>
      <c r="W228" t="s">
        <v>69</v>
      </c>
      <c r="X228" t="s">
        <v>69</v>
      </c>
      <c r="Y228" t="s">
        <v>69</v>
      </c>
      <c r="Z228" t="s">
        <v>69</v>
      </c>
      <c r="AA228" t="s">
        <v>30868</v>
      </c>
      <c r="AB228" t="s">
        <v>69</v>
      </c>
      <c r="AC228" t="s">
        <v>30869</v>
      </c>
      <c r="AD228" t="s">
        <v>30870</v>
      </c>
      <c r="AE228" t="s">
        <v>69</v>
      </c>
      <c r="AF228" t="s">
        <v>30871</v>
      </c>
      <c r="AG228" t="s">
        <v>69</v>
      </c>
      <c r="AH228" t="s">
        <v>69</v>
      </c>
      <c r="AI228" t="s">
        <v>69</v>
      </c>
      <c r="AJ228" t="s">
        <v>69</v>
      </c>
      <c r="AK228" t="s">
        <v>69</v>
      </c>
      <c r="AL228" t="s">
        <v>69</v>
      </c>
      <c r="AM228" t="s">
        <v>69</v>
      </c>
      <c r="AN228">
        <v>11</v>
      </c>
      <c r="AO228">
        <v>6</v>
      </c>
      <c r="AP228">
        <v>6</v>
      </c>
      <c r="AQ228">
        <v>0</v>
      </c>
      <c r="AR228">
        <v>0</v>
      </c>
      <c r="AS228" t="s">
        <v>8865</v>
      </c>
      <c r="AT228" t="s">
        <v>8612</v>
      </c>
      <c r="AU228" t="s">
        <v>8866</v>
      </c>
      <c r="AV228" t="s">
        <v>30872</v>
      </c>
      <c r="AW228" t="s">
        <v>30873</v>
      </c>
      <c r="AX228" t="s">
        <v>69</v>
      </c>
      <c r="AY228" t="s">
        <v>30874</v>
      </c>
      <c r="AZ228" t="s">
        <v>30875</v>
      </c>
      <c r="BA228" t="s">
        <v>69</v>
      </c>
      <c r="BB228">
        <v>2005</v>
      </c>
      <c r="BC228">
        <v>7</v>
      </c>
      <c r="BD228">
        <v>4</v>
      </c>
      <c r="BE228" t="s">
        <v>69</v>
      </c>
      <c r="BF228" t="s">
        <v>69</v>
      </c>
      <c r="BG228" t="s">
        <v>69</v>
      </c>
      <c r="BH228" t="s">
        <v>69</v>
      </c>
      <c r="BI228">
        <v>217</v>
      </c>
      <c r="BJ228">
        <v>233</v>
      </c>
      <c r="BK228" t="s">
        <v>69</v>
      </c>
      <c r="BL228" t="s">
        <v>30876</v>
      </c>
      <c r="BM228" t="str">
        <f>HYPERLINK("http://dx.doi.org/10.1080/13642530500367597","http://dx.doi.org/10.1080/13642530500367597")</f>
        <v>http://dx.doi.org/10.1080/13642530500367597</v>
      </c>
      <c r="BN228" t="s">
        <v>69</v>
      </c>
      <c r="BO228" t="s">
        <v>69</v>
      </c>
      <c r="BP228">
        <v>17</v>
      </c>
      <c r="BQ228" t="s">
        <v>30877</v>
      </c>
      <c r="BR228" t="s">
        <v>8573</v>
      </c>
      <c r="BS228" t="s">
        <v>9001</v>
      </c>
      <c r="BT228" t="s">
        <v>30878</v>
      </c>
      <c r="BU228" t="s">
        <v>30879</v>
      </c>
      <c r="BV228" t="s">
        <v>69</v>
      </c>
      <c r="BW228" t="s">
        <v>69</v>
      </c>
      <c r="BX228" t="s">
        <v>69</v>
      </c>
      <c r="BY228" t="s">
        <v>69</v>
      </c>
      <c r="BZ228" t="s">
        <v>8526</v>
      </c>
      <c r="CA228" t="str">
        <f>HYPERLINK("https%3A%2F%2Fwww.webofscience.com%2Fwos%2Fwoscc%2Ffull-record%2FWOS:000211899000002","View Full Record in Web of Science")</f>
        <v>View Full Record in Web of Science</v>
      </c>
    </row>
    <row r="229" spans="2:79" ht="12.5" x14ac:dyDescent="0.25">
      <c r="B229" t="s">
        <v>8495</v>
      </c>
      <c r="D229" s="7" t="s">
        <v>32933</v>
      </c>
      <c r="E229" s="7"/>
      <c r="F229" s="7"/>
      <c r="G229" s="7"/>
      <c r="H229" t="s">
        <v>67</v>
      </c>
      <c r="I229" t="s">
        <v>3300</v>
      </c>
      <c r="J229" t="s">
        <v>69</v>
      </c>
      <c r="K229" t="s">
        <v>69</v>
      </c>
      <c r="L229" t="s">
        <v>69</v>
      </c>
      <c r="M229" t="s">
        <v>3301</v>
      </c>
      <c r="N229" t="s">
        <v>69</v>
      </c>
      <c r="O229" t="s">
        <v>69</v>
      </c>
      <c r="P229" t="s">
        <v>3302</v>
      </c>
      <c r="Q229" t="s">
        <v>3303</v>
      </c>
      <c r="R229" t="s">
        <v>69</v>
      </c>
      <c r="S229" t="s">
        <v>69</v>
      </c>
      <c r="T229" t="s">
        <v>8505</v>
      </c>
      <c r="U229" t="s">
        <v>8506</v>
      </c>
      <c r="V229" t="s">
        <v>69</v>
      </c>
      <c r="W229" t="s">
        <v>69</v>
      </c>
      <c r="X229" t="s">
        <v>69</v>
      </c>
      <c r="Y229" t="s">
        <v>69</v>
      </c>
      <c r="Z229" t="s">
        <v>69</v>
      </c>
      <c r="AA229" t="s">
        <v>24822</v>
      </c>
      <c r="AB229" t="s">
        <v>24823</v>
      </c>
      <c r="AC229" t="s">
        <v>3304</v>
      </c>
      <c r="AD229" t="s">
        <v>24824</v>
      </c>
      <c r="AE229" t="s">
        <v>69</v>
      </c>
      <c r="AF229" t="s">
        <v>24825</v>
      </c>
      <c r="AG229" t="s">
        <v>24826</v>
      </c>
      <c r="AH229" t="s">
        <v>69</v>
      </c>
      <c r="AI229" t="s">
        <v>69</v>
      </c>
      <c r="AJ229" t="s">
        <v>69</v>
      </c>
      <c r="AK229" t="s">
        <v>69</v>
      </c>
      <c r="AL229" t="s">
        <v>69</v>
      </c>
      <c r="AM229" t="s">
        <v>69</v>
      </c>
      <c r="AN229">
        <v>68</v>
      </c>
      <c r="AO229">
        <v>14</v>
      </c>
      <c r="AP229">
        <v>14</v>
      </c>
      <c r="AQ229">
        <v>0</v>
      </c>
      <c r="AR229">
        <v>56</v>
      </c>
      <c r="AS229" t="s">
        <v>8611</v>
      </c>
      <c r="AT229" t="s">
        <v>8612</v>
      </c>
      <c r="AU229" t="s">
        <v>8613</v>
      </c>
      <c r="AV229" t="s">
        <v>3305</v>
      </c>
      <c r="AW229" t="s">
        <v>3306</v>
      </c>
      <c r="AX229" t="s">
        <v>69</v>
      </c>
      <c r="AY229" t="s">
        <v>21266</v>
      </c>
      <c r="AZ229" t="s">
        <v>21267</v>
      </c>
      <c r="BA229" t="s">
        <v>84</v>
      </c>
      <c r="BB229">
        <v>2013</v>
      </c>
      <c r="BC229">
        <v>89</v>
      </c>
      <c r="BD229">
        <v>3</v>
      </c>
      <c r="BE229" t="s">
        <v>69</v>
      </c>
      <c r="BF229" t="s">
        <v>69</v>
      </c>
      <c r="BG229" t="s">
        <v>69</v>
      </c>
      <c r="BH229" t="s">
        <v>69</v>
      </c>
      <c r="BI229">
        <v>285</v>
      </c>
      <c r="BJ229">
        <v>307</v>
      </c>
      <c r="BK229" t="s">
        <v>69</v>
      </c>
      <c r="BL229" t="s">
        <v>3307</v>
      </c>
      <c r="BM229" t="str">
        <f>HYPERLINK("http://dx.doi.org/10.1111/ecge.12005","http://dx.doi.org/10.1111/ecge.12005")</f>
        <v>http://dx.doi.org/10.1111/ecge.12005</v>
      </c>
      <c r="BN229" t="s">
        <v>69</v>
      </c>
      <c r="BO229" t="s">
        <v>69</v>
      </c>
      <c r="BP229">
        <v>23</v>
      </c>
      <c r="BQ229" t="s">
        <v>21269</v>
      </c>
      <c r="BR229" t="s">
        <v>8661</v>
      </c>
      <c r="BS229" t="s">
        <v>21270</v>
      </c>
      <c r="BT229" t="s">
        <v>24827</v>
      </c>
      <c r="BU229" t="s">
        <v>3308</v>
      </c>
      <c r="BV229" t="s">
        <v>69</v>
      </c>
      <c r="BW229" t="s">
        <v>69</v>
      </c>
      <c r="BX229" t="s">
        <v>69</v>
      </c>
      <c r="BY229" t="s">
        <v>69</v>
      </c>
      <c r="BZ229" t="s">
        <v>8526</v>
      </c>
      <c r="CA229" t="str">
        <f>HYPERLINK("https%3A%2F%2Fwww.webofscience.com%2Fwos%2Fwoscc%2Ffull-record%2FWOS:000320780000004","View Full Record in Web of Science")</f>
        <v>View Full Record in Web of Science</v>
      </c>
    </row>
    <row r="230" spans="2:79" ht="12.5" x14ac:dyDescent="0.25">
      <c r="B230" t="s">
        <v>8495</v>
      </c>
      <c r="D230" s="7" t="s">
        <v>32933</v>
      </c>
      <c r="E230" s="7"/>
      <c r="F230" s="7"/>
      <c r="G230" s="7"/>
      <c r="H230" t="s">
        <v>67</v>
      </c>
      <c r="I230" t="s">
        <v>8261</v>
      </c>
      <c r="J230" t="s">
        <v>69</v>
      </c>
      <c r="K230" t="s">
        <v>69</v>
      </c>
      <c r="L230" t="s">
        <v>69</v>
      </c>
      <c r="M230" t="s">
        <v>8262</v>
      </c>
      <c r="N230" t="s">
        <v>69</v>
      </c>
      <c r="O230" t="s">
        <v>69</v>
      </c>
      <c r="P230" t="s">
        <v>8263</v>
      </c>
      <c r="Q230" t="s">
        <v>8264</v>
      </c>
      <c r="R230" t="s">
        <v>69</v>
      </c>
      <c r="S230" t="s">
        <v>69</v>
      </c>
      <c r="T230" t="s">
        <v>10071</v>
      </c>
      <c r="U230" t="s">
        <v>8506</v>
      </c>
      <c r="V230" t="s">
        <v>69</v>
      </c>
      <c r="W230" t="s">
        <v>69</v>
      </c>
      <c r="X230" t="s">
        <v>69</v>
      </c>
      <c r="Y230" t="s">
        <v>69</v>
      </c>
      <c r="Z230" t="s">
        <v>69</v>
      </c>
      <c r="AA230" t="s">
        <v>16147</v>
      </c>
      <c r="AB230" t="s">
        <v>69</v>
      </c>
      <c r="AC230" t="s">
        <v>8265</v>
      </c>
      <c r="AD230" t="s">
        <v>16148</v>
      </c>
      <c r="AE230" t="s">
        <v>69</v>
      </c>
      <c r="AF230" t="s">
        <v>16149</v>
      </c>
      <c r="AG230" t="s">
        <v>16150</v>
      </c>
      <c r="AH230" t="s">
        <v>69</v>
      </c>
      <c r="AI230" t="s">
        <v>69</v>
      </c>
      <c r="AJ230" t="s">
        <v>69</v>
      </c>
      <c r="AK230" t="s">
        <v>69</v>
      </c>
      <c r="AL230" t="s">
        <v>69</v>
      </c>
      <c r="AM230" t="s">
        <v>69</v>
      </c>
      <c r="AN230">
        <v>24</v>
      </c>
      <c r="AO230">
        <v>1</v>
      </c>
      <c r="AP230">
        <v>1</v>
      </c>
      <c r="AQ230">
        <v>0</v>
      </c>
      <c r="AR230">
        <v>0</v>
      </c>
      <c r="AS230" t="s">
        <v>16151</v>
      </c>
      <c r="AT230" t="s">
        <v>16152</v>
      </c>
      <c r="AU230" t="s">
        <v>16153</v>
      </c>
      <c r="AV230" t="s">
        <v>8266</v>
      </c>
      <c r="AW230" t="s">
        <v>69</v>
      </c>
      <c r="AX230" t="s">
        <v>69</v>
      </c>
      <c r="AY230" t="s">
        <v>16154</v>
      </c>
      <c r="AZ230" t="s">
        <v>16155</v>
      </c>
      <c r="BA230" t="s">
        <v>2654</v>
      </c>
      <c r="BB230">
        <v>2020</v>
      </c>
      <c r="BC230" t="s">
        <v>69</v>
      </c>
      <c r="BD230">
        <v>15</v>
      </c>
      <c r="BE230" t="s">
        <v>69</v>
      </c>
      <c r="BF230" t="s">
        <v>69</v>
      </c>
      <c r="BG230" t="s">
        <v>69</v>
      </c>
      <c r="BH230" t="s">
        <v>69</v>
      </c>
      <c r="BI230">
        <v>45</v>
      </c>
      <c r="BJ230">
        <v>56</v>
      </c>
      <c r="BK230" t="s">
        <v>69</v>
      </c>
      <c r="BL230" t="s">
        <v>8267</v>
      </c>
      <c r="BM230" t="str">
        <f>HYPERLINK("http://dx.doi.org/10.17561/at.15.4710","http://dx.doi.org/10.17561/at.15.4710")</f>
        <v>http://dx.doi.org/10.17561/at.15.4710</v>
      </c>
      <c r="BN230" t="s">
        <v>69</v>
      </c>
      <c r="BO230" t="s">
        <v>69</v>
      </c>
      <c r="BP230">
        <v>12</v>
      </c>
      <c r="BQ230" t="s">
        <v>9096</v>
      </c>
      <c r="BR230" t="s">
        <v>8573</v>
      </c>
      <c r="BS230" t="s">
        <v>9096</v>
      </c>
      <c r="BT230" t="s">
        <v>16156</v>
      </c>
      <c r="BU230" t="s">
        <v>8268</v>
      </c>
      <c r="BV230" t="s">
        <v>69</v>
      </c>
      <c r="BW230" t="s">
        <v>12220</v>
      </c>
      <c r="BX230" t="s">
        <v>69</v>
      </c>
      <c r="BY230" t="s">
        <v>69</v>
      </c>
      <c r="BZ230" t="s">
        <v>8526</v>
      </c>
      <c r="CA230" t="str">
        <f>HYPERLINK("https%3A%2F%2Fwww.webofscience.com%2Fwos%2Fwoscc%2Ffull-record%2FWOS:000546181700005","View Full Record in Web of Science")</f>
        <v>View Full Record in Web of Science</v>
      </c>
    </row>
    <row r="231" spans="2:79" ht="12.5" x14ac:dyDescent="0.25">
      <c r="B231" t="s">
        <v>8495</v>
      </c>
      <c r="D231" s="22" t="s">
        <v>32931</v>
      </c>
      <c r="E231" s="7"/>
      <c r="F231" s="7"/>
      <c r="G231" s="7"/>
      <c r="H231" t="s">
        <v>67</v>
      </c>
      <c r="I231" t="s">
        <v>13561</v>
      </c>
      <c r="J231" t="s">
        <v>69</v>
      </c>
      <c r="K231" t="s">
        <v>69</v>
      </c>
      <c r="L231" t="s">
        <v>69</v>
      </c>
      <c r="M231" t="s">
        <v>13562</v>
      </c>
      <c r="N231" t="s">
        <v>69</v>
      </c>
      <c r="O231" t="s">
        <v>69</v>
      </c>
      <c r="P231" t="s">
        <v>13563</v>
      </c>
      <c r="Q231" t="s">
        <v>13564</v>
      </c>
      <c r="R231" t="s">
        <v>69</v>
      </c>
      <c r="S231" t="s">
        <v>69</v>
      </c>
      <c r="T231" t="s">
        <v>8505</v>
      </c>
      <c r="U231" t="s">
        <v>8506</v>
      </c>
      <c r="V231" t="s">
        <v>69</v>
      </c>
      <c r="W231" t="s">
        <v>69</v>
      </c>
      <c r="X231" t="s">
        <v>69</v>
      </c>
      <c r="Y231" t="s">
        <v>69</v>
      </c>
      <c r="Z231" t="s">
        <v>69</v>
      </c>
      <c r="AA231" t="s">
        <v>13565</v>
      </c>
      <c r="AB231" t="s">
        <v>13566</v>
      </c>
      <c r="AC231" t="s">
        <v>13567</v>
      </c>
      <c r="AD231" t="s">
        <v>13568</v>
      </c>
      <c r="AE231" t="s">
        <v>69</v>
      </c>
      <c r="AF231" t="s">
        <v>13569</v>
      </c>
      <c r="AG231" t="s">
        <v>13570</v>
      </c>
      <c r="AH231" t="s">
        <v>13571</v>
      </c>
      <c r="AI231" t="s">
        <v>13572</v>
      </c>
      <c r="AJ231" t="s">
        <v>13573</v>
      </c>
      <c r="AK231" t="s">
        <v>13574</v>
      </c>
      <c r="AL231" t="s">
        <v>13575</v>
      </c>
      <c r="AM231" t="s">
        <v>69</v>
      </c>
      <c r="AN231">
        <v>52</v>
      </c>
      <c r="AO231">
        <v>6</v>
      </c>
      <c r="AP231">
        <v>6</v>
      </c>
      <c r="AQ231">
        <v>19</v>
      </c>
      <c r="AR231">
        <v>28</v>
      </c>
      <c r="AS231" t="s">
        <v>13576</v>
      </c>
      <c r="AT231" t="s">
        <v>13577</v>
      </c>
      <c r="AU231" t="s">
        <v>13578</v>
      </c>
      <c r="AV231" t="s">
        <v>13579</v>
      </c>
      <c r="AW231" t="s">
        <v>13580</v>
      </c>
      <c r="AX231" t="s">
        <v>69</v>
      </c>
      <c r="AY231" t="s">
        <v>13581</v>
      </c>
      <c r="AZ231" t="s">
        <v>13582</v>
      </c>
      <c r="BA231" t="s">
        <v>69</v>
      </c>
      <c r="BB231">
        <v>2021</v>
      </c>
      <c r="BC231">
        <v>14</v>
      </c>
      <c r="BD231">
        <v>3</v>
      </c>
      <c r="BE231" t="s">
        <v>69</v>
      </c>
      <c r="BF231" t="s">
        <v>69</v>
      </c>
      <c r="BG231" t="s">
        <v>69</v>
      </c>
      <c r="BH231" t="s">
        <v>69</v>
      </c>
      <c r="BI231">
        <v>425</v>
      </c>
      <c r="BJ231">
        <v>438</v>
      </c>
      <c r="BK231" t="s">
        <v>69</v>
      </c>
      <c r="BL231" t="s">
        <v>13583</v>
      </c>
      <c r="BM231" t="str">
        <f>HYPERLINK("http://dx.doi.org/10.3926/jiem.3413","http://dx.doi.org/10.3926/jiem.3413")</f>
        <v>http://dx.doi.org/10.3926/jiem.3413</v>
      </c>
      <c r="BN231" t="s">
        <v>69</v>
      </c>
      <c r="BO231" t="s">
        <v>69</v>
      </c>
      <c r="BP231">
        <v>14</v>
      </c>
      <c r="BQ231" t="s">
        <v>10459</v>
      </c>
      <c r="BR231" t="s">
        <v>8573</v>
      </c>
      <c r="BS231" t="s">
        <v>8445</v>
      </c>
      <c r="BT231" t="s">
        <v>13584</v>
      </c>
      <c r="BU231" t="s">
        <v>13585</v>
      </c>
      <c r="BV231" t="s">
        <v>69</v>
      </c>
      <c r="BW231" t="s">
        <v>11853</v>
      </c>
      <c r="BX231" t="s">
        <v>69</v>
      </c>
      <c r="BY231" t="s">
        <v>69</v>
      </c>
      <c r="BZ231" t="s">
        <v>8526</v>
      </c>
      <c r="CA231" t="str">
        <f>HYPERLINK("https%3A%2F%2Fwww.webofscience.com%2Fwos%2Fwoscc%2Ffull-record%2FWOS:000688608600002","View Full Record in Web of Science")</f>
        <v>View Full Record in Web of Science</v>
      </c>
    </row>
    <row r="232" spans="2:79" ht="12.5" x14ac:dyDescent="0.25">
      <c r="B232" t="s">
        <v>8495</v>
      </c>
      <c r="D232" s="7" t="s">
        <v>32933</v>
      </c>
      <c r="E232" s="7"/>
      <c r="F232" s="7"/>
      <c r="G232" s="7"/>
      <c r="H232" t="s">
        <v>67</v>
      </c>
      <c r="I232" t="s">
        <v>1003</v>
      </c>
      <c r="J232" t="s">
        <v>69</v>
      </c>
      <c r="K232" t="s">
        <v>69</v>
      </c>
      <c r="L232" t="s">
        <v>69</v>
      </c>
      <c r="M232" t="s">
        <v>1004</v>
      </c>
      <c r="N232" t="s">
        <v>69</v>
      </c>
      <c r="O232" t="s">
        <v>69</v>
      </c>
      <c r="P232" t="s">
        <v>1005</v>
      </c>
      <c r="Q232" t="s">
        <v>1006</v>
      </c>
      <c r="R232" t="s">
        <v>69</v>
      </c>
      <c r="S232" t="s">
        <v>69</v>
      </c>
      <c r="T232" t="s">
        <v>8505</v>
      </c>
      <c r="U232" t="s">
        <v>8506</v>
      </c>
      <c r="V232" t="s">
        <v>69</v>
      </c>
      <c r="W232" t="s">
        <v>69</v>
      </c>
      <c r="X232" t="s">
        <v>69</v>
      </c>
      <c r="Y232" t="s">
        <v>69</v>
      </c>
      <c r="Z232" t="s">
        <v>69</v>
      </c>
      <c r="AA232" t="s">
        <v>17723</v>
      </c>
      <c r="AB232" t="s">
        <v>69</v>
      </c>
      <c r="AC232" t="s">
        <v>1007</v>
      </c>
      <c r="AD232" t="s">
        <v>17724</v>
      </c>
      <c r="AE232" t="s">
        <v>69</v>
      </c>
      <c r="AF232" t="s">
        <v>17725</v>
      </c>
      <c r="AG232" t="s">
        <v>17726</v>
      </c>
      <c r="AH232" t="s">
        <v>69</v>
      </c>
      <c r="AI232" t="s">
        <v>69</v>
      </c>
      <c r="AJ232" t="s">
        <v>69</v>
      </c>
      <c r="AK232" t="s">
        <v>69</v>
      </c>
      <c r="AL232" t="s">
        <v>69</v>
      </c>
      <c r="AM232" t="s">
        <v>69</v>
      </c>
      <c r="AN232">
        <v>49</v>
      </c>
      <c r="AO232">
        <v>0</v>
      </c>
      <c r="AP232">
        <v>0</v>
      </c>
      <c r="AQ232">
        <v>1</v>
      </c>
      <c r="AR232">
        <v>6</v>
      </c>
      <c r="AS232" t="s">
        <v>17727</v>
      </c>
      <c r="AT232" t="s">
        <v>17728</v>
      </c>
      <c r="AU232" t="s">
        <v>17729</v>
      </c>
      <c r="AV232" t="s">
        <v>1008</v>
      </c>
      <c r="AW232" t="s">
        <v>69</v>
      </c>
      <c r="AX232" t="s">
        <v>69</v>
      </c>
      <c r="AY232" t="s">
        <v>17730</v>
      </c>
      <c r="AZ232" t="s">
        <v>17731</v>
      </c>
      <c r="BA232" t="s">
        <v>69</v>
      </c>
      <c r="BB232">
        <v>2019</v>
      </c>
      <c r="BC232">
        <v>5</v>
      </c>
      <c r="BD232">
        <v>3</v>
      </c>
      <c r="BE232" t="s">
        <v>69</v>
      </c>
      <c r="BF232" t="s">
        <v>69</v>
      </c>
      <c r="BG232" t="s">
        <v>69</v>
      </c>
      <c r="BH232" t="s">
        <v>69</v>
      </c>
      <c r="BI232">
        <v>480</v>
      </c>
      <c r="BJ232">
        <v>492</v>
      </c>
      <c r="BK232" t="s">
        <v>69</v>
      </c>
      <c r="BL232" t="s">
        <v>1009</v>
      </c>
      <c r="BM232" t="str">
        <f>HYPERLINK("http://dx.doi.org/10.3934/geosci.2019.3.480","http://dx.doi.org/10.3934/geosci.2019.3.480")</f>
        <v>http://dx.doi.org/10.3934/geosci.2019.3.480</v>
      </c>
      <c r="BN232" t="s">
        <v>69</v>
      </c>
      <c r="BO232" t="s">
        <v>69</v>
      </c>
      <c r="BP232">
        <v>13</v>
      </c>
      <c r="BQ232" t="s">
        <v>17732</v>
      </c>
      <c r="BR232" t="s">
        <v>8573</v>
      </c>
      <c r="BS232" t="s">
        <v>17733</v>
      </c>
      <c r="BT232" t="s">
        <v>17734</v>
      </c>
      <c r="BU232" t="s">
        <v>1010</v>
      </c>
      <c r="BV232" t="s">
        <v>69</v>
      </c>
      <c r="BW232" t="s">
        <v>8931</v>
      </c>
      <c r="BX232" t="s">
        <v>69</v>
      </c>
      <c r="BY232" t="s">
        <v>69</v>
      </c>
      <c r="BZ232" t="s">
        <v>8526</v>
      </c>
      <c r="CA232" t="str">
        <f>HYPERLINK("https%3A%2F%2Fwww.webofscience.com%2Fwos%2Fwoscc%2Ffull-record%2FWOS:000484690300006","View Full Record in Web of Science")</f>
        <v>View Full Record in Web of Science</v>
      </c>
    </row>
    <row r="233" spans="2:79" ht="12.5" x14ac:dyDescent="0.25">
      <c r="B233" t="s">
        <v>8495</v>
      </c>
      <c r="D233" s="22" t="s">
        <v>32931</v>
      </c>
      <c r="E233" s="7"/>
      <c r="F233" s="7"/>
      <c r="G233" s="7"/>
      <c r="H233" t="s">
        <v>67</v>
      </c>
      <c r="I233" t="s">
        <v>28611</v>
      </c>
      <c r="J233" t="s">
        <v>69</v>
      </c>
      <c r="K233" t="s">
        <v>69</v>
      </c>
      <c r="L233" t="s">
        <v>69</v>
      </c>
      <c r="M233" t="s">
        <v>28612</v>
      </c>
      <c r="N233" t="s">
        <v>69</v>
      </c>
      <c r="O233" t="s">
        <v>69</v>
      </c>
      <c r="P233" t="s">
        <v>28613</v>
      </c>
      <c r="Q233" t="s">
        <v>28614</v>
      </c>
      <c r="R233" t="s">
        <v>69</v>
      </c>
      <c r="S233" t="s">
        <v>69</v>
      </c>
      <c r="T233" t="s">
        <v>8505</v>
      </c>
      <c r="U233" t="s">
        <v>8506</v>
      </c>
      <c r="V233" t="s">
        <v>69</v>
      </c>
      <c r="W233" t="s">
        <v>69</v>
      </c>
      <c r="X233" t="s">
        <v>69</v>
      </c>
      <c r="Y233" t="s">
        <v>69</v>
      </c>
      <c r="Z233" t="s">
        <v>69</v>
      </c>
      <c r="AA233" t="s">
        <v>69</v>
      </c>
      <c r="AB233" t="s">
        <v>28615</v>
      </c>
      <c r="AC233" t="s">
        <v>28616</v>
      </c>
      <c r="AD233" t="s">
        <v>28617</v>
      </c>
      <c r="AE233" t="s">
        <v>69</v>
      </c>
      <c r="AF233" t="s">
        <v>28618</v>
      </c>
      <c r="AG233" t="s">
        <v>69</v>
      </c>
      <c r="AH233" t="s">
        <v>28619</v>
      </c>
      <c r="AI233" t="s">
        <v>28620</v>
      </c>
      <c r="AJ233" t="s">
        <v>69</v>
      </c>
      <c r="AK233" t="s">
        <v>69</v>
      </c>
      <c r="AL233" t="s">
        <v>69</v>
      </c>
      <c r="AM233" t="s">
        <v>69</v>
      </c>
      <c r="AN233">
        <v>28</v>
      </c>
      <c r="AO233">
        <v>10</v>
      </c>
      <c r="AP233">
        <v>10</v>
      </c>
      <c r="AQ233">
        <v>0</v>
      </c>
      <c r="AR233">
        <v>13</v>
      </c>
      <c r="AS233" t="s">
        <v>28621</v>
      </c>
      <c r="AT233" t="s">
        <v>28622</v>
      </c>
      <c r="AU233" t="s">
        <v>28623</v>
      </c>
      <c r="AV233" t="s">
        <v>28624</v>
      </c>
      <c r="AW233" t="s">
        <v>28625</v>
      </c>
      <c r="AX233" t="s">
        <v>69</v>
      </c>
      <c r="AY233" t="s">
        <v>28626</v>
      </c>
      <c r="AZ233" t="s">
        <v>28627</v>
      </c>
      <c r="BA233" t="s">
        <v>191</v>
      </c>
      <c r="BB233">
        <v>2009</v>
      </c>
      <c r="BC233">
        <v>85</v>
      </c>
      <c r="BD233">
        <v>1</v>
      </c>
      <c r="BE233" t="s">
        <v>69</v>
      </c>
      <c r="BF233" t="s">
        <v>69</v>
      </c>
      <c r="BG233" t="s">
        <v>69</v>
      </c>
      <c r="BH233" t="s">
        <v>69</v>
      </c>
      <c r="BI233">
        <v>186</v>
      </c>
      <c r="BJ233">
        <v>200</v>
      </c>
      <c r="BK233" t="s">
        <v>69</v>
      </c>
      <c r="BL233" t="s">
        <v>28628</v>
      </c>
      <c r="BM233" t="str">
        <f>HYPERLINK("http://dx.doi.org/10.3368/le.85.1.186","http://dx.doi.org/10.3368/le.85.1.186")</f>
        <v>http://dx.doi.org/10.3368/le.85.1.186</v>
      </c>
      <c r="BN233" t="s">
        <v>69</v>
      </c>
      <c r="BO233" t="s">
        <v>69</v>
      </c>
      <c r="BP233">
        <v>15</v>
      </c>
      <c r="BQ233" t="s">
        <v>24848</v>
      </c>
      <c r="BR233" t="s">
        <v>8661</v>
      </c>
      <c r="BS233" t="s">
        <v>9114</v>
      </c>
      <c r="BT233" t="s">
        <v>28629</v>
      </c>
      <c r="BU233" t="s">
        <v>28630</v>
      </c>
      <c r="BV233" t="s">
        <v>69</v>
      </c>
      <c r="BW233" t="s">
        <v>69</v>
      </c>
      <c r="BX233" t="s">
        <v>69</v>
      </c>
      <c r="BY233" t="s">
        <v>69</v>
      </c>
      <c r="BZ233" t="s">
        <v>8526</v>
      </c>
      <c r="CA233" t="str">
        <f>HYPERLINK("https%3A%2F%2Fwww.webofscience.com%2Fwos%2Fwoscc%2Ffull-record%2FWOS:000262344800012","View Full Record in Web of Science")</f>
        <v>View Full Record in Web of Science</v>
      </c>
    </row>
    <row r="234" spans="2:79" ht="12.5" x14ac:dyDescent="0.25">
      <c r="B234" t="s">
        <v>8495</v>
      </c>
      <c r="D234" s="22" t="s">
        <v>32931</v>
      </c>
      <c r="E234" s="7"/>
      <c r="F234" s="7"/>
      <c r="G234" s="7"/>
      <c r="H234" t="s">
        <v>67</v>
      </c>
      <c r="I234" t="s">
        <v>25497</v>
      </c>
      <c r="J234" t="s">
        <v>69</v>
      </c>
      <c r="K234" t="s">
        <v>69</v>
      </c>
      <c r="L234" t="s">
        <v>69</v>
      </c>
      <c r="M234" t="s">
        <v>25498</v>
      </c>
      <c r="N234" t="s">
        <v>69</v>
      </c>
      <c r="O234" t="s">
        <v>69</v>
      </c>
      <c r="P234" t="s">
        <v>25499</v>
      </c>
      <c r="Q234" t="s">
        <v>25500</v>
      </c>
      <c r="R234" t="s">
        <v>69</v>
      </c>
      <c r="S234" t="s">
        <v>69</v>
      </c>
      <c r="T234" t="s">
        <v>10071</v>
      </c>
      <c r="U234" t="s">
        <v>8506</v>
      </c>
      <c r="V234" t="s">
        <v>69</v>
      </c>
      <c r="W234" t="s">
        <v>69</v>
      </c>
      <c r="X234" t="s">
        <v>69</v>
      </c>
      <c r="Y234" t="s">
        <v>69</v>
      </c>
      <c r="Z234" t="s">
        <v>69</v>
      </c>
      <c r="AA234" t="s">
        <v>25501</v>
      </c>
      <c r="AB234" t="s">
        <v>69</v>
      </c>
      <c r="AC234" t="s">
        <v>25502</v>
      </c>
      <c r="AD234" t="s">
        <v>25503</v>
      </c>
      <c r="AE234" t="s">
        <v>69</v>
      </c>
      <c r="AF234" t="s">
        <v>25504</v>
      </c>
      <c r="AG234" t="s">
        <v>69</v>
      </c>
      <c r="AH234" t="s">
        <v>69</v>
      </c>
      <c r="AI234" t="s">
        <v>69</v>
      </c>
      <c r="AJ234" t="s">
        <v>69</v>
      </c>
      <c r="AK234" t="s">
        <v>69</v>
      </c>
      <c r="AL234" t="s">
        <v>69</v>
      </c>
      <c r="AM234" t="s">
        <v>69</v>
      </c>
      <c r="AN234">
        <v>50</v>
      </c>
      <c r="AO234">
        <v>0</v>
      </c>
      <c r="AP234">
        <v>0</v>
      </c>
      <c r="AQ234">
        <v>0</v>
      </c>
      <c r="AR234">
        <v>0</v>
      </c>
      <c r="AS234" t="s">
        <v>25505</v>
      </c>
      <c r="AT234" t="s">
        <v>16078</v>
      </c>
      <c r="AU234" t="s">
        <v>25506</v>
      </c>
      <c r="AV234" t="s">
        <v>25507</v>
      </c>
      <c r="AW234" t="s">
        <v>25508</v>
      </c>
      <c r="AX234" t="s">
        <v>69</v>
      </c>
      <c r="AY234" t="s">
        <v>25500</v>
      </c>
      <c r="AZ234" t="s">
        <v>25509</v>
      </c>
      <c r="BA234" t="s">
        <v>2654</v>
      </c>
      <c r="BB234">
        <v>2013</v>
      </c>
      <c r="BC234">
        <v>7</v>
      </c>
      <c r="BD234">
        <v>14</v>
      </c>
      <c r="BE234" t="s">
        <v>69</v>
      </c>
      <c r="BF234" t="s">
        <v>69</v>
      </c>
      <c r="BG234" t="s">
        <v>69</v>
      </c>
      <c r="BH234" t="s">
        <v>69</v>
      </c>
      <c r="BI234">
        <v>103</v>
      </c>
      <c r="BJ234">
        <v>116</v>
      </c>
      <c r="BK234" t="s">
        <v>69</v>
      </c>
      <c r="BL234" t="s">
        <v>69</v>
      </c>
      <c r="BM234" t="s">
        <v>69</v>
      </c>
      <c r="BN234" t="s">
        <v>69</v>
      </c>
      <c r="BO234" t="s">
        <v>69</v>
      </c>
      <c r="BP234">
        <v>14</v>
      </c>
      <c r="BQ234" t="s">
        <v>8475</v>
      </c>
      <c r="BR234" t="s">
        <v>8573</v>
      </c>
      <c r="BS234" t="s">
        <v>8475</v>
      </c>
      <c r="BT234" t="s">
        <v>25510</v>
      </c>
      <c r="BU234" t="s">
        <v>25511</v>
      </c>
      <c r="BV234" t="s">
        <v>69</v>
      </c>
      <c r="BW234" t="s">
        <v>69</v>
      </c>
      <c r="BX234" t="s">
        <v>69</v>
      </c>
      <c r="BY234" t="s">
        <v>69</v>
      </c>
      <c r="BZ234" t="s">
        <v>8526</v>
      </c>
      <c r="CA234" t="str">
        <f>HYPERLINK("https%3A%2F%2Fwww.webofscience.com%2Fwos%2Fwoscc%2Ffull-record%2FWOS:000219739200008","View Full Record in Web of Science")</f>
        <v>View Full Record in Web of Science</v>
      </c>
    </row>
    <row r="235" spans="2:79" ht="12.5" x14ac:dyDescent="0.25">
      <c r="B235" t="s">
        <v>8495</v>
      </c>
      <c r="D235" s="7" t="s">
        <v>32933</v>
      </c>
      <c r="E235" s="7"/>
      <c r="F235" s="7"/>
      <c r="G235" s="7"/>
      <c r="H235" t="s">
        <v>67</v>
      </c>
      <c r="I235" t="s">
        <v>4840</v>
      </c>
      <c r="J235" t="s">
        <v>69</v>
      </c>
      <c r="K235" t="s">
        <v>69</v>
      </c>
      <c r="L235" t="s">
        <v>69</v>
      </c>
      <c r="M235" t="s">
        <v>4841</v>
      </c>
      <c r="N235" t="s">
        <v>69</v>
      </c>
      <c r="O235" t="s">
        <v>69</v>
      </c>
      <c r="P235" t="s">
        <v>4842</v>
      </c>
      <c r="Q235" t="s">
        <v>4029</v>
      </c>
      <c r="R235" t="s">
        <v>69</v>
      </c>
      <c r="S235" t="s">
        <v>69</v>
      </c>
      <c r="T235" t="s">
        <v>8505</v>
      </c>
      <c r="U235" t="s">
        <v>8506</v>
      </c>
      <c r="V235" t="s">
        <v>69</v>
      </c>
      <c r="W235" t="s">
        <v>69</v>
      </c>
      <c r="X235" t="s">
        <v>69</v>
      </c>
      <c r="Y235" t="s">
        <v>69</v>
      </c>
      <c r="Z235" t="s">
        <v>69</v>
      </c>
      <c r="AA235" t="s">
        <v>69</v>
      </c>
      <c r="AB235" t="s">
        <v>15603</v>
      </c>
      <c r="AC235" t="s">
        <v>4843</v>
      </c>
      <c r="AD235" t="s">
        <v>15604</v>
      </c>
      <c r="AE235" t="s">
        <v>69</v>
      </c>
      <c r="AF235" t="s">
        <v>15605</v>
      </c>
      <c r="AG235" t="s">
        <v>15606</v>
      </c>
      <c r="AH235" t="s">
        <v>69</v>
      </c>
      <c r="AI235" t="s">
        <v>15607</v>
      </c>
      <c r="AJ235" t="s">
        <v>15608</v>
      </c>
      <c r="AK235" t="s">
        <v>15609</v>
      </c>
      <c r="AL235" t="s">
        <v>15610</v>
      </c>
      <c r="AM235" t="s">
        <v>69</v>
      </c>
      <c r="AN235">
        <v>50</v>
      </c>
      <c r="AO235">
        <v>43</v>
      </c>
      <c r="AP235">
        <v>45</v>
      </c>
      <c r="AQ235">
        <v>13</v>
      </c>
      <c r="AR235">
        <v>103</v>
      </c>
      <c r="AS235" t="s">
        <v>15611</v>
      </c>
      <c r="AT235" t="s">
        <v>10924</v>
      </c>
      <c r="AU235" t="s">
        <v>15612</v>
      </c>
      <c r="AV235" t="s">
        <v>4031</v>
      </c>
      <c r="AW235" t="s">
        <v>4844</v>
      </c>
      <c r="AX235" t="s">
        <v>69</v>
      </c>
      <c r="AY235" t="s">
        <v>15613</v>
      </c>
      <c r="AZ235" t="s">
        <v>15614</v>
      </c>
      <c r="BA235" t="s">
        <v>837</v>
      </c>
      <c r="BB235">
        <v>2020</v>
      </c>
      <c r="BC235">
        <v>46</v>
      </c>
      <c r="BD235">
        <v>1</v>
      </c>
      <c r="BE235" t="s">
        <v>69</v>
      </c>
      <c r="BF235" t="s">
        <v>69</v>
      </c>
      <c r="BG235" t="s">
        <v>69</v>
      </c>
      <c r="BH235" t="s">
        <v>69</v>
      </c>
      <c r="BI235">
        <v>15</v>
      </c>
      <c r="BJ235">
        <v>33</v>
      </c>
      <c r="BK235" t="s">
        <v>69</v>
      </c>
      <c r="BL235" t="s">
        <v>4845</v>
      </c>
      <c r="BM235" t="str">
        <f>HYPERLINK("http://dx.doi.org/10.1080/07038992.2019.1711366","http://dx.doi.org/10.1080/07038992.2019.1711366")</f>
        <v>http://dx.doi.org/10.1080/07038992.2019.1711366</v>
      </c>
      <c r="BN235" t="s">
        <v>69</v>
      </c>
      <c r="BO235" t="s">
        <v>4822</v>
      </c>
      <c r="BP235">
        <v>19</v>
      </c>
      <c r="BQ235" t="s">
        <v>15615</v>
      </c>
      <c r="BR235" t="s">
        <v>8548</v>
      </c>
      <c r="BS235" t="s">
        <v>15615</v>
      </c>
      <c r="BT235" t="s">
        <v>15616</v>
      </c>
      <c r="BU235" t="s">
        <v>4846</v>
      </c>
      <c r="BV235" t="s">
        <v>69</v>
      </c>
      <c r="BW235" t="s">
        <v>69</v>
      </c>
      <c r="BX235" t="s">
        <v>69</v>
      </c>
      <c r="BY235" t="s">
        <v>69</v>
      </c>
      <c r="BZ235" t="s">
        <v>8526</v>
      </c>
      <c r="CA235" t="str">
        <f>HYPERLINK("https%3A%2F%2Fwww.webofscience.com%2Fwos%2Fwoscc%2Ffull-record%2FWOS:000519147100001","View Full Record in Web of Science")</f>
        <v>View Full Record in Web of Science</v>
      </c>
    </row>
    <row r="236" spans="2:79" ht="12.5" x14ac:dyDescent="0.25">
      <c r="B236" t="s">
        <v>8495</v>
      </c>
      <c r="D236" s="22" t="s">
        <v>32931</v>
      </c>
      <c r="E236" s="7"/>
      <c r="F236" s="7"/>
      <c r="G236" s="7"/>
      <c r="H236" t="s">
        <v>67</v>
      </c>
      <c r="I236" t="s">
        <v>30571</v>
      </c>
      <c r="J236" t="s">
        <v>69</v>
      </c>
      <c r="K236" t="s">
        <v>69</v>
      </c>
      <c r="L236" t="s">
        <v>69</v>
      </c>
      <c r="M236" t="s">
        <v>30572</v>
      </c>
      <c r="N236" t="s">
        <v>69</v>
      </c>
      <c r="O236" t="s">
        <v>69</v>
      </c>
      <c r="P236" t="s">
        <v>30573</v>
      </c>
      <c r="Q236" t="s">
        <v>23782</v>
      </c>
      <c r="R236" t="s">
        <v>69</v>
      </c>
      <c r="S236" t="s">
        <v>69</v>
      </c>
      <c r="T236" t="s">
        <v>8505</v>
      </c>
      <c r="U236" t="s">
        <v>8506</v>
      </c>
      <c r="V236" t="s">
        <v>69</v>
      </c>
      <c r="W236" t="s">
        <v>69</v>
      </c>
      <c r="X236" t="s">
        <v>69</v>
      </c>
      <c r="Y236" t="s">
        <v>69</v>
      </c>
      <c r="Z236" t="s">
        <v>69</v>
      </c>
      <c r="AA236" t="s">
        <v>30574</v>
      </c>
      <c r="AB236" t="s">
        <v>69</v>
      </c>
      <c r="AC236" t="s">
        <v>30575</v>
      </c>
      <c r="AD236" t="s">
        <v>30576</v>
      </c>
      <c r="AE236" t="s">
        <v>69</v>
      </c>
      <c r="AF236" t="s">
        <v>30577</v>
      </c>
      <c r="AG236" t="s">
        <v>30578</v>
      </c>
      <c r="AH236" t="s">
        <v>69</v>
      </c>
      <c r="AI236" t="s">
        <v>69</v>
      </c>
      <c r="AJ236" t="s">
        <v>69</v>
      </c>
      <c r="AK236" t="s">
        <v>69</v>
      </c>
      <c r="AL236" t="s">
        <v>69</v>
      </c>
      <c r="AM236" t="s">
        <v>69</v>
      </c>
      <c r="AN236">
        <v>0</v>
      </c>
      <c r="AO236">
        <v>1</v>
      </c>
      <c r="AP236">
        <v>1</v>
      </c>
      <c r="AQ236">
        <v>0</v>
      </c>
      <c r="AR236">
        <v>0</v>
      </c>
      <c r="AS236" t="s">
        <v>18342</v>
      </c>
      <c r="AT236" t="s">
        <v>18343</v>
      </c>
      <c r="AU236" t="s">
        <v>18344</v>
      </c>
      <c r="AV236" t="s">
        <v>23791</v>
      </c>
      <c r="AW236" t="s">
        <v>69</v>
      </c>
      <c r="AX236" t="s">
        <v>69</v>
      </c>
      <c r="AY236" t="s">
        <v>23792</v>
      </c>
      <c r="AZ236" t="s">
        <v>23793</v>
      </c>
      <c r="BA236" t="s">
        <v>75</v>
      </c>
      <c r="BB236">
        <v>2005</v>
      </c>
      <c r="BC236">
        <v>5</v>
      </c>
      <c r="BD236">
        <v>4</v>
      </c>
      <c r="BE236" t="s">
        <v>69</v>
      </c>
      <c r="BF236" t="s">
        <v>69</v>
      </c>
      <c r="BG236" t="s">
        <v>114</v>
      </c>
      <c r="BH236" t="s">
        <v>69</v>
      </c>
      <c r="BI236" t="s">
        <v>69</v>
      </c>
      <c r="BJ236" t="s">
        <v>69</v>
      </c>
      <c r="BK236">
        <v>18</v>
      </c>
      <c r="BL236" t="s">
        <v>30579</v>
      </c>
      <c r="BM236" t="str">
        <f>HYPERLINK("http://dx.doi.org/10.2202/1524-5861.1153","http://dx.doi.org/10.2202/1524-5861.1153")</f>
        <v>http://dx.doi.org/10.2202/1524-5861.1153</v>
      </c>
      <c r="BN236" t="s">
        <v>69</v>
      </c>
      <c r="BO236" t="s">
        <v>69</v>
      </c>
      <c r="BP236">
        <v>10</v>
      </c>
      <c r="BQ236" t="s">
        <v>9726</v>
      </c>
      <c r="BR236" t="s">
        <v>8573</v>
      </c>
      <c r="BS236" t="s">
        <v>8594</v>
      </c>
      <c r="BT236" t="s">
        <v>30580</v>
      </c>
      <c r="BU236" t="s">
        <v>30581</v>
      </c>
      <c r="BV236" t="s">
        <v>69</v>
      </c>
      <c r="BW236" t="s">
        <v>69</v>
      </c>
      <c r="BX236" t="s">
        <v>69</v>
      </c>
      <c r="BY236" t="s">
        <v>69</v>
      </c>
      <c r="BZ236" t="s">
        <v>8526</v>
      </c>
      <c r="CA236" t="str">
        <f>HYPERLINK("https%3A%2F%2Fwww.webofscience.com%2Fwos%2Fwoscc%2Ffull-record%2FWOS:000442148200018","View Full Record in Web of Science")</f>
        <v>View Full Record in Web of Science</v>
      </c>
    </row>
    <row r="237" spans="2:79" ht="12.5" x14ac:dyDescent="0.25">
      <c r="B237" t="s">
        <v>8495</v>
      </c>
      <c r="D237" s="22" t="s">
        <v>32931</v>
      </c>
      <c r="E237" s="7"/>
      <c r="F237" s="7"/>
      <c r="G237" s="7"/>
      <c r="H237" t="s">
        <v>67</v>
      </c>
      <c r="I237" t="s">
        <v>22662</v>
      </c>
      <c r="J237" t="s">
        <v>69</v>
      </c>
      <c r="K237" t="s">
        <v>69</v>
      </c>
      <c r="L237" t="s">
        <v>69</v>
      </c>
      <c r="M237" t="s">
        <v>22663</v>
      </c>
      <c r="N237" t="s">
        <v>69</v>
      </c>
      <c r="O237" t="s">
        <v>69</v>
      </c>
      <c r="P237" t="s">
        <v>22664</v>
      </c>
      <c r="Q237" t="s">
        <v>22665</v>
      </c>
      <c r="R237" t="s">
        <v>69</v>
      </c>
      <c r="S237" t="s">
        <v>69</v>
      </c>
      <c r="T237" t="s">
        <v>8505</v>
      </c>
      <c r="U237" t="s">
        <v>8506</v>
      </c>
      <c r="V237" t="s">
        <v>69</v>
      </c>
      <c r="W237" t="s">
        <v>69</v>
      </c>
      <c r="X237" t="s">
        <v>69</v>
      </c>
      <c r="Y237" t="s">
        <v>69</v>
      </c>
      <c r="Z237" t="s">
        <v>69</v>
      </c>
      <c r="AA237" t="s">
        <v>69</v>
      </c>
      <c r="AB237" t="s">
        <v>22666</v>
      </c>
      <c r="AC237" t="s">
        <v>22667</v>
      </c>
      <c r="AD237" t="s">
        <v>22668</v>
      </c>
      <c r="AE237" t="s">
        <v>69</v>
      </c>
      <c r="AF237" t="s">
        <v>22669</v>
      </c>
      <c r="AG237" t="s">
        <v>22670</v>
      </c>
      <c r="AH237" t="s">
        <v>22671</v>
      </c>
      <c r="AI237" t="s">
        <v>22672</v>
      </c>
      <c r="AJ237" t="s">
        <v>22673</v>
      </c>
      <c r="AK237" t="s">
        <v>22674</v>
      </c>
      <c r="AL237" t="s">
        <v>22675</v>
      </c>
      <c r="AM237" t="s">
        <v>69</v>
      </c>
      <c r="AN237">
        <v>33</v>
      </c>
      <c r="AO237">
        <v>8</v>
      </c>
      <c r="AP237">
        <v>8</v>
      </c>
      <c r="AQ237">
        <v>0</v>
      </c>
      <c r="AR237">
        <v>2</v>
      </c>
      <c r="AS237" t="s">
        <v>14489</v>
      </c>
      <c r="AT237" t="s">
        <v>14490</v>
      </c>
      <c r="AU237" t="s">
        <v>14491</v>
      </c>
      <c r="AV237" t="s">
        <v>22676</v>
      </c>
      <c r="AW237" t="s">
        <v>22677</v>
      </c>
      <c r="AX237" t="s">
        <v>69</v>
      </c>
      <c r="AY237" t="s">
        <v>22678</v>
      </c>
      <c r="AZ237" t="s">
        <v>22679</v>
      </c>
      <c r="BA237" t="s">
        <v>4429</v>
      </c>
      <c r="BB237">
        <v>2015</v>
      </c>
      <c r="BC237">
        <v>13</v>
      </c>
      <c r="BD237">
        <v>3</v>
      </c>
      <c r="BE237" t="s">
        <v>69</v>
      </c>
      <c r="BF237" t="s">
        <v>69</v>
      </c>
      <c r="BG237" t="s">
        <v>69</v>
      </c>
      <c r="BH237" t="s">
        <v>69</v>
      </c>
      <c r="BI237">
        <v>212</v>
      </c>
      <c r="BJ237">
        <v>218</v>
      </c>
      <c r="BK237" t="s">
        <v>69</v>
      </c>
      <c r="BL237" t="s">
        <v>22680</v>
      </c>
      <c r="BM237" t="str">
        <f>HYPERLINK("http://dx.doi.org/10.1089/bio.2015.0007","http://dx.doi.org/10.1089/bio.2015.0007")</f>
        <v>http://dx.doi.org/10.1089/bio.2015.0007</v>
      </c>
      <c r="BN237" t="s">
        <v>69</v>
      </c>
      <c r="BO237" t="s">
        <v>69</v>
      </c>
      <c r="BP237">
        <v>7</v>
      </c>
      <c r="BQ237" t="s">
        <v>22681</v>
      </c>
      <c r="BR237" t="s">
        <v>8548</v>
      </c>
      <c r="BS237" t="s">
        <v>22682</v>
      </c>
      <c r="BT237" t="s">
        <v>22683</v>
      </c>
      <c r="BU237" t="s">
        <v>22684</v>
      </c>
      <c r="BV237">
        <v>26035012</v>
      </c>
      <c r="BW237" t="s">
        <v>69</v>
      </c>
      <c r="BX237" t="s">
        <v>69</v>
      </c>
      <c r="BY237" t="s">
        <v>69</v>
      </c>
      <c r="BZ237" t="s">
        <v>8526</v>
      </c>
      <c r="CA237" t="str">
        <f>HYPERLINK("https%3A%2F%2Fwww.webofscience.com%2Fwos%2Fwoscc%2Ffull-record%2FWOS:000363940000010","View Full Record in Web of Science")</f>
        <v>View Full Record in Web of Science</v>
      </c>
    </row>
    <row r="238" spans="2:79" ht="12.5" x14ac:dyDescent="0.25">
      <c r="B238" t="s">
        <v>8495</v>
      </c>
      <c r="D238" s="22" t="s">
        <v>32931</v>
      </c>
      <c r="E238" s="7"/>
      <c r="F238" s="7"/>
      <c r="G238" s="7"/>
      <c r="H238" t="s">
        <v>67</v>
      </c>
      <c r="I238" t="s">
        <v>30343</v>
      </c>
      <c r="J238" t="s">
        <v>69</v>
      </c>
      <c r="K238" t="s">
        <v>69</v>
      </c>
      <c r="L238" t="s">
        <v>69</v>
      </c>
      <c r="M238" t="s">
        <v>30343</v>
      </c>
      <c r="N238" t="s">
        <v>69</v>
      </c>
      <c r="O238" t="s">
        <v>69</v>
      </c>
      <c r="P238" t="s">
        <v>30344</v>
      </c>
      <c r="Q238" t="s">
        <v>30345</v>
      </c>
      <c r="R238" t="s">
        <v>69</v>
      </c>
      <c r="S238" t="s">
        <v>69</v>
      </c>
      <c r="T238" t="s">
        <v>8505</v>
      </c>
      <c r="U238" t="s">
        <v>8442</v>
      </c>
      <c r="V238" t="s">
        <v>69</v>
      </c>
      <c r="W238" t="s">
        <v>69</v>
      </c>
      <c r="X238" t="s">
        <v>69</v>
      </c>
      <c r="Y238" t="s">
        <v>69</v>
      </c>
      <c r="Z238" t="s">
        <v>69</v>
      </c>
      <c r="AA238" t="s">
        <v>30346</v>
      </c>
      <c r="AB238" t="s">
        <v>30347</v>
      </c>
      <c r="AC238" t="s">
        <v>30348</v>
      </c>
      <c r="AD238" t="s">
        <v>30349</v>
      </c>
      <c r="AE238" t="s">
        <v>69</v>
      </c>
      <c r="AF238" t="s">
        <v>30350</v>
      </c>
      <c r="AG238" t="s">
        <v>30351</v>
      </c>
      <c r="AH238" t="s">
        <v>69</v>
      </c>
      <c r="AI238" t="s">
        <v>69</v>
      </c>
      <c r="AJ238" t="s">
        <v>30352</v>
      </c>
      <c r="AK238" t="s">
        <v>30353</v>
      </c>
      <c r="AL238" t="s">
        <v>69</v>
      </c>
      <c r="AM238" t="s">
        <v>69</v>
      </c>
      <c r="AN238">
        <v>165</v>
      </c>
      <c r="AO238">
        <v>114</v>
      </c>
      <c r="AP238">
        <v>120</v>
      </c>
      <c r="AQ238">
        <v>3</v>
      </c>
      <c r="AR238">
        <v>38</v>
      </c>
      <c r="AS238" t="s">
        <v>30354</v>
      </c>
      <c r="AT238" t="s">
        <v>30355</v>
      </c>
      <c r="AU238" t="s">
        <v>30356</v>
      </c>
      <c r="AV238" t="s">
        <v>30357</v>
      </c>
      <c r="AW238" t="s">
        <v>30358</v>
      </c>
      <c r="AX238" t="s">
        <v>69</v>
      </c>
      <c r="AY238" t="s">
        <v>30359</v>
      </c>
      <c r="AZ238" t="s">
        <v>30360</v>
      </c>
      <c r="BA238" t="s">
        <v>94</v>
      </c>
      <c r="BB238">
        <v>2006</v>
      </c>
      <c r="BC238">
        <v>7</v>
      </c>
      <c r="BD238">
        <v>3</v>
      </c>
      <c r="BE238" t="s">
        <v>69</v>
      </c>
      <c r="BF238" t="s">
        <v>69</v>
      </c>
      <c r="BG238" t="s">
        <v>69</v>
      </c>
      <c r="BH238" t="s">
        <v>69</v>
      </c>
      <c r="BI238">
        <v>265</v>
      </c>
      <c r="BJ238">
        <v>277</v>
      </c>
      <c r="BK238" t="s">
        <v>69</v>
      </c>
      <c r="BL238" t="s">
        <v>30361</v>
      </c>
      <c r="BM238" t="str">
        <f>HYPERLINK("http://dx.doi.org/10.2174/138945006776054942","http://dx.doi.org/10.2174/138945006776054942")</f>
        <v>http://dx.doi.org/10.2174/138945006776054942</v>
      </c>
      <c r="BN238" t="s">
        <v>69</v>
      </c>
      <c r="BO238" t="s">
        <v>69</v>
      </c>
      <c r="BP238">
        <v>13</v>
      </c>
      <c r="BQ238" t="s">
        <v>15044</v>
      </c>
      <c r="BR238" t="s">
        <v>8548</v>
      </c>
      <c r="BS238" t="s">
        <v>15044</v>
      </c>
      <c r="BT238" t="s">
        <v>30362</v>
      </c>
      <c r="BU238" t="s">
        <v>30363</v>
      </c>
      <c r="BV238">
        <v>16515527</v>
      </c>
      <c r="BW238" t="s">
        <v>69</v>
      </c>
      <c r="BX238" t="s">
        <v>69</v>
      </c>
      <c r="BY238" t="s">
        <v>69</v>
      </c>
      <c r="BZ238" t="s">
        <v>8526</v>
      </c>
      <c r="CA238" t="str">
        <f>HYPERLINK("https%3A%2F%2Fwww.webofscience.com%2Fwos%2Fwoscc%2Ffull-record%2FWOS:000235965400004","View Full Record in Web of Science")</f>
        <v>View Full Record in Web of Science</v>
      </c>
    </row>
    <row r="239" spans="2:79" ht="12.5" x14ac:dyDescent="0.25">
      <c r="B239" t="s">
        <v>8495</v>
      </c>
      <c r="D239" s="22" t="s">
        <v>32931</v>
      </c>
      <c r="E239" s="7"/>
      <c r="F239" s="7"/>
      <c r="G239" s="7"/>
      <c r="H239" t="s">
        <v>67</v>
      </c>
      <c r="I239" t="s">
        <v>13431</v>
      </c>
      <c r="J239" t="s">
        <v>69</v>
      </c>
      <c r="K239" t="s">
        <v>69</v>
      </c>
      <c r="L239" t="s">
        <v>69</v>
      </c>
      <c r="M239" t="s">
        <v>13432</v>
      </c>
      <c r="N239" t="s">
        <v>69</v>
      </c>
      <c r="O239" t="s">
        <v>69</v>
      </c>
      <c r="P239" t="s">
        <v>13433</v>
      </c>
      <c r="Q239" t="s">
        <v>13434</v>
      </c>
      <c r="R239" t="s">
        <v>69</v>
      </c>
      <c r="S239" t="s">
        <v>69</v>
      </c>
      <c r="T239" t="s">
        <v>8505</v>
      </c>
      <c r="U239" t="s">
        <v>8506</v>
      </c>
      <c r="V239" t="s">
        <v>69</v>
      </c>
      <c r="W239" t="s">
        <v>69</v>
      </c>
      <c r="X239" t="s">
        <v>69</v>
      </c>
      <c r="Y239" t="s">
        <v>69</v>
      </c>
      <c r="Z239" t="s">
        <v>69</v>
      </c>
      <c r="AA239" t="s">
        <v>13435</v>
      </c>
      <c r="AB239" t="s">
        <v>69</v>
      </c>
      <c r="AC239" t="s">
        <v>13436</v>
      </c>
      <c r="AD239" t="s">
        <v>13437</v>
      </c>
      <c r="AE239" t="s">
        <v>69</v>
      </c>
      <c r="AF239" t="s">
        <v>13438</v>
      </c>
      <c r="AG239" t="s">
        <v>13439</v>
      </c>
      <c r="AH239" t="s">
        <v>13440</v>
      </c>
      <c r="AI239" t="s">
        <v>13441</v>
      </c>
      <c r="AJ239" t="s">
        <v>69</v>
      </c>
      <c r="AK239" t="s">
        <v>69</v>
      </c>
      <c r="AL239" t="s">
        <v>69</v>
      </c>
      <c r="AM239" t="s">
        <v>69</v>
      </c>
      <c r="AN239">
        <v>18</v>
      </c>
      <c r="AO239">
        <v>0</v>
      </c>
      <c r="AP239">
        <v>0</v>
      </c>
      <c r="AQ239">
        <v>5</v>
      </c>
      <c r="AR239">
        <v>5</v>
      </c>
      <c r="AS239" t="s">
        <v>13442</v>
      </c>
      <c r="AT239" t="s">
        <v>13443</v>
      </c>
      <c r="AU239" t="s">
        <v>13444</v>
      </c>
      <c r="AV239" t="s">
        <v>13445</v>
      </c>
      <c r="AW239" t="s">
        <v>13446</v>
      </c>
      <c r="AX239" t="s">
        <v>69</v>
      </c>
      <c r="AY239" t="s">
        <v>13447</v>
      </c>
      <c r="AZ239" t="s">
        <v>13448</v>
      </c>
      <c r="BA239" t="s">
        <v>69</v>
      </c>
      <c r="BB239">
        <v>2021</v>
      </c>
      <c r="BC239">
        <v>15</v>
      </c>
      <c r="BD239">
        <v>2</v>
      </c>
      <c r="BE239" t="s">
        <v>69</v>
      </c>
      <c r="BF239" t="s">
        <v>69</v>
      </c>
      <c r="BG239" t="s">
        <v>69</v>
      </c>
      <c r="BH239" t="s">
        <v>69</v>
      </c>
      <c r="BI239">
        <v>161</v>
      </c>
      <c r="BJ239">
        <v>169</v>
      </c>
      <c r="BK239" t="s">
        <v>69</v>
      </c>
      <c r="BL239" t="s">
        <v>13449</v>
      </c>
      <c r="BM239" t="str">
        <f>HYPERLINK("http://dx.doi.org/10.15551/pesd2021152013","http://dx.doi.org/10.15551/pesd2021152013")</f>
        <v>http://dx.doi.org/10.15551/pesd2021152013</v>
      </c>
      <c r="BN239" t="s">
        <v>69</v>
      </c>
      <c r="BO239" t="s">
        <v>69</v>
      </c>
      <c r="BP239">
        <v>9</v>
      </c>
      <c r="BQ239" t="s">
        <v>8446</v>
      </c>
      <c r="BR239" t="s">
        <v>8573</v>
      </c>
      <c r="BS239" t="s">
        <v>8446</v>
      </c>
      <c r="BT239" t="s">
        <v>13450</v>
      </c>
      <c r="BU239" t="s">
        <v>13451</v>
      </c>
      <c r="BV239" t="s">
        <v>69</v>
      </c>
      <c r="BW239" t="s">
        <v>8931</v>
      </c>
      <c r="BX239" t="s">
        <v>69</v>
      </c>
      <c r="BY239" t="s">
        <v>69</v>
      </c>
      <c r="BZ239" t="s">
        <v>8526</v>
      </c>
      <c r="CA239" t="str">
        <f>HYPERLINK("https%3A%2F%2Fwww.webofscience.com%2Fwos%2Fwoscc%2Ffull-record%2FWOS:000744252400014","View Full Record in Web of Science")</f>
        <v>View Full Record in Web of Science</v>
      </c>
    </row>
    <row r="240" spans="2:79" ht="12.5" x14ac:dyDescent="0.25">
      <c r="B240" t="s">
        <v>8495</v>
      </c>
      <c r="D240" s="7" t="s">
        <v>32933</v>
      </c>
      <c r="E240" s="7"/>
      <c r="F240" s="7"/>
      <c r="G240" s="7"/>
      <c r="H240" t="s">
        <v>67</v>
      </c>
      <c r="I240" t="s">
        <v>4472</v>
      </c>
      <c r="J240" t="s">
        <v>69</v>
      </c>
      <c r="K240" t="s">
        <v>69</v>
      </c>
      <c r="L240" t="s">
        <v>69</v>
      </c>
      <c r="M240" t="s">
        <v>4473</v>
      </c>
      <c r="N240" t="s">
        <v>69</v>
      </c>
      <c r="O240" t="s">
        <v>69</v>
      </c>
      <c r="P240" t="s">
        <v>4474</v>
      </c>
      <c r="Q240" t="s">
        <v>4475</v>
      </c>
      <c r="R240" t="s">
        <v>69</v>
      </c>
      <c r="S240" t="s">
        <v>69</v>
      </c>
      <c r="T240" t="s">
        <v>8505</v>
      </c>
      <c r="U240" t="s">
        <v>15797</v>
      </c>
      <c r="V240" t="s">
        <v>4476</v>
      </c>
      <c r="W240" t="s">
        <v>4477</v>
      </c>
      <c r="X240" t="s">
        <v>4478</v>
      </c>
      <c r="Y240" t="s">
        <v>69</v>
      </c>
      <c r="Z240" t="s">
        <v>4479</v>
      </c>
      <c r="AA240" t="s">
        <v>30219</v>
      </c>
      <c r="AB240" t="s">
        <v>30220</v>
      </c>
      <c r="AC240" t="s">
        <v>4480</v>
      </c>
      <c r="AD240" t="s">
        <v>30221</v>
      </c>
      <c r="AE240" t="s">
        <v>69</v>
      </c>
      <c r="AF240" t="s">
        <v>30222</v>
      </c>
      <c r="AG240" t="s">
        <v>30223</v>
      </c>
      <c r="AH240" t="s">
        <v>30224</v>
      </c>
      <c r="AI240" t="s">
        <v>4481</v>
      </c>
      <c r="AJ240" t="s">
        <v>69</v>
      </c>
      <c r="AK240" t="s">
        <v>69</v>
      </c>
      <c r="AL240" t="s">
        <v>69</v>
      </c>
      <c r="AM240" t="s">
        <v>69</v>
      </c>
      <c r="AN240">
        <v>217</v>
      </c>
      <c r="AO240">
        <v>51</v>
      </c>
      <c r="AP240">
        <v>54</v>
      </c>
      <c r="AQ240">
        <v>0</v>
      </c>
      <c r="AR240">
        <v>78</v>
      </c>
      <c r="AS240" t="s">
        <v>9047</v>
      </c>
      <c r="AT240" t="s">
        <v>9048</v>
      </c>
      <c r="AU240" t="s">
        <v>9049</v>
      </c>
      <c r="AV240" t="s">
        <v>4482</v>
      </c>
      <c r="AW240" t="s">
        <v>4483</v>
      </c>
      <c r="AX240" t="s">
        <v>69</v>
      </c>
      <c r="AY240" t="s">
        <v>4475</v>
      </c>
      <c r="AZ240" t="s">
        <v>30225</v>
      </c>
      <c r="BA240" t="s">
        <v>84</v>
      </c>
      <c r="BB240">
        <v>2006</v>
      </c>
      <c r="BC240">
        <v>565</v>
      </c>
      <c r="BD240" t="s">
        <v>69</v>
      </c>
      <c r="BE240" t="s">
        <v>69</v>
      </c>
      <c r="BF240" t="s">
        <v>69</v>
      </c>
      <c r="BG240" t="s">
        <v>69</v>
      </c>
      <c r="BH240" t="s">
        <v>69</v>
      </c>
      <c r="BI240">
        <v>165</v>
      </c>
      <c r="BJ240">
        <v>186</v>
      </c>
      <c r="BK240" t="s">
        <v>69</v>
      </c>
      <c r="BL240" t="s">
        <v>4484</v>
      </c>
      <c r="BM240" t="str">
        <f>HYPERLINK("http://dx.doi.org/10.1007/s10750-005-1912-8","http://dx.doi.org/10.1007/s10750-005-1912-8")</f>
        <v>http://dx.doi.org/10.1007/s10750-005-1912-8</v>
      </c>
      <c r="BN240" t="s">
        <v>69</v>
      </c>
      <c r="BO240" t="s">
        <v>69</v>
      </c>
      <c r="BP240">
        <v>22</v>
      </c>
      <c r="BQ240" t="s">
        <v>27778</v>
      </c>
      <c r="BR240" t="s">
        <v>15808</v>
      </c>
      <c r="BS240" t="s">
        <v>27778</v>
      </c>
      <c r="BT240" t="s">
        <v>30226</v>
      </c>
      <c r="BU240" t="s">
        <v>4485</v>
      </c>
      <c r="BV240" t="s">
        <v>69</v>
      </c>
      <c r="BW240" t="s">
        <v>69</v>
      </c>
      <c r="BX240" t="s">
        <v>69</v>
      </c>
      <c r="BY240" t="s">
        <v>69</v>
      </c>
      <c r="BZ240" t="s">
        <v>8526</v>
      </c>
      <c r="CA240" t="str">
        <f>HYPERLINK("https%3A%2F%2Fwww.webofscience.com%2Fwos%2Fwoscc%2Ffull-record%2FWOS:000237670600012","View Full Record in Web of Science")</f>
        <v>View Full Record in Web of Science</v>
      </c>
    </row>
    <row r="241" spans="1:79" ht="12.5" x14ac:dyDescent="0.25">
      <c r="B241" t="s">
        <v>8495</v>
      </c>
      <c r="D241" s="22" t="s">
        <v>32931</v>
      </c>
      <c r="E241" s="7"/>
      <c r="F241" s="7"/>
      <c r="G241" s="7"/>
      <c r="H241" t="s">
        <v>67</v>
      </c>
      <c r="I241" t="s">
        <v>22705</v>
      </c>
      <c r="J241" t="s">
        <v>69</v>
      </c>
      <c r="K241" t="s">
        <v>69</v>
      </c>
      <c r="L241" t="s">
        <v>69</v>
      </c>
      <c r="M241" t="s">
        <v>22706</v>
      </c>
      <c r="N241" t="s">
        <v>69</v>
      </c>
      <c r="O241" t="s">
        <v>69</v>
      </c>
      <c r="P241" t="s">
        <v>22707</v>
      </c>
      <c r="Q241" t="s">
        <v>22708</v>
      </c>
      <c r="R241" t="s">
        <v>69</v>
      </c>
      <c r="S241" t="s">
        <v>69</v>
      </c>
      <c r="T241" t="s">
        <v>8505</v>
      </c>
      <c r="U241" t="s">
        <v>8506</v>
      </c>
      <c r="V241" t="s">
        <v>69</v>
      </c>
      <c r="W241" t="s">
        <v>69</v>
      </c>
      <c r="X241" t="s">
        <v>69</v>
      </c>
      <c r="Y241" t="s">
        <v>69</v>
      </c>
      <c r="Z241" t="s">
        <v>69</v>
      </c>
      <c r="AA241" t="s">
        <v>22709</v>
      </c>
      <c r="AB241" t="s">
        <v>69</v>
      </c>
      <c r="AC241" t="s">
        <v>22710</v>
      </c>
      <c r="AD241" t="s">
        <v>22711</v>
      </c>
      <c r="AE241" t="s">
        <v>69</v>
      </c>
      <c r="AF241" t="s">
        <v>22712</v>
      </c>
      <c r="AG241" t="s">
        <v>22713</v>
      </c>
      <c r="AH241" t="s">
        <v>69</v>
      </c>
      <c r="AI241" t="s">
        <v>69</v>
      </c>
      <c r="AJ241" t="s">
        <v>69</v>
      </c>
      <c r="AK241" t="s">
        <v>69</v>
      </c>
      <c r="AL241" t="s">
        <v>69</v>
      </c>
      <c r="AM241" t="s">
        <v>69</v>
      </c>
      <c r="AN241">
        <v>42</v>
      </c>
      <c r="AO241">
        <v>7</v>
      </c>
      <c r="AP241">
        <v>7</v>
      </c>
      <c r="AQ241">
        <v>0</v>
      </c>
      <c r="AR241">
        <v>10</v>
      </c>
      <c r="AS241" t="s">
        <v>9047</v>
      </c>
      <c r="AT241" t="s">
        <v>9048</v>
      </c>
      <c r="AU241" t="s">
        <v>9049</v>
      </c>
      <c r="AV241" t="s">
        <v>22714</v>
      </c>
      <c r="AW241" t="s">
        <v>22715</v>
      </c>
      <c r="AX241" t="s">
        <v>69</v>
      </c>
      <c r="AY241" t="s">
        <v>22716</v>
      </c>
      <c r="AZ241" t="s">
        <v>22717</v>
      </c>
      <c r="BA241" t="s">
        <v>155</v>
      </c>
      <c r="BB241">
        <v>2015</v>
      </c>
      <c r="BC241">
        <v>24</v>
      </c>
      <c r="BD241" t="s">
        <v>4267</v>
      </c>
      <c r="BE241" t="s">
        <v>69</v>
      </c>
      <c r="BF241" t="s">
        <v>69</v>
      </c>
      <c r="BG241" t="s">
        <v>114</v>
      </c>
      <c r="BH241" t="s">
        <v>69</v>
      </c>
      <c r="BI241">
        <v>223</v>
      </c>
      <c r="BJ241">
        <v>249</v>
      </c>
      <c r="BK241" t="s">
        <v>69</v>
      </c>
      <c r="BL241" t="s">
        <v>22718</v>
      </c>
      <c r="BM241" t="str">
        <f>HYPERLINK("http://dx.doi.org/10.1007/s10606-015-9223-8","http://dx.doi.org/10.1007/s10606-015-9223-8")</f>
        <v>http://dx.doi.org/10.1007/s10606-015-9223-8</v>
      </c>
      <c r="BN241" t="s">
        <v>69</v>
      </c>
      <c r="BO241" t="s">
        <v>69</v>
      </c>
      <c r="BP241">
        <v>27</v>
      </c>
      <c r="BQ241" t="s">
        <v>22719</v>
      </c>
      <c r="BR241" t="s">
        <v>8548</v>
      </c>
      <c r="BS241" t="s">
        <v>10976</v>
      </c>
      <c r="BT241" t="s">
        <v>22720</v>
      </c>
      <c r="BU241" t="s">
        <v>22721</v>
      </c>
      <c r="BV241" t="s">
        <v>69</v>
      </c>
      <c r="BW241" t="s">
        <v>9292</v>
      </c>
      <c r="BX241" t="s">
        <v>69</v>
      </c>
      <c r="BY241" t="s">
        <v>69</v>
      </c>
      <c r="BZ241" t="s">
        <v>8526</v>
      </c>
      <c r="CA241" t="str">
        <f>HYPERLINK("https%3A%2F%2Fwww.webofscience.com%2Fwos%2Fwoscc%2Ffull-record%2FWOS:000354957500007","View Full Record in Web of Science")</f>
        <v>View Full Record in Web of Science</v>
      </c>
    </row>
    <row r="242" spans="1:79" ht="12.5" x14ac:dyDescent="0.25">
      <c r="B242" t="s">
        <v>8495</v>
      </c>
      <c r="D242" s="22" t="s">
        <v>32931</v>
      </c>
      <c r="E242" s="7"/>
      <c r="F242" s="7"/>
      <c r="G242" s="7"/>
      <c r="H242" t="s">
        <v>67</v>
      </c>
      <c r="I242" t="s">
        <v>10129</v>
      </c>
      <c r="J242" t="s">
        <v>69</v>
      </c>
      <c r="K242" t="s">
        <v>69</v>
      </c>
      <c r="L242" t="s">
        <v>69</v>
      </c>
      <c r="M242" t="s">
        <v>10130</v>
      </c>
      <c r="N242" t="s">
        <v>69</v>
      </c>
      <c r="O242" t="s">
        <v>69</v>
      </c>
      <c r="P242" t="s">
        <v>10131</v>
      </c>
      <c r="Q242" t="s">
        <v>10132</v>
      </c>
      <c r="R242" t="s">
        <v>69</v>
      </c>
      <c r="S242" t="s">
        <v>69</v>
      </c>
      <c r="T242" t="s">
        <v>8505</v>
      </c>
      <c r="U242" t="s">
        <v>8442</v>
      </c>
      <c r="V242" t="s">
        <v>69</v>
      </c>
      <c r="W242" t="s">
        <v>69</v>
      </c>
      <c r="X242" t="s">
        <v>69</v>
      </c>
      <c r="Y242" t="s">
        <v>69</v>
      </c>
      <c r="Z242" t="s">
        <v>69</v>
      </c>
      <c r="AA242" t="s">
        <v>10133</v>
      </c>
      <c r="AB242" t="s">
        <v>10134</v>
      </c>
      <c r="AC242" t="s">
        <v>10135</v>
      </c>
      <c r="AD242" t="s">
        <v>10136</v>
      </c>
      <c r="AE242" t="s">
        <v>69</v>
      </c>
      <c r="AF242" t="s">
        <v>10137</v>
      </c>
      <c r="AG242" t="s">
        <v>69</v>
      </c>
      <c r="AH242" t="s">
        <v>10138</v>
      </c>
      <c r="AI242" t="s">
        <v>10139</v>
      </c>
      <c r="AJ242" t="s">
        <v>69</v>
      </c>
      <c r="AK242" t="s">
        <v>69</v>
      </c>
      <c r="AL242" t="s">
        <v>69</v>
      </c>
      <c r="AM242" t="s">
        <v>69</v>
      </c>
      <c r="AN242">
        <v>68</v>
      </c>
      <c r="AO242">
        <v>0</v>
      </c>
      <c r="AP242">
        <v>0</v>
      </c>
      <c r="AQ242">
        <v>3</v>
      </c>
      <c r="AR242">
        <v>3</v>
      </c>
      <c r="AS242" t="s">
        <v>10140</v>
      </c>
      <c r="AT242" t="s">
        <v>10141</v>
      </c>
      <c r="AU242" t="s">
        <v>10142</v>
      </c>
      <c r="AV242" t="s">
        <v>10143</v>
      </c>
      <c r="AW242" t="s">
        <v>69</v>
      </c>
      <c r="AX242" t="s">
        <v>69</v>
      </c>
      <c r="AY242" t="s">
        <v>10144</v>
      </c>
      <c r="AZ242" t="s">
        <v>10145</v>
      </c>
      <c r="BA242" t="s">
        <v>69</v>
      </c>
      <c r="BB242">
        <v>2022</v>
      </c>
      <c r="BC242">
        <v>12</v>
      </c>
      <c r="BD242" t="s">
        <v>336</v>
      </c>
      <c r="BE242" t="s">
        <v>69</v>
      </c>
      <c r="BF242" t="s">
        <v>69</v>
      </c>
      <c r="BG242" t="s">
        <v>69</v>
      </c>
      <c r="BH242" t="s">
        <v>69</v>
      </c>
      <c r="BI242" t="s">
        <v>69</v>
      </c>
      <c r="BJ242" t="s">
        <v>69</v>
      </c>
      <c r="BK242">
        <v>22010202</v>
      </c>
      <c r="BL242" t="s">
        <v>10146</v>
      </c>
      <c r="BM242" t="str">
        <f>HYPERLINK("http://dx.doi.org/10.22215/timreview/1479","http://dx.doi.org/10.22215/timreview/1479")</f>
        <v>http://dx.doi.org/10.22215/timreview/1479</v>
      </c>
      <c r="BN242" t="s">
        <v>69</v>
      </c>
      <c r="BO242" t="s">
        <v>69</v>
      </c>
      <c r="BP242">
        <v>17</v>
      </c>
      <c r="BQ242" t="s">
        <v>9410</v>
      </c>
      <c r="BR242" t="s">
        <v>8573</v>
      </c>
      <c r="BS242" t="s">
        <v>8594</v>
      </c>
      <c r="BT242" t="s">
        <v>10147</v>
      </c>
      <c r="BU242" t="s">
        <v>10148</v>
      </c>
      <c r="BV242" t="s">
        <v>69</v>
      </c>
      <c r="BW242" t="s">
        <v>69</v>
      </c>
      <c r="BX242" t="s">
        <v>69</v>
      </c>
      <c r="BY242" t="s">
        <v>69</v>
      </c>
      <c r="BZ242" t="s">
        <v>8526</v>
      </c>
      <c r="CA242" t="str">
        <f>HYPERLINK("https%3A%2F%2Fwww.webofscience.com%2Fwos%2Fwoscc%2Ffull-record%2FWOS:000810941100006","View Full Record in Web of Science")</f>
        <v>View Full Record in Web of Science</v>
      </c>
    </row>
    <row r="243" spans="1:79" ht="12.5" x14ac:dyDescent="0.25">
      <c r="B243" t="s">
        <v>8495</v>
      </c>
      <c r="D243" s="22" t="s">
        <v>32931</v>
      </c>
      <c r="E243" s="7"/>
      <c r="F243" s="7"/>
      <c r="G243" s="7"/>
      <c r="H243" t="s">
        <v>67</v>
      </c>
      <c r="I243" t="s">
        <v>11602</v>
      </c>
      <c r="J243" t="s">
        <v>69</v>
      </c>
      <c r="K243" t="s">
        <v>69</v>
      </c>
      <c r="L243" t="s">
        <v>69</v>
      </c>
      <c r="M243" t="s">
        <v>11603</v>
      </c>
      <c r="N243" t="s">
        <v>69</v>
      </c>
      <c r="O243" t="s">
        <v>69</v>
      </c>
      <c r="P243" t="s">
        <v>11604</v>
      </c>
      <c r="Q243" t="s">
        <v>436</v>
      </c>
      <c r="R243" t="s">
        <v>69</v>
      </c>
      <c r="S243" t="s">
        <v>69</v>
      </c>
      <c r="T243" t="s">
        <v>8505</v>
      </c>
      <c r="U243" t="s">
        <v>8506</v>
      </c>
      <c r="V243" t="s">
        <v>69</v>
      </c>
      <c r="W243" t="s">
        <v>69</v>
      </c>
      <c r="X243" t="s">
        <v>69</v>
      </c>
      <c r="Y243" t="s">
        <v>69</v>
      </c>
      <c r="Z243" t="s">
        <v>69</v>
      </c>
      <c r="AA243" t="s">
        <v>11605</v>
      </c>
      <c r="AB243" t="s">
        <v>11606</v>
      </c>
      <c r="AC243" t="s">
        <v>11607</v>
      </c>
      <c r="AD243" t="s">
        <v>11608</v>
      </c>
      <c r="AE243" t="s">
        <v>69</v>
      </c>
      <c r="AF243" t="s">
        <v>11609</v>
      </c>
      <c r="AG243" t="s">
        <v>11610</v>
      </c>
      <c r="AH243" t="s">
        <v>11611</v>
      </c>
      <c r="AI243" t="s">
        <v>11612</v>
      </c>
      <c r="AJ243" t="s">
        <v>69</v>
      </c>
      <c r="AK243" t="s">
        <v>69</v>
      </c>
      <c r="AL243" t="s">
        <v>69</v>
      </c>
      <c r="AM243" t="s">
        <v>69</v>
      </c>
      <c r="AN243">
        <v>251</v>
      </c>
      <c r="AO243">
        <v>12</v>
      </c>
      <c r="AP243">
        <v>12</v>
      </c>
      <c r="AQ243">
        <v>35</v>
      </c>
      <c r="AR243">
        <v>40</v>
      </c>
      <c r="AS243" t="s">
        <v>8636</v>
      </c>
      <c r="AT243" t="s">
        <v>8637</v>
      </c>
      <c r="AU243" t="s">
        <v>8638</v>
      </c>
      <c r="AV243" t="s">
        <v>440</v>
      </c>
      <c r="AW243" t="s">
        <v>441</v>
      </c>
      <c r="AX243" t="s">
        <v>69</v>
      </c>
      <c r="AY243" t="s">
        <v>8639</v>
      </c>
      <c r="AZ243" t="s">
        <v>8640</v>
      </c>
      <c r="BA243" t="s">
        <v>7048</v>
      </c>
      <c r="BB243">
        <v>2021</v>
      </c>
      <c r="BC243">
        <v>318</v>
      </c>
      <c r="BD243" t="s">
        <v>69</v>
      </c>
      <c r="BE243" t="s">
        <v>69</v>
      </c>
      <c r="BF243" t="s">
        <v>69</v>
      </c>
      <c r="BG243" t="s">
        <v>69</v>
      </c>
      <c r="BH243" t="s">
        <v>69</v>
      </c>
      <c r="BI243" t="s">
        <v>69</v>
      </c>
      <c r="BJ243" t="s">
        <v>69</v>
      </c>
      <c r="BK243">
        <v>128474</v>
      </c>
      <c r="BL243" t="s">
        <v>11613</v>
      </c>
      <c r="BM243" t="str">
        <f>HYPERLINK("http://dx.doi.org/10.1016/j.jclepro.2021.128474","http://dx.doi.org/10.1016/j.jclepro.2021.128474")</f>
        <v>http://dx.doi.org/10.1016/j.jclepro.2021.128474</v>
      </c>
      <c r="BN243" t="s">
        <v>69</v>
      </c>
      <c r="BO243" t="s">
        <v>11486</v>
      </c>
      <c r="BP243">
        <v>19</v>
      </c>
      <c r="BQ243" t="s">
        <v>8643</v>
      </c>
      <c r="BR243" t="s">
        <v>8523</v>
      </c>
      <c r="BS243" t="s">
        <v>8644</v>
      </c>
      <c r="BT243" t="s">
        <v>11614</v>
      </c>
      <c r="BU243" t="s">
        <v>11615</v>
      </c>
      <c r="BV243" t="s">
        <v>69</v>
      </c>
      <c r="BW243" t="s">
        <v>9374</v>
      </c>
      <c r="BX243" t="s">
        <v>69</v>
      </c>
      <c r="BY243" t="s">
        <v>69</v>
      </c>
      <c r="BZ243" t="s">
        <v>8526</v>
      </c>
      <c r="CA243" t="str">
        <f>HYPERLINK("https%3A%2F%2Fwww.webofscience.com%2Fwos%2Fwoscc%2Ffull-record%2FWOS:000725268100001","View Full Record in Web of Science")</f>
        <v>View Full Record in Web of Science</v>
      </c>
    </row>
    <row r="244" spans="1:79" ht="12.5" x14ac:dyDescent="0.25">
      <c r="B244" t="s">
        <v>8495</v>
      </c>
      <c r="D244" s="22" t="s">
        <v>32931</v>
      </c>
      <c r="E244" s="7"/>
      <c r="F244" s="7"/>
      <c r="G244" s="7"/>
      <c r="H244" t="s">
        <v>67</v>
      </c>
      <c r="I244" t="s">
        <v>11813</v>
      </c>
      <c r="J244" t="s">
        <v>69</v>
      </c>
      <c r="K244" t="s">
        <v>69</v>
      </c>
      <c r="L244" t="s">
        <v>69</v>
      </c>
      <c r="M244" t="s">
        <v>11814</v>
      </c>
      <c r="N244" t="s">
        <v>69</v>
      </c>
      <c r="O244" t="s">
        <v>69</v>
      </c>
      <c r="P244" t="s">
        <v>11815</v>
      </c>
      <c r="Q244" t="s">
        <v>11816</v>
      </c>
      <c r="R244" t="s">
        <v>69</v>
      </c>
      <c r="S244" t="s">
        <v>69</v>
      </c>
      <c r="T244" t="s">
        <v>8505</v>
      </c>
      <c r="U244" t="s">
        <v>8506</v>
      </c>
      <c r="V244" t="s">
        <v>69</v>
      </c>
      <c r="W244" t="s">
        <v>69</v>
      </c>
      <c r="X244" t="s">
        <v>69</v>
      </c>
      <c r="Y244" t="s">
        <v>69</v>
      </c>
      <c r="Z244" t="s">
        <v>69</v>
      </c>
      <c r="AA244" t="s">
        <v>11817</v>
      </c>
      <c r="AB244" t="s">
        <v>69</v>
      </c>
      <c r="AC244" t="s">
        <v>11818</v>
      </c>
      <c r="AD244" t="s">
        <v>11819</v>
      </c>
      <c r="AE244" t="s">
        <v>69</v>
      </c>
      <c r="AF244" t="s">
        <v>11820</v>
      </c>
      <c r="AG244" t="s">
        <v>11821</v>
      </c>
      <c r="AH244" t="s">
        <v>11822</v>
      </c>
      <c r="AI244" t="s">
        <v>11823</v>
      </c>
      <c r="AJ244" t="s">
        <v>11824</v>
      </c>
      <c r="AK244" t="s">
        <v>11825</v>
      </c>
      <c r="AL244" t="s">
        <v>11826</v>
      </c>
      <c r="AM244" t="s">
        <v>69</v>
      </c>
      <c r="AN244">
        <v>87</v>
      </c>
      <c r="AO244">
        <v>0</v>
      </c>
      <c r="AP244">
        <v>0</v>
      </c>
      <c r="AQ244">
        <v>1</v>
      </c>
      <c r="AR244">
        <v>7</v>
      </c>
      <c r="AS244" t="s">
        <v>8516</v>
      </c>
      <c r="AT244" t="s">
        <v>8517</v>
      </c>
      <c r="AU244" t="s">
        <v>8518</v>
      </c>
      <c r="AV244" t="s">
        <v>11827</v>
      </c>
      <c r="AW244" t="s">
        <v>69</v>
      </c>
      <c r="AX244" t="s">
        <v>69</v>
      </c>
      <c r="AY244" t="s">
        <v>11816</v>
      </c>
      <c r="AZ244" t="s">
        <v>11828</v>
      </c>
      <c r="BA244" t="s">
        <v>84</v>
      </c>
      <c r="BB244">
        <v>2021</v>
      </c>
      <c r="BC244">
        <v>23</v>
      </c>
      <c r="BD244" t="s">
        <v>69</v>
      </c>
      <c r="BE244" t="s">
        <v>69</v>
      </c>
      <c r="BF244" t="s">
        <v>69</v>
      </c>
      <c r="BG244" t="s">
        <v>69</v>
      </c>
      <c r="BH244" t="s">
        <v>69</v>
      </c>
      <c r="BI244" t="s">
        <v>69</v>
      </c>
      <c r="BJ244" t="s">
        <v>69</v>
      </c>
      <c r="BK244">
        <v>100337</v>
      </c>
      <c r="BL244" t="s">
        <v>11829</v>
      </c>
      <c r="BM244" t="str">
        <f>HYPERLINK("http://dx.doi.org/10.1016/j.impact.2021.100337","http://dx.doi.org/10.1016/j.impact.2021.100337")</f>
        <v>http://dx.doi.org/10.1016/j.impact.2021.100337</v>
      </c>
      <c r="BN244" t="s">
        <v>69</v>
      </c>
      <c r="BO244" t="s">
        <v>11790</v>
      </c>
      <c r="BP244">
        <v>14</v>
      </c>
      <c r="BQ244" t="s">
        <v>11830</v>
      </c>
      <c r="BR244" t="s">
        <v>8548</v>
      </c>
      <c r="BS244" t="s">
        <v>11831</v>
      </c>
      <c r="BT244" t="s">
        <v>11832</v>
      </c>
      <c r="BU244" t="s">
        <v>11833</v>
      </c>
      <c r="BV244">
        <v>35559838</v>
      </c>
      <c r="BW244" t="s">
        <v>69</v>
      </c>
      <c r="BX244" t="s">
        <v>69</v>
      </c>
      <c r="BY244" t="s">
        <v>69</v>
      </c>
      <c r="BZ244" t="s">
        <v>8526</v>
      </c>
      <c r="CA244" t="str">
        <f>HYPERLINK("https%3A%2F%2Fwww.webofscience.com%2Fwos%2Fwoscc%2Ffull-record%2FWOS:000693220800009","View Full Record in Web of Science")</f>
        <v>View Full Record in Web of Science</v>
      </c>
    </row>
    <row r="245" spans="1:79" ht="12.5" x14ac:dyDescent="0.25">
      <c r="B245" t="s">
        <v>8495</v>
      </c>
      <c r="D245" s="7" t="s">
        <v>32933</v>
      </c>
      <c r="E245" s="7"/>
      <c r="F245" s="7"/>
      <c r="G245" s="7"/>
      <c r="H245" t="s">
        <v>67</v>
      </c>
      <c r="I245" t="s">
        <v>3253</v>
      </c>
      <c r="J245" t="s">
        <v>69</v>
      </c>
      <c r="K245" t="s">
        <v>69</v>
      </c>
      <c r="L245" t="s">
        <v>69</v>
      </c>
      <c r="M245" t="s">
        <v>3254</v>
      </c>
      <c r="N245" t="s">
        <v>69</v>
      </c>
      <c r="O245" t="s">
        <v>69</v>
      </c>
      <c r="P245" t="s">
        <v>3255</v>
      </c>
      <c r="Q245" t="s">
        <v>3256</v>
      </c>
      <c r="R245" t="s">
        <v>69</v>
      </c>
      <c r="S245" t="s">
        <v>69</v>
      </c>
      <c r="T245" t="s">
        <v>8505</v>
      </c>
      <c r="U245" t="s">
        <v>8506</v>
      </c>
      <c r="V245" t="s">
        <v>69</v>
      </c>
      <c r="W245" t="s">
        <v>69</v>
      </c>
      <c r="X245" t="s">
        <v>69</v>
      </c>
      <c r="Y245" t="s">
        <v>69</v>
      </c>
      <c r="Z245" t="s">
        <v>69</v>
      </c>
      <c r="AA245" t="s">
        <v>24461</v>
      </c>
      <c r="AB245" t="s">
        <v>24462</v>
      </c>
      <c r="AC245" t="s">
        <v>3257</v>
      </c>
      <c r="AD245" t="s">
        <v>24463</v>
      </c>
      <c r="AE245" t="s">
        <v>69</v>
      </c>
      <c r="AF245" t="s">
        <v>24464</v>
      </c>
      <c r="AG245" t="s">
        <v>24465</v>
      </c>
      <c r="AH245" t="s">
        <v>24466</v>
      </c>
      <c r="AI245" t="s">
        <v>3258</v>
      </c>
      <c r="AJ245" t="s">
        <v>69</v>
      </c>
      <c r="AK245" t="s">
        <v>69</v>
      </c>
      <c r="AL245" t="s">
        <v>69</v>
      </c>
      <c r="AM245" t="s">
        <v>69</v>
      </c>
      <c r="AN245">
        <v>140</v>
      </c>
      <c r="AO245">
        <v>52</v>
      </c>
      <c r="AP245">
        <v>52</v>
      </c>
      <c r="AQ245">
        <v>4</v>
      </c>
      <c r="AR245">
        <v>56</v>
      </c>
      <c r="AS245" t="s">
        <v>9047</v>
      </c>
      <c r="AT245" t="s">
        <v>8693</v>
      </c>
      <c r="AU245" t="s">
        <v>16643</v>
      </c>
      <c r="AV245" t="s">
        <v>3259</v>
      </c>
      <c r="AW245" t="s">
        <v>3260</v>
      </c>
      <c r="AX245" t="s">
        <v>69</v>
      </c>
      <c r="AY245" t="s">
        <v>24467</v>
      </c>
      <c r="AZ245" t="s">
        <v>24468</v>
      </c>
      <c r="BA245" t="s">
        <v>75</v>
      </c>
      <c r="BB245">
        <v>2013</v>
      </c>
      <c r="BC245">
        <v>30</v>
      </c>
      <c r="BD245">
        <v>4</v>
      </c>
      <c r="BE245" t="s">
        <v>69</v>
      </c>
      <c r="BF245" t="s">
        <v>69</v>
      </c>
      <c r="BG245" t="s">
        <v>69</v>
      </c>
      <c r="BH245" t="s">
        <v>69</v>
      </c>
      <c r="BI245">
        <v>1059</v>
      </c>
      <c r="BJ245">
        <v>1086</v>
      </c>
      <c r="BK245" t="s">
        <v>69</v>
      </c>
      <c r="BL245" t="s">
        <v>3261</v>
      </c>
      <c r="BM245" t="str">
        <f>HYPERLINK("http://dx.doi.org/10.1007/s10490-013-9363-7","http://dx.doi.org/10.1007/s10490-013-9363-7")</f>
        <v>http://dx.doi.org/10.1007/s10490-013-9363-7</v>
      </c>
      <c r="BN245" t="s">
        <v>69</v>
      </c>
      <c r="BO245" t="s">
        <v>69</v>
      </c>
      <c r="BP245">
        <v>28</v>
      </c>
      <c r="BQ245" t="s">
        <v>9410</v>
      </c>
      <c r="BR245" t="s">
        <v>8661</v>
      </c>
      <c r="BS245" t="s">
        <v>8594</v>
      </c>
      <c r="BT245" t="s">
        <v>24469</v>
      </c>
      <c r="BU245" t="s">
        <v>3262</v>
      </c>
      <c r="BV245" t="s">
        <v>69</v>
      </c>
      <c r="BW245" t="s">
        <v>69</v>
      </c>
      <c r="BX245" t="s">
        <v>69</v>
      </c>
      <c r="BY245" t="s">
        <v>69</v>
      </c>
      <c r="BZ245" t="s">
        <v>8526</v>
      </c>
      <c r="CA245" t="str">
        <f>HYPERLINK("https%3A%2F%2Fwww.webofscience.com%2Fwos%2Fwoscc%2Ffull-record%2FWOS:000326735000005","View Full Record in Web of Science")</f>
        <v>View Full Record in Web of Science</v>
      </c>
    </row>
    <row r="246" spans="1:79" x14ac:dyDescent="0.3">
      <c r="B246" t="s">
        <v>8495</v>
      </c>
      <c r="D246" s="9" t="s">
        <v>32972</v>
      </c>
      <c r="E246" s="9" t="s">
        <v>33126</v>
      </c>
      <c r="F246" s="10" t="s">
        <v>8490</v>
      </c>
      <c r="G246" s="9" t="s">
        <v>8490</v>
      </c>
      <c r="H246" t="s">
        <v>67</v>
      </c>
      <c r="I246" t="s">
        <v>15538</v>
      </c>
      <c r="J246" t="s">
        <v>69</v>
      </c>
      <c r="K246" t="s">
        <v>69</v>
      </c>
      <c r="L246" t="s">
        <v>69</v>
      </c>
      <c r="M246" t="s">
        <v>15539</v>
      </c>
      <c r="N246" t="s">
        <v>69</v>
      </c>
      <c r="O246" t="s">
        <v>69</v>
      </c>
      <c r="P246" t="s">
        <v>15540</v>
      </c>
      <c r="Q246" t="s">
        <v>436</v>
      </c>
      <c r="R246" t="s">
        <v>69</v>
      </c>
      <c r="S246" t="s">
        <v>69</v>
      </c>
      <c r="T246" t="s">
        <v>8505</v>
      </c>
      <c r="U246" t="s">
        <v>8506</v>
      </c>
      <c r="V246" t="s">
        <v>69</v>
      </c>
      <c r="W246" t="s">
        <v>69</v>
      </c>
      <c r="X246" t="s">
        <v>69</v>
      </c>
      <c r="Y246" t="s">
        <v>69</v>
      </c>
      <c r="Z246" t="s">
        <v>69</v>
      </c>
      <c r="AA246" t="s">
        <v>15541</v>
      </c>
      <c r="AB246" t="s">
        <v>15542</v>
      </c>
      <c r="AC246" t="s">
        <v>15543</v>
      </c>
      <c r="AD246" t="s">
        <v>15544</v>
      </c>
      <c r="AE246" t="s">
        <v>69</v>
      </c>
      <c r="AF246" t="s">
        <v>15545</v>
      </c>
      <c r="AG246" t="s">
        <v>15546</v>
      </c>
      <c r="AH246" t="s">
        <v>15547</v>
      </c>
      <c r="AI246" t="s">
        <v>15548</v>
      </c>
      <c r="AJ246" t="s">
        <v>15549</v>
      </c>
      <c r="AK246" t="s">
        <v>15550</v>
      </c>
      <c r="AL246" t="s">
        <v>15551</v>
      </c>
      <c r="AM246" t="s">
        <v>69</v>
      </c>
      <c r="AN246">
        <v>80</v>
      </c>
      <c r="AO246">
        <v>5</v>
      </c>
      <c r="AP246">
        <v>5</v>
      </c>
      <c r="AQ246">
        <v>2</v>
      </c>
      <c r="AR246">
        <v>15</v>
      </c>
      <c r="AS246" t="s">
        <v>8636</v>
      </c>
      <c r="AT246" t="s">
        <v>8637</v>
      </c>
      <c r="AU246" t="s">
        <v>8638</v>
      </c>
      <c r="AV246" t="s">
        <v>440</v>
      </c>
      <c r="AW246" t="s">
        <v>441</v>
      </c>
      <c r="AX246" t="s">
        <v>69</v>
      </c>
      <c r="AY246" t="s">
        <v>8639</v>
      </c>
      <c r="AZ246" t="s">
        <v>8640</v>
      </c>
      <c r="BA246" t="s">
        <v>3848</v>
      </c>
      <c r="BB246">
        <v>2020</v>
      </c>
      <c r="BC246">
        <v>251</v>
      </c>
      <c r="BD246" t="s">
        <v>69</v>
      </c>
      <c r="BE246" t="s">
        <v>69</v>
      </c>
      <c r="BF246" t="s">
        <v>69</v>
      </c>
      <c r="BG246" t="s">
        <v>69</v>
      </c>
      <c r="BH246" t="s">
        <v>69</v>
      </c>
      <c r="BI246" t="s">
        <v>69</v>
      </c>
      <c r="BJ246" t="s">
        <v>69</v>
      </c>
      <c r="BK246">
        <v>119640</v>
      </c>
      <c r="BL246" t="s">
        <v>15552</v>
      </c>
      <c r="BM246" t="str">
        <f>HYPERLINK("http://dx.doi.org/10.1016/j.jclepro.2019.119640","http://dx.doi.org/10.1016/j.jclepro.2019.119640")</f>
        <v>http://dx.doi.org/10.1016/j.jclepro.2019.119640</v>
      </c>
      <c r="BN246" t="s">
        <v>69</v>
      </c>
      <c r="BO246" t="s">
        <v>69</v>
      </c>
      <c r="BP246">
        <v>17</v>
      </c>
      <c r="BQ246" t="s">
        <v>8643</v>
      </c>
      <c r="BR246" t="s">
        <v>8523</v>
      </c>
      <c r="BS246" t="s">
        <v>8644</v>
      </c>
      <c r="BT246" t="s">
        <v>15553</v>
      </c>
      <c r="BU246" t="s">
        <v>15554</v>
      </c>
      <c r="BV246" t="s">
        <v>69</v>
      </c>
      <c r="BW246" t="s">
        <v>10423</v>
      </c>
      <c r="BX246" t="s">
        <v>69</v>
      </c>
      <c r="BY246" t="s">
        <v>69</v>
      </c>
      <c r="BZ246" t="s">
        <v>8526</v>
      </c>
      <c r="CA246" t="str">
        <f>HYPERLINK("https%3A%2F%2Fwww.webofscience.com%2Fwos%2Fwoscc%2Ffull-record%2FWOS:000510823700125","View Full Record in Web of Science")</f>
        <v>View Full Record in Web of Science</v>
      </c>
    </row>
    <row r="247" spans="1:79" ht="12.5" x14ac:dyDescent="0.25">
      <c r="B247" t="s">
        <v>8495</v>
      </c>
      <c r="D247" s="22" t="s">
        <v>32931</v>
      </c>
      <c r="E247" s="7"/>
      <c r="F247" s="7"/>
      <c r="G247" s="7"/>
      <c r="H247" t="s">
        <v>67</v>
      </c>
      <c r="I247" t="s">
        <v>32368</v>
      </c>
      <c r="J247" t="s">
        <v>69</v>
      </c>
      <c r="K247" t="s">
        <v>69</v>
      </c>
      <c r="L247" t="s">
        <v>69</v>
      </c>
      <c r="M247" t="s">
        <v>32368</v>
      </c>
      <c r="N247" t="s">
        <v>69</v>
      </c>
      <c r="O247" t="s">
        <v>69</v>
      </c>
      <c r="P247" t="s">
        <v>32369</v>
      </c>
      <c r="Q247" t="s">
        <v>32370</v>
      </c>
      <c r="R247" t="s">
        <v>69</v>
      </c>
      <c r="S247" t="s">
        <v>69</v>
      </c>
      <c r="T247" t="s">
        <v>8505</v>
      </c>
      <c r="U247" t="s">
        <v>8506</v>
      </c>
      <c r="V247" t="s">
        <v>69</v>
      </c>
      <c r="W247" t="s">
        <v>69</v>
      </c>
      <c r="X247" t="s">
        <v>69</v>
      </c>
      <c r="Y247" t="s">
        <v>69</v>
      </c>
      <c r="Z247" t="s">
        <v>69</v>
      </c>
      <c r="AA247" t="s">
        <v>32371</v>
      </c>
      <c r="AB247" t="s">
        <v>32372</v>
      </c>
      <c r="AC247" t="s">
        <v>32373</v>
      </c>
      <c r="AD247" t="s">
        <v>32374</v>
      </c>
      <c r="AE247" t="s">
        <v>69</v>
      </c>
      <c r="AF247" t="s">
        <v>32375</v>
      </c>
      <c r="AG247" t="s">
        <v>69</v>
      </c>
      <c r="AH247" t="s">
        <v>69</v>
      </c>
      <c r="AI247" t="s">
        <v>69</v>
      </c>
      <c r="AJ247" t="s">
        <v>69</v>
      </c>
      <c r="AK247" t="s">
        <v>69</v>
      </c>
      <c r="AL247" t="s">
        <v>69</v>
      </c>
      <c r="AM247" t="s">
        <v>69</v>
      </c>
      <c r="AN247">
        <v>16</v>
      </c>
      <c r="AO247">
        <v>2</v>
      </c>
      <c r="AP247">
        <v>2</v>
      </c>
      <c r="AQ247">
        <v>0</v>
      </c>
      <c r="AR247">
        <v>4</v>
      </c>
      <c r="AS247" t="s">
        <v>32376</v>
      </c>
      <c r="AT247" t="s">
        <v>10141</v>
      </c>
      <c r="AU247" t="s">
        <v>32377</v>
      </c>
      <c r="AV247" t="s">
        <v>32378</v>
      </c>
      <c r="AW247" t="s">
        <v>69</v>
      </c>
      <c r="AX247" t="s">
        <v>69</v>
      </c>
      <c r="AY247" t="s">
        <v>32379</v>
      </c>
      <c r="AZ247" t="s">
        <v>32380</v>
      </c>
      <c r="BA247" t="s">
        <v>75</v>
      </c>
      <c r="BB247">
        <v>1996</v>
      </c>
      <c r="BC247">
        <v>33</v>
      </c>
      <c r="BD247">
        <v>6</v>
      </c>
      <c r="BE247" t="s">
        <v>69</v>
      </c>
      <c r="BF247" t="s">
        <v>69</v>
      </c>
      <c r="BG247" t="s">
        <v>69</v>
      </c>
      <c r="BH247" t="s">
        <v>69</v>
      </c>
      <c r="BI247">
        <v>926</v>
      </c>
      <c r="BJ247">
        <v>936</v>
      </c>
      <c r="BK247" t="s">
        <v>69</v>
      </c>
      <c r="BL247" t="s">
        <v>32381</v>
      </c>
      <c r="BM247" t="str">
        <f>HYPERLINK("http://dx.doi.org/10.1139/t96-122","http://dx.doi.org/10.1139/t96-122")</f>
        <v>http://dx.doi.org/10.1139/t96-122</v>
      </c>
      <c r="BN247" t="s">
        <v>69</v>
      </c>
      <c r="BO247" t="s">
        <v>69</v>
      </c>
      <c r="BP247">
        <v>11</v>
      </c>
      <c r="BQ247" t="s">
        <v>31173</v>
      </c>
      <c r="BR247" t="s">
        <v>8548</v>
      </c>
      <c r="BS247" t="s">
        <v>29172</v>
      </c>
      <c r="BT247" t="s">
        <v>32382</v>
      </c>
      <c r="BU247" t="s">
        <v>32383</v>
      </c>
      <c r="BV247" t="s">
        <v>69</v>
      </c>
      <c r="BW247" t="s">
        <v>69</v>
      </c>
      <c r="BX247" t="s">
        <v>69</v>
      </c>
      <c r="BY247" t="s">
        <v>69</v>
      </c>
      <c r="BZ247" t="s">
        <v>8526</v>
      </c>
      <c r="CA247" t="str">
        <f>HYPERLINK("https%3A%2F%2Fwww.webofscience.com%2Fwos%2Fwoscc%2Ffull-record%2FWOS:A1996WE25600008","View Full Record in Web of Science")</f>
        <v>View Full Record in Web of Science</v>
      </c>
    </row>
    <row r="248" spans="1:79" ht="12.5" x14ac:dyDescent="0.25">
      <c r="B248" t="s">
        <v>8495</v>
      </c>
      <c r="D248" s="7" t="s">
        <v>32933</v>
      </c>
      <c r="E248" s="7"/>
      <c r="F248" s="7"/>
      <c r="G248" s="7"/>
      <c r="H248" t="s">
        <v>67</v>
      </c>
      <c r="I248" t="s">
        <v>8009</v>
      </c>
      <c r="J248" t="s">
        <v>69</v>
      </c>
      <c r="K248" t="s">
        <v>69</v>
      </c>
      <c r="L248" t="s">
        <v>69</v>
      </c>
      <c r="M248" t="s">
        <v>8010</v>
      </c>
      <c r="N248" t="s">
        <v>69</v>
      </c>
      <c r="O248" t="s">
        <v>69</v>
      </c>
      <c r="P248" t="s">
        <v>8011</v>
      </c>
      <c r="Q248" t="s">
        <v>8012</v>
      </c>
      <c r="R248" t="s">
        <v>69</v>
      </c>
      <c r="S248" t="s">
        <v>69</v>
      </c>
      <c r="T248" t="s">
        <v>8505</v>
      </c>
      <c r="U248" t="s">
        <v>8506</v>
      </c>
      <c r="V248" t="s">
        <v>69</v>
      </c>
      <c r="W248" t="s">
        <v>69</v>
      </c>
      <c r="X248" t="s">
        <v>69</v>
      </c>
      <c r="Y248" t="s">
        <v>69</v>
      </c>
      <c r="Z248" t="s">
        <v>69</v>
      </c>
      <c r="AA248" t="s">
        <v>20385</v>
      </c>
      <c r="AB248" t="s">
        <v>69</v>
      </c>
      <c r="AC248" t="s">
        <v>8013</v>
      </c>
      <c r="AD248" t="s">
        <v>20386</v>
      </c>
      <c r="AE248" t="s">
        <v>69</v>
      </c>
      <c r="AF248" t="s">
        <v>20387</v>
      </c>
      <c r="AG248" t="s">
        <v>20388</v>
      </c>
      <c r="AH248" t="s">
        <v>69</v>
      </c>
      <c r="AI248" t="s">
        <v>69</v>
      </c>
      <c r="AJ248" t="s">
        <v>20389</v>
      </c>
      <c r="AK248" t="s">
        <v>20389</v>
      </c>
      <c r="AL248" t="s">
        <v>20390</v>
      </c>
      <c r="AM248" t="s">
        <v>69</v>
      </c>
      <c r="AN248">
        <v>113</v>
      </c>
      <c r="AO248">
        <v>12</v>
      </c>
      <c r="AP248">
        <v>12</v>
      </c>
      <c r="AQ248">
        <v>4</v>
      </c>
      <c r="AR248">
        <v>40</v>
      </c>
      <c r="AS248" t="s">
        <v>9554</v>
      </c>
      <c r="AT248" t="s">
        <v>9555</v>
      </c>
      <c r="AU248" t="s">
        <v>9556</v>
      </c>
      <c r="AV248" t="s">
        <v>8014</v>
      </c>
      <c r="AW248" t="s">
        <v>8015</v>
      </c>
      <c r="AX248" t="s">
        <v>69</v>
      </c>
      <c r="AY248" t="s">
        <v>17984</v>
      </c>
      <c r="AZ248" t="s">
        <v>17985</v>
      </c>
      <c r="BA248" t="s">
        <v>586</v>
      </c>
      <c r="BB248">
        <v>2017</v>
      </c>
      <c r="BC248">
        <v>43</v>
      </c>
      <c r="BD248">
        <v>3</v>
      </c>
      <c r="BE248" t="s">
        <v>69</v>
      </c>
      <c r="BF248" t="s">
        <v>69</v>
      </c>
      <c r="BG248" t="s">
        <v>69</v>
      </c>
      <c r="BH248" t="s">
        <v>69</v>
      </c>
      <c r="BI248">
        <v>470</v>
      </c>
      <c r="BJ248">
        <v>492</v>
      </c>
      <c r="BK248" t="s">
        <v>69</v>
      </c>
      <c r="BL248" t="s">
        <v>8016</v>
      </c>
      <c r="BM248" t="str">
        <f>HYPERLINK("http://dx.doi.org/10.1177/0096144215612065","http://dx.doi.org/10.1177/0096144215612065")</f>
        <v>http://dx.doi.org/10.1177/0096144215612065</v>
      </c>
      <c r="BN248" t="s">
        <v>69</v>
      </c>
      <c r="BO248" t="s">
        <v>69</v>
      </c>
      <c r="BP248">
        <v>23</v>
      </c>
      <c r="BQ248" t="s">
        <v>17987</v>
      </c>
      <c r="BR248" t="s">
        <v>12201</v>
      </c>
      <c r="BS248" t="s">
        <v>17988</v>
      </c>
      <c r="BT248" t="s">
        <v>20391</v>
      </c>
      <c r="BU248" t="s">
        <v>8017</v>
      </c>
      <c r="BV248" t="s">
        <v>69</v>
      </c>
      <c r="BW248" t="s">
        <v>69</v>
      </c>
      <c r="BX248" t="s">
        <v>69</v>
      </c>
      <c r="BY248" t="s">
        <v>69</v>
      </c>
      <c r="BZ248" t="s">
        <v>8526</v>
      </c>
      <c r="CA248" t="str">
        <f>HYPERLINK("https%3A%2F%2Fwww.webofscience.com%2Fwos%2Fwoscc%2Ffull-record%2FWOS:000400165000006","View Full Record in Web of Science")</f>
        <v>View Full Record in Web of Science</v>
      </c>
    </row>
    <row r="249" spans="1:79" ht="12.5" x14ac:dyDescent="0.25">
      <c r="B249" t="s">
        <v>8495</v>
      </c>
      <c r="D249" s="7" t="s">
        <v>32933</v>
      </c>
      <c r="E249" s="7"/>
      <c r="F249" s="7"/>
      <c r="G249" s="7"/>
      <c r="H249" t="s">
        <v>67</v>
      </c>
      <c r="I249" t="s">
        <v>6236</v>
      </c>
      <c r="J249" t="s">
        <v>69</v>
      </c>
      <c r="K249" t="s">
        <v>69</v>
      </c>
      <c r="L249" t="s">
        <v>69</v>
      </c>
      <c r="M249" t="s">
        <v>6237</v>
      </c>
      <c r="N249" t="s">
        <v>69</v>
      </c>
      <c r="O249" t="s">
        <v>69</v>
      </c>
      <c r="P249" t="s">
        <v>6238</v>
      </c>
      <c r="Q249" t="s">
        <v>6239</v>
      </c>
      <c r="R249" t="s">
        <v>69</v>
      </c>
      <c r="S249" t="s">
        <v>69</v>
      </c>
      <c r="T249" t="s">
        <v>10071</v>
      </c>
      <c r="U249" t="s">
        <v>8506</v>
      </c>
      <c r="V249" t="s">
        <v>69</v>
      </c>
      <c r="W249" t="s">
        <v>69</v>
      </c>
      <c r="X249" t="s">
        <v>69</v>
      </c>
      <c r="Y249" t="s">
        <v>69</v>
      </c>
      <c r="Z249" t="s">
        <v>69</v>
      </c>
      <c r="AA249" t="s">
        <v>29505</v>
      </c>
      <c r="AB249" t="s">
        <v>69</v>
      </c>
      <c r="AC249" t="s">
        <v>6240</v>
      </c>
      <c r="AD249" t="s">
        <v>29506</v>
      </c>
      <c r="AE249" t="s">
        <v>69</v>
      </c>
      <c r="AF249" t="s">
        <v>29507</v>
      </c>
      <c r="AG249" t="s">
        <v>29508</v>
      </c>
      <c r="AH249" t="s">
        <v>69</v>
      </c>
      <c r="AI249" t="s">
        <v>69</v>
      </c>
      <c r="AJ249" t="s">
        <v>69</v>
      </c>
      <c r="AK249" t="s">
        <v>69</v>
      </c>
      <c r="AL249" t="s">
        <v>69</v>
      </c>
      <c r="AM249" t="s">
        <v>69</v>
      </c>
      <c r="AN249">
        <v>23</v>
      </c>
      <c r="AO249">
        <v>9</v>
      </c>
      <c r="AP249">
        <v>15</v>
      </c>
      <c r="AQ249">
        <v>0</v>
      </c>
      <c r="AR249">
        <v>6</v>
      </c>
      <c r="AS249" t="s">
        <v>29509</v>
      </c>
      <c r="AT249" t="s">
        <v>26116</v>
      </c>
      <c r="AU249" t="s">
        <v>29510</v>
      </c>
      <c r="AV249" t="s">
        <v>6241</v>
      </c>
      <c r="AW249" t="s">
        <v>6242</v>
      </c>
      <c r="AX249" t="s">
        <v>69</v>
      </c>
      <c r="AY249" t="s">
        <v>29511</v>
      </c>
      <c r="AZ249" t="s">
        <v>29512</v>
      </c>
      <c r="BA249" t="s">
        <v>75</v>
      </c>
      <c r="BB249">
        <v>2007</v>
      </c>
      <c r="BC249">
        <v>33</v>
      </c>
      <c r="BD249">
        <v>100</v>
      </c>
      <c r="BE249" t="s">
        <v>69</v>
      </c>
      <c r="BF249" t="s">
        <v>69</v>
      </c>
      <c r="BG249" t="s">
        <v>69</v>
      </c>
      <c r="BH249" t="s">
        <v>69</v>
      </c>
      <c r="BI249">
        <v>149</v>
      </c>
      <c r="BJ249">
        <v>164</v>
      </c>
      <c r="BK249" t="s">
        <v>69</v>
      </c>
      <c r="BL249" t="s">
        <v>69</v>
      </c>
      <c r="BM249" t="s">
        <v>69</v>
      </c>
      <c r="BN249" t="s">
        <v>69</v>
      </c>
      <c r="BO249" t="s">
        <v>69</v>
      </c>
      <c r="BP249">
        <v>16</v>
      </c>
      <c r="BQ249" t="s">
        <v>8475</v>
      </c>
      <c r="BR249" t="s">
        <v>8661</v>
      </c>
      <c r="BS249" t="s">
        <v>8475</v>
      </c>
      <c r="BT249" t="s">
        <v>29513</v>
      </c>
      <c r="BU249" t="s">
        <v>6243</v>
      </c>
      <c r="BV249" t="s">
        <v>69</v>
      </c>
      <c r="BW249" t="s">
        <v>69</v>
      </c>
      <c r="BX249" t="s">
        <v>69</v>
      </c>
      <c r="BY249" t="s">
        <v>69</v>
      </c>
      <c r="BZ249" t="s">
        <v>8526</v>
      </c>
      <c r="CA249" t="str">
        <f>HYPERLINK("https%3A%2F%2Fwww.webofscience.com%2Fwos%2Fwoscc%2Ffull-record%2FWOS:000252031500008","View Full Record in Web of Science")</f>
        <v>View Full Record in Web of Science</v>
      </c>
    </row>
    <row r="250" spans="1:79" ht="12.5" x14ac:dyDescent="0.25">
      <c r="B250" t="s">
        <v>8495</v>
      </c>
      <c r="D250" s="7" t="s">
        <v>32933</v>
      </c>
      <c r="E250" s="7"/>
      <c r="F250" s="7"/>
      <c r="G250" s="7"/>
      <c r="H250" t="s">
        <v>67</v>
      </c>
      <c r="I250" t="s">
        <v>2865</v>
      </c>
      <c r="J250" t="s">
        <v>69</v>
      </c>
      <c r="K250" t="s">
        <v>69</v>
      </c>
      <c r="L250" t="s">
        <v>69</v>
      </c>
      <c r="M250" t="s">
        <v>2866</v>
      </c>
      <c r="N250" t="s">
        <v>69</v>
      </c>
      <c r="O250" t="s">
        <v>69</v>
      </c>
      <c r="P250" t="s">
        <v>2867</v>
      </c>
      <c r="Q250" t="s">
        <v>2868</v>
      </c>
      <c r="R250" t="s">
        <v>69</v>
      </c>
      <c r="S250" t="s">
        <v>69</v>
      </c>
      <c r="T250" t="s">
        <v>8505</v>
      </c>
      <c r="U250" t="s">
        <v>8506</v>
      </c>
      <c r="V250" t="s">
        <v>69</v>
      </c>
      <c r="W250" t="s">
        <v>69</v>
      </c>
      <c r="X250" t="s">
        <v>69</v>
      </c>
      <c r="Y250" t="s">
        <v>69</v>
      </c>
      <c r="Z250" t="s">
        <v>69</v>
      </c>
      <c r="AA250" t="s">
        <v>69</v>
      </c>
      <c r="AB250" t="s">
        <v>21701</v>
      </c>
      <c r="AC250" t="s">
        <v>2869</v>
      </c>
      <c r="AD250" t="s">
        <v>21702</v>
      </c>
      <c r="AE250" t="s">
        <v>69</v>
      </c>
      <c r="AF250" t="s">
        <v>21703</v>
      </c>
      <c r="AG250" t="s">
        <v>21704</v>
      </c>
      <c r="AH250" t="s">
        <v>69</v>
      </c>
      <c r="AI250" t="s">
        <v>69</v>
      </c>
      <c r="AJ250" t="s">
        <v>69</v>
      </c>
      <c r="AK250" t="s">
        <v>69</v>
      </c>
      <c r="AL250" t="s">
        <v>69</v>
      </c>
      <c r="AM250" t="s">
        <v>69</v>
      </c>
      <c r="AN250">
        <v>38</v>
      </c>
      <c r="AO250">
        <v>20</v>
      </c>
      <c r="AP250">
        <v>20</v>
      </c>
      <c r="AQ250">
        <v>0</v>
      </c>
      <c r="AR250">
        <v>8</v>
      </c>
      <c r="AS250" t="s">
        <v>8846</v>
      </c>
      <c r="AT250" t="s">
        <v>8847</v>
      </c>
      <c r="AU250" t="s">
        <v>8848</v>
      </c>
      <c r="AV250" t="s">
        <v>2870</v>
      </c>
      <c r="AW250" t="s">
        <v>2871</v>
      </c>
      <c r="AX250" t="s">
        <v>69</v>
      </c>
      <c r="AY250" t="s">
        <v>21705</v>
      </c>
      <c r="AZ250" t="s">
        <v>21706</v>
      </c>
      <c r="BA250" t="s">
        <v>586</v>
      </c>
      <c r="BB250">
        <v>2016</v>
      </c>
      <c r="BC250">
        <v>16</v>
      </c>
      <c r="BD250">
        <v>2</v>
      </c>
      <c r="BE250" t="s">
        <v>69</v>
      </c>
      <c r="BF250" t="s">
        <v>69</v>
      </c>
      <c r="BG250" t="s">
        <v>69</v>
      </c>
      <c r="BH250" t="s">
        <v>69</v>
      </c>
      <c r="BI250">
        <v>118</v>
      </c>
      <c r="BJ250">
        <v>127</v>
      </c>
      <c r="BK250" t="s">
        <v>69</v>
      </c>
      <c r="BL250" t="s">
        <v>2872</v>
      </c>
      <c r="BM250" t="str">
        <f>HYPERLINK("http://dx.doi.org/10.1002/pa.1555","http://dx.doi.org/10.1002/pa.1555")</f>
        <v>http://dx.doi.org/10.1002/pa.1555</v>
      </c>
      <c r="BN250" t="s">
        <v>69</v>
      </c>
      <c r="BO250" t="s">
        <v>69</v>
      </c>
      <c r="BP250">
        <v>10</v>
      </c>
      <c r="BQ250" t="s">
        <v>12182</v>
      </c>
      <c r="BR250" t="s">
        <v>8573</v>
      </c>
      <c r="BS250" t="s">
        <v>12182</v>
      </c>
      <c r="BT250" t="s">
        <v>21707</v>
      </c>
      <c r="BU250" t="s">
        <v>2873</v>
      </c>
      <c r="BV250" t="s">
        <v>69</v>
      </c>
      <c r="BW250" t="s">
        <v>9292</v>
      </c>
      <c r="BX250" t="s">
        <v>69</v>
      </c>
      <c r="BY250" t="s">
        <v>69</v>
      </c>
      <c r="BZ250" t="s">
        <v>8526</v>
      </c>
      <c r="CA250" t="str">
        <f>HYPERLINK("https%3A%2F%2Fwww.webofscience.com%2Fwos%2Fwoscc%2Ffull-record%2FWOS:000375857900003","View Full Record in Web of Science")</f>
        <v>View Full Record in Web of Science</v>
      </c>
    </row>
    <row r="251" spans="1:79" ht="12.5" x14ac:dyDescent="0.25">
      <c r="A251" t="s">
        <v>8408</v>
      </c>
      <c r="B251" t="s">
        <v>8495</v>
      </c>
      <c r="D251" s="17" t="s">
        <v>33203</v>
      </c>
      <c r="E251" s="7"/>
      <c r="F251" s="11" t="s">
        <v>8490</v>
      </c>
      <c r="G251" s="7"/>
      <c r="H251" t="s">
        <v>67</v>
      </c>
      <c r="I251" t="s">
        <v>7711</v>
      </c>
      <c r="J251" t="s">
        <v>69</v>
      </c>
      <c r="K251" t="s">
        <v>69</v>
      </c>
      <c r="L251" t="s">
        <v>69</v>
      </c>
      <c r="M251" s="16" t="s">
        <v>7711</v>
      </c>
      <c r="N251" t="s">
        <v>69</v>
      </c>
      <c r="O251" t="s">
        <v>69</v>
      </c>
      <c r="P251" s="11" t="s">
        <v>7712</v>
      </c>
      <c r="Q251" t="s">
        <v>7713</v>
      </c>
      <c r="R251" t="s">
        <v>69</v>
      </c>
      <c r="S251" t="s">
        <v>69</v>
      </c>
      <c r="T251" t="s">
        <v>8505</v>
      </c>
      <c r="U251" t="s">
        <v>8506</v>
      </c>
      <c r="V251" t="s">
        <v>69</v>
      </c>
      <c r="W251" t="s">
        <v>69</v>
      </c>
      <c r="X251" t="s">
        <v>69</v>
      </c>
      <c r="Y251" t="s">
        <v>69</v>
      </c>
      <c r="Z251" t="s">
        <v>69</v>
      </c>
      <c r="AA251" t="s">
        <v>31712</v>
      </c>
      <c r="AB251" t="s">
        <v>69</v>
      </c>
      <c r="AC251" t="s">
        <v>7714</v>
      </c>
      <c r="AD251" t="s">
        <v>31713</v>
      </c>
      <c r="AE251" t="s">
        <v>69</v>
      </c>
      <c r="AF251" t="s">
        <v>31714</v>
      </c>
      <c r="AG251" t="s">
        <v>69</v>
      </c>
      <c r="AH251" t="s">
        <v>69</v>
      </c>
      <c r="AI251" t="s">
        <v>69</v>
      </c>
      <c r="AJ251" t="s">
        <v>69</v>
      </c>
      <c r="AK251" t="s">
        <v>69</v>
      </c>
      <c r="AL251" t="s">
        <v>69</v>
      </c>
      <c r="AM251" t="s">
        <v>69</v>
      </c>
      <c r="AN251">
        <v>8</v>
      </c>
      <c r="AO251">
        <v>11</v>
      </c>
      <c r="AP251">
        <v>13</v>
      </c>
      <c r="AQ251">
        <v>9</v>
      </c>
      <c r="AR251">
        <v>21</v>
      </c>
      <c r="AS251" t="s">
        <v>31715</v>
      </c>
      <c r="AT251" t="s">
        <v>9048</v>
      </c>
      <c r="AU251" t="s">
        <v>31716</v>
      </c>
      <c r="AV251" t="s">
        <v>7715</v>
      </c>
      <c r="AW251" t="s">
        <v>69</v>
      </c>
      <c r="AX251" t="s">
        <v>69</v>
      </c>
      <c r="AY251" t="s">
        <v>9225</v>
      </c>
      <c r="AZ251" t="s">
        <v>9226</v>
      </c>
      <c r="BA251" t="s">
        <v>75</v>
      </c>
      <c r="BB251">
        <v>2000</v>
      </c>
      <c r="BC251">
        <v>14</v>
      </c>
      <c r="BD251">
        <v>6</v>
      </c>
      <c r="BE251" t="s">
        <v>69</v>
      </c>
      <c r="BF251" t="s">
        <v>69</v>
      </c>
      <c r="BG251" t="s">
        <v>69</v>
      </c>
      <c r="BH251" t="s">
        <v>69</v>
      </c>
      <c r="BI251">
        <v>473</v>
      </c>
      <c r="BJ251">
        <v>495</v>
      </c>
      <c r="BK251" t="s">
        <v>69</v>
      </c>
      <c r="BL251" t="s">
        <v>7716</v>
      </c>
      <c r="BM251" t="str">
        <f>HYPERLINK("http://dx.doi.org/10.1023/A:1011105008526","http://dx.doi.org/10.1023/A:1011105008526")</f>
        <v>http://dx.doi.org/10.1023/A:1011105008526</v>
      </c>
      <c r="BN251" t="s">
        <v>69</v>
      </c>
      <c r="BO251" t="s">
        <v>69</v>
      </c>
      <c r="BP251">
        <v>23</v>
      </c>
      <c r="BQ251" t="s">
        <v>9229</v>
      </c>
      <c r="BR251" t="s">
        <v>8548</v>
      </c>
      <c r="BS251" t="s">
        <v>9230</v>
      </c>
      <c r="BT251" t="s">
        <v>31717</v>
      </c>
      <c r="BU251" t="s">
        <v>7717</v>
      </c>
      <c r="BV251" t="s">
        <v>69</v>
      </c>
      <c r="BW251" t="s">
        <v>69</v>
      </c>
      <c r="BX251" t="s">
        <v>69</v>
      </c>
      <c r="BY251" t="s">
        <v>69</v>
      </c>
      <c r="BZ251" t="s">
        <v>8526</v>
      </c>
      <c r="CA251" t="str">
        <f>HYPERLINK("https%3A%2F%2Fwww.webofscience.com%2Fwos%2Fwoscc%2Ffull-record%2FWOS:000169223100004","View Full Record in Web of Science")</f>
        <v>View Full Record in Web of Science</v>
      </c>
    </row>
    <row r="252" spans="1:79" ht="12.5" x14ac:dyDescent="0.25">
      <c r="B252" t="s">
        <v>8495</v>
      </c>
      <c r="D252" s="22" t="s">
        <v>32931</v>
      </c>
      <c r="E252" s="7"/>
      <c r="F252" s="7"/>
      <c r="G252" s="7"/>
      <c r="H252" t="s">
        <v>67</v>
      </c>
      <c r="I252" t="s">
        <v>24503</v>
      </c>
      <c r="J252" t="s">
        <v>69</v>
      </c>
      <c r="K252" t="s">
        <v>69</v>
      </c>
      <c r="L252" t="s">
        <v>69</v>
      </c>
      <c r="M252" t="s">
        <v>24504</v>
      </c>
      <c r="N252" t="s">
        <v>69</v>
      </c>
      <c r="O252" t="s">
        <v>69</v>
      </c>
      <c r="P252" t="s">
        <v>24505</v>
      </c>
      <c r="Q252" t="s">
        <v>24506</v>
      </c>
      <c r="R252" t="s">
        <v>69</v>
      </c>
      <c r="S252" t="s">
        <v>69</v>
      </c>
      <c r="T252" t="s">
        <v>8505</v>
      </c>
      <c r="U252" t="s">
        <v>8506</v>
      </c>
      <c r="V252" t="s">
        <v>69</v>
      </c>
      <c r="W252" t="s">
        <v>69</v>
      </c>
      <c r="X252" t="s">
        <v>69</v>
      </c>
      <c r="Y252" t="s">
        <v>69</v>
      </c>
      <c r="Z252" t="s">
        <v>69</v>
      </c>
      <c r="AA252" t="s">
        <v>24507</v>
      </c>
      <c r="AB252" t="s">
        <v>69</v>
      </c>
      <c r="AC252" t="s">
        <v>24508</v>
      </c>
      <c r="AD252" t="s">
        <v>24509</v>
      </c>
      <c r="AE252" t="s">
        <v>69</v>
      </c>
      <c r="AF252" t="s">
        <v>24510</v>
      </c>
      <c r="AG252" t="s">
        <v>69</v>
      </c>
      <c r="AH252" t="s">
        <v>69</v>
      </c>
      <c r="AI252" t="s">
        <v>69</v>
      </c>
      <c r="AJ252" t="s">
        <v>69</v>
      </c>
      <c r="AK252" t="s">
        <v>69</v>
      </c>
      <c r="AL252" t="s">
        <v>69</v>
      </c>
      <c r="AM252" t="s">
        <v>69</v>
      </c>
      <c r="AN252">
        <v>5</v>
      </c>
      <c r="AO252">
        <v>1</v>
      </c>
      <c r="AP252">
        <v>1</v>
      </c>
      <c r="AQ252">
        <v>0</v>
      </c>
      <c r="AR252">
        <v>0</v>
      </c>
      <c r="AS252" t="s">
        <v>13195</v>
      </c>
      <c r="AT252" t="s">
        <v>13196</v>
      </c>
      <c r="AU252" t="s">
        <v>13197</v>
      </c>
      <c r="AV252" t="s">
        <v>24511</v>
      </c>
      <c r="AW252" t="s">
        <v>24512</v>
      </c>
      <c r="AX252" t="s">
        <v>69</v>
      </c>
      <c r="AY252" t="s">
        <v>24513</v>
      </c>
      <c r="AZ252" t="s">
        <v>24514</v>
      </c>
      <c r="BA252" t="s">
        <v>75</v>
      </c>
      <c r="BB252">
        <v>2013</v>
      </c>
      <c r="BC252">
        <v>166</v>
      </c>
      <c r="BD252">
        <v>6</v>
      </c>
      <c r="BE252" t="s">
        <v>69</v>
      </c>
      <c r="BF252" t="s">
        <v>69</v>
      </c>
      <c r="BG252" t="s">
        <v>69</v>
      </c>
      <c r="BH252" t="s">
        <v>69</v>
      </c>
      <c r="BI252">
        <v>273</v>
      </c>
      <c r="BJ252">
        <v>276</v>
      </c>
      <c r="BK252">
        <v>1200021</v>
      </c>
      <c r="BL252" t="s">
        <v>24515</v>
      </c>
      <c r="BM252" t="str">
        <f>HYPERLINK("http://dx.doi.org/10.1680/mpal.12.00021","http://dx.doi.org/10.1680/mpal.12.00021")</f>
        <v>http://dx.doi.org/10.1680/mpal.12.00021</v>
      </c>
      <c r="BN252" t="s">
        <v>69</v>
      </c>
      <c r="BO252" t="s">
        <v>69</v>
      </c>
      <c r="BP252">
        <v>4</v>
      </c>
      <c r="BQ252" t="s">
        <v>9410</v>
      </c>
      <c r="BR252" t="s">
        <v>8573</v>
      </c>
      <c r="BS252" t="s">
        <v>8594</v>
      </c>
      <c r="BT252" t="s">
        <v>24516</v>
      </c>
      <c r="BU252" t="s">
        <v>24517</v>
      </c>
      <c r="BV252" t="s">
        <v>69</v>
      </c>
      <c r="BW252" t="s">
        <v>69</v>
      </c>
      <c r="BX252" t="s">
        <v>69</v>
      </c>
      <c r="BY252" t="s">
        <v>69</v>
      </c>
      <c r="BZ252" t="s">
        <v>8526</v>
      </c>
      <c r="CA252" t="str">
        <f>HYPERLINK("https%3A%2F%2Fwww.webofscience.com%2Fwos%2Fwoscc%2Ffull-record%2FWOS:000215435400002","View Full Record in Web of Science")</f>
        <v>View Full Record in Web of Science</v>
      </c>
    </row>
    <row r="253" spans="1:79" ht="12.5" x14ac:dyDescent="0.25">
      <c r="B253" t="s">
        <v>8495</v>
      </c>
      <c r="D253" s="22" t="s">
        <v>32931</v>
      </c>
      <c r="E253" s="7"/>
      <c r="F253" s="7"/>
      <c r="G253" s="7"/>
      <c r="H253" t="s">
        <v>67</v>
      </c>
      <c r="I253" t="s">
        <v>20818</v>
      </c>
      <c r="J253" t="s">
        <v>69</v>
      </c>
      <c r="K253" t="s">
        <v>69</v>
      </c>
      <c r="L253" t="s">
        <v>69</v>
      </c>
      <c r="M253" t="s">
        <v>20819</v>
      </c>
      <c r="N253" t="s">
        <v>69</v>
      </c>
      <c r="O253" t="s">
        <v>69</v>
      </c>
      <c r="P253" t="s">
        <v>20820</v>
      </c>
      <c r="Q253" t="s">
        <v>20821</v>
      </c>
      <c r="R253" t="s">
        <v>69</v>
      </c>
      <c r="S253" t="s">
        <v>69</v>
      </c>
      <c r="T253" t="s">
        <v>8505</v>
      </c>
      <c r="U253" t="s">
        <v>8506</v>
      </c>
      <c r="V253" t="s">
        <v>69</v>
      </c>
      <c r="W253" t="s">
        <v>69</v>
      </c>
      <c r="X253" t="s">
        <v>69</v>
      </c>
      <c r="Y253" t="s">
        <v>69</v>
      </c>
      <c r="Z253" t="s">
        <v>69</v>
      </c>
      <c r="AA253" t="s">
        <v>20822</v>
      </c>
      <c r="AB253" t="s">
        <v>20823</v>
      </c>
      <c r="AC253" t="s">
        <v>20824</v>
      </c>
      <c r="AD253" t="s">
        <v>20825</v>
      </c>
      <c r="AE253" t="s">
        <v>69</v>
      </c>
      <c r="AF253" t="s">
        <v>20826</v>
      </c>
      <c r="AG253" t="s">
        <v>20827</v>
      </c>
      <c r="AH253" t="s">
        <v>69</v>
      </c>
      <c r="AI253" t="s">
        <v>20828</v>
      </c>
      <c r="AJ253" t="s">
        <v>69</v>
      </c>
      <c r="AK253" t="s">
        <v>69</v>
      </c>
      <c r="AL253" t="s">
        <v>69</v>
      </c>
      <c r="AM253" t="s">
        <v>69</v>
      </c>
      <c r="AN253">
        <v>27</v>
      </c>
      <c r="AO253">
        <v>11</v>
      </c>
      <c r="AP253">
        <v>11</v>
      </c>
      <c r="AQ253">
        <v>0</v>
      </c>
      <c r="AR253">
        <v>5</v>
      </c>
      <c r="AS253" t="s">
        <v>8865</v>
      </c>
      <c r="AT253" t="s">
        <v>8612</v>
      </c>
      <c r="AU253" t="s">
        <v>8866</v>
      </c>
      <c r="AV253" t="s">
        <v>20829</v>
      </c>
      <c r="AW253" t="s">
        <v>69</v>
      </c>
      <c r="AX253" t="s">
        <v>69</v>
      </c>
      <c r="AY253" t="s">
        <v>20830</v>
      </c>
      <c r="AZ253" t="s">
        <v>20831</v>
      </c>
      <c r="BA253" t="s">
        <v>69</v>
      </c>
      <c r="BB253">
        <v>2017</v>
      </c>
      <c r="BC253">
        <v>8</v>
      </c>
      <c r="BD253">
        <v>2</v>
      </c>
      <c r="BE253" t="s">
        <v>69</v>
      </c>
      <c r="BF253" t="s">
        <v>69</v>
      </c>
      <c r="BG253" t="s">
        <v>114</v>
      </c>
      <c r="BH253" t="s">
        <v>69</v>
      </c>
      <c r="BI253">
        <v>121</v>
      </c>
      <c r="BJ253">
        <v>130</v>
      </c>
      <c r="BK253" t="s">
        <v>69</v>
      </c>
      <c r="BL253" t="s">
        <v>20832</v>
      </c>
      <c r="BM253" t="str">
        <f>HYPERLINK("http://dx.doi.org/10.1080/21520704.2017.1287142","http://dx.doi.org/10.1080/21520704.2017.1287142")</f>
        <v>http://dx.doi.org/10.1080/21520704.2017.1287142</v>
      </c>
      <c r="BN253" t="s">
        <v>69</v>
      </c>
      <c r="BO253" t="s">
        <v>69</v>
      </c>
      <c r="BP253">
        <v>10</v>
      </c>
      <c r="BQ253" t="s">
        <v>15649</v>
      </c>
      <c r="BR253" t="s">
        <v>8573</v>
      </c>
      <c r="BS253" t="s">
        <v>9001</v>
      </c>
      <c r="BT253" t="s">
        <v>20833</v>
      </c>
      <c r="BU253" t="s">
        <v>20834</v>
      </c>
      <c r="BV253" t="s">
        <v>69</v>
      </c>
      <c r="BW253" t="s">
        <v>69</v>
      </c>
      <c r="BX253" t="s">
        <v>69</v>
      </c>
      <c r="BY253" t="s">
        <v>69</v>
      </c>
      <c r="BZ253" t="s">
        <v>8526</v>
      </c>
      <c r="CA253" t="str">
        <f>HYPERLINK("https%3A%2F%2Fwww.webofscience.com%2Fwos%2Fwoscc%2Ffull-record%2FWOS:000411379600006","View Full Record in Web of Science")</f>
        <v>View Full Record in Web of Science</v>
      </c>
    </row>
    <row r="254" spans="1:79" ht="12.5" x14ac:dyDescent="0.25">
      <c r="B254" t="s">
        <v>8495</v>
      </c>
      <c r="D254" s="7" t="s">
        <v>32933</v>
      </c>
      <c r="E254" s="7"/>
      <c r="F254" s="7"/>
      <c r="G254" s="7"/>
      <c r="H254" t="s">
        <v>67</v>
      </c>
      <c r="I254" t="s">
        <v>2523</v>
      </c>
      <c r="J254" t="s">
        <v>69</v>
      </c>
      <c r="K254" t="s">
        <v>69</v>
      </c>
      <c r="L254" t="s">
        <v>69</v>
      </c>
      <c r="M254" t="s">
        <v>2524</v>
      </c>
      <c r="N254" t="s">
        <v>69</v>
      </c>
      <c r="O254" t="s">
        <v>69</v>
      </c>
      <c r="P254" t="s">
        <v>2525</v>
      </c>
      <c r="Q254" t="s">
        <v>2526</v>
      </c>
      <c r="R254" t="s">
        <v>69</v>
      </c>
      <c r="S254" t="s">
        <v>69</v>
      </c>
      <c r="T254" t="s">
        <v>8505</v>
      </c>
      <c r="U254" t="s">
        <v>8506</v>
      </c>
      <c r="V254" t="s">
        <v>69</v>
      </c>
      <c r="W254" t="s">
        <v>69</v>
      </c>
      <c r="X254" t="s">
        <v>69</v>
      </c>
      <c r="Y254" t="s">
        <v>69</v>
      </c>
      <c r="Z254" t="s">
        <v>69</v>
      </c>
      <c r="AA254" t="s">
        <v>19706</v>
      </c>
      <c r="AB254" t="s">
        <v>19707</v>
      </c>
      <c r="AC254" t="s">
        <v>2527</v>
      </c>
      <c r="AD254" t="s">
        <v>19708</v>
      </c>
      <c r="AE254" t="s">
        <v>69</v>
      </c>
      <c r="AF254" t="s">
        <v>19709</v>
      </c>
      <c r="AG254" t="s">
        <v>19710</v>
      </c>
      <c r="AH254" t="s">
        <v>69</v>
      </c>
      <c r="AI254" t="s">
        <v>19711</v>
      </c>
      <c r="AJ254" t="s">
        <v>19712</v>
      </c>
      <c r="AK254" t="s">
        <v>19712</v>
      </c>
      <c r="AL254" t="s">
        <v>19713</v>
      </c>
      <c r="AM254" t="s">
        <v>69</v>
      </c>
      <c r="AN254">
        <v>31</v>
      </c>
      <c r="AO254">
        <v>3</v>
      </c>
      <c r="AP254">
        <v>3</v>
      </c>
      <c r="AQ254">
        <v>0</v>
      </c>
      <c r="AR254">
        <v>3</v>
      </c>
      <c r="AS254" t="s">
        <v>10352</v>
      </c>
      <c r="AT254" t="s">
        <v>8637</v>
      </c>
      <c r="AU254" t="s">
        <v>10353</v>
      </c>
      <c r="AV254" t="s">
        <v>2528</v>
      </c>
      <c r="AW254" t="s">
        <v>2529</v>
      </c>
      <c r="AX254" t="s">
        <v>69</v>
      </c>
      <c r="AY254" t="s">
        <v>19714</v>
      </c>
      <c r="AZ254" t="s">
        <v>19715</v>
      </c>
      <c r="BA254" t="s">
        <v>75</v>
      </c>
      <c r="BB254">
        <v>2017</v>
      </c>
      <c r="BC254">
        <v>7</v>
      </c>
      <c r="BD254">
        <v>4</v>
      </c>
      <c r="BE254" t="s">
        <v>69</v>
      </c>
      <c r="BF254" t="s">
        <v>69</v>
      </c>
      <c r="BG254" t="s">
        <v>69</v>
      </c>
      <c r="BH254" t="s">
        <v>69</v>
      </c>
      <c r="BI254">
        <v>783</v>
      </c>
      <c r="BJ254">
        <v>792</v>
      </c>
      <c r="BK254" t="s">
        <v>69</v>
      </c>
      <c r="BL254" t="s">
        <v>2530</v>
      </c>
      <c r="BM254" t="str">
        <f>HYPERLINK("http://dx.doi.org/10.1007/s13142-017-0480-6","http://dx.doi.org/10.1007/s13142-017-0480-6")</f>
        <v>http://dx.doi.org/10.1007/s13142-017-0480-6</v>
      </c>
      <c r="BN254" t="s">
        <v>69</v>
      </c>
      <c r="BO254" t="s">
        <v>69</v>
      </c>
      <c r="BP254">
        <v>10</v>
      </c>
      <c r="BQ254" t="s">
        <v>8810</v>
      </c>
      <c r="BR254" t="s">
        <v>8523</v>
      </c>
      <c r="BS254" t="s">
        <v>8810</v>
      </c>
      <c r="BT254" t="s">
        <v>19716</v>
      </c>
      <c r="BU254" t="s">
        <v>2531</v>
      </c>
      <c r="BV254">
        <v>28290143</v>
      </c>
      <c r="BW254" t="s">
        <v>19717</v>
      </c>
      <c r="BX254" t="s">
        <v>69</v>
      </c>
      <c r="BY254" t="s">
        <v>69</v>
      </c>
      <c r="BZ254" t="s">
        <v>8526</v>
      </c>
      <c r="CA254" t="str">
        <f>HYPERLINK("https%3A%2F%2Fwww.webofscience.com%2Fwos%2Fwoscc%2Ffull-record%2FWOS:000418894100015","View Full Record in Web of Science")</f>
        <v>View Full Record in Web of Science</v>
      </c>
    </row>
    <row r="255" spans="1:79" ht="12.5" x14ac:dyDescent="0.25">
      <c r="B255" t="s">
        <v>8495</v>
      </c>
      <c r="D255" s="22" t="s">
        <v>32931</v>
      </c>
      <c r="E255" s="7"/>
      <c r="F255" s="7"/>
      <c r="G255" s="7"/>
      <c r="H255" t="s">
        <v>67</v>
      </c>
      <c r="I255" t="s">
        <v>20787</v>
      </c>
      <c r="J255" t="s">
        <v>69</v>
      </c>
      <c r="K255" t="s">
        <v>69</v>
      </c>
      <c r="L255" t="s">
        <v>69</v>
      </c>
      <c r="M255" t="s">
        <v>20788</v>
      </c>
      <c r="N255" t="s">
        <v>69</v>
      </c>
      <c r="O255" t="s">
        <v>69</v>
      </c>
      <c r="P255" t="s">
        <v>20789</v>
      </c>
      <c r="Q255" t="s">
        <v>20790</v>
      </c>
      <c r="R255" t="s">
        <v>69</v>
      </c>
      <c r="S255" t="s">
        <v>69</v>
      </c>
      <c r="T255" t="s">
        <v>8505</v>
      </c>
      <c r="U255" t="s">
        <v>8506</v>
      </c>
      <c r="V255" t="s">
        <v>69</v>
      </c>
      <c r="W255" t="s">
        <v>69</v>
      </c>
      <c r="X255" t="s">
        <v>69</v>
      </c>
      <c r="Y255" t="s">
        <v>69</v>
      </c>
      <c r="Z255" t="s">
        <v>69</v>
      </c>
      <c r="AA255" t="s">
        <v>20791</v>
      </c>
      <c r="AB255" t="s">
        <v>20792</v>
      </c>
      <c r="AC255" t="s">
        <v>20793</v>
      </c>
      <c r="AD255" t="s">
        <v>20794</v>
      </c>
      <c r="AE255" t="s">
        <v>69</v>
      </c>
      <c r="AF255" t="s">
        <v>20795</v>
      </c>
      <c r="AG255" t="s">
        <v>20796</v>
      </c>
      <c r="AH255" t="s">
        <v>20797</v>
      </c>
      <c r="AI255" t="s">
        <v>20798</v>
      </c>
      <c r="AJ255" t="s">
        <v>20799</v>
      </c>
      <c r="AK255" t="s">
        <v>20799</v>
      </c>
      <c r="AL255" t="s">
        <v>20800</v>
      </c>
      <c r="AM255" t="s">
        <v>69</v>
      </c>
      <c r="AN255">
        <v>65</v>
      </c>
      <c r="AO255">
        <v>7</v>
      </c>
      <c r="AP255">
        <v>7</v>
      </c>
      <c r="AQ255">
        <v>1</v>
      </c>
      <c r="AR255">
        <v>11</v>
      </c>
      <c r="AS255" t="s">
        <v>8865</v>
      </c>
      <c r="AT255" t="s">
        <v>8612</v>
      </c>
      <c r="AU255" t="s">
        <v>8866</v>
      </c>
      <c r="AV255" t="s">
        <v>20801</v>
      </c>
      <c r="AW255" t="s">
        <v>20802</v>
      </c>
      <c r="AX255" t="s">
        <v>69</v>
      </c>
      <c r="AY255" t="s">
        <v>20803</v>
      </c>
      <c r="AZ255" t="s">
        <v>20804</v>
      </c>
      <c r="BA255" t="s">
        <v>69</v>
      </c>
      <c r="BB255">
        <v>2017</v>
      </c>
      <c r="BC255">
        <v>34</v>
      </c>
      <c r="BD255">
        <v>3</v>
      </c>
      <c r="BE255" t="s">
        <v>69</v>
      </c>
      <c r="BF255" t="s">
        <v>69</v>
      </c>
      <c r="BG255" t="s">
        <v>69</v>
      </c>
      <c r="BH255" t="s">
        <v>69</v>
      </c>
      <c r="BI255">
        <v>233</v>
      </c>
      <c r="BJ255">
        <v>250</v>
      </c>
      <c r="BK255" t="s">
        <v>69</v>
      </c>
      <c r="BL255" t="s">
        <v>20805</v>
      </c>
      <c r="BM255" t="str">
        <f>HYPERLINK("http://dx.doi.org/10.1080/09599916.2017.1320684","http://dx.doi.org/10.1080/09599916.2017.1320684")</f>
        <v>http://dx.doi.org/10.1080/09599916.2017.1320684</v>
      </c>
      <c r="BN255" t="s">
        <v>69</v>
      </c>
      <c r="BO255" t="s">
        <v>69</v>
      </c>
      <c r="BP255">
        <v>18</v>
      </c>
      <c r="BQ255" t="s">
        <v>8475</v>
      </c>
      <c r="BR255" t="s">
        <v>8573</v>
      </c>
      <c r="BS255" t="s">
        <v>8475</v>
      </c>
      <c r="BT255" t="s">
        <v>20806</v>
      </c>
      <c r="BU255" t="s">
        <v>20807</v>
      </c>
      <c r="BV255" t="s">
        <v>69</v>
      </c>
      <c r="BW255" t="s">
        <v>69</v>
      </c>
      <c r="BX255" t="s">
        <v>69</v>
      </c>
      <c r="BY255" t="s">
        <v>69</v>
      </c>
      <c r="BZ255" t="s">
        <v>8526</v>
      </c>
      <c r="CA255" t="str">
        <f>HYPERLINK("https%3A%2F%2Fwww.webofscience.com%2Fwos%2Fwoscc%2Ffull-record%2FWOS:000412366100004","View Full Record in Web of Science")</f>
        <v>View Full Record in Web of Science</v>
      </c>
    </row>
    <row r="256" spans="1:79" ht="12.5" x14ac:dyDescent="0.25">
      <c r="B256" t="s">
        <v>8495</v>
      </c>
      <c r="D256" s="22" t="s">
        <v>32931</v>
      </c>
      <c r="E256" s="7"/>
      <c r="F256" s="7"/>
      <c r="G256" s="7"/>
      <c r="H256" t="s">
        <v>67</v>
      </c>
      <c r="I256" t="s">
        <v>26515</v>
      </c>
      <c r="J256" t="s">
        <v>69</v>
      </c>
      <c r="K256" t="s">
        <v>69</v>
      </c>
      <c r="L256" t="s">
        <v>69</v>
      </c>
      <c r="M256" t="s">
        <v>26516</v>
      </c>
      <c r="N256" t="s">
        <v>69</v>
      </c>
      <c r="O256" t="s">
        <v>69</v>
      </c>
      <c r="P256" t="s">
        <v>26517</v>
      </c>
      <c r="Q256" t="s">
        <v>26518</v>
      </c>
      <c r="R256" t="s">
        <v>69</v>
      </c>
      <c r="S256" t="s">
        <v>69</v>
      </c>
      <c r="T256" t="s">
        <v>8505</v>
      </c>
      <c r="U256" t="s">
        <v>8506</v>
      </c>
      <c r="V256" t="s">
        <v>69</v>
      </c>
      <c r="W256" t="s">
        <v>69</v>
      </c>
      <c r="X256" t="s">
        <v>69</v>
      </c>
      <c r="Y256" t="s">
        <v>69</v>
      </c>
      <c r="Z256" t="s">
        <v>69</v>
      </c>
      <c r="AA256" t="s">
        <v>26519</v>
      </c>
      <c r="AB256" t="s">
        <v>69</v>
      </c>
      <c r="AC256" t="s">
        <v>26520</v>
      </c>
      <c r="AD256" t="s">
        <v>26521</v>
      </c>
      <c r="AE256" t="s">
        <v>69</v>
      </c>
      <c r="AF256" t="s">
        <v>26522</v>
      </c>
      <c r="AG256" t="s">
        <v>26523</v>
      </c>
      <c r="AH256" t="s">
        <v>69</v>
      </c>
      <c r="AI256" t="s">
        <v>69</v>
      </c>
      <c r="AJ256" t="s">
        <v>69</v>
      </c>
      <c r="AK256" t="s">
        <v>69</v>
      </c>
      <c r="AL256" t="s">
        <v>69</v>
      </c>
      <c r="AM256" t="s">
        <v>69</v>
      </c>
      <c r="AN256">
        <v>0</v>
      </c>
      <c r="AO256">
        <v>2</v>
      </c>
      <c r="AP256">
        <v>2</v>
      </c>
      <c r="AQ256">
        <v>0</v>
      </c>
      <c r="AR256">
        <v>5</v>
      </c>
      <c r="AS256" t="s">
        <v>8865</v>
      </c>
      <c r="AT256" t="s">
        <v>8612</v>
      </c>
      <c r="AU256" t="s">
        <v>8866</v>
      </c>
      <c r="AV256" t="s">
        <v>26524</v>
      </c>
      <c r="AW256" t="s">
        <v>26525</v>
      </c>
      <c r="AX256" t="s">
        <v>69</v>
      </c>
      <c r="AY256" t="s">
        <v>26526</v>
      </c>
      <c r="AZ256" t="s">
        <v>26527</v>
      </c>
      <c r="BA256" t="s">
        <v>69</v>
      </c>
      <c r="BB256">
        <v>2012</v>
      </c>
      <c r="BC256">
        <v>9</v>
      </c>
      <c r="BD256" t="s">
        <v>336</v>
      </c>
      <c r="BE256" t="s">
        <v>69</v>
      </c>
      <c r="BF256" t="s">
        <v>69</v>
      </c>
      <c r="BG256" t="s">
        <v>114</v>
      </c>
      <c r="BH256" t="s">
        <v>69</v>
      </c>
      <c r="BI256">
        <v>27</v>
      </c>
      <c r="BJ256">
        <v>42</v>
      </c>
      <c r="BK256" t="s">
        <v>69</v>
      </c>
      <c r="BL256" t="s">
        <v>26528</v>
      </c>
      <c r="BM256" t="str">
        <f>HYPERLINK("http://dx.doi.org/10.1080/15433714.2012.636309","http://dx.doi.org/10.1080/15433714.2012.636309")</f>
        <v>http://dx.doi.org/10.1080/15433714.2012.636309</v>
      </c>
      <c r="BN256" t="s">
        <v>69</v>
      </c>
      <c r="BO256" t="s">
        <v>69</v>
      </c>
      <c r="BP256">
        <v>16</v>
      </c>
      <c r="BQ256" t="s">
        <v>17741</v>
      </c>
      <c r="BR256" t="s">
        <v>8573</v>
      </c>
      <c r="BS256" t="s">
        <v>17741</v>
      </c>
      <c r="BT256" t="s">
        <v>26529</v>
      </c>
      <c r="BU256" t="s">
        <v>26530</v>
      </c>
      <c r="BV256">
        <v>22409610</v>
      </c>
      <c r="BW256" t="s">
        <v>69</v>
      </c>
      <c r="BX256" t="s">
        <v>69</v>
      </c>
      <c r="BY256" t="s">
        <v>69</v>
      </c>
      <c r="BZ256" t="s">
        <v>8526</v>
      </c>
      <c r="CA256" t="str">
        <f>HYPERLINK("https%3A%2F%2Fwww.webofscience.com%2Fwos%2Fwoscc%2Ffull-record%2FWOS:000439905000004","View Full Record in Web of Science")</f>
        <v>View Full Record in Web of Science</v>
      </c>
    </row>
    <row r="257" spans="2:79" ht="12.5" x14ac:dyDescent="0.25">
      <c r="B257" t="s">
        <v>8495</v>
      </c>
      <c r="D257" s="22" t="s">
        <v>32931</v>
      </c>
      <c r="E257" s="7"/>
      <c r="F257" s="7"/>
      <c r="G257" s="7"/>
      <c r="H257" t="s">
        <v>67</v>
      </c>
      <c r="I257" t="s">
        <v>24283</v>
      </c>
      <c r="J257" t="s">
        <v>69</v>
      </c>
      <c r="K257" t="s">
        <v>69</v>
      </c>
      <c r="L257" t="s">
        <v>69</v>
      </c>
      <c r="M257" t="s">
        <v>24284</v>
      </c>
      <c r="N257" t="s">
        <v>69</v>
      </c>
      <c r="O257" t="s">
        <v>69</v>
      </c>
      <c r="P257" t="s">
        <v>24285</v>
      </c>
      <c r="Q257" t="s">
        <v>1969</v>
      </c>
      <c r="R257" t="s">
        <v>69</v>
      </c>
      <c r="S257" t="s">
        <v>69</v>
      </c>
      <c r="T257" t="s">
        <v>8505</v>
      </c>
      <c r="U257" t="s">
        <v>8506</v>
      </c>
      <c r="V257" t="s">
        <v>69</v>
      </c>
      <c r="W257" t="s">
        <v>69</v>
      </c>
      <c r="X257" t="s">
        <v>69</v>
      </c>
      <c r="Y257" t="s">
        <v>69</v>
      </c>
      <c r="Z257" t="s">
        <v>69</v>
      </c>
      <c r="AA257" t="s">
        <v>24286</v>
      </c>
      <c r="AB257" t="s">
        <v>69</v>
      </c>
      <c r="AC257" t="s">
        <v>24287</v>
      </c>
      <c r="AD257" t="s">
        <v>24288</v>
      </c>
      <c r="AE257" t="s">
        <v>69</v>
      </c>
      <c r="AF257" t="s">
        <v>24289</v>
      </c>
      <c r="AG257" t="s">
        <v>24290</v>
      </c>
      <c r="AH257" t="s">
        <v>24291</v>
      </c>
      <c r="AI257" t="s">
        <v>24292</v>
      </c>
      <c r="AJ257" t="s">
        <v>24293</v>
      </c>
      <c r="AK257" t="s">
        <v>24293</v>
      </c>
      <c r="AL257" t="s">
        <v>24294</v>
      </c>
      <c r="AM257" t="s">
        <v>69</v>
      </c>
      <c r="AN257">
        <v>8</v>
      </c>
      <c r="AO257">
        <v>0</v>
      </c>
      <c r="AP257">
        <v>0</v>
      </c>
      <c r="AQ257">
        <v>0</v>
      </c>
      <c r="AR257">
        <v>0</v>
      </c>
      <c r="AS257" t="s">
        <v>8586</v>
      </c>
      <c r="AT257" t="s">
        <v>8587</v>
      </c>
      <c r="AU257" t="s">
        <v>8588</v>
      </c>
      <c r="AV257" t="s">
        <v>1971</v>
      </c>
      <c r="AW257" t="s">
        <v>1972</v>
      </c>
      <c r="AX257" t="s">
        <v>69</v>
      </c>
      <c r="AY257" t="s">
        <v>15149</v>
      </c>
      <c r="AZ257" t="s">
        <v>15150</v>
      </c>
      <c r="BA257" t="s">
        <v>69</v>
      </c>
      <c r="BB257">
        <v>2014</v>
      </c>
      <c r="BC257">
        <v>25</v>
      </c>
      <c r="BD257">
        <v>3</v>
      </c>
      <c r="BE257" t="s">
        <v>69</v>
      </c>
      <c r="BF257" t="s">
        <v>69</v>
      </c>
      <c r="BG257" t="s">
        <v>69</v>
      </c>
      <c r="BH257" t="s">
        <v>69</v>
      </c>
      <c r="BI257">
        <v>313</v>
      </c>
      <c r="BJ257">
        <v>323</v>
      </c>
      <c r="BK257" t="s">
        <v>69</v>
      </c>
      <c r="BL257" t="s">
        <v>24295</v>
      </c>
      <c r="BM257" t="str">
        <f>HYPERLINK("http://dx.doi.org/10.1108/MEQ-11-2013-0131","http://dx.doi.org/10.1108/MEQ-11-2013-0131")</f>
        <v>http://dx.doi.org/10.1108/MEQ-11-2013-0131</v>
      </c>
      <c r="BN257" t="s">
        <v>69</v>
      </c>
      <c r="BO257" t="s">
        <v>69</v>
      </c>
      <c r="BP257">
        <v>11</v>
      </c>
      <c r="BQ257" t="s">
        <v>8660</v>
      </c>
      <c r="BR257" t="s">
        <v>8573</v>
      </c>
      <c r="BS257" t="s">
        <v>8662</v>
      </c>
      <c r="BT257" t="s">
        <v>24296</v>
      </c>
      <c r="BU257" t="s">
        <v>24297</v>
      </c>
      <c r="BV257" t="s">
        <v>69</v>
      </c>
      <c r="BW257" t="s">
        <v>69</v>
      </c>
      <c r="BX257" t="s">
        <v>69</v>
      </c>
      <c r="BY257" t="s">
        <v>69</v>
      </c>
      <c r="BZ257" t="s">
        <v>8526</v>
      </c>
      <c r="CA257" t="str">
        <f>HYPERLINK("https%3A%2F%2Fwww.webofscience.com%2Fwos%2Fwoscc%2Ffull-record%2FWOS:000485156800005","View Full Record in Web of Science")</f>
        <v>View Full Record in Web of Science</v>
      </c>
    </row>
    <row r="258" spans="2:79" ht="12.5" x14ac:dyDescent="0.25">
      <c r="B258" t="s">
        <v>8495</v>
      </c>
      <c r="D258" s="7" t="s">
        <v>32933</v>
      </c>
      <c r="E258" s="7"/>
      <c r="F258" s="7"/>
      <c r="G258" s="7"/>
      <c r="H258" t="s">
        <v>67</v>
      </c>
      <c r="I258" t="s">
        <v>3234</v>
      </c>
      <c r="J258" t="s">
        <v>69</v>
      </c>
      <c r="K258" t="s">
        <v>69</v>
      </c>
      <c r="L258" t="s">
        <v>69</v>
      </c>
      <c r="M258" t="s">
        <v>3235</v>
      </c>
      <c r="N258" t="s">
        <v>69</v>
      </c>
      <c r="O258" t="s">
        <v>69</v>
      </c>
      <c r="P258" t="s">
        <v>3236</v>
      </c>
      <c r="Q258" t="s">
        <v>3237</v>
      </c>
      <c r="R258" t="s">
        <v>69</v>
      </c>
      <c r="S258" t="s">
        <v>69</v>
      </c>
      <c r="T258" t="s">
        <v>8505</v>
      </c>
      <c r="U258" t="s">
        <v>8506</v>
      </c>
      <c r="V258" t="s">
        <v>69</v>
      </c>
      <c r="W258" t="s">
        <v>69</v>
      </c>
      <c r="X258" t="s">
        <v>69</v>
      </c>
      <c r="Y258" t="s">
        <v>69</v>
      </c>
      <c r="Z258" t="s">
        <v>69</v>
      </c>
      <c r="AA258" t="s">
        <v>69</v>
      </c>
      <c r="AB258" t="s">
        <v>24034</v>
      </c>
      <c r="AC258" t="s">
        <v>3238</v>
      </c>
      <c r="AD258" t="s">
        <v>24035</v>
      </c>
      <c r="AE258" t="s">
        <v>69</v>
      </c>
      <c r="AF258" t="s">
        <v>24036</v>
      </c>
      <c r="AG258" t="s">
        <v>24037</v>
      </c>
      <c r="AH258" t="s">
        <v>24038</v>
      </c>
      <c r="AI258" t="s">
        <v>24039</v>
      </c>
      <c r="AJ258" t="s">
        <v>69</v>
      </c>
      <c r="AK258" t="s">
        <v>69</v>
      </c>
      <c r="AL258" t="s">
        <v>69</v>
      </c>
      <c r="AM258" t="s">
        <v>69</v>
      </c>
      <c r="AN258">
        <v>61</v>
      </c>
      <c r="AO258">
        <v>1</v>
      </c>
      <c r="AP258">
        <v>1</v>
      </c>
      <c r="AQ258">
        <v>0</v>
      </c>
      <c r="AR258">
        <v>3</v>
      </c>
      <c r="AS258" t="s">
        <v>8865</v>
      </c>
      <c r="AT258" t="s">
        <v>8612</v>
      </c>
      <c r="AU258" t="s">
        <v>8866</v>
      </c>
      <c r="AV258" t="s">
        <v>3239</v>
      </c>
      <c r="AW258" t="s">
        <v>3240</v>
      </c>
      <c r="AX258" t="s">
        <v>69</v>
      </c>
      <c r="AY258" t="s">
        <v>3237</v>
      </c>
      <c r="AZ258" t="s">
        <v>20966</v>
      </c>
      <c r="BA258" t="s">
        <v>69</v>
      </c>
      <c r="BB258">
        <v>2014</v>
      </c>
      <c r="BC258">
        <v>19</v>
      </c>
      <c r="BD258">
        <v>3</v>
      </c>
      <c r="BE258" t="s">
        <v>69</v>
      </c>
      <c r="BF258" t="s">
        <v>69</v>
      </c>
      <c r="BG258" t="s">
        <v>69</v>
      </c>
      <c r="BH258" t="s">
        <v>69</v>
      </c>
      <c r="BI258">
        <v>540</v>
      </c>
      <c r="BJ258">
        <v>564</v>
      </c>
      <c r="BK258" t="s">
        <v>69</v>
      </c>
      <c r="BL258" t="s">
        <v>3241</v>
      </c>
      <c r="BM258" t="str">
        <f>HYPERLINK("http://dx.doi.org/10.1080/14650045.2014.883381","http://dx.doi.org/10.1080/14650045.2014.883381")</f>
        <v>http://dx.doi.org/10.1080/14650045.2014.883381</v>
      </c>
      <c r="BN258" t="s">
        <v>69</v>
      </c>
      <c r="BO258" t="s">
        <v>69</v>
      </c>
      <c r="BP258">
        <v>25</v>
      </c>
      <c r="BQ258" t="s">
        <v>14081</v>
      </c>
      <c r="BR258" t="s">
        <v>8661</v>
      </c>
      <c r="BS258" t="s">
        <v>14082</v>
      </c>
      <c r="BT258" t="s">
        <v>24040</v>
      </c>
      <c r="BU258" t="s">
        <v>3242</v>
      </c>
      <c r="BV258" t="s">
        <v>69</v>
      </c>
      <c r="BW258" t="s">
        <v>69</v>
      </c>
      <c r="BX258" t="s">
        <v>69</v>
      </c>
      <c r="BY258" t="s">
        <v>69</v>
      </c>
      <c r="BZ258" t="s">
        <v>8526</v>
      </c>
      <c r="CA258" t="str">
        <f>HYPERLINK("https%3A%2F%2Fwww.webofscience.com%2Fwos%2Fwoscc%2Ffull-record%2FWOS:000342293500004","View Full Record in Web of Science")</f>
        <v>View Full Record in Web of Science</v>
      </c>
    </row>
    <row r="259" spans="2:79" ht="12.5" x14ac:dyDescent="0.25">
      <c r="B259" t="s">
        <v>8495</v>
      </c>
      <c r="D259" s="7" t="s">
        <v>32933</v>
      </c>
      <c r="E259" s="7"/>
      <c r="F259" s="7"/>
      <c r="G259" s="7"/>
      <c r="H259" t="s">
        <v>67</v>
      </c>
      <c r="I259" t="s">
        <v>3891</v>
      </c>
      <c r="J259" t="s">
        <v>69</v>
      </c>
      <c r="K259" t="s">
        <v>69</v>
      </c>
      <c r="L259" t="s">
        <v>69</v>
      </c>
      <c r="M259" t="s">
        <v>3891</v>
      </c>
      <c r="N259" t="s">
        <v>69</v>
      </c>
      <c r="O259" t="s">
        <v>69</v>
      </c>
      <c r="P259" t="s">
        <v>3892</v>
      </c>
      <c r="Q259" t="s">
        <v>3893</v>
      </c>
      <c r="R259" t="s">
        <v>69</v>
      </c>
      <c r="S259" t="s">
        <v>69</v>
      </c>
      <c r="T259" t="s">
        <v>8505</v>
      </c>
      <c r="U259" t="s">
        <v>8506</v>
      </c>
      <c r="V259" t="s">
        <v>69</v>
      </c>
      <c r="W259" t="s">
        <v>69</v>
      </c>
      <c r="X259" t="s">
        <v>69</v>
      </c>
      <c r="Y259" t="s">
        <v>69</v>
      </c>
      <c r="Z259" t="s">
        <v>69</v>
      </c>
      <c r="AA259" t="s">
        <v>30602</v>
      </c>
      <c r="AB259" t="s">
        <v>69</v>
      </c>
      <c r="AC259" t="s">
        <v>3894</v>
      </c>
      <c r="AD259" t="s">
        <v>30603</v>
      </c>
      <c r="AE259" t="s">
        <v>69</v>
      </c>
      <c r="AF259" t="s">
        <v>30604</v>
      </c>
      <c r="AG259" t="s">
        <v>30605</v>
      </c>
      <c r="AH259" t="s">
        <v>30606</v>
      </c>
      <c r="AI259" t="s">
        <v>3895</v>
      </c>
      <c r="AJ259" t="s">
        <v>69</v>
      </c>
      <c r="AK259" t="s">
        <v>69</v>
      </c>
      <c r="AL259" t="s">
        <v>69</v>
      </c>
      <c r="AM259" t="s">
        <v>69</v>
      </c>
      <c r="AN259">
        <v>13</v>
      </c>
      <c r="AO259">
        <v>22</v>
      </c>
      <c r="AP259">
        <v>22</v>
      </c>
      <c r="AQ259">
        <v>0</v>
      </c>
      <c r="AR259">
        <v>9</v>
      </c>
      <c r="AS259" t="s">
        <v>10352</v>
      </c>
      <c r="AT259" t="s">
        <v>8637</v>
      </c>
      <c r="AU259" t="s">
        <v>10353</v>
      </c>
      <c r="AV259" t="s">
        <v>3896</v>
      </c>
      <c r="AW259" t="s">
        <v>69</v>
      </c>
      <c r="AX259" t="s">
        <v>69</v>
      </c>
      <c r="AY259" t="s">
        <v>19968</v>
      </c>
      <c r="AZ259" t="s">
        <v>19969</v>
      </c>
      <c r="BA259" t="s">
        <v>477</v>
      </c>
      <c r="BB259">
        <v>2005</v>
      </c>
      <c r="BC259">
        <v>20</v>
      </c>
      <c r="BD259">
        <v>3</v>
      </c>
      <c r="BE259" t="s">
        <v>69</v>
      </c>
      <c r="BF259" t="s">
        <v>69</v>
      </c>
      <c r="BG259" t="s">
        <v>69</v>
      </c>
      <c r="BH259" t="s">
        <v>69</v>
      </c>
      <c r="BI259">
        <v>285</v>
      </c>
      <c r="BJ259">
        <v>295</v>
      </c>
      <c r="BK259" t="s">
        <v>69</v>
      </c>
      <c r="BL259" t="s">
        <v>3897</v>
      </c>
      <c r="BM259" t="str">
        <f>HYPERLINK("http://dx.doi.org/10.1093/heapro/dai003","http://dx.doi.org/10.1093/heapro/dai003")</f>
        <v>http://dx.doi.org/10.1093/heapro/dai003</v>
      </c>
      <c r="BN259" t="s">
        <v>69</v>
      </c>
      <c r="BO259" t="s">
        <v>69</v>
      </c>
      <c r="BP259">
        <v>11</v>
      </c>
      <c r="BQ259" t="s">
        <v>19970</v>
      </c>
      <c r="BR259" t="s">
        <v>8661</v>
      </c>
      <c r="BS259" t="s">
        <v>11565</v>
      </c>
      <c r="BT259" t="s">
        <v>30607</v>
      </c>
      <c r="BU259" t="s">
        <v>3898</v>
      </c>
      <c r="BV259">
        <v>15788525</v>
      </c>
      <c r="BW259" t="s">
        <v>9374</v>
      </c>
      <c r="BX259" t="s">
        <v>69</v>
      </c>
      <c r="BY259" t="s">
        <v>69</v>
      </c>
      <c r="BZ259" t="s">
        <v>8526</v>
      </c>
      <c r="CA259" t="str">
        <f>HYPERLINK("https%3A%2F%2Fwww.webofscience.com%2Fwos%2Fwoscc%2Ffull-record%2FWOS:000231693300010","View Full Record in Web of Science")</f>
        <v>View Full Record in Web of Science</v>
      </c>
    </row>
    <row r="260" spans="2:79" ht="12.5" x14ac:dyDescent="0.25">
      <c r="B260" t="s">
        <v>8495</v>
      </c>
      <c r="D260" s="7" t="s">
        <v>32933</v>
      </c>
      <c r="E260" s="7"/>
      <c r="F260" s="7"/>
      <c r="G260" s="7"/>
      <c r="H260" t="s">
        <v>67</v>
      </c>
      <c r="I260" t="s">
        <v>4077</v>
      </c>
      <c r="J260" t="s">
        <v>69</v>
      </c>
      <c r="K260" t="s">
        <v>69</v>
      </c>
      <c r="L260" t="s">
        <v>69</v>
      </c>
      <c r="M260" t="s">
        <v>4077</v>
      </c>
      <c r="N260" t="s">
        <v>69</v>
      </c>
      <c r="O260" t="s">
        <v>69</v>
      </c>
      <c r="P260" t="s">
        <v>4078</v>
      </c>
      <c r="Q260" t="s">
        <v>4079</v>
      </c>
      <c r="R260" t="s">
        <v>69</v>
      </c>
      <c r="S260" t="s">
        <v>69</v>
      </c>
      <c r="T260" t="s">
        <v>8505</v>
      </c>
      <c r="U260" t="s">
        <v>15797</v>
      </c>
      <c r="V260" t="s">
        <v>4080</v>
      </c>
      <c r="W260" t="s">
        <v>4081</v>
      </c>
      <c r="X260" t="s">
        <v>4082</v>
      </c>
      <c r="Y260" t="s">
        <v>69</v>
      </c>
      <c r="Z260" t="s">
        <v>69</v>
      </c>
      <c r="AA260" t="s">
        <v>31603</v>
      </c>
      <c r="AB260" t="s">
        <v>69</v>
      </c>
      <c r="AC260" t="s">
        <v>4083</v>
      </c>
      <c r="AD260" t="s">
        <v>69</v>
      </c>
      <c r="AE260" t="s">
        <v>69</v>
      </c>
      <c r="AF260" t="s">
        <v>31604</v>
      </c>
      <c r="AG260" t="s">
        <v>69</v>
      </c>
      <c r="AH260" t="s">
        <v>69</v>
      </c>
      <c r="AI260" t="s">
        <v>69</v>
      </c>
      <c r="AJ260" t="s">
        <v>69</v>
      </c>
      <c r="AK260" t="s">
        <v>69</v>
      </c>
      <c r="AL260" t="s">
        <v>69</v>
      </c>
      <c r="AM260" t="s">
        <v>69</v>
      </c>
      <c r="AN260">
        <v>37</v>
      </c>
      <c r="AO260">
        <v>12</v>
      </c>
      <c r="AP260">
        <v>13</v>
      </c>
      <c r="AQ260">
        <v>0</v>
      </c>
      <c r="AR260">
        <v>4</v>
      </c>
      <c r="AS260" t="s">
        <v>18779</v>
      </c>
      <c r="AT260" t="s">
        <v>8993</v>
      </c>
      <c r="AU260" t="s">
        <v>18780</v>
      </c>
      <c r="AV260" t="s">
        <v>4084</v>
      </c>
      <c r="AW260" t="s">
        <v>69</v>
      </c>
      <c r="AX260" t="s">
        <v>69</v>
      </c>
      <c r="AY260" t="s">
        <v>18781</v>
      </c>
      <c r="AZ260" t="s">
        <v>18782</v>
      </c>
      <c r="BA260" t="s">
        <v>246</v>
      </c>
      <c r="BB260">
        <v>2001</v>
      </c>
      <c r="BC260">
        <v>33</v>
      </c>
      <c r="BD260">
        <v>4</v>
      </c>
      <c r="BE260" t="s">
        <v>69</v>
      </c>
      <c r="BF260" t="s">
        <v>69</v>
      </c>
      <c r="BG260" t="s">
        <v>114</v>
      </c>
      <c r="BH260" t="s">
        <v>69</v>
      </c>
      <c r="BI260">
        <v>291</v>
      </c>
      <c r="BJ260">
        <v>302</v>
      </c>
      <c r="BK260" t="s">
        <v>69</v>
      </c>
      <c r="BL260" t="s">
        <v>4085</v>
      </c>
      <c r="BM260" t="str">
        <f>HYPERLINK("http://dx.doi.org/10.1016/S0378-7788(00)00111-0","http://dx.doi.org/10.1016/S0378-7788(00)00111-0")</f>
        <v>http://dx.doi.org/10.1016/S0378-7788(00)00111-0</v>
      </c>
      <c r="BN260" t="s">
        <v>69</v>
      </c>
      <c r="BO260" t="s">
        <v>69</v>
      </c>
      <c r="BP260">
        <v>12</v>
      </c>
      <c r="BQ260" t="s">
        <v>18783</v>
      </c>
      <c r="BR260" t="s">
        <v>29550</v>
      </c>
      <c r="BS260" t="s">
        <v>18784</v>
      </c>
      <c r="BT260" t="s">
        <v>31605</v>
      </c>
      <c r="BU260" t="s">
        <v>4086</v>
      </c>
      <c r="BV260" t="s">
        <v>69</v>
      </c>
      <c r="BW260" t="s">
        <v>69</v>
      </c>
      <c r="BX260" t="s">
        <v>69</v>
      </c>
      <c r="BY260" t="s">
        <v>69</v>
      </c>
      <c r="BZ260" t="s">
        <v>8526</v>
      </c>
      <c r="CA260" t="str">
        <f>HYPERLINK("https%3A%2F%2Fwww.webofscience.com%2Fwos%2Fwoscc%2Ffull-record%2FWOS:000167272000002","View Full Record in Web of Science")</f>
        <v>View Full Record in Web of Science</v>
      </c>
    </row>
    <row r="261" spans="2:79" ht="12.5" x14ac:dyDescent="0.25">
      <c r="B261" t="s">
        <v>8495</v>
      </c>
      <c r="D261" s="7" t="s">
        <v>32933</v>
      </c>
      <c r="E261" s="7"/>
      <c r="F261" s="7"/>
      <c r="G261" s="7"/>
      <c r="H261" t="s">
        <v>67</v>
      </c>
      <c r="I261" t="s">
        <v>1464</v>
      </c>
      <c r="J261" t="s">
        <v>69</v>
      </c>
      <c r="K261" t="s">
        <v>69</v>
      </c>
      <c r="L261" t="s">
        <v>69</v>
      </c>
      <c r="M261" t="s">
        <v>1465</v>
      </c>
      <c r="N261" t="s">
        <v>69</v>
      </c>
      <c r="O261" t="s">
        <v>69</v>
      </c>
      <c r="P261" t="s">
        <v>1466</v>
      </c>
      <c r="Q261" t="s">
        <v>1467</v>
      </c>
      <c r="R261" t="s">
        <v>69</v>
      </c>
      <c r="S261" t="s">
        <v>69</v>
      </c>
      <c r="T261" t="s">
        <v>8505</v>
      </c>
      <c r="U261" t="s">
        <v>8506</v>
      </c>
      <c r="V261" t="s">
        <v>69</v>
      </c>
      <c r="W261" t="s">
        <v>69</v>
      </c>
      <c r="X261" t="s">
        <v>69</v>
      </c>
      <c r="Y261" t="s">
        <v>69</v>
      </c>
      <c r="Z261" t="s">
        <v>69</v>
      </c>
      <c r="AA261" t="s">
        <v>26277</v>
      </c>
      <c r="AB261" t="s">
        <v>26278</v>
      </c>
      <c r="AC261" t="s">
        <v>1468</v>
      </c>
      <c r="AD261" t="s">
        <v>26279</v>
      </c>
      <c r="AE261" t="s">
        <v>69</v>
      </c>
      <c r="AF261" t="s">
        <v>26280</v>
      </c>
      <c r="AG261" t="s">
        <v>26281</v>
      </c>
      <c r="AH261" t="s">
        <v>69</v>
      </c>
      <c r="AI261" t="s">
        <v>69</v>
      </c>
      <c r="AJ261" t="s">
        <v>69</v>
      </c>
      <c r="AK261" t="s">
        <v>69</v>
      </c>
      <c r="AL261" t="s">
        <v>69</v>
      </c>
      <c r="AM261" t="s">
        <v>69</v>
      </c>
      <c r="AN261">
        <v>48</v>
      </c>
      <c r="AO261">
        <v>10</v>
      </c>
      <c r="AP261">
        <v>10</v>
      </c>
      <c r="AQ261">
        <v>0</v>
      </c>
      <c r="AR261">
        <v>17</v>
      </c>
      <c r="AS261" t="s">
        <v>8762</v>
      </c>
      <c r="AT261" t="s">
        <v>8763</v>
      </c>
      <c r="AU261" t="s">
        <v>8764</v>
      </c>
      <c r="AV261" t="s">
        <v>1469</v>
      </c>
      <c r="AW261" t="s">
        <v>1470</v>
      </c>
      <c r="AX261" t="s">
        <v>69</v>
      </c>
      <c r="AY261" t="s">
        <v>22443</v>
      </c>
      <c r="AZ261" t="s">
        <v>22444</v>
      </c>
      <c r="BA261" t="s">
        <v>69</v>
      </c>
      <c r="BB261">
        <v>2012</v>
      </c>
      <c r="BC261">
        <v>30</v>
      </c>
      <c r="BD261">
        <v>4</v>
      </c>
      <c r="BE261" t="s">
        <v>69</v>
      </c>
      <c r="BF261" t="s">
        <v>69</v>
      </c>
      <c r="BG261" t="s">
        <v>69</v>
      </c>
      <c r="BH261" t="s">
        <v>69</v>
      </c>
      <c r="BI261">
        <v>643</v>
      </c>
      <c r="BJ261">
        <v>657</v>
      </c>
      <c r="BK261" t="s">
        <v>69</v>
      </c>
      <c r="BL261" t="s">
        <v>1471</v>
      </c>
      <c r="BM261" t="str">
        <f>HYPERLINK("http://dx.doi.org/10.1068/c11251","http://dx.doi.org/10.1068/c11251")</f>
        <v>http://dx.doi.org/10.1068/c11251</v>
      </c>
      <c r="BN261" t="s">
        <v>69</v>
      </c>
      <c r="BO261" t="s">
        <v>69</v>
      </c>
      <c r="BP261">
        <v>15</v>
      </c>
      <c r="BQ261" t="s">
        <v>22445</v>
      </c>
      <c r="BR261" t="s">
        <v>8661</v>
      </c>
      <c r="BS261" t="s">
        <v>15243</v>
      </c>
      <c r="BT261" t="s">
        <v>26282</v>
      </c>
      <c r="BU261" t="s">
        <v>1472</v>
      </c>
      <c r="BV261" t="s">
        <v>69</v>
      </c>
      <c r="BW261" t="s">
        <v>69</v>
      </c>
      <c r="BX261" t="s">
        <v>69</v>
      </c>
      <c r="BY261" t="s">
        <v>69</v>
      </c>
      <c r="BZ261" t="s">
        <v>8526</v>
      </c>
      <c r="CA261" t="str">
        <f>HYPERLINK("https%3A%2F%2Fwww.webofscience.com%2Fwos%2Fwoscc%2Ffull-record%2FWOS:000308474200006","View Full Record in Web of Science")</f>
        <v>View Full Record in Web of Science</v>
      </c>
    </row>
    <row r="262" spans="2:79" ht="12.5" x14ac:dyDescent="0.25">
      <c r="B262" t="s">
        <v>8495</v>
      </c>
      <c r="D262" s="22" t="s">
        <v>32931</v>
      </c>
      <c r="E262" s="7"/>
      <c r="F262" s="7"/>
      <c r="G262" s="7"/>
      <c r="H262" t="s">
        <v>67</v>
      </c>
      <c r="I262" t="s">
        <v>24262</v>
      </c>
      <c r="J262" t="s">
        <v>69</v>
      </c>
      <c r="K262" t="s">
        <v>69</v>
      </c>
      <c r="L262" t="s">
        <v>69</v>
      </c>
      <c r="M262" t="s">
        <v>24263</v>
      </c>
      <c r="N262" t="s">
        <v>69</v>
      </c>
      <c r="O262" t="s">
        <v>69</v>
      </c>
      <c r="P262" t="s">
        <v>24264</v>
      </c>
      <c r="Q262" t="s">
        <v>13522</v>
      </c>
      <c r="R262" t="s">
        <v>69</v>
      </c>
      <c r="S262" t="s">
        <v>69</v>
      </c>
      <c r="T262" t="s">
        <v>8505</v>
      </c>
      <c r="U262" t="s">
        <v>8506</v>
      </c>
      <c r="V262" t="s">
        <v>69</v>
      </c>
      <c r="W262" t="s">
        <v>69</v>
      </c>
      <c r="X262" t="s">
        <v>69</v>
      </c>
      <c r="Y262" t="s">
        <v>69</v>
      </c>
      <c r="Z262" t="s">
        <v>69</v>
      </c>
      <c r="AA262" t="s">
        <v>24265</v>
      </c>
      <c r="AB262" t="s">
        <v>69</v>
      </c>
      <c r="AC262" t="s">
        <v>24266</v>
      </c>
      <c r="AD262" t="s">
        <v>24267</v>
      </c>
      <c r="AE262" t="s">
        <v>69</v>
      </c>
      <c r="AF262" t="s">
        <v>24268</v>
      </c>
      <c r="AG262" t="s">
        <v>24269</v>
      </c>
      <c r="AH262" t="s">
        <v>69</v>
      </c>
      <c r="AI262" t="s">
        <v>69</v>
      </c>
      <c r="AJ262" t="s">
        <v>69</v>
      </c>
      <c r="AK262" t="s">
        <v>69</v>
      </c>
      <c r="AL262" t="s">
        <v>69</v>
      </c>
      <c r="AM262" t="s">
        <v>69</v>
      </c>
      <c r="AN262">
        <v>52</v>
      </c>
      <c r="AO262">
        <v>31</v>
      </c>
      <c r="AP262">
        <v>33</v>
      </c>
      <c r="AQ262">
        <v>0</v>
      </c>
      <c r="AR262">
        <v>4</v>
      </c>
      <c r="AS262" t="s">
        <v>13530</v>
      </c>
      <c r="AT262" t="s">
        <v>13531</v>
      </c>
      <c r="AU262" t="s">
        <v>13532</v>
      </c>
      <c r="AV262" t="s">
        <v>13533</v>
      </c>
      <c r="AW262" t="s">
        <v>69</v>
      </c>
      <c r="AX262" t="s">
        <v>69</v>
      </c>
      <c r="AY262" t="s">
        <v>13534</v>
      </c>
      <c r="AZ262" t="s">
        <v>13535</v>
      </c>
      <c r="BA262" t="s">
        <v>69</v>
      </c>
      <c r="BB262">
        <v>2014</v>
      </c>
      <c r="BC262">
        <v>19</v>
      </c>
      <c r="BD262" t="s">
        <v>69</v>
      </c>
      <c r="BE262" t="s">
        <v>69</v>
      </c>
      <c r="BF262" t="s">
        <v>69</v>
      </c>
      <c r="BG262" t="s">
        <v>69</v>
      </c>
      <c r="BH262" t="s">
        <v>69</v>
      </c>
      <c r="BI262">
        <v>126</v>
      </c>
      <c r="BJ262">
        <v>149</v>
      </c>
      <c r="BK262" t="s">
        <v>69</v>
      </c>
      <c r="BL262" t="s">
        <v>69</v>
      </c>
      <c r="BM262" t="s">
        <v>69</v>
      </c>
      <c r="BN262" t="s">
        <v>69</v>
      </c>
      <c r="BO262" t="s">
        <v>69</v>
      </c>
      <c r="BP262">
        <v>24</v>
      </c>
      <c r="BQ262" t="s">
        <v>13537</v>
      </c>
      <c r="BR262" t="s">
        <v>8573</v>
      </c>
      <c r="BS262" t="s">
        <v>8445</v>
      </c>
      <c r="BT262" t="s">
        <v>24270</v>
      </c>
      <c r="BU262" t="s">
        <v>24271</v>
      </c>
      <c r="BV262" t="s">
        <v>69</v>
      </c>
      <c r="BW262" t="s">
        <v>69</v>
      </c>
      <c r="BX262" t="s">
        <v>69</v>
      </c>
      <c r="BY262" t="s">
        <v>69</v>
      </c>
      <c r="BZ262" t="s">
        <v>8526</v>
      </c>
      <c r="CA262" t="str">
        <f>HYPERLINK("https%3A%2F%2Fwww.webofscience.com%2Fwos%2Fwoscc%2Ffull-record%2FWOS:000210032400007","View Full Record in Web of Science")</f>
        <v>View Full Record in Web of Science</v>
      </c>
    </row>
    <row r="263" spans="2:79" ht="12.5" x14ac:dyDescent="0.25">
      <c r="B263" t="s">
        <v>8495</v>
      </c>
      <c r="D263" s="7" t="s">
        <v>32933</v>
      </c>
      <c r="E263" s="7"/>
      <c r="F263" s="7"/>
      <c r="G263" s="7"/>
      <c r="H263" t="s">
        <v>67</v>
      </c>
      <c r="I263" t="s">
        <v>1546</v>
      </c>
      <c r="J263" t="s">
        <v>69</v>
      </c>
      <c r="K263" t="s">
        <v>69</v>
      </c>
      <c r="L263" t="s">
        <v>69</v>
      </c>
      <c r="M263" t="s">
        <v>1547</v>
      </c>
      <c r="N263" t="s">
        <v>69</v>
      </c>
      <c r="O263" t="s">
        <v>69</v>
      </c>
      <c r="P263" t="s">
        <v>1548</v>
      </c>
      <c r="Q263" t="s">
        <v>436</v>
      </c>
      <c r="R263" t="s">
        <v>69</v>
      </c>
      <c r="S263" t="s">
        <v>69</v>
      </c>
      <c r="T263" t="s">
        <v>8505</v>
      </c>
      <c r="U263" t="s">
        <v>8506</v>
      </c>
      <c r="V263" t="s">
        <v>69</v>
      </c>
      <c r="W263" t="s">
        <v>69</v>
      </c>
      <c r="X263" t="s">
        <v>69</v>
      </c>
      <c r="Y263" t="s">
        <v>69</v>
      </c>
      <c r="Z263" t="s">
        <v>69</v>
      </c>
      <c r="AA263" t="s">
        <v>28856</v>
      </c>
      <c r="AB263" t="s">
        <v>69</v>
      </c>
      <c r="AC263" t="s">
        <v>1549</v>
      </c>
      <c r="AD263" t="s">
        <v>28857</v>
      </c>
      <c r="AE263" t="s">
        <v>69</v>
      </c>
      <c r="AF263" t="s">
        <v>28858</v>
      </c>
      <c r="AG263" t="s">
        <v>28859</v>
      </c>
      <c r="AH263" t="s">
        <v>1550</v>
      </c>
      <c r="AI263" t="s">
        <v>69</v>
      </c>
      <c r="AJ263" t="s">
        <v>28860</v>
      </c>
      <c r="AK263" t="s">
        <v>28861</v>
      </c>
      <c r="AL263" t="s">
        <v>28862</v>
      </c>
      <c r="AM263" t="s">
        <v>69</v>
      </c>
      <c r="AN263">
        <v>73</v>
      </c>
      <c r="AO263">
        <v>293</v>
      </c>
      <c r="AP263">
        <v>302</v>
      </c>
      <c r="AQ263">
        <v>9</v>
      </c>
      <c r="AR263">
        <v>152</v>
      </c>
      <c r="AS263" t="s">
        <v>8636</v>
      </c>
      <c r="AT263" t="s">
        <v>8637</v>
      </c>
      <c r="AU263" t="s">
        <v>8638</v>
      </c>
      <c r="AV263" t="s">
        <v>440</v>
      </c>
      <c r="AW263" t="s">
        <v>441</v>
      </c>
      <c r="AX263" t="s">
        <v>69</v>
      </c>
      <c r="AY263" t="s">
        <v>8639</v>
      </c>
      <c r="AZ263" t="s">
        <v>8640</v>
      </c>
      <c r="BA263" t="s">
        <v>69</v>
      </c>
      <c r="BB263">
        <v>2009</v>
      </c>
      <c r="BC263">
        <v>17</v>
      </c>
      <c r="BD263">
        <v>6</v>
      </c>
      <c r="BE263" t="s">
        <v>69</v>
      </c>
      <c r="BF263" t="s">
        <v>69</v>
      </c>
      <c r="BG263" t="s">
        <v>69</v>
      </c>
      <c r="BH263" t="s">
        <v>69</v>
      </c>
      <c r="BI263">
        <v>571</v>
      </c>
      <c r="BJ263">
        <v>580</v>
      </c>
      <c r="BK263" t="s">
        <v>69</v>
      </c>
      <c r="BL263" t="s">
        <v>1551</v>
      </c>
      <c r="BM263" t="str">
        <f>HYPERLINK("http://dx.doi.org/10.1016/j.jclepro.2008.12.009","http://dx.doi.org/10.1016/j.jclepro.2008.12.009")</f>
        <v>http://dx.doi.org/10.1016/j.jclepro.2008.12.009</v>
      </c>
      <c r="BN263" t="s">
        <v>69</v>
      </c>
      <c r="BO263" t="s">
        <v>69</v>
      </c>
      <c r="BP263">
        <v>10</v>
      </c>
      <c r="BQ263" t="s">
        <v>8643</v>
      </c>
      <c r="BR263" t="s">
        <v>8523</v>
      </c>
      <c r="BS263" t="s">
        <v>8644</v>
      </c>
      <c r="BT263" t="s">
        <v>28863</v>
      </c>
      <c r="BU263" t="s">
        <v>1552</v>
      </c>
      <c r="BV263" t="s">
        <v>69</v>
      </c>
      <c r="BW263" t="s">
        <v>69</v>
      </c>
      <c r="BX263" t="s">
        <v>69</v>
      </c>
      <c r="BY263" t="s">
        <v>69</v>
      </c>
      <c r="BZ263" t="s">
        <v>8526</v>
      </c>
      <c r="CA263" t="str">
        <f>HYPERLINK("https%3A%2F%2Fwww.webofscience.com%2Fwos%2Fwoscc%2Ffull-record%2FWOS:000264330600001","View Full Record in Web of Science")</f>
        <v>View Full Record in Web of Science</v>
      </c>
    </row>
    <row r="264" spans="2:79" ht="12.5" x14ac:dyDescent="0.25">
      <c r="B264" t="s">
        <v>8495</v>
      </c>
      <c r="D264" s="7" t="s">
        <v>32933</v>
      </c>
      <c r="E264" s="7"/>
      <c r="F264" s="7"/>
      <c r="G264" s="7"/>
      <c r="H264" t="s">
        <v>67</v>
      </c>
      <c r="I264" t="s">
        <v>1328</v>
      </c>
      <c r="J264" t="s">
        <v>69</v>
      </c>
      <c r="K264" t="s">
        <v>69</v>
      </c>
      <c r="L264" t="s">
        <v>69</v>
      </c>
      <c r="M264" t="s">
        <v>1329</v>
      </c>
      <c r="N264" t="s">
        <v>69</v>
      </c>
      <c r="O264" t="s">
        <v>69</v>
      </c>
      <c r="P264" t="s">
        <v>1330</v>
      </c>
      <c r="Q264" t="s">
        <v>1331</v>
      </c>
      <c r="R264" t="s">
        <v>69</v>
      </c>
      <c r="S264" t="s">
        <v>69</v>
      </c>
      <c r="T264" t="s">
        <v>8505</v>
      </c>
      <c r="U264" t="s">
        <v>8506</v>
      </c>
      <c r="V264" t="s">
        <v>69</v>
      </c>
      <c r="W264" t="s">
        <v>69</v>
      </c>
      <c r="X264" t="s">
        <v>69</v>
      </c>
      <c r="Y264" t="s">
        <v>69</v>
      </c>
      <c r="Z264" t="s">
        <v>69</v>
      </c>
      <c r="AA264" t="s">
        <v>23364</v>
      </c>
      <c r="AB264" t="s">
        <v>23365</v>
      </c>
      <c r="AC264" t="s">
        <v>1332</v>
      </c>
      <c r="AD264" t="s">
        <v>23366</v>
      </c>
      <c r="AE264" t="s">
        <v>69</v>
      </c>
      <c r="AF264" t="s">
        <v>23367</v>
      </c>
      <c r="AG264" t="s">
        <v>23368</v>
      </c>
      <c r="AH264" t="s">
        <v>1333</v>
      </c>
      <c r="AI264" t="s">
        <v>1334</v>
      </c>
      <c r="AJ264" t="s">
        <v>69</v>
      </c>
      <c r="AK264" t="s">
        <v>69</v>
      </c>
      <c r="AL264" t="s">
        <v>69</v>
      </c>
      <c r="AM264" t="s">
        <v>69</v>
      </c>
      <c r="AN264">
        <v>68</v>
      </c>
      <c r="AO264">
        <v>15</v>
      </c>
      <c r="AP264">
        <v>15</v>
      </c>
      <c r="AQ264">
        <v>1</v>
      </c>
      <c r="AR264">
        <v>39</v>
      </c>
      <c r="AS264" t="s">
        <v>8846</v>
      </c>
      <c r="AT264" t="s">
        <v>8847</v>
      </c>
      <c r="AU264" t="s">
        <v>8848</v>
      </c>
      <c r="AV264" t="s">
        <v>1335</v>
      </c>
      <c r="AW264" t="s">
        <v>1336</v>
      </c>
      <c r="AX264" t="s">
        <v>69</v>
      </c>
      <c r="AY264" t="s">
        <v>23369</v>
      </c>
      <c r="AZ264" t="s">
        <v>23370</v>
      </c>
      <c r="BA264" t="s">
        <v>75</v>
      </c>
      <c r="BB264">
        <v>2014</v>
      </c>
      <c r="BC264">
        <v>25</v>
      </c>
      <c r="BD264">
        <v>3</v>
      </c>
      <c r="BE264" t="s">
        <v>69</v>
      </c>
      <c r="BF264" t="s">
        <v>69</v>
      </c>
      <c r="BG264" t="s">
        <v>69</v>
      </c>
      <c r="BH264" t="s">
        <v>69</v>
      </c>
      <c r="BI264">
        <v>202</v>
      </c>
      <c r="BJ264">
        <v>208</v>
      </c>
      <c r="BK264" t="s">
        <v>69</v>
      </c>
      <c r="BL264" t="s">
        <v>1337</v>
      </c>
      <c r="BM264" t="str">
        <f>HYPERLINK("http://dx.doi.org/10.1071/HE14039","http://dx.doi.org/10.1071/HE14039")</f>
        <v>http://dx.doi.org/10.1071/HE14039</v>
      </c>
      <c r="BN264" t="s">
        <v>69</v>
      </c>
      <c r="BO264" t="s">
        <v>69</v>
      </c>
      <c r="BP264">
        <v>7</v>
      </c>
      <c r="BQ264" t="s">
        <v>8810</v>
      </c>
      <c r="BR264" t="s">
        <v>8661</v>
      </c>
      <c r="BS264" t="s">
        <v>8810</v>
      </c>
      <c r="BT264" t="s">
        <v>23371</v>
      </c>
      <c r="BU264" t="s">
        <v>1338</v>
      </c>
      <c r="BV264">
        <v>25434860</v>
      </c>
      <c r="BW264" t="s">
        <v>69</v>
      </c>
      <c r="BX264" t="s">
        <v>69</v>
      </c>
      <c r="BY264" t="s">
        <v>69</v>
      </c>
      <c r="BZ264" t="s">
        <v>8526</v>
      </c>
      <c r="CA264" t="str">
        <f>HYPERLINK("https%3A%2F%2Fwww.webofscience.com%2Fwos%2Fwoscc%2Ffull-record%2FWOS:000346892500010","View Full Record in Web of Science")</f>
        <v>View Full Record in Web of Science</v>
      </c>
    </row>
    <row r="265" spans="2:79" ht="12.5" x14ac:dyDescent="0.25">
      <c r="B265" t="s">
        <v>8495</v>
      </c>
      <c r="D265" s="7" t="s">
        <v>32933</v>
      </c>
      <c r="E265" s="7"/>
      <c r="F265" s="7"/>
      <c r="G265" s="7"/>
      <c r="H265" t="s">
        <v>67</v>
      </c>
      <c r="I265" t="s">
        <v>1785</v>
      </c>
      <c r="J265" t="s">
        <v>69</v>
      </c>
      <c r="K265" t="s">
        <v>69</v>
      </c>
      <c r="L265" t="s">
        <v>69</v>
      </c>
      <c r="M265" t="s">
        <v>1785</v>
      </c>
      <c r="N265" t="s">
        <v>69</v>
      </c>
      <c r="O265" t="s">
        <v>69</v>
      </c>
      <c r="P265" t="s">
        <v>1786</v>
      </c>
      <c r="Q265" t="s">
        <v>520</v>
      </c>
      <c r="R265" t="s">
        <v>69</v>
      </c>
      <c r="S265" t="s">
        <v>69</v>
      </c>
      <c r="T265" t="s">
        <v>8505</v>
      </c>
      <c r="U265" t="s">
        <v>8506</v>
      </c>
      <c r="V265" t="s">
        <v>69</v>
      </c>
      <c r="W265" t="s">
        <v>69</v>
      </c>
      <c r="X265" t="s">
        <v>69</v>
      </c>
      <c r="Y265" t="s">
        <v>69</v>
      </c>
      <c r="Z265" t="s">
        <v>69</v>
      </c>
      <c r="AA265" t="s">
        <v>32189</v>
      </c>
      <c r="AB265" t="s">
        <v>69</v>
      </c>
      <c r="AC265" t="s">
        <v>1787</v>
      </c>
      <c r="AD265" t="s">
        <v>69</v>
      </c>
      <c r="AE265" t="s">
        <v>69</v>
      </c>
      <c r="AF265" t="s">
        <v>32190</v>
      </c>
      <c r="AG265" t="s">
        <v>69</v>
      </c>
      <c r="AH265" t="s">
        <v>69</v>
      </c>
      <c r="AI265" t="s">
        <v>69</v>
      </c>
      <c r="AJ265" t="s">
        <v>69</v>
      </c>
      <c r="AK265" t="s">
        <v>69</v>
      </c>
      <c r="AL265" t="s">
        <v>69</v>
      </c>
      <c r="AM265" t="s">
        <v>69</v>
      </c>
      <c r="AN265">
        <v>4</v>
      </c>
      <c r="AO265">
        <v>19</v>
      </c>
      <c r="AP265">
        <v>19</v>
      </c>
      <c r="AQ265">
        <v>0</v>
      </c>
      <c r="AR265">
        <v>1</v>
      </c>
      <c r="AS265" t="s">
        <v>32191</v>
      </c>
      <c r="AT265" t="s">
        <v>8763</v>
      </c>
      <c r="AU265" t="s">
        <v>32192</v>
      </c>
      <c r="AV265" t="s">
        <v>523</v>
      </c>
      <c r="AW265" t="s">
        <v>69</v>
      </c>
      <c r="AX265" t="s">
        <v>69</v>
      </c>
      <c r="AY265" t="s">
        <v>21727</v>
      </c>
      <c r="AZ265" t="s">
        <v>21728</v>
      </c>
      <c r="BA265" t="s">
        <v>1774</v>
      </c>
      <c r="BB265">
        <v>1997</v>
      </c>
      <c r="BC265">
        <v>25</v>
      </c>
      <c r="BD265">
        <v>5</v>
      </c>
      <c r="BE265" t="s">
        <v>69</v>
      </c>
      <c r="BF265" t="s">
        <v>69</v>
      </c>
      <c r="BG265" t="s">
        <v>69</v>
      </c>
      <c r="BH265" t="s">
        <v>69</v>
      </c>
      <c r="BI265">
        <v>285</v>
      </c>
      <c r="BJ265">
        <v>291</v>
      </c>
      <c r="BK265" t="s">
        <v>69</v>
      </c>
      <c r="BL265" t="s">
        <v>1788</v>
      </c>
      <c r="BM265" t="str">
        <f>HYPERLINK("http://dx.doi.org/10.1080/096132197370264","http://dx.doi.org/10.1080/096132197370264")</f>
        <v>http://dx.doi.org/10.1080/096132197370264</v>
      </c>
      <c r="BN265" t="s">
        <v>69</v>
      </c>
      <c r="BO265" t="s">
        <v>69</v>
      </c>
      <c r="BP265">
        <v>7</v>
      </c>
      <c r="BQ265" t="s">
        <v>10105</v>
      </c>
      <c r="BR265" t="s">
        <v>8548</v>
      </c>
      <c r="BS265" t="s">
        <v>10105</v>
      </c>
      <c r="BT265" t="s">
        <v>32193</v>
      </c>
      <c r="BU265" t="s">
        <v>1789</v>
      </c>
      <c r="BV265" t="s">
        <v>69</v>
      </c>
      <c r="BW265" t="s">
        <v>69</v>
      </c>
      <c r="BX265" t="s">
        <v>69</v>
      </c>
      <c r="BY265" t="s">
        <v>69</v>
      </c>
      <c r="BZ265" t="s">
        <v>8526</v>
      </c>
      <c r="CA265" t="str">
        <f>HYPERLINK("https%3A%2F%2Fwww.webofscience.com%2Fwos%2Fwoscc%2Ffull-record%2FWOS:A1997YC57100007","View Full Record in Web of Science")</f>
        <v>View Full Record in Web of Science</v>
      </c>
    </row>
    <row r="266" spans="2:79" ht="12.5" x14ac:dyDescent="0.25">
      <c r="B266" t="s">
        <v>8495</v>
      </c>
      <c r="D266" s="7" t="s">
        <v>32933</v>
      </c>
      <c r="E266" s="7"/>
      <c r="F266" s="7"/>
      <c r="G266" s="7"/>
      <c r="H266" t="s">
        <v>67</v>
      </c>
      <c r="I266" t="s">
        <v>480</v>
      </c>
      <c r="J266" t="s">
        <v>69</v>
      </c>
      <c r="K266" t="s">
        <v>69</v>
      </c>
      <c r="L266" t="s">
        <v>69</v>
      </c>
      <c r="M266" t="s">
        <v>481</v>
      </c>
      <c r="N266" t="s">
        <v>69</v>
      </c>
      <c r="O266" t="s">
        <v>69</v>
      </c>
      <c r="P266" t="s">
        <v>482</v>
      </c>
      <c r="Q266" t="s">
        <v>483</v>
      </c>
      <c r="R266" t="s">
        <v>69</v>
      </c>
      <c r="S266" t="s">
        <v>69</v>
      </c>
      <c r="T266" t="s">
        <v>8505</v>
      </c>
      <c r="U266" t="s">
        <v>8506</v>
      </c>
      <c r="V266" t="s">
        <v>69</v>
      </c>
      <c r="W266" t="s">
        <v>69</v>
      </c>
      <c r="X266" t="s">
        <v>69</v>
      </c>
      <c r="Y266" t="s">
        <v>69</v>
      </c>
      <c r="Z266" t="s">
        <v>69</v>
      </c>
      <c r="AA266" t="s">
        <v>23083</v>
      </c>
      <c r="AB266" t="s">
        <v>23084</v>
      </c>
      <c r="AC266" t="s">
        <v>484</v>
      </c>
      <c r="AD266" t="s">
        <v>23085</v>
      </c>
      <c r="AE266" t="s">
        <v>69</v>
      </c>
      <c r="AF266" t="s">
        <v>23086</v>
      </c>
      <c r="AG266" t="s">
        <v>23087</v>
      </c>
      <c r="AH266" t="s">
        <v>69</v>
      </c>
      <c r="AI266" t="s">
        <v>69</v>
      </c>
      <c r="AJ266" t="s">
        <v>23088</v>
      </c>
      <c r="AK266" t="s">
        <v>23089</v>
      </c>
      <c r="AL266" t="s">
        <v>23090</v>
      </c>
      <c r="AM266" t="s">
        <v>69</v>
      </c>
      <c r="AN266">
        <v>31</v>
      </c>
      <c r="AO266">
        <v>8</v>
      </c>
      <c r="AP266">
        <v>8</v>
      </c>
      <c r="AQ266">
        <v>0</v>
      </c>
      <c r="AR266">
        <v>10</v>
      </c>
      <c r="AS266" t="s">
        <v>20196</v>
      </c>
      <c r="AT266" t="s">
        <v>9018</v>
      </c>
      <c r="AU266" t="s">
        <v>9019</v>
      </c>
      <c r="AV266" t="s">
        <v>485</v>
      </c>
      <c r="AW266" t="s">
        <v>486</v>
      </c>
      <c r="AX266" t="s">
        <v>69</v>
      </c>
      <c r="AY266" t="s">
        <v>23091</v>
      </c>
      <c r="AZ266" t="s">
        <v>23092</v>
      </c>
      <c r="BA266" t="s">
        <v>69</v>
      </c>
      <c r="BB266">
        <v>2015</v>
      </c>
      <c r="BC266">
        <v>106</v>
      </c>
      <c r="BD266">
        <v>1</v>
      </c>
      <c r="BE266" t="s">
        <v>69</v>
      </c>
      <c r="BF266">
        <v>1</v>
      </c>
      <c r="BG266" t="s">
        <v>69</v>
      </c>
      <c r="BH266" t="s">
        <v>69</v>
      </c>
      <c r="BI266" t="s">
        <v>487</v>
      </c>
      <c r="BJ266" t="s">
        <v>488</v>
      </c>
      <c r="BK266" t="s">
        <v>69</v>
      </c>
      <c r="BL266" t="s">
        <v>489</v>
      </c>
      <c r="BM266" t="str">
        <f>HYPERLINK("http://dx.doi.org/10.17269/cjph.106.4566","http://dx.doi.org/10.17269/cjph.106.4566")</f>
        <v>http://dx.doi.org/10.17269/cjph.106.4566</v>
      </c>
      <c r="BN266" t="s">
        <v>69</v>
      </c>
      <c r="BO266" t="s">
        <v>69</v>
      </c>
      <c r="BP266">
        <v>10</v>
      </c>
      <c r="BQ266" t="s">
        <v>8810</v>
      </c>
      <c r="BR266" t="s">
        <v>8661</v>
      </c>
      <c r="BS266" t="s">
        <v>8810</v>
      </c>
      <c r="BT266" t="s">
        <v>23093</v>
      </c>
      <c r="BU266" t="s">
        <v>490</v>
      </c>
      <c r="BV266">
        <v>25955547</v>
      </c>
      <c r="BW266" t="s">
        <v>10423</v>
      </c>
      <c r="BX266" t="s">
        <v>69</v>
      </c>
      <c r="BY266" t="s">
        <v>69</v>
      </c>
      <c r="BZ266" t="s">
        <v>8526</v>
      </c>
      <c r="CA266" t="str">
        <f>HYPERLINK("https%3A%2F%2Fwww.webofscience.com%2Fwos%2Fwoscc%2Ffull-record%2FWOS:000353227400009","View Full Record in Web of Science")</f>
        <v>View Full Record in Web of Science</v>
      </c>
    </row>
    <row r="267" spans="2:79" ht="12.5" x14ac:dyDescent="0.25">
      <c r="B267" t="s">
        <v>8495</v>
      </c>
      <c r="D267" s="22" t="s">
        <v>32931</v>
      </c>
      <c r="E267" s="7"/>
      <c r="F267" s="7"/>
      <c r="G267" s="7"/>
      <c r="H267" t="s">
        <v>67</v>
      </c>
      <c r="I267" t="s">
        <v>19999</v>
      </c>
      <c r="J267" t="s">
        <v>69</v>
      </c>
      <c r="K267" t="s">
        <v>69</v>
      </c>
      <c r="L267" t="s">
        <v>69</v>
      </c>
      <c r="M267" t="s">
        <v>20000</v>
      </c>
      <c r="N267" t="s">
        <v>69</v>
      </c>
      <c r="O267" t="s">
        <v>69</v>
      </c>
      <c r="P267" t="s">
        <v>20001</v>
      </c>
      <c r="Q267" t="s">
        <v>2886</v>
      </c>
      <c r="R267" t="s">
        <v>69</v>
      </c>
      <c r="S267" t="s">
        <v>69</v>
      </c>
      <c r="T267" t="s">
        <v>8505</v>
      </c>
      <c r="U267" t="s">
        <v>8442</v>
      </c>
      <c r="V267" t="s">
        <v>69</v>
      </c>
      <c r="W267" t="s">
        <v>69</v>
      </c>
      <c r="X267" t="s">
        <v>69</v>
      </c>
      <c r="Y267" t="s">
        <v>69</v>
      </c>
      <c r="Z267" t="s">
        <v>69</v>
      </c>
      <c r="AA267" t="s">
        <v>20002</v>
      </c>
      <c r="AB267" t="s">
        <v>20003</v>
      </c>
      <c r="AC267" t="s">
        <v>20004</v>
      </c>
      <c r="AD267" t="s">
        <v>20005</v>
      </c>
      <c r="AE267" t="s">
        <v>69</v>
      </c>
      <c r="AF267" t="s">
        <v>20006</v>
      </c>
      <c r="AG267" t="s">
        <v>20007</v>
      </c>
      <c r="AH267" t="s">
        <v>20008</v>
      </c>
      <c r="AI267" t="s">
        <v>20009</v>
      </c>
      <c r="AJ267" t="s">
        <v>69</v>
      </c>
      <c r="AK267" t="s">
        <v>69</v>
      </c>
      <c r="AL267" t="s">
        <v>69</v>
      </c>
      <c r="AM267" t="s">
        <v>69</v>
      </c>
      <c r="AN267">
        <v>109</v>
      </c>
      <c r="AO267">
        <v>52</v>
      </c>
      <c r="AP267">
        <v>54</v>
      </c>
      <c r="AQ267">
        <v>7</v>
      </c>
      <c r="AR267">
        <v>40</v>
      </c>
      <c r="AS267" t="s">
        <v>8516</v>
      </c>
      <c r="AT267" t="s">
        <v>8517</v>
      </c>
      <c r="AU267" t="s">
        <v>8518</v>
      </c>
      <c r="AV267" t="s">
        <v>2890</v>
      </c>
      <c r="AW267" t="s">
        <v>2891</v>
      </c>
      <c r="AX267" t="s">
        <v>69</v>
      </c>
      <c r="AY267" t="s">
        <v>13008</v>
      </c>
      <c r="AZ267" t="s">
        <v>13009</v>
      </c>
      <c r="BA267" t="s">
        <v>381</v>
      </c>
      <c r="BB267">
        <v>2017</v>
      </c>
      <c r="BC267">
        <v>98</v>
      </c>
      <c r="BD267" t="s">
        <v>69</v>
      </c>
      <c r="BE267" t="s">
        <v>69</v>
      </c>
      <c r="BF267" t="s">
        <v>69</v>
      </c>
      <c r="BG267" t="s">
        <v>69</v>
      </c>
      <c r="BH267" t="s">
        <v>69</v>
      </c>
      <c r="BI267">
        <v>98</v>
      </c>
      <c r="BJ267">
        <v>112</v>
      </c>
      <c r="BK267" t="s">
        <v>69</v>
      </c>
      <c r="BL267" t="s">
        <v>20010</v>
      </c>
      <c r="BM267" t="str">
        <f>HYPERLINK("http://dx.doi.org/10.1016/j.ssci.2017.06.006","http://dx.doi.org/10.1016/j.ssci.2017.06.006")</f>
        <v>http://dx.doi.org/10.1016/j.ssci.2017.06.006</v>
      </c>
      <c r="BN267" t="s">
        <v>69</v>
      </c>
      <c r="BO267" t="s">
        <v>69</v>
      </c>
      <c r="BP267">
        <v>15</v>
      </c>
      <c r="BQ267" t="s">
        <v>13010</v>
      </c>
      <c r="BR267" t="s">
        <v>8523</v>
      </c>
      <c r="BS267" t="s">
        <v>13011</v>
      </c>
      <c r="BT267" t="s">
        <v>20011</v>
      </c>
      <c r="BU267" t="s">
        <v>20012</v>
      </c>
      <c r="BV267" t="s">
        <v>69</v>
      </c>
      <c r="BW267" t="s">
        <v>10423</v>
      </c>
      <c r="BX267" t="s">
        <v>69</v>
      </c>
      <c r="BY267" t="s">
        <v>69</v>
      </c>
      <c r="BZ267" t="s">
        <v>8526</v>
      </c>
      <c r="CA267" t="str">
        <f>HYPERLINK("https%3A%2F%2Fwww.webofscience.com%2Fwos%2Fwoscc%2Ffull-record%2FWOS:000406571100011","View Full Record in Web of Science")</f>
        <v>View Full Record in Web of Science</v>
      </c>
    </row>
    <row r="268" spans="2:79" ht="12.5" x14ac:dyDescent="0.25">
      <c r="B268" t="s">
        <v>8495</v>
      </c>
      <c r="D268" s="22" t="s">
        <v>32931</v>
      </c>
      <c r="E268" s="7"/>
      <c r="F268" s="7"/>
      <c r="G268" s="7"/>
      <c r="H268" t="s">
        <v>67</v>
      </c>
      <c r="I268" t="s">
        <v>12841</v>
      </c>
      <c r="J268" t="s">
        <v>69</v>
      </c>
      <c r="K268" t="s">
        <v>69</v>
      </c>
      <c r="L268" t="s">
        <v>69</v>
      </c>
      <c r="M268" t="s">
        <v>12842</v>
      </c>
      <c r="N268" t="s">
        <v>69</v>
      </c>
      <c r="O268" t="s">
        <v>69</v>
      </c>
      <c r="P268" t="s">
        <v>12843</v>
      </c>
      <c r="Q268" t="s">
        <v>12844</v>
      </c>
      <c r="R268" t="s">
        <v>69</v>
      </c>
      <c r="S268" t="s">
        <v>69</v>
      </c>
      <c r="T268" t="s">
        <v>8505</v>
      </c>
      <c r="U268" t="s">
        <v>8506</v>
      </c>
      <c r="V268" t="s">
        <v>69</v>
      </c>
      <c r="W268" t="s">
        <v>69</v>
      </c>
      <c r="X268" t="s">
        <v>69</v>
      </c>
      <c r="Y268" t="s">
        <v>69</v>
      </c>
      <c r="Z268" t="s">
        <v>69</v>
      </c>
      <c r="AA268" t="s">
        <v>12845</v>
      </c>
      <c r="AB268" t="s">
        <v>69</v>
      </c>
      <c r="AC268" t="s">
        <v>12846</v>
      </c>
      <c r="AD268" t="s">
        <v>12847</v>
      </c>
      <c r="AE268" t="s">
        <v>69</v>
      </c>
      <c r="AF268" t="s">
        <v>12848</v>
      </c>
      <c r="AG268" t="s">
        <v>12849</v>
      </c>
      <c r="AH268" t="s">
        <v>69</v>
      </c>
      <c r="AI268" t="s">
        <v>69</v>
      </c>
      <c r="AJ268" t="s">
        <v>69</v>
      </c>
      <c r="AK268" t="s">
        <v>69</v>
      </c>
      <c r="AL268" t="s">
        <v>69</v>
      </c>
      <c r="AM268" t="s">
        <v>69</v>
      </c>
      <c r="AN268">
        <v>6</v>
      </c>
      <c r="AO268">
        <v>0</v>
      </c>
      <c r="AP268">
        <v>0</v>
      </c>
      <c r="AQ268">
        <v>0</v>
      </c>
      <c r="AR268">
        <v>2</v>
      </c>
      <c r="AS268" t="s">
        <v>12850</v>
      </c>
      <c r="AT268" t="s">
        <v>12851</v>
      </c>
      <c r="AU268" t="s">
        <v>12852</v>
      </c>
      <c r="AV268" t="s">
        <v>12853</v>
      </c>
      <c r="AW268" t="s">
        <v>12854</v>
      </c>
      <c r="AX268" t="s">
        <v>69</v>
      </c>
      <c r="AY268" t="s">
        <v>12855</v>
      </c>
      <c r="AZ268" t="s">
        <v>12856</v>
      </c>
      <c r="BA268" t="s">
        <v>94</v>
      </c>
      <c r="BB268">
        <v>2021</v>
      </c>
      <c r="BC268">
        <v>10</v>
      </c>
      <c r="BD268">
        <v>1</v>
      </c>
      <c r="BE268" t="s">
        <v>69</v>
      </c>
      <c r="BF268" t="s">
        <v>69</v>
      </c>
      <c r="BG268" t="s">
        <v>69</v>
      </c>
      <c r="BH268" t="s">
        <v>69</v>
      </c>
      <c r="BI268">
        <v>16</v>
      </c>
      <c r="BJ268">
        <v>32</v>
      </c>
      <c r="BK268" t="s">
        <v>69</v>
      </c>
      <c r="BL268" t="s">
        <v>12857</v>
      </c>
      <c r="BM268" t="str">
        <f>HYPERLINK("http://dx.doi.org/10.1177/2319714520975924","http://dx.doi.org/10.1177/2319714520975924")</f>
        <v>http://dx.doi.org/10.1177/2319714520975924</v>
      </c>
      <c r="BN268" t="s">
        <v>69</v>
      </c>
      <c r="BO268" t="s">
        <v>69</v>
      </c>
      <c r="BP268">
        <v>17</v>
      </c>
      <c r="BQ268" t="s">
        <v>8791</v>
      </c>
      <c r="BR268" t="s">
        <v>8573</v>
      </c>
      <c r="BS268" t="s">
        <v>8594</v>
      </c>
      <c r="BT268" t="s">
        <v>12858</v>
      </c>
      <c r="BU268" t="s">
        <v>12859</v>
      </c>
      <c r="BV268" t="s">
        <v>69</v>
      </c>
      <c r="BW268" t="s">
        <v>9374</v>
      </c>
      <c r="BX268" t="s">
        <v>69</v>
      </c>
      <c r="BY268" t="s">
        <v>69</v>
      </c>
      <c r="BZ268" t="s">
        <v>8526</v>
      </c>
      <c r="CA268" t="str">
        <f>HYPERLINK("https%3A%2F%2Fwww.webofscience.com%2Fwos%2Fwoscc%2Ffull-record%2FWOS:000710554000003","View Full Record in Web of Science")</f>
        <v>View Full Record in Web of Science</v>
      </c>
    </row>
    <row r="269" spans="2:79" ht="12.5" x14ac:dyDescent="0.25">
      <c r="B269" t="s">
        <v>8495</v>
      </c>
      <c r="D269" s="7" t="s">
        <v>32933</v>
      </c>
      <c r="E269" s="7"/>
      <c r="F269" s="7"/>
      <c r="G269" s="7"/>
      <c r="H269" t="s">
        <v>67</v>
      </c>
      <c r="I269" t="s">
        <v>1503</v>
      </c>
      <c r="J269" t="s">
        <v>69</v>
      </c>
      <c r="K269" t="s">
        <v>69</v>
      </c>
      <c r="L269" t="s">
        <v>69</v>
      </c>
      <c r="M269" t="s">
        <v>1504</v>
      </c>
      <c r="N269" t="s">
        <v>69</v>
      </c>
      <c r="O269" t="s">
        <v>69</v>
      </c>
      <c r="P269" t="s">
        <v>1505</v>
      </c>
      <c r="Q269" t="s">
        <v>1506</v>
      </c>
      <c r="R269" t="s">
        <v>69</v>
      </c>
      <c r="S269" t="s">
        <v>69</v>
      </c>
      <c r="T269" t="s">
        <v>8505</v>
      </c>
      <c r="U269" t="s">
        <v>8506</v>
      </c>
      <c r="V269" t="s">
        <v>69</v>
      </c>
      <c r="W269" t="s">
        <v>69</v>
      </c>
      <c r="X269" t="s">
        <v>69</v>
      </c>
      <c r="Y269" t="s">
        <v>69</v>
      </c>
      <c r="Z269" t="s">
        <v>69</v>
      </c>
      <c r="AA269" t="s">
        <v>27077</v>
      </c>
      <c r="AB269" t="s">
        <v>69</v>
      </c>
      <c r="AC269" t="s">
        <v>1507</v>
      </c>
      <c r="AD269" t="s">
        <v>27078</v>
      </c>
      <c r="AE269" t="s">
        <v>69</v>
      </c>
      <c r="AF269" t="s">
        <v>27079</v>
      </c>
      <c r="AG269" t="s">
        <v>27080</v>
      </c>
      <c r="AH269" t="s">
        <v>69</v>
      </c>
      <c r="AI269" t="s">
        <v>69</v>
      </c>
      <c r="AJ269" t="s">
        <v>69</v>
      </c>
      <c r="AK269" t="s">
        <v>69</v>
      </c>
      <c r="AL269" t="s">
        <v>69</v>
      </c>
      <c r="AM269" t="s">
        <v>69</v>
      </c>
      <c r="AN269">
        <v>10</v>
      </c>
      <c r="AO269">
        <v>25</v>
      </c>
      <c r="AP269">
        <v>25</v>
      </c>
      <c r="AQ269">
        <v>3</v>
      </c>
      <c r="AR269">
        <v>33</v>
      </c>
      <c r="AS269" t="s">
        <v>9047</v>
      </c>
      <c r="AT269" t="s">
        <v>9048</v>
      </c>
      <c r="AU269" t="s">
        <v>9049</v>
      </c>
      <c r="AV269" t="s">
        <v>1508</v>
      </c>
      <c r="AW269" t="s">
        <v>1509</v>
      </c>
      <c r="AX269" t="s">
        <v>69</v>
      </c>
      <c r="AY269" t="s">
        <v>15520</v>
      </c>
      <c r="AZ269" t="s">
        <v>15521</v>
      </c>
      <c r="BA269" t="s">
        <v>246</v>
      </c>
      <c r="BB269">
        <v>2011</v>
      </c>
      <c r="BC269">
        <v>104</v>
      </c>
      <c r="BD269" t="s">
        <v>69</v>
      </c>
      <c r="BE269" t="s">
        <v>69</v>
      </c>
      <c r="BF269">
        <v>1</v>
      </c>
      <c r="BG269" t="s">
        <v>114</v>
      </c>
      <c r="BH269" t="s">
        <v>69</v>
      </c>
      <c r="BI269">
        <v>73</v>
      </c>
      <c r="BJ269">
        <v>81</v>
      </c>
      <c r="BK269" t="s">
        <v>69</v>
      </c>
      <c r="BL269" t="s">
        <v>1510</v>
      </c>
      <c r="BM269" t="str">
        <f>HYPERLINK("http://dx.doi.org/10.1007/s10551-012-1264-z","http://dx.doi.org/10.1007/s10551-012-1264-z")</f>
        <v>http://dx.doi.org/10.1007/s10551-012-1264-z</v>
      </c>
      <c r="BN269" t="s">
        <v>69</v>
      </c>
      <c r="BO269" t="s">
        <v>69</v>
      </c>
      <c r="BP269">
        <v>9</v>
      </c>
      <c r="BQ269" t="s">
        <v>15523</v>
      </c>
      <c r="BR269" t="s">
        <v>8661</v>
      </c>
      <c r="BS269" t="s">
        <v>15524</v>
      </c>
      <c r="BT269" t="s">
        <v>27081</v>
      </c>
      <c r="BU269" t="s">
        <v>1511</v>
      </c>
      <c r="BV269" t="s">
        <v>69</v>
      </c>
      <c r="BW269" t="s">
        <v>69</v>
      </c>
      <c r="BX269" t="s">
        <v>69</v>
      </c>
      <c r="BY269" t="s">
        <v>69</v>
      </c>
      <c r="BZ269" t="s">
        <v>8526</v>
      </c>
      <c r="CA269" t="str">
        <f>HYPERLINK("https%3A%2F%2Fwww.webofscience.com%2Fwos%2Fwoscc%2Ffull-record%2FWOS:000208734300008","View Full Record in Web of Science")</f>
        <v>View Full Record in Web of Science</v>
      </c>
    </row>
    <row r="270" spans="2:79" ht="12.5" x14ac:dyDescent="0.25">
      <c r="B270" t="s">
        <v>8495</v>
      </c>
      <c r="D270" s="7" t="s">
        <v>32933</v>
      </c>
      <c r="E270" s="7"/>
      <c r="F270" s="7"/>
      <c r="G270" s="7"/>
      <c r="H270" t="s">
        <v>67</v>
      </c>
      <c r="I270" t="s">
        <v>5621</v>
      </c>
      <c r="J270" t="s">
        <v>69</v>
      </c>
      <c r="K270" t="s">
        <v>69</v>
      </c>
      <c r="L270" t="s">
        <v>69</v>
      </c>
      <c r="M270" t="s">
        <v>5622</v>
      </c>
      <c r="N270" t="s">
        <v>69</v>
      </c>
      <c r="O270" t="s">
        <v>69</v>
      </c>
      <c r="P270" t="s">
        <v>5623</v>
      </c>
      <c r="Q270" t="s">
        <v>436</v>
      </c>
      <c r="R270" t="s">
        <v>69</v>
      </c>
      <c r="S270" t="s">
        <v>69</v>
      </c>
      <c r="T270" t="s">
        <v>8505</v>
      </c>
      <c r="U270" t="s">
        <v>8506</v>
      </c>
      <c r="V270" t="s">
        <v>69</v>
      </c>
      <c r="W270" t="s">
        <v>69</v>
      </c>
      <c r="X270" t="s">
        <v>69</v>
      </c>
      <c r="Y270" t="s">
        <v>69</v>
      </c>
      <c r="Z270" t="s">
        <v>69</v>
      </c>
      <c r="AA270" t="s">
        <v>17299</v>
      </c>
      <c r="AB270" t="s">
        <v>17300</v>
      </c>
      <c r="AC270" t="s">
        <v>5624</v>
      </c>
      <c r="AD270" t="s">
        <v>17301</v>
      </c>
      <c r="AE270" t="s">
        <v>69</v>
      </c>
      <c r="AF270" t="s">
        <v>17302</v>
      </c>
      <c r="AG270" t="s">
        <v>17303</v>
      </c>
      <c r="AH270" t="s">
        <v>69</v>
      </c>
      <c r="AI270" t="s">
        <v>69</v>
      </c>
      <c r="AJ270" t="s">
        <v>17304</v>
      </c>
      <c r="AK270" t="s">
        <v>17305</v>
      </c>
      <c r="AL270" t="s">
        <v>17306</v>
      </c>
      <c r="AM270" t="s">
        <v>69</v>
      </c>
      <c r="AN270">
        <v>38</v>
      </c>
      <c r="AO270">
        <v>8</v>
      </c>
      <c r="AP270">
        <v>9</v>
      </c>
      <c r="AQ270">
        <v>3</v>
      </c>
      <c r="AR270">
        <v>35</v>
      </c>
      <c r="AS270" t="s">
        <v>8636</v>
      </c>
      <c r="AT270" t="s">
        <v>8637</v>
      </c>
      <c r="AU270" t="s">
        <v>8638</v>
      </c>
      <c r="AV270" t="s">
        <v>440</v>
      </c>
      <c r="AW270" t="s">
        <v>441</v>
      </c>
      <c r="AX270" t="s">
        <v>69</v>
      </c>
      <c r="AY270" t="s">
        <v>8639</v>
      </c>
      <c r="AZ270" t="s">
        <v>8640</v>
      </c>
      <c r="BA270" t="s">
        <v>636</v>
      </c>
      <c r="BB270">
        <v>2019</v>
      </c>
      <c r="BC270">
        <v>218</v>
      </c>
      <c r="BD270" t="s">
        <v>69</v>
      </c>
      <c r="BE270" t="s">
        <v>69</v>
      </c>
      <c r="BF270" t="s">
        <v>69</v>
      </c>
      <c r="BG270" t="s">
        <v>69</v>
      </c>
      <c r="BH270" t="s">
        <v>69</v>
      </c>
      <c r="BI270">
        <v>943</v>
      </c>
      <c r="BJ270">
        <v>965</v>
      </c>
      <c r="BK270" t="s">
        <v>69</v>
      </c>
      <c r="BL270" t="s">
        <v>5625</v>
      </c>
      <c r="BM270" t="str">
        <f>HYPERLINK("http://dx.doi.org/10.1016/j.jclepro.2019.01.317","http://dx.doi.org/10.1016/j.jclepro.2019.01.317")</f>
        <v>http://dx.doi.org/10.1016/j.jclepro.2019.01.317</v>
      </c>
      <c r="BN270" t="s">
        <v>69</v>
      </c>
      <c r="BO270" t="s">
        <v>69</v>
      </c>
      <c r="BP270">
        <v>23</v>
      </c>
      <c r="BQ270" t="s">
        <v>8643</v>
      </c>
      <c r="BR270" t="s">
        <v>8523</v>
      </c>
      <c r="BS270" t="s">
        <v>8644</v>
      </c>
      <c r="BT270" t="s">
        <v>17307</v>
      </c>
      <c r="BU270" t="s">
        <v>5626</v>
      </c>
      <c r="BV270" t="s">
        <v>69</v>
      </c>
      <c r="BW270" t="s">
        <v>69</v>
      </c>
      <c r="BX270" t="s">
        <v>69</v>
      </c>
      <c r="BY270" t="s">
        <v>69</v>
      </c>
      <c r="BZ270" t="s">
        <v>8526</v>
      </c>
      <c r="CA270" t="str">
        <f>HYPERLINK("https%3A%2F%2Fwww.webofscience.com%2Fwos%2Fwoscc%2Ffull-record%2FWOS:000462110400081","View Full Record in Web of Science")</f>
        <v>View Full Record in Web of Science</v>
      </c>
    </row>
    <row r="271" spans="2:79" ht="12.5" x14ac:dyDescent="0.25">
      <c r="B271" t="s">
        <v>8495</v>
      </c>
      <c r="D271" s="22" t="s">
        <v>32931</v>
      </c>
      <c r="E271" s="7"/>
      <c r="F271" s="7"/>
      <c r="G271" s="7"/>
      <c r="H271" t="s">
        <v>67</v>
      </c>
      <c r="I271" t="s">
        <v>15213</v>
      </c>
      <c r="J271" t="s">
        <v>69</v>
      </c>
      <c r="K271" t="s">
        <v>69</v>
      </c>
      <c r="L271" t="s">
        <v>69</v>
      </c>
      <c r="M271" t="s">
        <v>15214</v>
      </c>
      <c r="N271" t="s">
        <v>69</v>
      </c>
      <c r="O271" t="s">
        <v>69</v>
      </c>
      <c r="P271" t="s">
        <v>15215</v>
      </c>
      <c r="Q271" t="s">
        <v>15216</v>
      </c>
      <c r="R271" t="s">
        <v>69</v>
      </c>
      <c r="S271" t="s">
        <v>69</v>
      </c>
      <c r="T271" t="s">
        <v>8505</v>
      </c>
      <c r="U271" t="s">
        <v>8506</v>
      </c>
      <c r="V271" t="s">
        <v>69</v>
      </c>
      <c r="W271" t="s">
        <v>69</v>
      </c>
      <c r="X271" t="s">
        <v>69</v>
      </c>
      <c r="Y271" t="s">
        <v>69</v>
      </c>
      <c r="Z271" t="s">
        <v>69</v>
      </c>
      <c r="AA271" t="s">
        <v>15217</v>
      </c>
      <c r="AB271" t="s">
        <v>15218</v>
      </c>
      <c r="AC271" t="s">
        <v>15219</v>
      </c>
      <c r="AD271" t="s">
        <v>15220</v>
      </c>
      <c r="AE271" t="s">
        <v>69</v>
      </c>
      <c r="AF271" t="s">
        <v>15221</v>
      </c>
      <c r="AG271" t="s">
        <v>15222</v>
      </c>
      <c r="AH271" t="s">
        <v>69</v>
      </c>
      <c r="AI271" t="s">
        <v>15223</v>
      </c>
      <c r="AJ271" t="s">
        <v>15224</v>
      </c>
      <c r="AK271" t="s">
        <v>15224</v>
      </c>
      <c r="AL271" t="s">
        <v>15225</v>
      </c>
      <c r="AM271" t="s">
        <v>69</v>
      </c>
      <c r="AN271">
        <v>147</v>
      </c>
      <c r="AO271">
        <v>3</v>
      </c>
      <c r="AP271">
        <v>3</v>
      </c>
      <c r="AQ271">
        <v>15</v>
      </c>
      <c r="AR271">
        <v>47</v>
      </c>
      <c r="AS271" t="s">
        <v>8924</v>
      </c>
      <c r="AT271" t="s">
        <v>8925</v>
      </c>
      <c r="AU271" t="s">
        <v>8926</v>
      </c>
      <c r="AV271" t="s">
        <v>69</v>
      </c>
      <c r="AW271" t="s">
        <v>15226</v>
      </c>
      <c r="AX271" t="s">
        <v>69</v>
      </c>
      <c r="AY271" t="s">
        <v>15216</v>
      </c>
      <c r="AZ271" t="s">
        <v>15227</v>
      </c>
      <c r="BA271" t="s">
        <v>586</v>
      </c>
      <c r="BB271">
        <v>2020</v>
      </c>
      <c r="BC271">
        <v>8</v>
      </c>
      <c r="BD271">
        <v>5</v>
      </c>
      <c r="BE271" t="s">
        <v>69</v>
      </c>
      <c r="BF271" t="s">
        <v>69</v>
      </c>
      <c r="BG271" t="s">
        <v>69</v>
      </c>
      <c r="BH271" t="s">
        <v>69</v>
      </c>
      <c r="BI271" t="s">
        <v>69</v>
      </c>
      <c r="BJ271" t="s">
        <v>69</v>
      </c>
      <c r="BK271">
        <v>576</v>
      </c>
      <c r="BL271" t="s">
        <v>15228</v>
      </c>
      <c r="BM271" t="str">
        <f>HYPERLINK("http://dx.doi.org/10.3390/pr8050576","http://dx.doi.org/10.3390/pr8050576")</f>
        <v>http://dx.doi.org/10.3390/pr8050576</v>
      </c>
      <c r="BN271" t="s">
        <v>69</v>
      </c>
      <c r="BO271" t="s">
        <v>69</v>
      </c>
      <c r="BP271">
        <v>31</v>
      </c>
      <c r="BQ271" t="s">
        <v>15229</v>
      </c>
      <c r="BR271" t="s">
        <v>8523</v>
      </c>
      <c r="BS271" t="s">
        <v>8445</v>
      </c>
      <c r="BT271" t="s">
        <v>15230</v>
      </c>
      <c r="BU271" t="s">
        <v>15231</v>
      </c>
      <c r="BV271" t="s">
        <v>69</v>
      </c>
      <c r="BW271" t="s">
        <v>12220</v>
      </c>
      <c r="BX271" t="s">
        <v>69</v>
      </c>
      <c r="BY271" t="s">
        <v>69</v>
      </c>
      <c r="BZ271" t="s">
        <v>8526</v>
      </c>
      <c r="CA271" t="str">
        <f>HYPERLINK("https%3A%2F%2Fwww.webofscience.com%2Fwos%2Fwoscc%2Ffull-record%2FWOS:000541752600029","View Full Record in Web of Science")</f>
        <v>View Full Record in Web of Science</v>
      </c>
    </row>
    <row r="272" spans="2:79" ht="12.5" x14ac:dyDescent="0.25">
      <c r="B272" t="s">
        <v>8495</v>
      </c>
      <c r="D272" s="22" t="s">
        <v>32931</v>
      </c>
      <c r="E272" s="7"/>
      <c r="F272" s="7"/>
      <c r="G272" s="7"/>
      <c r="H272" t="s">
        <v>67</v>
      </c>
      <c r="I272" t="s">
        <v>21444</v>
      </c>
      <c r="J272" t="s">
        <v>69</v>
      </c>
      <c r="K272" t="s">
        <v>69</v>
      </c>
      <c r="L272" t="s">
        <v>69</v>
      </c>
      <c r="M272" t="s">
        <v>21445</v>
      </c>
      <c r="N272" t="s">
        <v>69</v>
      </c>
      <c r="O272" t="s">
        <v>69</v>
      </c>
      <c r="P272" t="s">
        <v>21446</v>
      </c>
      <c r="Q272" t="s">
        <v>1405</v>
      </c>
      <c r="R272" t="s">
        <v>69</v>
      </c>
      <c r="S272" t="s">
        <v>69</v>
      </c>
      <c r="T272" t="s">
        <v>8505</v>
      </c>
      <c r="U272" t="s">
        <v>8506</v>
      </c>
      <c r="V272" t="s">
        <v>69</v>
      </c>
      <c r="W272" t="s">
        <v>69</v>
      </c>
      <c r="X272" t="s">
        <v>69</v>
      </c>
      <c r="Y272" t="s">
        <v>69</v>
      </c>
      <c r="Z272" t="s">
        <v>69</v>
      </c>
      <c r="AA272" t="s">
        <v>21447</v>
      </c>
      <c r="AB272" t="s">
        <v>21448</v>
      </c>
      <c r="AC272" t="s">
        <v>21449</v>
      </c>
      <c r="AD272" t="s">
        <v>21450</v>
      </c>
      <c r="AE272" t="s">
        <v>69</v>
      </c>
      <c r="AF272" t="s">
        <v>21451</v>
      </c>
      <c r="AG272" t="s">
        <v>21452</v>
      </c>
      <c r="AH272" t="s">
        <v>21453</v>
      </c>
      <c r="AI272" t="s">
        <v>21454</v>
      </c>
      <c r="AJ272" t="s">
        <v>21455</v>
      </c>
      <c r="AK272" t="s">
        <v>21455</v>
      </c>
      <c r="AL272" t="s">
        <v>21456</v>
      </c>
      <c r="AM272" t="s">
        <v>69</v>
      </c>
      <c r="AN272">
        <v>97</v>
      </c>
      <c r="AO272">
        <v>45</v>
      </c>
      <c r="AP272">
        <v>45</v>
      </c>
      <c r="AQ272">
        <v>4</v>
      </c>
      <c r="AR272">
        <v>72</v>
      </c>
      <c r="AS272" t="s">
        <v>8636</v>
      </c>
      <c r="AT272" t="s">
        <v>8637</v>
      </c>
      <c r="AU272" t="s">
        <v>8638</v>
      </c>
      <c r="AV272" t="s">
        <v>1407</v>
      </c>
      <c r="AW272" t="s">
        <v>1408</v>
      </c>
      <c r="AX272" t="s">
        <v>69</v>
      </c>
      <c r="AY272" t="s">
        <v>14240</v>
      </c>
      <c r="AZ272" t="s">
        <v>8486</v>
      </c>
      <c r="BA272" t="s">
        <v>201</v>
      </c>
      <c r="BB272">
        <v>2016</v>
      </c>
      <c r="BC272">
        <v>95</v>
      </c>
      <c r="BD272" t="s">
        <v>69</v>
      </c>
      <c r="BE272" t="s">
        <v>69</v>
      </c>
      <c r="BF272" t="s">
        <v>69</v>
      </c>
      <c r="BG272" t="s">
        <v>69</v>
      </c>
      <c r="BH272" t="s">
        <v>69</v>
      </c>
      <c r="BI272">
        <v>336</v>
      </c>
      <c r="BJ272">
        <v>349</v>
      </c>
      <c r="BK272" t="s">
        <v>69</v>
      </c>
      <c r="BL272" t="s">
        <v>21457</v>
      </c>
      <c r="BM272" t="str">
        <f>HYPERLINK("http://dx.doi.org/10.1016/j.enpol.2016.05.006","http://dx.doi.org/10.1016/j.enpol.2016.05.006")</f>
        <v>http://dx.doi.org/10.1016/j.enpol.2016.05.006</v>
      </c>
      <c r="BN272" t="s">
        <v>69</v>
      </c>
      <c r="BO272" t="s">
        <v>69</v>
      </c>
      <c r="BP272">
        <v>14</v>
      </c>
      <c r="BQ272" t="s">
        <v>14242</v>
      </c>
      <c r="BR272" t="s">
        <v>8523</v>
      </c>
      <c r="BS272" t="s">
        <v>14243</v>
      </c>
      <c r="BT272" t="s">
        <v>21458</v>
      </c>
      <c r="BU272" t="s">
        <v>21459</v>
      </c>
      <c r="BV272" t="s">
        <v>69</v>
      </c>
      <c r="BW272" t="s">
        <v>69</v>
      </c>
      <c r="BX272" t="s">
        <v>69</v>
      </c>
      <c r="BY272" t="s">
        <v>69</v>
      </c>
      <c r="BZ272" t="s">
        <v>8526</v>
      </c>
      <c r="CA272" t="str">
        <f>HYPERLINK("https%3A%2F%2Fwww.webofscience.com%2Fwos%2Fwoscc%2Ffull-record%2FWOS:000381233800031","View Full Record in Web of Science")</f>
        <v>View Full Record in Web of Science</v>
      </c>
    </row>
    <row r="273" spans="1:79" ht="12.5" x14ac:dyDescent="0.25">
      <c r="B273" t="s">
        <v>8495</v>
      </c>
      <c r="D273" s="7" t="s">
        <v>32933</v>
      </c>
      <c r="E273" s="7"/>
      <c r="F273" s="7"/>
      <c r="G273" s="7"/>
      <c r="H273" t="s">
        <v>67</v>
      </c>
      <c r="I273" t="s">
        <v>2095</v>
      </c>
      <c r="J273" t="s">
        <v>69</v>
      </c>
      <c r="K273" t="s">
        <v>69</v>
      </c>
      <c r="L273" t="s">
        <v>69</v>
      </c>
      <c r="M273" t="s">
        <v>2096</v>
      </c>
      <c r="N273" t="s">
        <v>69</v>
      </c>
      <c r="O273" t="s">
        <v>69</v>
      </c>
      <c r="P273" t="s">
        <v>2097</v>
      </c>
      <c r="Q273" t="s">
        <v>2098</v>
      </c>
      <c r="R273" t="s">
        <v>69</v>
      </c>
      <c r="S273" t="s">
        <v>69</v>
      </c>
      <c r="T273" t="s">
        <v>8505</v>
      </c>
      <c r="U273" t="s">
        <v>8506</v>
      </c>
      <c r="V273" t="s">
        <v>69</v>
      </c>
      <c r="W273" t="s">
        <v>69</v>
      </c>
      <c r="X273" t="s">
        <v>69</v>
      </c>
      <c r="Y273" t="s">
        <v>69</v>
      </c>
      <c r="Z273" t="s">
        <v>69</v>
      </c>
      <c r="AA273" t="s">
        <v>16408</v>
      </c>
      <c r="AB273" t="s">
        <v>16409</v>
      </c>
      <c r="AC273" t="s">
        <v>2099</v>
      </c>
      <c r="AD273" t="s">
        <v>16410</v>
      </c>
      <c r="AE273" t="s">
        <v>69</v>
      </c>
      <c r="AF273" t="s">
        <v>16411</v>
      </c>
      <c r="AG273" t="s">
        <v>16412</v>
      </c>
      <c r="AH273" t="s">
        <v>69</v>
      </c>
      <c r="AI273" t="s">
        <v>69</v>
      </c>
      <c r="AJ273" t="s">
        <v>16413</v>
      </c>
      <c r="AK273" t="s">
        <v>16414</v>
      </c>
      <c r="AL273" t="s">
        <v>16415</v>
      </c>
      <c r="AM273" t="s">
        <v>69</v>
      </c>
      <c r="AN273">
        <v>58</v>
      </c>
      <c r="AO273">
        <v>2</v>
      </c>
      <c r="AP273">
        <v>2</v>
      </c>
      <c r="AQ273">
        <v>0</v>
      </c>
      <c r="AR273">
        <v>2</v>
      </c>
      <c r="AS273" t="s">
        <v>16416</v>
      </c>
      <c r="AT273" t="s">
        <v>16417</v>
      </c>
      <c r="AU273" t="s">
        <v>16418</v>
      </c>
      <c r="AV273" t="s">
        <v>2100</v>
      </c>
      <c r="AW273" t="s">
        <v>2101</v>
      </c>
      <c r="AX273" t="s">
        <v>69</v>
      </c>
      <c r="AY273" t="s">
        <v>16419</v>
      </c>
      <c r="AZ273" t="s">
        <v>16420</v>
      </c>
      <c r="BA273" t="s">
        <v>75</v>
      </c>
      <c r="BB273">
        <v>2019</v>
      </c>
      <c r="BC273">
        <v>8</v>
      </c>
      <c r="BD273">
        <v>4</v>
      </c>
      <c r="BE273" t="s">
        <v>69</v>
      </c>
      <c r="BF273" t="s">
        <v>69</v>
      </c>
      <c r="BG273" t="s">
        <v>69</v>
      </c>
      <c r="BH273" t="s">
        <v>69</v>
      </c>
      <c r="BI273">
        <v>552</v>
      </c>
      <c r="BJ273">
        <v>578</v>
      </c>
      <c r="BK273" t="s">
        <v>69</v>
      </c>
      <c r="BL273" t="s">
        <v>2102</v>
      </c>
      <c r="BM273" t="str">
        <f>HYPERLINK("http://dx.doi.org/10.1057/s41309-019-00064-x","http://dx.doi.org/10.1057/s41309-019-00064-x")</f>
        <v>http://dx.doi.org/10.1057/s41309-019-00064-x</v>
      </c>
      <c r="BN273" t="s">
        <v>69</v>
      </c>
      <c r="BO273" t="s">
        <v>69</v>
      </c>
      <c r="BP273">
        <v>27</v>
      </c>
      <c r="BQ273" t="s">
        <v>13241</v>
      </c>
      <c r="BR273" t="s">
        <v>8573</v>
      </c>
      <c r="BS273" t="s">
        <v>10084</v>
      </c>
      <c r="BT273" t="s">
        <v>16421</v>
      </c>
      <c r="BU273" t="s">
        <v>2103</v>
      </c>
      <c r="BV273" t="s">
        <v>69</v>
      </c>
      <c r="BW273" t="s">
        <v>10995</v>
      </c>
      <c r="BX273" t="s">
        <v>69</v>
      </c>
      <c r="BY273" t="s">
        <v>69</v>
      </c>
      <c r="BZ273" t="s">
        <v>8526</v>
      </c>
      <c r="CA273" t="str">
        <f>HYPERLINK("https%3A%2F%2Fwww.webofscience.com%2Fwos%2Fwoscc%2Ffull-record%2FWOS:000502160800003","View Full Record in Web of Science")</f>
        <v>View Full Record in Web of Science</v>
      </c>
    </row>
    <row r="274" spans="1:79" ht="12.5" x14ac:dyDescent="0.25">
      <c r="B274" t="s">
        <v>8495</v>
      </c>
      <c r="D274" s="22" t="s">
        <v>32931</v>
      </c>
      <c r="E274" s="7"/>
      <c r="F274" s="7"/>
      <c r="G274" s="7"/>
      <c r="H274" t="s">
        <v>67</v>
      </c>
      <c r="I274" t="s">
        <v>27555</v>
      </c>
      <c r="J274" t="s">
        <v>69</v>
      </c>
      <c r="K274" t="s">
        <v>69</v>
      </c>
      <c r="L274" t="s">
        <v>69</v>
      </c>
      <c r="M274" t="s">
        <v>27556</v>
      </c>
      <c r="N274" t="s">
        <v>69</v>
      </c>
      <c r="O274" t="s">
        <v>69</v>
      </c>
      <c r="P274" t="s">
        <v>27557</v>
      </c>
      <c r="Q274" t="s">
        <v>27558</v>
      </c>
      <c r="R274" t="s">
        <v>69</v>
      </c>
      <c r="S274" t="s">
        <v>69</v>
      </c>
      <c r="T274" t="s">
        <v>8505</v>
      </c>
      <c r="U274" t="s">
        <v>8506</v>
      </c>
      <c r="V274" t="s">
        <v>69</v>
      </c>
      <c r="W274" t="s">
        <v>69</v>
      </c>
      <c r="X274" t="s">
        <v>69</v>
      </c>
      <c r="Y274" t="s">
        <v>69</v>
      </c>
      <c r="Z274" t="s">
        <v>69</v>
      </c>
      <c r="AA274" t="s">
        <v>27559</v>
      </c>
      <c r="AB274" t="s">
        <v>69</v>
      </c>
      <c r="AC274" t="s">
        <v>27560</v>
      </c>
      <c r="AD274" t="s">
        <v>27561</v>
      </c>
      <c r="AE274" t="s">
        <v>69</v>
      </c>
      <c r="AF274" t="s">
        <v>27562</v>
      </c>
      <c r="AG274" t="s">
        <v>27563</v>
      </c>
      <c r="AH274" t="s">
        <v>69</v>
      </c>
      <c r="AI274" t="s">
        <v>27564</v>
      </c>
      <c r="AJ274" t="s">
        <v>69</v>
      </c>
      <c r="AK274" t="s">
        <v>69</v>
      </c>
      <c r="AL274" t="s">
        <v>69</v>
      </c>
      <c r="AM274" t="s">
        <v>69</v>
      </c>
      <c r="AN274">
        <v>45</v>
      </c>
      <c r="AO274">
        <v>0</v>
      </c>
      <c r="AP274">
        <v>0</v>
      </c>
      <c r="AQ274">
        <v>0</v>
      </c>
      <c r="AR274">
        <v>0</v>
      </c>
      <c r="AS274" t="s">
        <v>11360</v>
      </c>
      <c r="AT274" t="s">
        <v>11361</v>
      </c>
      <c r="AU274" t="s">
        <v>11362</v>
      </c>
      <c r="AV274" t="s">
        <v>27565</v>
      </c>
      <c r="AW274" t="s">
        <v>27566</v>
      </c>
      <c r="AX274" t="s">
        <v>69</v>
      </c>
      <c r="AY274" t="s">
        <v>27567</v>
      </c>
      <c r="AZ274" t="s">
        <v>27568</v>
      </c>
      <c r="BA274" t="s">
        <v>75</v>
      </c>
      <c r="BB274">
        <v>2010</v>
      </c>
      <c r="BC274">
        <v>20</v>
      </c>
      <c r="BD274">
        <v>4</v>
      </c>
      <c r="BE274" t="s">
        <v>69</v>
      </c>
      <c r="BF274" t="s">
        <v>69</v>
      </c>
      <c r="BG274" t="s">
        <v>69</v>
      </c>
      <c r="BH274" t="s">
        <v>69</v>
      </c>
      <c r="BI274">
        <v>338</v>
      </c>
      <c r="BJ274">
        <v>355</v>
      </c>
      <c r="BK274" t="s">
        <v>69</v>
      </c>
      <c r="BL274" t="s">
        <v>27569</v>
      </c>
      <c r="BM274" t="str">
        <f>HYPERLINK("http://dx.doi.org/10.2478/v10023-010-0035-7","http://dx.doi.org/10.2478/v10023-010-0035-7")</f>
        <v>http://dx.doi.org/10.2478/v10023-010-0035-7</v>
      </c>
      <c r="BN274" t="s">
        <v>69</v>
      </c>
      <c r="BO274" t="s">
        <v>69</v>
      </c>
      <c r="BP274">
        <v>18</v>
      </c>
      <c r="BQ274" t="s">
        <v>10299</v>
      </c>
      <c r="BR274" t="s">
        <v>8573</v>
      </c>
      <c r="BS274" t="s">
        <v>10279</v>
      </c>
      <c r="BT274" t="s">
        <v>27570</v>
      </c>
      <c r="BU274" t="s">
        <v>27571</v>
      </c>
      <c r="BV274" t="s">
        <v>69</v>
      </c>
      <c r="BW274" t="s">
        <v>69</v>
      </c>
      <c r="BX274" t="s">
        <v>69</v>
      </c>
      <c r="BY274" t="s">
        <v>69</v>
      </c>
      <c r="BZ274" t="s">
        <v>8526</v>
      </c>
      <c r="CA274" t="str">
        <f>HYPERLINK("https%3A%2F%2Fwww.webofscience.com%2Fwos%2Fwoscc%2Ffull-record%2FWOS:000212073400006","View Full Record in Web of Science")</f>
        <v>View Full Record in Web of Science</v>
      </c>
    </row>
    <row r="275" spans="1:79" ht="12.5" x14ac:dyDescent="0.25">
      <c r="B275" t="s">
        <v>8495</v>
      </c>
      <c r="D275" s="7" t="s">
        <v>32933</v>
      </c>
      <c r="E275" s="7"/>
      <c r="F275" s="7"/>
      <c r="G275" s="7"/>
      <c r="H275" t="s">
        <v>67</v>
      </c>
      <c r="I275" t="s">
        <v>4864</v>
      </c>
      <c r="J275" t="s">
        <v>69</v>
      </c>
      <c r="K275" t="s">
        <v>69</v>
      </c>
      <c r="L275" t="s">
        <v>69</v>
      </c>
      <c r="M275" t="s">
        <v>4865</v>
      </c>
      <c r="N275" t="s">
        <v>69</v>
      </c>
      <c r="O275" t="s">
        <v>69</v>
      </c>
      <c r="P275" t="s">
        <v>4866</v>
      </c>
      <c r="Q275" t="s">
        <v>4867</v>
      </c>
      <c r="R275" t="s">
        <v>69</v>
      </c>
      <c r="S275" t="s">
        <v>69</v>
      </c>
      <c r="T275" t="s">
        <v>8505</v>
      </c>
      <c r="U275" t="s">
        <v>8506</v>
      </c>
      <c r="V275" t="s">
        <v>69</v>
      </c>
      <c r="W275" t="s">
        <v>69</v>
      </c>
      <c r="X275" t="s">
        <v>69</v>
      </c>
      <c r="Y275" t="s">
        <v>69</v>
      </c>
      <c r="Z275" t="s">
        <v>69</v>
      </c>
      <c r="AA275" t="s">
        <v>13338</v>
      </c>
      <c r="AB275" t="s">
        <v>69</v>
      </c>
      <c r="AC275" t="s">
        <v>4868</v>
      </c>
      <c r="AD275" t="s">
        <v>13339</v>
      </c>
      <c r="AE275" t="s">
        <v>69</v>
      </c>
      <c r="AF275" t="s">
        <v>13340</v>
      </c>
      <c r="AG275" t="s">
        <v>13341</v>
      </c>
      <c r="AH275" t="s">
        <v>13342</v>
      </c>
      <c r="AI275" t="s">
        <v>13343</v>
      </c>
      <c r="AJ275" t="s">
        <v>69</v>
      </c>
      <c r="AK275" t="s">
        <v>69</v>
      </c>
      <c r="AL275" t="s">
        <v>69</v>
      </c>
      <c r="AM275" t="s">
        <v>69</v>
      </c>
      <c r="AN275">
        <v>92</v>
      </c>
      <c r="AO275">
        <v>3</v>
      </c>
      <c r="AP275">
        <v>3</v>
      </c>
      <c r="AQ275">
        <v>0</v>
      </c>
      <c r="AR275">
        <v>3</v>
      </c>
      <c r="AS275" t="s">
        <v>8586</v>
      </c>
      <c r="AT275" t="s">
        <v>8587</v>
      </c>
      <c r="AU275" t="s">
        <v>8588</v>
      </c>
      <c r="AV275" t="s">
        <v>4869</v>
      </c>
      <c r="AW275" t="s">
        <v>4870</v>
      </c>
      <c r="AX275" t="s">
        <v>69</v>
      </c>
      <c r="AY275" t="s">
        <v>13344</v>
      </c>
      <c r="AZ275" t="s">
        <v>13345</v>
      </c>
      <c r="BA275" t="s">
        <v>13346</v>
      </c>
      <c r="BB275">
        <v>2021</v>
      </c>
      <c r="BC275">
        <v>17</v>
      </c>
      <c r="BD275">
        <v>1</v>
      </c>
      <c r="BE275" t="s">
        <v>69</v>
      </c>
      <c r="BF275" t="s">
        <v>69</v>
      </c>
      <c r="BG275" t="s">
        <v>69</v>
      </c>
      <c r="BH275" t="s">
        <v>69</v>
      </c>
      <c r="BI275">
        <v>85</v>
      </c>
      <c r="BJ275">
        <v>105</v>
      </c>
      <c r="BK275" t="s">
        <v>69</v>
      </c>
      <c r="BL275" t="s">
        <v>4871</v>
      </c>
      <c r="BM275" t="str">
        <f>HYPERLINK("http://dx.doi.org/10.1108/WJEMSD-09-2019-0072","http://dx.doi.org/10.1108/WJEMSD-09-2019-0072")</f>
        <v>http://dx.doi.org/10.1108/WJEMSD-09-2019-0072</v>
      </c>
      <c r="BN275" t="s">
        <v>69</v>
      </c>
      <c r="BO275" t="s">
        <v>300</v>
      </c>
      <c r="BP275">
        <v>21</v>
      </c>
      <c r="BQ275" t="s">
        <v>9410</v>
      </c>
      <c r="BR275" t="s">
        <v>8573</v>
      </c>
      <c r="BS275" t="s">
        <v>8594</v>
      </c>
      <c r="BT275" t="s">
        <v>13347</v>
      </c>
      <c r="BU275" t="s">
        <v>4872</v>
      </c>
      <c r="BV275" t="s">
        <v>69</v>
      </c>
      <c r="BW275" t="s">
        <v>69</v>
      </c>
      <c r="BX275" t="s">
        <v>69</v>
      </c>
      <c r="BY275" t="s">
        <v>69</v>
      </c>
      <c r="BZ275" t="s">
        <v>8526</v>
      </c>
      <c r="CA275" t="str">
        <f>HYPERLINK("https%3A%2F%2Fwww.webofscience.com%2Fwos%2Fwoscc%2Ffull-record%2FWOS:000614020400001","View Full Record in Web of Science")</f>
        <v>View Full Record in Web of Science</v>
      </c>
    </row>
    <row r="276" spans="1:79" ht="12.5" x14ac:dyDescent="0.25">
      <c r="B276" t="s">
        <v>8495</v>
      </c>
      <c r="D276" s="7" t="s">
        <v>32933</v>
      </c>
      <c r="E276" s="7"/>
      <c r="F276" s="7"/>
      <c r="G276" s="7"/>
      <c r="H276" t="s">
        <v>67</v>
      </c>
      <c r="I276" t="s">
        <v>7520</v>
      </c>
      <c r="J276" t="s">
        <v>69</v>
      </c>
      <c r="K276" t="s">
        <v>69</v>
      </c>
      <c r="L276" t="s">
        <v>69</v>
      </c>
      <c r="M276" t="s">
        <v>7521</v>
      </c>
      <c r="N276" t="s">
        <v>69</v>
      </c>
      <c r="O276" t="s">
        <v>69</v>
      </c>
      <c r="P276" t="s">
        <v>7522</v>
      </c>
      <c r="Q276" t="s">
        <v>1128</v>
      </c>
      <c r="R276" t="s">
        <v>69</v>
      </c>
      <c r="S276" t="s">
        <v>69</v>
      </c>
      <c r="T276" t="s">
        <v>8505</v>
      </c>
      <c r="U276" t="s">
        <v>8506</v>
      </c>
      <c r="V276" t="s">
        <v>69</v>
      </c>
      <c r="W276" t="s">
        <v>69</v>
      </c>
      <c r="X276" t="s">
        <v>69</v>
      </c>
      <c r="Y276" t="s">
        <v>69</v>
      </c>
      <c r="Z276" t="s">
        <v>69</v>
      </c>
      <c r="AA276" t="s">
        <v>22773</v>
      </c>
      <c r="AB276" t="s">
        <v>22774</v>
      </c>
      <c r="AC276" t="s">
        <v>7523</v>
      </c>
      <c r="AD276" t="s">
        <v>22775</v>
      </c>
      <c r="AE276" t="s">
        <v>69</v>
      </c>
      <c r="AF276" t="s">
        <v>22776</v>
      </c>
      <c r="AG276" t="s">
        <v>22777</v>
      </c>
      <c r="AH276" t="s">
        <v>7524</v>
      </c>
      <c r="AI276" t="s">
        <v>22778</v>
      </c>
      <c r="AJ276" t="s">
        <v>22779</v>
      </c>
      <c r="AK276" t="s">
        <v>22780</v>
      </c>
      <c r="AL276" t="s">
        <v>22781</v>
      </c>
      <c r="AM276" t="s">
        <v>69</v>
      </c>
      <c r="AN276">
        <v>54</v>
      </c>
      <c r="AO276">
        <v>40</v>
      </c>
      <c r="AP276">
        <v>44</v>
      </c>
      <c r="AQ276">
        <v>3</v>
      </c>
      <c r="AR276">
        <v>45</v>
      </c>
      <c r="AS276" t="s">
        <v>8636</v>
      </c>
      <c r="AT276" t="s">
        <v>8637</v>
      </c>
      <c r="AU276" t="s">
        <v>8638</v>
      </c>
      <c r="AV276" t="s">
        <v>1130</v>
      </c>
      <c r="AW276" t="s">
        <v>1131</v>
      </c>
      <c r="AX276" t="s">
        <v>69</v>
      </c>
      <c r="AY276" t="s">
        <v>1128</v>
      </c>
      <c r="AZ276" t="s">
        <v>8658</v>
      </c>
      <c r="BA276" t="s">
        <v>586</v>
      </c>
      <c r="BB276">
        <v>2015</v>
      </c>
      <c r="BC276">
        <v>45</v>
      </c>
      <c r="BD276" t="s">
        <v>69</v>
      </c>
      <c r="BE276" t="s">
        <v>69</v>
      </c>
      <c r="BF276" t="s">
        <v>69</v>
      </c>
      <c r="BG276" t="s">
        <v>69</v>
      </c>
      <c r="BH276" t="s">
        <v>69</v>
      </c>
      <c r="BI276">
        <v>64</v>
      </c>
      <c r="BJ276">
        <v>75</v>
      </c>
      <c r="BK276" t="s">
        <v>69</v>
      </c>
      <c r="BL276" t="s">
        <v>7525</v>
      </c>
      <c r="BM276" t="str">
        <f>HYPERLINK("http://dx.doi.org/10.1016/j.landusepol.2015.01.001","http://dx.doi.org/10.1016/j.landusepol.2015.01.001")</f>
        <v>http://dx.doi.org/10.1016/j.landusepol.2015.01.001</v>
      </c>
      <c r="BN276" t="s">
        <v>69</v>
      </c>
      <c r="BO276" t="s">
        <v>69</v>
      </c>
      <c r="BP276">
        <v>12</v>
      </c>
      <c r="BQ276" t="s">
        <v>8660</v>
      </c>
      <c r="BR276" t="s">
        <v>8661</v>
      </c>
      <c r="BS276" t="s">
        <v>8662</v>
      </c>
      <c r="BT276" t="s">
        <v>22782</v>
      </c>
      <c r="BU276" t="s">
        <v>7526</v>
      </c>
      <c r="BV276" t="s">
        <v>69</v>
      </c>
      <c r="BW276" t="s">
        <v>9292</v>
      </c>
      <c r="BX276" t="s">
        <v>69</v>
      </c>
      <c r="BY276" t="s">
        <v>69</v>
      </c>
      <c r="BZ276" t="s">
        <v>8526</v>
      </c>
      <c r="CA276" t="str">
        <f>HYPERLINK("https%3A%2F%2Fwww.webofscience.com%2Fwos%2Fwoscc%2Ffull-record%2FWOS:000353743200008","View Full Record in Web of Science")</f>
        <v>View Full Record in Web of Science</v>
      </c>
    </row>
    <row r="277" spans="1:79" ht="12.5" x14ac:dyDescent="0.25">
      <c r="B277" t="s">
        <v>8495</v>
      </c>
      <c r="D277" s="22" t="s">
        <v>32931</v>
      </c>
      <c r="E277" s="7"/>
      <c r="F277" s="7"/>
      <c r="G277" s="7"/>
      <c r="H277" t="s">
        <v>67</v>
      </c>
      <c r="I277" t="s">
        <v>21366</v>
      </c>
      <c r="J277" t="s">
        <v>69</v>
      </c>
      <c r="K277" t="s">
        <v>69</v>
      </c>
      <c r="L277" t="s">
        <v>69</v>
      </c>
      <c r="M277" t="s">
        <v>21367</v>
      </c>
      <c r="N277" t="s">
        <v>69</v>
      </c>
      <c r="O277" t="s">
        <v>69</v>
      </c>
      <c r="P277" t="s">
        <v>21368</v>
      </c>
      <c r="Q277" t="s">
        <v>3503</v>
      </c>
      <c r="R277" t="s">
        <v>69</v>
      </c>
      <c r="S277" t="s">
        <v>69</v>
      </c>
      <c r="T277" t="s">
        <v>8505</v>
      </c>
      <c r="U277" t="s">
        <v>8506</v>
      </c>
      <c r="V277" t="s">
        <v>69</v>
      </c>
      <c r="W277" t="s">
        <v>69</v>
      </c>
      <c r="X277" t="s">
        <v>69</v>
      </c>
      <c r="Y277" t="s">
        <v>69</v>
      </c>
      <c r="Z277" t="s">
        <v>69</v>
      </c>
      <c r="AA277" t="s">
        <v>21369</v>
      </c>
      <c r="AB277" t="s">
        <v>21370</v>
      </c>
      <c r="AC277" t="s">
        <v>21371</v>
      </c>
      <c r="AD277" t="s">
        <v>21372</v>
      </c>
      <c r="AE277" t="s">
        <v>69</v>
      </c>
      <c r="AF277" t="s">
        <v>21373</v>
      </c>
      <c r="AG277" t="s">
        <v>21374</v>
      </c>
      <c r="AH277" t="s">
        <v>69</v>
      </c>
      <c r="AI277" t="s">
        <v>69</v>
      </c>
      <c r="AJ277" t="s">
        <v>21375</v>
      </c>
      <c r="AK277" t="s">
        <v>21376</v>
      </c>
      <c r="AL277" t="s">
        <v>21377</v>
      </c>
      <c r="AM277" t="s">
        <v>69</v>
      </c>
      <c r="AN277">
        <v>24</v>
      </c>
      <c r="AO277">
        <v>2</v>
      </c>
      <c r="AP277">
        <v>2</v>
      </c>
      <c r="AQ277">
        <v>0</v>
      </c>
      <c r="AR277">
        <v>6</v>
      </c>
      <c r="AS277" t="s">
        <v>9178</v>
      </c>
      <c r="AT277" t="s">
        <v>8763</v>
      </c>
      <c r="AU277" t="s">
        <v>9179</v>
      </c>
      <c r="AV277" t="s">
        <v>3507</v>
      </c>
      <c r="AW277" t="s">
        <v>21378</v>
      </c>
      <c r="AX277" t="s">
        <v>69</v>
      </c>
      <c r="AY277" t="s">
        <v>21379</v>
      </c>
      <c r="AZ277" t="s">
        <v>21380</v>
      </c>
      <c r="BA277" t="s">
        <v>255</v>
      </c>
      <c r="BB277">
        <v>2016</v>
      </c>
      <c r="BC277">
        <v>42</v>
      </c>
      <c r="BD277">
        <v>9</v>
      </c>
      <c r="BE277" t="s">
        <v>69</v>
      </c>
      <c r="BF277" t="s">
        <v>69</v>
      </c>
      <c r="BG277" t="s">
        <v>69</v>
      </c>
      <c r="BH277" t="s">
        <v>69</v>
      </c>
      <c r="BI277">
        <v>582</v>
      </c>
      <c r="BJ277">
        <v>585</v>
      </c>
      <c r="BK277" t="s">
        <v>69</v>
      </c>
      <c r="BL277" t="s">
        <v>21381</v>
      </c>
      <c r="BM277" t="str">
        <f>HYPERLINK("http://dx.doi.org/10.1136/medethics-2015-103137","http://dx.doi.org/10.1136/medethics-2015-103137")</f>
        <v>http://dx.doi.org/10.1136/medethics-2015-103137</v>
      </c>
      <c r="BN277" t="s">
        <v>69</v>
      </c>
      <c r="BO277" t="s">
        <v>69</v>
      </c>
      <c r="BP277">
        <v>4</v>
      </c>
      <c r="BQ277" t="s">
        <v>21382</v>
      </c>
      <c r="BR277" t="s">
        <v>8523</v>
      </c>
      <c r="BS277" t="s">
        <v>21383</v>
      </c>
      <c r="BT277" t="s">
        <v>21384</v>
      </c>
      <c r="BU277" t="s">
        <v>21385</v>
      </c>
      <c r="BV277">
        <v>27178534</v>
      </c>
      <c r="BW277" t="s">
        <v>69</v>
      </c>
      <c r="BX277" t="s">
        <v>69</v>
      </c>
      <c r="BY277" t="s">
        <v>69</v>
      </c>
      <c r="BZ277" t="s">
        <v>8526</v>
      </c>
      <c r="CA277" t="str">
        <f>HYPERLINK("https%3A%2F%2Fwww.webofscience.com%2Fwos%2Fwoscc%2Ffull-record%2FWOS:000383472700008","View Full Record in Web of Science")</f>
        <v>View Full Record in Web of Science</v>
      </c>
    </row>
    <row r="278" spans="1:79" ht="12.5" x14ac:dyDescent="0.25">
      <c r="B278" t="s">
        <v>8495</v>
      </c>
      <c r="D278" s="7" t="s">
        <v>32933</v>
      </c>
      <c r="E278" s="7"/>
      <c r="F278" s="7"/>
      <c r="G278" s="7"/>
      <c r="H278" t="s">
        <v>67</v>
      </c>
      <c r="I278" t="s">
        <v>2728</v>
      </c>
      <c r="J278" t="s">
        <v>69</v>
      </c>
      <c r="K278" t="s">
        <v>69</v>
      </c>
      <c r="L278" t="s">
        <v>69</v>
      </c>
      <c r="M278" t="s">
        <v>2729</v>
      </c>
      <c r="N278" t="s">
        <v>69</v>
      </c>
      <c r="O278" t="s">
        <v>69</v>
      </c>
      <c r="P278" t="s">
        <v>2730</v>
      </c>
      <c r="Q278" t="s">
        <v>2731</v>
      </c>
      <c r="R278" t="s">
        <v>69</v>
      </c>
      <c r="S278" t="s">
        <v>69</v>
      </c>
      <c r="T278" t="s">
        <v>10153</v>
      </c>
      <c r="U278" t="s">
        <v>8506</v>
      </c>
      <c r="V278" t="s">
        <v>69</v>
      </c>
      <c r="W278" t="s">
        <v>69</v>
      </c>
      <c r="X278" t="s">
        <v>69</v>
      </c>
      <c r="Y278" t="s">
        <v>69</v>
      </c>
      <c r="Z278" t="s">
        <v>69</v>
      </c>
      <c r="AA278" t="s">
        <v>20746</v>
      </c>
      <c r="AB278" t="s">
        <v>69</v>
      </c>
      <c r="AC278" t="s">
        <v>2732</v>
      </c>
      <c r="AD278" t="s">
        <v>20747</v>
      </c>
      <c r="AE278" t="s">
        <v>69</v>
      </c>
      <c r="AF278" t="s">
        <v>20748</v>
      </c>
      <c r="AG278" t="s">
        <v>20749</v>
      </c>
      <c r="AH278" t="s">
        <v>69</v>
      </c>
      <c r="AI278" t="s">
        <v>69</v>
      </c>
      <c r="AJ278" t="s">
        <v>69</v>
      </c>
      <c r="AK278" t="s">
        <v>69</v>
      </c>
      <c r="AL278" t="s">
        <v>69</v>
      </c>
      <c r="AM278" t="s">
        <v>69</v>
      </c>
      <c r="AN278">
        <v>19</v>
      </c>
      <c r="AO278">
        <v>0</v>
      </c>
      <c r="AP278">
        <v>0</v>
      </c>
      <c r="AQ278">
        <v>0</v>
      </c>
      <c r="AR278">
        <v>0</v>
      </c>
      <c r="AS278" t="s">
        <v>12868</v>
      </c>
      <c r="AT278" t="s">
        <v>12869</v>
      </c>
      <c r="AU278" t="s">
        <v>12870</v>
      </c>
      <c r="AV278" t="s">
        <v>2733</v>
      </c>
      <c r="AW278" t="s">
        <v>69</v>
      </c>
      <c r="AX278" t="s">
        <v>69</v>
      </c>
      <c r="AY278" t="s">
        <v>12871</v>
      </c>
      <c r="AZ278" t="s">
        <v>12872</v>
      </c>
      <c r="BA278" t="s">
        <v>69</v>
      </c>
      <c r="BB278">
        <v>2017</v>
      </c>
      <c r="BC278">
        <v>4</v>
      </c>
      <c r="BD278">
        <v>2</v>
      </c>
      <c r="BE278" t="s">
        <v>69</v>
      </c>
      <c r="BF278" t="s">
        <v>69</v>
      </c>
      <c r="BG278" t="s">
        <v>69</v>
      </c>
      <c r="BH278" t="s">
        <v>69</v>
      </c>
      <c r="BI278">
        <v>73</v>
      </c>
      <c r="BJ278">
        <v>81</v>
      </c>
      <c r="BK278" t="s">
        <v>69</v>
      </c>
      <c r="BL278" t="s">
        <v>69</v>
      </c>
      <c r="BM278" t="s">
        <v>69</v>
      </c>
      <c r="BN278" t="s">
        <v>69</v>
      </c>
      <c r="BO278" t="s">
        <v>69</v>
      </c>
      <c r="BP278">
        <v>9</v>
      </c>
      <c r="BQ278" t="s">
        <v>11206</v>
      </c>
      <c r="BR278" t="s">
        <v>8573</v>
      </c>
      <c r="BS278" t="s">
        <v>11208</v>
      </c>
      <c r="BT278" t="s">
        <v>20750</v>
      </c>
      <c r="BU278" t="s">
        <v>2734</v>
      </c>
      <c r="BV278" t="s">
        <v>69</v>
      </c>
      <c r="BW278" t="s">
        <v>69</v>
      </c>
      <c r="BX278" t="s">
        <v>69</v>
      </c>
      <c r="BY278" t="s">
        <v>69</v>
      </c>
      <c r="BZ278" t="s">
        <v>8526</v>
      </c>
      <c r="CA278" t="str">
        <f>HYPERLINK("https%3A%2F%2Fwww.webofscience.com%2Fwos%2Fwoscc%2Ffull-record%2FWOS:000412494400008","View Full Record in Web of Science")</f>
        <v>View Full Record in Web of Science</v>
      </c>
    </row>
    <row r="279" spans="1:79" ht="12.5" x14ac:dyDescent="0.25">
      <c r="B279" t="s">
        <v>8495</v>
      </c>
      <c r="D279" s="7" t="s">
        <v>32933</v>
      </c>
      <c r="E279" s="7"/>
      <c r="F279" s="7"/>
      <c r="G279" s="7"/>
      <c r="H279" t="s">
        <v>67</v>
      </c>
      <c r="I279" t="s">
        <v>3953</v>
      </c>
      <c r="J279" t="s">
        <v>69</v>
      </c>
      <c r="K279" t="s">
        <v>69</v>
      </c>
      <c r="L279" t="s">
        <v>69</v>
      </c>
      <c r="M279" t="s">
        <v>3953</v>
      </c>
      <c r="N279" t="s">
        <v>69</v>
      </c>
      <c r="O279" t="s">
        <v>69</v>
      </c>
      <c r="P279" t="s">
        <v>3954</v>
      </c>
      <c r="Q279" t="s">
        <v>436</v>
      </c>
      <c r="R279" t="s">
        <v>69</v>
      </c>
      <c r="S279" t="s">
        <v>69</v>
      </c>
      <c r="T279" t="s">
        <v>8505</v>
      </c>
      <c r="U279" t="s">
        <v>8506</v>
      </c>
      <c r="V279" t="s">
        <v>69</v>
      </c>
      <c r="W279" t="s">
        <v>69</v>
      </c>
      <c r="X279" t="s">
        <v>69</v>
      </c>
      <c r="Y279" t="s">
        <v>69</v>
      </c>
      <c r="Z279" t="s">
        <v>69</v>
      </c>
      <c r="AA279" t="s">
        <v>69</v>
      </c>
      <c r="AB279" t="s">
        <v>69</v>
      </c>
      <c r="AC279" t="s">
        <v>3955</v>
      </c>
      <c r="AD279" t="s">
        <v>31120</v>
      </c>
      <c r="AE279" t="s">
        <v>69</v>
      </c>
      <c r="AF279" t="s">
        <v>31121</v>
      </c>
      <c r="AG279" t="s">
        <v>69</v>
      </c>
      <c r="AH279" t="s">
        <v>69</v>
      </c>
      <c r="AI279" t="s">
        <v>69</v>
      </c>
      <c r="AJ279" t="s">
        <v>69</v>
      </c>
      <c r="AK279" t="s">
        <v>69</v>
      </c>
      <c r="AL279" t="s">
        <v>69</v>
      </c>
      <c r="AM279" t="s">
        <v>69</v>
      </c>
      <c r="AN279">
        <v>31</v>
      </c>
      <c r="AO279">
        <v>6</v>
      </c>
      <c r="AP279">
        <v>7</v>
      </c>
      <c r="AQ279">
        <v>0</v>
      </c>
      <c r="AR279">
        <v>5</v>
      </c>
      <c r="AS279" t="s">
        <v>8636</v>
      </c>
      <c r="AT279" t="s">
        <v>8637</v>
      </c>
      <c r="AU279" t="s">
        <v>8638</v>
      </c>
      <c r="AV279" t="s">
        <v>440</v>
      </c>
      <c r="AW279" t="s">
        <v>69</v>
      </c>
      <c r="AX279" t="s">
        <v>69</v>
      </c>
      <c r="AY279" t="s">
        <v>8639</v>
      </c>
      <c r="AZ279" t="s">
        <v>8640</v>
      </c>
      <c r="BA279" t="s">
        <v>69</v>
      </c>
      <c r="BB279">
        <v>2004</v>
      </c>
      <c r="BC279">
        <v>12</v>
      </c>
      <c r="BD279">
        <v>3</v>
      </c>
      <c r="BE279" t="s">
        <v>69</v>
      </c>
      <c r="BF279" t="s">
        <v>69</v>
      </c>
      <c r="BG279" t="s">
        <v>69</v>
      </c>
      <c r="BH279" t="s">
        <v>69</v>
      </c>
      <c r="BI279">
        <v>237</v>
      </c>
      <c r="BJ279">
        <v>248</v>
      </c>
      <c r="BK279" t="s">
        <v>69</v>
      </c>
      <c r="BL279" t="s">
        <v>3956</v>
      </c>
      <c r="BM279" t="str">
        <f>HYPERLINK("http://dx.doi.org/10.1016/S0959-6526(03)00095-7","http://dx.doi.org/10.1016/S0959-6526(03)00095-7")</f>
        <v>http://dx.doi.org/10.1016/S0959-6526(03)00095-7</v>
      </c>
      <c r="BN279" t="s">
        <v>69</v>
      </c>
      <c r="BO279" t="s">
        <v>69</v>
      </c>
      <c r="BP279">
        <v>12</v>
      </c>
      <c r="BQ279" t="s">
        <v>8643</v>
      </c>
      <c r="BR279" t="s">
        <v>8548</v>
      </c>
      <c r="BS279" t="s">
        <v>8644</v>
      </c>
      <c r="BT279" t="s">
        <v>31122</v>
      </c>
      <c r="BU279" t="s">
        <v>3957</v>
      </c>
      <c r="BV279" t="s">
        <v>69</v>
      </c>
      <c r="BW279" t="s">
        <v>69</v>
      </c>
      <c r="BX279" t="s">
        <v>69</v>
      </c>
      <c r="BY279" t="s">
        <v>69</v>
      </c>
      <c r="BZ279" t="s">
        <v>8526</v>
      </c>
      <c r="CA279" t="str">
        <f>HYPERLINK("https%3A%2F%2Fwww.webofscience.com%2Fwos%2Fwoscc%2Ffull-record%2FWOS:000186789700007","View Full Record in Web of Science")</f>
        <v>View Full Record in Web of Science</v>
      </c>
    </row>
    <row r="280" spans="1:79" x14ac:dyDescent="0.3">
      <c r="A280" t="s">
        <v>8408</v>
      </c>
      <c r="B280" t="s">
        <v>8495</v>
      </c>
      <c r="D280" s="10" t="s">
        <v>33194</v>
      </c>
      <c r="F280" s="10" t="s">
        <v>8490</v>
      </c>
      <c r="H280" t="s">
        <v>67</v>
      </c>
      <c r="I280" t="s">
        <v>5589</v>
      </c>
      <c r="J280" t="s">
        <v>69</v>
      </c>
      <c r="K280" t="s">
        <v>69</v>
      </c>
      <c r="L280" t="s">
        <v>69</v>
      </c>
      <c r="M280" s="2" t="s">
        <v>5590</v>
      </c>
      <c r="N280" t="s">
        <v>69</v>
      </c>
      <c r="O280" t="s">
        <v>69</v>
      </c>
      <c r="P280" s="2" t="s">
        <v>5591</v>
      </c>
      <c r="Q280" t="s">
        <v>5592</v>
      </c>
      <c r="R280" t="s">
        <v>69</v>
      </c>
      <c r="S280" t="s">
        <v>69</v>
      </c>
      <c r="T280" t="s">
        <v>8505</v>
      </c>
      <c r="U280" t="s">
        <v>8506</v>
      </c>
      <c r="V280" t="s">
        <v>69</v>
      </c>
      <c r="W280" t="s">
        <v>69</v>
      </c>
      <c r="X280" t="s">
        <v>69</v>
      </c>
      <c r="Y280" t="s">
        <v>69</v>
      </c>
      <c r="Z280" t="s">
        <v>69</v>
      </c>
      <c r="AA280" t="s">
        <v>26136</v>
      </c>
      <c r="AB280" t="s">
        <v>26137</v>
      </c>
      <c r="AC280" t="s">
        <v>5593</v>
      </c>
      <c r="AD280" t="s">
        <v>26138</v>
      </c>
      <c r="AE280" t="s">
        <v>69</v>
      </c>
      <c r="AF280" t="s">
        <v>26139</v>
      </c>
      <c r="AG280" t="s">
        <v>26140</v>
      </c>
      <c r="AH280" t="s">
        <v>69</v>
      </c>
      <c r="AI280" t="s">
        <v>5594</v>
      </c>
      <c r="AJ280" t="s">
        <v>69</v>
      </c>
      <c r="AK280" t="s">
        <v>69</v>
      </c>
      <c r="AL280" t="s">
        <v>69</v>
      </c>
      <c r="AM280" t="s">
        <v>69</v>
      </c>
      <c r="AN280">
        <v>56</v>
      </c>
      <c r="AO280">
        <v>44</v>
      </c>
      <c r="AP280">
        <v>44</v>
      </c>
      <c r="AQ280">
        <v>0</v>
      </c>
      <c r="AR280">
        <v>28</v>
      </c>
      <c r="AS280" t="s">
        <v>9047</v>
      </c>
      <c r="AT280" t="s">
        <v>9048</v>
      </c>
      <c r="AU280" t="s">
        <v>9049</v>
      </c>
      <c r="AV280" t="s">
        <v>5595</v>
      </c>
      <c r="AW280" t="s">
        <v>5596</v>
      </c>
      <c r="AX280" t="s">
        <v>69</v>
      </c>
      <c r="AY280" t="s">
        <v>26141</v>
      </c>
      <c r="AZ280" t="s">
        <v>26142</v>
      </c>
      <c r="BA280" t="s">
        <v>94</v>
      </c>
      <c r="BB280">
        <v>2012</v>
      </c>
      <c r="BC280">
        <v>45</v>
      </c>
      <c r="BD280">
        <v>1</v>
      </c>
      <c r="BE280" t="s">
        <v>69</v>
      </c>
      <c r="BF280" t="s">
        <v>69</v>
      </c>
      <c r="BG280" t="s">
        <v>69</v>
      </c>
      <c r="BH280" t="s">
        <v>69</v>
      </c>
      <c r="BI280">
        <v>47</v>
      </c>
      <c r="BJ280">
        <v>68</v>
      </c>
      <c r="BK280" t="s">
        <v>69</v>
      </c>
      <c r="BL280" t="s">
        <v>5597</v>
      </c>
      <c r="BM280" t="str">
        <f>HYPERLINK("http://dx.doi.org/10.1007/s11077-011-9144-4","http://dx.doi.org/10.1007/s11077-011-9144-4")</f>
        <v>http://dx.doi.org/10.1007/s11077-011-9144-4</v>
      </c>
      <c r="BN280" t="s">
        <v>69</v>
      </c>
      <c r="BO280" t="s">
        <v>69</v>
      </c>
      <c r="BP280">
        <v>22</v>
      </c>
      <c r="BQ280" t="s">
        <v>26143</v>
      </c>
      <c r="BR280" t="s">
        <v>8661</v>
      </c>
      <c r="BS280" t="s">
        <v>26144</v>
      </c>
      <c r="BT280" t="s">
        <v>26145</v>
      </c>
      <c r="BU280" t="s">
        <v>5598</v>
      </c>
      <c r="BV280" t="s">
        <v>69</v>
      </c>
      <c r="BW280" t="s">
        <v>69</v>
      </c>
      <c r="BX280" t="s">
        <v>69</v>
      </c>
      <c r="BY280" t="s">
        <v>69</v>
      </c>
      <c r="BZ280" t="s">
        <v>8526</v>
      </c>
      <c r="CA280" t="str">
        <f>HYPERLINK("https%3A%2F%2Fwww.webofscience.com%2Fwos%2Fwoscc%2Ffull-record%2FWOS:000300664600003","View Full Record in Web of Science")</f>
        <v>View Full Record in Web of Science</v>
      </c>
    </row>
    <row r="281" spans="1:79" ht="12.5" x14ac:dyDescent="0.25">
      <c r="B281" t="s">
        <v>8495</v>
      </c>
      <c r="D281" s="22" t="s">
        <v>32931</v>
      </c>
      <c r="E281" s="7"/>
      <c r="F281" s="7"/>
      <c r="G281" s="7"/>
      <c r="H281" t="s">
        <v>67</v>
      </c>
      <c r="I281" t="s">
        <v>23634</v>
      </c>
      <c r="J281" t="s">
        <v>69</v>
      </c>
      <c r="K281" t="s">
        <v>69</v>
      </c>
      <c r="L281" t="s">
        <v>69</v>
      </c>
      <c r="M281" t="s">
        <v>23635</v>
      </c>
      <c r="N281" t="s">
        <v>69</v>
      </c>
      <c r="O281" t="s">
        <v>69</v>
      </c>
      <c r="P281" t="s">
        <v>23636</v>
      </c>
      <c r="Q281" t="s">
        <v>23637</v>
      </c>
      <c r="R281" t="s">
        <v>69</v>
      </c>
      <c r="S281" t="s">
        <v>69</v>
      </c>
      <c r="T281" t="s">
        <v>8505</v>
      </c>
      <c r="U281" t="s">
        <v>8506</v>
      </c>
      <c r="V281" t="s">
        <v>69</v>
      </c>
      <c r="W281" t="s">
        <v>69</v>
      </c>
      <c r="X281" t="s">
        <v>69</v>
      </c>
      <c r="Y281" t="s">
        <v>69</v>
      </c>
      <c r="Z281" t="s">
        <v>69</v>
      </c>
      <c r="AA281" t="s">
        <v>23638</v>
      </c>
      <c r="AB281" t="s">
        <v>23639</v>
      </c>
      <c r="AC281" t="s">
        <v>23640</v>
      </c>
      <c r="AD281" t="s">
        <v>23641</v>
      </c>
      <c r="AE281" t="s">
        <v>69</v>
      </c>
      <c r="AF281" t="s">
        <v>23642</v>
      </c>
      <c r="AG281" t="s">
        <v>23643</v>
      </c>
      <c r="AH281" t="s">
        <v>69</v>
      </c>
      <c r="AI281" t="s">
        <v>23644</v>
      </c>
      <c r="AJ281" t="s">
        <v>69</v>
      </c>
      <c r="AK281" t="s">
        <v>69</v>
      </c>
      <c r="AL281" t="s">
        <v>69</v>
      </c>
      <c r="AM281" t="s">
        <v>69</v>
      </c>
      <c r="AN281">
        <v>26</v>
      </c>
      <c r="AO281">
        <v>40</v>
      </c>
      <c r="AP281">
        <v>40</v>
      </c>
      <c r="AQ281">
        <v>3</v>
      </c>
      <c r="AR281">
        <v>29</v>
      </c>
      <c r="AS281" t="s">
        <v>8516</v>
      </c>
      <c r="AT281" t="s">
        <v>8517</v>
      </c>
      <c r="AU281" t="s">
        <v>8518</v>
      </c>
      <c r="AV281" t="s">
        <v>23645</v>
      </c>
      <c r="AW281" t="s">
        <v>23646</v>
      </c>
      <c r="AX281" t="s">
        <v>69</v>
      </c>
      <c r="AY281" t="s">
        <v>23637</v>
      </c>
      <c r="AZ281" t="s">
        <v>23647</v>
      </c>
      <c r="BA281" t="s">
        <v>5604</v>
      </c>
      <c r="BB281">
        <v>2014</v>
      </c>
      <c r="BC281">
        <v>347</v>
      </c>
      <c r="BD281" t="s">
        <v>69</v>
      </c>
      <c r="BE281" t="s">
        <v>69</v>
      </c>
      <c r="BF281" t="s">
        <v>69</v>
      </c>
      <c r="BG281" t="s">
        <v>69</v>
      </c>
      <c r="BH281" t="s">
        <v>69</v>
      </c>
      <c r="BI281">
        <v>103</v>
      </c>
      <c r="BJ281">
        <v>111</v>
      </c>
      <c r="BK281" t="s">
        <v>69</v>
      </c>
      <c r="BL281" t="s">
        <v>23648</v>
      </c>
      <c r="BM281" t="str">
        <f>HYPERLINK("http://dx.doi.org/10.1016/j.desal.2014.05.033","http://dx.doi.org/10.1016/j.desal.2014.05.033")</f>
        <v>http://dx.doi.org/10.1016/j.desal.2014.05.033</v>
      </c>
      <c r="BN281" t="s">
        <v>69</v>
      </c>
      <c r="BO281" t="s">
        <v>69</v>
      </c>
      <c r="BP281">
        <v>9</v>
      </c>
      <c r="BQ281" t="s">
        <v>10870</v>
      </c>
      <c r="BR281" t="s">
        <v>8548</v>
      </c>
      <c r="BS281" t="s">
        <v>9230</v>
      </c>
      <c r="BT281" t="s">
        <v>23649</v>
      </c>
      <c r="BU281" t="s">
        <v>23650</v>
      </c>
      <c r="BV281" t="s">
        <v>69</v>
      </c>
      <c r="BW281" t="s">
        <v>69</v>
      </c>
      <c r="BX281" t="s">
        <v>69</v>
      </c>
      <c r="BY281" t="s">
        <v>69</v>
      </c>
      <c r="BZ281" t="s">
        <v>8526</v>
      </c>
      <c r="CA281" t="str">
        <f>HYPERLINK("https%3A%2F%2Fwww.webofscience.com%2Fwos%2Fwoscc%2Ffull-record%2FWOS:000339532800012","View Full Record in Web of Science")</f>
        <v>View Full Record in Web of Science</v>
      </c>
    </row>
    <row r="282" spans="1:79" ht="12.5" x14ac:dyDescent="0.25">
      <c r="B282" t="s">
        <v>8495</v>
      </c>
      <c r="D282" s="7" t="s">
        <v>32933</v>
      </c>
      <c r="E282" s="7"/>
      <c r="F282" s="7"/>
      <c r="G282" s="7"/>
      <c r="H282" t="s">
        <v>67</v>
      </c>
      <c r="I282" t="s">
        <v>5458</v>
      </c>
      <c r="J282" t="s">
        <v>69</v>
      </c>
      <c r="K282" t="s">
        <v>69</v>
      </c>
      <c r="L282" t="s">
        <v>69</v>
      </c>
      <c r="M282" t="s">
        <v>5459</v>
      </c>
      <c r="N282" t="s">
        <v>69</v>
      </c>
      <c r="O282" t="s">
        <v>69</v>
      </c>
      <c r="P282" t="s">
        <v>5460</v>
      </c>
      <c r="Q282" t="s">
        <v>5461</v>
      </c>
      <c r="R282" t="s">
        <v>69</v>
      </c>
      <c r="S282" t="s">
        <v>69</v>
      </c>
      <c r="T282" t="s">
        <v>8505</v>
      </c>
      <c r="U282" t="s">
        <v>8506</v>
      </c>
      <c r="V282" t="s">
        <v>69</v>
      </c>
      <c r="W282" t="s">
        <v>69</v>
      </c>
      <c r="X282" t="s">
        <v>69</v>
      </c>
      <c r="Y282" t="s">
        <v>69</v>
      </c>
      <c r="Z282" t="s">
        <v>69</v>
      </c>
      <c r="AA282" t="s">
        <v>19539</v>
      </c>
      <c r="AB282" t="s">
        <v>19540</v>
      </c>
      <c r="AC282" t="s">
        <v>5462</v>
      </c>
      <c r="AD282" t="s">
        <v>19541</v>
      </c>
      <c r="AE282" t="s">
        <v>69</v>
      </c>
      <c r="AF282" t="s">
        <v>19542</v>
      </c>
      <c r="AG282" t="s">
        <v>19543</v>
      </c>
      <c r="AH282" t="s">
        <v>69</v>
      </c>
      <c r="AI282" t="s">
        <v>69</v>
      </c>
      <c r="AJ282" t="s">
        <v>19544</v>
      </c>
      <c r="AK282" t="s">
        <v>19545</v>
      </c>
      <c r="AL282" t="s">
        <v>19546</v>
      </c>
      <c r="AM282" t="s">
        <v>69</v>
      </c>
      <c r="AN282">
        <v>62</v>
      </c>
      <c r="AO282">
        <v>4</v>
      </c>
      <c r="AP282">
        <v>4</v>
      </c>
      <c r="AQ282">
        <v>0</v>
      </c>
      <c r="AR282">
        <v>9</v>
      </c>
      <c r="AS282" t="s">
        <v>8865</v>
      </c>
      <c r="AT282" t="s">
        <v>8612</v>
      </c>
      <c r="AU282" t="s">
        <v>8866</v>
      </c>
      <c r="AV282" t="s">
        <v>5463</v>
      </c>
      <c r="AW282" t="s">
        <v>5464</v>
      </c>
      <c r="AX282" t="s">
        <v>69</v>
      </c>
      <c r="AY282" t="s">
        <v>19547</v>
      </c>
      <c r="AZ282" t="s">
        <v>19548</v>
      </c>
      <c r="BA282" t="s">
        <v>69</v>
      </c>
      <c r="BB282">
        <v>2018</v>
      </c>
      <c r="BC282">
        <v>47</v>
      </c>
      <c r="BD282">
        <v>1</v>
      </c>
      <c r="BE282" t="s">
        <v>69</v>
      </c>
      <c r="BF282" t="s">
        <v>69</v>
      </c>
      <c r="BG282" t="s">
        <v>114</v>
      </c>
      <c r="BH282" t="s">
        <v>69</v>
      </c>
      <c r="BI282">
        <v>162</v>
      </c>
      <c r="BJ282">
        <v>186</v>
      </c>
      <c r="BK282" t="s">
        <v>69</v>
      </c>
      <c r="BL282" t="s">
        <v>5465</v>
      </c>
      <c r="BM282" t="str">
        <f>HYPERLINK("http://dx.doi.org/10.1080/03085147.2018.1445569","http://dx.doi.org/10.1080/03085147.2018.1445569")</f>
        <v>http://dx.doi.org/10.1080/03085147.2018.1445569</v>
      </c>
      <c r="BN282" t="s">
        <v>69</v>
      </c>
      <c r="BO282" t="s">
        <v>69</v>
      </c>
      <c r="BP282">
        <v>25</v>
      </c>
      <c r="BQ282" t="s">
        <v>19549</v>
      </c>
      <c r="BR282" t="s">
        <v>8661</v>
      </c>
      <c r="BS282" t="s">
        <v>19550</v>
      </c>
      <c r="BT282" t="s">
        <v>19551</v>
      </c>
      <c r="BU282" t="s">
        <v>5466</v>
      </c>
      <c r="BV282" t="s">
        <v>69</v>
      </c>
      <c r="BW282" t="s">
        <v>9292</v>
      </c>
      <c r="BX282" t="s">
        <v>69</v>
      </c>
      <c r="BY282" t="s">
        <v>69</v>
      </c>
      <c r="BZ282" t="s">
        <v>8526</v>
      </c>
      <c r="CA282" t="str">
        <f>HYPERLINK("https%3A%2F%2Fwww.webofscience.com%2Fwos%2Fwoscc%2Ffull-record%2FWOS:000431540700007","View Full Record in Web of Science")</f>
        <v>View Full Record in Web of Science</v>
      </c>
    </row>
    <row r="283" spans="1:79" ht="12.5" x14ac:dyDescent="0.25">
      <c r="B283" t="s">
        <v>8495</v>
      </c>
      <c r="D283" s="22" t="s">
        <v>32931</v>
      </c>
      <c r="E283" s="7"/>
      <c r="F283" s="7"/>
      <c r="G283" s="7"/>
      <c r="H283" t="s">
        <v>67</v>
      </c>
      <c r="I283" t="s">
        <v>23692</v>
      </c>
      <c r="J283" t="s">
        <v>69</v>
      </c>
      <c r="K283" t="s">
        <v>69</v>
      </c>
      <c r="L283" t="s">
        <v>69</v>
      </c>
      <c r="M283" t="s">
        <v>23693</v>
      </c>
      <c r="N283" t="s">
        <v>69</v>
      </c>
      <c r="O283" t="s">
        <v>69</v>
      </c>
      <c r="P283" t="s">
        <v>23694</v>
      </c>
      <c r="Q283" t="s">
        <v>23695</v>
      </c>
      <c r="R283" t="s">
        <v>69</v>
      </c>
      <c r="S283" t="s">
        <v>69</v>
      </c>
      <c r="T283" t="s">
        <v>8505</v>
      </c>
      <c r="U283" t="s">
        <v>8506</v>
      </c>
      <c r="V283" t="s">
        <v>69</v>
      </c>
      <c r="W283" t="s">
        <v>69</v>
      </c>
      <c r="X283" t="s">
        <v>69</v>
      </c>
      <c r="Y283" t="s">
        <v>69</v>
      </c>
      <c r="Z283" t="s">
        <v>69</v>
      </c>
      <c r="AA283" t="s">
        <v>23696</v>
      </c>
      <c r="AB283" t="s">
        <v>23697</v>
      </c>
      <c r="AC283" t="s">
        <v>23698</v>
      </c>
      <c r="AD283" t="s">
        <v>23699</v>
      </c>
      <c r="AE283" t="s">
        <v>69</v>
      </c>
      <c r="AF283" t="s">
        <v>23700</v>
      </c>
      <c r="AG283" t="s">
        <v>23701</v>
      </c>
      <c r="AH283" t="s">
        <v>23702</v>
      </c>
      <c r="AI283" t="s">
        <v>23703</v>
      </c>
      <c r="AJ283" t="s">
        <v>23704</v>
      </c>
      <c r="AK283" t="s">
        <v>23705</v>
      </c>
      <c r="AL283" t="s">
        <v>69</v>
      </c>
      <c r="AM283" t="s">
        <v>69</v>
      </c>
      <c r="AN283">
        <v>26</v>
      </c>
      <c r="AO283">
        <v>65</v>
      </c>
      <c r="AP283">
        <v>66</v>
      </c>
      <c r="AQ283">
        <v>0</v>
      </c>
      <c r="AR283">
        <v>2</v>
      </c>
      <c r="AS283" t="s">
        <v>23706</v>
      </c>
      <c r="AT283" t="s">
        <v>19533</v>
      </c>
      <c r="AU283" t="s">
        <v>23707</v>
      </c>
      <c r="AV283" t="s">
        <v>23708</v>
      </c>
      <c r="AW283" t="s">
        <v>23709</v>
      </c>
      <c r="AX283" t="s">
        <v>69</v>
      </c>
      <c r="AY283" t="s">
        <v>23710</v>
      </c>
      <c r="AZ283" t="s">
        <v>23711</v>
      </c>
      <c r="BA283" t="s">
        <v>201</v>
      </c>
      <c r="BB283">
        <v>2014</v>
      </c>
      <c r="BC283">
        <v>62</v>
      </c>
      <c r="BD283">
        <v>5</v>
      </c>
      <c r="BE283" t="s">
        <v>69</v>
      </c>
      <c r="BF283" t="s">
        <v>69</v>
      </c>
      <c r="BG283" t="s">
        <v>69</v>
      </c>
      <c r="BH283" t="s">
        <v>69</v>
      </c>
      <c r="BI283">
        <v>393</v>
      </c>
      <c r="BJ283">
        <v>401</v>
      </c>
      <c r="BK283" t="s">
        <v>69</v>
      </c>
      <c r="BL283" t="s">
        <v>23712</v>
      </c>
      <c r="BM283" t="str">
        <f>HYPERLINK("http://dx.doi.org/10.1055/s-0034-1383723","http://dx.doi.org/10.1055/s-0034-1383723")</f>
        <v>http://dx.doi.org/10.1055/s-0034-1383723</v>
      </c>
      <c r="BN283" t="s">
        <v>69</v>
      </c>
      <c r="BO283" t="s">
        <v>69</v>
      </c>
      <c r="BP283">
        <v>9</v>
      </c>
      <c r="BQ283" t="s">
        <v>23713</v>
      </c>
      <c r="BR283" t="s">
        <v>8548</v>
      </c>
      <c r="BS283" t="s">
        <v>23714</v>
      </c>
      <c r="BT283" t="s">
        <v>23715</v>
      </c>
      <c r="BU283" t="s">
        <v>23716</v>
      </c>
      <c r="BV283">
        <v>24955755</v>
      </c>
      <c r="BW283" t="s">
        <v>9374</v>
      </c>
      <c r="BX283" t="s">
        <v>69</v>
      </c>
      <c r="BY283" t="s">
        <v>69</v>
      </c>
      <c r="BZ283" t="s">
        <v>8526</v>
      </c>
      <c r="CA283" t="str">
        <f>HYPERLINK("https%3A%2F%2Fwww.webofscience.com%2Fwos%2Fwoscc%2Ffull-record%2FWOS:000340748500004","View Full Record in Web of Science")</f>
        <v>View Full Record in Web of Science</v>
      </c>
    </row>
    <row r="284" spans="1:79" ht="12.5" x14ac:dyDescent="0.25">
      <c r="B284" t="s">
        <v>8495</v>
      </c>
      <c r="D284" s="7" t="s">
        <v>32933</v>
      </c>
      <c r="E284" s="7"/>
      <c r="F284" s="7"/>
      <c r="G284" s="7"/>
      <c r="H284" t="s">
        <v>67</v>
      </c>
      <c r="I284" t="s">
        <v>3940</v>
      </c>
      <c r="J284" t="s">
        <v>69</v>
      </c>
      <c r="K284" t="s">
        <v>69</v>
      </c>
      <c r="L284" t="s">
        <v>69</v>
      </c>
      <c r="M284" t="s">
        <v>3940</v>
      </c>
      <c r="N284" t="s">
        <v>69</v>
      </c>
      <c r="O284" t="s">
        <v>69</v>
      </c>
      <c r="P284" t="s">
        <v>3941</v>
      </c>
      <c r="Q284" t="s">
        <v>3807</v>
      </c>
      <c r="R284" t="s">
        <v>69</v>
      </c>
      <c r="S284" t="s">
        <v>69</v>
      </c>
      <c r="T284" t="s">
        <v>8505</v>
      </c>
      <c r="U284" t="s">
        <v>8506</v>
      </c>
      <c r="V284" t="s">
        <v>69</v>
      </c>
      <c r="W284" t="s">
        <v>69</v>
      </c>
      <c r="X284" t="s">
        <v>69</v>
      </c>
      <c r="Y284" t="s">
        <v>69</v>
      </c>
      <c r="Z284" t="s">
        <v>69</v>
      </c>
      <c r="AA284" t="s">
        <v>69</v>
      </c>
      <c r="AB284" t="s">
        <v>31039</v>
      </c>
      <c r="AC284" t="s">
        <v>3942</v>
      </c>
      <c r="AD284" t="s">
        <v>31040</v>
      </c>
      <c r="AE284" t="s">
        <v>69</v>
      </c>
      <c r="AF284" t="s">
        <v>31041</v>
      </c>
      <c r="AG284" t="s">
        <v>31042</v>
      </c>
      <c r="AH284" t="s">
        <v>31043</v>
      </c>
      <c r="AI284" t="s">
        <v>69</v>
      </c>
      <c r="AJ284" t="s">
        <v>69</v>
      </c>
      <c r="AK284" t="s">
        <v>69</v>
      </c>
      <c r="AL284" t="s">
        <v>69</v>
      </c>
      <c r="AM284" t="s">
        <v>69</v>
      </c>
      <c r="AN284">
        <v>80</v>
      </c>
      <c r="AO284">
        <v>27</v>
      </c>
      <c r="AP284">
        <v>27</v>
      </c>
      <c r="AQ284">
        <v>0</v>
      </c>
      <c r="AR284">
        <v>1</v>
      </c>
      <c r="AS284" t="s">
        <v>9178</v>
      </c>
      <c r="AT284" t="s">
        <v>8763</v>
      </c>
      <c r="AU284" t="s">
        <v>9179</v>
      </c>
      <c r="AV284" t="s">
        <v>3809</v>
      </c>
      <c r="AW284" t="s">
        <v>3810</v>
      </c>
      <c r="AX284" t="s">
        <v>69</v>
      </c>
      <c r="AY284" t="s">
        <v>25897</v>
      </c>
      <c r="AZ284" t="s">
        <v>25898</v>
      </c>
      <c r="BA284" t="s">
        <v>75</v>
      </c>
      <c r="BB284">
        <v>2004</v>
      </c>
      <c r="BC284">
        <v>13</v>
      </c>
      <c r="BD284" t="s">
        <v>69</v>
      </c>
      <c r="BE284" t="s">
        <v>69</v>
      </c>
      <c r="BF284">
        <v>2</v>
      </c>
      <c r="BG284" t="s">
        <v>69</v>
      </c>
      <c r="BH284" t="s">
        <v>69</v>
      </c>
      <c r="BI284">
        <v>4</v>
      </c>
      <c r="BJ284">
        <v>12</v>
      </c>
      <c r="BK284" t="s">
        <v>69</v>
      </c>
      <c r="BL284" t="s">
        <v>3943</v>
      </c>
      <c r="BM284" t="str">
        <f>HYPERLINK("http://dx.doi.org/10.1136/tc.2003.005199","http://dx.doi.org/10.1136/tc.2003.005199")</f>
        <v>http://dx.doi.org/10.1136/tc.2003.005199</v>
      </c>
      <c r="BN284" t="s">
        <v>69</v>
      </c>
      <c r="BO284" t="s">
        <v>69</v>
      </c>
      <c r="BP284">
        <v>9</v>
      </c>
      <c r="BQ284" t="s">
        <v>25899</v>
      </c>
      <c r="BR284" t="s">
        <v>8548</v>
      </c>
      <c r="BS284" t="s">
        <v>25899</v>
      </c>
      <c r="BT284" t="s">
        <v>31044</v>
      </c>
      <c r="BU284" t="s">
        <v>3944</v>
      </c>
      <c r="BV284" t="s">
        <v>69</v>
      </c>
      <c r="BW284" t="s">
        <v>11793</v>
      </c>
      <c r="BX284" t="s">
        <v>69</v>
      </c>
      <c r="BY284" t="s">
        <v>69</v>
      </c>
      <c r="BZ284" t="s">
        <v>8526</v>
      </c>
      <c r="CA284" t="str">
        <f>HYPERLINK("https%3A%2F%2Fwww.webofscience.com%2Fwos%2Fwoscc%2Ffull-record%2FWOS:000225734100002","View Full Record in Web of Science")</f>
        <v>View Full Record in Web of Science</v>
      </c>
    </row>
    <row r="285" spans="1:79" ht="12.5" x14ac:dyDescent="0.25">
      <c r="B285" t="s">
        <v>8495</v>
      </c>
      <c r="D285" s="7" t="s">
        <v>32933</v>
      </c>
      <c r="E285" s="7"/>
      <c r="F285" s="7"/>
      <c r="G285" s="7"/>
      <c r="H285" t="s">
        <v>67</v>
      </c>
      <c r="I285" t="s">
        <v>7084</v>
      </c>
      <c r="J285" t="s">
        <v>69</v>
      </c>
      <c r="K285" t="s">
        <v>69</v>
      </c>
      <c r="L285" t="s">
        <v>69</v>
      </c>
      <c r="M285" t="s">
        <v>7085</v>
      </c>
      <c r="N285" t="s">
        <v>69</v>
      </c>
      <c r="O285" t="s">
        <v>69</v>
      </c>
      <c r="P285" t="s">
        <v>7086</v>
      </c>
      <c r="Q285" t="s">
        <v>7087</v>
      </c>
      <c r="R285" t="s">
        <v>69</v>
      </c>
      <c r="S285" t="s">
        <v>69</v>
      </c>
      <c r="T285" t="s">
        <v>8505</v>
      </c>
      <c r="U285" t="s">
        <v>8442</v>
      </c>
      <c r="V285" t="s">
        <v>69</v>
      </c>
      <c r="W285" t="s">
        <v>69</v>
      </c>
      <c r="X285" t="s">
        <v>69</v>
      </c>
      <c r="Y285" t="s">
        <v>69</v>
      </c>
      <c r="Z285" t="s">
        <v>69</v>
      </c>
      <c r="AA285" t="s">
        <v>24736</v>
      </c>
      <c r="AB285" t="s">
        <v>24737</v>
      </c>
      <c r="AC285" t="s">
        <v>7088</v>
      </c>
      <c r="AD285" t="s">
        <v>24738</v>
      </c>
      <c r="AE285" t="s">
        <v>69</v>
      </c>
      <c r="AF285" t="s">
        <v>24739</v>
      </c>
      <c r="AG285" t="s">
        <v>24740</v>
      </c>
      <c r="AH285" t="s">
        <v>24741</v>
      </c>
      <c r="AI285" t="s">
        <v>24742</v>
      </c>
      <c r="AJ285" t="s">
        <v>69</v>
      </c>
      <c r="AK285" t="s">
        <v>69</v>
      </c>
      <c r="AL285" t="s">
        <v>69</v>
      </c>
      <c r="AM285" t="s">
        <v>69</v>
      </c>
      <c r="AN285">
        <v>104</v>
      </c>
      <c r="AO285">
        <v>9</v>
      </c>
      <c r="AP285">
        <v>9</v>
      </c>
      <c r="AQ285">
        <v>1</v>
      </c>
      <c r="AR285">
        <v>25</v>
      </c>
      <c r="AS285" t="s">
        <v>8846</v>
      </c>
      <c r="AT285" t="s">
        <v>8847</v>
      </c>
      <c r="AU285" t="s">
        <v>8848</v>
      </c>
      <c r="AV285" t="s">
        <v>7089</v>
      </c>
      <c r="AW285" t="s">
        <v>7090</v>
      </c>
      <c r="AX285" t="s">
        <v>69</v>
      </c>
      <c r="AY285" t="s">
        <v>24743</v>
      </c>
      <c r="AZ285" t="s">
        <v>24744</v>
      </c>
      <c r="BA285" t="s">
        <v>255</v>
      </c>
      <c r="BB285">
        <v>2013</v>
      </c>
      <c r="BC285">
        <v>5</v>
      </c>
      <c r="BD285">
        <v>3</v>
      </c>
      <c r="BE285" t="s">
        <v>69</v>
      </c>
      <c r="BF285" t="s">
        <v>69</v>
      </c>
      <c r="BG285" t="s">
        <v>69</v>
      </c>
      <c r="BH285" t="s">
        <v>69</v>
      </c>
      <c r="BI285">
        <v>119</v>
      </c>
      <c r="BJ285">
        <v>140</v>
      </c>
      <c r="BK285" t="s">
        <v>69</v>
      </c>
      <c r="BL285" t="s">
        <v>7091</v>
      </c>
      <c r="BM285" t="str">
        <f>HYPERLINK("http://dx.doi.org/10.1111/appy.12031","http://dx.doi.org/10.1111/appy.12031")</f>
        <v>http://dx.doi.org/10.1111/appy.12031</v>
      </c>
      <c r="BN285" t="s">
        <v>69</v>
      </c>
      <c r="BO285" t="s">
        <v>69</v>
      </c>
      <c r="BP285">
        <v>22</v>
      </c>
      <c r="BQ285" t="s">
        <v>9332</v>
      </c>
      <c r="BR285" t="s">
        <v>8523</v>
      </c>
      <c r="BS285" t="s">
        <v>9332</v>
      </c>
      <c r="BT285" t="s">
        <v>24745</v>
      </c>
      <c r="BU285" t="s">
        <v>7092</v>
      </c>
      <c r="BV285">
        <v>23857781</v>
      </c>
      <c r="BW285" t="s">
        <v>69</v>
      </c>
      <c r="BX285" t="s">
        <v>69</v>
      </c>
      <c r="BY285" t="s">
        <v>69</v>
      </c>
      <c r="BZ285" t="s">
        <v>8526</v>
      </c>
      <c r="CA285" t="str">
        <f>HYPERLINK("https%3A%2F%2Fwww.webofscience.com%2Fwos%2Fwoscc%2Ffull-record%2FWOS:000323254200002","View Full Record in Web of Science")</f>
        <v>View Full Record in Web of Science</v>
      </c>
    </row>
    <row r="286" spans="1:79" ht="12.5" x14ac:dyDescent="0.25">
      <c r="B286" t="s">
        <v>8495</v>
      </c>
      <c r="D286" s="22" t="s">
        <v>32931</v>
      </c>
      <c r="E286" s="7"/>
      <c r="F286" s="7"/>
      <c r="G286" s="7"/>
      <c r="H286" t="s">
        <v>67</v>
      </c>
      <c r="I286" t="s">
        <v>10403</v>
      </c>
      <c r="J286" t="s">
        <v>69</v>
      </c>
      <c r="K286" t="s">
        <v>69</v>
      </c>
      <c r="L286" t="s">
        <v>69</v>
      </c>
      <c r="M286" t="s">
        <v>10404</v>
      </c>
      <c r="N286" t="s">
        <v>69</v>
      </c>
      <c r="O286" t="s">
        <v>69</v>
      </c>
      <c r="P286" t="s">
        <v>10405</v>
      </c>
      <c r="Q286" t="s">
        <v>10406</v>
      </c>
      <c r="R286" t="s">
        <v>69</v>
      </c>
      <c r="S286" t="s">
        <v>69</v>
      </c>
      <c r="T286" t="s">
        <v>8505</v>
      </c>
      <c r="U286" t="s">
        <v>8556</v>
      </c>
      <c r="V286" t="s">
        <v>69</v>
      </c>
      <c r="W286" t="s">
        <v>69</v>
      </c>
      <c r="X286" t="s">
        <v>69</v>
      </c>
      <c r="Y286" t="s">
        <v>69</v>
      </c>
      <c r="Z286" t="s">
        <v>69</v>
      </c>
      <c r="AA286" t="s">
        <v>10407</v>
      </c>
      <c r="AB286" t="s">
        <v>10408</v>
      </c>
      <c r="AC286" t="s">
        <v>10409</v>
      </c>
      <c r="AD286" t="s">
        <v>10410</v>
      </c>
      <c r="AE286" t="s">
        <v>69</v>
      </c>
      <c r="AF286" t="s">
        <v>10411</v>
      </c>
      <c r="AG286" t="s">
        <v>10412</v>
      </c>
      <c r="AH286" t="s">
        <v>69</v>
      </c>
      <c r="AI286" t="s">
        <v>10413</v>
      </c>
      <c r="AJ286" t="s">
        <v>10414</v>
      </c>
      <c r="AK286" t="s">
        <v>10414</v>
      </c>
      <c r="AL286" t="s">
        <v>10414</v>
      </c>
      <c r="AM286" t="s">
        <v>69</v>
      </c>
      <c r="AN286">
        <v>30</v>
      </c>
      <c r="AO286">
        <v>1</v>
      </c>
      <c r="AP286">
        <v>1</v>
      </c>
      <c r="AQ286">
        <v>0</v>
      </c>
      <c r="AR286">
        <v>1</v>
      </c>
      <c r="AS286" t="s">
        <v>8846</v>
      </c>
      <c r="AT286" t="s">
        <v>8847</v>
      </c>
      <c r="AU286" t="s">
        <v>8848</v>
      </c>
      <c r="AV286" t="s">
        <v>10415</v>
      </c>
      <c r="AW286" t="s">
        <v>10416</v>
      </c>
      <c r="AX286" t="s">
        <v>69</v>
      </c>
      <c r="AY286" t="s">
        <v>10417</v>
      </c>
      <c r="AZ286" t="s">
        <v>10418</v>
      </c>
      <c r="BA286" t="s">
        <v>69</v>
      </c>
      <c r="BB286" t="s">
        <v>69</v>
      </c>
      <c r="BC286" t="s">
        <v>69</v>
      </c>
      <c r="BD286" t="s">
        <v>69</v>
      </c>
      <c r="BE286" t="s">
        <v>69</v>
      </c>
      <c r="BF286" t="s">
        <v>69</v>
      </c>
      <c r="BG286" t="s">
        <v>69</v>
      </c>
      <c r="BH286" t="s">
        <v>69</v>
      </c>
      <c r="BI286" t="s">
        <v>69</v>
      </c>
      <c r="BJ286" t="s">
        <v>69</v>
      </c>
      <c r="BK286" t="s">
        <v>69</v>
      </c>
      <c r="BL286" t="s">
        <v>10419</v>
      </c>
      <c r="BM286" t="str">
        <f>HYPERLINK("http://dx.doi.org/10.1111/cch.12925","http://dx.doi.org/10.1111/cch.12925")</f>
        <v>http://dx.doi.org/10.1111/cch.12925</v>
      </c>
      <c r="BN286" t="s">
        <v>69</v>
      </c>
      <c r="BO286" t="s">
        <v>10359</v>
      </c>
      <c r="BP286">
        <v>11</v>
      </c>
      <c r="BQ286" t="s">
        <v>10420</v>
      </c>
      <c r="BR286" t="s">
        <v>8523</v>
      </c>
      <c r="BS286" t="s">
        <v>10421</v>
      </c>
      <c r="BT286" t="s">
        <v>10422</v>
      </c>
      <c r="BU286" t="s">
        <v>10424</v>
      </c>
      <c r="BV286">
        <v>34773287</v>
      </c>
      <c r="BW286" t="s">
        <v>10423</v>
      </c>
      <c r="BX286" t="s">
        <v>69</v>
      </c>
      <c r="BY286" t="s">
        <v>69</v>
      </c>
      <c r="BZ286" t="s">
        <v>8526</v>
      </c>
      <c r="CA286" t="str">
        <f>HYPERLINK("https%3A%2F%2Fwww.webofscience.com%2Fwos%2Fwoscc%2Ffull-record%2FWOS:000730663300001","View Full Record in Web of Science")</f>
        <v>View Full Record in Web of Science</v>
      </c>
    </row>
    <row r="287" spans="1:79" ht="12.5" x14ac:dyDescent="0.25">
      <c r="B287" t="s">
        <v>8495</v>
      </c>
      <c r="D287" s="7" t="s">
        <v>32933</v>
      </c>
      <c r="E287" s="7"/>
      <c r="F287" s="7"/>
      <c r="G287" s="7"/>
      <c r="H287" t="s">
        <v>67</v>
      </c>
      <c r="I287" t="s">
        <v>7480</v>
      </c>
      <c r="J287" t="s">
        <v>69</v>
      </c>
      <c r="K287" t="s">
        <v>69</v>
      </c>
      <c r="L287" t="s">
        <v>69</v>
      </c>
      <c r="M287" t="s">
        <v>7480</v>
      </c>
      <c r="N287" t="s">
        <v>69</v>
      </c>
      <c r="O287" t="s">
        <v>69</v>
      </c>
      <c r="P287" t="s">
        <v>7481</v>
      </c>
      <c r="Q287" t="s">
        <v>7482</v>
      </c>
      <c r="R287" t="s">
        <v>69</v>
      </c>
      <c r="S287" t="s">
        <v>69</v>
      </c>
      <c r="T287" t="s">
        <v>8505</v>
      </c>
      <c r="U287" t="s">
        <v>8506</v>
      </c>
      <c r="V287" t="s">
        <v>69</v>
      </c>
      <c r="W287" t="s">
        <v>69</v>
      </c>
      <c r="X287" t="s">
        <v>69</v>
      </c>
      <c r="Y287" t="s">
        <v>69</v>
      </c>
      <c r="Z287" t="s">
        <v>69</v>
      </c>
      <c r="AA287" t="s">
        <v>69</v>
      </c>
      <c r="AB287" t="s">
        <v>69</v>
      </c>
      <c r="AC287" t="s">
        <v>7483</v>
      </c>
      <c r="AD287" t="s">
        <v>69</v>
      </c>
      <c r="AE287" t="s">
        <v>69</v>
      </c>
      <c r="AF287" t="s">
        <v>69</v>
      </c>
      <c r="AG287" t="s">
        <v>69</v>
      </c>
      <c r="AH287" t="s">
        <v>69</v>
      </c>
      <c r="AI287" t="s">
        <v>69</v>
      </c>
      <c r="AJ287" t="s">
        <v>69</v>
      </c>
      <c r="AK287" t="s">
        <v>69</v>
      </c>
      <c r="AL287" t="s">
        <v>69</v>
      </c>
      <c r="AM287" t="s">
        <v>69</v>
      </c>
      <c r="AN287">
        <v>22</v>
      </c>
      <c r="AO287">
        <v>0</v>
      </c>
      <c r="AP287">
        <v>0</v>
      </c>
      <c r="AQ287">
        <v>0</v>
      </c>
      <c r="AR287">
        <v>1</v>
      </c>
      <c r="AS287" t="s">
        <v>32595</v>
      </c>
      <c r="AT287" t="s">
        <v>8693</v>
      </c>
      <c r="AU287" t="s">
        <v>32748</v>
      </c>
      <c r="AV287" t="s">
        <v>7484</v>
      </c>
      <c r="AW287" t="s">
        <v>69</v>
      </c>
      <c r="AX287" t="s">
        <v>69</v>
      </c>
      <c r="AY287" t="s">
        <v>32749</v>
      </c>
      <c r="AZ287" t="s">
        <v>32750</v>
      </c>
      <c r="BA287" t="s">
        <v>1774</v>
      </c>
      <c r="BB287">
        <v>1993</v>
      </c>
      <c r="BC287">
        <v>29</v>
      </c>
      <c r="BD287">
        <v>5</v>
      </c>
      <c r="BE287" t="s">
        <v>69</v>
      </c>
      <c r="BF287" t="s">
        <v>69</v>
      </c>
      <c r="BG287" t="s">
        <v>69</v>
      </c>
      <c r="BH287" t="s">
        <v>69</v>
      </c>
      <c r="BI287">
        <v>760</v>
      </c>
      <c r="BJ287">
        <v>770</v>
      </c>
      <c r="BK287" t="s">
        <v>69</v>
      </c>
      <c r="BL287" t="s">
        <v>69</v>
      </c>
      <c r="BM287" t="s">
        <v>69</v>
      </c>
      <c r="BN287" t="s">
        <v>69</v>
      </c>
      <c r="BO287" t="s">
        <v>69</v>
      </c>
      <c r="BP287">
        <v>11</v>
      </c>
      <c r="BQ287" t="s">
        <v>32751</v>
      </c>
      <c r="BR287" t="s">
        <v>8548</v>
      </c>
      <c r="BS287" t="s">
        <v>32752</v>
      </c>
      <c r="BT287" t="s">
        <v>32753</v>
      </c>
      <c r="BU287" t="s">
        <v>7485</v>
      </c>
      <c r="BV287" t="s">
        <v>69</v>
      </c>
      <c r="BW287" t="s">
        <v>69</v>
      </c>
      <c r="BX287" t="s">
        <v>69</v>
      </c>
      <c r="BY287" t="s">
        <v>69</v>
      </c>
      <c r="BZ287" t="s">
        <v>8526</v>
      </c>
      <c r="CA287" t="str">
        <f>HYPERLINK("https%3A%2F%2Fwww.webofscience.com%2Fwos%2Fwoscc%2Ffull-record%2FWOS:A1993NT27300015","View Full Record in Web of Science")</f>
        <v>View Full Record in Web of Science</v>
      </c>
    </row>
    <row r="288" spans="1:79" ht="12.5" x14ac:dyDescent="0.25">
      <c r="B288" t="s">
        <v>8495</v>
      </c>
      <c r="D288" s="7" t="s">
        <v>32933</v>
      </c>
      <c r="E288" s="7"/>
      <c r="F288" s="7"/>
      <c r="G288" s="7"/>
      <c r="H288" t="s">
        <v>67</v>
      </c>
      <c r="I288" t="s">
        <v>258</v>
      </c>
      <c r="J288" t="s">
        <v>69</v>
      </c>
      <c r="K288" t="s">
        <v>69</v>
      </c>
      <c r="L288" t="s">
        <v>69</v>
      </c>
      <c r="M288" t="s">
        <v>258</v>
      </c>
      <c r="N288" t="s">
        <v>69</v>
      </c>
      <c r="O288" t="s">
        <v>69</v>
      </c>
      <c r="P288" t="s">
        <v>259</v>
      </c>
      <c r="Q288" t="s">
        <v>260</v>
      </c>
      <c r="R288" t="s">
        <v>69</v>
      </c>
      <c r="S288" t="s">
        <v>69</v>
      </c>
      <c r="T288" t="s">
        <v>8505</v>
      </c>
      <c r="U288" t="s">
        <v>8506</v>
      </c>
      <c r="V288" t="s">
        <v>69</v>
      </c>
      <c r="W288" t="s">
        <v>69</v>
      </c>
      <c r="X288" t="s">
        <v>69</v>
      </c>
      <c r="Y288" t="s">
        <v>69</v>
      </c>
      <c r="Z288" t="s">
        <v>69</v>
      </c>
      <c r="AA288" t="s">
        <v>69</v>
      </c>
      <c r="AB288" t="s">
        <v>69</v>
      </c>
      <c r="AC288" t="s">
        <v>261</v>
      </c>
      <c r="AD288" t="s">
        <v>31913</v>
      </c>
      <c r="AE288" t="s">
        <v>69</v>
      </c>
      <c r="AF288" t="s">
        <v>31914</v>
      </c>
      <c r="AG288" t="s">
        <v>69</v>
      </c>
      <c r="AH288" t="s">
        <v>69</v>
      </c>
      <c r="AI288" t="s">
        <v>69</v>
      </c>
      <c r="AJ288" t="s">
        <v>69</v>
      </c>
      <c r="AK288" t="s">
        <v>69</v>
      </c>
      <c r="AL288" t="s">
        <v>69</v>
      </c>
      <c r="AM288" t="s">
        <v>69</v>
      </c>
      <c r="AN288">
        <v>1</v>
      </c>
      <c r="AO288">
        <v>2</v>
      </c>
      <c r="AP288">
        <v>2</v>
      </c>
      <c r="AQ288">
        <v>1</v>
      </c>
      <c r="AR288">
        <v>6</v>
      </c>
      <c r="AS288" t="s">
        <v>31915</v>
      </c>
      <c r="AT288" t="s">
        <v>9979</v>
      </c>
      <c r="AU288" t="s">
        <v>25747</v>
      </c>
      <c r="AV288" t="s">
        <v>262</v>
      </c>
      <c r="AW288" t="s">
        <v>69</v>
      </c>
      <c r="AX288" t="s">
        <v>69</v>
      </c>
      <c r="AY288" t="s">
        <v>31916</v>
      </c>
      <c r="AZ288" t="s">
        <v>31917</v>
      </c>
      <c r="BA288" t="s">
        <v>263</v>
      </c>
      <c r="BB288">
        <v>1999</v>
      </c>
      <c r="BC288">
        <v>41</v>
      </c>
      <c r="BD288">
        <v>1</v>
      </c>
      <c r="BE288" t="s">
        <v>69</v>
      </c>
      <c r="BF288" t="s">
        <v>69</v>
      </c>
      <c r="BG288" t="s">
        <v>69</v>
      </c>
      <c r="BH288" t="s">
        <v>69</v>
      </c>
      <c r="BI288">
        <v>47</v>
      </c>
      <c r="BJ288" t="s">
        <v>219</v>
      </c>
      <c r="BK288" t="s">
        <v>69</v>
      </c>
      <c r="BL288" t="s">
        <v>69</v>
      </c>
      <c r="BM288" t="s">
        <v>69</v>
      </c>
      <c r="BN288" t="s">
        <v>69</v>
      </c>
      <c r="BO288" t="s">
        <v>69</v>
      </c>
      <c r="BP288">
        <v>16</v>
      </c>
      <c r="BQ288" t="s">
        <v>8791</v>
      </c>
      <c r="BR288" t="s">
        <v>8661</v>
      </c>
      <c r="BS288" t="s">
        <v>8594</v>
      </c>
      <c r="BT288" t="s">
        <v>31918</v>
      </c>
      <c r="BU288" t="s">
        <v>264</v>
      </c>
      <c r="BV288" t="s">
        <v>69</v>
      </c>
      <c r="BW288" t="s">
        <v>69</v>
      </c>
      <c r="BX288" t="s">
        <v>69</v>
      </c>
      <c r="BY288" t="s">
        <v>69</v>
      </c>
      <c r="BZ288" t="s">
        <v>8526</v>
      </c>
      <c r="CA288" t="str">
        <f>HYPERLINK("https%3A%2F%2Fwww.webofscience.com%2Fwos%2Fwoscc%2Ffull-record%2FWOS:000083401100016","View Full Record in Web of Science")</f>
        <v>View Full Record in Web of Science</v>
      </c>
    </row>
    <row r="289" spans="1:79" ht="12.5" x14ac:dyDescent="0.25">
      <c r="B289" t="s">
        <v>8495</v>
      </c>
      <c r="D289" s="22" t="s">
        <v>32931</v>
      </c>
      <c r="E289" s="7"/>
      <c r="F289" s="7"/>
      <c r="G289" s="7"/>
      <c r="H289" t="s">
        <v>67</v>
      </c>
      <c r="I289" t="s">
        <v>24755</v>
      </c>
      <c r="J289" t="s">
        <v>69</v>
      </c>
      <c r="K289" t="s">
        <v>69</v>
      </c>
      <c r="L289" t="s">
        <v>69</v>
      </c>
      <c r="M289" t="s">
        <v>24756</v>
      </c>
      <c r="N289" t="s">
        <v>69</v>
      </c>
      <c r="O289" t="s">
        <v>69</v>
      </c>
      <c r="P289" t="s">
        <v>24757</v>
      </c>
      <c r="Q289" t="s">
        <v>2763</v>
      </c>
      <c r="R289" t="s">
        <v>69</v>
      </c>
      <c r="S289" t="s">
        <v>69</v>
      </c>
      <c r="T289" t="s">
        <v>8505</v>
      </c>
      <c r="U289" t="s">
        <v>8506</v>
      </c>
      <c r="V289" t="s">
        <v>69</v>
      </c>
      <c r="W289" t="s">
        <v>69</v>
      </c>
      <c r="X289" t="s">
        <v>69</v>
      </c>
      <c r="Y289" t="s">
        <v>69</v>
      </c>
      <c r="Z289" t="s">
        <v>69</v>
      </c>
      <c r="AA289" t="s">
        <v>69</v>
      </c>
      <c r="AB289" t="s">
        <v>24758</v>
      </c>
      <c r="AC289" t="s">
        <v>24759</v>
      </c>
      <c r="AD289" t="s">
        <v>24760</v>
      </c>
      <c r="AE289" t="s">
        <v>69</v>
      </c>
      <c r="AF289" t="s">
        <v>24761</v>
      </c>
      <c r="AG289" t="s">
        <v>69</v>
      </c>
      <c r="AH289" t="s">
        <v>69</v>
      </c>
      <c r="AI289" t="s">
        <v>69</v>
      </c>
      <c r="AJ289" t="s">
        <v>69</v>
      </c>
      <c r="AK289" t="s">
        <v>69</v>
      </c>
      <c r="AL289" t="s">
        <v>69</v>
      </c>
      <c r="AM289" t="s">
        <v>69</v>
      </c>
      <c r="AN289">
        <v>38</v>
      </c>
      <c r="AO289">
        <v>2</v>
      </c>
      <c r="AP289">
        <v>2</v>
      </c>
      <c r="AQ289">
        <v>0</v>
      </c>
      <c r="AR289">
        <v>0</v>
      </c>
      <c r="AS289" t="s">
        <v>9978</v>
      </c>
      <c r="AT289" t="s">
        <v>9979</v>
      </c>
      <c r="AU289" t="s">
        <v>9980</v>
      </c>
      <c r="AV289" t="s">
        <v>2765</v>
      </c>
      <c r="AW289" t="s">
        <v>2766</v>
      </c>
      <c r="AX289" t="s">
        <v>69</v>
      </c>
      <c r="AY289" t="s">
        <v>21136</v>
      </c>
      <c r="AZ289" t="s">
        <v>21137</v>
      </c>
      <c r="BA289" t="s">
        <v>255</v>
      </c>
      <c r="BB289">
        <v>2013</v>
      </c>
      <c r="BC289">
        <v>15</v>
      </c>
      <c r="BD289">
        <v>3</v>
      </c>
      <c r="BE289" t="s">
        <v>69</v>
      </c>
      <c r="BF289" t="s">
        <v>69</v>
      </c>
      <c r="BG289" t="s">
        <v>69</v>
      </c>
      <c r="BH289" t="s">
        <v>69</v>
      </c>
      <c r="BI289">
        <v>228</v>
      </c>
      <c r="BJ289">
        <v>239</v>
      </c>
      <c r="BK289" t="s">
        <v>69</v>
      </c>
      <c r="BL289" t="s">
        <v>24762</v>
      </c>
      <c r="BM289" t="str">
        <f>HYPERLINK("http://dx.doi.org/10.1017/S1466046613000240","http://dx.doi.org/10.1017/S1466046613000240")</f>
        <v>http://dx.doi.org/10.1017/S1466046613000240</v>
      </c>
      <c r="BN289" t="s">
        <v>69</v>
      </c>
      <c r="BO289" t="s">
        <v>69</v>
      </c>
      <c r="BP289">
        <v>12</v>
      </c>
      <c r="BQ289" t="s">
        <v>8717</v>
      </c>
      <c r="BR289" t="s">
        <v>8573</v>
      </c>
      <c r="BS289" t="s">
        <v>8662</v>
      </c>
      <c r="BT289" t="s">
        <v>24763</v>
      </c>
      <c r="BU289" t="s">
        <v>24764</v>
      </c>
      <c r="BV289" t="s">
        <v>69</v>
      </c>
      <c r="BW289" t="s">
        <v>69</v>
      </c>
      <c r="BX289" t="s">
        <v>69</v>
      </c>
      <c r="BY289" t="s">
        <v>69</v>
      </c>
      <c r="BZ289" t="s">
        <v>8526</v>
      </c>
      <c r="CA289" t="str">
        <f>HYPERLINK("https%3A%2F%2Fwww.webofscience.com%2Fwos%2Fwoscc%2Ffull-record%2FWOS:000212174900007","View Full Record in Web of Science")</f>
        <v>View Full Record in Web of Science</v>
      </c>
    </row>
    <row r="290" spans="1:79" ht="12.5" x14ac:dyDescent="0.25">
      <c r="B290" t="s">
        <v>8495</v>
      </c>
      <c r="D290" s="7" t="s">
        <v>32933</v>
      </c>
      <c r="E290" s="7"/>
      <c r="F290" s="7"/>
      <c r="G290" s="7"/>
      <c r="H290" t="s">
        <v>67</v>
      </c>
      <c r="I290" t="s">
        <v>6873</v>
      </c>
      <c r="J290" t="s">
        <v>69</v>
      </c>
      <c r="K290" t="s">
        <v>69</v>
      </c>
      <c r="L290" t="s">
        <v>69</v>
      </c>
      <c r="M290" t="s">
        <v>6874</v>
      </c>
      <c r="N290" t="s">
        <v>69</v>
      </c>
      <c r="O290" t="s">
        <v>69</v>
      </c>
      <c r="P290" t="s">
        <v>6875</v>
      </c>
      <c r="Q290" t="s">
        <v>6876</v>
      </c>
      <c r="R290" t="s">
        <v>69</v>
      </c>
      <c r="S290" t="s">
        <v>69</v>
      </c>
      <c r="T290" t="s">
        <v>8505</v>
      </c>
      <c r="U290" t="s">
        <v>8506</v>
      </c>
      <c r="V290" t="s">
        <v>69</v>
      </c>
      <c r="W290" t="s">
        <v>69</v>
      </c>
      <c r="X290" t="s">
        <v>69</v>
      </c>
      <c r="Y290" t="s">
        <v>69</v>
      </c>
      <c r="Z290" t="s">
        <v>69</v>
      </c>
      <c r="AA290" t="s">
        <v>19437</v>
      </c>
      <c r="AB290" t="s">
        <v>19438</v>
      </c>
      <c r="AC290" t="s">
        <v>6877</v>
      </c>
      <c r="AD290" t="s">
        <v>19439</v>
      </c>
      <c r="AE290" t="s">
        <v>69</v>
      </c>
      <c r="AF290" t="s">
        <v>19440</v>
      </c>
      <c r="AG290" t="s">
        <v>19441</v>
      </c>
      <c r="AH290" t="s">
        <v>19442</v>
      </c>
      <c r="AI290" t="s">
        <v>6878</v>
      </c>
      <c r="AJ290" t="s">
        <v>69</v>
      </c>
      <c r="AK290" t="s">
        <v>69</v>
      </c>
      <c r="AL290" t="s">
        <v>69</v>
      </c>
      <c r="AM290" t="s">
        <v>69</v>
      </c>
      <c r="AN290">
        <v>23</v>
      </c>
      <c r="AO290">
        <v>3</v>
      </c>
      <c r="AP290">
        <v>3</v>
      </c>
      <c r="AQ290">
        <v>0</v>
      </c>
      <c r="AR290">
        <v>3</v>
      </c>
      <c r="AS290" t="s">
        <v>10538</v>
      </c>
      <c r="AT290" t="s">
        <v>10539</v>
      </c>
      <c r="AU290" t="s">
        <v>14431</v>
      </c>
      <c r="AV290" t="s">
        <v>6879</v>
      </c>
      <c r="AW290" t="s">
        <v>6880</v>
      </c>
      <c r="AX290" t="s">
        <v>69</v>
      </c>
      <c r="AY290" t="s">
        <v>11864</v>
      </c>
      <c r="AZ290" t="s">
        <v>11865</v>
      </c>
      <c r="BA290" t="s">
        <v>2512</v>
      </c>
      <c r="BB290">
        <v>2018</v>
      </c>
      <c r="BC290">
        <v>22</v>
      </c>
      <c r="BD290">
        <v>1</v>
      </c>
      <c r="BE290" t="s">
        <v>69</v>
      </c>
      <c r="BF290" t="s">
        <v>69</v>
      </c>
      <c r="BG290" t="s">
        <v>69</v>
      </c>
      <c r="BH290" t="s">
        <v>69</v>
      </c>
      <c r="BI290">
        <v>22</v>
      </c>
      <c r="BJ290">
        <v>28</v>
      </c>
      <c r="BK290" t="s">
        <v>69</v>
      </c>
      <c r="BL290" t="s">
        <v>6881</v>
      </c>
      <c r="BM290" t="str">
        <f>HYPERLINK("http://dx.doi.org/10.4103/ijoem.IJOEM_168_17","http://dx.doi.org/10.4103/ijoem.IJOEM_168_17")</f>
        <v>http://dx.doi.org/10.4103/ijoem.IJOEM_168_17</v>
      </c>
      <c r="BN290" t="s">
        <v>69</v>
      </c>
      <c r="BO290" t="s">
        <v>69</v>
      </c>
      <c r="BP290">
        <v>7</v>
      </c>
      <c r="BQ290" t="s">
        <v>8810</v>
      </c>
      <c r="BR290" t="s">
        <v>8573</v>
      </c>
      <c r="BS290" t="s">
        <v>8810</v>
      </c>
      <c r="BT290" t="s">
        <v>19443</v>
      </c>
      <c r="BU290" t="s">
        <v>6882</v>
      </c>
      <c r="BV290">
        <v>29743781</v>
      </c>
      <c r="BW290" t="s">
        <v>10423</v>
      </c>
      <c r="BX290" t="s">
        <v>69</v>
      </c>
      <c r="BY290" t="s">
        <v>69</v>
      </c>
      <c r="BZ290" t="s">
        <v>8526</v>
      </c>
      <c r="CA290" t="str">
        <f>HYPERLINK("https%3A%2F%2Fwww.webofscience.com%2Fwos%2Fwoscc%2Ffull-record%2FWOS:000443867100006","View Full Record in Web of Science")</f>
        <v>View Full Record in Web of Science</v>
      </c>
    </row>
    <row r="291" spans="1:79" ht="12.5" x14ac:dyDescent="0.25">
      <c r="B291" t="s">
        <v>8495</v>
      </c>
      <c r="D291" s="7" t="s">
        <v>32933</v>
      </c>
      <c r="E291" s="7"/>
      <c r="F291" s="7"/>
      <c r="G291" s="7"/>
      <c r="H291" t="s">
        <v>67</v>
      </c>
      <c r="I291" t="s">
        <v>4847</v>
      </c>
      <c r="J291" t="s">
        <v>69</v>
      </c>
      <c r="K291" t="s">
        <v>69</v>
      </c>
      <c r="L291" t="s">
        <v>69</v>
      </c>
      <c r="M291" t="s">
        <v>4848</v>
      </c>
      <c r="N291" t="s">
        <v>69</v>
      </c>
      <c r="O291" t="s">
        <v>69</v>
      </c>
      <c r="P291" t="s">
        <v>4849</v>
      </c>
      <c r="Q291" t="s">
        <v>4850</v>
      </c>
      <c r="R291" t="s">
        <v>69</v>
      </c>
      <c r="S291" t="s">
        <v>69</v>
      </c>
      <c r="T291" t="s">
        <v>8505</v>
      </c>
      <c r="U291" t="s">
        <v>8506</v>
      </c>
      <c r="V291" t="s">
        <v>69</v>
      </c>
      <c r="W291" t="s">
        <v>69</v>
      </c>
      <c r="X291" t="s">
        <v>69</v>
      </c>
      <c r="Y291" t="s">
        <v>69</v>
      </c>
      <c r="Z291" t="s">
        <v>69</v>
      </c>
      <c r="AA291" t="s">
        <v>19292</v>
      </c>
      <c r="AB291" t="s">
        <v>69</v>
      </c>
      <c r="AC291" t="s">
        <v>4851</v>
      </c>
      <c r="AD291" t="s">
        <v>19293</v>
      </c>
      <c r="AE291" t="s">
        <v>69</v>
      </c>
      <c r="AF291" t="s">
        <v>19294</v>
      </c>
      <c r="AG291" t="s">
        <v>19295</v>
      </c>
      <c r="AH291" t="s">
        <v>69</v>
      </c>
      <c r="AI291" t="s">
        <v>69</v>
      </c>
      <c r="AJ291" t="s">
        <v>69</v>
      </c>
      <c r="AK291" t="s">
        <v>69</v>
      </c>
      <c r="AL291" t="s">
        <v>69</v>
      </c>
      <c r="AM291" t="s">
        <v>69</v>
      </c>
      <c r="AN291">
        <v>8</v>
      </c>
      <c r="AO291">
        <v>0</v>
      </c>
      <c r="AP291">
        <v>0</v>
      </c>
      <c r="AQ291">
        <v>0</v>
      </c>
      <c r="AR291">
        <v>1</v>
      </c>
      <c r="AS291" t="s">
        <v>15611</v>
      </c>
      <c r="AT291" t="s">
        <v>10924</v>
      </c>
      <c r="AU291" t="s">
        <v>15612</v>
      </c>
      <c r="AV291" t="s">
        <v>4852</v>
      </c>
      <c r="AW291" t="s">
        <v>4853</v>
      </c>
      <c r="AX291" t="s">
        <v>69</v>
      </c>
      <c r="AY291" t="s">
        <v>19296</v>
      </c>
      <c r="AZ291" t="s">
        <v>19297</v>
      </c>
      <c r="BA291" t="s">
        <v>69</v>
      </c>
      <c r="BB291">
        <v>2018</v>
      </c>
      <c r="BC291">
        <v>13</v>
      </c>
      <c r="BD291">
        <v>4</v>
      </c>
      <c r="BE291" t="s">
        <v>69</v>
      </c>
      <c r="BF291" t="s">
        <v>69</v>
      </c>
      <c r="BG291" t="s">
        <v>114</v>
      </c>
      <c r="BH291" t="s">
        <v>69</v>
      </c>
      <c r="BI291">
        <v>389</v>
      </c>
      <c r="BJ291">
        <v>397</v>
      </c>
      <c r="BK291" t="s">
        <v>69</v>
      </c>
      <c r="BL291" t="s">
        <v>4854</v>
      </c>
      <c r="BM291" t="str">
        <f>HYPERLINK("http://dx.doi.org/10.1080/24720038.2018.1499306","http://dx.doi.org/10.1080/24720038.2018.1499306")</f>
        <v>http://dx.doi.org/10.1080/24720038.2018.1499306</v>
      </c>
      <c r="BN291" t="s">
        <v>69</v>
      </c>
      <c r="BO291" t="s">
        <v>69</v>
      </c>
      <c r="BP291">
        <v>9</v>
      </c>
      <c r="BQ291" t="s">
        <v>19298</v>
      </c>
      <c r="BR291" t="s">
        <v>8573</v>
      </c>
      <c r="BS291" t="s">
        <v>9001</v>
      </c>
      <c r="BT291" t="s">
        <v>19299</v>
      </c>
      <c r="BU291" t="s">
        <v>4855</v>
      </c>
      <c r="BV291" t="s">
        <v>69</v>
      </c>
      <c r="BW291" t="s">
        <v>69</v>
      </c>
      <c r="BX291" t="s">
        <v>69</v>
      </c>
      <c r="BY291" t="s">
        <v>69</v>
      </c>
      <c r="BZ291" t="s">
        <v>8526</v>
      </c>
      <c r="CA291" t="str">
        <f>HYPERLINK("https%3A%2F%2Fwww.webofscience.com%2Fwos%2Fwoscc%2Ffull-record%2FWOS:000456326500008","View Full Record in Web of Science")</f>
        <v>View Full Record in Web of Science</v>
      </c>
    </row>
    <row r="292" spans="1:79" ht="12.5" x14ac:dyDescent="0.25">
      <c r="B292" t="s">
        <v>8495</v>
      </c>
      <c r="D292" s="7" t="s">
        <v>32933</v>
      </c>
      <c r="E292" s="7"/>
      <c r="F292" s="7"/>
      <c r="G292" s="7"/>
      <c r="H292" t="s">
        <v>67</v>
      </c>
      <c r="I292" t="s">
        <v>5443</v>
      </c>
      <c r="J292" t="s">
        <v>69</v>
      </c>
      <c r="K292" t="s">
        <v>69</v>
      </c>
      <c r="L292" t="s">
        <v>69</v>
      </c>
      <c r="M292" t="s">
        <v>5444</v>
      </c>
      <c r="N292" t="s">
        <v>69</v>
      </c>
      <c r="O292" t="s">
        <v>69</v>
      </c>
      <c r="P292" t="s">
        <v>5445</v>
      </c>
      <c r="Q292" t="s">
        <v>5446</v>
      </c>
      <c r="R292" t="s">
        <v>69</v>
      </c>
      <c r="S292" t="s">
        <v>69</v>
      </c>
      <c r="T292" t="s">
        <v>8505</v>
      </c>
      <c r="U292" t="s">
        <v>8506</v>
      </c>
      <c r="V292" t="s">
        <v>69</v>
      </c>
      <c r="W292" t="s">
        <v>69</v>
      </c>
      <c r="X292" t="s">
        <v>69</v>
      </c>
      <c r="Y292" t="s">
        <v>69</v>
      </c>
      <c r="Z292" t="s">
        <v>69</v>
      </c>
      <c r="AA292" t="s">
        <v>69</v>
      </c>
      <c r="AB292" t="s">
        <v>69</v>
      </c>
      <c r="AC292" t="s">
        <v>5447</v>
      </c>
      <c r="AD292" t="s">
        <v>69</v>
      </c>
      <c r="AE292" t="s">
        <v>69</v>
      </c>
      <c r="AF292" t="s">
        <v>69</v>
      </c>
      <c r="AG292" t="s">
        <v>69</v>
      </c>
      <c r="AH292" t="s">
        <v>69</v>
      </c>
      <c r="AI292" t="s">
        <v>69</v>
      </c>
      <c r="AJ292" t="s">
        <v>69</v>
      </c>
      <c r="AK292" t="s">
        <v>69</v>
      </c>
      <c r="AL292" t="s">
        <v>69</v>
      </c>
      <c r="AM292" t="s">
        <v>69</v>
      </c>
      <c r="AN292">
        <v>0</v>
      </c>
      <c r="AO292">
        <v>2</v>
      </c>
      <c r="AP292">
        <v>2</v>
      </c>
      <c r="AQ292">
        <v>0</v>
      </c>
      <c r="AR292">
        <v>6</v>
      </c>
      <c r="AS292" t="s">
        <v>25793</v>
      </c>
      <c r="AT292" t="s">
        <v>25794</v>
      </c>
      <c r="AU292" t="s">
        <v>25795</v>
      </c>
      <c r="AV292" t="s">
        <v>5448</v>
      </c>
      <c r="AW292" t="s">
        <v>69</v>
      </c>
      <c r="AX292" t="s">
        <v>69</v>
      </c>
      <c r="AY292" t="s">
        <v>25796</v>
      </c>
      <c r="AZ292" t="s">
        <v>25797</v>
      </c>
      <c r="BA292" t="s">
        <v>381</v>
      </c>
      <c r="BB292">
        <v>2012</v>
      </c>
      <c r="BC292">
        <v>90</v>
      </c>
      <c r="BD292">
        <v>10</v>
      </c>
      <c r="BE292" t="s">
        <v>69</v>
      </c>
      <c r="BF292" t="s">
        <v>69</v>
      </c>
      <c r="BG292" t="s">
        <v>69</v>
      </c>
      <c r="BH292" t="s">
        <v>69</v>
      </c>
      <c r="BI292">
        <v>41</v>
      </c>
      <c r="BJ292" t="s">
        <v>219</v>
      </c>
      <c r="BK292" t="s">
        <v>69</v>
      </c>
      <c r="BL292" t="s">
        <v>69</v>
      </c>
      <c r="BM292" t="s">
        <v>69</v>
      </c>
      <c r="BN292" t="s">
        <v>69</v>
      </c>
      <c r="BO292" t="s">
        <v>69</v>
      </c>
      <c r="BP292">
        <v>5</v>
      </c>
      <c r="BQ292" t="s">
        <v>8791</v>
      </c>
      <c r="BR292" t="s">
        <v>8661</v>
      </c>
      <c r="BS292" t="s">
        <v>8594</v>
      </c>
      <c r="BT292" t="s">
        <v>25798</v>
      </c>
      <c r="BU292" t="s">
        <v>5449</v>
      </c>
      <c r="BV292" t="s">
        <v>69</v>
      </c>
      <c r="BW292" t="s">
        <v>69</v>
      </c>
      <c r="BX292" t="s">
        <v>69</v>
      </c>
      <c r="BY292" t="s">
        <v>69</v>
      </c>
      <c r="BZ292" t="s">
        <v>8526</v>
      </c>
      <c r="CA292" t="str">
        <f>HYPERLINK("https%3A%2F%2Fwww.webofscience.com%2Fwos%2Fwoscc%2Ffull-record%2FWOS:000309093300024","View Full Record in Web of Science")</f>
        <v>View Full Record in Web of Science</v>
      </c>
    </row>
    <row r="293" spans="1:79" ht="12.5" x14ac:dyDescent="0.25">
      <c r="B293" t="s">
        <v>8495</v>
      </c>
      <c r="D293" s="7" t="s">
        <v>32933</v>
      </c>
      <c r="E293" s="7"/>
      <c r="F293" s="7"/>
      <c r="G293" s="7"/>
      <c r="H293" t="s">
        <v>67</v>
      </c>
      <c r="I293" t="s">
        <v>3353</v>
      </c>
      <c r="J293" t="s">
        <v>69</v>
      </c>
      <c r="K293" t="s">
        <v>69</v>
      </c>
      <c r="L293" t="s">
        <v>69</v>
      </c>
      <c r="M293" t="s">
        <v>3354</v>
      </c>
      <c r="N293" t="s">
        <v>69</v>
      </c>
      <c r="O293" t="s">
        <v>69</v>
      </c>
      <c r="P293" t="s">
        <v>3355</v>
      </c>
      <c r="Q293" t="s">
        <v>1212</v>
      </c>
      <c r="R293" t="s">
        <v>69</v>
      </c>
      <c r="S293" t="s">
        <v>69</v>
      </c>
      <c r="T293" t="s">
        <v>8505</v>
      </c>
      <c r="U293" t="s">
        <v>8506</v>
      </c>
      <c r="V293" t="s">
        <v>69</v>
      </c>
      <c r="W293" t="s">
        <v>69</v>
      </c>
      <c r="X293" t="s">
        <v>69</v>
      </c>
      <c r="Y293" t="s">
        <v>69</v>
      </c>
      <c r="Z293" t="s">
        <v>69</v>
      </c>
      <c r="AA293" t="s">
        <v>25322</v>
      </c>
      <c r="AB293" t="s">
        <v>25323</v>
      </c>
      <c r="AC293" t="s">
        <v>3356</v>
      </c>
      <c r="AD293" t="s">
        <v>25324</v>
      </c>
      <c r="AE293" t="s">
        <v>69</v>
      </c>
      <c r="AF293" t="s">
        <v>25325</v>
      </c>
      <c r="AG293" t="s">
        <v>25326</v>
      </c>
      <c r="AH293" t="s">
        <v>69</v>
      </c>
      <c r="AI293" t="s">
        <v>69</v>
      </c>
      <c r="AJ293" t="s">
        <v>69</v>
      </c>
      <c r="AK293" t="s">
        <v>69</v>
      </c>
      <c r="AL293" t="s">
        <v>69</v>
      </c>
      <c r="AM293" t="s">
        <v>69</v>
      </c>
      <c r="AN293">
        <v>51</v>
      </c>
      <c r="AO293">
        <v>11</v>
      </c>
      <c r="AP293">
        <v>12</v>
      </c>
      <c r="AQ293">
        <v>2</v>
      </c>
      <c r="AR293">
        <v>97</v>
      </c>
      <c r="AS293" t="s">
        <v>21110</v>
      </c>
      <c r="AT293" t="s">
        <v>8847</v>
      </c>
      <c r="AU293" t="s">
        <v>8848</v>
      </c>
      <c r="AV293" t="s">
        <v>1215</v>
      </c>
      <c r="AW293" t="s">
        <v>69</v>
      </c>
      <c r="AX293" t="s">
        <v>69</v>
      </c>
      <c r="AY293" t="s">
        <v>21310</v>
      </c>
      <c r="AZ293" t="s">
        <v>21311</v>
      </c>
      <c r="BA293" t="s">
        <v>373</v>
      </c>
      <c r="BB293">
        <v>2013</v>
      </c>
      <c r="BC293">
        <v>21</v>
      </c>
      <c r="BD293">
        <v>1</v>
      </c>
      <c r="BE293" t="s">
        <v>69</v>
      </c>
      <c r="BF293" t="s">
        <v>69</v>
      </c>
      <c r="BG293" t="s">
        <v>69</v>
      </c>
      <c r="BH293" t="s">
        <v>69</v>
      </c>
      <c r="BI293">
        <v>26</v>
      </c>
      <c r="BJ293">
        <v>41</v>
      </c>
      <c r="BK293" t="s">
        <v>69</v>
      </c>
      <c r="BL293" t="s">
        <v>3357</v>
      </c>
      <c r="BM293" t="str">
        <f>HYPERLINK("http://dx.doi.org/10.1111/corg.12001","http://dx.doi.org/10.1111/corg.12001")</f>
        <v>http://dx.doi.org/10.1111/corg.12001</v>
      </c>
      <c r="BN293" t="s">
        <v>69</v>
      </c>
      <c r="BO293" t="s">
        <v>69</v>
      </c>
      <c r="BP293">
        <v>16</v>
      </c>
      <c r="BQ293" t="s">
        <v>21312</v>
      </c>
      <c r="BR293" t="s">
        <v>8661</v>
      </c>
      <c r="BS293" t="s">
        <v>8594</v>
      </c>
      <c r="BT293" t="s">
        <v>25327</v>
      </c>
      <c r="BU293" t="s">
        <v>3358</v>
      </c>
      <c r="BV293" t="s">
        <v>69</v>
      </c>
      <c r="BW293" t="s">
        <v>69</v>
      </c>
      <c r="BX293" t="s">
        <v>69</v>
      </c>
      <c r="BY293" t="s">
        <v>69</v>
      </c>
      <c r="BZ293" t="s">
        <v>8526</v>
      </c>
      <c r="CA293" t="str">
        <f>HYPERLINK("https%3A%2F%2Fwww.webofscience.com%2Fwos%2Fwoscc%2Ffull-record%2FWOS:000312995200004","View Full Record in Web of Science")</f>
        <v>View Full Record in Web of Science</v>
      </c>
    </row>
    <row r="294" spans="1:79" ht="12.5" x14ac:dyDescent="0.25">
      <c r="B294" t="s">
        <v>8495</v>
      </c>
      <c r="D294" s="7" t="s">
        <v>32933</v>
      </c>
      <c r="E294" s="7"/>
      <c r="F294" s="7"/>
      <c r="G294" s="7"/>
      <c r="H294" t="s">
        <v>67</v>
      </c>
      <c r="I294" t="s">
        <v>7505</v>
      </c>
      <c r="J294" t="s">
        <v>69</v>
      </c>
      <c r="K294" t="s">
        <v>69</v>
      </c>
      <c r="L294" t="s">
        <v>69</v>
      </c>
      <c r="M294" t="s">
        <v>7505</v>
      </c>
      <c r="N294" t="s">
        <v>69</v>
      </c>
      <c r="O294" t="s">
        <v>69</v>
      </c>
      <c r="P294" t="s">
        <v>7506</v>
      </c>
      <c r="Q294" t="s">
        <v>7507</v>
      </c>
      <c r="R294" t="s">
        <v>69</v>
      </c>
      <c r="S294" t="s">
        <v>69</v>
      </c>
      <c r="T294" t="s">
        <v>8505</v>
      </c>
      <c r="U294" t="s">
        <v>8506</v>
      </c>
      <c r="V294" t="s">
        <v>69</v>
      </c>
      <c r="W294" t="s">
        <v>69</v>
      </c>
      <c r="X294" t="s">
        <v>69</v>
      </c>
      <c r="Y294" t="s">
        <v>69</v>
      </c>
      <c r="Z294" t="s">
        <v>69</v>
      </c>
      <c r="AA294" t="s">
        <v>69</v>
      </c>
      <c r="AB294" t="s">
        <v>69</v>
      </c>
      <c r="AC294" t="s">
        <v>7508</v>
      </c>
      <c r="AD294" t="s">
        <v>69</v>
      </c>
      <c r="AE294" t="s">
        <v>69</v>
      </c>
      <c r="AF294" t="s">
        <v>69</v>
      </c>
      <c r="AG294" t="s">
        <v>69</v>
      </c>
      <c r="AH294" t="s">
        <v>69</v>
      </c>
      <c r="AI294" t="s">
        <v>69</v>
      </c>
      <c r="AJ294" t="s">
        <v>69</v>
      </c>
      <c r="AK294" t="s">
        <v>69</v>
      </c>
      <c r="AL294" t="s">
        <v>69</v>
      </c>
      <c r="AM294" t="s">
        <v>69</v>
      </c>
      <c r="AN294">
        <v>0</v>
      </c>
      <c r="AO294">
        <v>0</v>
      </c>
      <c r="AP294">
        <v>0</v>
      </c>
      <c r="AQ294">
        <v>1</v>
      </c>
      <c r="AR294">
        <v>10</v>
      </c>
      <c r="AS294" t="s">
        <v>13159</v>
      </c>
      <c r="AT294" t="s">
        <v>13160</v>
      </c>
      <c r="AU294" t="s">
        <v>13161</v>
      </c>
      <c r="AV294" t="s">
        <v>7509</v>
      </c>
      <c r="AW294" t="s">
        <v>69</v>
      </c>
      <c r="AX294" t="s">
        <v>69</v>
      </c>
      <c r="AY294" t="s">
        <v>31829</v>
      </c>
      <c r="AZ294" t="s">
        <v>31830</v>
      </c>
      <c r="BA294" t="s">
        <v>586</v>
      </c>
      <c r="BB294">
        <v>2000</v>
      </c>
      <c r="BC294">
        <v>14</v>
      </c>
      <c r="BD294">
        <v>2</v>
      </c>
      <c r="BE294" t="s">
        <v>69</v>
      </c>
      <c r="BF294" t="s">
        <v>69</v>
      </c>
      <c r="BG294" t="s">
        <v>69</v>
      </c>
      <c r="BH294" t="s">
        <v>69</v>
      </c>
      <c r="BI294">
        <v>28</v>
      </c>
      <c r="BJ294">
        <v>33</v>
      </c>
      <c r="BK294" t="s">
        <v>69</v>
      </c>
      <c r="BL294" t="s">
        <v>7510</v>
      </c>
      <c r="BM294" t="str">
        <f>HYPERLINK("http://dx.doi.org/10.5465/AME.2000.3819303","http://dx.doi.org/10.5465/AME.2000.3819303")</f>
        <v>http://dx.doi.org/10.5465/AME.2000.3819303</v>
      </c>
      <c r="BN294" t="s">
        <v>69</v>
      </c>
      <c r="BO294" t="s">
        <v>69</v>
      </c>
      <c r="BP294">
        <v>6</v>
      </c>
      <c r="BQ294" t="s">
        <v>9410</v>
      </c>
      <c r="BR294" t="s">
        <v>8661</v>
      </c>
      <c r="BS294" t="s">
        <v>8594</v>
      </c>
      <c r="BT294" t="s">
        <v>31831</v>
      </c>
      <c r="BU294" t="s">
        <v>7511</v>
      </c>
      <c r="BV294" t="s">
        <v>69</v>
      </c>
      <c r="BW294" t="s">
        <v>69</v>
      </c>
      <c r="BX294" t="s">
        <v>69</v>
      </c>
      <c r="BY294" t="s">
        <v>69</v>
      </c>
      <c r="BZ294" t="s">
        <v>8526</v>
      </c>
      <c r="CA294" t="str">
        <f>HYPERLINK("https%3A%2F%2Fwww.webofscience.com%2Fwos%2Fwoscc%2Ffull-record%2FWOS:000087705000007","View Full Record in Web of Science")</f>
        <v>View Full Record in Web of Science</v>
      </c>
    </row>
    <row r="295" spans="1:79" ht="12.5" x14ac:dyDescent="0.25">
      <c r="B295" t="s">
        <v>8495</v>
      </c>
      <c r="D295" s="22" t="s">
        <v>32931</v>
      </c>
      <c r="E295" s="7"/>
      <c r="F295" s="7"/>
      <c r="G295" s="7"/>
      <c r="H295" t="s">
        <v>67</v>
      </c>
      <c r="I295" t="s">
        <v>25662</v>
      </c>
      <c r="J295" t="s">
        <v>69</v>
      </c>
      <c r="K295" t="s">
        <v>69</v>
      </c>
      <c r="L295" t="s">
        <v>69</v>
      </c>
      <c r="M295" t="s">
        <v>25663</v>
      </c>
      <c r="N295" t="s">
        <v>69</v>
      </c>
      <c r="O295" t="s">
        <v>69</v>
      </c>
      <c r="P295" t="s">
        <v>25664</v>
      </c>
      <c r="Q295" t="s">
        <v>25665</v>
      </c>
      <c r="R295" t="s">
        <v>69</v>
      </c>
      <c r="S295" t="s">
        <v>69</v>
      </c>
      <c r="T295" t="s">
        <v>8505</v>
      </c>
      <c r="U295" t="s">
        <v>8506</v>
      </c>
      <c r="V295" t="s">
        <v>69</v>
      </c>
      <c r="W295" t="s">
        <v>69</v>
      </c>
      <c r="X295" t="s">
        <v>69</v>
      </c>
      <c r="Y295" t="s">
        <v>69</v>
      </c>
      <c r="Z295" t="s">
        <v>69</v>
      </c>
      <c r="AA295" t="s">
        <v>25666</v>
      </c>
      <c r="AB295" t="s">
        <v>25667</v>
      </c>
      <c r="AC295" t="s">
        <v>25668</v>
      </c>
      <c r="AD295" t="s">
        <v>25669</v>
      </c>
      <c r="AE295" t="s">
        <v>69</v>
      </c>
      <c r="AF295" t="s">
        <v>25670</v>
      </c>
      <c r="AG295" t="s">
        <v>69</v>
      </c>
      <c r="AH295" t="s">
        <v>69</v>
      </c>
      <c r="AI295" t="s">
        <v>25671</v>
      </c>
      <c r="AJ295" t="s">
        <v>69</v>
      </c>
      <c r="AK295" t="s">
        <v>69</v>
      </c>
      <c r="AL295" t="s">
        <v>69</v>
      </c>
      <c r="AM295" t="s">
        <v>69</v>
      </c>
      <c r="AN295">
        <v>30</v>
      </c>
      <c r="AO295">
        <v>12</v>
      </c>
      <c r="AP295">
        <v>13</v>
      </c>
      <c r="AQ295">
        <v>0</v>
      </c>
      <c r="AR295">
        <v>18</v>
      </c>
      <c r="AS295" t="s">
        <v>8846</v>
      </c>
      <c r="AT295" t="s">
        <v>8847</v>
      </c>
      <c r="AU295" t="s">
        <v>8848</v>
      </c>
      <c r="AV295" t="s">
        <v>25672</v>
      </c>
      <c r="AW295" t="s">
        <v>25673</v>
      </c>
      <c r="AX295" t="s">
        <v>69</v>
      </c>
      <c r="AY295" t="s">
        <v>25674</v>
      </c>
      <c r="AZ295" t="s">
        <v>25675</v>
      </c>
      <c r="BA295" t="s">
        <v>75</v>
      </c>
      <c r="BB295">
        <v>2012</v>
      </c>
      <c r="BC295">
        <v>39</v>
      </c>
      <c r="BD295">
        <v>4</v>
      </c>
      <c r="BE295" t="s">
        <v>69</v>
      </c>
      <c r="BF295" t="s">
        <v>69</v>
      </c>
      <c r="BG295" t="s">
        <v>69</v>
      </c>
      <c r="BH295" t="s">
        <v>69</v>
      </c>
      <c r="BI295">
        <v>305</v>
      </c>
      <c r="BJ295">
        <v>310</v>
      </c>
      <c r="BK295" t="s">
        <v>69</v>
      </c>
      <c r="BL295" t="s">
        <v>25676</v>
      </c>
      <c r="BM295" t="str">
        <f>HYPERLINK("http://dx.doi.org/10.1111/birt.12006","http://dx.doi.org/10.1111/birt.12006")</f>
        <v>http://dx.doi.org/10.1111/birt.12006</v>
      </c>
      <c r="BN295" t="s">
        <v>69</v>
      </c>
      <c r="BO295" t="s">
        <v>69</v>
      </c>
      <c r="BP295">
        <v>6</v>
      </c>
      <c r="BQ295" t="s">
        <v>25677</v>
      </c>
      <c r="BR295" t="s">
        <v>8523</v>
      </c>
      <c r="BS295" t="s">
        <v>25677</v>
      </c>
      <c r="BT295" t="s">
        <v>25678</v>
      </c>
      <c r="BU295" t="s">
        <v>25679</v>
      </c>
      <c r="BV295">
        <v>23281950</v>
      </c>
      <c r="BW295" t="s">
        <v>69</v>
      </c>
      <c r="BX295" t="s">
        <v>69</v>
      </c>
      <c r="BY295" t="s">
        <v>69</v>
      </c>
      <c r="BZ295" t="s">
        <v>8526</v>
      </c>
      <c r="CA295" t="str">
        <f>HYPERLINK("https%3A%2F%2Fwww.webofscience.com%2Fwos%2Fwoscc%2Ffull-record%2FWOS:000311404300008","View Full Record in Web of Science")</f>
        <v>View Full Record in Web of Science</v>
      </c>
    </row>
    <row r="296" spans="1:79" ht="12.5" x14ac:dyDescent="0.25">
      <c r="B296" t="s">
        <v>8495</v>
      </c>
      <c r="D296" s="22" t="s">
        <v>32931</v>
      </c>
      <c r="E296" s="7"/>
      <c r="F296" s="7"/>
      <c r="G296" s="7"/>
      <c r="H296" t="s">
        <v>67</v>
      </c>
      <c r="I296" t="s">
        <v>21399</v>
      </c>
      <c r="J296" t="s">
        <v>69</v>
      </c>
      <c r="K296" t="s">
        <v>69</v>
      </c>
      <c r="L296" t="s">
        <v>69</v>
      </c>
      <c r="M296" t="s">
        <v>21400</v>
      </c>
      <c r="N296" t="s">
        <v>69</v>
      </c>
      <c r="O296" t="s">
        <v>69</v>
      </c>
      <c r="P296" t="s">
        <v>21401</v>
      </c>
      <c r="Q296" t="s">
        <v>1360</v>
      </c>
      <c r="R296" t="s">
        <v>69</v>
      </c>
      <c r="S296" t="s">
        <v>69</v>
      </c>
      <c r="T296" t="s">
        <v>8505</v>
      </c>
      <c r="U296" t="s">
        <v>8506</v>
      </c>
      <c r="V296" t="s">
        <v>69</v>
      </c>
      <c r="W296" t="s">
        <v>69</v>
      </c>
      <c r="X296" t="s">
        <v>69</v>
      </c>
      <c r="Y296" t="s">
        <v>69</v>
      </c>
      <c r="Z296" t="s">
        <v>69</v>
      </c>
      <c r="AA296" t="s">
        <v>21402</v>
      </c>
      <c r="AB296" t="s">
        <v>21403</v>
      </c>
      <c r="AC296" t="s">
        <v>21404</v>
      </c>
      <c r="AD296" t="s">
        <v>21405</v>
      </c>
      <c r="AE296" t="s">
        <v>69</v>
      </c>
      <c r="AF296" t="s">
        <v>21406</v>
      </c>
      <c r="AG296" t="s">
        <v>21407</v>
      </c>
      <c r="AH296" t="s">
        <v>21408</v>
      </c>
      <c r="AI296" t="s">
        <v>21409</v>
      </c>
      <c r="AJ296" t="s">
        <v>21410</v>
      </c>
      <c r="AK296" t="s">
        <v>21411</v>
      </c>
      <c r="AL296" t="s">
        <v>21412</v>
      </c>
      <c r="AM296" t="s">
        <v>69</v>
      </c>
      <c r="AN296">
        <v>62</v>
      </c>
      <c r="AO296">
        <v>32</v>
      </c>
      <c r="AP296">
        <v>33</v>
      </c>
      <c r="AQ296">
        <v>2</v>
      </c>
      <c r="AR296">
        <v>52</v>
      </c>
      <c r="AS296" t="s">
        <v>8636</v>
      </c>
      <c r="AT296" t="s">
        <v>8637</v>
      </c>
      <c r="AU296" t="s">
        <v>8638</v>
      </c>
      <c r="AV296" t="s">
        <v>1364</v>
      </c>
      <c r="AW296" t="s">
        <v>1365</v>
      </c>
      <c r="AX296" t="s">
        <v>69</v>
      </c>
      <c r="AY296" t="s">
        <v>9698</v>
      </c>
      <c r="AZ296" t="s">
        <v>9699</v>
      </c>
      <c r="BA296" t="s">
        <v>255</v>
      </c>
      <c r="BB296">
        <v>2016</v>
      </c>
      <c r="BC296">
        <v>63</v>
      </c>
      <c r="BD296" t="s">
        <v>69</v>
      </c>
      <c r="BE296" t="s">
        <v>69</v>
      </c>
      <c r="BF296" t="s">
        <v>69</v>
      </c>
      <c r="BG296" t="s">
        <v>69</v>
      </c>
      <c r="BH296" t="s">
        <v>69</v>
      </c>
      <c r="BI296">
        <v>161</v>
      </c>
      <c r="BJ296">
        <v>169</v>
      </c>
      <c r="BK296" t="s">
        <v>69</v>
      </c>
      <c r="BL296" t="s">
        <v>21413</v>
      </c>
      <c r="BM296" t="str">
        <f>HYPERLINK("http://dx.doi.org/10.1016/j.envsci.2016.05.021","http://dx.doi.org/10.1016/j.envsci.2016.05.021")</f>
        <v>http://dx.doi.org/10.1016/j.envsci.2016.05.021</v>
      </c>
      <c r="BN296" t="s">
        <v>69</v>
      </c>
      <c r="BO296" t="s">
        <v>69</v>
      </c>
      <c r="BP296">
        <v>9</v>
      </c>
      <c r="BQ296" t="s">
        <v>8717</v>
      </c>
      <c r="BR296" t="s">
        <v>8523</v>
      </c>
      <c r="BS296" t="s">
        <v>8662</v>
      </c>
      <c r="BT296" t="s">
        <v>21414</v>
      </c>
      <c r="BU296" t="s">
        <v>21415</v>
      </c>
      <c r="BV296" t="s">
        <v>69</v>
      </c>
      <c r="BW296" t="s">
        <v>69</v>
      </c>
      <c r="BX296" t="s">
        <v>69</v>
      </c>
      <c r="BY296" t="s">
        <v>69</v>
      </c>
      <c r="BZ296" t="s">
        <v>8526</v>
      </c>
      <c r="CA296" t="str">
        <f>HYPERLINK("https%3A%2F%2Fwww.webofscience.com%2Fwos%2Fwoscc%2Ffull-record%2FWOS:000379635300017","View Full Record in Web of Science")</f>
        <v>View Full Record in Web of Science</v>
      </c>
    </row>
    <row r="297" spans="1:79" ht="12.5" x14ac:dyDescent="0.25">
      <c r="B297" t="s">
        <v>8495</v>
      </c>
      <c r="D297" s="22" t="s">
        <v>32931</v>
      </c>
      <c r="E297" s="7"/>
      <c r="F297" s="7"/>
      <c r="G297" s="7"/>
      <c r="H297" t="s">
        <v>67</v>
      </c>
      <c r="I297" t="s">
        <v>8552</v>
      </c>
      <c r="J297" t="s">
        <v>69</v>
      </c>
      <c r="K297" t="s">
        <v>69</v>
      </c>
      <c r="L297" t="s">
        <v>69</v>
      </c>
      <c r="M297" t="s">
        <v>8553</v>
      </c>
      <c r="N297" t="s">
        <v>69</v>
      </c>
      <c r="O297" t="s">
        <v>69</v>
      </c>
      <c r="P297" t="s">
        <v>8554</v>
      </c>
      <c r="Q297" t="s">
        <v>8555</v>
      </c>
      <c r="R297" t="s">
        <v>69</v>
      </c>
      <c r="S297" t="s">
        <v>69</v>
      </c>
      <c r="T297" t="s">
        <v>8505</v>
      </c>
      <c r="U297" t="s">
        <v>8556</v>
      </c>
      <c r="V297" t="s">
        <v>69</v>
      </c>
      <c r="W297" t="s">
        <v>69</v>
      </c>
      <c r="X297" t="s">
        <v>69</v>
      </c>
      <c r="Y297" t="s">
        <v>69</v>
      </c>
      <c r="Z297" t="s">
        <v>69</v>
      </c>
      <c r="AA297" t="s">
        <v>8557</v>
      </c>
      <c r="AB297" t="s">
        <v>8558</v>
      </c>
      <c r="AC297" t="s">
        <v>8559</v>
      </c>
      <c r="AD297" t="s">
        <v>8560</v>
      </c>
      <c r="AE297" t="s">
        <v>69</v>
      </c>
      <c r="AF297" t="s">
        <v>8561</v>
      </c>
      <c r="AG297" t="s">
        <v>8562</v>
      </c>
      <c r="AH297" t="s">
        <v>69</v>
      </c>
      <c r="AI297" t="s">
        <v>69</v>
      </c>
      <c r="AJ297" t="s">
        <v>69</v>
      </c>
      <c r="AK297" t="s">
        <v>69</v>
      </c>
      <c r="AL297" t="s">
        <v>69</v>
      </c>
      <c r="AM297" t="s">
        <v>69</v>
      </c>
      <c r="AN297">
        <v>85</v>
      </c>
      <c r="AO297">
        <v>0</v>
      </c>
      <c r="AP297">
        <v>0</v>
      </c>
      <c r="AQ297">
        <v>0</v>
      </c>
      <c r="AR297">
        <v>0</v>
      </c>
      <c r="AS297" t="s">
        <v>8563</v>
      </c>
      <c r="AT297" t="s">
        <v>8564</v>
      </c>
      <c r="AU297" t="s">
        <v>8565</v>
      </c>
      <c r="AV297" t="s">
        <v>8566</v>
      </c>
      <c r="AW297" t="s">
        <v>8567</v>
      </c>
      <c r="AX297" t="s">
        <v>69</v>
      </c>
      <c r="AY297" t="s">
        <v>8568</v>
      </c>
      <c r="AZ297" t="s">
        <v>8569</v>
      </c>
      <c r="BA297" t="s">
        <v>69</v>
      </c>
      <c r="BB297" t="s">
        <v>69</v>
      </c>
      <c r="BC297" t="s">
        <v>69</v>
      </c>
      <c r="BD297" t="s">
        <v>69</v>
      </c>
      <c r="BE297" t="s">
        <v>69</v>
      </c>
      <c r="BF297" t="s">
        <v>69</v>
      </c>
      <c r="BG297" t="s">
        <v>69</v>
      </c>
      <c r="BH297" t="s">
        <v>69</v>
      </c>
      <c r="BI297" t="s">
        <v>69</v>
      </c>
      <c r="BJ297" t="s">
        <v>69</v>
      </c>
      <c r="BK297" t="s">
        <v>69</v>
      </c>
      <c r="BL297" t="s">
        <v>8570</v>
      </c>
      <c r="BM297" t="str">
        <f>HYPERLINK("http://dx.doi.org/10.1007/s12008-022-00961-7","http://dx.doi.org/10.1007/s12008-022-00961-7")</f>
        <v>http://dx.doi.org/10.1007/s12008-022-00961-7</v>
      </c>
      <c r="BN297" t="s">
        <v>69</v>
      </c>
      <c r="BO297" t="s">
        <v>8571</v>
      </c>
      <c r="BP297">
        <v>13</v>
      </c>
      <c r="BQ297" t="s">
        <v>8572</v>
      </c>
      <c r="BR297" t="s">
        <v>8573</v>
      </c>
      <c r="BS297" t="s">
        <v>8445</v>
      </c>
      <c r="BT297" t="s">
        <v>8574</v>
      </c>
      <c r="BU297" t="s">
        <v>8575</v>
      </c>
      <c r="BV297" t="s">
        <v>69</v>
      </c>
      <c r="BW297" t="s">
        <v>69</v>
      </c>
      <c r="BX297" t="s">
        <v>69</v>
      </c>
      <c r="BY297" t="s">
        <v>69</v>
      </c>
      <c r="BZ297" t="s">
        <v>8526</v>
      </c>
      <c r="CA297" t="str">
        <f>HYPERLINK("https%3A%2F%2Fwww.webofscience.com%2Fwos%2Fwoscc%2Ffull-record%2FWOS:000828441500001","View Full Record in Web of Science")</f>
        <v>View Full Record in Web of Science</v>
      </c>
    </row>
    <row r="298" spans="1:79" ht="12.5" x14ac:dyDescent="0.25">
      <c r="B298" t="s">
        <v>8495</v>
      </c>
      <c r="D298" s="7" t="s">
        <v>32933</v>
      </c>
      <c r="E298" s="7"/>
      <c r="F298" s="7"/>
      <c r="G298" s="7"/>
      <c r="H298" t="s">
        <v>67</v>
      </c>
      <c r="I298" t="s">
        <v>6806</v>
      </c>
      <c r="J298" t="s">
        <v>69</v>
      </c>
      <c r="K298" t="s">
        <v>69</v>
      </c>
      <c r="L298" t="s">
        <v>69</v>
      </c>
      <c r="M298" t="s">
        <v>6807</v>
      </c>
      <c r="N298" t="s">
        <v>69</v>
      </c>
      <c r="O298" t="s">
        <v>69</v>
      </c>
      <c r="P298" t="s">
        <v>6808</v>
      </c>
      <c r="Q298" t="s">
        <v>1522</v>
      </c>
      <c r="R298" t="s">
        <v>69</v>
      </c>
      <c r="S298" t="s">
        <v>69</v>
      </c>
      <c r="T298" t="s">
        <v>8505</v>
      </c>
      <c r="U298" t="s">
        <v>8506</v>
      </c>
      <c r="V298" t="s">
        <v>69</v>
      </c>
      <c r="W298" t="s">
        <v>69</v>
      </c>
      <c r="X298" t="s">
        <v>69</v>
      </c>
      <c r="Y298" t="s">
        <v>69</v>
      </c>
      <c r="Z298" t="s">
        <v>69</v>
      </c>
      <c r="AA298" t="s">
        <v>15245</v>
      </c>
      <c r="AB298" t="s">
        <v>15246</v>
      </c>
      <c r="AC298" t="s">
        <v>6809</v>
      </c>
      <c r="AD298" t="s">
        <v>15247</v>
      </c>
      <c r="AE298" t="s">
        <v>69</v>
      </c>
      <c r="AF298" t="s">
        <v>15248</v>
      </c>
      <c r="AG298" t="s">
        <v>15249</v>
      </c>
      <c r="AH298" t="s">
        <v>15250</v>
      </c>
      <c r="AI298" t="s">
        <v>15251</v>
      </c>
      <c r="AJ298" t="s">
        <v>15252</v>
      </c>
      <c r="AK298" t="s">
        <v>15253</v>
      </c>
      <c r="AL298" t="s">
        <v>15254</v>
      </c>
      <c r="AM298" t="s">
        <v>69</v>
      </c>
      <c r="AN298">
        <v>78</v>
      </c>
      <c r="AO298">
        <v>5</v>
      </c>
      <c r="AP298">
        <v>6</v>
      </c>
      <c r="AQ298">
        <v>3</v>
      </c>
      <c r="AR298">
        <v>12</v>
      </c>
      <c r="AS298" t="s">
        <v>8563</v>
      </c>
      <c r="AT298" t="s">
        <v>8564</v>
      </c>
      <c r="AU298" t="s">
        <v>8565</v>
      </c>
      <c r="AV298" t="s">
        <v>1525</v>
      </c>
      <c r="AW298" t="s">
        <v>1526</v>
      </c>
      <c r="AX298" t="s">
        <v>69</v>
      </c>
      <c r="AY298" t="s">
        <v>14032</v>
      </c>
      <c r="AZ298" t="s">
        <v>14033</v>
      </c>
      <c r="BA298" t="s">
        <v>586</v>
      </c>
      <c r="BB298">
        <v>2020</v>
      </c>
      <c r="BC298">
        <v>25</v>
      </c>
      <c r="BD298">
        <v>5</v>
      </c>
      <c r="BE298" t="s">
        <v>69</v>
      </c>
      <c r="BF298" t="s">
        <v>69</v>
      </c>
      <c r="BG298" t="s">
        <v>114</v>
      </c>
      <c r="BH298" t="s">
        <v>69</v>
      </c>
      <c r="BI298">
        <v>856</v>
      </c>
      <c r="BJ298">
        <v>867</v>
      </c>
      <c r="BK298" t="s">
        <v>69</v>
      </c>
      <c r="BL298" t="s">
        <v>6810</v>
      </c>
      <c r="BM298" t="str">
        <f>HYPERLINK("http://dx.doi.org/10.1007/s11367-019-01611-z","http://dx.doi.org/10.1007/s11367-019-01611-z")</f>
        <v>http://dx.doi.org/10.1007/s11367-019-01611-z</v>
      </c>
      <c r="BN298" t="s">
        <v>69</v>
      </c>
      <c r="BO298" t="s">
        <v>69</v>
      </c>
      <c r="BP298">
        <v>12</v>
      </c>
      <c r="BQ298" t="s">
        <v>8743</v>
      </c>
      <c r="BR298" t="s">
        <v>8523</v>
      </c>
      <c r="BS298" t="s">
        <v>8744</v>
      </c>
      <c r="BT298" t="s">
        <v>15255</v>
      </c>
      <c r="BU298" t="s">
        <v>6811</v>
      </c>
      <c r="BV298" t="s">
        <v>69</v>
      </c>
      <c r="BW298" t="s">
        <v>10423</v>
      </c>
      <c r="BX298" t="s">
        <v>69</v>
      </c>
      <c r="BY298" t="s">
        <v>69</v>
      </c>
      <c r="BZ298" t="s">
        <v>8526</v>
      </c>
      <c r="CA298" t="str">
        <f>HYPERLINK("https%3A%2F%2Fwww.webofscience.com%2Fwos%2Fwoscc%2Ffull-record%2FWOS:000530803400003","View Full Record in Web of Science")</f>
        <v>View Full Record in Web of Science</v>
      </c>
    </row>
    <row r="299" spans="1:79" ht="12.5" x14ac:dyDescent="0.25">
      <c r="B299" t="s">
        <v>8495</v>
      </c>
      <c r="D299" s="22" t="s">
        <v>32931</v>
      </c>
      <c r="E299" s="7"/>
      <c r="F299" s="7"/>
      <c r="G299" s="7"/>
      <c r="H299" t="s">
        <v>67</v>
      </c>
      <c r="I299" t="s">
        <v>26732</v>
      </c>
      <c r="J299" t="s">
        <v>69</v>
      </c>
      <c r="K299" t="s">
        <v>69</v>
      </c>
      <c r="L299" t="s">
        <v>69</v>
      </c>
      <c r="M299" t="s">
        <v>26733</v>
      </c>
      <c r="N299" t="s">
        <v>69</v>
      </c>
      <c r="O299" t="s">
        <v>69</v>
      </c>
      <c r="P299" t="s">
        <v>26734</v>
      </c>
      <c r="Q299" t="s">
        <v>9491</v>
      </c>
      <c r="R299" t="s">
        <v>69</v>
      </c>
      <c r="S299" t="s">
        <v>69</v>
      </c>
      <c r="T299" t="s">
        <v>8505</v>
      </c>
      <c r="U299" t="s">
        <v>8506</v>
      </c>
      <c r="V299" t="s">
        <v>69</v>
      </c>
      <c r="W299" t="s">
        <v>69</v>
      </c>
      <c r="X299" t="s">
        <v>69</v>
      </c>
      <c r="Y299" t="s">
        <v>69</v>
      </c>
      <c r="Z299" t="s">
        <v>69</v>
      </c>
      <c r="AA299" t="s">
        <v>26735</v>
      </c>
      <c r="AB299" t="s">
        <v>69</v>
      </c>
      <c r="AC299" t="s">
        <v>26736</v>
      </c>
      <c r="AD299" t="s">
        <v>26737</v>
      </c>
      <c r="AE299" t="s">
        <v>69</v>
      </c>
      <c r="AF299" t="s">
        <v>26738</v>
      </c>
      <c r="AG299" t="s">
        <v>26739</v>
      </c>
      <c r="AH299" t="s">
        <v>69</v>
      </c>
      <c r="AI299" t="s">
        <v>69</v>
      </c>
      <c r="AJ299" t="s">
        <v>26740</v>
      </c>
      <c r="AK299" t="s">
        <v>26740</v>
      </c>
      <c r="AL299" t="s">
        <v>26741</v>
      </c>
      <c r="AM299" t="s">
        <v>69</v>
      </c>
      <c r="AN299">
        <v>9</v>
      </c>
      <c r="AO299">
        <v>2</v>
      </c>
      <c r="AP299">
        <v>2</v>
      </c>
      <c r="AQ299">
        <v>0</v>
      </c>
      <c r="AR299">
        <v>5</v>
      </c>
      <c r="AS299" t="s">
        <v>21110</v>
      </c>
      <c r="AT299" t="s">
        <v>26670</v>
      </c>
      <c r="AU299" t="s">
        <v>26671</v>
      </c>
      <c r="AV299" t="s">
        <v>9501</v>
      </c>
      <c r="AW299" t="s">
        <v>69</v>
      </c>
      <c r="AX299" t="s">
        <v>69</v>
      </c>
      <c r="AY299" t="s">
        <v>9503</v>
      </c>
      <c r="AZ299" t="s">
        <v>9504</v>
      </c>
      <c r="BA299" t="s">
        <v>381</v>
      </c>
      <c r="BB299">
        <v>2011</v>
      </c>
      <c r="BC299">
        <v>19</v>
      </c>
      <c r="BD299">
        <v>7</v>
      </c>
      <c r="BE299" t="s">
        <v>69</v>
      </c>
      <c r="BF299" t="s">
        <v>69</v>
      </c>
      <c r="BG299" t="s">
        <v>114</v>
      </c>
      <c r="BH299" t="s">
        <v>69</v>
      </c>
      <c r="BI299">
        <v>959</v>
      </c>
      <c r="BJ299">
        <v>966</v>
      </c>
      <c r="BK299" t="s">
        <v>69</v>
      </c>
      <c r="BL299" t="s">
        <v>26742</v>
      </c>
      <c r="BM299" t="str">
        <f>HYPERLINK("http://dx.doi.org/10.1111/j.1365-2834.2011.01306.x","http://dx.doi.org/10.1111/j.1365-2834.2011.01306.x")</f>
        <v>http://dx.doi.org/10.1111/j.1365-2834.2011.01306.x</v>
      </c>
      <c r="BN299" t="s">
        <v>69</v>
      </c>
      <c r="BO299" t="s">
        <v>69</v>
      </c>
      <c r="BP299">
        <v>8</v>
      </c>
      <c r="BQ299" t="s">
        <v>9506</v>
      </c>
      <c r="BR299" t="s">
        <v>8523</v>
      </c>
      <c r="BS299" t="s">
        <v>9507</v>
      </c>
      <c r="BT299" t="s">
        <v>26743</v>
      </c>
      <c r="BU299" t="s">
        <v>26744</v>
      </c>
      <c r="BV299">
        <v>21988444</v>
      </c>
      <c r="BW299" t="s">
        <v>69</v>
      </c>
      <c r="BX299" t="s">
        <v>69</v>
      </c>
      <c r="BY299" t="s">
        <v>69</v>
      </c>
      <c r="BZ299" t="s">
        <v>8526</v>
      </c>
      <c r="CA299" t="str">
        <f>HYPERLINK("https%3A%2F%2Fwww.webofscience.com%2Fwos%2Fwoscc%2Ffull-record%2FWOS:000296250000015","View Full Record in Web of Science")</f>
        <v>View Full Record in Web of Science</v>
      </c>
    </row>
    <row r="300" spans="1:79" ht="12.5" x14ac:dyDescent="0.25">
      <c r="B300" t="s">
        <v>8495</v>
      </c>
      <c r="D300" s="7" t="s">
        <v>32933</v>
      </c>
      <c r="E300" s="7"/>
      <c r="F300" s="7"/>
      <c r="G300" s="7"/>
      <c r="H300" t="s">
        <v>67</v>
      </c>
      <c r="I300" t="s">
        <v>3220</v>
      </c>
      <c r="J300" t="s">
        <v>69</v>
      </c>
      <c r="K300" t="s">
        <v>69</v>
      </c>
      <c r="L300" t="s">
        <v>69</v>
      </c>
      <c r="M300" t="s">
        <v>3221</v>
      </c>
      <c r="N300" t="s">
        <v>69</v>
      </c>
      <c r="O300" t="s">
        <v>69</v>
      </c>
      <c r="P300" t="s">
        <v>3222</v>
      </c>
      <c r="Q300" t="s">
        <v>1457</v>
      </c>
      <c r="R300" t="s">
        <v>69</v>
      </c>
      <c r="S300" t="s">
        <v>69</v>
      </c>
      <c r="T300" t="s">
        <v>8505</v>
      </c>
      <c r="U300" t="s">
        <v>8506</v>
      </c>
      <c r="V300" t="s">
        <v>69</v>
      </c>
      <c r="W300" t="s">
        <v>69</v>
      </c>
      <c r="X300" t="s">
        <v>69</v>
      </c>
      <c r="Y300" t="s">
        <v>69</v>
      </c>
      <c r="Z300" t="s">
        <v>69</v>
      </c>
      <c r="AA300" t="s">
        <v>69</v>
      </c>
      <c r="AB300" t="s">
        <v>69</v>
      </c>
      <c r="AC300" t="s">
        <v>3223</v>
      </c>
      <c r="AD300" t="s">
        <v>23999</v>
      </c>
      <c r="AE300" t="s">
        <v>69</v>
      </c>
      <c r="AF300" t="s">
        <v>24000</v>
      </c>
      <c r="AG300" t="s">
        <v>24001</v>
      </c>
      <c r="AH300" t="s">
        <v>69</v>
      </c>
      <c r="AI300" t="s">
        <v>3224</v>
      </c>
      <c r="AJ300" t="s">
        <v>69</v>
      </c>
      <c r="AK300" t="s">
        <v>69</v>
      </c>
      <c r="AL300" t="s">
        <v>69</v>
      </c>
      <c r="AM300" t="s">
        <v>69</v>
      </c>
      <c r="AN300">
        <v>13</v>
      </c>
      <c r="AO300">
        <v>4</v>
      </c>
      <c r="AP300">
        <v>4</v>
      </c>
      <c r="AQ300">
        <v>1</v>
      </c>
      <c r="AR300">
        <v>26</v>
      </c>
      <c r="AS300" t="s">
        <v>9554</v>
      </c>
      <c r="AT300" t="s">
        <v>9555</v>
      </c>
      <c r="AU300" t="s">
        <v>9556</v>
      </c>
      <c r="AV300" t="s">
        <v>1460</v>
      </c>
      <c r="AW300" t="s">
        <v>1461</v>
      </c>
      <c r="AX300" t="s">
        <v>69</v>
      </c>
      <c r="AY300" t="s">
        <v>9557</v>
      </c>
      <c r="AZ300" t="s">
        <v>9558</v>
      </c>
      <c r="BA300" t="s">
        <v>69</v>
      </c>
      <c r="BB300">
        <v>2014</v>
      </c>
      <c r="BC300" t="s">
        <v>69</v>
      </c>
      <c r="BD300">
        <v>2451</v>
      </c>
      <c r="BE300" t="s">
        <v>69</v>
      </c>
      <c r="BF300" t="s">
        <v>69</v>
      </c>
      <c r="BG300" t="s">
        <v>69</v>
      </c>
      <c r="BH300" t="s">
        <v>69</v>
      </c>
      <c r="BI300">
        <v>131</v>
      </c>
      <c r="BJ300">
        <v>138</v>
      </c>
      <c r="BK300" t="s">
        <v>69</v>
      </c>
      <c r="BL300" t="s">
        <v>3225</v>
      </c>
      <c r="BM300" t="str">
        <f>HYPERLINK("http://dx.doi.org/10.3141/2451-15","http://dx.doi.org/10.3141/2451-15")</f>
        <v>http://dx.doi.org/10.3141/2451-15</v>
      </c>
      <c r="BN300" t="s">
        <v>69</v>
      </c>
      <c r="BO300" t="s">
        <v>69</v>
      </c>
      <c r="BP300">
        <v>8</v>
      </c>
      <c r="BQ300" t="s">
        <v>9560</v>
      </c>
      <c r="BR300" t="s">
        <v>8548</v>
      </c>
      <c r="BS300" t="s">
        <v>9561</v>
      </c>
      <c r="BT300" t="s">
        <v>24002</v>
      </c>
      <c r="BU300" t="s">
        <v>3226</v>
      </c>
      <c r="BV300" t="s">
        <v>69</v>
      </c>
      <c r="BW300" t="s">
        <v>69</v>
      </c>
      <c r="BX300" t="s">
        <v>69</v>
      </c>
      <c r="BY300" t="s">
        <v>69</v>
      </c>
      <c r="BZ300" t="s">
        <v>8526</v>
      </c>
      <c r="CA300" t="str">
        <f>HYPERLINK("https%3A%2F%2Fwww.webofscience.com%2Fwos%2Fwoscc%2Ffull-record%2FWOS:000348967500015","View Full Record in Web of Science")</f>
        <v>View Full Record in Web of Science</v>
      </c>
    </row>
    <row r="301" spans="1:79" x14ac:dyDescent="0.3">
      <c r="A301" t="s">
        <v>33179</v>
      </c>
      <c r="B301" t="s">
        <v>8495</v>
      </c>
      <c r="D301" s="10" t="s">
        <v>8398</v>
      </c>
      <c r="F301" s="10" t="s">
        <v>8490</v>
      </c>
      <c r="H301" t="s">
        <v>67</v>
      </c>
      <c r="I301" t="s">
        <v>2402</v>
      </c>
      <c r="J301" t="s">
        <v>69</v>
      </c>
      <c r="K301" t="s">
        <v>69</v>
      </c>
      <c r="L301" t="s">
        <v>69</v>
      </c>
      <c r="M301" s="2" t="s">
        <v>2403</v>
      </c>
      <c r="N301" t="s">
        <v>69</v>
      </c>
      <c r="O301" t="s">
        <v>69</v>
      </c>
      <c r="P301" s="2" t="s">
        <v>2404</v>
      </c>
      <c r="Q301" t="s">
        <v>436</v>
      </c>
      <c r="R301" t="s">
        <v>69</v>
      </c>
      <c r="S301" t="s">
        <v>69</v>
      </c>
      <c r="T301" t="s">
        <v>8505</v>
      </c>
      <c r="U301" t="s">
        <v>8506</v>
      </c>
      <c r="V301" t="s">
        <v>69</v>
      </c>
      <c r="W301" t="s">
        <v>69</v>
      </c>
      <c r="X301" t="s">
        <v>69</v>
      </c>
      <c r="Y301" t="s">
        <v>69</v>
      </c>
      <c r="Z301" t="s">
        <v>69</v>
      </c>
      <c r="AA301" t="s">
        <v>69</v>
      </c>
      <c r="AB301" t="s">
        <v>18453</v>
      </c>
      <c r="AC301" t="s">
        <v>2405</v>
      </c>
      <c r="AD301" t="s">
        <v>18454</v>
      </c>
      <c r="AE301" t="s">
        <v>69</v>
      </c>
      <c r="AF301" t="s">
        <v>18455</v>
      </c>
      <c r="AG301" t="s">
        <v>18456</v>
      </c>
      <c r="AH301" t="s">
        <v>69</v>
      </c>
      <c r="AI301" t="s">
        <v>69</v>
      </c>
      <c r="AJ301" t="s">
        <v>69</v>
      </c>
      <c r="AK301" t="s">
        <v>69</v>
      </c>
      <c r="AL301" t="s">
        <v>69</v>
      </c>
      <c r="AM301" t="s">
        <v>69</v>
      </c>
      <c r="AN301">
        <v>90</v>
      </c>
      <c r="AO301">
        <v>14</v>
      </c>
      <c r="AP301">
        <v>15</v>
      </c>
      <c r="AQ301">
        <v>7</v>
      </c>
      <c r="AR301">
        <v>57</v>
      </c>
      <c r="AS301" t="s">
        <v>8636</v>
      </c>
      <c r="AT301" t="s">
        <v>8637</v>
      </c>
      <c r="AU301" t="s">
        <v>8638</v>
      </c>
      <c r="AV301" t="s">
        <v>440</v>
      </c>
      <c r="AW301" t="s">
        <v>441</v>
      </c>
      <c r="AX301" t="s">
        <v>69</v>
      </c>
      <c r="AY301" t="s">
        <v>8639</v>
      </c>
      <c r="AZ301" t="s">
        <v>8640</v>
      </c>
      <c r="BA301" t="s">
        <v>2406</v>
      </c>
      <c r="BB301">
        <v>2018</v>
      </c>
      <c r="BC301">
        <v>193</v>
      </c>
      <c r="BD301" t="s">
        <v>69</v>
      </c>
      <c r="BE301" t="s">
        <v>69</v>
      </c>
      <c r="BF301" t="s">
        <v>69</v>
      </c>
      <c r="BG301" t="s">
        <v>69</v>
      </c>
      <c r="BH301" t="s">
        <v>69</v>
      </c>
      <c r="BI301">
        <v>249</v>
      </c>
      <c r="BJ301">
        <v>262</v>
      </c>
      <c r="BK301" t="s">
        <v>69</v>
      </c>
      <c r="BL301" t="s">
        <v>2407</v>
      </c>
      <c r="BM301" t="str">
        <f>HYPERLINK("http://dx.doi.org/10.1016/j.jclepro.2018.05.063","http://dx.doi.org/10.1016/j.jclepro.2018.05.063")</f>
        <v>http://dx.doi.org/10.1016/j.jclepro.2018.05.063</v>
      </c>
      <c r="BN301" t="s">
        <v>69</v>
      </c>
      <c r="BO301" t="s">
        <v>69</v>
      </c>
      <c r="BP301">
        <v>14</v>
      </c>
      <c r="BQ301" t="s">
        <v>8643</v>
      </c>
      <c r="BR301" t="s">
        <v>8523</v>
      </c>
      <c r="BS301" t="s">
        <v>8644</v>
      </c>
      <c r="BT301" t="s">
        <v>18457</v>
      </c>
      <c r="BU301" t="s">
        <v>2408</v>
      </c>
      <c r="BV301" t="s">
        <v>69</v>
      </c>
      <c r="BW301" t="s">
        <v>69</v>
      </c>
      <c r="BX301" t="s">
        <v>69</v>
      </c>
      <c r="BY301" t="s">
        <v>69</v>
      </c>
      <c r="BZ301" t="s">
        <v>8526</v>
      </c>
      <c r="CA301" t="str">
        <f>HYPERLINK("https%3A%2F%2Fwww.webofscience.com%2Fwos%2Fwoscc%2Ffull-record%2FWOS:000437997200020","View Full Record in Web of Science")</f>
        <v>View Full Record in Web of Science</v>
      </c>
    </row>
    <row r="302" spans="1:79" ht="12.5" x14ac:dyDescent="0.25">
      <c r="B302" t="s">
        <v>8495</v>
      </c>
      <c r="D302" s="22" t="s">
        <v>32931</v>
      </c>
      <c r="E302" s="7"/>
      <c r="F302" s="7"/>
      <c r="G302" s="7"/>
      <c r="H302" t="s">
        <v>67</v>
      </c>
      <c r="I302" t="s">
        <v>11441</v>
      </c>
      <c r="J302" t="s">
        <v>69</v>
      </c>
      <c r="K302" t="s">
        <v>69</v>
      </c>
      <c r="L302" t="s">
        <v>69</v>
      </c>
      <c r="M302" t="s">
        <v>11442</v>
      </c>
      <c r="N302" t="s">
        <v>69</v>
      </c>
      <c r="O302" t="s">
        <v>69</v>
      </c>
      <c r="P302" t="s">
        <v>11443</v>
      </c>
      <c r="Q302" t="s">
        <v>8256</v>
      </c>
      <c r="R302" t="s">
        <v>69</v>
      </c>
      <c r="S302" t="s">
        <v>69</v>
      </c>
      <c r="T302" t="s">
        <v>8505</v>
      </c>
      <c r="U302" t="s">
        <v>8506</v>
      </c>
      <c r="V302" t="s">
        <v>69</v>
      </c>
      <c r="W302" t="s">
        <v>69</v>
      </c>
      <c r="X302" t="s">
        <v>69</v>
      </c>
      <c r="Y302" t="s">
        <v>69</v>
      </c>
      <c r="Z302" t="s">
        <v>69</v>
      </c>
      <c r="AA302" t="s">
        <v>11444</v>
      </c>
      <c r="AB302" t="s">
        <v>11445</v>
      </c>
      <c r="AC302" t="s">
        <v>11446</v>
      </c>
      <c r="AD302" t="s">
        <v>11447</v>
      </c>
      <c r="AE302" t="s">
        <v>69</v>
      </c>
      <c r="AF302" t="s">
        <v>11218</v>
      </c>
      <c r="AG302" t="s">
        <v>11448</v>
      </c>
      <c r="AH302" t="s">
        <v>69</v>
      </c>
      <c r="AI302" t="s">
        <v>11220</v>
      </c>
      <c r="AJ302" t="s">
        <v>11449</v>
      </c>
      <c r="AK302" t="s">
        <v>9925</v>
      </c>
      <c r="AL302" t="s">
        <v>11450</v>
      </c>
      <c r="AM302" t="s">
        <v>69</v>
      </c>
      <c r="AN302">
        <v>96</v>
      </c>
      <c r="AO302">
        <v>7</v>
      </c>
      <c r="AP302">
        <v>7</v>
      </c>
      <c r="AQ302">
        <v>15</v>
      </c>
      <c r="AR302">
        <v>21</v>
      </c>
      <c r="AS302" t="s">
        <v>8924</v>
      </c>
      <c r="AT302" t="s">
        <v>8925</v>
      </c>
      <c r="AU302" t="s">
        <v>8926</v>
      </c>
      <c r="AV302" t="s">
        <v>69</v>
      </c>
      <c r="AW302" t="s">
        <v>8258</v>
      </c>
      <c r="AX302" t="s">
        <v>69</v>
      </c>
      <c r="AY302" t="s">
        <v>8927</v>
      </c>
      <c r="AZ302" t="s">
        <v>8928</v>
      </c>
      <c r="BA302" t="s">
        <v>255</v>
      </c>
      <c r="BB302">
        <v>2021</v>
      </c>
      <c r="BC302">
        <v>10</v>
      </c>
      <c r="BD302">
        <v>9</v>
      </c>
      <c r="BE302" t="s">
        <v>69</v>
      </c>
      <c r="BF302" t="s">
        <v>69</v>
      </c>
      <c r="BG302" t="s">
        <v>69</v>
      </c>
      <c r="BH302" t="s">
        <v>69</v>
      </c>
      <c r="BI302" t="s">
        <v>69</v>
      </c>
      <c r="BJ302" t="s">
        <v>69</v>
      </c>
      <c r="BK302">
        <v>928</v>
      </c>
      <c r="BL302" t="s">
        <v>11451</v>
      </c>
      <c r="BM302" t="str">
        <f>HYPERLINK("http://dx.doi.org/10.3390/land10090928","http://dx.doi.org/10.3390/land10090928")</f>
        <v>http://dx.doi.org/10.3390/land10090928</v>
      </c>
      <c r="BN302" t="s">
        <v>69</v>
      </c>
      <c r="BO302" t="s">
        <v>69</v>
      </c>
      <c r="BP302">
        <v>29</v>
      </c>
      <c r="BQ302" t="s">
        <v>8660</v>
      </c>
      <c r="BR302" t="s">
        <v>8661</v>
      </c>
      <c r="BS302" t="s">
        <v>8662</v>
      </c>
      <c r="BT302" t="s">
        <v>11452</v>
      </c>
      <c r="BU302" t="s">
        <v>11453</v>
      </c>
      <c r="BV302" t="s">
        <v>69</v>
      </c>
      <c r="BW302" t="s">
        <v>9352</v>
      </c>
      <c r="BX302" t="s">
        <v>69</v>
      </c>
      <c r="BY302" t="s">
        <v>69</v>
      </c>
      <c r="BZ302" t="s">
        <v>8526</v>
      </c>
      <c r="CA302" t="str">
        <f>HYPERLINK("https%3A%2F%2Fwww.webofscience.com%2Fwos%2Fwoscc%2Ffull-record%2FWOS:000699572000001","View Full Record in Web of Science")</f>
        <v>View Full Record in Web of Science</v>
      </c>
    </row>
    <row r="303" spans="1:79" ht="12.5" x14ac:dyDescent="0.25">
      <c r="B303" t="s">
        <v>8495</v>
      </c>
      <c r="D303" s="22" t="s">
        <v>32931</v>
      </c>
      <c r="E303" s="7"/>
      <c r="F303" s="7"/>
      <c r="G303" s="7"/>
      <c r="H303" t="s">
        <v>67</v>
      </c>
      <c r="I303" t="s">
        <v>26677</v>
      </c>
      <c r="J303" t="s">
        <v>69</v>
      </c>
      <c r="K303" t="s">
        <v>69</v>
      </c>
      <c r="L303" t="s">
        <v>69</v>
      </c>
      <c r="M303" t="s">
        <v>26678</v>
      </c>
      <c r="N303" t="s">
        <v>69</v>
      </c>
      <c r="O303" t="s">
        <v>69</v>
      </c>
      <c r="P303" t="s">
        <v>26679</v>
      </c>
      <c r="Q303" t="s">
        <v>26680</v>
      </c>
      <c r="R303" t="s">
        <v>69</v>
      </c>
      <c r="S303" t="s">
        <v>69</v>
      </c>
      <c r="T303" t="s">
        <v>8505</v>
      </c>
      <c r="U303" t="s">
        <v>8506</v>
      </c>
      <c r="V303" t="s">
        <v>69</v>
      </c>
      <c r="W303" t="s">
        <v>69</v>
      </c>
      <c r="X303" t="s">
        <v>69</v>
      </c>
      <c r="Y303" t="s">
        <v>69</v>
      </c>
      <c r="Z303" t="s">
        <v>69</v>
      </c>
      <c r="AA303" t="s">
        <v>26681</v>
      </c>
      <c r="AB303" t="s">
        <v>69</v>
      </c>
      <c r="AC303" t="s">
        <v>26682</v>
      </c>
      <c r="AD303" t="s">
        <v>26683</v>
      </c>
      <c r="AE303" t="s">
        <v>69</v>
      </c>
      <c r="AF303" t="s">
        <v>26684</v>
      </c>
      <c r="AG303" t="s">
        <v>26685</v>
      </c>
      <c r="AH303" t="s">
        <v>69</v>
      </c>
      <c r="AI303" t="s">
        <v>26686</v>
      </c>
      <c r="AJ303" t="s">
        <v>69</v>
      </c>
      <c r="AK303" t="s">
        <v>69</v>
      </c>
      <c r="AL303" t="s">
        <v>69</v>
      </c>
      <c r="AM303" t="s">
        <v>69</v>
      </c>
      <c r="AN303">
        <v>10</v>
      </c>
      <c r="AO303">
        <v>0</v>
      </c>
      <c r="AP303">
        <v>0</v>
      </c>
      <c r="AQ303">
        <v>0</v>
      </c>
      <c r="AR303">
        <v>3</v>
      </c>
      <c r="AS303" t="s">
        <v>10352</v>
      </c>
      <c r="AT303" t="s">
        <v>8637</v>
      </c>
      <c r="AU303" t="s">
        <v>10353</v>
      </c>
      <c r="AV303" t="s">
        <v>26687</v>
      </c>
      <c r="AW303" t="s">
        <v>26688</v>
      </c>
      <c r="AX303" t="s">
        <v>69</v>
      </c>
      <c r="AY303" t="s">
        <v>26689</v>
      </c>
      <c r="AZ303" t="s">
        <v>26690</v>
      </c>
      <c r="BA303" t="s">
        <v>75</v>
      </c>
      <c r="BB303">
        <v>2011</v>
      </c>
      <c r="BC303">
        <v>33</v>
      </c>
      <c r="BD303">
        <v>4</v>
      </c>
      <c r="BE303" t="s">
        <v>69</v>
      </c>
      <c r="BF303" t="s">
        <v>69</v>
      </c>
      <c r="BG303" t="s">
        <v>69</v>
      </c>
      <c r="BH303" t="s">
        <v>69</v>
      </c>
      <c r="BI303">
        <v>624</v>
      </c>
      <c r="BJ303">
        <v>629</v>
      </c>
      <c r="BK303" t="s">
        <v>69</v>
      </c>
      <c r="BL303" t="s">
        <v>26691</v>
      </c>
      <c r="BM303" t="str">
        <f>HYPERLINK("http://dx.doi.org/10.1093/pubmed/fdr079","http://dx.doi.org/10.1093/pubmed/fdr079")</f>
        <v>http://dx.doi.org/10.1093/pubmed/fdr079</v>
      </c>
      <c r="BN303" t="s">
        <v>69</v>
      </c>
      <c r="BO303" t="s">
        <v>69</v>
      </c>
      <c r="BP303">
        <v>6</v>
      </c>
      <c r="BQ303" t="s">
        <v>8810</v>
      </c>
      <c r="BR303" t="s">
        <v>8523</v>
      </c>
      <c r="BS303" t="s">
        <v>8810</v>
      </c>
      <c r="BT303" t="s">
        <v>26692</v>
      </c>
      <c r="BU303" t="s">
        <v>26693</v>
      </c>
      <c r="BV303">
        <v>21994435</v>
      </c>
      <c r="BW303" t="s">
        <v>9374</v>
      </c>
      <c r="BX303" t="s">
        <v>69</v>
      </c>
      <c r="BY303" t="s">
        <v>69</v>
      </c>
      <c r="BZ303" t="s">
        <v>8526</v>
      </c>
      <c r="CA303" t="str">
        <f>HYPERLINK("https%3A%2F%2Fwww.webofscience.com%2Fwos%2Fwoscc%2Ffull-record%2FWOS:000297225300023","View Full Record in Web of Science")</f>
        <v>View Full Record in Web of Science</v>
      </c>
    </row>
    <row r="304" spans="1:79" ht="12.5" x14ac:dyDescent="0.25">
      <c r="B304" t="s">
        <v>8495</v>
      </c>
      <c r="D304" s="22" t="s">
        <v>32931</v>
      </c>
      <c r="E304" s="7"/>
      <c r="F304" s="7"/>
      <c r="G304" s="7"/>
      <c r="H304" t="s">
        <v>67</v>
      </c>
      <c r="I304" t="s">
        <v>29274</v>
      </c>
      <c r="J304" t="s">
        <v>69</v>
      </c>
      <c r="K304" t="s">
        <v>69</v>
      </c>
      <c r="L304" t="s">
        <v>69</v>
      </c>
      <c r="M304" t="s">
        <v>29275</v>
      </c>
      <c r="N304" t="s">
        <v>69</v>
      </c>
      <c r="O304" t="s">
        <v>69</v>
      </c>
      <c r="P304" t="s">
        <v>29276</v>
      </c>
      <c r="Q304" t="s">
        <v>29277</v>
      </c>
      <c r="R304" t="s">
        <v>69</v>
      </c>
      <c r="S304" t="s">
        <v>69</v>
      </c>
      <c r="T304" t="s">
        <v>25721</v>
      </c>
      <c r="U304" t="s">
        <v>8506</v>
      </c>
      <c r="V304" t="s">
        <v>69</v>
      </c>
      <c r="W304" t="s">
        <v>69</v>
      </c>
      <c r="X304" t="s">
        <v>69</v>
      </c>
      <c r="Y304" t="s">
        <v>69</v>
      </c>
      <c r="Z304" t="s">
        <v>69</v>
      </c>
      <c r="AA304" t="s">
        <v>29278</v>
      </c>
      <c r="AB304" t="s">
        <v>29279</v>
      </c>
      <c r="AC304" t="s">
        <v>29280</v>
      </c>
      <c r="AD304" t="s">
        <v>29281</v>
      </c>
      <c r="AE304" t="s">
        <v>69</v>
      </c>
      <c r="AF304" t="s">
        <v>29282</v>
      </c>
      <c r="AG304" t="s">
        <v>69</v>
      </c>
      <c r="AH304" t="s">
        <v>29283</v>
      </c>
      <c r="AI304" t="s">
        <v>69</v>
      </c>
      <c r="AJ304" t="s">
        <v>69</v>
      </c>
      <c r="AK304" t="s">
        <v>69</v>
      </c>
      <c r="AL304" t="s">
        <v>69</v>
      </c>
      <c r="AM304" t="s">
        <v>69</v>
      </c>
      <c r="AN304">
        <v>44</v>
      </c>
      <c r="AO304">
        <v>11</v>
      </c>
      <c r="AP304">
        <v>11</v>
      </c>
      <c r="AQ304">
        <v>0</v>
      </c>
      <c r="AR304">
        <v>5</v>
      </c>
      <c r="AS304" t="s">
        <v>29284</v>
      </c>
      <c r="AT304" t="s">
        <v>29285</v>
      </c>
      <c r="AU304" t="s">
        <v>29286</v>
      </c>
      <c r="AV304" t="s">
        <v>29287</v>
      </c>
      <c r="AW304" t="s">
        <v>69</v>
      </c>
      <c r="AX304" t="s">
        <v>69</v>
      </c>
      <c r="AY304" t="s">
        <v>29288</v>
      </c>
      <c r="AZ304" t="s">
        <v>29289</v>
      </c>
      <c r="BA304" t="s">
        <v>94</v>
      </c>
      <c r="BB304">
        <v>2008</v>
      </c>
      <c r="BC304">
        <v>41</v>
      </c>
      <c r="BD304">
        <v>1</v>
      </c>
      <c r="BE304" t="s">
        <v>69</v>
      </c>
      <c r="BF304" t="s">
        <v>69</v>
      </c>
      <c r="BG304" t="s">
        <v>69</v>
      </c>
      <c r="BH304" t="s">
        <v>69</v>
      </c>
      <c r="BI304">
        <v>43</v>
      </c>
      <c r="BJ304">
        <v>72</v>
      </c>
      <c r="BK304" t="s">
        <v>69</v>
      </c>
      <c r="BL304" t="s">
        <v>69</v>
      </c>
      <c r="BM304" t="s">
        <v>69</v>
      </c>
      <c r="BN304" t="s">
        <v>69</v>
      </c>
      <c r="BO304" t="s">
        <v>69</v>
      </c>
      <c r="BP304">
        <v>30</v>
      </c>
      <c r="BQ304" t="s">
        <v>12182</v>
      </c>
      <c r="BR304" t="s">
        <v>8661</v>
      </c>
      <c r="BS304" t="s">
        <v>12182</v>
      </c>
      <c r="BT304" t="s">
        <v>29290</v>
      </c>
      <c r="BU304" t="s">
        <v>29291</v>
      </c>
      <c r="BV304" t="s">
        <v>69</v>
      </c>
      <c r="BW304" t="s">
        <v>69</v>
      </c>
      <c r="BX304" t="s">
        <v>69</v>
      </c>
      <c r="BY304" t="s">
        <v>69</v>
      </c>
      <c r="BZ304" t="s">
        <v>8526</v>
      </c>
      <c r="CA304" t="str">
        <f>HYPERLINK("https%3A%2F%2Fwww.webofscience.com%2Fwos%2Fwoscc%2Ffull-record%2FWOS:000259022100003","View Full Record in Web of Science")</f>
        <v>View Full Record in Web of Science</v>
      </c>
    </row>
    <row r="305" spans="1:79" ht="12.5" x14ac:dyDescent="0.25">
      <c r="B305" t="s">
        <v>8495</v>
      </c>
      <c r="D305" s="7" t="s">
        <v>32933</v>
      </c>
      <c r="E305" s="7"/>
      <c r="F305" s="7"/>
      <c r="G305" s="7"/>
      <c r="H305" t="s">
        <v>67</v>
      </c>
      <c r="I305" t="s">
        <v>7005</v>
      </c>
      <c r="J305" t="s">
        <v>69</v>
      </c>
      <c r="K305" t="s">
        <v>69</v>
      </c>
      <c r="L305" t="s">
        <v>69</v>
      </c>
      <c r="M305" t="s">
        <v>7006</v>
      </c>
      <c r="N305" t="s">
        <v>69</v>
      </c>
      <c r="O305" t="s">
        <v>69</v>
      </c>
      <c r="P305" t="s">
        <v>7007</v>
      </c>
      <c r="Q305" t="s">
        <v>7008</v>
      </c>
      <c r="R305" t="s">
        <v>69</v>
      </c>
      <c r="S305" t="s">
        <v>69</v>
      </c>
      <c r="T305" t="s">
        <v>23259</v>
      </c>
      <c r="U305" t="s">
        <v>8506</v>
      </c>
      <c r="V305" t="s">
        <v>69</v>
      </c>
      <c r="W305" t="s">
        <v>69</v>
      </c>
      <c r="X305" t="s">
        <v>69</v>
      </c>
      <c r="Y305" t="s">
        <v>69</v>
      </c>
      <c r="Z305" t="s">
        <v>69</v>
      </c>
      <c r="AA305" t="s">
        <v>23260</v>
      </c>
      <c r="AB305" t="s">
        <v>69</v>
      </c>
      <c r="AC305" t="s">
        <v>7009</v>
      </c>
      <c r="AD305" t="s">
        <v>23261</v>
      </c>
      <c r="AE305" t="s">
        <v>69</v>
      </c>
      <c r="AF305" t="s">
        <v>23262</v>
      </c>
      <c r="AG305" t="s">
        <v>69</v>
      </c>
      <c r="AH305" t="s">
        <v>69</v>
      </c>
      <c r="AI305" t="s">
        <v>69</v>
      </c>
      <c r="AJ305" t="s">
        <v>69</v>
      </c>
      <c r="AK305" t="s">
        <v>69</v>
      </c>
      <c r="AL305" t="s">
        <v>69</v>
      </c>
      <c r="AM305" t="s">
        <v>69</v>
      </c>
      <c r="AN305">
        <v>12</v>
      </c>
      <c r="AO305">
        <v>3</v>
      </c>
      <c r="AP305">
        <v>3</v>
      </c>
      <c r="AQ305">
        <v>1</v>
      </c>
      <c r="AR305">
        <v>1</v>
      </c>
      <c r="AS305" t="s">
        <v>23263</v>
      </c>
      <c r="AT305" t="s">
        <v>17913</v>
      </c>
      <c r="AU305" t="s">
        <v>23264</v>
      </c>
      <c r="AV305" t="s">
        <v>7010</v>
      </c>
      <c r="AW305" t="s">
        <v>7011</v>
      </c>
      <c r="AX305" t="s">
        <v>69</v>
      </c>
      <c r="AY305" t="s">
        <v>23265</v>
      </c>
      <c r="AZ305" t="s">
        <v>23266</v>
      </c>
      <c r="BA305" t="s">
        <v>69</v>
      </c>
      <c r="BB305">
        <v>2015</v>
      </c>
      <c r="BC305">
        <v>124</v>
      </c>
      <c r="BD305">
        <v>6</v>
      </c>
      <c r="BE305" t="s">
        <v>69</v>
      </c>
      <c r="BF305" t="s">
        <v>69</v>
      </c>
      <c r="BG305" t="s">
        <v>114</v>
      </c>
      <c r="BH305" t="s">
        <v>69</v>
      </c>
      <c r="BI305">
        <v>979</v>
      </c>
      <c r="BJ305">
        <v>993</v>
      </c>
      <c r="BK305" t="s">
        <v>69</v>
      </c>
      <c r="BL305" t="s">
        <v>7012</v>
      </c>
      <c r="BM305" t="str">
        <f>HYPERLINK("http://dx.doi.org/10.5026/jgeography.124.979","http://dx.doi.org/10.5026/jgeography.124.979")</f>
        <v>http://dx.doi.org/10.5026/jgeography.124.979</v>
      </c>
      <c r="BN305" t="s">
        <v>69</v>
      </c>
      <c r="BO305" t="s">
        <v>69</v>
      </c>
      <c r="BP305">
        <v>15</v>
      </c>
      <c r="BQ305" t="s">
        <v>21471</v>
      </c>
      <c r="BR305" t="s">
        <v>8573</v>
      </c>
      <c r="BS305" t="s">
        <v>21472</v>
      </c>
      <c r="BT305" t="s">
        <v>23267</v>
      </c>
      <c r="BU305" t="s">
        <v>7013</v>
      </c>
      <c r="BV305" t="s">
        <v>69</v>
      </c>
      <c r="BW305" t="s">
        <v>9374</v>
      </c>
      <c r="BX305" t="s">
        <v>69</v>
      </c>
      <c r="BY305" t="s">
        <v>69</v>
      </c>
      <c r="BZ305" t="s">
        <v>8526</v>
      </c>
      <c r="CA305" t="str">
        <f>HYPERLINK("https%3A%2F%2Fwww.webofscience.com%2Fwos%2Fwoscc%2Ffull-record%2FWOS:000446310800008","View Full Record in Web of Science")</f>
        <v>View Full Record in Web of Science</v>
      </c>
    </row>
    <row r="306" spans="1:79" ht="12.5" x14ac:dyDescent="0.25">
      <c r="B306" t="s">
        <v>8495</v>
      </c>
      <c r="D306" s="22" t="s">
        <v>32931</v>
      </c>
      <c r="E306" s="7"/>
      <c r="F306" s="7"/>
      <c r="G306" s="7"/>
      <c r="H306" t="s">
        <v>67</v>
      </c>
      <c r="I306" t="s">
        <v>21942</v>
      </c>
      <c r="J306" t="s">
        <v>69</v>
      </c>
      <c r="K306" t="s">
        <v>69</v>
      </c>
      <c r="L306" t="s">
        <v>69</v>
      </c>
      <c r="M306" t="s">
        <v>21943</v>
      </c>
      <c r="N306" t="s">
        <v>69</v>
      </c>
      <c r="O306" t="s">
        <v>69</v>
      </c>
      <c r="P306" t="s">
        <v>21944</v>
      </c>
      <c r="Q306" t="s">
        <v>21945</v>
      </c>
      <c r="R306" t="s">
        <v>69</v>
      </c>
      <c r="S306" t="s">
        <v>69</v>
      </c>
      <c r="T306" t="s">
        <v>10153</v>
      </c>
      <c r="U306" t="s">
        <v>8506</v>
      </c>
      <c r="V306" t="s">
        <v>69</v>
      </c>
      <c r="W306" t="s">
        <v>69</v>
      </c>
      <c r="X306" t="s">
        <v>69</v>
      </c>
      <c r="Y306" t="s">
        <v>69</v>
      </c>
      <c r="Z306" t="s">
        <v>69</v>
      </c>
      <c r="AA306" t="s">
        <v>21946</v>
      </c>
      <c r="AB306" t="s">
        <v>69</v>
      </c>
      <c r="AC306" t="s">
        <v>21947</v>
      </c>
      <c r="AD306" t="s">
        <v>21948</v>
      </c>
      <c r="AE306" t="s">
        <v>69</v>
      </c>
      <c r="AF306" t="s">
        <v>21949</v>
      </c>
      <c r="AG306" t="s">
        <v>21950</v>
      </c>
      <c r="AH306" t="s">
        <v>21951</v>
      </c>
      <c r="AI306" t="s">
        <v>21952</v>
      </c>
      <c r="AJ306" t="s">
        <v>69</v>
      </c>
      <c r="AK306" t="s">
        <v>69</v>
      </c>
      <c r="AL306" t="s">
        <v>69</v>
      </c>
      <c r="AM306" t="s">
        <v>69</v>
      </c>
      <c r="AN306">
        <v>30</v>
      </c>
      <c r="AO306">
        <v>0</v>
      </c>
      <c r="AP306">
        <v>0</v>
      </c>
      <c r="AQ306">
        <v>1</v>
      </c>
      <c r="AR306">
        <v>7</v>
      </c>
      <c r="AS306" t="s">
        <v>21953</v>
      </c>
      <c r="AT306" t="s">
        <v>21954</v>
      </c>
      <c r="AU306" t="s">
        <v>21955</v>
      </c>
      <c r="AV306" t="s">
        <v>21956</v>
      </c>
      <c r="AW306" t="s">
        <v>69</v>
      </c>
      <c r="AX306" t="s">
        <v>69</v>
      </c>
      <c r="AY306" t="s">
        <v>21957</v>
      </c>
      <c r="AZ306" t="s">
        <v>21958</v>
      </c>
      <c r="BA306" t="s">
        <v>602</v>
      </c>
      <c r="BB306">
        <v>2016</v>
      </c>
      <c r="BC306">
        <v>6</v>
      </c>
      <c r="BD306">
        <v>1</v>
      </c>
      <c r="BE306" t="s">
        <v>69</v>
      </c>
      <c r="BF306" t="s">
        <v>69</v>
      </c>
      <c r="BG306" t="s">
        <v>69</v>
      </c>
      <c r="BH306" t="s">
        <v>69</v>
      </c>
      <c r="BI306">
        <v>2909</v>
      </c>
      <c r="BJ306">
        <v>2924</v>
      </c>
      <c r="BK306" t="s">
        <v>69</v>
      </c>
      <c r="BL306" t="s">
        <v>21959</v>
      </c>
      <c r="BM306" t="str">
        <f>HYPERLINK("http://dx.doi.org/10.7198/S2237-0722201600010014","http://dx.doi.org/10.7198/S2237-0722201600010014")</f>
        <v>http://dx.doi.org/10.7198/S2237-0722201600010014</v>
      </c>
      <c r="BN306" t="s">
        <v>69</v>
      </c>
      <c r="BO306" t="s">
        <v>69</v>
      </c>
      <c r="BP306">
        <v>16</v>
      </c>
      <c r="BQ306" t="s">
        <v>9410</v>
      </c>
      <c r="BR306" t="s">
        <v>8573</v>
      </c>
      <c r="BS306" t="s">
        <v>8594</v>
      </c>
      <c r="BT306" t="s">
        <v>21960</v>
      </c>
      <c r="BU306" t="s">
        <v>21961</v>
      </c>
      <c r="BV306" t="s">
        <v>69</v>
      </c>
      <c r="BW306" t="s">
        <v>10423</v>
      </c>
      <c r="BX306" t="s">
        <v>69</v>
      </c>
      <c r="BY306" t="s">
        <v>69</v>
      </c>
      <c r="BZ306" t="s">
        <v>8526</v>
      </c>
      <c r="CA306" t="str">
        <f>HYPERLINK("https%3A%2F%2Fwww.webofscience.com%2Fwos%2Fwoscc%2Ffull-record%2FWOS:000394613100014","View Full Record in Web of Science")</f>
        <v>View Full Record in Web of Science</v>
      </c>
    </row>
    <row r="307" spans="1:79" ht="12.5" x14ac:dyDescent="0.25">
      <c r="B307" t="s">
        <v>8495</v>
      </c>
      <c r="D307" s="22" t="s">
        <v>32931</v>
      </c>
      <c r="E307" s="7"/>
      <c r="F307" s="7"/>
      <c r="G307" s="7"/>
      <c r="H307" t="s">
        <v>67</v>
      </c>
      <c r="I307" t="s">
        <v>29692</v>
      </c>
      <c r="J307" t="s">
        <v>69</v>
      </c>
      <c r="K307" t="s">
        <v>69</v>
      </c>
      <c r="L307" t="s">
        <v>69</v>
      </c>
      <c r="M307" t="s">
        <v>29693</v>
      </c>
      <c r="N307" t="s">
        <v>69</v>
      </c>
      <c r="O307" t="s">
        <v>69</v>
      </c>
      <c r="P307" t="s">
        <v>29694</v>
      </c>
      <c r="Q307" t="s">
        <v>29695</v>
      </c>
      <c r="R307" t="s">
        <v>69</v>
      </c>
      <c r="S307" t="s">
        <v>69</v>
      </c>
      <c r="T307" t="s">
        <v>10071</v>
      </c>
      <c r="U307" t="s">
        <v>8506</v>
      </c>
      <c r="V307" t="s">
        <v>69</v>
      </c>
      <c r="W307" t="s">
        <v>69</v>
      </c>
      <c r="X307" t="s">
        <v>69</v>
      </c>
      <c r="Y307" t="s">
        <v>69</v>
      </c>
      <c r="Z307" t="s">
        <v>69</v>
      </c>
      <c r="AA307" t="s">
        <v>29696</v>
      </c>
      <c r="AB307" t="s">
        <v>69</v>
      </c>
      <c r="AC307" t="s">
        <v>29697</v>
      </c>
      <c r="AD307" t="s">
        <v>29698</v>
      </c>
      <c r="AE307" t="s">
        <v>69</v>
      </c>
      <c r="AF307" t="s">
        <v>29699</v>
      </c>
      <c r="AG307" t="s">
        <v>69</v>
      </c>
      <c r="AH307" t="s">
        <v>69</v>
      </c>
      <c r="AI307" t="s">
        <v>69</v>
      </c>
      <c r="AJ307" t="s">
        <v>69</v>
      </c>
      <c r="AK307" t="s">
        <v>69</v>
      </c>
      <c r="AL307" t="s">
        <v>69</v>
      </c>
      <c r="AM307" t="s">
        <v>69</v>
      </c>
      <c r="AN307">
        <v>20</v>
      </c>
      <c r="AO307">
        <v>0</v>
      </c>
      <c r="AP307">
        <v>0</v>
      </c>
      <c r="AQ307">
        <v>0</v>
      </c>
      <c r="AR307">
        <v>0</v>
      </c>
      <c r="AS307" t="s">
        <v>29700</v>
      </c>
      <c r="AT307" t="s">
        <v>29701</v>
      </c>
      <c r="AU307" t="s">
        <v>29702</v>
      </c>
      <c r="AV307" t="s">
        <v>29703</v>
      </c>
      <c r="AW307" t="s">
        <v>69</v>
      </c>
      <c r="AX307" t="s">
        <v>69</v>
      </c>
      <c r="AY307" t="s">
        <v>29704</v>
      </c>
      <c r="AZ307" t="s">
        <v>29705</v>
      </c>
      <c r="BA307" t="s">
        <v>155</v>
      </c>
      <c r="BB307">
        <v>2007</v>
      </c>
      <c r="BC307">
        <v>9</v>
      </c>
      <c r="BD307">
        <v>17</v>
      </c>
      <c r="BE307" t="s">
        <v>69</v>
      </c>
      <c r="BF307" t="s">
        <v>69</v>
      </c>
      <c r="BG307" t="s">
        <v>69</v>
      </c>
      <c r="BH307" t="s">
        <v>69</v>
      </c>
      <c r="BI307">
        <v>172</v>
      </c>
      <c r="BJ307">
        <v>186</v>
      </c>
      <c r="BK307" t="s">
        <v>69</v>
      </c>
      <c r="BL307" t="s">
        <v>69</v>
      </c>
      <c r="BM307" t="s">
        <v>69</v>
      </c>
      <c r="BN307" t="s">
        <v>69</v>
      </c>
      <c r="BO307" t="s">
        <v>69</v>
      </c>
      <c r="BP307">
        <v>15</v>
      </c>
      <c r="BQ307" t="s">
        <v>13241</v>
      </c>
      <c r="BR307" t="s">
        <v>8573</v>
      </c>
      <c r="BS307" t="s">
        <v>10084</v>
      </c>
      <c r="BT307" t="s">
        <v>29706</v>
      </c>
      <c r="BU307" t="s">
        <v>29707</v>
      </c>
      <c r="BV307" t="s">
        <v>69</v>
      </c>
      <c r="BW307" t="s">
        <v>69</v>
      </c>
      <c r="BX307" t="s">
        <v>69</v>
      </c>
      <c r="BY307" t="s">
        <v>69</v>
      </c>
      <c r="BZ307" t="s">
        <v>8526</v>
      </c>
      <c r="CA307" t="str">
        <f>HYPERLINK("https%3A%2F%2Fwww.webofscience.com%2Fwos%2Fwoscc%2Ffull-record%2FWOS:000217009100014","View Full Record in Web of Science")</f>
        <v>View Full Record in Web of Science</v>
      </c>
    </row>
    <row r="308" spans="1:79" ht="12.5" x14ac:dyDescent="0.25">
      <c r="B308" t="s">
        <v>8495</v>
      </c>
      <c r="D308" s="7" t="s">
        <v>32933</v>
      </c>
      <c r="E308" s="7"/>
      <c r="F308" s="7"/>
      <c r="G308" s="7"/>
      <c r="H308" t="s">
        <v>67</v>
      </c>
      <c r="I308" t="s">
        <v>6006</v>
      </c>
      <c r="J308" t="s">
        <v>69</v>
      </c>
      <c r="K308" t="s">
        <v>69</v>
      </c>
      <c r="L308" t="s">
        <v>69</v>
      </c>
      <c r="M308" t="s">
        <v>6007</v>
      </c>
      <c r="N308" t="s">
        <v>69</v>
      </c>
      <c r="O308" t="s">
        <v>69</v>
      </c>
      <c r="P308" t="s">
        <v>6008</v>
      </c>
      <c r="Q308" t="s">
        <v>6009</v>
      </c>
      <c r="R308" t="s">
        <v>69</v>
      </c>
      <c r="S308" t="s">
        <v>69</v>
      </c>
      <c r="T308" t="s">
        <v>8505</v>
      </c>
      <c r="U308" t="s">
        <v>8506</v>
      </c>
      <c r="V308" t="s">
        <v>69</v>
      </c>
      <c r="W308" t="s">
        <v>69</v>
      </c>
      <c r="X308" t="s">
        <v>69</v>
      </c>
      <c r="Y308" t="s">
        <v>69</v>
      </c>
      <c r="Z308" t="s">
        <v>69</v>
      </c>
      <c r="AA308" t="s">
        <v>69</v>
      </c>
      <c r="AB308" t="s">
        <v>29044</v>
      </c>
      <c r="AC308" t="s">
        <v>6010</v>
      </c>
      <c r="AD308" t="s">
        <v>29045</v>
      </c>
      <c r="AE308" t="s">
        <v>69</v>
      </c>
      <c r="AF308" t="s">
        <v>29046</v>
      </c>
      <c r="AG308" t="s">
        <v>29047</v>
      </c>
      <c r="AH308" t="s">
        <v>69</v>
      </c>
      <c r="AI308" t="s">
        <v>69</v>
      </c>
      <c r="AJ308" t="s">
        <v>69</v>
      </c>
      <c r="AK308" t="s">
        <v>69</v>
      </c>
      <c r="AL308" t="s">
        <v>69</v>
      </c>
      <c r="AM308" t="s">
        <v>69</v>
      </c>
      <c r="AN308">
        <v>48</v>
      </c>
      <c r="AO308">
        <v>38</v>
      </c>
      <c r="AP308">
        <v>38</v>
      </c>
      <c r="AQ308">
        <v>1</v>
      </c>
      <c r="AR308">
        <v>45</v>
      </c>
      <c r="AS308" t="s">
        <v>28353</v>
      </c>
      <c r="AT308" t="s">
        <v>28354</v>
      </c>
      <c r="AU308" t="s">
        <v>28355</v>
      </c>
      <c r="AV308" t="s">
        <v>6011</v>
      </c>
      <c r="AW308" t="s">
        <v>69</v>
      </c>
      <c r="AX308" t="s">
        <v>69</v>
      </c>
      <c r="AY308" t="s">
        <v>29048</v>
      </c>
      <c r="AZ308" t="s">
        <v>29049</v>
      </c>
      <c r="BA308" t="s">
        <v>274</v>
      </c>
      <c r="BB308">
        <v>2008</v>
      </c>
      <c r="BC308">
        <v>29</v>
      </c>
      <c r="BD308">
        <v>8</v>
      </c>
      <c r="BE308" t="s">
        <v>69</v>
      </c>
      <c r="BF308" t="s">
        <v>69</v>
      </c>
      <c r="BG308" t="s">
        <v>114</v>
      </c>
      <c r="BH308" t="s">
        <v>69</v>
      </c>
      <c r="BI308">
        <v>1101</v>
      </c>
      <c r="BJ308">
        <v>1121</v>
      </c>
      <c r="BK308" t="s">
        <v>69</v>
      </c>
      <c r="BL308" t="s">
        <v>6012</v>
      </c>
      <c r="BM308" t="str">
        <f>HYPERLINK("http://dx.doi.org/10.1002/job.557","http://dx.doi.org/10.1002/job.557")</f>
        <v>http://dx.doi.org/10.1002/job.557</v>
      </c>
      <c r="BN308" t="s">
        <v>69</v>
      </c>
      <c r="BO308" t="s">
        <v>69</v>
      </c>
      <c r="BP308">
        <v>21</v>
      </c>
      <c r="BQ308" t="s">
        <v>23099</v>
      </c>
      <c r="BR308" t="s">
        <v>8661</v>
      </c>
      <c r="BS308" t="s">
        <v>23100</v>
      </c>
      <c r="BT308" t="s">
        <v>29050</v>
      </c>
      <c r="BU308" t="s">
        <v>6013</v>
      </c>
      <c r="BV308" t="s">
        <v>69</v>
      </c>
      <c r="BW308" t="s">
        <v>69</v>
      </c>
      <c r="BX308" t="s">
        <v>69</v>
      </c>
      <c r="BY308" t="s">
        <v>69</v>
      </c>
      <c r="BZ308" t="s">
        <v>8526</v>
      </c>
      <c r="CA308" t="str">
        <f>HYPERLINK("https%3A%2F%2Fwww.webofscience.com%2Fwos%2Fwoscc%2Ffull-record%2FWOS:000261207900006","View Full Record in Web of Science")</f>
        <v>View Full Record in Web of Science</v>
      </c>
    </row>
    <row r="309" spans="1:79" ht="12.5" x14ac:dyDescent="0.25">
      <c r="B309" t="s">
        <v>8495</v>
      </c>
      <c r="D309" s="7" t="s">
        <v>32933</v>
      </c>
      <c r="E309" s="7"/>
      <c r="F309" s="7"/>
      <c r="G309" s="7"/>
      <c r="H309" t="s">
        <v>67</v>
      </c>
      <c r="I309" t="s">
        <v>1996</v>
      </c>
      <c r="J309" t="s">
        <v>69</v>
      </c>
      <c r="K309" t="s">
        <v>69</v>
      </c>
      <c r="L309" t="s">
        <v>69</v>
      </c>
      <c r="M309" t="s">
        <v>1997</v>
      </c>
      <c r="N309" t="s">
        <v>69</v>
      </c>
      <c r="O309" t="s">
        <v>69</v>
      </c>
      <c r="P309" t="s">
        <v>1998</v>
      </c>
      <c r="Q309" t="s">
        <v>1999</v>
      </c>
      <c r="R309" t="s">
        <v>69</v>
      </c>
      <c r="S309" t="s">
        <v>69</v>
      </c>
      <c r="T309" t="s">
        <v>8505</v>
      </c>
      <c r="U309" t="s">
        <v>8506</v>
      </c>
      <c r="V309" t="s">
        <v>69</v>
      </c>
      <c r="W309" t="s">
        <v>69</v>
      </c>
      <c r="X309" t="s">
        <v>69</v>
      </c>
      <c r="Y309" t="s">
        <v>69</v>
      </c>
      <c r="Z309" t="s">
        <v>69</v>
      </c>
      <c r="AA309" t="s">
        <v>15430</v>
      </c>
      <c r="AB309" t="s">
        <v>15431</v>
      </c>
      <c r="AC309" t="s">
        <v>2000</v>
      </c>
      <c r="AD309" t="s">
        <v>15432</v>
      </c>
      <c r="AE309" t="s">
        <v>69</v>
      </c>
      <c r="AF309" t="s">
        <v>15433</v>
      </c>
      <c r="AG309" t="s">
        <v>15434</v>
      </c>
      <c r="AH309" t="s">
        <v>69</v>
      </c>
      <c r="AI309" t="s">
        <v>15435</v>
      </c>
      <c r="AJ309" t="s">
        <v>69</v>
      </c>
      <c r="AK309" t="s">
        <v>69</v>
      </c>
      <c r="AL309" t="s">
        <v>69</v>
      </c>
      <c r="AM309" t="s">
        <v>69</v>
      </c>
      <c r="AN309">
        <v>82</v>
      </c>
      <c r="AO309">
        <v>6</v>
      </c>
      <c r="AP309">
        <v>6</v>
      </c>
      <c r="AQ309">
        <v>2</v>
      </c>
      <c r="AR309">
        <v>18</v>
      </c>
      <c r="AS309" t="s">
        <v>8586</v>
      </c>
      <c r="AT309" t="s">
        <v>8587</v>
      </c>
      <c r="AU309" t="s">
        <v>8588</v>
      </c>
      <c r="AV309" t="s">
        <v>2001</v>
      </c>
      <c r="AW309" t="s">
        <v>2002</v>
      </c>
      <c r="AX309" t="s">
        <v>69</v>
      </c>
      <c r="AY309" t="s">
        <v>15436</v>
      </c>
      <c r="AZ309" t="s">
        <v>15437</v>
      </c>
      <c r="BA309" t="s">
        <v>2003</v>
      </c>
      <c r="BB309">
        <v>2020</v>
      </c>
      <c r="BC309">
        <v>42</v>
      </c>
      <c r="BD309">
        <v>5</v>
      </c>
      <c r="BE309" t="s">
        <v>69</v>
      </c>
      <c r="BF309" t="s">
        <v>69</v>
      </c>
      <c r="BG309" t="s">
        <v>114</v>
      </c>
      <c r="BH309" t="s">
        <v>69</v>
      </c>
      <c r="BI309">
        <v>1159</v>
      </c>
      <c r="BJ309">
        <v>1177</v>
      </c>
      <c r="BK309" t="s">
        <v>69</v>
      </c>
      <c r="BL309" t="s">
        <v>2004</v>
      </c>
      <c r="BM309" t="str">
        <f>HYPERLINK("http://dx.doi.org/10.1108/ER-08-2019-0327","http://dx.doi.org/10.1108/ER-08-2019-0327")</f>
        <v>http://dx.doi.org/10.1108/ER-08-2019-0327</v>
      </c>
      <c r="BN309" t="s">
        <v>69</v>
      </c>
      <c r="BO309" t="s">
        <v>767</v>
      </c>
      <c r="BP309">
        <v>19</v>
      </c>
      <c r="BQ309" t="s">
        <v>15438</v>
      </c>
      <c r="BR309" t="s">
        <v>8661</v>
      </c>
      <c r="BS309" t="s">
        <v>8594</v>
      </c>
      <c r="BT309" t="s">
        <v>15439</v>
      </c>
      <c r="BU309" t="s">
        <v>2005</v>
      </c>
      <c r="BV309" t="s">
        <v>69</v>
      </c>
      <c r="BW309" t="s">
        <v>10995</v>
      </c>
      <c r="BX309" t="s">
        <v>69</v>
      </c>
      <c r="BY309" t="s">
        <v>69</v>
      </c>
      <c r="BZ309" t="s">
        <v>8526</v>
      </c>
      <c r="CA309" t="str">
        <f>HYPERLINK("https%3A%2F%2Fwww.webofscience.com%2Fwos%2Fwoscc%2Ffull-record%2FWOS:000522864100001","View Full Record in Web of Science")</f>
        <v>View Full Record in Web of Science</v>
      </c>
    </row>
    <row r="310" spans="1:79" ht="12.5" x14ac:dyDescent="0.25">
      <c r="B310" t="s">
        <v>8495</v>
      </c>
      <c r="D310" s="7" t="s">
        <v>32933</v>
      </c>
      <c r="E310" s="7"/>
      <c r="F310" s="7"/>
      <c r="G310" s="7"/>
      <c r="H310" t="s">
        <v>67</v>
      </c>
      <c r="I310" t="s">
        <v>7268</v>
      </c>
      <c r="J310" t="s">
        <v>69</v>
      </c>
      <c r="K310" t="s">
        <v>69</v>
      </c>
      <c r="L310" t="s">
        <v>69</v>
      </c>
      <c r="M310" t="s">
        <v>7268</v>
      </c>
      <c r="N310" t="s">
        <v>69</v>
      </c>
      <c r="O310" t="s">
        <v>69</v>
      </c>
      <c r="P310" t="s">
        <v>7269</v>
      </c>
      <c r="Q310" t="s">
        <v>294</v>
      </c>
      <c r="R310" t="s">
        <v>69</v>
      </c>
      <c r="S310" t="s">
        <v>69</v>
      </c>
      <c r="T310" t="s">
        <v>8505</v>
      </c>
      <c r="U310" t="s">
        <v>8506</v>
      </c>
      <c r="V310" t="s">
        <v>69</v>
      </c>
      <c r="W310" t="s">
        <v>69</v>
      </c>
      <c r="X310" t="s">
        <v>69</v>
      </c>
      <c r="Y310" t="s">
        <v>69</v>
      </c>
      <c r="Z310" t="s">
        <v>69</v>
      </c>
      <c r="AA310" t="s">
        <v>30850</v>
      </c>
      <c r="AB310" t="s">
        <v>69</v>
      </c>
      <c r="AC310" t="s">
        <v>7270</v>
      </c>
      <c r="AD310" t="s">
        <v>30851</v>
      </c>
      <c r="AE310" t="s">
        <v>69</v>
      </c>
      <c r="AF310" t="s">
        <v>30852</v>
      </c>
      <c r="AG310" t="s">
        <v>30853</v>
      </c>
      <c r="AH310" t="s">
        <v>69</v>
      </c>
      <c r="AI310" t="s">
        <v>69</v>
      </c>
      <c r="AJ310" t="s">
        <v>69</v>
      </c>
      <c r="AK310" t="s">
        <v>69</v>
      </c>
      <c r="AL310" t="s">
        <v>69</v>
      </c>
      <c r="AM310" t="s">
        <v>69</v>
      </c>
      <c r="AN310">
        <v>7</v>
      </c>
      <c r="AO310">
        <v>12</v>
      </c>
      <c r="AP310">
        <v>13</v>
      </c>
      <c r="AQ310">
        <v>0</v>
      </c>
      <c r="AR310">
        <v>28</v>
      </c>
      <c r="AS310" t="s">
        <v>30854</v>
      </c>
      <c r="AT310" t="s">
        <v>30855</v>
      </c>
      <c r="AU310" t="s">
        <v>30856</v>
      </c>
      <c r="AV310" t="s">
        <v>297</v>
      </c>
      <c r="AW310" t="s">
        <v>69</v>
      </c>
      <c r="AX310" t="s">
        <v>69</v>
      </c>
      <c r="AY310" t="s">
        <v>13428</v>
      </c>
      <c r="AZ310" t="s">
        <v>13429</v>
      </c>
      <c r="BA310" t="s">
        <v>69</v>
      </c>
      <c r="BB310">
        <v>2005</v>
      </c>
      <c r="BC310">
        <v>12</v>
      </c>
      <c r="BD310">
        <v>1</v>
      </c>
      <c r="BE310" t="s">
        <v>69</v>
      </c>
      <c r="BF310" t="s">
        <v>69</v>
      </c>
      <c r="BG310" t="s">
        <v>69</v>
      </c>
      <c r="BH310" t="s">
        <v>69</v>
      </c>
      <c r="BI310">
        <v>49</v>
      </c>
      <c r="BJ310">
        <v>53</v>
      </c>
      <c r="BK310" t="s">
        <v>69</v>
      </c>
      <c r="BL310" t="s">
        <v>7271</v>
      </c>
      <c r="BM310" t="str">
        <f>HYPERLINK("http://dx.doi.org/10.1065/espr2004.12.227","http://dx.doi.org/10.1065/espr2004.12.227")</f>
        <v>http://dx.doi.org/10.1065/espr2004.12.227</v>
      </c>
      <c r="BN310" t="s">
        <v>69</v>
      </c>
      <c r="BO310" t="s">
        <v>69</v>
      </c>
      <c r="BP310">
        <v>5</v>
      </c>
      <c r="BQ310" t="s">
        <v>8717</v>
      </c>
      <c r="BR310" t="s">
        <v>8548</v>
      </c>
      <c r="BS310" t="s">
        <v>8662</v>
      </c>
      <c r="BT310" t="s">
        <v>30857</v>
      </c>
      <c r="BU310" t="s">
        <v>7272</v>
      </c>
      <c r="BV310">
        <v>15768740</v>
      </c>
      <c r="BW310" t="s">
        <v>69</v>
      </c>
      <c r="BX310" t="s">
        <v>69</v>
      </c>
      <c r="BY310" t="s">
        <v>69</v>
      </c>
      <c r="BZ310" t="s">
        <v>8526</v>
      </c>
      <c r="CA310" t="str">
        <f>HYPERLINK("https%3A%2F%2Fwww.webofscience.com%2Fwos%2Fwoscc%2Ffull-record%2FWOS:000226735600008","View Full Record in Web of Science")</f>
        <v>View Full Record in Web of Science</v>
      </c>
    </row>
    <row r="311" spans="1:79" ht="12.5" x14ac:dyDescent="0.25">
      <c r="B311" t="s">
        <v>8495</v>
      </c>
      <c r="D311" s="7" t="s">
        <v>32933</v>
      </c>
      <c r="E311" s="7"/>
      <c r="F311" s="7"/>
      <c r="G311" s="7"/>
      <c r="H311" t="s">
        <v>67</v>
      </c>
      <c r="I311" t="s">
        <v>5564</v>
      </c>
      <c r="J311" t="s">
        <v>69</v>
      </c>
      <c r="K311" t="s">
        <v>69</v>
      </c>
      <c r="L311" t="s">
        <v>69</v>
      </c>
      <c r="M311" t="s">
        <v>5565</v>
      </c>
      <c r="N311" t="s">
        <v>69</v>
      </c>
      <c r="O311" t="s">
        <v>69</v>
      </c>
      <c r="P311" t="s">
        <v>6158</v>
      </c>
      <c r="Q311" t="s">
        <v>5567</v>
      </c>
      <c r="R311" t="s">
        <v>69</v>
      </c>
      <c r="S311" t="s">
        <v>69</v>
      </c>
      <c r="T311" t="s">
        <v>8505</v>
      </c>
      <c r="U311" t="s">
        <v>8442</v>
      </c>
      <c r="V311" t="s">
        <v>69</v>
      </c>
      <c r="W311" t="s">
        <v>69</v>
      </c>
      <c r="X311" t="s">
        <v>69</v>
      </c>
      <c r="Y311" t="s">
        <v>69</v>
      </c>
      <c r="Z311" t="s">
        <v>69</v>
      </c>
      <c r="AA311" t="s">
        <v>18020</v>
      </c>
      <c r="AB311" t="s">
        <v>18021</v>
      </c>
      <c r="AC311" t="s">
        <v>6159</v>
      </c>
      <c r="AD311" t="s">
        <v>17395</v>
      </c>
      <c r="AE311" t="s">
        <v>69</v>
      </c>
      <c r="AF311" t="s">
        <v>17396</v>
      </c>
      <c r="AG311" t="s">
        <v>17397</v>
      </c>
      <c r="AH311" t="s">
        <v>5569</v>
      </c>
      <c r="AI311" t="s">
        <v>5570</v>
      </c>
      <c r="AJ311" t="s">
        <v>69</v>
      </c>
      <c r="AK311" t="s">
        <v>69</v>
      </c>
      <c r="AL311" t="s">
        <v>69</v>
      </c>
      <c r="AM311" t="s">
        <v>69</v>
      </c>
      <c r="AN311">
        <v>21</v>
      </c>
      <c r="AO311">
        <v>1</v>
      </c>
      <c r="AP311">
        <v>1</v>
      </c>
      <c r="AQ311">
        <v>2</v>
      </c>
      <c r="AR311">
        <v>4</v>
      </c>
      <c r="AS311" t="s">
        <v>17400</v>
      </c>
      <c r="AT311" t="s">
        <v>17401</v>
      </c>
      <c r="AU311" t="s">
        <v>17402</v>
      </c>
      <c r="AV311" t="s">
        <v>5571</v>
      </c>
      <c r="AW311" t="s">
        <v>5572</v>
      </c>
      <c r="AX311" t="s">
        <v>69</v>
      </c>
      <c r="AY311" t="s">
        <v>17403</v>
      </c>
      <c r="AZ311" t="s">
        <v>17404</v>
      </c>
      <c r="BA311" t="s">
        <v>75</v>
      </c>
      <c r="BB311">
        <v>2018</v>
      </c>
      <c r="BC311">
        <v>6</v>
      </c>
      <c r="BD311">
        <v>3</v>
      </c>
      <c r="BE311" t="s">
        <v>69</v>
      </c>
      <c r="BF311" t="s">
        <v>69</v>
      </c>
      <c r="BG311" t="s">
        <v>69</v>
      </c>
      <c r="BH311" t="s">
        <v>69</v>
      </c>
      <c r="BI311">
        <v>656</v>
      </c>
      <c r="BJ311">
        <v>663</v>
      </c>
      <c r="BK311" t="s">
        <v>69</v>
      </c>
      <c r="BL311" t="s">
        <v>6160</v>
      </c>
      <c r="BM311" t="str">
        <f>HYPERLINK("http://dx.doi.org/10.12944/CRNFSJ.6.3.07","http://dx.doi.org/10.12944/CRNFSJ.6.3.07")</f>
        <v>http://dx.doi.org/10.12944/CRNFSJ.6.3.07</v>
      </c>
      <c r="BN311" t="s">
        <v>69</v>
      </c>
      <c r="BO311" t="s">
        <v>69</v>
      </c>
      <c r="BP311">
        <v>8</v>
      </c>
      <c r="BQ311" t="s">
        <v>17221</v>
      </c>
      <c r="BR311" t="s">
        <v>8573</v>
      </c>
      <c r="BS311" t="s">
        <v>17221</v>
      </c>
      <c r="BT311" t="s">
        <v>18022</v>
      </c>
      <c r="BU311" t="s">
        <v>6161</v>
      </c>
      <c r="BV311" t="s">
        <v>69</v>
      </c>
      <c r="BW311" t="s">
        <v>8931</v>
      </c>
      <c r="BX311" t="s">
        <v>69</v>
      </c>
      <c r="BY311" t="s">
        <v>69</v>
      </c>
      <c r="BZ311" t="s">
        <v>8526</v>
      </c>
      <c r="CA311" t="str">
        <f>HYPERLINK("https%3A%2F%2Fwww.webofscience.com%2Fwos%2Fwoscc%2Ffull-record%2FWOS:000457114000007","View Full Record in Web of Science")</f>
        <v>View Full Record in Web of Science</v>
      </c>
    </row>
    <row r="312" spans="1:79" ht="12.5" x14ac:dyDescent="0.25">
      <c r="B312" t="s">
        <v>8495</v>
      </c>
      <c r="D312" s="7" t="s">
        <v>32933</v>
      </c>
      <c r="E312" s="7"/>
      <c r="F312" s="7"/>
      <c r="G312" s="7"/>
      <c r="H312" t="s">
        <v>67</v>
      </c>
      <c r="I312" t="s">
        <v>5564</v>
      </c>
      <c r="J312" t="s">
        <v>69</v>
      </c>
      <c r="K312" t="s">
        <v>69</v>
      </c>
      <c r="L312" t="s">
        <v>69</v>
      </c>
      <c r="M312" t="s">
        <v>5565</v>
      </c>
      <c r="N312" t="s">
        <v>69</v>
      </c>
      <c r="O312" t="s">
        <v>69</v>
      </c>
      <c r="P312" t="s">
        <v>5566</v>
      </c>
      <c r="Q312" t="s">
        <v>5567</v>
      </c>
      <c r="R312" t="s">
        <v>69</v>
      </c>
      <c r="S312" t="s">
        <v>69</v>
      </c>
      <c r="T312" t="s">
        <v>8505</v>
      </c>
      <c r="U312" t="s">
        <v>8506</v>
      </c>
      <c r="V312" t="s">
        <v>69</v>
      </c>
      <c r="W312" t="s">
        <v>69</v>
      </c>
      <c r="X312" t="s">
        <v>69</v>
      </c>
      <c r="Y312" t="s">
        <v>69</v>
      </c>
      <c r="Z312" t="s">
        <v>69</v>
      </c>
      <c r="AA312" t="s">
        <v>17393</v>
      </c>
      <c r="AB312" t="s">
        <v>17394</v>
      </c>
      <c r="AC312" t="s">
        <v>5568</v>
      </c>
      <c r="AD312" t="s">
        <v>17395</v>
      </c>
      <c r="AE312" t="s">
        <v>69</v>
      </c>
      <c r="AF312" t="s">
        <v>17396</v>
      </c>
      <c r="AG312" t="s">
        <v>17397</v>
      </c>
      <c r="AH312" t="s">
        <v>5569</v>
      </c>
      <c r="AI312" t="s">
        <v>5570</v>
      </c>
      <c r="AJ312" t="s">
        <v>17398</v>
      </c>
      <c r="AK312" t="s">
        <v>17398</v>
      </c>
      <c r="AL312" t="s">
        <v>17399</v>
      </c>
      <c r="AM312" t="s">
        <v>69</v>
      </c>
      <c r="AN312">
        <v>41</v>
      </c>
      <c r="AO312">
        <v>1</v>
      </c>
      <c r="AP312">
        <v>1</v>
      </c>
      <c r="AQ312">
        <v>0</v>
      </c>
      <c r="AR312">
        <v>4</v>
      </c>
      <c r="AS312" t="s">
        <v>17400</v>
      </c>
      <c r="AT312" t="s">
        <v>17401</v>
      </c>
      <c r="AU312" t="s">
        <v>17402</v>
      </c>
      <c r="AV312" t="s">
        <v>5571</v>
      </c>
      <c r="AW312" t="s">
        <v>5572</v>
      </c>
      <c r="AX312" t="s">
        <v>69</v>
      </c>
      <c r="AY312" t="s">
        <v>17403</v>
      </c>
      <c r="AZ312" t="s">
        <v>17404</v>
      </c>
      <c r="BA312" t="s">
        <v>246</v>
      </c>
      <c r="BB312">
        <v>2019</v>
      </c>
      <c r="BC312">
        <v>7</v>
      </c>
      <c r="BD312">
        <v>1</v>
      </c>
      <c r="BE312" t="s">
        <v>69</v>
      </c>
      <c r="BF312" t="s">
        <v>69</v>
      </c>
      <c r="BG312" t="s">
        <v>69</v>
      </c>
      <c r="BH312" t="s">
        <v>69</v>
      </c>
      <c r="BI312">
        <v>41</v>
      </c>
      <c r="BJ312">
        <v>51</v>
      </c>
      <c r="BK312" t="s">
        <v>69</v>
      </c>
      <c r="BL312" t="s">
        <v>5573</v>
      </c>
      <c r="BM312" t="str">
        <f>HYPERLINK("http://dx.doi.org/10.12944/CRNFSJ.7.1.05","http://dx.doi.org/10.12944/CRNFSJ.7.1.05")</f>
        <v>http://dx.doi.org/10.12944/CRNFSJ.7.1.05</v>
      </c>
      <c r="BN312" t="s">
        <v>69</v>
      </c>
      <c r="BO312" t="s">
        <v>69</v>
      </c>
      <c r="BP312">
        <v>11</v>
      </c>
      <c r="BQ312" t="s">
        <v>17221</v>
      </c>
      <c r="BR312" t="s">
        <v>8573</v>
      </c>
      <c r="BS312" t="s">
        <v>17221</v>
      </c>
      <c r="BT312" t="s">
        <v>17405</v>
      </c>
      <c r="BU312" t="s">
        <v>5574</v>
      </c>
      <c r="BV312" t="s">
        <v>69</v>
      </c>
      <c r="BW312" t="s">
        <v>8931</v>
      </c>
      <c r="BX312" t="s">
        <v>69</v>
      </c>
      <c r="BY312" t="s">
        <v>69</v>
      </c>
      <c r="BZ312" t="s">
        <v>8526</v>
      </c>
      <c r="CA312" t="str">
        <f>HYPERLINK("https%3A%2F%2Fwww.webofscience.com%2Fwos%2Fwoscc%2Ffull-record%2FWOS:000484353400005","View Full Record in Web of Science")</f>
        <v>View Full Record in Web of Science</v>
      </c>
    </row>
    <row r="313" spans="1:79" ht="12.5" x14ac:dyDescent="0.25">
      <c r="B313" t="s">
        <v>8495</v>
      </c>
      <c r="D313" s="22" t="s">
        <v>32931</v>
      </c>
      <c r="E313" s="7"/>
      <c r="F313" s="7"/>
      <c r="G313" s="7"/>
      <c r="H313" t="s">
        <v>67</v>
      </c>
      <c r="I313" t="s">
        <v>27936</v>
      </c>
      <c r="J313" t="s">
        <v>69</v>
      </c>
      <c r="K313" t="s">
        <v>69</v>
      </c>
      <c r="L313" t="s">
        <v>69</v>
      </c>
      <c r="M313" t="s">
        <v>27937</v>
      </c>
      <c r="N313" t="s">
        <v>69</v>
      </c>
      <c r="O313" t="s">
        <v>69</v>
      </c>
      <c r="P313" t="s">
        <v>27938</v>
      </c>
      <c r="Q313" t="s">
        <v>27939</v>
      </c>
      <c r="R313" t="s">
        <v>69</v>
      </c>
      <c r="S313" t="s">
        <v>69</v>
      </c>
      <c r="T313" t="s">
        <v>8505</v>
      </c>
      <c r="U313" t="s">
        <v>8506</v>
      </c>
      <c r="V313" t="s">
        <v>69</v>
      </c>
      <c r="W313" t="s">
        <v>69</v>
      </c>
      <c r="X313" t="s">
        <v>69</v>
      </c>
      <c r="Y313" t="s">
        <v>69</v>
      </c>
      <c r="Z313" t="s">
        <v>69</v>
      </c>
      <c r="AA313" t="s">
        <v>69</v>
      </c>
      <c r="AB313" t="s">
        <v>27940</v>
      </c>
      <c r="AC313" t="s">
        <v>27941</v>
      </c>
      <c r="AD313" t="s">
        <v>27942</v>
      </c>
      <c r="AE313" t="s">
        <v>69</v>
      </c>
      <c r="AF313" t="s">
        <v>27943</v>
      </c>
      <c r="AG313" t="s">
        <v>69</v>
      </c>
      <c r="AH313" t="s">
        <v>27944</v>
      </c>
      <c r="AI313" t="s">
        <v>27945</v>
      </c>
      <c r="AJ313" t="s">
        <v>69</v>
      </c>
      <c r="AK313" t="s">
        <v>69</v>
      </c>
      <c r="AL313" t="s">
        <v>69</v>
      </c>
      <c r="AM313" t="s">
        <v>69</v>
      </c>
      <c r="AN313">
        <v>51</v>
      </c>
      <c r="AO313">
        <v>35</v>
      </c>
      <c r="AP313">
        <v>35</v>
      </c>
      <c r="AQ313">
        <v>0</v>
      </c>
      <c r="AR313">
        <v>6</v>
      </c>
      <c r="AS313" t="s">
        <v>27946</v>
      </c>
      <c r="AT313" t="s">
        <v>8735</v>
      </c>
      <c r="AU313" t="s">
        <v>27947</v>
      </c>
      <c r="AV313" t="s">
        <v>27948</v>
      </c>
      <c r="AW313" t="s">
        <v>69</v>
      </c>
      <c r="AX313" t="s">
        <v>69</v>
      </c>
      <c r="AY313" t="s">
        <v>27939</v>
      </c>
      <c r="AZ313" t="s">
        <v>27949</v>
      </c>
      <c r="BA313" t="s">
        <v>69</v>
      </c>
      <c r="BB313">
        <v>2010</v>
      </c>
      <c r="BC313">
        <v>89</v>
      </c>
      <c r="BD313">
        <v>2</v>
      </c>
      <c r="BE313" t="s">
        <v>69</v>
      </c>
      <c r="BF313" t="s">
        <v>69</v>
      </c>
      <c r="BG313" t="s">
        <v>114</v>
      </c>
      <c r="BH313" t="s">
        <v>69</v>
      </c>
      <c r="BI313">
        <v>131</v>
      </c>
      <c r="BJ313">
        <v>149</v>
      </c>
      <c r="BK313" t="s">
        <v>69</v>
      </c>
      <c r="BL313" t="s">
        <v>69</v>
      </c>
      <c r="BM313" t="s">
        <v>69</v>
      </c>
      <c r="BN313" t="s">
        <v>69</v>
      </c>
      <c r="BO313" t="s">
        <v>69</v>
      </c>
      <c r="BP313">
        <v>19</v>
      </c>
      <c r="BQ313" t="s">
        <v>27950</v>
      </c>
      <c r="BR313" t="s">
        <v>8661</v>
      </c>
      <c r="BS313" t="s">
        <v>27950</v>
      </c>
      <c r="BT313" t="s">
        <v>27951</v>
      </c>
      <c r="BU313" t="s">
        <v>27952</v>
      </c>
      <c r="BV313">
        <v>20857884</v>
      </c>
      <c r="BW313" t="s">
        <v>69</v>
      </c>
      <c r="BX313" t="s">
        <v>69</v>
      </c>
      <c r="BY313" t="s">
        <v>69</v>
      </c>
      <c r="BZ313" t="s">
        <v>8526</v>
      </c>
      <c r="CA313" t="str">
        <f>HYPERLINK("https%3A%2F%2Fwww.webofscience.com%2Fwos%2Fwoscc%2Ffull-record%2FWOS:000284202300010","View Full Record in Web of Science")</f>
        <v>View Full Record in Web of Science</v>
      </c>
    </row>
    <row r="314" spans="1:79" ht="12.5" x14ac:dyDescent="0.25">
      <c r="B314" t="s">
        <v>8495</v>
      </c>
      <c r="D314" s="7" t="s">
        <v>32933</v>
      </c>
      <c r="E314" s="7"/>
      <c r="F314" s="7"/>
      <c r="G314" s="7"/>
      <c r="H314" t="s">
        <v>67</v>
      </c>
      <c r="I314" t="s">
        <v>1011</v>
      </c>
      <c r="J314" t="s">
        <v>69</v>
      </c>
      <c r="K314" t="s">
        <v>69</v>
      </c>
      <c r="L314" t="s">
        <v>69</v>
      </c>
      <c r="M314" t="s">
        <v>1012</v>
      </c>
      <c r="N314" t="s">
        <v>69</v>
      </c>
      <c r="O314" t="s">
        <v>69</v>
      </c>
      <c r="P314" t="s">
        <v>1013</v>
      </c>
      <c r="Q314" t="s">
        <v>1014</v>
      </c>
      <c r="R314" t="s">
        <v>69</v>
      </c>
      <c r="S314" t="s">
        <v>69</v>
      </c>
      <c r="T314" t="s">
        <v>8505</v>
      </c>
      <c r="U314" t="s">
        <v>8506</v>
      </c>
      <c r="V314" t="s">
        <v>69</v>
      </c>
      <c r="W314" t="s">
        <v>69</v>
      </c>
      <c r="X314" t="s">
        <v>69</v>
      </c>
      <c r="Y314" t="s">
        <v>69</v>
      </c>
      <c r="Z314" t="s">
        <v>69</v>
      </c>
      <c r="AA314" t="s">
        <v>17667</v>
      </c>
      <c r="AB314" t="s">
        <v>69</v>
      </c>
      <c r="AC314" t="s">
        <v>1015</v>
      </c>
      <c r="AD314" t="s">
        <v>17668</v>
      </c>
      <c r="AE314" t="s">
        <v>69</v>
      </c>
      <c r="AF314" t="s">
        <v>17669</v>
      </c>
      <c r="AG314" t="s">
        <v>17670</v>
      </c>
      <c r="AH314" t="s">
        <v>69</v>
      </c>
      <c r="AI314" t="s">
        <v>69</v>
      </c>
      <c r="AJ314" t="s">
        <v>69</v>
      </c>
      <c r="AK314" t="s">
        <v>69</v>
      </c>
      <c r="AL314" t="s">
        <v>69</v>
      </c>
      <c r="AM314" t="s">
        <v>69</v>
      </c>
      <c r="AN314">
        <v>27</v>
      </c>
      <c r="AO314">
        <v>1</v>
      </c>
      <c r="AP314">
        <v>1</v>
      </c>
      <c r="AQ314">
        <v>2</v>
      </c>
      <c r="AR314">
        <v>18</v>
      </c>
      <c r="AS314" t="s">
        <v>17671</v>
      </c>
      <c r="AT314" t="s">
        <v>17672</v>
      </c>
      <c r="AU314" t="s">
        <v>17673</v>
      </c>
      <c r="AV314" t="s">
        <v>1016</v>
      </c>
      <c r="AW314" t="s">
        <v>1017</v>
      </c>
      <c r="AX314" t="s">
        <v>69</v>
      </c>
      <c r="AY314" t="s">
        <v>17674</v>
      </c>
      <c r="AZ314" t="s">
        <v>17675</v>
      </c>
      <c r="BA314" t="s">
        <v>69</v>
      </c>
      <c r="BB314">
        <v>2019</v>
      </c>
      <c r="BC314">
        <v>18</v>
      </c>
      <c r="BD314">
        <v>3</v>
      </c>
      <c r="BE314" t="s">
        <v>69</v>
      </c>
      <c r="BF314" t="s">
        <v>69</v>
      </c>
      <c r="BG314" t="s">
        <v>69</v>
      </c>
      <c r="BH314" t="s">
        <v>69</v>
      </c>
      <c r="BI314">
        <v>257</v>
      </c>
      <c r="BJ314">
        <v>287</v>
      </c>
      <c r="BK314" t="s">
        <v>69</v>
      </c>
      <c r="BL314" t="s">
        <v>1018</v>
      </c>
      <c r="BM314" t="str">
        <f>HYPERLINK("http://dx.doi.org/10.1163/15692108-12341428","http://dx.doi.org/10.1163/15692108-12341428")</f>
        <v>http://dx.doi.org/10.1163/15692108-12341428</v>
      </c>
      <c r="BN314" t="s">
        <v>69</v>
      </c>
      <c r="BO314" t="s">
        <v>69</v>
      </c>
      <c r="BP314">
        <v>31</v>
      </c>
      <c r="BQ314" t="s">
        <v>17049</v>
      </c>
      <c r="BR314" t="s">
        <v>8661</v>
      </c>
      <c r="BS314" t="s">
        <v>17049</v>
      </c>
      <c r="BT314" t="s">
        <v>17676</v>
      </c>
      <c r="BU314" t="s">
        <v>1019</v>
      </c>
      <c r="BV314" t="s">
        <v>69</v>
      </c>
      <c r="BW314" t="s">
        <v>69</v>
      </c>
      <c r="BX314" t="s">
        <v>69</v>
      </c>
      <c r="BY314" t="s">
        <v>69</v>
      </c>
      <c r="BZ314" t="s">
        <v>8526</v>
      </c>
      <c r="CA314" t="str">
        <f>HYPERLINK("https%3A%2F%2Fwww.webofscience.com%2Fwos%2Fwoscc%2Ffull-record%2FWOS:000497198700002","View Full Record in Web of Science")</f>
        <v>View Full Record in Web of Science</v>
      </c>
    </row>
    <row r="315" spans="1:79" ht="12.5" x14ac:dyDescent="0.25">
      <c r="B315" t="s">
        <v>8495</v>
      </c>
      <c r="D315" s="7" t="s">
        <v>32933</v>
      </c>
      <c r="E315" s="7"/>
      <c r="F315" s="7"/>
      <c r="G315" s="7"/>
      <c r="H315" t="s">
        <v>627</v>
      </c>
      <c r="I315" t="s">
        <v>4002</v>
      </c>
      <c r="J315" t="s">
        <v>69</v>
      </c>
      <c r="K315" t="s">
        <v>4003</v>
      </c>
      <c r="L315" t="s">
        <v>69</v>
      </c>
      <c r="M315" t="s">
        <v>4002</v>
      </c>
      <c r="N315" t="s">
        <v>69</v>
      </c>
      <c r="O315" t="s">
        <v>69</v>
      </c>
      <c r="P315" t="s">
        <v>4004</v>
      </c>
      <c r="Q315" t="s">
        <v>4005</v>
      </c>
      <c r="R315" t="s">
        <v>4006</v>
      </c>
      <c r="S315" t="s">
        <v>69</v>
      </c>
      <c r="T315" t="s">
        <v>8505</v>
      </c>
      <c r="U315" t="s">
        <v>15797</v>
      </c>
      <c r="V315" t="s">
        <v>4007</v>
      </c>
      <c r="W315" t="s">
        <v>4008</v>
      </c>
      <c r="X315" t="s">
        <v>4009</v>
      </c>
      <c r="Y315" t="s">
        <v>31312</v>
      </c>
      <c r="Z315" t="s">
        <v>69</v>
      </c>
      <c r="AA315" t="s">
        <v>69</v>
      </c>
      <c r="AB315" t="s">
        <v>69</v>
      </c>
      <c r="AC315" t="s">
        <v>4010</v>
      </c>
      <c r="AD315" t="s">
        <v>31313</v>
      </c>
      <c r="AE315" t="s">
        <v>69</v>
      </c>
      <c r="AF315" t="s">
        <v>31314</v>
      </c>
      <c r="AG315" t="s">
        <v>31315</v>
      </c>
      <c r="AH315" t="s">
        <v>31316</v>
      </c>
      <c r="AI315" t="s">
        <v>69</v>
      </c>
      <c r="AJ315" t="s">
        <v>69</v>
      </c>
      <c r="AK315" t="s">
        <v>69</v>
      </c>
      <c r="AL315" t="s">
        <v>69</v>
      </c>
      <c r="AM315" t="s">
        <v>69</v>
      </c>
      <c r="AN315">
        <v>10</v>
      </c>
      <c r="AO315">
        <v>0</v>
      </c>
      <c r="AP315">
        <v>0</v>
      </c>
      <c r="AQ315">
        <v>0</v>
      </c>
      <c r="AR315">
        <v>2</v>
      </c>
      <c r="AS315" t="s">
        <v>30409</v>
      </c>
      <c r="AT315" t="s">
        <v>11361</v>
      </c>
      <c r="AU315" t="s">
        <v>30410</v>
      </c>
      <c r="AV315" t="s">
        <v>4011</v>
      </c>
      <c r="AW315" t="s">
        <v>69</v>
      </c>
      <c r="AX315" t="s">
        <v>4012</v>
      </c>
      <c r="AY315" t="s">
        <v>30412</v>
      </c>
      <c r="AZ315" t="s">
        <v>69</v>
      </c>
      <c r="BA315" t="s">
        <v>69</v>
      </c>
      <c r="BB315">
        <v>2003</v>
      </c>
      <c r="BC315">
        <v>2889</v>
      </c>
      <c r="BD315" t="s">
        <v>69</v>
      </c>
      <c r="BE315" t="s">
        <v>69</v>
      </c>
      <c r="BF315" t="s">
        <v>69</v>
      </c>
      <c r="BG315" t="s">
        <v>69</v>
      </c>
      <c r="BH315" t="s">
        <v>69</v>
      </c>
      <c r="BI315">
        <v>1031</v>
      </c>
      <c r="BJ315">
        <v>1035</v>
      </c>
      <c r="BK315" t="s">
        <v>69</v>
      </c>
      <c r="BL315" t="s">
        <v>69</v>
      </c>
      <c r="BM315" t="s">
        <v>69</v>
      </c>
      <c r="BN315" t="s">
        <v>69</v>
      </c>
      <c r="BO315" t="s">
        <v>69</v>
      </c>
      <c r="BP315">
        <v>5</v>
      </c>
      <c r="BQ315" t="s">
        <v>31317</v>
      </c>
      <c r="BR315" t="s">
        <v>29550</v>
      </c>
      <c r="BS315" t="s">
        <v>10976</v>
      </c>
      <c r="BT315" t="s">
        <v>31318</v>
      </c>
      <c r="BU315" t="s">
        <v>4013</v>
      </c>
      <c r="BV315" t="s">
        <v>69</v>
      </c>
      <c r="BW315" t="s">
        <v>69</v>
      </c>
      <c r="BX315" t="s">
        <v>69</v>
      </c>
      <c r="BY315" t="s">
        <v>69</v>
      </c>
      <c r="BZ315" t="s">
        <v>8526</v>
      </c>
      <c r="CA315" t="str">
        <f>HYPERLINK("https%3A%2F%2Fwww.webofscience.com%2Fwos%2Fwoscc%2Ffull-record%2FWOS:000188513300097","View Full Record in Web of Science")</f>
        <v>View Full Record in Web of Science</v>
      </c>
    </row>
    <row r="316" spans="1:79" ht="12.5" x14ac:dyDescent="0.25">
      <c r="B316" t="s">
        <v>8495</v>
      </c>
      <c r="D316" s="7" t="s">
        <v>32933</v>
      </c>
      <c r="E316" s="7"/>
      <c r="F316" s="7"/>
      <c r="G316" s="7"/>
      <c r="H316" t="s">
        <v>67</v>
      </c>
      <c r="I316" t="s">
        <v>2006</v>
      </c>
      <c r="J316" t="s">
        <v>69</v>
      </c>
      <c r="K316" t="s">
        <v>69</v>
      </c>
      <c r="L316" t="s">
        <v>69</v>
      </c>
      <c r="M316" t="s">
        <v>2007</v>
      </c>
      <c r="N316" t="s">
        <v>69</v>
      </c>
      <c r="O316" t="s">
        <v>69</v>
      </c>
      <c r="P316" t="s">
        <v>2008</v>
      </c>
      <c r="Q316" t="s">
        <v>2009</v>
      </c>
      <c r="R316" t="s">
        <v>69</v>
      </c>
      <c r="S316" t="s">
        <v>69</v>
      </c>
      <c r="T316" t="s">
        <v>8505</v>
      </c>
      <c r="U316" t="s">
        <v>8506</v>
      </c>
      <c r="V316" t="s">
        <v>69</v>
      </c>
      <c r="W316" t="s">
        <v>69</v>
      </c>
      <c r="X316" t="s">
        <v>69</v>
      </c>
      <c r="Y316" t="s">
        <v>69</v>
      </c>
      <c r="Z316" t="s">
        <v>69</v>
      </c>
      <c r="AA316" t="s">
        <v>15485</v>
      </c>
      <c r="AB316" t="s">
        <v>69</v>
      </c>
      <c r="AC316" t="s">
        <v>2010</v>
      </c>
      <c r="AD316" t="s">
        <v>15486</v>
      </c>
      <c r="AE316" t="s">
        <v>69</v>
      </c>
      <c r="AF316" t="s">
        <v>15487</v>
      </c>
      <c r="AG316" t="s">
        <v>15488</v>
      </c>
      <c r="AH316" t="s">
        <v>69</v>
      </c>
      <c r="AI316" t="s">
        <v>15489</v>
      </c>
      <c r="AJ316" t="s">
        <v>15490</v>
      </c>
      <c r="AK316" t="s">
        <v>15491</v>
      </c>
      <c r="AL316" t="s">
        <v>15492</v>
      </c>
      <c r="AM316" t="s">
        <v>69</v>
      </c>
      <c r="AN316">
        <v>22</v>
      </c>
      <c r="AO316">
        <v>26</v>
      </c>
      <c r="AP316">
        <v>27</v>
      </c>
      <c r="AQ316">
        <v>15</v>
      </c>
      <c r="AR316">
        <v>24</v>
      </c>
      <c r="AS316" t="s">
        <v>8924</v>
      </c>
      <c r="AT316" t="s">
        <v>8925</v>
      </c>
      <c r="AU316" t="s">
        <v>8926</v>
      </c>
      <c r="AV316" t="s">
        <v>69</v>
      </c>
      <c r="AW316" t="s">
        <v>2011</v>
      </c>
      <c r="AX316" t="s">
        <v>69</v>
      </c>
      <c r="AY316" t="s">
        <v>11240</v>
      </c>
      <c r="AZ316" t="s">
        <v>11240</v>
      </c>
      <c r="BA316" t="s">
        <v>246</v>
      </c>
      <c r="BB316">
        <v>2020</v>
      </c>
      <c r="BC316">
        <v>10</v>
      </c>
      <c r="BD316">
        <v>4</v>
      </c>
      <c r="BE316" t="s">
        <v>69</v>
      </c>
      <c r="BF316" t="s">
        <v>69</v>
      </c>
      <c r="BG316" t="s">
        <v>69</v>
      </c>
      <c r="BH316" t="s">
        <v>69</v>
      </c>
      <c r="BI316" t="s">
        <v>69</v>
      </c>
      <c r="BJ316" t="s">
        <v>69</v>
      </c>
      <c r="BK316">
        <v>77</v>
      </c>
      <c r="BL316" t="s">
        <v>2012</v>
      </c>
      <c r="BM316" t="str">
        <f>HYPERLINK("http://dx.doi.org/10.3390/buildings10040077","http://dx.doi.org/10.3390/buildings10040077")</f>
        <v>http://dx.doi.org/10.3390/buildings10040077</v>
      </c>
      <c r="BN316" t="s">
        <v>69</v>
      </c>
      <c r="BO316" t="s">
        <v>69</v>
      </c>
      <c r="BP316">
        <v>16</v>
      </c>
      <c r="BQ316" t="s">
        <v>11242</v>
      </c>
      <c r="BR316" t="s">
        <v>8548</v>
      </c>
      <c r="BS316" t="s">
        <v>8549</v>
      </c>
      <c r="BT316" t="s">
        <v>15493</v>
      </c>
      <c r="BU316" t="s">
        <v>2013</v>
      </c>
      <c r="BV316" t="s">
        <v>69</v>
      </c>
      <c r="BW316" t="s">
        <v>8812</v>
      </c>
      <c r="BX316" t="s">
        <v>69</v>
      </c>
      <c r="BY316" t="s">
        <v>69</v>
      </c>
      <c r="BZ316" t="s">
        <v>8526</v>
      </c>
      <c r="CA316" t="str">
        <f>HYPERLINK("https%3A%2F%2Fwww.webofscience.com%2Fwos%2Fwoscc%2Ffull-record%2FWOS:000533888400013","View Full Record in Web of Science")</f>
        <v>View Full Record in Web of Science</v>
      </c>
    </row>
    <row r="317" spans="1:79" ht="12.5" x14ac:dyDescent="0.25">
      <c r="B317" t="s">
        <v>8495</v>
      </c>
      <c r="D317" s="7" t="s">
        <v>32933</v>
      </c>
      <c r="E317" s="7"/>
      <c r="F317" s="7"/>
      <c r="G317" s="7"/>
      <c r="H317" t="s">
        <v>67</v>
      </c>
      <c r="I317" t="s">
        <v>8062</v>
      </c>
      <c r="J317" t="s">
        <v>69</v>
      </c>
      <c r="K317" t="s">
        <v>69</v>
      </c>
      <c r="L317" t="s">
        <v>69</v>
      </c>
      <c r="M317" t="s">
        <v>8063</v>
      </c>
      <c r="N317" t="s">
        <v>69</v>
      </c>
      <c r="O317" t="s">
        <v>69</v>
      </c>
      <c r="P317" t="s">
        <v>8064</v>
      </c>
      <c r="Q317" t="s">
        <v>436</v>
      </c>
      <c r="R317" t="s">
        <v>69</v>
      </c>
      <c r="S317" t="s">
        <v>69</v>
      </c>
      <c r="T317" t="s">
        <v>8505</v>
      </c>
      <c r="U317" t="s">
        <v>8506</v>
      </c>
      <c r="V317" t="s">
        <v>69</v>
      </c>
      <c r="W317" t="s">
        <v>69</v>
      </c>
      <c r="X317" t="s">
        <v>69</v>
      </c>
      <c r="Y317" t="s">
        <v>69</v>
      </c>
      <c r="Z317" t="s">
        <v>69</v>
      </c>
      <c r="AA317" t="s">
        <v>17116</v>
      </c>
      <c r="AB317" t="s">
        <v>17117</v>
      </c>
      <c r="AC317" t="s">
        <v>8065</v>
      </c>
      <c r="AD317" t="s">
        <v>17118</v>
      </c>
      <c r="AE317" t="s">
        <v>69</v>
      </c>
      <c r="AF317" t="s">
        <v>17119</v>
      </c>
      <c r="AG317" t="s">
        <v>17120</v>
      </c>
      <c r="AH317" t="s">
        <v>69</v>
      </c>
      <c r="AI317" t="s">
        <v>69</v>
      </c>
      <c r="AJ317" t="s">
        <v>17121</v>
      </c>
      <c r="AK317" t="s">
        <v>17121</v>
      </c>
      <c r="AL317" t="s">
        <v>17122</v>
      </c>
      <c r="AM317" t="s">
        <v>69</v>
      </c>
      <c r="AN317">
        <v>130</v>
      </c>
      <c r="AO317">
        <v>73</v>
      </c>
      <c r="AP317">
        <v>73</v>
      </c>
      <c r="AQ317">
        <v>10</v>
      </c>
      <c r="AR317">
        <v>72</v>
      </c>
      <c r="AS317" t="s">
        <v>8636</v>
      </c>
      <c r="AT317" t="s">
        <v>8637</v>
      </c>
      <c r="AU317" t="s">
        <v>8638</v>
      </c>
      <c r="AV317" t="s">
        <v>440</v>
      </c>
      <c r="AW317" t="s">
        <v>441</v>
      </c>
      <c r="AX317" t="s">
        <v>69</v>
      </c>
      <c r="AY317" t="s">
        <v>8639</v>
      </c>
      <c r="AZ317" t="s">
        <v>8640</v>
      </c>
      <c r="BA317" t="s">
        <v>2216</v>
      </c>
      <c r="BB317">
        <v>2019</v>
      </c>
      <c r="BC317">
        <v>224</v>
      </c>
      <c r="BD317" t="s">
        <v>69</v>
      </c>
      <c r="BE317" t="s">
        <v>69</v>
      </c>
      <c r="BF317" t="s">
        <v>69</v>
      </c>
      <c r="BG317" t="s">
        <v>69</v>
      </c>
      <c r="BH317" t="s">
        <v>69</v>
      </c>
      <c r="BI317">
        <v>361</v>
      </c>
      <c r="BJ317">
        <v>374</v>
      </c>
      <c r="BK317" t="s">
        <v>69</v>
      </c>
      <c r="BL317" t="s">
        <v>8066</v>
      </c>
      <c r="BM317" t="str">
        <f>HYPERLINK("http://dx.doi.org/10.1016/j.jclepro.2019.03.115","http://dx.doi.org/10.1016/j.jclepro.2019.03.115")</f>
        <v>http://dx.doi.org/10.1016/j.jclepro.2019.03.115</v>
      </c>
      <c r="BN317" t="s">
        <v>69</v>
      </c>
      <c r="BO317" t="s">
        <v>69</v>
      </c>
      <c r="BP317">
        <v>14</v>
      </c>
      <c r="BQ317" t="s">
        <v>8643</v>
      </c>
      <c r="BR317" t="s">
        <v>8523</v>
      </c>
      <c r="BS317" t="s">
        <v>8644</v>
      </c>
      <c r="BT317" t="s">
        <v>17123</v>
      </c>
      <c r="BU317" t="s">
        <v>8067</v>
      </c>
      <c r="BV317" t="s">
        <v>69</v>
      </c>
      <c r="BW317" t="s">
        <v>69</v>
      </c>
      <c r="BX317" t="s">
        <v>69</v>
      </c>
      <c r="BY317" t="s">
        <v>69</v>
      </c>
      <c r="BZ317" t="s">
        <v>8526</v>
      </c>
      <c r="CA317" t="str">
        <f>HYPERLINK("https%3A%2F%2Fwww.webofscience.com%2Fwos%2Fwoscc%2Ffull-record%2FWOS:000469151900032","View Full Record in Web of Science")</f>
        <v>View Full Record in Web of Science</v>
      </c>
    </row>
    <row r="318" spans="1:79" ht="12.5" x14ac:dyDescent="0.25">
      <c r="B318" t="s">
        <v>8495</v>
      </c>
      <c r="D318" s="7" t="s">
        <v>32933</v>
      </c>
      <c r="E318" s="7"/>
      <c r="F318" s="7"/>
      <c r="G318" s="7"/>
      <c r="H318" t="s">
        <v>67</v>
      </c>
      <c r="I318" t="s">
        <v>1797</v>
      </c>
      <c r="J318" t="s">
        <v>69</v>
      </c>
      <c r="K318" t="s">
        <v>69</v>
      </c>
      <c r="L318" t="s">
        <v>69</v>
      </c>
      <c r="M318" t="s">
        <v>1797</v>
      </c>
      <c r="N318" t="s">
        <v>69</v>
      </c>
      <c r="O318" t="s">
        <v>69</v>
      </c>
      <c r="P318" t="s">
        <v>1798</v>
      </c>
      <c r="Q318" t="s">
        <v>1799</v>
      </c>
      <c r="R318" t="s">
        <v>69</v>
      </c>
      <c r="S318" t="s">
        <v>69</v>
      </c>
      <c r="T318" t="s">
        <v>8505</v>
      </c>
      <c r="U318" t="s">
        <v>8506</v>
      </c>
      <c r="V318" t="s">
        <v>69</v>
      </c>
      <c r="W318" t="s">
        <v>69</v>
      </c>
      <c r="X318" t="s">
        <v>69</v>
      </c>
      <c r="Y318" t="s">
        <v>69</v>
      </c>
      <c r="Z318" t="s">
        <v>69</v>
      </c>
      <c r="AA318" t="s">
        <v>32592</v>
      </c>
      <c r="AB318" t="s">
        <v>32593</v>
      </c>
      <c r="AC318" t="s">
        <v>1800</v>
      </c>
      <c r="AD318" t="s">
        <v>69</v>
      </c>
      <c r="AE318" t="s">
        <v>69</v>
      </c>
      <c r="AF318" t="s">
        <v>32594</v>
      </c>
      <c r="AG318" t="s">
        <v>69</v>
      </c>
      <c r="AH318" t="s">
        <v>69</v>
      </c>
      <c r="AI318" t="s">
        <v>69</v>
      </c>
      <c r="AJ318" t="s">
        <v>69</v>
      </c>
      <c r="AK318" t="s">
        <v>69</v>
      </c>
      <c r="AL318" t="s">
        <v>69</v>
      </c>
      <c r="AM318" t="s">
        <v>69</v>
      </c>
      <c r="AN318">
        <v>35</v>
      </c>
      <c r="AO318">
        <v>67</v>
      </c>
      <c r="AP318">
        <v>68</v>
      </c>
      <c r="AQ318">
        <v>0</v>
      </c>
      <c r="AR318">
        <v>4</v>
      </c>
      <c r="AS318" t="s">
        <v>32595</v>
      </c>
      <c r="AT318" t="s">
        <v>8693</v>
      </c>
      <c r="AU318" t="s">
        <v>32596</v>
      </c>
      <c r="AV318" t="s">
        <v>1801</v>
      </c>
      <c r="AW318" t="s">
        <v>69</v>
      </c>
      <c r="AX318" t="s">
        <v>69</v>
      </c>
      <c r="AY318" t="s">
        <v>15128</v>
      </c>
      <c r="AZ318" t="s">
        <v>15129</v>
      </c>
      <c r="BA318" t="s">
        <v>246</v>
      </c>
      <c r="BB318">
        <v>1995</v>
      </c>
      <c r="BC318">
        <v>15</v>
      </c>
      <c r="BD318">
        <v>2</v>
      </c>
      <c r="BE318" t="s">
        <v>69</v>
      </c>
      <c r="BF318" t="s">
        <v>69</v>
      </c>
      <c r="BG318" t="s">
        <v>69</v>
      </c>
      <c r="BH318" t="s">
        <v>69</v>
      </c>
      <c r="BI318">
        <v>147</v>
      </c>
      <c r="BJ318">
        <v>162</v>
      </c>
      <c r="BK318" t="s">
        <v>69</v>
      </c>
      <c r="BL318" t="s">
        <v>1802</v>
      </c>
      <c r="BM318" t="str">
        <f>HYPERLINK("http://dx.doi.org/10.1111/j.1539-6924.1995.tb00309.x","http://dx.doi.org/10.1111/j.1539-6924.1995.tb00309.x")</f>
        <v>http://dx.doi.org/10.1111/j.1539-6924.1995.tb00309.x</v>
      </c>
      <c r="BN318" t="s">
        <v>69</v>
      </c>
      <c r="BO318" t="s">
        <v>69</v>
      </c>
      <c r="BP318">
        <v>16</v>
      </c>
      <c r="BQ318" t="s">
        <v>15130</v>
      </c>
      <c r="BR318" t="s">
        <v>8661</v>
      </c>
      <c r="BS318" t="s">
        <v>15131</v>
      </c>
      <c r="BT318" t="s">
        <v>32597</v>
      </c>
      <c r="BU318" t="s">
        <v>1803</v>
      </c>
      <c r="BV318" t="s">
        <v>69</v>
      </c>
      <c r="BW318" t="s">
        <v>69</v>
      </c>
      <c r="BX318" t="s">
        <v>69</v>
      </c>
      <c r="BY318" t="s">
        <v>69</v>
      </c>
      <c r="BZ318" t="s">
        <v>8526</v>
      </c>
      <c r="CA318" t="str">
        <f>HYPERLINK("https%3A%2F%2Fwww.webofscience.com%2Fwos%2Fwoscc%2Ffull-record%2FWOS:A1995RE09100008","View Full Record in Web of Science")</f>
        <v>View Full Record in Web of Science</v>
      </c>
    </row>
    <row r="319" spans="1:79" x14ac:dyDescent="0.3">
      <c r="A319" t="s">
        <v>8408</v>
      </c>
      <c r="B319" t="s">
        <v>8495</v>
      </c>
      <c r="D319" s="10" t="s">
        <v>33170</v>
      </c>
      <c r="F319" s="10" t="s">
        <v>8490</v>
      </c>
      <c r="H319" t="s">
        <v>67</v>
      </c>
      <c r="I319" s="2" t="s">
        <v>87</v>
      </c>
      <c r="J319" t="s">
        <v>69</v>
      </c>
      <c r="K319" t="s">
        <v>69</v>
      </c>
      <c r="L319" t="s">
        <v>69</v>
      </c>
      <c r="M319" s="2" t="s">
        <v>88</v>
      </c>
      <c r="N319" t="s">
        <v>69</v>
      </c>
      <c r="O319" t="s">
        <v>69</v>
      </c>
      <c r="P319" s="5" t="s">
        <v>89</v>
      </c>
      <c r="Q319" t="s">
        <v>90</v>
      </c>
      <c r="R319" t="s">
        <v>69</v>
      </c>
      <c r="S319" t="s">
        <v>69</v>
      </c>
      <c r="T319" t="s">
        <v>8505</v>
      </c>
      <c r="U319" t="s">
        <v>8506</v>
      </c>
      <c r="V319" t="s">
        <v>69</v>
      </c>
      <c r="W319" t="s">
        <v>69</v>
      </c>
      <c r="X319" t="s">
        <v>69</v>
      </c>
      <c r="Y319" t="s">
        <v>69</v>
      </c>
      <c r="Z319" t="s">
        <v>69</v>
      </c>
      <c r="AA319" t="s">
        <v>27099</v>
      </c>
      <c r="AB319" t="s">
        <v>27100</v>
      </c>
      <c r="AC319" t="s">
        <v>91</v>
      </c>
      <c r="AD319" t="s">
        <v>27101</v>
      </c>
      <c r="AE319" t="s">
        <v>69</v>
      </c>
      <c r="AF319" t="s">
        <v>27102</v>
      </c>
      <c r="AG319" t="s">
        <v>27103</v>
      </c>
      <c r="AH319" t="s">
        <v>69</v>
      </c>
      <c r="AI319" t="s">
        <v>69</v>
      </c>
      <c r="AJ319" t="s">
        <v>69</v>
      </c>
      <c r="AK319" t="s">
        <v>69</v>
      </c>
      <c r="AL319" t="s">
        <v>69</v>
      </c>
      <c r="AM319" t="s">
        <v>69</v>
      </c>
      <c r="AN319">
        <v>85</v>
      </c>
      <c r="AO319">
        <v>27</v>
      </c>
      <c r="AP319">
        <v>27</v>
      </c>
      <c r="AQ319">
        <v>2</v>
      </c>
      <c r="AR319">
        <v>13</v>
      </c>
      <c r="AS319" t="s">
        <v>9047</v>
      </c>
      <c r="AT319" t="s">
        <v>9048</v>
      </c>
      <c r="AU319" t="s">
        <v>9049</v>
      </c>
      <c r="AV319" t="s">
        <v>92</v>
      </c>
      <c r="AW319" t="s">
        <v>93</v>
      </c>
      <c r="AX319" t="s">
        <v>69</v>
      </c>
      <c r="AY319" t="s">
        <v>27104</v>
      </c>
      <c r="AZ319" t="s">
        <v>27105</v>
      </c>
      <c r="BA319" t="s">
        <v>94</v>
      </c>
      <c r="BB319">
        <v>2011</v>
      </c>
      <c r="BC319">
        <v>11</v>
      </c>
      <c r="BD319">
        <v>1</v>
      </c>
      <c r="BE319" t="s">
        <v>69</v>
      </c>
      <c r="BF319" t="s">
        <v>69</v>
      </c>
      <c r="BG319" t="s">
        <v>69</v>
      </c>
      <c r="BH319" t="s">
        <v>69</v>
      </c>
      <c r="BI319">
        <v>43</v>
      </c>
      <c r="BJ319">
        <v>61</v>
      </c>
      <c r="BK319" t="s">
        <v>69</v>
      </c>
      <c r="BL319" t="s">
        <v>95</v>
      </c>
      <c r="BM319" t="str">
        <f>HYPERLINK("http://dx.doi.org/10.1007/s10784-011-9149-7","http://dx.doi.org/10.1007/s10784-011-9149-7")</f>
        <v>http://dx.doi.org/10.1007/s10784-011-9149-7</v>
      </c>
      <c r="BN319" t="s">
        <v>69</v>
      </c>
      <c r="BO319" t="s">
        <v>69</v>
      </c>
      <c r="BP319">
        <v>19</v>
      </c>
      <c r="BQ319" t="s">
        <v>27106</v>
      </c>
      <c r="BR319" t="s">
        <v>8661</v>
      </c>
      <c r="BS319" t="s">
        <v>27107</v>
      </c>
      <c r="BT319" t="s">
        <v>27108</v>
      </c>
      <c r="BU319" t="s">
        <v>96</v>
      </c>
      <c r="BV319" t="s">
        <v>69</v>
      </c>
      <c r="BW319" t="s">
        <v>69</v>
      </c>
      <c r="BX319" t="s">
        <v>69</v>
      </c>
      <c r="BY319" t="s">
        <v>69</v>
      </c>
      <c r="BZ319" t="s">
        <v>8526</v>
      </c>
      <c r="CA319" t="str">
        <f>HYPERLINK("https%3A%2F%2Fwww.webofscience.com%2Fwos%2Fwoscc%2Ffull-record%2FWOS:000293788900004","View Full Record in Web of Science")</f>
        <v>View Full Record in Web of Science</v>
      </c>
    </row>
    <row r="320" spans="1:79" ht="12.5" x14ac:dyDescent="0.25">
      <c r="B320" t="s">
        <v>8495</v>
      </c>
      <c r="D320" s="7" t="s">
        <v>32933</v>
      </c>
      <c r="E320" s="7"/>
      <c r="F320" s="7"/>
      <c r="G320" s="7"/>
      <c r="H320" t="s">
        <v>67</v>
      </c>
      <c r="I320" t="s">
        <v>2908</v>
      </c>
      <c r="J320" t="s">
        <v>69</v>
      </c>
      <c r="K320" t="s">
        <v>69</v>
      </c>
      <c r="L320" t="s">
        <v>69</v>
      </c>
      <c r="M320" t="s">
        <v>2909</v>
      </c>
      <c r="N320" t="s">
        <v>69</v>
      </c>
      <c r="O320" t="s">
        <v>69</v>
      </c>
      <c r="P320" t="s">
        <v>2910</v>
      </c>
      <c r="Q320" t="s">
        <v>2911</v>
      </c>
      <c r="R320" t="s">
        <v>69</v>
      </c>
      <c r="S320" t="s">
        <v>69</v>
      </c>
      <c r="T320" t="s">
        <v>8505</v>
      </c>
      <c r="U320" t="s">
        <v>8506</v>
      </c>
      <c r="V320" t="s">
        <v>69</v>
      </c>
      <c r="W320" t="s">
        <v>69</v>
      </c>
      <c r="X320" t="s">
        <v>69</v>
      </c>
      <c r="Y320" t="s">
        <v>69</v>
      </c>
      <c r="Z320" t="s">
        <v>69</v>
      </c>
      <c r="AA320" t="s">
        <v>21807</v>
      </c>
      <c r="AB320" t="s">
        <v>21808</v>
      </c>
      <c r="AC320" t="s">
        <v>2912</v>
      </c>
      <c r="AD320" t="s">
        <v>21809</v>
      </c>
      <c r="AE320" t="s">
        <v>69</v>
      </c>
      <c r="AF320" t="s">
        <v>21810</v>
      </c>
      <c r="AG320" t="s">
        <v>21811</v>
      </c>
      <c r="AH320" t="s">
        <v>69</v>
      </c>
      <c r="AI320" t="s">
        <v>69</v>
      </c>
      <c r="AJ320" t="s">
        <v>69</v>
      </c>
      <c r="AK320" t="s">
        <v>69</v>
      </c>
      <c r="AL320" t="s">
        <v>69</v>
      </c>
      <c r="AM320" t="s">
        <v>69</v>
      </c>
      <c r="AN320">
        <v>81</v>
      </c>
      <c r="AO320">
        <v>3</v>
      </c>
      <c r="AP320">
        <v>3</v>
      </c>
      <c r="AQ320">
        <v>1</v>
      </c>
      <c r="AR320">
        <v>14</v>
      </c>
      <c r="AS320" t="s">
        <v>9554</v>
      </c>
      <c r="AT320" t="s">
        <v>9555</v>
      </c>
      <c r="AU320" t="s">
        <v>9556</v>
      </c>
      <c r="AV320" t="s">
        <v>2913</v>
      </c>
      <c r="AW320" t="s">
        <v>2914</v>
      </c>
      <c r="AX320" t="s">
        <v>69</v>
      </c>
      <c r="AY320" t="s">
        <v>21812</v>
      </c>
      <c r="AZ320" t="s">
        <v>21813</v>
      </c>
      <c r="BA320" t="s">
        <v>191</v>
      </c>
      <c r="BB320">
        <v>2016</v>
      </c>
      <c r="BC320">
        <v>51</v>
      </c>
      <c r="BD320">
        <v>1</v>
      </c>
      <c r="BE320" t="s">
        <v>69</v>
      </c>
      <c r="BF320" t="s">
        <v>69</v>
      </c>
      <c r="BG320" t="s">
        <v>69</v>
      </c>
      <c r="BH320" t="s">
        <v>69</v>
      </c>
      <c r="BI320">
        <v>77</v>
      </c>
      <c r="BJ320">
        <v>96</v>
      </c>
      <c r="BK320" t="s">
        <v>69</v>
      </c>
      <c r="BL320" t="s">
        <v>2915</v>
      </c>
      <c r="BM320" t="str">
        <f>HYPERLINK("http://dx.doi.org/10.1177/0021909614552916","http://dx.doi.org/10.1177/0021909614552916")</f>
        <v>http://dx.doi.org/10.1177/0021909614552916</v>
      </c>
      <c r="BN320" t="s">
        <v>69</v>
      </c>
      <c r="BO320" t="s">
        <v>69</v>
      </c>
      <c r="BP320">
        <v>20</v>
      </c>
      <c r="BQ320" t="s">
        <v>17049</v>
      </c>
      <c r="BR320" t="s">
        <v>8661</v>
      </c>
      <c r="BS320" t="s">
        <v>17049</v>
      </c>
      <c r="BT320" t="s">
        <v>21814</v>
      </c>
      <c r="BU320" t="s">
        <v>2916</v>
      </c>
      <c r="BV320" t="s">
        <v>69</v>
      </c>
      <c r="BW320" t="s">
        <v>69</v>
      </c>
      <c r="BX320" t="s">
        <v>69</v>
      </c>
      <c r="BY320" t="s">
        <v>69</v>
      </c>
      <c r="BZ320" t="s">
        <v>8526</v>
      </c>
      <c r="CA320" t="str">
        <f>HYPERLINK("https%3A%2F%2Fwww.webofscience.com%2Fwos%2Fwoscc%2Ffull-record%2FWOS:000369672800006","View Full Record in Web of Science")</f>
        <v>View Full Record in Web of Science</v>
      </c>
    </row>
    <row r="321" spans="2:79" ht="12.5" x14ac:dyDescent="0.25">
      <c r="B321" t="s">
        <v>8495</v>
      </c>
      <c r="D321" s="22" t="s">
        <v>32931</v>
      </c>
      <c r="E321" s="7"/>
      <c r="F321" s="7"/>
      <c r="G321" s="7"/>
      <c r="H321" t="s">
        <v>67</v>
      </c>
      <c r="I321" t="s">
        <v>32811</v>
      </c>
      <c r="J321" t="s">
        <v>69</v>
      </c>
      <c r="K321" t="s">
        <v>69</v>
      </c>
      <c r="L321" t="s">
        <v>69</v>
      </c>
      <c r="M321" t="s">
        <v>32811</v>
      </c>
      <c r="N321" t="s">
        <v>69</v>
      </c>
      <c r="O321" t="s">
        <v>69</v>
      </c>
      <c r="P321" t="s">
        <v>32812</v>
      </c>
      <c r="Q321" t="s">
        <v>31929</v>
      </c>
      <c r="R321" t="s">
        <v>69</v>
      </c>
      <c r="S321" t="s">
        <v>69</v>
      </c>
      <c r="T321" t="s">
        <v>8505</v>
      </c>
      <c r="U321" t="s">
        <v>8506</v>
      </c>
      <c r="V321" t="s">
        <v>69</v>
      </c>
      <c r="W321" t="s">
        <v>69</v>
      </c>
      <c r="X321" t="s">
        <v>69</v>
      </c>
      <c r="Y321" t="s">
        <v>69</v>
      </c>
      <c r="Z321" t="s">
        <v>69</v>
      </c>
      <c r="AA321" t="s">
        <v>32813</v>
      </c>
      <c r="AB321" t="s">
        <v>32814</v>
      </c>
      <c r="AC321" t="s">
        <v>32815</v>
      </c>
      <c r="AD321" t="s">
        <v>32816</v>
      </c>
      <c r="AE321" t="s">
        <v>69</v>
      </c>
      <c r="AF321" t="s">
        <v>69</v>
      </c>
      <c r="AG321" t="s">
        <v>69</v>
      </c>
      <c r="AH321" t="s">
        <v>69</v>
      </c>
      <c r="AI321" t="s">
        <v>69</v>
      </c>
      <c r="AJ321" t="s">
        <v>69</v>
      </c>
      <c r="AK321" t="s">
        <v>69</v>
      </c>
      <c r="AL321" t="s">
        <v>69</v>
      </c>
      <c r="AM321" t="s">
        <v>69</v>
      </c>
      <c r="AN321">
        <v>48</v>
      </c>
      <c r="AO321">
        <v>47</v>
      </c>
      <c r="AP321">
        <v>49</v>
      </c>
      <c r="AQ321">
        <v>1</v>
      </c>
      <c r="AR321">
        <v>9</v>
      </c>
      <c r="AS321" t="s">
        <v>32817</v>
      </c>
      <c r="AT321" t="s">
        <v>18549</v>
      </c>
      <c r="AU321" t="s">
        <v>32818</v>
      </c>
      <c r="AV321" t="s">
        <v>31937</v>
      </c>
      <c r="AW321" t="s">
        <v>69</v>
      </c>
      <c r="AX321" t="s">
        <v>69</v>
      </c>
      <c r="AY321" t="s">
        <v>31939</v>
      </c>
      <c r="AZ321" t="s">
        <v>31940</v>
      </c>
      <c r="BA321" t="s">
        <v>246</v>
      </c>
      <c r="BB321">
        <v>1993</v>
      </c>
      <c r="BC321">
        <v>21</v>
      </c>
      <c r="BD321">
        <v>4</v>
      </c>
      <c r="BE321" t="s">
        <v>69</v>
      </c>
      <c r="BF321" t="s">
        <v>69</v>
      </c>
      <c r="BG321" t="s">
        <v>69</v>
      </c>
      <c r="BH321" t="s">
        <v>69</v>
      </c>
      <c r="BI321">
        <v>598</v>
      </c>
      <c r="BJ321">
        <v>606</v>
      </c>
      <c r="BK321" t="s">
        <v>69</v>
      </c>
      <c r="BL321" t="s">
        <v>32819</v>
      </c>
      <c r="BM321" t="str">
        <f>HYPERLINK("http://dx.doi.org/10.1097/00003246-199304000-00022","http://dx.doi.org/10.1097/00003246-199304000-00022")</f>
        <v>http://dx.doi.org/10.1097/00003246-199304000-00022</v>
      </c>
      <c r="BN321" t="s">
        <v>69</v>
      </c>
      <c r="BO321" t="s">
        <v>69</v>
      </c>
      <c r="BP321">
        <v>9</v>
      </c>
      <c r="BQ321" t="s">
        <v>22637</v>
      </c>
      <c r="BR321" t="s">
        <v>8548</v>
      </c>
      <c r="BS321" t="s">
        <v>9451</v>
      </c>
      <c r="BT321" t="s">
        <v>32820</v>
      </c>
      <c r="BU321" t="s">
        <v>32821</v>
      </c>
      <c r="BV321">
        <v>8472581</v>
      </c>
      <c r="BW321" t="s">
        <v>69</v>
      </c>
      <c r="BX321" t="s">
        <v>69</v>
      </c>
      <c r="BY321" t="s">
        <v>69</v>
      </c>
      <c r="BZ321" t="s">
        <v>8526</v>
      </c>
      <c r="CA321" t="str">
        <f>HYPERLINK("https%3A%2F%2Fwww.webofscience.com%2Fwos%2Fwoscc%2Ffull-record%2FWOS:A1993KY91900022","View Full Record in Web of Science")</f>
        <v>View Full Record in Web of Science</v>
      </c>
    </row>
    <row r="322" spans="2:79" ht="12.5" x14ac:dyDescent="0.25">
      <c r="B322" t="s">
        <v>8495</v>
      </c>
      <c r="D322" s="22" t="s">
        <v>32931</v>
      </c>
      <c r="E322" s="7"/>
      <c r="F322" s="7"/>
      <c r="G322" s="7"/>
      <c r="H322" t="s">
        <v>67</v>
      </c>
      <c r="I322" t="s">
        <v>9413</v>
      </c>
      <c r="J322" t="s">
        <v>69</v>
      </c>
      <c r="K322" t="s">
        <v>69</v>
      </c>
      <c r="L322" t="s">
        <v>69</v>
      </c>
      <c r="M322" t="s">
        <v>9414</v>
      </c>
      <c r="N322" t="s">
        <v>69</v>
      </c>
      <c r="O322" t="s">
        <v>69</v>
      </c>
      <c r="P322" t="s">
        <v>9415</v>
      </c>
      <c r="Q322" t="s">
        <v>9416</v>
      </c>
      <c r="R322" t="s">
        <v>69</v>
      </c>
      <c r="S322" t="s">
        <v>69</v>
      </c>
      <c r="T322" t="s">
        <v>8505</v>
      </c>
      <c r="U322" t="s">
        <v>8506</v>
      </c>
      <c r="V322" t="s">
        <v>69</v>
      </c>
      <c r="W322" t="s">
        <v>69</v>
      </c>
      <c r="X322" t="s">
        <v>69</v>
      </c>
      <c r="Y322" t="s">
        <v>69</v>
      </c>
      <c r="Z322" t="s">
        <v>69</v>
      </c>
      <c r="AA322" t="s">
        <v>9417</v>
      </c>
      <c r="AB322" t="s">
        <v>9418</v>
      </c>
      <c r="AC322" t="s">
        <v>9419</v>
      </c>
      <c r="AD322" t="s">
        <v>9420</v>
      </c>
      <c r="AE322" t="s">
        <v>69</v>
      </c>
      <c r="AF322" t="s">
        <v>9421</v>
      </c>
      <c r="AG322" t="s">
        <v>9422</v>
      </c>
      <c r="AH322" t="s">
        <v>69</v>
      </c>
      <c r="AI322" t="s">
        <v>69</v>
      </c>
      <c r="AJ322" t="s">
        <v>69</v>
      </c>
      <c r="AK322" t="s">
        <v>69</v>
      </c>
      <c r="AL322" t="s">
        <v>69</v>
      </c>
      <c r="AM322" t="s">
        <v>69</v>
      </c>
      <c r="AN322">
        <v>17</v>
      </c>
      <c r="AO322">
        <v>0</v>
      </c>
      <c r="AP322">
        <v>0</v>
      </c>
      <c r="AQ322">
        <v>0</v>
      </c>
      <c r="AR322">
        <v>0</v>
      </c>
      <c r="AS322" t="s">
        <v>9423</v>
      </c>
      <c r="AT322" t="s">
        <v>9424</v>
      </c>
      <c r="AU322" t="s">
        <v>9425</v>
      </c>
      <c r="AV322" t="s">
        <v>9426</v>
      </c>
      <c r="AW322" t="s">
        <v>9427</v>
      </c>
      <c r="AX322" t="s">
        <v>69</v>
      </c>
      <c r="AY322" t="s">
        <v>9428</v>
      </c>
      <c r="AZ322" t="s">
        <v>9429</v>
      </c>
      <c r="BA322" t="s">
        <v>246</v>
      </c>
      <c r="BB322">
        <v>2022</v>
      </c>
      <c r="BC322">
        <v>60</v>
      </c>
      <c r="BD322">
        <v>3</v>
      </c>
      <c r="BE322" t="s">
        <v>69</v>
      </c>
      <c r="BF322" t="s">
        <v>69</v>
      </c>
      <c r="BG322" t="s">
        <v>69</v>
      </c>
      <c r="BH322" t="s">
        <v>69</v>
      </c>
      <c r="BI322">
        <v>308</v>
      </c>
      <c r="BJ322">
        <v>312</v>
      </c>
      <c r="BK322" t="s">
        <v>69</v>
      </c>
      <c r="BL322" t="s">
        <v>9430</v>
      </c>
      <c r="BM322" t="str">
        <f>HYPERLINK("http://dx.doi.org/10.1016/j.bjoms.2021.07.009","http://dx.doi.org/10.1016/j.bjoms.2021.07.009")</f>
        <v>http://dx.doi.org/10.1016/j.bjoms.2021.07.009</v>
      </c>
      <c r="BN322" t="s">
        <v>69</v>
      </c>
      <c r="BO322" t="s">
        <v>69</v>
      </c>
      <c r="BP322">
        <v>5</v>
      </c>
      <c r="BQ322" t="s">
        <v>9431</v>
      </c>
      <c r="BR322" t="s">
        <v>8548</v>
      </c>
      <c r="BS322" t="s">
        <v>9431</v>
      </c>
      <c r="BT322" t="s">
        <v>9432</v>
      </c>
      <c r="BU322" t="s">
        <v>9433</v>
      </c>
      <c r="BV322">
        <v>34753656</v>
      </c>
      <c r="BW322" t="s">
        <v>69</v>
      </c>
      <c r="BX322" t="s">
        <v>69</v>
      </c>
      <c r="BY322" t="s">
        <v>69</v>
      </c>
      <c r="BZ322" t="s">
        <v>8526</v>
      </c>
      <c r="CA322" t="str">
        <f>HYPERLINK("https%3A%2F%2Fwww.webofscience.com%2Fwos%2Fwoscc%2Ffull-record%2FWOS:000792216600011","View Full Record in Web of Science")</f>
        <v>View Full Record in Web of Science</v>
      </c>
    </row>
    <row r="323" spans="2:79" ht="12.5" x14ac:dyDescent="0.25">
      <c r="B323" t="s">
        <v>8495</v>
      </c>
      <c r="D323" s="22" t="s">
        <v>32931</v>
      </c>
      <c r="E323" s="7"/>
      <c r="F323" s="7"/>
      <c r="G323" s="7"/>
      <c r="H323" t="s">
        <v>67</v>
      </c>
      <c r="I323" t="s">
        <v>11454</v>
      </c>
      <c r="J323" t="s">
        <v>69</v>
      </c>
      <c r="K323" t="s">
        <v>69</v>
      </c>
      <c r="L323" t="s">
        <v>69</v>
      </c>
      <c r="M323" t="s">
        <v>11455</v>
      </c>
      <c r="N323" t="s">
        <v>69</v>
      </c>
      <c r="O323" t="s">
        <v>69</v>
      </c>
      <c r="P323" t="s">
        <v>11456</v>
      </c>
      <c r="Q323" t="s">
        <v>11457</v>
      </c>
      <c r="R323" t="s">
        <v>69</v>
      </c>
      <c r="S323" t="s">
        <v>69</v>
      </c>
      <c r="T323" t="s">
        <v>8505</v>
      </c>
      <c r="U323" t="s">
        <v>8506</v>
      </c>
      <c r="V323" t="s">
        <v>69</v>
      </c>
      <c r="W323" t="s">
        <v>69</v>
      </c>
      <c r="X323" t="s">
        <v>69</v>
      </c>
      <c r="Y323" t="s">
        <v>69</v>
      </c>
      <c r="Z323" t="s">
        <v>69</v>
      </c>
      <c r="AA323" t="s">
        <v>11458</v>
      </c>
      <c r="AB323" t="s">
        <v>69</v>
      </c>
      <c r="AC323" t="s">
        <v>11459</v>
      </c>
      <c r="AD323" t="s">
        <v>11460</v>
      </c>
      <c r="AE323" t="s">
        <v>69</v>
      </c>
      <c r="AF323" t="s">
        <v>11461</v>
      </c>
      <c r="AG323" t="s">
        <v>11462</v>
      </c>
      <c r="AH323" t="s">
        <v>11463</v>
      </c>
      <c r="AI323" t="s">
        <v>11464</v>
      </c>
      <c r="AJ323" t="s">
        <v>69</v>
      </c>
      <c r="AK323" t="s">
        <v>69</v>
      </c>
      <c r="AL323" t="s">
        <v>69</v>
      </c>
      <c r="AM323" t="s">
        <v>69</v>
      </c>
      <c r="AN323">
        <v>30</v>
      </c>
      <c r="AO323">
        <v>3</v>
      </c>
      <c r="AP323">
        <v>3</v>
      </c>
      <c r="AQ323">
        <v>5</v>
      </c>
      <c r="AR323">
        <v>10</v>
      </c>
      <c r="AS323" t="s">
        <v>11465</v>
      </c>
      <c r="AT323" t="s">
        <v>11466</v>
      </c>
      <c r="AU323" t="s">
        <v>11467</v>
      </c>
      <c r="AV323" t="s">
        <v>11468</v>
      </c>
      <c r="AW323" t="s">
        <v>11469</v>
      </c>
      <c r="AX323" t="s">
        <v>69</v>
      </c>
      <c r="AY323" t="s">
        <v>11470</v>
      </c>
      <c r="AZ323" t="s">
        <v>11471</v>
      </c>
      <c r="BA323" t="s">
        <v>1053</v>
      </c>
      <c r="BB323">
        <v>2021</v>
      </c>
      <c r="BC323">
        <v>12</v>
      </c>
      <c r="BD323">
        <v>34</v>
      </c>
      <c r="BE323" t="s">
        <v>69</v>
      </c>
      <c r="BF323" t="s">
        <v>69</v>
      </c>
      <c r="BG323" t="s">
        <v>69</v>
      </c>
      <c r="BH323" t="s">
        <v>69</v>
      </c>
      <c r="BI323">
        <v>60</v>
      </c>
      <c r="BJ323">
        <v>75</v>
      </c>
      <c r="BK323" t="s">
        <v>69</v>
      </c>
      <c r="BL323" t="s">
        <v>11472</v>
      </c>
      <c r="BM323" t="str">
        <f>HYPERLINK("http://dx.doi.org/10.46925//rdluz.34.05","http://dx.doi.org/10.46925//rdluz.34.05")</f>
        <v>http://dx.doi.org/10.46925//rdluz.34.05</v>
      </c>
      <c r="BN323" t="s">
        <v>69</v>
      </c>
      <c r="BO323" t="s">
        <v>69</v>
      </c>
      <c r="BP323">
        <v>16</v>
      </c>
      <c r="BQ323" t="s">
        <v>10299</v>
      </c>
      <c r="BR323" t="s">
        <v>8573</v>
      </c>
      <c r="BS323" t="s">
        <v>10279</v>
      </c>
      <c r="BT323" t="s">
        <v>11473</v>
      </c>
      <c r="BU323" t="s">
        <v>11474</v>
      </c>
      <c r="BV323" t="s">
        <v>69</v>
      </c>
      <c r="BW323" t="s">
        <v>8622</v>
      </c>
      <c r="BX323" t="s">
        <v>69</v>
      </c>
      <c r="BY323" t="s">
        <v>69</v>
      </c>
      <c r="BZ323" t="s">
        <v>8526</v>
      </c>
      <c r="CA323" t="str">
        <f>HYPERLINK("https%3A%2F%2Fwww.webofscience.com%2Fwos%2Fwoscc%2Ffull-record%2FWOS:000692754400004","View Full Record in Web of Science")</f>
        <v>View Full Record in Web of Science</v>
      </c>
    </row>
    <row r="324" spans="2:79" ht="12.5" x14ac:dyDescent="0.25">
      <c r="B324" t="s">
        <v>8495</v>
      </c>
      <c r="D324" s="7" t="s">
        <v>32933</v>
      </c>
      <c r="E324" s="7"/>
      <c r="F324" s="7"/>
      <c r="G324" s="7"/>
      <c r="H324" t="s">
        <v>67</v>
      </c>
      <c r="I324" t="s">
        <v>4590</v>
      </c>
      <c r="J324" t="s">
        <v>69</v>
      </c>
      <c r="K324" t="s">
        <v>69</v>
      </c>
      <c r="L324" t="s">
        <v>69</v>
      </c>
      <c r="M324" t="s">
        <v>4591</v>
      </c>
      <c r="N324" t="s">
        <v>69</v>
      </c>
      <c r="O324" t="s">
        <v>69</v>
      </c>
      <c r="P324" t="s">
        <v>4592</v>
      </c>
      <c r="Q324" t="s">
        <v>2691</v>
      </c>
      <c r="R324" t="s">
        <v>69</v>
      </c>
      <c r="S324" t="s">
        <v>69</v>
      </c>
      <c r="T324" t="s">
        <v>8505</v>
      </c>
      <c r="U324" t="s">
        <v>8506</v>
      </c>
      <c r="V324" t="s">
        <v>69</v>
      </c>
      <c r="W324" t="s">
        <v>69</v>
      </c>
      <c r="X324" t="s">
        <v>69</v>
      </c>
      <c r="Y324" t="s">
        <v>69</v>
      </c>
      <c r="Z324" t="s">
        <v>69</v>
      </c>
      <c r="AA324" t="s">
        <v>24041</v>
      </c>
      <c r="AB324" t="s">
        <v>69</v>
      </c>
      <c r="AC324" t="s">
        <v>4593</v>
      </c>
      <c r="AD324" t="s">
        <v>24042</v>
      </c>
      <c r="AE324" t="s">
        <v>69</v>
      </c>
      <c r="AF324" t="s">
        <v>24043</v>
      </c>
      <c r="AG324" t="s">
        <v>24044</v>
      </c>
      <c r="AH324" t="s">
        <v>69</v>
      </c>
      <c r="AI324" t="s">
        <v>69</v>
      </c>
      <c r="AJ324" t="s">
        <v>69</v>
      </c>
      <c r="AK324" t="s">
        <v>69</v>
      </c>
      <c r="AL324" t="s">
        <v>69</v>
      </c>
      <c r="AM324" t="s">
        <v>69</v>
      </c>
      <c r="AN324">
        <v>17</v>
      </c>
      <c r="AO324">
        <v>0</v>
      </c>
      <c r="AP324">
        <v>0</v>
      </c>
      <c r="AQ324">
        <v>0</v>
      </c>
      <c r="AR324">
        <v>13</v>
      </c>
      <c r="AS324" t="s">
        <v>8586</v>
      </c>
      <c r="AT324" t="s">
        <v>8587</v>
      </c>
      <c r="AU324" t="s">
        <v>8588</v>
      </c>
      <c r="AV324" t="s">
        <v>2693</v>
      </c>
      <c r="AW324" t="s">
        <v>2694</v>
      </c>
      <c r="AX324" t="s">
        <v>69</v>
      </c>
      <c r="AY324" t="s">
        <v>20616</v>
      </c>
      <c r="AZ324" t="s">
        <v>20617</v>
      </c>
      <c r="BA324" t="s">
        <v>69</v>
      </c>
      <c r="BB324">
        <v>2014</v>
      </c>
      <c r="BC324">
        <v>6</v>
      </c>
      <c r="BD324">
        <v>2</v>
      </c>
      <c r="BE324" t="s">
        <v>69</v>
      </c>
      <c r="BF324" t="s">
        <v>69</v>
      </c>
      <c r="BG324" t="s">
        <v>69</v>
      </c>
      <c r="BH324" t="s">
        <v>69</v>
      </c>
      <c r="BI324">
        <v>116</v>
      </c>
      <c r="BJ324">
        <v>130</v>
      </c>
      <c r="BK324" t="s">
        <v>69</v>
      </c>
      <c r="BL324" t="s">
        <v>4594</v>
      </c>
      <c r="BM324" t="str">
        <f>HYPERLINK("http://dx.doi.org/10.1108/IJCCSM-09-2012-0051","http://dx.doi.org/10.1108/IJCCSM-09-2012-0051")</f>
        <v>http://dx.doi.org/10.1108/IJCCSM-09-2012-0051</v>
      </c>
      <c r="BN324" t="s">
        <v>69</v>
      </c>
      <c r="BO324" t="s">
        <v>69</v>
      </c>
      <c r="BP324">
        <v>15</v>
      </c>
      <c r="BQ324" t="s">
        <v>8660</v>
      </c>
      <c r="BR324" t="s">
        <v>8661</v>
      </c>
      <c r="BS324" t="s">
        <v>8662</v>
      </c>
      <c r="BT324" t="s">
        <v>24045</v>
      </c>
      <c r="BU324" t="s">
        <v>4595</v>
      </c>
      <c r="BV324" t="s">
        <v>69</v>
      </c>
      <c r="BW324" t="s">
        <v>69</v>
      </c>
      <c r="BX324" t="s">
        <v>69</v>
      </c>
      <c r="BY324" t="s">
        <v>69</v>
      </c>
      <c r="BZ324" t="s">
        <v>8526</v>
      </c>
      <c r="CA324" t="str">
        <f>HYPERLINK("https%3A%2F%2Fwww.webofscience.com%2Fwos%2Fwoscc%2Ffull-record%2FWOS:000341786300002","View Full Record in Web of Science")</f>
        <v>View Full Record in Web of Science</v>
      </c>
    </row>
    <row r="325" spans="2:79" ht="12.5" x14ac:dyDescent="0.25">
      <c r="B325" t="s">
        <v>8495</v>
      </c>
      <c r="D325" s="7" t="s">
        <v>32933</v>
      </c>
      <c r="E325" s="7"/>
      <c r="F325" s="7"/>
      <c r="G325" s="7"/>
      <c r="H325" t="s">
        <v>67</v>
      </c>
      <c r="I325" t="s">
        <v>4432</v>
      </c>
      <c r="J325" t="s">
        <v>69</v>
      </c>
      <c r="K325" t="s">
        <v>69</v>
      </c>
      <c r="L325" t="s">
        <v>69</v>
      </c>
      <c r="M325" t="s">
        <v>4433</v>
      </c>
      <c r="N325" t="s">
        <v>69</v>
      </c>
      <c r="O325" t="s">
        <v>69</v>
      </c>
      <c r="P325" t="s">
        <v>4434</v>
      </c>
      <c r="Q325" t="s">
        <v>4435</v>
      </c>
      <c r="R325" t="s">
        <v>69</v>
      </c>
      <c r="S325" t="s">
        <v>69</v>
      </c>
      <c r="T325" t="s">
        <v>8505</v>
      </c>
      <c r="U325" t="s">
        <v>8506</v>
      </c>
      <c r="V325" t="s">
        <v>69</v>
      </c>
      <c r="W325" t="s">
        <v>69</v>
      </c>
      <c r="X325" t="s">
        <v>69</v>
      </c>
      <c r="Y325" t="s">
        <v>69</v>
      </c>
      <c r="Z325" t="s">
        <v>69</v>
      </c>
      <c r="AA325" t="s">
        <v>18311</v>
      </c>
      <c r="AB325" t="s">
        <v>18312</v>
      </c>
      <c r="AC325" t="s">
        <v>4436</v>
      </c>
      <c r="AD325" t="s">
        <v>18313</v>
      </c>
      <c r="AE325" t="s">
        <v>69</v>
      </c>
      <c r="AF325" t="s">
        <v>18314</v>
      </c>
      <c r="AG325" t="s">
        <v>18315</v>
      </c>
      <c r="AH325" t="s">
        <v>18316</v>
      </c>
      <c r="AI325" t="s">
        <v>18317</v>
      </c>
      <c r="AJ325" t="s">
        <v>18318</v>
      </c>
      <c r="AK325" t="s">
        <v>18319</v>
      </c>
      <c r="AL325" t="s">
        <v>18320</v>
      </c>
      <c r="AM325" t="s">
        <v>69</v>
      </c>
      <c r="AN325">
        <v>50</v>
      </c>
      <c r="AO325">
        <v>45</v>
      </c>
      <c r="AP325">
        <v>45</v>
      </c>
      <c r="AQ325">
        <v>2</v>
      </c>
      <c r="AR325">
        <v>20</v>
      </c>
      <c r="AS325" t="s">
        <v>8563</v>
      </c>
      <c r="AT325" t="s">
        <v>8564</v>
      </c>
      <c r="AU325" t="s">
        <v>8565</v>
      </c>
      <c r="AV325" t="s">
        <v>4437</v>
      </c>
      <c r="AW325" t="s">
        <v>4438</v>
      </c>
      <c r="AX325" t="s">
        <v>69</v>
      </c>
      <c r="AY325" t="s">
        <v>18321</v>
      </c>
      <c r="AZ325" t="s">
        <v>18322</v>
      </c>
      <c r="BA325" t="s">
        <v>381</v>
      </c>
      <c r="BB325">
        <v>2018</v>
      </c>
      <c r="BC325">
        <v>18</v>
      </c>
      <c r="BD325">
        <v>7</v>
      </c>
      <c r="BE325" t="s">
        <v>69</v>
      </c>
      <c r="BF325" t="s">
        <v>69</v>
      </c>
      <c r="BG325" t="s">
        <v>114</v>
      </c>
      <c r="BH325" t="s">
        <v>69</v>
      </c>
      <c r="BI325">
        <v>2059</v>
      </c>
      <c r="BJ325">
        <v>2071</v>
      </c>
      <c r="BK325" t="s">
        <v>69</v>
      </c>
      <c r="BL325" t="s">
        <v>4439</v>
      </c>
      <c r="BM325" t="str">
        <f>HYPERLINK("http://dx.doi.org/10.1007/s10113-018-1283-0","http://dx.doi.org/10.1007/s10113-018-1283-0")</f>
        <v>http://dx.doi.org/10.1007/s10113-018-1283-0</v>
      </c>
      <c r="BN325" t="s">
        <v>69</v>
      </c>
      <c r="BO325" t="s">
        <v>69</v>
      </c>
      <c r="BP325">
        <v>13</v>
      </c>
      <c r="BQ325" t="s">
        <v>11791</v>
      </c>
      <c r="BR325" t="s">
        <v>8523</v>
      </c>
      <c r="BS325" t="s">
        <v>8662</v>
      </c>
      <c r="BT325" t="s">
        <v>18323</v>
      </c>
      <c r="BU325" t="s">
        <v>4440</v>
      </c>
      <c r="BV325" t="s">
        <v>69</v>
      </c>
      <c r="BW325" t="s">
        <v>8909</v>
      </c>
      <c r="BX325" t="s">
        <v>69</v>
      </c>
      <c r="BY325" t="s">
        <v>69</v>
      </c>
      <c r="BZ325" t="s">
        <v>8526</v>
      </c>
      <c r="CA325" t="str">
        <f>HYPERLINK("https%3A%2F%2Fwww.webofscience.com%2Fwos%2Fwoscc%2Ffull-record%2FWOS:000445234600015","View Full Record in Web of Science")</f>
        <v>View Full Record in Web of Science</v>
      </c>
    </row>
    <row r="326" spans="2:79" ht="12.5" x14ac:dyDescent="0.25">
      <c r="B326" t="s">
        <v>8495</v>
      </c>
      <c r="D326" s="7" t="s">
        <v>32933</v>
      </c>
      <c r="E326" s="7"/>
      <c r="F326" s="7"/>
      <c r="G326" s="7"/>
      <c r="H326" t="s">
        <v>67</v>
      </c>
      <c r="I326" t="s">
        <v>4744</v>
      </c>
      <c r="J326" t="s">
        <v>69</v>
      </c>
      <c r="K326" t="s">
        <v>69</v>
      </c>
      <c r="L326" t="s">
        <v>69</v>
      </c>
      <c r="M326" t="s">
        <v>4745</v>
      </c>
      <c r="N326" t="s">
        <v>69</v>
      </c>
      <c r="O326" t="s">
        <v>69</v>
      </c>
      <c r="P326" t="s">
        <v>4746</v>
      </c>
      <c r="Q326" t="s">
        <v>4435</v>
      </c>
      <c r="R326" t="s">
        <v>69</v>
      </c>
      <c r="S326" t="s">
        <v>69</v>
      </c>
      <c r="T326" t="s">
        <v>8505</v>
      </c>
      <c r="U326" t="s">
        <v>8506</v>
      </c>
      <c r="V326" t="s">
        <v>69</v>
      </c>
      <c r="W326" t="s">
        <v>69</v>
      </c>
      <c r="X326" t="s">
        <v>69</v>
      </c>
      <c r="Y326" t="s">
        <v>69</v>
      </c>
      <c r="Z326" t="s">
        <v>69</v>
      </c>
      <c r="AA326" t="s">
        <v>21735</v>
      </c>
      <c r="AB326" t="s">
        <v>21736</v>
      </c>
      <c r="AC326" t="s">
        <v>4747</v>
      </c>
      <c r="AD326" t="s">
        <v>21737</v>
      </c>
      <c r="AE326" t="s">
        <v>69</v>
      </c>
      <c r="AF326" t="s">
        <v>21738</v>
      </c>
      <c r="AG326" t="s">
        <v>21739</v>
      </c>
      <c r="AH326" t="s">
        <v>69</v>
      </c>
      <c r="AI326" t="s">
        <v>69</v>
      </c>
      <c r="AJ326" t="s">
        <v>21740</v>
      </c>
      <c r="AK326" t="s">
        <v>21741</v>
      </c>
      <c r="AL326" t="s">
        <v>21742</v>
      </c>
      <c r="AM326" t="s">
        <v>69</v>
      </c>
      <c r="AN326">
        <v>52</v>
      </c>
      <c r="AO326">
        <v>11</v>
      </c>
      <c r="AP326">
        <v>11</v>
      </c>
      <c r="AQ326">
        <v>6</v>
      </c>
      <c r="AR326">
        <v>18</v>
      </c>
      <c r="AS326" t="s">
        <v>8563</v>
      </c>
      <c r="AT326" t="s">
        <v>8564</v>
      </c>
      <c r="AU326" t="s">
        <v>8565</v>
      </c>
      <c r="AV326" t="s">
        <v>4437</v>
      </c>
      <c r="AW326" t="s">
        <v>4438</v>
      </c>
      <c r="AX326" t="s">
        <v>69</v>
      </c>
      <c r="AY326" t="s">
        <v>18321</v>
      </c>
      <c r="AZ326" t="s">
        <v>18322</v>
      </c>
      <c r="BA326" t="s">
        <v>246</v>
      </c>
      <c r="BB326">
        <v>2016</v>
      </c>
      <c r="BC326">
        <v>16</v>
      </c>
      <c r="BD326">
        <v>4</v>
      </c>
      <c r="BE326" t="s">
        <v>69</v>
      </c>
      <c r="BF326" t="s">
        <v>69</v>
      </c>
      <c r="BG326" t="s">
        <v>69</v>
      </c>
      <c r="BH326" t="s">
        <v>69</v>
      </c>
      <c r="BI326">
        <v>1109</v>
      </c>
      <c r="BJ326">
        <v>1120</v>
      </c>
      <c r="BK326" t="s">
        <v>69</v>
      </c>
      <c r="BL326" t="s">
        <v>4748</v>
      </c>
      <c r="BM326" t="str">
        <f>HYPERLINK("http://dx.doi.org/10.1007/s10113-015-0828-8","http://dx.doi.org/10.1007/s10113-015-0828-8")</f>
        <v>http://dx.doi.org/10.1007/s10113-015-0828-8</v>
      </c>
      <c r="BN326" t="s">
        <v>69</v>
      </c>
      <c r="BO326" t="s">
        <v>69</v>
      </c>
      <c r="BP326">
        <v>12</v>
      </c>
      <c r="BQ326" t="s">
        <v>11791</v>
      </c>
      <c r="BR326" t="s">
        <v>8523</v>
      </c>
      <c r="BS326" t="s">
        <v>8662</v>
      </c>
      <c r="BT326" t="s">
        <v>21743</v>
      </c>
      <c r="BU326" t="s">
        <v>4749</v>
      </c>
      <c r="BV326" t="s">
        <v>69</v>
      </c>
      <c r="BW326" t="s">
        <v>69</v>
      </c>
      <c r="BX326" t="s">
        <v>69</v>
      </c>
      <c r="BY326" t="s">
        <v>69</v>
      </c>
      <c r="BZ326" t="s">
        <v>8526</v>
      </c>
      <c r="CA326" t="str">
        <f>HYPERLINK("https%3A%2F%2Fwww.webofscience.com%2Fwos%2Fwoscc%2Ffull-record%2FWOS:000373310600016","View Full Record in Web of Science")</f>
        <v>View Full Record in Web of Science</v>
      </c>
    </row>
    <row r="327" spans="2:79" x14ac:dyDescent="0.3">
      <c r="B327" t="s">
        <v>8495</v>
      </c>
      <c r="D327" s="9" t="s">
        <v>32972</v>
      </c>
      <c r="E327" s="9" t="s">
        <v>33125</v>
      </c>
      <c r="F327" s="10" t="s">
        <v>8490</v>
      </c>
      <c r="G327" s="9" t="s">
        <v>8490</v>
      </c>
      <c r="H327" t="s">
        <v>67</v>
      </c>
      <c r="I327" t="s">
        <v>23468</v>
      </c>
      <c r="J327" t="s">
        <v>69</v>
      </c>
      <c r="K327" t="s">
        <v>69</v>
      </c>
      <c r="L327" t="s">
        <v>69</v>
      </c>
      <c r="M327" t="s">
        <v>23469</v>
      </c>
      <c r="N327" t="s">
        <v>69</v>
      </c>
      <c r="O327" t="s">
        <v>69</v>
      </c>
      <c r="P327" t="s">
        <v>23470</v>
      </c>
      <c r="Q327" t="s">
        <v>2307</v>
      </c>
      <c r="R327" t="s">
        <v>69</v>
      </c>
      <c r="S327" t="s">
        <v>69</v>
      </c>
      <c r="T327" t="s">
        <v>8505</v>
      </c>
      <c r="U327" t="s">
        <v>8506</v>
      </c>
      <c r="V327" t="s">
        <v>69</v>
      </c>
      <c r="W327" t="s">
        <v>69</v>
      </c>
      <c r="X327" t="s">
        <v>69</v>
      </c>
      <c r="Y327" t="s">
        <v>69</v>
      </c>
      <c r="Z327" t="s">
        <v>69</v>
      </c>
      <c r="AA327" t="s">
        <v>23471</v>
      </c>
      <c r="AB327" t="s">
        <v>23472</v>
      </c>
      <c r="AC327" t="s">
        <v>23473</v>
      </c>
      <c r="AD327" t="s">
        <v>23474</v>
      </c>
      <c r="AE327" t="s">
        <v>69</v>
      </c>
      <c r="AF327" t="s">
        <v>23475</v>
      </c>
      <c r="AG327" t="s">
        <v>23476</v>
      </c>
      <c r="AH327" t="s">
        <v>69</v>
      </c>
      <c r="AI327" t="s">
        <v>23477</v>
      </c>
      <c r="AJ327" t="s">
        <v>69</v>
      </c>
      <c r="AK327" t="s">
        <v>69</v>
      </c>
      <c r="AL327" t="s">
        <v>69</v>
      </c>
      <c r="AM327" t="s">
        <v>69</v>
      </c>
      <c r="AN327">
        <v>100</v>
      </c>
      <c r="AO327">
        <v>44</v>
      </c>
      <c r="AP327">
        <v>44</v>
      </c>
      <c r="AQ327">
        <v>1</v>
      </c>
      <c r="AR327">
        <v>33</v>
      </c>
      <c r="AS327" t="s">
        <v>8762</v>
      </c>
      <c r="AT327" t="s">
        <v>8763</v>
      </c>
      <c r="AU327" t="s">
        <v>8764</v>
      </c>
      <c r="AV327" t="s">
        <v>2309</v>
      </c>
      <c r="AW327" t="s">
        <v>2310</v>
      </c>
      <c r="AX327" t="s">
        <v>69</v>
      </c>
      <c r="AY327" t="s">
        <v>17546</v>
      </c>
      <c r="AZ327" t="s">
        <v>17547</v>
      </c>
      <c r="BA327" t="s">
        <v>274</v>
      </c>
      <c r="BB327">
        <v>2014</v>
      </c>
      <c r="BC327">
        <v>67</v>
      </c>
      <c r="BD327">
        <v>11</v>
      </c>
      <c r="BE327" t="s">
        <v>69</v>
      </c>
      <c r="BF327" t="s">
        <v>69</v>
      </c>
      <c r="BG327" t="s">
        <v>69</v>
      </c>
      <c r="BH327" t="s">
        <v>69</v>
      </c>
      <c r="BI327">
        <v>1347</v>
      </c>
      <c r="BJ327">
        <v>1382</v>
      </c>
      <c r="BK327" t="s">
        <v>69</v>
      </c>
      <c r="BL327" t="s">
        <v>23478</v>
      </c>
      <c r="BM327" t="str">
        <f>HYPERLINK("http://dx.doi.org/10.1177/0018726713519278","http://dx.doi.org/10.1177/0018726713519278")</f>
        <v>http://dx.doi.org/10.1177/0018726713519278</v>
      </c>
      <c r="BN327" t="s">
        <v>69</v>
      </c>
      <c r="BO327" t="s">
        <v>69</v>
      </c>
      <c r="BP327">
        <v>36</v>
      </c>
      <c r="BQ327" t="s">
        <v>17548</v>
      </c>
      <c r="BR327" t="s">
        <v>8661</v>
      </c>
      <c r="BS327" t="s">
        <v>15524</v>
      </c>
      <c r="BT327" t="s">
        <v>23479</v>
      </c>
      <c r="BU327" t="s">
        <v>23480</v>
      </c>
      <c r="BV327" t="s">
        <v>69</v>
      </c>
      <c r="BW327" t="s">
        <v>69</v>
      </c>
      <c r="BX327" t="s">
        <v>69</v>
      </c>
      <c r="BY327" t="s">
        <v>69</v>
      </c>
      <c r="BZ327" t="s">
        <v>8526</v>
      </c>
      <c r="CA327" t="str">
        <f>HYPERLINK("https%3A%2F%2Fwww.webofscience.com%2Fwos%2Fwoscc%2Ffull-record%2FWOS:000345965700003","View Full Record in Web of Science")</f>
        <v>View Full Record in Web of Science</v>
      </c>
    </row>
    <row r="328" spans="2:79" ht="12.5" x14ac:dyDescent="0.25">
      <c r="B328" t="s">
        <v>8495</v>
      </c>
      <c r="D328" s="7" t="s">
        <v>32933</v>
      </c>
      <c r="E328" s="7"/>
      <c r="F328" s="7"/>
      <c r="G328" s="7"/>
      <c r="H328" t="s">
        <v>67</v>
      </c>
      <c r="I328" t="s">
        <v>5845</v>
      </c>
      <c r="J328" t="s">
        <v>69</v>
      </c>
      <c r="K328" t="s">
        <v>69</v>
      </c>
      <c r="L328" t="s">
        <v>69</v>
      </c>
      <c r="M328" t="s">
        <v>5846</v>
      </c>
      <c r="N328" t="s">
        <v>69</v>
      </c>
      <c r="O328" t="s">
        <v>69</v>
      </c>
      <c r="P328" t="s">
        <v>5847</v>
      </c>
      <c r="Q328" t="s">
        <v>2691</v>
      </c>
      <c r="R328" t="s">
        <v>69</v>
      </c>
      <c r="S328" t="s">
        <v>69</v>
      </c>
      <c r="T328" t="s">
        <v>8505</v>
      </c>
      <c r="U328" t="s">
        <v>8506</v>
      </c>
      <c r="V328" t="s">
        <v>69</v>
      </c>
      <c r="W328" t="s">
        <v>69</v>
      </c>
      <c r="X328" t="s">
        <v>69</v>
      </c>
      <c r="Y328" t="s">
        <v>69</v>
      </c>
      <c r="Z328" t="s">
        <v>69</v>
      </c>
      <c r="AA328" t="s">
        <v>27344</v>
      </c>
      <c r="AB328" t="s">
        <v>27345</v>
      </c>
      <c r="AC328" t="s">
        <v>5848</v>
      </c>
      <c r="AD328" t="s">
        <v>27346</v>
      </c>
      <c r="AE328" t="s">
        <v>69</v>
      </c>
      <c r="AF328" t="s">
        <v>27347</v>
      </c>
      <c r="AG328" t="s">
        <v>27348</v>
      </c>
      <c r="AH328" t="s">
        <v>69</v>
      </c>
      <c r="AI328" t="s">
        <v>69</v>
      </c>
      <c r="AJ328" t="s">
        <v>69</v>
      </c>
      <c r="AK328" t="s">
        <v>69</v>
      </c>
      <c r="AL328" t="s">
        <v>69</v>
      </c>
      <c r="AM328" t="s">
        <v>69</v>
      </c>
      <c r="AN328">
        <v>33</v>
      </c>
      <c r="AO328">
        <v>1</v>
      </c>
      <c r="AP328">
        <v>2</v>
      </c>
      <c r="AQ328">
        <v>0</v>
      </c>
      <c r="AR328">
        <v>17</v>
      </c>
      <c r="AS328" t="s">
        <v>8586</v>
      </c>
      <c r="AT328" t="s">
        <v>8587</v>
      </c>
      <c r="AU328" t="s">
        <v>8588</v>
      </c>
      <c r="AV328" t="s">
        <v>2693</v>
      </c>
      <c r="AW328" t="s">
        <v>2694</v>
      </c>
      <c r="AX328" t="s">
        <v>69</v>
      </c>
      <c r="AY328" t="s">
        <v>20616</v>
      </c>
      <c r="AZ328" t="s">
        <v>20617</v>
      </c>
      <c r="BA328" t="s">
        <v>69</v>
      </c>
      <c r="BB328">
        <v>2011</v>
      </c>
      <c r="BC328">
        <v>3</v>
      </c>
      <c r="BD328">
        <v>4</v>
      </c>
      <c r="BE328" t="s">
        <v>69</v>
      </c>
      <c r="BF328" t="s">
        <v>69</v>
      </c>
      <c r="BG328" t="s">
        <v>69</v>
      </c>
      <c r="BH328" t="s">
        <v>69</v>
      </c>
      <c r="BI328">
        <v>416</v>
      </c>
      <c r="BJ328">
        <v>430</v>
      </c>
      <c r="BK328" t="s">
        <v>69</v>
      </c>
      <c r="BL328" t="s">
        <v>5849</v>
      </c>
      <c r="BM328" t="str">
        <f>HYPERLINK("http://dx.doi.org/10.1108/17568691111175696","http://dx.doi.org/10.1108/17568691111175696")</f>
        <v>http://dx.doi.org/10.1108/17568691111175696</v>
      </c>
      <c r="BN328" t="s">
        <v>69</v>
      </c>
      <c r="BO328" t="s">
        <v>69</v>
      </c>
      <c r="BP328">
        <v>15</v>
      </c>
      <c r="BQ328" t="s">
        <v>8660</v>
      </c>
      <c r="BR328" t="s">
        <v>8661</v>
      </c>
      <c r="BS328" t="s">
        <v>8662</v>
      </c>
      <c r="BT328" t="s">
        <v>27349</v>
      </c>
      <c r="BU328" t="s">
        <v>5850</v>
      </c>
      <c r="BV328" t="s">
        <v>69</v>
      </c>
      <c r="BW328" t="s">
        <v>69</v>
      </c>
      <c r="BX328" t="s">
        <v>69</v>
      </c>
      <c r="BY328" t="s">
        <v>69</v>
      </c>
      <c r="BZ328" t="s">
        <v>8526</v>
      </c>
      <c r="CA328" t="str">
        <f>HYPERLINK("https%3A%2F%2Fwww.webofscience.com%2Fwos%2Fwoscc%2Ffull-record%2FWOS:000298828400008","View Full Record in Web of Science")</f>
        <v>View Full Record in Web of Science</v>
      </c>
    </row>
    <row r="329" spans="2:79" ht="12.5" x14ac:dyDescent="0.25">
      <c r="B329" t="s">
        <v>8495</v>
      </c>
      <c r="D329" s="7" t="s">
        <v>32933</v>
      </c>
      <c r="E329" s="7"/>
      <c r="F329" s="7"/>
      <c r="G329" s="7"/>
      <c r="H329" t="s">
        <v>67</v>
      </c>
      <c r="I329" t="s">
        <v>4717</v>
      </c>
      <c r="J329" t="s">
        <v>69</v>
      </c>
      <c r="K329" t="s">
        <v>69</v>
      </c>
      <c r="L329" t="s">
        <v>69</v>
      </c>
      <c r="M329" t="s">
        <v>4718</v>
      </c>
      <c r="N329" t="s">
        <v>69</v>
      </c>
      <c r="O329" t="s">
        <v>69</v>
      </c>
      <c r="P329" t="s">
        <v>4719</v>
      </c>
      <c r="Q329" t="s">
        <v>352</v>
      </c>
      <c r="R329" t="s">
        <v>69</v>
      </c>
      <c r="S329" t="s">
        <v>69</v>
      </c>
      <c r="T329" t="s">
        <v>8505</v>
      </c>
      <c r="U329" t="s">
        <v>8506</v>
      </c>
      <c r="V329" t="s">
        <v>69</v>
      </c>
      <c r="W329" t="s">
        <v>69</v>
      </c>
      <c r="X329" t="s">
        <v>69</v>
      </c>
      <c r="Y329" t="s">
        <v>69</v>
      </c>
      <c r="Z329" t="s">
        <v>69</v>
      </c>
      <c r="AA329" t="s">
        <v>18870</v>
      </c>
      <c r="AB329" t="s">
        <v>18871</v>
      </c>
      <c r="AC329" t="s">
        <v>4720</v>
      </c>
      <c r="AD329" t="s">
        <v>18872</v>
      </c>
      <c r="AE329" t="s">
        <v>69</v>
      </c>
      <c r="AF329" t="s">
        <v>18873</v>
      </c>
      <c r="AG329" t="s">
        <v>18874</v>
      </c>
      <c r="AH329" t="s">
        <v>69</v>
      </c>
      <c r="AI329" t="s">
        <v>18875</v>
      </c>
      <c r="AJ329" t="s">
        <v>18876</v>
      </c>
      <c r="AK329" t="s">
        <v>18877</v>
      </c>
      <c r="AL329" t="s">
        <v>18878</v>
      </c>
      <c r="AM329" t="s">
        <v>69</v>
      </c>
      <c r="AN329">
        <v>50</v>
      </c>
      <c r="AO329">
        <v>16</v>
      </c>
      <c r="AP329">
        <v>17</v>
      </c>
      <c r="AQ329">
        <v>4</v>
      </c>
      <c r="AR329">
        <v>23</v>
      </c>
      <c r="AS329" t="s">
        <v>8924</v>
      </c>
      <c r="AT329" t="s">
        <v>8925</v>
      </c>
      <c r="AU329" t="s">
        <v>8926</v>
      </c>
      <c r="AV329" t="s">
        <v>69</v>
      </c>
      <c r="AW329" t="s">
        <v>354</v>
      </c>
      <c r="AX329" t="s">
        <v>69</v>
      </c>
      <c r="AY329" t="s">
        <v>8958</v>
      </c>
      <c r="AZ329" t="s">
        <v>8434</v>
      </c>
      <c r="BA329" t="s">
        <v>586</v>
      </c>
      <c r="BB329">
        <v>2018</v>
      </c>
      <c r="BC329">
        <v>10</v>
      </c>
      <c r="BD329">
        <v>5</v>
      </c>
      <c r="BE329" t="s">
        <v>69</v>
      </c>
      <c r="BF329" t="s">
        <v>69</v>
      </c>
      <c r="BG329" t="s">
        <v>69</v>
      </c>
      <c r="BH329" t="s">
        <v>69</v>
      </c>
      <c r="BI329" t="s">
        <v>69</v>
      </c>
      <c r="BJ329" t="s">
        <v>69</v>
      </c>
      <c r="BK329">
        <v>1687</v>
      </c>
      <c r="BL329" t="s">
        <v>4721</v>
      </c>
      <c r="BM329" t="str">
        <f>HYPERLINK("http://dx.doi.org/10.3390/su10051687","http://dx.doi.org/10.3390/su10051687")</f>
        <v>http://dx.doi.org/10.3390/su10051687</v>
      </c>
      <c r="BN329" t="s">
        <v>69</v>
      </c>
      <c r="BO329" t="s">
        <v>69</v>
      </c>
      <c r="BP329">
        <v>17</v>
      </c>
      <c r="BQ329" t="s">
        <v>8960</v>
      </c>
      <c r="BR329" t="s">
        <v>8523</v>
      </c>
      <c r="BS329" t="s">
        <v>8961</v>
      </c>
      <c r="BT329" t="s">
        <v>18836</v>
      </c>
      <c r="BU329" t="s">
        <v>4722</v>
      </c>
      <c r="BV329" t="s">
        <v>69</v>
      </c>
      <c r="BW329" t="s">
        <v>17361</v>
      </c>
      <c r="BX329" t="s">
        <v>69</v>
      </c>
      <c r="BY329" t="s">
        <v>69</v>
      </c>
      <c r="BZ329" t="s">
        <v>8526</v>
      </c>
      <c r="CA329" t="str">
        <f>HYPERLINK("https%3A%2F%2Fwww.webofscience.com%2Fwos%2Fwoscc%2Ffull-record%2FWOS:000435587100383","View Full Record in Web of Science")</f>
        <v>View Full Record in Web of Science</v>
      </c>
    </row>
    <row r="330" spans="2:79" x14ac:dyDescent="0.3">
      <c r="B330" t="s">
        <v>8495</v>
      </c>
      <c r="D330" s="9" t="s">
        <v>32948</v>
      </c>
      <c r="E330" s="9" t="s">
        <v>33119</v>
      </c>
      <c r="F330" s="10" t="s">
        <v>8490</v>
      </c>
      <c r="G330" s="9" t="s">
        <v>8490</v>
      </c>
      <c r="H330" t="s">
        <v>67</v>
      </c>
      <c r="I330" t="s">
        <v>24173</v>
      </c>
      <c r="J330" t="s">
        <v>69</v>
      </c>
      <c r="K330" t="s">
        <v>69</v>
      </c>
      <c r="L330" t="s">
        <v>69</v>
      </c>
      <c r="M330" t="s">
        <v>24174</v>
      </c>
      <c r="N330" t="s">
        <v>69</v>
      </c>
      <c r="O330" t="s">
        <v>69</v>
      </c>
      <c r="P330" t="s">
        <v>24175</v>
      </c>
      <c r="Q330" t="s">
        <v>24176</v>
      </c>
      <c r="R330" t="s">
        <v>69</v>
      </c>
      <c r="S330" t="s">
        <v>69</v>
      </c>
      <c r="T330" t="s">
        <v>8505</v>
      </c>
      <c r="U330" t="s">
        <v>8506</v>
      </c>
      <c r="V330" t="s">
        <v>69</v>
      </c>
      <c r="W330" t="s">
        <v>69</v>
      </c>
      <c r="X330" t="s">
        <v>69</v>
      </c>
      <c r="Y330" t="s">
        <v>69</v>
      </c>
      <c r="Z330" t="s">
        <v>69</v>
      </c>
      <c r="AA330" t="s">
        <v>24177</v>
      </c>
      <c r="AB330" t="s">
        <v>24178</v>
      </c>
      <c r="AC330" t="s">
        <v>24179</v>
      </c>
      <c r="AD330" t="s">
        <v>24180</v>
      </c>
      <c r="AE330" t="s">
        <v>69</v>
      </c>
      <c r="AF330" t="s">
        <v>24181</v>
      </c>
      <c r="AG330" t="s">
        <v>24182</v>
      </c>
      <c r="AH330" t="s">
        <v>24183</v>
      </c>
      <c r="AI330" t="s">
        <v>69</v>
      </c>
      <c r="AJ330" t="s">
        <v>69</v>
      </c>
      <c r="AK330" t="s">
        <v>69</v>
      </c>
      <c r="AL330" t="s">
        <v>69</v>
      </c>
      <c r="AM330" t="s">
        <v>69</v>
      </c>
      <c r="AN330">
        <v>23</v>
      </c>
      <c r="AO330">
        <v>15</v>
      </c>
      <c r="AP330">
        <v>15</v>
      </c>
      <c r="AQ330">
        <v>0</v>
      </c>
      <c r="AR330">
        <v>10</v>
      </c>
      <c r="AS330" t="s">
        <v>17924</v>
      </c>
      <c r="AT330" t="s">
        <v>17925</v>
      </c>
      <c r="AU330" t="s">
        <v>17926</v>
      </c>
      <c r="AV330" t="s">
        <v>24184</v>
      </c>
      <c r="AW330" t="s">
        <v>24185</v>
      </c>
      <c r="AX330" t="s">
        <v>69</v>
      </c>
      <c r="AY330" t="s">
        <v>24186</v>
      </c>
      <c r="AZ330" t="s">
        <v>24187</v>
      </c>
      <c r="BA330" t="s">
        <v>69</v>
      </c>
      <c r="BB330">
        <v>2014</v>
      </c>
      <c r="BC330">
        <v>36</v>
      </c>
      <c r="BD330">
        <v>3</v>
      </c>
      <c r="BE330" t="s">
        <v>69</v>
      </c>
      <c r="BF330" t="s">
        <v>69</v>
      </c>
      <c r="BG330" t="s">
        <v>69</v>
      </c>
      <c r="BH330" t="s">
        <v>69</v>
      </c>
      <c r="BI330">
        <v>257</v>
      </c>
      <c r="BJ330">
        <v>264</v>
      </c>
      <c r="BK330" t="s">
        <v>69</v>
      </c>
      <c r="BL330" t="s">
        <v>24188</v>
      </c>
      <c r="BM330" t="str">
        <f>HYPERLINK("http://dx.doi.org/10.3828/idpr.2014.23","http://dx.doi.org/10.3828/idpr.2014.23")</f>
        <v>http://dx.doi.org/10.3828/idpr.2014.23</v>
      </c>
      <c r="BN330" t="s">
        <v>69</v>
      </c>
      <c r="BO330" t="s">
        <v>69</v>
      </c>
      <c r="BP330">
        <v>8</v>
      </c>
      <c r="BQ330" t="s">
        <v>14686</v>
      </c>
      <c r="BR330" t="s">
        <v>8661</v>
      </c>
      <c r="BS330" t="s">
        <v>14687</v>
      </c>
      <c r="BT330" t="s">
        <v>24189</v>
      </c>
      <c r="BU330" t="s">
        <v>24190</v>
      </c>
      <c r="BV330" t="s">
        <v>69</v>
      </c>
      <c r="BW330" t="s">
        <v>10995</v>
      </c>
      <c r="BX330" t="s">
        <v>69</v>
      </c>
      <c r="BY330" t="s">
        <v>69</v>
      </c>
      <c r="BZ330" t="s">
        <v>8526</v>
      </c>
      <c r="CA330" t="str">
        <f>HYPERLINK("https%3A%2F%2Fwww.webofscience.com%2Fwos%2Fwoscc%2Ffull-record%2FWOS:000338710400001","View Full Record in Web of Science")</f>
        <v>View Full Record in Web of Science</v>
      </c>
    </row>
    <row r="331" spans="2:79" x14ac:dyDescent="0.3">
      <c r="B331" t="s">
        <v>8495</v>
      </c>
      <c r="D331" s="13" t="s">
        <v>32959</v>
      </c>
      <c r="H331" t="s">
        <v>67</v>
      </c>
      <c r="I331" t="s">
        <v>6060</v>
      </c>
      <c r="J331" t="s">
        <v>69</v>
      </c>
      <c r="K331" t="s">
        <v>69</v>
      </c>
      <c r="L331" t="s">
        <v>69</v>
      </c>
      <c r="M331" s="4" t="s">
        <v>6061</v>
      </c>
      <c r="N331" t="s">
        <v>69</v>
      </c>
      <c r="O331" t="s">
        <v>69</v>
      </c>
      <c r="P331" s="6" t="s">
        <v>6062</v>
      </c>
      <c r="Q331" t="s">
        <v>6063</v>
      </c>
      <c r="R331" t="s">
        <v>69</v>
      </c>
      <c r="S331" t="s">
        <v>69</v>
      </c>
      <c r="T331" t="s">
        <v>8505</v>
      </c>
      <c r="U331" t="s">
        <v>8506</v>
      </c>
      <c r="V331" t="s">
        <v>69</v>
      </c>
      <c r="W331" t="s">
        <v>69</v>
      </c>
      <c r="X331" t="s">
        <v>69</v>
      </c>
      <c r="Y331" t="s">
        <v>69</v>
      </c>
      <c r="Z331" t="s">
        <v>69</v>
      </c>
      <c r="AA331" t="s">
        <v>27203</v>
      </c>
      <c r="AB331" t="s">
        <v>69</v>
      </c>
      <c r="AC331" t="s">
        <v>6064</v>
      </c>
      <c r="AD331" t="s">
        <v>27204</v>
      </c>
      <c r="AE331" t="s">
        <v>69</v>
      </c>
      <c r="AF331" t="s">
        <v>27205</v>
      </c>
      <c r="AG331" t="s">
        <v>27206</v>
      </c>
      <c r="AH331" t="s">
        <v>6065</v>
      </c>
      <c r="AI331" t="s">
        <v>27207</v>
      </c>
      <c r="AJ331" t="s">
        <v>69</v>
      </c>
      <c r="AK331" t="s">
        <v>69</v>
      </c>
      <c r="AL331" t="s">
        <v>69</v>
      </c>
      <c r="AM331" t="s">
        <v>69</v>
      </c>
      <c r="AN331">
        <v>36</v>
      </c>
      <c r="AO331">
        <v>11</v>
      </c>
      <c r="AP331">
        <v>11</v>
      </c>
      <c r="AQ331">
        <v>1</v>
      </c>
      <c r="AR331">
        <v>22</v>
      </c>
      <c r="AS331" t="s">
        <v>8865</v>
      </c>
      <c r="AT331" t="s">
        <v>8612</v>
      </c>
      <c r="AU331" t="s">
        <v>22341</v>
      </c>
      <c r="AV331" t="s">
        <v>6066</v>
      </c>
      <c r="AW331" t="s">
        <v>69</v>
      </c>
      <c r="AX331" t="s">
        <v>69</v>
      </c>
      <c r="AY331" t="s">
        <v>27208</v>
      </c>
      <c r="AZ331" t="s">
        <v>27209</v>
      </c>
      <c r="BA331" t="s">
        <v>69</v>
      </c>
      <c r="BB331">
        <v>2011</v>
      </c>
      <c r="BC331">
        <v>11</v>
      </c>
      <c r="BD331">
        <v>6</v>
      </c>
      <c r="BE331" t="s">
        <v>69</v>
      </c>
      <c r="BF331" t="s">
        <v>69</v>
      </c>
      <c r="BG331" t="s">
        <v>69</v>
      </c>
      <c r="BH331" t="s">
        <v>69</v>
      </c>
      <c r="BI331">
        <v>1367</v>
      </c>
      <c r="BJ331">
        <v>1385</v>
      </c>
      <c r="BK331" t="s">
        <v>69</v>
      </c>
      <c r="BL331" t="s">
        <v>6067</v>
      </c>
      <c r="BM331" t="str">
        <f>HYPERLINK("http://dx.doi.org/10.1080/14693062.2011.579265","http://dx.doi.org/10.1080/14693062.2011.579265")</f>
        <v>http://dx.doi.org/10.1080/14693062.2011.579265</v>
      </c>
      <c r="BN331" t="s">
        <v>69</v>
      </c>
      <c r="BO331" t="s">
        <v>69</v>
      </c>
      <c r="BP331">
        <v>19</v>
      </c>
      <c r="BQ331" t="s">
        <v>22445</v>
      </c>
      <c r="BR331" t="s">
        <v>8661</v>
      </c>
      <c r="BS331" t="s">
        <v>15243</v>
      </c>
      <c r="BT331" t="s">
        <v>27210</v>
      </c>
      <c r="BU331" t="s">
        <v>6068</v>
      </c>
      <c r="BV331" t="s">
        <v>69</v>
      </c>
      <c r="BW331" t="s">
        <v>69</v>
      </c>
      <c r="BX331" t="s">
        <v>69</v>
      </c>
      <c r="BY331" t="s">
        <v>69</v>
      </c>
      <c r="BZ331" t="s">
        <v>8526</v>
      </c>
      <c r="CA331" t="str">
        <f>HYPERLINK("https%3A%2F%2Fwww.webofscience.com%2Fwos%2Fwoscc%2Ffull-record%2FWOS:000297288900008","View Full Record in Web of Science")</f>
        <v>View Full Record in Web of Science</v>
      </c>
    </row>
    <row r="332" spans="2:79" ht="12.5" x14ac:dyDescent="0.25">
      <c r="B332" t="s">
        <v>8495</v>
      </c>
      <c r="D332" s="7" t="s">
        <v>32933</v>
      </c>
      <c r="E332" s="7"/>
      <c r="F332" s="7"/>
      <c r="G332" s="7"/>
      <c r="H332" t="s">
        <v>67</v>
      </c>
      <c r="I332" t="s">
        <v>5627</v>
      </c>
      <c r="J332" t="s">
        <v>69</v>
      </c>
      <c r="K332" t="s">
        <v>69</v>
      </c>
      <c r="L332" t="s">
        <v>69</v>
      </c>
      <c r="M332" t="s">
        <v>5628</v>
      </c>
      <c r="N332" t="s">
        <v>69</v>
      </c>
      <c r="O332" t="s">
        <v>69</v>
      </c>
      <c r="P332" t="s">
        <v>5629</v>
      </c>
      <c r="Q332" t="s">
        <v>5630</v>
      </c>
      <c r="R332" t="s">
        <v>69</v>
      </c>
      <c r="S332" t="s">
        <v>69</v>
      </c>
      <c r="T332" t="s">
        <v>8505</v>
      </c>
      <c r="U332" t="s">
        <v>8506</v>
      </c>
      <c r="V332" t="s">
        <v>69</v>
      </c>
      <c r="W332" t="s">
        <v>69</v>
      </c>
      <c r="X332" t="s">
        <v>69</v>
      </c>
      <c r="Y332" t="s">
        <v>69</v>
      </c>
      <c r="Z332" t="s">
        <v>69</v>
      </c>
      <c r="AA332" t="s">
        <v>17209</v>
      </c>
      <c r="AB332" t="s">
        <v>17210</v>
      </c>
      <c r="AC332" t="s">
        <v>5631</v>
      </c>
      <c r="AD332" t="s">
        <v>17211</v>
      </c>
      <c r="AE332" t="s">
        <v>69</v>
      </c>
      <c r="AF332" t="s">
        <v>17212</v>
      </c>
      <c r="AG332" t="s">
        <v>17213</v>
      </c>
      <c r="AH332" t="s">
        <v>69</v>
      </c>
      <c r="AI332" t="s">
        <v>5632</v>
      </c>
      <c r="AJ332" t="s">
        <v>17214</v>
      </c>
      <c r="AK332" t="s">
        <v>17214</v>
      </c>
      <c r="AL332" t="s">
        <v>17215</v>
      </c>
      <c r="AM332" t="s">
        <v>69</v>
      </c>
      <c r="AN332">
        <v>57</v>
      </c>
      <c r="AO332">
        <v>4</v>
      </c>
      <c r="AP332">
        <v>4</v>
      </c>
      <c r="AQ332">
        <v>3</v>
      </c>
      <c r="AR332">
        <v>17</v>
      </c>
      <c r="AS332" t="s">
        <v>17216</v>
      </c>
      <c r="AT332" t="s">
        <v>17217</v>
      </c>
      <c r="AU332" t="s">
        <v>17218</v>
      </c>
      <c r="AV332" t="s">
        <v>5633</v>
      </c>
      <c r="AW332" t="s">
        <v>69</v>
      </c>
      <c r="AX332" t="s">
        <v>69</v>
      </c>
      <c r="AY332" t="s">
        <v>17219</v>
      </c>
      <c r="AZ332" t="s">
        <v>17220</v>
      </c>
      <c r="BA332" t="s">
        <v>155</v>
      </c>
      <c r="BB332">
        <v>2019</v>
      </c>
      <c r="BC332">
        <v>7</v>
      </c>
      <c r="BD332">
        <v>1</v>
      </c>
      <c r="BE332" t="s">
        <v>69</v>
      </c>
      <c r="BF332" t="s">
        <v>69</v>
      </c>
      <c r="BG332" t="s">
        <v>69</v>
      </c>
      <c r="BH332" t="s">
        <v>69</v>
      </c>
      <c r="BI332">
        <v>31</v>
      </c>
      <c r="BJ332">
        <v>41</v>
      </c>
      <c r="BK332" t="s">
        <v>69</v>
      </c>
      <c r="BL332" t="s">
        <v>5634</v>
      </c>
      <c r="BM332" t="str">
        <f>HYPERLINK("http://dx.doi.org/10.17170/kobra-2018122074","http://dx.doi.org/10.17170/kobra-2018122074")</f>
        <v>http://dx.doi.org/10.17170/kobra-2018122074</v>
      </c>
      <c r="BN332" t="s">
        <v>69</v>
      </c>
      <c r="BO332" t="s">
        <v>69</v>
      </c>
      <c r="BP332">
        <v>11</v>
      </c>
      <c r="BQ332" t="s">
        <v>17221</v>
      </c>
      <c r="BR332" t="s">
        <v>8573</v>
      </c>
      <c r="BS332" t="s">
        <v>17221</v>
      </c>
      <c r="BT332" t="s">
        <v>17222</v>
      </c>
      <c r="BU332" t="s">
        <v>5635</v>
      </c>
      <c r="BV332" t="s">
        <v>69</v>
      </c>
      <c r="BW332" t="s">
        <v>69</v>
      </c>
      <c r="BX332" t="s">
        <v>69</v>
      </c>
      <c r="BY332" t="s">
        <v>69</v>
      </c>
      <c r="BZ332" t="s">
        <v>8526</v>
      </c>
      <c r="CA332" t="str">
        <f>HYPERLINK("https%3A%2F%2Fwww.webofscience.com%2Fwos%2Fwoscc%2Ffull-record%2FWOS:000470128200004","View Full Record in Web of Science")</f>
        <v>View Full Record in Web of Science</v>
      </c>
    </row>
    <row r="333" spans="2:79" ht="12.5" x14ac:dyDescent="0.25">
      <c r="B333" t="s">
        <v>8495</v>
      </c>
      <c r="D333" s="7" t="s">
        <v>32933</v>
      </c>
      <c r="E333" s="7"/>
      <c r="F333" s="7"/>
      <c r="G333" s="7"/>
      <c r="H333" t="s">
        <v>67</v>
      </c>
      <c r="I333" t="s">
        <v>694</v>
      </c>
      <c r="J333" t="s">
        <v>69</v>
      </c>
      <c r="K333" t="s">
        <v>69</v>
      </c>
      <c r="L333" t="s">
        <v>69</v>
      </c>
      <c r="M333" t="s">
        <v>695</v>
      </c>
      <c r="N333" t="s">
        <v>69</v>
      </c>
      <c r="O333" t="s">
        <v>69</v>
      </c>
      <c r="P333" t="s">
        <v>696</v>
      </c>
      <c r="Q333" t="s">
        <v>697</v>
      </c>
      <c r="R333" t="s">
        <v>69</v>
      </c>
      <c r="S333" t="s">
        <v>69</v>
      </c>
      <c r="T333" t="s">
        <v>8505</v>
      </c>
      <c r="U333" t="s">
        <v>8506</v>
      </c>
      <c r="V333" t="s">
        <v>69</v>
      </c>
      <c r="W333" t="s">
        <v>69</v>
      </c>
      <c r="X333" t="s">
        <v>69</v>
      </c>
      <c r="Y333" t="s">
        <v>69</v>
      </c>
      <c r="Z333" t="s">
        <v>69</v>
      </c>
      <c r="AA333" t="s">
        <v>14653</v>
      </c>
      <c r="AB333" t="s">
        <v>14654</v>
      </c>
      <c r="AC333" t="s">
        <v>698</v>
      </c>
      <c r="AD333" t="s">
        <v>14655</v>
      </c>
      <c r="AE333" t="s">
        <v>69</v>
      </c>
      <c r="AF333" t="s">
        <v>14656</v>
      </c>
      <c r="AG333" t="s">
        <v>14657</v>
      </c>
      <c r="AH333" t="s">
        <v>14658</v>
      </c>
      <c r="AI333" t="s">
        <v>69</v>
      </c>
      <c r="AJ333" t="s">
        <v>69</v>
      </c>
      <c r="AK333" t="s">
        <v>69</v>
      </c>
      <c r="AL333" t="s">
        <v>69</v>
      </c>
      <c r="AM333" t="s">
        <v>69</v>
      </c>
      <c r="AN333">
        <v>36</v>
      </c>
      <c r="AO333">
        <v>2</v>
      </c>
      <c r="AP333">
        <v>2</v>
      </c>
      <c r="AQ333">
        <v>0</v>
      </c>
      <c r="AR333">
        <v>2</v>
      </c>
      <c r="AS333" t="s">
        <v>9047</v>
      </c>
      <c r="AT333" t="s">
        <v>9048</v>
      </c>
      <c r="AU333" t="s">
        <v>9049</v>
      </c>
      <c r="AV333" t="s">
        <v>699</v>
      </c>
      <c r="AW333" t="s">
        <v>700</v>
      </c>
      <c r="AX333" t="s">
        <v>69</v>
      </c>
      <c r="AY333" t="s">
        <v>697</v>
      </c>
      <c r="AZ333" t="s">
        <v>14659</v>
      </c>
      <c r="BA333" t="s">
        <v>255</v>
      </c>
      <c r="BB333">
        <v>2020</v>
      </c>
      <c r="BC333">
        <v>32</v>
      </c>
      <c r="BD333">
        <v>3</v>
      </c>
      <c r="BE333" t="s">
        <v>69</v>
      </c>
      <c r="BF333" t="s">
        <v>69</v>
      </c>
      <c r="BG333" t="s">
        <v>69</v>
      </c>
      <c r="BH333" t="s">
        <v>69</v>
      </c>
      <c r="BI333">
        <v>191</v>
      </c>
      <c r="BJ333">
        <v>197</v>
      </c>
      <c r="BK333" t="s">
        <v>69</v>
      </c>
      <c r="BL333" t="s">
        <v>701</v>
      </c>
      <c r="BM333" t="str">
        <f>HYPERLINK("http://dx.doi.org/10.1007/s10730-020-09422-8","http://dx.doi.org/10.1007/s10730-020-09422-8")</f>
        <v>http://dx.doi.org/10.1007/s10730-020-09422-8</v>
      </c>
      <c r="BN333" t="s">
        <v>69</v>
      </c>
      <c r="BO333" t="s">
        <v>702</v>
      </c>
      <c r="BP333">
        <v>7</v>
      </c>
      <c r="BQ333" t="s">
        <v>14660</v>
      </c>
      <c r="BR333" t="s">
        <v>8661</v>
      </c>
      <c r="BS333" t="s">
        <v>10279</v>
      </c>
      <c r="BT333" t="s">
        <v>14661</v>
      </c>
      <c r="BU333" t="s">
        <v>703</v>
      </c>
      <c r="BV333">
        <v>32737622</v>
      </c>
      <c r="BW333" t="s">
        <v>69</v>
      </c>
      <c r="BX333" t="s">
        <v>69</v>
      </c>
      <c r="BY333" t="s">
        <v>69</v>
      </c>
      <c r="BZ333" t="s">
        <v>8526</v>
      </c>
      <c r="CA333" t="str">
        <f>HYPERLINK("https%3A%2F%2Fwww.webofscience.com%2Fwos%2Fwoscc%2Ffull-record%2FWOS:000554339500001","View Full Record in Web of Science")</f>
        <v>View Full Record in Web of Science</v>
      </c>
    </row>
    <row r="334" spans="2:79" ht="12.5" x14ac:dyDescent="0.25">
      <c r="B334" t="s">
        <v>8495</v>
      </c>
      <c r="D334" s="22" t="s">
        <v>32931</v>
      </c>
      <c r="E334" s="7"/>
      <c r="F334" s="7"/>
      <c r="G334" s="7"/>
      <c r="H334" t="s">
        <v>67</v>
      </c>
      <c r="I334" t="s">
        <v>30102</v>
      </c>
      <c r="J334" t="s">
        <v>69</v>
      </c>
      <c r="K334" t="s">
        <v>69</v>
      </c>
      <c r="L334" t="s">
        <v>69</v>
      </c>
      <c r="M334" t="s">
        <v>30103</v>
      </c>
      <c r="N334" t="s">
        <v>69</v>
      </c>
      <c r="O334" t="s">
        <v>69</v>
      </c>
      <c r="P334" t="s">
        <v>30104</v>
      </c>
      <c r="Q334" t="s">
        <v>30105</v>
      </c>
      <c r="R334" t="s">
        <v>69</v>
      </c>
      <c r="S334" t="s">
        <v>69</v>
      </c>
      <c r="T334" t="s">
        <v>8505</v>
      </c>
      <c r="U334" t="s">
        <v>8506</v>
      </c>
      <c r="V334" t="s">
        <v>69</v>
      </c>
      <c r="W334" t="s">
        <v>69</v>
      </c>
      <c r="X334" t="s">
        <v>69</v>
      </c>
      <c r="Y334" t="s">
        <v>69</v>
      </c>
      <c r="Z334" t="s">
        <v>69</v>
      </c>
      <c r="AA334" t="s">
        <v>30106</v>
      </c>
      <c r="AB334" t="s">
        <v>69</v>
      </c>
      <c r="AC334" t="s">
        <v>30107</v>
      </c>
      <c r="AD334" t="s">
        <v>30108</v>
      </c>
      <c r="AE334" t="s">
        <v>69</v>
      </c>
      <c r="AF334" t="s">
        <v>69</v>
      </c>
      <c r="AG334" t="s">
        <v>30109</v>
      </c>
      <c r="AH334" t="s">
        <v>30110</v>
      </c>
      <c r="AI334" t="s">
        <v>30111</v>
      </c>
      <c r="AJ334" t="s">
        <v>69</v>
      </c>
      <c r="AK334" t="s">
        <v>69</v>
      </c>
      <c r="AL334" t="s">
        <v>69</v>
      </c>
      <c r="AM334" t="s">
        <v>69</v>
      </c>
      <c r="AN334">
        <v>48</v>
      </c>
      <c r="AO334">
        <v>11</v>
      </c>
      <c r="AP334">
        <v>11</v>
      </c>
      <c r="AQ334">
        <v>0</v>
      </c>
      <c r="AR334">
        <v>14</v>
      </c>
      <c r="AS334" t="s">
        <v>8846</v>
      </c>
      <c r="AT334" t="s">
        <v>8847</v>
      </c>
      <c r="AU334" t="s">
        <v>8848</v>
      </c>
      <c r="AV334" t="s">
        <v>30112</v>
      </c>
      <c r="AW334" t="s">
        <v>30113</v>
      </c>
      <c r="AX334" t="s">
        <v>69</v>
      </c>
      <c r="AY334" t="s">
        <v>30114</v>
      </c>
      <c r="AZ334" t="s">
        <v>30115</v>
      </c>
      <c r="BA334" t="s">
        <v>75</v>
      </c>
      <c r="BB334">
        <v>2006</v>
      </c>
      <c r="BC334">
        <v>15</v>
      </c>
      <c r="BD334">
        <v>12</v>
      </c>
      <c r="BE334" t="s">
        <v>69</v>
      </c>
      <c r="BF334" t="s">
        <v>69</v>
      </c>
      <c r="BG334" t="s">
        <v>69</v>
      </c>
      <c r="BH334" t="s">
        <v>69</v>
      </c>
      <c r="BI334">
        <v>1540</v>
      </c>
      <c r="BJ334">
        <v>1549</v>
      </c>
      <c r="BK334" t="s">
        <v>69</v>
      </c>
      <c r="BL334" t="s">
        <v>30116</v>
      </c>
      <c r="BM334" t="str">
        <f>HYPERLINK("http://dx.doi.org/10.1111/j.1365-2702.2006.01576.x","http://dx.doi.org/10.1111/j.1365-2702.2006.01576.x")</f>
        <v>http://dx.doi.org/10.1111/j.1365-2702.2006.01576.x</v>
      </c>
      <c r="BN334" t="s">
        <v>69</v>
      </c>
      <c r="BO334" t="s">
        <v>69</v>
      </c>
      <c r="BP334">
        <v>10</v>
      </c>
      <c r="BQ334" t="s">
        <v>16902</v>
      </c>
      <c r="BR334" t="s">
        <v>8523</v>
      </c>
      <c r="BS334" t="s">
        <v>16902</v>
      </c>
      <c r="BT334" t="s">
        <v>30117</v>
      </c>
      <c r="BU334" t="s">
        <v>30118</v>
      </c>
      <c r="BV334">
        <v>17118076</v>
      </c>
      <c r="BW334" t="s">
        <v>69</v>
      </c>
      <c r="BX334" t="s">
        <v>69</v>
      </c>
      <c r="BY334" t="s">
        <v>69</v>
      </c>
      <c r="BZ334" t="s">
        <v>8526</v>
      </c>
      <c r="CA334" t="str">
        <f>HYPERLINK("https%3A%2F%2Fwww.webofscience.com%2Fwos%2Fwoscc%2Ffull-record%2FWOS:000242113200008","View Full Record in Web of Science")</f>
        <v>View Full Record in Web of Science</v>
      </c>
    </row>
    <row r="335" spans="2:79" ht="12.5" x14ac:dyDescent="0.25">
      <c r="B335" t="s">
        <v>8495</v>
      </c>
      <c r="D335" s="7" t="s">
        <v>32933</v>
      </c>
      <c r="E335" s="7"/>
      <c r="F335" s="7"/>
      <c r="G335" s="7"/>
      <c r="H335" t="s">
        <v>67</v>
      </c>
      <c r="I335" t="s">
        <v>6190</v>
      </c>
      <c r="J335" t="s">
        <v>69</v>
      </c>
      <c r="K335" t="s">
        <v>69</v>
      </c>
      <c r="L335" t="s">
        <v>69</v>
      </c>
      <c r="M335" t="s">
        <v>6190</v>
      </c>
      <c r="N335" t="s">
        <v>69</v>
      </c>
      <c r="O335" t="s">
        <v>69</v>
      </c>
      <c r="P335" t="s">
        <v>6191</v>
      </c>
      <c r="Q335" t="s">
        <v>6192</v>
      </c>
      <c r="R335" t="s">
        <v>69</v>
      </c>
      <c r="S335" t="s">
        <v>69</v>
      </c>
      <c r="T335" t="s">
        <v>8505</v>
      </c>
      <c r="U335" t="s">
        <v>8506</v>
      </c>
      <c r="V335" t="s">
        <v>69</v>
      </c>
      <c r="W335" t="s">
        <v>69</v>
      </c>
      <c r="X335" t="s">
        <v>69</v>
      </c>
      <c r="Y335" t="s">
        <v>69</v>
      </c>
      <c r="Z335" t="s">
        <v>69</v>
      </c>
      <c r="AA335" t="s">
        <v>69</v>
      </c>
      <c r="AB335" t="s">
        <v>31212</v>
      </c>
      <c r="AC335" t="s">
        <v>6193</v>
      </c>
      <c r="AD335" t="s">
        <v>31213</v>
      </c>
      <c r="AE335" t="s">
        <v>69</v>
      </c>
      <c r="AF335" t="s">
        <v>31214</v>
      </c>
      <c r="AG335" t="s">
        <v>69</v>
      </c>
      <c r="AH335" t="s">
        <v>69</v>
      </c>
      <c r="AI335" t="s">
        <v>69</v>
      </c>
      <c r="AJ335" t="s">
        <v>69</v>
      </c>
      <c r="AK335" t="s">
        <v>69</v>
      </c>
      <c r="AL335" t="s">
        <v>69</v>
      </c>
      <c r="AM335" t="s">
        <v>69</v>
      </c>
      <c r="AN335">
        <v>74</v>
      </c>
      <c r="AO335">
        <v>83</v>
      </c>
      <c r="AP335">
        <v>83</v>
      </c>
      <c r="AQ335">
        <v>2</v>
      </c>
      <c r="AR335">
        <v>11</v>
      </c>
      <c r="AS335" t="s">
        <v>10352</v>
      </c>
      <c r="AT335" t="s">
        <v>8637</v>
      </c>
      <c r="AU335" t="s">
        <v>10353</v>
      </c>
      <c r="AV335" t="s">
        <v>6194</v>
      </c>
      <c r="AW335" t="s">
        <v>6195</v>
      </c>
      <c r="AX335" t="s">
        <v>69</v>
      </c>
      <c r="AY335" t="s">
        <v>31215</v>
      </c>
      <c r="AZ335" t="s">
        <v>31216</v>
      </c>
      <c r="BA335" t="s">
        <v>84</v>
      </c>
      <c r="BB335">
        <v>2003</v>
      </c>
      <c r="BC335">
        <v>102</v>
      </c>
      <c r="BD335">
        <v>408</v>
      </c>
      <c r="BE335" t="s">
        <v>69</v>
      </c>
      <c r="BF335" t="s">
        <v>69</v>
      </c>
      <c r="BG335" t="s">
        <v>69</v>
      </c>
      <c r="BH335" t="s">
        <v>69</v>
      </c>
      <c r="BI335">
        <v>447</v>
      </c>
      <c r="BJ335">
        <v>467</v>
      </c>
      <c r="BK335" t="s">
        <v>69</v>
      </c>
      <c r="BL335" t="s">
        <v>6196</v>
      </c>
      <c r="BM335" t="str">
        <f>HYPERLINK("http://dx.doi.org/10.1093/oxfordjournals.afraf.a138824","http://dx.doi.org/10.1093/oxfordjournals.afraf.a138824")</f>
        <v>http://dx.doi.org/10.1093/oxfordjournals.afraf.a138824</v>
      </c>
      <c r="BN335" t="s">
        <v>69</v>
      </c>
      <c r="BO335" t="s">
        <v>69</v>
      </c>
      <c r="BP335">
        <v>21</v>
      </c>
      <c r="BQ335" t="s">
        <v>31217</v>
      </c>
      <c r="BR335" t="s">
        <v>8661</v>
      </c>
      <c r="BS335" t="s">
        <v>31218</v>
      </c>
      <c r="BT335" t="s">
        <v>31219</v>
      </c>
      <c r="BU335" t="s">
        <v>6197</v>
      </c>
      <c r="BV335" t="s">
        <v>69</v>
      </c>
      <c r="BW335" t="s">
        <v>69</v>
      </c>
      <c r="BX335" t="s">
        <v>69</v>
      </c>
      <c r="BY335" t="s">
        <v>69</v>
      </c>
      <c r="BZ335" t="s">
        <v>8526</v>
      </c>
      <c r="CA335" t="str">
        <f>HYPERLINK("https%3A%2F%2Fwww.webofscience.com%2Fwos%2Fwoscc%2Ffull-record%2FWOS:000184387200004","View Full Record in Web of Science")</f>
        <v>View Full Record in Web of Science</v>
      </c>
    </row>
    <row r="336" spans="2:79" ht="12.5" x14ac:dyDescent="0.25">
      <c r="B336" t="s">
        <v>8495</v>
      </c>
      <c r="D336" s="22" t="s">
        <v>32931</v>
      </c>
      <c r="E336" s="7"/>
      <c r="F336" s="7"/>
      <c r="G336" s="7"/>
      <c r="H336" t="s">
        <v>67</v>
      </c>
      <c r="I336" t="s">
        <v>11925</v>
      </c>
      <c r="J336" t="s">
        <v>69</v>
      </c>
      <c r="K336" t="s">
        <v>69</v>
      </c>
      <c r="L336" t="s">
        <v>69</v>
      </c>
      <c r="M336" t="s">
        <v>11926</v>
      </c>
      <c r="N336" t="s">
        <v>69</v>
      </c>
      <c r="O336" t="s">
        <v>69</v>
      </c>
      <c r="P336" t="s">
        <v>11927</v>
      </c>
      <c r="Q336" t="s">
        <v>11928</v>
      </c>
      <c r="R336" t="s">
        <v>69</v>
      </c>
      <c r="S336" t="s">
        <v>69</v>
      </c>
      <c r="T336" t="s">
        <v>8505</v>
      </c>
      <c r="U336" t="s">
        <v>8556</v>
      </c>
      <c r="V336" t="s">
        <v>69</v>
      </c>
      <c r="W336" t="s">
        <v>69</v>
      </c>
      <c r="X336" t="s">
        <v>69</v>
      </c>
      <c r="Y336" t="s">
        <v>69</v>
      </c>
      <c r="Z336" t="s">
        <v>69</v>
      </c>
      <c r="AA336" t="s">
        <v>11929</v>
      </c>
      <c r="AB336" t="s">
        <v>11930</v>
      </c>
      <c r="AC336" t="s">
        <v>11931</v>
      </c>
      <c r="AD336" t="s">
        <v>11932</v>
      </c>
      <c r="AE336" t="s">
        <v>69</v>
      </c>
      <c r="AF336" t="s">
        <v>11933</v>
      </c>
      <c r="AG336" t="s">
        <v>11934</v>
      </c>
      <c r="AH336" t="s">
        <v>69</v>
      </c>
      <c r="AI336" t="s">
        <v>69</v>
      </c>
      <c r="AJ336" t="s">
        <v>69</v>
      </c>
      <c r="AK336" t="s">
        <v>69</v>
      </c>
      <c r="AL336" t="s">
        <v>69</v>
      </c>
      <c r="AM336" t="s">
        <v>69</v>
      </c>
      <c r="AN336">
        <v>98</v>
      </c>
      <c r="AO336">
        <v>0</v>
      </c>
      <c r="AP336">
        <v>0</v>
      </c>
      <c r="AQ336">
        <v>2</v>
      </c>
      <c r="AR336">
        <v>13</v>
      </c>
      <c r="AS336" t="s">
        <v>8586</v>
      </c>
      <c r="AT336" t="s">
        <v>8587</v>
      </c>
      <c r="AU336" t="s">
        <v>8588</v>
      </c>
      <c r="AV336" t="s">
        <v>11935</v>
      </c>
      <c r="AW336" t="s">
        <v>11936</v>
      </c>
      <c r="AX336" t="s">
        <v>69</v>
      </c>
      <c r="AY336" t="s">
        <v>11937</v>
      </c>
      <c r="AZ336" t="s">
        <v>11938</v>
      </c>
      <c r="BA336" t="s">
        <v>69</v>
      </c>
      <c r="BB336" t="s">
        <v>69</v>
      </c>
      <c r="BC336" t="s">
        <v>69</v>
      </c>
      <c r="BD336" t="s">
        <v>69</v>
      </c>
      <c r="BE336" t="s">
        <v>69</v>
      </c>
      <c r="BF336" t="s">
        <v>69</v>
      </c>
      <c r="BG336" t="s">
        <v>69</v>
      </c>
      <c r="BH336" t="s">
        <v>69</v>
      </c>
      <c r="BI336" t="s">
        <v>69</v>
      </c>
      <c r="BJ336" t="s">
        <v>69</v>
      </c>
      <c r="BK336" t="s">
        <v>69</v>
      </c>
      <c r="BL336" t="s">
        <v>11939</v>
      </c>
      <c r="BM336" t="str">
        <f>HYPERLINK("http://dx.doi.org/10.1108/JSTPM-06-2019-0058","http://dx.doi.org/10.1108/JSTPM-06-2019-0058")</f>
        <v>http://dx.doi.org/10.1108/JSTPM-06-2019-0058</v>
      </c>
      <c r="BN336" t="s">
        <v>69</v>
      </c>
      <c r="BO336" t="s">
        <v>11920</v>
      </c>
      <c r="BP336">
        <v>27</v>
      </c>
      <c r="BQ336" t="s">
        <v>9410</v>
      </c>
      <c r="BR336" t="s">
        <v>8573</v>
      </c>
      <c r="BS336" t="s">
        <v>8594</v>
      </c>
      <c r="BT336" t="s">
        <v>11940</v>
      </c>
      <c r="BU336" t="s">
        <v>11941</v>
      </c>
      <c r="BV336" t="s">
        <v>69</v>
      </c>
      <c r="BW336" t="s">
        <v>69</v>
      </c>
      <c r="BX336" t="s">
        <v>69</v>
      </c>
      <c r="BY336" t="s">
        <v>69</v>
      </c>
      <c r="BZ336" t="s">
        <v>8526</v>
      </c>
      <c r="CA336" t="str">
        <f>HYPERLINK("https%3A%2F%2Fwww.webofscience.com%2Fwos%2Fwoscc%2Ffull-record%2FWOS:000664119100001","View Full Record in Web of Science")</f>
        <v>View Full Record in Web of Science</v>
      </c>
    </row>
    <row r="337" spans="1:79" ht="12.5" x14ac:dyDescent="0.25">
      <c r="B337" t="s">
        <v>8495</v>
      </c>
      <c r="D337" s="7" t="s">
        <v>32933</v>
      </c>
      <c r="E337" s="7"/>
      <c r="F337" s="7"/>
      <c r="G337" s="7"/>
      <c r="H337" t="s">
        <v>67</v>
      </c>
      <c r="I337" t="s">
        <v>5923</v>
      </c>
      <c r="J337" t="s">
        <v>69</v>
      </c>
      <c r="K337" t="s">
        <v>69</v>
      </c>
      <c r="L337" t="s">
        <v>69</v>
      </c>
      <c r="M337" t="s">
        <v>5924</v>
      </c>
      <c r="N337" t="s">
        <v>69</v>
      </c>
      <c r="O337" t="s">
        <v>69</v>
      </c>
      <c r="P337" t="s">
        <v>5925</v>
      </c>
      <c r="Q337" t="s">
        <v>5926</v>
      </c>
      <c r="R337" t="s">
        <v>69</v>
      </c>
      <c r="S337" t="s">
        <v>69</v>
      </c>
      <c r="T337" t="s">
        <v>8505</v>
      </c>
      <c r="U337" t="s">
        <v>8442</v>
      </c>
      <c r="V337" t="s">
        <v>69</v>
      </c>
      <c r="W337" t="s">
        <v>69</v>
      </c>
      <c r="X337" t="s">
        <v>69</v>
      </c>
      <c r="Y337" t="s">
        <v>69</v>
      </c>
      <c r="Z337" t="s">
        <v>69</v>
      </c>
      <c r="AA337" t="s">
        <v>24412</v>
      </c>
      <c r="AB337" t="s">
        <v>24413</v>
      </c>
      <c r="AC337" t="s">
        <v>5927</v>
      </c>
      <c r="AD337" t="s">
        <v>24414</v>
      </c>
      <c r="AE337" t="s">
        <v>69</v>
      </c>
      <c r="AF337" t="s">
        <v>24415</v>
      </c>
      <c r="AG337" t="s">
        <v>69</v>
      </c>
      <c r="AH337" t="s">
        <v>5928</v>
      </c>
      <c r="AI337" t="s">
        <v>24416</v>
      </c>
      <c r="AJ337" t="s">
        <v>69</v>
      </c>
      <c r="AK337" t="s">
        <v>69</v>
      </c>
      <c r="AL337" t="s">
        <v>69</v>
      </c>
      <c r="AM337" t="s">
        <v>69</v>
      </c>
      <c r="AN337">
        <v>24</v>
      </c>
      <c r="AO337">
        <v>12</v>
      </c>
      <c r="AP337">
        <v>13</v>
      </c>
      <c r="AQ337">
        <v>4</v>
      </c>
      <c r="AR337">
        <v>59</v>
      </c>
      <c r="AS337" t="s">
        <v>8865</v>
      </c>
      <c r="AT337" t="s">
        <v>8612</v>
      </c>
      <c r="AU337" t="s">
        <v>8866</v>
      </c>
      <c r="AV337" t="s">
        <v>5929</v>
      </c>
      <c r="AW337" t="s">
        <v>5930</v>
      </c>
      <c r="AX337" t="s">
        <v>69</v>
      </c>
      <c r="AY337" t="s">
        <v>24417</v>
      </c>
      <c r="AZ337" t="s">
        <v>24418</v>
      </c>
      <c r="BA337" t="s">
        <v>75</v>
      </c>
      <c r="BB337">
        <v>2013</v>
      </c>
      <c r="BC337">
        <v>15</v>
      </c>
      <c r="BD337">
        <v>4</v>
      </c>
      <c r="BE337" t="s">
        <v>69</v>
      </c>
      <c r="BF337" t="s">
        <v>69</v>
      </c>
      <c r="BG337" t="s">
        <v>69</v>
      </c>
      <c r="BH337" t="s">
        <v>69</v>
      </c>
      <c r="BI337">
        <v>416</v>
      </c>
      <c r="BJ337">
        <v>436</v>
      </c>
      <c r="BK337" t="s">
        <v>69</v>
      </c>
      <c r="BL337" t="s">
        <v>5931</v>
      </c>
      <c r="BM337" t="str">
        <f>HYPERLINK("http://dx.doi.org/10.5172/impp.2013.15.4.416","http://dx.doi.org/10.5172/impp.2013.15.4.416")</f>
        <v>http://dx.doi.org/10.5172/impp.2013.15.4.416</v>
      </c>
      <c r="BN337" t="s">
        <v>69</v>
      </c>
      <c r="BO337" t="s">
        <v>69</v>
      </c>
      <c r="BP337">
        <v>21</v>
      </c>
      <c r="BQ337" t="s">
        <v>9410</v>
      </c>
      <c r="BR337" t="s">
        <v>8661</v>
      </c>
      <c r="BS337" t="s">
        <v>8594</v>
      </c>
      <c r="BT337" t="s">
        <v>24419</v>
      </c>
      <c r="BU337" t="s">
        <v>5932</v>
      </c>
      <c r="BV337" t="s">
        <v>69</v>
      </c>
      <c r="BW337" t="s">
        <v>69</v>
      </c>
      <c r="BX337" t="s">
        <v>69</v>
      </c>
      <c r="BY337" t="s">
        <v>69</v>
      </c>
      <c r="BZ337" t="s">
        <v>8526</v>
      </c>
      <c r="CA337" t="str">
        <f>HYPERLINK("https%3A%2F%2Fwww.webofscience.com%2Fwos%2Fwoscc%2Ffull-record%2FWOS:000331065200003","View Full Record in Web of Science")</f>
        <v>View Full Record in Web of Science</v>
      </c>
    </row>
    <row r="338" spans="1:79" ht="12.5" x14ac:dyDescent="0.25">
      <c r="B338" t="s">
        <v>8495</v>
      </c>
      <c r="D338" s="7" t="s">
        <v>32933</v>
      </c>
      <c r="E338" s="7"/>
      <c r="F338" s="7"/>
      <c r="G338" s="7"/>
      <c r="H338" t="s">
        <v>67</v>
      </c>
      <c r="I338" t="s">
        <v>5084</v>
      </c>
      <c r="J338" t="s">
        <v>69</v>
      </c>
      <c r="K338" t="s">
        <v>69</v>
      </c>
      <c r="L338" t="s">
        <v>69</v>
      </c>
      <c r="M338" t="s">
        <v>5085</v>
      </c>
      <c r="N338" t="s">
        <v>69</v>
      </c>
      <c r="O338" t="s">
        <v>69</v>
      </c>
      <c r="P338" t="s">
        <v>5086</v>
      </c>
      <c r="Q338" t="s">
        <v>3208</v>
      </c>
      <c r="R338" t="s">
        <v>69</v>
      </c>
      <c r="S338" t="s">
        <v>69</v>
      </c>
      <c r="T338" t="s">
        <v>8505</v>
      </c>
      <c r="U338" t="s">
        <v>8506</v>
      </c>
      <c r="V338" t="s">
        <v>69</v>
      </c>
      <c r="W338" t="s">
        <v>69</v>
      </c>
      <c r="X338" t="s">
        <v>69</v>
      </c>
      <c r="Y338" t="s">
        <v>69</v>
      </c>
      <c r="Z338" t="s">
        <v>69</v>
      </c>
      <c r="AA338" t="s">
        <v>17688</v>
      </c>
      <c r="AB338" t="s">
        <v>69</v>
      </c>
      <c r="AC338" t="s">
        <v>5087</v>
      </c>
      <c r="AD338" t="s">
        <v>17689</v>
      </c>
      <c r="AE338" t="s">
        <v>69</v>
      </c>
      <c r="AF338" t="s">
        <v>17690</v>
      </c>
      <c r="AG338" t="s">
        <v>17691</v>
      </c>
      <c r="AH338" t="s">
        <v>69</v>
      </c>
      <c r="AI338" t="s">
        <v>5088</v>
      </c>
      <c r="AJ338" t="s">
        <v>17692</v>
      </c>
      <c r="AK338" t="s">
        <v>17693</v>
      </c>
      <c r="AL338" t="s">
        <v>17694</v>
      </c>
      <c r="AM338" t="s">
        <v>69</v>
      </c>
      <c r="AN338">
        <v>18</v>
      </c>
      <c r="AO338">
        <v>4</v>
      </c>
      <c r="AP338">
        <v>4</v>
      </c>
      <c r="AQ338">
        <v>4</v>
      </c>
      <c r="AR338">
        <v>15</v>
      </c>
      <c r="AS338" t="s">
        <v>17695</v>
      </c>
      <c r="AT338" t="s">
        <v>12737</v>
      </c>
      <c r="AU338" t="s">
        <v>17696</v>
      </c>
      <c r="AV338" t="s">
        <v>3210</v>
      </c>
      <c r="AW338" t="s">
        <v>69</v>
      </c>
      <c r="AX338" t="s">
        <v>69</v>
      </c>
      <c r="AY338" t="s">
        <v>17697</v>
      </c>
      <c r="AZ338" t="s">
        <v>17697</v>
      </c>
      <c r="BA338" t="s">
        <v>69</v>
      </c>
      <c r="BB338">
        <v>2019</v>
      </c>
      <c r="BC338">
        <v>28</v>
      </c>
      <c r="BD338" t="s">
        <v>69</v>
      </c>
      <c r="BE338" t="s">
        <v>69</v>
      </c>
      <c r="BF338">
        <v>1</v>
      </c>
      <c r="BG338" t="s">
        <v>114</v>
      </c>
      <c r="BH338" t="s">
        <v>69</v>
      </c>
      <c r="BI338">
        <v>233</v>
      </c>
      <c r="BJ338">
        <v>239</v>
      </c>
      <c r="BK338" t="s">
        <v>69</v>
      </c>
      <c r="BL338" t="s">
        <v>5089</v>
      </c>
      <c r="BM338" t="str">
        <f>HYPERLINK("http://dx.doi.org/10.14512/gaia.28.S1.10","http://dx.doi.org/10.14512/gaia.28.S1.10")</f>
        <v>http://dx.doi.org/10.14512/gaia.28.S1.10</v>
      </c>
      <c r="BN338" t="s">
        <v>69</v>
      </c>
      <c r="BO338" t="s">
        <v>69</v>
      </c>
      <c r="BP338">
        <v>7</v>
      </c>
      <c r="BQ338" t="s">
        <v>11791</v>
      </c>
      <c r="BR338" t="s">
        <v>8523</v>
      </c>
      <c r="BS338" t="s">
        <v>8662</v>
      </c>
      <c r="BT338" t="s">
        <v>17698</v>
      </c>
      <c r="BU338" t="s">
        <v>5090</v>
      </c>
      <c r="BV338" t="s">
        <v>69</v>
      </c>
      <c r="BW338" t="s">
        <v>8746</v>
      </c>
      <c r="BX338" t="s">
        <v>69</v>
      </c>
      <c r="BY338" t="s">
        <v>69</v>
      </c>
      <c r="BZ338" t="s">
        <v>8526</v>
      </c>
      <c r="CA338" t="str">
        <f>HYPERLINK("https%3A%2F%2Fwww.webofscience.com%2Fwos%2Fwoscc%2Ffull-record%2FWOS:000490813100010","View Full Record in Web of Science")</f>
        <v>View Full Record in Web of Science</v>
      </c>
    </row>
    <row r="339" spans="1:79" ht="12.5" x14ac:dyDescent="0.25">
      <c r="B339" t="s">
        <v>8495</v>
      </c>
      <c r="D339" s="22" t="s">
        <v>32931</v>
      </c>
      <c r="E339" s="7"/>
      <c r="F339" s="7"/>
      <c r="G339" s="7"/>
      <c r="H339" t="s">
        <v>67</v>
      </c>
      <c r="I339" t="s">
        <v>9528</v>
      </c>
      <c r="J339" t="s">
        <v>69</v>
      </c>
      <c r="K339" t="s">
        <v>69</v>
      </c>
      <c r="L339" t="s">
        <v>69</v>
      </c>
      <c r="M339" t="s">
        <v>9529</v>
      </c>
      <c r="N339" t="s">
        <v>69</v>
      </c>
      <c r="O339" t="s">
        <v>69</v>
      </c>
      <c r="P339" t="s">
        <v>9530</v>
      </c>
      <c r="Q339" t="s">
        <v>3106</v>
      </c>
      <c r="R339" t="s">
        <v>69</v>
      </c>
      <c r="S339" t="s">
        <v>69</v>
      </c>
      <c r="T339" t="s">
        <v>8505</v>
      </c>
      <c r="U339" t="s">
        <v>8556</v>
      </c>
      <c r="V339" t="s">
        <v>69</v>
      </c>
      <c r="W339" t="s">
        <v>69</v>
      </c>
      <c r="X339" t="s">
        <v>69</v>
      </c>
      <c r="Y339" t="s">
        <v>69</v>
      </c>
      <c r="Z339" t="s">
        <v>69</v>
      </c>
      <c r="AA339" t="s">
        <v>9531</v>
      </c>
      <c r="AB339" t="s">
        <v>9532</v>
      </c>
      <c r="AC339" t="s">
        <v>9533</v>
      </c>
      <c r="AD339" t="s">
        <v>9534</v>
      </c>
      <c r="AE339" t="s">
        <v>69</v>
      </c>
      <c r="AF339" t="s">
        <v>9535</v>
      </c>
      <c r="AG339" t="s">
        <v>9536</v>
      </c>
      <c r="AH339" t="s">
        <v>69</v>
      </c>
      <c r="AI339" t="s">
        <v>69</v>
      </c>
      <c r="AJ339" t="s">
        <v>69</v>
      </c>
      <c r="AK339" t="s">
        <v>69</v>
      </c>
      <c r="AL339" t="s">
        <v>69</v>
      </c>
      <c r="AM339" t="s">
        <v>69</v>
      </c>
      <c r="AN339">
        <v>72</v>
      </c>
      <c r="AO339">
        <v>0</v>
      </c>
      <c r="AP339">
        <v>0</v>
      </c>
      <c r="AQ339">
        <v>7</v>
      </c>
      <c r="AR339">
        <v>7</v>
      </c>
      <c r="AS339" t="s">
        <v>8586</v>
      </c>
      <c r="AT339" t="s">
        <v>8587</v>
      </c>
      <c r="AU339" t="s">
        <v>8588</v>
      </c>
      <c r="AV339" t="s">
        <v>3108</v>
      </c>
      <c r="AW339" t="s">
        <v>3109</v>
      </c>
      <c r="AX339" t="s">
        <v>69</v>
      </c>
      <c r="AY339" t="s">
        <v>9537</v>
      </c>
      <c r="AZ339" t="s">
        <v>9538</v>
      </c>
      <c r="BA339" t="s">
        <v>69</v>
      </c>
      <c r="BB339" t="s">
        <v>69</v>
      </c>
      <c r="BC339" t="s">
        <v>69</v>
      </c>
      <c r="BD339" t="s">
        <v>69</v>
      </c>
      <c r="BE339" t="s">
        <v>69</v>
      </c>
      <c r="BF339" t="s">
        <v>69</v>
      </c>
      <c r="BG339" t="s">
        <v>69</v>
      </c>
      <c r="BH339" t="s">
        <v>69</v>
      </c>
      <c r="BI339" t="s">
        <v>69</v>
      </c>
      <c r="BJ339" t="s">
        <v>69</v>
      </c>
      <c r="BK339" t="s">
        <v>69</v>
      </c>
      <c r="BL339" t="s">
        <v>9539</v>
      </c>
      <c r="BM339" t="str">
        <f>HYPERLINK("http://dx.doi.org/10.1108/SRJ-06-2021-0216","http://dx.doi.org/10.1108/SRJ-06-2021-0216")</f>
        <v>http://dx.doi.org/10.1108/SRJ-06-2021-0216</v>
      </c>
      <c r="BN339" t="s">
        <v>69</v>
      </c>
      <c r="BO339" t="s">
        <v>9485</v>
      </c>
      <c r="BP339">
        <v>20</v>
      </c>
      <c r="BQ339" t="s">
        <v>9410</v>
      </c>
      <c r="BR339" t="s">
        <v>8573</v>
      </c>
      <c r="BS339" t="s">
        <v>8594</v>
      </c>
      <c r="BT339" t="s">
        <v>9540</v>
      </c>
      <c r="BU339" t="s">
        <v>9541</v>
      </c>
      <c r="BV339" t="s">
        <v>69</v>
      </c>
      <c r="BW339" t="s">
        <v>69</v>
      </c>
      <c r="BX339" t="s">
        <v>69</v>
      </c>
      <c r="BY339" t="s">
        <v>69</v>
      </c>
      <c r="BZ339" t="s">
        <v>8526</v>
      </c>
      <c r="CA339" t="str">
        <f>HYPERLINK("https%3A%2F%2Fwww.webofscience.com%2Fwos%2Fwoscc%2Ffull-record%2FWOS:000773971500001","View Full Record in Web of Science")</f>
        <v>View Full Record in Web of Science</v>
      </c>
    </row>
    <row r="340" spans="1:79" ht="12.5" x14ac:dyDescent="0.25">
      <c r="B340" t="s">
        <v>8495</v>
      </c>
      <c r="D340" s="22" t="s">
        <v>32931</v>
      </c>
      <c r="E340" s="7"/>
      <c r="F340" s="7"/>
      <c r="G340" s="7"/>
      <c r="H340" t="s">
        <v>67</v>
      </c>
      <c r="I340" t="s">
        <v>28801</v>
      </c>
      <c r="J340" t="s">
        <v>69</v>
      </c>
      <c r="K340" t="s">
        <v>69</v>
      </c>
      <c r="L340" t="s">
        <v>69</v>
      </c>
      <c r="M340" t="s">
        <v>28802</v>
      </c>
      <c r="N340" t="s">
        <v>69</v>
      </c>
      <c r="O340" t="s">
        <v>69</v>
      </c>
      <c r="P340" t="s">
        <v>28803</v>
      </c>
      <c r="Q340" t="s">
        <v>28804</v>
      </c>
      <c r="R340" t="s">
        <v>69</v>
      </c>
      <c r="S340" t="s">
        <v>69</v>
      </c>
      <c r="T340" t="s">
        <v>8505</v>
      </c>
      <c r="U340" t="s">
        <v>8506</v>
      </c>
      <c r="V340" t="s">
        <v>69</v>
      </c>
      <c r="W340" t="s">
        <v>69</v>
      </c>
      <c r="X340" t="s">
        <v>69</v>
      </c>
      <c r="Y340" t="s">
        <v>69</v>
      </c>
      <c r="Z340" t="s">
        <v>69</v>
      </c>
      <c r="AA340" t="s">
        <v>28805</v>
      </c>
      <c r="AB340" t="s">
        <v>69</v>
      </c>
      <c r="AC340" t="s">
        <v>28806</v>
      </c>
      <c r="AD340" t="s">
        <v>28807</v>
      </c>
      <c r="AE340" t="s">
        <v>69</v>
      </c>
      <c r="AF340" t="s">
        <v>28808</v>
      </c>
      <c r="AG340" t="s">
        <v>69</v>
      </c>
      <c r="AH340" t="s">
        <v>28809</v>
      </c>
      <c r="AI340" t="s">
        <v>28810</v>
      </c>
      <c r="AJ340" t="s">
        <v>69</v>
      </c>
      <c r="AK340" t="s">
        <v>69</v>
      </c>
      <c r="AL340" t="s">
        <v>69</v>
      </c>
      <c r="AM340" t="s">
        <v>69</v>
      </c>
      <c r="AN340">
        <v>75</v>
      </c>
      <c r="AO340">
        <v>12</v>
      </c>
      <c r="AP340">
        <v>12</v>
      </c>
      <c r="AQ340">
        <v>0</v>
      </c>
      <c r="AR340">
        <v>0</v>
      </c>
      <c r="AS340" t="s">
        <v>20754</v>
      </c>
      <c r="AT340" t="s">
        <v>20755</v>
      </c>
      <c r="AU340" t="s">
        <v>20756</v>
      </c>
      <c r="AV340" t="s">
        <v>28811</v>
      </c>
      <c r="AW340" t="s">
        <v>28812</v>
      </c>
      <c r="AX340" t="s">
        <v>69</v>
      </c>
      <c r="AY340" t="s">
        <v>28813</v>
      </c>
      <c r="AZ340" t="s">
        <v>28814</v>
      </c>
      <c r="BA340" t="s">
        <v>2654</v>
      </c>
      <c r="BB340">
        <v>2009</v>
      </c>
      <c r="BC340">
        <v>2</v>
      </c>
      <c r="BD340">
        <v>1</v>
      </c>
      <c r="BE340" t="s">
        <v>69</v>
      </c>
      <c r="BF340" t="s">
        <v>69</v>
      </c>
      <c r="BG340" t="s">
        <v>69</v>
      </c>
      <c r="BH340" t="s">
        <v>69</v>
      </c>
      <c r="BI340">
        <v>48</v>
      </c>
      <c r="BJ340">
        <v>69</v>
      </c>
      <c r="BK340" t="s">
        <v>69</v>
      </c>
      <c r="BL340" t="s">
        <v>28815</v>
      </c>
      <c r="BM340" t="str">
        <f>HYPERLINK("http://dx.doi.org/10.4018/jitsa.2009010104","http://dx.doi.org/10.4018/jitsa.2009010104")</f>
        <v>http://dx.doi.org/10.4018/jitsa.2009010104</v>
      </c>
      <c r="BN340" t="s">
        <v>69</v>
      </c>
      <c r="BO340" t="s">
        <v>69</v>
      </c>
      <c r="BP340">
        <v>22</v>
      </c>
      <c r="BQ340" t="s">
        <v>10975</v>
      </c>
      <c r="BR340" t="s">
        <v>8573</v>
      </c>
      <c r="BS340" t="s">
        <v>10976</v>
      </c>
      <c r="BT340" t="s">
        <v>28816</v>
      </c>
      <c r="BU340" t="s">
        <v>28817</v>
      </c>
      <c r="BV340" t="s">
        <v>69</v>
      </c>
      <c r="BW340" t="s">
        <v>69</v>
      </c>
      <c r="BX340" t="s">
        <v>69</v>
      </c>
      <c r="BY340" t="s">
        <v>69</v>
      </c>
      <c r="BZ340" t="s">
        <v>8526</v>
      </c>
      <c r="CA340" t="str">
        <f>HYPERLINK("https%3A%2F%2Fwww.webofscience.com%2Fwos%2Fwoscc%2Ffull-record%2FWOS:000214321700004","View Full Record in Web of Science")</f>
        <v>View Full Record in Web of Science</v>
      </c>
    </row>
    <row r="341" spans="1:79" ht="12.5" x14ac:dyDescent="0.25">
      <c r="B341" t="s">
        <v>8495</v>
      </c>
      <c r="D341" s="22" t="s">
        <v>32931</v>
      </c>
      <c r="E341" s="7"/>
      <c r="F341" s="7"/>
      <c r="G341" s="7"/>
      <c r="H341" t="s">
        <v>67</v>
      </c>
      <c r="I341" t="s">
        <v>26231</v>
      </c>
      <c r="J341" t="s">
        <v>69</v>
      </c>
      <c r="K341" t="s">
        <v>69</v>
      </c>
      <c r="L341" t="s">
        <v>69</v>
      </c>
      <c r="M341" t="s">
        <v>26232</v>
      </c>
      <c r="N341" t="s">
        <v>69</v>
      </c>
      <c r="O341" t="s">
        <v>69</v>
      </c>
      <c r="P341" t="s">
        <v>26233</v>
      </c>
      <c r="Q341" t="s">
        <v>26234</v>
      </c>
      <c r="R341" t="s">
        <v>69</v>
      </c>
      <c r="S341" t="s">
        <v>69</v>
      </c>
      <c r="T341" t="s">
        <v>8505</v>
      </c>
      <c r="U341" t="s">
        <v>8506</v>
      </c>
      <c r="V341" t="s">
        <v>69</v>
      </c>
      <c r="W341" t="s">
        <v>69</v>
      </c>
      <c r="X341" t="s">
        <v>69</v>
      </c>
      <c r="Y341" t="s">
        <v>69</v>
      </c>
      <c r="Z341" t="s">
        <v>69</v>
      </c>
      <c r="AA341" t="s">
        <v>26235</v>
      </c>
      <c r="AB341" t="s">
        <v>26236</v>
      </c>
      <c r="AC341" t="s">
        <v>26237</v>
      </c>
      <c r="AD341" t="s">
        <v>26238</v>
      </c>
      <c r="AE341" t="s">
        <v>69</v>
      </c>
      <c r="AF341" t="s">
        <v>26239</v>
      </c>
      <c r="AG341" t="s">
        <v>26240</v>
      </c>
      <c r="AH341" t="s">
        <v>69</v>
      </c>
      <c r="AI341" t="s">
        <v>69</v>
      </c>
      <c r="AJ341" t="s">
        <v>69</v>
      </c>
      <c r="AK341" t="s">
        <v>69</v>
      </c>
      <c r="AL341" t="s">
        <v>69</v>
      </c>
      <c r="AM341" t="s">
        <v>69</v>
      </c>
      <c r="AN341">
        <v>149</v>
      </c>
      <c r="AO341">
        <v>27</v>
      </c>
      <c r="AP341">
        <v>29</v>
      </c>
      <c r="AQ341">
        <v>2</v>
      </c>
      <c r="AR341">
        <v>49</v>
      </c>
      <c r="AS341" t="s">
        <v>8865</v>
      </c>
      <c r="AT341" t="s">
        <v>8612</v>
      </c>
      <c r="AU341" t="s">
        <v>8866</v>
      </c>
      <c r="AV341" t="s">
        <v>26241</v>
      </c>
      <c r="AW341" t="s">
        <v>26242</v>
      </c>
      <c r="AX341" t="s">
        <v>69</v>
      </c>
      <c r="AY341" t="s">
        <v>26243</v>
      </c>
      <c r="AZ341" t="s">
        <v>26244</v>
      </c>
      <c r="BA341" t="s">
        <v>69</v>
      </c>
      <c r="BB341">
        <v>2012</v>
      </c>
      <c r="BC341">
        <v>15</v>
      </c>
      <c r="BD341">
        <v>7</v>
      </c>
      <c r="BE341" t="s">
        <v>69</v>
      </c>
      <c r="BF341" t="s">
        <v>69</v>
      </c>
      <c r="BG341" t="s">
        <v>69</v>
      </c>
      <c r="BH341" t="s">
        <v>69</v>
      </c>
      <c r="BI341">
        <v>603</v>
      </c>
      <c r="BJ341">
        <v>626</v>
      </c>
      <c r="BK341" t="s">
        <v>69</v>
      </c>
      <c r="BL341" t="s">
        <v>26245</v>
      </c>
      <c r="BM341" t="str">
        <f>HYPERLINK("http://dx.doi.org/10.1080/13683500.2011.615913","http://dx.doi.org/10.1080/13683500.2011.615913")</f>
        <v>http://dx.doi.org/10.1080/13683500.2011.615913</v>
      </c>
      <c r="BN341" t="s">
        <v>69</v>
      </c>
      <c r="BO341" t="s">
        <v>69</v>
      </c>
      <c r="BP341">
        <v>24</v>
      </c>
      <c r="BQ341" t="s">
        <v>10278</v>
      </c>
      <c r="BR341" t="s">
        <v>8661</v>
      </c>
      <c r="BS341" t="s">
        <v>10279</v>
      </c>
      <c r="BT341" t="s">
        <v>26246</v>
      </c>
      <c r="BU341" t="s">
        <v>26247</v>
      </c>
      <c r="BV341" t="s">
        <v>69</v>
      </c>
      <c r="BW341" t="s">
        <v>69</v>
      </c>
      <c r="BX341" t="s">
        <v>69</v>
      </c>
      <c r="BY341" t="s">
        <v>69</v>
      </c>
      <c r="BZ341" t="s">
        <v>8526</v>
      </c>
      <c r="CA341" t="str">
        <f>HYPERLINK("https%3A%2F%2Fwww.webofscience.com%2Fwos%2Fwoscc%2Ffull-record%2FWOS:000308980700001","View Full Record in Web of Science")</f>
        <v>View Full Record in Web of Science</v>
      </c>
    </row>
    <row r="342" spans="1:79" ht="12.5" x14ac:dyDescent="0.25">
      <c r="A342" t="s">
        <v>8408</v>
      </c>
      <c r="B342" t="s">
        <v>8495</v>
      </c>
      <c r="D342" s="11" t="s">
        <v>8405</v>
      </c>
      <c r="E342" s="7"/>
      <c r="F342" s="11" t="s">
        <v>8490</v>
      </c>
      <c r="G342" s="7"/>
      <c r="H342" t="s">
        <v>67</v>
      </c>
      <c r="I342" t="s">
        <v>7773</v>
      </c>
      <c r="J342" t="s">
        <v>69</v>
      </c>
      <c r="K342" t="s">
        <v>69</v>
      </c>
      <c r="L342" t="s">
        <v>69</v>
      </c>
      <c r="M342" s="2" t="s">
        <v>7774</v>
      </c>
      <c r="N342" t="s">
        <v>69</v>
      </c>
      <c r="O342" t="s">
        <v>69</v>
      </c>
      <c r="P342" s="11" t="s">
        <v>7775</v>
      </c>
      <c r="Q342" t="s">
        <v>4495</v>
      </c>
      <c r="R342" t="s">
        <v>69</v>
      </c>
      <c r="S342" t="s">
        <v>69</v>
      </c>
      <c r="T342" t="s">
        <v>8505</v>
      </c>
      <c r="U342" t="s">
        <v>8506</v>
      </c>
      <c r="V342" t="s">
        <v>69</v>
      </c>
      <c r="W342" t="s">
        <v>69</v>
      </c>
      <c r="X342" t="s">
        <v>69</v>
      </c>
      <c r="Y342" t="s">
        <v>69</v>
      </c>
      <c r="Z342" t="s">
        <v>69</v>
      </c>
      <c r="AA342" t="s">
        <v>26066</v>
      </c>
      <c r="AB342" t="s">
        <v>26067</v>
      </c>
      <c r="AC342" t="s">
        <v>7776</v>
      </c>
      <c r="AD342" t="s">
        <v>26068</v>
      </c>
      <c r="AE342" t="s">
        <v>69</v>
      </c>
      <c r="AF342" t="s">
        <v>26069</v>
      </c>
      <c r="AG342" t="s">
        <v>26070</v>
      </c>
      <c r="AH342" t="s">
        <v>7777</v>
      </c>
      <c r="AI342" t="s">
        <v>7778</v>
      </c>
      <c r="AJ342" t="s">
        <v>69</v>
      </c>
      <c r="AK342" t="s">
        <v>69</v>
      </c>
      <c r="AL342" t="s">
        <v>69</v>
      </c>
      <c r="AM342" t="s">
        <v>69</v>
      </c>
      <c r="AN342">
        <v>21</v>
      </c>
      <c r="AO342">
        <v>5</v>
      </c>
      <c r="AP342">
        <v>6</v>
      </c>
      <c r="AQ342">
        <v>1</v>
      </c>
      <c r="AR342">
        <v>18</v>
      </c>
      <c r="AS342" t="s">
        <v>23080</v>
      </c>
      <c r="AT342" t="s">
        <v>16384</v>
      </c>
      <c r="AU342" t="s">
        <v>23081</v>
      </c>
      <c r="AV342" t="s">
        <v>4500</v>
      </c>
      <c r="AW342" t="s">
        <v>4501</v>
      </c>
      <c r="AX342" t="s">
        <v>69</v>
      </c>
      <c r="AY342" t="s">
        <v>4495</v>
      </c>
      <c r="AZ342" t="s">
        <v>8485</v>
      </c>
      <c r="BA342" t="s">
        <v>246</v>
      </c>
      <c r="BB342">
        <v>2012</v>
      </c>
      <c r="BC342">
        <v>38</v>
      </c>
      <c r="BD342">
        <v>2</v>
      </c>
      <c r="BE342" t="s">
        <v>69</v>
      </c>
      <c r="BF342" t="s">
        <v>69</v>
      </c>
      <c r="BG342" t="s">
        <v>69</v>
      </c>
      <c r="BH342" t="s">
        <v>69</v>
      </c>
      <c r="BI342">
        <v>249</v>
      </c>
      <c r="BJ342">
        <v>253</v>
      </c>
      <c r="BK342" t="s">
        <v>69</v>
      </c>
      <c r="BL342" t="s">
        <v>7779</v>
      </c>
      <c r="BM342" t="str">
        <f>HYPERLINK("http://dx.doi.org/10.4314/wsa.v38i2.10","http://dx.doi.org/10.4314/wsa.v38i2.10")</f>
        <v>http://dx.doi.org/10.4314/wsa.v38i2.10</v>
      </c>
      <c r="BN342" t="s">
        <v>69</v>
      </c>
      <c r="BO342" t="s">
        <v>69</v>
      </c>
      <c r="BP342">
        <v>5</v>
      </c>
      <c r="BQ342" t="s">
        <v>9096</v>
      </c>
      <c r="BR342" t="s">
        <v>8548</v>
      </c>
      <c r="BS342" t="s">
        <v>9096</v>
      </c>
      <c r="BT342" t="s">
        <v>26071</v>
      </c>
      <c r="BU342" t="s">
        <v>7780</v>
      </c>
      <c r="BV342" t="s">
        <v>69</v>
      </c>
      <c r="BW342" t="s">
        <v>11853</v>
      </c>
      <c r="BX342" t="s">
        <v>69</v>
      </c>
      <c r="BY342" t="s">
        <v>69</v>
      </c>
      <c r="BZ342" t="s">
        <v>8526</v>
      </c>
      <c r="CA342" t="str">
        <f>HYPERLINK("https%3A%2F%2Fwww.webofscience.com%2Fwos%2Fwoscc%2Ffull-record%2FWOS:000306368200010","View Full Record in Web of Science")</f>
        <v>View Full Record in Web of Science</v>
      </c>
    </row>
    <row r="343" spans="1:79" x14ac:dyDescent="0.3">
      <c r="A343" t="s">
        <v>8408</v>
      </c>
      <c r="B343" t="s">
        <v>8495</v>
      </c>
      <c r="D343" s="10" t="s">
        <v>33195</v>
      </c>
      <c r="F343" s="10" t="s">
        <v>8490</v>
      </c>
      <c r="H343" t="s">
        <v>67</v>
      </c>
      <c r="I343" t="s">
        <v>4657</v>
      </c>
      <c r="J343" t="s">
        <v>69</v>
      </c>
      <c r="K343" t="s">
        <v>69</v>
      </c>
      <c r="L343" t="s">
        <v>69</v>
      </c>
      <c r="M343" s="2" t="s">
        <v>4658</v>
      </c>
      <c r="N343" t="s">
        <v>69</v>
      </c>
      <c r="O343" t="s">
        <v>69</v>
      </c>
      <c r="P343" s="2" t="s">
        <v>4659</v>
      </c>
      <c r="Q343" t="s">
        <v>715</v>
      </c>
      <c r="R343" t="s">
        <v>69</v>
      </c>
      <c r="S343" t="s">
        <v>69</v>
      </c>
      <c r="T343" t="s">
        <v>8505</v>
      </c>
      <c r="U343" t="s">
        <v>8506</v>
      </c>
      <c r="V343" t="s">
        <v>69</v>
      </c>
      <c r="W343" t="s">
        <v>69</v>
      </c>
      <c r="X343" t="s">
        <v>69</v>
      </c>
      <c r="Y343" t="s">
        <v>69</v>
      </c>
      <c r="Z343" t="s">
        <v>69</v>
      </c>
      <c r="AA343" t="s">
        <v>22305</v>
      </c>
      <c r="AB343" t="s">
        <v>22306</v>
      </c>
      <c r="AC343" t="s">
        <v>4660</v>
      </c>
      <c r="AD343" t="s">
        <v>22307</v>
      </c>
      <c r="AE343" t="s">
        <v>69</v>
      </c>
      <c r="AF343" t="s">
        <v>22308</v>
      </c>
      <c r="AG343" t="s">
        <v>22309</v>
      </c>
      <c r="AH343" t="s">
        <v>4661</v>
      </c>
      <c r="AI343" t="s">
        <v>4662</v>
      </c>
      <c r="AJ343" t="s">
        <v>69</v>
      </c>
      <c r="AK343" t="s">
        <v>69</v>
      </c>
      <c r="AL343" t="s">
        <v>69</v>
      </c>
      <c r="AM343" t="s">
        <v>69</v>
      </c>
      <c r="AN343">
        <v>81</v>
      </c>
      <c r="AO343">
        <v>55</v>
      </c>
      <c r="AP343">
        <v>58</v>
      </c>
      <c r="AQ343">
        <v>7</v>
      </c>
      <c r="AR343">
        <v>79</v>
      </c>
      <c r="AS343" t="s">
        <v>8846</v>
      </c>
      <c r="AT343" t="s">
        <v>8847</v>
      </c>
      <c r="AU343" t="s">
        <v>8848</v>
      </c>
      <c r="AV343" t="s">
        <v>719</v>
      </c>
      <c r="AW343" t="s">
        <v>720</v>
      </c>
      <c r="AX343" t="s">
        <v>69</v>
      </c>
      <c r="AY343" t="s">
        <v>9110</v>
      </c>
      <c r="AZ343" t="s">
        <v>9111</v>
      </c>
      <c r="BA343" t="s">
        <v>75</v>
      </c>
      <c r="BB343">
        <v>2015</v>
      </c>
      <c r="BC343">
        <v>24</v>
      </c>
      <c r="BD343">
        <v>8</v>
      </c>
      <c r="BE343" t="s">
        <v>69</v>
      </c>
      <c r="BF343" t="s">
        <v>69</v>
      </c>
      <c r="BG343" t="s">
        <v>69</v>
      </c>
      <c r="BH343" t="s">
        <v>69</v>
      </c>
      <c r="BI343">
        <v>802</v>
      </c>
      <c r="BJ343">
        <v>818</v>
      </c>
      <c r="BK343" t="s">
        <v>69</v>
      </c>
      <c r="BL343" t="s">
        <v>4663</v>
      </c>
      <c r="BM343" t="str">
        <f>HYPERLINK("http://dx.doi.org/10.1002/bse.1847","http://dx.doi.org/10.1002/bse.1847")</f>
        <v>http://dx.doi.org/10.1002/bse.1847</v>
      </c>
      <c r="BN343" t="s">
        <v>69</v>
      </c>
      <c r="BO343" t="s">
        <v>69</v>
      </c>
      <c r="BP343">
        <v>17</v>
      </c>
      <c r="BQ343" t="s">
        <v>9113</v>
      </c>
      <c r="BR343" t="s">
        <v>8661</v>
      </c>
      <c r="BS343" t="s">
        <v>9114</v>
      </c>
      <c r="BT343" t="s">
        <v>22310</v>
      </c>
      <c r="BU343" t="s">
        <v>4664</v>
      </c>
      <c r="BV343" t="s">
        <v>69</v>
      </c>
      <c r="BW343" t="s">
        <v>69</v>
      </c>
      <c r="BX343" t="s">
        <v>69</v>
      </c>
      <c r="BY343" t="s">
        <v>69</v>
      </c>
      <c r="BZ343" t="s">
        <v>8526</v>
      </c>
      <c r="CA343" t="str">
        <f>HYPERLINK("https%3A%2F%2Fwww.webofscience.com%2Fwos%2Fwoscc%2Ffull-record%2FWOS:000368298000009","View Full Record in Web of Science")</f>
        <v>View Full Record in Web of Science</v>
      </c>
    </row>
    <row r="344" spans="1:79" ht="12.5" x14ac:dyDescent="0.25">
      <c r="B344" t="s">
        <v>8495</v>
      </c>
      <c r="D344" s="7" t="s">
        <v>32933</v>
      </c>
      <c r="E344" s="7"/>
      <c r="F344" s="7"/>
      <c r="G344" s="7"/>
      <c r="H344" t="s">
        <v>67</v>
      </c>
      <c r="I344" t="s">
        <v>3912</v>
      </c>
      <c r="J344" t="s">
        <v>69</v>
      </c>
      <c r="K344" t="s">
        <v>69</v>
      </c>
      <c r="L344" t="s">
        <v>69</v>
      </c>
      <c r="M344" t="s">
        <v>3912</v>
      </c>
      <c r="N344" t="s">
        <v>69</v>
      </c>
      <c r="O344" t="s">
        <v>69</v>
      </c>
      <c r="P344" t="s">
        <v>3913</v>
      </c>
      <c r="Q344" t="s">
        <v>3914</v>
      </c>
      <c r="R344" t="s">
        <v>69</v>
      </c>
      <c r="S344" t="s">
        <v>69</v>
      </c>
      <c r="T344" t="s">
        <v>8505</v>
      </c>
      <c r="U344" t="s">
        <v>8506</v>
      </c>
      <c r="V344" t="s">
        <v>69</v>
      </c>
      <c r="W344" t="s">
        <v>69</v>
      </c>
      <c r="X344" t="s">
        <v>69</v>
      </c>
      <c r="Y344" t="s">
        <v>69</v>
      </c>
      <c r="Z344" t="s">
        <v>69</v>
      </c>
      <c r="AA344" t="s">
        <v>30739</v>
      </c>
      <c r="AB344" t="s">
        <v>69</v>
      </c>
      <c r="AC344" t="s">
        <v>3915</v>
      </c>
      <c r="AD344" t="s">
        <v>69</v>
      </c>
      <c r="AE344" t="s">
        <v>69</v>
      </c>
      <c r="AF344" t="s">
        <v>69</v>
      </c>
      <c r="AG344" t="s">
        <v>69</v>
      </c>
      <c r="AH344" t="s">
        <v>69</v>
      </c>
      <c r="AI344" t="s">
        <v>69</v>
      </c>
      <c r="AJ344" t="s">
        <v>69</v>
      </c>
      <c r="AK344" t="s">
        <v>69</v>
      </c>
      <c r="AL344" t="s">
        <v>69</v>
      </c>
      <c r="AM344" t="s">
        <v>69</v>
      </c>
      <c r="AN344">
        <v>13</v>
      </c>
      <c r="AO344">
        <v>28</v>
      </c>
      <c r="AP344">
        <v>28</v>
      </c>
      <c r="AQ344">
        <v>0</v>
      </c>
      <c r="AR344">
        <v>9</v>
      </c>
      <c r="AS344" t="s">
        <v>30740</v>
      </c>
      <c r="AT344" t="s">
        <v>8637</v>
      </c>
      <c r="AU344" t="s">
        <v>30741</v>
      </c>
      <c r="AV344" t="s">
        <v>3916</v>
      </c>
      <c r="AW344" t="s">
        <v>69</v>
      </c>
      <c r="AX344" t="s">
        <v>69</v>
      </c>
      <c r="AY344" t="s">
        <v>30742</v>
      </c>
      <c r="AZ344" t="s">
        <v>30743</v>
      </c>
      <c r="BA344" t="s">
        <v>191</v>
      </c>
      <c r="BB344">
        <v>2005</v>
      </c>
      <c r="BC344">
        <v>29</v>
      </c>
      <c r="BD344">
        <v>1</v>
      </c>
      <c r="BE344" t="s">
        <v>69</v>
      </c>
      <c r="BF344" t="s">
        <v>69</v>
      </c>
      <c r="BG344" t="s">
        <v>69</v>
      </c>
      <c r="BH344" t="s">
        <v>69</v>
      </c>
      <c r="BI344">
        <v>82</v>
      </c>
      <c r="BJ344">
        <v>87</v>
      </c>
      <c r="BK344" t="s">
        <v>69</v>
      </c>
      <c r="BL344" t="s">
        <v>3917</v>
      </c>
      <c r="BM344" t="str">
        <f>HYPERLINK("http://dx.doi.org/10.1111/j.1477-8947.2005.00114.x","http://dx.doi.org/10.1111/j.1477-8947.2005.00114.x")</f>
        <v>http://dx.doi.org/10.1111/j.1477-8947.2005.00114.x</v>
      </c>
      <c r="BN344" t="s">
        <v>69</v>
      </c>
      <c r="BO344" t="s">
        <v>69</v>
      </c>
      <c r="BP344">
        <v>6</v>
      </c>
      <c r="BQ344" t="s">
        <v>11791</v>
      </c>
      <c r="BR344" t="s">
        <v>8548</v>
      </c>
      <c r="BS344" t="s">
        <v>8662</v>
      </c>
      <c r="BT344" t="s">
        <v>30744</v>
      </c>
      <c r="BU344" t="s">
        <v>3918</v>
      </c>
      <c r="BV344" t="s">
        <v>69</v>
      </c>
      <c r="BW344" t="s">
        <v>69</v>
      </c>
      <c r="BX344" t="s">
        <v>69</v>
      </c>
      <c r="BY344" t="s">
        <v>69</v>
      </c>
      <c r="BZ344" t="s">
        <v>8526</v>
      </c>
      <c r="CA344" t="str">
        <f>HYPERLINK("https%3A%2F%2Fwww.webofscience.com%2Fwos%2Fwoscc%2Ffull-record%2FWOS:000227922600007","View Full Record in Web of Science")</f>
        <v>View Full Record in Web of Science</v>
      </c>
    </row>
    <row r="345" spans="1:79" ht="12.5" x14ac:dyDescent="0.25">
      <c r="B345" t="s">
        <v>8495</v>
      </c>
      <c r="D345" s="7" t="s">
        <v>32933</v>
      </c>
      <c r="E345" s="7"/>
      <c r="F345" s="7"/>
      <c r="G345" s="7"/>
      <c r="H345" t="s">
        <v>67</v>
      </c>
      <c r="I345" t="s">
        <v>1229</v>
      </c>
      <c r="J345" t="s">
        <v>69</v>
      </c>
      <c r="K345" t="s">
        <v>69</v>
      </c>
      <c r="L345" t="s">
        <v>69</v>
      </c>
      <c r="M345" t="s">
        <v>1230</v>
      </c>
      <c r="N345" t="s">
        <v>69</v>
      </c>
      <c r="O345" t="s">
        <v>69</v>
      </c>
      <c r="P345" t="s">
        <v>1231</v>
      </c>
      <c r="Q345" t="s">
        <v>1232</v>
      </c>
      <c r="R345" t="s">
        <v>69</v>
      </c>
      <c r="S345" t="s">
        <v>69</v>
      </c>
      <c r="T345" t="s">
        <v>8505</v>
      </c>
      <c r="U345" t="s">
        <v>10174</v>
      </c>
      <c r="V345" t="s">
        <v>69</v>
      </c>
      <c r="W345" t="s">
        <v>69</v>
      </c>
      <c r="X345" t="s">
        <v>69</v>
      </c>
      <c r="Y345" t="s">
        <v>69</v>
      </c>
      <c r="Z345" t="s">
        <v>69</v>
      </c>
      <c r="AA345" t="s">
        <v>21708</v>
      </c>
      <c r="AB345" t="s">
        <v>69</v>
      </c>
      <c r="AC345" t="s">
        <v>1233</v>
      </c>
      <c r="AD345" t="s">
        <v>21709</v>
      </c>
      <c r="AE345" t="s">
        <v>69</v>
      </c>
      <c r="AF345" t="s">
        <v>21710</v>
      </c>
      <c r="AG345" t="s">
        <v>21711</v>
      </c>
      <c r="AH345" t="s">
        <v>1234</v>
      </c>
      <c r="AI345" t="s">
        <v>1235</v>
      </c>
      <c r="AJ345" t="s">
        <v>21712</v>
      </c>
      <c r="AK345" t="s">
        <v>21713</v>
      </c>
      <c r="AL345" t="s">
        <v>69</v>
      </c>
      <c r="AM345" t="s">
        <v>69</v>
      </c>
      <c r="AN345">
        <v>10</v>
      </c>
      <c r="AO345">
        <v>9</v>
      </c>
      <c r="AP345">
        <v>9</v>
      </c>
      <c r="AQ345">
        <v>0</v>
      </c>
      <c r="AR345">
        <v>1</v>
      </c>
      <c r="AS345" t="s">
        <v>10352</v>
      </c>
      <c r="AT345" t="s">
        <v>8637</v>
      </c>
      <c r="AU345" t="s">
        <v>10353</v>
      </c>
      <c r="AV345" t="s">
        <v>1236</v>
      </c>
      <c r="AW345" t="s">
        <v>1237</v>
      </c>
      <c r="AX345" t="s">
        <v>69</v>
      </c>
      <c r="AY345" t="s">
        <v>21714</v>
      </c>
      <c r="AZ345" t="s">
        <v>21715</v>
      </c>
      <c r="BA345" t="s">
        <v>586</v>
      </c>
      <c r="BB345">
        <v>2016</v>
      </c>
      <c r="BC345">
        <v>8</v>
      </c>
      <c r="BD345">
        <v>3</v>
      </c>
      <c r="BE345" t="s">
        <v>69</v>
      </c>
      <c r="BF345" t="s">
        <v>69</v>
      </c>
      <c r="BG345" t="s">
        <v>69</v>
      </c>
      <c r="BH345" t="s">
        <v>69</v>
      </c>
      <c r="BI345">
        <v>159</v>
      </c>
      <c r="BJ345">
        <v>161</v>
      </c>
      <c r="BK345" t="s">
        <v>69</v>
      </c>
      <c r="BL345" t="s">
        <v>1238</v>
      </c>
      <c r="BM345" t="str">
        <f>HYPERLINK("http://dx.doi.org/10.1093/inthealth/ihw009","http://dx.doi.org/10.1093/inthealth/ihw009")</f>
        <v>http://dx.doi.org/10.1093/inthealth/ihw009</v>
      </c>
      <c r="BN345" t="s">
        <v>69</v>
      </c>
      <c r="BO345" t="s">
        <v>69</v>
      </c>
      <c r="BP345">
        <v>3</v>
      </c>
      <c r="BQ345" t="s">
        <v>8810</v>
      </c>
      <c r="BR345" t="s">
        <v>8523</v>
      </c>
      <c r="BS345" t="s">
        <v>8810</v>
      </c>
      <c r="BT345" t="s">
        <v>21716</v>
      </c>
      <c r="BU345" t="s">
        <v>1239</v>
      </c>
      <c r="BV345">
        <v>27037220</v>
      </c>
      <c r="BW345" t="s">
        <v>9292</v>
      </c>
      <c r="BX345" t="s">
        <v>69</v>
      </c>
      <c r="BY345" t="s">
        <v>69</v>
      </c>
      <c r="BZ345" t="s">
        <v>8526</v>
      </c>
      <c r="CA345" t="str">
        <f>HYPERLINK("https%3A%2F%2Fwww.webofscience.com%2Fwos%2Fwoscc%2Ffull-record%2FWOS:000376660900003","View Full Record in Web of Science")</f>
        <v>View Full Record in Web of Science</v>
      </c>
    </row>
    <row r="346" spans="1:79" ht="12.5" x14ac:dyDescent="0.25">
      <c r="B346" t="s">
        <v>8495</v>
      </c>
      <c r="D346" s="7" t="s">
        <v>32933</v>
      </c>
      <c r="E346" s="7"/>
      <c r="F346" s="7"/>
      <c r="G346" s="7"/>
      <c r="H346" t="s">
        <v>67</v>
      </c>
      <c r="I346" t="s">
        <v>8068</v>
      </c>
      <c r="J346" t="s">
        <v>69</v>
      </c>
      <c r="K346" t="s">
        <v>69</v>
      </c>
      <c r="L346" t="s">
        <v>69</v>
      </c>
      <c r="M346" t="s">
        <v>8069</v>
      </c>
      <c r="N346" t="s">
        <v>69</v>
      </c>
      <c r="O346" t="s">
        <v>69</v>
      </c>
      <c r="P346" t="s">
        <v>8070</v>
      </c>
      <c r="Q346" t="s">
        <v>8071</v>
      </c>
      <c r="R346" t="s">
        <v>69</v>
      </c>
      <c r="S346" t="s">
        <v>69</v>
      </c>
      <c r="T346" t="s">
        <v>8505</v>
      </c>
      <c r="U346" t="s">
        <v>8506</v>
      </c>
      <c r="V346" t="s">
        <v>69</v>
      </c>
      <c r="W346" t="s">
        <v>69</v>
      </c>
      <c r="X346" t="s">
        <v>69</v>
      </c>
      <c r="Y346" t="s">
        <v>69</v>
      </c>
      <c r="Z346" t="s">
        <v>69</v>
      </c>
      <c r="AA346" t="s">
        <v>13969</v>
      </c>
      <c r="AB346" t="s">
        <v>13970</v>
      </c>
      <c r="AC346" t="s">
        <v>8072</v>
      </c>
      <c r="AD346" t="s">
        <v>13971</v>
      </c>
      <c r="AE346" t="s">
        <v>69</v>
      </c>
      <c r="AF346" t="s">
        <v>13972</v>
      </c>
      <c r="AG346" t="s">
        <v>13973</v>
      </c>
      <c r="AH346" t="s">
        <v>13974</v>
      </c>
      <c r="AI346" t="s">
        <v>13975</v>
      </c>
      <c r="AJ346" t="s">
        <v>13976</v>
      </c>
      <c r="AK346" t="s">
        <v>13977</v>
      </c>
      <c r="AL346" t="s">
        <v>13978</v>
      </c>
      <c r="AM346" t="s">
        <v>69</v>
      </c>
      <c r="AN346">
        <v>88</v>
      </c>
      <c r="AO346">
        <v>1</v>
      </c>
      <c r="AP346">
        <v>1</v>
      </c>
      <c r="AQ346">
        <v>1</v>
      </c>
      <c r="AR346">
        <v>6</v>
      </c>
      <c r="AS346" t="s">
        <v>8924</v>
      </c>
      <c r="AT346" t="s">
        <v>8925</v>
      </c>
      <c r="AU346" t="s">
        <v>8926</v>
      </c>
      <c r="AV346" t="s">
        <v>69</v>
      </c>
      <c r="AW346" t="s">
        <v>8073</v>
      </c>
      <c r="AX346" t="s">
        <v>69</v>
      </c>
      <c r="AY346" t="s">
        <v>8071</v>
      </c>
      <c r="AZ346" t="s">
        <v>13979</v>
      </c>
      <c r="BA346" t="s">
        <v>75</v>
      </c>
      <c r="BB346">
        <v>2020</v>
      </c>
      <c r="BC346">
        <v>7</v>
      </c>
      <c r="BD346">
        <v>12</v>
      </c>
      <c r="BE346" t="s">
        <v>69</v>
      </c>
      <c r="BF346" t="s">
        <v>69</v>
      </c>
      <c r="BG346" t="s">
        <v>69</v>
      </c>
      <c r="BH346" t="s">
        <v>69</v>
      </c>
      <c r="BI346" t="s">
        <v>69</v>
      </c>
      <c r="BJ346" t="s">
        <v>69</v>
      </c>
      <c r="BK346">
        <v>104</v>
      </c>
      <c r="BL346" t="s">
        <v>8074</v>
      </c>
      <c r="BM346" t="str">
        <f>HYPERLINK("http://dx.doi.org/10.3390/environments7120104","http://dx.doi.org/10.3390/environments7120104")</f>
        <v>http://dx.doi.org/10.3390/environments7120104</v>
      </c>
      <c r="BN346" t="s">
        <v>69</v>
      </c>
      <c r="BO346" t="s">
        <v>69</v>
      </c>
      <c r="BP346">
        <v>20</v>
      </c>
      <c r="BQ346" t="s">
        <v>8717</v>
      </c>
      <c r="BR346" t="s">
        <v>8573</v>
      </c>
      <c r="BS346" t="s">
        <v>8662</v>
      </c>
      <c r="BT346" t="s">
        <v>13980</v>
      </c>
      <c r="BU346" t="s">
        <v>8075</v>
      </c>
      <c r="BV346" t="s">
        <v>69</v>
      </c>
      <c r="BW346" t="s">
        <v>8812</v>
      </c>
      <c r="BX346" t="s">
        <v>69</v>
      </c>
      <c r="BY346" t="s">
        <v>69</v>
      </c>
      <c r="BZ346" t="s">
        <v>8526</v>
      </c>
      <c r="CA346" t="str">
        <f>HYPERLINK("https%3A%2F%2Fwww.webofscience.com%2Fwos%2Fwoscc%2Ffull-record%2FWOS:000602721700001","View Full Record in Web of Science")</f>
        <v>View Full Record in Web of Science</v>
      </c>
    </row>
    <row r="347" spans="1:79" ht="12.5" x14ac:dyDescent="0.25">
      <c r="B347" t="s">
        <v>8495</v>
      </c>
      <c r="D347" s="7" t="s">
        <v>32933</v>
      </c>
      <c r="E347" s="7"/>
      <c r="F347" s="7"/>
      <c r="G347" s="7"/>
      <c r="H347" t="s">
        <v>67</v>
      </c>
      <c r="I347" t="s">
        <v>2157</v>
      </c>
      <c r="J347" t="s">
        <v>69</v>
      </c>
      <c r="K347" t="s">
        <v>69</v>
      </c>
      <c r="L347" t="s">
        <v>69</v>
      </c>
      <c r="M347" t="s">
        <v>2158</v>
      </c>
      <c r="N347" t="s">
        <v>69</v>
      </c>
      <c r="O347" t="s">
        <v>69</v>
      </c>
      <c r="P347" t="s">
        <v>2159</v>
      </c>
      <c r="Q347" t="s">
        <v>2160</v>
      </c>
      <c r="R347" t="s">
        <v>69</v>
      </c>
      <c r="S347" t="s">
        <v>69</v>
      </c>
      <c r="T347" t="s">
        <v>8505</v>
      </c>
      <c r="U347" t="s">
        <v>8506</v>
      </c>
      <c r="V347" t="s">
        <v>69</v>
      </c>
      <c r="W347" t="s">
        <v>69</v>
      </c>
      <c r="X347" t="s">
        <v>69</v>
      </c>
      <c r="Y347" t="s">
        <v>69</v>
      </c>
      <c r="Z347" t="s">
        <v>69</v>
      </c>
      <c r="AA347" t="s">
        <v>16805</v>
      </c>
      <c r="AB347" t="s">
        <v>16806</v>
      </c>
      <c r="AC347" t="s">
        <v>2161</v>
      </c>
      <c r="AD347" t="s">
        <v>16807</v>
      </c>
      <c r="AE347" t="s">
        <v>69</v>
      </c>
      <c r="AF347" t="s">
        <v>16808</v>
      </c>
      <c r="AG347" t="s">
        <v>16809</v>
      </c>
      <c r="AH347" t="s">
        <v>2162</v>
      </c>
      <c r="AI347" t="s">
        <v>16810</v>
      </c>
      <c r="AJ347" t="s">
        <v>16811</v>
      </c>
      <c r="AK347" t="s">
        <v>16812</v>
      </c>
      <c r="AL347" t="s">
        <v>16813</v>
      </c>
      <c r="AM347" t="s">
        <v>69</v>
      </c>
      <c r="AN347">
        <v>51</v>
      </c>
      <c r="AO347">
        <v>7</v>
      </c>
      <c r="AP347">
        <v>7</v>
      </c>
      <c r="AQ347">
        <v>1</v>
      </c>
      <c r="AR347">
        <v>24</v>
      </c>
      <c r="AS347" t="s">
        <v>13195</v>
      </c>
      <c r="AT347" t="s">
        <v>13196</v>
      </c>
      <c r="AU347" t="s">
        <v>13197</v>
      </c>
      <c r="AV347" t="s">
        <v>2163</v>
      </c>
      <c r="AW347" t="s">
        <v>2164</v>
      </c>
      <c r="AX347" t="s">
        <v>69</v>
      </c>
      <c r="AY347" t="s">
        <v>16800</v>
      </c>
      <c r="AZ347" t="s">
        <v>16801</v>
      </c>
      <c r="BA347" t="s">
        <v>255</v>
      </c>
      <c r="BB347">
        <v>2019</v>
      </c>
      <c r="BC347">
        <v>172</v>
      </c>
      <c r="BD347">
        <v>7</v>
      </c>
      <c r="BE347" t="s">
        <v>69</v>
      </c>
      <c r="BF347" t="s">
        <v>69</v>
      </c>
      <c r="BG347" t="s">
        <v>69</v>
      </c>
      <c r="BH347" t="s">
        <v>69</v>
      </c>
      <c r="BI347">
        <v>372</v>
      </c>
      <c r="BJ347">
        <v>384</v>
      </c>
      <c r="BK347" t="s">
        <v>69</v>
      </c>
      <c r="BL347" t="s">
        <v>2165</v>
      </c>
      <c r="BM347" t="str">
        <f>HYPERLINK("http://dx.doi.org/10.1680/jensu.17.00025","http://dx.doi.org/10.1680/jensu.17.00025")</f>
        <v>http://dx.doi.org/10.1680/jensu.17.00025</v>
      </c>
      <c r="BN347" t="s">
        <v>69</v>
      </c>
      <c r="BO347" t="s">
        <v>69</v>
      </c>
      <c r="BP347">
        <v>13</v>
      </c>
      <c r="BQ347" t="s">
        <v>16802</v>
      </c>
      <c r="BR347" t="s">
        <v>8548</v>
      </c>
      <c r="BS347" t="s">
        <v>16803</v>
      </c>
      <c r="BT347" t="s">
        <v>16804</v>
      </c>
      <c r="BU347" t="s">
        <v>2166</v>
      </c>
      <c r="BV347" t="s">
        <v>69</v>
      </c>
      <c r="BW347" t="s">
        <v>69</v>
      </c>
      <c r="BX347" t="s">
        <v>69</v>
      </c>
      <c r="BY347" t="s">
        <v>69</v>
      </c>
      <c r="BZ347" t="s">
        <v>8526</v>
      </c>
      <c r="CA347" t="str">
        <f>HYPERLINK("https%3A%2F%2Fwww.webofscience.com%2Fwos%2Fwoscc%2Ffull-record%2FWOS:000485796600006","View Full Record in Web of Science")</f>
        <v>View Full Record in Web of Science</v>
      </c>
    </row>
    <row r="348" spans="1:79" ht="12.5" x14ac:dyDescent="0.25">
      <c r="B348" t="s">
        <v>8495</v>
      </c>
      <c r="D348" s="7" t="s">
        <v>32933</v>
      </c>
      <c r="E348" s="7"/>
      <c r="F348" s="7"/>
      <c r="G348" s="7"/>
      <c r="H348" t="s">
        <v>67</v>
      </c>
      <c r="I348" t="s">
        <v>597</v>
      </c>
      <c r="J348" t="s">
        <v>69</v>
      </c>
      <c r="K348" t="s">
        <v>69</v>
      </c>
      <c r="L348" t="s">
        <v>69</v>
      </c>
      <c r="M348" t="s">
        <v>597</v>
      </c>
      <c r="N348" t="s">
        <v>69</v>
      </c>
      <c r="O348" t="s">
        <v>69</v>
      </c>
      <c r="P348" t="s">
        <v>598</v>
      </c>
      <c r="Q348" t="s">
        <v>599</v>
      </c>
      <c r="R348" t="s">
        <v>69</v>
      </c>
      <c r="S348" t="s">
        <v>69</v>
      </c>
      <c r="T348" t="s">
        <v>8505</v>
      </c>
      <c r="U348" t="s">
        <v>8506</v>
      </c>
      <c r="V348" t="s">
        <v>69</v>
      </c>
      <c r="W348" t="s">
        <v>69</v>
      </c>
      <c r="X348" t="s">
        <v>69</v>
      </c>
      <c r="Y348" t="s">
        <v>69</v>
      </c>
      <c r="Z348" t="s">
        <v>69</v>
      </c>
      <c r="AA348" t="s">
        <v>69</v>
      </c>
      <c r="AB348" t="s">
        <v>69</v>
      </c>
      <c r="AC348" t="s">
        <v>600</v>
      </c>
      <c r="AD348" t="s">
        <v>32158</v>
      </c>
      <c r="AE348" t="s">
        <v>69</v>
      </c>
      <c r="AF348" t="s">
        <v>32034</v>
      </c>
      <c r="AG348" t="s">
        <v>69</v>
      </c>
      <c r="AH348" t="s">
        <v>69</v>
      </c>
      <c r="AI348" t="s">
        <v>69</v>
      </c>
      <c r="AJ348" t="s">
        <v>69</v>
      </c>
      <c r="AK348" t="s">
        <v>69</v>
      </c>
      <c r="AL348" t="s">
        <v>69</v>
      </c>
      <c r="AM348" t="s">
        <v>69</v>
      </c>
      <c r="AN348">
        <v>25</v>
      </c>
      <c r="AO348">
        <v>6</v>
      </c>
      <c r="AP348">
        <v>6</v>
      </c>
      <c r="AQ348">
        <v>1</v>
      </c>
      <c r="AR348">
        <v>18</v>
      </c>
      <c r="AS348" t="s">
        <v>32159</v>
      </c>
      <c r="AT348" t="s">
        <v>28622</v>
      </c>
      <c r="AU348" t="s">
        <v>32160</v>
      </c>
      <c r="AV348" t="s">
        <v>601</v>
      </c>
      <c r="AW348" t="s">
        <v>69</v>
      </c>
      <c r="AX348" t="s">
        <v>69</v>
      </c>
      <c r="AY348" t="s">
        <v>32161</v>
      </c>
      <c r="AZ348" t="s">
        <v>32162</v>
      </c>
      <c r="BA348" t="s">
        <v>602</v>
      </c>
      <c r="BB348">
        <v>1998</v>
      </c>
      <c r="BC348">
        <v>11</v>
      </c>
      <c r="BD348">
        <v>1</v>
      </c>
      <c r="BE348" t="s">
        <v>69</v>
      </c>
      <c r="BF348" t="s">
        <v>69</v>
      </c>
      <c r="BG348" t="s">
        <v>69</v>
      </c>
      <c r="BH348" t="s">
        <v>69</v>
      </c>
      <c r="BI348">
        <v>135</v>
      </c>
      <c r="BJ348">
        <v>140</v>
      </c>
      <c r="BK348" t="s">
        <v>69</v>
      </c>
      <c r="BL348" t="s">
        <v>603</v>
      </c>
      <c r="BM348" t="str">
        <f>HYPERLINK("http://dx.doi.org/10.2134/jpa1998.0135","http://dx.doi.org/10.2134/jpa1998.0135")</f>
        <v>http://dx.doi.org/10.2134/jpa1998.0135</v>
      </c>
      <c r="BN348" t="s">
        <v>69</v>
      </c>
      <c r="BO348" t="s">
        <v>69</v>
      </c>
      <c r="BP348">
        <v>6</v>
      </c>
      <c r="BQ348" t="s">
        <v>10815</v>
      </c>
      <c r="BR348" t="s">
        <v>8548</v>
      </c>
      <c r="BS348" t="s">
        <v>8450</v>
      </c>
      <c r="BT348" t="s">
        <v>32163</v>
      </c>
      <c r="BU348" t="s">
        <v>604</v>
      </c>
      <c r="BV348" t="s">
        <v>69</v>
      </c>
      <c r="BW348" t="s">
        <v>69</v>
      </c>
      <c r="BX348" t="s">
        <v>69</v>
      </c>
      <c r="BY348" t="s">
        <v>69</v>
      </c>
      <c r="BZ348" t="s">
        <v>8526</v>
      </c>
      <c r="CA348" t="str">
        <f>HYPERLINK("https%3A%2F%2Fwww.webofscience.com%2Fwos%2Fwoscc%2Ffull-record%2FWOS:000072681800018","View Full Record in Web of Science")</f>
        <v>View Full Record in Web of Science</v>
      </c>
    </row>
    <row r="349" spans="1:79" x14ac:dyDescent="0.3">
      <c r="B349" t="s">
        <v>8495</v>
      </c>
      <c r="D349" s="9" t="s">
        <v>32962</v>
      </c>
      <c r="F349" s="9" t="s">
        <v>8491</v>
      </c>
      <c r="G349" s="9" t="s">
        <v>8490</v>
      </c>
      <c r="H349" t="s">
        <v>67</v>
      </c>
      <c r="I349" t="s">
        <v>21050</v>
      </c>
      <c r="J349" t="s">
        <v>69</v>
      </c>
      <c r="K349" t="s">
        <v>69</v>
      </c>
      <c r="L349" t="s">
        <v>69</v>
      </c>
      <c r="M349" t="s">
        <v>21051</v>
      </c>
      <c r="N349" t="s">
        <v>69</v>
      </c>
      <c r="O349" t="s">
        <v>69</v>
      </c>
      <c r="P349" t="s">
        <v>21052</v>
      </c>
      <c r="Q349" t="s">
        <v>21053</v>
      </c>
      <c r="R349" t="s">
        <v>69</v>
      </c>
      <c r="S349" t="s">
        <v>69</v>
      </c>
      <c r="T349" t="s">
        <v>8505</v>
      </c>
      <c r="U349" t="s">
        <v>10174</v>
      </c>
      <c r="V349" t="s">
        <v>69</v>
      </c>
      <c r="W349" t="s">
        <v>69</v>
      </c>
      <c r="X349" t="s">
        <v>69</v>
      </c>
      <c r="Y349" t="s">
        <v>69</v>
      </c>
      <c r="Z349" t="s">
        <v>69</v>
      </c>
      <c r="AA349" t="s">
        <v>21054</v>
      </c>
      <c r="AB349" t="s">
        <v>21055</v>
      </c>
      <c r="AC349" t="s">
        <v>21056</v>
      </c>
      <c r="AD349" t="s">
        <v>21057</v>
      </c>
      <c r="AE349" t="s">
        <v>69</v>
      </c>
      <c r="AF349" t="s">
        <v>21058</v>
      </c>
      <c r="AG349" t="s">
        <v>21059</v>
      </c>
      <c r="AH349" t="s">
        <v>69</v>
      </c>
      <c r="AI349" t="s">
        <v>21060</v>
      </c>
      <c r="AJ349" t="s">
        <v>69</v>
      </c>
      <c r="AK349" t="s">
        <v>69</v>
      </c>
      <c r="AL349" t="s">
        <v>69</v>
      </c>
      <c r="AM349" t="s">
        <v>69</v>
      </c>
      <c r="AN349">
        <v>96</v>
      </c>
      <c r="AO349">
        <v>13</v>
      </c>
      <c r="AP349">
        <v>14</v>
      </c>
      <c r="AQ349">
        <v>2</v>
      </c>
      <c r="AR349">
        <v>22</v>
      </c>
      <c r="AS349" t="s">
        <v>8865</v>
      </c>
      <c r="AT349" t="s">
        <v>8612</v>
      </c>
      <c r="AU349" t="s">
        <v>8866</v>
      </c>
      <c r="AV349" t="s">
        <v>21061</v>
      </c>
      <c r="AW349" t="s">
        <v>21062</v>
      </c>
      <c r="AX349" t="s">
        <v>69</v>
      </c>
      <c r="AY349" t="s">
        <v>21063</v>
      </c>
      <c r="AZ349" t="s">
        <v>21064</v>
      </c>
      <c r="BA349" t="s">
        <v>69</v>
      </c>
      <c r="BB349">
        <v>2017</v>
      </c>
      <c r="BC349">
        <v>33</v>
      </c>
      <c r="BD349">
        <v>1</v>
      </c>
      <c r="BE349" t="s">
        <v>69</v>
      </c>
      <c r="BF349" t="s">
        <v>69</v>
      </c>
      <c r="BG349" t="s">
        <v>114</v>
      </c>
      <c r="BH349" t="s">
        <v>69</v>
      </c>
      <c r="BI349">
        <v>4</v>
      </c>
      <c r="BJ349">
        <v>22</v>
      </c>
      <c r="BK349" t="s">
        <v>69</v>
      </c>
      <c r="BL349" t="s">
        <v>21065</v>
      </c>
      <c r="BM349" t="str">
        <f>HYPERLINK("http://dx.doi.org/10.1080/07341512.2017.1342308","http://dx.doi.org/10.1080/07341512.2017.1342308")</f>
        <v>http://dx.doi.org/10.1080/07341512.2017.1342308</v>
      </c>
      <c r="BN349" t="s">
        <v>69</v>
      </c>
      <c r="BO349" t="s">
        <v>69</v>
      </c>
      <c r="BP349">
        <v>19</v>
      </c>
      <c r="BQ349" t="s">
        <v>18520</v>
      </c>
      <c r="BR349" t="s">
        <v>11207</v>
      </c>
      <c r="BS349" t="s">
        <v>18520</v>
      </c>
      <c r="BT349" t="s">
        <v>21066</v>
      </c>
      <c r="BU349" t="s">
        <v>21067</v>
      </c>
      <c r="BV349" t="s">
        <v>69</v>
      </c>
      <c r="BW349" t="s">
        <v>9029</v>
      </c>
      <c r="BX349" t="s">
        <v>69</v>
      </c>
      <c r="BY349" t="s">
        <v>69</v>
      </c>
      <c r="BZ349" t="s">
        <v>8526</v>
      </c>
      <c r="CA349" t="str">
        <f>HYPERLINK("https%3A%2F%2Fwww.webofscience.com%2Fwos%2Fwoscc%2Ffull-record%2FWOS:000405714300002","View Full Record in Web of Science")</f>
        <v>View Full Record in Web of Science</v>
      </c>
    </row>
    <row r="350" spans="1:79" ht="12.5" x14ac:dyDescent="0.25">
      <c r="B350" t="s">
        <v>8495</v>
      </c>
      <c r="D350" s="7" t="s">
        <v>32933</v>
      </c>
      <c r="E350" s="7"/>
      <c r="F350" s="7"/>
      <c r="G350" s="7"/>
      <c r="H350" t="s">
        <v>67</v>
      </c>
      <c r="I350" t="s">
        <v>5153</v>
      </c>
      <c r="J350" t="s">
        <v>69</v>
      </c>
      <c r="K350" t="s">
        <v>69</v>
      </c>
      <c r="L350" t="s">
        <v>69</v>
      </c>
      <c r="M350" t="s">
        <v>5154</v>
      </c>
      <c r="N350" t="s">
        <v>69</v>
      </c>
      <c r="O350" t="s">
        <v>69</v>
      </c>
      <c r="P350" t="s">
        <v>5155</v>
      </c>
      <c r="Q350" t="s">
        <v>1360</v>
      </c>
      <c r="R350" t="s">
        <v>69</v>
      </c>
      <c r="S350" t="s">
        <v>69</v>
      </c>
      <c r="T350" t="s">
        <v>8505</v>
      </c>
      <c r="U350" t="s">
        <v>8506</v>
      </c>
      <c r="V350" t="s">
        <v>69</v>
      </c>
      <c r="W350" t="s">
        <v>69</v>
      </c>
      <c r="X350" t="s">
        <v>69</v>
      </c>
      <c r="Y350" t="s">
        <v>69</v>
      </c>
      <c r="Z350" t="s">
        <v>69</v>
      </c>
      <c r="AA350" t="s">
        <v>14538</v>
      </c>
      <c r="AB350" t="s">
        <v>14539</v>
      </c>
      <c r="AC350" t="s">
        <v>5156</v>
      </c>
      <c r="AD350" t="s">
        <v>14540</v>
      </c>
      <c r="AE350" t="s">
        <v>69</v>
      </c>
      <c r="AF350" t="s">
        <v>14541</v>
      </c>
      <c r="AG350" t="s">
        <v>14542</v>
      </c>
      <c r="AH350" t="s">
        <v>69</v>
      </c>
      <c r="AI350" t="s">
        <v>69</v>
      </c>
      <c r="AJ350" t="s">
        <v>69</v>
      </c>
      <c r="AK350" t="s">
        <v>69</v>
      </c>
      <c r="AL350" t="s">
        <v>69</v>
      </c>
      <c r="AM350" t="s">
        <v>69</v>
      </c>
      <c r="AN350">
        <v>65</v>
      </c>
      <c r="AO350">
        <v>8</v>
      </c>
      <c r="AP350">
        <v>8</v>
      </c>
      <c r="AQ350">
        <v>3</v>
      </c>
      <c r="AR350">
        <v>42</v>
      </c>
      <c r="AS350" t="s">
        <v>8636</v>
      </c>
      <c r="AT350" t="s">
        <v>8637</v>
      </c>
      <c r="AU350" t="s">
        <v>8638</v>
      </c>
      <c r="AV350" t="s">
        <v>1364</v>
      </c>
      <c r="AW350" t="s">
        <v>1365</v>
      </c>
      <c r="AX350" t="s">
        <v>69</v>
      </c>
      <c r="AY350" t="s">
        <v>9698</v>
      </c>
      <c r="AZ350" t="s">
        <v>9699</v>
      </c>
      <c r="BA350" t="s">
        <v>255</v>
      </c>
      <c r="BB350">
        <v>2020</v>
      </c>
      <c r="BC350">
        <v>111</v>
      </c>
      <c r="BD350" t="s">
        <v>69</v>
      </c>
      <c r="BE350" t="s">
        <v>69</v>
      </c>
      <c r="BF350" t="s">
        <v>69</v>
      </c>
      <c r="BG350" t="s">
        <v>69</v>
      </c>
      <c r="BH350" t="s">
        <v>69</v>
      </c>
      <c r="BI350">
        <v>63</v>
      </c>
      <c r="BJ350">
        <v>73</v>
      </c>
      <c r="BK350" t="s">
        <v>69</v>
      </c>
      <c r="BL350" t="s">
        <v>5157</v>
      </c>
      <c r="BM350" t="str">
        <f>HYPERLINK("http://dx.doi.org/10.1016/j.envsci.2020.04.015","http://dx.doi.org/10.1016/j.envsci.2020.04.015")</f>
        <v>http://dx.doi.org/10.1016/j.envsci.2020.04.015</v>
      </c>
      <c r="BN350" t="s">
        <v>69</v>
      </c>
      <c r="BO350" t="s">
        <v>69</v>
      </c>
      <c r="BP350">
        <v>11</v>
      </c>
      <c r="BQ350" t="s">
        <v>8717</v>
      </c>
      <c r="BR350" t="s">
        <v>8523</v>
      </c>
      <c r="BS350" t="s">
        <v>8662</v>
      </c>
      <c r="BT350" t="s">
        <v>14543</v>
      </c>
      <c r="BU350" t="s">
        <v>5158</v>
      </c>
      <c r="BV350" t="s">
        <v>69</v>
      </c>
      <c r="BW350" t="s">
        <v>69</v>
      </c>
      <c r="BX350" t="s">
        <v>69</v>
      </c>
      <c r="BY350" t="s">
        <v>69</v>
      </c>
      <c r="BZ350" t="s">
        <v>8526</v>
      </c>
      <c r="CA350" t="str">
        <f>HYPERLINK("https%3A%2F%2Fwww.webofscience.com%2Fwos%2Fwoscc%2Ffull-record%2FWOS:000540245400008","View Full Record in Web of Science")</f>
        <v>View Full Record in Web of Science</v>
      </c>
    </row>
    <row r="351" spans="1:79" s="1" customFormat="1" ht="12.5" x14ac:dyDescent="0.25">
      <c r="B351" t="s">
        <v>8495</v>
      </c>
      <c r="C351"/>
      <c r="D351" s="22" t="s">
        <v>32931</v>
      </c>
      <c r="E351" s="7"/>
      <c r="F351" s="7"/>
      <c r="G351" s="7"/>
      <c r="H351" t="s">
        <v>67</v>
      </c>
      <c r="I351" t="s">
        <v>28964</v>
      </c>
      <c r="J351" t="s">
        <v>69</v>
      </c>
      <c r="K351" t="s">
        <v>69</v>
      </c>
      <c r="L351" t="s">
        <v>69</v>
      </c>
      <c r="M351" t="s">
        <v>28965</v>
      </c>
      <c r="N351" t="s">
        <v>69</v>
      </c>
      <c r="O351" t="s">
        <v>69</v>
      </c>
      <c r="P351" t="s">
        <v>28966</v>
      </c>
      <c r="Q351" t="s">
        <v>28967</v>
      </c>
      <c r="R351" t="s">
        <v>69</v>
      </c>
      <c r="S351" t="s">
        <v>69</v>
      </c>
      <c r="T351" t="s">
        <v>8505</v>
      </c>
      <c r="U351" t="s">
        <v>8506</v>
      </c>
      <c r="V351" t="s">
        <v>69</v>
      </c>
      <c r="W351" t="s">
        <v>69</v>
      </c>
      <c r="X351" t="s">
        <v>69</v>
      </c>
      <c r="Y351" t="s">
        <v>69</v>
      </c>
      <c r="Z351" t="s">
        <v>69</v>
      </c>
      <c r="AA351" t="s">
        <v>28968</v>
      </c>
      <c r="AB351" t="s">
        <v>28969</v>
      </c>
      <c r="AC351" t="s">
        <v>28970</v>
      </c>
      <c r="AD351" t="s">
        <v>28971</v>
      </c>
      <c r="AE351" t="s">
        <v>69</v>
      </c>
      <c r="AF351" t="s">
        <v>28972</v>
      </c>
      <c r="AG351" t="s">
        <v>28973</v>
      </c>
      <c r="AH351" t="s">
        <v>69</v>
      </c>
      <c r="AI351" t="s">
        <v>69</v>
      </c>
      <c r="AJ351" t="s">
        <v>69</v>
      </c>
      <c r="AK351" t="s">
        <v>69</v>
      </c>
      <c r="AL351" t="s">
        <v>69</v>
      </c>
      <c r="AM351" t="s">
        <v>69</v>
      </c>
      <c r="AN351">
        <v>65</v>
      </c>
      <c r="AO351">
        <v>5</v>
      </c>
      <c r="AP351">
        <v>5</v>
      </c>
      <c r="AQ351">
        <v>0</v>
      </c>
      <c r="AR351">
        <v>0</v>
      </c>
      <c r="AS351" t="s">
        <v>8586</v>
      </c>
      <c r="AT351" t="s">
        <v>8587</v>
      </c>
      <c r="AU351" t="s">
        <v>8588</v>
      </c>
      <c r="AV351" t="s">
        <v>28974</v>
      </c>
      <c r="AW351" t="s">
        <v>28975</v>
      </c>
      <c r="AX351" t="s">
        <v>69</v>
      </c>
      <c r="AY351" t="s">
        <v>28976</v>
      </c>
      <c r="AZ351" t="s">
        <v>28977</v>
      </c>
      <c r="BA351" t="s">
        <v>69</v>
      </c>
      <c r="BB351">
        <v>2009</v>
      </c>
      <c r="BC351">
        <v>21</v>
      </c>
      <c r="BD351">
        <v>3</v>
      </c>
      <c r="BE351" t="s">
        <v>69</v>
      </c>
      <c r="BF351" t="s">
        <v>69</v>
      </c>
      <c r="BG351" t="s">
        <v>114</v>
      </c>
      <c r="BH351" t="s">
        <v>69</v>
      </c>
      <c r="BI351">
        <v>286</v>
      </c>
      <c r="BJ351" t="s">
        <v>219</v>
      </c>
      <c r="BK351" t="s">
        <v>69</v>
      </c>
      <c r="BL351" t="s">
        <v>28978</v>
      </c>
      <c r="BM351" t="str">
        <f>HYPERLINK("http://dx.doi.org/10.1108/01140580911012511","http://dx.doi.org/10.1108/01140580911012511")</f>
        <v>http://dx.doi.org/10.1108/01140580911012511</v>
      </c>
      <c r="BN351" t="s">
        <v>69</v>
      </c>
      <c r="BO351" t="s">
        <v>69</v>
      </c>
      <c r="BP351">
        <v>19</v>
      </c>
      <c r="BQ351" t="s">
        <v>9749</v>
      </c>
      <c r="BR351" t="s">
        <v>8573</v>
      </c>
      <c r="BS351" t="s">
        <v>8594</v>
      </c>
      <c r="BT351" t="s">
        <v>28979</v>
      </c>
      <c r="BU351" t="s">
        <v>28980</v>
      </c>
      <c r="BV351" t="s">
        <v>69</v>
      </c>
      <c r="BW351" t="s">
        <v>69</v>
      </c>
      <c r="BX351" t="s">
        <v>69</v>
      </c>
      <c r="BY351" t="s">
        <v>69</v>
      </c>
      <c r="BZ351" t="s">
        <v>8526</v>
      </c>
      <c r="CA351" t="str">
        <f>HYPERLINK("https%3A%2F%2Fwww.webofscience.com%2Fwos%2Fwoscc%2Ffull-record%2FWOS:000212321900004","View Full Record in Web of Science")</f>
        <v>View Full Record in Web of Science</v>
      </c>
    </row>
    <row r="352" spans="1:79" ht="12.5" x14ac:dyDescent="0.25">
      <c r="B352" t="s">
        <v>8495</v>
      </c>
      <c r="D352" s="22" t="s">
        <v>32931</v>
      </c>
      <c r="E352" s="7"/>
      <c r="F352" s="7"/>
      <c r="G352" s="7"/>
      <c r="H352" t="s">
        <v>67</v>
      </c>
      <c r="I352" t="s">
        <v>18383</v>
      </c>
      <c r="J352" t="s">
        <v>69</v>
      </c>
      <c r="K352" t="s">
        <v>69</v>
      </c>
      <c r="L352" t="s">
        <v>69</v>
      </c>
      <c r="M352" t="s">
        <v>18384</v>
      </c>
      <c r="N352" t="s">
        <v>69</v>
      </c>
      <c r="O352" t="s">
        <v>69</v>
      </c>
      <c r="P352" t="s">
        <v>18385</v>
      </c>
      <c r="Q352" t="s">
        <v>18386</v>
      </c>
      <c r="R352" t="s">
        <v>69</v>
      </c>
      <c r="S352" t="s">
        <v>69</v>
      </c>
      <c r="T352" t="s">
        <v>8505</v>
      </c>
      <c r="U352" t="s">
        <v>8506</v>
      </c>
      <c r="V352" t="s">
        <v>69</v>
      </c>
      <c r="W352" t="s">
        <v>69</v>
      </c>
      <c r="X352" t="s">
        <v>69</v>
      </c>
      <c r="Y352" t="s">
        <v>69</v>
      </c>
      <c r="Z352" t="s">
        <v>69</v>
      </c>
      <c r="AA352" t="s">
        <v>18387</v>
      </c>
      <c r="AB352" t="s">
        <v>18388</v>
      </c>
      <c r="AC352" t="s">
        <v>18389</v>
      </c>
      <c r="AD352" t="s">
        <v>18390</v>
      </c>
      <c r="AE352" t="s">
        <v>69</v>
      </c>
      <c r="AF352" t="s">
        <v>18391</v>
      </c>
      <c r="AG352" t="s">
        <v>18392</v>
      </c>
      <c r="AH352" t="s">
        <v>69</v>
      </c>
      <c r="AI352" t="s">
        <v>69</v>
      </c>
      <c r="AJ352" t="s">
        <v>69</v>
      </c>
      <c r="AK352" t="s">
        <v>69</v>
      </c>
      <c r="AL352" t="s">
        <v>69</v>
      </c>
      <c r="AM352" t="s">
        <v>69</v>
      </c>
      <c r="AN352">
        <v>48</v>
      </c>
      <c r="AO352">
        <v>6</v>
      </c>
      <c r="AP352">
        <v>6</v>
      </c>
      <c r="AQ352">
        <v>0</v>
      </c>
      <c r="AR352">
        <v>20</v>
      </c>
      <c r="AS352" t="s">
        <v>8846</v>
      </c>
      <c r="AT352" t="s">
        <v>8847</v>
      </c>
      <c r="AU352" t="s">
        <v>8848</v>
      </c>
      <c r="AV352" t="s">
        <v>18393</v>
      </c>
      <c r="AW352" t="s">
        <v>18394</v>
      </c>
      <c r="AX352" t="s">
        <v>69</v>
      </c>
      <c r="AY352" t="s">
        <v>18395</v>
      </c>
      <c r="AZ352" t="s">
        <v>18396</v>
      </c>
      <c r="BA352" t="s">
        <v>255</v>
      </c>
      <c r="BB352">
        <v>2018</v>
      </c>
      <c r="BC352">
        <v>69</v>
      </c>
      <c r="BD352">
        <v>3</v>
      </c>
      <c r="BE352" t="s">
        <v>69</v>
      </c>
      <c r="BF352" t="s">
        <v>69</v>
      </c>
      <c r="BG352" t="s">
        <v>69</v>
      </c>
      <c r="BH352" t="s">
        <v>69</v>
      </c>
      <c r="BI352">
        <v>591</v>
      </c>
      <c r="BJ352">
        <v>605</v>
      </c>
      <c r="BK352" t="s">
        <v>69</v>
      </c>
      <c r="BL352" t="s">
        <v>18397</v>
      </c>
      <c r="BM352" t="str">
        <f>HYPERLINK("http://dx.doi.org/10.1111/1477-9552.12300","http://dx.doi.org/10.1111/1477-9552.12300")</f>
        <v>http://dx.doi.org/10.1111/1477-9552.12300</v>
      </c>
      <c r="BN352" t="s">
        <v>69</v>
      </c>
      <c r="BO352" t="s">
        <v>69</v>
      </c>
      <c r="BP352">
        <v>15</v>
      </c>
      <c r="BQ352" t="s">
        <v>18398</v>
      </c>
      <c r="BR352" t="s">
        <v>8523</v>
      </c>
      <c r="BS352" t="s">
        <v>18399</v>
      </c>
      <c r="BT352" t="s">
        <v>18400</v>
      </c>
      <c r="BU352" t="s">
        <v>18401</v>
      </c>
      <c r="BV352" t="s">
        <v>69</v>
      </c>
      <c r="BW352" t="s">
        <v>69</v>
      </c>
      <c r="BX352" t="s">
        <v>69</v>
      </c>
      <c r="BY352" t="s">
        <v>69</v>
      </c>
      <c r="BZ352" t="s">
        <v>8526</v>
      </c>
      <c r="CA352" t="str">
        <f>HYPERLINK("https%3A%2F%2Fwww.webofscience.com%2Fwos%2Fwoscc%2Ffull-record%2FWOS:000445186800001","View Full Record in Web of Science")</f>
        <v>View Full Record in Web of Science</v>
      </c>
    </row>
    <row r="353" spans="1:79" ht="12.5" x14ac:dyDescent="0.25">
      <c r="B353" t="s">
        <v>8495</v>
      </c>
      <c r="D353" s="7" t="s">
        <v>32933</v>
      </c>
      <c r="E353" s="7"/>
      <c r="F353" s="7"/>
      <c r="G353" s="7"/>
      <c r="H353" t="s">
        <v>67</v>
      </c>
      <c r="I353" t="s">
        <v>2830</v>
      </c>
      <c r="J353" t="s">
        <v>69</v>
      </c>
      <c r="K353" t="s">
        <v>69</v>
      </c>
      <c r="L353" t="s">
        <v>69</v>
      </c>
      <c r="M353" t="s">
        <v>2831</v>
      </c>
      <c r="N353" t="s">
        <v>69</v>
      </c>
      <c r="O353" t="s">
        <v>69</v>
      </c>
      <c r="P353" t="s">
        <v>2832</v>
      </c>
      <c r="Q353" t="s">
        <v>352</v>
      </c>
      <c r="R353" t="s">
        <v>69</v>
      </c>
      <c r="S353" t="s">
        <v>69</v>
      </c>
      <c r="T353" t="s">
        <v>8505</v>
      </c>
      <c r="U353" t="s">
        <v>8506</v>
      </c>
      <c r="V353" t="s">
        <v>69</v>
      </c>
      <c r="W353" t="s">
        <v>69</v>
      </c>
      <c r="X353" t="s">
        <v>69</v>
      </c>
      <c r="Y353" t="s">
        <v>69</v>
      </c>
      <c r="Z353" t="s">
        <v>69</v>
      </c>
      <c r="AA353" t="s">
        <v>21325</v>
      </c>
      <c r="AB353" t="s">
        <v>21326</v>
      </c>
      <c r="AC353" t="s">
        <v>2833</v>
      </c>
      <c r="AD353" t="s">
        <v>21327</v>
      </c>
      <c r="AE353" t="s">
        <v>69</v>
      </c>
      <c r="AF353" t="s">
        <v>21328</v>
      </c>
      <c r="AG353" t="s">
        <v>21329</v>
      </c>
      <c r="AH353" t="s">
        <v>2834</v>
      </c>
      <c r="AI353" t="s">
        <v>2835</v>
      </c>
      <c r="AJ353" t="s">
        <v>69</v>
      </c>
      <c r="AK353" t="s">
        <v>69</v>
      </c>
      <c r="AL353" t="s">
        <v>69</v>
      </c>
      <c r="AM353" t="s">
        <v>69</v>
      </c>
      <c r="AN353">
        <v>95</v>
      </c>
      <c r="AO353">
        <v>25</v>
      </c>
      <c r="AP353">
        <v>25</v>
      </c>
      <c r="AQ353">
        <v>9</v>
      </c>
      <c r="AR353">
        <v>81</v>
      </c>
      <c r="AS353" t="s">
        <v>8924</v>
      </c>
      <c r="AT353" t="s">
        <v>8925</v>
      </c>
      <c r="AU353" t="s">
        <v>8926</v>
      </c>
      <c r="AV353" t="s">
        <v>69</v>
      </c>
      <c r="AW353" t="s">
        <v>354</v>
      </c>
      <c r="AX353" t="s">
        <v>69</v>
      </c>
      <c r="AY353" t="s">
        <v>8958</v>
      </c>
      <c r="AZ353" t="s">
        <v>8434</v>
      </c>
      <c r="BA353" t="s">
        <v>255</v>
      </c>
      <c r="BB353">
        <v>2016</v>
      </c>
      <c r="BC353">
        <v>8</v>
      </c>
      <c r="BD353">
        <v>9</v>
      </c>
      <c r="BE353" t="s">
        <v>69</v>
      </c>
      <c r="BF353" t="s">
        <v>69</v>
      </c>
      <c r="BG353" t="s">
        <v>69</v>
      </c>
      <c r="BH353" t="s">
        <v>69</v>
      </c>
      <c r="BI353" t="s">
        <v>69</v>
      </c>
      <c r="BJ353" t="s">
        <v>69</v>
      </c>
      <c r="BK353">
        <v>950</v>
      </c>
      <c r="BL353" t="s">
        <v>2836</v>
      </c>
      <c r="BM353" t="str">
        <f>HYPERLINK("http://dx.doi.org/10.3390/su8090950","http://dx.doi.org/10.3390/su8090950")</f>
        <v>http://dx.doi.org/10.3390/su8090950</v>
      </c>
      <c r="BN353" t="s">
        <v>69</v>
      </c>
      <c r="BO353" t="s">
        <v>69</v>
      </c>
      <c r="BP353">
        <v>16</v>
      </c>
      <c r="BQ353" t="s">
        <v>8960</v>
      </c>
      <c r="BR353" t="s">
        <v>8523</v>
      </c>
      <c r="BS353" t="s">
        <v>8961</v>
      </c>
      <c r="BT353" t="s">
        <v>21330</v>
      </c>
      <c r="BU353" t="s">
        <v>2837</v>
      </c>
      <c r="BV353" t="s">
        <v>69</v>
      </c>
      <c r="BW353" t="s">
        <v>12220</v>
      </c>
      <c r="BX353" t="s">
        <v>69</v>
      </c>
      <c r="BY353" t="s">
        <v>69</v>
      </c>
      <c r="BZ353" t="s">
        <v>8526</v>
      </c>
      <c r="CA353" t="str">
        <f>HYPERLINK("https%3A%2F%2Fwww.webofscience.com%2Fwos%2Fwoscc%2Ffull-record%2FWOS:000385529400119","View Full Record in Web of Science")</f>
        <v>View Full Record in Web of Science</v>
      </c>
    </row>
    <row r="354" spans="1:79" ht="12.5" x14ac:dyDescent="0.25">
      <c r="B354" t="s">
        <v>8495</v>
      </c>
      <c r="D354" s="22" t="s">
        <v>32931</v>
      </c>
      <c r="E354" s="7"/>
      <c r="F354" s="7"/>
      <c r="G354" s="7"/>
      <c r="H354" t="s">
        <v>67</v>
      </c>
      <c r="I354" t="s">
        <v>10365</v>
      </c>
      <c r="J354" t="s">
        <v>69</v>
      </c>
      <c r="K354" t="s">
        <v>69</v>
      </c>
      <c r="L354" t="s">
        <v>69</v>
      </c>
      <c r="M354" t="s">
        <v>10366</v>
      </c>
      <c r="N354" t="s">
        <v>69</v>
      </c>
      <c r="O354" t="s">
        <v>69</v>
      </c>
      <c r="P354" t="s">
        <v>10367</v>
      </c>
      <c r="Q354" t="s">
        <v>10368</v>
      </c>
      <c r="R354" t="s">
        <v>69</v>
      </c>
      <c r="S354" t="s">
        <v>69</v>
      </c>
      <c r="T354" t="s">
        <v>8505</v>
      </c>
      <c r="U354" t="s">
        <v>8506</v>
      </c>
      <c r="V354" t="s">
        <v>69</v>
      </c>
      <c r="W354" t="s">
        <v>69</v>
      </c>
      <c r="X354" t="s">
        <v>69</v>
      </c>
      <c r="Y354" t="s">
        <v>69</v>
      </c>
      <c r="Z354" t="s">
        <v>69</v>
      </c>
      <c r="AA354" t="s">
        <v>10369</v>
      </c>
      <c r="AB354" t="s">
        <v>10370</v>
      </c>
      <c r="AC354" t="s">
        <v>10371</v>
      </c>
      <c r="AD354" t="s">
        <v>10372</v>
      </c>
      <c r="AE354" t="s">
        <v>69</v>
      </c>
      <c r="AF354" t="s">
        <v>10373</v>
      </c>
      <c r="AG354" t="s">
        <v>10374</v>
      </c>
      <c r="AH354" t="s">
        <v>69</v>
      </c>
      <c r="AI354" t="s">
        <v>69</v>
      </c>
      <c r="AJ354" t="s">
        <v>10375</v>
      </c>
      <c r="AK354" t="s">
        <v>10376</v>
      </c>
      <c r="AL354" t="s">
        <v>10377</v>
      </c>
      <c r="AM354" t="s">
        <v>69</v>
      </c>
      <c r="AN354">
        <v>78</v>
      </c>
      <c r="AO354">
        <v>1</v>
      </c>
      <c r="AP354">
        <v>1</v>
      </c>
      <c r="AQ354">
        <v>11</v>
      </c>
      <c r="AR354">
        <v>12</v>
      </c>
      <c r="AS354" t="s">
        <v>8992</v>
      </c>
      <c r="AT354" t="s">
        <v>8993</v>
      </c>
      <c r="AU354" t="s">
        <v>8994</v>
      </c>
      <c r="AV354" t="s">
        <v>69</v>
      </c>
      <c r="AW354" t="s">
        <v>10378</v>
      </c>
      <c r="AX354" t="s">
        <v>69</v>
      </c>
      <c r="AY354" t="s">
        <v>10379</v>
      </c>
      <c r="AZ354" t="s">
        <v>10380</v>
      </c>
      <c r="BA354" t="s">
        <v>10381</v>
      </c>
      <c r="BB354">
        <v>2021</v>
      </c>
      <c r="BC354">
        <v>6</v>
      </c>
      <c r="BD354" t="s">
        <v>69</v>
      </c>
      <c r="BE354" t="s">
        <v>69</v>
      </c>
      <c r="BF354" t="s">
        <v>69</v>
      </c>
      <c r="BG354" t="s">
        <v>69</v>
      </c>
      <c r="BH354" t="s">
        <v>69</v>
      </c>
      <c r="BI354" t="s">
        <v>69</v>
      </c>
      <c r="BJ354" t="s">
        <v>69</v>
      </c>
      <c r="BK354">
        <v>762201</v>
      </c>
      <c r="BL354" t="s">
        <v>10382</v>
      </c>
      <c r="BM354" t="str">
        <f>HYPERLINK("http://dx.doi.org/10.3389/fcomm.2021.762201","http://dx.doi.org/10.3389/fcomm.2021.762201")</f>
        <v>http://dx.doi.org/10.3389/fcomm.2021.762201</v>
      </c>
      <c r="BN354" t="s">
        <v>69</v>
      </c>
      <c r="BO354" t="s">
        <v>69</v>
      </c>
      <c r="BP354">
        <v>17</v>
      </c>
      <c r="BQ354" t="s">
        <v>8443</v>
      </c>
      <c r="BR354" t="s">
        <v>8573</v>
      </c>
      <c r="BS354" t="s">
        <v>8443</v>
      </c>
      <c r="BT354" t="s">
        <v>10383</v>
      </c>
      <c r="BU354" t="s">
        <v>10384</v>
      </c>
      <c r="BV354" t="s">
        <v>69</v>
      </c>
      <c r="BW354" t="s">
        <v>8812</v>
      </c>
      <c r="BX354" t="s">
        <v>69</v>
      </c>
      <c r="BY354" t="s">
        <v>69</v>
      </c>
      <c r="BZ354" t="s">
        <v>8526</v>
      </c>
      <c r="CA354" t="str">
        <f>HYPERLINK("https%3A%2F%2Fwww.webofscience.com%2Fwos%2Fwoscc%2Ffull-record%2FWOS:000738837500001","View Full Record in Web of Science")</f>
        <v>View Full Record in Web of Science</v>
      </c>
    </row>
    <row r="355" spans="1:79" ht="12.5" x14ac:dyDescent="0.25">
      <c r="B355" t="s">
        <v>8495</v>
      </c>
      <c r="D355" s="7" t="s">
        <v>32933</v>
      </c>
      <c r="E355" s="7"/>
      <c r="F355" s="7"/>
      <c r="G355" s="7"/>
      <c r="H355" t="s">
        <v>67</v>
      </c>
      <c r="I355" t="s">
        <v>574</v>
      </c>
      <c r="J355" t="s">
        <v>69</v>
      </c>
      <c r="K355" t="s">
        <v>69</v>
      </c>
      <c r="L355" t="s">
        <v>69</v>
      </c>
      <c r="M355" t="s">
        <v>574</v>
      </c>
      <c r="N355" t="s">
        <v>69</v>
      </c>
      <c r="O355" t="s">
        <v>69</v>
      </c>
      <c r="P355" t="s">
        <v>575</v>
      </c>
      <c r="Q355" t="s">
        <v>436</v>
      </c>
      <c r="R355" t="s">
        <v>69</v>
      </c>
      <c r="S355" t="s">
        <v>69</v>
      </c>
      <c r="T355" t="s">
        <v>8505</v>
      </c>
      <c r="U355" t="s">
        <v>8506</v>
      </c>
      <c r="V355" t="s">
        <v>69</v>
      </c>
      <c r="W355" t="s">
        <v>69</v>
      </c>
      <c r="X355" t="s">
        <v>69</v>
      </c>
      <c r="Y355" t="s">
        <v>69</v>
      </c>
      <c r="Z355" t="s">
        <v>69</v>
      </c>
      <c r="AA355" t="s">
        <v>31496</v>
      </c>
      <c r="AB355" t="s">
        <v>69</v>
      </c>
      <c r="AC355" t="s">
        <v>576</v>
      </c>
      <c r="AD355" t="s">
        <v>31497</v>
      </c>
      <c r="AE355" t="s">
        <v>69</v>
      </c>
      <c r="AF355" t="s">
        <v>31498</v>
      </c>
      <c r="AG355" t="s">
        <v>69</v>
      </c>
      <c r="AH355" t="s">
        <v>69</v>
      </c>
      <c r="AI355" t="s">
        <v>69</v>
      </c>
      <c r="AJ355" t="s">
        <v>69</v>
      </c>
      <c r="AK355" t="s">
        <v>69</v>
      </c>
      <c r="AL355" t="s">
        <v>69</v>
      </c>
      <c r="AM355" t="s">
        <v>69</v>
      </c>
      <c r="AN355">
        <v>12</v>
      </c>
      <c r="AO355">
        <v>104</v>
      </c>
      <c r="AP355">
        <v>117</v>
      </c>
      <c r="AQ355">
        <v>2</v>
      </c>
      <c r="AR355">
        <v>76</v>
      </c>
      <c r="AS355" t="s">
        <v>8636</v>
      </c>
      <c r="AT355" t="s">
        <v>8637</v>
      </c>
      <c r="AU355" t="s">
        <v>8638</v>
      </c>
      <c r="AV355" t="s">
        <v>440</v>
      </c>
      <c r="AW355" t="s">
        <v>69</v>
      </c>
      <c r="AX355" t="s">
        <v>69</v>
      </c>
      <c r="AY355" t="s">
        <v>8639</v>
      </c>
      <c r="AZ355" t="s">
        <v>8640</v>
      </c>
      <c r="BA355" t="s">
        <v>69</v>
      </c>
      <c r="BB355">
        <v>2002</v>
      </c>
      <c r="BC355">
        <v>10</v>
      </c>
      <c r="BD355">
        <v>1</v>
      </c>
      <c r="BE355" t="s">
        <v>69</v>
      </c>
      <c r="BF355" t="s">
        <v>69</v>
      </c>
      <c r="BG355" t="s">
        <v>69</v>
      </c>
      <c r="BH355" t="s">
        <v>69</v>
      </c>
      <c r="BI355">
        <v>57</v>
      </c>
      <c r="BJ355">
        <v>67</v>
      </c>
      <c r="BK355" t="s">
        <v>577</v>
      </c>
      <c r="BL355" t="s">
        <v>578</v>
      </c>
      <c r="BM355" t="str">
        <f>HYPERLINK("http://dx.doi.org/10.1016/S0959-6526(01)00013-0","http://dx.doi.org/10.1016/S0959-6526(01)00013-0")</f>
        <v>http://dx.doi.org/10.1016/S0959-6526(01)00013-0</v>
      </c>
      <c r="BN355" t="s">
        <v>69</v>
      </c>
      <c r="BO355" t="s">
        <v>69</v>
      </c>
      <c r="BP355">
        <v>11</v>
      </c>
      <c r="BQ355" t="s">
        <v>8643</v>
      </c>
      <c r="BR355" t="s">
        <v>8548</v>
      </c>
      <c r="BS355" t="s">
        <v>8644</v>
      </c>
      <c r="BT355" t="s">
        <v>31499</v>
      </c>
      <c r="BU355" t="s">
        <v>579</v>
      </c>
      <c r="BV355" t="s">
        <v>69</v>
      </c>
      <c r="BW355" t="s">
        <v>69</v>
      </c>
      <c r="BX355" t="s">
        <v>69</v>
      </c>
      <c r="BY355" t="s">
        <v>69</v>
      </c>
      <c r="BZ355" t="s">
        <v>8526</v>
      </c>
      <c r="CA355" t="str">
        <f>HYPERLINK("https%3A%2F%2Fwww.webofscience.com%2Fwos%2Fwoscc%2Ffull-record%2FWOS:000174290000008","View Full Record in Web of Science")</f>
        <v>View Full Record in Web of Science</v>
      </c>
    </row>
    <row r="356" spans="1:79" ht="12.5" x14ac:dyDescent="0.25">
      <c r="B356" t="s">
        <v>8495</v>
      </c>
      <c r="D356" s="7" t="s">
        <v>32933</v>
      </c>
      <c r="E356" s="7"/>
      <c r="F356" s="7"/>
      <c r="G356" s="7"/>
      <c r="H356" t="s">
        <v>67</v>
      </c>
      <c r="I356" t="s">
        <v>8290</v>
      </c>
      <c r="J356" t="s">
        <v>69</v>
      </c>
      <c r="K356" t="s">
        <v>69</v>
      </c>
      <c r="L356" t="s">
        <v>69</v>
      </c>
      <c r="M356" t="s">
        <v>8291</v>
      </c>
      <c r="N356" t="s">
        <v>69</v>
      </c>
      <c r="O356" t="s">
        <v>69</v>
      </c>
      <c r="P356" t="s">
        <v>8292</v>
      </c>
      <c r="Q356" t="s">
        <v>5392</v>
      </c>
      <c r="R356" t="s">
        <v>69</v>
      </c>
      <c r="S356" t="s">
        <v>69</v>
      </c>
      <c r="T356" t="s">
        <v>8505</v>
      </c>
      <c r="U356" t="s">
        <v>8506</v>
      </c>
      <c r="V356" t="s">
        <v>69</v>
      </c>
      <c r="W356" t="s">
        <v>69</v>
      </c>
      <c r="X356" t="s">
        <v>69</v>
      </c>
      <c r="Y356" t="s">
        <v>69</v>
      </c>
      <c r="Z356" t="s">
        <v>69</v>
      </c>
      <c r="AA356" t="s">
        <v>23768</v>
      </c>
      <c r="AB356" t="s">
        <v>69</v>
      </c>
      <c r="AC356" t="s">
        <v>8293</v>
      </c>
      <c r="AD356" t="s">
        <v>69</v>
      </c>
      <c r="AE356" t="s">
        <v>69</v>
      </c>
      <c r="AF356" t="s">
        <v>69</v>
      </c>
      <c r="AG356" t="s">
        <v>69</v>
      </c>
      <c r="AH356" t="s">
        <v>69</v>
      </c>
      <c r="AI356" t="s">
        <v>69</v>
      </c>
      <c r="AJ356" t="s">
        <v>69</v>
      </c>
      <c r="AK356" t="s">
        <v>69</v>
      </c>
      <c r="AL356" t="s">
        <v>69</v>
      </c>
      <c r="AM356" t="s">
        <v>69</v>
      </c>
      <c r="AN356">
        <v>7</v>
      </c>
      <c r="AO356">
        <v>6</v>
      </c>
      <c r="AP356">
        <v>6</v>
      </c>
      <c r="AQ356">
        <v>1</v>
      </c>
      <c r="AR356">
        <v>51</v>
      </c>
      <c r="AS356" t="s">
        <v>21296</v>
      </c>
      <c r="AT356" t="s">
        <v>21297</v>
      </c>
      <c r="AU356" t="s">
        <v>21298</v>
      </c>
      <c r="AV356" t="s">
        <v>5394</v>
      </c>
      <c r="AW356" t="s">
        <v>8294</v>
      </c>
      <c r="AX356" t="s">
        <v>69</v>
      </c>
      <c r="AY356" t="s">
        <v>21299</v>
      </c>
      <c r="AZ356" t="s">
        <v>21300</v>
      </c>
      <c r="BA356" t="s">
        <v>1628</v>
      </c>
      <c r="BB356">
        <v>2014</v>
      </c>
      <c r="BC356">
        <v>9</v>
      </c>
      <c r="BD356">
        <v>3</v>
      </c>
      <c r="BE356" t="s">
        <v>69</v>
      </c>
      <c r="BF356" t="s">
        <v>69</v>
      </c>
      <c r="BG356" t="s">
        <v>69</v>
      </c>
      <c r="BH356" t="s">
        <v>69</v>
      </c>
      <c r="BI356">
        <v>60</v>
      </c>
      <c r="BJ356">
        <v>82</v>
      </c>
      <c r="BK356" t="s">
        <v>69</v>
      </c>
      <c r="BL356" t="s">
        <v>8295</v>
      </c>
      <c r="BM356" t="str">
        <f>HYPERLINK("http://dx.doi.org/10.3992/1943-4618-9.3.60","http://dx.doi.org/10.3992/1943-4618-9.3.60")</f>
        <v>http://dx.doi.org/10.3992/1943-4618-9.3.60</v>
      </c>
      <c r="BN356" t="s">
        <v>69</v>
      </c>
      <c r="BO356" t="s">
        <v>69</v>
      </c>
      <c r="BP356">
        <v>23</v>
      </c>
      <c r="BQ356" t="s">
        <v>8449</v>
      </c>
      <c r="BR356" t="s">
        <v>11207</v>
      </c>
      <c r="BS356" t="s">
        <v>8449</v>
      </c>
      <c r="BT356" t="s">
        <v>23769</v>
      </c>
      <c r="BU356" t="s">
        <v>8296</v>
      </c>
      <c r="BV356" t="s">
        <v>69</v>
      </c>
      <c r="BW356" t="s">
        <v>8622</v>
      </c>
      <c r="BX356" t="s">
        <v>69</v>
      </c>
      <c r="BY356" t="s">
        <v>69</v>
      </c>
      <c r="BZ356" t="s">
        <v>8526</v>
      </c>
      <c r="CA356" t="str">
        <f>HYPERLINK("https%3A%2F%2Fwww.webofscience.com%2Fwos%2Fwoscc%2Ffull-record%2FWOS:000347618100005","View Full Record in Web of Science")</f>
        <v>View Full Record in Web of Science</v>
      </c>
    </row>
    <row r="357" spans="1:79" ht="12.5" x14ac:dyDescent="0.25">
      <c r="B357" t="s">
        <v>8495</v>
      </c>
      <c r="D357" s="7" t="s">
        <v>32933</v>
      </c>
      <c r="E357" s="7"/>
      <c r="F357" s="7"/>
      <c r="G357" s="7"/>
      <c r="H357" t="s">
        <v>67</v>
      </c>
      <c r="I357" t="s">
        <v>5675</v>
      </c>
      <c r="J357" t="s">
        <v>69</v>
      </c>
      <c r="K357" t="s">
        <v>69</v>
      </c>
      <c r="L357" t="s">
        <v>69</v>
      </c>
      <c r="M357" t="s">
        <v>5676</v>
      </c>
      <c r="N357" t="s">
        <v>69</v>
      </c>
      <c r="O357" t="s">
        <v>69</v>
      </c>
      <c r="P357" t="s">
        <v>5677</v>
      </c>
      <c r="Q357" t="s">
        <v>5678</v>
      </c>
      <c r="R357" t="s">
        <v>69</v>
      </c>
      <c r="S357" t="s">
        <v>69</v>
      </c>
      <c r="T357" t="s">
        <v>8505</v>
      </c>
      <c r="U357" t="s">
        <v>15797</v>
      </c>
      <c r="V357" t="s">
        <v>5679</v>
      </c>
      <c r="W357" t="s">
        <v>5680</v>
      </c>
      <c r="X357" t="s">
        <v>5681</v>
      </c>
      <c r="Y357" t="s">
        <v>5682</v>
      </c>
      <c r="Z357" t="s">
        <v>69</v>
      </c>
      <c r="AA357" t="s">
        <v>30050</v>
      </c>
      <c r="AB357" t="s">
        <v>69</v>
      </c>
      <c r="AC357" t="s">
        <v>5683</v>
      </c>
      <c r="AD357" t="s">
        <v>30051</v>
      </c>
      <c r="AE357" t="s">
        <v>69</v>
      </c>
      <c r="AF357" t="s">
        <v>30052</v>
      </c>
      <c r="AG357" t="s">
        <v>30053</v>
      </c>
      <c r="AH357" t="s">
        <v>69</v>
      </c>
      <c r="AI357" t="s">
        <v>69</v>
      </c>
      <c r="AJ357" t="s">
        <v>69</v>
      </c>
      <c r="AK357" t="s">
        <v>69</v>
      </c>
      <c r="AL357" t="s">
        <v>69</v>
      </c>
      <c r="AM357" t="s">
        <v>69</v>
      </c>
      <c r="AN357">
        <v>28</v>
      </c>
      <c r="AO357">
        <v>7</v>
      </c>
      <c r="AP357">
        <v>7</v>
      </c>
      <c r="AQ357">
        <v>0</v>
      </c>
      <c r="AR357">
        <v>1</v>
      </c>
      <c r="AS357" t="s">
        <v>15611</v>
      </c>
      <c r="AT357" t="s">
        <v>10924</v>
      </c>
      <c r="AU357" t="s">
        <v>15612</v>
      </c>
      <c r="AV357" t="s">
        <v>5684</v>
      </c>
      <c r="AW357" t="s">
        <v>5685</v>
      </c>
      <c r="AX357" t="s">
        <v>69</v>
      </c>
      <c r="AY357" t="s">
        <v>30054</v>
      </c>
      <c r="AZ357" t="s">
        <v>30055</v>
      </c>
      <c r="BA357" t="s">
        <v>69</v>
      </c>
      <c r="BB357">
        <v>2007</v>
      </c>
      <c r="BC357">
        <v>42</v>
      </c>
      <c r="BD357" t="s">
        <v>5686</v>
      </c>
      <c r="BE357" t="s">
        <v>69</v>
      </c>
      <c r="BF357" t="s">
        <v>69</v>
      </c>
      <c r="BG357" t="s">
        <v>69</v>
      </c>
      <c r="BH357" t="s">
        <v>69</v>
      </c>
      <c r="BI357">
        <v>1835</v>
      </c>
      <c r="BJ357">
        <v>1849</v>
      </c>
      <c r="BK357" t="s">
        <v>69</v>
      </c>
      <c r="BL357" t="s">
        <v>5687</v>
      </c>
      <c r="BM357" t="str">
        <f>HYPERLINK("http://dx.doi.org/10.1080/10826080701532833","http://dx.doi.org/10.1080/10826080701532833")</f>
        <v>http://dx.doi.org/10.1080/10826080701532833</v>
      </c>
      <c r="BN357" t="s">
        <v>69</v>
      </c>
      <c r="BO357" t="s">
        <v>69</v>
      </c>
      <c r="BP357">
        <v>15</v>
      </c>
      <c r="BQ357" t="s">
        <v>30056</v>
      </c>
      <c r="BR357" t="s">
        <v>30057</v>
      </c>
      <c r="BS357" t="s">
        <v>30056</v>
      </c>
      <c r="BT357" t="s">
        <v>30058</v>
      </c>
      <c r="BU357" t="s">
        <v>5688</v>
      </c>
      <c r="BV357">
        <v>18075912</v>
      </c>
      <c r="BW357" t="s">
        <v>69</v>
      </c>
      <c r="BX357" t="s">
        <v>69</v>
      </c>
      <c r="BY357" t="s">
        <v>69</v>
      </c>
      <c r="BZ357" t="s">
        <v>8526</v>
      </c>
      <c r="CA357" t="str">
        <f>HYPERLINK("https%3A%2F%2Fwww.webofscience.com%2Fwos%2Fwoscc%2Ffull-record%2FWOS:000251641400003","View Full Record in Web of Science")</f>
        <v>View Full Record in Web of Science</v>
      </c>
    </row>
    <row r="358" spans="1:79" ht="12.5" x14ac:dyDescent="0.25">
      <c r="B358" t="s">
        <v>8495</v>
      </c>
      <c r="D358" s="22" t="s">
        <v>32931</v>
      </c>
      <c r="E358" s="7"/>
      <c r="F358" s="7"/>
      <c r="G358" s="7"/>
      <c r="H358" t="s">
        <v>67</v>
      </c>
      <c r="I358" t="s">
        <v>25328</v>
      </c>
      <c r="J358" t="s">
        <v>69</v>
      </c>
      <c r="K358" t="s">
        <v>69</v>
      </c>
      <c r="L358" t="s">
        <v>69</v>
      </c>
      <c r="M358" t="s">
        <v>25329</v>
      </c>
      <c r="N358" t="s">
        <v>69</v>
      </c>
      <c r="O358" t="s">
        <v>69</v>
      </c>
      <c r="P358" t="s">
        <v>25330</v>
      </c>
      <c r="Q358" t="s">
        <v>25331</v>
      </c>
      <c r="R358" t="s">
        <v>69</v>
      </c>
      <c r="S358" t="s">
        <v>69</v>
      </c>
      <c r="T358" t="s">
        <v>8505</v>
      </c>
      <c r="U358" t="s">
        <v>8506</v>
      </c>
      <c r="V358" t="s">
        <v>69</v>
      </c>
      <c r="W358" t="s">
        <v>69</v>
      </c>
      <c r="X358" t="s">
        <v>69</v>
      </c>
      <c r="Y358" t="s">
        <v>69</v>
      </c>
      <c r="Z358" t="s">
        <v>69</v>
      </c>
      <c r="AA358" t="s">
        <v>25332</v>
      </c>
      <c r="AB358" t="s">
        <v>25333</v>
      </c>
      <c r="AC358" t="s">
        <v>25334</v>
      </c>
      <c r="AD358" t="s">
        <v>25335</v>
      </c>
      <c r="AE358" t="s">
        <v>69</v>
      </c>
      <c r="AF358" t="s">
        <v>25336</v>
      </c>
      <c r="AG358" t="s">
        <v>25337</v>
      </c>
      <c r="AH358" t="s">
        <v>25338</v>
      </c>
      <c r="AI358" t="s">
        <v>25339</v>
      </c>
      <c r="AJ358" t="s">
        <v>25340</v>
      </c>
      <c r="AK358" t="s">
        <v>25340</v>
      </c>
      <c r="AL358" t="s">
        <v>25341</v>
      </c>
      <c r="AM358" t="s">
        <v>69</v>
      </c>
      <c r="AN358">
        <v>61</v>
      </c>
      <c r="AO358">
        <v>21</v>
      </c>
      <c r="AP358">
        <v>21</v>
      </c>
      <c r="AQ358">
        <v>0</v>
      </c>
      <c r="AR358">
        <v>0</v>
      </c>
      <c r="AS358" t="s">
        <v>8865</v>
      </c>
      <c r="AT358" t="s">
        <v>8612</v>
      </c>
      <c r="AU358" t="s">
        <v>8866</v>
      </c>
      <c r="AV358" t="s">
        <v>25342</v>
      </c>
      <c r="AW358" t="s">
        <v>25343</v>
      </c>
      <c r="AX358" t="s">
        <v>69</v>
      </c>
      <c r="AY358" t="s">
        <v>25344</v>
      </c>
      <c r="AZ358" t="s">
        <v>25345</v>
      </c>
      <c r="BA358" t="s">
        <v>69</v>
      </c>
      <c r="BB358">
        <v>2013</v>
      </c>
      <c r="BC358">
        <v>16</v>
      </c>
      <c r="BD358">
        <v>4</v>
      </c>
      <c r="BE358" t="s">
        <v>69</v>
      </c>
      <c r="BF358" t="s">
        <v>69</v>
      </c>
      <c r="BG358" t="s">
        <v>69</v>
      </c>
      <c r="BH358" t="s">
        <v>69</v>
      </c>
      <c r="BI358">
        <v>297</v>
      </c>
      <c r="BJ358">
        <v>314</v>
      </c>
      <c r="BK358" t="s">
        <v>69</v>
      </c>
      <c r="BL358" t="s">
        <v>25346</v>
      </c>
      <c r="BM358" t="str">
        <f>HYPERLINK("http://dx.doi.org/10.1080/11745398.2013.853338","http://dx.doi.org/10.1080/11745398.2013.853338")</f>
        <v>http://dx.doi.org/10.1080/11745398.2013.853338</v>
      </c>
      <c r="BN358" t="s">
        <v>69</v>
      </c>
      <c r="BO358" t="s">
        <v>69</v>
      </c>
      <c r="BP358">
        <v>18</v>
      </c>
      <c r="BQ358" t="s">
        <v>10278</v>
      </c>
      <c r="BR358" t="s">
        <v>8573</v>
      </c>
      <c r="BS358" t="s">
        <v>10279</v>
      </c>
      <c r="BT358" t="s">
        <v>25347</v>
      </c>
      <c r="BU358" t="s">
        <v>25348</v>
      </c>
      <c r="BV358" t="s">
        <v>69</v>
      </c>
      <c r="BW358" t="s">
        <v>10423</v>
      </c>
      <c r="BX358" t="s">
        <v>69</v>
      </c>
      <c r="BY358" t="s">
        <v>69</v>
      </c>
      <c r="BZ358" t="s">
        <v>8526</v>
      </c>
      <c r="CA358" t="str">
        <f>HYPERLINK("https%3A%2F%2Fwww.webofscience.com%2Fwos%2Fwoscc%2Ffull-record%2FWOS:000211550400003","View Full Record in Web of Science")</f>
        <v>View Full Record in Web of Science</v>
      </c>
    </row>
    <row r="359" spans="1:79" x14ac:dyDescent="0.3">
      <c r="A359" t="s">
        <v>8408</v>
      </c>
      <c r="B359" t="s">
        <v>8495</v>
      </c>
      <c r="D359" s="10" t="s">
        <v>33177</v>
      </c>
      <c r="F359" s="10" t="s">
        <v>8490</v>
      </c>
      <c r="H359" t="s">
        <v>67</v>
      </c>
      <c r="I359" t="s">
        <v>1300</v>
      </c>
      <c r="J359" t="s">
        <v>69</v>
      </c>
      <c r="K359" t="s">
        <v>69</v>
      </c>
      <c r="L359" t="s">
        <v>69</v>
      </c>
      <c r="M359" s="2" t="s">
        <v>1301</v>
      </c>
      <c r="N359" t="s">
        <v>69</v>
      </c>
      <c r="O359" t="s">
        <v>69</v>
      </c>
      <c r="P359" s="2" t="s">
        <v>1302</v>
      </c>
      <c r="Q359" t="s">
        <v>929</v>
      </c>
      <c r="R359" t="s">
        <v>69</v>
      </c>
      <c r="S359" t="s">
        <v>69</v>
      </c>
      <c r="T359" t="s">
        <v>8505</v>
      </c>
      <c r="U359" t="s">
        <v>8506</v>
      </c>
      <c r="V359" t="s">
        <v>69</v>
      </c>
      <c r="W359" t="s">
        <v>69</v>
      </c>
      <c r="X359" t="s">
        <v>69</v>
      </c>
      <c r="Y359" t="s">
        <v>69</v>
      </c>
      <c r="Z359" t="s">
        <v>69</v>
      </c>
      <c r="AA359" t="s">
        <v>22979</v>
      </c>
      <c r="AB359" t="s">
        <v>22980</v>
      </c>
      <c r="AC359" t="s">
        <v>1303</v>
      </c>
      <c r="AD359" t="s">
        <v>22981</v>
      </c>
      <c r="AE359" t="s">
        <v>69</v>
      </c>
      <c r="AF359" t="s">
        <v>22982</v>
      </c>
      <c r="AG359" t="s">
        <v>22983</v>
      </c>
      <c r="AH359" t="s">
        <v>69</v>
      </c>
      <c r="AI359" t="s">
        <v>69</v>
      </c>
      <c r="AJ359" t="s">
        <v>22984</v>
      </c>
      <c r="AK359" t="s">
        <v>22984</v>
      </c>
      <c r="AL359" t="s">
        <v>22985</v>
      </c>
      <c r="AM359" t="s">
        <v>69</v>
      </c>
      <c r="AN359">
        <v>41</v>
      </c>
      <c r="AO359">
        <v>11</v>
      </c>
      <c r="AP359">
        <v>11</v>
      </c>
      <c r="AQ359">
        <v>0</v>
      </c>
      <c r="AR359">
        <v>3</v>
      </c>
      <c r="AS359" t="s">
        <v>8865</v>
      </c>
      <c r="AT359" t="s">
        <v>8612</v>
      </c>
      <c r="AU359" t="s">
        <v>22341</v>
      </c>
      <c r="AV359" t="s">
        <v>931</v>
      </c>
      <c r="AW359" t="s">
        <v>932</v>
      </c>
      <c r="AX359" t="s">
        <v>69</v>
      </c>
      <c r="AY359" t="s">
        <v>15975</v>
      </c>
      <c r="AZ359" t="s">
        <v>15976</v>
      </c>
      <c r="BA359" t="s">
        <v>69</v>
      </c>
      <c r="BB359">
        <v>2015</v>
      </c>
      <c r="BC359">
        <v>33</v>
      </c>
      <c r="BD359">
        <v>3</v>
      </c>
      <c r="BE359" t="s">
        <v>69</v>
      </c>
      <c r="BF359" t="s">
        <v>69</v>
      </c>
      <c r="BG359" t="s">
        <v>69</v>
      </c>
      <c r="BH359" t="s">
        <v>69</v>
      </c>
      <c r="BI359">
        <v>226</v>
      </c>
      <c r="BJ359">
        <v>232</v>
      </c>
      <c r="BK359" t="s">
        <v>69</v>
      </c>
      <c r="BL359" t="s">
        <v>1304</v>
      </c>
      <c r="BM359" t="str">
        <f>HYPERLINK("http://dx.doi.org/10.1080/14615517.2015.1049488","http://dx.doi.org/10.1080/14615517.2015.1049488")</f>
        <v>http://dx.doi.org/10.1080/14615517.2015.1049488</v>
      </c>
      <c r="BN359" t="s">
        <v>69</v>
      </c>
      <c r="BO359" t="s">
        <v>69</v>
      </c>
      <c r="BP359">
        <v>7</v>
      </c>
      <c r="BQ359" t="s">
        <v>8660</v>
      </c>
      <c r="BR359" t="s">
        <v>8661</v>
      </c>
      <c r="BS359" t="s">
        <v>8662</v>
      </c>
      <c r="BT359" t="s">
        <v>22977</v>
      </c>
      <c r="BU359" t="s">
        <v>1305</v>
      </c>
      <c r="BV359" t="s">
        <v>69</v>
      </c>
      <c r="BW359" t="s">
        <v>9374</v>
      </c>
      <c r="BX359" t="s">
        <v>69</v>
      </c>
      <c r="BY359" t="s">
        <v>69</v>
      </c>
      <c r="BZ359" t="s">
        <v>8526</v>
      </c>
      <c r="CA359" t="str">
        <f>HYPERLINK("https%3A%2F%2Fwww.webofscience.com%2Fwos%2Fwoscc%2Ffull-record%2FWOS:000368669300006","View Full Record in Web of Science")</f>
        <v>View Full Record in Web of Science</v>
      </c>
    </row>
    <row r="360" spans="1:79" ht="12.5" x14ac:dyDescent="0.25">
      <c r="B360" t="s">
        <v>8495</v>
      </c>
      <c r="D360" s="7" t="s">
        <v>32933</v>
      </c>
      <c r="E360" s="7"/>
      <c r="F360" s="7"/>
      <c r="G360" s="7"/>
      <c r="H360" t="s">
        <v>67</v>
      </c>
      <c r="I360" t="s">
        <v>894</v>
      </c>
      <c r="J360" t="s">
        <v>69</v>
      </c>
      <c r="K360" t="s">
        <v>69</v>
      </c>
      <c r="L360" t="s">
        <v>69</v>
      </c>
      <c r="M360" t="s">
        <v>895</v>
      </c>
      <c r="N360" t="s">
        <v>69</v>
      </c>
      <c r="O360" t="s">
        <v>69</v>
      </c>
      <c r="P360" t="s">
        <v>896</v>
      </c>
      <c r="Q360" t="s">
        <v>352</v>
      </c>
      <c r="R360" t="s">
        <v>69</v>
      </c>
      <c r="S360" t="s">
        <v>69</v>
      </c>
      <c r="T360" t="s">
        <v>8505</v>
      </c>
      <c r="U360" t="s">
        <v>8506</v>
      </c>
      <c r="V360" t="s">
        <v>69</v>
      </c>
      <c r="W360" t="s">
        <v>69</v>
      </c>
      <c r="X360" t="s">
        <v>69</v>
      </c>
      <c r="Y360" t="s">
        <v>69</v>
      </c>
      <c r="Z360" t="s">
        <v>69</v>
      </c>
      <c r="AA360" t="s">
        <v>16609</v>
      </c>
      <c r="AB360" t="s">
        <v>16610</v>
      </c>
      <c r="AC360" t="s">
        <v>897</v>
      </c>
      <c r="AD360" t="s">
        <v>16611</v>
      </c>
      <c r="AE360" t="s">
        <v>69</v>
      </c>
      <c r="AF360" t="s">
        <v>16612</v>
      </c>
      <c r="AG360" t="s">
        <v>16613</v>
      </c>
      <c r="AH360" t="s">
        <v>16614</v>
      </c>
      <c r="AI360" t="s">
        <v>16615</v>
      </c>
      <c r="AJ360" t="s">
        <v>16616</v>
      </c>
      <c r="AK360" t="s">
        <v>16617</v>
      </c>
      <c r="AL360" t="s">
        <v>16618</v>
      </c>
      <c r="AM360" t="s">
        <v>69</v>
      </c>
      <c r="AN360">
        <v>54</v>
      </c>
      <c r="AO360">
        <v>5</v>
      </c>
      <c r="AP360">
        <v>5</v>
      </c>
      <c r="AQ360">
        <v>8</v>
      </c>
      <c r="AR360">
        <v>21</v>
      </c>
      <c r="AS360" t="s">
        <v>8924</v>
      </c>
      <c r="AT360" t="s">
        <v>8925</v>
      </c>
      <c r="AU360" t="s">
        <v>8926</v>
      </c>
      <c r="AV360" t="s">
        <v>69</v>
      </c>
      <c r="AW360" t="s">
        <v>354</v>
      </c>
      <c r="AX360" t="s">
        <v>69</v>
      </c>
      <c r="AY360" t="s">
        <v>8958</v>
      </c>
      <c r="AZ360" t="s">
        <v>8434</v>
      </c>
      <c r="BA360" t="s">
        <v>891</v>
      </c>
      <c r="BB360">
        <v>2019</v>
      </c>
      <c r="BC360">
        <v>11</v>
      </c>
      <c r="BD360">
        <v>20</v>
      </c>
      <c r="BE360" t="s">
        <v>69</v>
      </c>
      <c r="BF360" t="s">
        <v>69</v>
      </c>
      <c r="BG360" t="s">
        <v>69</v>
      </c>
      <c r="BH360" t="s">
        <v>69</v>
      </c>
      <c r="BI360" t="s">
        <v>69</v>
      </c>
      <c r="BJ360" t="s">
        <v>69</v>
      </c>
      <c r="BK360">
        <v>5573</v>
      </c>
      <c r="BL360" t="s">
        <v>898</v>
      </c>
      <c r="BM360" t="str">
        <f>HYPERLINK("http://dx.doi.org/10.3390/su11205573","http://dx.doi.org/10.3390/su11205573")</f>
        <v>http://dx.doi.org/10.3390/su11205573</v>
      </c>
      <c r="BN360" t="s">
        <v>69</v>
      </c>
      <c r="BO360" t="s">
        <v>69</v>
      </c>
      <c r="BP360">
        <v>21</v>
      </c>
      <c r="BQ360" t="s">
        <v>8960</v>
      </c>
      <c r="BR360" t="s">
        <v>8523</v>
      </c>
      <c r="BS360" t="s">
        <v>8961</v>
      </c>
      <c r="BT360" t="s">
        <v>16608</v>
      </c>
      <c r="BU360" t="s">
        <v>899</v>
      </c>
      <c r="BV360" t="s">
        <v>69</v>
      </c>
      <c r="BW360" t="s">
        <v>9352</v>
      </c>
      <c r="BX360" t="s">
        <v>69</v>
      </c>
      <c r="BY360" t="s">
        <v>69</v>
      </c>
      <c r="BZ360" t="s">
        <v>8526</v>
      </c>
      <c r="CA360" t="str">
        <f>HYPERLINK("https%3A%2F%2Fwww.webofscience.com%2Fwos%2Fwoscc%2Ffull-record%2FWOS:000498398900030","View Full Record in Web of Science")</f>
        <v>View Full Record in Web of Science</v>
      </c>
    </row>
    <row r="361" spans="1:79" ht="12.5" x14ac:dyDescent="0.25">
      <c r="B361" t="s">
        <v>8495</v>
      </c>
      <c r="D361" s="7" t="s">
        <v>32933</v>
      </c>
      <c r="E361" s="7"/>
      <c r="F361" s="7"/>
      <c r="G361" s="7"/>
      <c r="H361" t="s">
        <v>67</v>
      </c>
      <c r="I361" t="s">
        <v>2954</v>
      </c>
      <c r="J361" t="s">
        <v>69</v>
      </c>
      <c r="K361" t="s">
        <v>69</v>
      </c>
      <c r="L361" t="s">
        <v>69</v>
      </c>
      <c r="M361" t="s">
        <v>2955</v>
      </c>
      <c r="N361" t="s">
        <v>69</v>
      </c>
      <c r="O361" t="s">
        <v>69</v>
      </c>
      <c r="P361" t="s">
        <v>2956</v>
      </c>
      <c r="Q361" t="s">
        <v>408</v>
      </c>
      <c r="R361" t="s">
        <v>69</v>
      </c>
      <c r="S361" t="s">
        <v>69</v>
      </c>
      <c r="T361" t="s">
        <v>8505</v>
      </c>
      <c r="U361" t="s">
        <v>8506</v>
      </c>
      <c r="V361" t="s">
        <v>69</v>
      </c>
      <c r="W361" t="s">
        <v>69</v>
      </c>
      <c r="X361" t="s">
        <v>69</v>
      </c>
      <c r="Y361" t="s">
        <v>69</v>
      </c>
      <c r="Z361" t="s">
        <v>69</v>
      </c>
      <c r="AA361" t="s">
        <v>21979</v>
      </c>
      <c r="AB361" t="s">
        <v>21980</v>
      </c>
      <c r="AC361" t="s">
        <v>2957</v>
      </c>
      <c r="AD361" t="s">
        <v>21981</v>
      </c>
      <c r="AE361" t="s">
        <v>69</v>
      </c>
      <c r="AF361" t="s">
        <v>21982</v>
      </c>
      <c r="AG361" t="s">
        <v>21983</v>
      </c>
      <c r="AH361" t="s">
        <v>69</v>
      </c>
      <c r="AI361" t="s">
        <v>2958</v>
      </c>
      <c r="AJ361" t="s">
        <v>69</v>
      </c>
      <c r="AK361" t="s">
        <v>69</v>
      </c>
      <c r="AL361" t="s">
        <v>69</v>
      </c>
      <c r="AM361" t="s">
        <v>69</v>
      </c>
      <c r="AN361">
        <v>77</v>
      </c>
      <c r="AO361">
        <v>8</v>
      </c>
      <c r="AP361">
        <v>8</v>
      </c>
      <c r="AQ361">
        <v>0</v>
      </c>
      <c r="AR361">
        <v>5</v>
      </c>
      <c r="AS361" t="s">
        <v>8586</v>
      </c>
      <c r="AT361" t="s">
        <v>8587</v>
      </c>
      <c r="AU361" t="s">
        <v>8588</v>
      </c>
      <c r="AV361" t="s">
        <v>410</v>
      </c>
      <c r="AW361" t="s">
        <v>411</v>
      </c>
      <c r="AX361" t="s">
        <v>69</v>
      </c>
      <c r="AY361" t="s">
        <v>9125</v>
      </c>
      <c r="AZ361" t="s">
        <v>9126</v>
      </c>
      <c r="BA361" t="s">
        <v>69</v>
      </c>
      <c r="BB361">
        <v>2016</v>
      </c>
      <c r="BC361">
        <v>23</v>
      </c>
      <c r="BD361">
        <v>5</v>
      </c>
      <c r="BE361" t="s">
        <v>69</v>
      </c>
      <c r="BF361" t="s">
        <v>69</v>
      </c>
      <c r="BG361" t="s">
        <v>69</v>
      </c>
      <c r="BH361" t="s">
        <v>69</v>
      </c>
      <c r="BI361">
        <v>588</v>
      </c>
      <c r="BJ361">
        <v>609</v>
      </c>
      <c r="BK361" t="s">
        <v>69</v>
      </c>
      <c r="BL361" t="s">
        <v>2959</v>
      </c>
      <c r="BM361" t="str">
        <f>HYPERLINK("http://dx.doi.org/10.1108/ECAM-12-2014-0155","http://dx.doi.org/10.1108/ECAM-12-2014-0155")</f>
        <v>http://dx.doi.org/10.1108/ECAM-12-2014-0155</v>
      </c>
      <c r="BN361" t="s">
        <v>69</v>
      </c>
      <c r="BO361" t="s">
        <v>69</v>
      </c>
      <c r="BP361">
        <v>22</v>
      </c>
      <c r="BQ361" t="s">
        <v>9128</v>
      </c>
      <c r="BR361" t="s">
        <v>8523</v>
      </c>
      <c r="BS361" t="s">
        <v>9129</v>
      </c>
      <c r="BT361" t="s">
        <v>21984</v>
      </c>
      <c r="BU361" t="s">
        <v>2960</v>
      </c>
      <c r="BV361" t="s">
        <v>69</v>
      </c>
      <c r="BW361" t="s">
        <v>69</v>
      </c>
      <c r="BX361" t="s">
        <v>69</v>
      </c>
      <c r="BY361" t="s">
        <v>69</v>
      </c>
      <c r="BZ361" t="s">
        <v>8526</v>
      </c>
      <c r="CA361" t="str">
        <f>HYPERLINK("https%3A%2F%2Fwww.webofscience.com%2Fwos%2Fwoscc%2Ffull-record%2FWOS:000386793100003","View Full Record in Web of Science")</f>
        <v>View Full Record in Web of Science</v>
      </c>
    </row>
    <row r="362" spans="1:79" x14ac:dyDescent="0.3">
      <c r="C362" s="7" t="s">
        <v>8458</v>
      </c>
      <c r="F362" s="10" t="s">
        <v>8490</v>
      </c>
      <c r="I362" t="s">
        <v>33211</v>
      </c>
      <c r="Q362" t="s">
        <v>8464</v>
      </c>
      <c r="BB362">
        <v>2005</v>
      </c>
    </row>
    <row r="363" spans="1:79" ht="12.5" x14ac:dyDescent="0.25">
      <c r="B363" t="s">
        <v>8495</v>
      </c>
      <c r="D363" s="22" t="s">
        <v>32931</v>
      </c>
      <c r="E363" s="7"/>
      <c r="F363" s="7"/>
      <c r="G363" s="7"/>
      <c r="H363" t="s">
        <v>67</v>
      </c>
      <c r="I363" t="s">
        <v>19366</v>
      </c>
      <c r="J363" t="s">
        <v>69</v>
      </c>
      <c r="K363" t="s">
        <v>69</v>
      </c>
      <c r="L363" t="s">
        <v>69</v>
      </c>
      <c r="M363" t="s">
        <v>19367</v>
      </c>
      <c r="N363" t="s">
        <v>69</v>
      </c>
      <c r="O363" t="s">
        <v>69</v>
      </c>
      <c r="P363" t="s">
        <v>19368</v>
      </c>
      <c r="Q363" t="s">
        <v>13858</v>
      </c>
      <c r="R363" t="s">
        <v>69</v>
      </c>
      <c r="S363" t="s">
        <v>69</v>
      </c>
      <c r="T363" t="s">
        <v>8505</v>
      </c>
      <c r="U363" t="s">
        <v>8506</v>
      </c>
      <c r="V363" t="s">
        <v>69</v>
      </c>
      <c r="W363" t="s">
        <v>69</v>
      </c>
      <c r="X363" t="s">
        <v>69</v>
      </c>
      <c r="Y363" t="s">
        <v>69</v>
      </c>
      <c r="Z363" t="s">
        <v>69</v>
      </c>
      <c r="AA363" t="s">
        <v>19369</v>
      </c>
      <c r="AB363" t="s">
        <v>19370</v>
      </c>
      <c r="AC363" t="s">
        <v>19371</v>
      </c>
      <c r="AD363" t="s">
        <v>19372</v>
      </c>
      <c r="AE363" t="s">
        <v>69</v>
      </c>
      <c r="AF363" t="s">
        <v>19373</v>
      </c>
      <c r="AG363" t="s">
        <v>19374</v>
      </c>
      <c r="AH363" t="s">
        <v>19375</v>
      </c>
      <c r="AI363" t="s">
        <v>19376</v>
      </c>
      <c r="AJ363" t="s">
        <v>69</v>
      </c>
      <c r="AK363" t="s">
        <v>69</v>
      </c>
      <c r="AL363" t="s">
        <v>69</v>
      </c>
      <c r="AM363" t="s">
        <v>69</v>
      </c>
      <c r="AN363">
        <v>47</v>
      </c>
      <c r="AO363">
        <v>5</v>
      </c>
      <c r="AP363">
        <v>5</v>
      </c>
      <c r="AQ363">
        <v>0</v>
      </c>
      <c r="AR363">
        <v>17</v>
      </c>
      <c r="AS363" t="s">
        <v>8586</v>
      </c>
      <c r="AT363" t="s">
        <v>8587</v>
      </c>
      <c r="AU363" t="s">
        <v>8588</v>
      </c>
      <c r="AV363" t="s">
        <v>13869</v>
      </c>
      <c r="AW363" t="s">
        <v>13870</v>
      </c>
      <c r="AX363" t="s">
        <v>69</v>
      </c>
      <c r="AY363" t="s">
        <v>13871</v>
      </c>
      <c r="AZ363" t="s">
        <v>13872</v>
      </c>
      <c r="BA363" t="s">
        <v>69</v>
      </c>
      <c r="BB363">
        <v>2018</v>
      </c>
      <c r="BC363">
        <v>19</v>
      </c>
      <c r="BD363">
        <v>7</v>
      </c>
      <c r="BE363" t="s">
        <v>69</v>
      </c>
      <c r="BF363" t="s">
        <v>69</v>
      </c>
      <c r="BG363" t="s">
        <v>69</v>
      </c>
      <c r="BH363" t="s">
        <v>69</v>
      </c>
      <c r="BI363">
        <v>1299</v>
      </c>
      <c r="BJ363">
        <v>1316</v>
      </c>
      <c r="BK363" t="s">
        <v>69</v>
      </c>
      <c r="BL363" t="s">
        <v>19377</v>
      </c>
      <c r="BM363" t="str">
        <f>HYPERLINK("http://dx.doi.org/10.1108/IJSHE-12-2017-0223","http://dx.doi.org/10.1108/IJSHE-12-2017-0223")</f>
        <v>http://dx.doi.org/10.1108/IJSHE-12-2017-0223</v>
      </c>
      <c r="BN363" t="s">
        <v>69</v>
      </c>
      <c r="BO363" t="s">
        <v>69</v>
      </c>
      <c r="BP363">
        <v>18</v>
      </c>
      <c r="BQ363" t="s">
        <v>13875</v>
      </c>
      <c r="BR363" t="s">
        <v>8661</v>
      </c>
      <c r="BS363" t="s">
        <v>13876</v>
      </c>
      <c r="BT363" t="s">
        <v>19378</v>
      </c>
      <c r="BU363" t="s">
        <v>19379</v>
      </c>
      <c r="BV363" t="s">
        <v>69</v>
      </c>
      <c r="BW363" t="s">
        <v>69</v>
      </c>
      <c r="BX363" t="s">
        <v>69</v>
      </c>
      <c r="BY363" t="s">
        <v>69</v>
      </c>
      <c r="BZ363" t="s">
        <v>8526</v>
      </c>
      <c r="CA363" t="str">
        <f>HYPERLINK("https%3A%2F%2Fwww.webofscience.com%2Fwos%2Fwoscc%2Ffull-record%2FWOS:000452707400009","View Full Record in Web of Science")</f>
        <v>View Full Record in Web of Science</v>
      </c>
    </row>
    <row r="364" spans="1:79" ht="12.5" x14ac:dyDescent="0.25">
      <c r="B364" t="s">
        <v>8495</v>
      </c>
      <c r="D364" s="7" t="s">
        <v>32933</v>
      </c>
      <c r="E364" s="7"/>
      <c r="F364" s="7"/>
      <c r="G364" s="7"/>
      <c r="H364" t="s">
        <v>67</v>
      </c>
      <c r="I364" t="s">
        <v>1720</v>
      </c>
      <c r="J364" t="s">
        <v>69</v>
      </c>
      <c r="K364" t="s">
        <v>69</v>
      </c>
      <c r="L364" t="s">
        <v>69</v>
      </c>
      <c r="M364" t="s">
        <v>1720</v>
      </c>
      <c r="N364" t="s">
        <v>69</v>
      </c>
      <c r="O364" t="s">
        <v>69</v>
      </c>
      <c r="P364" t="s">
        <v>1721</v>
      </c>
      <c r="Q364" t="s">
        <v>1722</v>
      </c>
      <c r="R364" t="s">
        <v>69</v>
      </c>
      <c r="S364" t="s">
        <v>69</v>
      </c>
      <c r="T364" t="s">
        <v>8505</v>
      </c>
      <c r="U364" t="s">
        <v>8506</v>
      </c>
      <c r="V364" t="s">
        <v>69</v>
      </c>
      <c r="W364" t="s">
        <v>69</v>
      </c>
      <c r="X364" t="s">
        <v>69</v>
      </c>
      <c r="Y364" t="s">
        <v>69</v>
      </c>
      <c r="Z364" t="s">
        <v>69</v>
      </c>
      <c r="AA364" t="s">
        <v>69</v>
      </c>
      <c r="AB364" t="s">
        <v>31765</v>
      </c>
      <c r="AC364" t="s">
        <v>1723</v>
      </c>
      <c r="AD364" t="s">
        <v>31766</v>
      </c>
      <c r="AE364" t="s">
        <v>69</v>
      </c>
      <c r="AF364" t="s">
        <v>31767</v>
      </c>
      <c r="AG364" t="s">
        <v>69</v>
      </c>
      <c r="AH364" t="s">
        <v>31768</v>
      </c>
      <c r="AI364" t="s">
        <v>69</v>
      </c>
      <c r="AJ364" t="s">
        <v>69</v>
      </c>
      <c r="AK364" t="s">
        <v>69</v>
      </c>
      <c r="AL364" t="s">
        <v>69</v>
      </c>
      <c r="AM364" t="s">
        <v>69</v>
      </c>
      <c r="AN364">
        <v>42</v>
      </c>
      <c r="AO364">
        <v>2178</v>
      </c>
      <c r="AP364">
        <v>2259</v>
      </c>
      <c r="AQ364">
        <v>60</v>
      </c>
      <c r="AR364">
        <v>1412</v>
      </c>
      <c r="AS364" t="s">
        <v>17140</v>
      </c>
      <c r="AT364" t="s">
        <v>8517</v>
      </c>
      <c r="AU364" t="s">
        <v>17141</v>
      </c>
      <c r="AV364" t="s">
        <v>1724</v>
      </c>
      <c r="AW364" t="s">
        <v>69</v>
      </c>
      <c r="AX364" t="s">
        <v>69</v>
      </c>
      <c r="AY364" t="s">
        <v>28853</v>
      </c>
      <c r="AZ364" t="s">
        <v>28854</v>
      </c>
      <c r="BA364" t="s">
        <v>1725</v>
      </c>
      <c r="BB364">
        <v>2000</v>
      </c>
      <c r="BC364">
        <v>15</v>
      </c>
      <c r="BD364" t="s">
        <v>1726</v>
      </c>
      <c r="BE364" t="s">
        <v>69</v>
      </c>
      <c r="BF364" t="s">
        <v>69</v>
      </c>
      <c r="BG364" t="s">
        <v>69</v>
      </c>
      <c r="BH364" t="s">
        <v>69</v>
      </c>
      <c r="BI364">
        <v>411</v>
      </c>
      <c r="BJ364">
        <v>432</v>
      </c>
      <c r="BK364" t="s">
        <v>69</v>
      </c>
      <c r="BL364" t="s">
        <v>1727</v>
      </c>
      <c r="BM364" t="str">
        <f>HYPERLINK("http://dx.doi.org/10.1016/S0883-9026(98)00033-0","http://dx.doi.org/10.1016/S0883-9026(98)00033-0")</f>
        <v>http://dx.doi.org/10.1016/S0883-9026(98)00033-0</v>
      </c>
      <c r="BN364" t="s">
        <v>69</v>
      </c>
      <c r="BO364" t="s">
        <v>69</v>
      </c>
      <c r="BP364">
        <v>22</v>
      </c>
      <c r="BQ364" t="s">
        <v>8444</v>
      </c>
      <c r="BR364" t="s">
        <v>8661</v>
      </c>
      <c r="BS364" t="s">
        <v>8594</v>
      </c>
      <c r="BT364" t="s">
        <v>31769</v>
      </c>
      <c r="BU364" t="s">
        <v>1728</v>
      </c>
      <c r="BV364" t="s">
        <v>69</v>
      </c>
      <c r="BW364" t="s">
        <v>69</v>
      </c>
      <c r="BX364" t="s">
        <v>69</v>
      </c>
      <c r="BY364" t="s">
        <v>69</v>
      </c>
      <c r="BZ364" t="s">
        <v>8526</v>
      </c>
      <c r="CA364" t="str">
        <f>HYPERLINK("https%3A%2F%2Fwww.webofscience.com%2Fwos%2Fwoscc%2Ffull-record%2FWOS:000088703200003","View Full Record in Web of Science")</f>
        <v>View Full Record in Web of Science</v>
      </c>
    </row>
    <row r="365" spans="1:79" ht="12.5" x14ac:dyDescent="0.25">
      <c r="B365" t="s">
        <v>8495</v>
      </c>
      <c r="D365" s="22" t="s">
        <v>32931</v>
      </c>
      <c r="E365" s="7"/>
      <c r="F365" s="7"/>
      <c r="G365" s="7"/>
      <c r="H365" t="s">
        <v>67</v>
      </c>
      <c r="I365" t="s">
        <v>26419</v>
      </c>
      <c r="J365" t="s">
        <v>69</v>
      </c>
      <c r="K365" t="s">
        <v>69</v>
      </c>
      <c r="L365" t="s">
        <v>69</v>
      </c>
      <c r="M365" t="s">
        <v>26420</v>
      </c>
      <c r="N365" t="s">
        <v>69</v>
      </c>
      <c r="O365" t="s">
        <v>69</v>
      </c>
      <c r="P365" t="s">
        <v>26421</v>
      </c>
      <c r="Q365" t="s">
        <v>26422</v>
      </c>
      <c r="R365" t="s">
        <v>69</v>
      </c>
      <c r="S365" t="s">
        <v>69</v>
      </c>
      <c r="T365" t="s">
        <v>8505</v>
      </c>
      <c r="U365" t="s">
        <v>8506</v>
      </c>
      <c r="V365" t="s">
        <v>69</v>
      </c>
      <c r="W365" t="s">
        <v>69</v>
      </c>
      <c r="X365" t="s">
        <v>69</v>
      </c>
      <c r="Y365" t="s">
        <v>69</v>
      </c>
      <c r="Z365" t="s">
        <v>69</v>
      </c>
      <c r="AA365" t="s">
        <v>26423</v>
      </c>
      <c r="AB365" t="s">
        <v>69</v>
      </c>
      <c r="AC365" t="s">
        <v>26424</v>
      </c>
      <c r="AD365" t="s">
        <v>26425</v>
      </c>
      <c r="AE365" t="s">
        <v>69</v>
      </c>
      <c r="AF365" t="s">
        <v>26426</v>
      </c>
      <c r="AG365" t="s">
        <v>26427</v>
      </c>
      <c r="AH365" t="s">
        <v>26428</v>
      </c>
      <c r="AI365" t="s">
        <v>26429</v>
      </c>
      <c r="AJ365" t="s">
        <v>69</v>
      </c>
      <c r="AK365" t="s">
        <v>69</v>
      </c>
      <c r="AL365" t="s">
        <v>69</v>
      </c>
      <c r="AM365" t="s">
        <v>69</v>
      </c>
      <c r="AN365">
        <v>13</v>
      </c>
      <c r="AO365">
        <v>0</v>
      </c>
      <c r="AP365">
        <v>0</v>
      </c>
      <c r="AQ365">
        <v>0</v>
      </c>
      <c r="AR365">
        <v>0</v>
      </c>
      <c r="AS365" t="s">
        <v>26430</v>
      </c>
      <c r="AT365" t="s">
        <v>22997</v>
      </c>
      <c r="AU365" t="s">
        <v>26431</v>
      </c>
      <c r="AV365" t="s">
        <v>26432</v>
      </c>
      <c r="AW365" t="s">
        <v>26433</v>
      </c>
      <c r="AX365" t="s">
        <v>69</v>
      </c>
      <c r="AY365" t="s">
        <v>26434</v>
      </c>
      <c r="AZ365" t="s">
        <v>26435</v>
      </c>
      <c r="BA365" t="s">
        <v>69</v>
      </c>
      <c r="BB365">
        <v>2012</v>
      </c>
      <c r="BC365" t="s">
        <v>69</v>
      </c>
      <c r="BD365">
        <v>6</v>
      </c>
      <c r="BE365" t="s">
        <v>69</v>
      </c>
      <c r="BF365" t="s">
        <v>69</v>
      </c>
      <c r="BG365" t="s">
        <v>69</v>
      </c>
      <c r="BH365" t="s">
        <v>69</v>
      </c>
      <c r="BI365">
        <v>63</v>
      </c>
      <c r="BJ365">
        <v>68</v>
      </c>
      <c r="BK365" t="s">
        <v>69</v>
      </c>
      <c r="BL365" t="s">
        <v>26436</v>
      </c>
      <c r="BM365" t="str">
        <f>HYPERLINK("http://dx.doi.org/10.5755/j01.eis.0.6.1497","http://dx.doi.org/10.5755/j01.eis.0.6.1497")</f>
        <v>http://dx.doi.org/10.5755/j01.eis.0.6.1497</v>
      </c>
      <c r="BN365" t="s">
        <v>69</v>
      </c>
      <c r="BO365" t="s">
        <v>69</v>
      </c>
      <c r="BP365">
        <v>6</v>
      </c>
      <c r="BQ365" t="s">
        <v>17049</v>
      </c>
      <c r="BR365" t="s">
        <v>8573</v>
      </c>
      <c r="BS365" t="s">
        <v>17049</v>
      </c>
      <c r="BT365" t="s">
        <v>26437</v>
      </c>
      <c r="BU365" t="s">
        <v>26438</v>
      </c>
      <c r="BV365" t="s">
        <v>69</v>
      </c>
      <c r="BW365" t="s">
        <v>8931</v>
      </c>
      <c r="BX365" t="s">
        <v>69</v>
      </c>
      <c r="BY365" t="s">
        <v>69</v>
      </c>
      <c r="BZ365" t="s">
        <v>8526</v>
      </c>
      <c r="CA365" t="str">
        <f>HYPERLINK("https%3A%2F%2Fwww.webofscience.com%2Fwos%2Fwoscc%2Ffull-record%2FWOS:000215286500009","View Full Record in Web of Science")</f>
        <v>View Full Record in Web of Science</v>
      </c>
    </row>
    <row r="366" spans="1:79" ht="12.5" x14ac:dyDescent="0.25">
      <c r="B366" t="s">
        <v>8495</v>
      </c>
      <c r="D366" s="7" t="s">
        <v>32933</v>
      </c>
      <c r="E366" s="7"/>
      <c r="F366" s="7"/>
      <c r="G366" s="7"/>
      <c r="H366" t="s">
        <v>67</v>
      </c>
      <c r="I366" t="s">
        <v>4567</v>
      </c>
      <c r="J366" t="s">
        <v>69</v>
      </c>
      <c r="K366" t="s">
        <v>69</v>
      </c>
      <c r="L366" t="s">
        <v>69</v>
      </c>
      <c r="M366" t="s">
        <v>4568</v>
      </c>
      <c r="N366" t="s">
        <v>69</v>
      </c>
      <c r="O366" t="s">
        <v>69</v>
      </c>
      <c r="P366" t="s">
        <v>4569</v>
      </c>
      <c r="Q366" t="s">
        <v>2971</v>
      </c>
      <c r="R366" t="s">
        <v>69</v>
      </c>
      <c r="S366" t="s">
        <v>69</v>
      </c>
      <c r="T366" t="s">
        <v>8505</v>
      </c>
      <c r="U366" t="s">
        <v>8506</v>
      </c>
      <c r="V366" t="s">
        <v>69</v>
      </c>
      <c r="W366" t="s">
        <v>69</v>
      </c>
      <c r="X366" t="s">
        <v>69</v>
      </c>
      <c r="Y366" t="s">
        <v>69</v>
      </c>
      <c r="Z366" t="s">
        <v>69</v>
      </c>
      <c r="AA366" t="s">
        <v>14167</v>
      </c>
      <c r="AB366" t="s">
        <v>14168</v>
      </c>
      <c r="AC366" t="s">
        <v>4570</v>
      </c>
      <c r="AD366" t="s">
        <v>14169</v>
      </c>
      <c r="AE366" t="s">
        <v>69</v>
      </c>
      <c r="AF366" t="s">
        <v>14170</v>
      </c>
      <c r="AG366" t="s">
        <v>14171</v>
      </c>
      <c r="AH366" t="s">
        <v>14172</v>
      </c>
      <c r="AI366" t="s">
        <v>14173</v>
      </c>
      <c r="AJ366" t="s">
        <v>69</v>
      </c>
      <c r="AK366" t="s">
        <v>69</v>
      </c>
      <c r="AL366" t="s">
        <v>69</v>
      </c>
      <c r="AM366" t="s">
        <v>69</v>
      </c>
      <c r="AN366">
        <v>64</v>
      </c>
      <c r="AO366">
        <v>7</v>
      </c>
      <c r="AP366">
        <v>7</v>
      </c>
      <c r="AQ366">
        <v>2</v>
      </c>
      <c r="AR366">
        <v>8</v>
      </c>
      <c r="AS366" t="s">
        <v>8586</v>
      </c>
      <c r="AT366" t="s">
        <v>8587</v>
      </c>
      <c r="AU366" t="s">
        <v>8588</v>
      </c>
      <c r="AV366" t="s">
        <v>2973</v>
      </c>
      <c r="AW366" t="s">
        <v>2974</v>
      </c>
      <c r="AX366" t="s">
        <v>69</v>
      </c>
      <c r="AY366" t="s">
        <v>14174</v>
      </c>
      <c r="AZ366" t="s">
        <v>14175</v>
      </c>
      <c r="BA366" t="s">
        <v>4571</v>
      </c>
      <c r="BB366">
        <v>2020</v>
      </c>
      <c r="BC366">
        <v>18</v>
      </c>
      <c r="BD366">
        <v>5</v>
      </c>
      <c r="BE366" t="s">
        <v>69</v>
      </c>
      <c r="BF366" t="s">
        <v>69</v>
      </c>
      <c r="BG366" t="s">
        <v>69</v>
      </c>
      <c r="BH366" t="s">
        <v>69</v>
      </c>
      <c r="BI366">
        <v>547</v>
      </c>
      <c r="BJ366">
        <v>566</v>
      </c>
      <c r="BK366" t="s">
        <v>69</v>
      </c>
      <c r="BL366" t="s">
        <v>4572</v>
      </c>
      <c r="BM366" t="str">
        <f>HYPERLINK("http://dx.doi.org/10.1108/JFM-07-2020-0046","http://dx.doi.org/10.1108/JFM-07-2020-0046")</f>
        <v>http://dx.doi.org/10.1108/JFM-07-2020-0046</v>
      </c>
      <c r="BN366" t="s">
        <v>69</v>
      </c>
      <c r="BO366" t="s">
        <v>69</v>
      </c>
      <c r="BP366">
        <v>20</v>
      </c>
      <c r="BQ366" t="s">
        <v>9410</v>
      </c>
      <c r="BR366" t="s">
        <v>8573</v>
      </c>
      <c r="BS366" t="s">
        <v>8594</v>
      </c>
      <c r="BT366" t="s">
        <v>14176</v>
      </c>
      <c r="BU366" t="s">
        <v>4573</v>
      </c>
      <c r="BV366" t="s">
        <v>69</v>
      </c>
      <c r="BW366" t="s">
        <v>69</v>
      </c>
      <c r="BX366" t="s">
        <v>69</v>
      </c>
      <c r="BY366" t="s">
        <v>69</v>
      </c>
      <c r="BZ366" t="s">
        <v>8526</v>
      </c>
      <c r="CA366" t="str">
        <f>HYPERLINK("https%3A%2F%2Fwww.webofscience.com%2Fwos%2Fwoscc%2Ffull-record%2FWOS:000581022600005","View Full Record in Web of Science")</f>
        <v>View Full Record in Web of Science</v>
      </c>
    </row>
    <row r="367" spans="1:79" ht="12.5" x14ac:dyDescent="0.25">
      <c r="B367" t="s">
        <v>8495</v>
      </c>
      <c r="D367" s="22" t="s">
        <v>32931</v>
      </c>
      <c r="E367" s="7"/>
      <c r="F367" s="7"/>
      <c r="G367" s="7"/>
      <c r="H367" t="s">
        <v>67</v>
      </c>
      <c r="I367" t="s">
        <v>8647</v>
      </c>
      <c r="J367" t="s">
        <v>69</v>
      </c>
      <c r="K367" t="s">
        <v>69</v>
      </c>
      <c r="L367" t="s">
        <v>69</v>
      </c>
      <c r="M367" t="s">
        <v>8648</v>
      </c>
      <c r="N367" t="s">
        <v>69</v>
      </c>
      <c r="O367" t="s">
        <v>69</v>
      </c>
      <c r="P367" t="s">
        <v>8649</v>
      </c>
      <c r="Q367" t="s">
        <v>1128</v>
      </c>
      <c r="R367" t="s">
        <v>69</v>
      </c>
      <c r="S367" t="s">
        <v>69</v>
      </c>
      <c r="T367" t="s">
        <v>8505</v>
      </c>
      <c r="U367" t="s">
        <v>8506</v>
      </c>
      <c r="V367" t="s">
        <v>69</v>
      </c>
      <c r="W367" t="s">
        <v>69</v>
      </c>
      <c r="X367" t="s">
        <v>69</v>
      </c>
      <c r="Y367" t="s">
        <v>69</v>
      </c>
      <c r="Z367" t="s">
        <v>69</v>
      </c>
      <c r="AA367" t="s">
        <v>8650</v>
      </c>
      <c r="AB367" t="s">
        <v>69</v>
      </c>
      <c r="AC367" t="s">
        <v>8651</v>
      </c>
      <c r="AD367" t="s">
        <v>8652</v>
      </c>
      <c r="AE367" t="s">
        <v>69</v>
      </c>
      <c r="AF367" t="s">
        <v>8653</v>
      </c>
      <c r="AG367" t="s">
        <v>8654</v>
      </c>
      <c r="AH367" t="s">
        <v>69</v>
      </c>
      <c r="AI367" t="s">
        <v>69</v>
      </c>
      <c r="AJ367" t="s">
        <v>8655</v>
      </c>
      <c r="AK367" t="s">
        <v>8656</v>
      </c>
      <c r="AL367" t="s">
        <v>8657</v>
      </c>
      <c r="AM367" t="s">
        <v>69</v>
      </c>
      <c r="AN367">
        <v>36</v>
      </c>
      <c r="AO367">
        <v>0</v>
      </c>
      <c r="AP367">
        <v>0</v>
      </c>
      <c r="AQ367">
        <v>3</v>
      </c>
      <c r="AR367">
        <v>3</v>
      </c>
      <c r="AS367" t="s">
        <v>8636</v>
      </c>
      <c r="AT367" t="s">
        <v>8637</v>
      </c>
      <c r="AU367" t="s">
        <v>8638</v>
      </c>
      <c r="AV367" t="s">
        <v>1130</v>
      </c>
      <c r="AW367" t="s">
        <v>1131</v>
      </c>
      <c r="AX367" t="s">
        <v>69</v>
      </c>
      <c r="AY367" t="s">
        <v>1128</v>
      </c>
      <c r="AZ367" t="s">
        <v>8658</v>
      </c>
      <c r="BA367" t="s">
        <v>84</v>
      </c>
      <c r="BB367">
        <v>2022</v>
      </c>
      <c r="BC367">
        <v>118</v>
      </c>
      <c r="BD367" t="s">
        <v>69</v>
      </c>
      <c r="BE367" t="s">
        <v>69</v>
      </c>
      <c r="BF367" t="s">
        <v>69</v>
      </c>
      <c r="BG367" t="s">
        <v>69</v>
      </c>
      <c r="BH367" t="s">
        <v>69</v>
      </c>
      <c r="BI367" t="s">
        <v>69</v>
      </c>
      <c r="BJ367" t="s">
        <v>69</v>
      </c>
      <c r="BK367">
        <v>106128</v>
      </c>
      <c r="BL367" t="s">
        <v>8659</v>
      </c>
      <c r="BM367" t="str">
        <f>HYPERLINK("http://dx.doi.org/10.1016/j.landusepol.2022.106128","http://dx.doi.org/10.1016/j.landusepol.2022.106128")</f>
        <v>http://dx.doi.org/10.1016/j.landusepol.2022.106128</v>
      </c>
      <c r="BN367" t="s">
        <v>69</v>
      </c>
      <c r="BO367" t="s">
        <v>69</v>
      </c>
      <c r="BP367">
        <v>9</v>
      </c>
      <c r="BQ367" t="s">
        <v>8660</v>
      </c>
      <c r="BR367" t="s">
        <v>8661</v>
      </c>
      <c r="BS367" t="s">
        <v>8662</v>
      </c>
      <c r="BT367" t="s">
        <v>8663</v>
      </c>
      <c r="BU367" t="s">
        <v>8664</v>
      </c>
      <c r="BV367" t="s">
        <v>69</v>
      </c>
      <c r="BW367" t="s">
        <v>69</v>
      </c>
      <c r="BX367" t="s">
        <v>69</v>
      </c>
      <c r="BY367" t="s">
        <v>69</v>
      </c>
      <c r="BZ367" t="s">
        <v>8526</v>
      </c>
      <c r="CA367" t="str">
        <f>HYPERLINK("https%3A%2F%2Fwww.webofscience.com%2Fwos%2Fwoscc%2Ffull-record%2FWOS:000797328500011","View Full Record in Web of Science")</f>
        <v>View Full Record in Web of Science</v>
      </c>
    </row>
    <row r="368" spans="1:79" ht="12.5" x14ac:dyDescent="0.25">
      <c r="B368" t="s">
        <v>8495</v>
      </c>
      <c r="D368" s="22" t="s">
        <v>32931</v>
      </c>
      <c r="E368" s="7"/>
      <c r="F368" s="7"/>
      <c r="G368" s="7"/>
      <c r="H368" t="s">
        <v>67</v>
      </c>
      <c r="I368" t="s">
        <v>23102</v>
      </c>
      <c r="J368" t="s">
        <v>69</v>
      </c>
      <c r="K368" t="s">
        <v>69</v>
      </c>
      <c r="L368" t="s">
        <v>69</v>
      </c>
      <c r="M368" t="s">
        <v>23103</v>
      </c>
      <c r="N368" t="s">
        <v>69</v>
      </c>
      <c r="O368" t="s">
        <v>69</v>
      </c>
      <c r="P368" t="s">
        <v>23104</v>
      </c>
      <c r="Q368" t="s">
        <v>4065</v>
      </c>
      <c r="R368" t="s">
        <v>69</v>
      </c>
      <c r="S368" t="s">
        <v>69</v>
      </c>
      <c r="T368" t="s">
        <v>8505</v>
      </c>
      <c r="U368" t="s">
        <v>8506</v>
      </c>
      <c r="V368" t="s">
        <v>69</v>
      </c>
      <c r="W368" t="s">
        <v>69</v>
      </c>
      <c r="X368" t="s">
        <v>69</v>
      </c>
      <c r="Y368" t="s">
        <v>69</v>
      </c>
      <c r="Z368" t="s">
        <v>69</v>
      </c>
      <c r="AA368" t="s">
        <v>23105</v>
      </c>
      <c r="AB368" t="s">
        <v>69</v>
      </c>
      <c r="AC368" t="s">
        <v>23106</v>
      </c>
      <c r="AD368" t="s">
        <v>23107</v>
      </c>
      <c r="AE368" t="s">
        <v>69</v>
      </c>
      <c r="AF368" t="s">
        <v>23108</v>
      </c>
      <c r="AG368" t="s">
        <v>23109</v>
      </c>
      <c r="AH368" t="s">
        <v>23110</v>
      </c>
      <c r="AI368" t="s">
        <v>23111</v>
      </c>
      <c r="AJ368" t="s">
        <v>23112</v>
      </c>
      <c r="AK368" t="s">
        <v>23113</v>
      </c>
      <c r="AL368" t="s">
        <v>23114</v>
      </c>
      <c r="AM368" t="s">
        <v>69</v>
      </c>
      <c r="AN368">
        <v>37</v>
      </c>
      <c r="AO368">
        <v>20</v>
      </c>
      <c r="AP368">
        <v>20</v>
      </c>
      <c r="AQ368">
        <v>2</v>
      </c>
      <c r="AR368">
        <v>43</v>
      </c>
      <c r="AS368" t="s">
        <v>9145</v>
      </c>
      <c r="AT368" t="s">
        <v>8637</v>
      </c>
      <c r="AU368" t="s">
        <v>9146</v>
      </c>
      <c r="AV368" t="s">
        <v>4067</v>
      </c>
      <c r="AW368" t="s">
        <v>69</v>
      </c>
      <c r="AX368" t="s">
        <v>69</v>
      </c>
      <c r="AY368" t="s">
        <v>23115</v>
      </c>
      <c r="AZ368" t="s">
        <v>23116</v>
      </c>
      <c r="BA368" t="s">
        <v>373</v>
      </c>
      <c r="BB368">
        <v>2015</v>
      </c>
      <c r="BC368">
        <v>45</v>
      </c>
      <c r="BD368" t="s">
        <v>69</v>
      </c>
      <c r="BE368" t="s">
        <v>69</v>
      </c>
      <c r="BF368" t="s">
        <v>69</v>
      </c>
      <c r="BG368" t="s">
        <v>69</v>
      </c>
      <c r="BH368" t="s">
        <v>69</v>
      </c>
      <c r="BI368">
        <v>166</v>
      </c>
      <c r="BJ368">
        <v>180</v>
      </c>
      <c r="BK368" t="s">
        <v>69</v>
      </c>
      <c r="BL368" t="s">
        <v>23117</v>
      </c>
      <c r="BM368" t="str">
        <f>HYPERLINK("http://dx.doi.org/10.1016/j.tust.2014.09.004","http://dx.doi.org/10.1016/j.tust.2014.09.004")</f>
        <v>http://dx.doi.org/10.1016/j.tust.2014.09.004</v>
      </c>
      <c r="BN368" t="s">
        <v>69</v>
      </c>
      <c r="BO368" t="s">
        <v>69</v>
      </c>
      <c r="BP368">
        <v>15</v>
      </c>
      <c r="BQ368" t="s">
        <v>11242</v>
      </c>
      <c r="BR368" t="s">
        <v>8548</v>
      </c>
      <c r="BS368" t="s">
        <v>8549</v>
      </c>
      <c r="BT368" t="s">
        <v>23118</v>
      </c>
      <c r="BU368" t="s">
        <v>23119</v>
      </c>
      <c r="BV368" t="s">
        <v>69</v>
      </c>
      <c r="BW368" t="s">
        <v>69</v>
      </c>
      <c r="BX368" t="s">
        <v>69</v>
      </c>
      <c r="BY368" t="s">
        <v>69</v>
      </c>
      <c r="BZ368" t="s">
        <v>8526</v>
      </c>
      <c r="CA368" t="str">
        <f>HYPERLINK("https%3A%2F%2Fwww.webofscience.com%2Fwos%2Fwoscc%2Ffull-record%2FWOS:000347022600015","View Full Record in Web of Science")</f>
        <v>View Full Record in Web of Science</v>
      </c>
    </row>
    <row r="369" spans="2:79" ht="12.5" x14ac:dyDescent="0.25">
      <c r="B369" t="s">
        <v>8495</v>
      </c>
      <c r="D369" s="7" t="s">
        <v>32933</v>
      </c>
      <c r="E369" s="7"/>
      <c r="F369" s="7"/>
      <c r="G369" s="7"/>
      <c r="H369" t="s">
        <v>67</v>
      </c>
      <c r="I369" t="s">
        <v>7044</v>
      </c>
      <c r="J369" t="s">
        <v>69</v>
      </c>
      <c r="K369" t="s">
        <v>69</v>
      </c>
      <c r="L369" t="s">
        <v>69</v>
      </c>
      <c r="M369" t="s">
        <v>7045</v>
      </c>
      <c r="N369" t="s">
        <v>69</v>
      </c>
      <c r="O369" t="s">
        <v>69</v>
      </c>
      <c r="P369" t="s">
        <v>7046</v>
      </c>
      <c r="Q369" t="s">
        <v>436</v>
      </c>
      <c r="R369" t="s">
        <v>69</v>
      </c>
      <c r="S369" t="s">
        <v>69</v>
      </c>
      <c r="T369" t="s">
        <v>8505</v>
      </c>
      <c r="U369" t="s">
        <v>8506</v>
      </c>
      <c r="V369" t="s">
        <v>69</v>
      </c>
      <c r="W369" t="s">
        <v>69</v>
      </c>
      <c r="X369" t="s">
        <v>69</v>
      </c>
      <c r="Y369" t="s">
        <v>69</v>
      </c>
      <c r="Z369" t="s">
        <v>69</v>
      </c>
      <c r="AA369" t="s">
        <v>18255</v>
      </c>
      <c r="AB369" t="s">
        <v>18256</v>
      </c>
      <c r="AC369" t="s">
        <v>7047</v>
      </c>
      <c r="AD369" t="s">
        <v>18257</v>
      </c>
      <c r="AE369" t="s">
        <v>69</v>
      </c>
      <c r="AF369" t="s">
        <v>18258</v>
      </c>
      <c r="AG369" t="s">
        <v>18259</v>
      </c>
      <c r="AH369" t="s">
        <v>69</v>
      </c>
      <c r="AI369" t="s">
        <v>69</v>
      </c>
      <c r="AJ369" t="s">
        <v>18260</v>
      </c>
      <c r="AK369" t="s">
        <v>18261</v>
      </c>
      <c r="AL369" t="s">
        <v>18262</v>
      </c>
      <c r="AM369" t="s">
        <v>69</v>
      </c>
      <c r="AN369">
        <v>29</v>
      </c>
      <c r="AO369">
        <v>21</v>
      </c>
      <c r="AP369">
        <v>22</v>
      </c>
      <c r="AQ369">
        <v>11</v>
      </c>
      <c r="AR369">
        <v>68</v>
      </c>
      <c r="AS369" t="s">
        <v>8636</v>
      </c>
      <c r="AT369" t="s">
        <v>8637</v>
      </c>
      <c r="AU369" t="s">
        <v>8638</v>
      </c>
      <c r="AV369" t="s">
        <v>440</v>
      </c>
      <c r="AW369" t="s">
        <v>441</v>
      </c>
      <c r="AX369" t="s">
        <v>69</v>
      </c>
      <c r="AY369" t="s">
        <v>8639</v>
      </c>
      <c r="AZ369" t="s">
        <v>8640</v>
      </c>
      <c r="BA369" t="s">
        <v>7048</v>
      </c>
      <c r="BB369">
        <v>2018</v>
      </c>
      <c r="BC369">
        <v>198</v>
      </c>
      <c r="BD369" t="s">
        <v>69</v>
      </c>
      <c r="BE369" t="s">
        <v>69</v>
      </c>
      <c r="BF369" t="s">
        <v>69</v>
      </c>
      <c r="BG369" t="s">
        <v>69</v>
      </c>
      <c r="BH369" t="s">
        <v>69</v>
      </c>
      <c r="BI369">
        <v>1336</v>
      </c>
      <c r="BJ369">
        <v>1344</v>
      </c>
      <c r="BK369" t="s">
        <v>69</v>
      </c>
      <c r="BL369" t="s">
        <v>7049</v>
      </c>
      <c r="BM369" t="str">
        <f>HYPERLINK("http://dx.doi.org/10.1016/j.jclepro.2018.07.117","http://dx.doi.org/10.1016/j.jclepro.2018.07.117")</f>
        <v>http://dx.doi.org/10.1016/j.jclepro.2018.07.117</v>
      </c>
      <c r="BN369" t="s">
        <v>69</v>
      </c>
      <c r="BO369" t="s">
        <v>69</v>
      </c>
      <c r="BP369">
        <v>9</v>
      </c>
      <c r="BQ369" t="s">
        <v>8643</v>
      </c>
      <c r="BR369" t="s">
        <v>8523</v>
      </c>
      <c r="BS369" t="s">
        <v>8644</v>
      </c>
      <c r="BT369" t="s">
        <v>18263</v>
      </c>
      <c r="BU369" t="s">
        <v>7050</v>
      </c>
      <c r="BV369" t="s">
        <v>69</v>
      </c>
      <c r="BW369" t="s">
        <v>69</v>
      </c>
      <c r="BX369" t="s">
        <v>69</v>
      </c>
      <c r="BY369" t="s">
        <v>69</v>
      </c>
      <c r="BZ369" t="s">
        <v>8526</v>
      </c>
      <c r="CA369" t="str">
        <f>HYPERLINK("https%3A%2F%2Fwww.webofscience.com%2Fwos%2Fwoscc%2Ffull-record%2FWOS:000442973100117","View Full Record in Web of Science")</f>
        <v>View Full Record in Web of Science</v>
      </c>
    </row>
    <row r="370" spans="2:79" x14ac:dyDescent="0.3">
      <c r="B370" t="s">
        <v>8495</v>
      </c>
      <c r="D370" s="9" t="s">
        <v>32954</v>
      </c>
      <c r="E370" s="9" t="s">
        <v>33108</v>
      </c>
      <c r="F370" s="9" t="s">
        <v>8491</v>
      </c>
      <c r="G370" s="9" t="s">
        <v>8490</v>
      </c>
      <c r="H370" t="s">
        <v>67</v>
      </c>
      <c r="I370" t="s">
        <v>27377</v>
      </c>
      <c r="J370" t="s">
        <v>69</v>
      </c>
      <c r="K370" t="s">
        <v>69</v>
      </c>
      <c r="L370" t="s">
        <v>69</v>
      </c>
      <c r="M370" t="s">
        <v>27378</v>
      </c>
      <c r="N370" t="s">
        <v>69</v>
      </c>
      <c r="O370" t="s">
        <v>69</v>
      </c>
      <c r="P370" t="s">
        <v>27379</v>
      </c>
      <c r="Q370" t="s">
        <v>5993</v>
      </c>
      <c r="R370" t="s">
        <v>69</v>
      </c>
      <c r="S370" t="s">
        <v>69</v>
      </c>
      <c r="T370" t="s">
        <v>8505</v>
      </c>
      <c r="U370" t="s">
        <v>8506</v>
      </c>
      <c r="V370" t="s">
        <v>69</v>
      </c>
      <c r="W370" t="s">
        <v>69</v>
      </c>
      <c r="X370" t="s">
        <v>69</v>
      </c>
      <c r="Y370" t="s">
        <v>69</v>
      </c>
      <c r="Z370" t="s">
        <v>69</v>
      </c>
      <c r="AA370" t="s">
        <v>27380</v>
      </c>
      <c r="AB370" t="s">
        <v>27381</v>
      </c>
      <c r="AC370" t="s">
        <v>27382</v>
      </c>
      <c r="AD370" t="s">
        <v>27383</v>
      </c>
      <c r="AE370" t="s">
        <v>69</v>
      </c>
      <c r="AF370" t="s">
        <v>27384</v>
      </c>
      <c r="AG370" t="s">
        <v>27385</v>
      </c>
      <c r="AH370" t="s">
        <v>69</v>
      </c>
      <c r="AI370" t="s">
        <v>27386</v>
      </c>
      <c r="AJ370" t="s">
        <v>69</v>
      </c>
      <c r="AK370" t="s">
        <v>69</v>
      </c>
      <c r="AL370" t="s">
        <v>69</v>
      </c>
      <c r="AM370" t="s">
        <v>69</v>
      </c>
      <c r="AN370">
        <v>46</v>
      </c>
      <c r="AO370">
        <v>9</v>
      </c>
      <c r="AP370">
        <v>9</v>
      </c>
      <c r="AQ370">
        <v>0</v>
      </c>
      <c r="AR370">
        <v>0</v>
      </c>
      <c r="AS370" t="s">
        <v>8865</v>
      </c>
      <c r="AT370" t="s">
        <v>8612</v>
      </c>
      <c r="AU370" t="s">
        <v>8866</v>
      </c>
      <c r="AV370" t="s">
        <v>5996</v>
      </c>
      <c r="AW370" t="s">
        <v>5997</v>
      </c>
      <c r="AX370" t="s">
        <v>69</v>
      </c>
      <c r="AY370" t="s">
        <v>23208</v>
      </c>
      <c r="AZ370" t="s">
        <v>23209</v>
      </c>
      <c r="BA370" t="s">
        <v>69</v>
      </c>
      <c r="BB370">
        <v>2011</v>
      </c>
      <c r="BC370">
        <v>3</v>
      </c>
      <c r="BD370">
        <v>2</v>
      </c>
      <c r="BE370" t="s">
        <v>69</v>
      </c>
      <c r="BF370" t="s">
        <v>69</v>
      </c>
      <c r="BG370" t="s">
        <v>69</v>
      </c>
      <c r="BH370" t="s">
        <v>69</v>
      </c>
      <c r="BI370">
        <v>141</v>
      </c>
      <c r="BJ370">
        <v>155</v>
      </c>
      <c r="BK370" t="s">
        <v>69</v>
      </c>
      <c r="BL370" t="s">
        <v>27387</v>
      </c>
      <c r="BM370" t="str">
        <f>HYPERLINK("http://dx.doi.org/10.1080/19463138.2011.620959","http://dx.doi.org/10.1080/19463138.2011.620959")</f>
        <v>http://dx.doi.org/10.1080/19463138.2011.620959</v>
      </c>
      <c r="BN370" t="s">
        <v>69</v>
      </c>
      <c r="BO370" t="s">
        <v>69</v>
      </c>
      <c r="BP370">
        <v>15</v>
      </c>
      <c r="BQ370" t="s">
        <v>8660</v>
      </c>
      <c r="BR370" t="s">
        <v>8573</v>
      </c>
      <c r="BS370" t="s">
        <v>8662</v>
      </c>
      <c r="BT370" t="s">
        <v>27388</v>
      </c>
      <c r="BU370" t="s">
        <v>27389</v>
      </c>
      <c r="BV370" t="s">
        <v>69</v>
      </c>
      <c r="BW370" t="s">
        <v>9374</v>
      </c>
      <c r="BX370" t="s">
        <v>69</v>
      </c>
      <c r="BY370" t="s">
        <v>69</v>
      </c>
      <c r="BZ370" t="s">
        <v>8526</v>
      </c>
      <c r="CA370" t="str">
        <f>HYPERLINK("https%3A%2F%2Fwww.webofscience.com%2Fwos%2Fwoscc%2Ffull-record%2FWOS:000436560100002","View Full Record in Web of Science")</f>
        <v>View Full Record in Web of Science</v>
      </c>
    </row>
    <row r="371" spans="2:79" ht="12.5" x14ac:dyDescent="0.25">
      <c r="B371" t="s">
        <v>8495</v>
      </c>
      <c r="D371" s="7" t="s">
        <v>32933</v>
      </c>
      <c r="E371" s="7"/>
      <c r="F371" s="7"/>
      <c r="G371" s="7"/>
      <c r="H371" t="s">
        <v>67</v>
      </c>
      <c r="I371" t="s">
        <v>1956</v>
      </c>
      <c r="J371" t="s">
        <v>69</v>
      </c>
      <c r="K371" t="s">
        <v>69</v>
      </c>
      <c r="L371" t="s">
        <v>69</v>
      </c>
      <c r="M371" t="s">
        <v>1957</v>
      </c>
      <c r="N371" t="s">
        <v>69</v>
      </c>
      <c r="O371" t="s">
        <v>69</v>
      </c>
      <c r="P371" t="s">
        <v>1958</v>
      </c>
      <c r="Q371" t="s">
        <v>1959</v>
      </c>
      <c r="R371" t="s">
        <v>69</v>
      </c>
      <c r="S371" t="s">
        <v>69</v>
      </c>
      <c r="T371" t="s">
        <v>8505</v>
      </c>
      <c r="U371" t="s">
        <v>8506</v>
      </c>
      <c r="V371" t="s">
        <v>69</v>
      </c>
      <c r="W371" t="s">
        <v>69</v>
      </c>
      <c r="X371" t="s">
        <v>69</v>
      </c>
      <c r="Y371" t="s">
        <v>69</v>
      </c>
      <c r="Z371" t="s">
        <v>69</v>
      </c>
      <c r="AA371" t="s">
        <v>15063</v>
      </c>
      <c r="AB371" t="s">
        <v>15064</v>
      </c>
      <c r="AC371" t="s">
        <v>1960</v>
      </c>
      <c r="AD371" t="s">
        <v>15065</v>
      </c>
      <c r="AE371" t="s">
        <v>69</v>
      </c>
      <c r="AF371" t="s">
        <v>15066</v>
      </c>
      <c r="AG371" t="s">
        <v>15067</v>
      </c>
      <c r="AH371" t="s">
        <v>1961</v>
      </c>
      <c r="AI371" t="s">
        <v>15068</v>
      </c>
      <c r="AJ371" t="s">
        <v>69</v>
      </c>
      <c r="AK371" t="s">
        <v>69</v>
      </c>
      <c r="AL371" t="s">
        <v>69</v>
      </c>
      <c r="AM371" t="s">
        <v>69</v>
      </c>
      <c r="AN371">
        <v>26</v>
      </c>
      <c r="AO371">
        <v>0</v>
      </c>
      <c r="AP371">
        <v>0</v>
      </c>
      <c r="AQ371">
        <v>1</v>
      </c>
      <c r="AR371">
        <v>1</v>
      </c>
      <c r="AS371" t="s">
        <v>8636</v>
      </c>
      <c r="AT371" t="s">
        <v>8637</v>
      </c>
      <c r="AU371" t="s">
        <v>8638</v>
      </c>
      <c r="AV371" t="s">
        <v>69</v>
      </c>
      <c r="AW371" t="s">
        <v>1962</v>
      </c>
      <c r="AX371" t="s">
        <v>69</v>
      </c>
      <c r="AY371" t="s">
        <v>1959</v>
      </c>
      <c r="AZ371" t="s">
        <v>13417</v>
      </c>
      <c r="BA371" t="s">
        <v>155</v>
      </c>
      <c r="BB371">
        <v>2020</v>
      </c>
      <c r="BC371">
        <v>6</v>
      </c>
      <c r="BD371">
        <v>6</v>
      </c>
      <c r="BE371" t="s">
        <v>69</v>
      </c>
      <c r="BF371" t="s">
        <v>69</v>
      </c>
      <c r="BG371" t="s">
        <v>69</v>
      </c>
      <c r="BH371" t="s">
        <v>69</v>
      </c>
      <c r="BI371" t="s">
        <v>69</v>
      </c>
      <c r="BJ371" t="s">
        <v>69</v>
      </c>
      <c r="BK371" t="s">
        <v>1963</v>
      </c>
      <c r="BL371" t="s">
        <v>1964</v>
      </c>
      <c r="BM371" t="str">
        <f>HYPERLINK("http://dx.doi.org/10.1016/j.heliyon.2020.e04200","http://dx.doi.org/10.1016/j.heliyon.2020.e04200")</f>
        <v>http://dx.doi.org/10.1016/j.heliyon.2020.e04200</v>
      </c>
      <c r="BN371" t="s">
        <v>69</v>
      </c>
      <c r="BO371" t="s">
        <v>69</v>
      </c>
      <c r="BP371">
        <v>8</v>
      </c>
      <c r="BQ371" t="s">
        <v>8619</v>
      </c>
      <c r="BR371" t="s">
        <v>8548</v>
      </c>
      <c r="BS371" t="s">
        <v>8620</v>
      </c>
      <c r="BT371" t="s">
        <v>15069</v>
      </c>
      <c r="BU371" t="s">
        <v>1965</v>
      </c>
      <c r="BV371">
        <v>32613105</v>
      </c>
      <c r="BW371" t="s">
        <v>9352</v>
      </c>
      <c r="BX371" t="s">
        <v>69</v>
      </c>
      <c r="BY371" t="s">
        <v>69</v>
      </c>
      <c r="BZ371" t="s">
        <v>8526</v>
      </c>
      <c r="CA371" t="str">
        <f>HYPERLINK("https%3A%2F%2Fwww.webofscience.com%2Fwos%2Fwoscc%2Ffull-record%2FWOS:000545793800017","View Full Record in Web of Science")</f>
        <v>View Full Record in Web of Science</v>
      </c>
    </row>
    <row r="372" spans="2:79" ht="12.5" x14ac:dyDescent="0.25">
      <c r="B372" t="s">
        <v>8495</v>
      </c>
      <c r="D372" s="22" t="s">
        <v>32931</v>
      </c>
      <c r="E372" s="7"/>
      <c r="F372" s="7"/>
      <c r="G372" s="7"/>
      <c r="H372" t="s">
        <v>67</v>
      </c>
      <c r="I372" t="s">
        <v>13747</v>
      </c>
      <c r="J372" t="s">
        <v>69</v>
      </c>
      <c r="K372" t="s">
        <v>69</v>
      </c>
      <c r="L372" t="s">
        <v>69</v>
      </c>
      <c r="M372" t="s">
        <v>13748</v>
      </c>
      <c r="N372" t="s">
        <v>69</v>
      </c>
      <c r="O372" t="s">
        <v>69</v>
      </c>
      <c r="P372" t="s">
        <v>13749</v>
      </c>
      <c r="Q372" t="s">
        <v>13608</v>
      </c>
      <c r="R372" t="s">
        <v>69</v>
      </c>
      <c r="S372" t="s">
        <v>69</v>
      </c>
      <c r="T372" t="s">
        <v>8505</v>
      </c>
      <c r="U372" t="s">
        <v>8506</v>
      </c>
      <c r="V372" t="s">
        <v>69</v>
      </c>
      <c r="W372" t="s">
        <v>69</v>
      </c>
      <c r="X372" t="s">
        <v>69</v>
      </c>
      <c r="Y372" t="s">
        <v>69</v>
      </c>
      <c r="Z372" t="s">
        <v>69</v>
      </c>
      <c r="AA372" t="s">
        <v>13750</v>
      </c>
      <c r="AB372" t="s">
        <v>69</v>
      </c>
      <c r="AC372" t="s">
        <v>13751</v>
      </c>
      <c r="AD372" t="s">
        <v>13752</v>
      </c>
      <c r="AE372" t="s">
        <v>69</v>
      </c>
      <c r="AF372" t="s">
        <v>13753</v>
      </c>
      <c r="AG372" t="s">
        <v>13754</v>
      </c>
      <c r="AH372" t="s">
        <v>13755</v>
      </c>
      <c r="AI372" t="s">
        <v>13756</v>
      </c>
      <c r="AJ372" t="s">
        <v>69</v>
      </c>
      <c r="AK372" t="s">
        <v>69</v>
      </c>
      <c r="AL372" t="s">
        <v>69</v>
      </c>
      <c r="AM372" t="s">
        <v>69</v>
      </c>
      <c r="AN372">
        <v>16</v>
      </c>
      <c r="AO372">
        <v>1</v>
      </c>
      <c r="AP372">
        <v>1</v>
      </c>
      <c r="AQ372">
        <v>2</v>
      </c>
      <c r="AR372">
        <v>4</v>
      </c>
      <c r="AS372" t="s">
        <v>13617</v>
      </c>
      <c r="AT372" t="s">
        <v>13618</v>
      </c>
      <c r="AU372" t="s">
        <v>13619</v>
      </c>
      <c r="AV372" t="s">
        <v>13620</v>
      </c>
      <c r="AW372" t="s">
        <v>13621</v>
      </c>
      <c r="AX372" t="s">
        <v>69</v>
      </c>
      <c r="AY372" t="s">
        <v>13622</v>
      </c>
      <c r="AZ372" t="s">
        <v>13623</v>
      </c>
      <c r="BA372" t="s">
        <v>69</v>
      </c>
      <c r="BB372">
        <v>2021</v>
      </c>
      <c r="BC372">
        <v>1</v>
      </c>
      <c r="BD372">
        <v>36</v>
      </c>
      <c r="BE372" t="s">
        <v>69</v>
      </c>
      <c r="BF372" t="s">
        <v>69</v>
      </c>
      <c r="BG372" t="s">
        <v>69</v>
      </c>
      <c r="BH372" t="s">
        <v>69</v>
      </c>
      <c r="BI372">
        <v>341</v>
      </c>
      <c r="BJ372">
        <v>350</v>
      </c>
      <c r="BK372" t="s">
        <v>69</v>
      </c>
      <c r="BL372" t="s">
        <v>69</v>
      </c>
      <c r="BM372" t="s">
        <v>69</v>
      </c>
      <c r="BN372" t="s">
        <v>69</v>
      </c>
      <c r="BO372" t="s">
        <v>69</v>
      </c>
      <c r="BP372">
        <v>10</v>
      </c>
      <c r="BQ372" t="s">
        <v>9749</v>
      </c>
      <c r="BR372" t="s">
        <v>8573</v>
      </c>
      <c r="BS372" t="s">
        <v>8594</v>
      </c>
      <c r="BT372" t="s">
        <v>13757</v>
      </c>
      <c r="BU372" t="s">
        <v>13758</v>
      </c>
      <c r="BV372" t="s">
        <v>69</v>
      </c>
      <c r="BW372" t="s">
        <v>69</v>
      </c>
      <c r="BX372" t="s">
        <v>69</v>
      </c>
      <c r="BY372" t="s">
        <v>69</v>
      </c>
      <c r="BZ372" t="s">
        <v>8526</v>
      </c>
      <c r="CA372" t="str">
        <f>HYPERLINK("https%3A%2F%2Fwww.webofscience.com%2Fwos%2Fwoscc%2Ffull-record%2FWOS:000645131200035","View Full Record in Web of Science")</f>
        <v>View Full Record in Web of Science</v>
      </c>
    </row>
    <row r="373" spans="2:79" s="3" customFormat="1" ht="12.5" x14ac:dyDescent="0.25">
      <c r="B373" t="s">
        <v>8495</v>
      </c>
      <c r="C373"/>
      <c r="D373" s="7" t="s">
        <v>32933</v>
      </c>
      <c r="E373" s="7"/>
      <c r="F373" s="7"/>
      <c r="G373" s="7"/>
      <c r="H373" t="s">
        <v>67</v>
      </c>
      <c r="I373" t="s">
        <v>6820</v>
      </c>
      <c r="J373" t="s">
        <v>69</v>
      </c>
      <c r="K373" t="s">
        <v>69</v>
      </c>
      <c r="L373" t="s">
        <v>69</v>
      </c>
      <c r="M373" t="s">
        <v>6821</v>
      </c>
      <c r="N373" t="s">
        <v>69</v>
      </c>
      <c r="O373" t="s">
        <v>69</v>
      </c>
      <c r="P373" t="s">
        <v>6822</v>
      </c>
      <c r="Q373" t="s">
        <v>2062</v>
      </c>
      <c r="R373" t="s">
        <v>69</v>
      </c>
      <c r="S373" t="s">
        <v>69</v>
      </c>
      <c r="T373" t="s">
        <v>9357</v>
      </c>
      <c r="U373" t="s">
        <v>8506</v>
      </c>
      <c r="V373" t="s">
        <v>69</v>
      </c>
      <c r="W373" t="s">
        <v>69</v>
      </c>
      <c r="X373" t="s">
        <v>69</v>
      </c>
      <c r="Y373" t="s">
        <v>69</v>
      </c>
      <c r="Z373" t="s">
        <v>69</v>
      </c>
      <c r="AA373" t="s">
        <v>16117</v>
      </c>
      <c r="AB373" t="s">
        <v>16118</v>
      </c>
      <c r="AC373" t="s">
        <v>6823</v>
      </c>
      <c r="AD373" t="s">
        <v>16119</v>
      </c>
      <c r="AE373" t="s">
        <v>69</v>
      </c>
      <c r="AF373" t="s">
        <v>16120</v>
      </c>
      <c r="AG373" t="s">
        <v>16121</v>
      </c>
      <c r="AH373" t="s">
        <v>16122</v>
      </c>
      <c r="AI373" t="s">
        <v>16123</v>
      </c>
      <c r="AJ373" t="s">
        <v>69</v>
      </c>
      <c r="AK373" t="s">
        <v>69</v>
      </c>
      <c r="AL373" t="s">
        <v>69</v>
      </c>
      <c r="AM373" t="s">
        <v>69</v>
      </c>
      <c r="AN373">
        <v>40</v>
      </c>
      <c r="AO373">
        <v>1</v>
      </c>
      <c r="AP373">
        <v>1</v>
      </c>
      <c r="AQ373">
        <v>6</v>
      </c>
      <c r="AR373">
        <v>20</v>
      </c>
      <c r="AS373" t="s">
        <v>16112</v>
      </c>
      <c r="AT373" t="s">
        <v>16113</v>
      </c>
      <c r="AU373" t="s">
        <v>16114</v>
      </c>
      <c r="AV373" t="s">
        <v>2064</v>
      </c>
      <c r="AW373" t="s">
        <v>69</v>
      </c>
      <c r="AX373" t="s">
        <v>69</v>
      </c>
      <c r="AY373" t="s">
        <v>16115</v>
      </c>
      <c r="AZ373" t="s">
        <v>16115</v>
      </c>
      <c r="BA373" t="s">
        <v>69</v>
      </c>
      <c r="BB373">
        <v>2020</v>
      </c>
      <c r="BC373">
        <v>11</v>
      </c>
      <c r="BD373">
        <v>3</v>
      </c>
      <c r="BE373" t="s">
        <v>69</v>
      </c>
      <c r="BF373" t="s">
        <v>69</v>
      </c>
      <c r="BG373" t="s">
        <v>69</v>
      </c>
      <c r="BH373" t="s">
        <v>69</v>
      </c>
      <c r="BI373">
        <v>33</v>
      </c>
      <c r="BJ373">
        <v>45</v>
      </c>
      <c r="BK373" t="s">
        <v>69</v>
      </c>
      <c r="BL373" t="s">
        <v>6824</v>
      </c>
      <c r="BM373" t="str">
        <f>HYPERLINK("http://dx.doi.org/10.29141/2218-5003-2020-11-3-3","http://dx.doi.org/10.29141/2218-5003-2020-11-3-3")</f>
        <v>http://dx.doi.org/10.29141/2218-5003-2020-11-3-3</v>
      </c>
      <c r="BN373" t="s">
        <v>69</v>
      </c>
      <c r="BO373" t="s">
        <v>69</v>
      </c>
      <c r="BP373">
        <v>13</v>
      </c>
      <c r="BQ373" t="s">
        <v>9410</v>
      </c>
      <c r="BR373" t="s">
        <v>8573</v>
      </c>
      <c r="BS373" t="s">
        <v>8594</v>
      </c>
      <c r="BT373" t="s">
        <v>16116</v>
      </c>
      <c r="BU373" t="s">
        <v>6825</v>
      </c>
      <c r="BV373" t="s">
        <v>69</v>
      </c>
      <c r="BW373" t="s">
        <v>12220</v>
      </c>
      <c r="BX373" t="s">
        <v>69</v>
      </c>
      <c r="BY373" t="s">
        <v>69</v>
      </c>
      <c r="BZ373" t="s">
        <v>8526</v>
      </c>
      <c r="CA373" t="str">
        <f>HYPERLINK("https%3A%2F%2Fwww.webofscience.com%2Fwos%2Fwoscc%2Ffull-record%2FWOS:000546559400003","View Full Record in Web of Science")</f>
        <v>View Full Record in Web of Science</v>
      </c>
    </row>
    <row r="374" spans="2:79" x14ac:dyDescent="0.3">
      <c r="B374" t="s">
        <v>8495</v>
      </c>
      <c r="D374" s="9" t="s">
        <v>33226</v>
      </c>
      <c r="F374" s="10" t="s">
        <v>8490</v>
      </c>
      <c r="G374" s="9" t="s">
        <v>33123</v>
      </c>
      <c r="H374" t="s">
        <v>67</v>
      </c>
      <c r="I374" t="s">
        <v>15562</v>
      </c>
      <c r="J374" t="s">
        <v>69</v>
      </c>
      <c r="K374" t="s">
        <v>69</v>
      </c>
      <c r="L374" t="s">
        <v>69</v>
      </c>
      <c r="M374" t="s">
        <v>15563</v>
      </c>
      <c r="N374" t="s">
        <v>69</v>
      </c>
      <c r="O374" t="s">
        <v>69</v>
      </c>
      <c r="P374" t="s">
        <v>8477</v>
      </c>
      <c r="Q374" t="s">
        <v>426</v>
      </c>
      <c r="R374" t="s">
        <v>69</v>
      </c>
      <c r="S374" t="s">
        <v>69</v>
      </c>
      <c r="T374" t="s">
        <v>8505</v>
      </c>
      <c r="U374" t="s">
        <v>8506</v>
      </c>
      <c r="V374" t="s">
        <v>69</v>
      </c>
      <c r="W374" t="s">
        <v>69</v>
      </c>
      <c r="X374" t="s">
        <v>69</v>
      </c>
      <c r="Y374" t="s">
        <v>69</v>
      </c>
      <c r="Z374" t="s">
        <v>69</v>
      </c>
      <c r="AA374" t="s">
        <v>15564</v>
      </c>
      <c r="AB374" t="s">
        <v>15565</v>
      </c>
      <c r="AC374" t="s">
        <v>15566</v>
      </c>
      <c r="AD374" t="s">
        <v>15567</v>
      </c>
      <c r="AE374" t="s">
        <v>69</v>
      </c>
      <c r="AF374" t="s">
        <v>15568</v>
      </c>
      <c r="AG374" t="s">
        <v>15569</v>
      </c>
      <c r="AH374" t="s">
        <v>69</v>
      </c>
      <c r="AI374" t="s">
        <v>15570</v>
      </c>
      <c r="AJ374" t="s">
        <v>15571</v>
      </c>
      <c r="AK374" t="s">
        <v>15571</v>
      </c>
      <c r="AL374" t="s">
        <v>15572</v>
      </c>
      <c r="AM374" t="s">
        <v>69</v>
      </c>
      <c r="AN374">
        <v>68</v>
      </c>
      <c r="AO374">
        <v>5</v>
      </c>
      <c r="AP374">
        <v>5</v>
      </c>
      <c r="AQ374">
        <v>1</v>
      </c>
      <c r="AR374">
        <v>8</v>
      </c>
      <c r="AS374" t="s">
        <v>8762</v>
      </c>
      <c r="AT374" t="s">
        <v>8763</v>
      </c>
      <c r="AU374" t="s">
        <v>8764</v>
      </c>
      <c r="AV374" t="s">
        <v>429</v>
      </c>
      <c r="AW374" t="s">
        <v>430</v>
      </c>
      <c r="AX374" t="s">
        <v>69</v>
      </c>
      <c r="AY374" t="s">
        <v>15573</v>
      </c>
      <c r="AZ374" t="s">
        <v>15574</v>
      </c>
      <c r="BA374" t="s">
        <v>255</v>
      </c>
      <c r="BB374">
        <v>2020</v>
      </c>
      <c r="BC374">
        <v>38</v>
      </c>
      <c r="BD374">
        <v>6</v>
      </c>
      <c r="BE374" t="s">
        <v>69</v>
      </c>
      <c r="BF374" t="s">
        <v>69</v>
      </c>
      <c r="BG374" t="s">
        <v>69</v>
      </c>
      <c r="BH374" t="s">
        <v>69</v>
      </c>
      <c r="BI374">
        <v>961</v>
      </c>
      <c r="BJ374">
        <v>979</v>
      </c>
      <c r="BK374">
        <v>2399654420911947</v>
      </c>
      <c r="BL374" t="s">
        <v>15575</v>
      </c>
      <c r="BM374" t="str">
        <f>HYPERLINK("http://dx.doi.org/10.1177/2399654420911947","http://dx.doi.org/10.1177/2399654420911947")</f>
        <v>http://dx.doi.org/10.1177/2399654420911947</v>
      </c>
      <c r="BN374" t="s">
        <v>69</v>
      </c>
      <c r="BO374" t="s">
        <v>4822</v>
      </c>
      <c r="BP374">
        <v>19</v>
      </c>
      <c r="BQ374" t="s">
        <v>15576</v>
      </c>
      <c r="BR374" t="s">
        <v>8661</v>
      </c>
      <c r="BS374" t="s">
        <v>15577</v>
      </c>
      <c r="BT374" t="s">
        <v>15578</v>
      </c>
      <c r="BU374" t="s">
        <v>15579</v>
      </c>
      <c r="BV374" t="s">
        <v>69</v>
      </c>
      <c r="BW374" t="s">
        <v>69</v>
      </c>
      <c r="BX374" t="s">
        <v>69</v>
      </c>
      <c r="BY374" t="s">
        <v>69</v>
      </c>
      <c r="BZ374" t="s">
        <v>8526</v>
      </c>
      <c r="CA374" t="str">
        <f>HYPERLINK("https%3A%2F%2Fwww.webofscience.com%2Fwos%2Fwoscc%2Ffull-record%2FWOS:000523876300001","View Full Record in Web of Science")</f>
        <v>View Full Record in Web of Science</v>
      </c>
    </row>
    <row r="375" spans="2:79" x14ac:dyDescent="0.3">
      <c r="B375" t="s">
        <v>8495</v>
      </c>
      <c r="D375" s="12" t="s">
        <v>32966</v>
      </c>
      <c r="H375" t="s">
        <v>67</v>
      </c>
      <c r="I375" t="s">
        <v>5280</v>
      </c>
      <c r="J375" t="s">
        <v>69</v>
      </c>
      <c r="K375" t="s">
        <v>69</v>
      </c>
      <c r="L375" t="s">
        <v>69</v>
      </c>
      <c r="M375" s="3" t="s">
        <v>5281</v>
      </c>
      <c r="N375" t="s">
        <v>69</v>
      </c>
      <c r="O375" t="s">
        <v>69</v>
      </c>
      <c r="P375" s="2" t="s">
        <v>5282</v>
      </c>
      <c r="Q375" t="s">
        <v>5283</v>
      </c>
      <c r="R375" t="s">
        <v>69</v>
      </c>
      <c r="S375" t="s">
        <v>69</v>
      </c>
      <c r="T375" t="s">
        <v>8505</v>
      </c>
      <c r="U375" t="s">
        <v>8506</v>
      </c>
      <c r="V375" t="s">
        <v>69</v>
      </c>
      <c r="W375" t="s">
        <v>69</v>
      </c>
      <c r="X375" t="s">
        <v>69</v>
      </c>
      <c r="Y375" t="s">
        <v>69</v>
      </c>
      <c r="Z375" t="s">
        <v>69</v>
      </c>
      <c r="AA375" t="s">
        <v>19311</v>
      </c>
      <c r="AB375" t="s">
        <v>69</v>
      </c>
      <c r="AC375" t="s">
        <v>5284</v>
      </c>
      <c r="AD375" t="s">
        <v>19312</v>
      </c>
      <c r="AE375" t="s">
        <v>69</v>
      </c>
      <c r="AF375" t="s">
        <v>19313</v>
      </c>
      <c r="AG375" t="s">
        <v>19314</v>
      </c>
      <c r="AH375" t="s">
        <v>5285</v>
      </c>
      <c r="AI375" t="s">
        <v>69</v>
      </c>
      <c r="AJ375" t="s">
        <v>69</v>
      </c>
      <c r="AK375" t="s">
        <v>69</v>
      </c>
      <c r="AL375" t="s">
        <v>69</v>
      </c>
      <c r="AM375" t="s">
        <v>69</v>
      </c>
      <c r="AN375">
        <v>15</v>
      </c>
      <c r="AO375">
        <v>0</v>
      </c>
      <c r="AP375">
        <v>0</v>
      </c>
      <c r="AQ375">
        <v>1</v>
      </c>
      <c r="AR375">
        <v>4</v>
      </c>
      <c r="AS375" t="s">
        <v>19315</v>
      </c>
      <c r="AT375" t="s">
        <v>19316</v>
      </c>
      <c r="AU375" t="s">
        <v>19317</v>
      </c>
      <c r="AV375" t="s">
        <v>5286</v>
      </c>
      <c r="AW375" t="s">
        <v>69</v>
      </c>
      <c r="AX375" t="s">
        <v>69</v>
      </c>
      <c r="AY375" t="s">
        <v>19318</v>
      </c>
      <c r="AZ375" t="s">
        <v>19319</v>
      </c>
      <c r="BA375" t="s">
        <v>69</v>
      </c>
      <c r="BB375">
        <v>2018</v>
      </c>
      <c r="BC375">
        <v>8</v>
      </c>
      <c r="BD375">
        <v>1</v>
      </c>
      <c r="BE375" t="s">
        <v>69</v>
      </c>
      <c r="BF375" t="s">
        <v>69</v>
      </c>
      <c r="BG375">
        <v>3</v>
      </c>
      <c r="BH375" t="s">
        <v>69</v>
      </c>
      <c r="BI375">
        <v>249</v>
      </c>
      <c r="BJ375">
        <v>251</v>
      </c>
      <c r="BK375" t="s">
        <v>69</v>
      </c>
      <c r="BL375" t="s">
        <v>69</v>
      </c>
      <c r="BM375" t="s">
        <v>69</v>
      </c>
      <c r="BN375" t="s">
        <v>69</v>
      </c>
      <c r="BO375" t="s">
        <v>69</v>
      </c>
      <c r="BP375">
        <v>3</v>
      </c>
      <c r="BQ375" t="s">
        <v>8619</v>
      </c>
      <c r="BR375" t="s">
        <v>8573</v>
      </c>
      <c r="BS375" t="s">
        <v>8620</v>
      </c>
      <c r="BT375" t="s">
        <v>19320</v>
      </c>
      <c r="BU375" t="s">
        <v>5287</v>
      </c>
      <c r="BV375" t="s">
        <v>69</v>
      </c>
      <c r="BW375" t="s">
        <v>69</v>
      </c>
      <c r="BX375" t="s">
        <v>69</v>
      </c>
      <c r="BY375" t="s">
        <v>69</v>
      </c>
      <c r="BZ375" t="s">
        <v>8526</v>
      </c>
      <c r="CA375" t="str">
        <f>HYPERLINK("https%3A%2F%2Fwww.webofscience.com%2Fwos%2Fwoscc%2Ffull-record%2FWOS:000452964200068","View Full Record in Web of Science")</f>
        <v>View Full Record in Web of Science</v>
      </c>
    </row>
    <row r="376" spans="2:79" ht="12.5" x14ac:dyDescent="0.25">
      <c r="B376" t="s">
        <v>8495</v>
      </c>
      <c r="D376" s="7" t="s">
        <v>32933</v>
      </c>
      <c r="E376" s="7"/>
      <c r="F376" s="7"/>
      <c r="G376" s="7"/>
      <c r="H376" t="s">
        <v>67</v>
      </c>
      <c r="I376" t="s">
        <v>5066</v>
      </c>
      <c r="J376" t="s">
        <v>69</v>
      </c>
      <c r="K376" t="s">
        <v>69</v>
      </c>
      <c r="L376" t="s">
        <v>69</v>
      </c>
      <c r="M376" t="s">
        <v>5067</v>
      </c>
      <c r="N376" t="s">
        <v>69</v>
      </c>
      <c r="O376" t="s">
        <v>69</v>
      </c>
      <c r="P376" t="s">
        <v>5068</v>
      </c>
      <c r="Q376" t="s">
        <v>5069</v>
      </c>
      <c r="R376" t="s">
        <v>69</v>
      </c>
      <c r="S376" t="s">
        <v>69</v>
      </c>
      <c r="T376" t="s">
        <v>8505</v>
      </c>
      <c r="U376" t="s">
        <v>8506</v>
      </c>
      <c r="V376" t="s">
        <v>69</v>
      </c>
      <c r="W376" t="s">
        <v>69</v>
      </c>
      <c r="X376" t="s">
        <v>69</v>
      </c>
      <c r="Y376" t="s">
        <v>69</v>
      </c>
      <c r="Z376" t="s">
        <v>69</v>
      </c>
      <c r="AA376" t="s">
        <v>69</v>
      </c>
      <c r="AB376" t="s">
        <v>22406</v>
      </c>
      <c r="AC376" t="s">
        <v>5070</v>
      </c>
      <c r="AD376" t="s">
        <v>22407</v>
      </c>
      <c r="AE376" t="s">
        <v>69</v>
      </c>
      <c r="AF376" t="s">
        <v>22408</v>
      </c>
      <c r="AG376" t="s">
        <v>69</v>
      </c>
      <c r="AH376" t="s">
        <v>69</v>
      </c>
      <c r="AI376" t="s">
        <v>69</v>
      </c>
      <c r="AJ376" t="s">
        <v>69</v>
      </c>
      <c r="AK376" t="s">
        <v>69</v>
      </c>
      <c r="AL376" t="s">
        <v>69</v>
      </c>
      <c r="AM376" t="s">
        <v>69</v>
      </c>
      <c r="AN376">
        <v>312</v>
      </c>
      <c r="AO376">
        <v>4</v>
      </c>
      <c r="AP376">
        <v>4</v>
      </c>
      <c r="AQ376">
        <v>0</v>
      </c>
      <c r="AR376">
        <v>4</v>
      </c>
      <c r="AS376" t="s">
        <v>9978</v>
      </c>
      <c r="AT376" t="s">
        <v>8693</v>
      </c>
      <c r="AU376" t="s">
        <v>17938</v>
      </c>
      <c r="AV376" t="s">
        <v>5071</v>
      </c>
      <c r="AW376" t="s">
        <v>5072</v>
      </c>
      <c r="AX376" t="s">
        <v>69</v>
      </c>
      <c r="AY376" t="s">
        <v>22409</v>
      </c>
      <c r="AZ376" t="s">
        <v>22410</v>
      </c>
      <c r="BA376" t="s">
        <v>381</v>
      </c>
      <c r="BB376">
        <v>2015</v>
      </c>
      <c r="BC376">
        <v>29</v>
      </c>
      <c r="BD376">
        <v>2</v>
      </c>
      <c r="BE376" t="s">
        <v>69</v>
      </c>
      <c r="BF376" t="s">
        <v>69</v>
      </c>
      <c r="BG376" t="s">
        <v>69</v>
      </c>
      <c r="BH376" t="s">
        <v>69</v>
      </c>
      <c r="BI376">
        <v>185</v>
      </c>
      <c r="BJ376">
        <v>212</v>
      </c>
      <c r="BK376" t="s">
        <v>69</v>
      </c>
      <c r="BL376" t="s">
        <v>5073</v>
      </c>
      <c r="BM376" t="str">
        <f>HYPERLINK("http://dx.doi.org/10.1017/S0898588X15000061","http://dx.doi.org/10.1017/S0898588X15000061")</f>
        <v>http://dx.doi.org/10.1017/S0898588X15000061</v>
      </c>
      <c r="BN376" t="s">
        <v>69</v>
      </c>
      <c r="BO376" t="s">
        <v>69</v>
      </c>
      <c r="BP376">
        <v>28</v>
      </c>
      <c r="BQ376" t="s">
        <v>13241</v>
      </c>
      <c r="BR376" t="s">
        <v>12201</v>
      </c>
      <c r="BS376" t="s">
        <v>10084</v>
      </c>
      <c r="BT376" t="s">
        <v>22411</v>
      </c>
      <c r="BU376" t="s">
        <v>5074</v>
      </c>
      <c r="BV376" t="s">
        <v>69</v>
      </c>
      <c r="BW376" t="s">
        <v>69</v>
      </c>
      <c r="BX376" t="s">
        <v>69</v>
      </c>
      <c r="BY376" t="s">
        <v>69</v>
      </c>
      <c r="BZ376" t="s">
        <v>8526</v>
      </c>
      <c r="CA376" t="str">
        <f>HYPERLINK("https%3A%2F%2Fwww.webofscience.com%2Fwos%2Fwoscc%2Ffull-record%2FWOS:000365167100003","View Full Record in Web of Science")</f>
        <v>View Full Record in Web of Science</v>
      </c>
    </row>
    <row r="377" spans="2:79" ht="12.5" x14ac:dyDescent="0.25">
      <c r="B377" t="s">
        <v>8495</v>
      </c>
      <c r="D377" s="7" t="s">
        <v>32933</v>
      </c>
      <c r="E377" s="7"/>
      <c r="F377" s="7"/>
      <c r="G377" s="7"/>
      <c r="H377" t="s">
        <v>67</v>
      </c>
      <c r="I377" t="s">
        <v>3318</v>
      </c>
      <c r="J377" t="s">
        <v>69</v>
      </c>
      <c r="K377" t="s">
        <v>69</v>
      </c>
      <c r="L377" t="s">
        <v>69</v>
      </c>
      <c r="M377" t="s">
        <v>3319</v>
      </c>
      <c r="N377" t="s">
        <v>69</v>
      </c>
      <c r="O377" t="s">
        <v>69</v>
      </c>
      <c r="P377" t="s">
        <v>3320</v>
      </c>
      <c r="Q377" t="s">
        <v>3321</v>
      </c>
      <c r="R377" t="s">
        <v>69</v>
      </c>
      <c r="S377" t="s">
        <v>69</v>
      </c>
      <c r="T377" t="s">
        <v>8505</v>
      </c>
      <c r="U377" t="s">
        <v>8506</v>
      </c>
      <c r="V377" t="s">
        <v>69</v>
      </c>
      <c r="W377" t="s">
        <v>69</v>
      </c>
      <c r="X377" t="s">
        <v>69</v>
      </c>
      <c r="Y377" t="s">
        <v>69</v>
      </c>
      <c r="Z377" t="s">
        <v>69</v>
      </c>
      <c r="AA377" t="s">
        <v>25020</v>
      </c>
      <c r="AB377" t="s">
        <v>25021</v>
      </c>
      <c r="AC377" t="s">
        <v>3322</v>
      </c>
      <c r="AD377" t="s">
        <v>25022</v>
      </c>
      <c r="AE377" t="s">
        <v>69</v>
      </c>
      <c r="AF377" t="s">
        <v>25023</v>
      </c>
      <c r="AG377" t="s">
        <v>25024</v>
      </c>
      <c r="AH377" t="s">
        <v>25025</v>
      </c>
      <c r="AI377" t="s">
        <v>69</v>
      </c>
      <c r="AJ377" t="s">
        <v>69</v>
      </c>
      <c r="AK377" t="s">
        <v>69</v>
      </c>
      <c r="AL377" t="s">
        <v>69</v>
      </c>
      <c r="AM377" t="s">
        <v>69</v>
      </c>
      <c r="AN377">
        <v>86</v>
      </c>
      <c r="AO377">
        <v>68</v>
      </c>
      <c r="AP377">
        <v>68</v>
      </c>
      <c r="AQ377">
        <v>1</v>
      </c>
      <c r="AR377">
        <v>71</v>
      </c>
      <c r="AS377" t="s">
        <v>8762</v>
      </c>
      <c r="AT377" t="s">
        <v>8763</v>
      </c>
      <c r="AU377" t="s">
        <v>8764</v>
      </c>
      <c r="AV377" t="s">
        <v>3323</v>
      </c>
      <c r="AW377" t="s">
        <v>6085</v>
      </c>
      <c r="AX377" t="s">
        <v>69</v>
      </c>
      <c r="AY377" t="s">
        <v>3321</v>
      </c>
      <c r="AZ377" t="s">
        <v>25026</v>
      </c>
      <c r="BA377" t="s">
        <v>586</v>
      </c>
      <c r="BB377">
        <v>2013</v>
      </c>
      <c r="BC377">
        <v>20</v>
      </c>
      <c r="BD377">
        <v>3</v>
      </c>
      <c r="BE377" t="s">
        <v>69</v>
      </c>
      <c r="BF377" t="s">
        <v>69</v>
      </c>
      <c r="BG377" t="s">
        <v>114</v>
      </c>
      <c r="BH377" t="s">
        <v>69</v>
      </c>
      <c r="BI377">
        <v>394</v>
      </c>
      <c r="BJ377">
        <v>415</v>
      </c>
      <c r="BK377" t="s">
        <v>69</v>
      </c>
      <c r="BL377" t="s">
        <v>3324</v>
      </c>
      <c r="BM377" t="str">
        <f>HYPERLINK("http://dx.doi.org/10.1177/1350508413478584","http://dx.doi.org/10.1177/1350508413478584")</f>
        <v>http://dx.doi.org/10.1177/1350508413478584</v>
      </c>
      <c r="BN377" t="s">
        <v>69</v>
      </c>
      <c r="BO377" t="s">
        <v>69</v>
      </c>
      <c r="BP377">
        <v>22</v>
      </c>
      <c r="BQ377" t="s">
        <v>9410</v>
      </c>
      <c r="BR377" t="s">
        <v>8661</v>
      </c>
      <c r="BS377" t="s">
        <v>8594</v>
      </c>
      <c r="BT377" t="s">
        <v>25027</v>
      </c>
      <c r="BU377" t="s">
        <v>3325</v>
      </c>
      <c r="BV377" t="s">
        <v>69</v>
      </c>
      <c r="BW377" t="s">
        <v>69</v>
      </c>
      <c r="BX377" t="s">
        <v>69</v>
      </c>
      <c r="BY377" t="s">
        <v>69</v>
      </c>
      <c r="BZ377" t="s">
        <v>8526</v>
      </c>
      <c r="CA377" t="str">
        <f>HYPERLINK("https%3A%2F%2Fwww.webofscience.com%2Fwos%2Fwoscc%2Ffull-record%2FWOS:000317620400004","View Full Record in Web of Science")</f>
        <v>View Full Record in Web of Science</v>
      </c>
    </row>
    <row r="378" spans="2:79" ht="12.5" x14ac:dyDescent="0.25">
      <c r="B378" t="s">
        <v>8495</v>
      </c>
      <c r="D378" s="7" t="s">
        <v>32933</v>
      </c>
      <c r="E378" s="7"/>
      <c r="F378" s="7"/>
      <c r="G378" s="7"/>
      <c r="H378" t="s">
        <v>67</v>
      </c>
      <c r="I378" t="s">
        <v>2636</v>
      </c>
      <c r="J378" t="s">
        <v>69</v>
      </c>
      <c r="K378" t="s">
        <v>69</v>
      </c>
      <c r="L378" t="s">
        <v>69</v>
      </c>
      <c r="M378" t="s">
        <v>2637</v>
      </c>
      <c r="N378" t="s">
        <v>69</v>
      </c>
      <c r="O378" t="s">
        <v>69</v>
      </c>
      <c r="P378" t="s">
        <v>2638</v>
      </c>
      <c r="Q378" t="s">
        <v>2639</v>
      </c>
      <c r="R378" t="s">
        <v>69</v>
      </c>
      <c r="S378" t="s">
        <v>69</v>
      </c>
      <c r="T378" t="s">
        <v>8505</v>
      </c>
      <c r="U378" t="s">
        <v>8442</v>
      </c>
      <c r="V378" t="s">
        <v>69</v>
      </c>
      <c r="W378" t="s">
        <v>69</v>
      </c>
      <c r="X378" t="s">
        <v>69</v>
      </c>
      <c r="Y378" t="s">
        <v>69</v>
      </c>
      <c r="Z378" t="s">
        <v>69</v>
      </c>
      <c r="AA378" t="s">
        <v>20529</v>
      </c>
      <c r="AB378" t="s">
        <v>20530</v>
      </c>
      <c r="AC378" t="s">
        <v>2640</v>
      </c>
      <c r="AD378" t="s">
        <v>20531</v>
      </c>
      <c r="AE378" t="s">
        <v>69</v>
      </c>
      <c r="AF378" t="s">
        <v>20532</v>
      </c>
      <c r="AG378" t="s">
        <v>20533</v>
      </c>
      <c r="AH378" t="s">
        <v>69</v>
      </c>
      <c r="AI378" t="s">
        <v>69</v>
      </c>
      <c r="AJ378" t="s">
        <v>20534</v>
      </c>
      <c r="AK378" t="s">
        <v>20534</v>
      </c>
      <c r="AL378" t="s">
        <v>20535</v>
      </c>
      <c r="AM378" t="s">
        <v>69</v>
      </c>
      <c r="AN378">
        <v>39</v>
      </c>
      <c r="AO378">
        <v>16</v>
      </c>
      <c r="AP378">
        <v>16</v>
      </c>
      <c r="AQ378">
        <v>1</v>
      </c>
      <c r="AR378">
        <v>5</v>
      </c>
      <c r="AS378" t="s">
        <v>20536</v>
      </c>
      <c r="AT378" t="s">
        <v>10539</v>
      </c>
      <c r="AU378" t="s">
        <v>20537</v>
      </c>
      <c r="AV378" t="s">
        <v>2641</v>
      </c>
      <c r="AW378" t="s">
        <v>2642</v>
      </c>
      <c r="AX378" t="s">
        <v>69</v>
      </c>
      <c r="AY378" t="s">
        <v>20538</v>
      </c>
      <c r="AZ378" t="s">
        <v>20539</v>
      </c>
      <c r="BA378" t="s">
        <v>191</v>
      </c>
      <c r="BB378">
        <v>2017</v>
      </c>
      <c r="BC378">
        <v>61</v>
      </c>
      <c r="BD378">
        <v>2</v>
      </c>
      <c r="BE378" t="s">
        <v>69</v>
      </c>
      <c r="BF378" t="s">
        <v>69</v>
      </c>
      <c r="BG378" t="s">
        <v>69</v>
      </c>
      <c r="BH378" t="s">
        <v>69</v>
      </c>
      <c r="BI378">
        <v>110</v>
      </c>
      <c r="BJ378">
        <v>124</v>
      </c>
      <c r="BK378" t="s">
        <v>69</v>
      </c>
      <c r="BL378" t="s">
        <v>2643</v>
      </c>
      <c r="BM378" t="str">
        <f>HYPERLINK("http://dx.doi.org/10.4103/ija.IJA_659_16","http://dx.doi.org/10.4103/ija.IJA_659_16")</f>
        <v>http://dx.doi.org/10.4103/ija.IJA_659_16</v>
      </c>
      <c r="BN378" t="s">
        <v>69</v>
      </c>
      <c r="BO378" t="s">
        <v>69</v>
      </c>
      <c r="BP378">
        <v>15</v>
      </c>
      <c r="BQ378" t="s">
        <v>20540</v>
      </c>
      <c r="BR378" t="s">
        <v>8573</v>
      </c>
      <c r="BS378" t="s">
        <v>20540</v>
      </c>
      <c r="BT378" t="s">
        <v>20541</v>
      </c>
      <c r="BU378" t="s">
        <v>2644</v>
      </c>
      <c r="BV378">
        <v>28250479</v>
      </c>
      <c r="BW378" t="s">
        <v>9352</v>
      </c>
      <c r="BX378" t="s">
        <v>69</v>
      </c>
      <c r="BY378" t="s">
        <v>69</v>
      </c>
      <c r="BZ378" t="s">
        <v>8526</v>
      </c>
      <c r="CA378" t="str">
        <f>HYPERLINK("https%3A%2F%2Fwww.webofscience.com%2Fwos%2Fwoscc%2Ffull-record%2FWOS:000395857500003","View Full Record in Web of Science")</f>
        <v>View Full Record in Web of Science</v>
      </c>
    </row>
    <row r="379" spans="2:79" ht="12.5" x14ac:dyDescent="0.25">
      <c r="B379" t="s">
        <v>8495</v>
      </c>
      <c r="D379" s="7" t="s">
        <v>32933</v>
      </c>
      <c r="E379" s="7"/>
      <c r="F379" s="7"/>
      <c r="G379" s="7"/>
      <c r="H379" t="s">
        <v>67</v>
      </c>
      <c r="I379" t="s">
        <v>3589</v>
      </c>
      <c r="J379" t="s">
        <v>69</v>
      </c>
      <c r="K379" t="s">
        <v>69</v>
      </c>
      <c r="L379" t="s">
        <v>69</v>
      </c>
      <c r="M379" t="s">
        <v>3590</v>
      </c>
      <c r="N379" t="s">
        <v>69</v>
      </c>
      <c r="O379" t="s">
        <v>69</v>
      </c>
      <c r="P379" t="s">
        <v>3591</v>
      </c>
      <c r="Q379" t="s">
        <v>3592</v>
      </c>
      <c r="R379" t="s">
        <v>69</v>
      </c>
      <c r="S379" t="s">
        <v>69</v>
      </c>
      <c r="T379" t="s">
        <v>8505</v>
      </c>
      <c r="U379" t="s">
        <v>8506</v>
      </c>
      <c r="V379" t="s">
        <v>69</v>
      </c>
      <c r="W379" t="s">
        <v>69</v>
      </c>
      <c r="X379" t="s">
        <v>69</v>
      </c>
      <c r="Y379" t="s">
        <v>69</v>
      </c>
      <c r="Z379" t="s">
        <v>69</v>
      </c>
      <c r="AA379" t="s">
        <v>28316</v>
      </c>
      <c r="AB379" t="s">
        <v>28317</v>
      </c>
      <c r="AC379" t="s">
        <v>3593</v>
      </c>
      <c r="AD379" t="s">
        <v>28318</v>
      </c>
      <c r="AE379" t="s">
        <v>69</v>
      </c>
      <c r="AF379" t="s">
        <v>28319</v>
      </c>
      <c r="AG379" t="s">
        <v>28320</v>
      </c>
      <c r="AH379" t="s">
        <v>69</v>
      </c>
      <c r="AI379" t="s">
        <v>28321</v>
      </c>
      <c r="AJ379" t="s">
        <v>28322</v>
      </c>
      <c r="AK379" t="s">
        <v>28322</v>
      </c>
      <c r="AL379" t="s">
        <v>28323</v>
      </c>
      <c r="AM379" t="s">
        <v>69</v>
      </c>
      <c r="AN379">
        <v>71</v>
      </c>
      <c r="AO379">
        <v>6</v>
      </c>
      <c r="AP379">
        <v>6</v>
      </c>
      <c r="AQ379">
        <v>0</v>
      </c>
      <c r="AR379">
        <v>11</v>
      </c>
      <c r="AS379" t="s">
        <v>8516</v>
      </c>
      <c r="AT379" t="s">
        <v>8517</v>
      </c>
      <c r="AU379" t="s">
        <v>8518</v>
      </c>
      <c r="AV379" t="s">
        <v>3594</v>
      </c>
      <c r="AW379" t="s">
        <v>3595</v>
      </c>
      <c r="AX379" t="s">
        <v>69</v>
      </c>
      <c r="AY379" t="s">
        <v>8519</v>
      </c>
      <c r="AZ379" t="s">
        <v>8520</v>
      </c>
      <c r="BA379" t="s">
        <v>504</v>
      </c>
      <c r="BB379">
        <v>2009</v>
      </c>
      <c r="BC379">
        <v>93</v>
      </c>
      <c r="BD379" t="s">
        <v>145</v>
      </c>
      <c r="BE379" t="s">
        <v>69</v>
      </c>
      <c r="BF379" t="s">
        <v>69</v>
      </c>
      <c r="BG379" t="s">
        <v>69</v>
      </c>
      <c r="BH379" t="s">
        <v>69</v>
      </c>
      <c r="BI379">
        <v>218</v>
      </c>
      <c r="BJ379">
        <v>228</v>
      </c>
      <c r="BK379" t="s">
        <v>69</v>
      </c>
      <c r="BL379" t="s">
        <v>3596</v>
      </c>
      <c r="BM379" t="str">
        <f>HYPERLINK("http://dx.doi.org/10.1016/j.landurbplan.2009.07.009","http://dx.doi.org/10.1016/j.landurbplan.2009.07.009")</f>
        <v>http://dx.doi.org/10.1016/j.landurbplan.2009.07.009</v>
      </c>
      <c r="BN379" t="s">
        <v>69</v>
      </c>
      <c r="BO379" t="s">
        <v>69</v>
      </c>
      <c r="BP379">
        <v>11</v>
      </c>
      <c r="BQ379" t="s">
        <v>8522</v>
      </c>
      <c r="BR379" t="s">
        <v>8523</v>
      </c>
      <c r="BS379" t="s">
        <v>8524</v>
      </c>
      <c r="BT379" t="s">
        <v>28324</v>
      </c>
      <c r="BU379" t="s">
        <v>3597</v>
      </c>
      <c r="BV379" t="s">
        <v>69</v>
      </c>
      <c r="BW379" t="s">
        <v>69</v>
      </c>
      <c r="BX379" t="s">
        <v>69</v>
      </c>
      <c r="BY379" t="s">
        <v>69</v>
      </c>
      <c r="BZ379" t="s">
        <v>8526</v>
      </c>
      <c r="CA379" t="str">
        <f>HYPERLINK("https%3A%2F%2Fwww.webofscience.com%2Fwos%2Fwoscc%2Ffull-record%2FWOS:000272370600008","View Full Record in Web of Science")</f>
        <v>View Full Record in Web of Science</v>
      </c>
    </row>
    <row r="380" spans="2:79" ht="12.5" x14ac:dyDescent="0.25">
      <c r="B380" t="s">
        <v>8495</v>
      </c>
      <c r="D380" s="7" t="s">
        <v>32933</v>
      </c>
      <c r="E380" s="7"/>
      <c r="F380" s="7"/>
      <c r="G380" s="7"/>
      <c r="H380" t="s">
        <v>67</v>
      </c>
      <c r="I380" t="s">
        <v>5007</v>
      </c>
      <c r="J380" t="s">
        <v>69</v>
      </c>
      <c r="K380" t="s">
        <v>69</v>
      </c>
      <c r="L380" t="s">
        <v>69</v>
      </c>
      <c r="M380" t="s">
        <v>5008</v>
      </c>
      <c r="N380" t="s">
        <v>69</v>
      </c>
      <c r="O380" t="s">
        <v>69</v>
      </c>
      <c r="P380" t="s">
        <v>5009</v>
      </c>
      <c r="Q380" t="s">
        <v>582</v>
      </c>
      <c r="R380" t="s">
        <v>69</v>
      </c>
      <c r="S380" t="s">
        <v>69</v>
      </c>
      <c r="T380" t="s">
        <v>8505</v>
      </c>
      <c r="U380" t="s">
        <v>8506</v>
      </c>
      <c r="V380" t="s">
        <v>69</v>
      </c>
      <c r="W380" t="s">
        <v>69</v>
      </c>
      <c r="X380" t="s">
        <v>69</v>
      </c>
      <c r="Y380" t="s">
        <v>69</v>
      </c>
      <c r="Z380" t="s">
        <v>69</v>
      </c>
      <c r="AA380" t="s">
        <v>21815</v>
      </c>
      <c r="AB380" t="s">
        <v>21816</v>
      </c>
      <c r="AC380" t="s">
        <v>5010</v>
      </c>
      <c r="AD380" t="s">
        <v>21817</v>
      </c>
      <c r="AE380" t="s">
        <v>69</v>
      </c>
      <c r="AF380" t="s">
        <v>21818</v>
      </c>
      <c r="AG380" t="s">
        <v>21819</v>
      </c>
      <c r="AH380" t="s">
        <v>21820</v>
      </c>
      <c r="AI380" t="s">
        <v>21821</v>
      </c>
      <c r="AJ380" t="s">
        <v>21822</v>
      </c>
      <c r="AK380" t="s">
        <v>21822</v>
      </c>
      <c r="AL380" t="s">
        <v>21823</v>
      </c>
      <c r="AM380" t="s">
        <v>69</v>
      </c>
      <c r="AN380">
        <v>79</v>
      </c>
      <c r="AO380">
        <v>22</v>
      </c>
      <c r="AP380">
        <v>23</v>
      </c>
      <c r="AQ380">
        <v>0</v>
      </c>
      <c r="AR380">
        <v>18</v>
      </c>
      <c r="AS380" t="s">
        <v>8692</v>
      </c>
      <c r="AT380" t="s">
        <v>8693</v>
      </c>
      <c r="AU380" t="s">
        <v>8694</v>
      </c>
      <c r="AV380" t="s">
        <v>584</v>
      </c>
      <c r="AW380" t="s">
        <v>585</v>
      </c>
      <c r="AX380" t="s">
        <v>69</v>
      </c>
      <c r="AY380" t="s">
        <v>8695</v>
      </c>
      <c r="AZ380" t="s">
        <v>8696</v>
      </c>
      <c r="BA380" t="s">
        <v>191</v>
      </c>
      <c r="BB380">
        <v>2016</v>
      </c>
      <c r="BC380">
        <v>57</v>
      </c>
      <c r="BD380" t="s">
        <v>69</v>
      </c>
      <c r="BE380" t="s">
        <v>69</v>
      </c>
      <c r="BF380" t="s">
        <v>69</v>
      </c>
      <c r="BG380" t="s">
        <v>69</v>
      </c>
      <c r="BH380" t="s">
        <v>69</v>
      </c>
      <c r="BI380">
        <v>78</v>
      </c>
      <c r="BJ380">
        <v>88</v>
      </c>
      <c r="BK380" t="s">
        <v>69</v>
      </c>
      <c r="BL380" t="s">
        <v>5011</v>
      </c>
      <c r="BM380" t="str">
        <f>HYPERLINK("http://dx.doi.org/10.1016/j.eiar.2015.11.010","http://dx.doi.org/10.1016/j.eiar.2015.11.010")</f>
        <v>http://dx.doi.org/10.1016/j.eiar.2015.11.010</v>
      </c>
      <c r="BN380" t="s">
        <v>69</v>
      </c>
      <c r="BO380" t="s">
        <v>69</v>
      </c>
      <c r="BP380">
        <v>11</v>
      </c>
      <c r="BQ380" t="s">
        <v>8660</v>
      </c>
      <c r="BR380" t="s">
        <v>8661</v>
      </c>
      <c r="BS380" t="s">
        <v>8662</v>
      </c>
      <c r="BT380" t="s">
        <v>21824</v>
      </c>
      <c r="BU380" t="s">
        <v>5012</v>
      </c>
      <c r="BV380" t="s">
        <v>69</v>
      </c>
      <c r="BW380" t="s">
        <v>69</v>
      </c>
      <c r="BX380" t="s">
        <v>69</v>
      </c>
      <c r="BY380" t="s">
        <v>69</v>
      </c>
      <c r="BZ380" t="s">
        <v>8526</v>
      </c>
      <c r="CA380" t="str">
        <f>HYPERLINK("https%3A%2F%2Fwww.webofscience.com%2Fwos%2Fwoscc%2Ffull-record%2FWOS:000372675400009","View Full Record in Web of Science")</f>
        <v>View Full Record in Web of Science</v>
      </c>
    </row>
    <row r="381" spans="2:79" ht="12.5" x14ac:dyDescent="0.25">
      <c r="B381" t="s">
        <v>8495</v>
      </c>
      <c r="D381" s="7" t="s">
        <v>32933</v>
      </c>
      <c r="E381" s="7"/>
      <c r="F381" s="7"/>
      <c r="G381" s="7"/>
      <c r="H381" t="s">
        <v>67</v>
      </c>
      <c r="I381" t="s">
        <v>222</v>
      </c>
      <c r="J381" t="s">
        <v>69</v>
      </c>
      <c r="K381" t="s">
        <v>69</v>
      </c>
      <c r="L381" t="s">
        <v>69</v>
      </c>
      <c r="M381" t="s">
        <v>222</v>
      </c>
      <c r="N381" t="s">
        <v>69</v>
      </c>
      <c r="O381" t="s">
        <v>69</v>
      </c>
      <c r="P381" t="s">
        <v>223</v>
      </c>
      <c r="Q381" t="s">
        <v>100</v>
      </c>
      <c r="R381" t="s">
        <v>69</v>
      </c>
      <c r="S381" t="s">
        <v>69</v>
      </c>
      <c r="T381" t="s">
        <v>8505</v>
      </c>
      <c r="U381" t="s">
        <v>15797</v>
      </c>
      <c r="V381" t="s">
        <v>224</v>
      </c>
      <c r="W381" t="s">
        <v>225</v>
      </c>
      <c r="X381" t="s">
        <v>226</v>
      </c>
      <c r="Y381" t="s">
        <v>32619</v>
      </c>
      <c r="Z381" t="s">
        <v>69</v>
      </c>
      <c r="AA381" t="s">
        <v>32620</v>
      </c>
      <c r="AB381" t="s">
        <v>69</v>
      </c>
      <c r="AC381" t="s">
        <v>227</v>
      </c>
      <c r="AD381" t="s">
        <v>32621</v>
      </c>
      <c r="AE381" t="s">
        <v>69</v>
      </c>
      <c r="AF381" t="s">
        <v>32622</v>
      </c>
      <c r="AG381" t="s">
        <v>69</v>
      </c>
      <c r="AH381" t="s">
        <v>69</v>
      </c>
      <c r="AI381" t="s">
        <v>69</v>
      </c>
      <c r="AJ381" t="s">
        <v>69</v>
      </c>
      <c r="AK381" t="s">
        <v>69</v>
      </c>
      <c r="AL381" t="s">
        <v>69</v>
      </c>
      <c r="AM381" t="s">
        <v>69</v>
      </c>
      <c r="AN381">
        <v>0</v>
      </c>
      <c r="AO381">
        <v>3</v>
      </c>
      <c r="AP381">
        <v>4</v>
      </c>
      <c r="AQ381">
        <v>0</v>
      </c>
      <c r="AR381">
        <v>9</v>
      </c>
      <c r="AS381" t="s">
        <v>9145</v>
      </c>
      <c r="AT381" t="s">
        <v>8637</v>
      </c>
      <c r="AU381" t="s">
        <v>32470</v>
      </c>
      <c r="AV381" t="s">
        <v>102</v>
      </c>
      <c r="AW381" t="s">
        <v>69</v>
      </c>
      <c r="AX381" t="s">
        <v>69</v>
      </c>
      <c r="AY381" t="s">
        <v>15469</v>
      </c>
      <c r="AZ381" t="s">
        <v>15470</v>
      </c>
      <c r="BA381" t="s">
        <v>69</v>
      </c>
      <c r="BB381">
        <v>1995</v>
      </c>
      <c r="BC381">
        <v>31</v>
      </c>
      <c r="BD381" t="s">
        <v>145</v>
      </c>
      <c r="BE381" t="s">
        <v>69</v>
      </c>
      <c r="BF381" t="s">
        <v>69</v>
      </c>
      <c r="BG381" t="s">
        <v>69</v>
      </c>
      <c r="BH381" t="s">
        <v>69</v>
      </c>
      <c r="BI381">
        <v>93</v>
      </c>
      <c r="BJ381">
        <v>101</v>
      </c>
      <c r="BK381" t="s">
        <v>69</v>
      </c>
      <c r="BL381" t="s">
        <v>228</v>
      </c>
      <c r="BM381" t="str">
        <f>HYPERLINK("http://dx.doi.org/10.1016/0273-1223(95)00208-5","http://dx.doi.org/10.1016/0273-1223(95)00208-5")</f>
        <v>http://dx.doi.org/10.1016/0273-1223(95)00208-5</v>
      </c>
      <c r="BN381" t="s">
        <v>69</v>
      </c>
      <c r="BO381" t="s">
        <v>69</v>
      </c>
      <c r="BP381">
        <v>9</v>
      </c>
      <c r="BQ381" t="s">
        <v>10687</v>
      </c>
      <c r="BR381" t="s">
        <v>29550</v>
      </c>
      <c r="BS381" t="s">
        <v>10688</v>
      </c>
      <c r="BT381" t="s">
        <v>32623</v>
      </c>
      <c r="BU381" t="s">
        <v>229</v>
      </c>
      <c r="BV381" t="s">
        <v>69</v>
      </c>
      <c r="BW381" t="s">
        <v>69</v>
      </c>
      <c r="BX381" t="s">
        <v>69</v>
      </c>
      <c r="BY381" t="s">
        <v>69</v>
      </c>
      <c r="BZ381" t="s">
        <v>8526</v>
      </c>
      <c r="CA381" t="str">
        <f>HYPERLINK("https%3A%2F%2Fwww.webofscience.com%2Fwos%2Fwoscc%2Ffull-record%2FWOS:A1995RF87200009","View Full Record in Web of Science")</f>
        <v>View Full Record in Web of Science</v>
      </c>
    </row>
    <row r="382" spans="2:79" ht="12.5" x14ac:dyDescent="0.25">
      <c r="B382" t="s">
        <v>8495</v>
      </c>
      <c r="D382" s="22" t="s">
        <v>32931</v>
      </c>
      <c r="E382" s="7"/>
      <c r="F382" s="7"/>
      <c r="G382" s="7"/>
      <c r="H382" t="s">
        <v>67</v>
      </c>
      <c r="I382" t="s">
        <v>20013</v>
      </c>
      <c r="J382" t="s">
        <v>69</v>
      </c>
      <c r="K382" t="s">
        <v>69</v>
      </c>
      <c r="L382" t="s">
        <v>69</v>
      </c>
      <c r="M382" t="s">
        <v>20014</v>
      </c>
      <c r="N382" t="s">
        <v>69</v>
      </c>
      <c r="O382" t="s">
        <v>69</v>
      </c>
      <c r="P382" t="s">
        <v>20015</v>
      </c>
      <c r="Q382" t="s">
        <v>20016</v>
      </c>
      <c r="R382" t="s">
        <v>69</v>
      </c>
      <c r="S382" t="s">
        <v>69</v>
      </c>
      <c r="T382" t="s">
        <v>14800</v>
      </c>
      <c r="U382" t="s">
        <v>8506</v>
      </c>
      <c r="V382" t="s">
        <v>69</v>
      </c>
      <c r="W382" t="s">
        <v>69</v>
      </c>
      <c r="X382" t="s">
        <v>69</v>
      </c>
      <c r="Y382" t="s">
        <v>69</v>
      </c>
      <c r="Z382" t="s">
        <v>69</v>
      </c>
      <c r="AA382" t="s">
        <v>69</v>
      </c>
      <c r="AB382" t="s">
        <v>20017</v>
      </c>
      <c r="AC382" t="s">
        <v>20018</v>
      </c>
      <c r="AD382" t="s">
        <v>20019</v>
      </c>
      <c r="AE382" t="s">
        <v>69</v>
      </c>
      <c r="AF382" t="s">
        <v>20020</v>
      </c>
      <c r="AG382" t="s">
        <v>69</v>
      </c>
      <c r="AH382" t="s">
        <v>69</v>
      </c>
      <c r="AI382" t="s">
        <v>69</v>
      </c>
      <c r="AJ382" t="s">
        <v>69</v>
      </c>
      <c r="AK382" t="s">
        <v>69</v>
      </c>
      <c r="AL382" t="s">
        <v>69</v>
      </c>
      <c r="AM382" t="s">
        <v>69</v>
      </c>
      <c r="AN382">
        <v>45</v>
      </c>
      <c r="AO382">
        <v>0</v>
      </c>
      <c r="AP382">
        <v>0</v>
      </c>
      <c r="AQ382">
        <v>1</v>
      </c>
      <c r="AR382">
        <v>11</v>
      </c>
      <c r="AS382" t="s">
        <v>20021</v>
      </c>
      <c r="AT382" t="s">
        <v>20022</v>
      </c>
      <c r="AU382" t="s">
        <v>20023</v>
      </c>
      <c r="AV382" t="s">
        <v>20024</v>
      </c>
      <c r="AW382" t="s">
        <v>69</v>
      </c>
      <c r="AX382" t="s">
        <v>69</v>
      </c>
      <c r="AY382" t="s">
        <v>20025</v>
      </c>
      <c r="AZ382" t="s">
        <v>20026</v>
      </c>
      <c r="BA382" t="s">
        <v>1053</v>
      </c>
      <c r="BB382">
        <v>2017</v>
      </c>
      <c r="BC382">
        <v>201</v>
      </c>
      <c r="BD382" t="s">
        <v>20027</v>
      </c>
      <c r="BE382" t="s">
        <v>69</v>
      </c>
      <c r="BF382" t="s">
        <v>69</v>
      </c>
      <c r="BG382" t="s">
        <v>69</v>
      </c>
      <c r="BH382" t="s">
        <v>69</v>
      </c>
      <c r="BI382">
        <v>1175</v>
      </c>
      <c r="BJ382">
        <v>1188</v>
      </c>
      <c r="BK382" t="s">
        <v>69</v>
      </c>
      <c r="BL382" t="s">
        <v>20028</v>
      </c>
      <c r="BM382" t="str">
        <f>HYPERLINK("http://dx.doi.org/10.1016/S0001-4079(19)30389-9","http://dx.doi.org/10.1016/S0001-4079(19)30389-9")</f>
        <v>http://dx.doi.org/10.1016/S0001-4079(19)30389-9</v>
      </c>
      <c r="BN382" t="s">
        <v>69</v>
      </c>
      <c r="BO382" t="s">
        <v>69</v>
      </c>
      <c r="BP382">
        <v>14</v>
      </c>
      <c r="BQ382" t="s">
        <v>9450</v>
      </c>
      <c r="BR382" t="s">
        <v>8523</v>
      </c>
      <c r="BS382" t="s">
        <v>9451</v>
      </c>
      <c r="BT382" t="s">
        <v>20029</v>
      </c>
      <c r="BU382" t="s">
        <v>20030</v>
      </c>
      <c r="BV382" t="s">
        <v>69</v>
      </c>
      <c r="BW382" t="s">
        <v>69</v>
      </c>
      <c r="BX382" t="s">
        <v>69</v>
      </c>
      <c r="BY382" t="s">
        <v>69</v>
      </c>
      <c r="BZ382" t="s">
        <v>8526</v>
      </c>
      <c r="CA382" t="str">
        <f>HYPERLINK("https%3A%2F%2Fwww.webofscience.com%2Fwos%2Fwoscc%2Ffull-record%2FWOS:000435229100024","View Full Record in Web of Science")</f>
        <v>View Full Record in Web of Science</v>
      </c>
    </row>
    <row r="383" spans="2:79" ht="12.5" x14ac:dyDescent="0.25">
      <c r="B383" t="s">
        <v>8495</v>
      </c>
      <c r="D383" s="7" t="s">
        <v>32933</v>
      </c>
      <c r="E383" s="7"/>
      <c r="F383" s="7"/>
      <c r="G383" s="7"/>
      <c r="H383" t="s">
        <v>67</v>
      </c>
      <c r="I383" t="s">
        <v>3528</v>
      </c>
      <c r="J383" t="s">
        <v>69</v>
      </c>
      <c r="K383" t="s">
        <v>69</v>
      </c>
      <c r="L383" t="s">
        <v>69</v>
      </c>
      <c r="M383" t="s">
        <v>3529</v>
      </c>
      <c r="N383" t="s">
        <v>69</v>
      </c>
      <c r="O383" t="s">
        <v>69</v>
      </c>
      <c r="P383" t="s">
        <v>3530</v>
      </c>
      <c r="Q383" t="s">
        <v>3531</v>
      </c>
      <c r="R383" t="s">
        <v>69</v>
      </c>
      <c r="S383" t="s">
        <v>69</v>
      </c>
      <c r="T383" t="s">
        <v>8505</v>
      </c>
      <c r="U383" t="s">
        <v>8506</v>
      </c>
      <c r="V383" t="s">
        <v>69</v>
      </c>
      <c r="W383" t="s">
        <v>69</v>
      </c>
      <c r="X383" t="s">
        <v>69</v>
      </c>
      <c r="Y383" t="s">
        <v>69</v>
      </c>
      <c r="Z383" t="s">
        <v>69</v>
      </c>
      <c r="AA383" t="s">
        <v>69</v>
      </c>
      <c r="AB383" t="s">
        <v>69</v>
      </c>
      <c r="AC383" t="s">
        <v>3532</v>
      </c>
      <c r="AD383" t="s">
        <v>27722</v>
      </c>
      <c r="AE383" t="s">
        <v>69</v>
      </c>
      <c r="AF383" t="s">
        <v>27723</v>
      </c>
      <c r="AG383" t="s">
        <v>27724</v>
      </c>
      <c r="AH383" t="s">
        <v>69</v>
      </c>
      <c r="AI383" t="s">
        <v>69</v>
      </c>
      <c r="AJ383" t="s">
        <v>69</v>
      </c>
      <c r="AK383" t="s">
        <v>69</v>
      </c>
      <c r="AL383" t="s">
        <v>69</v>
      </c>
      <c r="AM383" t="s">
        <v>69</v>
      </c>
      <c r="AN383">
        <v>82</v>
      </c>
      <c r="AO383">
        <v>55</v>
      </c>
      <c r="AP383">
        <v>56</v>
      </c>
      <c r="AQ383">
        <v>0</v>
      </c>
      <c r="AR383">
        <v>15</v>
      </c>
      <c r="AS383" t="s">
        <v>10352</v>
      </c>
      <c r="AT383" t="s">
        <v>8637</v>
      </c>
      <c r="AU383" t="s">
        <v>10353</v>
      </c>
      <c r="AV383" t="s">
        <v>3533</v>
      </c>
      <c r="AW383" t="s">
        <v>3534</v>
      </c>
      <c r="AX383" t="s">
        <v>69</v>
      </c>
      <c r="AY383" t="s">
        <v>27725</v>
      </c>
      <c r="AZ383" t="s">
        <v>27726</v>
      </c>
      <c r="BA383" t="s">
        <v>84</v>
      </c>
      <c r="BB383">
        <v>2010</v>
      </c>
      <c r="BC383">
        <v>8</v>
      </c>
      <c r="BD383">
        <v>3</v>
      </c>
      <c r="BE383" t="s">
        <v>69</v>
      </c>
      <c r="BF383" t="s">
        <v>69</v>
      </c>
      <c r="BG383" t="s">
        <v>69</v>
      </c>
      <c r="BH383" t="s">
        <v>69</v>
      </c>
      <c r="BI383">
        <v>563</v>
      </c>
      <c r="BJ383">
        <v>579</v>
      </c>
      <c r="BK383" t="s">
        <v>69</v>
      </c>
      <c r="BL383" t="s">
        <v>3535</v>
      </c>
      <c r="BM383" t="str">
        <f>HYPERLINK("http://dx.doi.org/10.1093/icon/moq023","http://dx.doi.org/10.1093/icon/moq023")</f>
        <v>http://dx.doi.org/10.1093/icon/moq023</v>
      </c>
      <c r="BN383" t="s">
        <v>69</v>
      </c>
      <c r="BO383" t="s">
        <v>69</v>
      </c>
      <c r="BP383">
        <v>17</v>
      </c>
      <c r="BQ383" t="s">
        <v>8452</v>
      </c>
      <c r="BR383" t="s">
        <v>8661</v>
      </c>
      <c r="BS383" t="s">
        <v>10084</v>
      </c>
      <c r="BT383" t="s">
        <v>27727</v>
      </c>
      <c r="BU383" t="s">
        <v>3536</v>
      </c>
      <c r="BV383" t="s">
        <v>69</v>
      </c>
      <c r="BW383" t="s">
        <v>69</v>
      </c>
      <c r="BX383" t="s">
        <v>69</v>
      </c>
      <c r="BY383" t="s">
        <v>69</v>
      </c>
      <c r="BZ383" t="s">
        <v>8526</v>
      </c>
      <c r="CA383" t="str">
        <f>HYPERLINK("https%3A%2F%2Fwww.webofscience.com%2Fwos%2Fwoscc%2Ffull-record%2FWOS:000289732400017","View Full Record in Web of Science")</f>
        <v>View Full Record in Web of Science</v>
      </c>
    </row>
    <row r="384" spans="2:79" ht="12.5" x14ac:dyDescent="0.25">
      <c r="B384" t="s">
        <v>8495</v>
      </c>
      <c r="D384" s="7" t="s">
        <v>32933</v>
      </c>
      <c r="E384" s="7"/>
      <c r="F384" s="7"/>
      <c r="G384" s="7"/>
      <c r="H384" t="s">
        <v>67</v>
      </c>
      <c r="I384" t="s">
        <v>2883</v>
      </c>
      <c r="J384" t="s">
        <v>69</v>
      </c>
      <c r="K384" t="s">
        <v>69</v>
      </c>
      <c r="L384" t="s">
        <v>69</v>
      </c>
      <c r="M384" t="s">
        <v>2884</v>
      </c>
      <c r="N384" t="s">
        <v>69</v>
      </c>
      <c r="O384" t="s">
        <v>69</v>
      </c>
      <c r="P384" t="s">
        <v>2885</v>
      </c>
      <c r="Q384" t="s">
        <v>2886</v>
      </c>
      <c r="R384" t="s">
        <v>69</v>
      </c>
      <c r="S384" t="s">
        <v>69</v>
      </c>
      <c r="T384" t="s">
        <v>8505</v>
      </c>
      <c r="U384" t="s">
        <v>8506</v>
      </c>
      <c r="V384" t="s">
        <v>69</v>
      </c>
      <c r="W384" t="s">
        <v>69</v>
      </c>
      <c r="X384" t="s">
        <v>69</v>
      </c>
      <c r="Y384" t="s">
        <v>69</v>
      </c>
      <c r="Z384" t="s">
        <v>69</v>
      </c>
      <c r="AA384" t="s">
        <v>21779</v>
      </c>
      <c r="AB384" t="s">
        <v>69</v>
      </c>
      <c r="AC384" t="s">
        <v>2887</v>
      </c>
      <c r="AD384" t="s">
        <v>21780</v>
      </c>
      <c r="AE384" t="s">
        <v>69</v>
      </c>
      <c r="AF384" t="s">
        <v>21781</v>
      </c>
      <c r="AG384" t="s">
        <v>21782</v>
      </c>
      <c r="AH384" t="s">
        <v>2888</v>
      </c>
      <c r="AI384" t="s">
        <v>2889</v>
      </c>
      <c r="AJ384" t="s">
        <v>69</v>
      </c>
      <c r="AK384" t="s">
        <v>69</v>
      </c>
      <c r="AL384" t="s">
        <v>69</v>
      </c>
      <c r="AM384" t="s">
        <v>69</v>
      </c>
      <c r="AN384">
        <v>35</v>
      </c>
      <c r="AO384">
        <v>52</v>
      </c>
      <c r="AP384">
        <v>54</v>
      </c>
      <c r="AQ384">
        <v>4</v>
      </c>
      <c r="AR384">
        <v>15</v>
      </c>
      <c r="AS384" t="s">
        <v>17140</v>
      </c>
      <c r="AT384" t="s">
        <v>8517</v>
      </c>
      <c r="AU384" t="s">
        <v>17141</v>
      </c>
      <c r="AV384" t="s">
        <v>2890</v>
      </c>
      <c r="AW384" t="s">
        <v>2891</v>
      </c>
      <c r="AX384" t="s">
        <v>69</v>
      </c>
      <c r="AY384" t="s">
        <v>13008</v>
      </c>
      <c r="AZ384" t="s">
        <v>13009</v>
      </c>
      <c r="BA384" t="s">
        <v>94</v>
      </c>
      <c r="BB384">
        <v>2016</v>
      </c>
      <c r="BC384">
        <v>83</v>
      </c>
      <c r="BD384" t="s">
        <v>69</v>
      </c>
      <c r="BE384" t="s">
        <v>69</v>
      </c>
      <c r="BF384" t="s">
        <v>69</v>
      </c>
      <c r="BG384" t="s">
        <v>69</v>
      </c>
      <c r="BH384" t="s">
        <v>69</v>
      </c>
      <c r="BI384">
        <v>1</v>
      </c>
      <c r="BJ384">
        <v>11</v>
      </c>
      <c r="BK384" t="s">
        <v>69</v>
      </c>
      <c r="BL384" t="s">
        <v>2892</v>
      </c>
      <c r="BM384" t="str">
        <f>HYPERLINK("http://dx.doi.org/10.1016/j.ssci.2015.10.016","http://dx.doi.org/10.1016/j.ssci.2015.10.016")</f>
        <v>http://dx.doi.org/10.1016/j.ssci.2015.10.016</v>
      </c>
      <c r="BN384" t="s">
        <v>69</v>
      </c>
      <c r="BO384" t="s">
        <v>69</v>
      </c>
      <c r="BP384">
        <v>11</v>
      </c>
      <c r="BQ384" t="s">
        <v>13010</v>
      </c>
      <c r="BR384" t="s">
        <v>8548</v>
      </c>
      <c r="BS384" t="s">
        <v>13011</v>
      </c>
      <c r="BT384" t="s">
        <v>21783</v>
      </c>
      <c r="BU384" t="s">
        <v>2893</v>
      </c>
      <c r="BV384" t="s">
        <v>69</v>
      </c>
      <c r="BW384" t="s">
        <v>69</v>
      </c>
      <c r="BX384" t="s">
        <v>69</v>
      </c>
      <c r="BY384" t="s">
        <v>69</v>
      </c>
      <c r="BZ384" t="s">
        <v>8526</v>
      </c>
      <c r="CA384" t="str">
        <f>HYPERLINK("https%3A%2F%2Fwww.webofscience.com%2Fwos%2Fwoscc%2Ffull-record%2FWOS:000369211100001","View Full Record in Web of Science")</f>
        <v>View Full Record in Web of Science</v>
      </c>
    </row>
    <row r="385" spans="1:79" x14ac:dyDescent="0.3">
      <c r="A385" t="s">
        <v>8408</v>
      </c>
      <c r="B385" t="s">
        <v>8495</v>
      </c>
      <c r="D385" s="10" t="s">
        <v>33194</v>
      </c>
      <c r="F385" s="10" t="s">
        <v>8490</v>
      </c>
      <c r="H385" t="s">
        <v>67</v>
      </c>
      <c r="I385" t="s">
        <v>7410</v>
      </c>
      <c r="J385" t="s">
        <v>69</v>
      </c>
      <c r="K385" t="s">
        <v>69</v>
      </c>
      <c r="L385" t="s">
        <v>69</v>
      </c>
      <c r="M385" s="2" t="s">
        <v>7411</v>
      </c>
      <c r="N385" t="s">
        <v>69</v>
      </c>
      <c r="O385" t="s">
        <v>69</v>
      </c>
      <c r="P385" s="2" t="s">
        <v>7412</v>
      </c>
      <c r="Q385" t="s">
        <v>4399</v>
      </c>
      <c r="R385" t="s">
        <v>69</v>
      </c>
      <c r="S385" t="s">
        <v>69</v>
      </c>
      <c r="T385" t="s">
        <v>8505</v>
      </c>
      <c r="U385" t="s">
        <v>8506</v>
      </c>
      <c r="V385" t="s">
        <v>69</v>
      </c>
      <c r="W385" t="s">
        <v>69</v>
      </c>
      <c r="X385" t="s">
        <v>69</v>
      </c>
      <c r="Y385" t="s">
        <v>69</v>
      </c>
      <c r="Z385" t="s">
        <v>69</v>
      </c>
      <c r="AA385" t="s">
        <v>20234</v>
      </c>
      <c r="AB385" t="s">
        <v>20235</v>
      </c>
      <c r="AC385" t="s">
        <v>7413</v>
      </c>
      <c r="AD385" t="s">
        <v>20236</v>
      </c>
      <c r="AE385" t="s">
        <v>69</v>
      </c>
      <c r="AF385" t="s">
        <v>20237</v>
      </c>
      <c r="AG385" t="s">
        <v>20238</v>
      </c>
      <c r="AH385" t="s">
        <v>20239</v>
      </c>
      <c r="AI385" t="s">
        <v>20240</v>
      </c>
      <c r="AJ385" t="s">
        <v>69</v>
      </c>
      <c r="AK385" t="s">
        <v>69</v>
      </c>
      <c r="AL385" t="s">
        <v>69</v>
      </c>
      <c r="AM385" t="s">
        <v>69</v>
      </c>
      <c r="AN385">
        <v>32</v>
      </c>
      <c r="AO385">
        <v>52</v>
      </c>
      <c r="AP385">
        <v>52</v>
      </c>
      <c r="AQ385">
        <v>0</v>
      </c>
      <c r="AR385">
        <v>4</v>
      </c>
      <c r="AS385" t="s">
        <v>13217</v>
      </c>
      <c r="AT385" t="s">
        <v>13218</v>
      </c>
      <c r="AU385" t="s">
        <v>13219</v>
      </c>
      <c r="AV385" t="s">
        <v>4401</v>
      </c>
      <c r="AW385" t="s">
        <v>69</v>
      </c>
      <c r="AX385" t="s">
        <v>69</v>
      </c>
      <c r="AY385" t="s">
        <v>13220</v>
      </c>
      <c r="AZ385" t="s">
        <v>13221</v>
      </c>
      <c r="BA385" t="s">
        <v>4402</v>
      </c>
      <c r="BB385">
        <v>2017</v>
      </c>
      <c r="BC385">
        <v>10</v>
      </c>
      <c r="BD385">
        <v>2</v>
      </c>
      <c r="BE385" t="s">
        <v>69</v>
      </c>
      <c r="BF385" t="s">
        <v>69</v>
      </c>
      <c r="BG385" t="s">
        <v>114</v>
      </c>
      <c r="BH385" t="s">
        <v>69</v>
      </c>
      <c r="BI385">
        <v>195</v>
      </c>
      <c r="BJ385">
        <v>207</v>
      </c>
      <c r="BK385" t="s">
        <v>69</v>
      </c>
      <c r="BL385" t="s">
        <v>69</v>
      </c>
      <c r="BM385" t="s">
        <v>69</v>
      </c>
      <c r="BN385" t="s">
        <v>69</v>
      </c>
      <c r="BO385" t="s">
        <v>69</v>
      </c>
      <c r="BP385">
        <v>13</v>
      </c>
      <c r="BQ385" t="s">
        <v>13222</v>
      </c>
      <c r="BR385" t="s">
        <v>8523</v>
      </c>
      <c r="BS385" t="s">
        <v>11438</v>
      </c>
      <c r="BT385" t="s">
        <v>20241</v>
      </c>
      <c r="BU385" t="s">
        <v>7414</v>
      </c>
      <c r="BV385" t="s">
        <v>69</v>
      </c>
      <c r="BW385" t="s">
        <v>69</v>
      </c>
      <c r="BX385" t="s">
        <v>69</v>
      </c>
      <c r="BY385" t="s">
        <v>69</v>
      </c>
      <c r="BZ385" t="s">
        <v>8526</v>
      </c>
      <c r="CA385" t="str">
        <f>HYPERLINK("https%3A%2F%2Fwww.webofscience.com%2Fwos%2Fwoscc%2Ffull-record%2FWOS:000403232300001","View Full Record in Web of Science")</f>
        <v>View Full Record in Web of Science</v>
      </c>
    </row>
    <row r="386" spans="1:79" ht="12.5" x14ac:dyDescent="0.25">
      <c r="B386" t="s">
        <v>8495</v>
      </c>
      <c r="D386" s="22" t="s">
        <v>32931</v>
      </c>
      <c r="E386" s="7"/>
      <c r="F386" s="7"/>
      <c r="G386" s="7"/>
      <c r="H386" t="s">
        <v>67</v>
      </c>
      <c r="I386" t="s">
        <v>23218</v>
      </c>
      <c r="J386" t="s">
        <v>69</v>
      </c>
      <c r="K386" t="s">
        <v>69</v>
      </c>
      <c r="L386" t="s">
        <v>69</v>
      </c>
      <c r="M386" t="s">
        <v>23219</v>
      </c>
      <c r="N386" t="s">
        <v>69</v>
      </c>
      <c r="O386" t="s">
        <v>69</v>
      </c>
      <c r="P386" t="s">
        <v>23220</v>
      </c>
      <c r="Q386" t="s">
        <v>23221</v>
      </c>
      <c r="R386" t="s">
        <v>69</v>
      </c>
      <c r="S386" t="s">
        <v>69</v>
      </c>
      <c r="T386" t="s">
        <v>8505</v>
      </c>
      <c r="U386" t="s">
        <v>8506</v>
      </c>
      <c r="V386" t="s">
        <v>69</v>
      </c>
      <c r="W386" t="s">
        <v>69</v>
      </c>
      <c r="X386" t="s">
        <v>69</v>
      </c>
      <c r="Y386" t="s">
        <v>69</v>
      </c>
      <c r="Z386" t="s">
        <v>69</v>
      </c>
      <c r="AA386" t="s">
        <v>23222</v>
      </c>
      <c r="AB386" t="s">
        <v>23223</v>
      </c>
      <c r="AC386" t="s">
        <v>23224</v>
      </c>
      <c r="AD386" t="s">
        <v>23225</v>
      </c>
      <c r="AE386" t="s">
        <v>69</v>
      </c>
      <c r="AF386" t="s">
        <v>23226</v>
      </c>
      <c r="AG386" t="s">
        <v>23227</v>
      </c>
      <c r="AH386" t="s">
        <v>69</v>
      </c>
      <c r="AI386" t="s">
        <v>69</v>
      </c>
      <c r="AJ386" t="s">
        <v>23228</v>
      </c>
      <c r="AK386" t="s">
        <v>23229</v>
      </c>
      <c r="AL386" t="s">
        <v>69</v>
      </c>
      <c r="AM386" t="s">
        <v>69</v>
      </c>
      <c r="AN386">
        <v>59</v>
      </c>
      <c r="AO386">
        <v>10</v>
      </c>
      <c r="AP386">
        <v>11</v>
      </c>
      <c r="AQ386">
        <v>0</v>
      </c>
      <c r="AR386">
        <v>1</v>
      </c>
      <c r="AS386" t="s">
        <v>8865</v>
      </c>
      <c r="AT386" t="s">
        <v>8612</v>
      </c>
      <c r="AU386" t="s">
        <v>8866</v>
      </c>
      <c r="AV386" t="s">
        <v>23230</v>
      </c>
      <c r="AW386" t="s">
        <v>23231</v>
      </c>
      <c r="AX386" t="s">
        <v>69</v>
      </c>
      <c r="AY386" t="s">
        <v>23232</v>
      </c>
      <c r="AZ386" t="s">
        <v>23233</v>
      </c>
      <c r="BA386" t="s">
        <v>69</v>
      </c>
      <c r="BB386">
        <v>2015</v>
      </c>
      <c r="BC386">
        <v>47</v>
      </c>
      <c r="BD386">
        <v>3</v>
      </c>
      <c r="BE386" t="s">
        <v>69</v>
      </c>
      <c r="BF386" t="s">
        <v>69</v>
      </c>
      <c r="BG386" t="s">
        <v>114</v>
      </c>
      <c r="BH386" t="s">
        <v>69</v>
      </c>
      <c r="BI386">
        <v>232</v>
      </c>
      <c r="BJ386">
        <v>250</v>
      </c>
      <c r="BK386" t="s">
        <v>69</v>
      </c>
      <c r="BL386" t="s">
        <v>23234</v>
      </c>
      <c r="BM386" t="str">
        <f>HYPERLINK("http://dx.doi.org/10.1080/00220620.2015.1038696","http://dx.doi.org/10.1080/00220620.2015.1038696")</f>
        <v>http://dx.doi.org/10.1080/00220620.2015.1038696</v>
      </c>
      <c r="BN386" t="s">
        <v>69</v>
      </c>
      <c r="BO386" t="s">
        <v>69</v>
      </c>
      <c r="BP386">
        <v>19</v>
      </c>
      <c r="BQ386" t="s">
        <v>9290</v>
      </c>
      <c r="BR386" t="s">
        <v>8573</v>
      </c>
      <c r="BS386" t="s">
        <v>9290</v>
      </c>
      <c r="BT386" t="s">
        <v>23235</v>
      </c>
      <c r="BU386" t="s">
        <v>23236</v>
      </c>
      <c r="BV386" t="s">
        <v>69</v>
      </c>
      <c r="BW386" t="s">
        <v>69</v>
      </c>
      <c r="BX386" t="s">
        <v>69</v>
      </c>
      <c r="BY386" t="s">
        <v>69</v>
      </c>
      <c r="BZ386" t="s">
        <v>8526</v>
      </c>
      <c r="CA386" t="str">
        <f>HYPERLINK("https%3A%2F%2Fwww.webofscience.com%2Fwos%2Fwoscc%2Ffull-record%2FWOS:000212003700003","View Full Record in Web of Science")</f>
        <v>View Full Record in Web of Science</v>
      </c>
    </row>
    <row r="387" spans="1:79" x14ac:dyDescent="0.3">
      <c r="A387" t="s">
        <v>8408</v>
      </c>
      <c r="B387" t="s">
        <v>8495</v>
      </c>
      <c r="D387" s="10" t="s">
        <v>33198</v>
      </c>
      <c r="F387" s="10" t="s">
        <v>8490</v>
      </c>
      <c r="H387" t="s">
        <v>67</v>
      </c>
      <c r="I387" t="s">
        <v>5547</v>
      </c>
      <c r="J387" t="s">
        <v>69</v>
      </c>
      <c r="K387" t="s">
        <v>69</v>
      </c>
      <c r="L387" t="s">
        <v>69</v>
      </c>
      <c r="M387" s="2" t="s">
        <v>5547</v>
      </c>
      <c r="N387" t="s">
        <v>69</v>
      </c>
      <c r="O387" t="s">
        <v>69</v>
      </c>
      <c r="P387" t="s">
        <v>5548</v>
      </c>
      <c r="Q387" t="s">
        <v>5549</v>
      </c>
      <c r="R387" t="s">
        <v>69</v>
      </c>
      <c r="S387" t="s">
        <v>69</v>
      </c>
      <c r="T387" t="s">
        <v>8505</v>
      </c>
      <c r="U387" t="s">
        <v>8506</v>
      </c>
      <c r="V387" t="s">
        <v>69</v>
      </c>
      <c r="W387" t="s">
        <v>69</v>
      </c>
      <c r="X387" t="s">
        <v>69</v>
      </c>
      <c r="Y387" t="s">
        <v>69</v>
      </c>
      <c r="Z387" t="s">
        <v>69</v>
      </c>
      <c r="AA387" t="s">
        <v>69</v>
      </c>
      <c r="AB387" t="s">
        <v>32656</v>
      </c>
      <c r="AC387" t="s">
        <v>5550</v>
      </c>
      <c r="AD387" t="s">
        <v>69</v>
      </c>
      <c r="AE387" t="s">
        <v>69</v>
      </c>
      <c r="AF387" t="s">
        <v>32657</v>
      </c>
      <c r="AG387" t="s">
        <v>69</v>
      </c>
      <c r="AH387" t="s">
        <v>69</v>
      </c>
      <c r="AI387" t="s">
        <v>69</v>
      </c>
      <c r="AJ387" t="s">
        <v>69</v>
      </c>
      <c r="AK387" t="s">
        <v>69</v>
      </c>
      <c r="AL387" t="s">
        <v>69</v>
      </c>
      <c r="AM387" t="s">
        <v>69</v>
      </c>
      <c r="AN387">
        <v>53</v>
      </c>
      <c r="AO387">
        <v>29</v>
      </c>
      <c r="AP387">
        <v>29</v>
      </c>
      <c r="AQ387">
        <v>0</v>
      </c>
      <c r="AR387">
        <v>13</v>
      </c>
      <c r="AS387" t="s">
        <v>9554</v>
      </c>
      <c r="AT387" t="s">
        <v>9555</v>
      </c>
      <c r="AU387" t="s">
        <v>9556</v>
      </c>
      <c r="AV387" t="s">
        <v>5551</v>
      </c>
      <c r="AW387" t="s">
        <v>5552</v>
      </c>
      <c r="AX387" t="s">
        <v>69</v>
      </c>
      <c r="AY387" t="s">
        <v>32658</v>
      </c>
      <c r="AZ387" t="s">
        <v>32659</v>
      </c>
      <c r="BA387" t="s">
        <v>255</v>
      </c>
      <c r="BB387">
        <v>1994</v>
      </c>
      <c r="BC387">
        <v>16</v>
      </c>
      <c r="BD387">
        <v>1</v>
      </c>
      <c r="BE387" t="s">
        <v>69</v>
      </c>
      <c r="BF387" t="s">
        <v>69</v>
      </c>
      <c r="BG387" t="s">
        <v>69</v>
      </c>
      <c r="BH387" t="s">
        <v>69</v>
      </c>
      <c r="BI387">
        <v>11</v>
      </c>
      <c r="BJ387">
        <v>42</v>
      </c>
      <c r="BK387" t="s">
        <v>69</v>
      </c>
      <c r="BL387" t="s">
        <v>5553</v>
      </c>
      <c r="BM387" t="str">
        <f>HYPERLINK("http://dx.doi.org/10.1177/0164025994016001002","http://dx.doi.org/10.1177/0164025994016001002")</f>
        <v>http://dx.doi.org/10.1177/0164025994016001002</v>
      </c>
      <c r="BN387" t="s">
        <v>69</v>
      </c>
      <c r="BO387" t="s">
        <v>69</v>
      </c>
      <c r="BP387">
        <v>32</v>
      </c>
      <c r="BQ387" t="s">
        <v>8443</v>
      </c>
      <c r="BR387" t="s">
        <v>8661</v>
      </c>
      <c r="BS387" t="s">
        <v>8443</v>
      </c>
      <c r="BT387" t="s">
        <v>32660</v>
      </c>
      <c r="BU387" t="s">
        <v>5554</v>
      </c>
      <c r="BV387" t="s">
        <v>69</v>
      </c>
      <c r="BW387" t="s">
        <v>69</v>
      </c>
      <c r="BX387" t="s">
        <v>69</v>
      </c>
      <c r="BY387" t="s">
        <v>69</v>
      </c>
      <c r="BZ387" t="s">
        <v>8526</v>
      </c>
      <c r="CA387" t="str">
        <f>HYPERLINK("https%3A%2F%2Fwww.webofscience.com%2Fwos%2Fwoscc%2Ffull-record%2FWOS:A1994PU79000002","View Full Record in Web of Science")</f>
        <v>View Full Record in Web of Science</v>
      </c>
    </row>
    <row r="388" spans="1:79" ht="12.5" x14ac:dyDescent="0.25">
      <c r="B388" t="s">
        <v>8495</v>
      </c>
      <c r="D388" s="22" t="s">
        <v>32931</v>
      </c>
      <c r="E388" s="7"/>
      <c r="F388" s="7"/>
      <c r="G388" s="7"/>
      <c r="H388" t="s">
        <v>67</v>
      </c>
      <c r="I388" t="s">
        <v>28172</v>
      </c>
      <c r="J388" t="s">
        <v>69</v>
      </c>
      <c r="K388" t="s">
        <v>69</v>
      </c>
      <c r="L388" t="s">
        <v>69</v>
      </c>
      <c r="M388" t="s">
        <v>28173</v>
      </c>
      <c r="N388" t="s">
        <v>69</v>
      </c>
      <c r="O388" t="s">
        <v>69</v>
      </c>
      <c r="P388" t="s">
        <v>28174</v>
      </c>
      <c r="Q388" t="s">
        <v>22273</v>
      </c>
      <c r="R388" t="s">
        <v>69</v>
      </c>
      <c r="S388" t="s">
        <v>69</v>
      </c>
      <c r="T388" t="s">
        <v>8505</v>
      </c>
      <c r="U388" t="s">
        <v>8506</v>
      </c>
      <c r="V388" t="s">
        <v>69</v>
      </c>
      <c r="W388" t="s">
        <v>69</v>
      </c>
      <c r="X388" t="s">
        <v>69</v>
      </c>
      <c r="Y388" t="s">
        <v>69</v>
      </c>
      <c r="Z388" t="s">
        <v>69</v>
      </c>
      <c r="AA388" t="s">
        <v>28175</v>
      </c>
      <c r="AB388" t="s">
        <v>69</v>
      </c>
      <c r="AC388" t="s">
        <v>28176</v>
      </c>
      <c r="AD388" t="s">
        <v>28177</v>
      </c>
      <c r="AE388" t="s">
        <v>69</v>
      </c>
      <c r="AF388" t="s">
        <v>28178</v>
      </c>
      <c r="AG388" t="s">
        <v>28179</v>
      </c>
      <c r="AH388" t="s">
        <v>69</v>
      </c>
      <c r="AI388" t="s">
        <v>69</v>
      </c>
      <c r="AJ388" t="s">
        <v>69</v>
      </c>
      <c r="AK388" t="s">
        <v>69</v>
      </c>
      <c r="AL388" t="s">
        <v>69</v>
      </c>
      <c r="AM388" t="s">
        <v>69</v>
      </c>
      <c r="AN388">
        <v>36</v>
      </c>
      <c r="AO388">
        <v>12</v>
      </c>
      <c r="AP388">
        <v>12</v>
      </c>
      <c r="AQ388">
        <v>1</v>
      </c>
      <c r="AR388">
        <v>14</v>
      </c>
      <c r="AS388" t="s">
        <v>22282</v>
      </c>
      <c r="AT388" t="s">
        <v>22283</v>
      </c>
      <c r="AU388" t="s">
        <v>22284</v>
      </c>
      <c r="AV388" t="s">
        <v>22285</v>
      </c>
      <c r="AW388" t="s">
        <v>69</v>
      </c>
      <c r="AX388" t="s">
        <v>69</v>
      </c>
      <c r="AY388" t="s">
        <v>22287</v>
      </c>
      <c r="AZ388" t="s">
        <v>22288</v>
      </c>
      <c r="BA388" t="s">
        <v>69</v>
      </c>
      <c r="BB388">
        <v>2010</v>
      </c>
      <c r="BC388">
        <v>18</v>
      </c>
      <c r="BD388">
        <v>8</v>
      </c>
      <c r="BE388" t="s">
        <v>69</v>
      </c>
      <c r="BF388" t="s">
        <v>69</v>
      </c>
      <c r="BG388" t="s">
        <v>69</v>
      </c>
      <c r="BH388" t="s">
        <v>69</v>
      </c>
      <c r="BI388">
        <v>951</v>
      </c>
      <c r="BJ388">
        <v>970</v>
      </c>
      <c r="BK388" t="s">
        <v>69</v>
      </c>
      <c r="BL388" t="s">
        <v>28180</v>
      </c>
      <c r="BM388" t="str">
        <f>HYPERLINK("http://dx.doi.org/10.1080/09669582.2010.484493","http://dx.doi.org/10.1080/09669582.2010.484493")</f>
        <v>http://dx.doi.org/10.1080/09669582.2010.484493</v>
      </c>
      <c r="BN388" t="s">
        <v>69</v>
      </c>
      <c r="BO388" t="s">
        <v>69</v>
      </c>
      <c r="BP388">
        <v>20</v>
      </c>
      <c r="BQ388" t="s">
        <v>22290</v>
      </c>
      <c r="BR388" t="s">
        <v>8661</v>
      </c>
      <c r="BS388" t="s">
        <v>22291</v>
      </c>
      <c r="BT388" t="s">
        <v>28181</v>
      </c>
      <c r="BU388" t="s">
        <v>28182</v>
      </c>
      <c r="BV388" t="s">
        <v>69</v>
      </c>
      <c r="BW388" t="s">
        <v>10995</v>
      </c>
      <c r="BX388" t="s">
        <v>69</v>
      </c>
      <c r="BY388" t="s">
        <v>69</v>
      </c>
      <c r="BZ388" t="s">
        <v>8526</v>
      </c>
      <c r="CA388" t="str">
        <f>HYPERLINK("https%3A%2F%2Fwww.webofscience.com%2Fwos%2Fwoscc%2Ffull-record%2FWOS:000283061200002","View Full Record in Web of Science")</f>
        <v>View Full Record in Web of Science</v>
      </c>
    </row>
    <row r="389" spans="1:79" ht="12.5" x14ac:dyDescent="0.25">
      <c r="B389" t="s">
        <v>8495</v>
      </c>
      <c r="D389" s="22" t="s">
        <v>32931</v>
      </c>
      <c r="E389" s="7"/>
      <c r="F389" s="7"/>
      <c r="G389" s="7"/>
      <c r="H389" t="s">
        <v>67</v>
      </c>
      <c r="I389" t="s">
        <v>17743</v>
      </c>
      <c r="J389" t="s">
        <v>69</v>
      </c>
      <c r="K389" t="s">
        <v>69</v>
      </c>
      <c r="L389" t="s">
        <v>69</v>
      </c>
      <c r="M389" t="s">
        <v>17744</v>
      </c>
      <c r="N389" t="s">
        <v>69</v>
      </c>
      <c r="O389" t="s">
        <v>69</v>
      </c>
      <c r="P389" t="s">
        <v>17745</v>
      </c>
      <c r="Q389" t="s">
        <v>17746</v>
      </c>
      <c r="R389" t="s">
        <v>69</v>
      </c>
      <c r="S389" t="s">
        <v>69</v>
      </c>
      <c r="T389" t="s">
        <v>8505</v>
      </c>
      <c r="U389" t="s">
        <v>8506</v>
      </c>
      <c r="V389" t="s">
        <v>69</v>
      </c>
      <c r="W389" t="s">
        <v>69</v>
      </c>
      <c r="X389" t="s">
        <v>69</v>
      </c>
      <c r="Y389" t="s">
        <v>69</v>
      </c>
      <c r="Z389" t="s">
        <v>69</v>
      </c>
      <c r="AA389" t="s">
        <v>17747</v>
      </c>
      <c r="AB389" t="s">
        <v>69</v>
      </c>
      <c r="AC389" t="s">
        <v>17748</v>
      </c>
      <c r="AD389" t="s">
        <v>17749</v>
      </c>
      <c r="AE389" t="s">
        <v>69</v>
      </c>
      <c r="AF389" t="s">
        <v>17750</v>
      </c>
      <c r="AG389" t="s">
        <v>17751</v>
      </c>
      <c r="AH389" t="s">
        <v>69</v>
      </c>
      <c r="AI389" t="s">
        <v>69</v>
      </c>
      <c r="AJ389" t="s">
        <v>69</v>
      </c>
      <c r="AK389" t="s">
        <v>69</v>
      </c>
      <c r="AL389" t="s">
        <v>69</v>
      </c>
      <c r="AM389" t="s">
        <v>69</v>
      </c>
      <c r="AN389">
        <v>25</v>
      </c>
      <c r="AO389">
        <v>0</v>
      </c>
      <c r="AP389">
        <v>0</v>
      </c>
      <c r="AQ389">
        <v>0</v>
      </c>
      <c r="AR389">
        <v>0</v>
      </c>
      <c r="AS389" t="s">
        <v>17752</v>
      </c>
      <c r="AT389" t="s">
        <v>17753</v>
      </c>
      <c r="AU389" t="s">
        <v>17754</v>
      </c>
      <c r="AV389" t="s">
        <v>17755</v>
      </c>
      <c r="AW389" t="s">
        <v>69</v>
      </c>
      <c r="AX389" t="s">
        <v>69</v>
      </c>
      <c r="AY389" t="s">
        <v>17756</v>
      </c>
      <c r="AZ389" t="s">
        <v>17757</v>
      </c>
      <c r="BA389" t="s">
        <v>69</v>
      </c>
      <c r="BB389">
        <v>2019</v>
      </c>
      <c r="BC389">
        <v>17</v>
      </c>
      <c r="BD389">
        <v>1</v>
      </c>
      <c r="BE389" t="s">
        <v>69</v>
      </c>
      <c r="BF389" t="s">
        <v>69</v>
      </c>
      <c r="BG389" t="s">
        <v>69</v>
      </c>
      <c r="BH389" t="s">
        <v>69</v>
      </c>
      <c r="BI389">
        <v>87</v>
      </c>
      <c r="BJ389">
        <v>100</v>
      </c>
      <c r="BK389" t="s">
        <v>69</v>
      </c>
      <c r="BL389" t="s">
        <v>69</v>
      </c>
      <c r="BM389" t="s">
        <v>69</v>
      </c>
      <c r="BN389" t="s">
        <v>69</v>
      </c>
      <c r="BO389" t="s">
        <v>69</v>
      </c>
      <c r="BP389">
        <v>14</v>
      </c>
      <c r="BQ389" t="s">
        <v>8444</v>
      </c>
      <c r="BR389" t="s">
        <v>8573</v>
      </c>
      <c r="BS389" t="s">
        <v>8594</v>
      </c>
      <c r="BT389" t="s">
        <v>17758</v>
      </c>
      <c r="BU389" t="s">
        <v>17759</v>
      </c>
      <c r="BV389" t="s">
        <v>69</v>
      </c>
      <c r="BW389" t="s">
        <v>69</v>
      </c>
      <c r="BX389" t="s">
        <v>69</v>
      </c>
      <c r="BY389" t="s">
        <v>69</v>
      </c>
      <c r="BZ389" t="s">
        <v>8526</v>
      </c>
      <c r="CA389" t="str">
        <f>HYPERLINK("https%3A%2F%2Fwww.webofscience.com%2Fwos%2Fwoscc%2Ffull-record%2FWOS:000477817700005","View Full Record in Web of Science")</f>
        <v>View Full Record in Web of Science</v>
      </c>
    </row>
    <row r="390" spans="1:79" ht="12.5" x14ac:dyDescent="0.25">
      <c r="B390" t="s">
        <v>8495</v>
      </c>
      <c r="D390" s="22" t="s">
        <v>32931</v>
      </c>
      <c r="E390" s="7"/>
      <c r="F390" s="7"/>
      <c r="G390" s="7"/>
      <c r="H390" t="s">
        <v>67</v>
      </c>
      <c r="I390" t="s">
        <v>9641</v>
      </c>
      <c r="J390" t="s">
        <v>69</v>
      </c>
      <c r="K390" t="s">
        <v>69</v>
      </c>
      <c r="L390" t="s">
        <v>69</v>
      </c>
      <c r="M390" t="s">
        <v>9642</v>
      </c>
      <c r="N390" t="s">
        <v>69</v>
      </c>
      <c r="O390" t="s">
        <v>69</v>
      </c>
      <c r="P390" t="s">
        <v>9643</v>
      </c>
      <c r="Q390" t="s">
        <v>9644</v>
      </c>
      <c r="R390" t="s">
        <v>69</v>
      </c>
      <c r="S390" t="s">
        <v>69</v>
      </c>
      <c r="T390" t="s">
        <v>8505</v>
      </c>
      <c r="U390" t="s">
        <v>8506</v>
      </c>
      <c r="V390" t="s">
        <v>69</v>
      </c>
      <c r="W390" t="s">
        <v>69</v>
      </c>
      <c r="X390" t="s">
        <v>69</v>
      </c>
      <c r="Y390" t="s">
        <v>69</v>
      </c>
      <c r="Z390" t="s">
        <v>69</v>
      </c>
      <c r="AA390" t="s">
        <v>9645</v>
      </c>
      <c r="AB390" t="s">
        <v>9646</v>
      </c>
      <c r="AC390" t="s">
        <v>9647</v>
      </c>
      <c r="AD390" t="s">
        <v>9648</v>
      </c>
      <c r="AE390" t="s">
        <v>69</v>
      </c>
      <c r="AF390" t="s">
        <v>9649</v>
      </c>
      <c r="AG390" t="s">
        <v>9650</v>
      </c>
      <c r="AH390" t="s">
        <v>9651</v>
      </c>
      <c r="AI390" t="s">
        <v>9652</v>
      </c>
      <c r="AJ390" t="s">
        <v>9653</v>
      </c>
      <c r="AK390" t="s">
        <v>9654</v>
      </c>
      <c r="AL390" t="s">
        <v>9655</v>
      </c>
      <c r="AM390" t="s">
        <v>69</v>
      </c>
      <c r="AN390">
        <v>56</v>
      </c>
      <c r="AO390">
        <v>0</v>
      </c>
      <c r="AP390">
        <v>0</v>
      </c>
      <c r="AQ390">
        <v>1</v>
      </c>
      <c r="AR390">
        <v>1</v>
      </c>
      <c r="AS390" t="s">
        <v>9145</v>
      </c>
      <c r="AT390" t="s">
        <v>8637</v>
      </c>
      <c r="AU390" t="s">
        <v>9146</v>
      </c>
      <c r="AV390" t="s">
        <v>9656</v>
      </c>
      <c r="AW390" t="s">
        <v>9657</v>
      </c>
      <c r="AX390" t="s">
        <v>69</v>
      </c>
      <c r="AY390" t="s">
        <v>9658</v>
      </c>
      <c r="AZ390" t="s">
        <v>9659</v>
      </c>
      <c r="BA390" t="s">
        <v>94</v>
      </c>
      <c r="BB390">
        <v>2022</v>
      </c>
      <c r="BC390">
        <v>93</v>
      </c>
      <c r="BD390" t="s">
        <v>69</v>
      </c>
      <c r="BE390" t="s">
        <v>69</v>
      </c>
      <c r="BF390" t="s">
        <v>69</v>
      </c>
      <c r="BG390" t="s">
        <v>69</v>
      </c>
      <c r="BH390" t="s">
        <v>69</v>
      </c>
      <c r="BI390" t="s">
        <v>69</v>
      </c>
      <c r="BJ390" t="s">
        <v>69</v>
      </c>
      <c r="BK390">
        <v>103353</v>
      </c>
      <c r="BL390" t="s">
        <v>9660</v>
      </c>
      <c r="BM390" t="str">
        <f>HYPERLINK("http://dx.doi.org/10.1016/j.annals.2022.103353","http://dx.doi.org/10.1016/j.annals.2022.103353")</f>
        <v>http://dx.doi.org/10.1016/j.annals.2022.103353</v>
      </c>
      <c r="BN390" t="s">
        <v>69</v>
      </c>
      <c r="BO390" t="s">
        <v>69</v>
      </c>
      <c r="BP390">
        <v>13</v>
      </c>
      <c r="BQ390" t="s">
        <v>9661</v>
      </c>
      <c r="BR390" t="s">
        <v>8661</v>
      </c>
      <c r="BS390" t="s">
        <v>9662</v>
      </c>
      <c r="BT390" t="s">
        <v>9663</v>
      </c>
      <c r="BU390" t="s">
        <v>9664</v>
      </c>
      <c r="BV390" t="s">
        <v>69</v>
      </c>
      <c r="BW390" t="s">
        <v>69</v>
      </c>
      <c r="BX390" t="s">
        <v>69</v>
      </c>
      <c r="BY390" t="s">
        <v>69</v>
      </c>
      <c r="BZ390" t="s">
        <v>8526</v>
      </c>
      <c r="CA390" t="str">
        <f>HYPERLINK("https%3A%2F%2Fwww.webofscience.com%2Fwos%2Fwoscc%2Ffull-record%2FWOS:000792164400021","View Full Record in Web of Science")</f>
        <v>View Full Record in Web of Science</v>
      </c>
    </row>
    <row r="391" spans="1:79" ht="12.5" x14ac:dyDescent="0.25">
      <c r="B391" t="s">
        <v>8495</v>
      </c>
      <c r="D391" s="22" t="s">
        <v>32931</v>
      </c>
      <c r="E391" s="7"/>
      <c r="F391" s="7"/>
      <c r="G391" s="7"/>
      <c r="H391" t="s">
        <v>67</v>
      </c>
      <c r="I391" t="s">
        <v>31966</v>
      </c>
      <c r="J391" t="s">
        <v>69</v>
      </c>
      <c r="K391" t="s">
        <v>69</v>
      </c>
      <c r="L391" t="s">
        <v>69</v>
      </c>
      <c r="M391" t="s">
        <v>31966</v>
      </c>
      <c r="N391" t="s">
        <v>69</v>
      </c>
      <c r="O391" t="s">
        <v>69</v>
      </c>
      <c r="P391" t="s">
        <v>31967</v>
      </c>
      <c r="Q391" t="s">
        <v>3893</v>
      </c>
      <c r="R391" t="s">
        <v>69</v>
      </c>
      <c r="S391" t="s">
        <v>69</v>
      </c>
      <c r="T391" t="s">
        <v>8505</v>
      </c>
      <c r="U391" t="s">
        <v>8506</v>
      </c>
      <c r="V391" t="s">
        <v>69</v>
      </c>
      <c r="W391" t="s">
        <v>69</v>
      </c>
      <c r="X391" t="s">
        <v>69</v>
      </c>
      <c r="Y391" t="s">
        <v>69</v>
      </c>
      <c r="Z391" t="s">
        <v>69</v>
      </c>
      <c r="AA391" t="s">
        <v>31968</v>
      </c>
      <c r="AB391" t="s">
        <v>31969</v>
      </c>
      <c r="AC391" t="s">
        <v>31970</v>
      </c>
      <c r="AD391" t="s">
        <v>31971</v>
      </c>
      <c r="AE391" t="s">
        <v>69</v>
      </c>
      <c r="AF391" t="s">
        <v>31972</v>
      </c>
      <c r="AG391" t="s">
        <v>69</v>
      </c>
      <c r="AH391" t="s">
        <v>31973</v>
      </c>
      <c r="AI391" t="s">
        <v>31974</v>
      </c>
      <c r="AJ391" t="s">
        <v>69</v>
      </c>
      <c r="AK391" t="s">
        <v>69</v>
      </c>
      <c r="AL391" t="s">
        <v>69</v>
      </c>
      <c r="AM391" t="s">
        <v>69</v>
      </c>
      <c r="AN391">
        <v>41</v>
      </c>
      <c r="AO391">
        <v>18</v>
      </c>
      <c r="AP391">
        <v>18</v>
      </c>
      <c r="AQ391">
        <v>1</v>
      </c>
      <c r="AR391">
        <v>4</v>
      </c>
      <c r="AS391" t="s">
        <v>10352</v>
      </c>
      <c r="AT391" t="s">
        <v>8637</v>
      </c>
      <c r="AU391" t="s">
        <v>10353</v>
      </c>
      <c r="AV391" t="s">
        <v>3896</v>
      </c>
      <c r="AW391" t="s">
        <v>69</v>
      </c>
      <c r="AX391" t="s">
        <v>69</v>
      </c>
      <c r="AY391" t="s">
        <v>19968</v>
      </c>
      <c r="AZ391" t="s">
        <v>19969</v>
      </c>
      <c r="BA391" t="s">
        <v>155</v>
      </c>
      <c r="BB391">
        <v>1999</v>
      </c>
      <c r="BC391">
        <v>14</v>
      </c>
      <c r="BD391">
        <v>2</v>
      </c>
      <c r="BE391" t="s">
        <v>69</v>
      </c>
      <c r="BF391" t="s">
        <v>69</v>
      </c>
      <c r="BG391" t="s">
        <v>69</v>
      </c>
      <c r="BH391" t="s">
        <v>69</v>
      </c>
      <c r="BI391">
        <v>145</v>
      </c>
      <c r="BJ391">
        <v>154</v>
      </c>
      <c r="BK391" t="s">
        <v>69</v>
      </c>
      <c r="BL391" t="s">
        <v>31975</v>
      </c>
      <c r="BM391" t="str">
        <f>HYPERLINK("http://dx.doi.org/10.1093/heapro/14.2.145","http://dx.doi.org/10.1093/heapro/14.2.145")</f>
        <v>http://dx.doi.org/10.1093/heapro/14.2.145</v>
      </c>
      <c r="BN391" t="s">
        <v>69</v>
      </c>
      <c r="BO391" t="s">
        <v>69</v>
      </c>
      <c r="BP391">
        <v>10</v>
      </c>
      <c r="BQ391" t="s">
        <v>19970</v>
      </c>
      <c r="BR391" t="s">
        <v>8661</v>
      </c>
      <c r="BS391" t="s">
        <v>11565</v>
      </c>
      <c r="BT391" t="s">
        <v>31976</v>
      </c>
      <c r="BU391" t="s">
        <v>31977</v>
      </c>
      <c r="BV391" t="s">
        <v>69</v>
      </c>
      <c r="BW391" t="s">
        <v>9374</v>
      </c>
      <c r="BX391" t="s">
        <v>69</v>
      </c>
      <c r="BY391" t="s">
        <v>69</v>
      </c>
      <c r="BZ391" t="s">
        <v>8526</v>
      </c>
      <c r="CA391" t="str">
        <f>HYPERLINK("https%3A%2F%2Fwww.webofscience.com%2Fwos%2Fwoscc%2Ffull-record%2FWOS:000080798200006","View Full Record in Web of Science")</f>
        <v>View Full Record in Web of Science</v>
      </c>
    </row>
    <row r="392" spans="1:79" x14ac:dyDescent="0.3">
      <c r="B392" t="s">
        <v>8495</v>
      </c>
      <c r="D392" s="9" t="s">
        <v>32954</v>
      </c>
      <c r="E392" s="9" t="s">
        <v>33057</v>
      </c>
      <c r="F392" s="9" t="s">
        <v>8491</v>
      </c>
      <c r="G392" s="9" t="s">
        <v>8490</v>
      </c>
      <c r="H392" t="s">
        <v>67</v>
      </c>
      <c r="I392" t="s">
        <v>28766</v>
      </c>
      <c r="J392" t="s">
        <v>69</v>
      </c>
      <c r="K392" t="s">
        <v>69</v>
      </c>
      <c r="L392" t="s">
        <v>69</v>
      </c>
      <c r="M392" t="s">
        <v>28767</v>
      </c>
      <c r="N392" t="s">
        <v>69</v>
      </c>
      <c r="O392" t="s">
        <v>69</v>
      </c>
      <c r="P392" t="s">
        <v>28768</v>
      </c>
      <c r="Q392" t="s">
        <v>15404</v>
      </c>
      <c r="R392" t="s">
        <v>69</v>
      </c>
      <c r="S392" t="s">
        <v>69</v>
      </c>
      <c r="T392" t="s">
        <v>8505</v>
      </c>
      <c r="U392" t="s">
        <v>8506</v>
      </c>
      <c r="V392" t="s">
        <v>69</v>
      </c>
      <c r="W392" t="s">
        <v>69</v>
      </c>
      <c r="X392" t="s">
        <v>69</v>
      </c>
      <c r="Y392" t="s">
        <v>69</v>
      </c>
      <c r="Z392" t="s">
        <v>69</v>
      </c>
      <c r="AA392" t="s">
        <v>28769</v>
      </c>
      <c r="AB392" t="s">
        <v>69</v>
      </c>
      <c r="AC392" t="s">
        <v>28770</v>
      </c>
      <c r="AD392" t="s">
        <v>69</v>
      </c>
      <c r="AE392" t="s">
        <v>69</v>
      </c>
      <c r="AF392" t="s">
        <v>69</v>
      </c>
      <c r="AG392" t="s">
        <v>28771</v>
      </c>
      <c r="AH392" t="s">
        <v>69</v>
      </c>
      <c r="AI392" t="s">
        <v>69</v>
      </c>
      <c r="AJ392" t="s">
        <v>69</v>
      </c>
      <c r="AK392" t="s">
        <v>69</v>
      </c>
      <c r="AL392" t="s">
        <v>69</v>
      </c>
      <c r="AM392" t="s">
        <v>69</v>
      </c>
      <c r="AN392">
        <v>43</v>
      </c>
      <c r="AO392">
        <v>17</v>
      </c>
      <c r="AP392">
        <v>17</v>
      </c>
      <c r="AQ392">
        <v>2</v>
      </c>
      <c r="AR392">
        <v>11</v>
      </c>
      <c r="AS392" t="s">
        <v>8865</v>
      </c>
      <c r="AT392" t="s">
        <v>8612</v>
      </c>
      <c r="AU392" t="s">
        <v>8866</v>
      </c>
      <c r="AV392" t="s">
        <v>15411</v>
      </c>
      <c r="AW392" t="s">
        <v>15412</v>
      </c>
      <c r="AX392" t="s">
        <v>69</v>
      </c>
      <c r="AY392" t="s">
        <v>15413</v>
      </c>
      <c r="AZ392" t="s">
        <v>15414</v>
      </c>
      <c r="BA392" t="s">
        <v>69</v>
      </c>
      <c r="BB392">
        <v>2009</v>
      </c>
      <c r="BC392">
        <v>15</v>
      </c>
      <c r="BD392">
        <v>1</v>
      </c>
      <c r="BE392" t="s">
        <v>69</v>
      </c>
      <c r="BF392" t="s">
        <v>69</v>
      </c>
      <c r="BG392" t="s">
        <v>69</v>
      </c>
      <c r="BH392" t="s">
        <v>69</v>
      </c>
      <c r="BI392">
        <v>1</v>
      </c>
      <c r="BJ392">
        <v>15</v>
      </c>
      <c r="BK392" t="s">
        <v>69</v>
      </c>
      <c r="BL392" t="s">
        <v>28772</v>
      </c>
      <c r="BM392" t="str">
        <f>HYPERLINK("http://dx.doi.org/10.1080/13504620802578509","http://dx.doi.org/10.1080/13504620802578509")</f>
        <v>http://dx.doi.org/10.1080/13504620802578509</v>
      </c>
      <c r="BN392" t="s">
        <v>69</v>
      </c>
      <c r="BO392" t="s">
        <v>69</v>
      </c>
      <c r="BP392">
        <v>15</v>
      </c>
      <c r="BQ392" t="s">
        <v>15416</v>
      </c>
      <c r="BR392" t="s">
        <v>8661</v>
      </c>
      <c r="BS392" t="s">
        <v>15417</v>
      </c>
      <c r="BT392" t="s">
        <v>28773</v>
      </c>
      <c r="BU392" t="s">
        <v>28774</v>
      </c>
      <c r="BV392" t="s">
        <v>69</v>
      </c>
      <c r="BW392" t="s">
        <v>69</v>
      </c>
      <c r="BX392" t="s">
        <v>69</v>
      </c>
      <c r="BY392" t="s">
        <v>69</v>
      </c>
      <c r="BZ392" t="s">
        <v>8526</v>
      </c>
      <c r="CA392" t="str">
        <f>HYPERLINK("https%3A%2F%2Fwww.webofscience.com%2Fwos%2Fwoscc%2Ffull-record%2FWOS:000274019200001","View Full Record in Web of Science")</f>
        <v>View Full Record in Web of Science</v>
      </c>
    </row>
    <row r="393" spans="1:79" ht="12.5" x14ac:dyDescent="0.25">
      <c r="B393" t="s">
        <v>8495</v>
      </c>
      <c r="D393" s="22" t="s">
        <v>32931</v>
      </c>
      <c r="E393" s="7"/>
      <c r="F393" s="7"/>
      <c r="G393" s="7"/>
      <c r="H393" t="s">
        <v>67</v>
      </c>
      <c r="I393" t="s">
        <v>22484</v>
      </c>
      <c r="J393" t="s">
        <v>69</v>
      </c>
      <c r="K393" t="s">
        <v>69</v>
      </c>
      <c r="L393" t="s">
        <v>69</v>
      </c>
      <c r="M393" t="s">
        <v>22485</v>
      </c>
      <c r="N393" t="s">
        <v>69</v>
      </c>
      <c r="O393" t="s">
        <v>69</v>
      </c>
      <c r="P393" t="s">
        <v>22486</v>
      </c>
      <c r="Q393" t="s">
        <v>22487</v>
      </c>
      <c r="R393" t="s">
        <v>69</v>
      </c>
      <c r="S393" t="s">
        <v>69</v>
      </c>
      <c r="T393" t="s">
        <v>8505</v>
      </c>
      <c r="U393" t="s">
        <v>8506</v>
      </c>
      <c r="V393" t="s">
        <v>69</v>
      </c>
      <c r="W393" t="s">
        <v>69</v>
      </c>
      <c r="X393" t="s">
        <v>69</v>
      </c>
      <c r="Y393" t="s">
        <v>69</v>
      </c>
      <c r="Z393" t="s">
        <v>69</v>
      </c>
      <c r="AA393" t="s">
        <v>22488</v>
      </c>
      <c r="AB393" t="s">
        <v>69</v>
      </c>
      <c r="AC393" t="s">
        <v>22489</v>
      </c>
      <c r="AD393" t="s">
        <v>22490</v>
      </c>
      <c r="AE393" t="s">
        <v>69</v>
      </c>
      <c r="AF393" t="s">
        <v>22491</v>
      </c>
      <c r="AG393" t="s">
        <v>22492</v>
      </c>
      <c r="AH393" t="s">
        <v>22493</v>
      </c>
      <c r="AI393" t="s">
        <v>22494</v>
      </c>
      <c r="AJ393" t="s">
        <v>69</v>
      </c>
      <c r="AK393" t="s">
        <v>69</v>
      </c>
      <c r="AL393" t="s">
        <v>69</v>
      </c>
      <c r="AM393" t="s">
        <v>69</v>
      </c>
      <c r="AN393">
        <v>61</v>
      </c>
      <c r="AO393">
        <v>26</v>
      </c>
      <c r="AP393">
        <v>26</v>
      </c>
      <c r="AQ393">
        <v>0</v>
      </c>
      <c r="AR393">
        <v>26</v>
      </c>
      <c r="AS393" t="s">
        <v>9047</v>
      </c>
      <c r="AT393" t="s">
        <v>9048</v>
      </c>
      <c r="AU393" t="s">
        <v>9049</v>
      </c>
      <c r="AV393" t="s">
        <v>22495</v>
      </c>
      <c r="AW393" t="s">
        <v>22496</v>
      </c>
      <c r="AX393" t="s">
        <v>69</v>
      </c>
      <c r="AY393" t="s">
        <v>22497</v>
      </c>
      <c r="AZ393" t="s">
        <v>22498</v>
      </c>
      <c r="BA393" t="s">
        <v>255</v>
      </c>
      <c r="BB393">
        <v>2015</v>
      </c>
      <c r="BC393">
        <v>123</v>
      </c>
      <c r="BD393">
        <v>3</v>
      </c>
      <c r="BE393" t="s">
        <v>69</v>
      </c>
      <c r="BF393" t="s">
        <v>69</v>
      </c>
      <c r="BG393" t="s">
        <v>69</v>
      </c>
      <c r="BH393" t="s">
        <v>69</v>
      </c>
      <c r="BI393">
        <v>857</v>
      </c>
      <c r="BJ393">
        <v>877</v>
      </c>
      <c r="BK393" t="s">
        <v>69</v>
      </c>
      <c r="BL393" t="s">
        <v>22499</v>
      </c>
      <c r="BM393" t="str">
        <f>HYPERLINK("http://dx.doi.org/10.1007/s11205-014-0764-x","http://dx.doi.org/10.1007/s11205-014-0764-x")</f>
        <v>http://dx.doi.org/10.1007/s11205-014-0764-x</v>
      </c>
      <c r="BN393" t="s">
        <v>69</v>
      </c>
      <c r="BO393" t="s">
        <v>69</v>
      </c>
      <c r="BP393">
        <v>21</v>
      </c>
      <c r="BQ393" t="s">
        <v>22500</v>
      </c>
      <c r="BR393" t="s">
        <v>8661</v>
      </c>
      <c r="BS393" t="s">
        <v>9662</v>
      </c>
      <c r="BT393" t="s">
        <v>22501</v>
      </c>
      <c r="BU393" t="s">
        <v>22502</v>
      </c>
      <c r="BV393" t="s">
        <v>69</v>
      </c>
      <c r="BW393" t="s">
        <v>10995</v>
      </c>
      <c r="BX393" t="s">
        <v>69</v>
      </c>
      <c r="BY393" t="s">
        <v>69</v>
      </c>
      <c r="BZ393" t="s">
        <v>8526</v>
      </c>
      <c r="CA393" t="str">
        <f>HYPERLINK("https%3A%2F%2Fwww.webofscience.com%2Fwos%2Fwoscc%2Ffull-record%2FWOS:000360078700012","View Full Record in Web of Science")</f>
        <v>View Full Record in Web of Science</v>
      </c>
    </row>
    <row r="394" spans="1:79" ht="12.5" x14ac:dyDescent="0.25">
      <c r="B394" t="s">
        <v>8495</v>
      </c>
      <c r="D394" s="22" t="s">
        <v>32931</v>
      </c>
      <c r="E394" s="7"/>
      <c r="F394" s="7"/>
      <c r="G394" s="7"/>
      <c r="H394" t="s">
        <v>67</v>
      </c>
      <c r="I394" t="s">
        <v>22311</v>
      </c>
      <c r="J394" t="s">
        <v>69</v>
      </c>
      <c r="K394" t="s">
        <v>69</v>
      </c>
      <c r="L394" t="s">
        <v>69</v>
      </c>
      <c r="M394" t="s">
        <v>22312</v>
      </c>
      <c r="N394" t="s">
        <v>69</v>
      </c>
      <c r="O394" t="s">
        <v>69</v>
      </c>
      <c r="P394" t="s">
        <v>22313</v>
      </c>
      <c r="Q394" t="s">
        <v>22314</v>
      </c>
      <c r="R394" t="s">
        <v>69</v>
      </c>
      <c r="S394" t="s">
        <v>69</v>
      </c>
      <c r="T394" t="s">
        <v>8505</v>
      </c>
      <c r="U394" t="s">
        <v>8506</v>
      </c>
      <c r="V394" t="s">
        <v>69</v>
      </c>
      <c r="W394" t="s">
        <v>69</v>
      </c>
      <c r="X394" t="s">
        <v>69</v>
      </c>
      <c r="Y394" t="s">
        <v>69</v>
      </c>
      <c r="Z394" t="s">
        <v>69</v>
      </c>
      <c r="AA394" t="s">
        <v>22315</v>
      </c>
      <c r="AB394" t="s">
        <v>22316</v>
      </c>
      <c r="AC394" t="s">
        <v>22317</v>
      </c>
      <c r="AD394" t="s">
        <v>22318</v>
      </c>
      <c r="AE394" t="s">
        <v>69</v>
      </c>
      <c r="AF394" t="s">
        <v>22319</v>
      </c>
      <c r="AG394" t="s">
        <v>22320</v>
      </c>
      <c r="AH394" t="s">
        <v>69</v>
      </c>
      <c r="AI394" t="s">
        <v>22321</v>
      </c>
      <c r="AJ394" t="s">
        <v>22322</v>
      </c>
      <c r="AK394" t="s">
        <v>22323</v>
      </c>
      <c r="AL394" t="s">
        <v>22324</v>
      </c>
      <c r="AM394" t="s">
        <v>69</v>
      </c>
      <c r="AN394">
        <v>35</v>
      </c>
      <c r="AO394">
        <v>11</v>
      </c>
      <c r="AP394">
        <v>11</v>
      </c>
      <c r="AQ394">
        <v>0</v>
      </c>
      <c r="AR394">
        <v>2</v>
      </c>
      <c r="AS394" t="s">
        <v>8846</v>
      </c>
      <c r="AT394" t="s">
        <v>8847</v>
      </c>
      <c r="AU394" t="s">
        <v>8848</v>
      </c>
      <c r="AV394" t="s">
        <v>22325</v>
      </c>
      <c r="AW394" t="s">
        <v>22326</v>
      </c>
      <c r="AX394" t="s">
        <v>69</v>
      </c>
      <c r="AY394" t="s">
        <v>22327</v>
      </c>
      <c r="AZ394" t="s">
        <v>22328</v>
      </c>
      <c r="BA394" t="s">
        <v>75</v>
      </c>
      <c r="BB394">
        <v>2015</v>
      </c>
      <c r="BC394">
        <v>18</v>
      </c>
      <c r="BD394">
        <v>6</v>
      </c>
      <c r="BE394" t="s">
        <v>69</v>
      </c>
      <c r="BF394" t="s">
        <v>69</v>
      </c>
      <c r="BG394" t="s">
        <v>69</v>
      </c>
      <c r="BH394" t="s">
        <v>69</v>
      </c>
      <c r="BI394">
        <v>3225</v>
      </c>
      <c r="BJ394">
        <v>3235</v>
      </c>
      <c r="BK394" t="s">
        <v>69</v>
      </c>
      <c r="BL394" t="s">
        <v>22329</v>
      </c>
      <c r="BM394" t="str">
        <f>HYPERLINK("http://dx.doi.org/10.1111/hex.12312","http://dx.doi.org/10.1111/hex.12312")</f>
        <v>http://dx.doi.org/10.1111/hex.12312</v>
      </c>
      <c r="BN394" t="s">
        <v>69</v>
      </c>
      <c r="BO394" t="s">
        <v>69</v>
      </c>
      <c r="BP394">
        <v>11</v>
      </c>
      <c r="BQ394" t="s">
        <v>11564</v>
      </c>
      <c r="BR394" t="s">
        <v>8523</v>
      </c>
      <c r="BS394" t="s">
        <v>11565</v>
      </c>
      <c r="BT394" t="s">
        <v>22330</v>
      </c>
      <c r="BU394" t="s">
        <v>22332</v>
      </c>
      <c r="BV394">
        <v>25470115</v>
      </c>
      <c r="BW394" t="s">
        <v>22331</v>
      </c>
      <c r="BX394" t="s">
        <v>69</v>
      </c>
      <c r="BY394" t="s">
        <v>69</v>
      </c>
      <c r="BZ394" t="s">
        <v>8526</v>
      </c>
      <c r="CA394" t="str">
        <f>HYPERLINK("https%3A%2F%2Fwww.webofscience.com%2Fwos%2Fwoscc%2Ffull-record%2FWOS:000368250300115","View Full Record in Web of Science")</f>
        <v>View Full Record in Web of Science</v>
      </c>
    </row>
    <row r="395" spans="1:79" ht="12.5" x14ac:dyDescent="0.25">
      <c r="B395" t="s">
        <v>8495</v>
      </c>
      <c r="D395" s="7" t="s">
        <v>32933</v>
      </c>
      <c r="E395" s="7"/>
      <c r="F395" s="7"/>
      <c r="G395" s="7"/>
      <c r="H395" t="s">
        <v>67</v>
      </c>
      <c r="I395" t="s">
        <v>2706</v>
      </c>
      <c r="J395" t="s">
        <v>69</v>
      </c>
      <c r="K395" t="s">
        <v>69</v>
      </c>
      <c r="L395" t="s">
        <v>69</v>
      </c>
      <c r="M395" t="s">
        <v>2707</v>
      </c>
      <c r="N395" t="s">
        <v>69</v>
      </c>
      <c r="O395" t="s">
        <v>69</v>
      </c>
      <c r="P395" t="s">
        <v>2708</v>
      </c>
      <c r="Q395" t="s">
        <v>2709</v>
      </c>
      <c r="R395" t="s">
        <v>69</v>
      </c>
      <c r="S395" t="s">
        <v>69</v>
      </c>
      <c r="T395" t="s">
        <v>8505</v>
      </c>
      <c r="U395" t="s">
        <v>8506</v>
      </c>
      <c r="V395" t="s">
        <v>69</v>
      </c>
      <c r="W395" t="s">
        <v>69</v>
      </c>
      <c r="X395" t="s">
        <v>69</v>
      </c>
      <c r="Y395" t="s">
        <v>69</v>
      </c>
      <c r="Z395" t="s">
        <v>69</v>
      </c>
      <c r="AA395" t="s">
        <v>20682</v>
      </c>
      <c r="AB395" t="s">
        <v>20683</v>
      </c>
      <c r="AC395" t="s">
        <v>2710</v>
      </c>
      <c r="AD395" t="s">
        <v>20684</v>
      </c>
      <c r="AE395" t="s">
        <v>69</v>
      </c>
      <c r="AF395" t="s">
        <v>20685</v>
      </c>
      <c r="AG395" t="s">
        <v>20686</v>
      </c>
      <c r="AH395" t="s">
        <v>2711</v>
      </c>
      <c r="AI395" t="s">
        <v>2712</v>
      </c>
      <c r="AJ395" t="s">
        <v>20687</v>
      </c>
      <c r="AK395" t="s">
        <v>20687</v>
      </c>
      <c r="AL395" t="s">
        <v>20688</v>
      </c>
      <c r="AM395" t="s">
        <v>69</v>
      </c>
      <c r="AN395">
        <v>105</v>
      </c>
      <c r="AO395">
        <v>20</v>
      </c>
      <c r="AP395">
        <v>20</v>
      </c>
      <c r="AQ395">
        <v>2</v>
      </c>
      <c r="AR395">
        <v>12</v>
      </c>
      <c r="AS395" t="s">
        <v>8865</v>
      </c>
      <c r="AT395" t="s">
        <v>8612</v>
      </c>
      <c r="AU395" t="s">
        <v>8866</v>
      </c>
      <c r="AV395" t="s">
        <v>2713</v>
      </c>
      <c r="AW395" t="s">
        <v>2714</v>
      </c>
      <c r="AX395" t="s">
        <v>69</v>
      </c>
      <c r="AY395" t="s">
        <v>20689</v>
      </c>
      <c r="AZ395" t="s">
        <v>20690</v>
      </c>
      <c r="BA395" t="s">
        <v>69</v>
      </c>
      <c r="BB395">
        <v>2017</v>
      </c>
      <c r="BC395">
        <v>18</v>
      </c>
      <c r="BD395">
        <v>3</v>
      </c>
      <c r="BE395" t="s">
        <v>69</v>
      </c>
      <c r="BF395" t="s">
        <v>69</v>
      </c>
      <c r="BG395" t="s">
        <v>69</v>
      </c>
      <c r="BH395" t="s">
        <v>69</v>
      </c>
      <c r="BI395">
        <v>446</v>
      </c>
      <c r="BJ395">
        <v>465</v>
      </c>
      <c r="BK395" t="s">
        <v>69</v>
      </c>
      <c r="BL395" t="s">
        <v>2715</v>
      </c>
      <c r="BM395" t="str">
        <f>HYPERLINK("http://dx.doi.org/10.1080/14649357.2017.1316514","http://dx.doi.org/10.1080/14649357.2017.1316514")</f>
        <v>http://dx.doi.org/10.1080/14649357.2017.1316514</v>
      </c>
      <c r="BN395" t="s">
        <v>69</v>
      </c>
      <c r="BO395" t="s">
        <v>69</v>
      </c>
      <c r="BP395">
        <v>20</v>
      </c>
      <c r="BQ395" t="s">
        <v>9944</v>
      </c>
      <c r="BR395" t="s">
        <v>8661</v>
      </c>
      <c r="BS395" t="s">
        <v>9945</v>
      </c>
      <c r="BT395" t="s">
        <v>20691</v>
      </c>
      <c r="BU395" t="s">
        <v>2716</v>
      </c>
      <c r="BV395" t="s">
        <v>69</v>
      </c>
      <c r="BW395" t="s">
        <v>13280</v>
      </c>
      <c r="BX395" t="s">
        <v>69</v>
      </c>
      <c r="BY395" t="s">
        <v>69</v>
      </c>
      <c r="BZ395" t="s">
        <v>8526</v>
      </c>
      <c r="CA395" t="str">
        <f>HYPERLINK("https%3A%2F%2Fwww.webofscience.com%2Fwos%2Fwoscc%2Ffull-record%2FWOS:000418328700008","View Full Record in Web of Science")</f>
        <v>View Full Record in Web of Science</v>
      </c>
    </row>
    <row r="396" spans="1:79" x14ac:dyDescent="0.3">
      <c r="A396" t="s">
        <v>8408</v>
      </c>
      <c r="B396" t="s">
        <v>8495</v>
      </c>
      <c r="D396" s="10" t="s">
        <v>33194</v>
      </c>
      <c r="F396" s="10" t="s">
        <v>8490</v>
      </c>
      <c r="H396" t="s">
        <v>67</v>
      </c>
      <c r="I396" t="s">
        <v>4574</v>
      </c>
      <c r="J396" t="s">
        <v>69</v>
      </c>
      <c r="K396" t="s">
        <v>69</v>
      </c>
      <c r="L396" t="s">
        <v>69</v>
      </c>
      <c r="M396" s="2" t="s">
        <v>4575</v>
      </c>
      <c r="N396" t="s">
        <v>69</v>
      </c>
      <c r="O396" t="s">
        <v>69</v>
      </c>
      <c r="P396" s="2" t="s">
        <v>4576</v>
      </c>
      <c r="Q396" t="s">
        <v>4577</v>
      </c>
      <c r="R396" t="s">
        <v>69</v>
      </c>
      <c r="S396" t="s">
        <v>69</v>
      </c>
      <c r="T396" t="s">
        <v>8505</v>
      </c>
      <c r="U396" t="s">
        <v>8506</v>
      </c>
      <c r="V396" t="s">
        <v>69</v>
      </c>
      <c r="W396" t="s">
        <v>69</v>
      </c>
      <c r="X396" t="s">
        <v>69</v>
      </c>
      <c r="Y396" t="s">
        <v>69</v>
      </c>
      <c r="Z396" t="s">
        <v>69</v>
      </c>
      <c r="AA396" t="s">
        <v>14861</v>
      </c>
      <c r="AB396" t="s">
        <v>69</v>
      </c>
      <c r="AC396" t="s">
        <v>4578</v>
      </c>
      <c r="AD396" t="s">
        <v>14862</v>
      </c>
      <c r="AE396" t="s">
        <v>69</v>
      </c>
      <c r="AF396" t="s">
        <v>14863</v>
      </c>
      <c r="AG396" t="s">
        <v>14864</v>
      </c>
      <c r="AH396" t="s">
        <v>14865</v>
      </c>
      <c r="AI396" t="s">
        <v>14866</v>
      </c>
      <c r="AJ396" t="s">
        <v>14867</v>
      </c>
      <c r="AK396" t="s">
        <v>14868</v>
      </c>
      <c r="AL396" t="s">
        <v>14869</v>
      </c>
      <c r="AM396" t="s">
        <v>69</v>
      </c>
      <c r="AN396">
        <v>59</v>
      </c>
      <c r="AO396">
        <v>7</v>
      </c>
      <c r="AP396">
        <v>7</v>
      </c>
      <c r="AQ396">
        <v>0</v>
      </c>
      <c r="AR396">
        <v>3</v>
      </c>
      <c r="AS396" t="s">
        <v>8865</v>
      </c>
      <c r="AT396" t="s">
        <v>8612</v>
      </c>
      <c r="AU396" t="s">
        <v>8866</v>
      </c>
      <c r="AV396" t="s">
        <v>4579</v>
      </c>
      <c r="AW396" t="s">
        <v>4580</v>
      </c>
      <c r="AX396" t="s">
        <v>69</v>
      </c>
      <c r="AY396" t="s">
        <v>4577</v>
      </c>
      <c r="AZ396" t="s">
        <v>8484</v>
      </c>
      <c r="BA396" t="s">
        <v>14870</v>
      </c>
      <c r="BB396">
        <v>2022</v>
      </c>
      <c r="BC396">
        <v>87</v>
      </c>
      <c r="BD396">
        <v>3</v>
      </c>
      <c r="BE396" t="s">
        <v>69</v>
      </c>
      <c r="BF396" t="s">
        <v>69</v>
      </c>
      <c r="BG396" t="s">
        <v>114</v>
      </c>
      <c r="BH396" t="s">
        <v>69</v>
      </c>
      <c r="BI396">
        <v>538</v>
      </c>
      <c r="BJ396">
        <v>559</v>
      </c>
      <c r="BK396" t="s">
        <v>69</v>
      </c>
      <c r="BL396" t="s">
        <v>4581</v>
      </c>
      <c r="BM396" t="str">
        <f>HYPERLINK("http://dx.doi.org/10.1080/00141844.2020.1788109","http://dx.doi.org/10.1080/00141844.2020.1788109")</f>
        <v>http://dx.doi.org/10.1080/00141844.2020.1788109</v>
      </c>
      <c r="BN396" t="s">
        <v>69</v>
      </c>
      <c r="BO396" t="s">
        <v>4582</v>
      </c>
      <c r="BP396">
        <v>22</v>
      </c>
      <c r="BQ396" t="s">
        <v>8463</v>
      </c>
      <c r="BR396" t="s">
        <v>8661</v>
      </c>
      <c r="BS396" t="s">
        <v>8463</v>
      </c>
      <c r="BT396" t="s">
        <v>14871</v>
      </c>
      <c r="BU396" t="s">
        <v>4583</v>
      </c>
      <c r="BV396" t="s">
        <v>69</v>
      </c>
      <c r="BW396" t="s">
        <v>10363</v>
      </c>
      <c r="BX396" t="s">
        <v>69</v>
      </c>
      <c r="BY396" t="s">
        <v>69</v>
      </c>
      <c r="BZ396" t="s">
        <v>8526</v>
      </c>
      <c r="CA396" t="str">
        <f>HYPERLINK("https%3A%2F%2Fwww.webofscience.com%2Fwos%2Fwoscc%2Ffull-record%2FWOS:000550029000001","View Full Record in Web of Science")</f>
        <v>View Full Record in Web of Science</v>
      </c>
    </row>
    <row r="397" spans="1:79" ht="12.5" x14ac:dyDescent="0.25">
      <c r="B397" t="s">
        <v>8495</v>
      </c>
      <c r="D397" s="22" t="s">
        <v>32931</v>
      </c>
      <c r="E397" s="7"/>
      <c r="F397" s="7"/>
      <c r="G397" s="7"/>
      <c r="H397" t="s">
        <v>67</v>
      </c>
      <c r="I397" t="s">
        <v>30427</v>
      </c>
      <c r="J397" t="s">
        <v>69</v>
      </c>
      <c r="K397" t="s">
        <v>69</v>
      </c>
      <c r="L397" t="s">
        <v>69</v>
      </c>
      <c r="M397" t="s">
        <v>30428</v>
      </c>
      <c r="N397" t="s">
        <v>69</v>
      </c>
      <c r="O397" t="s">
        <v>69</v>
      </c>
      <c r="P397" t="s">
        <v>30429</v>
      </c>
      <c r="Q397" t="s">
        <v>30430</v>
      </c>
      <c r="R397" t="s">
        <v>69</v>
      </c>
      <c r="S397" t="s">
        <v>69</v>
      </c>
      <c r="T397" t="s">
        <v>8505</v>
      </c>
      <c r="U397" t="s">
        <v>8506</v>
      </c>
      <c r="V397" t="s">
        <v>69</v>
      </c>
      <c r="W397" t="s">
        <v>69</v>
      </c>
      <c r="X397" t="s">
        <v>69</v>
      </c>
      <c r="Y397" t="s">
        <v>69</v>
      </c>
      <c r="Z397" t="s">
        <v>69</v>
      </c>
      <c r="AA397" t="s">
        <v>30431</v>
      </c>
      <c r="AB397" t="s">
        <v>69</v>
      </c>
      <c r="AC397" t="s">
        <v>30432</v>
      </c>
      <c r="AD397" t="s">
        <v>30433</v>
      </c>
      <c r="AE397" t="s">
        <v>69</v>
      </c>
      <c r="AF397" t="s">
        <v>30434</v>
      </c>
      <c r="AG397" t="s">
        <v>30435</v>
      </c>
      <c r="AH397" t="s">
        <v>69</v>
      </c>
      <c r="AI397" t="s">
        <v>30436</v>
      </c>
      <c r="AJ397" t="s">
        <v>69</v>
      </c>
      <c r="AK397" t="s">
        <v>69</v>
      </c>
      <c r="AL397" t="s">
        <v>69</v>
      </c>
      <c r="AM397" t="s">
        <v>69</v>
      </c>
      <c r="AN397">
        <v>20</v>
      </c>
      <c r="AO397">
        <v>12</v>
      </c>
      <c r="AP397">
        <v>12</v>
      </c>
      <c r="AQ397">
        <v>0</v>
      </c>
      <c r="AR397">
        <v>0</v>
      </c>
      <c r="AS397" t="s">
        <v>8586</v>
      </c>
      <c r="AT397" t="s">
        <v>8587</v>
      </c>
      <c r="AU397" t="s">
        <v>8588</v>
      </c>
      <c r="AV397" t="s">
        <v>30437</v>
      </c>
      <c r="AW397" t="s">
        <v>30438</v>
      </c>
      <c r="AX397" t="s">
        <v>69</v>
      </c>
      <c r="AY397" t="s">
        <v>30439</v>
      </c>
      <c r="AZ397" t="s">
        <v>30440</v>
      </c>
      <c r="BA397" t="s">
        <v>69</v>
      </c>
      <c r="BB397">
        <v>2006</v>
      </c>
      <c r="BC397">
        <v>48</v>
      </c>
      <c r="BD397">
        <v>1</v>
      </c>
      <c r="BE397" t="s">
        <v>69</v>
      </c>
      <c r="BF397" t="s">
        <v>69</v>
      </c>
      <c r="BG397" t="s">
        <v>69</v>
      </c>
      <c r="BH397" t="s">
        <v>69</v>
      </c>
      <c r="BI397">
        <v>15</v>
      </c>
      <c r="BJ397">
        <v>24</v>
      </c>
      <c r="BK397" t="s">
        <v>69</v>
      </c>
      <c r="BL397" t="s">
        <v>30441</v>
      </c>
      <c r="BM397" t="str">
        <f>HYPERLINK("http://dx.doi.org/10.1108/00400910610645707","http://dx.doi.org/10.1108/00400910610645707")</f>
        <v>http://dx.doi.org/10.1108/00400910610645707</v>
      </c>
      <c r="BN397" t="s">
        <v>69</v>
      </c>
      <c r="BO397" t="s">
        <v>69</v>
      </c>
      <c r="BP397">
        <v>10</v>
      </c>
      <c r="BQ397" t="s">
        <v>9290</v>
      </c>
      <c r="BR397" t="s">
        <v>8573</v>
      </c>
      <c r="BS397" t="s">
        <v>9290</v>
      </c>
      <c r="BT397" t="s">
        <v>30442</v>
      </c>
      <c r="BU397" t="s">
        <v>30443</v>
      </c>
      <c r="BV397" t="s">
        <v>69</v>
      </c>
      <c r="BW397" t="s">
        <v>9292</v>
      </c>
      <c r="BX397" t="s">
        <v>69</v>
      </c>
      <c r="BY397" t="s">
        <v>69</v>
      </c>
      <c r="BZ397" t="s">
        <v>8526</v>
      </c>
      <c r="CA397" t="str">
        <f>HYPERLINK("https%3A%2F%2Fwww.webofscience.com%2Fwos%2Fwoscc%2Ffull-record%2FWOS:000213435200017","View Full Record in Web of Science")</f>
        <v>View Full Record in Web of Science</v>
      </c>
    </row>
    <row r="398" spans="1:79" ht="12.5" x14ac:dyDescent="0.25">
      <c r="B398" t="s">
        <v>8495</v>
      </c>
      <c r="D398" s="22" t="s">
        <v>32931</v>
      </c>
      <c r="E398" s="7"/>
      <c r="F398" s="7"/>
      <c r="G398" s="7"/>
      <c r="H398" t="s">
        <v>67</v>
      </c>
      <c r="I398" t="s">
        <v>31794</v>
      </c>
      <c r="J398" t="s">
        <v>69</v>
      </c>
      <c r="K398" t="s">
        <v>69</v>
      </c>
      <c r="L398" t="s">
        <v>69</v>
      </c>
      <c r="M398" t="s">
        <v>31794</v>
      </c>
      <c r="N398" t="s">
        <v>69</v>
      </c>
      <c r="O398" t="s">
        <v>69</v>
      </c>
      <c r="P398" t="s">
        <v>31795</v>
      </c>
      <c r="Q398" t="s">
        <v>31796</v>
      </c>
      <c r="R398" t="s">
        <v>69</v>
      </c>
      <c r="S398" t="s">
        <v>69</v>
      </c>
      <c r="T398" t="s">
        <v>8505</v>
      </c>
      <c r="U398" t="s">
        <v>15797</v>
      </c>
      <c r="V398" t="s">
        <v>31797</v>
      </c>
      <c r="W398" t="s">
        <v>31798</v>
      </c>
      <c r="X398" t="s">
        <v>31799</v>
      </c>
      <c r="Y398" t="s">
        <v>31800</v>
      </c>
      <c r="Z398" t="s">
        <v>69</v>
      </c>
      <c r="AA398" t="s">
        <v>31801</v>
      </c>
      <c r="AB398" t="s">
        <v>31802</v>
      </c>
      <c r="AC398" t="s">
        <v>31803</v>
      </c>
      <c r="AD398" t="s">
        <v>31804</v>
      </c>
      <c r="AE398" t="s">
        <v>69</v>
      </c>
      <c r="AF398" t="s">
        <v>31805</v>
      </c>
      <c r="AG398" t="s">
        <v>31806</v>
      </c>
      <c r="AH398" t="s">
        <v>31807</v>
      </c>
      <c r="AI398" t="s">
        <v>31808</v>
      </c>
      <c r="AJ398" t="s">
        <v>69</v>
      </c>
      <c r="AK398" t="s">
        <v>69</v>
      </c>
      <c r="AL398" t="s">
        <v>69</v>
      </c>
      <c r="AM398" t="s">
        <v>69</v>
      </c>
      <c r="AN398">
        <v>228</v>
      </c>
      <c r="AO398">
        <v>299</v>
      </c>
      <c r="AP398">
        <v>327</v>
      </c>
      <c r="AQ398">
        <v>4</v>
      </c>
      <c r="AR398">
        <v>58</v>
      </c>
      <c r="AS398" t="s">
        <v>8516</v>
      </c>
      <c r="AT398" t="s">
        <v>8517</v>
      </c>
      <c r="AU398" t="s">
        <v>8518</v>
      </c>
      <c r="AV398" t="s">
        <v>31809</v>
      </c>
      <c r="AW398" t="s">
        <v>31810</v>
      </c>
      <c r="AX398" t="s">
        <v>69</v>
      </c>
      <c r="AY398" t="s">
        <v>31811</v>
      </c>
      <c r="AZ398" t="s">
        <v>31812</v>
      </c>
      <c r="BA398" t="s">
        <v>4429</v>
      </c>
      <c r="BB398">
        <v>2000</v>
      </c>
      <c r="BC398">
        <v>103</v>
      </c>
      <c r="BD398" t="s">
        <v>336</v>
      </c>
      <c r="BE398" t="s">
        <v>69</v>
      </c>
      <c r="BF398" t="s">
        <v>69</v>
      </c>
      <c r="BG398" t="s">
        <v>69</v>
      </c>
      <c r="BH398" t="s">
        <v>69</v>
      </c>
      <c r="BI398">
        <v>137</v>
      </c>
      <c r="BJ398">
        <v>157</v>
      </c>
      <c r="BK398" t="s">
        <v>69</v>
      </c>
      <c r="BL398" t="s">
        <v>31813</v>
      </c>
      <c r="BM398" t="str">
        <f>HYPERLINK("http://dx.doi.org/10.1016/S0168-1923(00)00108-8","http://dx.doi.org/10.1016/S0168-1923(00)00108-8")</f>
        <v>http://dx.doi.org/10.1016/S0168-1923(00)00108-8</v>
      </c>
      <c r="BN398" t="s">
        <v>69</v>
      </c>
      <c r="BO398" t="s">
        <v>69</v>
      </c>
      <c r="BP398">
        <v>21</v>
      </c>
      <c r="BQ398" t="s">
        <v>31814</v>
      </c>
      <c r="BR398" t="s">
        <v>15808</v>
      </c>
      <c r="BS398" t="s">
        <v>31815</v>
      </c>
      <c r="BT398" t="s">
        <v>31816</v>
      </c>
      <c r="BU398" t="s">
        <v>31817</v>
      </c>
      <c r="BV398" t="s">
        <v>69</v>
      </c>
      <c r="BW398" t="s">
        <v>69</v>
      </c>
      <c r="BX398" t="s">
        <v>69</v>
      </c>
      <c r="BY398" t="s">
        <v>69</v>
      </c>
      <c r="BZ398" t="s">
        <v>8526</v>
      </c>
      <c r="CA398" t="str">
        <f>HYPERLINK("https%3A%2F%2Fwww.webofscience.com%2Fwos%2Fwoscc%2Ffull-record%2FWOS:000087530200013","View Full Record in Web of Science")</f>
        <v>View Full Record in Web of Science</v>
      </c>
    </row>
    <row r="399" spans="1:79" ht="12.5" x14ac:dyDescent="0.25">
      <c r="B399" t="s">
        <v>8495</v>
      </c>
      <c r="D399" s="22" t="s">
        <v>32931</v>
      </c>
      <c r="E399" s="7"/>
      <c r="F399" s="7"/>
      <c r="G399" s="7"/>
      <c r="H399" t="s">
        <v>67</v>
      </c>
      <c r="I399" t="s">
        <v>20200</v>
      </c>
      <c r="J399" t="s">
        <v>69</v>
      </c>
      <c r="K399" t="s">
        <v>69</v>
      </c>
      <c r="L399" t="s">
        <v>69</v>
      </c>
      <c r="M399" t="s">
        <v>20201</v>
      </c>
      <c r="N399" t="s">
        <v>69</v>
      </c>
      <c r="O399" t="s">
        <v>69</v>
      </c>
      <c r="P399" t="s">
        <v>20202</v>
      </c>
      <c r="Q399" t="s">
        <v>20203</v>
      </c>
      <c r="R399" t="s">
        <v>69</v>
      </c>
      <c r="S399" t="s">
        <v>69</v>
      </c>
      <c r="T399" t="s">
        <v>8505</v>
      </c>
      <c r="U399" t="s">
        <v>8506</v>
      </c>
      <c r="V399" t="s">
        <v>69</v>
      </c>
      <c r="W399" t="s">
        <v>69</v>
      </c>
      <c r="X399" t="s">
        <v>69</v>
      </c>
      <c r="Y399" t="s">
        <v>69</v>
      </c>
      <c r="Z399" t="s">
        <v>69</v>
      </c>
      <c r="AA399" t="s">
        <v>20204</v>
      </c>
      <c r="AB399" t="s">
        <v>20205</v>
      </c>
      <c r="AC399" t="s">
        <v>20206</v>
      </c>
      <c r="AD399" t="s">
        <v>20207</v>
      </c>
      <c r="AE399" t="s">
        <v>69</v>
      </c>
      <c r="AF399" t="s">
        <v>20208</v>
      </c>
      <c r="AG399" t="s">
        <v>20209</v>
      </c>
      <c r="AH399" t="s">
        <v>69</v>
      </c>
      <c r="AI399" t="s">
        <v>69</v>
      </c>
      <c r="AJ399" t="s">
        <v>20210</v>
      </c>
      <c r="AK399" t="s">
        <v>20211</v>
      </c>
      <c r="AL399" t="s">
        <v>20212</v>
      </c>
      <c r="AM399" t="s">
        <v>69</v>
      </c>
      <c r="AN399">
        <v>10</v>
      </c>
      <c r="AO399">
        <v>13</v>
      </c>
      <c r="AP399">
        <v>13</v>
      </c>
      <c r="AQ399">
        <v>0</v>
      </c>
      <c r="AR399">
        <v>1</v>
      </c>
      <c r="AS399" t="s">
        <v>20053</v>
      </c>
      <c r="AT399" t="s">
        <v>20054</v>
      </c>
      <c r="AU399" t="s">
        <v>20055</v>
      </c>
      <c r="AV399" t="s">
        <v>20213</v>
      </c>
      <c r="AW399" t="s">
        <v>20214</v>
      </c>
      <c r="AX399" t="s">
        <v>69</v>
      </c>
      <c r="AY399" t="s">
        <v>20215</v>
      </c>
      <c r="AZ399" t="s">
        <v>20216</v>
      </c>
      <c r="BA399" t="s">
        <v>2216</v>
      </c>
      <c r="BB399">
        <v>2017</v>
      </c>
      <c r="BC399">
        <v>216</v>
      </c>
      <c r="BD399" t="s">
        <v>69</v>
      </c>
      <c r="BE399" t="s">
        <v>69</v>
      </c>
      <c r="BF399">
        <v>1</v>
      </c>
      <c r="BG399" t="s">
        <v>69</v>
      </c>
      <c r="BH399" t="s">
        <v>69</v>
      </c>
      <c r="BI399" t="s">
        <v>20217</v>
      </c>
      <c r="BJ399" t="s">
        <v>20218</v>
      </c>
      <c r="BK399" t="s">
        <v>69</v>
      </c>
      <c r="BL399" t="s">
        <v>20219</v>
      </c>
      <c r="BM399" t="str">
        <f>HYPERLINK("http://dx.doi.org/10.1093/infdis/jiw567","http://dx.doi.org/10.1093/infdis/jiw567")</f>
        <v>http://dx.doi.org/10.1093/infdis/jiw567</v>
      </c>
      <c r="BN399" t="s">
        <v>69</v>
      </c>
      <c r="BO399" t="s">
        <v>69</v>
      </c>
      <c r="BP399">
        <v>6</v>
      </c>
      <c r="BQ399" t="s">
        <v>20220</v>
      </c>
      <c r="BR399" t="s">
        <v>8548</v>
      </c>
      <c r="BS399" t="s">
        <v>20220</v>
      </c>
      <c r="BT399" t="s">
        <v>20221</v>
      </c>
      <c r="BU399" t="s">
        <v>20222</v>
      </c>
      <c r="BV399">
        <v>28838165</v>
      </c>
      <c r="BW399" t="s">
        <v>10363</v>
      </c>
      <c r="BX399" t="s">
        <v>69</v>
      </c>
      <c r="BY399" t="s">
        <v>69</v>
      </c>
      <c r="BZ399" t="s">
        <v>8526</v>
      </c>
      <c r="CA399" t="str">
        <f>HYPERLINK("https%3A%2F%2Fwww.webofscience.com%2Fwos%2Fwoscc%2Ffull-record%2FWOS:000405094500032","View Full Record in Web of Science")</f>
        <v>View Full Record in Web of Science</v>
      </c>
    </row>
    <row r="400" spans="1:79" ht="12.5" x14ac:dyDescent="0.25">
      <c r="B400" t="s">
        <v>8495</v>
      </c>
      <c r="D400" s="7" t="s">
        <v>32933</v>
      </c>
      <c r="E400" s="7"/>
      <c r="F400" s="7"/>
      <c r="G400" s="7"/>
      <c r="H400" t="s">
        <v>67</v>
      </c>
      <c r="I400" t="s">
        <v>1676</v>
      </c>
      <c r="J400" t="s">
        <v>69</v>
      </c>
      <c r="K400" t="s">
        <v>69</v>
      </c>
      <c r="L400" t="s">
        <v>69</v>
      </c>
      <c r="M400" t="s">
        <v>1676</v>
      </c>
      <c r="N400" t="s">
        <v>69</v>
      </c>
      <c r="O400" t="s">
        <v>69</v>
      </c>
      <c r="P400" t="s">
        <v>1677</v>
      </c>
      <c r="Q400" t="s">
        <v>1678</v>
      </c>
      <c r="R400" t="s">
        <v>69</v>
      </c>
      <c r="S400" t="s">
        <v>69</v>
      </c>
      <c r="T400" t="s">
        <v>8505</v>
      </c>
      <c r="U400" t="s">
        <v>10174</v>
      </c>
      <c r="V400" t="s">
        <v>69</v>
      </c>
      <c r="W400" t="s">
        <v>69</v>
      </c>
      <c r="X400" t="s">
        <v>69</v>
      </c>
      <c r="Y400" t="s">
        <v>69</v>
      </c>
      <c r="Z400" t="s">
        <v>69</v>
      </c>
      <c r="AA400" t="s">
        <v>69</v>
      </c>
      <c r="AB400" t="s">
        <v>69</v>
      </c>
      <c r="AC400" t="s">
        <v>1679</v>
      </c>
      <c r="AD400" t="s">
        <v>31114</v>
      </c>
      <c r="AE400" t="s">
        <v>69</v>
      </c>
      <c r="AF400" t="s">
        <v>31115</v>
      </c>
      <c r="AG400" t="s">
        <v>31116</v>
      </c>
      <c r="AH400" t="s">
        <v>69</v>
      </c>
      <c r="AI400" t="s">
        <v>69</v>
      </c>
      <c r="AJ400" t="s">
        <v>69</v>
      </c>
      <c r="AK400" t="s">
        <v>69</v>
      </c>
      <c r="AL400" t="s">
        <v>69</v>
      </c>
      <c r="AM400" t="s">
        <v>69</v>
      </c>
      <c r="AN400">
        <v>0</v>
      </c>
      <c r="AO400">
        <v>5</v>
      </c>
      <c r="AP400">
        <v>5</v>
      </c>
      <c r="AQ400">
        <v>0</v>
      </c>
      <c r="AR400">
        <v>18</v>
      </c>
      <c r="AS400" t="s">
        <v>17273</v>
      </c>
      <c r="AT400" t="s">
        <v>12925</v>
      </c>
      <c r="AU400" t="s">
        <v>17274</v>
      </c>
      <c r="AV400" t="s">
        <v>1680</v>
      </c>
      <c r="AW400" t="s">
        <v>69</v>
      </c>
      <c r="AX400" t="s">
        <v>69</v>
      </c>
      <c r="AY400" t="s">
        <v>31117</v>
      </c>
      <c r="AZ400" t="s">
        <v>31118</v>
      </c>
      <c r="BA400" t="s">
        <v>191</v>
      </c>
      <c r="BB400">
        <v>2004</v>
      </c>
      <c r="BC400">
        <v>57</v>
      </c>
      <c r="BD400">
        <v>2</v>
      </c>
      <c r="BE400" t="s">
        <v>69</v>
      </c>
      <c r="BF400" t="s">
        <v>69</v>
      </c>
      <c r="BG400" t="s">
        <v>69</v>
      </c>
      <c r="BH400" t="s">
        <v>69</v>
      </c>
      <c r="BI400">
        <v>107</v>
      </c>
      <c r="BJ400">
        <v>117</v>
      </c>
      <c r="BK400" t="s">
        <v>69</v>
      </c>
      <c r="BL400" t="s">
        <v>1681</v>
      </c>
      <c r="BM400" t="str">
        <f>HYPERLINK("http://dx.doi.org/10.1016/S0147-6513(02)00154-9","http://dx.doi.org/10.1016/S0147-6513(02)00154-9")</f>
        <v>http://dx.doi.org/10.1016/S0147-6513(02)00154-9</v>
      </c>
      <c r="BN400" t="s">
        <v>69</v>
      </c>
      <c r="BO400" t="s">
        <v>69</v>
      </c>
      <c r="BP400">
        <v>11</v>
      </c>
      <c r="BQ400" t="s">
        <v>12797</v>
      </c>
      <c r="BR400" t="s">
        <v>8548</v>
      </c>
      <c r="BS400" t="s">
        <v>12798</v>
      </c>
      <c r="BT400" t="s">
        <v>31119</v>
      </c>
      <c r="BU400" t="s">
        <v>1682</v>
      </c>
      <c r="BV400">
        <v>14759655</v>
      </c>
      <c r="BW400" t="s">
        <v>69</v>
      </c>
      <c r="BX400" t="s">
        <v>69</v>
      </c>
      <c r="BY400" t="s">
        <v>69</v>
      </c>
      <c r="BZ400" t="s">
        <v>8526</v>
      </c>
      <c r="CA400" t="str">
        <f>HYPERLINK("https%3A%2F%2Fwww.webofscience.com%2Fwos%2Fwoscc%2Ffull-record%2FWOS:000189036000001","View Full Record in Web of Science")</f>
        <v>View Full Record in Web of Science</v>
      </c>
    </row>
    <row r="401" spans="1:79" ht="12.5" x14ac:dyDescent="0.25">
      <c r="B401" t="s">
        <v>8495</v>
      </c>
      <c r="D401" s="22" t="s">
        <v>32931</v>
      </c>
      <c r="E401" s="7"/>
      <c r="F401" s="7"/>
      <c r="G401" s="7"/>
      <c r="H401" t="s">
        <v>67</v>
      </c>
      <c r="I401" t="s">
        <v>32640</v>
      </c>
      <c r="J401" t="s">
        <v>69</v>
      </c>
      <c r="K401" t="s">
        <v>69</v>
      </c>
      <c r="L401" t="s">
        <v>69</v>
      </c>
      <c r="M401" t="s">
        <v>32640</v>
      </c>
      <c r="N401" t="s">
        <v>69</v>
      </c>
      <c r="O401" t="s">
        <v>69</v>
      </c>
      <c r="P401" t="s">
        <v>32641</v>
      </c>
      <c r="Q401" t="s">
        <v>23637</v>
      </c>
      <c r="R401" t="s">
        <v>69</v>
      </c>
      <c r="S401" t="s">
        <v>69</v>
      </c>
      <c r="T401" t="s">
        <v>8505</v>
      </c>
      <c r="U401" t="s">
        <v>15797</v>
      </c>
      <c r="V401" t="s">
        <v>32642</v>
      </c>
      <c r="W401" t="s">
        <v>32643</v>
      </c>
      <c r="X401" t="s">
        <v>32644</v>
      </c>
      <c r="Y401" t="s">
        <v>32645</v>
      </c>
      <c r="Z401" t="s">
        <v>69</v>
      </c>
      <c r="AA401" t="s">
        <v>69</v>
      </c>
      <c r="AB401" t="s">
        <v>69</v>
      </c>
      <c r="AC401" t="s">
        <v>32646</v>
      </c>
      <c r="AD401" t="s">
        <v>69</v>
      </c>
      <c r="AE401" t="s">
        <v>69</v>
      </c>
      <c r="AF401" t="s">
        <v>32647</v>
      </c>
      <c r="AG401" t="s">
        <v>69</v>
      </c>
      <c r="AH401" t="s">
        <v>69</v>
      </c>
      <c r="AI401" t="s">
        <v>69</v>
      </c>
      <c r="AJ401" t="s">
        <v>69</v>
      </c>
      <c r="AK401" t="s">
        <v>69</v>
      </c>
      <c r="AL401" t="s">
        <v>69</v>
      </c>
      <c r="AM401" t="s">
        <v>69</v>
      </c>
      <c r="AN401">
        <v>0</v>
      </c>
      <c r="AO401">
        <v>2</v>
      </c>
      <c r="AP401">
        <v>2</v>
      </c>
      <c r="AQ401">
        <v>0</v>
      </c>
      <c r="AR401">
        <v>5</v>
      </c>
      <c r="AS401" t="s">
        <v>17140</v>
      </c>
      <c r="AT401" t="s">
        <v>8517</v>
      </c>
      <c r="AU401" t="s">
        <v>17141</v>
      </c>
      <c r="AV401" t="s">
        <v>23645</v>
      </c>
      <c r="AW401" t="s">
        <v>69</v>
      </c>
      <c r="AX401" t="s">
        <v>69</v>
      </c>
      <c r="AY401" t="s">
        <v>23637</v>
      </c>
      <c r="AZ401" t="s">
        <v>23647</v>
      </c>
      <c r="BA401" t="s">
        <v>255</v>
      </c>
      <c r="BB401">
        <v>1994</v>
      </c>
      <c r="BC401">
        <v>98</v>
      </c>
      <c r="BD401" t="s">
        <v>4219</v>
      </c>
      <c r="BE401" t="s">
        <v>69</v>
      </c>
      <c r="BF401" t="s">
        <v>69</v>
      </c>
      <c r="BG401" t="s">
        <v>69</v>
      </c>
      <c r="BH401" t="s">
        <v>69</v>
      </c>
      <c r="BI401">
        <v>185</v>
      </c>
      <c r="BJ401">
        <v>197</v>
      </c>
      <c r="BK401" t="s">
        <v>69</v>
      </c>
      <c r="BL401" t="s">
        <v>32648</v>
      </c>
      <c r="BM401" t="str">
        <f>HYPERLINK("http://dx.doi.org/10.1016/0011-9164(94)00143-X","http://dx.doi.org/10.1016/0011-9164(94)00143-X")</f>
        <v>http://dx.doi.org/10.1016/0011-9164(94)00143-X</v>
      </c>
      <c r="BN401" t="s">
        <v>69</v>
      </c>
      <c r="BO401" t="s">
        <v>69</v>
      </c>
      <c r="BP401">
        <v>13</v>
      </c>
      <c r="BQ401" t="s">
        <v>10870</v>
      </c>
      <c r="BR401" t="s">
        <v>29550</v>
      </c>
      <c r="BS401" t="s">
        <v>9230</v>
      </c>
      <c r="BT401" t="s">
        <v>32649</v>
      </c>
      <c r="BU401" t="s">
        <v>32650</v>
      </c>
      <c r="BV401" t="s">
        <v>69</v>
      </c>
      <c r="BW401" t="s">
        <v>69</v>
      </c>
      <c r="BX401" t="s">
        <v>69</v>
      </c>
      <c r="BY401" t="s">
        <v>69</v>
      </c>
      <c r="BZ401" t="s">
        <v>8526</v>
      </c>
      <c r="CA401" t="str">
        <f>HYPERLINK("https%3A%2F%2Fwww.webofscience.com%2Fwos%2Fwoscc%2Ffull-record%2FWOS:A1994PP05300017","View Full Record in Web of Science")</f>
        <v>View Full Record in Web of Science</v>
      </c>
    </row>
    <row r="402" spans="1:79" x14ac:dyDescent="0.3">
      <c r="A402" t="s">
        <v>8408</v>
      </c>
      <c r="B402" t="s">
        <v>8495</v>
      </c>
      <c r="D402" s="10" t="s">
        <v>33186</v>
      </c>
      <c r="F402" s="10" t="s">
        <v>8490</v>
      </c>
      <c r="H402" t="s">
        <v>67</v>
      </c>
      <c r="I402" t="s">
        <v>4328</v>
      </c>
      <c r="J402" t="s">
        <v>69</v>
      </c>
      <c r="K402" t="s">
        <v>69</v>
      </c>
      <c r="L402" t="s">
        <v>69</v>
      </c>
      <c r="M402" s="2" t="s">
        <v>4329</v>
      </c>
      <c r="N402" t="s">
        <v>69</v>
      </c>
      <c r="O402" t="s">
        <v>69</v>
      </c>
      <c r="P402" s="2" t="s">
        <v>4330</v>
      </c>
      <c r="Q402" t="s">
        <v>2365</v>
      </c>
      <c r="R402" t="s">
        <v>69</v>
      </c>
      <c r="S402" t="s">
        <v>69</v>
      </c>
      <c r="T402" t="s">
        <v>8505</v>
      </c>
      <c r="U402" t="s">
        <v>8506</v>
      </c>
      <c r="V402" t="s">
        <v>69</v>
      </c>
      <c r="W402" t="s">
        <v>69</v>
      </c>
      <c r="X402" t="s">
        <v>69</v>
      </c>
      <c r="Y402" t="s">
        <v>69</v>
      </c>
      <c r="Z402" t="s">
        <v>69</v>
      </c>
      <c r="AA402" t="s">
        <v>17416</v>
      </c>
      <c r="AB402" t="s">
        <v>17417</v>
      </c>
      <c r="AC402" t="s">
        <v>4331</v>
      </c>
      <c r="AD402" t="s">
        <v>17418</v>
      </c>
      <c r="AE402" t="s">
        <v>69</v>
      </c>
      <c r="AF402" t="s">
        <v>17419</v>
      </c>
      <c r="AG402" t="s">
        <v>17420</v>
      </c>
      <c r="AH402" t="s">
        <v>69</v>
      </c>
      <c r="AI402" t="s">
        <v>69</v>
      </c>
      <c r="AJ402" t="s">
        <v>17421</v>
      </c>
      <c r="AK402" t="s">
        <v>17421</v>
      </c>
      <c r="AL402" t="s">
        <v>17422</v>
      </c>
      <c r="AM402" t="s">
        <v>69</v>
      </c>
      <c r="AN402">
        <v>26</v>
      </c>
      <c r="AO402">
        <v>16</v>
      </c>
      <c r="AP402">
        <v>16</v>
      </c>
      <c r="AQ402">
        <v>0</v>
      </c>
      <c r="AR402">
        <v>6</v>
      </c>
      <c r="AS402" t="s">
        <v>8636</v>
      </c>
      <c r="AT402" t="s">
        <v>8637</v>
      </c>
      <c r="AU402" t="s">
        <v>8638</v>
      </c>
      <c r="AV402" t="s">
        <v>2368</v>
      </c>
      <c r="AW402" t="s">
        <v>2369</v>
      </c>
      <c r="AX402" t="s">
        <v>69</v>
      </c>
      <c r="AY402" t="s">
        <v>12397</v>
      </c>
      <c r="AZ402" t="s">
        <v>12398</v>
      </c>
      <c r="BA402" t="s">
        <v>246</v>
      </c>
      <c r="BB402">
        <v>2019</v>
      </c>
      <c r="BC402">
        <v>6</v>
      </c>
      <c r="BD402">
        <v>2</v>
      </c>
      <c r="BE402" t="s">
        <v>69</v>
      </c>
      <c r="BF402" t="s">
        <v>69</v>
      </c>
      <c r="BG402" t="s">
        <v>69</v>
      </c>
      <c r="BH402" t="s">
        <v>69</v>
      </c>
      <c r="BI402">
        <v>443</v>
      </c>
      <c r="BJ402">
        <v>453</v>
      </c>
      <c r="BK402" t="s">
        <v>69</v>
      </c>
      <c r="BL402" t="s">
        <v>4332</v>
      </c>
      <c r="BM402" t="str">
        <f>HYPERLINK("http://dx.doi.org/10.1016/j.exis.2019.01.007","http://dx.doi.org/10.1016/j.exis.2019.01.007")</f>
        <v>http://dx.doi.org/10.1016/j.exis.2019.01.007</v>
      </c>
      <c r="BN402" t="s">
        <v>69</v>
      </c>
      <c r="BO402" t="s">
        <v>69</v>
      </c>
      <c r="BP402">
        <v>11</v>
      </c>
      <c r="BQ402" t="s">
        <v>8660</v>
      </c>
      <c r="BR402" t="s">
        <v>8661</v>
      </c>
      <c r="BS402" t="s">
        <v>8662</v>
      </c>
      <c r="BT402" t="s">
        <v>17423</v>
      </c>
      <c r="BU402" t="s">
        <v>4333</v>
      </c>
      <c r="BV402" t="s">
        <v>69</v>
      </c>
      <c r="BW402" t="s">
        <v>69</v>
      </c>
      <c r="BX402" t="s">
        <v>69</v>
      </c>
      <c r="BY402" t="s">
        <v>69</v>
      </c>
      <c r="BZ402" t="s">
        <v>8526</v>
      </c>
      <c r="CA402" t="str">
        <f>HYPERLINK("https%3A%2F%2Fwww.webofscience.com%2Fwos%2Fwoscc%2Ffull-record%2FWOS:000466795300019","View Full Record in Web of Science")</f>
        <v>View Full Record in Web of Science</v>
      </c>
    </row>
    <row r="403" spans="1:79" ht="12.5" x14ac:dyDescent="0.25">
      <c r="B403" t="s">
        <v>8495</v>
      </c>
      <c r="D403" s="22" t="s">
        <v>32931</v>
      </c>
      <c r="E403" s="7"/>
      <c r="F403" s="7"/>
      <c r="G403" s="7"/>
      <c r="H403" t="s">
        <v>67</v>
      </c>
      <c r="I403" t="s">
        <v>28205</v>
      </c>
      <c r="J403" t="s">
        <v>69</v>
      </c>
      <c r="K403" t="s">
        <v>69</v>
      </c>
      <c r="L403" t="s">
        <v>69</v>
      </c>
      <c r="M403" t="s">
        <v>28206</v>
      </c>
      <c r="N403" t="s">
        <v>69</v>
      </c>
      <c r="O403" t="s">
        <v>69</v>
      </c>
      <c r="P403" t="s">
        <v>28207</v>
      </c>
      <c r="Q403" t="s">
        <v>28208</v>
      </c>
      <c r="R403" t="s">
        <v>69</v>
      </c>
      <c r="S403" t="s">
        <v>69</v>
      </c>
      <c r="T403" t="s">
        <v>8505</v>
      </c>
      <c r="U403" t="s">
        <v>8506</v>
      </c>
      <c r="V403" t="s">
        <v>69</v>
      </c>
      <c r="W403" t="s">
        <v>69</v>
      </c>
      <c r="X403" t="s">
        <v>69</v>
      </c>
      <c r="Y403" t="s">
        <v>69</v>
      </c>
      <c r="Z403" t="s">
        <v>69</v>
      </c>
      <c r="AA403" t="s">
        <v>28209</v>
      </c>
      <c r="AB403" t="s">
        <v>28210</v>
      </c>
      <c r="AC403" t="s">
        <v>28211</v>
      </c>
      <c r="AD403" t="s">
        <v>28212</v>
      </c>
      <c r="AE403" t="s">
        <v>69</v>
      </c>
      <c r="AF403" t="s">
        <v>28213</v>
      </c>
      <c r="AG403" t="s">
        <v>28214</v>
      </c>
      <c r="AH403" t="s">
        <v>28215</v>
      </c>
      <c r="AI403" t="s">
        <v>28216</v>
      </c>
      <c r="AJ403" t="s">
        <v>69</v>
      </c>
      <c r="AK403" t="s">
        <v>69</v>
      </c>
      <c r="AL403" t="s">
        <v>69</v>
      </c>
      <c r="AM403" t="s">
        <v>69</v>
      </c>
      <c r="AN403">
        <v>139</v>
      </c>
      <c r="AO403">
        <v>12</v>
      </c>
      <c r="AP403">
        <v>13</v>
      </c>
      <c r="AQ403">
        <v>0</v>
      </c>
      <c r="AR403">
        <v>1</v>
      </c>
      <c r="AS403" t="s">
        <v>28217</v>
      </c>
      <c r="AT403" t="s">
        <v>28218</v>
      </c>
      <c r="AU403" t="s">
        <v>28219</v>
      </c>
      <c r="AV403" t="s">
        <v>28220</v>
      </c>
      <c r="AW403" t="s">
        <v>69</v>
      </c>
      <c r="AX403" t="s">
        <v>69</v>
      </c>
      <c r="AY403" t="s">
        <v>28221</v>
      </c>
      <c r="AZ403" t="s">
        <v>28222</v>
      </c>
      <c r="BA403" t="s">
        <v>69</v>
      </c>
      <c r="BB403">
        <v>2010</v>
      </c>
      <c r="BC403">
        <v>21</v>
      </c>
      <c r="BD403">
        <v>2</v>
      </c>
      <c r="BE403" t="s">
        <v>69</v>
      </c>
      <c r="BF403" t="s">
        <v>69</v>
      </c>
      <c r="BG403" t="s">
        <v>69</v>
      </c>
      <c r="BH403" t="s">
        <v>69</v>
      </c>
      <c r="BI403">
        <v>193</v>
      </c>
      <c r="BJ403">
        <v>219</v>
      </c>
      <c r="BK403" t="s">
        <v>69</v>
      </c>
      <c r="BL403" t="s">
        <v>28223</v>
      </c>
      <c r="BM403" t="str">
        <f>HYPERLINK("http://dx.doi.org/10.5771/0935-9915-2010-2-193","http://dx.doi.org/10.5771/0935-9915-2010-2-193")</f>
        <v>http://dx.doi.org/10.5771/0935-9915-2010-2-193</v>
      </c>
      <c r="BN403" t="s">
        <v>69</v>
      </c>
      <c r="BO403" t="s">
        <v>69</v>
      </c>
      <c r="BP403">
        <v>27</v>
      </c>
      <c r="BQ403" t="s">
        <v>9410</v>
      </c>
      <c r="BR403" t="s">
        <v>8573</v>
      </c>
      <c r="BS403" t="s">
        <v>8594</v>
      </c>
      <c r="BT403" t="s">
        <v>28224</v>
      </c>
      <c r="BU403" t="s">
        <v>28225</v>
      </c>
      <c r="BV403" t="s">
        <v>69</v>
      </c>
      <c r="BW403" t="s">
        <v>24397</v>
      </c>
      <c r="BX403" t="s">
        <v>69</v>
      </c>
      <c r="BY403" t="s">
        <v>69</v>
      </c>
      <c r="BZ403" t="s">
        <v>8526</v>
      </c>
      <c r="CA403" t="str">
        <f>HYPERLINK("https%3A%2F%2Fwww.webofscience.com%2Fwos%2Fwoscc%2Ffull-record%2FWOS:000215069400005","View Full Record in Web of Science")</f>
        <v>View Full Record in Web of Science</v>
      </c>
    </row>
    <row r="404" spans="1:79" ht="12.5" x14ac:dyDescent="0.25">
      <c r="B404" t="s">
        <v>8495</v>
      </c>
      <c r="D404" s="22" t="s">
        <v>32931</v>
      </c>
      <c r="E404" s="7"/>
      <c r="F404" s="7"/>
      <c r="G404" s="7"/>
      <c r="H404" t="s">
        <v>67</v>
      </c>
      <c r="I404" t="s">
        <v>29316</v>
      </c>
      <c r="J404" t="s">
        <v>69</v>
      </c>
      <c r="K404" t="s">
        <v>69</v>
      </c>
      <c r="L404" t="s">
        <v>69</v>
      </c>
      <c r="M404" t="s">
        <v>29317</v>
      </c>
      <c r="N404" t="s">
        <v>69</v>
      </c>
      <c r="O404" t="s">
        <v>69</v>
      </c>
      <c r="P404" t="s">
        <v>29318</v>
      </c>
      <c r="Q404" t="s">
        <v>29319</v>
      </c>
      <c r="R404" t="s">
        <v>69</v>
      </c>
      <c r="S404" t="s">
        <v>69</v>
      </c>
      <c r="T404" t="s">
        <v>8505</v>
      </c>
      <c r="U404" t="s">
        <v>8506</v>
      </c>
      <c r="V404" t="s">
        <v>69</v>
      </c>
      <c r="W404" t="s">
        <v>69</v>
      </c>
      <c r="X404" t="s">
        <v>69</v>
      </c>
      <c r="Y404" t="s">
        <v>69</v>
      </c>
      <c r="Z404" t="s">
        <v>69</v>
      </c>
      <c r="AA404" t="s">
        <v>29320</v>
      </c>
      <c r="AB404" t="s">
        <v>69</v>
      </c>
      <c r="AC404" t="s">
        <v>29321</v>
      </c>
      <c r="AD404" t="s">
        <v>29322</v>
      </c>
      <c r="AE404" t="s">
        <v>69</v>
      </c>
      <c r="AF404" t="s">
        <v>29323</v>
      </c>
      <c r="AG404" t="s">
        <v>29324</v>
      </c>
      <c r="AH404" t="s">
        <v>69</v>
      </c>
      <c r="AI404" t="s">
        <v>29325</v>
      </c>
      <c r="AJ404" t="s">
        <v>69</v>
      </c>
      <c r="AK404" t="s">
        <v>69</v>
      </c>
      <c r="AL404" t="s">
        <v>69</v>
      </c>
      <c r="AM404" t="s">
        <v>69</v>
      </c>
      <c r="AN404">
        <v>24</v>
      </c>
      <c r="AO404">
        <v>1</v>
      </c>
      <c r="AP404">
        <v>1</v>
      </c>
      <c r="AQ404">
        <v>1</v>
      </c>
      <c r="AR404">
        <v>1</v>
      </c>
      <c r="AS404" t="s">
        <v>8586</v>
      </c>
      <c r="AT404" t="s">
        <v>8587</v>
      </c>
      <c r="AU404" t="s">
        <v>8588</v>
      </c>
      <c r="AV404" t="s">
        <v>29326</v>
      </c>
      <c r="AW404" t="s">
        <v>29327</v>
      </c>
      <c r="AX404" t="s">
        <v>69</v>
      </c>
      <c r="AY404" t="s">
        <v>29328</v>
      </c>
      <c r="AZ404" t="s">
        <v>29329</v>
      </c>
      <c r="BA404" t="s">
        <v>69</v>
      </c>
      <c r="BB404">
        <v>2008</v>
      </c>
      <c r="BC404">
        <v>8</v>
      </c>
      <c r="BD404">
        <v>5</v>
      </c>
      <c r="BE404" t="s">
        <v>69</v>
      </c>
      <c r="BF404" t="s">
        <v>69</v>
      </c>
      <c r="BG404" t="s">
        <v>69</v>
      </c>
      <c r="BH404" t="s">
        <v>69</v>
      </c>
      <c r="BI404">
        <v>637</v>
      </c>
      <c r="BJ404">
        <v>648</v>
      </c>
      <c r="BK404" t="s">
        <v>69</v>
      </c>
      <c r="BL404" t="s">
        <v>29330</v>
      </c>
      <c r="BM404" t="str">
        <f>HYPERLINK("http://dx.doi.org/10.1108/14720700810913296","http://dx.doi.org/10.1108/14720700810913296")</f>
        <v>http://dx.doi.org/10.1108/14720700810913296</v>
      </c>
      <c r="BN404" t="s">
        <v>69</v>
      </c>
      <c r="BO404" t="s">
        <v>69</v>
      </c>
      <c r="BP404">
        <v>12</v>
      </c>
      <c r="BQ404" t="s">
        <v>8444</v>
      </c>
      <c r="BR404" t="s">
        <v>8573</v>
      </c>
      <c r="BS404" t="s">
        <v>8594</v>
      </c>
      <c r="BT404" t="s">
        <v>29331</v>
      </c>
      <c r="BU404" t="s">
        <v>29332</v>
      </c>
      <c r="BV404" t="s">
        <v>69</v>
      </c>
      <c r="BW404" t="s">
        <v>69</v>
      </c>
      <c r="BX404" t="s">
        <v>69</v>
      </c>
      <c r="BY404" t="s">
        <v>69</v>
      </c>
      <c r="BZ404" t="s">
        <v>8526</v>
      </c>
      <c r="CA404" t="str">
        <f>HYPERLINK("https%3A%2F%2Fwww.webofscience.com%2Fwos%2Fwoscc%2Ffull-record%2FWOS:000212653300005","View Full Record in Web of Science")</f>
        <v>View Full Record in Web of Science</v>
      </c>
    </row>
    <row r="405" spans="1:79" x14ac:dyDescent="0.3">
      <c r="B405" t="s">
        <v>8495</v>
      </c>
      <c r="D405" s="9" t="s">
        <v>32954</v>
      </c>
      <c r="F405" s="9" t="s">
        <v>8491</v>
      </c>
      <c r="G405" s="9" t="s">
        <v>8490</v>
      </c>
      <c r="H405" t="s">
        <v>67</v>
      </c>
      <c r="I405" t="s">
        <v>9454</v>
      </c>
      <c r="J405" t="s">
        <v>69</v>
      </c>
      <c r="K405" t="s">
        <v>69</v>
      </c>
      <c r="L405" t="s">
        <v>69</v>
      </c>
      <c r="M405" t="s">
        <v>9455</v>
      </c>
      <c r="N405" t="s">
        <v>69</v>
      </c>
      <c r="O405" t="s">
        <v>69</v>
      </c>
      <c r="P405" t="s">
        <v>9456</v>
      </c>
      <c r="Q405" t="s">
        <v>7227</v>
      </c>
      <c r="R405" t="s">
        <v>69</v>
      </c>
      <c r="S405" t="s">
        <v>69</v>
      </c>
      <c r="T405" t="s">
        <v>8505</v>
      </c>
      <c r="U405" t="s">
        <v>8506</v>
      </c>
      <c r="V405" t="s">
        <v>69</v>
      </c>
      <c r="W405" t="s">
        <v>69</v>
      </c>
      <c r="X405" t="s">
        <v>69</v>
      </c>
      <c r="Y405" t="s">
        <v>69</v>
      </c>
      <c r="Z405" t="s">
        <v>69</v>
      </c>
      <c r="AA405" t="s">
        <v>9457</v>
      </c>
      <c r="AB405" t="s">
        <v>9458</v>
      </c>
      <c r="AC405" t="s">
        <v>9459</v>
      </c>
      <c r="AD405" t="s">
        <v>9460</v>
      </c>
      <c r="AE405" t="s">
        <v>69</v>
      </c>
      <c r="AF405" t="s">
        <v>9461</v>
      </c>
      <c r="AG405" t="s">
        <v>9462</v>
      </c>
      <c r="AH405" t="s">
        <v>9463</v>
      </c>
      <c r="AI405" t="s">
        <v>9464</v>
      </c>
      <c r="AJ405" t="s">
        <v>9465</v>
      </c>
      <c r="AK405" t="s">
        <v>9465</v>
      </c>
      <c r="AL405" t="s">
        <v>9466</v>
      </c>
      <c r="AM405" t="s">
        <v>69</v>
      </c>
      <c r="AN405">
        <v>97</v>
      </c>
      <c r="AO405">
        <v>0</v>
      </c>
      <c r="AP405">
        <v>0</v>
      </c>
      <c r="AQ405">
        <v>21</v>
      </c>
      <c r="AR405">
        <v>21</v>
      </c>
      <c r="AS405" t="s">
        <v>8924</v>
      </c>
      <c r="AT405" t="s">
        <v>8925</v>
      </c>
      <c r="AU405" t="s">
        <v>8926</v>
      </c>
      <c r="AV405" t="s">
        <v>69</v>
      </c>
      <c r="AW405" t="s">
        <v>7231</v>
      </c>
      <c r="AX405" t="s">
        <v>69</v>
      </c>
      <c r="AY405" t="s">
        <v>7227</v>
      </c>
      <c r="AZ405" t="s">
        <v>9162</v>
      </c>
      <c r="BA405" t="s">
        <v>246</v>
      </c>
      <c r="BB405">
        <v>2022</v>
      </c>
      <c r="BC405">
        <v>15</v>
      </c>
      <c r="BD405">
        <v>8</v>
      </c>
      <c r="BE405" t="s">
        <v>69</v>
      </c>
      <c r="BF405" t="s">
        <v>69</v>
      </c>
      <c r="BG405" t="s">
        <v>69</v>
      </c>
      <c r="BH405" t="s">
        <v>69</v>
      </c>
      <c r="BI405" t="s">
        <v>69</v>
      </c>
      <c r="BJ405" t="s">
        <v>69</v>
      </c>
      <c r="BK405">
        <v>2745</v>
      </c>
      <c r="BL405" t="s">
        <v>9467</v>
      </c>
      <c r="BM405" t="str">
        <f>HYPERLINK("http://dx.doi.org/10.3390/en15082745","http://dx.doi.org/10.3390/en15082745")</f>
        <v>http://dx.doi.org/10.3390/en15082745</v>
      </c>
      <c r="BN405" t="s">
        <v>69</v>
      </c>
      <c r="BO405" t="s">
        <v>69</v>
      </c>
      <c r="BP405">
        <v>26</v>
      </c>
      <c r="BQ405" t="s">
        <v>9164</v>
      </c>
      <c r="BR405" t="s">
        <v>8548</v>
      </c>
      <c r="BS405" t="s">
        <v>9164</v>
      </c>
      <c r="BT405" t="s">
        <v>9468</v>
      </c>
      <c r="BU405" t="s">
        <v>9469</v>
      </c>
      <c r="BV405" t="s">
        <v>69</v>
      </c>
      <c r="BW405" t="s">
        <v>8931</v>
      </c>
      <c r="BX405" t="s">
        <v>69</v>
      </c>
      <c r="BY405" t="s">
        <v>69</v>
      </c>
      <c r="BZ405" t="s">
        <v>8526</v>
      </c>
      <c r="CA405" t="str">
        <f>HYPERLINK("https%3A%2F%2Fwww.webofscience.com%2Fwos%2Fwoscc%2Ffull-record%2FWOS:000785271600001","View Full Record in Web of Science")</f>
        <v>View Full Record in Web of Science</v>
      </c>
    </row>
    <row r="406" spans="1:79" ht="12.5" x14ac:dyDescent="0.25">
      <c r="B406" t="s">
        <v>8495</v>
      </c>
      <c r="D406" s="22" t="s">
        <v>32931</v>
      </c>
      <c r="E406" s="7"/>
      <c r="F406" s="7"/>
      <c r="G406" s="7"/>
      <c r="H406" t="s">
        <v>67</v>
      </c>
      <c r="I406" t="s">
        <v>24191</v>
      </c>
      <c r="J406" t="s">
        <v>69</v>
      </c>
      <c r="K406" t="s">
        <v>69</v>
      </c>
      <c r="L406" t="s">
        <v>69</v>
      </c>
      <c r="M406" t="s">
        <v>24192</v>
      </c>
      <c r="N406" t="s">
        <v>69</v>
      </c>
      <c r="O406" t="s">
        <v>69</v>
      </c>
      <c r="P406" t="s">
        <v>24193</v>
      </c>
      <c r="Q406" t="s">
        <v>24194</v>
      </c>
      <c r="R406" t="s">
        <v>69</v>
      </c>
      <c r="S406" t="s">
        <v>69</v>
      </c>
      <c r="T406" t="s">
        <v>8505</v>
      </c>
      <c r="U406" t="s">
        <v>8506</v>
      </c>
      <c r="V406" t="s">
        <v>69</v>
      </c>
      <c r="W406" t="s">
        <v>69</v>
      </c>
      <c r="X406" t="s">
        <v>69</v>
      </c>
      <c r="Y406" t="s">
        <v>69</v>
      </c>
      <c r="Z406" t="s">
        <v>69</v>
      </c>
      <c r="AA406" t="s">
        <v>24195</v>
      </c>
      <c r="AB406" t="s">
        <v>69</v>
      </c>
      <c r="AC406" t="s">
        <v>24196</v>
      </c>
      <c r="AD406" t="s">
        <v>24197</v>
      </c>
      <c r="AE406" t="s">
        <v>69</v>
      </c>
      <c r="AF406" t="s">
        <v>24198</v>
      </c>
      <c r="AG406" t="s">
        <v>24199</v>
      </c>
      <c r="AH406" t="s">
        <v>24200</v>
      </c>
      <c r="AI406" t="s">
        <v>24201</v>
      </c>
      <c r="AJ406" t="s">
        <v>69</v>
      </c>
      <c r="AK406" t="s">
        <v>69</v>
      </c>
      <c r="AL406" t="s">
        <v>69</v>
      </c>
      <c r="AM406" t="s">
        <v>69</v>
      </c>
      <c r="AN406">
        <v>33</v>
      </c>
      <c r="AO406">
        <v>3</v>
      </c>
      <c r="AP406">
        <v>3</v>
      </c>
      <c r="AQ406">
        <v>0</v>
      </c>
      <c r="AR406">
        <v>0</v>
      </c>
      <c r="AS406" t="s">
        <v>13509</v>
      </c>
      <c r="AT406" t="s">
        <v>13510</v>
      </c>
      <c r="AU406" t="s">
        <v>13511</v>
      </c>
      <c r="AV406" t="s">
        <v>24202</v>
      </c>
      <c r="AW406" t="s">
        <v>24203</v>
      </c>
      <c r="AX406" t="s">
        <v>69</v>
      </c>
      <c r="AY406" t="s">
        <v>24204</v>
      </c>
      <c r="AZ406" t="s">
        <v>24205</v>
      </c>
      <c r="BA406" t="s">
        <v>69</v>
      </c>
      <c r="BB406">
        <v>2014</v>
      </c>
      <c r="BC406">
        <v>16</v>
      </c>
      <c r="BD406">
        <v>3</v>
      </c>
      <c r="BE406" t="s">
        <v>69</v>
      </c>
      <c r="BF406" t="s">
        <v>69</v>
      </c>
      <c r="BG406" t="s">
        <v>69</v>
      </c>
      <c r="BH406" t="s">
        <v>69</v>
      </c>
      <c r="BI406">
        <v>253</v>
      </c>
      <c r="BJ406">
        <v>276</v>
      </c>
      <c r="BK406" t="s">
        <v>69</v>
      </c>
      <c r="BL406" t="s">
        <v>24206</v>
      </c>
      <c r="BM406" t="str">
        <f>HYPERLINK("http://dx.doi.org/10.1504/IJIL.2014.064729","http://dx.doi.org/10.1504/IJIL.2014.064729")</f>
        <v>http://dx.doi.org/10.1504/IJIL.2014.064729</v>
      </c>
      <c r="BN406" t="s">
        <v>69</v>
      </c>
      <c r="BO406" t="s">
        <v>69</v>
      </c>
      <c r="BP406">
        <v>24</v>
      </c>
      <c r="BQ406" t="s">
        <v>9410</v>
      </c>
      <c r="BR406" t="s">
        <v>8573</v>
      </c>
      <c r="BS406" t="s">
        <v>8594</v>
      </c>
      <c r="BT406" t="s">
        <v>24207</v>
      </c>
      <c r="BU406" t="s">
        <v>24208</v>
      </c>
      <c r="BV406" t="s">
        <v>69</v>
      </c>
      <c r="BW406" t="s">
        <v>69</v>
      </c>
      <c r="BX406" t="s">
        <v>69</v>
      </c>
      <c r="BY406" t="s">
        <v>69</v>
      </c>
      <c r="BZ406" t="s">
        <v>8526</v>
      </c>
      <c r="CA406" t="str">
        <f>HYPERLINK("https%3A%2F%2Fwww.webofscience.com%2Fwos%2Fwoscc%2Ffull-record%2FWOS:000436877600002","View Full Record in Web of Science")</f>
        <v>View Full Record in Web of Science</v>
      </c>
    </row>
    <row r="407" spans="1:79" ht="12.5" x14ac:dyDescent="0.25">
      <c r="B407" t="s">
        <v>8495</v>
      </c>
      <c r="D407" s="22" t="s">
        <v>32931</v>
      </c>
      <c r="E407" s="7"/>
      <c r="F407" s="7"/>
      <c r="G407" s="7"/>
      <c r="H407" t="s">
        <v>67</v>
      </c>
      <c r="I407" t="s">
        <v>15920</v>
      </c>
      <c r="J407" t="s">
        <v>69</v>
      </c>
      <c r="K407" t="s">
        <v>69</v>
      </c>
      <c r="L407" t="s">
        <v>69</v>
      </c>
      <c r="M407" t="s">
        <v>15921</v>
      </c>
      <c r="N407" t="s">
        <v>69</v>
      </c>
      <c r="O407" t="s">
        <v>69</v>
      </c>
      <c r="P407" t="s">
        <v>15922</v>
      </c>
      <c r="Q407" t="s">
        <v>4880</v>
      </c>
      <c r="R407" t="s">
        <v>69</v>
      </c>
      <c r="S407" t="s">
        <v>69</v>
      </c>
      <c r="T407" t="s">
        <v>8505</v>
      </c>
      <c r="U407" t="s">
        <v>8506</v>
      </c>
      <c r="V407" t="s">
        <v>69</v>
      </c>
      <c r="W407" t="s">
        <v>69</v>
      </c>
      <c r="X407" t="s">
        <v>69</v>
      </c>
      <c r="Y407" t="s">
        <v>69</v>
      </c>
      <c r="Z407" t="s">
        <v>69</v>
      </c>
      <c r="AA407" t="s">
        <v>15923</v>
      </c>
      <c r="AB407" t="s">
        <v>15924</v>
      </c>
      <c r="AC407" t="s">
        <v>15925</v>
      </c>
      <c r="AD407" t="s">
        <v>15926</v>
      </c>
      <c r="AE407" t="s">
        <v>69</v>
      </c>
      <c r="AF407" t="s">
        <v>15927</v>
      </c>
      <c r="AG407" t="s">
        <v>15928</v>
      </c>
      <c r="AH407" t="s">
        <v>15929</v>
      </c>
      <c r="AI407" t="s">
        <v>15930</v>
      </c>
      <c r="AJ407" t="s">
        <v>69</v>
      </c>
      <c r="AK407" t="s">
        <v>69</v>
      </c>
      <c r="AL407" t="s">
        <v>69</v>
      </c>
      <c r="AM407" t="s">
        <v>69</v>
      </c>
      <c r="AN407">
        <v>81</v>
      </c>
      <c r="AO407">
        <v>11</v>
      </c>
      <c r="AP407">
        <v>11</v>
      </c>
      <c r="AQ407">
        <v>2</v>
      </c>
      <c r="AR407">
        <v>16</v>
      </c>
      <c r="AS407" t="s">
        <v>8846</v>
      </c>
      <c r="AT407" t="s">
        <v>8847</v>
      </c>
      <c r="AU407" t="s">
        <v>8848</v>
      </c>
      <c r="AV407" t="s">
        <v>4882</v>
      </c>
      <c r="AW407" t="s">
        <v>4883</v>
      </c>
      <c r="AX407" t="s">
        <v>69</v>
      </c>
      <c r="AY407" t="s">
        <v>15931</v>
      </c>
      <c r="AZ407" t="s">
        <v>15932</v>
      </c>
      <c r="BA407" t="s">
        <v>94</v>
      </c>
      <c r="BB407">
        <v>2020</v>
      </c>
      <c r="BC407">
        <v>24</v>
      </c>
      <c r="BD407">
        <v>1</v>
      </c>
      <c r="BE407" t="s">
        <v>69</v>
      </c>
      <c r="BF407" t="s">
        <v>69</v>
      </c>
      <c r="BG407" t="s">
        <v>69</v>
      </c>
      <c r="BH407" t="s">
        <v>69</v>
      </c>
      <c r="BI407" t="s">
        <v>69</v>
      </c>
      <c r="BJ407" t="s">
        <v>69</v>
      </c>
      <c r="BK407" t="s">
        <v>69</v>
      </c>
      <c r="BL407" t="s">
        <v>15933</v>
      </c>
      <c r="BM407" t="str">
        <f>HYPERLINK("http://dx.doi.org/10.1111/ijau.12184","http://dx.doi.org/10.1111/ijau.12184")</f>
        <v>http://dx.doi.org/10.1111/ijau.12184</v>
      </c>
      <c r="BN407" t="s">
        <v>69</v>
      </c>
      <c r="BO407" t="s">
        <v>15934</v>
      </c>
      <c r="BP407">
        <v>18</v>
      </c>
      <c r="BQ407" t="s">
        <v>9749</v>
      </c>
      <c r="BR407" t="s">
        <v>8661</v>
      </c>
      <c r="BS407" t="s">
        <v>8594</v>
      </c>
      <c r="BT407" t="s">
        <v>15935</v>
      </c>
      <c r="BU407" t="s">
        <v>15936</v>
      </c>
      <c r="BV407" t="s">
        <v>69</v>
      </c>
      <c r="BW407" t="s">
        <v>69</v>
      </c>
      <c r="BX407" t="s">
        <v>69</v>
      </c>
      <c r="BY407" t="s">
        <v>69</v>
      </c>
      <c r="BZ407" t="s">
        <v>8526</v>
      </c>
      <c r="CA407" t="str">
        <f>HYPERLINK("https%3A%2F%2Fwww.webofscience.com%2Fwos%2Fwoscc%2Ffull-record%2FWOS:000507096000001","View Full Record in Web of Science")</f>
        <v>View Full Record in Web of Science</v>
      </c>
    </row>
    <row r="408" spans="1:79" ht="12.5" x14ac:dyDescent="0.25">
      <c r="B408" t="s">
        <v>8495</v>
      </c>
      <c r="D408" s="7" t="s">
        <v>32933</v>
      </c>
      <c r="E408" s="7"/>
      <c r="F408" s="7"/>
      <c r="G408" s="7"/>
      <c r="H408" t="s">
        <v>67</v>
      </c>
      <c r="I408" t="s">
        <v>1479</v>
      </c>
      <c r="J408" t="s">
        <v>69</v>
      </c>
      <c r="K408" t="s">
        <v>69</v>
      </c>
      <c r="L408" t="s">
        <v>69</v>
      </c>
      <c r="M408" t="s">
        <v>1480</v>
      </c>
      <c r="N408" t="s">
        <v>69</v>
      </c>
      <c r="O408" t="s">
        <v>69</v>
      </c>
      <c r="P408" t="s">
        <v>1481</v>
      </c>
      <c r="Q408" t="s">
        <v>1212</v>
      </c>
      <c r="R408" t="s">
        <v>69</v>
      </c>
      <c r="S408" t="s">
        <v>69</v>
      </c>
      <c r="T408" t="s">
        <v>8505</v>
      </c>
      <c r="U408" t="s">
        <v>10174</v>
      </c>
      <c r="V408" t="s">
        <v>69</v>
      </c>
      <c r="W408" t="s">
        <v>69</v>
      </c>
      <c r="X408" t="s">
        <v>69</v>
      </c>
      <c r="Y408" t="s">
        <v>69</v>
      </c>
      <c r="Z408" t="s">
        <v>69</v>
      </c>
      <c r="AA408" t="s">
        <v>69</v>
      </c>
      <c r="AB408" t="s">
        <v>69</v>
      </c>
      <c r="AC408" t="s">
        <v>1482</v>
      </c>
      <c r="AD408" t="s">
        <v>26822</v>
      </c>
      <c r="AE408" t="s">
        <v>69</v>
      </c>
      <c r="AF408" t="s">
        <v>26823</v>
      </c>
      <c r="AG408" t="s">
        <v>69</v>
      </c>
      <c r="AH408" t="s">
        <v>69</v>
      </c>
      <c r="AI408" t="s">
        <v>69</v>
      </c>
      <c r="AJ408" t="s">
        <v>69</v>
      </c>
      <c r="AK408" t="s">
        <v>69</v>
      </c>
      <c r="AL408" t="s">
        <v>69</v>
      </c>
      <c r="AM408" t="s">
        <v>69</v>
      </c>
      <c r="AN408">
        <v>13</v>
      </c>
      <c r="AO408">
        <v>44</v>
      </c>
      <c r="AP408">
        <v>44</v>
      </c>
      <c r="AQ408">
        <v>6</v>
      </c>
      <c r="AR408">
        <v>97</v>
      </c>
      <c r="AS408" t="s">
        <v>21110</v>
      </c>
      <c r="AT408" t="s">
        <v>8847</v>
      </c>
      <c r="AU408" t="s">
        <v>8848</v>
      </c>
      <c r="AV408" t="s">
        <v>1215</v>
      </c>
      <c r="AW408" t="s">
        <v>69</v>
      </c>
      <c r="AX408" t="s">
        <v>69</v>
      </c>
      <c r="AY408" t="s">
        <v>21310</v>
      </c>
      <c r="AZ408" t="s">
        <v>21311</v>
      </c>
      <c r="BA408" t="s">
        <v>255</v>
      </c>
      <c r="BB408">
        <v>2011</v>
      </c>
      <c r="BC408">
        <v>19</v>
      </c>
      <c r="BD408">
        <v>5</v>
      </c>
      <c r="BE408" t="s">
        <v>69</v>
      </c>
      <c r="BF408" t="s">
        <v>69</v>
      </c>
      <c r="BG408" t="s">
        <v>69</v>
      </c>
      <c r="BH408" t="s">
        <v>69</v>
      </c>
      <c r="BI408">
        <v>399</v>
      </c>
      <c r="BJ408">
        <v>404</v>
      </c>
      <c r="BK408" t="s">
        <v>69</v>
      </c>
      <c r="BL408" t="s">
        <v>1483</v>
      </c>
      <c r="BM408" t="str">
        <f>HYPERLINK("http://dx.doi.org/10.1111/j.1467-8683.2011.00879.x","http://dx.doi.org/10.1111/j.1467-8683.2011.00879.x")</f>
        <v>http://dx.doi.org/10.1111/j.1467-8683.2011.00879.x</v>
      </c>
      <c r="BN408" t="s">
        <v>69</v>
      </c>
      <c r="BO408" t="s">
        <v>69</v>
      </c>
      <c r="BP408">
        <v>6</v>
      </c>
      <c r="BQ408" t="s">
        <v>21312</v>
      </c>
      <c r="BR408" t="s">
        <v>8661</v>
      </c>
      <c r="BS408" t="s">
        <v>8594</v>
      </c>
      <c r="BT408" t="s">
        <v>26824</v>
      </c>
      <c r="BU408" t="s">
        <v>1484</v>
      </c>
      <c r="BV408" t="s">
        <v>69</v>
      </c>
      <c r="BW408" t="s">
        <v>11793</v>
      </c>
      <c r="BX408" t="s">
        <v>69</v>
      </c>
      <c r="BY408" t="s">
        <v>69</v>
      </c>
      <c r="BZ408" t="s">
        <v>8526</v>
      </c>
      <c r="CA408" t="str">
        <f>HYPERLINK("https%3A%2F%2Fwww.webofscience.com%2Fwos%2Fwoscc%2Ffull-record%2FWOS:000296489800001","View Full Record in Web of Science")</f>
        <v>View Full Record in Web of Science</v>
      </c>
    </row>
    <row r="409" spans="1:79" ht="12.5" x14ac:dyDescent="0.25">
      <c r="B409" t="s">
        <v>8495</v>
      </c>
      <c r="D409" s="22" t="s">
        <v>32931</v>
      </c>
      <c r="E409" s="7"/>
      <c r="F409" s="7"/>
      <c r="G409" s="7"/>
      <c r="H409" t="s">
        <v>67</v>
      </c>
      <c r="I409" t="s">
        <v>30745</v>
      </c>
      <c r="J409" t="s">
        <v>69</v>
      </c>
      <c r="K409" t="s">
        <v>69</v>
      </c>
      <c r="L409" t="s">
        <v>69</v>
      </c>
      <c r="M409" t="s">
        <v>30746</v>
      </c>
      <c r="N409" t="s">
        <v>69</v>
      </c>
      <c r="O409" t="s">
        <v>69</v>
      </c>
      <c r="P409" t="s">
        <v>30747</v>
      </c>
      <c r="Q409" t="s">
        <v>30748</v>
      </c>
      <c r="R409" t="s">
        <v>69</v>
      </c>
      <c r="S409" t="s">
        <v>69</v>
      </c>
      <c r="T409" t="s">
        <v>8505</v>
      </c>
      <c r="U409" t="s">
        <v>8506</v>
      </c>
      <c r="V409" t="s">
        <v>69</v>
      </c>
      <c r="W409" t="s">
        <v>69</v>
      </c>
      <c r="X409" t="s">
        <v>69</v>
      </c>
      <c r="Y409" t="s">
        <v>69</v>
      </c>
      <c r="Z409" t="s">
        <v>69</v>
      </c>
      <c r="AA409" t="s">
        <v>69</v>
      </c>
      <c r="AB409" t="s">
        <v>69</v>
      </c>
      <c r="AC409" t="s">
        <v>30749</v>
      </c>
      <c r="AD409" t="s">
        <v>30750</v>
      </c>
      <c r="AE409" t="s">
        <v>69</v>
      </c>
      <c r="AF409" t="s">
        <v>30751</v>
      </c>
      <c r="AG409" t="s">
        <v>69</v>
      </c>
      <c r="AH409" t="s">
        <v>69</v>
      </c>
      <c r="AI409" t="s">
        <v>69</v>
      </c>
      <c r="AJ409" t="s">
        <v>69</v>
      </c>
      <c r="AK409" t="s">
        <v>69</v>
      </c>
      <c r="AL409" t="s">
        <v>69</v>
      </c>
      <c r="AM409" t="s">
        <v>69</v>
      </c>
      <c r="AN409">
        <v>10</v>
      </c>
      <c r="AO409">
        <v>1</v>
      </c>
      <c r="AP409">
        <v>1</v>
      </c>
      <c r="AQ409">
        <v>0</v>
      </c>
      <c r="AR409">
        <v>1</v>
      </c>
      <c r="AS409" t="s">
        <v>8865</v>
      </c>
      <c r="AT409" t="s">
        <v>8612</v>
      </c>
      <c r="AU409" t="s">
        <v>8866</v>
      </c>
      <c r="AV409" t="s">
        <v>30752</v>
      </c>
      <c r="AW409" t="s">
        <v>30753</v>
      </c>
      <c r="AX409" t="s">
        <v>69</v>
      </c>
      <c r="AY409" t="s">
        <v>30754</v>
      </c>
      <c r="AZ409" t="s">
        <v>30755</v>
      </c>
      <c r="BA409" t="s">
        <v>69</v>
      </c>
      <c r="BB409">
        <v>2005</v>
      </c>
      <c r="BC409">
        <v>27</v>
      </c>
      <c r="BD409">
        <v>2</v>
      </c>
      <c r="BE409" t="s">
        <v>69</v>
      </c>
      <c r="BF409" t="s">
        <v>69</v>
      </c>
      <c r="BG409" t="s">
        <v>69</v>
      </c>
      <c r="BH409" t="s">
        <v>69</v>
      </c>
      <c r="BI409">
        <v>239</v>
      </c>
      <c r="BJ409">
        <v>262</v>
      </c>
      <c r="BK409" t="s">
        <v>69</v>
      </c>
      <c r="BL409" t="s">
        <v>30756</v>
      </c>
      <c r="BM409" t="str">
        <f>HYPERLINK("http://dx.doi.org/10.1080/23276665.2005.10779310","http://dx.doi.org/10.1080/23276665.2005.10779310")</f>
        <v>http://dx.doi.org/10.1080/23276665.2005.10779310</v>
      </c>
      <c r="BN409" t="s">
        <v>69</v>
      </c>
      <c r="BO409" t="s">
        <v>69</v>
      </c>
      <c r="BP409">
        <v>24</v>
      </c>
      <c r="BQ409" t="s">
        <v>12182</v>
      </c>
      <c r="BR409" t="s">
        <v>8573</v>
      </c>
      <c r="BS409" t="s">
        <v>12182</v>
      </c>
      <c r="BT409" t="s">
        <v>30757</v>
      </c>
      <c r="BU409" t="s">
        <v>30758</v>
      </c>
      <c r="BV409" t="s">
        <v>69</v>
      </c>
      <c r="BW409" t="s">
        <v>69</v>
      </c>
      <c r="BX409" t="s">
        <v>69</v>
      </c>
      <c r="BY409" t="s">
        <v>69</v>
      </c>
      <c r="BZ409" t="s">
        <v>8526</v>
      </c>
      <c r="CA409" t="str">
        <f>HYPERLINK("https%3A%2F%2Fwww.webofscience.com%2Fwos%2Fwoscc%2Ffull-record%2FWOS:000422570400008","View Full Record in Web of Science")</f>
        <v>View Full Record in Web of Science</v>
      </c>
    </row>
    <row r="410" spans="1:79" ht="12.5" x14ac:dyDescent="0.25">
      <c r="B410" t="s">
        <v>8495</v>
      </c>
      <c r="D410" s="7" t="s">
        <v>32933</v>
      </c>
      <c r="E410" s="7"/>
      <c r="F410" s="7"/>
      <c r="G410" s="7"/>
      <c r="H410" t="s">
        <v>67</v>
      </c>
      <c r="I410" t="s">
        <v>4021</v>
      </c>
      <c r="J410" t="s">
        <v>69</v>
      </c>
      <c r="K410" t="s">
        <v>69</v>
      </c>
      <c r="L410" t="s">
        <v>69</v>
      </c>
      <c r="M410" t="s">
        <v>4021</v>
      </c>
      <c r="N410" t="s">
        <v>69</v>
      </c>
      <c r="O410" t="s">
        <v>69</v>
      </c>
      <c r="P410" t="s">
        <v>4022</v>
      </c>
      <c r="Q410" t="s">
        <v>4023</v>
      </c>
      <c r="R410" t="s">
        <v>69</v>
      </c>
      <c r="S410" t="s">
        <v>69</v>
      </c>
      <c r="T410" t="s">
        <v>8505</v>
      </c>
      <c r="U410" t="s">
        <v>8506</v>
      </c>
      <c r="V410" t="s">
        <v>69</v>
      </c>
      <c r="W410" t="s">
        <v>69</v>
      </c>
      <c r="X410" t="s">
        <v>69</v>
      </c>
      <c r="Y410" t="s">
        <v>69</v>
      </c>
      <c r="Z410" t="s">
        <v>69</v>
      </c>
      <c r="AA410" t="s">
        <v>31424</v>
      </c>
      <c r="AB410" t="s">
        <v>69</v>
      </c>
      <c r="AC410" t="s">
        <v>4024</v>
      </c>
      <c r="AD410" t="s">
        <v>31425</v>
      </c>
      <c r="AE410" t="s">
        <v>69</v>
      </c>
      <c r="AF410" t="s">
        <v>31426</v>
      </c>
      <c r="AG410" t="s">
        <v>69</v>
      </c>
      <c r="AH410" t="s">
        <v>69</v>
      </c>
      <c r="AI410" t="s">
        <v>69</v>
      </c>
      <c r="AJ410" t="s">
        <v>69</v>
      </c>
      <c r="AK410" t="s">
        <v>69</v>
      </c>
      <c r="AL410" t="s">
        <v>69</v>
      </c>
      <c r="AM410" t="s">
        <v>69</v>
      </c>
      <c r="AN410">
        <v>18</v>
      </c>
      <c r="AO410">
        <v>0</v>
      </c>
      <c r="AP410">
        <v>0</v>
      </c>
      <c r="AQ410">
        <v>0</v>
      </c>
      <c r="AR410">
        <v>6</v>
      </c>
      <c r="AS410" t="s">
        <v>13195</v>
      </c>
      <c r="AT410" t="s">
        <v>13196</v>
      </c>
      <c r="AU410" t="s">
        <v>13197</v>
      </c>
      <c r="AV410" t="s">
        <v>4025</v>
      </c>
      <c r="AW410" t="s">
        <v>69</v>
      </c>
      <c r="AX410" t="s">
        <v>69</v>
      </c>
      <c r="AY410" t="s">
        <v>13199</v>
      </c>
      <c r="AZ410" t="s">
        <v>13200</v>
      </c>
      <c r="BA410" t="s">
        <v>201</v>
      </c>
      <c r="BB410">
        <v>2002</v>
      </c>
      <c r="BC410">
        <v>153</v>
      </c>
      <c r="BD410">
        <v>3</v>
      </c>
      <c r="BE410" t="s">
        <v>69</v>
      </c>
      <c r="BF410" t="s">
        <v>69</v>
      </c>
      <c r="BG410" t="s">
        <v>69</v>
      </c>
      <c r="BH410" t="s">
        <v>69</v>
      </c>
      <c r="BI410">
        <v>165</v>
      </c>
      <c r="BJ410">
        <v>170</v>
      </c>
      <c r="BK410" t="s">
        <v>69</v>
      </c>
      <c r="BL410" t="s">
        <v>69</v>
      </c>
      <c r="BM410" t="s">
        <v>69</v>
      </c>
      <c r="BN410" t="s">
        <v>69</v>
      </c>
      <c r="BO410" t="s">
        <v>69</v>
      </c>
      <c r="BP410">
        <v>6</v>
      </c>
      <c r="BQ410" t="s">
        <v>13202</v>
      </c>
      <c r="BR410" t="s">
        <v>8548</v>
      </c>
      <c r="BS410" t="s">
        <v>9561</v>
      </c>
      <c r="BT410" t="s">
        <v>31427</v>
      </c>
      <c r="BU410" t="s">
        <v>4026</v>
      </c>
      <c r="BV410" t="s">
        <v>69</v>
      </c>
      <c r="BW410" t="s">
        <v>69</v>
      </c>
      <c r="BX410" t="s">
        <v>69</v>
      </c>
      <c r="BY410" t="s">
        <v>69</v>
      </c>
      <c r="BZ410" t="s">
        <v>8526</v>
      </c>
      <c r="CA410" t="str">
        <f>HYPERLINK("https%3A%2F%2Fwww.webofscience.com%2Fwos%2Fwoscc%2Ffull-record%2FWOS:000177581100003","View Full Record in Web of Science")</f>
        <v>View Full Record in Web of Science</v>
      </c>
    </row>
    <row r="411" spans="1:79" ht="12.5" x14ac:dyDescent="0.25">
      <c r="B411" t="s">
        <v>8495</v>
      </c>
      <c r="D411" s="22" t="s">
        <v>32931</v>
      </c>
      <c r="E411" s="7"/>
      <c r="F411" s="7"/>
      <c r="G411" s="7"/>
      <c r="H411" t="s">
        <v>67</v>
      </c>
      <c r="I411" t="s">
        <v>30973</v>
      </c>
      <c r="J411" t="s">
        <v>69</v>
      </c>
      <c r="K411" t="s">
        <v>69</v>
      </c>
      <c r="L411" t="s">
        <v>69</v>
      </c>
      <c r="M411" t="s">
        <v>30974</v>
      </c>
      <c r="N411" t="s">
        <v>69</v>
      </c>
      <c r="O411" t="s">
        <v>69</v>
      </c>
      <c r="P411" t="s">
        <v>30975</v>
      </c>
      <c r="Q411" t="s">
        <v>30976</v>
      </c>
      <c r="R411" t="s">
        <v>69</v>
      </c>
      <c r="S411" t="s">
        <v>69</v>
      </c>
      <c r="T411" t="s">
        <v>8505</v>
      </c>
      <c r="U411" t="s">
        <v>8506</v>
      </c>
      <c r="V411" t="s">
        <v>69</v>
      </c>
      <c r="W411" t="s">
        <v>69</v>
      </c>
      <c r="X411" t="s">
        <v>69</v>
      </c>
      <c r="Y411" t="s">
        <v>69</v>
      </c>
      <c r="Z411" t="s">
        <v>69</v>
      </c>
      <c r="AA411" t="s">
        <v>30977</v>
      </c>
      <c r="AB411" t="s">
        <v>69</v>
      </c>
      <c r="AC411" t="s">
        <v>30978</v>
      </c>
      <c r="AD411" t="s">
        <v>69</v>
      </c>
      <c r="AE411" t="s">
        <v>69</v>
      </c>
      <c r="AF411" t="s">
        <v>69</v>
      </c>
      <c r="AG411" t="s">
        <v>69</v>
      </c>
      <c r="AH411" t="s">
        <v>69</v>
      </c>
      <c r="AI411" t="s">
        <v>69</v>
      </c>
      <c r="AJ411" t="s">
        <v>69</v>
      </c>
      <c r="AK411" t="s">
        <v>69</v>
      </c>
      <c r="AL411" t="s">
        <v>69</v>
      </c>
      <c r="AM411" t="s">
        <v>69</v>
      </c>
      <c r="AN411">
        <v>79</v>
      </c>
      <c r="AO411">
        <v>0</v>
      </c>
      <c r="AP411">
        <v>0</v>
      </c>
      <c r="AQ411">
        <v>0</v>
      </c>
      <c r="AR411">
        <v>0</v>
      </c>
      <c r="AS411" t="s">
        <v>8865</v>
      </c>
      <c r="AT411" t="s">
        <v>8612</v>
      </c>
      <c r="AU411" t="s">
        <v>8866</v>
      </c>
      <c r="AV411" t="s">
        <v>30979</v>
      </c>
      <c r="AW411" t="s">
        <v>30980</v>
      </c>
      <c r="AX411" t="s">
        <v>69</v>
      </c>
      <c r="AY411" t="s">
        <v>30981</v>
      </c>
      <c r="AZ411" t="s">
        <v>30982</v>
      </c>
      <c r="BA411" t="s">
        <v>69</v>
      </c>
      <c r="BB411">
        <v>2005</v>
      </c>
      <c r="BC411">
        <v>3</v>
      </c>
      <c r="BD411" t="s">
        <v>69</v>
      </c>
      <c r="BE411" t="s">
        <v>69</v>
      </c>
      <c r="BF411">
        <v>1</v>
      </c>
      <c r="BG411" t="s">
        <v>69</v>
      </c>
      <c r="BH411" t="s">
        <v>69</v>
      </c>
      <c r="BI411">
        <v>35</v>
      </c>
      <c r="BJ411">
        <v>63</v>
      </c>
      <c r="BK411" t="s">
        <v>69</v>
      </c>
      <c r="BL411" t="s">
        <v>69</v>
      </c>
      <c r="BM411" t="s">
        <v>69</v>
      </c>
      <c r="BN411" t="s">
        <v>69</v>
      </c>
      <c r="BO411" t="s">
        <v>69</v>
      </c>
      <c r="BP411">
        <v>29</v>
      </c>
      <c r="BQ411" t="s">
        <v>8810</v>
      </c>
      <c r="BR411" t="s">
        <v>8573</v>
      </c>
      <c r="BS411" t="s">
        <v>8810</v>
      </c>
      <c r="BT411" t="s">
        <v>30983</v>
      </c>
      <c r="BU411" t="s">
        <v>30984</v>
      </c>
      <c r="BV411" t="s">
        <v>69</v>
      </c>
      <c r="BW411" t="s">
        <v>69</v>
      </c>
      <c r="BX411" t="s">
        <v>69</v>
      </c>
      <c r="BY411" t="s">
        <v>69</v>
      </c>
      <c r="BZ411" t="s">
        <v>8526</v>
      </c>
      <c r="CA411" t="str">
        <f>HYPERLINK("https%3A%2F%2Fwww.webofscience.com%2Fwos%2Fwoscc%2Ffull-record%2FWOS:000437661100007","View Full Record in Web of Science")</f>
        <v>View Full Record in Web of Science</v>
      </c>
    </row>
    <row r="412" spans="1:79" ht="12.5" x14ac:dyDescent="0.25">
      <c r="B412" t="s">
        <v>8495</v>
      </c>
      <c r="D412" s="22" t="s">
        <v>32931</v>
      </c>
      <c r="E412" s="7"/>
      <c r="F412" s="7"/>
      <c r="G412" s="7"/>
      <c r="H412" t="s">
        <v>67</v>
      </c>
      <c r="I412" t="s">
        <v>30444</v>
      </c>
      <c r="J412" t="s">
        <v>69</v>
      </c>
      <c r="K412" t="s">
        <v>69</v>
      </c>
      <c r="L412" t="s">
        <v>69</v>
      </c>
      <c r="M412" t="s">
        <v>30445</v>
      </c>
      <c r="N412" t="s">
        <v>69</v>
      </c>
      <c r="O412" t="s">
        <v>69</v>
      </c>
      <c r="P412" t="s">
        <v>30446</v>
      </c>
      <c r="Q412" t="s">
        <v>30447</v>
      </c>
      <c r="R412" t="s">
        <v>69</v>
      </c>
      <c r="S412" t="s">
        <v>69</v>
      </c>
      <c r="T412" t="s">
        <v>8505</v>
      </c>
      <c r="U412" t="s">
        <v>8506</v>
      </c>
      <c r="V412" t="s">
        <v>69</v>
      </c>
      <c r="W412" t="s">
        <v>69</v>
      </c>
      <c r="X412" t="s">
        <v>69</v>
      </c>
      <c r="Y412" t="s">
        <v>69</v>
      </c>
      <c r="Z412" t="s">
        <v>69</v>
      </c>
      <c r="AA412" t="s">
        <v>30448</v>
      </c>
      <c r="AB412" t="s">
        <v>69</v>
      </c>
      <c r="AC412" t="s">
        <v>30449</v>
      </c>
      <c r="AD412" t="s">
        <v>30450</v>
      </c>
      <c r="AE412" t="s">
        <v>69</v>
      </c>
      <c r="AF412" t="s">
        <v>30451</v>
      </c>
      <c r="AG412" t="s">
        <v>30452</v>
      </c>
      <c r="AH412" t="s">
        <v>69</v>
      </c>
      <c r="AI412" t="s">
        <v>69</v>
      </c>
      <c r="AJ412" t="s">
        <v>69</v>
      </c>
      <c r="AK412" t="s">
        <v>69</v>
      </c>
      <c r="AL412" t="s">
        <v>69</v>
      </c>
      <c r="AM412" t="s">
        <v>69</v>
      </c>
      <c r="AN412">
        <v>23</v>
      </c>
      <c r="AO412">
        <v>3</v>
      </c>
      <c r="AP412">
        <v>3</v>
      </c>
      <c r="AQ412">
        <v>0</v>
      </c>
      <c r="AR412">
        <v>0</v>
      </c>
      <c r="AS412" t="s">
        <v>13509</v>
      </c>
      <c r="AT412" t="s">
        <v>13510</v>
      </c>
      <c r="AU412" t="s">
        <v>13511</v>
      </c>
      <c r="AV412" t="s">
        <v>30453</v>
      </c>
      <c r="AW412" t="s">
        <v>30454</v>
      </c>
      <c r="AX412" t="s">
        <v>69</v>
      </c>
      <c r="AY412" t="s">
        <v>30455</v>
      </c>
      <c r="AZ412" t="s">
        <v>30456</v>
      </c>
      <c r="BA412" t="s">
        <v>69</v>
      </c>
      <c r="BB412">
        <v>2006</v>
      </c>
      <c r="BC412">
        <v>1</v>
      </c>
      <c r="BD412">
        <v>1</v>
      </c>
      <c r="BE412" t="s">
        <v>69</v>
      </c>
      <c r="BF412" t="s">
        <v>69</v>
      </c>
      <c r="BG412" t="s">
        <v>69</v>
      </c>
      <c r="BH412" t="s">
        <v>69</v>
      </c>
      <c r="BI412">
        <v>112</v>
      </c>
      <c r="BJ412">
        <v>125</v>
      </c>
      <c r="BK412" t="s">
        <v>69</v>
      </c>
      <c r="BL412" t="s">
        <v>30457</v>
      </c>
      <c r="BM412" t="str">
        <f>HYPERLINK("http://dx.doi.org/10.1504/IJBE.2006.010131","http://dx.doi.org/10.1504/IJBE.2006.010131")</f>
        <v>http://dx.doi.org/10.1504/IJBE.2006.010131</v>
      </c>
      <c r="BN412" t="s">
        <v>69</v>
      </c>
      <c r="BO412" t="s">
        <v>69</v>
      </c>
      <c r="BP412">
        <v>14</v>
      </c>
      <c r="BQ412" t="s">
        <v>8444</v>
      </c>
      <c r="BR412" t="s">
        <v>8573</v>
      </c>
      <c r="BS412" t="s">
        <v>8594</v>
      </c>
      <c r="BT412" t="s">
        <v>30458</v>
      </c>
      <c r="BU412" t="s">
        <v>30459</v>
      </c>
      <c r="BV412" t="s">
        <v>69</v>
      </c>
      <c r="BW412" t="s">
        <v>69</v>
      </c>
      <c r="BX412" t="s">
        <v>69</v>
      </c>
      <c r="BY412" t="s">
        <v>69</v>
      </c>
      <c r="BZ412" t="s">
        <v>8526</v>
      </c>
      <c r="CA412" t="str">
        <f>HYPERLINK("https%3A%2F%2Fwww.webofscience.com%2Fwos%2Fwoscc%2Ffull-record%2FWOS:000436186500006","View Full Record in Web of Science")</f>
        <v>View Full Record in Web of Science</v>
      </c>
    </row>
    <row r="413" spans="1:79" ht="12.5" x14ac:dyDescent="0.25">
      <c r="B413" t="s">
        <v>8495</v>
      </c>
      <c r="D413" s="22" t="s">
        <v>32931</v>
      </c>
      <c r="E413" s="7"/>
      <c r="F413" s="7"/>
      <c r="G413" s="7"/>
      <c r="H413" t="s">
        <v>67</v>
      </c>
      <c r="I413" t="s">
        <v>29796</v>
      </c>
      <c r="J413" t="s">
        <v>69</v>
      </c>
      <c r="K413" t="s">
        <v>69</v>
      </c>
      <c r="L413" t="s">
        <v>69</v>
      </c>
      <c r="M413" t="s">
        <v>29797</v>
      </c>
      <c r="N413" t="s">
        <v>69</v>
      </c>
      <c r="O413" t="s">
        <v>69</v>
      </c>
      <c r="P413" t="s">
        <v>29798</v>
      </c>
      <c r="Q413" t="s">
        <v>29799</v>
      </c>
      <c r="R413" t="s">
        <v>69</v>
      </c>
      <c r="S413" t="s">
        <v>69</v>
      </c>
      <c r="T413" t="s">
        <v>8505</v>
      </c>
      <c r="U413" t="s">
        <v>8506</v>
      </c>
      <c r="V413" t="s">
        <v>69</v>
      </c>
      <c r="W413" t="s">
        <v>69</v>
      </c>
      <c r="X413" t="s">
        <v>69</v>
      </c>
      <c r="Y413" t="s">
        <v>69</v>
      </c>
      <c r="Z413" t="s">
        <v>69</v>
      </c>
      <c r="AA413" t="s">
        <v>29800</v>
      </c>
      <c r="AB413" t="s">
        <v>69</v>
      </c>
      <c r="AC413" t="s">
        <v>29801</v>
      </c>
      <c r="AD413" t="s">
        <v>29802</v>
      </c>
      <c r="AE413" t="s">
        <v>69</v>
      </c>
      <c r="AF413" t="s">
        <v>29803</v>
      </c>
      <c r="AG413" t="s">
        <v>29804</v>
      </c>
      <c r="AH413" t="s">
        <v>69</v>
      </c>
      <c r="AI413" t="s">
        <v>69</v>
      </c>
      <c r="AJ413" t="s">
        <v>69</v>
      </c>
      <c r="AK413" t="s">
        <v>69</v>
      </c>
      <c r="AL413" t="s">
        <v>69</v>
      </c>
      <c r="AM413" t="s">
        <v>69</v>
      </c>
      <c r="AN413">
        <v>2</v>
      </c>
      <c r="AO413">
        <v>1</v>
      </c>
      <c r="AP413">
        <v>1</v>
      </c>
      <c r="AQ413">
        <v>0</v>
      </c>
      <c r="AR413">
        <v>0</v>
      </c>
      <c r="AS413" t="s">
        <v>16416</v>
      </c>
      <c r="AT413" t="s">
        <v>16417</v>
      </c>
      <c r="AU413" t="s">
        <v>16418</v>
      </c>
      <c r="AV413" t="s">
        <v>29805</v>
      </c>
      <c r="AW413" t="s">
        <v>29806</v>
      </c>
      <c r="AX413" t="s">
        <v>69</v>
      </c>
      <c r="AY413" t="s">
        <v>29807</v>
      </c>
      <c r="AZ413" t="s">
        <v>29808</v>
      </c>
      <c r="BA413" t="s">
        <v>191</v>
      </c>
      <c r="BB413">
        <v>2007</v>
      </c>
      <c r="BC413">
        <v>4</v>
      </c>
      <c r="BD413">
        <v>1</v>
      </c>
      <c r="BE413" t="s">
        <v>69</v>
      </c>
      <c r="BF413" t="s">
        <v>69</v>
      </c>
      <c r="BG413" t="s">
        <v>69</v>
      </c>
      <c r="BH413" t="s">
        <v>69</v>
      </c>
      <c r="BI413">
        <v>52</v>
      </c>
      <c r="BJ413">
        <v>58</v>
      </c>
      <c r="BK413" t="s">
        <v>69</v>
      </c>
      <c r="BL413" t="s">
        <v>29809</v>
      </c>
      <c r="BM413" t="str">
        <f>HYPERLINK("http://dx.doi.org/10.1057/palgrave.jdg.2050043","http://dx.doi.org/10.1057/palgrave.jdg.2050043")</f>
        <v>http://dx.doi.org/10.1057/palgrave.jdg.2050043</v>
      </c>
      <c r="BN413" t="s">
        <v>69</v>
      </c>
      <c r="BO413" t="s">
        <v>69</v>
      </c>
      <c r="BP413">
        <v>7</v>
      </c>
      <c r="BQ413" t="s">
        <v>9410</v>
      </c>
      <c r="BR413" t="s">
        <v>8573</v>
      </c>
      <c r="BS413" t="s">
        <v>8594</v>
      </c>
      <c r="BT413" t="s">
        <v>29810</v>
      </c>
      <c r="BU413" t="s">
        <v>29811</v>
      </c>
      <c r="BV413" t="s">
        <v>69</v>
      </c>
      <c r="BW413" t="s">
        <v>69</v>
      </c>
      <c r="BX413" t="s">
        <v>69</v>
      </c>
      <c r="BY413" t="s">
        <v>69</v>
      </c>
      <c r="BZ413" t="s">
        <v>8526</v>
      </c>
      <c r="CA413" t="str">
        <f>HYPERLINK("https%3A%2F%2Fwww.webofscience.com%2Fwos%2Fwoscc%2Ffull-record%2FWOS:000212497200005","View Full Record in Web of Science")</f>
        <v>View Full Record in Web of Science</v>
      </c>
    </row>
    <row r="414" spans="1:79" ht="12.5" x14ac:dyDescent="0.25">
      <c r="B414" t="s">
        <v>8495</v>
      </c>
      <c r="D414" s="22" t="s">
        <v>32931</v>
      </c>
      <c r="E414" s="7"/>
      <c r="F414" s="7"/>
      <c r="G414" s="7"/>
      <c r="H414" t="s">
        <v>67</v>
      </c>
      <c r="I414" t="s">
        <v>14381</v>
      </c>
      <c r="J414" t="s">
        <v>69</v>
      </c>
      <c r="K414" t="s">
        <v>69</v>
      </c>
      <c r="L414" t="s">
        <v>69</v>
      </c>
      <c r="M414" t="s">
        <v>14382</v>
      </c>
      <c r="N414" t="s">
        <v>69</v>
      </c>
      <c r="O414" t="s">
        <v>69</v>
      </c>
      <c r="P414" t="s">
        <v>14383</v>
      </c>
      <c r="Q414" t="s">
        <v>14384</v>
      </c>
      <c r="R414" t="s">
        <v>69</v>
      </c>
      <c r="S414" t="s">
        <v>69</v>
      </c>
      <c r="T414" t="s">
        <v>8505</v>
      </c>
      <c r="U414" t="s">
        <v>8506</v>
      </c>
      <c r="V414" t="s">
        <v>69</v>
      </c>
      <c r="W414" t="s">
        <v>69</v>
      </c>
      <c r="X414" t="s">
        <v>69</v>
      </c>
      <c r="Y414" t="s">
        <v>69</v>
      </c>
      <c r="Z414" t="s">
        <v>69</v>
      </c>
      <c r="AA414" t="s">
        <v>14385</v>
      </c>
      <c r="AB414" t="s">
        <v>14386</v>
      </c>
      <c r="AC414" t="s">
        <v>14387</v>
      </c>
      <c r="AD414" t="s">
        <v>14388</v>
      </c>
      <c r="AE414" t="s">
        <v>69</v>
      </c>
      <c r="AF414" t="s">
        <v>14389</v>
      </c>
      <c r="AG414" t="s">
        <v>14390</v>
      </c>
      <c r="AH414" t="s">
        <v>69</v>
      </c>
      <c r="AI414" t="s">
        <v>14391</v>
      </c>
      <c r="AJ414" t="s">
        <v>14392</v>
      </c>
      <c r="AK414" t="s">
        <v>14393</v>
      </c>
      <c r="AL414" t="s">
        <v>14394</v>
      </c>
      <c r="AM414" t="s">
        <v>69</v>
      </c>
      <c r="AN414">
        <v>27</v>
      </c>
      <c r="AO414">
        <v>9</v>
      </c>
      <c r="AP414">
        <v>11</v>
      </c>
      <c r="AQ414">
        <v>0</v>
      </c>
      <c r="AR414">
        <v>1</v>
      </c>
      <c r="AS414" t="s">
        <v>10352</v>
      </c>
      <c r="AT414" t="s">
        <v>8637</v>
      </c>
      <c r="AU414" t="s">
        <v>10353</v>
      </c>
      <c r="AV414" t="s">
        <v>14395</v>
      </c>
      <c r="AW414" t="s">
        <v>14396</v>
      </c>
      <c r="AX414" t="s">
        <v>69</v>
      </c>
      <c r="AY414" t="s">
        <v>14397</v>
      </c>
      <c r="AZ414" t="s">
        <v>14398</v>
      </c>
      <c r="BA414" t="s">
        <v>255</v>
      </c>
      <c r="BB414">
        <v>2020</v>
      </c>
      <c r="BC414">
        <v>35</v>
      </c>
      <c r="BD414">
        <v>9</v>
      </c>
      <c r="BE414" t="s">
        <v>69</v>
      </c>
      <c r="BF414" t="s">
        <v>69</v>
      </c>
      <c r="BG414" t="s">
        <v>69</v>
      </c>
      <c r="BH414" t="s">
        <v>69</v>
      </c>
      <c r="BI414">
        <v>2037</v>
      </c>
      <c r="BJ414">
        <v>2046</v>
      </c>
      <c r="BK414" t="s">
        <v>69</v>
      </c>
      <c r="BL414" t="s">
        <v>14399</v>
      </c>
      <c r="BM414" t="str">
        <f>HYPERLINK("http://dx.doi.org/10.1093/humrep/deaa158","http://dx.doi.org/10.1093/humrep/deaa158")</f>
        <v>http://dx.doi.org/10.1093/humrep/deaa158</v>
      </c>
      <c r="BN414" t="s">
        <v>69</v>
      </c>
      <c r="BO414" t="s">
        <v>69</v>
      </c>
      <c r="BP414">
        <v>10</v>
      </c>
      <c r="BQ414" t="s">
        <v>14400</v>
      </c>
      <c r="BR414" t="s">
        <v>8548</v>
      </c>
      <c r="BS414" t="s">
        <v>14400</v>
      </c>
      <c r="BT414" t="s">
        <v>14401</v>
      </c>
      <c r="BU414" t="s">
        <v>14402</v>
      </c>
      <c r="BV414">
        <v>32876323</v>
      </c>
      <c r="BW414" t="s">
        <v>8746</v>
      </c>
      <c r="BX414" t="s">
        <v>69</v>
      </c>
      <c r="BY414" t="s">
        <v>69</v>
      </c>
      <c r="BZ414" t="s">
        <v>8526</v>
      </c>
      <c r="CA414" t="str">
        <f>HYPERLINK("https%3A%2F%2Fwww.webofscience.com%2Fwos%2Fwoscc%2Ffull-record%2FWOS:000582696900011","View Full Record in Web of Science")</f>
        <v>View Full Record in Web of Science</v>
      </c>
    </row>
    <row r="415" spans="1:79" ht="12.5" x14ac:dyDescent="0.25">
      <c r="B415" t="s">
        <v>8495</v>
      </c>
      <c r="D415" s="22" t="s">
        <v>32931</v>
      </c>
      <c r="E415" s="7"/>
      <c r="F415" s="7"/>
      <c r="G415" s="7"/>
      <c r="H415" t="s">
        <v>67</v>
      </c>
      <c r="I415" t="s">
        <v>18615</v>
      </c>
      <c r="J415" t="s">
        <v>69</v>
      </c>
      <c r="K415" t="s">
        <v>69</v>
      </c>
      <c r="L415" t="s">
        <v>69</v>
      </c>
      <c r="M415" t="s">
        <v>18616</v>
      </c>
      <c r="N415" t="s">
        <v>69</v>
      </c>
      <c r="O415" t="s">
        <v>69</v>
      </c>
      <c r="P415" t="s">
        <v>18617</v>
      </c>
      <c r="Q415" t="s">
        <v>18618</v>
      </c>
      <c r="R415" t="s">
        <v>69</v>
      </c>
      <c r="S415" t="s">
        <v>69</v>
      </c>
      <c r="T415" t="s">
        <v>8505</v>
      </c>
      <c r="U415" t="s">
        <v>8506</v>
      </c>
      <c r="V415" t="s">
        <v>69</v>
      </c>
      <c r="W415" t="s">
        <v>69</v>
      </c>
      <c r="X415" t="s">
        <v>69</v>
      </c>
      <c r="Y415" t="s">
        <v>69</v>
      </c>
      <c r="Z415" t="s">
        <v>69</v>
      </c>
      <c r="AA415" t="s">
        <v>18619</v>
      </c>
      <c r="AB415" t="s">
        <v>18620</v>
      </c>
      <c r="AC415" t="s">
        <v>18621</v>
      </c>
      <c r="AD415" t="s">
        <v>18622</v>
      </c>
      <c r="AE415" t="s">
        <v>69</v>
      </c>
      <c r="AF415" t="s">
        <v>18623</v>
      </c>
      <c r="AG415" t="s">
        <v>18624</v>
      </c>
      <c r="AH415" t="s">
        <v>69</v>
      </c>
      <c r="AI415" t="s">
        <v>18625</v>
      </c>
      <c r="AJ415" t="s">
        <v>69</v>
      </c>
      <c r="AK415" t="s">
        <v>69</v>
      </c>
      <c r="AL415" t="s">
        <v>69</v>
      </c>
      <c r="AM415" t="s">
        <v>69</v>
      </c>
      <c r="AN415">
        <v>18</v>
      </c>
      <c r="AO415">
        <v>0</v>
      </c>
      <c r="AP415">
        <v>0</v>
      </c>
      <c r="AQ415">
        <v>0</v>
      </c>
      <c r="AR415">
        <v>2</v>
      </c>
      <c r="AS415" t="s">
        <v>17273</v>
      </c>
      <c r="AT415" t="s">
        <v>12925</v>
      </c>
      <c r="AU415" t="s">
        <v>17274</v>
      </c>
      <c r="AV415" t="s">
        <v>18626</v>
      </c>
      <c r="AW415" t="s">
        <v>18627</v>
      </c>
      <c r="AX415" t="s">
        <v>69</v>
      </c>
      <c r="AY415" t="s">
        <v>18628</v>
      </c>
      <c r="AZ415" t="s">
        <v>18629</v>
      </c>
      <c r="BA415" t="s">
        <v>84</v>
      </c>
      <c r="BB415">
        <v>2018</v>
      </c>
      <c r="BC415">
        <v>112</v>
      </c>
      <c r="BD415" t="s">
        <v>69</v>
      </c>
      <c r="BE415" t="s">
        <v>69</v>
      </c>
      <c r="BF415" t="s">
        <v>69</v>
      </c>
      <c r="BG415" t="s">
        <v>69</v>
      </c>
      <c r="BH415" t="s">
        <v>69</v>
      </c>
      <c r="BI415">
        <v>138</v>
      </c>
      <c r="BJ415">
        <v>144</v>
      </c>
      <c r="BK415" t="s">
        <v>69</v>
      </c>
      <c r="BL415" t="s">
        <v>18630</v>
      </c>
      <c r="BM415" t="str">
        <f>HYPERLINK("http://dx.doi.org/10.1016/j.ypmed.2018.04.025","http://dx.doi.org/10.1016/j.ypmed.2018.04.025")</f>
        <v>http://dx.doi.org/10.1016/j.ypmed.2018.04.025</v>
      </c>
      <c r="BN415" t="s">
        <v>69</v>
      </c>
      <c r="BO415" t="s">
        <v>69</v>
      </c>
      <c r="BP415">
        <v>7</v>
      </c>
      <c r="BQ415" t="s">
        <v>18631</v>
      </c>
      <c r="BR415" t="s">
        <v>8523</v>
      </c>
      <c r="BS415" t="s">
        <v>18632</v>
      </c>
      <c r="BT415" t="s">
        <v>18633</v>
      </c>
      <c r="BU415" t="s">
        <v>18634</v>
      </c>
      <c r="BV415">
        <v>29678616</v>
      </c>
      <c r="BW415" t="s">
        <v>69</v>
      </c>
      <c r="BX415" t="s">
        <v>69</v>
      </c>
      <c r="BY415" t="s">
        <v>69</v>
      </c>
      <c r="BZ415" t="s">
        <v>8526</v>
      </c>
      <c r="CA415" t="str">
        <f>HYPERLINK("https%3A%2F%2Fwww.webofscience.com%2Fwos%2Fwoscc%2Ffull-record%2FWOS:000432868100020","View Full Record in Web of Science")</f>
        <v>View Full Record in Web of Science</v>
      </c>
    </row>
    <row r="416" spans="1:79" ht="12.5" x14ac:dyDescent="0.25">
      <c r="B416" t="s">
        <v>8495</v>
      </c>
      <c r="D416" s="22" t="s">
        <v>32931</v>
      </c>
      <c r="E416" s="7"/>
      <c r="F416" s="7"/>
      <c r="G416" s="7"/>
      <c r="H416" t="s">
        <v>67</v>
      </c>
      <c r="I416" t="s">
        <v>11489</v>
      </c>
      <c r="J416" t="s">
        <v>69</v>
      </c>
      <c r="K416" t="s">
        <v>69</v>
      </c>
      <c r="L416" t="s">
        <v>69</v>
      </c>
      <c r="M416" t="s">
        <v>11490</v>
      </c>
      <c r="N416" t="s">
        <v>69</v>
      </c>
      <c r="O416" t="s">
        <v>69</v>
      </c>
      <c r="P416" t="s">
        <v>11491</v>
      </c>
      <c r="Q416" t="s">
        <v>11492</v>
      </c>
      <c r="R416" t="s">
        <v>69</v>
      </c>
      <c r="S416" t="s">
        <v>69</v>
      </c>
      <c r="T416" t="s">
        <v>8505</v>
      </c>
      <c r="U416" t="s">
        <v>8506</v>
      </c>
      <c r="V416" t="s">
        <v>69</v>
      </c>
      <c r="W416" t="s">
        <v>69</v>
      </c>
      <c r="X416" t="s">
        <v>69</v>
      </c>
      <c r="Y416" t="s">
        <v>69</v>
      </c>
      <c r="Z416" t="s">
        <v>69</v>
      </c>
      <c r="AA416" t="s">
        <v>11493</v>
      </c>
      <c r="AB416" t="s">
        <v>11494</v>
      </c>
      <c r="AC416" t="s">
        <v>11495</v>
      </c>
      <c r="AD416" t="s">
        <v>11496</v>
      </c>
      <c r="AE416" t="s">
        <v>69</v>
      </c>
      <c r="AF416" t="s">
        <v>11497</v>
      </c>
      <c r="AG416" t="s">
        <v>11498</v>
      </c>
      <c r="AH416" t="s">
        <v>11499</v>
      </c>
      <c r="AI416" t="s">
        <v>11500</v>
      </c>
      <c r="AJ416" t="s">
        <v>69</v>
      </c>
      <c r="AK416" t="s">
        <v>69</v>
      </c>
      <c r="AL416" t="s">
        <v>69</v>
      </c>
      <c r="AM416" t="s">
        <v>69</v>
      </c>
      <c r="AN416">
        <v>54</v>
      </c>
      <c r="AO416">
        <v>0</v>
      </c>
      <c r="AP416">
        <v>0</v>
      </c>
      <c r="AQ416">
        <v>0</v>
      </c>
      <c r="AR416">
        <v>1</v>
      </c>
      <c r="AS416" t="s">
        <v>8586</v>
      </c>
      <c r="AT416" t="s">
        <v>8587</v>
      </c>
      <c r="AU416" t="s">
        <v>8588</v>
      </c>
      <c r="AV416" t="s">
        <v>11501</v>
      </c>
      <c r="AW416" t="s">
        <v>69</v>
      </c>
      <c r="AX416" t="s">
        <v>69</v>
      </c>
      <c r="AY416" t="s">
        <v>11502</v>
      </c>
      <c r="AZ416" t="s">
        <v>11503</v>
      </c>
      <c r="BA416" t="s">
        <v>11504</v>
      </c>
      <c r="BB416">
        <v>2022</v>
      </c>
      <c r="BC416">
        <v>15</v>
      </c>
      <c r="BD416">
        <v>1</v>
      </c>
      <c r="BE416" t="s">
        <v>69</v>
      </c>
      <c r="BF416" t="s">
        <v>69</v>
      </c>
      <c r="BG416" t="s">
        <v>114</v>
      </c>
      <c r="BH416" t="s">
        <v>69</v>
      </c>
      <c r="BI416">
        <v>112</v>
      </c>
      <c r="BJ416">
        <v>129</v>
      </c>
      <c r="BK416" t="s">
        <v>69</v>
      </c>
      <c r="BL416" t="s">
        <v>11505</v>
      </c>
      <c r="BM416" t="str">
        <f>HYPERLINK("http://dx.doi.org/10.1108/JERER-06-2021-0034","http://dx.doi.org/10.1108/JERER-06-2021-0034")</f>
        <v>http://dx.doi.org/10.1108/JERER-06-2021-0034</v>
      </c>
      <c r="BN416" t="s">
        <v>69</v>
      </c>
      <c r="BO416" t="s">
        <v>11486</v>
      </c>
      <c r="BP416">
        <v>18</v>
      </c>
      <c r="BQ416" t="s">
        <v>9749</v>
      </c>
      <c r="BR416" t="s">
        <v>8573</v>
      </c>
      <c r="BS416" t="s">
        <v>8594</v>
      </c>
      <c r="BT416" t="s">
        <v>11506</v>
      </c>
      <c r="BU416" t="s">
        <v>11507</v>
      </c>
      <c r="BV416" t="s">
        <v>69</v>
      </c>
      <c r="BW416" t="s">
        <v>10995</v>
      </c>
      <c r="BX416" t="s">
        <v>69</v>
      </c>
      <c r="BY416" t="s">
        <v>69</v>
      </c>
      <c r="BZ416" t="s">
        <v>8526</v>
      </c>
      <c r="CA416" t="str">
        <f>HYPERLINK("https%3A%2F%2Fwww.webofscience.com%2Fwos%2Fwoscc%2Ffull-record%2FWOS:000691588900001","View Full Record in Web of Science")</f>
        <v>View Full Record in Web of Science</v>
      </c>
    </row>
    <row r="417" spans="2:79" ht="12.5" x14ac:dyDescent="0.25">
      <c r="B417" t="s">
        <v>8495</v>
      </c>
      <c r="D417" s="7" t="s">
        <v>32933</v>
      </c>
      <c r="E417" s="7"/>
      <c r="F417" s="7"/>
      <c r="G417" s="7"/>
      <c r="H417" t="s">
        <v>67</v>
      </c>
      <c r="I417" t="s">
        <v>1631</v>
      </c>
      <c r="J417" t="s">
        <v>69</v>
      </c>
      <c r="K417" t="s">
        <v>69</v>
      </c>
      <c r="L417" t="s">
        <v>69</v>
      </c>
      <c r="M417" t="s">
        <v>1632</v>
      </c>
      <c r="N417" t="s">
        <v>69</v>
      </c>
      <c r="O417" t="s">
        <v>69</v>
      </c>
      <c r="P417" t="s">
        <v>1633</v>
      </c>
      <c r="Q417" t="s">
        <v>1634</v>
      </c>
      <c r="R417" t="s">
        <v>69</v>
      </c>
      <c r="S417" t="s">
        <v>69</v>
      </c>
      <c r="T417" t="s">
        <v>8505</v>
      </c>
      <c r="U417" t="s">
        <v>8442</v>
      </c>
      <c r="V417" t="s">
        <v>69</v>
      </c>
      <c r="W417" t="s">
        <v>69</v>
      </c>
      <c r="X417" t="s">
        <v>69</v>
      </c>
      <c r="Y417" t="s">
        <v>69</v>
      </c>
      <c r="Z417" t="s">
        <v>69</v>
      </c>
      <c r="AA417" t="s">
        <v>69</v>
      </c>
      <c r="AB417" t="s">
        <v>30330</v>
      </c>
      <c r="AC417" t="s">
        <v>1635</v>
      </c>
      <c r="AD417" t="s">
        <v>30331</v>
      </c>
      <c r="AE417" t="s">
        <v>69</v>
      </c>
      <c r="AF417" t="s">
        <v>30332</v>
      </c>
      <c r="AG417" t="s">
        <v>30333</v>
      </c>
      <c r="AH417" t="s">
        <v>69</v>
      </c>
      <c r="AI417" t="s">
        <v>69</v>
      </c>
      <c r="AJ417" t="s">
        <v>69</v>
      </c>
      <c r="AK417" t="s">
        <v>69</v>
      </c>
      <c r="AL417" t="s">
        <v>69</v>
      </c>
      <c r="AM417" t="s">
        <v>69</v>
      </c>
      <c r="AN417">
        <v>121</v>
      </c>
      <c r="AO417">
        <v>12</v>
      </c>
      <c r="AP417">
        <v>12</v>
      </c>
      <c r="AQ417">
        <v>0</v>
      </c>
      <c r="AR417">
        <v>5</v>
      </c>
      <c r="AS417" t="s">
        <v>10352</v>
      </c>
      <c r="AT417" t="s">
        <v>8637</v>
      </c>
      <c r="AU417" t="s">
        <v>10353</v>
      </c>
      <c r="AV417" t="s">
        <v>1636</v>
      </c>
      <c r="AW417" t="s">
        <v>1637</v>
      </c>
      <c r="AX417" t="s">
        <v>69</v>
      </c>
      <c r="AY417" t="s">
        <v>30334</v>
      </c>
      <c r="AZ417" t="s">
        <v>30335</v>
      </c>
      <c r="BA417" t="s">
        <v>246</v>
      </c>
      <c r="BB417">
        <v>2006</v>
      </c>
      <c r="BC417">
        <v>8</v>
      </c>
      <c r="BD417">
        <v>2</v>
      </c>
      <c r="BE417" t="s">
        <v>69</v>
      </c>
      <c r="BF417" t="s">
        <v>69</v>
      </c>
      <c r="BG417" t="s">
        <v>69</v>
      </c>
      <c r="BH417" t="s">
        <v>69</v>
      </c>
      <c r="BI417">
        <v>203</v>
      </c>
      <c r="BJ417">
        <v>216</v>
      </c>
      <c r="BK417" t="s">
        <v>69</v>
      </c>
      <c r="BL417" t="s">
        <v>1638</v>
      </c>
      <c r="BM417" t="str">
        <f>HYPERLINK("http://dx.doi.org/10.1080/14622200600576297","http://dx.doi.org/10.1080/14622200600576297")</f>
        <v>http://dx.doi.org/10.1080/14622200600576297</v>
      </c>
      <c r="BN417" t="s">
        <v>69</v>
      </c>
      <c r="BO417" t="s">
        <v>69</v>
      </c>
      <c r="BP417">
        <v>14</v>
      </c>
      <c r="BQ417" t="s">
        <v>25899</v>
      </c>
      <c r="BR417" t="s">
        <v>8523</v>
      </c>
      <c r="BS417" t="s">
        <v>25899</v>
      </c>
      <c r="BT417" t="s">
        <v>30336</v>
      </c>
      <c r="BU417" t="s">
        <v>1639</v>
      </c>
      <c r="BV417">
        <v>16766413</v>
      </c>
      <c r="BW417" t="s">
        <v>69</v>
      </c>
      <c r="BX417" t="s">
        <v>69</v>
      </c>
      <c r="BY417" t="s">
        <v>69</v>
      </c>
      <c r="BZ417" t="s">
        <v>8526</v>
      </c>
      <c r="CA417" t="str">
        <f>HYPERLINK("https%3A%2F%2Fwww.webofscience.com%2Fwos%2Fwoscc%2Ffull-record%2FWOS:000237628700006","View Full Record in Web of Science")</f>
        <v>View Full Record in Web of Science</v>
      </c>
    </row>
    <row r="418" spans="2:79" ht="12.5" x14ac:dyDescent="0.25">
      <c r="B418" t="s">
        <v>8495</v>
      </c>
      <c r="D418" s="22" t="s">
        <v>32931</v>
      </c>
      <c r="E418" s="7"/>
      <c r="F418" s="7"/>
      <c r="G418" s="7"/>
      <c r="H418" t="s">
        <v>67</v>
      </c>
      <c r="I418" t="s">
        <v>13296</v>
      </c>
      <c r="J418" t="s">
        <v>69</v>
      </c>
      <c r="K418" t="s">
        <v>69</v>
      </c>
      <c r="L418" t="s">
        <v>69</v>
      </c>
      <c r="M418" t="s">
        <v>13297</v>
      </c>
      <c r="N418" t="s">
        <v>69</v>
      </c>
      <c r="O418" t="s">
        <v>69</v>
      </c>
      <c r="P418" t="s">
        <v>13298</v>
      </c>
      <c r="Q418" t="s">
        <v>13299</v>
      </c>
      <c r="R418" t="s">
        <v>69</v>
      </c>
      <c r="S418" t="s">
        <v>69</v>
      </c>
      <c r="T418" t="s">
        <v>8505</v>
      </c>
      <c r="U418" t="s">
        <v>8506</v>
      </c>
      <c r="V418" t="s">
        <v>69</v>
      </c>
      <c r="W418" t="s">
        <v>69</v>
      </c>
      <c r="X418" t="s">
        <v>69</v>
      </c>
      <c r="Y418" t="s">
        <v>69</v>
      </c>
      <c r="Z418" t="s">
        <v>69</v>
      </c>
      <c r="AA418" t="s">
        <v>13300</v>
      </c>
      <c r="AB418" t="s">
        <v>69</v>
      </c>
      <c r="AC418" t="s">
        <v>13301</v>
      </c>
      <c r="AD418" t="s">
        <v>13302</v>
      </c>
      <c r="AE418" t="s">
        <v>69</v>
      </c>
      <c r="AF418" t="s">
        <v>13303</v>
      </c>
      <c r="AG418" t="s">
        <v>13304</v>
      </c>
      <c r="AH418" t="s">
        <v>13305</v>
      </c>
      <c r="AI418" t="s">
        <v>13306</v>
      </c>
      <c r="AJ418" t="s">
        <v>69</v>
      </c>
      <c r="AK418" t="s">
        <v>69</v>
      </c>
      <c r="AL418" t="s">
        <v>69</v>
      </c>
      <c r="AM418" t="s">
        <v>69</v>
      </c>
      <c r="AN418">
        <v>18</v>
      </c>
      <c r="AO418">
        <v>7</v>
      </c>
      <c r="AP418">
        <v>7</v>
      </c>
      <c r="AQ418">
        <v>0</v>
      </c>
      <c r="AR418">
        <v>1</v>
      </c>
      <c r="AS418" t="s">
        <v>13307</v>
      </c>
      <c r="AT418" t="s">
        <v>9424</v>
      </c>
      <c r="AU418" t="s">
        <v>13308</v>
      </c>
      <c r="AV418" t="s">
        <v>13309</v>
      </c>
      <c r="AW418" t="s">
        <v>13310</v>
      </c>
      <c r="AX418" t="s">
        <v>69</v>
      </c>
      <c r="AY418" t="s">
        <v>13311</v>
      </c>
      <c r="AZ418" t="s">
        <v>13312</v>
      </c>
      <c r="BA418" t="s">
        <v>191</v>
      </c>
      <c r="BB418">
        <v>2021</v>
      </c>
      <c r="BC418">
        <v>19</v>
      </c>
      <c r="BD418">
        <v>1</v>
      </c>
      <c r="BE418" t="s">
        <v>69</v>
      </c>
      <c r="BF418" t="s">
        <v>69</v>
      </c>
      <c r="BG418" t="s">
        <v>69</v>
      </c>
      <c r="BH418" t="s">
        <v>69</v>
      </c>
      <c r="BI418" t="s">
        <v>13313</v>
      </c>
      <c r="BJ418" t="s">
        <v>13314</v>
      </c>
      <c r="BK418" t="s">
        <v>69</v>
      </c>
      <c r="BL418" t="s">
        <v>13315</v>
      </c>
      <c r="BM418" t="str">
        <f>HYPERLINK("http://dx.doi.org/10.1016/j.surge.2020.07.006","http://dx.doi.org/10.1016/j.surge.2020.07.006")</f>
        <v>http://dx.doi.org/10.1016/j.surge.2020.07.006</v>
      </c>
      <c r="BN418" t="s">
        <v>69</v>
      </c>
      <c r="BO418" t="s">
        <v>300</v>
      </c>
      <c r="BP418">
        <v>8</v>
      </c>
      <c r="BQ418" t="s">
        <v>11956</v>
      </c>
      <c r="BR418" t="s">
        <v>8523</v>
      </c>
      <c r="BS418" t="s">
        <v>11956</v>
      </c>
      <c r="BT418" t="s">
        <v>13316</v>
      </c>
      <c r="BU418" t="s">
        <v>13318</v>
      </c>
      <c r="BV418">
        <v>32807661</v>
      </c>
      <c r="BW418" t="s">
        <v>13317</v>
      </c>
      <c r="BX418" t="s">
        <v>69</v>
      </c>
      <c r="BY418" t="s">
        <v>69</v>
      </c>
      <c r="BZ418" t="s">
        <v>8526</v>
      </c>
      <c r="CA418" t="str">
        <f>HYPERLINK("https%3A%2F%2Fwww.webofscience.com%2Fwos%2Fwoscc%2Ffull-record%2FWOS:000666966000004","View Full Record in Web of Science")</f>
        <v>View Full Record in Web of Science</v>
      </c>
    </row>
    <row r="419" spans="2:79" ht="12.5" x14ac:dyDescent="0.25">
      <c r="B419" t="s">
        <v>8495</v>
      </c>
      <c r="D419" s="22" t="s">
        <v>32931</v>
      </c>
      <c r="E419" s="7"/>
      <c r="F419" s="7"/>
      <c r="G419" s="7"/>
      <c r="H419" t="s">
        <v>67</v>
      </c>
      <c r="I419" t="s">
        <v>9470</v>
      </c>
      <c r="J419" t="s">
        <v>69</v>
      </c>
      <c r="K419" t="s">
        <v>69</v>
      </c>
      <c r="L419" t="s">
        <v>69</v>
      </c>
      <c r="M419" t="s">
        <v>9471</v>
      </c>
      <c r="N419" t="s">
        <v>69</v>
      </c>
      <c r="O419" t="s">
        <v>69</v>
      </c>
      <c r="P419" t="s">
        <v>9472</v>
      </c>
      <c r="Q419" t="s">
        <v>9473</v>
      </c>
      <c r="R419" t="s">
        <v>69</v>
      </c>
      <c r="S419" t="s">
        <v>69</v>
      </c>
      <c r="T419" t="s">
        <v>8505</v>
      </c>
      <c r="U419" t="s">
        <v>8556</v>
      </c>
      <c r="V419" t="s">
        <v>69</v>
      </c>
      <c r="W419" t="s">
        <v>69</v>
      </c>
      <c r="X419" t="s">
        <v>69</v>
      </c>
      <c r="Y419" t="s">
        <v>69</v>
      </c>
      <c r="Z419" t="s">
        <v>69</v>
      </c>
      <c r="AA419" t="s">
        <v>69</v>
      </c>
      <c r="AB419" t="s">
        <v>9474</v>
      </c>
      <c r="AC419" t="s">
        <v>9475</v>
      </c>
      <c r="AD419" t="s">
        <v>9476</v>
      </c>
      <c r="AE419" t="s">
        <v>69</v>
      </c>
      <c r="AF419" t="s">
        <v>9477</v>
      </c>
      <c r="AG419" t="s">
        <v>9478</v>
      </c>
      <c r="AH419" t="s">
        <v>69</v>
      </c>
      <c r="AI419" t="s">
        <v>9479</v>
      </c>
      <c r="AJ419" t="s">
        <v>69</v>
      </c>
      <c r="AK419" t="s">
        <v>69</v>
      </c>
      <c r="AL419" t="s">
        <v>69</v>
      </c>
      <c r="AM419" t="s">
        <v>69</v>
      </c>
      <c r="AN419">
        <v>35</v>
      </c>
      <c r="AO419">
        <v>1</v>
      </c>
      <c r="AP419">
        <v>1</v>
      </c>
      <c r="AQ419">
        <v>3</v>
      </c>
      <c r="AR419">
        <v>3</v>
      </c>
      <c r="AS419" t="s">
        <v>8846</v>
      </c>
      <c r="AT419" t="s">
        <v>8847</v>
      </c>
      <c r="AU419" t="s">
        <v>8848</v>
      </c>
      <c r="AV419" t="s">
        <v>9480</v>
      </c>
      <c r="AW419" t="s">
        <v>9481</v>
      </c>
      <c r="AX419" t="s">
        <v>69</v>
      </c>
      <c r="AY419" t="s">
        <v>9482</v>
      </c>
      <c r="AZ419" t="s">
        <v>9483</v>
      </c>
      <c r="BA419" t="s">
        <v>69</v>
      </c>
      <c r="BB419" t="s">
        <v>69</v>
      </c>
      <c r="BC419" t="s">
        <v>69</v>
      </c>
      <c r="BD419" t="s">
        <v>69</v>
      </c>
      <c r="BE419" t="s">
        <v>69</v>
      </c>
      <c r="BF419" t="s">
        <v>69</v>
      </c>
      <c r="BG419" t="s">
        <v>69</v>
      </c>
      <c r="BH419" t="s">
        <v>69</v>
      </c>
      <c r="BI419" t="s">
        <v>69</v>
      </c>
      <c r="BJ419" t="s">
        <v>69</v>
      </c>
      <c r="BK419" t="s">
        <v>69</v>
      </c>
      <c r="BL419" t="s">
        <v>9484</v>
      </c>
      <c r="BM419" t="str">
        <f>HYPERLINK("http://dx.doi.org/10.1002/kpm.1711","http://dx.doi.org/10.1002/kpm.1711")</f>
        <v>http://dx.doi.org/10.1002/kpm.1711</v>
      </c>
      <c r="BN419" t="s">
        <v>69</v>
      </c>
      <c r="BO419" t="s">
        <v>9485</v>
      </c>
      <c r="BP419">
        <v>13</v>
      </c>
      <c r="BQ419" t="s">
        <v>9410</v>
      </c>
      <c r="BR419" t="s">
        <v>8573</v>
      </c>
      <c r="BS419" t="s">
        <v>8594</v>
      </c>
      <c r="BT419" t="s">
        <v>9486</v>
      </c>
      <c r="BU419" t="s">
        <v>9487</v>
      </c>
      <c r="BV419" t="s">
        <v>69</v>
      </c>
      <c r="BW419" t="s">
        <v>69</v>
      </c>
      <c r="BX419" t="s">
        <v>69</v>
      </c>
      <c r="BY419" t="s">
        <v>69</v>
      </c>
      <c r="BZ419" t="s">
        <v>8526</v>
      </c>
      <c r="CA419" t="str">
        <f>HYPERLINK("https%3A%2F%2Fwww.webofscience.com%2Fwos%2Fwoscc%2Ffull-record%2FWOS:000773757800001","View Full Record in Web of Science")</f>
        <v>View Full Record in Web of Science</v>
      </c>
    </row>
    <row r="420" spans="2:79" ht="12.5" x14ac:dyDescent="0.25">
      <c r="B420" t="s">
        <v>8495</v>
      </c>
      <c r="D420" s="7" t="s">
        <v>32933</v>
      </c>
      <c r="E420" s="7"/>
      <c r="F420" s="7"/>
      <c r="G420" s="7"/>
      <c r="H420" t="s">
        <v>67</v>
      </c>
      <c r="I420" t="s">
        <v>4378</v>
      </c>
      <c r="J420" t="s">
        <v>69</v>
      </c>
      <c r="K420" t="s">
        <v>69</v>
      </c>
      <c r="L420" t="s">
        <v>69</v>
      </c>
      <c r="M420" t="s">
        <v>4379</v>
      </c>
      <c r="N420" t="s">
        <v>69</v>
      </c>
      <c r="O420" t="s">
        <v>69</v>
      </c>
      <c r="P420" t="s">
        <v>4380</v>
      </c>
      <c r="Q420" t="s">
        <v>4381</v>
      </c>
      <c r="R420" t="s">
        <v>69</v>
      </c>
      <c r="S420" t="s">
        <v>69</v>
      </c>
      <c r="T420" t="s">
        <v>8505</v>
      </c>
      <c r="U420" t="s">
        <v>8506</v>
      </c>
      <c r="V420" t="s">
        <v>69</v>
      </c>
      <c r="W420" t="s">
        <v>69</v>
      </c>
      <c r="X420" t="s">
        <v>69</v>
      </c>
      <c r="Y420" t="s">
        <v>69</v>
      </c>
      <c r="Z420" t="s">
        <v>69</v>
      </c>
      <c r="AA420" t="s">
        <v>18348</v>
      </c>
      <c r="AB420" t="s">
        <v>18349</v>
      </c>
      <c r="AC420" t="s">
        <v>4382</v>
      </c>
      <c r="AD420" t="s">
        <v>18350</v>
      </c>
      <c r="AE420" t="s">
        <v>69</v>
      </c>
      <c r="AF420" t="s">
        <v>18351</v>
      </c>
      <c r="AG420" t="s">
        <v>16922</v>
      </c>
      <c r="AH420" t="s">
        <v>69</v>
      </c>
      <c r="AI420" t="s">
        <v>2177</v>
      </c>
      <c r="AJ420" t="s">
        <v>69</v>
      </c>
      <c r="AK420" t="s">
        <v>69</v>
      </c>
      <c r="AL420" t="s">
        <v>69</v>
      </c>
      <c r="AM420" t="s">
        <v>69</v>
      </c>
      <c r="AN420">
        <v>46</v>
      </c>
      <c r="AO420">
        <v>3</v>
      </c>
      <c r="AP420">
        <v>3</v>
      </c>
      <c r="AQ420">
        <v>0</v>
      </c>
      <c r="AR420">
        <v>2</v>
      </c>
      <c r="AS420" t="s">
        <v>18352</v>
      </c>
      <c r="AT420" t="s">
        <v>11277</v>
      </c>
      <c r="AU420" t="s">
        <v>18353</v>
      </c>
      <c r="AV420" t="s">
        <v>4383</v>
      </c>
      <c r="AW420" t="s">
        <v>4384</v>
      </c>
      <c r="AX420" t="s">
        <v>69</v>
      </c>
      <c r="AY420" t="s">
        <v>18354</v>
      </c>
      <c r="AZ420" t="s">
        <v>18355</v>
      </c>
      <c r="BA420" t="s">
        <v>477</v>
      </c>
      <c r="BB420">
        <v>2018</v>
      </c>
      <c r="BC420">
        <v>9</v>
      </c>
      <c r="BD420">
        <v>2</v>
      </c>
      <c r="BE420" t="s">
        <v>69</v>
      </c>
      <c r="BF420" t="s">
        <v>69</v>
      </c>
      <c r="BG420" t="s">
        <v>69</v>
      </c>
      <c r="BH420" t="s">
        <v>69</v>
      </c>
      <c r="BI420">
        <v>255</v>
      </c>
      <c r="BJ420">
        <v>272</v>
      </c>
      <c r="BK420" t="s">
        <v>69</v>
      </c>
      <c r="BL420" t="s">
        <v>4385</v>
      </c>
      <c r="BM420" t="str">
        <f>HYPERLINK("http://dx.doi.org/10.1386/crre.9.2.255_1","http://dx.doi.org/10.1386/crre.9.2.255_1")</f>
        <v>http://dx.doi.org/10.1386/crre.9.2.255_1</v>
      </c>
      <c r="BN420" t="s">
        <v>69</v>
      </c>
      <c r="BO420" t="s">
        <v>69</v>
      </c>
      <c r="BP420">
        <v>18</v>
      </c>
      <c r="BQ420" t="s">
        <v>18356</v>
      </c>
      <c r="BR420" t="s">
        <v>8573</v>
      </c>
      <c r="BS420" t="s">
        <v>18356</v>
      </c>
      <c r="BT420" t="s">
        <v>18357</v>
      </c>
      <c r="BU420" t="s">
        <v>4386</v>
      </c>
      <c r="BV420" t="s">
        <v>69</v>
      </c>
      <c r="BW420" t="s">
        <v>10995</v>
      </c>
      <c r="BX420" t="s">
        <v>69</v>
      </c>
      <c r="BY420" t="s">
        <v>69</v>
      </c>
      <c r="BZ420" t="s">
        <v>8526</v>
      </c>
      <c r="CA420" t="str">
        <f>HYPERLINK("https%3A%2F%2Fwww.webofscience.com%2Fwos%2Fwoscc%2Ffull-record%2FWOS:000449508800005","View Full Record in Web of Science")</f>
        <v>View Full Record in Web of Science</v>
      </c>
    </row>
    <row r="421" spans="2:79" ht="12.5" x14ac:dyDescent="0.25">
      <c r="B421" t="s">
        <v>8495</v>
      </c>
      <c r="D421" s="22" t="s">
        <v>32931</v>
      </c>
      <c r="E421" s="7"/>
      <c r="F421" s="7"/>
      <c r="G421" s="7"/>
      <c r="H421" t="s">
        <v>67</v>
      </c>
      <c r="I421" t="s">
        <v>23890</v>
      </c>
      <c r="J421" t="s">
        <v>69</v>
      </c>
      <c r="K421" t="s">
        <v>69</v>
      </c>
      <c r="L421" t="s">
        <v>69</v>
      </c>
      <c r="M421" t="s">
        <v>23891</v>
      </c>
      <c r="N421" t="s">
        <v>69</v>
      </c>
      <c r="O421" t="s">
        <v>69</v>
      </c>
      <c r="P421" t="s">
        <v>23892</v>
      </c>
      <c r="Q421" t="s">
        <v>1831</v>
      </c>
      <c r="R421" t="s">
        <v>69</v>
      </c>
      <c r="S421" t="s">
        <v>69</v>
      </c>
      <c r="T421" t="s">
        <v>8505</v>
      </c>
      <c r="U421" t="s">
        <v>8442</v>
      </c>
      <c r="V421" t="s">
        <v>69</v>
      </c>
      <c r="W421" t="s">
        <v>69</v>
      </c>
      <c r="X421" t="s">
        <v>69</v>
      </c>
      <c r="Y421" t="s">
        <v>69</v>
      </c>
      <c r="Z421" t="s">
        <v>69</v>
      </c>
      <c r="AA421" t="s">
        <v>23893</v>
      </c>
      <c r="AB421" t="s">
        <v>23894</v>
      </c>
      <c r="AC421" t="s">
        <v>23895</v>
      </c>
      <c r="AD421" t="s">
        <v>23896</v>
      </c>
      <c r="AE421" t="s">
        <v>69</v>
      </c>
      <c r="AF421" t="s">
        <v>23897</v>
      </c>
      <c r="AG421" t="s">
        <v>23898</v>
      </c>
      <c r="AH421" t="s">
        <v>23899</v>
      </c>
      <c r="AI421" t="s">
        <v>23900</v>
      </c>
      <c r="AJ421" t="s">
        <v>23901</v>
      </c>
      <c r="AK421" t="s">
        <v>23902</v>
      </c>
      <c r="AL421" t="s">
        <v>23903</v>
      </c>
      <c r="AM421" t="s">
        <v>69</v>
      </c>
      <c r="AN421">
        <v>63</v>
      </c>
      <c r="AO421">
        <v>50</v>
      </c>
      <c r="AP421">
        <v>50</v>
      </c>
      <c r="AQ421">
        <v>2</v>
      </c>
      <c r="AR421">
        <v>35</v>
      </c>
      <c r="AS421" t="s">
        <v>17140</v>
      </c>
      <c r="AT421" t="s">
        <v>8517</v>
      </c>
      <c r="AU421" t="s">
        <v>17141</v>
      </c>
      <c r="AV421" t="s">
        <v>1833</v>
      </c>
      <c r="AW421" t="s">
        <v>1834</v>
      </c>
      <c r="AX421" t="s">
        <v>69</v>
      </c>
      <c r="AY421" t="s">
        <v>13291</v>
      </c>
      <c r="AZ421" t="s">
        <v>13292</v>
      </c>
      <c r="BA421" t="s">
        <v>94</v>
      </c>
      <c r="BB421">
        <v>2014</v>
      </c>
      <c r="BC421">
        <v>40</v>
      </c>
      <c r="BD421" t="s">
        <v>69</v>
      </c>
      <c r="BE421" t="s">
        <v>69</v>
      </c>
      <c r="BF421" t="s">
        <v>69</v>
      </c>
      <c r="BG421" t="s">
        <v>69</v>
      </c>
      <c r="BH421" t="s">
        <v>69</v>
      </c>
      <c r="BI421">
        <v>12</v>
      </c>
      <c r="BJ421">
        <v>20</v>
      </c>
      <c r="BK421" t="s">
        <v>69</v>
      </c>
      <c r="BL421" t="s">
        <v>23904</v>
      </c>
      <c r="BM421" t="str">
        <f>HYPERLINK("http://dx.doi.org/10.1016/j.forpol.2013.12.005","http://dx.doi.org/10.1016/j.forpol.2013.12.005")</f>
        <v>http://dx.doi.org/10.1016/j.forpol.2013.12.005</v>
      </c>
      <c r="BN421" t="s">
        <v>69</v>
      </c>
      <c r="BO421" t="s">
        <v>69</v>
      </c>
      <c r="BP421">
        <v>9</v>
      </c>
      <c r="BQ421" t="s">
        <v>13293</v>
      </c>
      <c r="BR421" t="s">
        <v>8523</v>
      </c>
      <c r="BS421" t="s">
        <v>13294</v>
      </c>
      <c r="BT421" t="s">
        <v>23905</v>
      </c>
      <c r="BU421" t="s">
        <v>23906</v>
      </c>
      <c r="BV421" t="s">
        <v>69</v>
      </c>
      <c r="BW421" t="s">
        <v>69</v>
      </c>
      <c r="BX421" t="s">
        <v>69</v>
      </c>
      <c r="BY421" t="s">
        <v>69</v>
      </c>
      <c r="BZ421" t="s">
        <v>8526</v>
      </c>
      <c r="CA421" t="str">
        <f>HYPERLINK("https%3A%2F%2Fwww.webofscience.com%2Fwos%2Fwoscc%2Ffull-record%2FWOS:000331684300002","View Full Record in Web of Science")</f>
        <v>View Full Record in Web of Science</v>
      </c>
    </row>
    <row r="422" spans="2:79" ht="12.5" x14ac:dyDescent="0.25">
      <c r="B422" t="s">
        <v>8495</v>
      </c>
      <c r="D422" s="22" t="s">
        <v>32931</v>
      </c>
      <c r="E422" s="7"/>
      <c r="F422" s="7"/>
      <c r="G422" s="7"/>
      <c r="H422" t="s">
        <v>67</v>
      </c>
      <c r="I422" t="s">
        <v>30654</v>
      </c>
      <c r="J422" t="s">
        <v>69</v>
      </c>
      <c r="K422" t="s">
        <v>69</v>
      </c>
      <c r="L422" t="s">
        <v>69</v>
      </c>
      <c r="M422" t="s">
        <v>30654</v>
      </c>
      <c r="N422" t="s">
        <v>69</v>
      </c>
      <c r="O422" t="s">
        <v>69</v>
      </c>
      <c r="P422" t="s">
        <v>30655</v>
      </c>
      <c r="Q422" t="s">
        <v>3960</v>
      </c>
      <c r="R422" t="s">
        <v>69</v>
      </c>
      <c r="S422" t="s">
        <v>69</v>
      </c>
      <c r="T422" t="s">
        <v>8505</v>
      </c>
      <c r="U422" t="s">
        <v>8506</v>
      </c>
      <c r="V422" t="s">
        <v>69</v>
      </c>
      <c r="W422" t="s">
        <v>69</v>
      </c>
      <c r="X422" t="s">
        <v>69</v>
      </c>
      <c r="Y422" t="s">
        <v>69</v>
      </c>
      <c r="Z422" t="s">
        <v>69</v>
      </c>
      <c r="AA422" t="s">
        <v>30656</v>
      </c>
      <c r="AB422" t="s">
        <v>30657</v>
      </c>
      <c r="AC422" t="s">
        <v>30658</v>
      </c>
      <c r="AD422" t="s">
        <v>30659</v>
      </c>
      <c r="AE422" t="s">
        <v>69</v>
      </c>
      <c r="AF422" t="s">
        <v>30660</v>
      </c>
      <c r="AG422" t="s">
        <v>30661</v>
      </c>
      <c r="AH422" t="s">
        <v>69</v>
      </c>
      <c r="AI422" t="s">
        <v>30662</v>
      </c>
      <c r="AJ422" t="s">
        <v>69</v>
      </c>
      <c r="AK422" t="s">
        <v>69</v>
      </c>
      <c r="AL422" t="s">
        <v>69</v>
      </c>
      <c r="AM422" t="s">
        <v>69</v>
      </c>
      <c r="AN422">
        <v>70</v>
      </c>
      <c r="AO422">
        <v>17</v>
      </c>
      <c r="AP422">
        <v>17</v>
      </c>
      <c r="AQ422">
        <v>2</v>
      </c>
      <c r="AR422">
        <v>15</v>
      </c>
      <c r="AS422" t="s">
        <v>8865</v>
      </c>
      <c r="AT422" t="s">
        <v>8612</v>
      </c>
      <c r="AU422" t="s">
        <v>8866</v>
      </c>
      <c r="AV422" t="s">
        <v>3963</v>
      </c>
      <c r="AW422" t="s">
        <v>30663</v>
      </c>
      <c r="AX422" t="s">
        <v>69</v>
      </c>
      <c r="AY422" t="s">
        <v>30664</v>
      </c>
      <c r="AZ422" t="s">
        <v>30665</v>
      </c>
      <c r="BA422" t="s">
        <v>586</v>
      </c>
      <c r="BB422">
        <v>2005</v>
      </c>
      <c r="BC422">
        <v>17</v>
      </c>
      <c r="BD422">
        <v>3</v>
      </c>
      <c r="BE422" t="s">
        <v>69</v>
      </c>
      <c r="BF422" t="s">
        <v>69</v>
      </c>
      <c r="BG422" t="s">
        <v>69</v>
      </c>
      <c r="BH422" t="s">
        <v>69</v>
      </c>
      <c r="BI422">
        <v>183</v>
      </c>
      <c r="BJ422">
        <v>204</v>
      </c>
      <c r="BK422" t="s">
        <v>69</v>
      </c>
      <c r="BL422" t="s">
        <v>30666</v>
      </c>
      <c r="BM422" t="str">
        <f>HYPERLINK("http://dx.doi.org/10.1080/08985620500102832","http://dx.doi.org/10.1080/08985620500102832")</f>
        <v>http://dx.doi.org/10.1080/08985620500102832</v>
      </c>
      <c r="BN422" t="s">
        <v>69</v>
      </c>
      <c r="BO422" t="s">
        <v>69</v>
      </c>
      <c r="BP422">
        <v>22</v>
      </c>
      <c r="BQ422" t="s">
        <v>30667</v>
      </c>
      <c r="BR422" t="s">
        <v>8661</v>
      </c>
      <c r="BS422" t="s">
        <v>30668</v>
      </c>
      <c r="BT422" t="s">
        <v>30669</v>
      </c>
      <c r="BU422" t="s">
        <v>30670</v>
      </c>
      <c r="BV422" t="s">
        <v>69</v>
      </c>
      <c r="BW422" t="s">
        <v>69</v>
      </c>
      <c r="BX422" t="s">
        <v>69</v>
      </c>
      <c r="BY422" t="s">
        <v>69</v>
      </c>
      <c r="BZ422" t="s">
        <v>8526</v>
      </c>
      <c r="CA422" t="str">
        <f>HYPERLINK("https%3A%2F%2Fwww.webofscience.com%2Fwos%2Fwoscc%2Ffull-record%2FWOS:000230235100002","View Full Record in Web of Science")</f>
        <v>View Full Record in Web of Science</v>
      </c>
    </row>
    <row r="423" spans="2:79" x14ac:dyDescent="0.3">
      <c r="B423" t="s">
        <v>8495</v>
      </c>
      <c r="D423" s="9" t="s">
        <v>32954</v>
      </c>
      <c r="G423" s="9" t="s">
        <v>33053</v>
      </c>
      <c r="H423" t="s">
        <v>67</v>
      </c>
      <c r="I423" t="s">
        <v>28631</v>
      </c>
      <c r="J423" t="s">
        <v>69</v>
      </c>
      <c r="K423" t="s">
        <v>69</v>
      </c>
      <c r="L423" t="s">
        <v>69</v>
      </c>
      <c r="M423" t="s">
        <v>28632</v>
      </c>
      <c r="N423" t="s">
        <v>69</v>
      </c>
      <c r="O423" t="s">
        <v>69</v>
      </c>
      <c r="P423" t="s">
        <v>28633</v>
      </c>
      <c r="Q423" t="s">
        <v>26366</v>
      </c>
      <c r="R423" t="s">
        <v>69</v>
      </c>
      <c r="S423" t="s">
        <v>69</v>
      </c>
      <c r="T423" t="s">
        <v>10153</v>
      </c>
      <c r="U423" t="s">
        <v>8506</v>
      </c>
      <c r="V423" t="s">
        <v>69</v>
      </c>
      <c r="W423" t="s">
        <v>69</v>
      </c>
      <c r="X423" t="s">
        <v>69</v>
      </c>
      <c r="Y423" t="s">
        <v>69</v>
      </c>
      <c r="Z423" t="s">
        <v>69</v>
      </c>
      <c r="AA423" t="s">
        <v>28634</v>
      </c>
      <c r="AB423" t="s">
        <v>69</v>
      </c>
      <c r="AC423" t="s">
        <v>28635</v>
      </c>
      <c r="AD423" t="s">
        <v>28636</v>
      </c>
      <c r="AE423" t="s">
        <v>69</v>
      </c>
      <c r="AF423" t="s">
        <v>28637</v>
      </c>
      <c r="AG423" t="s">
        <v>28638</v>
      </c>
      <c r="AH423" t="s">
        <v>69</v>
      </c>
      <c r="AI423" t="s">
        <v>69</v>
      </c>
      <c r="AJ423" t="s">
        <v>69</v>
      </c>
      <c r="AK423" t="s">
        <v>69</v>
      </c>
      <c r="AL423" t="s">
        <v>69</v>
      </c>
      <c r="AM423" t="s">
        <v>69</v>
      </c>
      <c r="AN423">
        <v>28</v>
      </c>
      <c r="AO423">
        <v>0</v>
      </c>
      <c r="AP423">
        <v>0</v>
      </c>
      <c r="AQ423">
        <v>0</v>
      </c>
      <c r="AR423">
        <v>0</v>
      </c>
      <c r="AS423" t="s">
        <v>26374</v>
      </c>
      <c r="AT423" t="s">
        <v>26375</v>
      </c>
      <c r="AU423" t="s">
        <v>26376</v>
      </c>
      <c r="AV423" t="s">
        <v>26377</v>
      </c>
      <c r="AW423" t="s">
        <v>69</v>
      </c>
      <c r="AX423" t="s">
        <v>69</v>
      </c>
      <c r="AY423" t="s">
        <v>26378</v>
      </c>
      <c r="AZ423" t="s">
        <v>26379</v>
      </c>
      <c r="BA423" t="s">
        <v>69</v>
      </c>
      <c r="BB423">
        <v>2009</v>
      </c>
      <c r="BC423">
        <v>1</v>
      </c>
      <c r="BD423">
        <v>1</v>
      </c>
      <c r="BE423" t="s">
        <v>69</v>
      </c>
      <c r="BF423" t="s">
        <v>69</v>
      </c>
      <c r="BG423" t="s">
        <v>69</v>
      </c>
      <c r="BH423" t="s">
        <v>69</v>
      </c>
      <c r="BI423">
        <v>1</v>
      </c>
      <c r="BJ423">
        <v>22</v>
      </c>
      <c r="BK423" t="s">
        <v>69</v>
      </c>
      <c r="BL423" t="s">
        <v>69</v>
      </c>
      <c r="BM423" t="s">
        <v>69</v>
      </c>
      <c r="BN423" t="s">
        <v>69</v>
      </c>
      <c r="BO423" t="s">
        <v>69</v>
      </c>
      <c r="BP423">
        <v>22</v>
      </c>
      <c r="BQ423" t="s">
        <v>12182</v>
      </c>
      <c r="BR423" t="s">
        <v>8573</v>
      </c>
      <c r="BS423" t="s">
        <v>12182</v>
      </c>
      <c r="BT423" t="s">
        <v>28639</v>
      </c>
      <c r="BU423" t="s">
        <v>28640</v>
      </c>
      <c r="BV423" t="s">
        <v>69</v>
      </c>
      <c r="BW423" t="s">
        <v>69</v>
      </c>
      <c r="BX423" t="s">
        <v>69</v>
      </c>
      <c r="BY423" t="s">
        <v>69</v>
      </c>
      <c r="BZ423" t="s">
        <v>8526</v>
      </c>
      <c r="CA423" t="str">
        <f>HYPERLINK("https%3A%2F%2Fwww.webofscience.com%2Fwos%2Fwoscc%2Ffull-record%2FWOS:000215264400001","View Full Record in Web of Science")</f>
        <v>View Full Record in Web of Science</v>
      </c>
    </row>
    <row r="424" spans="2:79" ht="12.5" x14ac:dyDescent="0.25">
      <c r="B424" t="s">
        <v>8495</v>
      </c>
      <c r="D424" s="22" t="s">
        <v>32931</v>
      </c>
      <c r="E424" s="7"/>
      <c r="F424" s="7"/>
      <c r="G424" s="7"/>
      <c r="H424" t="s">
        <v>67</v>
      </c>
      <c r="I424" t="s">
        <v>24298</v>
      </c>
      <c r="J424" t="s">
        <v>69</v>
      </c>
      <c r="K424" t="s">
        <v>69</v>
      </c>
      <c r="L424" t="s">
        <v>69</v>
      </c>
      <c r="M424" t="s">
        <v>24299</v>
      </c>
      <c r="N424" t="s">
        <v>69</v>
      </c>
      <c r="O424" t="s">
        <v>69</v>
      </c>
      <c r="P424" t="s">
        <v>24300</v>
      </c>
      <c r="Q424" t="s">
        <v>24301</v>
      </c>
      <c r="R424" t="s">
        <v>69</v>
      </c>
      <c r="S424" t="s">
        <v>69</v>
      </c>
      <c r="T424" t="s">
        <v>8505</v>
      </c>
      <c r="U424" t="s">
        <v>8506</v>
      </c>
      <c r="V424" t="s">
        <v>69</v>
      </c>
      <c r="W424" t="s">
        <v>69</v>
      </c>
      <c r="X424" t="s">
        <v>69</v>
      </c>
      <c r="Y424" t="s">
        <v>69</v>
      </c>
      <c r="Z424" t="s">
        <v>69</v>
      </c>
      <c r="AA424" t="s">
        <v>24302</v>
      </c>
      <c r="AB424" t="s">
        <v>69</v>
      </c>
      <c r="AC424" t="s">
        <v>24303</v>
      </c>
      <c r="AD424" t="s">
        <v>24304</v>
      </c>
      <c r="AE424" t="s">
        <v>69</v>
      </c>
      <c r="AF424" t="s">
        <v>24305</v>
      </c>
      <c r="AG424" t="s">
        <v>24306</v>
      </c>
      <c r="AH424" t="s">
        <v>69</v>
      </c>
      <c r="AI424" t="s">
        <v>69</v>
      </c>
      <c r="AJ424" t="s">
        <v>69</v>
      </c>
      <c r="AK424" t="s">
        <v>69</v>
      </c>
      <c r="AL424" t="s">
        <v>69</v>
      </c>
      <c r="AM424" t="s">
        <v>69</v>
      </c>
      <c r="AN424">
        <v>16</v>
      </c>
      <c r="AO424">
        <v>0</v>
      </c>
      <c r="AP424">
        <v>0</v>
      </c>
      <c r="AQ424">
        <v>0</v>
      </c>
      <c r="AR424">
        <v>0</v>
      </c>
      <c r="AS424" t="s">
        <v>24307</v>
      </c>
      <c r="AT424" t="s">
        <v>8763</v>
      </c>
      <c r="AU424" t="s">
        <v>24308</v>
      </c>
      <c r="AV424" t="s">
        <v>24309</v>
      </c>
      <c r="AW424" t="s">
        <v>24310</v>
      </c>
      <c r="AX424" t="s">
        <v>69</v>
      </c>
      <c r="AY424" t="s">
        <v>24311</v>
      </c>
      <c r="AZ424" t="s">
        <v>24312</v>
      </c>
      <c r="BA424" t="s">
        <v>69</v>
      </c>
      <c r="BB424">
        <v>2014</v>
      </c>
      <c r="BC424">
        <v>14</v>
      </c>
      <c r="BD424">
        <v>1</v>
      </c>
      <c r="BE424" t="s">
        <v>69</v>
      </c>
      <c r="BF424" t="s">
        <v>69</v>
      </c>
      <c r="BG424" t="s">
        <v>69</v>
      </c>
      <c r="BH424" t="s">
        <v>69</v>
      </c>
      <c r="BI424">
        <v>154</v>
      </c>
      <c r="BJ424">
        <v>167</v>
      </c>
      <c r="BK424" t="s">
        <v>69</v>
      </c>
      <c r="BL424" t="s">
        <v>69</v>
      </c>
      <c r="BM424" t="s">
        <v>69</v>
      </c>
      <c r="BN424" t="s">
        <v>69</v>
      </c>
      <c r="BO424" t="s">
        <v>69</v>
      </c>
      <c r="BP424">
        <v>14</v>
      </c>
      <c r="BQ424" t="s">
        <v>15649</v>
      </c>
      <c r="BR424" t="s">
        <v>8573</v>
      </c>
      <c r="BS424" t="s">
        <v>9001</v>
      </c>
      <c r="BT424" t="s">
        <v>24313</v>
      </c>
      <c r="BU424" t="s">
        <v>24314</v>
      </c>
      <c r="BV424" t="s">
        <v>69</v>
      </c>
      <c r="BW424" t="s">
        <v>69</v>
      </c>
      <c r="BX424" t="s">
        <v>69</v>
      </c>
      <c r="BY424" t="s">
        <v>69</v>
      </c>
      <c r="BZ424" t="s">
        <v>8526</v>
      </c>
      <c r="CA424" t="str">
        <f>HYPERLINK("https%3A%2F%2Fwww.webofscience.com%2Fwos%2Fwoscc%2Ffull-record%2FWOS:000213486800008","View Full Record in Web of Science")</f>
        <v>View Full Record in Web of Science</v>
      </c>
    </row>
    <row r="425" spans="2:79" ht="12.5" x14ac:dyDescent="0.25">
      <c r="B425" t="s">
        <v>8495</v>
      </c>
      <c r="D425" s="22" t="s">
        <v>32931</v>
      </c>
      <c r="E425" s="7"/>
      <c r="F425" s="7"/>
      <c r="G425" s="7"/>
      <c r="H425" t="s">
        <v>67</v>
      </c>
      <c r="I425" t="s">
        <v>27109</v>
      </c>
      <c r="J425" t="s">
        <v>69</v>
      </c>
      <c r="K425" t="s">
        <v>69</v>
      </c>
      <c r="L425" t="s">
        <v>69</v>
      </c>
      <c r="M425" t="s">
        <v>27110</v>
      </c>
      <c r="N425" t="s">
        <v>69</v>
      </c>
      <c r="O425" t="s">
        <v>69</v>
      </c>
      <c r="P425" t="s">
        <v>27111</v>
      </c>
      <c r="Q425" t="s">
        <v>27112</v>
      </c>
      <c r="R425" t="s">
        <v>69</v>
      </c>
      <c r="S425" t="s">
        <v>69</v>
      </c>
      <c r="T425" t="s">
        <v>8505</v>
      </c>
      <c r="U425" t="s">
        <v>8506</v>
      </c>
      <c r="V425" t="s">
        <v>69</v>
      </c>
      <c r="W425" t="s">
        <v>69</v>
      </c>
      <c r="X425" t="s">
        <v>69</v>
      </c>
      <c r="Y425" t="s">
        <v>69</v>
      </c>
      <c r="Z425" t="s">
        <v>69</v>
      </c>
      <c r="AA425" t="s">
        <v>27113</v>
      </c>
      <c r="AB425" t="s">
        <v>69</v>
      </c>
      <c r="AC425" t="s">
        <v>27114</v>
      </c>
      <c r="AD425" t="s">
        <v>27115</v>
      </c>
      <c r="AE425" t="s">
        <v>69</v>
      </c>
      <c r="AF425" t="s">
        <v>27116</v>
      </c>
      <c r="AG425" t="s">
        <v>22368</v>
      </c>
      <c r="AH425" t="s">
        <v>69</v>
      </c>
      <c r="AI425" t="s">
        <v>27117</v>
      </c>
      <c r="AJ425" t="s">
        <v>69</v>
      </c>
      <c r="AK425" t="s">
        <v>69</v>
      </c>
      <c r="AL425" t="s">
        <v>69</v>
      </c>
      <c r="AM425" t="s">
        <v>69</v>
      </c>
      <c r="AN425">
        <v>32</v>
      </c>
      <c r="AO425">
        <v>5</v>
      </c>
      <c r="AP425">
        <v>5</v>
      </c>
      <c r="AQ425">
        <v>0</v>
      </c>
      <c r="AR425">
        <v>7</v>
      </c>
      <c r="AS425" t="s">
        <v>9047</v>
      </c>
      <c r="AT425" t="s">
        <v>9048</v>
      </c>
      <c r="AU425" t="s">
        <v>9049</v>
      </c>
      <c r="AV425" t="s">
        <v>27118</v>
      </c>
      <c r="AW425" t="s">
        <v>27119</v>
      </c>
      <c r="AX425" t="s">
        <v>69</v>
      </c>
      <c r="AY425" t="s">
        <v>27120</v>
      </c>
      <c r="AZ425" t="s">
        <v>27121</v>
      </c>
      <c r="BA425" t="s">
        <v>94</v>
      </c>
      <c r="BB425">
        <v>2011</v>
      </c>
      <c r="BC425">
        <v>17</v>
      </c>
      <c r="BD425">
        <v>1</v>
      </c>
      <c r="BE425" t="s">
        <v>69</v>
      </c>
      <c r="BF425" t="s">
        <v>69</v>
      </c>
      <c r="BG425" t="s">
        <v>114</v>
      </c>
      <c r="BH425" t="s">
        <v>69</v>
      </c>
      <c r="BI425">
        <v>55</v>
      </c>
      <c r="BJ425">
        <v>67</v>
      </c>
      <c r="BK425" t="s">
        <v>69</v>
      </c>
      <c r="BL425" t="s">
        <v>27122</v>
      </c>
      <c r="BM425" t="str">
        <f>HYPERLINK("http://dx.doi.org/10.1007/s10610-010-9134-7","http://dx.doi.org/10.1007/s10610-010-9134-7")</f>
        <v>http://dx.doi.org/10.1007/s10610-010-9134-7</v>
      </c>
      <c r="BN425" t="s">
        <v>69</v>
      </c>
      <c r="BO425" t="s">
        <v>69</v>
      </c>
      <c r="BP425">
        <v>13</v>
      </c>
      <c r="BQ425" t="s">
        <v>19122</v>
      </c>
      <c r="BR425" t="s">
        <v>8661</v>
      </c>
      <c r="BS425" t="s">
        <v>19122</v>
      </c>
      <c r="BT425" t="s">
        <v>27123</v>
      </c>
      <c r="BU425" t="s">
        <v>27124</v>
      </c>
      <c r="BV425" t="s">
        <v>69</v>
      </c>
      <c r="BW425" t="s">
        <v>69</v>
      </c>
      <c r="BX425" t="s">
        <v>69</v>
      </c>
      <c r="BY425" t="s">
        <v>69</v>
      </c>
      <c r="BZ425" t="s">
        <v>8526</v>
      </c>
      <c r="CA425" t="str">
        <f>HYPERLINK("https%3A%2F%2Fwww.webofscience.com%2Fwos%2Fwoscc%2Ffull-record%2FWOS:000290771600004","View Full Record in Web of Science")</f>
        <v>View Full Record in Web of Science</v>
      </c>
    </row>
    <row r="426" spans="2:79" ht="12.5" x14ac:dyDescent="0.25">
      <c r="B426" t="s">
        <v>8495</v>
      </c>
      <c r="D426" s="22" t="s">
        <v>32931</v>
      </c>
      <c r="E426" s="7"/>
      <c r="F426" s="7"/>
      <c r="G426" s="7"/>
      <c r="H426" t="s">
        <v>67</v>
      </c>
      <c r="I426" t="s">
        <v>11942</v>
      </c>
      <c r="J426" t="s">
        <v>69</v>
      </c>
      <c r="K426" t="s">
        <v>69</v>
      </c>
      <c r="L426" t="s">
        <v>69</v>
      </c>
      <c r="M426" t="s">
        <v>11943</v>
      </c>
      <c r="N426" t="s">
        <v>69</v>
      </c>
      <c r="O426" t="s">
        <v>69</v>
      </c>
      <c r="P426" t="s">
        <v>11944</v>
      </c>
      <c r="Q426" t="s">
        <v>11945</v>
      </c>
      <c r="R426" t="s">
        <v>69</v>
      </c>
      <c r="S426" t="s">
        <v>69</v>
      </c>
      <c r="T426" t="s">
        <v>8505</v>
      </c>
      <c r="U426" t="s">
        <v>8442</v>
      </c>
      <c r="V426" t="s">
        <v>69</v>
      </c>
      <c r="W426" t="s">
        <v>69</v>
      </c>
      <c r="X426" t="s">
        <v>69</v>
      </c>
      <c r="Y426" t="s">
        <v>69</v>
      </c>
      <c r="Z426" t="s">
        <v>69</v>
      </c>
      <c r="AA426" t="s">
        <v>11946</v>
      </c>
      <c r="AB426" t="s">
        <v>69</v>
      </c>
      <c r="AC426" t="s">
        <v>11947</v>
      </c>
      <c r="AD426" t="s">
        <v>11948</v>
      </c>
      <c r="AE426" t="s">
        <v>69</v>
      </c>
      <c r="AF426" t="s">
        <v>11949</v>
      </c>
      <c r="AG426" t="s">
        <v>11950</v>
      </c>
      <c r="AH426" t="s">
        <v>69</v>
      </c>
      <c r="AI426" t="s">
        <v>69</v>
      </c>
      <c r="AJ426" t="s">
        <v>69</v>
      </c>
      <c r="AK426" t="s">
        <v>69</v>
      </c>
      <c r="AL426" t="s">
        <v>69</v>
      </c>
      <c r="AM426" t="s">
        <v>69</v>
      </c>
      <c r="AN426">
        <v>14</v>
      </c>
      <c r="AO426">
        <v>2</v>
      </c>
      <c r="AP426">
        <v>2</v>
      </c>
      <c r="AQ426">
        <v>5</v>
      </c>
      <c r="AR426">
        <v>9</v>
      </c>
      <c r="AS426" t="s">
        <v>8516</v>
      </c>
      <c r="AT426" t="s">
        <v>8517</v>
      </c>
      <c r="AU426" t="s">
        <v>8518</v>
      </c>
      <c r="AV426" t="s">
        <v>11951</v>
      </c>
      <c r="AW426" t="s">
        <v>11952</v>
      </c>
      <c r="AX426" t="s">
        <v>69</v>
      </c>
      <c r="AY426" t="s">
        <v>11953</v>
      </c>
      <c r="AZ426" t="s">
        <v>11954</v>
      </c>
      <c r="BA426" t="s">
        <v>84</v>
      </c>
      <c r="BB426">
        <v>2021</v>
      </c>
      <c r="BC426">
        <v>91</v>
      </c>
      <c r="BD426" t="s">
        <v>69</v>
      </c>
      <c r="BE426" t="s">
        <v>69</v>
      </c>
      <c r="BF426" t="s">
        <v>69</v>
      </c>
      <c r="BG426" t="s">
        <v>69</v>
      </c>
      <c r="BH426" t="s">
        <v>69</v>
      </c>
      <c r="BI426" t="s">
        <v>69</v>
      </c>
      <c r="BJ426" t="s">
        <v>69</v>
      </c>
      <c r="BK426">
        <v>105987</v>
      </c>
      <c r="BL426" t="s">
        <v>11955</v>
      </c>
      <c r="BM426" t="str">
        <f>HYPERLINK("http://dx.doi.org/10.1016/j.ijsu.2021.105987","http://dx.doi.org/10.1016/j.ijsu.2021.105987")</f>
        <v>http://dx.doi.org/10.1016/j.ijsu.2021.105987</v>
      </c>
      <c r="BN426" t="s">
        <v>69</v>
      </c>
      <c r="BO426" t="s">
        <v>11920</v>
      </c>
      <c r="BP426">
        <v>12</v>
      </c>
      <c r="BQ426" t="s">
        <v>11956</v>
      </c>
      <c r="BR426" t="s">
        <v>8548</v>
      </c>
      <c r="BS426" t="s">
        <v>11956</v>
      </c>
      <c r="BT426" t="s">
        <v>11957</v>
      </c>
      <c r="BU426" t="s">
        <v>11958</v>
      </c>
      <c r="BV426">
        <v>34091086</v>
      </c>
      <c r="BW426" t="s">
        <v>9374</v>
      </c>
      <c r="BX426" t="s">
        <v>69</v>
      </c>
      <c r="BY426" t="s">
        <v>69</v>
      </c>
      <c r="BZ426" t="s">
        <v>8526</v>
      </c>
      <c r="CA426" t="str">
        <f>HYPERLINK("https%3A%2F%2Fwww.webofscience.com%2Fwos%2Fwoscc%2Ffull-record%2FWOS:000671833100022","View Full Record in Web of Science")</f>
        <v>View Full Record in Web of Science</v>
      </c>
    </row>
    <row r="427" spans="2:79" x14ac:dyDescent="0.3">
      <c r="B427" t="s">
        <v>8495</v>
      </c>
      <c r="D427" s="9" t="s">
        <v>32954</v>
      </c>
      <c r="E427" s="9" t="s">
        <v>33157</v>
      </c>
      <c r="F427" s="10" t="s">
        <v>8490</v>
      </c>
      <c r="G427" s="9" t="s">
        <v>8490</v>
      </c>
      <c r="H427" t="s">
        <v>67</v>
      </c>
      <c r="I427" t="s">
        <v>26382</v>
      </c>
      <c r="J427" t="s">
        <v>69</v>
      </c>
      <c r="K427" t="s">
        <v>69</v>
      </c>
      <c r="L427" t="s">
        <v>69</v>
      </c>
      <c r="M427" t="s">
        <v>26383</v>
      </c>
      <c r="N427" t="s">
        <v>69</v>
      </c>
      <c r="O427" t="s">
        <v>69</v>
      </c>
      <c r="P427" t="s">
        <v>26384</v>
      </c>
      <c r="Q427" t="s">
        <v>26385</v>
      </c>
      <c r="R427" t="s">
        <v>69</v>
      </c>
      <c r="S427" t="s">
        <v>69</v>
      </c>
      <c r="T427" t="s">
        <v>8505</v>
      </c>
      <c r="U427" t="s">
        <v>8506</v>
      </c>
      <c r="V427" t="s">
        <v>69</v>
      </c>
      <c r="W427" t="s">
        <v>69</v>
      </c>
      <c r="X427" t="s">
        <v>69</v>
      </c>
      <c r="Y427" t="s">
        <v>69</v>
      </c>
      <c r="Z427" t="s">
        <v>69</v>
      </c>
      <c r="AA427" t="s">
        <v>26386</v>
      </c>
      <c r="AB427" t="s">
        <v>26387</v>
      </c>
      <c r="AC427" t="s">
        <v>26388</v>
      </c>
      <c r="AD427" t="s">
        <v>26389</v>
      </c>
      <c r="AE427" t="s">
        <v>69</v>
      </c>
      <c r="AF427" t="s">
        <v>26390</v>
      </c>
      <c r="AG427" t="s">
        <v>26391</v>
      </c>
      <c r="AH427" t="s">
        <v>26392</v>
      </c>
      <c r="AI427" t="s">
        <v>26393</v>
      </c>
      <c r="AJ427" t="s">
        <v>69</v>
      </c>
      <c r="AK427" t="s">
        <v>69</v>
      </c>
      <c r="AL427" t="s">
        <v>69</v>
      </c>
      <c r="AM427" t="s">
        <v>69</v>
      </c>
      <c r="AN427">
        <v>42</v>
      </c>
      <c r="AO427">
        <v>4</v>
      </c>
      <c r="AP427">
        <v>4</v>
      </c>
      <c r="AQ427">
        <v>0</v>
      </c>
      <c r="AR427">
        <v>0</v>
      </c>
      <c r="AS427" t="s">
        <v>26394</v>
      </c>
      <c r="AT427" t="s">
        <v>26395</v>
      </c>
      <c r="AU427" t="s">
        <v>26396</v>
      </c>
      <c r="AV427" t="s">
        <v>26397</v>
      </c>
      <c r="AW427" t="s">
        <v>69</v>
      </c>
      <c r="AX427" t="s">
        <v>69</v>
      </c>
      <c r="AY427" t="s">
        <v>26398</v>
      </c>
      <c r="AZ427" t="s">
        <v>26399</v>
      </c>
      <c r="BA427" t="s">
        <v>69</v>
      </c>
      <c r="BB427">
        <v>2012</v>
      </c>
      <c r="BC427">
        <v>6</v>
      </c>
      <c r="BD427">
        <v>1</v>
      </c>
      <c r="BE427" t="s">
        <v>69</v>
      </c>
      <c r="BF427" t="s">
        <v>69</v>
      </c>
      <c r="BG427" t="s">
        <v>69</v>
      </c>
      <c r="BH427" t="s">
        <v>69</v>
      </c>
      <c r="BI427">
        <v>101</v>
      </c>
      <c r="BJ427">
        <v>116</v>
      </c>
      <c r="BK427" t="s">
        <v>69</v>
      </c>
      <c r="BL427" t="s">
        <v>69</v>
      </c>
      <c r="BM427" t="s">
        <v>69</v>
      </c>
      <c r="BN427" t="s">
        <v>69</v>
      </c>
      <c r="BO427" t="s">
        <v>69</v>
      </c>
      <c r="BP427">
        <v>16</v>
      </c>
      <c r="BQ427" t="s">
        <v>13241</v>
      </c>
      <c r="BR427" t="s">
        <v>8573</v>
      </c>
      <c r="BS427" t="s">
        <v>10084</v>
      </c>
      <c r="BT427" t="s">
        <v>26400</v>
      </c>
      <c r="BU427" t="s">
        <v>26401</v>
      </c>
      <c r="BV427" t="s">
        <v>69</v>
      </c>
      <c r="BW427" t="s">
        <v>69</v>
      </c>
      <c r="BX427" t="s">
        <v>69</v>
      </c>
      <c r="BY427" t="s">
        <v>69</v>
      </c>
      <c r="BZ427" t="s">
        <v>8526</v>
      </c>
      <c r="CA427" t="str">
        <f>HYPERLINK("https%3A%2F%2Fwww.webofscience.com%2Fwos%2Fwoscc%2Ffull-record%2FWOS:000215201900007","View Full Record in Web of Science")</f>
        <v>View Full Record in Web of Science</v>
      </c>
    </row>
    <row r="428" spans="2:79" ht="12.5" x14ac:dyDescent="0.25">
      <c r="B428" t="s">
        <v>8495</v>
      </c>
      <c r="D428" s="7" t="s">
        <v>32933</v>
      </c>
      <c r="E428" s="7"/>
      <c r="F428" s="7"/>
      <c r="G428" s="7"/>
      <c r="H428" t="s">
        <v>67</v>
      </c>
      <c r="I428" t="s">
        <v>1348</v>
      </c>
      <c r="J428" t="s">
        <v>69</v>
      </c>
      <c r="K428" t="s">
        <v>69</v>
      </c>
      <c r="L428" t="s">
        <v>69</v>
      </c>
      <c r="M428" t="s">
        <v>1349</v>
      </c>
      <c r="N428" t="s">
        <v>69</v>
      </c>
      <c r="O428" t="s">
        <v>69</v>
      </c>
      <c r="P428" t="s">
        <v>1350</v>
      </c>
      <c r="Q428" t="s">
        <v>1351</v>
      </c>
      <c r="R428" t="s">
        <v>69</v>
      </c>
      <c r="S428" t="s">
        <v>69</v>
      </c>
      <c r="T428" t="s">
        <v>8505</v>
      </c>
      <c r="U428" t="s">
        <v>8506</v>
      </c>
      <c r="V428" t="s">
        <v>69</v>
      </c>
      <c r="W428" t="s">
        <v>69</v>
      </c>
      <c r="X428" t="s">
        <v>69</v>
      </c>
      <c r="Y428" t="s">
        <v>69</v>
      </c>
      <c r="Z428" t="s">
        <v>69</v>
      </c>
      <c r="AA428" t="s">
        <v>23736</v>
      </c>
      <c r="AB428" t="s">
        <v>23737</v>
      </c>
      <c r="AC428" t="s">
        <v>1352</v>
      </c>
      <c r="AD428" t="s">
        <v>23738</v>
      </c>
      <c r="AE428" t="s">
        <v>69</v>
      </c>
      <c r="AF428" t="s">
        <v>23739</v>
      </c>
      <c r="AG428" t="s">
        <v>23740</v>
      </c>
      <c r="AH428" t="s">
        <v>69</v>
      </c>
      <c r="AI428" t="s">
        <v>69</v>
      </c>
      <c r="AJ428" t="s">
        <v>69</v>
      </c>
      <c r="AK428" t="s">
        <v>69</v>
      </c>
      <c r="AL428" t="s">
        <v>69</v>
      </c>
      <c r="AM428" t="s">
        <v>69</v>
      </c>
      <c r="AN428">
        <v>65</v>
      </c>
      <c r="AO428">
        <v>37</v>
      </c>
      <c r="AP428">
        <v>37</v>
      </c>
      <c r="AQ428">
        <v>1</v>
      </c>
      <c r="AR428">
        <v>38</v>
      </c>
      <c r="AS428" t="s">
        <v>8539</v>
      </c>
      <c r="AT428" t="s">
        <v>8540</v>
      </c>
      <c r="AU428" t="s">
        <v>8541</v>
      </c>
      <c r="AV428" t="s">
        <v>1353</v>
      </c>
      <c r="AW428" t="s">
        <v>1354</v>
      </c>
      <c r="AX428" t="s">
        <v>69</v>
      </c>
      <c r="AY428" t="s">
        <v>8677</v>
      </c>
      <c r="AZ428" t="s">
        <v>8678</v>
      </c>
      <c r="BA428" t="s">
        <v>84</v>
      </c>
      <c r="BB428">
        <v>2014</v>
      </c>
      <c r="BC428">
        <v>30</v>
      </c>
      <c r="BD428">
        <v>4</v>
      </c>
      <c r="BE428" t="s">
        <v>69</v>
      </c>
      <c r="BF428" t="s">
        <v>69</v>
      </c>
      <c r="BG428" t="s">
        <v>69</v>
      </c>
      <c r="BH428" t="s">
        <v>69</v>
      </c>
      <c r="BI428" t="s">
        <v>69</v>
      </c>
      <c r="BJ428" t="s">
        <v>69</v>
      </c>
      <c r="BK428">
        <v>5014007</v>
      </c>
      <c r="BL428" t="s">
        <v>1355</v>
      </c>
      <c r="BM428" t="str">
        <f>HYPERLINK("http://dx.doi.org/10.1061/(ASCE)ME.1943-5479.0000223","http://dx.doi.org/10.1061/(ASCE)ME.1943-5479.0000223")</f>
        <v>http://dx.doi.org/10.1061/(ASCE)ME.1943-5479.0000223</v>
      </c>
      <c r="BN428" t="s">
        <v>69</v>
      </c>
      <c r="BO428" t="s">
        <v>69</v>
      </c>
      <c r="BP428">
        <v>11</v>
      </c>
      <c r="BQ428" t="s">
        <v>8680</v>
      </c>
      <c r="BR428" t="s">
        <v>8548</v>
      </c>
      <c r="BS428" t="s">
        <v>8445</v>
      </c>
      <c r="BT428" t="s">
        <v>23741</v>
      </c>
      <c r="BU428" t="s">
        <v>1356</v>
      </c>
      <c r="BV428" t="s">
        <v>69</v>
      </c>
      <c r="BW428" t="s">
        <v>69</v>
      </c>
      <c r="BX428" t="s">
        <v>69</v>
      </c>
      <c r="BY428" t="s">
        <v>69</v>
      </c>
      <c r="BZ428" t="s">
        <v>8526</v>
      </c>
      <c r="CA428" t="str">
        <f>HYPERLINK("https%3A%2F%2Fwww.webofscience.com%2Fwos%2Fwoscc%2Ffull-record%2FWOS:000346131500010","View Full Record in Web of Science")</f>
        <v>View Full Record in Web of Science</v>
      </c>
    </row>
    <row r="429" spans="2:79" ht="12.5" x14ac:dyDescent="0.25">
      <c r="B429" t="s">
        <v>8495</v>
      </c>
      <c r="D429" s="22" t="s">
        <v>32931</v>
      </c>
      <c r="E429" s="7"/>
      <c r="F429" s="7"/>
      <c r="G429" s="7"/>
      <c r="H429" t="s">
        <v>67</v>
      </c>
      <c r="I429" t="s">
        <v>9099</v>
      </c>
      <c r="J429" t="s">
        <v>69</v>
      </c>
      <c r="K429" t="s">
        <v>69</v>
      </c>
      <c r="L429" t="s">
        <v>69</v>
      </c>
      <c r="M429" t="s">
        <v>9100</v>
      </c>
      <c r="N429" t="s">
        <v>69</v>
      </c>
      <c r="O429" t="s">
        <v>69</v>
      </c>
      <c r="P429" t="s">
        <v>9101</v>
      </c>
      <c r="Q429" t="s">
        <v>715</v>
      </c>
      <c r="R429" t="s">
        <v>69</v>
      </c>
      <c r="S429" t="s">
        <v>69</v>
      </c>
      <c r="T429" t="s">
        <v>8505</v>
      </c>
      <c r="U429" t="s">
        <v>8556</v>
      </c>
      <c r="V429" t="s">
        <v>69</v>
      </c>
      <c r="W429" t="s">
        <v>69</v>
      </c>
      <c r="X429" t="s">
        <v>69</v>
      </c>
      <c r="Y429" t="s">
        <v>69</v>
      </c>
      <c r="Z429" t="s">
        <v>69</v>
      </c>
      <c r="AA429" t="s">
        <v>9102</v>
      </c>
      <c r="AB429" t="s">
        <v>9103</v>
      </c>
      <c r="AC429" t="s">
        <v>9104</v>
      </c>
      <c r="AD429" t="s">
        <v>9105</v>
      </c>
      <c r="AE429" t="s">
        <v>69</v>
      </c>
      <c r="AF429" t="s">
        <v>9106</v>
      </c>
      <c r="AG429" t="s">
        <v>9107</v>
      </c>
      <c r="AH429" t="s">
        <v>9108</v>
      </c>
      <c r="AI429" t="s">
        <v>9109</v>
      </c>
      <c r="AJ429" t="s">
        <v>69</v>
      </c>
      <c r="AK429" t="s">
        <v>69</v>
      </c>
      <c r="AL429" t="s">
        <v>69</v>
      </c>
      <c r="AM429" t="s">
        <v>69</v>
      </c>
      <c r="AN429">
        <v>97</v>
      </c>
      <c r="AO429">
        <v>0</v>
      </c>
      <c r="AP429">
        <v>0</v>
      </c>
      <c r="AQ429">
        <v>7</v>
      </c>
      <c r="AR429">
        <v>7</v>
      </c>
      <c r="AS429" t="s">
        <v>8846</v>
      </c>
      <c r="AT429" t="s">
        <v>8847</v>
      </c>
      <c r="AU429" t="s">
        <v>8848</v>
      </c>
      <c r="AV429" t="s">
        <v>719</v>
      </c>
      <c r="AW429" t="s">
        <v>720</v>
      </c>
      <c r="AX429" t="s">
        <v>69</v>
      </c>
      <c r="AY429" t="s">
        <v>9110</v>
      </c>
      <c r="AZ429" t="s">
        <v>9111</v>
      </c>
      <c r="BA429" t="s">
        <v>69</v>
      </c>
      <c r="BB429" t="s">
        <v>69</v>
      </c>
      <c r="BC429" t="s">
        <v>69</v>
      </c>
      <c r="BD429" t="s">
        <v>69</v>
      </c>
      <c r="BE429" t="s">
        <v>69</v>
      </c>
      <c r="BF429" t="s">
        <v>69</v>
      </c>
      <c r="BG429" t="s">
        <v>69</v>
      </c>
      <c r="BH429" t="s">
        <v>69</v>
      </c>
      <c r="BI429" t="s">
        <v>69</v>
      </c>
      <c r="BJ429" t="s">
        <v>69</v>
      </c>
      <c r="BK429" t="s">
        <v>69</v>
      </c>
      <c r="BL429" t="s">
        <v>9112</v>
      </c>
      <c r="BM429" t="str">
        <f>HYPERLINK("http://dx.doi.org/10.1002/bse.3121","http://dx.doi.org/10.1002/bse.3121")</f>
        <v>http://dx.doi.org/10.1002/bse.3121</v>
      </c>
      <c r="BN429" t="s">
        <v>69</v>
      </c>
      <c r="BO429" t="s">
        <v>9025</v>
      </c>
      <c r="BP429">
        <v>14</v>
      </c>
      <c r="BQ429" t="s">
        <v>9113</v>
      </c>
      <c r="BR429" t="s">
        <v>8661</v>
      </c>
      <c r="BS429" t="s">
        <v>9114</v>
      </c>
      <c r="BT429" t="s">
        <v>9115</v>
      </c>
      <c r="BU429" t="s">
        <v>9116</v>
      </c>
      <c r="BV429" t="s">
        <v>69</v>
      </c>
      <c r="BW429" t="s">
        <v>69</v>
      </c>
      <c r="BX429" t="s">
        <v>69</v>
      </c>
      <c r="BY429" t="s">
        <v>69</v>
      </c>
      <c r="BZ429" t="s">
        <v>8526</v>
      </c>
      <c r="CA429" t="str">
        <f>HYPERLINK("https%3A%2F%2Fwww.webofscience.com%2Fwos%2Fwoscc%2Ffull-record%2FWOS:000791612700001","View Full Record in Web of Science")</f>
        <v>View Full Record in Web of Science</v>
      </c>
    </row>
    <row r="430" spans="2:79" ht="12.5" x14ac:dyDescent="0.25">
      <c r="B430" t="s">
        <v>8495</v>
      </c>
      <c r="D430" s="22" t="s">
        <v>32931</v>
      </c>
      <c r="E430" s="7"/>
      <c r="F430" s="7"/>
      <c r="G430" s="7"/>
      <c r="H430" t="s">
        <v>67</v>
      </c>
      <c r="I430" t="s">
        <v>8624</v>
      </c>
      <c r="J430" t="s">
        <v>69</v>
      </c>
      <c r="K430" t="s">
        <v>69</v>
      </c>
      <c r="L430" t="s">
        <v>69</v>
      </c>
      <c r="M430" t="s">
        <v>8625</v>
      </c>
      <c r="N430" t="s">
        <v>69</v>
      </c>
      <c r="O430" t="s">
        <v>69</v>
      </c>
      <c r="P430" t="s">
        <v>8626</v>
      </c>
      <c r="Q430" t="s">
        <v>436</v>
      </c>
      <c r="R430" t="s">
        <v>69</v>
      </c>
      <c r="S430" t="s">
        <v>69</v>
      </c>
      <c r="T430" t="s">
        <v>8505</v>
      </c>
      <c r="U430" t="s">
        <v>8442</v>
      </c>
      <c r="V430" t="s">
        <v>69</v>
      </c>
      <c r="W430" t="s">
        <v>69</v>
      </c>
      <c r="X430" t="s">
        <v>69</v>
      </c>
      <c r="Y430" t="s">
        <v>69</v>
      </c>
      <c r="Z430" t="s">
        <v>69</v>
      </c>
      <c r="AA430" t="s">
        <v>8627</v>
      </c>
      <c r="AB430" t="s">
        <v>8628</v>
      </c>
      <c r="AC430" t="s">
        <v>8629</v>
      </c>
      <c r="AD430" t="s">
        <v>8630</v>
      </c>
      <c r="AE430" t="s">
        <v>69</v>
      </c>
      <c r="AF430" t="s">
        <v>8631</v>
      </c>
      <c r="AG430" t="s">
        <v>8632</v>
      </c>
      <c r="AH430" t="s">
        <v>69</v>
      </c>
      <c r="AI430" t="s">
        <v>8633</v>
      </c>
      <c r="AJ430" t="s">
        <v>8634</v>
      </c>
      <c r="AK430" t="s">
        <v>8634</v>
      </c>
      <c r="AL430" t="s">
        <v>8635</v>
      </c>
      <c r="AM430" t="s">
        <v>69</v>
      </c>
      <c r="AN430">
        <v>89</v>
      </c>
      <c r="AO430">
        <v>0</v>
      </c>
      <c r="AP430">
        <v>0</v>
      </c>
      <c r="AQ430">
        <v>3</v>
      </c>
      <c r="AR430">
        <v>3</v>
      </c>
      <c r="AS430" t="s">
        <v>8636</v>
      </c>
      <c r="AT430" t="s">
        <v>8637</v>
      </c>
      <c r="AU430" t="s">
        <v>8638</v>
      </c>
      <c r="AV430" t="s">
        <v>440</v>
      </c>
      <c r="AW430" t="s">
        <v>441</v>
      </c>
      <c r="AX430" t="s">
        <v>69</v>
      </c>
      <c r="AY430" t="s">
        <v>8639</v>
      </c>
      <c r="AZ430" t="s">
        <v>8640</v>
      </c>
      <c r="BA430" t="s">
        <v>8641</v>
      </c>
      <c r="BB430">
        <v>2022</v>
      </c>
      <c r="BC430">
        <v>357</v>
      </c>
      <c r="BD430" t="s">
        <v>69</v>
      </c>
      <c r="BE430" t="s">
        <v>69</v>
      </c>
      <c r="BF430" t="s">
        <v>69</v>
      </c>
      <c r="BG430" t="s">
        <v>69</v>
      </c>
      <c r="BH430" t="s">
        <v>69</v>
      </c>
      <c r="BI430" t="s">
        <v>69</v>
      </c>
      <c r="BJ430" t="s">
        <v>69</v>
      </c>
      <c r="BK430">
        <v>131859</v>
      </c>
      <c r="BL430" t="s">
        <v>8642</v>
      </c>
      <c r="BM430" t="str">
        <f>HYPERLINK("http://dx.doi.org/10.1016/j.jclepro.2022.131859","http://dx.doi.org/10.1016/j.jclepro.2022.131859")</f>
        <v>http://dx.doi.org/10.1016/j.jclepro.2022.131859</v>
      </c>
      <c r="BN430" t="s">
        <v>69</v>
      </c>
      <c r="BO430" t="s">
        <v>69</v>
      </c>
      <c r="BP430">
        <v>14</v>
      </c>
      <c r="BQ430" t="s">
        <v>8643</v>
      </c>
      <c r="BR430" t="s">
        <v>8548</v>
      </c>
      <c r="BS430" t="s">
        <v>8644</v>
      </c>
      <c r="BT430" t="s">
        <v>8645</v>
      </c>
      <c r="BU430" t="s">
        <v>8646</v>
      </c>
      <c r="BV430" t="s">
        <v>69</v>
      </c>
      <c r="BW430" t="s">
        <v>69</v>
      </c>
      <c r="BX430" t="s">
        <v>69</v>
      </c>
      <c r="BY430" t="s">
        <v>69</v>
      </c>
      <c r="BZ430" t="s">
        <v>8526</v>
      </c>
      <c r="CA430" t="str">
        <f>HYPERLINK("https%3A%2F%2Fwww.webofscience.com%2Fwos%2Fwoscc%2Ffull-record%2FWOS:000799118100001","View Full Record in Web of Science")</f>
        <v>View Full Record in Web of Science</v>
      </c>
    </row>
    <row r="431" spans="2:79" ht="12.5" x14ac:dyDescent="0.25">
      <c r="B431" t="s">
        <v>8495</v>
      </c>
      <c r="D431" s="7" t="s">
        <v>32933</v>
      </c>
      <c r="E431" s="7"/>
      <c r="F431" s="7"/>
      <c r="G431" s="7"/>
      <c r="H431" t="s">
        <v>67</v>
      </c>
      <c r="I431" t="s">
        <v>685</v>
      </c>
      <c r="J431" t="s">
        <v>69</v>
      </c>
      <c r="K431" t="s">
        <v>69</v>
      </c>
      <c r="L431" t="s">
        <v>69</v>
      </c>
      <c r="M431" t="s">
        <v>686</v>
      </c>
      <c r="N431" t="s">
        <v>69</v>
      </c>
      <c r="O431" t="s">
        <v>69</v>
      </c>
      <c r="P431" t="s">
        <v>687</v>
      </c>
      <c r="Q431" t="s">
        <v>688</v>
      </c>
      <c r="R431" t="s">
        <v>69</v>
      </c>
      <c r="S431" t="s">
        <v>69</v>
      </c>
      <c r="T431" t="s">
        <v>8505</v>
      </c>
      <c r="U431" t="s">
        <v>8506</v>
      </c>
      <c r="V431" t="s">
        <v>69</v>
      </c>
      <c r="W431" t="s">
        <v>69</v>
      </c>
      <c r="X431" t="s">
        <v>69</v>
      </c>
      <c r="Y431" t="s">
        <v>69</v>
      </c>
      <c r="Z431" t="s">
        <v>69</v>
      </c>
      <c r="AA431" t="s">
        <v>14466</v>
      </c>
      <c r="AB431" t="s">
        <v>14467</v>
      </c>
      <c r="AC431" t="s">
        <v>689</v>
      </c>
      <c r="AD431" t="s">
        <v>14468</v>
      </c>
      <c r="AE431" t="s">
        <v>69</v>
      </c>
      <c r="AF431" t="s">
        <v>14469</v>
      </c>
      <c r="AG431" t="s">
        <v>14470</v>
      </c>
      <c r="AH431" t="s">
        <v>69</v>
      </c>
      <c r="AI431" t="s">
        <v>69</v>
      </c>
      <c r="AJ431" t="s">
        <v>69</v>
      </c>
      <c r="AK431" t="s">
        <v>69</v>
      </c>
      <c r="AL431" t="s">
        <v>69</v>
      </c>
      <c r="AM431" t="s">
        <v>69</v>
      </c>
      <c r="AN431">
        <v>35</v>
      </c>
      <c r="AO431">
        <v>2</v>
      </c>
      <c r="AP431">
        <v>2</v>
      </c>
      <c r="AQ431">
        <v>2</v>
      </c>
      <c r="AR431">
        <v>7</v>
      </c>
      <c r="AS431" t="s">
        <v>14471</v>
      </c>
      <c r="AT431" t="s">
        <v>14472</v>
      </c>
      <c r="AU431" t="s">
        <v>14473</v>
      </c>
      <c r="AV431" t="s">
        <v>690</v>
      </c>
      <c r="AW431" t="s">
        <v>691</v>
      </c>
      <c r="AX431" t="s">
        <v>69</v>
      </c>
      <c r="AY431" t="s">
        <v>14474</v>
      </c>
      <c r="AZ431" t="s">
        <v>14475</v>
      </c>
      <c r="BA431" t="s">
        <v>255</v>
      </c>
      <c r="BB431">
        <v>2020</v>
      </c>
      <c r="BC431">
        <v>20</v>
      </c>
      <c r="BD431">
        <v>3</v>
      </c>
      <c r="BE431" t="s">
        <v>69</v>
      </c>
      <c r="BF431" t="s">
        <v>69</v>
      </c>
      <c r="BG431" t="s">
        <v>114</v>
      </c>
      <c r="BH431" t="s">
        <v>69</v>
      </c>
      <c r="BI431">
        <v>37</v>
      </c>
      <c r="BJ431">
        <v>55</v>
      </c>
      <c r="BK431" t="s">
        <v>69</v>
      </c>
      <c r="BL431" t="s">
        <v>692</v>
      </c>
      <c r="BM431" t="str">
        <f>HYPERLINK("http://dx.doi.org/10.5130/AJCEB.v20i3.7298","http://dx.doi.org/10.5130/AJCEB.v20i3.7298")</f>
        <v>http://dx.doi.org/10.5130/AJCEB.v20i3.7298</v>
      </c>
      <c r="BN431" t="s">
        <v>69</v>
      </c>
      <c r="BO431" t="s">
        <v>69</v>
      </c>
      <c r="BP431">
        <v>19</v>
      </c>
      <c r="BQ431" t="s">
        <v>9410</v>
      </c>
      <c r="BR431" t="s">
        <v>8573</v>
      </c>
      <c r="BS431" t="s">
        <v>8594</v>
      </c>
      <c r="BT431" t="s">
        <v>14476</v>
      </c>
      <c r="BU431" t="s">
        <v>693</v>
      </c>
      <c r="BV431" t="s">
        <v>69</v>
      </c>
      <c r="BW431" t="s">
        <v>8931</v>
      </c>
      <c r="BX431" t="s">
        <v>69</v>
      </c>
      <c r="BY431" t="s">
        <v>69</v>
      </c>
      <c r="BZ431" t="s">
        <v>8526</v>
      </c>
      <c r="CA431" t="str">
        <f>HYPERLINK("https%3A%2F%2Fwww.webofscience.com%2Fwos%2Fwoscc%2Ffull-record%2FWOS:000570761200003","View Full Record in Web of Science")</f>
        <v>View Full Record in Web of Science</v>
      </c>
    </row>
    <row r="432" spans="2:79" x14ac:dyDescent="0.3">
      <c r="B432" t="s">
        <v>8495</v>
      </c>
      <c r="D432" s="12" t="s">
        <v>32970</v>
      </c>
      <c r="H432" t="s">
        <v>67</v>
      </c>
      <c r="I432" t="s">
        <v>7629</v>
      </c>
      <c r="J432" t="s">
        <v>69</v>
      </c>
      <c r="K432" t="s">
        <v>69</v>
      </c>
      <c r="L432" t="s">
        <v>69</v>
      </c>
      <c r="M432" s="3" t="s">
        <v>7629</v>
      </c>
      <c r="N432" t="s">
        <v>69</v>
      </c>
      <c r="O432" t="s">
        <v>69</v>
      </c>
      <c r="P432" s="2" t="s">
        <v>7630</v>
      </c>
      <c r="Q432" t="s">
        <v>7631</v>
      </c>
      <c r="R432" t="s">
        <v>69</v>
      </c>
      <c r="S432" t="s">
        <v>69</v>
      </c>
      <c r="T432" t="s">
        <v>8505</v>
      </c>
      <c r="U432" t="s">
        <v>8506</v>
      </c>
      <c r="V432" t="s">
        <v>69</v>
      </c>
      <c r="W432" t="s">
        <v>69</v>
      </c>
      <c r="X432" t="s">
        <v>69</v>
      </c>
      <c r="Y432" t="s">
        <v>69</v>
      </c>
      <c r="Z432" t="s">
        <v>69</v>
      </c>
      <c r="AA432" t="s">
        <v>32852</v>
      </c>
      <c r="AB432" t="s">
        <v>32853</v>
      </c>
      <c r="AC432" t="s">
        <v>7632</v>
      </c>
      <c r="AD432" t="s">
        <v>69</v>
      </c>
      <c r="AE432" t="s">
        <v>69</v>
      </c>
      <c r="AF432" t="s">
        <v>32854</v>
      </c>
      <c r="AG432" t="s">
        <v>69</v>
      </c>
      <c r="AH432" t="s">
        <v>69</v>
      </c>
      <c r="AI432" t="s">
        <v>69</v>
      </c>
      <c r="AJ432" t="s">
        <v>69</v>
      </c>
      <c r="AK432" t="s">
        <v>69</v>
      </c>
      <c r="AL432" t="s">
        <v>69</v>
      </c>
      <c r="AM432" t="s">
        <v>69</v>
      </c>
      <c r="AN432">
        <v>35</v>
      </c>
      <c r="AO432">
        <v>12</v>
      </c>
      <c r="AP432">
        <v>12</v>
      </c>
      <c r="AQ432">
        <v>0</v>
      </c>
      <c r="AR432">
        <v>2</v>
      </c>
      <c r="AS432" t="s">
        <v>32595</v>
      </c>
      <c r="AT432" t="s">
        <v>8693</v>
      </c>
      <c r="AU432" t="s">
        <v>32596</v>
      </c>
      <c r="AV432" t="s">
        <v>7633</v>
      </c>
      <c r="AW432" t="s">
        <v>69</v>
      </c>
      <c r="AX432" t="s">
        <v>69</v>
      </c>
      <c r="AY432" t="s">
        <v>32855</v>
      </c>
      <c r="AZ432" t="s">
        <v>32856</v>
      </c>
      <c r="BA432" t="s">
        <v>155</v>
      </c>
      <c r="BB432">
        <v>1992</v>
      </c>
      <c r="BC432">
        <v>5</v>
      </c>
      <c r="BD432">
        <v>3</v>
      </c>
      <c r="BE432" t="s">
        <v>69</v>
      </c>
      <c r="BF432" t="s">
        <v>69</v>
      </c>
      <c r="BG432" t="s">
        <v>69</v>
      </c>
      <c r="BH432" t="s">
        <v>69</v>
      </c>
      <c r="BI432">
        <v>237</v>
      </c>
      <c r="BJ432">
        <v>249</v>
      </c>
      <c r="BK432" t="s">
        <v>69</v>
      </c>
      <c r="BL432" t="s">
        <v>7634</v>
      </c>
      <c r="BM432" t="str">
        <f>HYPERLINK("http://dx.doi.org/10.1007/BF01059842","http://dx.doi.org/10.1007/BF01059842")</f>
        <v>http://dx.doi.org/10.1007/BF01059842</v>
      </c>
      <c r="BN432" t="s">
        <v>69</v>
      </c>
      <c r="BO432" t="s">
        <v>69</v>
      </c>
      <c r="BP432">
        <v>13</v>
      </c>
      <c r="BQ432" t="s">
        <v>9410</v>
      </c>
      <c r="BR432" t="s">
        <v>12201</v>
      </c>
      <c r="BS432" t="s">
        <v>8594</v>
      </c>
      <c r="BT432" t="s">
        <v>32857</v>
      </c>
      <c r="BU432" t="s">
        <v>7635</v>
      </c>
      <c r="BV432" t="s">
        <v>69</v>
      </c>
      <c r="BW432" t="s">
        <v>69</v>
      </c>
      <c r="BX432" t="s">
        <v>69</v>
      </c>
      <c r="BY432" t="s">
        <v>69</v>
      </c>
      <c r="BZ432" t="s">
        <v>8526</v>
      </c>
      <c r="CA432" t="str">
        <f>HYPERLINK("https%3A%2F%2Fwww.webofscience.com%2Fwos%2Fwoscc%2Ffull-record%2FWOS:A1992HY44900003","View Full Record in Web of Science")</f>
        <v>View Full Record in Web of Science</v>
      </c>
    </row>
    <row r="433" spans="2:79" ht="12.5" x14ac:dyDescent="0.25">
      <c r="B433" t="s">
        <v>8495</v>
      </c>
      <c r="D433" s="22" t="s">
        <v>32931</v>
      </c>
      <c r="E433" s="7"/>
      <c r="F433" s="7"/>
      <c r="G433" s="7"/>
      <c r="H433" t="s">
        <v>67</v>
      </c>
      <c r="I433" t="s">
        <v>29439</v>
      </c>
      <c r="J433" t="s">
        <v>69</v>
      </c>
      <c r="K433" t="s">
        <v>69</v>
      </c>
      <c r="L433" t="s">
        <v>69</v>
      </c>
      <c r="M433" t="s">
        <v>29440</v>
      </c>
      <c r="N433" t="s">
        <v>69</v>
      </c>
      <c r="O433" t="s">
        <v>69</v>
      </c>
      <c r="P433" t="s">
        <v>29441</v>
      </c>
      <c r="Q433" t="s">
        <v>29442</v>
      </c>
      <c r="R433" t="s">
        <v>69</v>
      </c>
      <c r="S433" t="s">
        <v>69</v>
      </c>
      <c r="T433" t="s">
        <v>25259</v>
      </c>
      <c r="U433" t="s">
        <v>8506</v>
      </c>
      <c r="V433" t="s">
        <v>69</v>
      </c>
      <c r="W433" t="s">
        <v>69</v>
      </c>
      <c r="X433" t="s">
        <v>69</v>
      </c>
      <c r="Y433" t="s">
        <v>69</v>
      </c>
      <c r="Z433" t="s">
        <v>69</v>
      </c>
      <c r="AA433" t="s">
        <v>69</v>
      </c>
      <c r="AB433" t="s">
        <v>69</v>
      </c>
      <c r="AC433" t="s">
        <v>29443</v>
      </c>
      <c r="AD433" t="s">
        <v>29444</v>
      </c>
      <c r="AE433" t="s">
        <v>69</v>
      </c>
      <c r="AF433" t="s">
        <v>29445</v>
      </c>
      <c r="AG433" t="s">
        <v>69</v>
      </c>
      <c r="AH433" t="s">
        <v>69</v>
      </c>
      <c r="AI433" t="s">
        <v>69</v>
      </c>
      <c r="AJ433" t="s">
        <v>69</v>
      </c>
      <c r="AK433" t="s">
        <v>69</v>
      </c>
      <c r="AL433" t="s">
        <v>69</v>
      </c>
      <c r="AM433" t="s">
        <v>69</v>
      </c>
      <c r="AN433">
        <v>164</v>
      </c>
      <c r="AO433">
        <v>2</v>
      </c>
      <c r="AP433">
        <v>2</v>
      </c>
      <c r="AQ433">
        <v>0</v>
      </c>
      <c r="AR433">
        <v>0</v>
      </c>
      <c r="AS433" t="s">
        <v>29446</v>
      </c>
      <c r="AT433" t="s">
        <v>13701</v>
      </c>
      <c r="AU433" t="s">
        <v>29447</v>
      </c>
      <c r="AV433" t="s">
        <v>29448</v>
      </c>
      <c r="AW433" t="s">
        <v>29449</v>
      </c>
      <c r="AX433" t="s">
        <v>69</v>
      </c>
      <c r="AY433" t="s">
        <v>29450</v>
      </c>
      <c r="AZ433" t="s">
        <v>29451</v>
      </c>
      <c r="BA433" t="s">
        <v>69</v>
      </c>
      <c r="BB433">
        <v>2008</v>
      </c>
      <c r="BC433">
        <v>57</v>
      </c>
      <c r="BD433">
        <v>4</v>
      </c>
      <c r="BE433" t="s">
        <v>69</v>
      </c>
      <c r="BF433" t="s">
        <v>69</v>
      </c>
      <c r="BG433" t="s">
        <v>69</v>
      </c>
      <c r="BH433" t="s">
        <v>69</v>
      </c>
      <c r="BI433">
        <v>175</v>
      </c>
      <c r="BJ433">
        <v>188</v>
      </c>
      <c r="BK433" t="s">
        <v>69</v>
      </c>
      <c r="BL433" t="s">
        <v>69</v>
      </c>
      <c r="BM433" t="s">
        <v>69</v>
      </c>
      <c r="BN433" t="s">
        <v>69</v>
      </c>
      <c r="BO433" t="s">
        <v>69</v>
      </c>
      <c r="BP433">
        <v>14</v>
      </c>
      <c r="BQ433" t="s">
        <v>29452</v>
      </c>
      <c r="BR433" t="s">
        <v>8573</v>
      </c>
      <c r="BS433" t="s">
        <v>29453</v>
      </c>
      <c r="BT433" t="s">
        <v>29454</v>
      </c>
      <c r="BU433" t="s">
        <v>29455</v>
      </c>
      <c r="BV433" t="s">
        <v>69</v>
      </c>
      <c r="BW433" t="s">
        <v>69</v>
      </c>
      <c r="BX433" t="s">
        <v>69</v>
      </c>
      <c r="BY433" t="s">
        <v>69</v>
      </c>
      <c r="BZ433" t="s">
        <v>8526</v>
      </c>
      <c r="CA433" t="str">
        <f>HYPERLINK("https%3A%2F%2Fwww.webofscience.com%2Fwos%2Fwoscc%2Ffull-record%2FWOS:000421152800002","View Full Record in Web of Science")</f>
        <v>View Full Record in Web of Science</v>
      </c>
    </row>
    <row r="434" spans="2:79" ht="12.5" x14ac:dyDescent="0.25">
      <c r="B434" t="s">
        <v>8495</v>
      </c>
      <c r="D434" s="7" t="s">
        <v>32933</v>
      </c>
      <c r="E434" s="7"/>
      <c r="F434" s="7"/>
      <c r="G434" s="7"/>
      <c r="H434" t="s">
        <v>67</v>
      </c>
      <c r="I434" t="s">
        <v>2806</v>
      </c>
      <c r="J434" t="s">
        <v>69</v>
      </c>
      <c r="K434" t="s">
        <v>69</v>
      </c>
      <c r="L434" t="s">
        <v>69</v>
      </c>
      <c r="M434" t="s">
        <v>2807</v>
      </c>
      <c r="N434" t="s">
        <v>69</v>
      </c>
      <c r="O434" t="s">
        <v>69</v>
      </c>
      <c r="P434" t="s">
        <v>2808</v>
      </c>
      <c r="Q434" t="s">
        <v>2809</v>
      </c>
      <c r="R434" t="s">
        <v>69</v>
      </c>
      <c r="S434" t="s">
        <v>69</v>
      </c>
      <c r="T434" t="s">
        <v>8505</v>
      </c>
      <c r="U434" t="s">
        <v>8442</v>
      </c>
      <c r="V434" t="s">
        <v>69</v>
      </c>
      <c r="W434" t="s">
        <v>69</v>
      </c>
      <c r="X434" t="s">
        <v>69</v>
      </c>
      <c r="Y434" t="s">
        <v>69</v>
      </c>
      <c r="Z434" t="s">
        <v>69</v>
      </c>
      <c r="AA434" t="s">
        <v>21331</v>
      </c>
      <c r="AB434" t="s">
        <v>21332</v>
      </c>
      <c r="AC434" t="s">
        <v>2810</v>
      </c>
      <c r="AD434" t="s">
        <v>21333</v>
      </c>
      <c r="AE434" t="s">
        <v>69</v>
      </c>
      <c r="AF434" t="s">
        <v>21334</v>
      </c>
      <c r="AG434" t="s">
        <v>21335</v>
      </c>
      <c r="AH434" t="s">
        <v>69</v>
      </c>
      <c r="AI434" t="s">
        <v>21336</v>
      </c>
      <c r="AJ434" t="s">
        <v>21337</v>
      </c>
      <c r="AK434" t="s">
        <v>21338</v>
      </c>
      <c r="AL434" t="s">
        <v>21339</v>
      </c>
      <c r="AM434" t="s">
        <v>69</v>
      </c>
      <c r="AN434">
        <v>175</v>
      </c>
      <c r="AO434">
        <v>71</v>
      </c>
      <c r="AP434">
        <v>73</v>
      </c>
      <c r="AQ434">
        <v>11</v>
      </c>
      <c r="AR434">
        <v>139</v>
      </c>
      <c r="AS434" t="s">
        <v>21340</v>
      </c>
      <c r="AT434" t="s">
        <v>21341</v>
      </c>
      <c r="AU434" t="s">
        <v>21342</v>
      </c>
      <c r="AV434" t="s">
        <v>2811</v>
      </c>
      <c r="AW434" t="s">
        <v>2812</v>
      </c>
      <c r="AX434" t="s">
        <v>69</v>
      </c>
      <c r="AY434" t="s">
        <v>21343</v>
      </c>
      <c r="AZ434" t="s">
        <v>21344</v>
      </c>
      <c r="BA434" t="s">
        <v>255</v>
      </c>
      <c r="BB434">
        <v>2016</v>
      </c>
      <c r="BC434">
        <v>36</v>
      </c>
      <c r="BD434">
        <v>3</v>
      </c>
      <c r="BE434" t="s">
        <v>69</v>
      </c>
      <c r="BF434" t="s">
        <v>69</v>
      </c>
      <c r="BG434" t="s">
        <v>69</v>
      </c>
      <c r="BH434" t="s">
        <v>69</v>
      </c>
      <c r="BI434" t="s">
        <v>69</v>
      </c>
      <c r="BJ434" t="s">
        <v>69</v>
      </c>
      <c r="BK434">
        <v>53</v>
      </c>
      <c r="BL434" t="s">
        <v>2813</v>
      </c>
      <c r="BM434" t="str">
        <f>HYPERLINK("http://dx.doi.org/10.1007/s13593-016-0390-x","http://dx.doi.org/10.1007/s13593-016-0390-x")</f>
        <v>http://dx.doi.org/10.1007/s13593-016-0390-x</v>
      </c>
      <c r="BN434" t="s">
        <v>69</v>
      </c>
      <c r="BO434" t="s">
        <v>69</v>
      </c>
      <c r="BP434">
        <v>21</v>
      </c>
      <c r="BQ434" t="s">
        <v>21345</v>
      </c>
      <c r="BR434" t="s">
        <v>8523</v>
      </c>
      <c r="BS434" t="s">
        <v>21346</v>
      </c>
      <c r="BT434" t="s">
        <v>21347</v>
      </c>
      <c r="BU434" t="s">
        <v>2814</v>
      </c>
      <c r="BV434" t="s">
        <v>69</v>
      </c>
      <c r="BW434" t="s">
        <v>11793</v>
      </c>
      <c r="BX434" t="s">
        <v>69</v>
      </c>
      <c r="BY434" t="s">
        <v>69</v>
      </c>
      <c r="BZ434" t="s">
        <v>8526</v>
      </c>
      <c r="CA434" t="str">
        <f>HYPERLINK("https%3A%2F%2Fwww.webofscience.com%2Fwos%2Fwoscc%2Ffull-record%2FWOS:000384735600013","View Full Record in Web of Science")</f>
        <v>View Full Record in Web of Science</v>
      </c>
    </row>
    <row r="435" spans="2:79" ht="12.5" x14ac:dyDescent="0.25">
      <c r="B435" t="s">
        <v>8495</v>
      </c>
      <c r="D435" s="22" t="s">
        <v>32931</v>
      </c>
      <c r="E435" s="7"/>
      <c r="F435" s="7"/>
      <c r="G435" s="7"/>
      <c r="H435" t="s">
        <v>67</v>
      </c>
      <c r="I435" t="s">
        <v>29138</v>
      </c>
      <c r="J435" t="s">
        <v>69</v>
      </c>
      <c r="K435" t="s">
        <v>69</v>
      </c>
      <c r="L435" t="s">
        <v>69</v>
      </c>
      <c r="M435" t="s">
        <v>29139</v>
      </c>
      <c r="N435" t="s">
        <v>69</v>
      </c>
      <c r="O435" t="s">
        <v>69</v>
      </c>
      <c r="P435" t="s">
        <v>29140</v>
      </c>
      <c r="Q435" t="s">
        <v>29141</v>
      </c>
      <c r="R435" t="s">
        <v>69</v>
      </c>
      <c r="S435" t="s">
        <v>69</v>
      </c>
      <c r="T435" t="s">
        <v>12534</v>
      </c>
      <c r="U435" t="s">
        <v>8506</v>
      </c>
      <c r="V435" t="s">
        <v>69</v>
      </c>
      <c r="W435" t="s">
        <v>69</v>
      </c>
      <c r="X435" t="s">
        <v>69</v>
      </c>
      <c r="Y435" t="s">
        <v>69</v>
      </c>
      <c r="Z435" t="s">
        <v>69</v>
      </c>
      <c r="AA435" t="s">
        <v>29142</v>
      </c>
      <c r="AB435" t="s">
        <v>69</v>
      </c>
      <c r="AC435" t="s">
        <v>29143</v>
      </c>
      <c r="AD435" t="s">
        <v>29144</v>
      </c>
      <c r="AE435" t="s">
        <v>69</v>
      </c>
      <c r="AF435" t="s">
        <v>29145</v>
      </c>
      <c r="AG435" t="s">
        <v>29146</v>
      </c>
      <c r="AH435" t="s">
        <v>69</v>
      </c>
      <c r="AI435" t="s">
        <v>69</v>
      </c>
      <c r="AJ435" t="s">
        <v>69</v>
      </c>
      <c r="AK435" t="s">
        <v>69</v>
      </c>
      <c r="AL435" t="s">
        <v>69</v>
      </c>
      <c r="AM435" t="s">
        <v>69</v>
      </c>
      <c r="AN435">
        <v>5</v>
      </c>
      <c r="AO435">
        <v>1</v>
      </c>
      <c r="AP435">
        <v>1</v>
      </c>
      <c r="AQ435">
        <v>0</v>
      </c>
      <c r="AR435">
        <v>7</v>
      </c>
      <c r="AS435" t="s">
        <v>29147</v>
      </c>
      <c r="AT435" t="s">
        <v>29148</v>
      </c>
      <c r="AU435" t="s">
        <v>29149</v>
      </c>
      <c r="AV435" t="s">
        <v>29150</v>
      </c>
      <c r="AW435" t="s">
        <v>69</v>
      </c>
      <c r="AX435" t="s">
        <v>69</v>
      </c>
      <c r="AY435" t="s">
        <v>29151</v>
      </c>
      <c r="AZ435" t="s">
        <v>29152</v>
      </c>
      <c r="BA435" t="s">
        <v>255</v>
      </c>
      <c r="BB435">
        <v>2008</v>
      </c>
      <c r="BC435">
        <v>63</v>
      </c>
      <c r="BD435">
        <v>9</v>
      </c>
      <c r="BE435" t="s">
        <v>69</v>
      </c>
      <c r="BF435" t="s">
        <v>69</v>
      </c>
      <c r="BG435" t="s">
        <v>69</v>
      </c>
      <c r="BH435" t="s">
        <v>69</v>
      </c>
      <c r="BI435">
        <v>501</v>
      </c>
      <c r="BJ435">
        <v>506</v>
      </c>
      <c r="BK435" t="s">
        <v>69</v>
      </c>
      <c r="BL435" t="s">
        <v>69</v>
      </c>
      <c r="BM435" t="s">
        <v>69</v>
      </c>
      <c r="BN435" t="s">
        <v>69</v>
      </c>
      <c r="BO435" t="s">
        <v>69</v>
      </c>
      <c r="BP435">
        <v>6</v>
      </c>
      <c r="BQ435" t="s">
        <v>14769</v>
      </c>
      <c r="BR435" t="s">
        <v>8548</v>
      </c>
      <c r="BS435" t="s">
        <v>14769</v>
      </c>
      <c r="BT435" t="s">
        <v>29153</v>
      </c>
      <c r="BU435" t="s">
        <v>29154</v>
      </c>
      <c r="BV435" t="s">
        <v>69</v>
      </c>
      <c r="BW435" t="s">
        <v>69</v>
      </c>
      <c r="BX435" t="s">
        <v>69</v>
      </c>
      <c r="BY435" t="s">
        <v>69</v>
      </c>
      <c r="BZ435" t="s">
        <v>8526</v>
      </c>
      <c r="CA435" t="str">
        <f>HYPERLINK("https%3A%2F%2Fwww.webofscience.com%2Fwos%2Fwoscc%2Ffull-record%2FWOS:000259843800006","View Full Record in Web of Science")</f>
        <v>View Full Record in Web of Science</v>
      </c>
    </row>
    <row r="436" spans="2:79" x14ac:dyDescent="0.3">
      <c r="B436" t="s">
        <v>8495</v>
      </c>
      <c r="D436" s="9" t="s">
        <v>32954</v>
      </c>
      <c r="F436" s="9" t="s">
        <v>8491</v>
      </c>
      <c r="G436" s="9" t="s">
        <v>8490</v>
      </c>
      <c r="H436" t="s">
        <v>67</v>
      </c>
      <c r="I436" t="s">
        <v>28947</v>
      </c>
      <c r="J436" t="s">
        <v>69</v>
      </c>
      <c r="K436" t="s">
        <v>69</v>
      </c>
      <c r="L436" t="s">
        <v>69</v>
      </c>
      <c r="M436" t="s">
        <v>28948</v>
      </c>
      <c r="N436" t="s">
        <v>69</v>
      </c>
      <c r="O436" t="s">
        <v>69</v>
      </c>
      <c r="P436" t="s">
        <v>28949</v>
      </c>
      <c r="Q436" t="s">
        <v>28950</v>
      </c>
      <c r="R436" t="s">
        <v>69</v>
      </c>
      <c r="S436" t="s">
        <v>69</v>
      </c>
      <c r="T436" t="s">
        <v>8505</v>
      </c>
      <c r="U436" t="s">
        <v>8506</v>
      </c>
      <c r="V436" t="s">
        <v>69</v>
      </c>
      <c r="W436" t="s">
        <v>69</v>
      </c>
      <c r="X436" t="s">
        <v>69</v>
      </c>
      <c r="Y436" t="s">
        <v>69</v>
      </c>
      <c r="Z436" t="s">
        <v>69</v>
      </c>
      <c r="AA436" t="s">
        <v>28951</v>
      </c>
      <c r="AB436" t="s">
        <v>28952</v>
      </c>
      <c r="AC436" t="s">
        <v>28953</v>
      </c>
      <c r="AD436" t="s">
        <v>28954</v>
      </c>
      <c r="AE436" t="s">
        <v>69</v>
      </c>
      <c r="AF436" t="s">
        <v>28955</v>
      </c>
      <c r="AG436" t="s">
        <v>28956</v>
      </c>
      <c r="AH436" t="s">
        <v>69</v>
      </c>
      <c r="AI436" t="s">
        <v>69</v>
      </c>
      <c r="AJ436" t="s">
        <v>69</v>
      </c>
      <c r="AK436" t="s">
        <v>69</v>
      </c>
      <c r="AL436" t="s">
        <v>69</v>
      </c>
      <c r="AM436" t="s">
        <v>69</v>
      </c>
      <c r="AN436">
        <v>40</v>
      </c>
      <c r="AO436">
        <v>20</v>
      </c>
      <c r="AP436">
        <v>22</v>
      </c>
      <c r="AQ436">
        <v>0</v>
      </c>
      <c r="AR436">
        <v>3</v>
      </c>
      <c r="AS436" t="s">
        <v>8586</v>
      </c>
      <c r="AT436" t="s">
        <v>8587</v>
      </c>
      <c r="AU436" t="s">
        <v>8588</v>
      </c>
      <c r="AV436" t="s">
        <v>28957</v>
      </c>
      <c r="AW436" t="s">
        <v>28958</v>
      </c>
      <c r="AX436" t="s">
        <v>69</v>
      </c>
      <c r="AY436" t="s">
        <v>28959</v>
      </c>
      <c r="AZ436" t="s">
        <v>28960</v>
      </c>
      <c r="BA436" t="s">
        <v>69</v>
      </c>
      <c r="BB436">
        <v>2009</v>
      </c>
      <c r="BC436">
        <v>27</v>
      </c>
      <c r="BD436">
        <v>5</v>
      </c>
      <c r="BE436" t="s">
        <v>69</v>
      </c>
      <c r="BF436" t="s">
        <v>69</v>
      </c>
      <c r="BG436" t="s">
        <v>69</v>
      </c>
      <c r="BH436" t="s">
        <v>69</v>
      </c>
      <c r="BI436">
        <v>666</v>
      </c>
      <c r="BJ436">
        <v>680</v>
      </c>
      <c r="BK436" t="s">
        <v>69</v>
      </c>
      <c r="BL436" t="s">
        <v>28961</v>
      </c>
      <c r="BM436" t="str">
        <f>HYPERLINK("http://dx.doi.org/10.1108/02634500910977881","http://dx.doi.org/10.1108/02634500910977881")</f>
        <v>http://dx.doi.org/10.1108/02634500910977881</v>
      </c>
      <c r="BN436" t="s">
        <v>69</v>
      </c>
      <c r="BO436" t="s">
        <v>69</v>
      </c>
      <c r="BP436">
        <v>15</v>
      </c>
      <c r="BQ436" t="s">
        <v>8444</v>
      </c>
      <c r="BR436" t="s">
        <v>8573</v>
      </c>
      <c r="BS436" t="s">
        <v>8594</v>
      </c>
      <c r="BT436" t="s">
        <v>28962</v>
      </c>
      <c r="BU436" t="s">
        <v>28963</v>
      </c>
      <c r="BV436" t="s">
        <v>69</v>
      </c>
      <c r="BW436" t="s">
        <v>69</v>
      </c>
      <c r="BX436" t="s">
        <v>69</v>
      </c>
      <c r="BY436" t="s">
        <v>69</v>
      </c>
      <c r="BZ436" t="s">
        <v>8526</v>
      </c>
      <c r="CA436" t="str">
        <f>HYPERLINK("https%3A%2F%2Fwww.webofscience.com%2Fwos%2Fwoscc%2Ffull-record%2FWOS:000210759400006","View Full Record in Web of Science")</f>
        <v>View Full Record in Web of Science</v>
      </c>
    </row>
    <row r="437" spans="2:79" ht="12.5" x14ac:dyDescent="0.25">
      <c r="B437" t="s">
        <v>8495</v>
      </c>
      <c r="D437" s="7" t="s">
        <v>32933</v>
      </c>
      <c r="E437" s="7"/>
      <c r="F437" s="7"/>
      <c r="G437" s="7"/>
      <c r="H437" t="s">
        <v>67</v>
      </c>
      <c r="I437" t="s">
        <v>2425</v>
      </c>
      <c r="J437" t="s">
        <v>69</v>
      </c>
      <c r="K437" t="s">
        <v>69</v>
      </c>
      <c r="L437" t="s">
        <v>69</v>
      </c>
      <c r="M437" t="s">
        <v>2426</v>
      </c>
      <c r="N437" t="s">
        <v>69</v>
      </c>
      <c r="O437" t="s">
        <v>69</v>
      </c>
      <c r="P437" t="s">
        <v>2427</v>
      </c>
      <c r="Q437" t="s">
        <v>352</v>
      </c>
      <c r="R437" t="s">
        <v>69</v>
      </c>
      <c r="S437" t="s">
        <v>69</v>
      </c>
      <c r="T437" t="s">
        <v>8505</v>
      </c>
      <c r="U437" t="s">
        <v>8506</v>
      </c>
      <c r="V437" t="s">
        <v>69</v>
      </c>
      <c r="W437" t="s">
        <v>69</v>
      </c>
      <c r="X437" t="s">
        <v>69</v>
      </c>
      <c r="Y437" t="s">
        <v>69</v>
      </c>
      <c r="Z437" t="s">
        <v>69</v>
      </c>
      <c r="AA437" t="s">
        <v>19203</v>
      </c>
      <c r="AB437" t="s">
        <v>19204</v>
      </c>
      <c r="AC437" t="s">
        <v>2428</v>
      </c>
      <c r="AD437" t="s">
        <v>19205</v>
      </c>
      <c r="AE437" t="s">
        <v>69</v>
      </c>
      <c r="AF437" t="s">
        <v>19206</v>
      </c>
      <c r="AG437" t="s">
        <v>19207</v>
      </c>
      <c r="AH437" t="s">
        <v>19208</v>
      </c>
      <c r="AI437" t="s">
        <v>19209</v>
      </c>
      <c r="AJ437" t="s">
        <v>19210</v>
      </c>
      <c r="AK437" t="s">
        <v>19211</v>
      </c>
      <c r="AL437" t="s">
        <v>19212</v>
      </c>
      <c r="AM437" t="s">
        <v>69</v>
      </c>
      <c r="AN437">
        <v>55</v>
      </c>
      <c r="AO437">
        <v>8</v>
      </c>
      <c r="AP437">
        <v>8</v>
      </c>
      <c r="AQ437">
        <v>1</v>
      </c>
      <c r="AR437">
        <v>26</v>
      </c>
      <c r="AS437" t="s">
        <v>8924</v>
      </c>
      <c r="AT437" t="s">
        <v>8925</v>
      </c>
      <c r="AU437" t="s">
        <v>8926</v>
      </c>
      <c r="AV437" t="s">
        <v>69</v>
      </c>
      <c r="AW437" t="s">
        <v>354</v>
      </c>
      <c r="AX437" t="s">
        <v>69</v>
      </c>
      <c r="AY437" t="s">
        <v>8958</v>
      </c>
      <c r="AZ437" t="s">
        <v>8434</v>
      </c>
      <c r="BA437" t="s">
        <v>191</v>
      </c>
      <c r="BB437">
        <v>2018</v>
      </c>
      <c r="BC437">
        <v>10</v>
      </c>
      <c r="BD437">
        <v>2</v>
      </c>
      <c r="BE437" t="s">
        <v>69</v>
      </c>
      <c r="BF437" t="s">
        <v>69</v>
      </c>
      <c r="BG437" t="s">
        <v>69</v>
      </c>
      <c r="BH437" t="s">
        <v>69</v>
      </c>
      <c r="BI437" t="s">
        <v>69</v>
      </c>
      <c r="BJ437" t="s">
        <v>69</v>
      </c>
      <c r="BK437">
        <v>558</v>
      </c>
      <c r="BL437" t="s">
        <v>2429</v>
      </c>
      <c r="BM437" t="str">
        <f>HYPERLINK("http://dx.doi.org/10.3390/su10020558","http://dx.doi.org/10.3390/su10020558")</f>
        <v>http://dx.doi.org/10.3390/su10020558</v>
      </c>
      <c r="BN437" t="s">
        <v>69</v>
      </c>
      <c r="BO437" t="s">
        <v>69</v>
      </c>
      <c r="BP437">
        <v>17</v>
      </c>
      <c r="BQ437" t="s">
        <v>8960</v>
      </c>
      <c r="BR437" t="s">
        <v>8523</v>
      </c>
      <c r="BS437" t="s">
        <v>8961</v>
      </c>
      <c r="BT437" t="s">
        <v>19202</v>
      </c>
      <c r="BU437" t="s">
        <v>2430</v>
      </c>
      <c r="BV437" t="s">
        <v>69</v>
      </c>
      <c r="BW437" t="s">
        <v>8931</v>
      </c>
      <c r="BX437" t="s">
        <v>69</v>
      </c>
      <c r="BY437" t="s">
        <v>69</v>
      </c>
      <c r="BZ437" t="s">
        <v>8526</v>
      </c>
      <c r="CA437" t="str">
        <f>HYPERLINK("https%3A%2F%2Fwww.webofscience.com%2Fwos%2Fwoscc%2Ffull-record%2FWOS:000425943100281","View Full Record in Web of Science")</f>
        <v>View Full Record in Web of Science</v>
      </c>
    </row>
    <row r="438" spans="2:79" ht="12.5" x14ac:dyDescent="0.25">
      <c r="B438" t="s">
        <v>8495</v>
      </c>
      <c r="D438" s="22" t="s">
        <v>32931</v>
      </c>
      <c r="E438" s="7"/>
      <c r="F438" s="7"/>
      <c r="G438" s="7"/>
      <c r="H438" t="s">
        <v>67</v>
      </c>
      <c r="I438" t="s">
        <v>27450</v>
      </c>
      <c r="J438" t="s">
        <v>69</v>
      </c>
      <c r="K438" t="s">
        <v>69</v>
      </c>
      <c r="L438" t="s">
        <v>69</v>
      </c>
      <c r="M438" t="s">
        <v>27451</v>
      </c>
      <c r="N438" t="s">
        <v>69</v>
      </c>
      <c r="O438" t="s">
        <v>69</v>
      </c>
      <c r="P438" t="s">
        <v>27452</v>
      </c>
      <c r="Q438" t="s">
        <v>27453</v>
      </c>
      <c r="R438" t="s">
        <v>69</v>
      </c>
      <c r="S438" t="s">
        <v>69</v>
      </c>
      <c r="T438" t="s">
        <v>8505</v>
      </c>
      <c r="U438" t="s">
        <v>8506</v>
      </c>
      <c r="V438" t="s">
        <v>69</v>
      </c>
      <c r="W438" t="s">
        <v>69</v>
      </c>
      <c r="X438" t="s">
        <v>69</v>
      </c>
      <c r="Y438" t="s">
        <v>69</v>
      </c>
      <c r="Z438" t="s">
        <v>69</v>
      </c>
      <c r="AA438" t="s">
        <v>69</v>
      </c>
      <c r="AB438" t="s">
        <v>27454</v>
      </c>
      <c r="AC438" t="s">
        <v>27455</v>
      </c>
      <c r="AD438" t="s">
        <v>27456</v>
      </c>
      <c r="AE438" t="s">
        <v>69</v>
      </c>
      <c r="AF438" t="s">
        <v>27457</v>
      </c>
      <c r="AG438" t="s">
        <v>69</v>
      </c>
      <c r="AH438" t="s">
        <v>69</v>
      </c>
      <c r="AI438" t="s">
        <v>69</v>
      </c>
      <c r="AJ438" t="s">
        <v>69</v>
      </c>
      <c r="AK438" t="s">
        <v>69</v>
      </c>
      <c r="AL438" t="s">
        <v>69</v>
      </c>
      <c r="AM438" t="s">
        <v>69</v>
      </c>
      <c r="AN438">
        <v>18</v>
      </c>
      <c r="AO438">
        <v>0</v>
      </c>
      <c r="AP438">
        <v>0</v>
      </c>
      <c r="AQ438">
        <v>0</v>
      </c>
      <c r="AR438">
        <v>0</v>
      </c>
      <c r="AS438" t="s">
        <v>8762</v>
      </c>
      <c r="AT438" t="s">
        <v>8763</v>
      </c>
      <c r="AU438" t="s">
        <v>8764</v>
      </c>
      <c r="AV438" t="s">
        <v>27458</v>
      </c>
      <c r="AW438" t="s">
        <v>27459</v>
      </c>
      <c r="AX438" t="s">
        <v>69</v>
      </c>
      <c r="AY438" t="s">
        <v>27460</v>
      </c>
      <c r="AZ438" t="s">
        <v>27461</v>
      </c>
      <c r="BA438" t="s">
        <v>69</v>
      </c>
      <c r="BB438">
        <v>2011</v>
      </c>
      <c r="BC438">
        <v>78</v>
      </c>
      <c r="BD438">
        <v>2</v>
      </c>
      <c r="BE438" t="s">
        <v>69</v>
      </c>
      <c r="BF438" t="s">
        <v>69</v>
      </c>
      <c r="BG438" t="s">
        <v>69</v>
      </c>
      <c r="BH438" t="s">
        <v>69</v>
      </c>
      <c r="BI438">
        <v>195</v>
      </c>
      <c r="BJ438">
        <v>201</v>
      </c>
      <c r="BK438" t="s">
        <v>69</v>
      </c>
      <c r="BL438" t="s">
        <v>27462</v>
      </c>
      <c r="BM438" t="str">
        <f>HYPERLINK("http://dx.doi.org/10.1179/002436311803888339","http://dx.doi.org/10.1179/002436311803888339")</f>
        <v>http://dx.doi.org/10.1179/002436311803888339</v>
      </c>
      <c r="BN438" t="s">
        <v>69</v>
      </c>
      <c r="BO438" t="s">
        <v>69</v>
      </c>
      <c r="BP438">
        <v>7</v>
      </c>
      <c r="BQ438" t="s">
        <v>27463</v>
      </c>
      <c r="BR438" t="s">
        <v>8573</v>
      </c>
      <c r="BS438" t="s">
        <v>27463</v>
      </c>
      <c r="BT438" t="s">
        <v>27464</v>
      </c>
      <c r="BU438" t="s">
        <v>27465</v>
      </c>
      <c r="BV438">
        <v>30082943</v>
      </c>
      <c r="BW438" t="s">
        <v>10423</v>
      </c>
      <c r="BX438" t="s">
        <v>69</v>
      </c>
      <c r="BY438" t="s">
        <v>69</v>
      </c>
      <c r="BZ438" t="s">
        <v>8526</v>
      </c>
      <c r="CA438" t="str">
        <f>HYPERLINK("https%3A%2F%2Fwww.webofscience.com%2Fwos%2Fwoscc%2Ffull-record%2FWOS:000217882900007","View Full Record in Web of Science")</f>
        <v>View Full Record in Web of Science</v>
      </c>
    </row>
    <row r="439" spans="2:79" ht="12.5" x14ac:dyDescent="0.25">
      <c r="B439" t="s">
        <v>8495</v>
      </c>
      <c r="D439" s="22" t="s">
        <v>32931</v>
      </c>
      <c r="E439" s="7"/>
      <c r="F439" s="7"/>
      <c r="G439" s="7"/>
      <c r="H439" t="s">
        <v>67</v>
      </c>
      <c r="I439" t="s">
        <v>16328</v>
      </c>
      <c r="J439" t="s">
        <v>69</v>
      </c>
      <c r="K439" t="s">
        <v>69</v>
      </c>
      <c r="L439" t="s">
        <v>69</v>
      </c>
      <c r="M439" t="s">
        <v>16329</v>
      </c>
      <c r="N439" t="s">
        <v>69</v>
      </c>
      <c r="O439" t="s">
        <v>69</v>
      </c>
      <c r="P439" t="s">
        <v>16330</v>
      </c>
      <c r="Q439" t="s">
        <v>16331</v>
      </c>
      <c r="R439" t="s">
        <v>69</v>
      </c>
      <c r="S439" t="s">
        <v>69</v>
      </c>
      <c r="T439" t="s">
        <v>8505</v>
      </c>
      <c r="U439" t="s">
        <v>8506</v>
      </c>
      <c r="V439" t="s">
        <v>69</v>
      </c>
      <c r="W439" t="s">
        <v>69</v>
      </c>
      <c r="X439" t="s">
        <v>69</v>
      </c>
      <c r="Y439" t="s">
        <v>69</v>
      </c>
      <c r="Z439" t="s">
        <v>69</v>
      </c>
      <c r="AA439" t="s">
        <v>16332</v>
      </c>
      <c r="AB439" t="s">
        <v>16333</v>
      </c>
      <c r="AC439" t="s">
        <v>16334</v>
      </c>
      <c r="AD439" t="s">
        <v>16335</v>
      </c>
      <c r="AE439" t="s">
        <v>69</v>
      </c>
      <c r="AF439" t="s">
        <v>16336</v>
      </c>
      <c r="AG439" t="s">
        <v>16337</v>
      </c>
      <c r="AH439" t="s">
        <v>16338</v>
      </c>
      <c r="AI439" t="s">
        <v>16339</v>
      </c>
      <c r="AJ439" t="s">
        <v>69</v>
      </c>
      <c r="AK439" t="s">
        <v>69</v>
      </c>
      <c r="AL439" t="s">
        <v>69</v>
      </c>
      <c r="AM439" t="s">
        <v>69</v>
      </c>
      <c r="AN439">
        <v>24</v>
      </c>
      <c r="AO439">
        <v>1</v>
      </c>
      <c r="AP439">
        <v>1</v>
      </c>
      <c r="AQ439">
        <v>0</v>
      </c>
      <c r="AR439">
        <v>2</v>
      </c>
      <c r="AS439" t="s">
        <v>16340</v>
      </c>
      <c r="AT439" t="s">
        <v>16341</v>
      </c>
      <c r="AU439" t="s">
        <v>16342</v>
      </c>
      <c r="AV439" t="s">
        <v>16343</v>
      </c>
      <c r="AW439" t="s">
        <v>16344</v>
      </c>
      <c r="AX439" t="s">
        <v>69</v>
      </c>
      <c r="AY439" t="s">
        <v>16345</v>
      </c>
      <c r="AZ439" t="s">
        <v>16346</v>
      </c>
      <c r="BA439" t="s">
        <v>10381</v>
      </c>
      <c r="BB439">
        <v>2019</v>
      </c>
      <c r="BC439">
        <v>149</v>
      </c>
      <c r="BD439" t="s">
        <v>69</v>
      </c>
      <c r="BE439" t="s">
        <v>69</v>
      </c>
      <c r="BF439" t="s">
        <v>69</v>
      </c>
      <c r="BG439" t="s">
        <v>69</v>
      </c>
      <c r="BH439" t="s">
        <v>69</v>
      </c>
      <c r="BI439" t="s">
        <v>69</v>
      </c>
      <c r="BJ439" t="s">
        <v>69</v>
      </c>
      <c r="BK439" t="s">
        <v>16347</v>
      </c>
      <c r="BL439" t="s">
        <v>16348</v>
      </c>
      <c r="BM439" t="str">
        <f>HYPERLINK("http://dx.doi.org/10.4414/smw.2019.20147","http://dx.doi.org/10.4414/smw.2019.20147")</f>
        <v>http://dx.doi.org/10.4414/smw.2019.20147</v>
      </c>
      <c r="BN439" t="s">
        <v>69</v>
      </c>
      <c r="BO439" t="s">
        <v>69</v>
      </c>
      <c r="BP439">
        <v>7</v>
      </c>
      <c r="BQ439" t="s">
        <v>9450</v>
      </c>
      <c r="BR439" t="s">
        <v>8548</v>
      </c>
      <c r="BS439" t="s">
        <v>9451</v>
      </c>
      <c r="BT439" t="s">
        <v>16349</v>
      </c>
      <c r="BU439" t="s">
        <v>16350</v>
      </c>
      <c r="BV439">
        <v>31846510</v>
      </c>
      <c r="BW439" t="s">
        <v>9352</v>
      </c>
      <c r="BX439" t="s">
        <v>69</v>
      </c>
      <c r="BY439" t="s">
        <v>69</v>
      </c>
      <c r="BZ439" t="s">
        <v>8526</v>
      </c>
      <c r="CA439" t="str">
        <f>HYPERLINK("https%3A%2F%2Fwww.webofscience.com%2Fwos%2Fwoscc%2Ffull-record%2FWOS:000503440400003","View Full Record in Web of Science")</f>
        <v>View Full Record in Web of Science</v>
      </c>
    </row>
    <row r="440" spans="2:79" ht="12.5" x14ac:dyDescent="0.25">
      <c r="B440" t="s">
        <v>8495</v>
      </c>
      <c r="D440" s="7" t="s">
        <v>32933</v>
      </c>
      <c r="E440" s="7"/>
      <c r="F440" s="7"/>
      <c r="G440" s="7"/>
      <c r="H440" t="s">
        <v>67</v>
      </c>
      <c r="I440" t="s">
        <v>2847</v>
      </c>
      <c r="J440" t="s">
        <v>69</v>
      </c>
      <c r="K440" t="s">
        <v>69</v>
      </c>
      <c r="L440" t="s">
        <v>69</v>
      </c>
      <c r="M440" t="s">
        <v>2848</v>
      </c>
      <c r="N440" t="s">
        <v>69</v>
      </c>
      <c r="O440" t="s">
        <v>69</v>
      </c>
      <c r="P440" t="s">
        <v>2849</v>
      </c>
      <c r="Q440" t="s">
        <v>2850</v>
      </c>
      <c r="R440" t="s">
        <v>69</v>
      </c>
      <c r="S440" t="s">
        <v>69</v>
      </c>
      <c r="T440" t="s">
        <v>8505</v>
      </c>
      <c r="U440" t="s">
        <v>8506</v>
      </c>
      <c r="V440" t="s">
        <v>69</v>
      </c>
      <c r="W440" t="s">
        <v>69</v>
      </c>
      <c r="X440" t="s">
        <v>69</v>
      </c>
      <c r="Y440" t="s">
        <v>69</v>
      </c>
      <c r="Z440" t="s">
        <v>69</v>
      </c>
      <c r="AA440" t="s">
        <v>69</v>
      </c>
      <c r="AB440" t="s">
        <v>21602</v>
      </c>
      <c r="AC440" t="s">
        <v>2851</v>
      </c>
      <c r="AD440" t="s">
        <v>21603</v>
      </c>
      <c r="AE440" t="s">
        <v>69</v>
      </c>
      <c r="AF440" t="s">
        <v>21604</v>
      </c>
      <c r="AG440" t="s">
        <v>21605</v>
      </c>
      <c r="AH440" t="s">
        <v>21606</v>
      </c>
      <c r="AI440" t="s">
        <v>21607</v>
      </c>
      <c r="AJ440" t="s">
        <v>69</v>
      </c>
      <c r="AK440" t="s">
        <v>69</v>
      </c>
      <c r="AL440" t="s">
        <v>69</v>
      </c>
      <c r="AM440" t="s">
        <v>69</v>
      </c>
      <c r="AN440">
        <v>57</v>
      </c>
      <c r="AO440">
        <v>63</v>
      </c>
      <c r="AP440">
        <v>74</v>
      </c>
      <c r="AQ440">
        <v>3</v>
      </c>
      <c r="AR440">
        <v>41</v>
      </c>
      <c r="AS440" t="s">
        <v>17140</v>
      </c>
      <c r="AT440" t="s">
        <v>8517</v>
      </c>
      <c r="AU440" t="s">
        <v>17141</v>
      </c>
      <c r="AV440" t="s">
        <v>2852</v>
      </c>
      <c r="AW440" t="s">
        <v>2853</v>
      </c>
      <c r="AX440" t="s">
        <v>69</v>
      </c>
      <c r="AY440" t="s">
        <v>21608</v>
      </c>
      <c r="AZ440" t="s">
        <v>21609</v>
      </c>
      <c r="BA440" t="s">
        <v>155</v>
      </c>
      <c r="BB440">
        <v>2016</v>
      </c>
      <c r="BC440">
        <v>15</v>
      </c>
      <c r="BD440" t="s">
        <v>69</v>
      </c>
      <c r="BE440" t="s">
        <v>69</v>
      </c>
      <c r="BF440" t="s">
        <v>69</v>
      </c>
      <c r="BG440" t="s">
        <v>69</v>
      </c>
      <c r="BH440" t="s">
        <v>69</v>
      </c>
      <c r="BI440">
        <v>131</v>
      </c>
      <c r="BJ440">
        <v>138</v>
      </c>
      <c r="BK440" t="s">
        <v>69</v>
      </c>
      <c r="BL440" t="s">
        <v>2854</v>
      </c>
      <c r="BM440" t="str">
        <f>HYPERLINK("http://dx.doi.org/10.1016/j.cois.2016.04.012","http://dx.doi.org/10.1016/j.cois.2016.04.012")</f>
        <v>http://dx.doi.org/10.1016/j.cois.2016.04.012</v>
      </c>
      <c r="BN440" t="s">
        <v>69</v>
      </c>
      <c r="BO440" t="s">
        <v>69</v>
      </c>
      <c r="BP440">
        <v>8</v>
      </c>
      <c r="BQ440" t="s">
        <v>21610</v>
      </c>
      <c r="BR440" t="s">
        <v>8548</v>
      </c>
      <c r="BS440" t="s">
        <v>21611</v>
      </c>
      <c r="BT440" t="s">
        <v>21612</v>
      </c>
      <c r="BU440" t="s">
        <v>2855</v>
      </c>
      <c r="BV440">
        <v>27436743</v>
      </c>
      <c r="BW440" t="s">
        <v>69</v>
      </c>
      <c r="BX440" t="s">
        <v>69</v>
      </c>
      <c r="BY440" t="s">
        <v>69</v>
      </c>
      <c r="BZ440" t="s">
        <v>8526</v>
      </c>
      <c r="CA440" t="str">
        <f>HYPERLINK("https%3A%2F%2Fwww.webofscience.com%2Fwos%2Fwoscc%2Ffull-record%2FWOS:000378671000020","View Full Record in Web of Science")</f>
        <v>View Full Record in Web of Science</v>
      </c>
    </row>
    <row r="441" spans="2:79" ht="12.5" x14ac:dyDescent="0.25">
      <c r="B441" t="s">
        <v>8495</v>
      </c>
      <c r="D441" s="22" t="s">
        <v>32931</v>
      </c>
      <c r="E441" s="7"/>
      <c r="F441" s="7"/>
      <c r="G441" s="7"/>
      <c r="H441" t="s">
        <v>67</v>
      </c>
      <c r="I441" t="s">
        <v>22447</v>
      </c>
      <c r="J441" t="s">
        <v>69</v>
      </c>
      <c r="K441" t="s">
        <v>69</v>
      </c>
      <c r="L441" t="s">
        <v>69</v>
      </c>
      <c r="M441" t="s">
        <v>22448</v>
      </c>
      <c r="N441" t="s">
        <v>69</v>
      </c>
      <c r="O441" t="s">
        <v>69</v>
      </c>
      <c r="P441" t="s">
        <v>22449</v>
      </c>
      <c r="Q441" t="s">
        <v>12936</v>
      </c>
      <c r="R441" t="s">
        <v>69</v>
      </c>
      <c r="S441" t="s">
        <v>69</v>
      </c>
      <c r="T441" t="s">
        <v>12937</v>
      </c>
      <c r="U441" t="s">
        <v>8506</v>
      </c>
      <c r="V441" t="s">
        <v>69</v>
      </c>
      <c r="W441" t="s">
        <v>69</v>
      </c>
      <c r="X441" t="s">
        <v>69</v>
      </c>
      <c r="Y441" t="s">
        <v>69</v>
      </c>
      <c r="Z441" t="s">
        <v>69</v>
      </c>
      <c r="AA441" t="s">
        <v>22450</v>
      </c>
      <c r="AB441" t="s">
        <v>69</v>
      </c>
      <c r="AC441" t="s">
        <v>22451</v>
      </c>
      <c r="AD441" t="s">
        <v>22452</v>
      </c>
      <c r="AE441" t="s">
        <v>69</v>
      </c>
      <c r="AF441" t="s">
        <v>22453</v>
      </c>
      <c r="AG441" t="s">
        <v>22454</v>
      </c>
      <c r="AH441" t="s">
        <v>69</v>
      </c>
      <c r="AI441" t="s">
        <v>69</v>
      </c>
      <c r="AJ441" t="s">
        <v>69</v>
      </c>
      <c r="AK441" t="s">
        <v>69</v>
      </c>
      <c r="AL441" t="s">
        <v>69</v>
      </c>
      <c r="AM441" t="s">
        <v>69</v>
      </c>
      <c r="AN441">
        <v>15</v>
      </c>
      <c r="AO441">
        <v>2</v>
      </c>
      <c r="AP441">
        <v>2</v>
      </c>
      <c r="AQ441">
        <v>2</v>
      </c>
      <c r="AR441">
        <v>12</v>
      </c>
      <c r="AS441" t="s">
        <v>12943</v>
      </c>
      <c r="AT441" t="s">
        <v>10968</v>
      </c>
      <c r="AU441" t="s">
        <v>12944</v>
      </c>
      <c r="AV441" t="s">
        <v>12945</v>
      </c>
      <c r="AW441" t="s">
        <v>12946</v>
      </c>
      <c r="AX441" t="s">
        <v>69</v>
      </c>
      <c r="AY441" t="s">
        <v>12947</v>
      </c>
      <c r="AZ441" t="s">
        <v>12948</v>
      </c>
      <c r="BA441" t="s">
        <v>381</v>
      </c>
      <c r="BB441">
        <v>2015</v>
      </c>
      <c r="BC441">
        <v>58</v>
      </c>
      <c r="BD441">
        <v>10</v>
      </c>
      <c r="BE441" t="s">
        <v>69</v>
      </c>
      <c r="BF441" t="s">
        <v>69</v>
      </c>
      <c r="BG441" t="s">
        <v>69</v>
      </c>
      <c r="BH441" t="s">
        <v>69</v>
      </c>
      <c r="BI441">
        <v>923</v>
      </c>
      <c r="BJ441">
        <v>932</v>
      </c>
      <c r="BK441" t="s">
        <v>69</v>
      </c>
      <c r="BL441" t="s">
        <v>22455</v>
      </c>
      <c r="BM441" t="str">
        <f>HYPERLINK("http://dx.doi.org/10.5124/jkma.2015.58.10.923","http://dx.doi.org/10.5124/jkma.2015.58.10.923")</f>
        <v>http://dx.doi.org/10.5124/jkma.2015.58.10.923</v>
      </c>
      <c r="BN441" t="s">
        <v>69</v>
      </c>
      <c r="BO441" t="s">
        <v>69</v>
      </c>
      <c r="BP441">
        <v>10</v>
      </c>
      <c r="BQ441" t="s">
        <v>9450</v>
      </c>
      <c r="BR441" t="s">
        <v>8573</v>
      </c>
      <c r="BS441" t="s">
        <v>9451</v>
      </c>
      <c r="BT441" t="s">
        <v>22456</v>
      </c>
      <c r="BU441" t="s">
        <v>22457</v>
      </c>
      <c r="BV441" t="s">
        <v>69</v>
      </c>
      <c r="BW441" t="s">
        <v>12220</v>
      </c>
      <c r="BX441" t="s">
        <v>69</v>
      </c>
      <c r="BY441" t="s">
        <v>69</v>
      </c>
      <c r="BZ441" t="s">
        <v>8526</v>
      </c>
      <c r="CA441" t="str">
        <f>HYPERLINK("https%3A%2F%2Fwww.webofscience.com%2Fwos%2Fwoscc%2Ffull-record%2FWOS:000367981200011","View Full Record in Web of Science")</f>
        <v>View Full Record in Web of Science</v>
      </c>
    </row>
    <row r="442" spans="2:79" ht="12.5" x14ac:dyDescent="0.25">
      <c r="B442" t="s">
        <v>8495</v>
      </c>
      <c r="D442" s="22" t="s">
        <v>32931</v>
      </c>
      <c r="E442" s="7"/>
      <c r="F442" s="7"/>
      <c r="G442" s="7"/>
      <c r="H442" t="s">
        <v>67</v>
      </c>
      <c r="I442" t="s">
        <v>10484</v>
      </c>
      <c r="J442" t="s">
        <v>69</v>
      </c>
      <c r="K442" t="s">
        <v>69</v>
      </c>
      <c r="L442" t="s">
        <v>69</v>
      </c>
      <c r="M442" t="s">
        <v>10485</v>
      </c>
      <c r="N442" t="s">
        <v>69</v>
      </c>
      <c r="O442" t="s">
        <v>69</v>
      </c>
      <c r="P442" t="s">
        <v>10486</v>
      </c>
      <c r="Q442" t="s">
        <v>10487</v>
      </c>
      <c r="R442" t="s">
        <v>69</v>
      </c>
      <c r="S442" t="s">
        <v>69</v>
      </c>
      <c r="T442" t="s">
        <v>8505</v>
      </c>
      <c r="U442" t="s">
        <v>8506</v>
      </c>
      <c r="V442" t="s">
        <v>69</v>
      </c>
      <c r="W442" t="s">
        <v>69</v>
      </c>
      <c r="X442" t="s">
        <v>69</v>
      </c>
      <c r="Y442" t="s">
        <v>69</v>
      </c>
      <c r="Z442" t="s">
        <v>69</v>
      </c>
      <c r="AA442" t="s">
        <v>10488</v>
      </c>
      <c r="AB442" t="s">
        <v>10489</v>
      </c>
      <c r="AC442" t="s">
        <v>10490</v>
      </c>
      <c r="AD442" t="s">
        <v>10491</v>
      </c>
      <c r="AE442" t="s">
        <v>69</v>
      </c>
      <c r="AF442" t="s">
        <v>10492</v>
      </c>
      <c r="AG442" t="s">
        <v>10493</v>
      </c>
      <c r="AH442" t="s">
        <v>69</v>
      </c>
      <c r="AI442" t="s">
        <v>69</v>
      </c>
      <c r="AJ442" t="s">
        <v>10494</v>
      </c>
      <c r="AK442" t="s">
        <v>10494</v>
      </c>
      <c r="AL442" t="s">
        <v>10495</v>
      </c>
      <c r="AM442" t="s">
        <v>69</v>
      </c>
      <c r="AN442">
        <v>78</v>
      </c>
      <c r="AO442">
        <v>1</v>
      </c>
      <c r="AP442">
        <v>1</v>
      </c>
      <c r="AQ442">
        <v>4</v>
      </c>
      <c r="AR442">
        <v>4</v>
      </c>
      <c r="AS442" t="s">
        <v>8516</v>
      </c>
      <c r="AT442" t="s">
        <v>8517</v>
      </c>
      <c r="AU442" t="s">
        <v>8518</v>
      </c>
      <c r="AV442" t="s">
        <v>10496</v>
      </c>
      <c r="AW442" t="s">
        <v>10497</v>
      </c>
      <c r="AX442" t="s">
        <v>69</v>
      </c>
      <c r="AY442" t="s">
        <v>10498</v>
      </c>
      <c r="AZ442" t="s">
        <v>10499</v>
      </c>
      <c r="BA442" t="s">
        <v>373</v>
      </c>
      <c r="BB442">
        <v>2022</v>
      </c>
      <c r="BC442">
        <v>39</v>
      </c>
      <c r="BD442" t="s">
        <v>69</v>
      </c>
      <c r="BE442" t="s">
        <v>69</v>
      </c>
      <c r="BF442" t="s">
        <v>69</v>
      </c>
      <c r="BG442" t="s">
        <v>69</v>
      </c>
      <c r="BH442" t="s">
        <v>69</v>
      </c>
      <c r="BI442" t="s">
        <v>69</v>
      </c>
      <c r="BJ442" t="s">
        <v>69</v>
      </c>
      <c r="BK442">
        <v>100778</v>
      </c>
      <c r="BL442" t="s">
        <v>10500</v>
      </c>
      <c r="BM442" t="str">
        <f>HYPERLINK("http://dx.doi.org/10.1016/j.esr.2021.100778","http://dx.doi.org/10.1016/j.esr.2021.100778")</f>
        <v>http://dx.doi.org/10.1016/j.esr.2021.100778</v>
      </c>
      <c r="BN442" t="s">
        <v>69</v>
      </c>
      <c r="BO442" t="s">
        <v>10359</v>
      </c>
      <c r="BP442">
        <v>14</v>
      </c>
      <c r="BQ442" t="s">
        <v>9164</v>
      </c>
      <c r="BR442" t="s">
        <v>8523</v>
      </c>
      <c r="BS442" t="s">
        <v>9164</v>
      </c>
      <c r="BT442" t="s">
        <v>10501</v>
      </c>
      <c r="BU442" t="s">
        <v>10502</v>
      </c>
      <c r="BV442" t="s">
        <v>69</v>
      </c>
      <c r="BW442" t="s">
        <v>8931</v>
      </c>
      <c r="BX442" t="s">
        <v>69</v>
      </c>
      <c r="BY442" t="s">
        <v>69</v>
      </c>
      <c r="BZ442" t="s">
        <v>8526</v>
      </c>
      <c r="CA442" t="str">
        <f>HYPERLINK("https%3A%2F%2Fwww.webofscience.com%2Fwos%2Fwoscc%2Ffull-record%2FWOS:000743361100013","View Full Record in Web of Science")</f>
        <v>View Full Record in Web of Science</v>
      </c>
    </row>
    <row r="443" spans="2:79" ht="12.5" x14ac:dyDescent="0.25">
      <c r="B443" t="s">
        <v>8495</v>
      </c>
      <c r="D443" s="22" t="s">
        <v>32931</v>
      </c>
      <c r="E443" s="7"/>
      <c r="F443" s="7"/>
      <c r="G443" s="7"/>
      <c r="H443" t="s">
        <v>67</v>
      </c>
      <c r="I443" t="s">
        <v>11635</v>
      </c>
      <c r="J443" t="s">
        <v>69</v>
      </c>
      <c r="K443" t="s">
        <v>69</v>
      </c>
      <c r="L443" t="s">
        <v>69</v>
      </c>
      <c r="M443" t="s">
        <v>11636</v>
      </c>
      <c r="N443" t="s">
        <v>69</v>
      </c>
      <c r="O443" t="s">
        <v>69</v>
      </c>
      <c r="P443" t="s">
        <v>11637</v>
      </c>
      <c r="Q443" t="s">
        <v>11638</v>
      </c>
      <c r="R443" t="s">
        <v>69</v>
      </c>
      <c r="S443" t="s">
        <v>69</v>
      </c>
      <c r="T443" t="s">
        <v>8505</v>
      </c>
      <c r="U443" t="s">
        <v>8506</v>
      </c>
      <c r="V443" t="s">
        <v>69</v>
      </c>
      <c r="W443" t="s">
        <v>69</v>
      </c>
      <c r="X443" t="s">
        <v>69</v>
      </c>
      <c r="Y443" t="s">
        <v>69</v>
      </c>
      <c r="Z443" t="s">
        <v>69</v>
      </c>
      <c r="AA443" t="s">
        <v>11639</v>
      </c>
      <c r="AB443" t="s">
        <v>11640</v>
      </c>
      <c r="AC443" t="s">
        <v>11641</v>
      </c>
      <c r="AD443" t="s">
        <v>11642</v>
      </c>
      <c r="AE443" t="s">
        <v>69</v>
      </c>
      <c r="AF443" t="s">
        <v>11643</v>
      </c>
      <c r="AG443" t="s">
        <v>11644</v>
      </c>
      <c r="AH443" t="s">
        <v>11645</v>
      </c>
      <c r="AI443" t="s">
        <v>11646</v>
      </c>
      <c r="AJ443" t="s">
        <v>11647</v>
      </c>
      <c r="AK443" t="s">
        <v>11647</v>
      </c>
      <c r="AL443" t="s">
        <v>11648</v>
      </c>
      <c r="AM443" t="s">
        <v>69</v>
      </c>
      <c r="AN443">
        <v>38</v>
      </c>
      <c r="AO443">
        <v>0</v>
      </c>
      <c r="AP443">
        <v>0</v>
      </c>
      <c r="AQ443">
        <v>2</v>
      </c>
      <c r="AR443">
        <v>2</v>
      </c>
      <c r="AS443" t="s">
        <v>8539</v>
      </c>
      <c r="AT443" t="s">
        <v>8540</v>
      </c>
      <c r="AU443" t="s">
        <v>8541</v>
      </c>
      <c r="AV443" t="s">
        <v>11649</v>
      </c>
      <c r="AW443" t="s">
        <v>11650</v>
      </c>
      <c r="AX443" t="s">
        <v>69</v>
      </c>
      <c r="AY443" t="s">
        <v>11651</v>
      </c>
      <c r="AZ443" t="s">
        <v>11652</v>
      </c>
      <c r="BA443" t="s">
        <v>3297</v>
      </c>
      <c r="BB443">
        <v>2021</v>
      </c>
      <c r="BC443">
        <v>147</v>
      </c>
      <c r="BD443">
        <v>8</v>
      </c>
      <c r="BE443" t="s">
        <v>69</v>
      </c>
      <c r="BF443" t="s">
        <v>69</v>
      </c>
      <c r="BG443" t="s">
        <v>69</v>
      </c>
      <c r="BH443" t="s">
        <v>69</v>
      </c>
      <c r="BI443" t="s">
        <v>69</v>
      </c>
      <c r="BJ443" t="s">
        <v>69</v>
      </c>
      <c r="BK443">
        <v>5021008</v>
      </c>
      <c r="BL443" t="s">
        <v>11653</v>
      </c>
      <c r="BM443" t="str">
        <f>HYPERLINK("http://dx.doi.org/10.1061/(ASCE)WR.1943-5452.0001400","http://dx.doi.org/10.1061/(ASCE)WR.1943-5452.0001400")</f>
        <v>http://dx.doi.org/10.1061/(ASCE)WR.1943-5452.0001400</v>
      </c>
      <c r="BN443" t="s">
        <v>69</v>
      </c>
      <c r="BO443" t="s">
        <v>69</v>
      </c>
      <c r="BP443">
        <v>15</v>
      </c>
      <c r="BQ443" t="s">
        <v>9229</v>
      </c>
      <c r="BR443" t="s">
        <v>8548</v>
      </c>
      <c r="BS443" t="s">
        <v>9230</v>
      </c>
      <c r="BT443" t="s">
        <v>11654</v>
      </c>
      <c r="BU443" t="s">
        <v>11655</v>
      </c>
      <c r="BV443" t="s">
        <v>69</v>
      </c>
      <c r="BW443" t="s">
        <v>69</v>
      </c>
      <c r="BX443" t="s">
        <v>69</v>
      </c>
      <c r="BY443" t="s">
        <v>69</v>
      </c>
      <c r="BZ443" t="s">
        <v>8526</v>
      </c>
      <c r="CA443" t="str">
        <f>HYPERLINK("https%3A%2F%2Fwww.webofscience.com%2Fwos%2Fwoscc%2Ffull-record%2FWOS:000723764800017","View Full Record in Web of Science")</f>
        <v>View Full Record in Web of Science</v>
      </c>
    </row>
    <row r="444" spans="2:79" x14ac:dyDescent="0.3">
      <c r="B444" t="s">
        <v>8495</v>
      </c>
      <c r="D444" s="13" t="s">
        <v>32966</v>
      </c>
      <c r="H444" t="s">
        <v>67</v>
      </c>
      <c r="I444" t="s">
        <v>6832</v>
      </c>
      <c r="J444" t="s">
        <v>69</v>
      </c>
      <c r="K444" t="s">
        <v>69</v>
      </c>
      <c r="L444" t="s">
        <v>69</v>
      </c>
      <c r="M444" s="4" t="s">
        <v>6833</v>
      </c>
      <c r="N444" t="s">
        <v>69</v>
      </c>
      <c r="O444" t="s">
        <v>69</v>
      </c>
      <c r="P444" s="2" t="s">
        <v>6834</v>
      </c>
      <c r="Q444" t="s">
        <v>6835</v>
      </c>
      <c r="R444" t="s">
        <v>69</v>
      </c>
      <c r="S444" t="s">
        <v>69</v>
      </c>
      <c r="T444" t="s">
        <v>9357</v>
      </c>
      <c r="U444" t="s">
        <v>8506</v>
      </c>
      <c r="V444" t="s">
        <v>69</v>
      </c>
      <c r="W444" t="s">
        <v>69</v>
      </c>
      <c r="X444" t="s">
        <v>69</v>
      </c>
      <c r="Y444" t="s">
        <v>69</v>
      </c>
      <c r="Z444" t="s">
        <v>69</v>
      </c>
      <c r="AA444" t="s">
        <v>19589</v>
      </c>
      <c r="AB444" t="s">
        <v>69</v>
      </c>
      <c r="AC444" t="s">
        <v>6836</v>
      </c>
      <c r="AD444" t="s">
        <v>19590</v>
      </c>
      <c r="AE444" t="s">
        <v>69</v>
      </c>
      <c r="AF444" t="s">
        <v>19591</v>
      </c>
      <c r="AG444" t="s">
        <v>19592</v>
      </c>
      <c r="AH444" t="s">
        <v>6837</v>
      </c>
      <c r="AI444" t="s">
        <v>6838</v>
      </c>
      <c r="AJ444" t="s">
        <v>69</v>
      </c>
      <c r="AK444" t="s">
        <v>69</v>
      </c>
      <c r="AL444" t="s">
        <v>69</v>
      </c>
      <c r="AM444" t="s">
        <v>69</v>
      </c>
      <c r="AN444">
        <v>32</v>
      </c>
      <c r="AO444">
        <v>0</v>
      </c>
      <c r="AP444">
        <v>0</v>
      </c>
      <c r="AQ444">
        <v>1</v>
      </c>
      <c r="AR444">
        <v>11</v>
      </c>
      <c r="AS444" t="s">
        <v>19593</v>
      </c>
      <c r="AT444" t="s">
        <v>9367</v>
      </c>
      <c r="AU444" t="s">
        <v>19594</v>
      </c>
      <c r="AV444" t="s">
        <v>6839</v>
      </c>
      <c r="AW444" t="s">
        <v>6840</v>
      </c>
      <c r="AX444" t="s">
        <v>69</v>
      </c>
      <c r="AY444" t="s">
        <v>19595</v>
      </c>
      <c r="AZ444" t="s">
        <v>19596</v>
      </c>
      <c r="BA444" t="s">
        <v>69</v>
      </c>
      <c r="BB444">
        <v>2018</v>
      </c>
      <c r="BC444" t="s">
        <v>69</v>
      </c>
      <c r="BD444">
        <v>1</v>
      </c>
      <c r="BE444" t="s">
        <v>69</v>
      </c>
      <c r="BF444" t="s">
        <v>69</v>
      </c>
      <c r="BG444" t="s">
        <v>69</v>
      </c>
      <c r="BH444" t="s">
        <v>69</v>
      </c>
      <c r="BI444">
        <v>63</v>
      </c>
      <c r="BJ444">
        <v>93</v>
      </c>
      <c r="BK444" t="s">
        <v>69</v>
      </c>
      <c r="BL444" t="s">
        <v>6841</v>
      </c>
      <c r="BM444" t="str">
        <f>HYPERLINK("http://dx.doi.org/10.24833/2071-8160-2018-1-58-63-93","http://dx.doi.org/10.24833/2071-8160-2018-1-58-63-93")</f>
        <v>http://dx.doi.org/10.24833/2071-8160-2018-1-58-63-93</v>
      </c>
      <c r="BN444" t="s">
        <v>69</v>
      </c>
      <c r="BO444" t="s">
        <v>69</v>
      </c>
      <c r="BP444">
        <v>31</v>
      </c>
      <c r="BQ444" t="s">
        <v>9372</v>
      </c>
      <c r="BR444" t="s">
        <v>8573</v>
      </c>
      <c r="BS444" t="s">
        <v>9372</v>
      </c>
      <c r="BT444" t="s">
        <v>19597</v>
      </c>
      <c r="BU444" t="s">
        <v>6842</v>
      </c>
      <c r="BV444" t="s">
        <v>69</v>
      </c>
      <c r="BW444" t="s">
        <v>8931</v>
      </c>
      <c r="BX444" t="s">
        <v>69</v>
      </c>
      <c r="BY444" t="s">
        <v>69</v>
      </c>
      <c r="BZ444" t="s">
        <v>8526</v>
      </c>
      <c r="CA444" t="str">
        <f>HYPERLINK("https%3A%2F%2Fwww.webofscience.com%2Fwos%2Fwoscc%2Ffull-record%2FWOS:000428194300004","View Full Record in Web of Science")</f>
        <v>View Full Record in Web of Science</v>
      </c>
    </row>
    <row r="445" spans="2:79" ht="12.5" x14ac:dyDescent="0.25">
      <c r="B445" t="s">
        <v>8495</v>
      </c>
      <c r="D445" s="7" t="s">
        <v>32933</v>
      </c>
      <c r="E445" s="7"/>
      <c r="F445" s="7"/>
      <c r="G445" s="7"/>
      <c r="H445" t="s">
        <v>67</v>
      </c>
      <c r="I445" t="s">
        <v>6516</v>
      </c>
      <c r="J445" t="s">
        <v>69</v>
      </c>
      <c r="K445" t="s">
        <v>69</v>
      </c>
      <c r="L445" t="s">
        <v>69</v>
      </c>
      <c r="M445" t="s">
        <v>6517</v>
      </c>
      <c r="N445" t="s">
        <v>69</v>
      </c>
      <c r="O445" t="s">
        <v>69</v>
      </c>
      <c r="P445" t="s">
        <v>6518</v>
      </c>
      <c r="Q445" t="s">
        <v>6519</v>
      </c>
      <c r="R445" t="s">
        <v>69</v>
      </c>
      <c r="S445" t="s">
        <v>69</v>
      </c>
      <c r="T445" t="s">
        <v>8505</v>
      </c>
      <c r="U445" t="s">
        <v>8506</v>
      </c>
      <c r="V445" t="s">
        <v>69</v>
      </c>
      <c r="W445" t="s">
        <v>69</v>
      </c>
      <c r="X445" t="s">
        <v>69</v>
      </c>
      <c r="Y445" t="s">
        <v>69</v>
      </c>
      <c r="Z445" t="s">
        <v>69</v>
      </c>
      <c r="AA445" t="s">
        <v>18635</v>
      </c>
      <c r="AB445" t="s">
        <v>18636</v>
      </c>
      <c r="AC445" t="s">
        <v>6520</v>
      </c>
      <c r="AD445" t="s">
        <v>18637</v>
      </c>
      <c r="AE445" t="s">
        <v>69</v>
      </c>
      <c r="AF445" t="s">
        <v>18638</v>
      </c>
      <c r="AG445" t="s">
        <v>18639</v>
      </c>
      <c r="AH445" t="s">
        <v>18640</v>
      </c>
      <c r="AI445" t="s">
        <v>6521</v>
      </c>
      <c r="AJ445" t="s">
        <v>18641</v>
      </c>
      <c r="AK445" t="s">
        <v>18642</v>
      </c>
      <c r="AL445" t="s">
        <v>18643</v>
      </c>
      <c r="AM445" t="s">
        <v>69</v>
      </c>
      <c r="AN445">
        <v>63</v>
      </c>
      <c r="AO445">
        <v>8</v>
      </c>
      <c r="AP445">
        <v>8</v>
      </c>
      <c r="AQ445">
        <v>3</v>
      </c>
      <c r="AR445">
        <v>10</v>
      </c>
      <c r="AS445" t="s">
        <v>8992</v>
      </c>
      <c r="AT445" t="s">
        <v>8993</v>
      </c>
      <c r="AU445" t="s">
        <v>8994</v>
      </c>
      <c r="AV445" t="s">
        <v>69</v>
      </c>
      <c r="AW445" t="s">
        <v>6522</v>
      </c>
      <c r="AX445" t="s">
        <v>69</v>
      </c>
      <c r="AY445" t="s">
        <v>18644</v>
      </c>
      <c r="AZ445" t="s">
        <v>18645</v>
      </c>
      <c r="BA445" t="s">
        <v>6523</v>
      </c>
      <c r="BB445">
        <v>2018</v>
      </c>
      <c r="BC445">
        <v>2</v>
      </c>
      <c r="BD445" t="s">
        <v>69</v>
      </c>
      <c r="BE445" t="s">
        <v>69</v>
      </c>
      <c r="BF445" t="s">
        <v>69</v>
      </c>
      <c r="BG445" t="s">
        <v>69</v>
      </c>
      <c r="BH445" t="s">
        <v>69</v>
      </c>
      <c r="BI445" t="s">
        <v>69</v>
      </c>
      <c r="BJ445" t="s">
        <v>69</v>
      </c>
      <c r="BK445">
        <v>22</v>
      </c>
      <c r="BL445" t="s">
        <v>6524</v>
      </c>
      <c r="BM445" t="str">
        <f>HYPERLINK("http://dx.doi.org/10.3389/fsufs.2018.00022","http://dx.doi.org/10.3389/fsufs.2018.00022")</f>
        <v>http://dx.doi.org/10.3389/fsufs.2018.00022</v>
      </c>
      <c r="BN445" t="s">
        <v>69</v>
      </c>
      <c r="BO445" t="s">
        <v>69</v>
      </c>
      <c r="BP445">
        <v>15</v>
      </c>
      <c r="BQ445" t="s">
        <v>17221</v>
      </c>
      <c r="BR445" t="s">
        <v>8548</v>
      </c>
      <c r="BS445" t="s">
        <v>17221</v>
      </c>
      <c r="BT445" t="s">
        <v>18646</v>
      </c>
      <c r="BU445" t="s">
        <v>6525</v>
      </c>
      <c r="BV445" t="s">
        <v>69</v>
      </c>
      <c r="BW445" t="s">
        <v>9352</v>
      </c>
      <c r="BX445" t="s">
        <v>69</v>
      </c>
      <c r="BY445" t="s">
        <v>69</v>
      </c>
      <c r="BZ445" t="s">
        <v>8526</v>
      </c>
      <c r="CA445" t="str">
        <f>HYPERLINK("https%3A%2F%2Fwww.webofscience.com%2Fwos%2Fwoscc%2Ffull-record%2FWOS:000502077800001","View Full Record in Web of Science")</f>
        <v>View Full Record in Web of Science</v>
      </c>
    </row>
    <row r="446" spans="2:79" ht="12.5" x14ac:dyDescent="0.25">
      <c r="B446" t="s">
        <v>8495</v>
      </c>
      <c r="D446" s="7" t="s">
        <v>32933</v>
      </c>
      <c r="E446" s="7"/>
      <c r="F446" s="7"/>
      <c r="G446" s="7"/>
      <c r="H446" t="s">
        <v>67</v>
      </c>
      <c r="I446" t="s">
        <v>1281</v>
      </c>
      <c r="J446" t="s">
        <v>69</v>
      </c>
      <c r="K446" t="s">
        <v>69</v>
      </c>
      <c r="L446" t="s">
        <v>69</v>
      </c>
      <c r="M446" t="s">
        <v>1282</v>
      </c>
      <c r="N446" t="s">
        <v>69</v>
      </c>
      <c r="O446" t="s">
        <v>69</v>
      </c>
      <c r="P446" t="s">
        <v>1283</v>
      </c>
      <c r="Q446" t="s">
        <v>1284</v>
      </c>
      <c r="R446" t="s">
        <v>69</v>
      </c>
      <c r="S446" t="s">
        <v>69</v>
      </c>
      <c r="T446" t="s">
        <v>8505</v>
      </c>
      <c r="U446" t="s">
        <v>8506</v>
      </c>
      <c r="V446" t="s">
        <v>69</v>
      </c>
      <c r="W446" t="s">
        <v>69</v>
      </c>
      <c r="X446" t="s">
        <v>69</v>
      </c>
      <c r="Y446" t="s">
        <v>69</v>
      </c>
      <c r="Z446" t="s">
        <v>69</v>
      </c>
      <c r="AA446" t="s">
        <v>22808</v>
      </c>
      <c r="AB446" t="s">
        <v>22809</v>
      </c>
      <c r="AC446" t="s">
        <v>1285</v>
      </c>
      <c r="AD446" t="s">
        <v>22810</v>
      </c>
      <c r="AE446" t="s">
        <v>69</v>
      </c>
      <c r="AF446" t="s">
        <v>22811</v>
      </c>
      <c r="AG446" t="s">
        <v>22812</v>
      </c>
      <c r="AH446" t="s">
        <v>22813</v>
      </c>
      <c r="AI446" t="s">
        <v>22814</v>
      </c>
      <c r="AJ446" t="s">
        <v>22815</v>
      </c>
      <c r="AK446" t="s">
        <v>22816</v>
      </c>
      <c r="AL446" t="s">
        <v>22817</v>
      </c>
      <c r="AM446" t="s">
        <v>69</v>
      </c>
      <c r="AN446">
        <v>10</v>
      </c>
      <c r="AO446">
        <v>5</v>
      </c>
      <c r="AP446">
        <v>7</v>
      </c>
      <c r="AQ446">
        <v>0</v>
      </c>
      <c r="AR446">
        <v>18</v>
      </c>
      <c r="AS446" t="s">
        <v>15611</v>
      </c>
      <c r="AT446" t="s">
        <v>10924</v>
      </c>
      <c r="AU446" t="s">
        <v>15612</v>
      </c>
      <c r="AV446" t="s">
        <v>1286</v>
      </c>
      <c r="AW446" t="s">
        <v>1287</v>
      </c>
      <c r="AX446" t="s">
        <v>69</v>
      </c>
      <c r="AY446" t="s">
        <v>22818</v>
      </c>
      <c r="AZ446" t="s">
        <v>22819</v>
      </c>
      <c r="BA446" t="s">
        <v>971</v>
      </c>
      <c r="BB446">
        <v>2015</v>
      </c>
      <c r="BC446">
        <v>22</v>
      </c>
      <c r="BD446">
        <v>2</v>
      </c>
      <c r="BE446" t="s">
        <v>69</v>
      </c>
      <c r="BF446" t="s">
        <v>69</v>
      </c>
      <c r="BG446" t="s">
        <v>114</v>
      </c>
      <c r="BH446" t="s">
        <v>69</v>
      </c>
      <c r="BI446">
        <v>178</v>
      </c>
      <c r="BJ446">
        <v>183</v>
      </c>
      <c r="BK446" t="s">
        <v>69</v>
      </c>
      <c r="BL446" t="s">
        <v>1288</v>
      </c>
      <c r="BM446" t="str">
        <f>HYPERLINK("http://dx.doi.org/10.1080/13504509.2014.923541","http://dx.doi.org/10.1080/13504509.2014.923541")</f>
        <v>http://dx.doi.org/10.1080/13504509.2014.923541</v>
      </c>
      <c r="BN446" t="s">
        <v>69</v>
      </c>
      <c r="BO446" t="s">
        <v>69</v>
      </c>
      <c r="BP446">
        <v>6</v>
      </c>
      <c r="BQ446" t="s">
        <v>22820</v>
      </c>
      <c r="BR446" t="s">
        <v>8523</v>
      </c>
      <c r="BS446" t="s">
        <v>8961</v>
      </c>
      <c r="BT446" t="s">
        <v>22821</v>
      </c>
      <c r="BU446" t="s">
        <v>1289</v>
      </c>
      <c r="BV446" t="s">
        <v>69</v>
      </c>
      <c r="BW446" t="s">
        <v>10423</v>
      </c>
      <c r="BX446" t="s">
        <v>69</v>
      </c>
      <c r="BY446" t="s">
        <v>69</v>
      </c>
      <c r="BZ446" t="s">
        <v>8526</v>
      </c>
      <c r="CA446" t="str">
        <f>HYPERLINK("https%3A%2F%2Fwww.webofscience.com%2Fwos%2Fwoscc%2Ffull-record%2FWOS:000349899100012","View Full Record in Web of Science")</f>
        <v>View Full Record in Web of Science</v>
      </c>
    </row>
    <row r="447" spans="2:79" ht="12.5" x14ac:dyDescent="0.25">
      <c r="B447" t="s">
        <v>8495</v>
      </c>
      <c r="D447" s="22" t="s">
        <v>32931</v>
      </c>
      <c r="E447" s="7"/>
      <c r="F447" s="7"/>
      <c r="G447" s="7"/>
      <c r="H447" t="s">
        <v>67</v>
      </c>
      <c r="I447" t="s">
        <v>21915</v>
      </c>
      <c r="J447" t="s">
        <v>69</v>
      </c>
      <c r="K447" t="s">
        <v>69</v>
      </c>
      <c r="L447" t="s">
        <v>69</v>
      </c>
      <c r="M447" t="s">
        <v>21916</v>
      </c>
      <c r="N447" t="s">
        <v>69</v>
      </c>
      <c r="O447" t="s">
        <v>69</v>
      </c>
      <c r="P447" t="s">
        <v>21917</v>
      </c>
      <c r="Q447" t="s">
        <v>21918</v>
      </c>
      <c r="R447" t="s">
        <v>69</v>
      </c>
      <c r="S447" t="s">
        <v>69</v>
      </c>
      <c r="T447" t="s">
        <v>8505</v>
      </c>
      <c r="U447" t="s">
        <v>8506</v>
      </c>
      <c r="V447" t="s">
        <v>69</v>
      </c>
      <c r="W447" t="s">
        <v>69</v>
      </c>
      <c r="X447" t="s">
        <v>69</v>
      </c>
      <c r="Y447" t="s">
        <v>69</v>
      </c>
      <c r="Z447" t="s">
        <v>69</v>
      </c>
      <c r="AA447" t="s">
        <v>21919</v>
      </c>
      <c r="AB447" t="s">
        <v>69</v>
      </c>
      <c r="AC447" t="s">
        <v>21920</v>
      </c>
      <c r="AD447" t="s">
        <v>21921</v>
      </c>
      <c r="AE447" t="s">
        <v>69</v>
      </c>
      <c r="AF447" t="s">
        <v>21922</v>
      </c>
      <c r="AG447" t="s">
        <v>21923</v>
      </c>
      <c r="AH447" t="s">
        <v>21924</v>
      </c>
      <c r="AI447" t="s">
        <v>21925</v>
      </c>
      <c r="AJ447" t="s">
        <v>21926</v>
      </c>
      <c r="AK447" t="s">
        <v>21927</v>
      </c>
      <c r="AL447" t="s">
        <v>21928</v>
      </c>
      <c r="AM447" t="s">
        <v>69</v>
      </c>
      <c r="AN447">
        <v>6</v>
      </c>
      <c r="AO447">
        <v>13</v>
      </c>
      <c r="AP447">
        <v>15</v>
      </c>
      <c r="AQ447">
        <v>0</v>
      </c>
      <c r="AR447">
        <v>1</v>
      </c>
      <c r="AS447" t="s">
        <v>18749</v>
      </c>
      <c r="AT447" t="s">
        <v>8763</v>
      </c>
      <c r="AU447" t="s">
        <v>18750</v>
      </c>
      <c r="AV447" t="s">
        <v>21929</v>
      </c>
      <c r="AW447" t="s">
        <v>69</v>
      </c>
      <c r="AX447" t="s">
        <v>69</v>
      </c>
      <c r="AY447" t="s">
        <v>21930</v>
      </c>
      <c r="AZ447" t="s">
        <v>21931</v>
      </c>
      <c r="BA447" t="s">
        <v>69</v>
      </c>
      <c r="BB447">
        <v>2016</v>
      </c>
      <c r="BC447">
        <v>16</v>
      </c>
      <c r="BD447" t="s">
        <v>69</v>
      </c>
      <c r="BE447" t="s">
        <v>69</v>
      </c>
      <c r="BF447">
        <v>1</v>
      </c>
      <c r="BG447" t="s">
        <v>69</v>
      </c>
      <c r="BH447" t="s">
        <v>69</v>
      </c>
      <c r="BI447" t="s">
        <v>69</v>
      </c>
      <c r="BJ447" t="s">
        <v>69</v>
      </c>
      <c r="BK447">
        <v>75</v>
      </c>
      <c r="BL447" t="s">
        <v>21932</v>
      </c>
      <c r="BM447" t="str">
        <f>HYPERLINK("http://dx.doi.org/10.1186/s12874-016-0172-9","http://dx.doi.org/10.1186/s12874-016-0172-9")</f>
        <v>http://dx.doi.org/10.1186/s12874-016-0172-9</v>
      </c>
      <c r="BN447" t="s">
        <v>69</v>
      </c>
      <c r="BO447" t="s">
        <v>69</v>
      </c>
      <c r="BP447">
        <v>7</v>
      </c>
      <c r="BQ447" t="s">
        <v>9209</v>
      </c>
      <c r="BR447" t="s">
        <v>8548</v>
      </c>
      <c r="BS447" t="s">
        <v>9209</v>
      </c>
      <c r="BT447" t="s">
        <v>21933</v>
      </c>
      <c r="BU447" t="s">
        <v>21934</v>
      </c>
      <c r="BV447">
        <v>27410483</v>
      </c>
      <c r="BW447" t="s">
        <v>9352</v>
      </c>
      <c r="BX447" t="s">
        <v>69</v>
      </c>
      <c r="BY447" t="s">
        <v>69</v>
      </c>
      <c r="BZ447" t="s">
        <v>8526</v>
      </c>
      <c r="CA447" t="str">
        <f>HYPERLINK("https%3A%2F%2Fwww.webofscience.com%2Fwos%2Fwoscc%2Ffull-record%2FWOS:000405025700003","View Full Record in Web of Science")</f>
        <v>View Full Record in Web of Science</v>
      </c>
    </row>
    <row r="448" spans="2:79" ht="12.5" x14ac:dyDescent="0.25">
      <c r="B448" t="s">
        <v>8495</v>
      </c>
      <c r="D448" s="7" t="s">
        <v>32933</v>
      </c>
      <c r="E448" s="7"/>
      <c r="F448" s="7"/>
      <c r="G448" s="7"/>
      <c r="H448" t="s">
        <v>67</v>
      </c>
      <c r="I448" t="s">
        <v>779</v>
      </c>
      <c r="J448" t="s">
        <v>69</v>
      </c>
      <c r="K448" t="s">
        <v>69</v>
      </c>
      <c r="L448" t="s">
        <v>69</v>
      </c>
      <c r="M448" t="s">
        <v>780</v>
      </c>
      <c r="N448" t="s">
        <v>69</v>
      </c>
      <c r="O448" t="s">
        <v>69</v>
      </c>
      <c r="P448" t="s">
        <v>781</v>
      </c>
      <c r="Q448" t="s">
        <v>782</v>
      </c>
      <c r="R448" t="s">
        <v>69</v>
      </c>
      <c r="S448" t="s">
        <v>69</v>
      </c>
      <c r="T448" t="s">
        <v>8505</v>
      </c>
      <c r="U448" t="s">
        <v>12770</v>
      </c>
      <c r="V448" t="s">
        <v>69</v>
      </c>
      <c r="W448" t="s">
        <v>69</v>
      </c>
      <c r="X448" t="s">
        <v>69</v>
      </c>
      <c r="Y448" t="s">
        <v>69</v>
      </c>
      <c r="Z448" t="s">
        <v>69</v>
      </c>
      <c r="AA448" t="s">
        <v>15494</v>
      </c>
      <c r="AB448" t="s">
        <v>15495</v>
      </c>
      <c r="AC448" t="s">
        <v>783</v>
      </c>
      <c r="AD448" t="s">
        <v>15496</v>
      </c>
      <c r="AE448" t="s">
        <v>69</v>
      </c>
      <c r="AF448" t="s">
        <v>15497</v>
      </c>
      <c r="AG448" t="s">
        <v>15498</v>
      </c>
      <c r="AH448" t="s">
        <v>15499</v>
      </c>
      <c r="AI448" t="s">
        <v>15500</v>
      </c>
      <c r="AJ448" t="s">
        <v>15501</v>
      </c>
      <c r="AK448" t="s">
        <v>15502</v>
      </c>
      <c r="AL448" t="s">
        <v>15503</v>
      </c>
      <c r="AM448" t="s">
        <v>69</v>
      </c>
      <c r="AN448">
        <v>16</v>
      </c>
      <c r="AO448">
        <v>1</v>
      </c>
      <c r="AP448">
        <v>1</v>
      </c>
      <c r="AQ448">
        <v>0</v>
      </c>
      <c r="AR448">
        <v>6</v>
      </c>
      <c r="AS448" t="s">
        <v>8516</v>
      </c>
      <c r="AT448" t="s">
        <v>8517</v>
      </c>
      <c r="AU448" t="s">
        <v>8518</v>
      </c>
      <c r="AV448" t="s">
        <v>784</v>
      </c>
      <c r="AW448" t="s">
        <v>69</v>
      </c>
      <c r="AX448" t="s">
        <v>69</v>
      </c>
      <c r="AY448" t="s">
        <v>12108</v>
      </c>
      <c r="AZ448" t="s">
        <v>12109</v>
      </c>
      <c r="BA448" t="s">
        <v>246</v>
      </c>
      <c r="BB448">
        <v>2020</v>
      </c>
      <c r="BC448">
        <v>29</v>
      </c>
      <c r="BD448" t="s">
        <v>69</v>
      </c>
      <c r="BE448" t="s">
        <v>69</v>
      </c>
      <c r="BF448" t="s">
        <v>69</v>
      </c>
      <c r="BG448" t="s">
        <v>69</v>
      </c>
      <c r="BH448" t="s">
        <v>69</v>
      </c>
      <c r="BI448" t="s">
        <v>69</v>
      </c>
      <c r="BJ448" t="s">
        <v>69</v>
      </c>
      <c r="BK448">
        <v>105148</v>
      </c>
      <c r="BL448" t="s">
        <v>785</v>
      </c>
      <c r="BM448" t="str">
        <f>HYPERLINK("http://dx.doi.org/10.1016/j.dib.2020.105148","http://dx.doi.org/10.1016/j.dib.2020.105148")</f>
        <v>http://dx.doi.org/10.1016/j.dib.2020.105148</v>
      </c>
      <c r="BN448" t="s">
        <v>69</v>
      </c>
      <c r="BO448" t="s">
        <v>69</v>
      </c>
      <c r="BP448">
        <v>7</v>
      </c>
      <c r="BQ448" t="s">
        <v>8619</v>
      </c>
      <c r="BR448" t="s">
        <v>8573</v>
      </c>
      <c r="BS448" t="s">
        <v>8620</v>
      </c>
      <c r="BT448" t="s">
        <v>15504</v>
      </c>
      <c r="BU448" t="s">
        <v>786</v>
      </c>
      <c r="BV448">
        <v>32016150</v>
      </c>
      <c r="BW448" t="s">
        <v>15505</v>
      </c>
      <c r="BX448" t="s">
        <v>69</v>
      </c>
      <c r="BY448" t="s">
        <v>69</v>
      </c>
      <c r="BZ448" t="s">
        <v>8526</v>
      </c>
      <c r="CA448" t="str">
        <f>HYPERLINK("https%3A%2F%2Fwww.webofscience.com%2Fwos%2Fwoscc%2Ffull-record%2FWOS:000529894500001","View Full Record in Web of Science")</f>
        <v>View Full Record in Web of Science</v>
      </c>
    </row>
    <row r="449" spans="2:79" ht="12.5" x14ac:dyDescent="0.25">
      <c r="B449" t="s">
        <v>8495</v>
      </c>
      <c r="D449" s="7" t="s">
        <v>32933</v>
      </c>
      <c r="E449" s="7"/>
      <c r="F449" s="7"/>
      <c r="G449" s="7"/>
      <c r="H449" t="s">
        <v>67</v>
      </c>
      <c r="I449" t="s">
        <v>7451</v>
      </c>
      <c r="J449" t="s">
        <v>69</v>
      </c>
      <c r="K449" t="s">
        <v>69</v>
      </c>
      <c r="L449" t="s">
        <v>69</v>
      </c>
      <c r="M449" t="s">
        <v>7452</v>
      </c>
      <c r="N449" t="s">
        <v>69</v>
      </c>
      <c r="O449" t="s">
        <v>69</v>
      </c>
      <c r="P449" t="s">
        <v>7453</v>
      </c>
      <c r="Q449" t="s">
        <v>7454</v>
      </c>
      <c r="R449" t="s">
        <v>69</v>
      </c>
      <c r="S449" t="s">
        <v>69</v>
      </c>
      <c r="T449" t="s">
        <v>8505</v>
      </c>
      <c r="U449" t="s">
        <v>8506</v>
      </c>
      <c r="V449" t="s">
        <v>69</v>
      </c>
      <c r="W449" t="s">
        <v>69</v>
      </c>
      <c r="X449" t="s">
        <v>69</v>
      </c>
      <c r="Y449" t="s">
        <v>69</v>
      </c>
      <c r="Z449" t="s">
        <v>69</v>
      </c>
      <c r="AA449" t="s">
        <v>14256</v>
      </c>
      <c r="AB449" t="s">
        <v>14257</v>
      </c>
      <c r="AC449" t="s">
        <v>7455</v>
      </c>
      <c r="AD449" t="s">
        <v>14258</v>
      </c>
      <c r="AE449" t="s">
        <v>69</v>
      </c>
      <c r="AF449" t="s">
        <v>14259</v>
      </c>
      <c r="AG449" t="s">
        <v>14260</v>
      </c>
      <c r="AH449" t="s">
        <v>69</v>
      </c>
      <c r="AI449" t="s">
        <v>69</v>
      </c>
      <c r="AJ449" t="s">
        <v>69</v>
      </c>
      <c r="AK449" t="s">
        <v>69</v>
      </c>
      <c r="AL449" t="s">
        <v>69</v>
      </c>
      <c r="AM449" t="s">
        <v>69</v>
      </c>
      <c r="AN449">
        <v>67</v>
      </c>
      <c r="AO449">
        <v>9</v>
      </c>
      <c r="AP449">
        <v>9</v>
      </c>
      <c r="AQ449">
        <v>13</v>
      </c>
      <c r="AR449">
        <v>55</v>
      </c>
      <c r="AS449" t="s">
        <v>8586</v>
      </c>
      <c r="AT449" t="s">
        <v>8587</v>
      </c>
      <c r="AU449" t="s">
        <v>8588</v>
      </c>
      <c r="AV449" t="s">
        <v>7456</v>
      </c>
      <c r="AW449" t="s">
        <v>7457</v>
      </c>
      <c r="AX449" t="s">
        <v>69</v>
      </c>
      <c r="AY449" t="s">
        <v>14261</v>
      </c>
      <c r="AZ449" t="s">
        <v>14262</v>
      </c>
      <c r="BA449" t="s">
        <v>14263</v>
      </c>
      <c r="BB449">
        <v>2021</v>
      </c>
      <c r="BC449">
        <v>16</v>
      </c>
      <c r="BD449">
        <v>4</v>
      </c>
      <c r="BE449" t="s">
        <v>69</v>
      </c>
      <c r="BF449" t="s">
        <v>69</v>
      </c>
      <c r="BG449" t="s">
        <v>69</v>
      </c>
      <c r="BH449" t="s">
        <v>69</v>
      </c>
      <c r="BI449">
        <v>381</v>
      </c>
      <c r="BJ449">
        <v>398</v>
      </c>
      <c r="BK449" t="s">
        <v>69</v>
      </c>
      <c r="BL449" t="s">
        <v>7458</v>
      </c>
      <c r="BM449" t="str">
        <f>HYPERLINK("http://dx.doi.org/10.1108/EMJB-09-2018-0054","http://dx.doi.org/10.1108/EMJB-09-2018-0054")</f>
        <v>http://dx.doi.org/10.1108/EMJB-09-2018-0054</v>
      </c>
      <c r="BN449" t="s">
        <v>69</v>
      </c>
      <c r="BO449" t="s">
        <v>683</v>
      </c>
      <c r="BP449">
        <v>18</v>
      </c>
      <c r="BQ449" t="s">
        <v>8444</v>
      </c>
      <c r="BR449" t="s">
        <v>8573</v>
      </c>
      <c r="BS449" t="s">
        <v>8594</v>
      </c>
      <c r="BT449" t="s">
        <v>14264</v>
      </c>
      <c r="BU449" t="s">
        <v>7459</v>
      </c>
      <c r="BV449" t="s">
        <v>69</v>
      </c>
      <c r="BW449" t="s">
        <v>69</v>
      </c>
      <c r="BX449" t="s">
        <v>69</v>
      </c>
      <c r="BY449" t="s">
        <v>69</v>
      </c>
      <c r="BZ449" t="s">
        <v>8526</v>
      </c>
      <c r="CA449" t="str">
        <f>HYPERLINK("https%3A%2F%2Fwww.webofscience.com%2Fwos%2Fwoscc%2Ffull-record%2FWOS:000574016100001","View Full Record in Web of Science")</f>
        <v>View Full Record in Web of Science</v>
      </c>
    </row>
    <row r="450" spans="2:79" ht="12.5" x14ac:dyDescent="0.25">
      <c r="B450" t="s">
        <v>8495</v>
      </c>
      <c r="D450" s="7" t="s">
        <v>32933</v>
      </c>
      <c r="E450" s="7"/>
      <c r="F450" s="7"/>
      <c r="G450" s="7"/>
      <c r="H450" t="s">
        <v>67</v>
      </c>
      <c r="I450" t="s">
        <v>12767</v>
      </c>
      <c r="J450" t="s">
        <v>69</v>
      </c>
      <c r="K450" t="s">
        <v>69</v>
      </c>
      <c r="L450" t="s">
        <v>69</v>
      </c>
      <c r="M450" t="s">
        <v>12768</v>
      </c>
      <c r="N450" t="s">
        <v>69</v>
      </c>
      <c r="O450" t="s">
        <v>69</v>
      </c>
      <c r="P450" t="s">
        <v>12769</v>
      </c>
      <c r="Q450" t="s">
        <v>782</v>
      </c>
      <c r="R450" t="s">
        <v>69</v>
      </c>
      <c r="S450" t="s">
        <v>69</v>
      </c>
      <c r="T450" t="s">
        <v>8505</v>
      </c>
      <c r="U450" t="s">
        <v>12770</v>
      </c>
      <c r="V450" t="s">
        <v>69</v>
      </c>
      <c r="W450" t="s">
        <v>69</v>
      </c>
      <c r="X450" t="s">
        <v>69</v>
      </c>
      <c r="Y450" t="s">
        <v>69</v>
      </c>
      <c r="Z450" t="s">
        <v>69</v>
      </c>
      <c r="AA450" t="s">
        <v>12771</v>
      </c>
      <c r="AB450" t="s">
        <v>69</v>
      </c>
      <c r="AC450" t="s">
        <v>12772</v>
      </c>
      <c r="AD450" t="s">
        <v>12773</v>
      </c>
      <c r="AE450" t="s">
        <v>69</v>
      </c>
      <c r="AF450" t="s">
        <v>12774</v>
      </c>
      <c r="AG450" t="s">
        <v>12775</v>
      </c>
      <c r="AH450" t="s">
        <v>12776</v>
      </c>
      <c r="AI450" t="s">
        <v>12777</v>
      </c>
      <c r="AJ450" t="s">
        <v>12778</v>
      </c>
      <c r="AK450" t="s">
        <v>12778</v>
      </c>
      <c r="AL450" t="s">
        <v>12779</v>
      </c>
      <c r="AM450" t="s">
        <v>69</v>
      </c>
      <c r="AN450">
        <v>3</v>
      </c>
      <c r="AO450">
        <v>1</v>
      </c>
      <c r="AP450">
        <v>1</v>
      </c>
      <c r="AQ450">
        <v>0</v>
      </c>
      <c r="AR450">
        <v>1</v>
      </c>
      <c r="AS450" t="s">
        <v>8516</v>
      </c>
      <c r="AT450" t="s">
        <v>8517</v>
      </c>
      <c r="AU450" t="s">
        <v>8518</v>
      </c>
      <c r="AV450" t="s">
        <v>784</v>
      </c>
      <c r="AW450" t="s">
        <v>69</v>
      </c>
      <c r="AX450" t="s">
        <v>69</v>
      </c>
      <c r="AY450" t="s">
        <v>12108</v>
      </c>
      <c r="AZ450" t="s">
        <v>12109</v>
      </c>
      <c r="BA450" t="s">
        <v>246</v>
      </c>
      <c r="BB450">
        <v>2021</v>
      </c>
      <c r="BC450">
        <v>35</v>
      </c>
      <c r="BD450" t="s">
        <v>69</v>
      </c>
      <c r="BE450" t="s">
        <v>69</v>
      </c>
      <c r="BF450" t="s">
        <v>69</v>
      </c>
      <c r="BG450" t="s">
        <v>69</v>
      </c>
      <c r="BH450" t="s">
        <v>69</v>
      </c>
      <c r="BI450" t="s">
        <v>69</v>
      </c>
      <c r="BJ450" t="s">
        <v>69</v>
      </c>
      <c r="BK450">
        <v>106932</v>
      </c>
      <c r="BL450" t="s">
        <v>12780</v>
      </c>
      <c r="BM450" t="str">
        <f>HYPERLINK("http://dx.doi.org/10.1016/j.dib.2021.106932","http://dx.doi.org/10.1016/j.dib.2021.106932")</f>
        <v>http://dx.doi.org/10.1016/j.dib.2021.106932</v>
      </c>
      <c r="BN450" t="s">
        <v>69</v>
      </c>
      <c r="BO450" t="s">
        <v>12704</v>
      </c>
      <c r="BP450">
        <v>9</v>
      </c>
      <c r="BQ450" t="s">
        <v>8619</v>
      </c>
      <c r="BR450" t="s">
        <v>8573</v>
      </c>
      <c r="BS450" t="s">
        <v>8620</v>
      </c>
      <c r="BT450" t="s">
        <v>12781</v>
      </c>
      <c r="BU450" t="s">
        <v>12782</v>
      </c>
      <c r="BV450">
        <v>33748367</v>
      </c>
      <c r="BW450" t="s">
        <v>9352</v>
      </c>
      <c r="BX450" t="s">
        <v>69</v>
      </c>
      <c r="BY450" t="s">
        <v>69</v>
      </c>
      <c r="BZ450" t="s">
        <v>8526</v>
      </c>
      <c r="CA450" t="str">
        <f>HYPERLINK("https%3A%2F%2Fwww.webofscience.com%2Fwos%2Fwoscc%2Ffull-record%2FWOS:000647429200001","View Full Record in Web of Science")</f>
        <v>View Full Record in Web of Science</v>
      </c>
    </row>
    <row r="451" spans="2:79" x14ac:dyDescent="0.3">
      <c r="B451" t="s">
        <v>8495</v>
      </c>
      <c r="D451" s="12" t="s">
        <v>32971</v>
      </c>
      <c r="H451" t="s">
        <v>67</v>
      </c>
      <c r="I451" t="s">
        <v>6069</v>
      </c>
      <c r="J451" t="s">
        <v>69</v>
      </c>
      <c r="K451" t="s">
        <v>69</v>
      </c>
      <c r="L451" t="s">
        <v>69</v>
      </c>
      <c r="M451" s="3" t="s">
        <v>6070</v>
      </c>
      <c r="N451" t="s">
        <v>69</v>
      </c>
      <c r="O451" t="s">
        <v>69</v>
      </c>
      <c r="P451" s="2" t="s">
        <v>6071</v>
      </c>
      <c r="Q451" t="s">
        <v>3336</v>
      </c>
      <c r="R451" t="s">
        <v>69</v>
      </c>
      <c r="S451" t="s">
        <v>69</v>
      </c>
      <c r="T451" t="s">
        <v>8505</v>
      </c>
      <c r="U451" t="s">
        <v>8506</v>
      </c>
      <c r="V451" t="s">
        <v>69</v>
      </c>
      <c r="W451" t="s">
        <v>69</v>
      </c>
      <c r="X451" t="s">
        <v>69</v>
      </c>
      <c r="Y451" t="s">
        <v>69</v>
      </c>
      <c r="Z451" t="s">
        <v>69</v>
      </c>
      <c r="AA451" t="s">
        <v>30227</v>
      </c>
      <c r="AB451" t="s">
        <v>30228</v>
      </c>
      <c r="AC451" t="s">
        <v>6072</v>
      </c>
      <c r="AD451" t="s">
        <v>30229</v>
      </c>
      <c r="AE451" t="s">
        <v>69</v>
      </c>
      <c r="AF451" t="s">
        <v>30230</v>
      </c>
      <c r="AG451" t="s">
        <v>29928</v>
      </c>
      <c r="AH451" t="s">
        <v>30231</v>
      </c>
      <c r="AI451" t="s">
        <v>3780</v>
      </c>
      <c r="AJ451" t="s">
        <v>69</v>
      </c>
      <c r="AK451" t="s">
        <v>69</v>
      </c>
      <c r="AL451" t="s">
        <v>69</v>
      </c>
      <c r="AM451" t="s">
        <v>69</v>
      </c>
      <c r="AN451">
        <v>52</v>
      </c>
      <c r="AO451">
        <v>19</v>
      </c>
      <c r="AP451">
        <v>22</v>
      </c>
      <c r="AQ451">
        <v>1</v>
      </c>
      <c r="AR451">
        <v>38</v>
      </c>
      <c r="AS451" t="s">
        <v>8516</v>
      </c>
      <c r="AT451" t="s">
        <v>8517</v>
      </c>
      <c r="AU451" t="s">
        <v>8518</v>
      </c>
      <c r="AV451" t="s">
        <v>3339</v>
      </c>
      <c r="AW451" t="s">
        <v>3340</v>
      </c>
      <c r="AX451" t="s">
        <v>69</v>
      </c>
      <c r="AY451" t="s">
        <v>25086</v>
      </c>
      <c r="AZ451" t="s">
        <v>25087</v>
      </c>
      <c r="BA451" t="s">
        <v>6073</v>
      </c>
      <c r="BB451">
        <v>2006</v>
      </c>
      <c r="BC451">
        <v>58</v>
      </c>
      <c r="BD451">
        <v>1</v>
      </c>
      <c r="BE451" t="s">
        <v>69</v>
      </c>
      <c r="BF451" t="s">
        <v>69</v>
      </c>
      <c r="BG451" t="s">
        <v>69</v>
      </c>
      <c r="BH451" t="s">
        <v>69</v>
      </c>
      <c r="BI451">
        <v>17</v>
      </c>
      <c r="BJ451">
        <v>36</v>
      </c>
      <c r="BK451" t="s">
        <v>69</v>
      </c>
      <c r="BL451" t="s">
        <v>6074</v>
      </c>
      <c r="BM451" t="str">
        <f>HYPERLINK("http://dx.doi.org/10.1016/j.ecolecon.2005.05.020","http://dx.doi.org/10.1016/j.ecolecon.2005.05.020")</f>
        <v>http://dx.doi.org/10.1016/j.ecolecon.2005.05.020</v>
      </c>
      <c r="BN451" t="s">
        <v>69</v>
      </c>
      <c r="BO451" t="s">
        <v>69</v>
      </c>
      <c r="BP451">
        <v>20</v>
      </c>
      <c r="BQ451" t="s">
        <v>25089</v>
      </c>
      <c r="BR451" t="s">
        <v>8523</v>
      </c>
      <c r="BS451" t="s">
        <v>25090</v>
      </c>
      <c r="BT451" t="s">
        <v>30232</v>
      </c>
      <c r="BU451" t="s">
        <v>6075</v>
      </c>
      <c r="BV451" t="s">
        <v>69</v>
      </c>
      <c r="BW451" t="s">
        <v>69</v>
      </c>
      <c r="BX451" t="s">
        <v>69</v>
      </c>
      <c r="BY451" t="s">
        <v>69</v>
      </c>
      <c r="BZ451" t="s">
        <v>8526</v>
      </c>
      <c r="CA451" t="str">
        <f>HYPERLINK("https%3A%2F%2Fwww.webofscience.com%2Fwos%2Fwoscc%2Ffull-record%2FWOS:000238407200002","View Full Record in Web of Science")</f>
        <v>View Full Record in Web of Science</v>
      </c>
    </row>
    <row r="452" spans="2:79" ht="12.5" x14ac:dyDescent="0.25">
      <c r="B452" t="s">
        <v>8495</v>
      </c>
      <c r="D452" s="22" t="s">
        <v>32931</v>
      </c>
      <c r="E452" s="7"/>
      <c r="F452" s="7"/>
      <c r="G452" s="7"/>
      <c r="H452" t="s">
        <v>67</v>
      </c>
      <c r="I452" t="s">
        <v>8576</v>
      </c>
      <c r="J452" t="s">
        <v>69</v>
      </c>
      <c r="K452" t="s">
        <v>69</v>
      </c>
      <c r="L452" t="s">
        <v>69</v>
      </c>
      <c r="M452" t="s">
        <v>8577</v>
      </c>
      <c r="N452" t="s">
        <v>69</v>
      </c>
      <c r="O452" t="s">
        <v>69</v>
      </c>
      <c r="P452" t="s">
        <v>8578</v>
      </c>
      <c r="Q452" t="s">
        <v>8579</v>
      </c>
      <c r="R452" t="s">
        <v>69</v>
      </c>
      <c r="S452" t="s">
        <v>69</v>
      </c>
      <c r="T452" t="s">
        <v>8505</v>
      </c>
      <c r="U452" t="s">
        <v>8556</v>
      </c>
      <c r="V452" t="s">
        <v>69</v>
      </c>
      <c r="W452" t="s">
        <v>69</v>
      </c>
      <c r="X452" t="s">
        <v>69</v>
      </c>
      <c r="Y452" t="s">
        <v>69</v>
      </c>
      <c r="Z452" t="s">
        <v>69</v>
      </c>
      <c r="AA452" t="s">
        <v>8580</v>
      </c>
      <c r="AB452" t="s">
        <v>8581</v>
      </c>
      <c r="AC452" t="s">
        <v>8582</v>
      </c>
      <c r="AD452" t="s">
        <v>8583</v>
      </c>
      <c r="AE452" t="s">
        <v>69</v>
      </c>
      <c r="AF452" t="s">
        <v>8584</v>
      </c>
      <c r="AG452" t="s">
        <v>8585</v>
      </c>
      <c r="AH452" t="s">
        <v>69</v>
      </c>
      <c r="AI452" t="s">
        <v>69</v>
      </c>
      <c r="AJ452" t="s">
        <v>69</v>
      </c>
      <c r="AK452" t="s">
        <v>69</v>
      </c>
      <c r="AL452" t="s">
        <v>69</v>
      </c>
      <c r="AM452" t="s">
        <v>69</v>
      </c>
      <c r="AN452">
        <v>82</v>
      </c>
      <c r="AO452">
        <v>0</v>
      </c>
      <c r="AP452">
        <v>0</v>
      </c>
      <c r="AQ452">
        <v>2</v>
      </c>
      <c r="AR452">
        <v>2</v>
      </c>
      <c r="AS452" t="s">
        <v>8586</v>
      </c>
      <c r="AT452" t="s">
        <v>8587</v>
      </c>
      <c r="AU452" t="s">
        <v>8588</v>
      </c>
      <c r="AV452" t="s">
        <v>8589</v>
      </c>
      <c r="AW452" t="s">
        <v>8590</v>
      </c>
      <c r="AX452" t="s">
        <v>69</v>
      </c>
      <c r="AY452" t="s">
        <v>8591</v>
      </c>
      <c r="AZ452" t="s">
        <v>8592</v>
      </c>
      <c r="BA452" t="s">
        <v>69</v>
      </c>
      <c r="BB452" t="s">
        <v>69</v>
      </c>
      <c r="BC452" t="s">
        <v>69</v>
      </c>
      <c r="BD452" t="s">
        <v>69</v>
      </c>
      <c r="BE452" t="s">
        <v>69</v>
      </c>
      <c r="BF452" t="s">
        <v>69</v>
      </c>
      <c r="BG452" t="s">
        <v>69</v>
      </c>
      <c r="BH452" t="s">
        <v>69</v>
      </c>
      <c r="BI452" t="s">
        <v>69</v>
      </c>
      <c r="BJ452" t="s">
        <v>69</v>
      </c>
      <c r="BK452" t="s">
        <v>69</v>
      </c>
      <c r="BL452" t="s">
        <v>8593</v>
      </c>
      <c r="BM452" t="str">
        <f>HYPERLINK("http://dx.doi.org/10.1108/QMR-11-2021-0135","http://dx.doi.org/10.1108/QMR-11-2021-0135")</f>
        <v>http://dx.doi.org/10.1108/QMR-11-2021-0135</v>
      </c>
      <c r="BN452" t="s">
        <v>69</v>
      </c>
      <c r="BO452" t="s">
        <v>8571</v>
      </c>
      <c r="BP452">
        <v>16</v>
      </c>
      <c r="BQ452" t="s">
        <v>8444</v>
      </c>
      <c r="BR452" t="s">
        <v>8573</v>
      </c>
      <c r="BS452" t="s">
        <v>8594</v>
      </c>
      <c r="BT452" t="s">
        <v>8595</v>
      </c>
      <c r="BU452" t="s">
        <v>8596</v>
      </c>
      <c r="BV452" t="s">
        <v>69</v>
      </c>
      <c r="BW452" t="s">
        <v>69</v>
      </c>
      <c r="BX452" t="s">
        <v>69</v>
      </c>
      <c r="BY452" t="s">
        <v>69</v>
      </c>
      <c r="BZ452" t="s">
        <v>8526</v>
      </c>
      <c r="CA452" t="str">
        <f>HYPERLINK("https%3A%2F%2Fwww.webofscience.com%2Fwos%2Fwoscc%2Ffull-record%2FWOS:000824725300001","View Full Record in Web of Science")</f>
        <v>View Full Record in Web of Science</v>
      </c>
    </row>
    <row r="453" spans="2:79" ht="12.5" x14ac:dyDescent="0.25">
      <c r="B453" t="s">
        <v>8495</v>
      </c>
      <c r="D453" s="7" t="s">
        <v>32933</v>
      </c>
      <c r="E453" s="7"/>
      <c r="F453" s="7"/>
      <c r="G453" s="7"/>
      <c r="H453" t="s">
        <v>67</v>
      </c>
      <c r="I453" t="s">
        <v>6452</v>
      </c>
      <c r="J453" t="s">
        <v>69</v>
      </c>
      <c r="K453" t="s">
        <v>69</v>
      </c>
      <c r="L453" t="s">
        <v>69</v>
      </c>
      <c r="M453" t="s">
        <v>6453</v>
      </c>
      <c r="N453" t="s">
        <v>69</v>
      </c>
      <c r="O453" t="s">
        <v>69</v>
      </c>
      <c r="P453" t="s">
        <v>6454</v>
      </c>
      <c r="Q453" t="s">
        <v>6455</v>
      </c>
      <c r="R453" t="s">
        <v>69</v>
      </c>
      <c r="S453" t="s">
        <v>69</v>
      </c>
      <c r="T453" t="s">
        <v>8505</v>
      </c>
      <c r="U453" t="s">
        <v>8506</v>
      </c>
      <c r="V453" t="s">
        <v>69</v>
      </c>
      <c r="W453" t="s">
        <v>69</v>
      </c>
      <c r="X453" t="s">
        <v>69</v>
      </c>
      <c r="Y453" t="s">
        <v>69</v>
      </c>
      <c r="Z453" t="s">
        <v>69</v>
      </c>
      <c r="AA453" t="s">
        <v>22458</v>
      </c>
      <c r="AB453" t="s">
        <v>69</v>
      </c>
      <c r="AC453" t="s">
        <v>6456</v>
      </c>
      <c r="AD453" t="s">
        <v>22459</v>
      </c>
      <c r="AE453" t="s">
        <v>69</v>
      </c>
      <c r="AF453" t="s">
        <v>22460</v>
      </c>
      <c r="AG453" t="s">
        <v>22461</v>
      </c>
      <c r="AH453" t="s">
        <v>69</v>
      </c>
      <c r="AI453" t="s">
        <v>69</v>
      </c>
      <c r="AJ453" t="s">
        <v>69</v>
      </c>
      <c r="AK453" t="s">
        <v>69</v>
      </c>
      <c r="AL453" t="s">
        <v>69</v>
      </c>
      <c r="AM453" t="s">
        <v>69</v>
      </c>
      <c r="AN453">
        <v>26</v>
      </c>
      <c r="AO453">
        <v>6</v>
      </c>
      <c r="AP453">
        <v>6</v>
      </c>
      <c r="AQ453">
        <v>0</v>
      </c>
      <c r="AR453">
        <v>5</v>
      </c>
      <c r="AS453" t="s">
        <v>9047</v>
      </c>
      <c r="AT453" t="s">
        <v>9048</v>
      </c>
      <c r="AU453" t="s">
        <v>9049</v>
      </c>
      <c r="AV453" t="s">
        <v>6457</v>
      </c>
      <c r="AW453" t="s">
        <v>6458</v>
      </c>
      <c r="AX453" t="s">
        <v>69</v>
      </c>
      <c r="AY453" t="s">
        <v>22462</v>
      </c>
      <c r="AZ453" t="s">
        <v>22463</v>
      </c>
      <c r="BA453" t="s">
        <v>255</v>
      </c>
      <c r="BB453">
        <v>2015</v>
      </c>
      <c r="BC453">
        <v>39</v>
      </c>
      <c r="BD453">
        <v>3</v>
      </c>
      <c r="BE453" t="s">
        <v>69</v>
      </c>
      <c r="BF453" t="s">
        <v>69</v>
      </c>
      <c r="BG453" t="s">
        <v>69</v>
      </c>
      <c r="BH453" t="s">
        <v>69</v>
      </c>
      <c r="BI453">
        <v>255</v>
      </c>
      <c r="BJ453">
        <v>272</v>
      </c>
      <c r="BK453" t="s">
        <v>69</v>
      </c>
      <c r="BL453" t="s">
        <v>6459</v>
      </c>
      <c r="BM453" t="str">
        <f>HYPERLINK("http://dx.doi.org/10.1007/s10624-015-9386-1","http://dx.doi.org/10.1007/s10624-015-9386-1")</f>
        <v>http://dx.doi.org/10.1007/s10624-015-9386-1</v>
      </c>
      <c r="BN453" t="s">
        <v>69</v>
      </c>
      <c r="BO453" t="s">
        <v>69</v>
      </c>
      <c r="BP453">
        <v>18</v>
      </c>
      <c r="BQ453" t="s">
        <v>8463</v>
      </c>
      <c r="BR453" t="s">
        <v>8573</v>
      </c>
      <c r="BS453" t="s">
        <v>8463</v>
      </c>
      <c r="BT453" t="s">
        <v>22464</v>
      </c>
      <c r="BU453" t="s">
        <v>6460</v>
      </c>
      <c r="BV453" t="s">
        <v>69</v>
      </c>
      <c r="BW453" t="s">
        <v>69</v>
      </c>
      <c r="BX453" t="s">
        <v>69</v>
      </c>
      <c r="BY453" t="s">
        <v>69</v>
      </c>
      <c r="BZ453" t="s">
        <v>8526</v>
      </c>
      <c r="CA453" t="str">
        <f>HYPERLINK("https%3A%2F%2Fwww.webofscience.com%2Fwos%2Fwoscc%2Ffull-record%2FWOS:000371864700003","View Full Record in Web of Science")</f>
        <v>View Full Record in Web of Science</v>
      </c>
    </row>
    <row r="454" spans="2:79" ht="12.5" x14ac:dyDescent="0.25">
      <c r="B454" t="s">
        <v>8495</v>
      </c>
      <c r="D454" s="7" t="s">
        <v>32933</v>
      </c>
      <c r="E454" s="7"/>
      <c r="F454" s="7"/>
      <c r="G454" s="7"/>
      <c r="H454" t="s">
        <v>67</v>
      </c>
      <c r="I454" t="s">
        <v>4913</v>
      </c>
      <c r="J454" t="s">
        <v>69</v>
      </c>
      <c r="K454" t="s">
        <v>69</v>
      </c>
      <c r="L454" t="s">
        <v>69</v>
      </c>
      <c r="M454" t="s">
        <v>4914</v>
      </c>
      <c r="N454" t="s">
        <v>69</v>
      </c>
      <c r="O454" t="s">
        <v>69</v>
      </c>
      <c r="P454" t="s">
        <v>4915</v>
      </c>
      <c r="Q454" t="s">
        <v>4916</v>
      </c>
      <c r="R454" t="s">
        <v>69</v>
      </c>
      <c r="S454" t="s">
        <v>69</v>
      </c>
      <c r="T454" t="s">
        <v>8505</v>
      </c>
      <c r="U454" t="s">
        <v>8506</v>
      </c>
      <c r="V454" t="s">
        <v>69</v>
      </c>
      <c r="W454" t="s">
        <v>69</v>
      </c>
      <c r="X454" t="s">
        <v>69</v>
      </c>
      <c r="Y454" t="s">
        <v>69</v>
      </c>
      <c r="Z454" t="s">
        <v>69</v>
      </c>
      <c r="AA454" t="s">
        <v>19718</v>
      </c>
      <c r="AB454" t="s">
        <v>69</v>
      </c>
      <c r="AC454" t="s">
        <v>4917</v>
      </c>
      <c r="AD454" t="s">
        <v>19719</v>
      </c>
      <c r="AE454" t="s">
        <v>69</v>
      </c>
      <c r="AF454" t="s">
        <v>19720</v>
      </c>
      <c r="AG454" t="s">
        <v>19721</v>
      </c>
      <c r="AH454" t="s">
        <v>4918</v>
      </c>
      <c r="AI454" t="s">
        <v>19722</v>
      </c>
      <c r="AJ454" t="s">
        <v>19723</v>
      </c>
      <c r="AK454" t="s">
        <v>19724</v>
      </c>
      <c r="AL454" t="s">
        <v>19725</v>
      </c>
      <c r="AM454" t="s">
        <v>69</v>
      </c>
      <c r="AN454">
        <v>12</v>
      </c>
      <c r="AO454">
        <v>1</v>
      </c>
      <c r="AP454">
        <v>1</v>
      </c>
      <c r="AQ454">
        <v>0</v>
      </c>
      <c r="AR454">
        <v>4</v>
      </c>
      <c r="AS454" t="s">
        <v>19726</v>
      </c>
      <c r="AT454" t="s">
        <v>19727</v>
      </c>
      <c r="AU454" t="s">
        <v>19728</v>
      </c>
      <c r="AV454" t="s">
        <v>4919</v>
      </c>
      <c r="AW454" t="s">
        <v>4920</v>
      </c>
      <c r="AX454" t="s">
        <v>69</v>
      </c>
      <c r="AY454" t="s">
        <v>19729</v>
      </c>
      <c r="AZ454" t="s">
        <v>19730</v>
      </c>
      <c r="BA454" t="s">
        <v>75</v>
      </c>
      <c r="BB454">
        <v>2017</v>
      </c>
      <c r="BC454">
        <v>8</v>
      </c>
      <c r="BD454">
        <v>6</v>
      </c>
      <c r="BE454" t="s">
        <v>69</v>
      </c>
      <c r="BF454" t="s">
        <v>69</v>
      </c>
      <c r="BG454" t="s">
        <v>69</v>
      </c>
      <c r="BH454" t="s">
        <v>69</v>
      </c>
      <c r="BI454">
        <v>1134</v>
      </c>
      <c r="BJ454">
        <v>1140</v>
      </c>
      <c r="BK454" t="s">
        <v>69</v>
      </c>
      <c r="BL454" t="s">
        <v>4921</v>
      </c>
      <c r="BM454" t="str">
        <f>HYPERLINK("http://dx.doi.org/10.14716/ijtech.v8i6.719","http://dx.doi.org/10.14716/ijtech.v8i6.719")</f>
        <v>http://dx.doi.org/10.14716/ijtech.v8i6.719</v>
      </c>
      <c r="BN454" t="s">
        <v>69</v>
      </c>
      <c r="BO454" t="s">
        <v>69</v>
      </c>
      <c r="BP454">
        <v>7</v>
      </c>
      <c r="BQ454" t="s">
        <v>9891</v>
      </c>
      <c r="BR454" t="s">
        <v>8573</v>
      </c>
      <c r="BS454" t="s">
        <v>8445</v>
      </c>
      <c r="BT454" t="s">
        <v>19731</v>
      </c>
      <c r="BU454" t="s">
        <v>4922</v>
      </c>
      <c r="BV454" t="s">
        <v>69</v>
      </c>
      <c r="BW454" t="s">
        <v>8931</v>
      </c>
      <c r="BX454" t="s">
        <v>69</v>
      </c>
      <c r="BY454" t="s">
        <v>69</v>
      </c>
      <c r="BZ454" t="s">
        <v>8526</v>
      </c>
      <c r="CA454" t="str">
        <f>HYPERLINK("https%3A%2F%2Fwww.webofscience.com%2Fwos%2Fwoscc%2Ffull-record%2FWOS:000418737000018","View Full Record in Web of Science")</f>
        <v>View Full Record in Web of Science</v>
      </c>
    </row>
    <row r="455" spans="2:79" ht="12.5" x14ac:dyDescent="0.25">
      <c r="B455" t="s">
        <v>8495</v>
      </c>
      <c r="D455" s="22" t="s">
        <v>32931</v>
      </c>
      <c r="E455" s="7"/>
      <c r="F455" s="7"/>
      <c r="G455" s="7"/>
      <c r="H455" t="s">
        <v>67</v>
      </c>
      <c r="I455" t="s">
        <v>31744</v>
      </c>
      <c r="J455" t="s">
        <v>69</v>
      </c>
      <c r="K455" t="s">
        <v>69</v>
      </c>
      <c r="L455" t="s">
        <v>69</v>
      </c>
      <c r="M455" t="s">
        <v>31744</v>
      </c>
      <c r="N455" t="s">
        <v>69</v>
      </c>
      <c r="O455" t="s">
        <v>69</v>
      </c>
      <c r="P455" t="s">
        <v>31745</v>
      </c>
      <c r="Q455" t="s">
        <v>28661</v>
      </c>
      <c r="R455" t="s">
        <v>69</v>
      </c>
      <c r="S455" t="s">
        <v>69</v>
      </c>
      <c r="T455" t="s">
        <v>8505</v>
      </c>
      <c r="U455" t="s">
        <v>8506</v>
      </c>
      <c r="V455" t="s">
        <v>69</v>
      </c>
      <c r="W455" t="s">
        <v>69</v>
      </c>
      <c r="X455" t="s">
        <v>69</v>
      </c>
      <c r="Y455" t="s">
        <v>69</v>
      </c>
      <c r="Z455" t="s">
        <v>69</v>
      </c>
      <c r="AA455" t="s">
        <v>31746</v>
      </c>
      <c r="AB455" t="s">
        <v>31747</v>
      </c>
      <c r="AC455" t="s">
        <v>31748</v>
      </c>
      <c r="AD455" t="s">
        <v>31749</v>
      </c>
      <c r="AE455" t="s">
        <v>69</v>
      </c>
      <c r="AF455" t="s">
        <v>31750</v>
      </c>
      <c r="AG455" t="s">
        <v>69</v>
      </c>
      <c r="AH455" t="s">
        <v>69</v>
      </c>
      <c r="AI455" t="s">
        <v>69</v>
      </c>
      <c r="AJ455" t="s">
        <v>69</v>
      </c>
      <c r="AK455" t="s">
        <v>69</v>
      </c>
      <c r="AL455" t="s">
        <v>69</v>
      </c>
      <c r="AM455" t="s">
        <v>69</v>
      </c>
      <c r="AN455">
        <v>8</v>
      </c>
      <c r="AO455">
        <v>23</v>
      </c>
      <c r="AP455">
        <v>24</v>
      </c>
      <c r="AQ455">
        <v>0</v>
      </c>
      <c r="AR455">
        <v>0</v>
      </c>
      <c r="AS455" t="s">
        <v>28668</v>
      </c>
      <c r="AT455" t="s">
        <v>8763</v>
      </c>
      <c r="AU455" t="s">
        <v>28669</v>
      </c>
      <c r="AV455" t="s">
        <v>28670</v>
      </c>
      <c r="AW455" t="s">
        <v>69</v>
      </c>
      <c r="AX455" t="s">
        <v>69</v>
      </c>
      <c r="AY455" t="s">
        <v>28672</v>
      </c>
      <c r="AZ455" t="s">
        <v>28673</v>
      </c>
      <c r="BA455" t="s">
        <v>255</v>
      </c>
      <c r="BB455">
        <v>2000</v>
      </c>
      <c r="BC455">
        <v>82</v>
      </c>
      <c r="BD455">
        <v>5</v>
      </c>
      <c r="BE455" t="s">
        <v>69</v>
      </c>
      <c r="BF455" t="s">
        <v>69</v>
      </c>
      <c r="BG455" t="s">
        <v>69</v>
      </c>
      <c r="BH455" t="s">
        <v>69</v>
      </c>
      <c r="BI455">
        <v>322</v>
      </c>
      <c r="BJ455">
        <v>326</v>
      </c>
      <c r="BK455" t="s">
        <v>69</v>
      </c>
      <c r="BL455" t="s">
        <v>69</v>
      </c>
      <c r="BM455" t="s">
        <v>69</v>
      </c>
      <c r="BN455" t="s">
        <v>69</v>
      </c>
      <c r="BO455" t="s">
        <v>69</v>
      </c>
      <c r="BP455">
        <v>5</v>
      </c>
      <c r="BQ455" t="s">
        <v>11956</v>
      </c>
      <c r="BR455" t="s">
        <v>8548</v>
      </c>
      <c r="BS455" t="s">
        <v>11956</v>
      </c>
      <c r="BT455" t="s">
        <v>31751</v>
      </c>
      <c r="BU455" t="s">
        <v>31752</v>
      </c>
      <c r="BV455">
        <v>11041030</v>
      </c>
      <c r="BW455" t="s">
        <v>69</v>
      </c>
      <c r="BX455" t="s">
        <v>69</v>
      </c>
      <c r="BY455" t="s">
        <v>69</v>
      </c>
      <c r="BZ455" t="s">
        <v>8526</v>
      </c>
      <c r="CA455" t="str">
        <f>HYPERLINK("https%3A%2F%2Fwww.webofscience.com%2Fwos%2Fwoscc%2Ffull-record%2FWOS:000089787800006","View Full Record in Web of Science")</f>
        <v>View Full Record in Web of Science</v>
      </c>
    </row>
    <row r="456" spans="2:79" ht="12.5" x14ac:dyDescent="0.25">
      <c r="B456" t="s">
        <v>8495</v>
      </c>
      <c r="D456" s="7" t="s">
        <v>32933</v>
      </c>
      <c r="E456" s="7"/>
      <c r="F456" s="7"/>
      <c r="G456" s="7"/>
      <c r="H456" t="s">
        <v>67</v>
      </c>
      <c r="I456" t="s">
        <v>5812</v>
      </c>
      <c r="J456" t="s">
        <v>69</v>
      </c>
      <c r="K456" t="s">
        <v>69</v>
      </c>
      <c r="L456" t="s">
        <v>69</v>
      </c>
      <c r="M456" t="s">
        <v>5812</v>
      </c>
      <c r="N456" t="s">
        <v>69</v>
      </c>
      <c r="O456" t="s">
        <v>69</v>
      </c>
      <c r="P456" t="s">
        <v>5813</v>
      </c>
      <c r="Q456" t="s">
        <v>5814</v>
      </c>
      <c r="R456" t="s">
        <v>69</v>
      </c>
      <c r="S456" t="s">
        <v>69</v>
      </c>
      <c r="T456" t="s">
        <v>8505</v>
      </c>
      <c r="U456" t="s">
        <v>8506</v>
      </c>
      <c r="V456" t="s">
        <v>69</v>
      </c>
      <c r="W456" t="s">
        <v>69</v>
      </c>
      <c r="X456" t="s">
        <v>69</v>
      </c>
      <c r="Y456" t="s">
        <v>69</v>
      </c>
      <c r="Z456" t="s">
        <v>69</v>
      </c>
      <c r="AA456" t="s">
        <v>32004</v>
      </c>
      <c r="AB456" t="s">
        <v>69</v>
      </c>
      <c r="AC456" t="s">
        <v>5815</v>
      </c>
      <c r="AD456" t="s">
        <v>32005</v>
      </c>
      <c r="AE456" t="s">
        <v>69</v>
      </c>
      <c r="AF456" t="s">
        <v>32006</v>
      </c>
      <c r="AG456" t="s">
        <v>69</v>
      </c>
      <c r="AH456" t="s">
        <v>69</v>
      </c>
      <c r="AI456" t="s">
        <v>69</v>
      </c>
      <c r="AJ456" t="s">
        <v>69</v>
      </c>
      <c r="AK456" t="s">
        <v>69</v>
      </c>
      <c r="AL456" t="s">
        <v>69</v>
      </c>
      <c r="AM456" t="s">
        <v>69</v>
      </c>
      <c r="AN456">
        <v>7</v>
      </c>
      <c r="AO456">
        <v>16</v>
      </c>
      <c r="AP456">
        <v>16</v>
      </c>
      <c r="AQ456">
        <v>0</v>
      </c>
      <c r="AR456">
        <v>3</v>
      </c>
      <c r="AS456" t="s">
        <v>21167</v>
      </c>
      <c r="AT456" t="s">
        <v>9979</v>
      </c>
      <c r="AU456" t="s">
        <v>32007</v>
      </c>
      <c r="AV456" t="s">
        <v>5816</v>
      </c>
      <c r="AW456" t="s">
        <v>69</v>
      </c>
      <c r="AX456" t="s">
        <v>69</v>
      </c>
      <c r="AY456" t="s">
        <v>21171</v>
      </c>
      <c r="AZ456" t="s">
        <v>21172</v>
      </c>
      <c r="BA456" t="s">
        <v>191</v>
      </c>
      <c r="BB456">
        <v>1999</v>
      </c>
      <c r="BC456">
        <v>8</v>
      </c>
      <c r="BD456">
        <v>1</v>
      </c>
      <c r="BE456" t="s">
        <v>69</v>
      </c>
      <c r="BF456" t="s">
        <v>69</v>
      </c>
      <c r="BG456" t="s">
        <v>69</v>
      </c>
      <c r="BH456" t="s">
        <v>69</v>
      </c>
      <c r="BI456">
        <v>75</v>
      </c>
      <c r="BJ456">
        <v>88</v>
      </c>
      <c r="BK456" t="s">
        <v>69</v>
      </c>
      <c r="BL456" t="s">
        <v>5817</v>
      </c>
      <c r="BM456" t="str">
        <f>HYPERLINK("http://dx.doi.org/10.3197/096327199129341725","http://dx.doi.org/10.3197/096327199129341725")</f>
        <v>http://dx.doi.org/10.3197/096327199129341725</v>
      </c>
      <c r="BN456" t="s">
        <v>69</v>
      </c>
      <c r="BO456" t="s">
        <v>69</v>
      </c>
      <c r="BP456">
        <v>14</v>
      </c>
      <c r="BQ456" t="s">
        <v>21174</v>
      </c>
      <c r="BR456" t="s">
        <v>8661</v>
      </c>
      <c r="BS456" t="s">
        <v>21175</v>
      </c>
      <c r="BT456" t="s">
        <v>32008</v>
      </c>
      <c r="BU456" t="s">
        <v>5818</v>
      </c>
      <c r="BV456" t="s">
        <v>69</v>
      </c>
      <c r="BW456" t="s">
        <v>69</v>
      </c>
      <c r="BX456" t="s">
        <v>69</v>
      </c>
      <c r="BY456" t="s">
        <v>69</v>
      </c>
      <c r="BZ456" t="s">
        <v>8526</v>
      </c>
      <c r="CA456" t="str">
        <f>HYPERLINK("https%3A%2F%2Fwww.webofscience.com%2Fwos%2Fwoscc%2Ffull-record%2FWOS:000078993500005","View Full Record in Web of Science")</f>
        <v>View Full Record in Web of Science</v>
      </c>
    </row>
    <row r="457" spans="2:79" ht="12.5" x14ac:dyDescent="0.25">
      <c r="B457" t="s">
        <v>8495</v>
      </c>
      <c r="D457" s="7" t="s">
        <v>32933</v>
      </c>
      <c r="E457" s="7"/>
      <c r="F457" s="7"/>
      <c r="G457" s="7"/>
      <c r="H457" t="s">
        <v>67</v>
      </c>
      <c r="I457" t="s">
        <v>7319</v>
      </c>
      <c r="J457" t="s">
        <v>69</v>
      </c>
      <c r="K457" t="s">
        <v>69</v>
      </c>
      <c r="L457" t="s">
        <v>69</v>
      </c>
      <c r="M457" t="s">
        <v>7319</v>
      </c>
      <c r="N457" t="s">
        <v>69</v>
      </c>
      <c r="O457" t="s">
        <v>69</v>
      </c>
      <c r="P457" t="s">
        <v>7320</v>
      </c>
      <c r="Q457" t="s">
        <v>7321</v>
      </c>
      <c r="R457" t="s">
        <v>69</v>
      </c>
      <c r="S457" t="s">
        <v>69</v>
      </c>
      <c r="T457" t="s">
        <v>8505</v>
      </c>
      <c r="U457" t="s">
        <v>8506</v>
      </c>
      <c r="V457" t="s">
        <v>69</v>
      </c>
      <c r="W457" t="s">
        <v>69</v>
      </c>
      <c r="X457" t="s">
        <v>69</v>
      </c>
      <c r="Y457" t="s">
        <v>69</v>
      </c>
      <c r="Z457" t="s">
        <v>69</v>
      </c>
      <c r="AA457" t="s">
        <v>69</v>
      </c>
      <c r="AB457" t="s">
        <v>69</v>
      </c>
      <c r="AC457" t="s">
        <v>7322</v>
      </c>
      <c r="AD457" t="s">
        <v>69</v>
      </c>
      <c r="AE457" t="s">
        <v>69</v>
      </c>
      <c r="AF457" t="s">
        <v>69</v>
      </c>
      <c r="AG457" t="s">
        <v>69</v>
      </c>
      <c r="AH457" t="s">
        <v>69</v>
      </c>
      <c r="AI457" t="s">
        <v>69</v>
      </c>
      <c r="AJ457" t="s">
        <v>69</v>
      </c>
      <c r="AK457" t="s">
        <v>69</v>
      </c>
      <c r="AL457" t="s">
        <v>69</v>
      </c>
      <c r="AM457" t="s">
        <v>69</v>
      </c>
      <c r="AN457">
        <v>2</v>
      </c>
      <c r="AO457">
        <v>0</v>
      </c>
      <c r="AP457">
        <v>0</v>
      </c>
      <c r="AQ457">
        <v>0</v>
      </c>
      <c r="AR457">
        <v>10</v>
      </c>
      <c r="AS457" t="s">
        <v>32882</v>
      </c>
      <c r="AT457" t="s">
        <v>8693</v>
      </c>
      <c r="AU457" t="s">
        <v>32883</v>
      </c>
      <c r="AV457" t="s">
        <v>7323</v>
      </c>
      <c r="AW457" t="s">
        <v>69</v>
      </c>
      <c r="AX457" t="s">
        <v>69</v>
      </c>
      <c r="AY457" t="s">
        <v>32884</v>
      </c>
      <c r="AZ457" t="s">
        <v>69</v>
      </c>
      <c r="BA457" t="s">
        <v>69</v>
      </c>
      <c r="BB457">
        <v>1992</v>
      </c>
      <c r="BC457">
        <v>15</v>
      </c>
      <c r="BD457" t="s">
        <v>1812</v>
      </c>
      <c r="BE457" t="s">
        <v>69</v>
      </c>
      <c r="BF457" t="s">
        <v>69</v>
      </c>
      <c r="BG457" t="s">
        <v>69</v>
      </c>
      <c r="BH457" t="s">
        <v>69</v>
      </c>
      <c r="BI457">
        <v>1</v>
      </c>
      <c r="BJ457">
        <v>1049</v>
      </c>
      <c r="BK457" t="s">
        <v>69</v>
      </c>
      <c r="BL457" t="s">
        <v>7324</v>
      </c>
      <c r="BM457" t="str">
        <f>HYPERLINK("http://dx.doi.org/10.1080/01900699208524744","http://dx.doi.org/10.1080/01900699208524744")</f>
        <v>http://dx.doi.org/10.1080/01900699208524744</v>
      </c>
      <c r="BN457" t="s">
        <v>69</v>
      </c>
      <c r="BO457" t="s">
        <v>69</v>
      </c>
      <c r="BP457">
        <v>1049</v>
      </c>
      <c r="BQ457" t="s">
        <v>12182</v>
      </c>
      <c r="BR457" t="s">
        <v>8661</v>
      </c>
      <c r="BS457" t="s">
        <v>12182</v>
      </c>
      <c r="BT457" t="s">
        <v>32885</v>
      </c>
      <c r="BU457" t="s">
        <v>7325</v>
      </c>
      <c r="BV457" t="s">
        <v>69</v>
      </c>
      <c r="BW457" t="s">
        <v>69</v>
      </c>
      <c r="BX457" t="s">
        <v>69</v>
      </c>
      <c r="BY457" t="s">
        <v>69</v>
      </c>
      <c r="BZ457" t="s">
        <v>8526</v>
      </c>
      <c r="CA457" t="str">
        <f>HYPERLINK("https%3A%2F%2Fwww.webofscience.com%2Fwos%2Fwoscc%2Ffull-record%2FWOS:A1992HK75700001","View Full Record in Web of Science")</f>
        <v>View Full Record in Web of Science</v>
      </c>
    </row>
    <row r="458" spans="2:79" ht="12.5" x14ac:dyDescent="0.25">
      <c r="B458" t="s">
        <v>8495</v>
      </c>
      <c r="D458" s="7" t="s">
        <v>32933</v>
      </c>
      <c r="E458" s="7"/>
      <c r="F458" s="7"/>
      <c r="G458" s="7"/>
      <c r="H458" t="s">
        <v>67</v>
      </c>
      <c r="I458" t="s">
        <v>6128</v>
      </c>
      <c r="J458" t="s">
        <v>69</v>
      </c>
      <c r="K458" t="s">
        <v>69</v>
      </c>
      <c r="L458" t="s">
        <v>69</v>
      </c>
      <c r="M458" t="s">
        <v>6128</v>
      </c>
      <c r="N458" t="s">
        <v>69</v>
      </c>
      <c r="O458" t="s">
        <v>69</v>
      </c>
      <c r="P458" t="s">
        <v>6129</v>
      </c>
      <c r="Q458" t="s">
        <v>6130</v>
      </c>
      <c r="R458" t="s">
        <v>69</v>
      </c>
      <c r="S458" t="s">
        <v>69</v>
      </c>
      <c r="T458" t="s">
        <v>8505</v>
      </c>
      <c r="U458" t="s">
        <v>8506</v>
      </c>
      <c r="V458" t="s">
        <v>69</v>
      </c>
      <c r="W458" t="s">
        <v>69</v>
      </c>
      <c r="X458" t="s">
        <v>69</v>
      </c>
      <c r="Y458" t="s">
        <v>69</v>
      </c>
      <c r="Z458" t="s">
        <v>69</v>
      </c>
      <c r="AA458" t="s">
        <v>69</v>
      </c>
      <c r="AB458" t="s">
        <v>69</v>
      </c>
      <c r="AC458" t="s">
        <v>6131</v>
      </c>
      <c r="AD458" t="s">
        <v>31779</v>
      </c>
      <c r="AE458" t="s">
        <v>69</v>
      </c>
      <c r="AF458" t="s">
        <v>31780</v>
      </c>
      <c r="AG458" t="s">
        <v>69</v>
      </c>
      <c r="AH458" t="s">
        <v>69</v>
      </c>
      <c r="AI458" t="s">
        <v>69</v>
      </c>
      <c r="AJ458" t="s">
        <v>69</v>
      </c>
      <c r="AK458" t="s">
        <v>69</v>
      </c>
      <c r="AL458" t="s">
        <v>69</v>
      </c>
      <c r="AM458" t="s">
        <v>69</v>
      </c>
      <c r="AN458">
        <v>48</v>
      </c>
      <c r="AO458">
        <v>7</v>
      </c>
      <c r="AP458">
        <v>7</v>
      </c>
      <c r="AQ458">
        <v>0</v>
      </c>
      <c r="AR458">
        <v>5</v>
      </c>
      <c r="AS458" t="s">
        <v>8539</v>
      </c>
      <c r="AT458" t="s">
        <v>8693</v>
      </c>
      <c r="AU458" t="s">
        <v>31781</v>
      </c>
      <c r="AV458" t="s">
        <v>6132</v>
      </c>
      <c r="AW458" t="s">
        <v>69</v>
      </c>
      <c r="AX458" t="s">
        <v>69</v>
      </c>
      <c r="AY458" t="s">
        <v>18983</v>
      </c>
      <c r="AZ458" t="s">
        <v>18984</v>
      </c>
      <c r="BA458" t="s">
        <v>84</v>
      </c>
      <c r="BB458">
        <v>2000</v>
      </c>
      <c r="BC458">
        <v>126</v>
      </c>
      <c r="BD458">
        <v>3</v>
      </c>
      <c r="BE458" t="s">
        <v>69</v>
      </c>
      <c r="BF458" t="s">
        <v>69</v>
      </c>
      <c r="BG458" t="s">
        <v>69</v>
      </c>
      <c r="BH458" t="s">
        <v>69</v>
      </c>
      <c r="BI458">
        <v>116</v>
      </c>
      <c r="BJ458">
        <v>124</v>
      </c>
      <c r="BK458" t="s">
        <v>69</v>
      </c>
      <c r="BL458" t="s">
        <v>6133</v>
      </c>
      <c r="BM458" t="str">
        <f>HYPERLINK("http://dx.doi.org/10.1061/(ASCE)1052-3928(2000)126:3(116)","http://dx.doi.org/10.1061/(ASCE)1052-3928(2000)126:3(116)")</f>
        <v>http://dx.doi.org/10.1061/(ASCE)1052-3928(2000)126:3(116)</v>
      </c>
      <c r="BN458" t="s">
        <v>69</v>
      </c>
      <c r="BO458" t="s">
        <v>69</v>
      </c>
      <c r="BP458">
        <v>9</v>
      </c>
      <c r="BQ458" t="s">
        <v>18986</v>
      </c>
      <c r="BR458" t="s">
        <v>8548</v>
      </c>
      <c r="BS458" t="s">
        <v>18987</v>
      </c>
      <c r="BT458" t="s">
        <v>31782</v>
      </c>
      <c r="BU458" t="s">
        <v>6134</v>
      </c>
      <c r="BV458" t="s">
        <v>69</v>
      </c>
      <c r="BW458" t="s">
        <v>69</v>
      </c>
      <c r="BX458" t="s">
        <v>69</v>
      </c>
      <c r="BY458" t="s">
        <v>69</v>
      </c>
      <c r="BZ458" t="s">
        <v>8526</v>
      </c>
      <c r="CA458" t="str">
        <f>HYPERLINK("https%3A%2F%2Fwww.webofscience.com%2Fwos%2Fwoscc%2Ffull-record%2FWOS:000087848500009","View Full Record in Web of Science")</f>
        <v>View Full Record in Web of Science</v>
      </c>
    </row>
    <row r="459" spans="2:79" ht="12.5" x14ac:dyDescent="0.25">
      <c r="B459" t="s">
        <v>8495</v>
      </c>
      <c r="D459" s="22" t="s">
        <v>32931</v>
      </c>
      <c r="E459" s="7"/>
      <c r="F459" s="7"/>
      <c r="G459" s="7"/>
      <c r="H459" t="s">
        <v>67</v>
      </c>
      <c r="I459" t="s">
        <v>26608</v>
      </c>
      <c r="J459" t="s">
        <v>69</v>
      </c>
      <c r="K459" t="s">
        <v>69</v>
      </c>
      <c r="L459" t="s">
        <v>69</v>
      </c>
      <c r="M459" t="s">
        <v>26609</v>
      </c>
      <c r="N459" t="s">
        <v>69</v>
      </c>
      <c r="O459" t="s">
        <v>69</v>
      </c>
      <c r="P459" t="s">
        <v>26610</v>
      </c>
      <c r="Q459" t="s">
        <v>26593</v>
      </c>
      <c r="R459" t="s">
        <v>69</v>
      </c>
      <c r="S459" t="s">
        <v>69</v>
      </c>
      <c r="T459" t="s">
        <v>8505</v>
      </c>
      <c r="U459" t="s">
        <v>8506</v>
      </c>
      <c r="V459" t="s">
        <v>69</v>
      </c>
      <c r="W459" t="s">
        <v>69</v>
      </c>
      <c r="X459" t="s">
        <v>69</v>
      </c>
      <c r="Y459" t="s">
        <v>69</v>
      </c>
      <c r="Z459" t="s">
        <v>69</v>
      </c>
      <c r="AA459" t="s">
        <v>69</v>
      </c>
      <c r="AB459" t="s">
        <v>26611</v>
      </c>
      <c r="AC459" t="s">
        <v>26612</v>
      </c>
      <c r="AD459" t="s">
        <v>26613</v>
      </c>
      <c r="AE459" t="s">
        <v>69</v>
      </c>
      <c r="AF459" t="s">
        <v>26614</v>
      </c>
      <c r="AG459" t="s">
        <v>26615</v>
      </c>
      <c r="AH459" t="s">
        <v>69</v>
      </c>
      <c r="AI459" t="s">
        <v>69</v>
      </c>
      <c r="AJ459" t="s">
        <v>69</v>
      </c>
      <c r="AK459" t="s">
        <v>69</v>
      </c>
      <c r="AL459" t="s">
        <v>69</v>
      </c>
      <c r="AM459" t="s">
        <v>69</v>
      </c>
      <c r="AN459">
        <v>35</v>
      </c>
      <c r="AO459">
        <v>1</v>
      </c>
      <c r="AP459">
        <v>1</v>
      </c>
      <c r="AQ459">
        <v>1</v>
      </c>
      <c r="AR459">
        <v>1</v>
      </c>
      <c r="AS459" t="s">
        <v>18730</v>
      </c>
      <c r="AT459" t="s">
        <v>18731</v>
      </c>
      <c r="AU459" t="s">
        <v>18732</v>
      </c>
      <c r="AV459" t="s">
        <v>26601</v>
      </c>
      <c r="AW459" t="s">
        <v>26602</v>
      </c>
      <c r="AX459" t="s">
        <v>69</v>
      </c>
      <c r="AY459" t="s">
        <v>26603</v>
      </c>
      <c r="AZ459" t="s">
        <v>26604</v>
      </c>
      <c r="BA459" t="s">
        <v>69</v>
      </c>
      <c r="BB459">
        <v>2012</v>
      </c>
      <c r="BC459">
        <v>38</v>
      </c>
      <c r="BD459">
        <v>2</v>
      </c>
      <c r="BE459" t="s">
        <v>69</v>
      </c>
      <c r="BF459" t="s">
        <v>69</v>
      </c>
      <c r="BG459" t="s">
        <v>69</v>
      </c>
      <c r="BH459" t="s">
        <v>69</v>
      </c>
      <c r="BI459" t="s">
        <v>69</v>
      </c>
      <c r="BJ459" t="s">
        <v>69</v>
      </c>
      <c r="BK459">
        <v>1000</v>
      </c>
      <c r="BL459" t="s">
        <v>26616</v>
      </c>
      <c r="BM459" t="str">
        <f>HYPERLINK("http://dx.doi.org/10.4102/sajip.v38i2.1000","http://dx.doi.org/10.4102/sajip.v38i2.1000")</f>
        <v>http://dx.doi.org/10.4102/sajip.v38i2.1000</v>
      </c>
      <c r="BN459" t="s">
        <v>69</v>
      </c>
      <c r="BO459" t="s">
        <v>69</v>
      </c>
      <c r="BP459">
        <v>9</v>
      </c>
      <c r="BQ459" t="s">
        <v>15649</v>
      </c>
      <c r="BR459" t="s">
        <v>8573</v>
      </c>
      <c r="BS459" t="s">
        <v>9001</v>
      </c>
      <c r="BT459" t="s">
        <v>26606</v>
      </c>
      <c r="BU459" t="s">
        <v>26617</v>
      </c>
      <c r="BV459" t="s">
        <v>69</v>
      </c>
      <c r="BW459" t="s">
        <v>11853</v>
      </c>
      <c r="BX459" t="s">
        <v>69</v>
      </c>
      <c r="BY459" t="s">
        <v>69</v>
      </c>
      <c r="BZ459" t="s">
        <v>8526</v>
      </c>
      <c r="CA459" t="str">
        <f>HYPERLINK("https%3A%2F%2Fwww.webofscience.com%2Fwos%2Fwoscc%2Ffull-record%2FWOS:000217105100001","View Full Record in Web of Science")</f>
        <v>View Full Record in Web of Science</v>
      </c>
    </row>
    <row r="460" spans="2:79" ht="12.5" x14ac:dyDescent="0.25">
      <c r="B460" t="s">
        <v>8495</v>
      </c>
      <c r="D460" s="22" t="s">
        <v>32931</v>
      </c>
      <c r="E460" s="7"/>
      <c r="F460" s="7"/>
      <c r="G460" s="7"/>
      <c r="H460" t="s">
        <v>67</v>
      </c>
      <c r="I460" t="s">
        <v>17445</v>
      </c>
      <c r="J460" t="s">
        <v>69</v>
      </c>
      <c r="K460" t="s">
        <v>69</v>
      </c>
      <c r="L460" t="s">
        <v>69</v>
      </c>
      <c r="M460" t="s">
        <v>17446</v>
      </c>
      <c r="N460" t="s">
        <v>69</v>
      </c>
      <c r="O460" t="s">
        <v>69</v>
      </c>
      <c r="P460" t="s">
        <v>17447</v>
      </c>
      <c r="Q460" t="s">
        <v>151</v>
      </c>
      <c r="R460" t="s">
        <v>69</v>
      </c>
      <c r="S460" t="s">
        <v>69</v>
      </c>
      <c r="T460" t="s">
        <v>8505</v>
      </c>
      <c r="U460" t="s">
        <v>8442</v>
      </c>
      <c r="V460" t="s">
        <v>69</v>
      </c>
      <c r="W460" t="s">
        <v>69</v>
      </c>
      <c r="X460" t="s">
        <v>69</v>
      </c>
      <c r="Y460" t="s">
        <v>69</v>
      </c>
      <c r="Z460" t="s">
        <v>69</v>
      </c>
      <c r="AA460" t="s">
        <v>17448</v>
      </c>
      <c r="AB460" t="s">
        <v>17449</v>
      </c>
      <c r="AC460" t="s">
        <v>17450</v>
      </c>
      <c r="AD460" t="s">
        <v>17451</v>
      </c>
      <c r="AE460" t="s">
        <v>69</v>
      </c>
      <c r="AF460" t="s">
        <v>17452</v>
      </c>
      <c r="AG460" t="s">
        <v>17453</v>
      </c>
      <c r="AH460" t="s">
        <v>17454</v>
      </c>
      <c r="AI460" t="s">
        <v>17455</v>
      </c>
      <c r="AJ460" t="s">
        <v>17456</v>
      </c>
      <c r="AK460" t="s">
        <v>17457</v>
      </c>
      <c r="AL460" t="s">
        <v>17458</v>
      </c>
      <c r="AM460" t="s">
        <v>69</v>
      </c>
      <c r="AN460">
        <v>76</v>
      </c>
      <c r="AO460">
        <v>10</v>
      </c>
      <c r="AP460">
        <v>10</v>
      </c>
      <c r="AQ460">
        <v>2</v>
      </c>
      <c r="AR460">
        <v>15</v>
      </c>
      <c r="AS460" t="s">
        <v>9145</v>
      </c>
      <c r="AT460" t="s">
        <v>8637</v>
      </c>
      <c r="AU460" t="s">
        <v>9146</v>
      </c>
      <c r="AV460" t="s">
        <v>154</v>
      </c>
      <c r="AW460" t="s">
        <v>69</v>
      </c>
      <c r="AX460" t="s">
        <v>69</v>
      </c>
      <c r="AY460" t="s">
        <v>12762</v>
      </c>
      <c r="AZ460" t="s">
        <v>12763</v>
      </c>
      <c r="BA460" t="s">
        <v>246</v>
      </c>
      <c r="BB460">
        <v>2019</v>
      </c>
      <c r="BC460">
        <v>104</v>
      </c>
      <c r="BD460" t="s">
        <v>69</v>
      </c>
      <c r="BE460" t="s">
        <v>69</v>
      </c>
      <c r="BF460" t="s">
        <v>69</v>
      </c>
      <c r="BG460" t="s">
        <v>69</v>
      </c>
      <c r="BH460" t="s">
        <v>69</v>
      </c>
      <c r="BI460">
        <v>429</v>
      </c>
      <c r="BJ460">
        <v>438</v>
      </c>
      <c r="BK460" t="s">
        <v>69</v>
      </c>
      <c r="BL460" t="s">
        <v>17459</v>
      </c>
      <c r="BM460" t="str">
        <f>HYPERLINK("http://dx.doi.org/10.1016/j.rser.2019.01.041","http://dx.doi.org/10.1016/j.rser.2019.01.041")</f>
        <v>http://dx.doi.org/10.1016/j.rser.2019.01.041</v>
      </c>
      <c r="BN460" t="s">
        <v>69</v>
      </c>
      <c r="BO460" t="s">
        <v>69</v>
      </c>
      <c r="BP460">
        <v>10</v>
      </c>
      <c r="BQ460" t="s">
        <v>9931</v>
      </c>
      <c r="BR460" t="s">
        <v>8523</v>
      </c>
      <c r="BS460" t="s">
        <v>9932</v>
      </c>
      <c r="BT460" t="s">
        <v>17460</v>
      </c>
      <c r="BU460" t="s">
        <v>17461</v>
      </c>
      <c r="BV460" t="s">
        <v>69</v>
      </c>
      <c r="BW460" t="s">
        <v>69</v>
      </c>
      <c r="BX460" t="s">
        <v>69</v>
      </c>
      <c r="BY460" t="s">
        <v>69</v>
      </c>
      <c r="BZ460" t="s">
        <v>8526</v>
      </c>
      <c r="CA460" t="str">
        <f>HYPERLINK("https%3A%2F%2Fwww.webofscience.com%2Fwos%2Fwoscc%2Ffull-record%2FWOS:000458294500032","View Full Record in Web of Science")</f>
        <v>View Full Record in Web of Science</v>
      </c>
    </row>
    <row r="461" spans="2:79" ht="12.5" x14ac:dyDescent="0.25">
      <c r="B461" t="s">
        <v>8495</v>
      </c>
      <c r="D461" s="7" t="s">
        <v>32933</v>
      </c>
      <c r="E461" s="7"/>
      <c r="F461" s="7"/>
      <c r="G461" s="7"/>
      <c r="H461" t="s">
        <v>67</v>
      </c>
      <c r="I461" t="s">
        <v>7616</v>
      </c>
      <c r="J461" t="s">
        <v>69</v>
      </c>
      <c r="K461" t="s">
        <v>69</v>
      </c>
      <c r="L461" t="s">
        <v>69</v>
      </c>
      <c r="M461" t="s">
        <v>7617</v>
      </c>
      <c r="N461" t="s">
        <v>69</v>
      </c>
      <c r="O461" t="s">
        <v>69</v>
      </c>
      <c r="P461" t="s">
        <v>7618</v>
      </c>
      <c r="Q461" t="s">
        <v>100</v>
      </c>
      <c r="R461" t="s">
        <v>69</v>
      </c>
      <c r="S461" t="s">
        <v>69</v>
      </c>
      <c r="T461" t="s">
        <v>8505</v>
      </c>
      <c r="U461" t="s">
        <v>8506</v>
      </c>
      <c r="V461" t="s">
        <v>69</v>
      </c>
      <c r="W461" t="s">
        <v>69</v>
      </c>
      <c r="X461" t="s">
        <v>69</v>
      </c>
      <c r="Y461" t="s">
        <v>69</v>
      </c>
      <c r="Z461" t="s">
        <v>69</v>
      </c>
      <c r="AA461" t="s">
        <v>15463</v>
      </c>
      <c r="AB461" t="s">
        <v>69</v>
      </c>
      <c r="AC461" t="s">
        <v>7619</v>
      </c>
      <c r="AD461" t="s">
        <v>15464</v>
      </c>
      <c r="AE461" t="s">
        <v>69</v>
      </c>
      <c r="AF461" t="s">
        <v>15465</v>
      </c>
      <c r="AG461" t="s">
        <v>15466</v>
      </c>
      <c r="AH461" t="s">
        <v>7620</v>
      </c>
      <c r="AI461" t="s">
        <v>15467</v>
      </c>
      <c r="AJ461" t="s">
        <v>69</v>
      </c>
      <c r="AK461" t="s">
        <v>69</v>
      </c>
      <c r="AL461" t="s">
        <v>69</v>
      </c>
      <c r="AM461" t="s">
        <v>69</v>
      </c>
      <c r="AN461">
        <v>10</v>
      </c>
      <c r="AO461">
        <v>4</v>
      </c>
      <c r="AP461">
        <v>4</v>
      </c>
      <c r="AQ461">
        <v>2</v>
      </c>
      <c r="AR461">
        <v>16</v>
      </c>
      <c r="AS461" t="s">
        <v>9091</v>
      </c>
      <c r="AT461" t="s">
        <v>8763</v>
      </c>
      <c r="AU461" t="s">
        <v>15468</v>
      </c>
      <c r="AV461" t="s">
        <v>102</v>
      </c>
      <c r="AW461" t="s">
        <v>103</v>
      </c>
      <c r="AX461" t="s">
        <v>69</v>
      </c>
      <c r="AY461" t="s">
        <v>15469</v>
      </c>
      <c r="AZ461" t="s">
        <v>15470</v>
      </c>
      <c r="BA461" t="s">
        <v>3848</v>
      </c>
      <c r="BB461">
        <v>2020</v>
      </c>
      <c r="BC461">
        <v>81</v>
      </c>
      <c r="BD461">
        <v>7</v>
      </c>
      <c r="BE461" t="s">
        <v>69</v>
      </c>
      <c r="BF461" t="s">
        <v>69</v>
      </c>
      <c r="BG461" t="s">
        <v>69</v>
      </c>
      <c r="BH461" t="s">
        <v>69</v>
      </c>
      <c r="BI461">
        <v>1398</v>
      </c>
      <c r="BJ461">
        <v>1405</v>
      </c>
      <c r="BK461" t="s">
        <v>69</v>
      </c>
      <c r="BL461" t="s">
        <v>7621</v>
      </c>
      <c r="BM461" t="str">
        <f>HYPERLINK("http://dx.doi.org/10.2166/wst.2020.212","http://dx.doi.org/10.2166/wst.2020.212")</f>
        <v>http://dx.doi.org/10.2166/wst.2020.212</v>
      </c>
      <c r="BN461" t="s">
        <v>69</v>
      </c>
      <c r="BO461" t="s">
        <v>69</v>
      </c>
      <c r="BP461">
        <v>8</v>
      </c>
      <c r="BQ461" t="s">
        <v>10687</v>
      </c>
      <c r="BR461" t="s">
        <v>8548</v>
      </c>
      <c r="BS461" t="s">
        <v>10688</v>
      </c>
      <c r="BT461" t="s">
        <v>15471</v>
      </c>
      <c r="BU461" t="s">
        <v>7622</v>
      </c>
      <c r="BV461">
        <v>32616692</v>
      </c>
      <c r="BW461" t="s">
        <v>9374</v>
      </c>
      <c r="BX461" t="s">
        <v>69</v>
      </c>
      <c r="BY461" t="s">
        <v>69</v>
      </c>
      <c r="BZ461" t="s">
        <v>8526</v>
      </c>
      <c r="CA461" t="str">
        <f>HYPERLINK("https%3A%2F%2Fwww.webofscience.com%2Fwos%2Fwoscc%2Ffull-record%2FWOS:000550099400009","View Full Record in Web of Science")</f>
        <v>View Full Record in Web of Science</v>
      </c>
    </row>
    <row r="462" spans="2:79" ht="12.5" x14ac:dyDescent="0.25">
      <c r="B462" t="s">
        <v>8495</v>
      </c>
      <c r="D462" s="22" t="s">
        <v>32931</v>
      </c>
      <c r="E462" s="7"/>
      <c r="F462" s="7"/>
      <c r="G462" s="7"/>
      <c r="H462" t="s">
        <v>67</v>
      </c>
      <c r="I462" t="s">
        <v>25289</v>
      </c>
      <c r="J462" t="s">
        <v>69</v>
      </c>
      <c r="K462" t="s">
        <v>69</v>
      </c>
      <c r="L462" t="s">
        <v>69</v>
      </c>
      <c r="M462" t="s">
        <v>25290</v>
      </c>
      <c r="N462" t="s">
        <v>69</v>
      </c>
      <c r="O462" t="s">
        <v>69</v>
      </c>
      <c r="P462" t="s">
        <v>25291</v>
      </c>
      <c r="Q462" t="s">
        <v>25292</v>
      </c>
      <c r="R462" t="s">
        <v>69</v>
      </c>
      <c r="S462" t="s">
        <v>69</v>
      </c>
      <c r="T462" t="s">
        <v>8505</v>
      </c>
      <c r="U462" t="s">
        <v>8506</v>
      </c>
      <c r="V462" t="s">
        <v>69</v>
      </c>
      <c r="W462" t="s">
        <v>69</v>
      </c>
      <c r="X462" t="s">
        <v>69</v>
      </c>
      <c r="Y462" t="s">
        <v>69</v>
      </c>
      <c r="Z462" t="s">
        <v>69</v>
      </c>
      <c r="AA462" t="s">
        <v>25293</v>
      </c>
      <c r="AB462" t="s">
        <v>25294</v>
      </c>
      <c r="AC462" t="s">
        <v>25295</v>
      </c>
      <c r="AD462" t="s">
        <v>25296</v>
      </c>
      <c r="AE462" t="s">
        <v>69</v>
      </c>
      <c r="AF462" t="s">
        <v>25297</v>
      </c>
      <c r="AG462" t="s">
        <v>25298</v>
      </c>
      <c r="AH462" t="s">
        <v>69</v>
      </c>
      <c r="AI462" t="s">
        <v>25299</v>
      </c>
      <c r="AJ462" t="s">
        <v>69</v>
      </c>
      <c r="AK462" t="s">
        <v>69</v>
      </c>
      <c r="AL462" t="s">
        <v>69</v>
      </c>
      <c r="AM462" t="s">
        <v>69</v>
      </c>
      <c r="AN462">
        <v>72</v>
      </c>
      <c r="AO462">
        <v>3</v>
      </c>
      <c r="AP462">
        <v>3</v>
      </c>
      <c r="AQ462">
        <v>0</v>
      </c>
      <c r="AR462">
        <v>33</v>
      </c>
      <c r="AS462" t="s">
        <v>8586</v>
      </c>
      <c r="AT462" t="s">
        <v>8587</v>
      </c>
      <c r="AU462" t="s">
        <v>8588</v>
      </c>
      <c r="AV462" t="s">
        <v>25300</v>
      </c>
      <c r="AW462" t="s">
        <v>69</v>
      </c>
      <c r="AX462" t="s">
        <v>69</v>
      </c>
      <c r="AY462" t="s">
        <v>25301</v>
      </c>
      <c r="AZ462" t="s">
        <v>25302</v>
      </c>
      <c r="BA462" t="s">
        <v>69</v>
      </c>
      <c r="BB462">
        <v>2013</v>
      </c>
      <c r="BC462">
        <v>27</v>
      </c>
      <c r="BD462">
        <v>5</v>
      </c>
      <c r="BE462" t="s">
        <v>69</v>
      </c>
      <c r="BF462" t="s">
        <v>69</v>
      </c>
      <c r="BG462" t="s">
        <v>69</v>
      </c>
      <c r="BH462" t="s">
        <v>69</v>
      </c>
      <c r="BI462">
        <v>416</v>
      </c>
      <c r="BJ462">
        <v>428</v>
      </c>
      <c r="BK462" t="s">
        <v>69</v>
      </c>
      <c r="BL462" t="s">
        <v>25303</v>
      </c>
      <c r="BM462" t="str">
        <f>HYPERLINK("http://dx.doi.org/10.1108/JSM-01-2012-0001","http://dx.doi.org/10.1108/JSM-01-2012-0001")</f>
        <v>http://dx.doi.org/10.1108/JSM-01-2012-0001</v>
      </c>
      <c r="BN462" t="s">
        <v>69</v>
      </c>
      <c r="BO462" t="s">
        <v>69</v>
      </c>
      <c r="BP462">
        <v>13</v>
      </c>
      <c r="BQ462" t="s">
        <v>8444</v>
      </c>
      <c r="BR462" t="s">
        <v>8661</v>
      </c>
      <c r="BS462" t="s">
        <v>8594</v>
      </c>
      <c r="BT462" t="s">
        <v>25304</v>
      </c>
      <c r="BU462" t="s">
        <v>25305</v>
      </c>
      <c r="BV462" t="s">
        <v>69</v>
      </c>
      <c r="BW462" t="s">
        <v>69</v>
      </c>
      <c r="BX462" t="s">
        <v>69</v>
      </c>
      <c r="BY462" t="s">
        <v>69</v>
      </c>
      <c r="BZ462" t="s">
        <v>8526</v>
      </c>
      <c r="CA462" t="str">
        <f>HYPERLINK("https%3A%2F%2Fwww.webofscience.com%2Fwos%2Fwoscc%2Ffull-record%2FWOS:000323870700006","View Full Record in Web of Science")</f>
        <v>View Full Record in Web of Science</v>
      </c>
    </row>
    <row r="463" spans="2:79" ht="12.5" x14ac:dyDescent="0.25">
      <c r="B463" t="s">
        <v>8495</v>
      </c>
      <c r="D463" s="7" t="s">
        <v>32933</v>
      </c>
      <c r="E463" s="7"/>
      <c r="F463" s="7"/>
      <c r="G463" s="7"/>
      <c r="H463" t="s">
        <v>67</v>
      </c>
      <c r="I463" t="s">
        <v>5581</v>
      </c>
      <c r="J463" t="s">
        <v>69</v>
      </c>
      <c r="K463" t="s">
        <v>69</v>
      </c>
      <c r="L463" t="s">
        <v>69</v>
      </c>
      <c r="M463" t="s">
        <v>5582</v>
      </c>
      <c r="N463" t="s">
        <v>69</v>
      </c>
      <c r="O463" t="s">
        <v>69</v>
      </c>
      <c r="P463" t="s">
        <v>5583</v>
      </c>
      <c r="Q463" t="s">
        <v>5584</v>
      </c>
      <c r="R463" t="s">
        <v>69</v>
      </c>
      <c r="S463" t="s">
        <v>69</v>
      </c>
      <c r="T463" t="s">
        <v>8505</v>
      </c>
      <c r="U463" t="s">
        <v>8506</v>
      </c>
      <c r="V463" t="s">
        <v>69</v>
      </c>
      <c r="W463" t="s">
        <v>69</v>
      </c>
      <c r="X463" t="s">
        <v>69</v>
      </c>
      <c r="Y463" t="s">
        <v>69</v>
      </c>
      <c r="Z463" t="s">
        <v>69</v>
      </c>
      <c r="AA463" t="s">
        <v>15879</v>
      </c>
      <c r="AB463" t="s">
        <v>15880</v>
      </c>
      <c r="AC463" t="s">
        <v>5585</v>
      </c>
      <c r="AD463" t="s">
        <v>15881</v>
      </c>
      <c r="AE463" t="s">
        <v>69</v>
      </c>
      <c r="AF463" t="s">
        <v>15882</v>
      </c>
      <c r="AG463" t="s">
        <v>15883</v>
      </c>
      <c r="AH463" t="s">
        <v>15884</v>
      </c>
      <c r="AI463" t="s">
        <v>5586</v>
      </c>
      <c r="AJ463" t="s">
        <v>69</v>
      </c>
      <c r="AK463" t="s">
        <v>69</v>
      </c>
      <c r="AL463" t="s">
        <v>69</v>
      </c>
      <c r="AM463" t="s">
        <v>69</v>
      </c>
      <c r="AN463">
        <v>36</v>
      </c>
      <c r="AO463">
        <v>0</v>
      </c>
      <c r="AP463">
        <v>0</v>
      </c>
      <c r="AQ463">
        <v>0</v>
      </c>
      <c r="AR463">
        <v>8</v>
      </c>
      <c r="AS463" t="s">
        <v>15885</v>
      </c>
      <c r="AT463" t="s">
        <v>15886</v>
      </c>
      <c r="AU463" t="s">
        <v>15887</v>
      </c>
      <c r="AV463" t="s">
        <v>5587</v>
      </c>
      <c r="AW463" t="s">
        <v>69</v>
      </c>
      <c r="AX463" t="s">
        <v>69</v>
      </c>
      <c r="AY463" t="s">
        <v>15888</v>
      </c>
      <c r="AZ463" t="s">
        <v>15889</v>
      </c>
      <c r="BA463" t="s">
        <v>191</v>
      </c>
      <c r="BB463">
        <v>2020</v>
      </c>
      <c r="BC463">
        <v>26</v>
      </c>
      <c r="BD463">
        <v>1</v>
      </c>
      <c r="BE463" t="s">
        <v>69</v>
      </c>
      <c r="BF463" t="s">
        <v>69</v>
      </c>
      <c r="BG463" t="s">
        <v>69</v>
      </c>
      <c r="BH463" t="s">
        <v>69</v>
      </c>
      <c r="BI463">
        <v>53</v>
      </c>
      <c r="BJ463">
        <v>60</v>
      </c>
      <c r="BK463" t="s">
        <v>69</v>
      </c>
      <c r="BL463" t="s">
        <v>69</v>
      </c>
      <c r="BM463" t="s">
        <v>69</v>
      </c>
      <c r="BN463" t="s">
        <v>69</v>
      </c>
      <c r="BO463" t="s">
        <v>69</v>
      </c>
      <c r="BP463">
        <v>8</v>
      </c>
      <c r="BQ463" t="s">
        <v>8717</v>
      </c>
      <c r="BR463" t="s">
        <v>8573</v>
      </c>
      <c r="BS463" t="s">
        <v>8662</v>
      </c>
      <c r="BT463" t="s">
        <v>15890</v>
      </c>
      <c r="BU463" t="s">
        <v>5588</v>
      </c>
      <c r="BV463" t="s">
        <v>69</v>
      </c>
      <c r="BW463" t="s">
        <v>69</v>
      </c>
      <c r="BX463" t="s">
        <v>69</v>
      </c>
      <c r="BY463" t="s">
        <v>69</v>
      </c>
      <c r="BZ463" t="s">
        <v>8526</v>
      </c>
      <c r="CA463" t="str">
        <f>HYPERLINK("https%3A%2F%2Fwww.webofscience.com%2Fwos%2Fwoscc%2Ffull-record%2FWOS:000517825200006","View Full Record in Web of Science")</f>
        <v>View Full Record in Web of Science</v>
      </c>
    </row>
    <row r="464" spans="2:79" ht="12.5" x14ac:dyDescent="0.25">
      <c r="B464" t="s">
        <v>8495</v>
      </c>
      <c r="D464" s="7" t="s">
        <v>32933</v>
      </c>
      <c r="E464" s="7"/>
      <c r="F464" s="7"/>
      <c r="G464" s="7"/>
      <c r="H464" t="s">
        <v>67</v>
      </c>
      <c r="I464" t="s">
        <v>6587</v>
      </c>
      <c r="J464" t="s">
        <v>69</v>
      </c>
      <c r="K464" t="s">
        <v>69</v>
      </c>
      <c r="L464" t="s">
        <v>69</v>
      </c>
      <c r="M464" t="s">
        <v>6588</v>
      </c>
      <c r="N464" t="s">
        <v>69</v>
      </c>
      <c r="O464" t="s">
        <v>69</v>
      </c>
      <c r="P464" t="s">
        <v>6589</v>
      </c>
      <c r="Q464" t="s">
        <v>2535</v>
      </c>
      <c r="R464" t="s">
        <v>69</v>
      </c>
      <c r="S464" t="s">
        <v>69</v>
      </c>
      <c r="T464" t="s">
        <v>8505</v>
      </c>
      <c r="U464" t="s">
        <v>8506</v>
      </c>
      <c r="V464" t="s">
        <v>69</v>
      </c>
      <c r="W464" t="s">
        <v>69</v>
      </c>
      <c r="X464" t="s">
        <v>69</v>
      </c>
      <c r="Y464" t="s">
        <v>69</v>
      </c>
      <c r="Z464" t="s">
        <v>69</v>
      </c>
      <c r="AA464" t="s">
        <v>29669</v>
      </c>
      <c r="AB464" t="s">
        <v>29670</v>
      </c>
      <c r="AC464" t="s">
        <v>6590</v>
      </c>
      <c r="AD464" t="s">
        <v>29671</v>
      </c>
      <c r="AE464" t="s">
        <v>69</v>
      </c>
      <c r="AF464" t="s">
        <v>29672</v>
      </c>
      <c r="AG464" t="s">
        <v>29673</v>
      </c>
      <c r="AH464" t="s">
        <v>6591</v>
      </c>
      <c r="AI464" t="s">
        <v>6592</v>
      </c>
      <c r="AJ464" t="s">
        <v>69</v>
      </c>
      <c r="AK464" t="s">
        <v>69</v>
      </c>
      <c r="AL464" t="s">
        <v>69</v>
      </c>
      <c r="AM464" t="s">
        <v>69</v>
      </c>
      <c r="AN464">
        <v>58</v>
      </c>
      <c r="AO464">
        <v>6</v>
      </c>
      <c r="AP464">
        <v>6</v>
      </c>
      <c r="AQ464">
        <v>0</v>
      </c>
      <c r="AR464">
        <v>11</v>
      </c>
      <c r="AS464" t="s">
        <v>19695</v>
      </c>
      <c r="AT464" t="s">
        <v>19696</v>
      </c>
      <c r="AU464" t="s">
        <v>19697</v>
      </c>
      <c r="AV464" t="s">
        <v>2537</v>
      </c>
      <c r="AW464" t="s">
        <v>2538</v>
      </c>
      <c r="AX464" t="s">
        <v>69</v>
      </c>
      <c r="AY464" t="s">
        <v>19698</v>
      </c>
      <c r="AZ464" t="s">
        <v>19699</v>
      </c>
      <c r="BA464" t="s">
        <v>84</v>
      </c>
      <c r="BB464">
        <v>2007</v>
      </c>
      <c r="BC464">
        <v>55</v>
      </c>
      <c r="BD464">
        <v>1</v>
      </c>
      <c r="BE464" t="s">
        <v>69</v>
      </c>
      <c r="BF464" t="s">
        <v>69</v>
      </c>
      <c r="BG464" t="s">
        <v>69</v>
      </c>
      <c r="BH464" t="s">
        <v>69</v>
      </c>
      <c r="BI464">
        <v>1</v>
      </c>
      <c r="BJ464">
        <v>20</v>
      </c>
      <c r="BK464" t="s">
        <v>69</v>
      </c>
      <c r="BL464" t="s">
        <v>6593</v>
      </c>
      <c r="BM464" t="str">
        <f>HYPERLINK("http://dx.doi.org/10.1016/S1573-5214(07)80001-7","http://dx.doi.org/10.1016/S1573-5214(07)80001-7")</f>
        <v>http://dx.doi.org/10.1016/S1573-5214(07)80001-7</v>
      </c>
      <c r="BN464" t="s">
        <v>69</v>
      </c>
      <c r="BO464" t="s">
        <v>69</v>
      </c>
      <c r="BP464">
        <v>20</v>
      </c>
      <c r="BQ464" t="s">
        <v>17664</v>
      </c>
      <c r="BR464" t="s">
        <v>8548</v>
      </c>
      <c r="BS464" t="s">
        <v>8450</v>
      </c>
      <c r="BT464" t="s">
        <v>29674</v>
      </c>
      <c r="BU464" t="s">
        <v>6594</v>
      </c>
      <c r="BV464" t="s">
        <v>69</v>
      </c>
      <c r="BW464" t="s">
        <v>9374</v>
      </c>
      <c r="BX464" t="s">
        <v>69</v>
      </c>
      <c r="BY464" t="s">
        <v>69</v>
      </c>
      <c r="BZ464" t="s">
        <v>8526</v>
      </c>
      <c r="CA464" t="str">
        <f>HYPERLINK("https%3A%2F%2Fwww.webofscience.com%2Fwos%2Fwoscc%2Ffull-record%2FWOS:000250888000001","View Full Record in Web of Science")</f>
        <v>View Full Record in Web of Science</v>
      </c>
    </row>
    <row r="465" spans="2:79" ht="12.5" x14ac:dyDescent="0.25">
      <c r="B465" t="s">
        <v>8495</v>
      </c>
      <c r="D465" s="22" t="s">
        <v>32931</v>
      </c>
      <c r="E465" s="7"/>
      <c r="F465" s="7"/>
      <c r="G465" s="7"/>
      <c r="H465" t="s">
        <v>67</v>
      </c>
      <c r="I465" t="s">
        <v>16422</v>
      </c>
      <c r="J465" t="s">
        <v>69</v>
      </c>
      <c r="K465" t="s">
        <v>69</v>
      </c>
      <c r="L465" t="s">
        <v>69</v>
      </c>
      <c r="M465" t="s">
        <v>16423</v>
      </c>
      <c r="N465" t="s">
        <v>69</v>
      </c>
      <c r="O465" t="s">
        <v>69</v>
      </c>
      <c r="P465" t="s">
        <v>16424</v>
      </c>
      <c r="Q465" t="s">
        <v>16425</v>
      </c>
      <c r="R465" t="s">
        <v>69</v>
      </c>
      <c r="S465" t="s">
        <v>69</v>
      </c>
      <c r="T465" t="s">
        <v>8505</v>
      </c>
      <c r="U465" t="s">
        <v>8506</v>
      </c>
      <c r="V465" t="s">
        <v>69</v>
      </c>
      <c r="W465" t="s">
        <v>69</v>
      </c>
      <c r="X465" t="s">
        <v>69</v>
      </c>
      <c r="Y465" t="s">
        <v>69</v>
      </c>
      <c r="Z465" t="s">
        <v>69</v>
      </c>
      <c r="AA465" t="s">
        <v>16426</v>
      </c>
      <c r="AB465" t="s">
        <v>16427</v>
      </c>
      <c r="AC465" t="s">
        <v>16428</v>
      </c>
      <c r="AD465" t="s">
        <v>16429</v>
      </c>
      <c r="AE465" t="s">
        <v>69</v>
      </c>
      <c r="AF465" t="s">
        <v>16430</v>
      </c>
      <c r="AG465" t="s">
        <v>16431</v>
      </c>
      <c r="AH465" t="s">
        <v>69</v>
      </c>
      <c r="AI465" t="s">
        <v>16432</v>
      </c>
      <c r="AJ465" t="s">
        <v>16433</v>
      </c>
      <c r="AK465" t="s">
        <v>16434</v>
      </c>
      <c r="AL465" t="s">
        <v>16435</v>
      </c>
      <c r="AM465" t="s">
        <v>69</v>
      </c>
      <c r="AN465">
        <v>40</v>
      </c>
      <c r="AO465">
        <v>12</v>
      </c>
      <c r="AP465">
        <v>12</v>
      </c>
      <c r="AQ465">
        <v>0</v>
      </c>
      <c r="AR465">
        <v>2</v>
      </c>
      <c r="AS465" t="s">
        <v>9203</v>
      </c>
      <c r="AT465" t="s">
        <v>8763</v>
      </c>
      <c r="AU465" t="s">
        <v>9204</v>
      </c>
      <c r="AV465" t="s">
        <v>16436</v>
      </c>
      <c r="AW465" t="s">
        <v>69</v>
      </c>
      <c r="AX465" t="s">
        <v>69</v>
      </c>
      <c r="AY465" t="s">
        <v>16437</v>
      </c>
      <c r="AZ465" t="s">
        <v>16438</v>
      </c>
      <c r="BA465" t="s">
        <v>16439</v>
      </c>
      <c r="BB465">
        <v>2019</v>
      </c>
      <c r="BC465">
        <v>17</v>
      </c>
      <c r="BD465">
        <v>1</v>
      </c>
      <c r="BE465" t="s">
        <v>69</v>
      </c>
      <c r="BF465" t="s">
        <v>69</v>
      </c>
      <c r="BG465" t="s">
        <v>69</v>
      </c>
      <c r="BH465" t="s">
        <v>69</v>
      </c>
      <c r="BI465" t="s">
        <v>69</v>
      </c>
      <c r="BJ465" t="s">
        <v>69</v>
      </c>
      <c r="BK465">
        <v>222</v>
      </c>
      <c r="BL465" t="s">
        <v>16440</v>
      </c>
      <c r="BM465" t="str">
        <f>HYPERLINK("http://dx.doi.org/10.1186/s12916-019-1446-y","http://dx.doi.org/10.1186/s12916-019-1446-y")</f>
        <v>http://dx.doi.org/10.1186/s12916-019-1446-y</v>
      </c>
      <c r="BN465" t="s">
        <v>69</v>
      </c>
      <c r="BO465" t="s">
        <v>69</v>
      </c>
      <c r="BP465">
        <v>11</v>
      </c>
      <c r="BQ465" t="s">
        <v>9450</v>
      </c>
      <c r="BR465" t="s">
        <v>8548</v>
      </c>
      <c r="BS465" t="s">
        <v>9451</v>
      </c>
      <c r="BT465" t="s">
        <v>16441</v>
      </c>
      <c r="BU465" t="s">
        <v>16442</v>
      </c>
      <c r="BV465">
        <v>31783757</v>
      </c>
      <c r="BW465" t="s">
        <v>9352</v>
      </c>
      <c r="BX465" t="s">
        <v>69</v>
      </c>
      <c r="BY465" t="s">
        <v>69</v>
      </c>
      <c r="BZ465" t="s">
        <v>8526</v>
      </c>
      <c r="CA465" t="str">
        <f>HYPERLINK("https%3A%2F%2Fwww.webofscience.com%2Fwos%2Fwoscc%2Ffull-record%2FWOS:000499908700001","View Full Record in Web of Science")</f>
        <v>View Full Record in Web of Science</v>
      </c>
    </row>
    <row r="466" spans="2:79" ht="12.5" x14ac:dyDescent="0.25">
      <c r="B466" t="s">
        <v>8495</v>
      </c>
      <c r="D466" s="22" t="s">
        <v>32931</v>
      </c>
      <c r="E466" s="7"/>
      <c r="F466" s="7"/>
      <c r="G466" s="7"/>
      <c r="H466" t="s">
        <v>67</v>
      </c>
      <c r="I466" t="s">
        <v>24332</v>
      </c>
      <c r="J466" t="s">
        <v>69</v>
      </c>
      <c r="K466" t="s">
        <v>69</v>
      </c>
      <c r="L466" t="s">
        <v>69</v>
      </c>
      <c r="M466" t="s">
        <v>24333</v>
      </c>
      <c r="N466" t="s">
        <v>69</v>
      </c>
      <c r="O466" t="s">
        <v>69</v>
      </c>
      <c r="P466" t="s">
        <v>24334</v>
      </c>
      <c r="Q466" t="s">
        <v>3106</v>
      </c>
      <c r="R466" t="s">
        <v>69</v>
      </c>
      <c r="S466" t="s">
        <v>69</v>
      </c>
      <c r="T466" t="s">
        <v>8505</v>
      </c>
      <c r="U466" t="s">
        <v>8506</v>
      </c>
      <c r="V466" t="s">
        <v>69</v>
      </c>
      <c r="W466" t="s">
        <v>69</v>
      </c>
      <c r="X466" t="s">
        <v>69</v>
      </c>
      <c r="Y466" t="s">
        <v>69</v>
      </c>
      <c r="Z466" t="s">
        <v>69</v>
      </c>
      <c r="AA466" t="s">
        <v>24335</v>
      </c>
      <c r="AB466" t="s">
        <v>69</v>
      </c>
      <c r="AC466" t="s">
        <v>24336</v>
      </c>
      <c r="AD466" t="s">
        <v>24337</v>
      </c>
      <c r="AE466" t="s">
        <v>69</v>
      </c>
      <c r="AF466" t="s">
        <v>24338</v>
      </c>
      <c r="AG466" t="s">
        <v>24339</v>
      </c>
      <c r="AH466" t="s">
        <v>69</v>
      </c>
      <c r="AI466" t="s">
        <v>69</v>
      </c>
      <c r="AJ466" t="s">
        <v>69</v>
      </c>
      <c r="AK466" t="s">
        <v>69</v>
      </c>
      <c r="AL466" t="s">
        <v>69</v>
      </c>
      <c r="AM466" t="s">
        <v>69</v>
      </c>
      <c r="AN466">
        <v>76</v>
      </c>
      <c r="AO466">
        <v>11</v>
      </c>
      <c r="AP466">
        <v>11</v>
      </c>
      <c r="AQ466">
        <v>1</v>
      </c>
      <c r="AR466">
        <v>5</v>
      </c>
      <c r="AS466" t="s">
        <v>8586</v>
      </c>
      <c r="AT466" t="s">
        <v>8587</v>
      </c>
      <c r="AU466" t="s">
        <v>8588</v>
      </c>
      <c r="AV466" t="s">
        <v>3108</v>
      </c>
      <c r="AW466" t="s">
        <v>3109</v>
      </c>
      <c r="AX466" t="s">
        <v>69</v>
      </c>
      <c r="AY466" t="s">
        <v>9537</v>
      </c>
      <c r="AZ466" t="s">
        <v>9538</v>
      </c>
      <c r="BA466" t="s">
        <v>69</v>
      </c>
      <c r="BB466">
        <v>2014</v>
      </c>
      <c r="BC466">
        <v>10</v>
      </c>
      <c r="BD466">
        <v>3</v>
      </c>
      <c r="BE466" t="s">
        <v>69</v>
      </c>
      <c r="BF466" t="s">
        <v>69</v>
      </c>
      <c r="BG466" t="s">
        <v>69</v>
      </c>
      <c r="BH466" t="s">
        <v>69</v>
      </c>
      <c r="BI466">
        <v>516</v>
      </c>
      <c r="BJ466" t="s">
        <v>219</v>
      </c>
      <c r="BK466" t="s">
        <v>69</v>
      </c>
      <c r="BL466" t="s">
        <v>24340</v>
      </c>
      <c r="BM466" t="str">
        <f>HYPERLINK("http://dx.doi.org/10.1108/SRJ-01-2013-0005","http://dx.doi.org/10.1108/SRJ-01-2013-0005")</f>
        <v>http://dx.doi.org/10.1108/SRJ-01-2013-0005</v>
      </c>
      <c r="BN466" t="s">
        <v>69</v>
      </c>
      <c r="BO466" t="s">
        <v>69</v>
      </c>
      <c r="BP466">
        <v>22</v>
      </c>
      <c r="BQ466" t="s">
        <v>9410</v>
      </c>
      <c r="BR466" t="s">
        <v>8573</v>
      </c>
      <c r="BS466" t="s">
        <v>8594</v>
      </c>
      <c r="BT466" t="s">
        <v>24341</v>
      </c>
      <c r="BU466" t="s">
        <v>24342</v>
      </c>
      <c r="BV466" t="s">
        <v>69</v>
      </c>
      <c r="BW466" t="s">
        <v>69</v>
      </c>
      <c r="BX466" t="s">
        <v>69</v>
      </c>
      <c r="BY466" t="s">
        <v>69</v>
      </c>
      <c r="BZ466" t="s">
        <v>8526</v>
      </c>
      <c r="CA466" t="str">
        <f>HYPERLINK("https%3A%2F%2Fwww.webofscience.com%2Fwos%2Fwoscc%2Ffull-record%2FWOS:000212541200009","View Full Record in Web of Science")</f>
        <v>View Full Record in Web of Science</v>
      </c>
    </row>
    <row r="467" spans="2:79" ht="12.5" x14ac:dyDescent="0.25">
      <c r="B467" t="s">
        <v>8495</v>
      </c>
      <c r="D467" s="7" t="s">
        <v>32933</v>
      </c>
      <c r="E467" s="7"/>
      <c r="F467" s="7"/>
      <c r="G467" s="7"/>
      <c r="H467" t="s">
        <v>67</v>
      </c>
      <c r="I467" t="s">
        <v>534</v>
      </c>
      <c r="J467" t="s">
        <v>69</v>
      </c>
      <c r="K467" t="s">
        <v>69</v>
      </c>
      <c r="L467" t="s">
        <v>69</v>
      </c>
      <c r="M467" t="s">
        <v>535</v>
      </c>
      <c r="N467" t="s">
        <v>69</v>
      </c>
      <c r="O467" t="s">
        <v>69</v>
      </c>
      <c r="P467" t="s">
        <v>1450</v>
      </c>
      <c r="Q467" t="s">
        <v>1284</v>
      </c>
      <c r="R467" t="s">
        <v>69</v>
      </c>
      <c r="S467" t="s">
        <v>69</v>
      </c>
      <c r="T467" t="s">
        <v>8505</v>
      </c>
      <c r="U467" t="s">
        <v>8506</v>
      </c>
      <c r="V467" t="s">
        <v>69</v>
      </c>
      <c r="W467" t="s">
        <v>69</v>
      </c>
      <c r="X467" t="s">
        <v>69</v>
      </c>
      <c r="Y467" t="s">
        <v>69</v>
      </c>
      <c r="Z467" t="s">
        <v>69</v>
      </c>
      <c r="AA467" t="s">
        <v>25932</v>
      </c>
      <c r="AB467" t="s">
        <v>25933</v>
      </c>
      <c r="AC467" t="s">
        <v>1451</v>
      </c>
      <c r="AD467" t="s">
        <v>25934</v>
      </c>
      <c r="AE467" t="s">
        <v>69</v>
      </c>
      <c r="AF467" t="s">
        <v>25702</v>
      </c>
      <c r="AG467" t="s">
        <v>25703</v>
      </c>
      <c r="AH467" t="s">
        <v>539</v>
      </c>
      <c r="AI467" t="s">
        <v>540</v>
      </c>
      <c r="AJ467" t="s">
        <v>25704</v>
      </c>
      <c r="AK467" t="s">
        <v>25705</v>
      </c>
      <c r="AL467" t="s">
        <v>25706</v>
      </c>
      <c r="AM467" t="s">
        <v>69</v>
      </c>
      <c r="AN467">
        <v>37</v>
      </c>
      <c r="AO467">
        <v>6</v>
      </c>
      <c r="AP467">
        <v>6</v>
      </c>
      <c r="AQ467">
        <v>0</v>
      </c>
      <c r="AR467">
        <v>7</v>
      </c>
      <c r="AS467" t="s">
        <v>15611</v>
      </c>
      <c r="AT467" t="s">
        <v>10924</v>
      </c>
      <c r="AU467" t="s">
        <v>15612</v>
      </c>
      <c r="AV467" t="s">
        <v>1286</v>
      </c>
      <c r="AW467" t="s">
        <v>1287</v>
      </c>
      <c r="AX467" t="s">
        <v>69</v>
      </c>
      <c r="AY467" t="s">
        <v>22818</v>
      </c>
      <c r="AZ467" t="s">
        <v>22819</v>
      </c>
      <c r="BA467" t="s">
        <v>155</v>
      </c>
      <c r="BB467">
        <v>2012</v>
      </c>
      <c r="BC467">
        <v>19</v>
      </c>
      <c r="BD467">
        <v>3</v>
      </c>
      <c r="BE467" t="s">
        <v>69</v>
      </c>
      <c r="BF467" t="s">
        <v>69</v>
      </c>
      <c r="BG467" t="s">
        <v>69</v>
      </c>
      <c r="BH467" t="s">
        <v>69</v>
      </c>
      <c r="BI467">
        <v>203</v>
      </c>
      <c r="BJ467">
        <v>209</v>
      </c>
      <c r="BK467" t="s">
        <v>69</v>
      </c>
      <c r="BL467" t="s">
        <v>1452</v>
      </c>
      <c r="BM467" t="str">
        <f>HYPERLINK("http://dx.doi.org/10.1080/13504509.2011.606550","http://dx.doi.org/10.1080/13504509.2011.606550")</f>
        <v>http://dx.doi.org/10.1080/13504509.2011.606550</v>
      </c>
      <c r="BN467" t="s">
        <v>69</v>
      </c>
      <c r="BO467" t="s">
        <v>69</v>
      </c>
      <c r="BP467">
        <v>7</v>
      </c>
      <c r="BQ467" t="s">
        <v>22820</v>
      </c>
      <c r="BR467" t="s">
        <v>8548</v>
      </c>
      <c r="BS467" t="s">
        <v>8961</v>
      </c>
      <c r="BT467" t="s">
        <v>25935</v>
      </c>
      <c r="BU467" t="s">
        <v>1453</v>
      </c>
      <c r="BV467" t="s">
        <v>69</v>
      </c>
      <c r="BW467" t="s">
        <v>69</v>
      </c>
      <c r="BX467" t="s">
        <v>69</v>
      </c>
      <c r="BY467" t="s">
        <v>69</v>
      </c>
      <c r="BZ467" t="s">
        <v>8526</v>
      </c>
      <c r="CA467" t="str">
        <f>HYPERLINK("https%3A%2F%2Fwww.webofscience.com%2Fwos%2Fwoscc%2Ffull-record%2FWOS:000304476300002","View Full Record in Web of Science")</f>
        <v>View Full Record in Web of Science</v>
      </c>
    </row>
    <row r="468" spans="2:79" ht="12.5" x14ac:dyDescent="0.25">
      <c r="B468" t="s">
        <v>8495</v>
      </c>
      <c r="D468" s="7" t="s">
        <v>32933</v>
      </c>
      <c r="E468" s="7"/>
      <c r="F468" s="7"/>
      <c r="G468" s="7"/>
      <c r="H468" t="s">
        <v>67</v>
      </c>
      <c r="I468" t="s">
        <v>2645</v>
      </c>
      <c r="J468" t="s">
        <v>69</v>
      </c>
      <c r="K468" t="s">
        <v>69</v>
      </c>
      <c r="L468" t="s">
        <v>69</v>
      </c>
      <c r="M468" t="s">
        <v>2646</v>
      </c>
      <c r="N468" t="s">
        <v>69</v>
      </c>
      <c r="O468" t="s">
        <v>69</v>
      </c>
      <c r="P468" t="s">
        <v>2647</v>
      </c>
      <c r="Q468" t="s">
        <v>2648</v>
      </c>
      <c r="R468" t="s">
        <v>69</v>
      </c>
      <c r="S468" t="s">
        <v>69</v>
      </c>
      <c r="T468" t="s">
        <v>8505</v>
      </c>
      <c r="U468" t="s">
        <v>8506</v>
      </c>
      <c r="V468" t="s">
        <v>69</v>
      </c>
      <c r="W468" t="s">
        <v>69</v>
      </c>
      <c r="X468" t="s">
        <v>69</v>
      </c>
      <c r="Y468" t="s">
        <v>69</v>
      </c>
      <c r="Z468" t="s">
        <v>69</v>
      </c>
      <c r="AA468" t="s">
        <v>20751</v>
      </c>
      <c r="AB468" t="s">
        <v>69</v>
      </c>
      <c r="AC468" t="s">
        <v>2649</v>
      </c>
      <c r="AD468" t="s">
        <v>20752</v>
      </c>
      <c r="AE468" t="s">
        <v>69</v>
      </c>
      <c r="AF468" t="s">
        <v>20753</v>
      </c>
      <c r="AG468" t="s">
        <v>69</v>
      </c>
      <c r="AH468" t="s">
        <v>2650</v>
      </c>
      <c r="AI468" t="s">
        <v>2651</v>
      </c>
      <c r="AJ468" t="s">
        <v>69</v>
      </c>
      <c r="AK468" t="s">
        <v>69</v>
      </c>
      <c r="AL468" t="s">
        <v>69</v>
      </c>
      <c r="AM468" t="s">
        <v>69</v>
      </c>
      <c r="AN468">
        <v>25</v>
      </c>
      <c r="AO468">
        <v>0</v>
      </c>
      <c r="AP468">
        <v>0</v>
      </c>
      <c r="AQ468">
        <v>1</v>
      </c>
      <c r="AR468">
        <v>8</v>
      </c>
      <c r="AS468" t="s">
        <v>20754</v>
      </c>
      <c r="AT468" t="s">
        <v>20755</v>
      </c>
      <c r="AU468" t="s">
        <v>20756</v>
      </c>
      <c r="AV468" t="s">
        <v>2652</v>
      </c>
      <c r="AW468" t="s">
        <v>2653</v>
      </c>
      <c r="AX468" t="s">
        <v>69</v>
      </c>
      <c r="AY468" t="s">
        <v>20757</v>
      </c>
      <c r="AZ468" t="s">
        <v>20758</v>
      </c>
      <c r="BA468" t="s">
        <v>2654</v>
      </c>
      <c r="BB468">
        <v>2017</v>
      </c>
      <c r="BC468">
        <v>9</v>
      </c>
      <c r="BD468">
        <v>1</v>
      </c>
      <c r="BE468" t="s">
        <v>69</v>
      </c>
      <c r="BF468" t="s">
        <v>69</v>
      </c>
      <c r="BG468" t="s">
        <v>69</v>
      </c>
      <c r="BH468" t="s">
        <v>69</v>
      </c>
      <c r="BI468">
        <v>50</v>
      </c>
      <c r="BJ468">
        <v>58</v>
      </c>
      <c r="BK468" t="s">
        <v>69</v>
      </c>
      <c r="BL468" t="s">
        <v>2655</v>
      </c>
      <c r="BM468" t="str">
        <f>HYPERLINK("http://dx.doi.org/10.4018/IJEA.2017010105","http://dx.doi.org/10.4018/IJEA.2017010105")</f>
        <v>http://dx.doi.org/10.4018/IJEA.2017010105</v>
      </c>
      <c r="BN468" t="s">
        <v>69</v>
      </c>
      <c r="BO468" t="s">
        <v>69</v>
      </c>
      <c r="BP468">
        <v>9</v>
      </c>
      <c r="BQ468" t="s">
        <v>11010</v>
      </c>
      <c r="BR468" t="s">
        <v>8573</v>
      </c>
      <c r="BS468" t="s">
        <v>11010</v>
      </c>
      <c r="BT468" t="s">
        <v>20759</v>
      </c>
      <c r="BU468" t="s">
        <v>2656</v>
      </c>
      <c r="BV468" t="s">
        <v>69</v>
      </c>
      <c r="BW468" t="s">
        <v>69</v>
      </c>
      <c r="BX468" t="s">
        <v>69</v>
      </c>
      <c r="BY468" t="s">
        <v>69</v>
      </c>
      <c r="BZ468" t="s">
        <v>8526</v>
      </c>
      <c r="CA468" t="str">
        <f>HYPERLINK("https%3A%2F%2Fwww.webofscience.com%2Fwos%2Fwoscc%2Ffull-record%2FWOS:000413727600006","View Full Record in Web of Science")</f>
        <v>View Full Record in Web of Science</v>
      </c>
    </row>
    <row r="469" spans="2:79" ht="12.5" x14ac:dyDescent="0.25">
      <c r="B469" t="s">
        <v>8495</v>
      </c>
      <c r="D469" s="22" t="s">
        <v>32931</v>
      </c>
      <c r="E469" s="7"/>
      <c r="F469" s="7"/>
      <c r="G469" s="7"/>
      <c r="H469" t="s">
        <v>67</v>
      </c>
      <c r="I469" t="s">
        <v>31475</v>
      </c>
      <c r="J469" t="s">
        <v>69</v>
      </c>
      <c r="K469" t="s">
        <v>69</v>
      </c>
      <c r="L469" t="s">
        <v>69</v>
      </c>
      <c r="M469" t="s">
        <v>31475</v>
      </c>
      <c r="N469" t="s">
        <v>69</v>
      </c>
      <c r="O469" t="s">
        <v>69</v>
      </c>
      <c r="P469" t="s">
        <v>31476</v>
      </c>
      <c r="Q469" t="s">
        <v>31443</v>
      </c>
      <c r="R469" t="s">
        <v>69</v>
      </c>
      <c r="S469" t="s">
        <v>69</v>
      </c>
      <c r="T469" t="s">
        <v>8505</v>
      </c>
      <c r="U469" t="s">
        <v>8506</v>
      </c>
      <c r="V469" t="s">
        <v>69</v>
      </c>
      <c r="W469" t="s">
        <v>69</v>
      </c>
      <c r="X469" t="s">
        <v>69</v>
      </c>
      <c r="Y469" t="s">
        <v>69</v>
      </c>
      <c r="Z469" t="s">
        <v>69</v>
      </c>
      <c r="AA469" t="s">
        <v>31477</v>
      </c>
      <c r="AB469" t="s">
        <v>69</v>
      </c>
      <c r="AC469" t="s">
        <v>31478</v>
      </c>
      <c r="AD469" t="s">
        <v>31479</v>
      </c>
      <c r="AE469" t="s">
        <v>69</v>
      </c>
      <c r="AF469" t="s">
        <v>31480</v>
      </c>
      <c r="AG469" t="s">
        <v>69</v>
      </c>
      <c r="AH469" t="s">
        <v>69</v>
      </c>
      <c r="AI469" t="s">
        <v>69</v>
      </c>
      <c r="AJ469" t="s">
        <v>69</v>
      </c>
      <c r="AK469" t="s">
        <v>69</v>
      </c>
      <c r="AL469" t="s">
        <v>69</v>
      </c>
      <c r="AM469" t="s">
        <v>69</v>
      </c>
      <c r="AN469">
        <v>9</v>
      </c>
      <c r="AO469">
        <v>0</v>
      </c>
      <c r="AP469">
        <v>0</v>
      </c>
      <c r="AQ469">
        <v>0</v>
      </c>
      <c r="AR469">
        <v>0</v>
      </c>
      <c r="AS469" t="s">
        <v>31445</v>
      </c>
      <c r="AT469" t="s">
        <v>31446</v>
      </c>
      <c r="AU469" t="s">
        <v>31447</v>
      </c>
      <c r="AV469" t="s">
        <v>31448</v>
      </c>
      <c r="AW469" t="s">
        <v>69</v>
      </c>
      <c r="AX469" t="s">
        <v>69</v>
      </c>
      <c r="AY469" t="s">
        <v>31449</v>
      </c>
      <c r="AZ469" t="s">
        <v>31450</v>
      </c>
      <c r="BA469" t="s">
        <v>246</v>
      </c>
      <c r="BB469">
        <v>2002</v>
      </c>
      <c r="BC469">
        <v>41</v>
      </c>
      <c r="BD469">
        <v>2</v>
      </c>
      <c r="BE469" t="s">
        <v>69</v>
      </c>
      <c r="BF469" t="s">
        <v>69</v>
      </c>
      <c r="BG469" t="s">
        <v>69</v>
      </c>
      <c r="BH469" t="s">
        <v>69</v>
      </c>
      <c r="BI469">
        <v>121</v>
      </c>
      <c r="BJ469">
        <v>124</v>
      </c>
      <c r="BK469" t="s">
        <v>69</v>
      </c>
      <c r="BL469" t="s">
        <v>31481</v>
      </c>
      <c r="BM469" t="str">
        <f>HYPERLINK("http://dx.doi.org/10.1680/nuen.41.2.121.39020","http://dx.doi.org/10.1680/nuen.41.2.121.39020")</f>
        <v>http://dx.doi.org/10.1680/nuen.41.2.121.39020</v>
      </c>
      <c r="BN469" t="s">
        <v>69</v>
      </c>
      <c r="BO469" t="s">
        <v>69</v>
      </c>
      <c r="BP469">
        <v>4</v>
      </c>
      <c r="BQ469" t="s">
        <v>12508</v>
      </c>
      <c r="BR469" t="s">
        <v>8548</v>
      </c>
      <c r="BS469" t="s">
        <v>12508</v>
      </c>
      <c r="BT469" t="s">
        <v>31482</v>
      </c>
      <c r="BU469" t="s">
        <v>31483</v>
      </c>
      <c r="BV469" t="s">
        <v>69</v>
      </c>
      <c r="BW469" t="s">
        <v>69</v>
      </c>
      <c r="BX469" t="s">
        <v>69</v>
      </c>
      <c r="BY469" t="s">
        <v>69</v>
      </c>
      <c r="BZ469" t="s">
        <v>8526</v>
      </c>
      <c r="CA469" t="str">
        <f>HYPERLINK("https%3A%2F%2Fwww.webofscience.com%2Fwos%2Fwoscc%2Ffull-record%2FWOS:000175731400018","View Full Record in Web of Science")</f>
        <v>View Full Record in Web of Science</v>
      </c>
    </row>
    <row r="470" spans="2:79" ht="12.5" x14ac:dyDescent="0.25">
      <c r="B470" t="s">
        <v>8495</v>
      </c>
      <c r="D470" s="7" t="s">
        <v>32933</v>
      </c>
      <c r="E470" s="7"/>
      <c r="F470" s="7"/>
      <c r="G470" s="7"/>
      <c r="H470" t="s">
        <v>67</v>
      </c>
      <c r="I470" t="s">
        <v>2750</v>
      </c>
      <c r="J470" t="s">
        <v>69</v>
      </c>
      <c r="K470" t="s">
        <v>69</v>
      </c>
      <c r="L470" t="s">
        <v>69</v>
      </c>
      <c r="M470" t="s">
        <v>2751</v>
      </c>
      <c r="N470" t="s">
        <v>69</v>
      </c>
      <c r="O470" t="s">
        <v>69</v>
      </c>
      <c r="P470" t="s">
        <v>2752</v>
      </c>
      <c r="Q470" t="s">
        <v>2753</v>
      </c>
      <c r="R470" t="s">
        <v>69</v>
      </c>
      <c r="S470" t="s">
        <v>69</v>
      </c>
      <c r="T470" t="s">
        <v>8505</v>
      </c>
      <c r="U470" t="s">
        <v>8506</v>
      </c>
      <c r="V470" t="s">
        <v>69</v>
      </c>
      <c r="W470" t="s">
        <v>69</v>
      </c>
      <c r="X470" t="s">
        <v>69</v>
      </c>
      <c r="Y470" t="s">
        <v>69</v>
      </c>
      <c r="Z470" t="s">
        <v>69</v>
      </c>
      <c r="AA470" t="s">
        <v>20863</v>
      </c>
      <c r="AB470" t="s">
        <v>20864</v>
      </c>
      <c r="AC470" t="s">
        <v>2754</v>
      </c>
      <c r="AD470" t="s">
        <v>20865</v>
      </c>
      <c r="AE470" t="s">
        <v>69</v>
      </c>
      <c r="AF470" t="s">
        <v>20866</v>
      </c>
      <c r="AG470" t="s">
        <v>20867</v>
      </c>
      <c r="AH470" t="s">
        <v>69</v>
      </c>
      <c r="AI470" t="s">
        <v>2755</v>
      </c>
      <c r="AJ470" t="s">
        <v>69</v>
      </c>
      <c r="AK470" t="s">
        <v>69</v>
      </c>
      <c r="AL470" t="s">
        <v>69</v>
      </c>
      <c r="AM470" t="s">
        <v>69</v>
      </c>
      <c r="AN470">
        <v>71</v>
      </c>
      <c r="AO470">
        <v>7</v>
      </c>
      <c r="AP470">
        <v>7</v>
      </c>
      <c r="AQ470">
        <v>3</v>
      </c>
      <c r="AR470">
        <v>19</v>
      </c>
      <c r="AS470" t="s">
        <v>8586</v>
      </c>
      <c r="AT470" t="s">
        <v>8587</v>
      </c>
      <c r="AU470" t="s">
        <v>8588</v>
      </c>
      <c r="AV470" t="s">
        <v>2756</v>
      </c>
      <c r="AW470" t="s">
        <v>2757</v>
      </c>
      <c r="AX470" t="s">
        <v>69</v>
      </c>
      <c r="AY470" t="s">
        <v>14987</v>
      </c>
      <c r="AZ470" t="s">
        <v>14988</v>
      </c>
      <c r="BA470" t="s">
        <v>69</v>
      </c>
      <c r="BB470">
        <v>2017</v>
      </c>
      <c r="BC470">
        <v>35</v>
      </c>
      <c r="BD470">
        <v>4</v>
      </c>
      <c r="BE470" t="s">
        <v>69</v>
      </c>
      <c r="BF470" t="s">
        <v>69</v>
      </c>
      <c r="BG470" t="s">
        <v>69</v>
      </c>
      <c r="BH470" t="s">
        <v>69</v>
      </c>
      <c r="BI470">
        <v>394</v>
      </c>
      <c r="BJ470">
        <v>413</v>
      </c>
      <c r="BK470" t="s">
        <v>69</v>
      </c>
      <c r="BL470" t="s">
        <v>2758</v>
      </c>
      <c r="BM470" t="str">
        <f>HYPERLINK("http://dx.doi.org/10.1108/PM-06-2016-0030","http://dx.doi.org/10.1108/PM-06-2016-0030")</f>
        <v>http://dx.doi.org/10.1108/PM-06-2016-0030</v>
      </c>
      <c r="BN470" t="s">
        <v>69</v>
      </c>
      <c r="BO470" t="s">
        <v>69</v>
      </c>
      <c r="BP470">
        <v>20</v>
      </c>
      <c r="BQ470" t="s">
        <v>9410</v>
      </c>
      <c r="BR470" t="s">
        <v>8573</v>
      </c>
      <c r="BS470" t="s">
        <v>8594</v>
      </c>
      <c r="BT470" t="s">
        <v>20868</v>
      </c>
      <c r="BU470" t="s">
        <v>2759</v>
      </c>
      <c r="BV470" t="s">
        <v>69</v>
      </c>
      <c r="BW470" t="s">
        <v>69</v>
      </c>
      <c r="BX470" t="s">
        <v>69</v>
      </c>
      <c r="BY470" t="s">
        <v>69</v>
      </c>
      <c r="BZ470" t="s">
        <v>8526</v>
      </c>
      <c r="CA470" t="str">
        <f>HYPERLINK("https%3A%2F%2Fwww.webofscience.com%2Fwos%2Fwoscc%2Ffull-record%2FWOS:000408199000004","View Full Record in Web of Science")</f>
        <v>View Full Record in Web of Science</v>
      </c>
    </row>
    <row r="471" spans="2:79" x14ac:dyDescent="0.3">
      <c r="B471" t="s">
        <v>8495</v>
      </c>
      <c r="D471" s="9" t="s">
        <v>32954</v>
      </c>
      <c r="E471" s="9" t="s">
        <v>33106</v>
      </c>
      <c r="F471" s="10" t="s">
        <v>33168</v>
      </c>
      <c r="G471" s="9" t="s">
        <v>8490</v>
      </c>
      <c r="H471" t="s">
        <v>67</v>
      </c>
      <c r="I471" t="s">
        <v>23396</v>
      </c>
      <c r="J471" t="s">
        <v>69</v>
      </c>
      <c r="K471" t="s">
        <v>69</v>
      </c>
      <c r="L471" t="s">
        <v>69</v>
      </c>
      <c r="M471" t="s">
        <v>23397</v>
      </c>
      <c r="N471" t="s">
        <v>69</v>
      </c>
      <c r="O471" t="s">
        <v>69</v>
      </c>
      <c r="P471" t="s">
        <v>23398</v>
      </c>
      <c r="Q471" t="s">
        <v>2009</v>
      </c>
      <c r="R471" t="s">
        <v>69</v>
      </c>
      <c r="S471" t="s">
        <v>69</v>
      </c>
      <c r="T471" t="s">
        <v>8505</v>
      </c>
      <c r="U471" t="s">
        <v>8506</v>
      </c>
      <c r="V471" t="s">
        <v>69</v>
      </c>
      <c r="W471" t="s">
        <v>69</v>
      </c>
      <c r="X471" t="s">
        <v>69</v>
      </c>
      <c r="Y471" t="s">
        <v>69</v>
      </c>
      <c r="Z471" t="s">
        <v>69</v>
      </c>
      <c r="AA471" t="s">
        <v>23399</v>
      </c>
      <c r="AB471" t="s">
        <v>69</v>
      </c>
      <c r="AC471" t="s">
        <v>23400</v>
      </c>
      <c r="AD471" t="s">
        <v>23401</v>
      </c>
      <c r="AE471" t="s">
        <v>69</v>
      </c>
      <c r="AF471" t="s">
        <v>23402</v>
      </c>
      <c r="AG471" t="s">
        <v>23403</v>
      </c>
      <c r="AH471" t="s">
        <v>69</v>
      </c>
      <c r="AI471" t="s">
        <v>69</v>
      </c>
      <c r="AJ471" t="s">
        <v>23404</v>
      </c>
      <c r="AK471" t="s">
        <v>23404</v>
      </c>
      <c r="AL471" t="s">
        <v>23405</v>
      </c>
      <c r="AM471" t="s">
        <v>69</v>
      </c>
      <c r="AN471">
        <v>32</v>
      </c>
      <c r="AO471">
        <v>3</v>
      </c>
      <c r="AP471">
        <v>3</v>
      </c>
      <c r="AQ471">
        <v>0</v>
      </c>
      <c r="AR471">
        <v>5</v>
      </c>
      <c r="AS471" t="s">
        <v>19814</v>
      </c>
      <c r="AT471" t="s">
        <v>8925</v>
      </c>
      <c r="AU471" t="s">
        <v>8926</v>
      </c>
      <c r="AV471" t="s">
        <v>2011</v>
      </c>
      <c r="AW471" t="s">
        <v>69</v>
      </c>
      <c r="AX471" t="s">
        <v>69</v>
      </c>
      <c r="AY471" t="s">
        <v>2009</v>
      </c>
      <c r="AZ471" t="s">
        <v>23406</v>
      </c>
      <c r="BA471" t="s">
        <v>75</v>
      </c>
      <c r="BB471">
        <v>2014</v>
      </c>
      <c r="BC471">
        <v>4</v>
      </c>
      <c r="BD471">
        <v>4</v>
      </c>
      <c r="BE471" t="s">
        <v>69</v>
      </c>
      <c r="BF471" t="s">
        <v>69</v>
      </c>
      <c r="BG471" t="s">
        <v>69</v>
      </c>
      <c r="BH471" t="s">
        <v>69</v>
      </c>
      <c r="BI471">
        <v>711</v>
      </c>
      <c r="BJ471">
        <v>736</v>
      </c>
      <c r="BK471" t="s">
        <v>69</v>
      </c>
      <c r="BL471" t="s">
        <v>23407</v>
      </c>
      <c r="BM471" t="str">
        <f>HYPERLINK("http://dx.doi.org/10.3390/buildings4040711","http://dx.doi.org/10.3390/buildings4040711")</f>
        <v>http://dx.doi.org/10.3390/buildings4040711</v>
      </c>
      <c r="BN471" t="s">
        <v>69</v>
      </c>
      <c r="BO471" t="s">
        <v>69</v>
      </c>
      <c r="BP471">
        <v>26</v>
      </c>
      <c r="BQ471" t="s">
        <v>11242</v>
      </c>
      <c r="BR471" t="s">
        <v>8573</v>
      </c>
      <c r="BS471" t="s">
        <v>8549</v>
      </c>
      <c r="BT471" t="s">
        <v>23408</v>
      </c>
      <c r="BU471" t="s">
        <v>23409</v>
      </c>
      <c r="BV471" t="s">
        <v>69</v>
      </c>
      <c r="BW471" t="s">
        <v>11853</v>
      </c>
      <c r="BX471" t="s">
        <v>69</v>
      </c>
      <c r="BY471" t="s">
        <v>69</v>
      </c>
      <c r="BZ471" t="s">
        <v>8526</v>
      </c>
      <c r="CA471" t="str">
        <f>HYPERLINK("https%3A%2F%2Fwww.webofscience.com%2Fwos%2Fwoscc%2Ffull-record%2FWOS:000215239300005","View Full Record in Web of Science")</f>
        <v>View Full Record in Web of Science</v>
      </c>
    </row>
    <row r="472" spans="2:79" ht="12.5" x14ac:dyDescent="0.25">
      <c r="B472" t="s">
        <v>8495</v>
      </c>
      <c r="D472" s="22" t="s">
        <v>32931</v>
      </c>
      <c r="E472" s="7"/>
      <c r="F472" s="7"/>
      <c r="G472" s="7"/>
      <c r="H472" t="s">
        <v>67</v>
      </c>
      <c r="I472" t="s">
        <v>32249</v>
      </c>
      <c r="J472" t="s">
        <v>69</v>
      </c>
      <c r="K472" t="s">
        <v>69</v>
      </c>
      <c r="L472" t="s">
        <v>69</v>
      </c>
      <c r="M472" t="s">
        <v>32249</v>
      </c>
      <c r="N472" t="s">
        <v>69</v>
      </c>
      <c r="O472" t="s">
        <v>69</v>
      </c>
      <c r="P472" t="s">
        <v>32250</v>
      </c>
      <c r="Q472" t="s">
        <v>32251</v>
      </c>
      <c r="R472" t="s">
        <v>69</v>
      </c>
      <c r="S472" t="s">
        <v>69</v>
      </c>
      <c r="T472" t="s">
        <v>8505</v>
      </c>
      <c r="U472" t="s">
        <v>15797</v>
      </c>
      <c r="V472" t="s">
        <v>32252</v>
      </c>
      <c r="W472" t="s">
        <v>32253</v>
      </c>
      <c r="X472" t="s">
        <v>32254</v>
      </c>
      <c r="Y472" t="s">
        <v>69</v>
      </c>
      <c r="Z472" t="s">
        <v>69</v>
      </c>
      <c r="AA472" t="s">
        <v>69</v>
      </c>
      <c r="AB472" t="s">
        <v>69</v>
      </c>
      <c r="AC472" t="s">
        <v>32255</v>
      </c>
      <c r="AD472" t="s">
        <v>69</v>
      </c>
      <c r="AE472" t="s">
        <v>69</v>
      </c>
      <c r="AF472" t="s">
        <v>32256</v>
      </c>
      <c r="AG472" t="s">
        <v>69</v>
      </c>
      <c r="AH472" t="s">
        <v>69</v>
      </c>
      <c r="AI472" t="s">
        <v>69</v>
      </c>
      <c r="AJ472" t="s">
        <v>69</v>
      </c>
      <c r="AK472" t="s">
        <v>69</v>
      </c>
      <c r="AL472" t="s">
        <v>69</v>
      </c>
      <c r="AM472" t="s">
        <v>69</v>
      </c>
      <c r="AN472">
        <v>27</v>
      </c>
      <c r="AO472">
        <v>0</v>
      </c>
      <c r="AP472">
        <v>0</v>
      </c>
      <c r="AQ472">
        <v>0</v>
      </c>
      <c r="AR472">
        <v>3</v>
      </c>
      <c r="AS472" t="s">
        <v>32257</v>
      </c>
      <c r="AT472" t="s">
        <v>8763</v>
      </c>
      <c r="AU472" t="s">
        <v>32258</v>
      </c>
      <c r="AV472" t="s">
        <v>32259</v>
      </c>
      <c r="AW472" t="s">
        <v>69</v>
      </c>
      <c r="AX472" t="s">
        <v>69</v>
      </c>
      <c r="AY472" t="s">
        <v>32260</v>
      </c>
      <c r="AZ472" t="s">
        <v>32261</v>
      </c>
      <c r="BA472" t="s">
        <v>586</v>
      </c>
      <c r="BB472">
        <v>1997</v>
      </c>
      <c r="BC472">
        <v>34</v>
      </c>
      <c r="BD472">
        <v>2</v>
      </c>
      <c r="BE472" t="s">
        <v>69</v>
      </c>
      <c r="BF472" t="s">
        <v>69</v>
      </c>
      <c r="BG472" t="s">
        <v>69</v>
      </c>
      <c r="BH472" t="s">
        <v>69</v>
      </c>
      <c r="BI472">
        <v>144</v>
      </c>
      <c r="BJ472">
        <v>153</v>
      </c>
      <c r="BK472" t="s">
        <v>69</v>
      </c>
      <c r="BL472" t="s">
        <v>32262</v>
      </c>
      <c r="BM472" t="str">
        <f>HYPERLINK("http://dx.doi.org/10.1080/1355800970340210","http://dx.doi.org/10.1080/1355800970340210")</f>
        <v>http://dx.doi.org/10.1080/1355800970340210</v>
      </c>
      <c r="BN472" t="s">
        <v>69</v>
      </c>
      <c r="BO472" t="s">
        <v>69</v>
      </c>
      <c r="BP472">
        <v>10</v>
      </c>
      <c r="BQ472" t="s">
        <v>9290</v>
      </c>
      <c r="BR472" t="s">
        <v>31324</v>
      </c>
      <c r="BS472" t="s">
        <v>9290</v>
      </c>
      <c r="BT472" t="s">
        <v>32263</v>
      </c>
      <c r="BU472" t="s">
        <v>32264</v>
      </c>
      <c r="BV472" t="s">
        <v>69</v>
      </c>
      <c r="BW472" t="s">
        <v>69</v>
      </c>
      <c r="BX472" t="s">
        <v>69</v>
      </c>
      <c r="BY472" t="s">
        <v>69</v>
      </c>
      <c r="BZ472" t="s">
        <v>8526</v>
      </c>
      <c r="CA472" t="str">
        <f>HYPERLINK("https%3A%2F%2Fwww.webofscience.com%2Fwos%2Fwoscc%2Ffull-record%2FWOS:A1997XM52400010","View Full Record in Web of Science")</f>
        <v>View Full Record in Web of Science</v>
      </c>
    </row>
    <row r="473" spans="2:79" ht="12.5" x14ac:dyDescent="0.25">
      <c r="B473" t="s">
        <v>8495</v>
      </c>
      <c r="D473" s="22" t="s">
        <v>32931</v>
      </c>
      <c r="E473" s="7"/>
      <c r="F473" s="7"/>
      <c r="G473" s="7"/>
      <c r="H473" t="s">
        <v>67</v>
      </c>
      <c r="I473" t="s">
        <v>28492</v>
      </c>
      <c r="J473" t="s">
        <v>69</v>
      </c>
      <c r="K473" t="s">
        <v>69</v>
      </c>
      <c r="L473" t="s">
        <v>69</v>
      </c>
      <c r="M473" t="s">
        <v>28493</v>
      </c>
      <c r="N473" t="s">
        <v>69</v>
      </c>
      <c r="O473" t="s">
        <v>69</v>
      </c>
      <c r="P473" t="s">
        <v>28494</v>
      </c>
      <c r="Q473" t="s">
        <v>28495</v>
      </c>
      <c r="R473" t="s">
        <v>69</v>
      </c>
      <c r="S473" t="s">
        <v>69</v>
      </c>
      <c r="T473" t="s">
        <v>8505</v>
      </c>
      <c r="U473" t="s">
        <v>8506</v>
      </c>
      <c r="V473" t="s">
        <v>69</v>
      </c>
      <c r="W473" t="s">
        <v>69</v>
      </c>
      <c r="X473" t="s">
        <v>69</v>
      </c>
      <c r="Y473" t="s">
        <v>69</v>
      </c>
      <c r="Z473" t="s">
        <v>69</v>
      </c>
      <c r="AA473" t="s">
        <v>69</v>
      </c>
      <c r="AB473" t="s">
        <v>69</v>
      </c>
      <c r="AC473" t="s">
        <v>28496</v>
      </c>
      <c r="AD473" t="s">
        <v>28497</v>
      </c>
      <c r="AE473" t="s">
        <v>69</v>
      </c>
      <c r="AF473" t="s">
        <v>28498</v>
      </c>
      <c r="AG473" t="s">
        <v>28499</v>
      </c>
      <c r="AH473" t="s">
        <v>69</v>
      </c>
      <c r="AI473" t="s">
        <v>28500</v>
      </c>
      <c r="AJ473" t="s">
        <v>28501</v>
      </c>
      <c r="AK473" t="s">
        <v>28501</v>
      </c>
      <c r="AL473" t="s">
        <v>28502</v>
      </c>
      <c r="AM473" t="s">
        <v>69</v>
      </c>
      <c r="AN473">
        <v>8</v>
      </c>
      <c r="AO473">
        <v>13</v>
      </c>
      <c r="AP473">
        <v>13</v>
      </c>
      <c r="AQ473">
        <v>0</v>
      </c>
      <c r="AR473">
        <v>0</v>
      </c>
      <c r="AS473" t="s">
        <v>28503</v>
      </c>
      <c r="AT473" t="s">
        <v>8763</v>
      </c>
      <c r="AU473" t="s">
        <v>28504</v>
      </c>
      <c r="AV473" t="s">
        <v>28505</v>
      </c>
      <c r="AW473" t="s">
        <v>28506</v>
      </c>
      <c r="AX473" t="s">
        <v>69</v>
      </c>
      <c r="AY473" t="s">
        <v>28507</v>
      </c>
      <c r="AZ473" t="s">
        <v>28508</v>
      </c>
      <c r="BA473" t="s">
        <v>586</v>
      </c>
      <c r="BB473">
        <v>2009</v>
      </c>
      <c r="BC473">
        <v>33</v>
      </c>
      <c r="BD473">
        <v>5</v>
      </c>
      <c r="BE473" t="s">
        <v>69</v>
      </c>
      <c r="BF473" t="s">
        <v>69</v>
      </c>
      <c r="BG473" t="s">
        <v>69</v>
      </c>
      <c r="BH473" t="s">
        <v>69</v>
      </c>
      <c r="BI473">
        <v>181</v>
      </c>
      <c r="BJ473">
        <v>183</v>
      </c>
      <c r="BK473" t="s">
        <v>69</v>
      </c>
      <c r="BL473" t="s">
        <v>28509</v>
      </c>
      <c r="BM473" t="str">
        <f>HYPERLINK("http://dx.doi.org/10.1192/pb.bp.108.020487","http://dx.doi.org/10.1192/pb.bp.108.020487")</f>
        <v>http://dx.doi.org/10.1192/pb.bp.108.020487</v>
      </c>
      <c r="BN473" t="s">
        <v>69</v>
      </c>
      <c r="BO473" t="s">
        <v>69</v>
      </c>
      <c r="BP473">
        <v>3</v>
      </c>
      <c r="BQ473" t="s">
        <v>9332</v>
      </c>
      <c r="BR473" t="s">
        <v>8573</v>
      </c>
      <c r="BS473" t="s">
        <v>9332</v>
      </c>
      <c r="BT473" t="s">
        <v>28510</v>
      </c>
      <c r="BU473" t="s">
        <v>28511</v>
      </c>
      <c r="BV473" t="s">
        <v>69</v>
      </c>
      <c r="BW473" t="s">
        <v>10648</v>
      </c>
      <c r="BX473" t="s">
        <v>69</v>
      </c>
      <c r="BY473" t="s">
        <v>69</v>
      </c>
      <c r="BZ473" t="s">
        <v>8526</v>
      </c>
      <c r="CA473" t="str">
        <f>HYPERLINK("https%3A%2F%2Fwww.webofscience.com%2Fwos%2Fwoscc%2Ffull-record%2FWOS:000214225200008","View Full Record in Web of Science")</f>
        <v>View Full Record in Web of Science</v>
      </c>
    </row>
    <row r="474" spans="2:79" ht="12.5" x14ac:dyDescent="0.25">
      <c r="B474" t="s">
        <v>8495</v>
      </c>
      <c r="D474" s="7" t="s">
        <v>32933</v>
      </c>
      <c r="E474" s="7"/>
      <c r="F474" s="7"/>
      <c r="G474" s="7"/>
      <c r="H474" t="s">
        <v>67</v>
      </c>
      <c r="I474" t="s">
        <v>2682</v>
      </c>
      <c r="J474" t="s">
        <v>69</v>
      </c>
      <c r="K474" t="s">
        <v>69</v>
      </c>
      <c r="L474" t="s">
        <v>69</v>
      </c>
      <c r="M474" t="s">
        <v>2683</v>
      </c>
      <c r="N474" t="s">
        <v>69</v>
      </c>
      <c r="O474" t="s">
        <v>69</v>
      </c>
      <c r="P474" t="s">
        <v>2684</v>
      </c>
      <c r="Q474" t="s">
        <v>387</v>
      </c>
      <c r="R474" t="s">
        <v>69</v>
      </c>
      <c r="S474" t="s">
        <v>69</v>
      </c>
      <c r="T474" t="s">
        <v>8505</v>
      </c>
      <c r="U474" t="s">
        <v>8506</v>
      </c>
      <c r="V474" t="s">
        <v>69</v>
      </c>
      <c r="W474" t="s">
        <v>69</v>
      </c>
      <c r="X474" t="s">
        <v>69</v>
      </c>
      <c r="Y474" t="s">
        <v>69</v>
      </c>
      <c r="Z474" t="s">
        <v>69</v>
      </c>
      <c r="AA474" t="s">
        <v>20869</v>
      </c>
      <c r="AB474" t="s">
        <v>69</v>
      </c>
      <c r="AC474" t="s">
        <v>2685</v>
      </c>
      <c r="AD474" t="s">
        <v>20870</v>
      </c>
      <c r="AE474" t="s">
        <v>69</v>
      </c>
      <c r="AF474" t="s">
        <v>20871</v>
      </c>
      <c r="AG474" t="s">
        <v>20872</v>
      </c>
      <c r="AH474" t="s">
        <v>20873</v>
      </c>
      <c r="AI474" t="s">
        <v>20874</v>
      </c>
      <c r="AJ474" t="s">
        <v>69</v>
      </c>
      <c r="AK474" t="s">
        <v>69</v>
      </c>
      <c r="AL474" t="s">
        <v>69</v>
      </c>
      <c r="AM474" t="s">
        <v>69</v>
      </c>
      <c r="AN474">
        <v>41</v>
      </c>
      <c r="AO474">
        <v>7</v>
      </c>
      <c r="AP474">
        <v>7</v>
      </c>
      <c r="AQ474">
        <v>0</v>
      </c>
      <c r="AR474">
        <v>15</v>
      </c>
      <c r="AS474" t="s">
        <v>8586</v>
      </c>
      <c r="AT474" t="s">
        <v>8587</v>
      </c>
      <c r="AU474" t="s">
        <v>8588</v>
      </c>
      <c r="AV474" t="s">
        <v>390</v>
      </c>
      <c r="AW474" t="s">
        <v>391</v>
      </c>
      <c r="AX474" t="s">
        <v>69</v>
      </c>
      <c r="AY474" t="s">
        <v>16996</v>
      </c>
      <c r="AZ474" t="s">
        <v>16997</v>
      </c>
      <c r="BA474" t="s">
        <v>69</v>
      </c>
      <c r="BB474">
        <v>2017</v>
      </c>
      <c r="BC474">
        <v>7</v>
      </c>
      <c r="BD474">
        <v>3</v>
      </c>
      <c r="BE474" t="s">
        <v>69</v>
      </c>
      <c r="BF474" t="s">
        <v>69</v>
      </c>
      <c r="BG474" t="s">
        <v>114</v>
      </c>
      <c r="BH474" t="s">
        <v>69</v>
      </c>
      <c r="BI474">
        <v>253</v>
      </c>
      <c r="BJ474">
        <v>270</v>
      </c>
      <c r="BK474" t="s">
        <v>69</v>
      </c>
      <c r="BL474" t="s">
        <v>2686</v>
      </c>
      <c r="BM474" t="str">
        <f>HYPERLINK("http://dx.doi.org/10.1108/BEPAM-02-2017-0013","http://dx.doi.org/10.1108/BEPAM-02-2017-0013")</f>
        <v>http://dx.doi.org/10.1108/BEPAM-02-2017-0013</v>
      </c>
      <c r="BN474" t="s">
        <v>69</v>
      </c>
      <c r="BO474" t="s">
        <v>69</v>
      </c>
      <c r="BP474">
        <v>18</v>
      </c>
      <c r="BQ474" t="s">
        <v>13537</v>
      </c>
      <c r="BR474" t="s">
        <v>8573</v>
      </c>
      <c r="BS474" t="s">
        <v>8445</v>
      </c>
      <c r="BT474" t="s">
        <v>20875</v>
      </c>
      <c r="BU474" t="s">
        <v>2687</v>
      </c>
      <c r="BV474" t="s">
        <v>69</v>
      </c>
      <c r="BW474" t="s">
        <v>69</v>
      </c>
      <c r="BX474" t="s">
        <v>69</v>
      </c>
      <c r="BY474" t="s">
        <v>69</v>
      </c>
      <c r="BZ474" t="s">
        <v>8526</v>
      </c>
      <c r="CA474" t="str">
        <f>HYPERLINK("https%3A%2F%2Fwww.webofscience.com%2Fwos%2Fwoscc%2Ffull-record%2FWOS:000406712800003","View Full Record in Web of Science")</f>
        <v>View Full Record in Web of Science</v>
      </c>
    </row>
    <row r="475" spans="2:79" ht="12.5" x14ac:dyDescent="0.25">
      <c r="B475" t="s">
        <v>8495</v>
      </c>
      <c r="D475" s="22" t="s">
        <v>32931</v>
      </c>
      <c r="E475" s="7"/>
      <c r="F475" s="7"/>
      <c r="G475" s="7"/>
      <c r="H475" t="s">
        <v>67</v>
      </c>
      <c r="I475" t="s">
        <v>32109</v>
      </c>
      <c r="J475" t="s">
        <v>69</v>
      </c>
      <c r="K475" t="s">
        <v>69</v>
      </c>
      <c r="L475" t="s">
        <v>69</v>
      </c>
      <c r="M475" t="s">
        <v>32109</v>
      </c>
      <c r="N475" t="s">
        <v>69</v>
      </c>
      <c r="O475" t="s">
        <v>69</v>
      </c>
      <c r="P475" t="s">
        <v>32110</v>
      </c>
      <c r="Q475" t="s">
        <v>13892</v>
      </c>
      <c r="R475" t="s">
        <v>69</v>
      </c>
      <c r="S475" t="s">
        <v>69</v>
      </c>
      <c r="T475" t="s">
        <v>8505</v>
      </c>
      <c r="U475" t="s">
        <v>8506</v>
      </c>
      <c r="V475" t="s">
        <v>69</v>
      </c>
      <c r="W475" t="s">
        <v>69</v>
      </c>
      <c r="X475" t="s">
        <v>69</v>
      </c>
      <c r="Y475" t="s">
        <v>69</v>
      </c>
      <c r="Z475" t="s">
        <v>69</v>
      </c>
      <c r="AA475" t="s">
        <v>32111</v>
      </c>
      <c r="AB475" t="s">
        <v>32112</v>
      </c>
      <c r="AC475" t="s">
        <v>32113</v>
      </c>
      <c r="AD475" t="s">
        <v>32114</v>
      </c>
      <c r="AE475" t="s">
        <v>69</v>
      </c>
      <c r="AF475" t="s">
        <v>32115</v>
      </c>
      <c r="AG475" t="s">
        <v>69</v>
      </c>
      <c r="AH475" t="s">
        <v>32116</v>
      </c>
      <c r="AI475" t="s">
        <v>32117</v>
      </c>
      <c r="AJ475" t="s">
        <v>69</v>
      </c>
      <c r="AK475" t="s">
        <v>69</v>
      </c>
      <c r="AL475" t="s">
        <v>69</v>
      </c>
      <c r="AM475" t="s">
        <v>69</v>
      </c>
      <c r="AN475">
        <v>22</v>
      </c>
      <c r="AO475">
        <v>9</v>
      </c>
      <c r="AP475">
        <v>10</v>
      </c>
      <c r="AQ475">
        <v>0</v>
      </c>
      <c r="AR475">
        <v>1</v>
      </c>
      <c r="AS475" t="s">
        <v>31905</v>
      </c>
      <c r="AT475" t="s">
        <v>8637</v>
      </c>
      <c r="AU475" t="s">
        <v>31286</v>
      </c>
      <c r="AV475" t="s">
        <v>13900</v>
      </c>
      <c r="AW475" t="s">
        <v>69</v>
      </c>
      <c r="AX475" t="s">
        <v>69</v>
      </c>
      <c r="AY475" t="s">
        <v>13902</v>
      </c>
      <c r="AZ475" t="s">
        <v>13903</v>
      </c>
      <c r="BA475" t="s">
        <v>94</v>
      </c>
      <c r="BB475">
        <v>1998</v>
      </c>
      <c r="BC475">
        <v>32</v>
      </c>
      <c r="BD475">
        <v>2</v>
      </c>
      <c r="BE475" t="s">
        <v>69</v>
      </c>
      <c r="BF475" t="s">
        <v>69</v>
      </c>
      <c r="BG475" t="s">
        <v>69</v>
      </c>
      <c r="BH475" t="s">
        <v>69</v>
      </c>
      <c r="BI475">
        <v>138</v>
      </c>
      <c r="BJ475">
        <v>142</v>
      </c>
      <c r="BK475" t="s">
        <v>69</v>
      </c>
      <c r="BL475" t="s">
        <v>32118</v>
      </c>
      <c r="BM475" t="str">
        <f>HYPERLINK("http://dx.doi.org/10.1046/j.1365-2923.1998.00183.x","http://dx.doi.org/10.1046/j.1365-2923.1998.00183.x")</f>
        <v>http://dx.doi.org/10.1046/j.1365-2923.1998.00183.x</v>
      </c>
      <c r="BN475" t="s">
        <v>69</v>
      </c>
      <c r="BO475" t="s">
        <v>69</v>
      </c>
      <c r="BP475">
        <v>5</v>
      </c>
      <c r="BQ475" t="s">
        <v>13905</v>
      </c>
      <c r="BR475" t="s">
        <v>8548</v>
      </c>
      <c r="BS475" t="s">
        <v>13906</v>
      </c>
      <c r="BT475" t="s">
        <v>32119</v>
      </c>
      <c r="BU475" t="s">
        <v>32120</v>
      </c>
      <c r="BV475">
        <v>9743764</v>
      </c>
      <c r="BW475" t="s">
        <v>69</v>
      </c>
      <c r="BX475" t="s">
        <v>69</v>
      </c>
      <c r="BY475" t="s">
        <v>69</v>
      </c>
      <c r="BZ475" t="s">
        <v>8526</v>
      </c>
      <c r="CA475" t="str">
        <f>HYPERLINK("https%3A%2F%2Fwww.webofscience.com%2Fwos%2Fwoscc%2Ffull-record%2FWOS:000074264300006","View Full Record in Web of Science")</f>
        <v>View Full Record in Web of Science</v>
      </c>
    </row>
    <row r="476" spans="2:79" ht="12.5" x14ac:dyDescent="0.25">
      <c r="B476" t="s">
        <v>8495</v>
      </c>
      <c r="D476" s="7" t="s">
        <v>32933</v>
      </c>
      <c r="E476" s="7"/>
      <c r="F476" s="7"/>
      <c r="G476" s="7"/>
      <c r="H476" t="s">
        <v>67</v>
      </c>
      <c r="I476" t="s">
        <v>4774</v>
      </c>
      <c r="J476" t="s">
        <v>69</v>
      </c>
      <c r="K476" t="s">
        <v>69</v>
      </c>
      <c r="L476" t="s">
        <v>69</v>
      </c>
      <c r="M476" t="s">
        <v>4775</v>
      </c>
      <c r="N476" t="s">
        <v>69</v>
      </c>
      <c r="O476" t="s">
        <v>69</v>
      </c>
      <c r="P476" t="s">
        <v>4776</v>
      </c>
      <c r="Q476" t="s">
        <v>4777</v>
      </c>
      <c r="R476" t="s">
        <v>69</v>
      </c>
      <c r="S476" t="s">
        <v>69</v>
      </c>
      <c r="T476" t="s">
        <v>8505</v>
      </c>
      <c r="U476" t="s">
        <v>8506</v>
      </c>
      <c r="V476" t="s">
        <v>69</v>
      </c>
      <c r="W476" t="s">
        <v>69</v>
      </c>
      <c r="X476" t="s">
        <v>69</v>
      </c>
      <c r="Y476" t="s">
        <v>69</v>
      </c>
      <c r="Z476" t="s">
        <v>69</v>
      </c>
      <c r="AA476" t="s">
        <v>22799</v>
      </c>
      <c r="AB476" t="s">
        <v>69</v>
      </c>
      <c r="AC476" t="s">
        <v>4778</v>
      </c>
      <c r="AD476" t="s">
        <v>22800</v>
      </c>
      <c r="AE476" t="s">
        <v>69</v>
      </c>
      <c r="AF476" t="s">
        <v>22801</v>
      </c>
      <c r="AG476" t="s">
        <v>22802</v>
      </c>
      <c r="AH476" t="s">
        <v>69</v>
      </c>
      <c r="AI476" t="s">
        <v>69</v>
      </c>
      <c r="AJ476" t="s">
        <v>69</v>
      </c>
      <c r="AK476" t="s">
        <v>69</v>
      </c>
      <c r="AL476" t="s">
        <v>69</v>
      </c>
      <c r="AM476" t="s">
        <v>69</v>
      </c>
      <c r="AN476">
        <v>10</v>
      </c>
      <c r="AO476">
        <v>1</v>
      </c>
      <c r="AP476">
        <v>1</v>
      </c>
      <c r="AQ476">
        <v>0</v>
      </c>
      <c r="AR476">
        <v>1</v>
      </c>
      <c r="AS476" t="s">
        <v>22803</v>
      </c>
      <c r="AT476" t="s">
        <v>17913</v>
      </c>
      <c r="AU476" t="s">
        <v>22804</v>
      </c>
      <c r="AV476" t="s">
        <v>4779</v>
      </c>
      <c r="AW476" t="s">
        <v>4780</v>
      </c>
      <c r="AX476" t="s">
        <v>69</v>
      </c>
      <c r="AY476" t="s">
        <v>22805</v>
      </c>
      <c r="AZ476" t="s">
        <v>22806</v>
      </c>
      <c r="BA476" t="s">
        <v>246</v>
      </c>
      <c r="BB476">
        <v>2015</v>
      </c>
      <c r="BC476">
        <v>10</v>
      </c>
      <c r="BD476">
        <v>2</v>
      </c>
      <c r="BE476" t="s">
        <v>69</v>
      </c>
      <c r="BF476" t="s">
        <v>69</v>
      </c>
      <c r="BG476" t="s">
        <v>114</v>
      </c>
      <c r="BH476" t="s">
        <v>69</v>
      </c>
      <c r="BI476">
        <v>189</v>
      </c>
      <c r="BJ476">
        <v>195</v>
      </c>
      <c r="BK476" t="s">
        <v>69</v>
      </c>
      <c r="BL476" t="s">
        <v>4781</v>
      </c>
      <c r="BM476" t="str">
        <f>HYPERLINK("http://dx.doi.org/10.20965/jdr.2015.p0189","http://dx.doi.org/10.20965/jdr.2015.p0189")</f>
        <v>http://dx.doi.org/10.20965/jdr.2015.p0189</v>
      </c>
      <c r="BN476" t="s">
        <v>69</v>
      </c>
      <c r="BO476" t="s">
        <v>69</v>
      </c>
      <c r="BP476">
        <v>7</v>
      </c>
      <c r="BQ476" t="s">
        <v>17732</v>
      </c>
      <c r="BR476" t="s">
        <v>8573</v>
      </c>
      <c r="BS476" t="s">
        <v>17733</v>
      </c>
      <c r="BT476" t="s">
        <v>22807</v>
      </c>
      <c r="BU476" t="s">
        <v>4782</v>
      </c>
      <c r="BV476" t="s">
        <v>69</v>
      </c>
      <c r="BW476" t="s">
        <v>8931</v>
      </c>
      <c r="BX476" t="s">
        <v>69</v>
      </c>
      <c r="BY476" t="s">
        <v>69</v>
      </c>
      <c r="BZ476" t="s">
        <v>8526</v>
      </c>
      <c r="CA476" t="str">
        <f>HYPERLINK("https%3A%2F%2Fwww.webofscience.com%2Fwos%2Fwoscc%2Ffull-record%2FWOS:000448814500002","View Full Record in Web of Science")</f>
        <v>View Full Record in Web of Science</v>
      </c>
    </row>
    <row r="477" spans="2:79" ht="12.5" x14ac:dyDescent="0.25">
      <c r="B477" t="s">
        <v>8495</v>
      </c>
      <c r="D477" s="22" t="s">
        <v>32931</v>
      </c>
      <c r="E477" s="7"/>
      <c r="F477" s="7"/>
      <c r="G477" s="7"/>
      <c r="H477" t="s">
        <v>67</v>
      </c>
      <c r="I477" t="s">
        <v>14123</v>
      </c>
      <c r="J477" t="s">
        <v>69</v>
      </c>
      <c r="K477" t="s">
        <v>69</v>
      </c>
      <c r="L477" t="s">
        <v>69</v>
      </c>
      <c r="M477" t="s">
        <v>14124</v>
      </c>
      <c r="N477" t="s">
        <v>69</v>
      </c>
      <c r="O477" t="s">
        <v>69</v>
      </c>
      <c r="P477" t="s">
        <v>14125</v>
      </c>
      <c r="Q477" t="s">
        <v>352</v>
      </c>
      <c r="R477" t="s">
        <v>69</v>
      </c>
      <c r="S477" t="s">
        <v>69</v>
      </c>
      <c r="T477" t="s">
        <v>8505</v>
      </c>
      <c r="U477" t="s">
        <v>8506</v>
      </c>
      <c r="V477" t="s">
        <v>69</v>
      </c>
      <c r="W477" t="s">
        <v>69</v>
      </c>
      <c r="X477" t="s">
        <v>69</v>
      </c>
      <c r="Y477" t="s">
        <v>69</v>
      </c>
      <c r="Z477" t="s">
        <v>69</v>
      </c>
      <c r="AA477" t="s">
        <v>14126</v>
      </c>
      <c r="AB477" t="s">
        <v>14127</v>
      </c>
      <c r="AC477" t="s">
        <v>14128</v>
      </c>
      <c r="AD477" t="s">
        <v>14129</v>
      </c>
      <c r="AE477" t="s">
        <v>69</v>
      </c>
      <c r="AF477" t="s">
        <v>14130</v>
      </c>
      <c r="AG477" t="s">
        <v>14131</v>
      </c>
      <c r="AH477" t="s">
        <v>69</v>
      </c>
      <c r="AI477" t="s">
        <v>14132</v>
      </c>
      <c r="AJ477" t="s">
        <v>14133</v>
      </c>
      <c r="AK477" t="s">
        <v>14133</v>
      </c>
      <c r="AL477" t="s">
        <v>14134</v>
      </c>
      <c r="AM477" t="s">
        <v>69</v>
      </c>
      <c r="AN477">
        <v>66</v>
      </c>
      <c r="AO477">
        <v>1</v>
      </c>
      <c r="AP477">
        <v>1</v>
      </c>
      <c r="AQ477">
        <v>2</v>
      </c>
      <c r="AR477">
        <v>5</v>
      </c>
      <c r="AS477" t="s">
        <v>8924</v>
      </c>
      <c r="AT477" t="s">
        <v>8925</v>
      </c>
      <c r="AU477" t="s">
        <v>8926</v>
      </c>
      <c r="AV477" t="s">
        <v>69</v>
      </c>
      <c r="AW477" t="s">
        <v>354</v>
      </c>
      <c r="AX477" t="s">
        <v>69</v>
      </c>
      <c r="AY477" t="s">
        <v>8958</v>
      </c>
      <c r="AZ477" t="s">
        <v>8434</v>
      </c>
      <c r="BA477" t="s">
        <v>274</v>
      </c>
      <c r="BB477">
        <v>2020</v>
      </c>
      <c r="BC477">
        <v>12</v>
      </c>
      <c r="BD477">
        <v>22</v>
      </c>
      <c r="BE477" t="s">
        <v>69</v>
      </c>
      <c r="BF477" t="s">
        <v>69</v>
      </c>
      <c r="BG477" t="s">
        <v>69</v>
      </c>
      <c r="BH477" t="s">
        <v>69</v>
      </c>
      <c r="BI477" t="s">
        <v>69</v>
      </c>
      <c r="BJ477" t="s">
        <v>69</v>
      </c>
      <c r="BK477">
        <v>9519</v>
      </c>
      <c r="BL477" t="s">
        <v>14135</v>
      </c>
      <c r="BM477" t="str">
        <f>HYPERLINK("http://dx.doi.org/10.3390/su12229519","http://dx.doi.org/10.3390/su12229519")</f>
        <v>http://dx.doi.org/10.3390/su12229519</v>
      </c>
      <c r="BN477" t="s">
        <v>69</v>
      </c>
      <c r="BO477" t="s">
        <v>69</v>
      </c>
      <c r="BP477">
        <v>20</v>
      </c>
      <c r="BQ477" t="s">
        <v>8960</v>
      </c>
      <c r="BR477" t="s">
        <v>8523</v>
      </c>
      <c r="BS477" t="s">
        <v>8961</v>
      </c>
      <c r="BT477" t="s">
        <v>14136</v>
      </c>
      <c r="BU477" t="s">
        <v>14137</v>
      </c>
      <c r="BV477" t="s">
        <v>69</v>
      </c>
      <c r="BW477" t="s">
        <v>9352</v>
      </c>
      <c r="BX477" t="s">
        <v>69</v>
      </c>
      <c r="BY477" t="s">
        <v>69</v>
      </c>
      <c r="BZ477" t="s">
        <v>8526</v>
      </c>
      <c r="CA477" t="str">
        <f>HYPERLINK("https%3A%2F%2Fwww.webofscience.com%2Fwos%2Fwoscc%2Ffull-record%2FWOS:000594543600001","View Full Record in Web of Science")</f>
        <v>View Full Record in Web of Science</v>
      </c>
    </row>
    <row r="478" spans="2:79" ht="12.5" x14ac:dyDescent="0.25">
      <c r="B478" t="s">
        <v>8495</v>
      </c>
      <c r="D478" s="22" t="s">
        <v>32931</v>
      </c>
      <c r="E478" s="7"/>
      <c r="F478" s="7"/>
      <c r="G478" s="7"/>
      <c r="H478" t="s">
        <v>67</v>
      </c>
      <c r="I478" t="s">
        <v>16579</v>
      </c>
      <c r="J478" t="s">
        <v>69</v>
      </c>
      <c r="K478" t="s">
        <v>69</v>
      </c>
      <c r="L478" t="s">
        <v>69</v>
      </c>
      <c r="M478" t="s">
        <v>16580</v>
      </c>
      <c r="N478" t="s">
        <v>69</v>
      </c>
      <c r="O478" t="s">
        <v>69</v>
      </c>
      <c r="P478" t="s">
        <v>16581</v>
      </c>
      <c r="Q478" t="s">
        <v>16582</v>
      </c>
      <c r="R478" t="s">
        <v>69</v>
      </c>
      <c r="S478" t="s">
        <v>69</v>
      </c>
      <c r="T478" t="s">
        <v>8505</v>
      </c>
      <c r="U478" t="s">
        <v>8506</v>
      </c>
      <c r="V478" t="s">
        <v>69</v>
      </c>
      <c r="W478" t="s">
        <v>69</v>
      </c>
      <c r="X478" t="s">
        <v>69</v>
      </c>
      <c r="Y478" t="s">
        <v>69</v>
      </c>
      <c r="Z478" t="s">
        <v>69</v>
      </c>
      <c r="AA478" t="s">
        <v>16583</v>
      </c>
      <c r="AB478" t="s">
        <v>16584</v>
      </c>
      <c r="AC478" t="s">
        <v>16585</v>
      </c>
      <c r="AD478" t="s">
        <v>16586</v>
      </c>
      <c r="AE478" t="s">
        <v>69</v>
      </c>
      <c r="AF478" t="s">
        <v>16587</v>
      </c>
      <c r="AG478" t="s">
        <v>16588</v>
      </c>
      <c r="AH478" t="s">
        <v>16589</v>
      </c>
      <c r="AI478" t="s">
        <v>16590</v>
      </c>
      <c r="AJ478" t="s">
        <v>69</v>
      </c>
      <c r="AK478" t="s">
        <v>69</v>
      </c>
      <c r="AL478" t="s">
        <v>69</v>
      </c>
      <c r="AM478" t="s">
        <v>69</v>
      </c>
      <c r="AN478">
        <v>62</v>
      </c>
      <c r="AO478">
        <v>7</v>
      </c>
      <c r="AP478">
        <v>7</v>
      </c>
      <c r="AQ478">
        <v>0</v>
      </c>
      <c r="AR478">
        <v>8</v>
      </c>
      <c r="AS478" t="s">
        <v>15611</v>
      </c>
      <c r="AT478" t="s">
        <v>10924</v>
      </c>
      <c r="AU478" t="s">
        <v>15612</v>
      </c>
      <c r="AV478" t="s">
        <v>16591</v>
      </c>
      <c r="AW478" t="s">
        <v>16592</v>
      </c>
      <c r="AX478" t="s">
        <v>69</v>
      </c>
      <c r="AY478" t="s">
        <v>16593</v>
      </c>
      <c r="AZ478" t="s">
        <v>16594</v>
      </c>
      <c r="BA478" t="s">
        <v>16595</v>
      </c>
      <c r="BB478">
        <v>2019</v>
      </c>
      <c r="BC478">
        <v>40</v>
      </c>
      <c r="BD478">
        <v>10</v>
      </c>
      <c r="BE478" t="s">
        <v>69</v>
      </c>
      <c r="BF478" t="s">
        <v>69</v>
      </c>
      <c r="BG478" t="s">
        <v>114</v>
      </c>
      <c r="BH478" t="s">
        <v>69</v>
      </c>
      <c r="BI478">
        <v>832</v>
      </c>
      <c r="BJ478">
        <v>838</v>
      </c>
      <c r="BK478" t="s">
        <v>69</v>
      </c>
      <c r="BL478" t="s">
        <v>16596</v>
      </c>
      <c r="BM478" t="str">
        <f>HYPERLINK("http://dx.doi.org/10.1080/01612840.2019.1584655","http://dx.doi.org/10.1080/01612840.2019.1584655")</f>
        <v>http://dx.doi.org/10.1080/01612840.2019.1584655</v>
      </c>
      <c r="BN478" t="s">
        <v>69</v>
      </c>
      <c r="BO478" t="s">
        <v>69</v>
      </c>
      <c r="BP478">
        <v>7</v>
      </c>
      <c r="BQ478" t="s">
        <v>16597</v>
      </c>
      <c r="BR478" t="s">
        <v>8523</v>
      </c>
      <c r="BS478" t="s">
        <v>16597</v>
      </c>
      <c r="BT478" t="s">
        <v>16598</v>
      </c>
      <c r="BU478" t="s">
        <v>16599</v>
      </c>
      <c r="BV478">
        <v>31070501</v>
      </c>
      <c r="BW478" t="s">
        <v>69</v>
      </c>
      <c r="BX478" t="s">
        <v>69</v>
      </c>
      <c r="BY478" t="s">
        <v>69</v>
      </c>
      <c r="BZ478" t="s">
        <v>8526</v>
      </c>
      <c r="CA478" t="str">
        <f>HYPERLINK("https%3A%2F%2Fwww.webofscience.com%2Fwos%2Fwoscc%2Ffull-record%2FWOS:000488470500003","View Full Record in Web of Science")</f>
        <v>View Full Record in Web of Science</v>
      </c>
    </row>
    <row r="479" spans="2:79" ht="12.5" x14ac:dyDescent="0.25">
      <c r="B479" t="s">
        <v>8495</v>
      </c>
      <c r="D479" s="22" t="s">
        <v>32931</v>
      </c>
      <c r="E479" s="7"/>
      <c r="F479" s="7"/>
      <c r="G479" s="7"/>
      <c r="H479" t="s">
        <v>67</v>
      </c>
      <c r="I479" t="s">
        <v>13726</v>
      </c>
      <c r="J479" t="s">
        <v>69</v>
      </c>
      <c r="K479" t="s">
        <v>69</v>
      </c>
      <c r="L479" t="s">
        <v>69</v>
      </c>
      <c r="M479" t="s">
        <v>13727</v>
      </c>
      <c r="N479" t="s">
        <v>69</v>
      </c>
      <c r="O479" t="s">
        <v>69</v>
      </c>
      <c r="P479" t="s">
        <v>13728</v>
      </c>
      <c r="Q479" t="s">
        <v>13729</v>
      </c>
      <c r="R479" t="s">
        <v>69</v>
      </c>
      <c r="S479" t="s">
        <v>69</v>
      </c>
      <c r="T479" t="s">
        <v>8505</v>
      </c>
      <c r="U479" t="s">
        <v>8506</v>
      </c>
      <c r="V479" t="s">
        <v>69</v>
      </c>
      <c r="W479" t="s">
        <v>69</v>
      </c>
      <c r="X479" t="s">
        <v>69</v>
      </c>
      <c r="Y479" t="s">
        <v>69</v>
      </c>
      <c r="Z479" t="s">
        <v>69</v>
      </c>
      <c r="AA479" t="s">
        <v>13730</v>
      </c>
      <c r="AB479" t="s">
        <v>13731</v>
      </c>
      <c r="AC479" t="s">
        <v>13732</v>
      </c>
      <c r="AD479" t="s">
        <v>13733</v>
      </c>
      <c r="AE479" t="s">
        <v>69</v>
      </c>
      <c r="AF479" t="s">
        <v>13734</v>
      </c>
      <c r="AG479" t="s">
        <v>13735</v>
      </c>
      <c r="AH479" t="s">
        <v>13736</v>
      </c>
      <c r="AI479" t="s">
        <v>13737</v>
      </c>
      <c r="AJ479" t="s">
        <v>69</v>
      </c>
      <c r="AK479" t="s">
        <v>69</v>
      </c>
      <c r="AL479" t="s">
        <v>69</v>
      </c>
      <c r="AM479" t="s">
        <v>69</v>
      </c>
      <c r="AN479">
        <v>63</v>
      </c>
      <c r="AO479">
        <v>0</v>
      </c>
      <c r="AP479">
        <v>0</v>
      </c>
      <c r="AQ479">
        <v>3</v>
      </c>
      <c r="AR479">
        <v>6</v>
      </c>
      <c r="AS479" t="s">
        <v>13738</v>
      </c>
      <c r="AT479" t="s">
        <v>13739</v>
      </c>
      <c r="AU479" t="s">
        <v>13740</v>
      </c>
      <c r="AV479" t="s">
        <v>13741</v>
      </c>
      <c r="AW479" t="s">
        <v>69</v>
      </c>
      <c r="AX479" t="s">
        <v>69</v>
      </c>
      <c r="AY479" t="s">
        <v>13742</v>
      </c>
      <c r="AZ479" t="s">
        <v>13743</v>
      </c>
      <c r="BA479" t="s">
        <v>2512</v>
      </c>
      <c r="BB479">
        <v>2021</v>
      </c>
      <c r="BC479">
        <v>9</v>
      </c>
      <c r="BD479">
        <v>1</v>
      </c>
      <c r="BE479" t="s">
        <v>69</v>
      </c>
      <c r="BF479" t="s">
        <v>69</v>
      </c>
      <c r="BG479" t="s">
        <v>69</v>
      </c>
      <c r="BH479" t="s">
        <v>69</v>
      </c>
      <c r="BI479">
        <v>11</v>
      </c>
      <c r="BJ479">
        <v>44</v>
      </c>
      <c r="BK479" t="s">
        <v>69</v>
      </c>
      <c r="BL479" t="s">
        <v>13744</v>
      </c>
      <c r="BM479" t="str">
        <f>HYPERLINK("http://dx.doi.org/10.5585/iji.v9i1.18103","http://dx.doi.org/10.5585/iji.v9i1.18103")</f>
        <v>http://dx.doi.org/10.5585/iji.v9i1.18103</v>
      </c>
      <c r="BN479" t="s">
        <v>69</v>
      </c>
      <c r="BO479" t="s">
        <v>69</v>
      </c>
      <c r="BP479">
        <v>34</v>
      </c>
      <c r="BQ479" t="s">
        <v>8444</v>
      </c>
      <c r="BR479" t="s">
        <v>8573</v>
      </c>
      <c r="BS479" t="s">
        <v>8594</v>
      </c>
      <c r="BT479" t="s">
        <v>13745</v>
      </c>
      <c r="BU479" t="s">
        <v>13746</v>
      </c>
      <c r="BV479" t="s">
        <v>69</v>
      </c>
      <c r="BW479" t="s">
        <v>9352</v>
      </c>
      <c r="BX479" t="s">
        <v>69</v>
      </c>
      <c r="BY479" t="s">
        <v>69</v>
      </c>
      <c r="BZ479" t="s">
        <v>8526</v>
      </c>
      <c r="CA479" t="str">
        <f>HYPERLINK("https%3A%2F%2Fwww.webofscience.com%2Fwos%2Fwoscc%2Ffull-record%2FWOS:000644666000002","View Full Record in Web of Science")</f>
        <v>View Full Record in Web of Science</v>
      </c>
    </row>
    <row r="480" spans="2:79" ht="12.5" x14ac:dyDescent="0.25">
      <c r="B480" t="s">
        <v>8495</v>
      </c>
      <c r="D480" s="7" t="s">
        <v>32933</v>
      </c>
      <c r="E480" s="7"/>
      <c r="F480" s="7"/>
      <c r="G480" s="7"/>
      <c r="H480" t="s">
        <v>67</v>
      </c>
      <c r="I480" t="s">
        <v>6398</v>
      </c>
      <c r="J480" t="s">
        <v>69</v>
      </c>
      <c r="K480" t="s">
        <v>69</v>
      </c>
      <c r="L480" t="s">
        <v>69</v>
      </c>
      <c r="M480" t="s">
        <v>6399</v>
      </c>
      <c r="N480" t="s">
        <v>69</v>
      </c>
      <c r="O480" t="s">
        <v>69</v>
      </c>
      <c r="P480" t="s">
        <v>6400</v>
      </c>
      <c r="Q480" t="s">
        <v>294</v>
      </c>
      <c r="R480" t="s">
        <v>69</v>
      </c>
      <c r="S480" t="s">
        <v>69</v>
      </c>
      <c r="T480" t="s">
        <v>8505</v>
      </c>
      <c r="U480" t="s">
        <v>8506</v>
      </c>
      <c r="V480" t="s">
        <v>69</v>
      </c>
      <c r="W480" t="s">
        <v>69</v>
      </c>
      <c r="X480" t="s">
        <v>69</v>
      </c>
      <c r="Y480" t="s">
        <v>69</v>
      </c>
      <c r="Z480" t="s">
        <v>69</v>
      </c>
      <c r="AA480" t="s">
        <v>21526</v>
      </c>
      <c r="AB480" t="s">
        <v>21527</v>
      </c>
      <c r="AC480" t="s">
        <v>6401</v>
      </c>
      <c r="AD480" t="s">
        <v>21528</v>
      </c>
      <c r="AE480" t="s">
        <v>69</v>
      </c>
      <c r="AF480" t="s">
        <v>21529</v>
      </c>
      <c r="AG480" t="s">
        <v>21530</v>
      </c>
      <c r="AH480" t="s">
        <v>69</v>
      </c>
      <c r="AI480" t="s">
        <v>21531</v>
      </c>
      <c r="AJ480" t="s">
        <v>21532</v>
      </c>
      <c r="AK480" t="s">
        <v>21533</v>
      </c>
      <c r="AL480" t="s">
        <v>21534</v>
      </c>
      <c r="AM480" t="s">
        <v>69</v>
      </c>
      <c r="AN480">
        <v>32</v>
      </c>
      <c r="AO480">
        <v>7</v>
      </c>
      <c r="AP480">
        <v>7</v>
      </c>
      <c r="AQ480">
        <v>2</v>
      </c>
      <c r="AR480">
        <v>27</v>
      </c>
      <c r="AS480" t="s">
        <v>8563</v>
      </c>
      <c r="AT480" t="s">
        <v>8564</v>
      </c>
      <c r="AU480" t="s">
        <v>8565</v>
      </c>
      <c r="AV480" t="s">
        <v>297</v>
      </c>
      <c r="AW480" t="s">
        <v>298</v>
      </c>
      <c r="AX480" t="s">
        <v>69</v>
      </c>
      <c r="AY480" t="s">
        <v>13428</v>
      </c>
      <c r="AZ480" t="s">
        <v>13429</v>
      </c>
      <c r="BA480" t="s">
        <v>84</v>
      </c>
      <c r="BB480">
        <v>2016</v>
      </c>
      <c r="BC480">
        <v>23</v>
      </c>
      <c r="BD480">
        <v>14</v>
      </c>
      <c r="BE480" t="s">
        <v>69</v>
      </c>
      <c r="BF480" t="s">
        <v>69</v>
      </c>
      <c r="BG480" t="s">
        <v>69</v>
      </c>
      <c r="BH480" t="s">
        <v>69</v>
      </c>
      <c r="BI480">
        <v>13661</v>
      </c>
      <c r="BJ480">
        <v>13671</v>
      </c>
      <c r="BK480" t="s">
        <v>69</v>
      </c>
      <c r="BL480" t="s">
        <v>6402</v>
      </c>
      <c r="BM480" t="str">
        <f>HYPERLINK("http://dx.doi.org/10.1007/s11356-015-5269-x","http://dx.doi.org/10.1007/s11356-015-5269-x")</f>
        <v>http://dx.doi.org/10.1007/s11356-015-5269-x</v>
      </c>
      <c r="BN480" t="s">
        <v>69</v>
      </c>
      <c r="BO480" t="s">
        <v>69</v>
      </c>
      <c r="BP480">
        <v>11</v>
      </c>
      <c r="BQ480" t="s">
        <v>8717</v>
      </c>
      <c r="BR480" t="s">
        <v>8548</v>
      </c>
      <c r="BS480" t="s">
        <v>8662</v>
      </c>
      <c r="BT480" t="s">
        <v>21535</v>
      </c>
      <c r="BU480" t="s">
        <v>6403</v>
      </c>
      <c r="BV480">
        <v>26347416</v>
      </c>
      <c r="BW480" t="s">
        <v>69</v>
      </c>
      <c r="BX480" t="s">
        <v>69</v>
      </c>
      <c r="BY480" t="s">
        <v>69</v>
      </c>
      <c r="BZ480" t="s">
        <v>8526</v>
      </c>
      <c r="CA480" t="str">
        <f>HYPERLINK("https%3A%2F%2Fwww.webofscience.com%2Fwos%2Fwoscc%2Ffull-record%2FWOS:000379553500009","View Full Record in Web of Science")</f>
        <v>View Full Record in Web of Science</v>
      </c>
    </row>
    <row r="481" spans="2:79" ht="12.5" x14ac:dyDescent="0.25">
      <c r="B481" t="s">
        <v>8495</v>
      </c>
      <c r="D481" s="7" t="s">
        <v>32933</v>
      </c>
      <c r="E481" s="7"/>
      <c r="F481" s="7"/>
      <c r="G481" s="7"/>
      <c r="H481" t="s">
        <v>67</v>
      </c>
      <c r="I481" t="s">
        <v>1862</v>
      </c>
      <c r="J481" t="s">
        <v>69</v>
      </c>
      <c r="K481" t="s">
        <v>69</v>
      </c>
      <c r="L481" t="s">
        <v>69</v>
      </c>
      <c r="M481" t="s">
        <v>1863</v>
      </c>
      <c r="N481" t="s">
        <v>69</v>
      </c>
      <c r="O481" t="s">
        <v>69</v>
      </c>
      <c r="P481" t="s">
        <v>1864</v>
      </c>
      <c r="Q481" t="s">
        <v>408</v>
      </c>
      <c r="R481" t="s">
        <v>69</v>
      </c>
      <c r="S481" t="s">
        <v>69</v>
      </c>
      <c r="T481" t="s">
        <v>8505</v>
      </c>
      <c r="U481" t="s">
        <v>8506</v>
      </c>
      <c r="V481" t="s">
        <v>69</v>
      </c>
      <c r="W481" t="s">
        <v>69</v>
      </c>
      <c r="X481" t="s">
        <v>69</v>
      </c>
      <c r="Y481" t="s">
        <v>69</v>
      </c>
      <c r="Z481" t="s">
        <v>69</v>
      </c>
      <c r="AA481" t="s">
        <v>14002</v>
      </c>
      <c r="AB481" t="s">
        <v>14003</v>
      </c>
      <c r="AC481" t="s">
        <v>1865</v>
      </c>
      <c r="AD481" t="s">
        <v>14004</v>
      </c>
      <c r="AE481" t="s">
        <v>69</v>
      </c>
      <c r="AF481" t="s">
        <v>14005</v>
      </c>
      <c r="AG481" t="s">
        <v>14006</v>
      </c>
      <c r="AH481" t="s">
        <v>14007</v>
      </c>
      <c r="AI481" t="s">
        <v>14008</v>
      </c>
      <c r="AJ481" t="s">
        <v>14009</v>
      </c>
      <c r="AK481" t="s">
        <v>14010</v>
      </c>
      <c r="AL481" t="s">
        <v>14011</v>
      </c>
      <c r="AM481" t="s">
        <v>69</v>
      </c>
      <c r="AN481">
        <v>48</v>
      </c>
      <c r="AO481">
        <v>5</v>
      </c>
      <c r="AP481">
        <v>5</v>
      </c>
      <c r="AQ481">
        <v>1</v>
      </c>
      <c r="AR481">
        <v>16</v>
      </c>
      <c r="AS481" t="s">
        <v>8586</v>
      </c>
      <c r="AT481" t="s">
        <v>8587</v>
      </c>
      <c r="AU481" t="s">
        <v>8588</v>
      </c>
      <c r="AV481" t="s">
        <v>410</v>
      </c>
      <c r="AW481" t="s">
        <v>411</v>
      </c>
      <c r="AX481" t="s">
        <v>69</v>
      </c>
      <c r="AY481" t="s">
        <v>9125</v>
      </c>
      <c r="AZ481" t="s">
        <v>9126</v>
      </c>
      <c r="BA481" t="s">
        <v>6073</v>
      </c>
      <c r="BB481">
        <v>2021</v>
      </c>
      <c r="BC481">
        <v>28</v>
      </c>
      <c r="BD481">
        <v>5</v>
      </c>
      <c r="BE481" t="s">
        <v>69</v>
      </c>
      <c r="BF481" t="s">
        <v>69</v>
      </c>
      <c r="BG481" t="s">
        <v>114</v>
      </c>
      <c r="BH481" t="s">
        <v>69</v>
      </c>
      <c r="BI481">
        <v>1377</v>
      </c>
      <c r="BJ481">
        <v>1396</v>
      </c>
      <c r="BK481" t="s">
        <v>69</v>
      </c>
      <c r="BL481" t="s">
        <v>1866</v>
      </c>
      <c r="BM481" t="str">
        <f>HYPERLINK("http://dx.doi.org/10.1108/ECAM-07-2020-0576","http://dx.doi.org/10.1108/ECAM-07-2020-0576")</f>
        <v>http://dx.doi.org/10.1108/ECAM-07-2020-0576</v>
      </c>
      <c r="BN481" t="s">
        <v>69</v>
      </c>
      <c r="BO481" t="s">
        <v>1867</v>
      </c>
      <c r="BP481">
        <v>20</v>
      </c>
      <c r="BQ481" t="s">
        <v>9128</v>
      </c>
      <c r="BR481" t="s">
        <v>8523</v>
      </c>
      <c r="BS481" t="s">
        <v>9129</v>
      </c>
      <c r="BT481" t="s">
        <v>14012</v>
      </c>
      <c r="BU481" t="s">
        <v>1868</v>
      </c>
      <c r="BV481" t="s">
        <v>69</v>
      </c>
      <c r="BW481" t="s">
        <v>69</v>
      </c>
      <c r="BX481" t="s">
        <v>69</v>
      </c>
      <c r="BY481" t="s">
        <v>69</v>
      </c>
      <c r="BZ481" t="s">
        <v>8526</v>
      </c>
      <c r="CA481" t="str">
        <f>HYPERLINK("https%3A%2F%2Fwww.webofscience.com%2Fwos%2Fwoscc%2Ffull-record%2FWOS:000592792900001","View Full Record in Web of Science")</f>
        <v>View Full Record in Web of Science</v>
      </c>
    </row>
    <row r="482" spans="2:79" ht="12.5" x14ac:dyDescent="0.25">
      <c r="B482" t="s">
        <v>8495</v>
      </c>
      <c r="D482" s="7" t="s">
        <v>32933</v>
      </c>
      <c r="E482" s="7"/>
      <c r="F482" s="7"/>
      <c r="G482" s="7"/>
      <c r="H482" t="s">
        <v>67</v>
      </c>
      <c r="I482" t="s">
        <v>5038</v>
      </c>
      <c r="J482" t="s">
        <v>69</v>
      </c>
      <c r="K482" t="s">
        <v>69</v>
      </c>
      <c r="L482" t="s">
        <v>69</v>
      </c>
      <c r="M482" t="s">
        <v>5038</v>
      </c>
      <c r="N482" t="s">
        <v>69</v>
      </c>
      <c r="O482" t="s">
        <v>69</v>
      </c>
      <c r="P482" t="s">
        <v>5039</v>
      </c>
      <c r="Q482" t="s">
        <v>4760</v>
      </c>
      <c r="R482" t="s">
        <v>69</v>
      </c>
      <c r="S482" t="s">
        <v>69</v>
      </c>
      <c r="T482" t="s">
        <v>8505</v>
      </c>
      <c r="U482" t="s">
        <v>8506</v>
      </c>
      <c r="V482" t="s">
        <v>69</v>
      </c>
      <c r="W482" t="s">
        <v>69</v>
      </c>
      <c r="X482" t="s">
        <v>69</v>
      </c>
      <c r="Y482" t="s">
        <v>69</v>
      </c>
      <c r="Z482" t="s">
        <v>69</v>
      </c>
      <c r="AA482" t="s">
        <v>69</v>
      </c>
      <c r="AB482" t="s">
        <v>69</v>
      </c>
      <c r="AC482" t="s">
        <v>5040</v>
      </c>
      <c r="AD482" t="s">
        <v>32635</v>
      </c>
      <c r="AE482" t="s">
        <v>69</v>
      </c>
      <c r="AF482" t="s">
        <v>32636</v>
      </c>
      <c r="AG482" t="s">
        <v>69</v>
      </c>
      <c r="AH482" t="s">
        <v>69</v>
      </c>
      <c r="AI482" t="s">
        <v>69</v>
      </c>
      <c r="AJ482" t="s">
        <v>69</v>
      </c>
      <c r="AK482" t="s">
        <v>69</v>
      </c>
      <c r="AL482" t="s">
        <v>69</v>
      </c>
      <c r="AM482" t="s">
        <v>69</v>
      </c>
      <c r="AN482">
        <v>1</v>
      </c>
      <c r="AO482">
        <v>3</v>
      </c>
      <c r="AP482">
        <v>3</v>
      </c>
      <c r="AQ482">
        <v>0</v>
      </c>
      <c r="AR482">
        <v>1</v>
      </c>
      <c r="AS482" t="s">
        <v>32637</v>
      </c>
      <c r="AT482" t="s">
        <v>32489</v>
      </c>
      <c r="AU482" t="s">
        <v>32638</v>
      </c>
      <c r="AV482" t="s">
        <v>4762</v>
      </c>
      <c r="AW482" t="s">
        <v>69</v>
      </c>
      <c r="AX482" t="s">
        <v>69</v>
      </c>
      <c r="AY482" t="s">
        <v>16818</v>
      </c>
      <c r="AZ482" t="s">
        <v>16819</v>
      </c>
      <c r="BA482" t="s">
        <v>381</v>
      </c>
      <c r="BB482">
        <v>1994</v>
      </c>
      <c r="BC482">
        <v>86</v>
      </c>
      <c r="BD482">
        <v>10</v>
      </c>
      <c r="BE482" t="s">
        <v>69</v>
      </c>
      <c r="BF482" t="s">
        <v>69</v>
      </c>
      <c r="BG482" t="s">
        <v>69</v>
      </c>
      <c r="BH482" t="s">
        <v>69</v>
      </c>
      <c r="BI482">
        <v>48</v>
      </c>
      <c r="BJ482">
        <v>60</v>
      </c>
      <c r="BK482" t="s">
        <v>69</v>
      </c>
      <c r="BL482" t="s">
        <v>69</v>
      </c>
      <c r="BM482" t="s">
        <v>69</v>
      </c>
      <c r="BN482" t="s">
        <v>69</v>
      </c>
      <c r="BO482" t="s">
        <v>69</v>
      </c>
      <c r="BP482">
        <v>13</v>
      </c>
      <c r="BQ482" t="s">
        <v>9229</v>
      </c>
      <c r="BR482" t="s">
        <v>8548</v>
      </c>
      <c r="BS482" t="s">
        <v>9230</v>
      </c>
      <c r="BT482" t="s">
        <v>32639</v>
      </c>
      <c r="BU482" t="s">
        <v>5041</v>
      </c>
      <c r="BV482" t="s">
        <v>69</v>
      </c>
      <c r="BW482" t="s">
        <v>69</v>
      </c>
      <c r="BX482" t="s">
        <v>69</v>
      </c>
      <c r="BY482" t="s">
        <v>69</v>
      </c>
      <c r="BZ482" t="s">
        <v>8526</v>
      </c>
      <c r="CA482" t="str">
        <f>HYPERLINK("https%3A%2F%2Fwww.webofscience.com%2Fwos%2Fwoscc%2Ffull-record%2FWOS:A1994PK73900009","View Full Record in Web of Science")</f>
        <v>View Full Record in Web of Science</v>
      </c>
    </row>
    <row r="483" spans="2:79" ht="12.5" x14ac:dyDescent="0.25">
      <c r="B483" t="s">
        <v>8495</v>
      </c>
      <c r="D483" s="7" t="s">
        <v>32933</v>
      </c>
      <c r="E483" s="7"/>
      <c r="F483" s="7"/>
      <c r="G483" s="7"/>
      <c r="H483" t="s">
        <v>67</v>
      </c>
      <c r="I483" t="s">
        <v>7051</v>
      </c>
      <c r="J483" t="s">
        <v>69</v>
      </c>
      <c r="K483" t="s">
        <v>69</v>
      </c>
      <c r="L483" t="s">
        <v>69</v>
      </c>
      <c r="M483" t="s">
        <v>7051</v>
      </c>
      <c r="N483" t="s">
        <v>69</v>
      </c>
      <c r="O483" t="s">
        <v>69</v>
      </c>
      <c r="P483" s="4" t="s">
        <v>7052</v>
      </c>
      <c r="Q483" t="s">
        <v>7053</v>
      </c>
      <c r="R483" t="s">
        <v>69</v>
      </c>
      <c r="S483" t="s">
        <v>69</v>
      </c>
      <c r="T483" t="s">
        <v>8505</v>
      </c>
      <c r="U483" t="s">
        <v>8506</v>
      </c>
      <c r="V483" t="s">
        <v>69</v>
      </c>
      <c r="W483" t="s">
        <v>69</v>
      </c>
      <c r="X483" t="s">
        <v>69</v>
      </c>
      <c r="Y483" t="s">
        <v>69</v>
      </c>
      <c r="Z483" t="s">
        <v>69</v>
      </c>
      <c r="AA483" t="s">
        <v>69</v>
      </c>
      <c r="AB483" t="s">
        <v>30091</v>
      </c>
      <c r="AC483" t="s">
        <v>7054</v>
      </c>
      <c r="AD483" t="s">
        <v>30092</v>
      </c>
      <c r="AE483" t="s">
        <v>69</v>
      </c>
      <c r="AF483" t="s">
        <v>30093</v>
      </c>
      <c r="AG483" t="s">
        <v>30094</v>
      </c>
      <c r="AH483" t="s">
        <v>30095</v>
      </c>
      <c r="AI483" t="s">
        <v>69</v>
      </c>
      <c r="AJ483" t="s">
        <v>69</v>
      </c>
      <c r="AK483" t="s">
        <v>69</v>
      </c>
      <c r="AL483" t="s">
        <v>69</v>
      </c>
      <c r="AM483" t="s">
        <v>69</v>
      </c>
      <c r="AN483">
        <v>50</v>
      </c>
      <c r="AO483">
        <v>17</v>
      </c>
      <c r="AP483">
        <v>17</v>
      </c>
      <c r="AQ483">
        <v>0</v>
      </c>
      <c r="AR483">
        <v>7</v>
      </c>
      <c r="AS483" t="s">
        <v>30096</v>
      </c>
      <c r="AT483" t="s">
        <v>30097</v>
      </c>
      <c r="AU483" t="s">
        <v>30098</v>
      </c>
      <c r="AV483" t="s">
        <v>7055</v>
      </c>
      <c r="AW483" t="s">
        <v>7056</v>
      </c>
      <c r="AX483" t="s">
        <v>69</v>
      </c>
      <c r="AY483" t="s">
        <v>30099</v>
      </c>
      <c r="AZ483" t="s">
        <v>30100</v>
      </c>
      <c r="BA483" t="s">
        <v>1710</v>
      </c>
      <c r="BB483">
        <v>2006</v>
      </c>
      <c r="BC483">
        <v>16</v>
      </c>
      <c r="BD483">
        <v>1</v>
      </c>
      <c r="BE483" t="s">
        <v>69</v>
      </c>
      <c r="BF483">
        <v>1</v>
      </c>
      <c r="BG483" t="s">
        <v>69</v>
      </c>
      <c r="BH483" t="s">
        <v>69</v>
      </c>
      <c r="BI483">
        <v>107</v>
      </c>
      <c r="BJ483">
        <v>117</v>
      </c>
      <c r="BK483" t="s">
        <v>69</v>
      </c>
      <c r="BL483" t="s">
        <v>69</v>
      </c>
      <c r="BM483" t="s">
        <v>69</v>
      </c>
      <c r="BN483" t="s">
        <v>69</v>
      </c>
      <c r="BO483" t="s">
        <v>69</v>
      </c>
      <c r="BP483">
        <v>11</v>
      </c>
      <c r="BQ483" t="s">
        <v>8810</v>
      </c>
      <c r="BR483" t="s">
        <v>8523</v>
      </c>
      <c r="BS483" t="s">
        <v>8810</v>
      </c>
      <c r="BT483" t="s">
        <v>30101</v>
      </c>
      <c r="BU483" t="s">
        <v>7057</v>
      </c>
      <c r="BV483" t="s">
        <v>69</v>
      </c>
      <c r="BW483" t="s">
        <v>69</v>
      </c>
      <c r="BX483" t="s">
        <v>69</v>
      </c>
      <c r="BY483" t="s">
        <v>69</v>
      </c>
      <c r="BZ483" t="s">
        <v>8526</v>
      </c>
      <c r="CA483" t="str">
        <f>HYPERLINK("https%3A%2F%2Fwww.webofscience.com%2Fwos%2Fwoscc%2Ffull-record%2FWOS:000235170700011","View Full Record in Web of Science")</f>
        <v>View Full Record in Web of Science</v>
      </c>
    </row>
    <row r="484" spans="2:79" ht="12.5" x14ac:dyDescent="0.25">
      <c r="B484" t="s">
        <v>8495</v>
      </c>
      <c r="D484" s="22" t="s">
        <v>32931</v>
      </c>
      <c r="E484" s="7"/>
      <c r="F484" s="7"/>
      <c r="G484" s="7"/>
      <c r="H484" t="s">
        <v>67</v>
      </c>
      <c r="I484" t="s">
        <v>27056</v>
      </c>
      <c r="J484" t="s">
        <v>69</v>
      </c>
      <c r="K484" t="s">
        <v>69</v>
      </c>
      <c r="L484" t="s">
        <v>69</v>
      </c>
      <c r="M484" t="s">
        <v>27057</v>
      </c>
      <c r="N484" t="s">
        <v>69</v>
      </c>
      <c r="O484" t="s">
        <v>69</v>
      </c>
      <c r="P484" t="s">
        <v>27058</v>
      </c>
      <c r="Q484" t="s">
        <v>27059</v>
      </c>
      <c r="R484" t="s">
        <v>69</v>
      </c>
      <c r="S484" t="s">
        <v>69</v>
      </c>
      <c r="T484" t="s">
        <v>8505</v>
      </c>
      <c r="U484" t="s">
        <v>8506</v>
      </c>
      <c r="V484" t="s">
        <v>69</v>
      </c>
      <c r="W484" t="s">
        <v>69</v>
      </c>
      <c r="X484" t="s">
        <v>69</v>
      </c>
      <c r="Y484" t="s">
        <v>69</v>
      </c>
      <c r="Z484" t="s">
        <v>69</v>
      </c>
      <c r="AA484" t="s">
        <v>27060</v>
      </c>
      <c r="AB484" t="s">
        <v>27061</v>
      </c>
      <c r="AC484" t="s">
        <v>27062</v>
      </c>
      <c r="AD484" t="s">
        <v>27063</v>
      </c>
      <c r="AE484" t="s">
        <v>69</v>
      </c>
      <c r="AF484" t="s">
        <v>27064</v>
      </c>
      <c r="AG484" t="s">
        <v>27065</v>
      </c>
      <c r="AH484" t="s">
        <v>69</v>
      </c>
      <c r="AI484" t="s">
        <v>69</v>
      </c>
      <c r="AJ484" t="s">
        <v>27066</v>
      </c>
      <c r="AK484" t="s">
        <v>27067</v>
      </c>
      <c r="AL484" t="s">
        <v>27068</v>
      </c>
      <c r="AM484" t="s">
        <v>69</v>
      </c>
      <c r="AN484">
        <v>14</v>
      </c>
      <c r="AO484">
        <v>11</v>
      </c>
      <c r="AP484">
        <v>12</v>
      </c>
      <c r="AQ484">
        <v>0</v>
      </c>
      <c r="AR484">
        <v>9</v>
      </c>
      <c r="AS484" t="s">
        <v>27069</v>
      </c>
      <c r="AT484" t="s">
        <v>27070</v>
      </c>
      <c r="AU484" t="s">
        <v>27071</v>
      </c>
      <c r="AV484" t="s">
        <v>27072</v>
      </c>
      <c r="AW484" t="s">
        <v>69</v>
      </c>
      <c r="AX484" t="s">
        <v>69</v>
      </c>
      <c r="AY484" t="s">
        <v>27073</v>
      </c>
      <c r="AZ484" t="s">
        <v>27074</v>
      </c>
      <c r="BA484" t="s">
        <v>246</v>
      </c>
      <c r="BB484">
        <v>2011</v>
      </c>
      <c r="BC484">
        <v>65</v>
      </c>
      <c r="BD484">
        <v>2</v>
      </c>
      <c r="BE484" t="s">
        <v>69</v>
      </c>
      <c r="BF484" t="s">
        <v>69</v>
      </c>
      <c r="BG484" t="s">
        <v>69</v>
      </c>
      <c r="BH484" t="s">
        <v>69</v>
      </c>
      <c r="BI484">
        <v>123</v>
      </c>
      <c r="BJ484">
        <v>128</v>
      </c>
      <c r="BK484" t="s">
        <v>69</v>
      </c>
      <c r="BL484" t="s">
        <v>69</v>
      </c>
      <c r="BM484" t="s">
        <v>69</v>
      </c>
      <c r="BN484" t="s">
        <v>69</v>
      </c>
      <c r="BO484" t="s">
        <v>69</v>
      </c>
      <c r="BP484">
        <v>6</v>
      </c>
      <c r="BQ484" t="s">
        <v>20354</v>
      </c>
      <c r="BR484" t="s">
        <v>8523</v>
      </c>
      <c r="BS484" t="s">
        <v>20355</v>
      </c>
      <c r="BT484" t="s">
        <v>27075</v>
      </c>
      <c r="BU484" t="s">
        <v>27076</v>
      </c>
      <c r="BV484">
        <v>21519370</v>
      </c>
      <c r="BW484" t="s">
        <v>69</v>
      </c>
      <c r="BX484" t="s">
        <v>69</v>
      </c>
      <c r="BY484" t="s">
        <v>69</v>
      </c>
      <c r="BZ484" t="s">
        <v>8526</v>
      </c>
      <c r="CA484" t="str">
        <f>HYPERLINK("https%3A%2F%2Fwww.webofscience.com%2Fwos%2Fwoscc%2Ffull-record%2FWOS:000289818800008","View Full Record in Web of Science")</f>
        <v>View Full Record in Web of Science</v>
      </c>
    </row>
    <row r="485" spans="2:79" ht="12.5" x14ac:dyDescent="0.25">
      <c r="B485" t="s">
        <v>8495</v>
      </c>
      <c r="D485" s="7" t="s">
        <v>32933</v>
      </c>
      <c r="E485" s="7"/>
      <c r="F485" s="7"/>
      <c r="G485" s="7"/>
      <c r="H485" t="s">
        <v>67</v>
      </c>
      <c r="I485" t="s">
        <v>8076</v>
      </c>
      <c r="J485" t="s">
        <v>69</v>
      </c>
      <c r="K485" t="s">
        <v>69</v>
      </c>
      <c r="L485" t="s">
        <v>69</v>
      </c>
      <c r="M485" t="s">
        <v>8077</v>
      </c>
      <c r="N485" t="s">
        <v>69</v>
      </c>
      <c r="O485" t="s">
        <v>69</v>
      </c>
      <c r="P485" t="s">
        <v>8078</v>
      </c>
      <c r="Q485" t="s">
        <v>4599</v>
      </c>
      <c r="R485" t="s">
        <v>69</v>
      </c>
      <c r="S485" t="s">
        <v>69</v>
      </c>
      <c r="T485" t="s">
        <v>8505</v>
      </c>
      <c r="U485" t="s">
        <v>8506</v>
      </c>
      <c r="V485" t="s">
        <v>69</v>
      </c>
      <c r="W485" t="s">
        <v>69</v>
      </c>
      <c r="X485" t="s">
        <v>69</v>
      </c>
      <c r="Y485" t="s">
        <v>69</v>
      </c>
      <c r="Z485" t="s">
        <v>69</v>
      </c>
      <c r="AA485" t="s">
        <v>24703</v>
      </c>
      <c r="AB485" t="s">
        <v>24704</v>
      </c>
      <c r="AC485" t="s">
        <v>8079</v>
      </c>
      <c r="AD485" t="s">
        <v>24705</v>
      </c>
      <c r="AE485" t="s">
        <v>69</v>
      </c>
      <c r="AF485" t="s">
        <v>24706</v>
      </c>
      <c r="AG485" t="s">
        <v>24707</v>
      </c>
      <c r="AH485" t="s">
        <v>69</v>
      </c>
      <c r="AI485" t="s">
        <v>8080</v>
      </c>
      <c r="AJ485" t="s">
        <v>69</v>
      </c>
      <c r="AK485" t="s">
        <v>69</v>
      </c>
      <c r="AL485" t="s">
        <v>69</v>
      </c>
      <c r="AM485" t="s">
        <v>69</v>
      </c>
      <c r="AN485">
        <v>49</v>
      </c>
      <c r="AO485">
        <v>91</v>
      </c>
      <c r="AP485">
        <v>92</v>
      </c>
      <c r="AQ485">
        <v>0</v>
      </c>
      <c r="AR485">
        <v>43</v>
      </c>
      <c r="AS485" t="s">
        <v>21110</v>
      </c>
      <c r="AT485" t="s">
        <v>8847</v>
      </c>
      <c r="AU485" t="s">
        <v>8848</v>
      </c>
      <c r="AV485" t="s">
        <v>4601</v>
      </c>
      <c r="AW485" t="s">
        <v>4602</v>
      </c>
      <c r="AX485" t="s">
        <v>69</v>
      </c>
      <c r="AY485" t="s">
        <v>8849</v>
      </c>
      <c r="AZ485" t="s">
        <v>8850</v>
      </c>
      <c r="BA485" t="s">
        <v>381</v>
      </c>
      <c r="BB485">
        <v>2013</v>
      </c>
      <c r="BC485">
        <v>49</v>
      </c>
      <c r="BD485">
        <v>5</v>
      </c>
      <c r="BE485" t="s">
        <v>69</v>
      </c>
      <c r="BF485" t="s">
        <v>69</v>
      </c>
      <c r="BG485" t="s">
        <v>69</v>
      </c>
      <c r="BH485" t="s">
        <v>69</v>
      </c>
      <c r="BI485">
        <v>1042</v>
      </c>
      <c r="BJ485">
        <v>1056</v>
      </c>
      <c r="BK485" t="s">
        <v>69</v>
      </c>
      <c r="BL485" t="s">
        <v>8081</v>
      </c>
      <c r="BM485" t="str">
        <f>HYPERLINK("http://dx.doi.org/10.1111/jawr.12109","http://dx.doi.org/10.1111/jawr.12109")</f>
        <v>http://dx.doi.org/10.1111/jawr.12109</v>
      </c>
      <c r="BN485" t="s">
        <v>69</v>
      </c>
      <c r="BO485" t="s">
        <v>69</v>
      </c>
      <c r="BP485">
        <v>15</v>
      </c>
      <c r="BQ485" t="s">
        <v>8852</v>
      </c>
      <c r="BR485" t="s">
        <v>8548</v>
      </c>
      <c r="BS485" t="s">
        <v>8853</v>
      </c>
      <c r="BT485" t="s">
        <v>24708</v>
      </c>
      <c r="BU485" t="s">
        <v>8082</v>
      </c>
      <c r="BV485" t="s">
        <v>69</v>
      </c>
      <c r="BW485" t="s">
        <v>69</v>
      </c>
      <c r="BX485" t="s">
        <v>69</v>
      </c>
      <c r="BY485" t="s">
        <v>69</v>
      </c>
      <c r="BZ485" t="s">
        <v>8526</v>
      </c>
      <c r="CA485" t="str">
        <f>HYPERLINK("https%3A%2F%2Fwww.webofscience.com%2Fwos%2Fwoscc%2Ffull-record%2FWOS:000325152600005","View Full Record in Web of Science")</f>
        <v>View Full Record in Web of Science</v>
      </c>
    </row>
    <row r="486" spans="2:79" ht="12.5" x14ac:dyDescent="0.25">
      <c r="B486" t="s">
        <v>8495</v>
      </c>
      <c r="D486" s="22" t="s">
        <v>32931</v>
      </c>
      <c r="E486" s="7"/>
      <c r="F486" s="7"/>
      <c r="G486" s="7"/>
      <c r="H486" t="s">
        <v>67</v>
      </c>
      <c r="I486" t="s">
        <v>24011</v>
      </c>
      <c r="J486" t="s">
        <v>69</v>
      </c>
      <c r="K486" t="s">
        <v>69</v>
      </c>
      <c r="L486" t="s">
        <v>69</v>
      </c>
      <c r="M486" t="s">
        <v>24012</v>
      </c>
      <c r="N486" t="s">
        <v>69</v>
      </c>
      <c r="O486" t="s">
        <v>69</v>
      </c>
      <c r="P486" t="s">
        <v>24013</v>
      </c>
      <c r="Q486" t="s">
        <v>24014</v>
      </c>
      <c r="R486" t="s">
        <v>69</v>
      </c>
      <c r="S486" t="s">
        <v>69</v>
      </c>
      <c r="T486" t="s">
        <v>8505</v>
      </c>
      <c r="U486" t="s">
        <v>8506</v>
      </c>
      <c r="V486" t="s">
        <v>69</v>
      </c>
      <c r="W486" t="s">
        <v>69</v>
      </c>
      <c r="X486" t="s">
        <v>69</v>
      </c>
      <c r="Y486" t="s">
        <v>69</v>
      </c>
      <c r="Z486" t="s">
        <v>69</v>
      </c>
      <c r="AA486" t="s">
        <v>24015</v>
      </c>
      <c r="AB486" t="s">
        <v>24016</v>
      </c>
      <c r="AC486" t="s">
        <v>24017</v>
      </c>
      <c r="AD486" t="s">
        <v>24018</v>
      </c>
      <c r="AE486" t="s">
        <v>69</v>
      </c>
      <c r="AF486" t="s">
        <v>24019</v>
      </c>
      <c r="AG486" t="s">
        <v>24020</v>
      </c>
      <c r="AH486" t="s">
        <v>24021</v>
      </c>
      <c r="AI486" t="s">
        <v>24022</v>
      </c>
      <c r="AJ486" t="s">
        <v>24023</v>
      </c>
      <c r="AK486" t="s">
        <v>24024</v>
      </c>
      <c r="AL486" t="s">
        <v>24025</v>
      </c>
      <c r="AM486" t="s">
        <v>69</v>
      </c>
      <c r="AN486">
        <v>84</v>
      </c>
      <c r="AO486">
        <v>12</v>
      </c>
      <c r="AP486">
        <v>13</v>
      </c>
      <c r="AQ486">
        <v>0</v>
      </c>
      <c r="AR486">
        <v>3</v>
      </c>
      <c r="AS486" t="s">
        <v>24026</v>
      </c>
      <c r="AT486" t="s">
        <v>24027</v>
      </c>
      <c r="AU486" t="s">
        <v>24028</v>
      </c>
      <c r="AV486" t="s">
        <v>24029</v>
      </c>
      <c r="AW486" t="s">
        <v>69</v>
      </c>
      <c r="AX486" t="s">
        <v>69</v>
      </c>
      <c r="AY486" t="s">
        <v>24014</v>
      </c>
      <c r="AZ486" t="s">
        <v>24030</v>
      </c>
      <c r="BA486" t="s">
        <v>69</v>
      </c>
      <c r="BB486">
        <v>2014</v>
      </c>
      <c r="BC486">
        <v>9</v>
      </c>
      <c r="BD486">
        <v>3</v>
      </c>
      <c r="BE486" t="s">
        <v>69</v>
      </c>
      <c r="BF486" t="s">
        <v>69</v>
      </c>
      <c r="BG486" t="s">
        <v>69</v>
      </c>
      <c r="BH486" t="s">
        <v>69</v>
      </c>
      <c r="BI486">
        <v>5707</v>
      </c>
      <c r="BJ486">
        <v>5737</v>
      </c>
      <c r="BK486" t="s">
        <v>69</v>
      </c>
      <c r="BL486" t="s">
        <v>69</v>
      </c>
      <c r="BM486" t="s">
        <v>69</v>
      </c>
      <c r="BN486" t="s">
        <v>69</v>
      </c>
      <c r="BO486" t="s">
        <v>69</v>
      </c>
      <c r="BP486">
        <v>31</v>
      </c>
      <c r="BQ486" t="s">
        <v>24031</v>
      </c>
      <c r="BR486" t="s">
        <v>8523</v>
      </c>
      <c r="BS486" t="s">
        <v>12151</v>
      </c>
      <c r="BT486" t="s">
        <v>24032</v>
      </c>
      <c r="BU486" t="s">
        <v>24033</v>
      </c>
      <c r="BV486" t="s">
        <v>69</v>
      </c>
      <c r="BW486" t="s">
        <v>69</v>
      </c>
      <c r="BX486" t="s">
        <v>69</v>
      </c>
      <c r="BY486" t="s">
        <v>69</v>
      </c>
      <c r="BZ486" t="s">
        <v>8526</v>
      </c>
      <c r="CA486" t="str">
        <f>HYPERLINK("https%3A%2F%2Fwww.webofscience.com%2Fwos%2Fwoscc%2Ffull-record%2FWOS:000344184300158","View Full Record in Web of Science")</f>
        <v>View Full Record in Web of Science</v>
      </c>
    </row>
    <row r="487" spans="2:79" ht="12.5" x14ac:dyDescent="0.25">
      <c r="B487" t="s">
        <v>8495</v>
      </c>
      <c r="D487" s="7" t="s">
        <v>32933</v>
      </c>
      <c r="E487" s="7"/>
      <c r="F487" s="7"/>
      <c r="G487" s="7"/>
      <c r="H487" t="s">
        <v>67</v>
      </c>
      <c r="I487" t="s">
        <v>7652</v>
      </c>
      <c r="J487" t="s">
        <v>69</v>
      </c>
      <c r="K487" t="s">
        <v>69</v>
      </c>
      <c r="L487" t="s">
        <v>69</v>
      </c>
      <c r="M487" t="s">
        <v>7653</v>
      </c>
      <c r="N487" t="s">
        <v>69</v>
      </c>
      <c r="O487" t="s">
        <v>69</v>
      </c>
      <c r="P487" t="s">
        <v>7654</v>
      </c>
      <c r="Q487" t="s">
        <v>7655</v>
      </c>
      <c r="R487" t="s">
        <v>69</v>
      </c>
      <c r="S487" t="s">
        <v>69</v>
      </c>
      <c r="T487" t="s">
        <v>8505</v>
      </c>
      <c r="U487" t="s">
        <v>8506</v>
      </c>
      <c r="V487" t="s">
        <v>69</v>
      </c>
      <c r="W487" t="s">
        <v>69</v>
      </c>
      <c r="X487" t="s">
        <v>69</v>
      </c>
      <c r="Y487" t="s">
        <v>69</v>
      </c>
      <c r="Z487" t="s">
        <v>69</v>
      </c>
      <c r="AA487" t="s">
        <v>15987</v>
      </c>
      <c r="AB487" t="s">
        <v>69</v>
      </c>
      <c r="AC487" t="s">
        <v>7656</v>
      </c>
      <c r="AD487" t="s">
        <v>15988</v>
      </c>
      <c r="AE487" t="s">
        <v>69</v>
      </c>
      <c r="AF487" t="s">
        <v>15989</v>
      </c>
      <c r="AG487" t="s">
        <v>15990</v>
      </c>
      <c r="AH487" t="s">
        <v>15991</v>
      </c>
      <c r="AI487" t="s">
        <v>15992</v>
      </c>
      <c r="AJ487" t="s">
        <v>69</v>
      </c>
      <c r="AK487" t="s">
        <v>69</v>
      </c>
      <c r="AL487" t="s">
        <v>69</v>
      </c>
      <c r="AM487" t="s">
        <v>69</v>
      </c>
      <c r="AN487">
        <v>26</v>
      </c>
      <c r="AO487">
        <v>1</v>
      </c>
      <c r="AP487">
        <v>1</v>
      </c>
      <c r="AQ487">
        <v>2</v>
      </c>
      <c r="AR487">
        <v>7</v>
      </c>
      <c r="AS487" t="s">
        <v>15993</v>
      </c>
      <c r="AT487" t="s">
        <v>15994</v>
      </c>
      <c r="AU487" t="s">
        <v>15995</v>
      </c>
      <c r="AV487" t="s">
        <v>7657</v>
      </c>
      <c r="AW487" t="s">
        <v>7658</v>
      </c>
      <c r="AX487" t="s">
        <v>69</v>
      </c>
      <c r="AY487" t="s">
        <v>15996</v>
      </c>
      <c r="AZ487" t="s">
        <v>15997</v>
      </c>
      <c r="BA487" t="s">
        <v>69</v>
      </c>
      <c r="BB487">
        <v>2020</v>
      </c>
      <c r="BC487" t="s">
        <v>69</v>
      </c>
      <c r="BD487">
        <v>42</v>
      </c>
      <c r="BE487" t="s">
        <v>69</v>
      </c>
      <c r="BF487" t="s">
        <v>69</v>
      </c>
      <c r="BG487" t="s">
        <v>69</v>
      </c>
      <c r="BH487" t="s">
        <v>69</v>
      </c>
      <c r="BI487">
        <v>194</v>
      </c>
      <c r="BJ487">
        <v>204</v>
      </c>
      <c r="BK487" t="s">
        <v>69</v>
      </c>
      <c r="BL487" t="s">
        <v>69</v>
      </c>
      <c r="BM487" t="s">
        <v>69</v>
      </c>
      <c r="BN487" t="s">
        <v>69</v>
      </c>
      <c r="BO487" t="s">
        <v>69</v>
      </c>
      <c r="BP487">
        <v>11</v>
      </c>
      <c r="BQ487" t="s">
        <v>10299</v>
      </c>
      <c r="BR487" t="s">
        <v>8573</v>
      </c>
      <c r="BS487" t="s">
        <v>10279</v>
      </c>
      <c r="BT487" t="s">
        <v>15998</v>
      </c>
      <c r="BU487" t="s">
        <v>7659</v>
      </c>
      <c r="BV487" t="s">
        <v>69</v>
      </c>
      <c r="BW487" t="s">
        <v>69</v>
      </c>
      <c r="BX487" t="s">
        <v>69</v>
      </c>
      <c r="BY487" t="s">
        <v>69</v>
      </c>
      <c r="BZ487" t="s">
        <v>8526</v>
      </c>
      <c r="CA487" t="str">
        <f>HYPERLINK("https%3A%2F%2Fwww.webofscience.com%2Fwos%2Fwoscc%2Ffull-record%2FWOS:000600032800019","View Full Record in Web of Science")</f>
        <v>View Full Record in Web of Science</v>
      </c>
    </row>
    <row r="488" spans="2:79" ht="12.5" x14ac:dyDescent="0.25">
      <c r="B488" t="s">
        <v>8495</v>
      </c>
      <c r="D488" s="22" t="s">
        <v>32931</v>
      </c>
      <c r="E488" s="7"/>
      <c r="F488" s="7"/>
      <c r="G488" s="7"/>
      <c r="H488" t="s">
        <v>67</v>
      </c>
      <c r="I488" t="s">
        <v>30184</v>
      </c>
      <c r="J488" t="s">
        <v>69</v>
      </c>
      <c r="K488" t="s">
        <v>69</v>
      </c>
      <c r="L488" t="s">
        <v>69</v>
      </c>
      <c r="M488" t="s">
        <v>30185</v>
      </c>
      <c r="N488" t="s">
        <v>69</v>
      </c>
      <c r="O488" t="s">
        <v>69</v>
      </c>
      <c r="P488" t="s">
        <v>30186</v>
      </c>
      <c r="Q488" t="s">
        <v>30187</v>
      </c>
      <c r="R488" t="s">
        <v>69</v>
      </c>
      <c r="S488" t="s">
        <v>69</v>
      </c>
      <c r="T488" t="s">
        <v>8505</v>
      </c>
      <c r="U488" t="s">
        <v>8506</v>
      </c>
      <c r="V488" t="s">
        <v>69</v>
      </c>
      <c r="W488" t="s">
        <v>69</v>
      </c>
      <c r="X488" t="s">
        <v>69</v>
      </c>
      <c r="Y488" t="s">
        <v>69</v>
      </c>
      <c r="Z488" t="s">
        <v>69</v>
      </c>
      <c r="AA488" t="s">
        <v>69</v>
      </c>
      <c r="AB488" t="s">
        <v>30188</v>
      </c>
      <c r="AC488" t="s">
        <v>30189</v>
      </c>
      <c r="AD488" t="s">
        <v>30190</v>
      </c>
      <c r="AE488" t="s">
        <v>69</v>
      </c>
      <c r="AF488" t="s">
        <v>30191</v>
      </c>
      <c r="AG488" t="s">
        <v>30192</v>
      </c>
      <c r="AH488" t="s">
        <v>30193</v>
      </c>
      <c r="AI488" t="s">
        <v>30194</v>
      </c>
      <c r="AJ488" t="s">
        <v>69</v>
      </c>
      <c r="AK488" t="s">
        <v>69</v>
      </c>
      <c r="AL488" t="s">
        <v>69</v>
      </c>
      <c r="AM488" t="s">
        <v>69</v>
      </c>
      <c r="AN488">
        <v>17</v>
      </c>
      <c r="AO488">
        <v>7</v>
      </c>
      <c r="AP488">
        <v>7</v>
      </c>
      <c r="AQ488">
        <v>0</v>
      </c>
      <c r="AR488">
        <v>11</v>
      </c>
      <c r="AS488" t="s">
        <v>9577</v>
      </c>
      <c r="AT488" t="s">
        <v>9578</v>
      </c>
      <c r="AU488" t="s">
        <v>9579</v>
      </c>
      <c r="AV488" t="s">
        <v>30195</v>
      </c>
      <c r="AW488" t="s">
        <v>30196</v>
      </c>
      <c r="AX488" t="s">
        <v>69</v>
      </c>
      <c r="AY488" t="s">
        <v>30197</v>
      </c>
      <c r="AZ488" t="s">
        <v>30198</v>
      </c>
      <c r="BA488" t="s">
        <v>30199</v>
      </c>
      <c r="BB488">
        <v>2006</v>
      </c>
      <c r="BC488">
        <v>6</v>
      </c>
      <c r="BD488" t="s">
        <v>69</v>
      </c>
      <c r="BE488" t="s">
        <v>69</v>
      </c>
      <c r="BF488" t="s">
        <v>69</v>
      </c>
      <c r="BG488" t="s">
        <v>69</v>
      </c>
      <c r="BH488" t="s">
        <v>69</v>
      </c>
      <c r="BI488">
        <v>3077</v>
      </c>
      <c r="BJ488">
        <v>3083</v>
      </c>
      <c r="BK488" t="s">
        <v>69</v>
      </c>
      <c r="BL488" t="s">
        <v>30200</v>
      </c>
      <c r="BM488" t="str">
        <f>HYPERLINK("http://dx.doi.org/10.5194/acp-6-3077-2006","http://dx.doi.org/10.5194/acp-6-3077-2006")</f>
        <v>http://dx.doi.org/10.5194/acp-6-3077-2006</v>
      </c>
      <c r="BN488" t="s">
        <v>69</v>
      </c>
      <c r="BO488" t="s">
        <v>69</v>
      </c>
      <c r="BP488">
        <v>7</v>
      </c>
      <c r="BQ488" t="s">
        <v>11283</v>
      </c>
      <c r="BR488" t="s">
        <v>8548</v>
      </c>
      <c r="BS488" t="s">
        <v>11284</v>
      </c>
      <c r="BT488" t="s">
        <v>30201</v>
      </c>
      <c r="BU488" t="s">
        <v>30202</v>
      </c>
      <c r="BV488" t="s">
        <v>69</v>
      </c>
      <c r="BW488" t="s">
        <v>10482</v>
      </c>
      <c r="BX488" t="s">
        <v>69</v>
      </c>
      <c r="BY488" t="s">
        <v>69</v>
      </c>
      <c r="BZ488" t="s">
        <v>8526</v>
      </c>
      <c r="CA488" t="str">
        <f>HYPERLINK("https%3A%2F%2Fwww.webofscience.com%2Fwos%2Fwoscc%2Ffull-record%2FWOS:000239270700005","View Full Record in Web of Science")</f>
        <v>View Full Record in Web of Science</v>
      </c>
    </row>
    <row r="489" spans="2:79" ht="12.5" x14ac:dyDescent="0.25">
      <c r="B489" t="s">
        <v>8495</v>
      </c>
      <c r="D489" s="7" t="s">
        <v>32933</v>
      </c>
      <c r="E489" s="7"/>
      <c r="F489" s="7"/>
      <c r="G489" s="7"/>
      <c r="H489" t="s">
        <v>67</v>
      </c>
      <c r="I489" t="s">
        <v>3578</v>
      </c>
      <c r="J489" t="s">
        <v>69</v>
      </c>
      <c r="K489" t="s">
        <v>69</v>
      </c>
      <c r="L489" t="s">
        <v>69</v>
      </c>
      <c r="M489" t="s">
        <v>3579</v>
      </c>
      <c r="N489" t="s">
        <v>69</v>
      </c>
      <c r="O489" t="s">
        <v>69</v>
      </c>
      <c r="P489" t="s">
        <v>3580</v>
      </c>
      <c r="Q489" t="s">
        <v>3581</v>
      </c>
      <c r="R489" t="s">
        <v>69</v>
      </c>
      <c r="S489" t="s">
        <v>69</v>
      </c>
      <c r="T489" t="s">
        <v>8505</v>
      </c>
      <c r="U489" t="s">
        <v>8506</v>
      </c>
      <c r="V489" t="s">
        <v>69</v>
      </c>
      <c r="W489" t="s">
        <v>69</v>
      </c>
      <c r="X489" t="s">
        <v>69</v>
      </c>
      <c r="Y489" t="s">
        <v>69</v>
      </c>
      <c r="Z489" t="s">
        <v>69</v>
      </c>
      <c r="AA489" t="s">
        <v>28308</v>
      </c>
      <c r="AB489" t="s">
        <v>28309</v>
      </c>
      <c r="AC489" t="s">
        <v>3582</v>
      </c>
      <c r="AD489" t="s">
        <v>28310</v>
      </c>
      <c r="AE489" t="s">
        <v>69</v>
      </c>
      <c r="AF489" t="s">
        <v>28311</v>
      </c>
      <c r="AG489" t="s">
        <v>28312</v>
      </c>
      <c r="AH489" t="s">
        <v>3583</v>
      </c>
      <c r="AI489" t="s">
        <v>3584</v>
      </c>
      <c r="AJ489" t="s">
        <v>69</v>
      </c>
      <c r="AK489" t="s">
        <v>69</v>
      </c>
      <c r="AL489" t="s">
        <v>69</v>
      </c>
      <c r="AM489" t="s">
        <v>69</v>
      </c>
      <c r="AN489">
        <v>72</v>
      </c>
      <c r="AO489">
        <v>16</v>
      </c>
      <c r="AP489">
        <v>18</v>
      </c>
      <c r="AQ489">
        <v>0</v>
      </c>
      <c r="AR489">
        <v>24</v>
      </c>
      <c r="AS489" t="s">
        <v>16048</v>
      </c>
      <c r="AT489" t="s">
        <v>8517</v>
      </c>
      <c r="AU489" t="s">
        <v>16049</v>
      </c>
      <c r="AV489" t="s">
        <v>3585</v>
      </c>
      <c r="AW489" t="s">
        <v>3586</v>
      </c>
      <c r="AX489" t="s">
        <v>69</v>
      </c>
      <c r="AY489" t="s">
        <v>28313</v>
      </c>
      <c r="AZ489" t="s">
        <v>28314</v>
      </c>
      <c r="BA489" t="s">
        <v>69</v>
      </c>
      <c r="BB489">
        <v>2010</v>
      </c>
      <c r="BC489">
        <v>36</v>
      </c>
      <c r="BD489">
        <v>3</v>
      </c>
      <c r="BE489" t="s">
        <v>69</v>
      </c>
      <c r="BF489" t="s">
        <v>69</v>
      </c>
      <c r="BG489" t="s">
        <v>69</v>
      </c>
      <c r="BH489" t="s">
        <v>69</v>
      </c>
      <c r="BI489">
        <v>263</v>
      </c>
      <c r="BJ489">
        <v>272</v>
      </c>
      <c r="BK489" t="s">
        <v>69</v>
      </c>
      <c r="BL489" t="s">
        <v>3587</v>
      </c>
      <c r="BM489" t="str">
        <f>HYPERLINK("http://dx.doi.org/10.3233/WOR-2010-1028","http://dx.doi.org/10.3233/WOR-2010-1028")</f>
        <v>http://dx.doi.org/10.3233/WOR-2010-1028</v>
      </c>
      <c r="BN489" t="s">
        <v>69</v>
      </c>
      <c r="BO489" t="s">
        <v>69</v>
      </c>
      <c r="BP489">
        <v>10</v>
      </c>
      <c r="BQ489" t="s">
        <v>8810</v>
      </c>
      <c r="BR489" t="s">
        <v>8661</v>
      </c>
      <c r="BS489" t="s">
        <v>8810</v>
      </c>
      <c r="BT489" t="s">
        <v>28315</v>
      </c>
      <c r="BU489" t="s">
        <v>3588</v>
      </c>
      <c r="BV489">
        <v>20683161</v>
      </c>
      <c r="BW489" t="s">
        <v>69</v>
      </c>
      <c r="BX489" t="s">
        <v>69</v>
      </c>
      <c r="BY489" t="s">
        <v>69</v>
      </c>
      <c r="BZ489" t="s">
        <v>8526</v>
      </c>
      <c r="CA489" t="str">
        <f>HYPERLINK("https%3A%2F%2Fwww.webofscience.com%2Fwos%2Fwoscc%2Ffull-record%2FWOS:000280557400002","View Full Record in Web of Science")</f>
        <v>View Full Record in Web of Science</v>
      </c>
    </row>
    <row r="490" spans="2:79" ht="12.5" x14ac:dyDescent="0.25">
      <c r="B490" t="s">
        <v>8495</v>
      </c>
      <c r="D490" s="22" t="s">
        <v>32931</v>
      </c>
      <c r="E490" s="7"/>
      <c r="F490" s="7"/>
      <c r="G490" s="7"/>
      <c r="H490" t="s">
        <v>67</v>
      </c>
      <c r="I490" t="s">
        <v>25717</v>
      </c>
      <c r="J490" t="s">
        <v>69</v>
      </c>
      <c r="K490" t="s">
        <v>69</v>
      </c>
      <c r="L490" t="s">
        <v>69</v>
      </c>
      <c r="M490" t="s">
        <v>25718</v>
      </c>
      <c r="N490" t="s">
        <v>69</v>
      </c>
      <c r="O490" t="s">
        <v>69</v>
      </c>
      <c r="P490" t="s">
        <v>25719</v>
      </c>
      <c r="Q490" t="s">
        <v>25720</v>
      </c>
      <c r="R490" t="s">
        <v>69</v>
      </c>
      <c r="S490" t="s">
        <v>69</v>
      </c>
      <c r="T490" t="s">
        <v>25721</v>
      </c>
      <c r="U490" t="s">
        <v>8506</v>
      </c>
      <c r="V490" t="s">
        <v>69</v>
      </c>
      <c r="W490" t="s">
        <v>69</v>
      </c>
      <c r="X490" t="s">
        <v>69</v>
      </c>
      <c r="Y490" t="s">
        <v>69</v>
      </c>
      <c r="Z490" t="s">
        <v>69</v>
      </c>
      <c r="AA490" t="s">
        <v>25722</v>
      </c>
      <c r="AB490" t="s">
        <v>69</v>
      </c>
      <c r="AC490" t="s">
        <v>25723</v>
      </c>
      <c r="AD490" t="s">
        <v>25724</v>
      </c>
      <c r="AE490" t="s">
        <v>69</v>
      </c>
      <c r="AF490" t="s">
        <v>25725</v>
      </c>
      <c r="AG490" t="s">
        <v>25726</v>
      </c>
      <c r="AH490" t="s">
        <v>25727</v>
      </c>
      <c r="AI490" t="s">
        <v>25728</v>
      </c>
      <c r="AJ490" t="s">
        <v>69</v>
      </c>
      <c r="AK490" t="s">
        <v>69</v>
      </c>
      <c r="AL490" t="s">
        <v>69</v>
      </c>
      <c r="AM490" t="s">
        <v>69</v>
      </c>
      <c r="AN490">
        <v>31</v>
      </c>
      <c r="AO490">
        <v>0</v>
      </c>
      <c r="AP490">
        <v>0</v>
      </c>
      <c r="AQ490">
        <v>2</v>
      </c>
      <c r="AR490">
        <v>2</v>
      </c>
      <c r="AS490" t="s">
        <v>25729</v>
      </c>
      <c r="AT490" t="s">
        <v>19306</v>
      </c>
      <c r="AU490" t="s">
        <v>25730</v>
      </c>
      <c r="AV490" t="s">
        <v>25731</v>
      </c>
      <c r="AW490" t="s">
        <v>25732</v>
      </c>
      <c r="AX490" t="s">
        <v>69</v>
      </c>
      <c r="AY490" t="s">
        <v>25733</v>
      </c>
      <c r="AZ490" t="s">
        <v>25734</v>
      </c>
      <c r="BA490" t="s">
        <v>75</v>
      </c>
      <c r="BB490">
        <v>2012</v>
      </c>
      <c r="BC490">
        <v>2</v>
      </c>
      <c r="BD490">
        <v>3</v>
      </c>
      <c r="BE490" t="s">
        <v>69</v>
      </c>
      <c r="BF490" t="s">
        <v>69</v>
      </c>
      <c r="BG490" t="s">
        <v>69</v>
      </c>
      <c r="BH490" t="s">
        <v>69</v>
      </c>
      <c r="BI490">
        <v>167</v>
      </c>
      <c r="BJ490">
        <v>178</v>
      </c>
      <c r="BK490" t="s">
        <v>69</v>
      </c>
      <c r="BL490" t="s">
        <v>25735</v>
      </c>
      <c r="BM490" t="str">
        <f>HYPERLINK("http://dx.doi.org/10.2399/yod.12.024","http://dx.doi.org/10.2399/yod.12.024")</f>
        <v>http://dx.doi.org/10.2399/yod.12.024</v>
      </c>
      <c r="BN490" t="s">
        <v>69</v>
      </c>
      <c r="BO490" t="s">
        <v>69</v>
      </c>
      <c r="BP490">
        <v>12</v>
      </c>
      <c r="BQ490" t="s">
        <v>9290</v>
      </c>
      <c r="BR490" t="s">
        <v>8573</v>
      </c>
      <c r="BS490" t="s">
        <v>9290</v>
      </c>
      <c r="BT490" t="s">
        <v>25736</v>
      </c>
      <c r="BU490" t="s">
        <v>25737</v>
      </c>
      <c r="BV490" t="s">
        <v>69</v>
      </c>
      <c r="BW490" t="s">
        <v>69</v>
      </c>
      <c r="BX490" t="s">
        <v>69</v>
      </c>
      <c r="BY490" t="s">
        <v>69</v>
      </c>
      <c r="BZ490" t="s">
        <v>8526</v>
      </c>
      <c r="CA490" t="str">
        <f>HYPERLINK("https%3A%2F%2Fwww.webofscience.com%2Fwos%2Fwoscc%2Ffull-record%2FWOS:000420584900007","View Full Record in Web of Science")</f>
        <v>View Full Record in Web of Science</v>
      </c>
    </row>
    <row r="491" spans="2:79" ht="12.5" x14ac:dyDescent="0.25">
      <c r="B491" t="s">
        <v>8495</v>
      </c>
      <c r="D491" s="22" t="s">
        <v>32931</v>
      </c>
      <c r="E491" s="7"/>
      <c r="F491" s="7"/>
      <c r="G491" s="7"/>
      <c r="H491" t="s">
        <v>67</v>
      </c>
      <c r="I491" t="s">
        <v>13605</v>
      </c>
      <c r="J491" t="s">
        <v>69</v>
      </c>
      <c r="K491" t="s">
        <v>69</v>
      </c>
      <c r="L491" t="s">
        <v>69</v>
      </c>
      <c r="M491" t="s">
        <v>13606</v>
      </c>
      <c r="N491" t="s">
        <v>69</v>
      </c>
      <c r="O491" t="s">
        <v>69</v>
      </c>
      <c r="P491" t="s">
        <v>13607</v>
      </c>
      <c r="Q491" t="s">
        <v>13608</v>
      </c>
      <c r="R491" t="s">
        <v>69</v>
      </c>
      <c r="S491" t="s">
        <v>69</v>
      </c>
      <c r="T491" t="s">
        <v>13609</v>
      </c>
      <c r="U491" t="s">
        <v>8506</v>
      </c>
      <c r="V491" t="s">
        <v>69</v>
      </c>
      <c r="W491" t="s">
        <v>69</v>
      </c>
      <c r="X491" t="s">
        <v>69</v>
      </c>
      <c r="Y491" t="s">
        <v>69</v>
      </c>
      <c r="Z491" t="s">
        <v>69</v>
      </c>
      <c r="AA491" t="s">
        <v>13610</v>
      </c>
      <c r="AB491" t="s">
        <v>69</v>
      </c>
      <c r="AC491" t="s">
        <v>13611</v>
      </c>
      <c r="AD491" t="s">
        <v>13612</v>
      </c>
      <c r="AE491" t="s">
        <v>69</v>
      </c>
      <c r="AF491" t="s">
        <v>13613</v>
      </c>
      <c r="AG491" t="s">
        <v>13614</v>
      </c>
      <c r="AH491" t="s">
        <v>13615</v>
      </c>
      <c r="AI491" t="s">
        <v>13616</v>
      </c>
      <c r="AJ491" t="s">
        <v>69</v>
      </c>
      <c r="AK491" t="s">
        <v>69</v>
      </c>
      <c r="AL491" t="s">
        <v>69</v>
      </c>
      <c r="AM491" t="s">
        <v>69</v>
      </c>
      <c r="AN491">
        <v>14</v>
      </c>
      <c r="AO491">
        <v>0</v>
      </c>
      <c r="AP491">
        <v>0</v>
      </c>
      <c r="AQ491">
        <v>2</v>
      </c>
      <c r="AR491">
        <v>6</v>
      </c>
      <c r="AS491" t="s">
        <v>13617</v>
      </c>
      <c r="AT491" t="s">
        <v>13618</v>
      </c>
      <c r="AU491" t="s">
        <v>13619</v>
      </c>
      <c r="AV491" t="s">
        <v>13620</v>
      </c>
      <c r="AW491" t="s">
        <v>13621</v>
      </c>
      <c r="AX491" t="s">
        <v>69</v>
      </c>
      <c r="AY491" t="s">
        <v>13622</v>
      </c>
      <c r="AZ491" t="s">
        <v>13623</v>
      </c>
      <c r="BA491" t="s">
        <v>69</v>
      </c>
      <c r="BB491">
        <v>2021</v>
      </c>
      <c r="BC491">
        <v>3</v>
      </c>
      <c r="BD491">
        <v>38</v>
      </c>
      <c r="BE491" t="s">
        <v>69</v>
      </c>
      <c r="BF491" t="s">
        <v>69</v>
      </c>
      <c r="BG491" t="s">
        <v>69</v>
      </c>
      <c r="BH491" t="s">
        <v>69</v>
      </c>
      <c r="BI491">
        <v>35</v>
      </c>
      <c r="BJ491">
        <v>45</v>
      </c>
      <c r="BK491" t="s">
        <v>69</v>
      </c>
      <c r="BL491" t="s">
        <v>69</v>
      </c>
      <c r="BM491" t="s">
        <v>69</v>
      </c>
      <c r="BN491" t="s">
        <v>69</v>
      </c>
      <c r="BO491" t="s">
        <v>69</v>
      </c>
      <c r="BP491">
        <v>11</v>
      </c>
      <c r="BQ491" t="s">
        <v>9749</v>
      </c>
      <c r="BR491" t="s">
        <v>8573</v>
      </c>
      <c r="BS491" t="s">
        <v>8594</v>
      </c>
      <c r="BT491" t="s">
        <v>13624</v>
      </c>
      <c r="BU491" t="s">
        <v>13625</v>
      </c>
      <c r="BV491" t="s">
        <v>69</v>
      </c>
      <c r="BW491" t="s">
        <v>69</v>
      </c>
      <c r="BX491" t="s">
        <v>69</v>
      </c>
      <c r="BY491" t="s">
        <v>69</v>
      </c>
      <c r="BZ491" t="s">
        <v>8526</v>
      </c>
      <c r="CA491" t="str">
        <f>HYPERLINK("https%3A%2F%2Fwww.webofscience.com%2Fwos%2Fwoscc%2Ffull-record%2FWOS:000674620700004","View Full Record in Web of Science")</f>
        <v>View Full Record in Web of Science</v>
      </c>
    </row>
    <row r="492" spans="2:79" ht="12.5" x14ac:dyDescent="0.25">
      <c r="B492" t="s">
        <v>8495</v>
      </c>
      <c r="D492" s="22" t="s">
        <v>32931</v>
      </c>
      <c r="E492" s="7"/>
      <c r="F492" s="7"/>
      <c r="G492" s="7"/>
      <c r="H492" t="s">
        <v>67</v>
      </c>
      <c r="I492" t="s">
        <v>26106</v>
      </c>
      <c r="J492" t="s">
        <v>69</v>
      </c>
      <c r="K492" t="s">
        <v>69</v>
      </c>
      <c r="L492" t="s">
        <v>69</v>
      </c>
      <c r="M492" t="s">
        <v>26107</v>
      </c>
      <c r="N492" t="s">
        <v>69</v>
      </c>
      <c r="O492" t="s">
        <v>69</v>
      </c>
      <c r="P492" t="s">
        <v>26108</v>
      </c>
      <c r="Q492" t="s">
        <v>26109</v>
      </c>
      <c r="R492" t="s">
        <v>69</v>
      </c>
      <c r="S492" t="s">
        <v>69</v>
      </c>
      <c r="T492" t="s">
        <v>8505</v>
      </c>
      <c r="U492" t="s">
        <v>8506</v>
      </c>
      <c r="V492" t="s">
        <v>69</v>
      </c>
      <c r="W492" t="s">
        <v>69</v>
      </c>
      <c r="X492" t="s">
        <v>69</v>
      </c>
      <c r="Y492" t="s">
        <v>69</v>
      </c>
      <c r="Z492" t="s">
        <v>69</v>
      </c>
      <c r="AA492" t="s">
        <v>26110</v>
      </c>
      <c r="AB492" t="s">
        <v>69</v>
      </c>
      <c r="AC492" t="s">
        <v>26111</v>
      </c>
      <c r="AD492" t="s">
        <v>26112</v>
      </c>
      <c r="AE492" t="s">
        <v>69</v>
      </c>
      <c r="AF492" t="s">
        <v>26113</v>
      </c>
      <c r="AG492" t="s">
        <v>26114</v>
      </c>
      <c r="AH492" t="s">
        <v>69</v>
      </c>
      <c r="AI492" t="s">
        <v>69</v>
      </c>
      <c r="AJ492" t="s">
        <v>69</v>
      </c>
      <c r="AK492" t="s">
        <v>69</v>
      </c>
      <c r="AL492" t="s">
        <v>69</v>
      </c>
      <c r="AM492" t="s">
        <v>69</v>
      </c>
      <c r="AN492">
        <v>4</v>
      </c>
      <c r="AO492">
        <v>0</v>
      </c>
      <c r="AP492">
        <v>0</v>
      </c>
      <c r="AQ492">
        <v>0</v>
      </c>
      <c r="AR492">
        <v>7</v>
      </c>
      <c r="AS492" t="s">
        <v>26115</v>
      </c>
      <c r="AT492" t="s">
        <v>26116</v>
      </c>
      <c r="AU492" t="s">
        <v>26117</v>
      </c>
      <c r="AV492" t="s">
        <v>26118</v>
      </c>
      <c r="AW492" t="s">
        <v>26119</v>
      </c>
      <c r="AX492" t="s">
        <v>69</v>
      </c>
      <c r="AY492" t="s">
        <v>26120</v>
      </c>
      <c r="AZ492" t="s">
        <v>26121</v>
      </c>
      <c r="BA492" t="s">
        <v>246</v>
      </c>
      <c r="BB492">
        <v>2012</v>
      </c>
      <c r="BC492">
        <v>27</v>
      </c>
      <c r="BD492">
        <v>1</v>
      </c>
      <c r="BE492" t="s">
        <v>69</v>
      </c>
      <c r="BF492" t="s">
        <v>69</v>
      </c>
      <c r="BG492" t="s">
        <v>69</v>
      </c>
      <c r="BH492" t="s">
        <v>69</v>
      </c>
      <c r="BI492">
        <v>93</v>
      </c>
      <c r="BJ492">
        <v>111</v>
      </c>
      <c r="BK492" t="s">
        <v>69</v>
      </c>
      <c r="BL492" t="s">
        <v>26122</v>
      </c>
      <c r="BM492" t="str">
        <f>HYPERLINK("http://dx.doi.org/10.4067/S0718-50732012000100006","http://dx.doi.org/10.4067/S0718-50732012000100006")</f>
        <v>http://dx.doi.org/10.4067/S0718-50732012000100006</v>
      </c>
      <c r="BN492" t="s">
        <v>69</v>
      </c>
      <c r="BO492" t="s">
        <v>69</v>
      </c>
      <c r="BP492">
        <v>19</v>
      </c>
      <c r="BQ492" t="s">
        <v>10105</v>
      </c>
      <c r="BR492" t="s">
        <v>8573</v>
      </c>
      <c r="BS492" t="s">
        <v>10105</v>
      </c>
      <c r="BT492" t="s">
        <v>26123</v>
      </c>
      <c r="BU492" t="s">
        <v>26124</v>
      </c>
      <c r="BV492" t="s">
        <v>69</v>
      </c>
      <c r="BW492" t="s">
        <v>8931</v>
      </c>
      <c r="BX492" t="s">
        <v>69</v>
      </c>
      <c r="BY492" t="s">
        <v>69</v>
      </c>
      <c r="BZ492" t="s">
        <v>8526</v>
      </c>
      <c r="CA492" t="str">
        <f>HYPERLINK("https%3A%2F%2Fwww.webofscience.com%2Fwos%2Fwoscc%2Ffull-record%2FWOS:000420985800006","View Full Record in Web of Science")</f>
        <v>View Full Record in Web of Science</v>
      </c>
    </row>
    <row r="493" spans="2:79" ht="12.5" x14ac:dyDescent="0.25">
      <c r="B493" t="s">
        <v>8495</v>
      </c>
      <c r="D493" s="7" t="s">
        <v>32933</v>
      </c>
      <c r="E493" s="7"/>
      <c r="F493" s="7"/>
      <c r="G493" s="7"/>
      <c r="H493" t="s">
        <v>67</v>
      </c>
      <c r="I493" t="s">
        <v>7035</v>
      </c>
      <c r="J493" t="s">
        <v>69</v>
      </c>
      <c r="K493" t="s">
        <v>69</v>
      </c>
      <c r="L493" t="s">
        <v>69</v>
      </c>
      <c r="M493" t="s">
        <v>7036</v>
      </c>
      <c r="N493" t="s">
        <v>69</v>
      </c>
      <c r="O493" t="s">
        <v>69</v>
      </c>
      <c r="P493" t="s">
        <v>7037</v>
      </c>
      <c r="Q493" t="s">
        <v>7038</v>
      </c>
      <c r="R493" t="s">
        <v>69</v>
      </c>
      <c r="S493" t="s">
        <v>69</v>
      </c>
      <c r="T493" t="s">
        <v>8505</v>
      </c>
      <c r="U493" t="s">
        <v>8506</v>
      </c>
      <c r="V493" t="s">
        <v>69</v>
      </c>
      <c r="W493" t="s">
        <v>69</v>
      </c>
      <c r="X493" t="s">
        <v>69</v>
      </c>
      <c r="Y493" t="s">
        <v>69</v>
      </c>
      <c r="Z493" t="s">
        <v>69</v>
      </c>
      <c r="AA493" t="s">
        <v>14924</v>
      </c>
      <c r="AB493" t="s">
        <v>14925</v>
      </c>
      <c r="AC493" t="s">
        <v>7039</v>
      </c>
      <c r="AD493" t="s">
        <v>14926</v>
      </c>
      <c r="AE493" t="s">
        <v>69</v>
      </c>
      <c r="AF493" t="s">
        <v>14927</v>
      </c>
      <c r="AG493" t="s">
        <v>14928</v>
      </c>
      <c r="AH493" t="s">
        <v>14929</v>
      </c>
      <c r="AI493" t="s">
        <v>14930</v>
      </c>
      <c r="AJ493" t="s">
        <v>14931</v>
      </c>
      <c r="AK493" t="s">
        <v>14931</v>
      </c>
      <c r="AL493" t="s">
        <v>14932</v>
      </c>
      <c r="AM493" t="s">
        <v>69</v>
      </c>
      <c r="AN493">
        <v>20</v>
      </c>
      <c r="AO493">
        <v>10</v>
      </c>
      <c r="AP493">
        <v>10</v>
      </c>
      <c r="AQ493">
        <v>0</v>
      </c>
      <c r="AR493">
        <v>0</v>
      </c>
      <c r="AS493" t="s">
        <v>9203</v>
      </c>
      <c r="AT493" t="s">
        <v>8763</v>
      </c>
      <c r="AU493" t="s">
        <v>9204</v>
      </c>
      <c r="AV493" t="s">
        <v>7040</v>
      </c>
      <c r="AW493" t="s">
        <v>69</v>
      </c>
      <c r="AX493" t="s">
        <v>69</v>
      </c>
      <c r="AY493" t="s">
        <v>9205</v>
      </c>
      <c r="AZ493" t="s">
        <v>9206</v>
      </c>
      <c r="BA493" t="s">
        <v>7041</v>
      </c>
      <c r="BB493">
        <v>2020</v>
      </c>
      <c r="BC493">
        <v>18</v>
      </c>
      <c r="BD493">
        <v>1</v>
      </c>
      <c r="BE493" t="s">
        <v>69</v>
      </c>
      <c r="BF493" t="s">
        <v>69</v>
      </c>
      <c r="BG493" t="s">
        <v>69</v>
      </c>
      <c r="BH493" t="s">
        <v>69</v>
      </c>
      <c r="BI493" t="s">
        <v>69</v>
      </c>
      <c r="BJ493" t="s">
        <v>69</v>
      </c>
      <c r="BK493">
        <v>70</v>
      </c>
      <c r="BL493" t="s">
        <v>7042</v>
      </c>
      <c r="BM493" t="str">
        <f>HYPERLINK("http://dx.doi.org/10.1186/s12961-020-00554-4","http://dx.doi.org/10.1186/s12961-020-00554-4")</f>
        <v>http://dx.doi.org/10.1186/s12961-020-00554-4</v>
      </c>
      <c r="BN493" t="s">
        <v>69</v>
      </c>
      <c r="BO493" t="s">
        <v>69</v>
      </c>
      <c r="BP493">
        <v>13</v>
      </c>
      <c r="BQ493" t="s">
        <v>9208</v>
      </c>
      <c r="BR493" t="s">
        <v>8661</v>
      </c>
      <c r="BS493" t="s">
        <v>9209</v>
      </c>
      <c r="BT493" t="s">
        <v>14933</v>
      </c>
      <c r="BU493" t="s">
        <v>7043</v>
      </c>
      <c r="BV493">
        <v>32564777</v>
      </c>
      <c r="BW493" t="s">
        <v>8812</v>
      </c>
      <c r="BX493" t="s">
        <v>69</v>
      </c>
      <c r="BY493" t="s">
        <v>69</v>
      </c>
      <c r="BZ493" t="s">
        <v>8526</v>
      </c>
      <c r="CA493" t="str">
        <f>HYPERLINK("https%3A%2F%2Fwww.webofscience.com%2Fwos%2Fwoscc%2Ffull-record%2FWOS:000543420500001","View Full Record in Web of Science")</f>
        <v>View Full Record in Web of Science</v>
      </c>
    </row>
    <row r="494" spans="2:79" ht="12.5" x14ac:dyDescent="0.25">
      <c r="B494" t="s">
        <v>8495</v>
      </c>
      <c r="D494" s="7" t="s">
        <v>32933</v>
      </c>
      <c r="E494" s="7"/>
      <c r="F494" s="7"/>
      <c r="G494" s="7"/>
      <c r="H494" t="s">
        <v>67</v>
      </c>
      <c r="I494" t="s">
        <v>5770</v>
      </c>
      <c r="J494" t="s">
        <v>69</v>
      </c>
      <c r="K494" t="s">
        <v>69</v>
      </c>
      <c r="L494" t="s">
        <v>69</v>
      </c>
      <c r="M494" t="s">
        <v>5771</v>
      </c>
      <c r="N494" t="s">
        <v>69</v>
      </c>
      <c r="O494" t="s">
        <v>69</v>
      </c>
      <c r="P494" t="s">
        <v>5772</v>
      </c>
      <c r="Q494" t="s">
        <v>5773</v>
      </c>
      <c r="R494" t="s">
        <v>69</v>
      </c>
      <c r="S494" t="s">
        <v>69</v>
      </c>
      <c r="T494" t="s">
        <v>8505</v>
      </c>
      <c r="U494" t="s">
        <v>8506</v>
      </c>
      <c r="V494" t="s">
        <v>69</v>
      </c>
      <c r="W494" t="s">
        <v>69</v>
      </c>
      <c r="X494" t="s">
        <v>69</v>
      </c>
      <c r="Y494" t="s">
        <v>69</v>
      </c>
      <c r="Z494" t="s">
        <v>69</v>
      </c>
      <c r="AA494" t="s">
        <v>20246</v>
      </c>
      <c r="AB494" t="s">
        <v>69</v>
      </c>
      <c r="AC494" t="s">
        <v>5774</v>
      </c>
      <c r="AD494" t="s">
        <v>20247</v>
      </c>
      <c r="AE494" t="s">
        <v>69</v>
      </c>
      <c r="AF494" t="s">
        <v>20248</v>
      </c>
      <c r="AG494" t="s">
        <v>20249</v>
      </c>
      <c r="AH494" t="s">
        <v>69</v>
      </c>
      <c r="AI494" t="s">
        <v>69</v>
      </c>
      <c r="AJ494" t="s">
        <v>20250</v>
      </c>
      <c r="AK494" t="s">
        <v>20251</v>
      </c>
      <c r="AL494" t="s">
        <v>20252</v>
      </c>
      <c r="AM494" t="s">
        <v>69</v>
      </c>
      <c r="AN494">
        <v>16</v>
      </c>
      <c r="AO494">
        <v>1</v>
      </c>
      <c r="AP494">
        <v>1</v>
      </c>
      <c r="AQ494">
        <v>1</v>
      </c>
      <c r="AR494">
        <v>11</v>
      </c>
      <c r="AS494" t="s">
        <v>20253</v>
      </c>
      <c r="AT494" t="s">
        <v>18343</v>
      </c>
      <c r="AU494" t="s">
        <v>20254</v>
      </c>
      <c r="AV494" t="s">
        <v>5775</v>
      </c>
      <c r="AW494" t="s">
        <v>5776</v>
      </c>
      <c r="AX494" t="s">
        <v>69</v>
      </c>
      <c r="AY494" t="s">
        <v>20255</v>
      </c>
      <c r="AZ494" t="s">
        <v>20256</v>
      </c>
      <c r="BA494" t="s">
        <v>155</v>
      </c>
      <c r="BB494">
        <v>2017</v>
      </c>
      <c r="BC494">
        <v>25</v>
      </c>
      <c r="BD494">
        <v>3</v>
      </c>
      <c r="BE494" t="s">
        <v>69</v>
      </c>
      <c r="BF494" t="s">
        <v>69</v>
      </c>
      <c r="BG494" t="s">
        <v>69</v>
      </c>
      <c r="BH494" t="s">
        <v>69</v>
      </c>
      <c r="BI494">
        <v>513</v>
      </c>
      <c r="BJ494">
        <v>521</v>
      </c>
      <c r="BK494" t="s">
        <v>69</v>
      </c>
      <c r="BL494" t="s">
        <v>5777</v>
      </c>
      <c r="BM494" t="str">
        <f>HYPERLINK("http://dx.doi.org/10.1007/s41324-017-0113-7","http://dx.doi.org/10.1007/s41324-017-0113-7")</f>
        <v>http://dx.doi.org/10.1007/s41324-017-0113-7</v>
      </c>
      <c r="BN494" t="s">
        <v>69</v>
      </c>
      <c r="BO494" t="s">
        <v>69</v>
      </c>
      <c r="BP494">
        <v>9</v>
      </c>
      <c r="BQ494" t="s">
        <v>15615</v>
      </c>
      <c r="BR494" t="s">
        <v>8573</v>
      </c>
      <c r="BS494" t="s">
        <v>15615</v>
      </c>
      <c r="BT494" t="s">
        <v>20257</v>
      </c>
      <c r="BU494" t="s">
        <v>5778</v>
      </c>
      <c r="BV494" t="s">
        <v>69</v>
      </c>
      <c r="BW494" t="s">
        <v>69</v>
      </c>
      <c r="BX494" t="s">
        <v>69</v>
      </c>
      <c r="BY494" t="s">
        <v>69</v>
      </c>
      <c r="BZ494" t="s">
        <v>8526</v>
      </c>
      <c r="CA494" t="str">
        <f>HYPERLINK("https%3A%2F%2Fwww.webofscience.com%2Fwos%2Fwoscc%2Ffull-record%2FWOS:000413301600018","View Full Record in Web of Science")</f>
        <v>View Full Record in Web of Science</v>
      </c>
    </row>
    <row r="495" spans="2:79" ht="12.5" x14ac:dyDescent="0.25">
      <c r="B495" t="s">
        <v>8495</v>
      </c>
      <c r="D495" s="7" t="s">
        <v>32933</v>
      </c>
      <c r="E495" s="7"/>
      <c r="F495" s="7"/>
      <c r="G495" s="7"/>
      <c r="H495" t="s">
        <v>67</v>
      </c>
      <c r="I495" t="s">
        <v>887</v>
      </c>
      <c r="J495" t="s">
        <v>69</v>
      </c>
      <c r="K495" t="s">
        <v>69</v>
      </c>
      <c r="L495" t="s">
        <v>69</v>
      </c>
      <c r="M495" t="s">
        <v>888</v>
      </c>
      <c r="N495" t="s">
        <v>69</v>
      </c>
      <c r="O495" t="s">
        <v>69</v>
      </c>
      <c r="P495" t="s">
        <v>889</v>
      </c>
      <c r="Q495" t="s">
        <v>352</v>
      </c>
      <c r="R495" t="s">
        <v>69</v>
      </c>
      <c r="S495" t="s">
        <v>69</v>
      </c>
      <c r="T495" t="s">
        <v>8505</v>
      </c>
      <c r="U495" t="s">
        <v>8506</v>
      </c>
      <c r="V495" t="s">
        <v>69</v>
      </c>
      <c r="W495" t="s">
        <v>69</v>
      </c>
      <c r="X495" t="s">
        <v>69</v>
      </c>
      <c r="Y495" t="s">
        <v>69</v>
      </c>
      <c r="Z495" t="s">
        <v>69</v>
      </c>
      <c r="AA495" t="s">
        <v>16600</v>
      </c>
      <c r="AB495" t="s">
        <v>69</v>
      </c>
      <c r="AC495" t="s">
        <v>890</v>
      </c>
      <c r="AD495" t="s">
        <v>16601</v>
      </c>
      <c r="AE495" t="s">
        <v>69</v>
      </c>
      <c r="AF495" t="s">
        <v>16602</v>
      </c>
      <c r="AG495" t="s">
        <v>16603</v>
      </c>
      <c r="AH495" t="s">
        <v>16604</v>
      </c>
      <c r="AI495" t="s">
        <v>16605</v>
      </c>
      <c r="AJ495" t="s">
        <v>16606</v>
      </c>
      <c r="AK495" t="s">
        <v>16606</v>
      </c>
      <c r="AL495" t="s">
        <v>16607</v>
      </c>
      <c r="AM495" t="s">
        <v>69</v>
      </c>
      <c r="AN495">
        <v>60</v>
      </c>
      <c r="AO495">
        <v>6</v>
      </c>
      <c r="AP495">
        <v>6</v>
      </c>
      <c r="AQ495">
        <v>4</v>
      </c>
      <c r="AR495">
        <v>21</v>
      </c>
      <c r="AS495" t="s">
        <v>8924</v>
      </c>
      <c r="AT495" t="s">
        <v>8925</v>
      </c>
      <c r="AU495" t="s">
        <v>8926</v>
      </c>
      <c r="AV495" t="s">
        <v>69</v>
      </c>
      <c r="AW495" t="s">
        <v>354</v>
      </c>
      <c r="AX495" t="s">
        <v>69</v>
      </c>
      <c r="AY495" t="s">
        <v>8958</v>
      </c>
      <c r="AZ495" t="s">
        <v>8434</v>
      </c>
      <c r="BA495" t="s">
        <v>891</v>
      </c>
      <c r="BB495">
        <v>2019</v>
      </c>
      <c r="BC495">
        <v>11</v>
      </c>
      <c r="BD495">
        <v>20</v>
      </c>
      <c r="BE495" t="s">
        <v>69</v>
      </c>
      <c r="BF495" t="s">
        <v>69</v>
      </c>
      <c r="BG495" t="s">
        <v>69</v>
      </c>
      <c r="BH495" t="s">
        <v>69</v>
      </c>
      <c r="BI495" t="s">
        <v>69</v>
      </c>
      <c r="BJ495" t="s">
        <v>69</v>
      </c>
      <c r="BK495">
        <v>5867</v>
      </c>
      <c r="BL495" t="s">
        <v>892</v>
      </c>
      <c r="BM495" t="str">
        <f>HYPERLINK("http://dx.doi.org/10.3390/su11205867","http://dx.doi.org/10.3390/su11205867")</f>
        <v>http://dx.doi.org/10.3390/su11205867</v>
      </c>
      <c r="BN495" t="s">
        <v>69</v>
      </c>
      <c r="BO495" t="s">
        <v>69</v>
      </c>
      <c r="BP495">
        <v>33</v>
      </c>
      <c r="BQ495" t="s">
        <v>8960</v>
      </c>
      <c r="BR495" t="s">
        <v>8523</v>
      </c>
      <c r="BS495" t="s">
        <v>8961</v>
      </c>
      <c r="BT495" t="s">
        <v>16608</v>
      </c>
      <c r="BU495" t="s">
        <v>893</v>
      </c>
      <c r="BV495" t="s">
        <v>69</v>
      </c>
      <c r="BW495" t="s">
        <v>12220</v>
      </c>
      <c r="BX495" t="s">
        <v>69</v>
      </c>
      <c r="BY495" t="s">
        <v>69</v>
      </c>
      <c r="BZ495" t="s">
        <v>8526</v>
      </c>
      <c r="CA495" t="str">
        <f>HYPERLINK("https%3A%2F%2Fwww.webofscience.com%2Fwos%2Fwoscc%2Ffull-record%2FWOS:000498398900323","View Full Record in Web of Science")</f>
        <v>View Full Record in Web of Science</v>
      </c>
    </row>
    <row r="496" spans="2:79" ht="12.5" x14ac:dyDescent="0.25">
      <c r="B496" t="s">
        <v>8495</v>
      </c>
      <c r="D496" s="22" t="s">
        <v>32931</v>
      </c>
      <c r="E496" s="7"/>
      <c r="F496" s="7"/>
      <c r="G496" s="7"/>
      <c r="H496" t="s">
        <v>67</v>
      </c>
      <c r="I496" t="s">
        <v>25093</v>
      </c>
      <c r="J496" t="s">
        <v>69</v>
      </c>
      <c r="K496" t="s">
        <v>69</v>
      </c>
      <c r="L496" t="s">
        <v>69</v>
      </c>
      <c r="M496" t="s">
        <v>25094</v>
      </c>
      <c r="N496" t="s">
        <v>69</v>
      </c>
      <c r="O496" t="s">
        <v>69</v>
      </c>
      <c r="P496" t="s">
        <v>25095</v>
      </c>
      <c r="Q496" t="s">
        <v>1405</v>
      </c>
      <c r="R496" t="s">
        <v>69</v>
      </c>
      <c r="S496" t="s">
        <v>69</v>
      </c>
      <c r="T496" t="s">
        <v>8505</v>
      </c>
      <c r="U496" t="s">
        <v>8506</v>
      </c>
      <c r="V496" t="s">
        <v>69</v>
      </c>
      <c r="W496" t="s">
        <v>69</v>
      </c>
      <c r="X496" t="s">
        <v>69</v>
      </c>
      <c r="Y496" t="s">
        <v>69</v>
      </c>
      <c r="Z496" t="s">
        <v>69</v>
      </c>
      <c r="AA496" t="s">
        <v>25096</v>
      </c>
      <c r="AB496" t="s">
        <v>25097</v>
      </c>
      <c r="AC496" t="s">
        <v>25098</v>
      </c>
      <c r="AD496" t="s">
        <v>25099</v>
      </c>
      <c r="AE496" t="s">
        <v>69</v>
      </c>
      <c r="AF496" t="s">
        <v>25100</v>
      </c>
      <c r="AG496" t="s">
        <v>25101</v>
      </c>
      <c r="AH496" t="s">
        <v>25102</v>
      </c>
      <c r="AI496" t="s">
        <v>69</v>
      </c>
      <c r="AJ496" t="s">
        <v>25103</v>
      </c>
      <c r="AK496" t="s">
        <v>25104</v>
      </c>
      <c r="AL496" t="s">
        <v>25105</v>
      </c>
      <c r="AM496" t="s">
        <v>69</v>
      </c>
      <c r="AN496">
        <v>65</v>
      </c>
      <c r="AO496">
        <v>20</v>
      </c>
      <c r="AP496">
        <v>21</v>
      </c>
      <c r="AQ496">
        <v>0</v>
      </c>
      <c r="AR496">
        <v>55</v>
      </c>
      <c r="AS496" t="s">
        <v>8636</v>
      </c>
      <c r="AT496" t="s">
        <v>8637</v>
      </c>
      <c r="AU496" t="s">
        <v>8638</v>
      </c>
      <c r="AV496" t="s">
        <v>1407</v>
      </c>
      <c r="AW496" t="s">
        <v>1408</v>
      </c>
      <c r="AX496" t="s">
        <v>69</v>
      </c>
      <c r="AY496" t="s">
        <v>14240</v>
      </c>
      <c r="AZ496" t="s">
        <v>8486</v>
      </c>
      <c r="BA496" t="s">
        <v>246</v>
      </c>
      <c r="BB496">
        <v>2013</v>
      </c>
      <c r="BC496">
        <v>55</v>
      </c>
      <c r="BD496" t="s">
        <v>69</v>
      </c>
      <c r="BE496" t="s">
        <v>69</v>
      </c>
      <c r="BF496" t="s">
        <v>69</v>
      </c>
      <c r="BG496" t="s">
        <v>69</v>
      </c>
      <c r="BH496" t="s">
        <v>69</v>
      </c>
      <c r="BI496">
        <v>396</v>
      </c>
      <c r="BJ496">
        <v>403</v>
      </c>
      <c r="BK496" t="s">
        <v>69</v>
      </c>
      <c r="BL496" t="s">
        <v>25106</v>
      </c>
      <c r="BM496" t="str">
        <f>HYPERLINK("http://dx.doi.org/10.1016/j.enpol.2012.12.025","http://dx.doi.org/10.1016/j.enpol.2012.12.025")</f>
        <v>http://dx.doi.org/10.1016/j.enpol.2012.12.025</v>
      </c>
      <c r="BN496" t="s">
        <v>69</v>
      </c>
      <c r="BO496" t="s">
        <v>69</v>
      </c>
      <c r="BP496">
        <v>8</v>
      </c>
      <c r="BQ496" t="s">
        <v>14242</v>
      </c>
      <c r="BR496" t="s">
        <v>8523</v>
      </c>
      <c r="BS496" t="s">
        <v>14243</v>
      </c>
      <c r="BT496" t="s">
        <v>25107</v>
      </c>
      <c r="BU496" t="s">
        <v>25108</v>
      </c>
      <c r="BV496" t="s">
        <v>69</v>
      </c>
      <c r="BW496" t="s">
        <v>69</v>
      </c>
      <c r="BX496" t="s">
        <v>69</v>
      </c>
      <c r="BY496" t="s">
        <v>69</v>
      </c>
      <c r="BZ496" t="s">
        <v>8526</v>
      </c>
      <c r="CA496" t="str">
        <f>HYPERLINK("https%3A%2F%2Fwww.webofscience.com%2Fwos%2Fwoscc%2Ffull-record%2FWOS:000315606700036","View Full Record in Web of Science")</f>
        <v>View Full Record in Web of Science</v>
      </c>
    </row>
    <row r="497" spans="1:79" ht="12.5" x14ac:dyDescent="0.25">
      <c r="B497" t="s">
        <v>8495</v>
      </c>
      <c r="D497" s="7" t="s">
        <v>32933</v>
      </c>
      <c r="E497" s="7"/>
      <c r="F497" s="7"/>
      <c r="G497" s="7"/>
      <c r="H497" t="s">
        <v>67</v>
      </c>
      <c r="I497" t="s">
        <v>4424</v>
      </c>
      <c r="J497" t="s">
        <v>69</v>
      </c>
      <c r="K497" t="s">
        <v>69</v>
      </c>
      <c r="L497" t="s">
        <v>69</v>
      </c>
      <c r="M497" t="s">
        <v>4425</v>
      </c>
      <c r="N497" t="s">
        <v>69</v>
      </c>
      <c r="O497" t="s">
        <v>69</v>
      </c>
      <c r="P497" t="s">
        <v>4426</v>
      </c>
      <c r="Q497" t="s">
        <v>632</v>
      </c>
      <c r="R497" t="s">
        <v>69</v>
      </c>
      <c r="S497" t="s">
        <v>69</v>
      </c>
      <c r="T497" t="s">
        <v>8505</v>
      </c>
      <c r="U497" t="s">
        <v>8506</v>
      </c>
      <c r="V497" t="s">
        <v>69</v>
      </c>
      <c r="W497" t="s">
        <v>69</v>
      </c>
      <c r="X497" t="s">
        <v>69</v>
      </c>
      <c r="Y497" t="s">
        <v>69</v>
      </c>
      <c r="Z497" t="s">
        <v>69</v>
      </c>
      <c r="AA497" t="s">
        <v>18709</v>
      </c>
      <c r="AB497" t="s">
        <v>18710</v>
      </c>
      <c r="AC497" t="s">
        <v>4427</v>
      </c>
      <c r="AD497" t="s">
        <v>18711</v>
      </c>
      <c r="AE497" t="s">
        <v>69</v>
      </c>
      <c r="AF497" t="s">
        <v>18712</v>
      </c>
      <c r="AG497" t="s">
        <v>18713</v>
      </c>
      <c r="AH497" t="s">
        <v>4428</v>
      </c>
      <c r="AI497" t="s">
        <v>18714</v>
      </c>
      <c r="AJ497" t="s">
        <v>18715</v>
      </c>
      <c r="AK497" t="s">
        <v>18716</v>
      </c>
      <c r="AL497" t="s">
        <v>18717</v>
      </c>
      <c r="AM497" t="s">
        <v>69</v>
      </c>
      <c r="AN497">
        <v>45</v>
      </c>
      <c r="AO497">
        <v>17</v>
      </c>
      <c r="AP497">
        <v>18</v>
      </c>
      <c r="AQ497">
        <v>1</v>
      </c>
      <c r="AR497">
        <v>41</v>
      </c>
      <c r="AS497" t="s">
        <v>8516</v>
      </c>
      <c r="AT497" t="s">
        <v>8517</v>
      </c>
      <c r="AU497" t="s">
        <v>8518</v>
      </c>
      <c r="AV497" t="s">
        <v>634</v>
      </c>
      <c r="AW497" t="s">
        <v>635</v>
      </c>
      <c r="AX497" t="s">
        <v>69</v>
      </c>
      <c r="AY497" t="s">
        <v>8714</v>
      </c>
      <c r="AZ497" t="s">
        <v>8715</v>
      </c>
      <c r="BA497" t="s">
        <v>4429</v>
      </c>
      <c r="BB497">
        <v>2018</v>
      </c>
      <c r="BC497">
        <v>626</v>
      </c>
      <c r="BD497" t="s">
        <v>69</v>
      </c>
      <c r="BE497" t="s">
        <v>69</v>
      </c>
      <c r="BF497" t="s">
        <v>69</v>
      </c>
      <c r="BG497" t="s">
        <v>69</v>
      </c>
      <c r="BH497" t="s">
        <v>69</v>
      </c>
      <c r="BI497">
        <v>468</v>
      </c>
      <c r="BJ497">
        <v>477</v>
      </c>
      <c r="BK497" t="s">
        <v>69</v>
      </c>
      <c r="BL497" t="s">
        <v>4430</v>
      </c>
      <c r="BM497" t="str">
        <f>HYPERLINK("http://dx.doi.org/10.1016/j.scitotenv.2018.01.112","http://dx.doi.org/10.1016/j.scitotenv.2018.01.112")</f>
        <v>http://dx.doi.org/10.1016/j.scitotenv.2018.01.112</v>
      </c>
      <c r="BN497" t="s">
        <v>69</v>
      </c>
      <c r="BO497" t="s">
        <v>69</v>
      </c>
      <c r="BP497">
        <v>10</v>
      </c>
      <c r="BQ497" t="s">
        <v>8717</v>
      </c>
      <c r="BR497" t="s">
        <v>8523</v>
      </c>
      <c r="BS497" t="s">
        <v>8662</v>
      </c>
      <c r="BT497" t="s">
        <v>18718</v>
      </c>
      <c r="BU497" t="s">
        <v>4431</v>
      </c>
      <c r="BV497">
        <v>29396330</v>
      </c>
      <c r="BW497" t="s">
        <v>69</v>
      </c>
      <c r="BX497" t="s">
        <v>69</v>
      </c>
      <c r="BY497" t="s">
        <v>69</v>
      </c>
      <c r="BZ497" t="s">
        <v>8526</v>
      </c>
      <c r="CA497" t="str">
        <f>HYPERLINK("https%3A%2F%2Fwww.webofscience.com%2Fwos%2Fwoscc%2Ffull-record%2FWOS:000428194000047","View Full Record in Web of Science")</f>
        <v>View Full Record in Web of Science</v>
      </c>
    </row>
    <row r="498" spans="1:79" ht="12.5" x14ac:dyDescent="0.25">
      <c r="B498" t="s">
        <v>8495</v>
      </c>
      <c r="D498" s="22" t="s">
        <v>32931</v>
      </c>
      <c r="E498" s="7"/>
      <c r="F498" s="7"/>
      <c r="G498" s="7"/>
      <c r="H498" t="s">
        <v>67</v>
      </c>
      <c r="I498" t="s">
        <v>24484</v>
      </c>
      <c r="J498" t="s">
        <v>69</v>
      </c>
      <c r="K498" t="s">
        <v>69</v>
      </c>
      <c r="L498" t="s">
        <v>69</v>
      </c>
      <c r="M498" t="s">
        <v>24485</v>
      </c>
      <c r="N498" t="s">
        <v>69</v>
      </c>
      <c r="O498" t="s">
        <v>69</v>
      </c>
      <c r="P498" t="s">
        <v>24486</v>
      </c>
      <c r="Q498" t="s">
        <v>24487</v>
      </c>
      <c r="R498" t="s">
        <v>69</v>
      </c>
      <c r="S498" t="s">
        <v>69</v>
      </c>
      <c r="T498" t="s">
        <v>8505</v>
      </c>
      <c r="U498" t="s">
        <v>8506</v>
      </c>
      <c r="V498" t="s">
        <v>69</v>
      </c>
      <c r="W498" t="s">
        <v>69</v>
      </c>
      <c r="X498" t="s">
        <v>69</v>
      </c>
      <c r="Y498" t="s">
        <v>69</v>
      </c>
      <c r="Z498" t="s">
        <v>69</v>
      </c>
      <c r="AA498" t="s">
        <v>24488</v>
      </c>
      <c r="AB498" t="s">
        <v>24489</v>
      </c>
      <c r="AC498" t="s">
        <v>24490</v>
      </c>
      <c r="AD498" t="s">
        <v>24491</v>
      </c>
      <c r="AE498" t="s">
        <v>69</v>
      </c>
      <c r="AF498" t="s">
        <v>24492</v>
      </c>
      <c r="AG498" t="s">
        <v>24493</v>
      </c>
      <c r="AH498" t="s">
        <v>24494</v>
      </c>
      <c r="AI498" t="s">
        <v>24495</v>
      </c>
      <c r="AJ498" t="s">
        <v>69</v>
      </c>
      <c r="AK498" t="s">
        <v>69</v>
      </c>
      <c r="AL498" t="s">
        <v>69</v>
      </c>
      <c r="AM498" t="s">
        <v>69</v>
      </c>
      <c r="AN498">
        <v>26</v>
      </c>
      <c r="AO498">
        <v>1</v>
      </c>
      <c r="AP498">
        <v>1</v>
      </c>
      <c r="AQ498">
        <v>0</v>
      </c>
      <c r="AR498">
        <v>0</v>
      </c>
      <c r="AS498" t="s">
        <v>10118</v>
      </c>
      <c r="AT498" t="s">
        <v>10119</v>
      </c>
      <c r="AU498" t="s">
        <v>10120</v>
      </c>
      <c r="AV498" t="s">
        <v>24496</v>
      </c>
      <c r="AW498" t="s">
        <v>24497</v>
      </c>
      <c r="AX498" t="s">
        <v>69</v>
      </c>
      <c r="AY498" t="s">
        <v>24498</v>
      </c>
      <c r="AZ498" t="s">
        <v>24499</v>
      </c>
      <c r="BA498" t="s">
        <v>75</v>
      </c>
      <c r="BB498">
        <v>2013</v>
      </c>
      <c r="BC498">
        <v>4</v>
      </c>
      <c r="BD498">
        <v>2</v>
      </c>
      <c r="BE498" t="s">
        <v>69</v>
      </c>
      <c r="BF498" t="s">
        <v>69</v>
      </c>
      <c r="BG498" t="s">
        <v>69</v>
      </c>
      <c r="BH498" t="s">
        <v>69</v>
      </c>
      <c r="BI498">
        <v>58</v>
      </c>
      <c r="BJ498">
        <v>67</v>
      </c>
      <c r="BK498" t="s">
        <v>69</v>
      </c>
      <c r="BL498" t="s">
        <v>24500</v>
      </c>
      <c r="BM498" t="str">
        <f>HYPERLINK("http://dx.doi.org/10.2478/bsrj-2013-0012","http://dx.doi.org/10.2478/bsrj-2013-0012")</f>
        <v>http://dx.doi.org/10.2478/bsrj-2013-0012</v>
      </c>
      <c r="BN498" t="s">
        <v>69</v>
      </c>
      <c r="BO498" t="s">
        <v>69</v>
      </c>
      <c r="BP498">
        <v>10</v>
      </c>
      <c r="BQ498" t="s">
        <v>8444</v>
      </c>
      <c r="BR498" t="s">
        <v>8573</v>
      </c>
      <c r="BS498" t="s">
        <v>8594</v>
      </c>
      <c r="BT498" t="s">
        <v>24501</v>
      </c>
      <c r="BU498" t="s">
        <v>24502</v>
      </c>
      <c r="BV498" t="s">
        <v>69</v>
      </c>
      <c r="BW498" t="s">
        <v>10482</v>
      </c>
      <c r="BX498" t="s">
        <v>69</v>
      </c>
      <c r="BY498" t="s">
        <v>69</v>
      </c>
      <c r="BZ498" t="s">
        <v>8526</v>
      </c>
      <c r="CA498" t="str">
        <f>HYPERLINK("https%3A%2F%2Fwww.webofscience.com%2Fwos%2Fwoscc%2Ffull-record%2FWOS:000422577600004","View Full Record in Web of Science")</f>
        <v>View Full Record in Web of Science</v>
      </c>
    </row>
    <row r="499" spans="1:79" x14ac:dyDescent="0.3">
      <c r="B499" t="s">
        <v>8495</v>
      </c>
      <c r="D499" s="9" t="s">
        <v>32972</v>
      </c>
      <c r="G499" s="9" t="s">
        <v>33055</v>
      </c>
      <c r="H499" t="s">
        <v>67</v>
      </c>
      <c r="I499" t="s">
        <v>28698</v>
      </c>
      <c r="J499" t="s">
        <v>69</v>
      </c>
      <c r="K499" t="s">
        <v>69</v>
      </c>
      <c r="L499" t="s">
        <v>69</v>
      </c>
      <c r="M499" t="s">
        <v>28699</v>
      </c>
      <c r="N499" t="s">
        <v>69</v>
      </c>
      <c r="O499" t="s">
        <v>69</v>
      </c>
      <c r="P499" t="s">
        <v>28700</v>
      </c>
      <c r="Q499" t="s">
        <v>28701</v>
      </c>
      <c r="R499" t="s">
        <v>69</v>
      </c>
      <c r="S499" t="s">
        <v>69</v>
      </c>
      <c r="T499" t="s">
        <v>8505</v>
      </c>
      <c r="U499" t="s">
        <v>8506</v>
      </c>
      <c r="V499" t="s">
        <v>69</v>
      </c>
      <c r="W499" t="s">
        <v>69</v>
      </c>
      <c r="X499" t="s">
        <v>69</v>
      </c>
      <c r="Y499" t="s">
        <v>69</v>
      </c>
      <c r="Z499" t="s">
        <v>69</v>
      </c>
      <c r="AA499" t="s">
        <v>28702</v>
      </c>
      <c r="AB499" t="s">
        <v>69</v>
      </c>
      <c r="AC499" t="s">
        <v>28703</v>
      </c>
      <c r="AD499" t="s">
        <v>28704</v>
      </c>
      <c r="AE499" t="s">
        <v>69</v>
      </c>
      <c r="AF499" t="s">
        <v>28705</v>
      </c>
      <c r="AG499" t="s">
        <v>69</v>
      </c>
      <c r="AH499" t="s">
        <v>69</v>
      </c>
      <c r="AI499" t="s">
        <v>69</v>
      </c>
      <c r="AJ499" t="s">
        <v>69</v>
      </c>
      <c r="AK499" t="s">
        <v>69</v>
      </c>
      <c r="AL499" t="s">
        <v>69</v>
      </c>
      <c r="AM499" t="s">
        <v>69</v>
      </c>
      <c r="AN499">
        <v>20</v>
      </c>
      <c r="AO499">
        <v>1</v>
      </c>
      <c r="AP499">
        <v>1</v>
      </c>
      <c r="AQ499">
        <v>0</v>
      </c>
      <c r="AR499">
        <v>0</v>
      </c>
      <c r="AS499" t="s">
        <v>28706</v>
      </c>
      <c r="AT499" t="s">
        <v>28707</v>
      </c>
      <c r="AU499" t="s">
        <v>28708</v>
      </c>
      <c r="AV499" t="s">
        <v>28709</v>
      </c>
      <c r="AW499" t="s">
        <v>69</v>
      </c>
      <c r="AX499" t="s">
        <v>69</v>
      </c>
      <c r="AY499" t="s">
        <v>28710</v>
      </c>
      <c r="AZ499" t="s">
        <v>28711</v>
      </c>
      <c r="BA499" t="s">
        <v>69</v>
      </c>
      <c r="BB499">
        <v>2009</v>
      </c>
      <c r="BC499">
        <v>4</v>
      </c>
      <c r="BD499">
        <v>2</v>
      </c>
      <c r="BE499" t="s">
        <v>69</v>
      </c>
      <c r="BF499" t="s">
        <v>69</v>
      </c>
      <c r="BG499" t="s">
        <v>69</v>
      </c>
      <c r="BH499" t="s">
        <v>69</v>
      </c>
      <c r="BI499">
        <v>65</v>
      </c>
      <c r="BJ499">
        <v>84</v>
      </c>
      <c r="BK499" t="s">
        <v>69</v>
      </c>
      <c r="BL499" t="s">
        <v>69</v>
      </c>
      <c r="BM499" t="s">
        <v>69</v>
      </c>
      <c r="BN499" t="s">
        <v>69</v>
      </c>
      <c r="BO499" t="s">
        <v>69</v>
      </c>
      <c r="BP499">
        <v>20</v>
      </c>
      <c r="BQ499" t="s">
        <v>9749</v>
      </c>
      <c r="BR499" t="s">
        <v>8573</v>
      </c>
      <c r="BS499" t="s">
        <v>8594</v>
      </c>
      <c r="BT499" t="s">
        <v>28712</v>
      </c>
      <c r="BU499" t="s">
        <v>28713</v>
      </c>
      <c r="BV499" t="s">
        <v>69</v>
      </c>
      <c r="BW499" t="s">
        <v>69</v>
      </c>
      <c r="BX499" t="s">
        <v>69</v>
      </c>
      <c r="BY499" t="s">
        <v>69</v>
      </c>
      <c r="BZ499" t="s">
        <v>8526</v>
      </c>
      <c r="CA499" t="str">
        <f>HYPERLINK("https%3A%2F%2Fwww.webofscience.com%2Fwos%2Fwoscc%2Ffull-record%2FWOS:000214875700004","View Full Record in Web of Science")</f>
        <v>View Full Record in Web of Science</v>
      </c>
    </row>
    <row r="500" spans="1:79" ht="12.5" x14ac:dyDescent="0.25">
      <c r="B500" t="s">
        <v>8495</v>
      </c>
      <c r="D500" s="7" t="s">
        <v>32933</v>
      </c>
      <c r="E500" s="7"/>
      <c r="F500" s="7"/>
      <c r="G500" s="7"/>
      <c r="H500" t="s">
        <v>67</v>
      </c>
      <c r="I500" t="s">
        <v>7280</v>
      </c>
      <c r="J500" t="s">
        <v>69</v>
      </c>
      <c r="K500" t="s">
        <v>69</v>
      </c>
      <c r="L500" t="s">
        <v>69</v>
      </c>
      <c r="M500" t="s">
        <v>7281</v>
      </c>
      <c r="N500" t="s">
        <v>69</v>
      </c>
      <c r="O500" t="s">
        <v>69</v>
      </c>
      <c r="P500" t="s">
        <v>7282</v>
      </c>
      <c r="Q500" t="s">
        <v>7283</v>
      </c>
      <c r="R500" t="s">
        <v>69</v>
      </c>
      <c r="S500" t="s">
        <v>69</v>
      </c>
      <c r="T500" t="s">
        <v>8505</v>
      </c>
      <c r="U500" t="s">
        <v>8506</v>
      </c>
      <c r="V500" t="s">
        <v>69</v>
      </c>
      <c r="W500" t="s">
        <v>69</v>
      </c>
      <c r="X500" t="s">
        <v>69</v>
      </c>
      <c r="Y500" t="s">
        <v>69</v>
      </c>
      <c r="Z500" t="s">
        <v>69</v>
      </c>
      <c r="AA500" t="s">
        <v>69</v>
      </c>
      <c r="AB500" t="s">
        <v>17491</v>
      </c>
      <c r="AC500" t="s">
        <v>7284</v>
      </c>
      <c r="AD500" t="s">
        <v>17492</v>
      </c>
      <c r="AE500" t="s">
        <v>69</v>
      </c>
      <c r="AF500" t="s">
        <v>17493</v>
      </c>
      <c r="AG500" t="s">
        <v>69</v>
      </c>
      <c r="AH500" t="s">
        <v>69</v>
      </c>
      <c r="AI500" t="s">
        <v>7285</v>
      </c>
      <c r="AJ500" t="s">
        <v>69</v>
      </c>
      <c r="AK500" t="s">
        <v>69</v>
      </c>
      <c r="AL500" t="s">
        <v>69</v>
      </c>
      <c r="AM500" t="s">
        <v>69</v>
      </c>
      <c r="AN500">
        <v>93</v>
      </c>
      <c r="AO500">
        <v>8</v>
      </c>
      <c r="AP500">
        <v>8</v>
      </c>
      <c r="AQ500">
        <v>13</v>
      </c>
      <c r="AR500">
        <v>33</v>
      </c>
      <c r="AS500" t="s">
        <v>9554</v>
      </c>
      <c r="AT500" t="s">
        <v>9555</v>
      </c>
      <c r="AU500" t="s">
        <v>9556</v>
      </c>
      <c r="AV500" t="s">
        <v>7286</v>
      </c>
      <c r="AW500" t="s">
        <v>7287</v>
      </c>
      <c r="AX500" t="s">
        <v>69</v>
      </c>
      <c r="AY500" t="s">
        <v>17494</v>
      </c>
      <c r="AZ500" t="s">
        <v>17495</v>
      </c>
      <c r="BA500" t="s">
        <v>94</v>
      </c>
      <c r="BB500">
        <v>2019</v>
      </c>
      <c r="BC500">
        <v>45</v>
      </c>
      <c r="BD500">
        <v>1</v>
      </c>
      <c r="BE500" t="s">
        <v>69</v>
      </c>
      <c r="BF500" t="s">
        <v>69</v>
      </c>
      <c r="BG500" t="s">
        <v>69</v>
      </c>
      <c r="BH500" t="s">
        <v>69</v>
      </c>
      <c r="BI500">
        <v>7</v>
      </c>
      <c r="BJ500">
        <v>31</v>
      </c>
      <c r="BK500" t="s">
        <v>69</v>
      </c>
      <c r="BL500" t="s">
        <v>7288</v>
      </c>
      <c r="BM500" t="str">
        <f>HYPERLINK("http://dx.doi.org/10.1177/0098858819849990","http://dx.doi.org/10.1177/0098858819849990")</f>
        <v>http://dx.doi.org/10.1177/0098858819849990</v>
      </c>
      <c r="BN500" t="s">
        <v>69</v>
      </c>
      <c r="BO500" t="s">
        <v>69</v>
      </c>
      <c r="BP500">
        <v>25</v>
      </c>
      <c r="BQ500" t="s">
        <v>8452</v>
      </c>
      <c r="BR500" t="s">
        <v>8661</v>
      </c>
      <c r="BS500" t="s">
        <v>10084</v>
      </c>
      <c r="BT500" t="s">
        <v>17496</v>
      </c>
      <c r="BU500" t="s">
        <v>7289</v>
      </c>
      <c r="BV500">
        <v>31293209</v>
      </c>
      <c r="BW500" t="s">
        <v>9374</v>
      </c>
      <c r="BX500" t="s">
        <v>69</v>
      </c>
      <c r="BY500" t="s">
        <v>69</v>
      </c>
      <c r="BZ500" t="s">
        <v>8526</v>
      </c>
      <c r="CA500" t="str">
        <f>HYPERLINK("https%3A%2F%2Fwww.webofscience.com%2Fwos%2Fwoscc%2Ffull-record%2FWOS:000475448500001","View Full Record in Web of Science")</f>
        <v>View Full Record in Web of Science</v>
      </c>
    </row>
    <row r="501" spans="1:79" ht="12.5" x14ac:dyDescent="0.25">
      <c r="B501" t="s">
        <v>8495</v>
      </c>
      <c r="D501" s="22" t="s">
        <v>32931</v>
      </c>
      <c r="E501" s="7"/>
      <c r="F501" s="7"/>
      <c r="G501" s="7"/>
      <c r="H501" t="s">
        <v>67</v>
      </c>
      <c r="I501" t="s">
        <v>9434</v>
      </c>
      <c r="J501" t="s">
        <v>69</v>
      </c>
      <c r="K501" t="s">
        <v>69</v>
      </c>
      <c r="L501" t="s">
        <v>69</v>
      </c>
      <c r="M501" t="s">
        <v>9435</v>
      </c>
      <c r="N501" t="s">
        <v>69</v>
      </c>
      <c r="O501" t="s">
        <v>69</v>
      </c>
      <c r="P501" t="s">
        <v>9436</v>
      </c>
      <c r="Q501" t="s">
        <v>9437</v>
      </c>
      <c r="R501" t="s">
        <v>69</v>
      </c>
      <c r="S501" t="s">
        <v>69</v>
      </c>
      <c r="T501" t="s">
        <v>8505</v>
      </c>
      <c r="U501" t="s">
        <v>8506</v>
      </c>
      <c r="V501" t="s">
        <v>69</v>
      </c>
      <c r="W501" t="s">
        <v>69</v>
      </c>
      <c r="X501" t="s">
        <v>69</v>
      </c>
      <c r="Y501" t="s">
        <v>69</v>
      </c>
      <c r="Z501" t="s">
        <v>69</v>
      </c>
      <c r="AA501" t="s">
        <v>9438</v>
      </c>
      <c r="AB501" t="s">
        <v>69</v>
      </c>
      <c r="AC501" t="s">
        <v>9439</v>
      </c>
      <c r="AD501" t="s">
        <v>9440</v>
      </c>
      <c r="AE501" t="s">
        <v>69</v>
      </c>
      <c r="AF501" t="s">
        <v>9441</v>
      </c>
      <c r="AG501" t="s">
        <v>9442</v>
      </c>
      <c r="AH501" t="s">
        <v>69</v>
      </c>
      <c r="AI501" t="s">
        <v>9443</v>
      </c>
      <c r="AJ501" t="s">
        <v>9444</v>
      </c>
      <c r="AK501" t="s">
        <v>9444</v>
      </c>
      <c r="AL501" t="s">
        <v>9445</v>
      </c>
      <c r="AM501" t="s">
        <v>69</v>
      </c>
      <c r="AN501">
        <v>18</v>
      </c>
      <c r="AO501">
        <v>0</v>
      </c>
      <c r="AP501">
        <v>0</v>
      </c>
      <c r="AQ501">
        <v>0</v>
      </c>
      <c r="AR501">
        <v>0</v>
      </c>
      <c r="AS501" t="s">
        <v>9178</v>
      </c>
      <c r="AT501" t="s">
        <v>8763</v>
      </c>
      <c r="AU501" t="s">
        <v>9179</v>
      </c>
      <c r="AV501" t="s">
        <v>9446</v>
      </c>
      <c r="AW501" t="s">
        <v>69</v>
      </c>
      <c r="AX501" t="s">
        <v>69</v>
      </c>
      <c r="AY501" t="s">
        <v>9437</v>
      </c>
      <c r="AZ501" t="s">
        <v>9447</v>
      </c>
      <c r="BA501" t="s">
        <v>246</v>
      </c>
      <c r="BB501">
        <v>2022</v>
      </c>
      <c r="BC501">
        <v>12</v>
      </c>
      <c r="BD501">
        <v>4</v>
      </c>
      <c r="BE501" t="s">
        <v>69</v>
      </c>
      <c r="BF501" t="s">
        <v>69</v>
      </c>
      <c r="BG501" t="s">
        <v>69</v>
      </c>
      <c r="BH501" t="s">
        <v>69</v>
      </c>
      <c r="BI501" t="s">
        <v>69</v>
      </c>
      <c r="BJ501" t="s">
        <v>69</v>
      </c>
      <c r="BK501" t="s">
        <v>9448</v>
      </c>
      <c r="BL501" t="s">
        <v>9449</v>
      </c>
      <c r="BM501" t="str">
        <f>HYPERLINK("http://dx.doi.org/10.1136/bmjopen-2021-057874","http://dx.doi.org/10.1136/bmjopen-2021-057874")</f>
        <v>http://dx.doi.org/10.1136/bmjopen-2021-057874</v>
      </c>
      <c r="BN501" t="s">
        <v>69</v>
      </c>
      <c r="BO501" t="s">
        <v>69</v>
      </c>
      <c r="BP501">
        <v>9</v>
      </c>
      <c r="BQ501" t="s">
        <v>9450</v>
      </c>
      <c r="BR501" t="s">
        <v>8548</v>
      </c>
      <c r="BS501" t="s">
        <v>9451</v>
      </c>
      <c r="BT501" t="s">
        <v>9452</v>
      </c>
      <c r="BU501" t="s">
        <v>9453</v>
      </c>
      <c r="BV501">
        <v>35443959</v>
      </c>
      <c r="BW501" t="s">
        <v>9352</v>
      </c>
      <c r="BX501" t="s">
        <v>69</v>
      </c>
      <c r="BY501" t="s">
        <v>69</v>
      </c>
      <c r="BZ501" t="s">
        <v>8526</v>
      </c>
      <c r="CA501" t="str">
        <f>HYPERLINK("https%3A%2F%2Fwww.webofscience.com%2Fwos%2Fwoscc%2Ffull-record%2FWOS:000784798300027","View Full Record in Web of Science")</f>
        <v>View Full Record in Web of Science</v>
      </c>
    </row>
    <row r="502" spans="1:79" ht="12.5" x14ac:dyDescent="0.25">
      <c r="B502" t="s">
        <v>8495</v>
      </c>
      <c r="D502" s="7" t="s">
        <v>32933</v>
      </c>
      <c r="E502" s="7"/>
      <c r="F502" s="7"/>
      <c r="G502" s="7"/>
      <c r="H502" t="s">
        <v>67</v>
      </c>
      <c r="I502" t="s">
        <v>2085</v>
      </c>
      <c r="J502" t="s">
        <v>69</v>
      </c>
      <c r="K502" t="s">
        <v>69</v>
      </c>
      <c r="L502" t="s">
        <v>69</v>
      </c>
      <c r="M502" t="s">
        <v>2086</v>
      </c>
      <c r="N502" t="s">
        <v>69</v>
      </c>
      <c r="O502" t="s">
        <v>69</v>
      </c>
      <c r="P502" t="s">
        <v>2087</v>
      </c>
      <c r="Q502" t="s">
        <v>2088</v>
      </c>
      <c r="R502" t="s">
        <v>69</v>
      </c>
      <c r="S502" t="s">
        <v>69</v>
      </c>
      <c r="T502" t="s">
        <v>8505</v>
      </c>
      <c r="U502" t="s">
        <v>8506</v>
      </c>
      <c r="V502" t="s">
        <v>69</v>
      </c>
      <c r="W502" t="s">
        <v>69</v>
      </c>
      <c r="X502" t="s">
        <v>69</v>
      </c>
      <c r="Y502" t="s">
        <v>69</v>
      </c>
      <c r="Z502" t="s">
        <v>69</v>
      </c>
      <c r="AA502" t="s">
        <v>16142</v>
      </c>
      <c r="AB502" t="s">
        <v>69</v>
      </c>
      <c r="AC502" t="s">
        <v>2089</v>
      </c>
      <c r="AD502" t="s">
        <v>16143</v>
      </c>
      <c r="AE502" t="s">
        <v>69</v>
      </c>
      <c r="AF502" t="s">
        <v>16144</v>
      </c>
      <c r="AG502" t="s">
        <v>16145</v>
      </c>
      <c r="AH502" t="s">
        <v>2090</v>
      </c>
      <c r="AI502" t="s">
        <v>2091</v>
      </c>
      <c r="AJ502" t="s">
        <v>69</v>
      </c>
      <c r="AK502" t="s">
        <v>69</v>
      </c>
      <c r="AL502" t="s">
        <v>69</v>
      </c>
      <c r="AM502" t="s">
        <v>69</v>
      </c>
      <c r="AN502">
        <v>22</v>
      </c>
      <c r="AO502">
        <v>7</v>
      </c>
      <c r="AP502">
        <v>7</v>
      </c>
      <c r="AQ502">
        <v>1</v>
      </c>
      <c r="AR502">
        <v>9</v>
      </c>
      <c r="AS502" t="s">
        <v>10238</v>
      </c>
      <c r="AT502" t="s">
        <v>10239</v>
      </c>
      <c r="AU502" t="s">
        <v>10240</v>
      </c>
      <c r="AV502" t="s">
        <v>2092</v>
      </c>
      <c r="AW502" t="s">
        <v>69</v>
      </c>
      <c r="AX502" t="s">
        <v>69</v>
      </c>
      <c r="AY502" t="s">
        <v>10241</v>
      </c>
      <c r="AZ502" t="s">
        <v>10242</v>
      </c>
      <c r="BA502" t="s">
        <v>69</v>
      </c>
      <c r="BB502">
        <v>2020</v>
      </c>
      <c r="BC502">
        <v>5</v>
      </c>
      <c r="BD502">
        <v>2</v>
      </c>
      <c r="BE502" t="s">
        <v>69</v>
      </c>
      <c r="BF502" t="s">
        <v>69</v>
      </c>
      <c r="BG502" t="s">
        <v>69</v>
      </c>
      <c r="BH502" t="s">
        <v>69</v>
      </c>
      <c r="BI502">
        <v>35</v>
      </c>
      <c r="BJ502">
        <v>43</v>
      </c>
      <c r="BK502" t="s">
        <v>69</v>
      </c>
      <c r="BL502" t="s">
        <v>2093</v>
      </c>
      <c r="BM502" t="str">
        <f>HYPERLINK("http://dx.doi.org/10.17645/up.v5i2.2989","http://dx.doi.org/10.17645/up.v5i2.2989")</f>
        <v>http://dx.doi.org/10.17645/up.v5i2.2989</v>
      </c>
      <c r="BN502" t="s">
        <v>69</v>
      </c>
      <c r="BO502" t="s">
        <v>69</v>
      </c>
      <c r="BP502">
        <v>9</v>
      </c>
      <c r="BQ502" t="s">
        <v>8475</v>
      </c>
      <c r="BR502" t="s">
        <v>8573</v>
      </c>
      <c r="BS502" t="s">
        <v>8475</v>
      </c>
      <c r="BT502" t="s">
        <v>16146</v>
      </c>
      <c r="BU502" t="s">
        <v>2094</v>
      </c>
      <c r="BV502" t="s">
        <v>69</v>
      </c>
      <c r="BW502" t="s">
        <v>8812</v>
      </c>
      <c r="BX502" t="s">
        <v>69</v>
      </c>
      <c r="BY502" t="s">
        <v>69</v>
      </c>
      <c r="BZ502" t="s">
        <v>8526</v>
      </c>
      <c r="CA502" t="str">
        <f>HYPERLINK("https%3A%2F%2Fwww.webofscience.com%2Fwos%2Fwoscc%2Ffull-record%2FWOS:000546245900004","View Full Record in Web of Science")</f>
        <v>View Full Record in Web of Science</v>
      </c>
    </row>
    <row r="503" spans="1:79" ht="12.5" x14ac:dyDescent="0.25">
      <c r="B503" t="s">
        <v>8495</v>
      </c>
      <c r="D503" s="7" t="s">
        <v>32933</v>
      </c>
      <c r="E503" s="7"/>
      <c r="F503" s="7"/>
      <c r="G503" s="7"/>
      <c r="H503" t="s">
        <v>67</v>
      </c>
      <c r="I503" t="s">
        <v>7186</v>
      </c>
      <c r="J503" t="s">
        <v>69</v>
      </c>
      <c r="K503" t="s">
        <v>69</v>
      </c>
      <c r="L503" t="s">
        <v>69</v>
      </c>
      <c r="M503" t="s">
        <v>7187</v>
      </c>
      <c r="N503" t="s">
        <v>69</v>
      </c>
      <c r="O503" t="s">
        <v>69</v>
      </c>
      <c r="P503" t="s">
        <v>7188</v>
      </c>
      <c r="Q503" t="s">
        <v>7189</v>
      </c>
      <c r="R503" t="s">
        <v>69</v>
      </c>
      <c r="S503" t="s">
        <v>69</v>
      </c>
      <c r="T503" t="s">
        <v>9357</v>
      </c>
      <c r="U503" t="s">
        <v>8506</v>
      </c>
      <c r="V503" t="s">
        <v>69</v>
      </c>
      <c r="W503" t="s">
        <v>69</v>
      </c>
      <c r="X503" t="s">
        <v>69</v>
      </c>
      <c r="Y503" t="s">
        <v>69</v>
      </c>
      <c r="Z503" t="s">
        <v>69</v>
      </c>
      <c r="AA503" t="s">
        <v>17789</v>
      </c>
      <c r="AB503" t="s">
        <v>69</v>
      </c>
      <c r="AC503" t="s">
        <v>7190</v>
      </c>
      <c r="AD503" t="s">
        <v>17790</v>
      </c>
      <c r="AE503" t="s">
        <v>69</v>
      </c>
      <c r="AF503" t="s">
        <v>17791</v>
      </c>
      <c r="AG503" t="s">
        <v>17792</v>
      </c>
      <c r="AH503" t="s">
        <v>7191</v>
      </c>
      <c r="AI503" t="s">
        <v>7192</v>
      </c>
      <c r="AJ503" t="s">
        <v>69</v>
      </c>
      <c r="AK503" t="s">
        <v>69</v>
      </c>
      <c r="AL503" t="s">
        <v>69</v>
      </c>
      <c r="AM503" t="s">
        <v>69</v>
      </c>
      <c r="AN503">
        <v>21</v>
      </c>
      <c r="AO503">
        <v>1</v>
      </c>
      <c r="AP503">
        <v>1</v>
      </c>
      <c r="AQ503">
        <v>0</v>
      </c>
      <c r="AR503">
        <v>10</v>
      </c>
      <c r="AS503" t="s">
        <v>17793</v>
      </c>
      <c r="AT503" t="s">
        <v>17794</v>
      </c>
      <c r="AU503" t="s">
        <v>17795</v>
      </c>
      <c r="AV503" t="s">
        <v>7193</v>
      </c>
      <c r="AW503" t="s">
        <v>7194</v>
      </c>
      <c r="AX503" t="s">
        <v>69</v>
      </c>
      <c r="AY503" t="s">
        <v>17796</v>
      </c>
      <c r="AZ503" t="s">
        <v>17797</v>
      </c>
      <c r="BA503" t="s">
        <v>69</v>
      </c>
      <c r="BB503">
        <v>2019</v>
      </c>
      <c r="BC503">
        <v>8</v>
      </c>
      <c r="BD503">
        <v>2</v>
      </c>
      <c r="BE503" t="s">
        <v>69</v>
      </c>
      <c r="BF503" t="s">
        <v>69</v>
      </c>
      <c r="BG503" t="s">
        <v>69</v>
      </c>
      <c r="BH503" t="s">
        <v>69</v>
      </c>
      <c r="BI503">
        <v>355</v>
      </c>
      <c r="BJ503">
        <v>372</v>
      </c>
      <c r="BK503" t="s">
        <v>69</v>
      </c>
      <c r="BL503" t="s">
        <v>7195</v>
      </c>
      <c r="BM503" t="str">
        <f>HYPERLINK("http://dx.doi.org/10.17150/2308-6203.2019.8(2).355-372","http://dx.doi.org/10.17150/2308-6203.2019.8(2).355-372")</f>
        <v>http://dx.doi.org/10.17150/2308-6203.2019.8(2).355-372</v>
      </c>
      <c r="BN503" t="s">
        <v>69</v>
      </c>
      <c r="BO503" t="s">
        <v>69</v>
      </c>
      <c r="BP503">
        <v>18</v>
      </c>
      <c r="BQ503" t="s">
        <v>8443</v>
      </c>
      <c r="BR503" t="s">
        <v>8573</v>
      </c>
      <c r="BS503" t="s">
        <v>8443</v>
      </c>
      <c r="BT503" t="s">
        <v>17798</v>
      </c>
      <c r="BU503" t="s">
        <v>7196</v>
      </c>
      <c r="BV503" t="s">
        <v>69</v>
      </c>
      <c r="BW503" t="s">
        <v>8931</v>
      </c>
      <c r="BX503" t="s">
        <v>69</v>
      </c>
      <c r="BY503" t="s">
        <v>69</v>
      </c>
      <c r="BZ503" t="s">
        <v>8526</v>
      </c>
      <c r="CA503" t="str">
        <f>HYPERLINK("https%3A%2F%2Fwww.webofscience.com%2Fwos%2Fwoscc%2Ffull-record%2FWOS:000468390900010","View Full Record in Web of Science")</f>
        <v>View Full Record in Web of Science</v>
      </c>
    </row>
    <row r="504" spans="1:79" ht="12.5" x14ac:dyDescent="0.25">
      <c r="B504" t="s">
        <v>8495</v>
      </c>
      <c r="D504" s="22" t="s">
        <v>32931</v>
      </c>
      <c r="E504" s="7"/>
      <c r="F504" s="7"/>
      <c r="G504" s="7"/>
      <c r="H504" t="s">
        <v>67</v>
      </c>
      <c r="I504" t="s">
        <v>10979</v>
      </c>
      <c r="J504" t="s">
        <v>69</v>
      </c>
      <c r="K504" t="s">
        <v>69</v>
      </c>
      <c r="L504" t="s">
        <v>69</v>
      </c>
      <c r="M504" t="s">
        <v>10980</v>
      </c>
      <c r="N504" t="s">
        <v>69</v>
      </c>
      <c r="O504" t="s">
        <v>69</v>
      </c>
      <c r="P504" t="s">
        <v>10981</v>
      </c>
      <c r="Q504" t="s">
        <v>6571</v>
      </c>
      <c r="R504" t="s">
        <v>69</v>
      </c>
      <c r="S504" t="s">
        <v>69</v>
      </c>
      <c r="T504" t="s">
        <v>8505</v>
      </c>
      <c r="U504" t="s">
        <v>8506</v>
      </c>
      <c r="V504" t="s">
        <v>69</v>
      </c>
      <c r="W504" t="s">
        <v>69</v>
      </c>
      <c r="X504" t="s">
        <v>69</v>
      </c>
      <c r="Y504" t="s">
        <v>69</v>
      </c>
      <c r="Z504" t="s">
        <v>69</v>
      </c>
      <c r="AA504" t="s">
        <v>10982</v>
      </c>
      <c r="AB504" t="s">
        <v>10983</v>
      </c>
      <c r="AC504" t="s">
        <v>10984</v>
      </c>
      <c r="AD504" t="s">
        <v>10985</v>
      </c>
      <c r="AE504" t="s">
        <v>69</v>
      </c>
      <c r="AF504" t="s">
        <v>10986</v>
      </c>
      <c r="AG504" t="s">
        <v>10987</v>
      </c>
      <c r="AH504" t="s">
        <v>69</v>
      </c>
      <c r="AI504" t="s">
        <v>69</v>
      </c>
      <c r="AJ504" t="s">
        <v>69</v>
      </c>
      <c r="AK504" t="s">
        <v>69</v>
      </c>
      <c r="AL504" t="s">
        <v>69</v>
      </c>
      <c r="AM504" t="s">
        <v>69</v>
      </c>
      <c r="AN504">
        <v>127</v>
      </c>
      <c r="AO504">
        <v>0</v>
      </c>
      <c r="AP504">
        <v>0</v>
      </c>
      <c r="AQ504">
        <v>46</v>
      </c>
      <c r="AR504">
        <v>71</v>
      </c>
      <c r="AS504" t="s">
        <v>8692</v>
      </c>
      <c r="AT504" t="s">
        <v>8693</v>
      </c>
      <c r="AU504" t="s">
        <v>8694</v>
      </c>
      <c r="AV504" t="s">
        <v>6573</v>
      </c>
      <c r="AW504" t="s">
        <v>6574</v>
      </c>
      <c r="AX504" t="s">
        <v>69</v>
      </c>
      <c r="AY504" t="s">
        <v>10988</v>
      </c>
      <c r="AZ504" t="s">
        <v>10989</v>
      </c>
      <c r="BA504" t="s">
        <v>373</v>
      </c>
      <c r="BB504">
        <v>2022</v>
      </c>
      <c r="BC504">
        <v>174</v>
      </c>
      <c r="BD504" t="s">
        <v>69</v>
      </c>
      <c r="BE504" t="s">
        <v>69</v>
      </c>
      <c r="BF504" t="s">
        <v>69</v>
      </c>
      <c r="BG504" t="s">
        <v>69</v>
      </c>
      <c r="BH504" t="s">
        <v>69</v>
      </c>
      <c r="BI504" t="s">
        <v>69</v>
      </c>
      <c r="BJ504" t="s">
        <v>69</v>
      </c>
      <c r="BK504">
        <v>121293</v>
      </c>
      <c r="BL504" t="s">
        <v>10990</v>
      </c>
      <c r="BM504" t="str">
        <f>HYPERLINK("http://dx.doi.org/10.1016/j.techfore.2021.121293","http://dx.doi.org/10.1016/j.techfore.2021.121293")</f>
        <v>http://dx.doi.org/10.1016/j.techfore.2021.121293</v>
      </c>
      <c r="BN504" t="s">
        <v>69</v>
      </c>
      <c r="BO504" t="s">
        <v>10991</v>
      </c>
      <c r="BP504">
        <v>13</v>
      </c>
      <c r="BQ504" t="s">
        <v>10992</v>
      </c>
      <c r="BR504" t="s">
        <v>8661</v>
      </c>
      <c r="BS504" t="s">
        <v>10993</v>
      </c>
      <c r="BT504" t="s">
        <v>10994</v>
      </c>
      <c r="BU504" t="s">
        <v>10996</v>
      </c>
      <c r="BV504" t="s">
        <v>69</v>
      </c>
      <c r="BW504" t="s">
        <v>10995</v>
      </c>
      <c r="BX504" t="s">
        <v>69</v>
      </c>
      <c r="BY504" t="s">
        <v>69</v>
      </c>
      <c r="BZ504" t="s">
        <v>8526</v>
      </c>
      <c r="CA504" t="str">
        <f>HYPERLINK("https%3A%2F%2Fwww.webofscience.com%2Fwos%2Fwoscc%2Ffull-record%2FWOS:000719370700002","View Full Record in Web of Science")</f>
        <v>View Full Record in Web of Science</v>
      </c>
    </row>
    <row r="505" spans="1:79" ht="12.5" x14ac:dyDescent="0.25">
      <c r="B505" t="s">
        <v>8495</v>
      </c>
      <c r="D505" s="7" t="s">
        <v>32933</v>
      </c>
      <c r="E505" s="7"/>
      <c r="F505" s="7"/>
      <c r="G505" s="7"/>
      <c r="H505" t="s">
        <v>67</v>
      </c>
      <c r="I505" t="s">
        <v>4245</v>
      </c>
      <c r="J505" t="s">
        <v>69</v>
      </c>
      <c r="K505" t="s">
        <v>69</v>
      </c>
      <c r="L505" t="s">
        <v>69</v>
      </c>
      <c r="M505" t="s">
        <v>4245</v>
      </c>
      <c r="N505" t="s">
        <v>69</v>
      </c>
      <c r="O505" t="s">
        <v>69</v>
      </c>
      <c r="P505" t="s">
        <v>4246</v>
      </c>
      <c r="Q505" t="s">
        <v>4247</v>
      </c>
      <c r="R505" t="s">
        <v>69</v>
      </c>
      <c r="S505" t="s">
        <v>69</v>
      </c>
      <c r="T505" t="s">
        <v>8505</v>
      </c>
      <c r="U505" t="s">
        <v>8442</v>
      </c>
      <c r="V505" t="s">
        <v>69</v>
      </c>
      <c r="W505" t="s">
        <v>69</v>
      </c>
      <c r="X505" t="s">
        <v>69</v>
      </c>
      <c r="Y505" t="s">
        <v>69</v>
      </c>
      <c r="Z505" t="s">
        <v>69</v>
      </c>
      <c r="AA505" t="s">
        <v>69</v>
      </c>
      <c r="AB505" t="s">
        <v>32518</v>
      </c>
      <c r="AC505" t="s">
        <v>4248</v>
      </c>
      <c r="AD505" t="s">
        <v>32519</v>
      </c>
      <c r="AE505" t="s">
        <v>69</v>
      </c>
      <c r="AF505" t="s">
        <v>32520</v>
      </c>
      <c r="AG505" t="s">
        <v>69</v>
      </c>
      <c r="AH505" t="s">
        <v>4249</v>
      </c>
      <c r="AI505" t="s">
        <v>69</v>
      </c>
      <c r="AJ505" t="s">
        <v>69</v>
      </c>
      <c r="AK505" t="s">
        <v>69</v>
      </c>
      <c r="AL505" t="s">
        <v>69</v>
      </c>
      <c r="AM505" t="s">
        <v>69</v>
      </c>
      <c r="AN505">
        <v>101</v>
      </c>
      <c r="AO505">
        <v>11</v>
      </c>
      <c r="AP505">
        <v>12</v>
      </c>
      <c r="AQ505">
        <v>0</v>
      </c>
      <c r="AR505">
        <v>4</v>
      </c>
      <c r="AS505" t="s">
        <v>32521</v>
      </c>
      <c r="AT505" t="s">
        <v>32522</v>
      </c>
      <c r="AU505" t="s">
        <v>32523</v>
      </c>
      <c r="AV505" t="s">
        <v>4250</v>
      </c>
      <c r="AW505" t="s">
        <v>69</v>
      </c>
      <c r="AX505" t="s">
        <v>69</v>
      </c>
      <c r="AY505" t="s">
        <v>32524</v>
      </c>
      <c r="AZ505" t="s">
        <v>32525</v>
      </c>
      <c r="BA505" t="s">
        <v>69</v>
      </c>
      <c r="BB505">
        <v>1996</v>
      </c>
      <c r="BC505">
        <v>9</v>
      </c>
      <c r="BD505">
        <v>3</v>
      </c>
      <c r="BE505" t="s">
        <v>69</v>
      </c>
      <c r="BF505" t="s">
        <v>69</v>
      </c>
      <c r="BG505" t="s">
        <v>69</v>
      </c>
      <c r="BH505" t="s">
        <v>69</v>
      </c>
      <c r="BI505">
        <v>177</v>
      </c>
      <c r="BJ505">
        <v>198</v>
      </c>
      <c r="BK505" t="s">
        <v>69</v>
      </c>
      <c r="BL505" t="s">
        <v>4251</v>
      </c>
      <c r="BM505" t="str">
        <f>HYPERLINK("http://dx.doi.org/10.1207/s15327043hup0903_1","http://dx.doi.org/10.1207/s15327043hup0903_1")</f>
        <v>http://dx.doi.org/10.1207/s15327043hup0903_1</v>
      </c>
      <c r="BN505" t="s">
        <v>69</v>
      </c>
      <c r="BO505" t="s">
        <v>69</v>
      </c>
      <c r="BP505">
        <v>22</v>
      </c>
      <c r="BQ505" t="s">
        <v>15649</v>
      </c>
      <c r="BR505" t="s">
        <v>8661</v>
      </c>
      <c r="BS505" t="s">
        <v>9001</v>
      </c>
      <c r="BT505" t="s">
        <v>32526</v>
      </c>
      <c r="BU505" t="s">
        <v>4252</v>
      </c>
      <c r="BV505" t="s">
        <v>69</v>
      </c>
      <c r="BW505" t="s">
        <v>69</v>
      </c>
      <c r="BX505" t="s">
        <v>69</v>
      </c>
      <c r="BY505" t="s">
        <v>69</v>
      </c>
      <c r="BZ505" t="s">
        <v>8526</v>
      </c>
      <c r="CA505" t="str">
        <f>HYPERLINK("https%3A%2F%2Fwww.webofscience.com%2Fwos%2Fwoscc%2Ffull-record%2FWOS:A1996UQ92900002","View Full Record in Web of Science")</f>
        <v>View Full Record in Web of Science</v>
      </c>
    </row>
    <row r="506" spans="1:79" ht="12.5" x14ac:dyDescent="0.25">
      <c r="A506" t="s">
        <v>8408</v>
      </c>
      <c r="B506" t="s">
        <v>8495</v>
      </c>
      <c r="D506" s="11" t="s">
        <v>33204</v>
      </c>
      <c r="E506" s="7"/>
      <c r="F506" s="11" t="s">
        <v>8490</v>
      </c>
      <c r="G506" s="7"/>
      <c r="H506" t="s">
        <v>67</v>
      </c>
      <c r="I506" t="s">
        <v>7927</v>
      </c>
      <c r="J506" t="s">
        <v>69</v>
      </c>
      <c r="K506" t="s">
        <v>69</v>
      </c>
      <c r="L506" t="s">
        <v>69</v>
      </c>
      <c r="M506" s="2" t="s">
        <v>7928</v>
      </c>
      <c r="N506" t="s">
        <v>69</v>
      </c>
      <c r="O506" t="s">
        <v>69</v>
      </c>
      <c r="P506" s="11" t="s">
        <v>7929</v>
      </c>
      <c r="Q506" t="s">
        <v>352</v>
      </c>
      <c r="R506" t="s">
        <v>69</v>
      </c>
      <c r="S506" t="s">
        <v>69</v>
      </c>
      <c r="T506" t="s">
        <v>8505</v>
      </c>
      <c r="U506" t="s">
        <v>8506</v>
      </c>
      <c r="V506" t="s">
        <v>69</v>
      </c>
      <c r="W506" t="s">
        <v>69</v>
      </c>
      <c r="X506" t="s">
        <v>69</v>
      </c>
      <c r="Y506" t="s">
        <v>69</v>
      </c>
      <c r="Z506" t="s">
        <v>69</v>
      </c>
      <c r="AA506" t="s">
        <v>19196</v>
      </c>
      <c r="AB506" t="s">
        <v>19197</v>
      </c>
      <c r="AC506" t="s">
        <v>7930</v>
      </c>
      <c r="AD506" t="s">
        <v>19198</v>
      </c>
      <c r="AE506" t="s">
        <v>69</v>
      </c>
      <c r="AF506" t="s">
        <v>19199</v>
      </c>
      <c r="AG506" t="s">
        <v>19200</v>
      </c>
      <c r="AH506" t="s">
        <v>19201</v>
      </c>
      <c r="AI506" t="s">
        <v>7931</v>
      </c>
      <c r="AJ506" t="s">
        <v>69</v>
      </c>
      <c r="AK506" t="s">
        <v>69</v>
      </c>
      <c r="AL506" t="s">
        <v>69</v>
      </c>
      <c r="AM506" t="s">
        <v>69</v>
      </c>
      <c r="AN506">
        <v>59</v>
      </c>
      <c r="AO506">
        <v>12</v>
      </c>
      <c r="AP506">
        <v>12</v>
      </c>
      <c r="AQ506">
        <v>2</v>
      </c>
      <c r="AR506">
        <v>17</v>
      </c>
      <c r="AS506" t="s">
        <v>8924</v>
      </c>
      <c r="AT506" t="s">
        <v>8925</v>
      </c>
      <c r="AU506" t="s">
        <v>8926</v>
      </c>
      <c r="AV506" t="s">
        <v>69</v>
      </c>
      <c r="AW506" t="s">
        <v>354</v>
      </c>
      <c r="AX506" t="s">
        <v>69</v>
      </c>
      <c r="AY506" t="s">
        <v>8958</v>
      </c>
      <c r="AZ506" t="s">
        <v>8434</v>
      </c>
      <c r="BA506" t="s">
        <v>191</v>
      </c>
      <c r="BB506">
        <v>2018</v>
      </c>
      <c r="BC506">
        <v>10</v>
      </c>
      <c r="BD506">
        <v>2</v>
      </c>
      <c r="BE506" t="s">
        <v>69</v>
      </c>
      <c r="BF506" t="s">
        <v>69</v>
      </c>
      <c r="BG506" t="s">
        <v>69</v>
      </c>
      <c r="BH506" t="s">
        <v>69</v>
      </c>
      <c r="BI506" t="s">
        <v>69</v>
      </c>
      <c r="BJ506" t="s">
        <v>69</v>
      </c>
      <c r="BK506">
        <v>364</v>
      </c>
      <c r="BL506" t="s">
        <v>7932</v>
      </c>
      <c r="BM506" t="str">
        <f>HYPERLINK("http://dx.doi.org/10.3390/su10020364","http://dx.doi.org/10.3390/su10020364")</f>
        <v>http://dx.doi.org/10.3390/su10020364</v>
      </c>
      <c r="BN506" t="s">
        <v>69</v>
      </c>
      <c r="BO506" t="s">
        <v>69</v>
      </c>
      <c r="BP506">
        <v>17</v>
      </c>
      <c r="BQ506" t="s">
        <v>8960</v>
      </c>
      <c r="BR506" t="s">
        <v>8523</v>
      </c>
      <c r="BS506" t="s">
        <v>8961</v>
      </c>
      <c r="BT506" t="s">
        <v>19202</v>
      </c>
      <c r="BU506" t="s">
        <v>7933</v>
      </c>
      <c r="BV506" t="s">
        <v>69</v>
      </c>
      <c r="BW506" t="s">
        <v>17361</v>
      </c>
      <c r="BX506" t="s">
        <v>69</v>
      </c>
      <c r="BY506" t="s">
        <v>69</v>
      </c>
      <c r="BZ506" t="s">
        <v>8526</v>
      </c>
      <c r="CA506" t="str">
        <f>HYPERLINK("https%3A%2F%2Fwww.webofscience.com%2Fwos%2Fwoscc%2Ffull-record%2FWOS:000425943100087","View Full Record in Web of Science")</f>
        <v>View Full Record in Web of Science</v>
      </c>
    </row>
    <row r="507" spans="1:79" ht="12.5" x14ac:dyDescent="0.25">
      <c r="B507" t="s">
        <v>8495</v>
      </c>
      <c r="D507" s="7" t="s">
        <v>32933</v>
      </c>
      <c r="E507" s="7"/>
      <c r="F507" s="7"/>
      <c r="G507" s="7"/>
      <c r="H507" t="s">
        <v>67</v>
      </c>
      <c r="I507" t="s">
        <v>1614</v>
      </c>
      <c r="J507" t="s">
        <v>69</v>
      </c>
      <c r="K507" t="s">
        <v>69</v>
      </c>
      <c r="L507" t="s">
        <v>69</v>
      </c>
      <c r="M507" t="s">
        <v>1615</v>
      </c>
      <c r="N507" t="s">
        <v>69</v>
      </c>
      <c r="O507" t="s">
        <v>69</v>
      </c>
      <c r="P507" t="s">
        <v>1616</v>
      </c>
      <c r="Q507" t="s">
        <v>1467</v>
      </c>
      <c r="R507" t="s">
        <v>69</v>
      </c>
      <c r="S507" t="s">
        <v>69</v>
      </c>
      <c r="T507" t="s">
        <v>8505</v>
      </c>
      <c r="U507" t="s">
        <v>8506</v>
      </c>
      <c r="V507" t="s">
        <v>69</v>
      </c>
      <c r="W507" t="s">
        <v>69</v>
      </c>
      <c r="X507" t="s">
        <v>69</v>
      </c>
      <c r="Y507" t="s">
        <v>69</v>
      </c>
      <c r="Z507" t="s">
        <v>69</v>
      </c>
      <c r="AA507" t="s">
        <v>69</v>
      </c>
      <c r="AB507" t="s">
        <v>30156</v>
      </c>
      <c r="AC507" t="s">
        <v>1617</v>
      </c>
      <c r="AD507" t="s">
        <v>30157</v>
      </c>
      <c r="AE507" t="s">
        <v>69</v>
      </c>
      <c r="AF507" t="s">
        <v>30158</v>
      </c>
      <c r="AG507" t="s">
        <v>30159</v>
      </c>
      <c r="AH507" t="s">
        <v>69</v>
      </c>
      <c r="AI507" t="s">
        <v>1618</v>
      </c>
      <c r="AJ507" t="s">
        <v>69</v>
      </c>
      <c r="AK507" t="s">
        <v>69</v>
      </c>
      <c r="AL507" t="s">
        <v>69</v>
      </c>
      <c r="AM507" t="s">
        <v>69</v>
      </c>
      <c r="AN507">
        <v>77</v>
      </c>
      <c r="AO507">
        <v>12</v>
      </c>
      <c r="AP507">
        <v>12</v>
      </c>
      <c r="AQ507">
        <v>1</v>
      </c>
      <c r="AR507">
        <v>3</v>
      </c>
      <c r="AS507" t="s">
        <v>30160</v>
      </c>
      <c r="AT507" t="s">
        <v>8763</v>
      </c>
      <c r="AU507" t="s">
        <v>30161</v>
      </c>
      <c r="AV507" t="s">
        <v>1469</v>
      </c>
      <c r="AW507" t="s">
        <v>69</v>
      </c>
      <c r="AX507" t="s">
        <v>69</v>
      </c>
      <c r="AY507" t="s">
        <v>22443</v>
      </c>
      <c r="AZ507" t="s">
        <v>22444</v>
      </c>
      <c r="BA507" t="s">
        <v>201</v>
      </c>
      <c r="BB507">
        <v>2006</v>
      </c>
      <c r="BC507">
        <v>24</v>
      </c>
      <c r="BD507">
        <v>4</v>
      </c>
      <c r="BE507" t="s">
        <v>69</v>
      </c>
      <c r="BF507" t="s">
        <v>69</v>
      </c>
      <c r="BG507" t="s">
        <v>69</v>
      </c>
      <c r="BH507" t="s">
        <v>69</v>
      </c>
      <c r="BI507">
        <v>575</v>
      </c>
      <c r="BJ507">
        <v>596</v>
      </c>
      <c r="BK507" t="s">
        <v>69</v>
      </c>
      <c r="BL507" t="s">
        <v>1619</v>
      </c>
      <c r="BM507" t="str">
        <f>HYPERLINK("http://dx.doi.org/10.1068/c0567","http://dx.doi.org/10.1068/c0567")</f>
        <v>http://dx.doi.org/10.1068/c0567</v>
      </c>
      <c r="BN507" t="s">
        <v>69</v>
      </c>
      <c r="BO507" t="s">
        <v>69</v>
      </c>
      <c r="BP507">
        <v>22</v>
      </c>
      <c r="BQ507" t="s">
        <v>22445</v>
      </c>
      <c r="BR507" t="s">
        <v>8661</v>
      </c>
      <c r="BS507" t="s">
        <v>15243</v>
      </c>
      <c r="BT507" t="s">
        <v>30162</v>
      </c>
      <c r="BU507" t="s">
        <v>1620</v>
      </c>
      <c r="BV507" t="s">
        <v>69</v>
      </c>
      <c r="BW507" t="s">
        <v>69</v>
      </c>
      <c r="BX507" t="s">
        <v>69</v>
      </c>
      <c r="BY507" t="s">
        <v>69</v>
      </c>
      <c r="BZ507" t="s">
        <v>8526</v>
      </c>
      <c r="CA507" t="str">
        <f>HYPERLINK("https%3A%2F%2Fwww.webofscience.com%2Fwos%2Fwoscc%2Ffull-record%2FWOS:000240160300006","View Full Record in Web of Science")</f>
        <v>View Full Record in Web of Science</v>
      </c>
    </row>
    <row r="508" spans="1:79" ht="12.5" x14ac:dyDescent="0.25">
      <c r="B508" t="s">
        <v>8495</v>
      </c>
      <c r="D508" s="22" t="s">
        <v>32931</v>
      </c>
      <c r="E508" s="7"/>
      <c r="F508" s="7"/>
      <c r="G508" s="7"/>
      <c r="H508" t="s">
        <v>67</v>
      </c>
      <c r="I508" t="s">
        <v>14729</v>
      </c>
      <c r="J508" t="s">
        <v>69</v>
      </c>
      <c r="K508" t="s">
        <v>69</v>
      </c>
      <c r="L508" t="s">
        <v>69</v>
      </c>
      <c r="M508" t="s">
        <v>14730</v>
      </c>
      <c r="N508" t="s">
        <v>69</v>
      </c>
      <c r="O508" t="s">
        <v>69</v>
      </c>
      <c r="P508" t="s">
        <v>14731</v>
      </c>
      <c r="Q508" t="s">
        <v>14732</v>
      </c>
      <c r="R508" t="s">
        <v>69</v>
      </c>
      <c r="S508" t="s">
        <v>69</v>
      </c>
      <c r="T508" t="s">
        <v>8505</v>
      </c>
      <c r="U508" t="s">
        <v>8506</v>
      </c>
      <c r="V508" t="s">
        <v>69</v>
      </c>
      <c r="W508" t="s">
        <v>69</v>
      </c>
      <c r="X508" t="s">
        <v>69</v>
      </c>
      <c r="Y508" t="s">
        <v>69</v>
      </c>
      <c r="Z508" t="s">
        <v>69</v>
      </c>
      <c r="AA508" t="s">
        <v>14733</v>
      </c>
      <c r="AB508" t="s">
        <v>14734</v>
      </c>
      <c r="AC508" t="s">
        <v>14735</v>
      </c>
      <c r="AD508" t="s">
        <v>14736</v>
      </c>
      <c r="AE508" t="s">
        <v>69</v>
      </c>
      <c r="AF508" t="s">
        <v>14737</v>
      </c>
      <c r="AG508" t="s">
        <v>14738</v>
      </c>
      <c r="AH508" t="s">
        <v>69</v>
      </c>
      <c r="AI508" t="s">
        <v>69</v>
      </c>
      <c r="AJ508" t="s">
        <v>14739</v>
      </c>
      <c r="AK508" t="s">
        <v>14740</v>
      </c>
      <c r="AL508" t="s">
        <v>69</v>
      </c>
      <c r="AM508" t="s">
        <v>69</v>
      </c>
      <c r="AN508">
        <v>62</v>
      </c>
      <c r="AO508">
        <v>0</v>
      </c>
      <c r="AP508">
        <v>0</v>
      </c>
      <c r="AQ508">
        <v>1</v>
      </c>
      <c r="AR508">
        <v>2</v>
      </c>
      <c r="AS508" t="s">
        <v>8846</v>
      </c>
      <c r="AT508" t="s">
        <v>8847</v>
      </c>
      <c r="AU508" t="s">
        <v>8848</v>
      </c>
      <c r="AV508" t="s">
        <v>14741</v>
      </c>
      <c r="AW508" t="s">
        <v>14742</v>
      </c>
      <c r="AX508" t="s">
        <v>69</v>
      </c>
      <c r="AY508" t="s">
        <v>14743</v>
      </c>
      <c r="AZ508" t="s">
        <v>14744</v>
      </c>
      <c r="BA508" t="s">
        <v>201</v>
      </c>
      <c r="BB508">
        <v>2020</v>
      </c>
      <c r="BC508">
        <v>90</v>
      </c>
      <c r="BD508">
        <v>8</v>
      </c>
      <c r="BE508" t="s">
        <v>69</v>
      </c>
      <c r="BF508" t="s">
        <v>69</v>
      </c>
      <c r="BG508" t="s">
        <v>69</v>
      </c>
      <c r="BH508" t="s">
        <v>69</v>
      </c>
      <c r="BI508">
        <v>594</v>
      </c>
      <c r="BJ508">
        <v>603</v>
      </c>
      <c r="BK508" t="s">
        <v>69</v>
      </c>
      <c r="BL508" t="s">
        <v>14745</v>
      </c>
      <c r="BM508" t="str">
        <f>HYPERLINK("http://dx.doi.org/10.1111/josh.12909","http://dx.doi.org/10.1111/josh.12909")</f>
        <v>http://dx.doi.org/10.1111/josh.12909</v>
      </c>
      <c r="BN508" t="s">
        <v>69</v>
      </c>
      <c r="BO508" t="s">
        <v>702</v>
      </c>
      <c r="BP508">
        <v>10</v>
      </c>
      <c r="BQ508" t="s">
        <v>14746</v>
      </c>
      <c r="BR508" t="s">
        <v>8523</v>
      </c>
      <c r="BS508" t="s">
        <v>14747</v>
      </c>
      <c r="BT508" t="s">
        <v>14748</v>
      </c>
      <c r="BU508" t="s">
        <v>14749</v>
      </c>
      <c r="BV508">
        <v>32643214</v>
      </c>
      <c r="BW508" t="s">
        <v>69</v>
      </c>
      <c r="BX508" t="s">
        <v>69</v>
      </c>
      <c r="BY508" t="s">
        <v>69</v>
      </c>
      <c r="BZ508" t="s">
        <v>8526</v>
      </c>
      <c r="CA508" t="str">
        <f>HYPERLINK("https%3A%2F%2Fwww.webofscience.com%2Fwos%2Fwoscc%2Ffull-record%2FWOS:000546353900001","View Full Record in Web of Science")</f>
        <v>View Full Record in Web of Science</v>
      </c>
    </row>
    <row r="509" spans="1:79" ht="12.5" x14ac:dyDescent="0.25">
      <c r="B509" t="s">
        <v>8495</v>
      </c>
      <c r="D509" s="7" t="s">
        <v>32933</v>
      </c>
      <c r="E509" s="7"/>
      <c r="F509" s="7"/>
      <c r="G509" s="7"/>
      <c r="H509" t="s">
        <v>67</v>
      </c>
      <c r="I509" t="s">
        <v>5719</v>
      </c>
      <c r="J509" t="s">
        <v>69</v>
      </c>
      <c r="K509" t="s">
        <v>69</v>
      </c>
      <c r="L509" t="s">
        <v>69</v>
      </c>
      <c r="M509" t="s">
        <v>5720</v>
      </c>
      <c r="N509" t="s">
        <v>69</v>
      </c>
      <c r="O509" t="s">
        <v>69</v>
      </c>
      <c r="P509" t="s">
        <v>5721</v>
      </c>
      <c r="Q509" t="s">
        <v>5722</v>
      </c>
      <c r="R509" t="s">
        <v>69</v>
      </c>
      <c r="S509" t="s">
        <v>69</v>
      </c>
      <c r="T509" t="s">
        <v>10153</v>
      </c>
      <c r="U509" t="s">
        <v>8506</v>
      </c>
      <c r="V509" t="s">
        <v>69</v>
      </c>
      <c r="W509" t="s">
        <v>69</v>
      </c>
      <c r="X509" t="s">
        <v>69</v>
      </c>
      <c r="Y509" t="s">
        <v>69</v>
      </c>
      <c r="Z509" t="s">
        <v>69</v>
      </c>
      <c r="AA509" t="s">
        <v>16188</v>
      </c>
      <c r="AB509" t="s">
        <v>69</v>
      </c>
      <c r="AC509" t="s">
        <v>5723</v>
      </c>
      <c r="AD509" t="s">
        <v>16189</v>
      </c>
      <c r="AE509" t="s">
        <v>69</v>
      </c>
      <c r="AF509" t="s">
        <v>16190</v>
      </c>
      <c r="AG509" t="s">
        <v>16191</v>
      </c>
      <c r="AH509" t="s">
        <v>5724</v>
      </c>
      <c r="AI509" t="s">
        <v>5725</v>
      </c>
      <c r="AJ509" t="s">
        <v>69</v>
      </c>
      <c r="AK509" t="s">
        <v>69</v>
      </c>
      <c r="AL509" t="s">
        <v>69</v>
      </c>
      <c r="AM509" t="s">
        <v>69</v>
      </c>
      <c r="AN509">
        <v>40</v>
      </c>
      <c r="AO509">
        <v>1</v>
      </c>
      <c r="AP509">
        <v>1</v>
      </c>
      <c r="AQ509">
        <v>0</v>
      </c>
      <c r="AR509">
        <v>2</v>
      </c>
      <c r="AS509" t="s">
        <v>16192</v>
      </c>
      <c r="AT509" t="s">
        <v>16193</v>
      </c>
      <c r="AU509" t="s">
        <v>16194</v>
      </c>
      <c r="AV509" t="s">
        <v>5726</v>
      </c>
      <c r="AW509" t="s">
        <v>5727</v>
      </c>
      <c r="AX509" t="s">
        <v>69</v>
      </c>
      <c r="AY509" t="s">
        <v>16195</v>
      </c>
      <c r="AZ509" t="s">
        <v>16196</v>
      </c>
      <c r="BA509" t="s">
        <v>602</v>
      </c>
      <c r="BB509">
        <v>2020</v>
      </c>
      <c r="BC509">
        <v>20</v>
      </c>
      <c r="BD509">
        <v>79</v>
      </c>
      <c r="BE509" t="s">
        <v>69</v>
      </c>
      <c r="BF509" t="s">
        <v>69</v>
      </c>
      <c r="BG509" t="s">
        <v>69</v>
      </c>
      <c r="BH509" t="s">
        <v>69</v>
      </c>
      <c r="BI509">
        <v>233</v>
      </c>
      <c r="BJ509">
        <v>257</v>
      </c>
      <c r="BK509" t="s">
        <v>69</v>
      </c>
      <c r="BL509" t="s">
        <v>5728</v>
      </c>
      <c r="BM509" t="str">
        <f>HYPERLINK("http://dx.doi.org/10.21056/aec.v20i79.1221","http://dx.doi.org/10.21056/aec.v20i79.1221")</f>
        <v>http://dx.doi.org/10.21056/aec.v20i79.1221</v>
      </c>
      <c r="BN509" t="s">
        <v>69</v>
      </c>
      <c r="BO509" t="s">
        <v>69</v>
      </c>
      <c r="BP509">
        <v>25</v>
      </c>
      <c r="BQ509" t="s">
        <v>8452</v>
      </c>
      <c r="BR509" t="s">
        <v>8573</v>
      </c>
      <c r="BS509" t="s">
        <v>10084</v>
      </c>
      <c r="BT509" t="s">
        <v>16197</v>
      </c>
      <c r="BU509" t="s">
        <v>5729</v>
      </c>
      <c r="BV509" t="s">
        <v>69</v>
      </c>
      <c r="BW509" t="s">
        <v>8931</v>
      </c>
      <c r="BX509" t="s">
        <v>69</v>
      </c>
      <c r="BY509" t="s">
        <v>69</v>
      </c>
      <c r="BZ509" t="s">
        <v>8526</v>
      </c>
      <c r="CA509" t="str">
        <f>HYPERLINK("https%3A%2F%2Fwww.webofscience.com%2Fwos%2Fwoscc%2Ffull-record%2FWOS:000540034900008","View Full Record in Web of Science")</f>
        <v>View Full Record in Web of Science</v>
      </c>
    </row>
    <row r="510" spans="1:79" ht="12.5" x14ac:dyDescent="0.25">
      <c r="B510" t="s">
        <v>8495</v>
      </c>
      <c r="D510" s="7" t="s">
        <v>32933</v>
      </c>
      <c r="E510" s="7"/>
      <c r="F510" s="7"/>
      <c r="G510" s="7"/>
      <c r="H510" t="s">
        <v>67</v>
      </c>
      <c r="I510" t="s">
        <v>5127</v>
      </c>
      <c r="J510" t="s">
        <v>69</v>
      </c>
      <c r="K510" t="s">
        <v>69</v>
      </c>
      <c r="L510" t="s">
        <v>69</v>
      </c>
      <c r="M510" t="s">
        <v>5127</v>
      </c>
      <c r="N510" t="s">
        <v>69</v>
      </c>
      <c r="O510" t="s">
        <v>69</v>
      </c>
      <c r="P510" t="s">
        <v>5128</v>
      </c>
      <c r="Q510" t="s">
        <v>5129</v>
      </c>
      <c r="R510" t="s">
        <v>69</v>
      </c>
      <c r="S510" t="s">
        <v>69</v>
      </c>
      <c r="T510" t="s">
        <v>8505</v>
      </c>
      <c r="U510" t="s">
        <v>8506</v>
      </c>
      <c r="V510" t="s">
        <v>69</v>
      </c>
      <c r="W510" t="s">
        <v>69</v>
      </c>
      <c r="X510" t="s">
        <v>69</v>
      </c>
      <c r="Y510" t="s">
        <v>69</v>
      </c>
      <c r="Z510" t="s">
        <v>69</v>
      </c>
      <c r="AA510" t="s">
        <v>69</v>
      </c>
      <c r="AB510" t="s">
        <v>69</v>
      </c>
      <c r="AC510" t="s">
        <v>5130</v>
      </c>
      <c r="AD510" t="s">
        <v>31566</v>
      </c>
      <c r="AE510" t="s">
        <v>69</v>
      </c>
      <c r="AF510" t="s">
        <v>31567</v>
      </c>
      <c r="AG510" t="s">
        <v>69</v>
      </c>
      <c r="AH510" t="s">
        <v>69</v>
      </c>
      <c r="AI510" t="s">
        <v>69</v>
      </c>
      <c r="AJ510" t="s">
        <v>69</v>
      </c>
      <c r="AK510" t="s">
        <v>69</v>
      </c>
      <c r="AL510" t="s">
        <v>69</v>
      </c>
      <c r="AM510" t="s">
        <v>69</v>
      </c>
      <c r="AN510">
        <v>31</v>
      </c>
      <c r="AO510">
        <v>3</v>
      </c>
      <c r="AP510">
        <v>3</v>
      </c>
      <c r="AQ510">
        <v>0</v>
      </c>
      <c r="AR510">
        <v>1</v>
      </c>
      <c r="AS510" t="s">
        <v>31568</v>
      </c>
      <c r="AT510" t="s">
        <v>16417</v>
      </c>
      <c r="AU510" t="s">
        <v>31569</v>
      </c>
      <c r="AV510" t="s">
        <v>5131</v>
      </c>
      <c r="AW510" t="s">
        <v>69</v>
      </c>
      <c r="AX510" t="s">
        <v>69</v>
      </c>
      <c r="AY510" t="s">
        <v>30633</v>
      </c>
      <c r="AZ510" t="s">
        <v>30634</v>
      </c>
      <c r="BA510" t="s">
        <v>255</v>
      </c>
      <c r="BB510">
        <v>2001</v>
      </c>
      <c r="BC510">
        <v>17</v>
      </c>
      <c r="BD510">
        <v>3</v>
      </c>
      <c r="BE510" t="s">
        <v>69</v>
      </c>
      <c r="BF510" t="s">
        <v>69</v>
      </c>
      <c r="BG510" t="s">
        <v>69</v>
      </c>
      <c r="BH510" t="s">
        <v>69</v>
      </c>
      <c r="BI510">
        <v>303</v>
      </c>
      <c r="BJ510">
        <v>314</v>
      </c>
      <c r="BK510" t="s">
        <v>69</v>
      </c>
      <c r="BL510" t="s">
        <v>5132</v>
      </c>
      <c r="BM510" t="str">
        <f>HYPERLINK("http://dx.doi.org/10.1080/07900620120065093","http://dx.doi.org/10.1080/07900620120065093")</f>
        <v>http://dx.doi.org/10.1080/07900620120065093</v>
      </c>
      <c r="BN510" t="s">
        <v>69</v>
      </c>
      <c r="BO510" t="s">
        <v>69</v>
      </c>
      <c r="BP510">
        <v>12</v>
      </c>
      <c r="BQ510" t="s">
        <v>9096</v>
      </c>
      <c r="BR510" t="s">
        <v>8548</v>
      </c>
      <c r="BS510" t="s">
        <v>9096</v>
      </c>
      <c r="BT510" t="s">
        <v>31570</v>
      </c>
      <c r="BU510" t="s">
        <v>5133</v>
      </c>
      <c r="BV510" t="s">
        <v>69</v>
      </c>
      <c r="BW510" t="s">
        <v>69</v>
      </c>
      <c r="BX510" t="s">
        <v>69</v>
      </c>
      <c r="BY510" t="s">
        <v>69</v>
      </c>
      <c r="BZ510" t="s">
        <v>8526</v>
      </c>
      <c r="CA510" t="str">
        <f>HYPERLINK("https%3A%2F%2Fwww.webofscience.com%2Fwos%2Fwoscc%2Ffull-record%2FWOS:000174290600003","View Full Record in Web of Science")</f>
        <v>View Full Record in Web of Science</v>
      </c>
    </row>
    <row r="511" spans="1:79" x14ac:dyDescent="0.3">
      <c r="B511" t="s">
        <v>8495</v>
      </c>
      <c r="D511" s="9" t="s">
        <v>32972</v>
      </c>
      <c r="G511" s="9" t="s">
        <v>33053</v>
      </c>
      <c r="H511" t="s">
        <v>67</v>
      </c>
      <c r="I511" t="s">
        <v>29155</v>
      </c>
      <c r="J511" t="s">
        <v>69</v>
      </c>
      <c r="K511" t="s">
        <v>69</v>
      </c>
      <c r="L511" t="s">
        <v>69</v>
      </c>
      <c r="M511" t="s">
        <v>29156</v>
      </c>
      <c r="N511" t="s">
        <v>69</v>
      </c>
      <c r="O511" t="s">
        <v>69</v>
      </c>
      <c r="P511" t="s">
        <v>29157</v>
      </c>
      <c r="Q511" t="s">
        <v>29158</v>
      </c>
      <c r="R511" t="s">
        <v>69</v>
      </c>
      <c r="S511" t="s">
        <v>69</v>
      </c>
      <c r="T511" t="s">
        <v>8505</v>
      </c>
      <c r="U511" t="s">
        <v>8506</v>
      </c>
      <c r="V511" t="s">
        <v>69</v>
      </c>
      <c r="W511" t="s">
        <v>69</v>
      </c>
      <c r="X511" t="s">
        <v>69</v>
      </c>
      <c r="Y511" t="s">
        <v>69</v>
      </c>
      <c r="Z511" t="s">
        <v>69</v>
      </c>
      <c r="AA511" t="s">
        <v>29159</v>
      </c>
      <c r="AB511" t="s">
        <v>69</v>
      </c>
      <c r="AC511" t="s">
        <v>29160</v>
      </c>
      <c r="AD511" t="s">
        <v>29161</v>
      </c>
      <c r="AE511" t="s">
        <v>69</v>
      </c>
      <c r="AF511" t="s">
        <v>29162</v>
      </c>
      <c r="AG511" t="s">
        <v>29163</v>
      </c>
      <c r="AH511" t="s">
        <v>69</v>
      </c>
      <c r="AI511" t="s">
        <v>69</v>
      </c>
      <c r="AJ511" t="s">
        <v>69</v>
      </c>
      <c r="AK511" t="s">
        <v>69</v>
      </c>
      <c r="AL511" t="s">
        <v>69</v>
      </c>
      <c r="AM511" t="s">
        <v>69</v>
      </c>
      <c r="AN511">
        <v>3</v>
      </c>
      <c r="AO511">
        <v>0</v>
      </c>
      <c r="AP511">
        <v>0</v>
      </c>
      <c r="AQ511">
        <v>0</v>
      </c>
      <c r="AR511">
        <v>3</v>
      </c>
      <c r="AS511" t="s">
        <v>29164</v>
      </c>
      <c r="AT511" t="s">
        <v>29165</v>
      </c>
      <c r="AU511" t="s">
        <v>29166</v>
      </c>
      <c r="AV511" t="s">
        <v>29167</v>
      </c>
      <c r="AW511" t="s">
        <v>69</v>
      </c>
      <c r="AX511" t="s">
        <v>69</v>
      </c>
      <c r="AY511" t="s">
        <v>29168</v>
      </c>
      <c r="AZ511" t="s">
        <v>29169</v>
      </c>
      <c r="BA511" t="s">
        <v>201</v>
      </c>
      <c r="BB511">
        <v>2008</v>
      </c>
      <c r="BC511">
        <v>14</v>
      </c>
      <c r="BD511">
        <v>3</v>
      </c>
      <c r="BE511" t="s">
        <v>69</v>
      </c>
      <c r="BF511" t="s">
        <v>69</v>
      </c>
      <c r="BG511" t="s">
        <v>69</v>
      </c>
      <c r="BH511" t="s">
        <v>69</v>
      </c>
      <c r="BI511">
        <v>231</v>
      </c>
      <c r="BJ511">
        <v>235</v>
      </c>
      <c r="BK511" t="s">
        <v>69</v>
      </c>
      <c r="BL511" t="s">
        <v>29170</v>
      </c>
      <c r="BM511" t="str">
        <f>HYPERLINK("http://dx.doi.org/10.2113/gseegeosci.14.3.231","http://dx.doi.org/10.2113/gseegeosci.14.3.231")</f>
        <v>http://dx.doi.org/10.2113/gseegeosci.14.3.231</v>
      </c>
      <c r="BN511" t="s">
        <v>69</v>
      </c>
      <c r="BO511" t="s">
        <v>69</v>
      </c>
      <c r="BP511">
        <v>5</v>
      </c>
      <c r="BQ511" t="s">
        <v>29171</v>
      </c>
      <c r="BR511" t="s">
        <v>8548</v>
      </c>
      <c r="BS511" t="s">
        <v>29172</v>
      </c>
      <c r="BT511" t="s">
        <v>29173</v>
      </c>
      <c r="BU511" t="s">
        <v>29174</v>
      </c>
      <c r="BV511" t="s">
        <v>69</v>
      </c>
      <c r="BW511" t="s">
        <v>69</v>
      </c>
      <c r="BX511" t="s">
        <v>69</v>
      </c>
      <c r="BY511" t="s">
        <v>69</v>
      </c>
      <c r="BZ511" t="s">
        <v>8526</v>
      </c>
      <c r="CA511" t="str">
        <f>HYPERLINK("https%3A%2F%2Fwww.webofscience.com%2Fwos%2Fwoscc%2Ffull-record%2FWOS:000259507200007","View Full Record in Web of Science")</f>
        <v>View Full Record in Web of Science</v>
      </c>
    </row>
    <row r="512" spans="1:79" ht="12.5" x14ac:dyDescent="0.25">
      <c r="B512" t="s">
        <v>8495</v>
      </c>
      <c r="D512" s="7" t="s">
        <v>32933</v>
      </c>
      <c r="E512" s="7"/>
      <c r="F512" s="7"/>
      <c r="G512" s="7"/>
      <c r="H512" t="s">
        <v>67</v>
      </c>
      <c r="I512" t="s">
        <v>952</v>
      </c>
      <c r="J512" t="s">
        <v>69</v>
      </c>
      <c r="K512" t="s">
        <v>69</v>
      </c>
      <c r="L512" t="s">
        <v>69</v>
      </c>
      <c r="M512" t="s">
        <v>953</v>
      </c>
      <c r="N512" t="s">
        <v>69</v>
      </c>
      <c r="O512" t="s">
        <v>69</v>
      </c>
      <c r="P512" t="s">
        <v>954</v>
      </c>
      <c r="Q512" t="s">
        <v>316</v>
      </c>
      <c r="R512" t="s">
        <v>69</v>
      </c>
      <c r="S512" t="s">
        <v>69</v>
      </c>
      <c r="T512" t="s">
        <v>8505</v>
      </c>
      <c r="U512" t="s">
        <v>8506</v>
      </c>
      <c r="V512" t="s">
        <v>69</v>
      </c>
      <c r="W512" t="s">
        <v>69</v>
      </c>
      <c r="X512" t="s">
        <v>69</v>
      </c>
      <c r="Y512" t="s">
        <v>69</v>
      </c>
      <c r="Z512" t="s">
        <v>69</v>
      </c>
      <c r="AA512" t="s">
        <v>17320</v>
      </c>
      <c r="AB512" t="s">
        <v>17321</v>
      </c>
      <c r="AC512" t="s">
        <v>955</v>
      </c>
      <c r="AD512" t="s">
        <v>17322</v>
      </c>
      <c r="AE512" t="s">
        <v>69</v>
      </c>
      <c r="AF512" t="s">
        <v>17323</v>
      </c>
      <c r="AG512" t="s">
        <v>17324</v>
      </c>
      <c r="AH512" t="s">
        <v>17325</v>
      </c>
      <c r="AI512" t="s">
        <v>17326</v>
      </c>
      <c r="AJ512" t="s">
        <v>17327</v>
      </c>
      <c r="AK512" t="s">
        <v>17328</v>
      </c>
      <c r="AL512" t="s">
        <v>17329</v>
      </c>
      <c r="AM512" t="s">
        <v>69</v>
      </c>
      <c r="AN512">
        <v>77</v>
      </c>
      <c r="AO512">
        <v>6</v>
      </c>
      <c r="AP512">
        <v>6</v>
      </c>
      <c r="AQ512">
        <v>1</v>
      </c>
      <c r="AR512">
        <v>19</v>
      </c>
      <c r="AS512" t="s">
        <v>8586</v>
      </c>
      <c r="AT512" t="s">
        <v>8587</v>
      </c>
      <c r="AU512" t="s">
        <v>8588</v>
      </c>
      <c r="AV512" t="s">
        <v>318</v>
      </c>
      <c r="AW512" t="s">
        <v>319</v>
      </c>
      <c r="AX512" t="s">
        <v>69</v>
      </c>
      <c r="AY512" t="s">
        <v>11313</v>
      </c>
      <c r="AZ512" t="s">
        <v>11314</v>
      </c>
      <c r="BA512" t="s">
        <v>956</v>
      </c>
      <c r="BB512">
        <v>2019</v>
      </c>
      <c r="BC512">
        <v>19</v>
      </c>
      <c r="BD512">
        <v>2</v>
      </c>
      <c r="BE512" t="s">
        <v>69</v>
      </c>
      <c r="BF512" t="s">
        <v>69</v>
      </c>
      <c r="BG512" t="s">
        <v>69</v>
      </c>
      <c r="BH512" t="s">
        <v>69</v>
      </c>
      <c r="BI512">
        <v>212</v>
      </c>
      <c r="BJ512">
        <v>235</v>
      </c>
      <c r="BK512" t="s">
        <v>69</v>
      </c>
      <c r="BL512" t="s">
        <v>957</v>
      </c>
      <c r="BM512" t="str">
        <f>HYPERLINK("http://dx.doi.org/10.1108/CI-11-2017-0090","http://dx.doi.org/10.1108/CI-11-2017-0090")</f>
        <v>http://dx.doi.org/10.1108/CI-11-2017-0090</v>
      </c>
      <c r="BN512" t="s">
        <v>69</v>
      </c>
      <c r="BO512" t="s">
        <v>69</v>
      </c>
      <c r="BP512">
        <v>24</v>
      </c>
      <c r="BQ512" t="s">
        <v>10105</v>
      </c>
      <c r="BR512" t="s">
        <v>8573</v>
      </c>
      <c r="BS512" t="s">
        <v>10105</v>
      </c>
      <c r="BT512" t="s">
        <v>17330</v>
      </c>
      <c r="BU512" t="s">
        <v>958</v>
      </c>
      <c r="BV512" t="s">
        <v>69</v>
      </c>
      <c r="BW512" t="s">
        <v>10995</v>
      </c>
      <c r="BX512" t="s">
        <v>69</v>
      </c>
      <c r="BY512" t="s">
        <v>69</v>
      </c>
      <c r="BZ512" t="s">
        <v>8526</v>
      </c>
      <c r="CA512" t="str">
        <f>HYPERLINK("https%3A%2F%2Fwww.webofscience.com%2Fwos%2Fwoscc%2Ffull-record%2FWOS:000464744000005","View Full Record in Web of Science")</f>
        <v>View Full Record in Web of Science</v>
      </c>
    </row>
    <row r="513" spans="2:79" ht="12.5" x14ac:dyDescent="0.25">
      <c r="B513" t="s">
        <v>8495</v>
      </c>
      <c r="D513" s="22" t="s">
        <v>32931</v>
      </c>
      <c r="E513" s="7"/>
      <c r="F513" s="7"/>
      <c r="G513" s="7"/>
      <c r="H513" t="s">
        <v>67</v>
      </c>
      <c r="I513" t="s">
        <v>21575</v>
      </c>
      <c r="J513" t="s">
        <v>69</v>
      </c>
      <c r="K513" t="s">
        <v>69</v>
      </c>
      <c r="L513" t="s">
        <v>69</v>
      </c>
      <c r="M513" t="s">
        <v>21576</v>
      </c>
      <c r="N513" t="s">
        <v>69</v>
      </c>
      <c r="O513" t="s">
        <v>69</v>
      </c>
      <c r="P513" t="s">
        <v>21577</v>
      </c>
      <c r="Q513" t="s">
        <v>21578</v>
      </c>
      <c r="R513" t="s">
        <v>69</v>
      </c>
      <c r="S513" t="s">
        <v>69</v>
      </c>
      <c r="T513" t="s">
        <v>8505</v>
      </c>
      <c r="U513" t="s">
        <v>8506</v>
      </c>
      <c r="V513" t="s">
        <v>69</v>
      </c>
      <c r="W513" t="s">
        <v>69</v>
      </c>
      <c r="X513" t="s">
        <v>69</v>
      </c>
      <c r="Y513" t="s">
        <v>69</v>
      </c>
      <c r="Z513" t="s">
        <v>69</v>
      </c>
      <c r="AA513" t="s">
        <v>69</v>
      </c>
      <c r="AB513" t="s">
        <v>21579</v>
      </c>
      <c r="AC513" t="s">
        <v>21580</v>
      </c>
      <c r="AD513" t="s">
        <v>21581</v>
      </c>
      <c r="AE513" t="s">
        <v>69</v>
      </c>
      <c r="AF513" t="s">
        <v>21582</v>
      </c>
      <c r="AG513" t="s">
        <v>69</v>
      </c>
      <c r="AH513" t="s">
        <v>69</v>
      </c>
      <c r="AI513" t="s">
        <v>69</v>
      </c>
      <c r="AJ513" t="s">
        <v>69</v>
      </c>
      <c r="AK513" t="s">
        <v>69</v>
      </c>
      <c r="AL513" t="s">
        <v>69</v>
      </c>
      <c r="AM513" t="s">
        <v>69</v>
      </c>
      <c r="AN513">
        <v>41</v>
      </c>
      <c r="AO513">
        <v>2</v>
      </c>
      <c r="AP513">
        <v>2</v>
      </c>
      <c r="AQ513">
        <v>0</v>
      </c>
      <c r="AR513">
        <v>7</v>
      </c>
      <c r="AS513" t="s">
        <v>21583</v>
      </c>
      <c r="AT513" t="s">
        <v>8693</v>
      </c>
      <c r="AU513" t="s">
        <v>21584</v>
      </c>
      <c r="AV513" t="s">
        <v>21585</v>
      </c>
      <c r="AW513" t="s">
        <v>21586</v>
      </c>
      <c r="AX513" t="s">
        <v>69</v>
      </c>
      <c r="AY513" t="s">
        <v>21587</v>
      </c>
      <c r="AZ513" t="s">
        <v>21588</v>
      </c>
      <c r="BA513" t="s">
        <v>84</v>
      </c>
      <c r="BB513">
        <v>2016</v>
      </c>
      <c r="BC513">
        <v>118</v>
      </c>
      <c r="BD513">
        <v>7</v>
      </c>
      <c r="BE513" t="s">
        <v>69</v>
      </c>
      <c r="BF513" t="s">
        <v>69</v>
      </c>
      <c r="BG513" t="s">
        <v>69</v>
      </c>
      <c r="BH513" t="s">
        <v>69</v>
      </c>
      <c r="BI513" t="s">
        <v>69</v>
      </c>
      <c r="BJ513" t="s">
        <v>69</v>
      </c>
      <c r="BK513">
        <v>70302</v>
      </c>
      <c r="BL513" t="s">
        <v>69</v>
      </c>
      <c r="BM513" t="s">
        <v>69</v>
      </c>
      <c r="BN513" t="s">
        <v>69</v>
      </c>
      <c r="BO513" t="s">
        <v>69</v>
      </c>
      <c r="BP513">
        <v>34</v>
      </c>
      <c r="BQ513" t="s">
        <v>9290</v>
      </c>
      <c r="BR513" t="s">
        <v>8661</v>
      </c>
      <c r="BS513" t="s">
        <v>9290</v>
      </c>
      <c r="BT513" t="s">
        <v>21589</v>
      </c>
      <c r="BU513" t="s">
        <v>21590</v>
      </c>
      <c r="BV513" t="s">
        <v>69</v>
      </c>
      <c r="BW513" t="s">
        <v>69</v>
      </c>
      <c r="BX513" t="s">
        <v>69</v>
      </c>
      <c r="BY513" t="s">
        <v>69</v>
      </c>
      <c r="BZ513" t="s">
        <v>8526</v>
      </c>
      <c r="CA513" t="str">
        <f>HYPERLINK("https%3A%2F%2Fwww.webofscience.com%2Fwos%2Fwoscc%2Ffull-record%2FWOS:000412869400002","View Full Record in Web of Science")</f>
        <v>View Full Record in Web of Science</v>
      </c>
    </row>
    <row r="514" spans="2:79" ht="12.5" x14ac:dyDescent="0.25">
      <c r="B514" t="s">
        <v>8495</v>
      </c>
      <c r="D514" s="7" t="s">
        <v>32933</v>
      </c>
      <c r="E514" s="7"/>
      <c r="F514" s="7"/>
      <c r="G514" s="7"/>
      <c r="H514" t="s">
        <v>67</v>
      </c>
      <c r="I514" t="s">
        <v>6293</v>
      </c>
      <c r="J514" t="s">
        <v>69</v>
      </c>
      <c r="K514" t="s">
        <v>69</v>
      </c>
      <c r="L514" t="s">
        <v>69</v>
      </c>
      <c r="M514" t="s">
        <v>6294</v>
      </c>
      <c r="N514" t="s">
        <v>69</v>
      </c>
      <c r="O514" t="s">
        <v>69</v>
      </c>
      <c r="P514" t="s">
        <v>6295</v>
      </c>
      <c r="Q514" t="s">
        <v>436</v>
      </c>
      <c r="R514" t="s">
        <v>69</v>
      </c>
      <c r="S514" t="s">
        <v>69</v>
      </c>
      <c r="T514" t="s">
        <v>8505</v>
      </c>
      <c r="U514" t="s">
        <v>8442</v>
      </c>
      <c r="V514" t="s">
        <v>69</v>
      </c>
      <c r="W514" t="s">
        <v>69</v>
      </c>
      <c r="X514" t="s">
        <v>69</v>
      </c>
      <c r="Y514" t="s">
        <v>69</v>
      </c>
      <c r="Z514" t="s">
        <v>69</v>
      </c>
      <c r="AA514" t="s">
        <v>15957</v>
      </c>
      <c r="AB514" t="s">
        <v>15958</v>
      </c>
      <c r="AC514" t="s">
        <v>6296</v>
      </c>
      <c r="AD514" t="s">
        <v>15959</v>
      </c>
      <c r="AE514" t="s">
        <v>69</v>
      </c>
      <c r="AF514" t="s">
        <v>15960</v>
      </c>
      <c r="AG514" t="s">
        <v>15961</v>
      </c>
      <c r="AH514" t="s">
        <v>15962</v>
      </c>
      <c r="AI514" t="s">
        <v>15963</v>
      </c>
      <c r="AJ514" t="s">
        <v>15964</v>
      </c>
      <c r="AK514" t="s">
        <v>15965</v>
      </c>
      <c r="AL514" t="s">
        <v>15966</v>
      </c>
      <c r="AM514" t="s">
        <v>69</v>
      </c>
      <c r="AN514">
        <v>76</v>
      </c>
      <c r="AO514">
        <v>9</v>
      </c>
      <c r="AP514">
        <v>9</v>
      </c>
      <c r="AQ514">
        <v>2</v>
      </c>
      <c r="AR514">
        <v>15</v>
      </c>
      <c r="AS514" t="s">
        <v>8636</v>
      </c>
      <c r="AT514" t="s">
        <v>8637</v>
      </c>
      <c r="AU514" t="s">
        <v>8638</v>
      </c>
      <c r="AV514" t="s">
        <v>440</v>
      </c>
      <c r="AW514" t="s">
        <v>441</v>
      </c>
      <c r="AX514" t="s">
        <v>69</v>
      </c>
      <c r="AY514" t="s">
        <v>8639</v>
      </c>
      <c r="AZ514" t="s">
        <v>8640</v>
      </c>
      <c r="BA514" t="s">
        <v>6297</v>
      </c>
      <c r="BB514">
        <v>2020</v>
      </c>
      <c r="BC514">
        <v>243</v>
      </c>
      <c r="BD514" t="s">
        <v>69</v>
      </c>
      <c r="BE514" t="s">
        <v>69</v>
      </c>
      <c r="BF514" t="s">
        <v>69</v>
      </c>
      <c r="BG514" t="s">
        <v>69</v>
      </c>
      <c r="BH514" t="s">
        <v>69</v>
      </c>
      <c r="BI514" t="s">
        <v>69</v>
      </c>
      <c r="BJ514" t="s">
        <v>69</v>
      </c>
      <c r="BK514">
        <v>118602</v>
      </c>
      <c r="BL514" t="s">
        <v>6298</v>
      </c>
      <c r="BM514" t="str">
        <f>HYPERLINK("http://dx.doi.org/10.1016/j.jclepro.2019.118602","http://dx.doi.org/10.1016/j.jclepro.2019.118602")</f>
        <v>http://dx.doi.org/10.1016/j.jclepro.2019.118602</v>
      </c>
      <c r="BN514" t="s">
        <v>69</v>
      </c>
      <c r="BO514" t="s">
        <v>69</v>
      </c>
      <c r="BP514">
        <v>11</v>
      </c>
      <c r="BQ514" t="s">
        <v>8643</v>
      </c>
      <c r="BR514" t="s">
        <v>8523</v>
      </c>
      <c r="BS514" t="s">
        <v>8644</v>
      </c>
      <c r="BT514" t="s">
        <v>15967</v>
      </c>
      <c r="BU514" t="s">
        <v>6299</v>
      </c>
      <c r="BV514" t="s">
        <v>69</v>
      </c>
      <c r="BW514" t="s">
        <v>69</v>
      </c>
      <c r="BX514" t="s">
        <v>69</v>
      </c>
      <c r="BY514" t="s">
        <v>69</v>
      </c>
      <c r="BZ514" t="s">
        <v>8526</v>
      </c>
      <c r="CA514" t="str">
        <f>HYPERLINK("https%3A%2F%2Fwww.webofscience.com%2Fwos%2Fwoscc%2Ffull-record%2FWOS:000498805600036","View Full Record in Web of Science")</f>
        <v>View Full Record in Web of Science</v>
      </c>
    </row>
    <row r="515" spans="2:79" ht="12.5" x14ac:dyDescent="0.25">
      <c r="B515" t="s">
        <v>8495</v>
      </c>
      <c r="D515" s="22" t="s">
        <v>32931</v>
      </c>
      <c r="E515" s="7"/>
      <c r="F515" s="7"/>
      <c r="G515" s="7"/>
      <c r="H515" t="s">
        <v>67</v>
      </c>
      <c r="I515" t="s">
        <v>9948</v>
      </c>
      <c r="J515" t="s">
        <v>69</v>
      </c>
      <c r="K515" t="s">
        <v>69</v>
      </c>
      <c r="L515" t="s">
        <v>69</v>
      </c>
      <c r="M515" t="s">
        <v>9949</v>
      </c>
      <c r="N515" t="s">
        <v>69</v>
      </c>
      <c r="O515" t="s">
        <v>69</v>
      </c>
      <c r="P515" t="s">
        <v>9950</v>
      </c>
      <c r="Q515" t="s">
        <v>9951</v>
      </c>
      <c r="R515" t="s">
        <v>69</v>
      </c>
      <c r="S515" t="s">
        <v>69</v>
      </c>
      <c r="T515" t="s">
        <v>8505</v>
      </c>
      <c r="U515" t="s">
        <v>8506</v>
      </c>
      <c r="V515" t="s">
        <v>69</v>
      </c>
      <c r="W515" t="s">
        <v>69</v>
      </c>
      <c r="X515" t="s">
        <v>69</v>
      </c>
      <c r="Y515" t="s">
        <v>69</v>
      </c>
      <c r="Z515" t="s">
        <v>69</v>
      </c>
      <c r="AA515" t="s">
        <v>9952</v>
      </c>
      <c r="AB515" t="s">
        <v>9953</v>
      </c>
      <c r="AC515" t="s">
        <v>9954</v>
      </c>
      <c r="AD515" t="s">
        <v>9955</v>
      </c>
      <c r="AE515" t="s">
        <v>69</v>
      </c>
      <c r="AF515" t="s">
        <v>9956</v>
      </c>
      <c r="AG515" t="s">
        <v>9957</v>
      </c>
      <c r="AH515" t="s">
        <v>9958</v>
      </c>
      <c r="AI515" t="s">
        <v>9959</v>
      </c>
      <c r="AJ515" t="s">
        <v>69</v>
      </c>
      <c r="AK515" t="s">
        <v>69</v>
      </c>
      <c r="AL515" t="s">
        <v>69</v>
      </c>
      <c r="AM515" t="s">
        <v>69</v>
      </c>
      <c r="AN515">
        <v>148</v>
      </c>
      <c r="AO515">
        <v>4</v>
      </c>
      <c r="AP515">
        <v>4</v>
      </c>
      <c r="AQ515">
        <v>5</v>
      </c>
      <c r="AR515">
        <v>5</v>
      </c>
      <c r="AS515" t="s">
        <v>8636</v>
      </c>
      <c r="AT515" t="s">
        <v>8637</v>
      </c>
      <c r="AU515" t="s">
        <v>8638</v>
      </c>
      <c r="AV515" t="s">
        <v>9960</v>
      </c>
      <c r="AW515" t="s">
        <v>9961</v>
      </c>
      <c r="AX515" t="s">
        <v>69</v>
      </c>
      <c r="AY515" t="s">
        <v>9962</v>
      </c>
      <c r="AZ515" t="s">
        <v>9963</v>
      </c>
      <c r="BA515" t="s">
        <v>191</v>
      </c>
      <c r="BB515">
        <v>2022</v>
      </c>
      <c r="BC515">
        <v>40</v>
      </c>
      <c r="BD515">
        <v>1</v>
      </c>
      <c r="BE515" t="s">
        <v>69</v>
      </c>
      <c r="BF515" t="s">
        <v>69</v>
      </c>
      <c r="BG515" t="s">
        <v>69</v>
      </c>
      <c r="BH515" t="s">
        <v>69</v>
      </c>
      <c r="BI515">
        <v>103</v>
      </c>
      <c r="BJ515">
        <v>126</v>
      </c>
      <c r="BK515" t="s">
        <v>69</v>
      </c>
      <c r="BL515" t="s">
        <v>9964</v>
      </c>
      <c r="BM515" t="str">
        <f>HYPERLINK("http://dx.doi.org/10.1016/j.emj.2021.03.003","http://dx.doi.org/10.1016/j.emj.2021.03.003")</f>
        <v>http://dx.doi.org/10.1016/j.emj.2021.03.003</v>
      </c>
      <c r="BN515" t="s">
        <v>69</v>
      </c>
      <c r="BO515" t="s">
        <v>69</v>
      </c>
      <c r="BP515">
        <v>24</v>
      </c>
      <c r="BQ515" t="s">
        <v>8791</v>
      </c>
      <c r="BR515" t="s">
        <v>8661</v>
      </c>
      <c r="BS515" t="s">
        <v>8594</v>
      </c>
      <c r="BT515" t="s">
        <v>9965</v>
      </c>
      <c r="BU515" t="s">
        <v>9966</v>
      </c>
      <c r="BV515" t="s">
        <v>69</v>
      </c>
      <c r="BW515" t="s">
        <v>69</v>
      </c>
      <c r="BX515" t="s">
        <v>69</v>
      </c>
      <c r="BY515" t="s">
        <v>69</v>
      </c>
      <c r="BZ515" t="s">
        <v>8526</v>
      </c>
      <c r="CA515" t="str">
        <f>HYPERLINK("https%3A%2F%2Fwww.webofscience.com%2Fwos%2Fwoscc%2Ffull-record%2FWOS:000755762000009","View Full Record in Web of Science")</f>
        <v>View Full Record in Web of Science</v>
      </c>
    </row>
    <row r="516" spans="2:79" ht="12.5" x14ac:dyDescent="0.25">
      <c r="B516" t="s">
        <v>8495</v>
      </c>
      <c r="D516" s="22" t="s">
        <v>32931</v>
      </c>
      <c r="E516" s="7"/>
      <c r="F516" s="7"/>
      <c r="G516" s="7"/>
      <c r="H516" t="s">
        <v>67</v>
      </c>
      <c r="I516" t="s">
        <v>32417</v>
      </c>
      <c r="J516" t="s">
        <v>69</v>
      </c>
      <c r="K516" t="s">
        <v>69</v>
      </c>
      <c r="L516" t="s">
        <v>69</v>
      </c>
      <c r="M516" t="s">
        <v>32417</v>
      </c>
      <c r="N516" t="s">
        <v>69</v>
      </c>
      <c r="O516" t="s">
        <v>69</v>
      </c>
      <c r="P516" t="s">
        <v>32418</v>
      </c>
      <c r="Q516" t="s">
        <v>32419</v>
      </c>
      <c r="R516" t="s">
        <v>69</v>
      </c>
      <c r="S516" t="s">
        <v>69</v>
      </c>
      <c r="T516" t="s">
        <v>8505</v>
      </c>
      <c r="U516" t="s">
        <v>8506</v>
      </c>
      <c r="V516" t="s">
        <v>69</v>
      </c>
      <c r="W516" t="s">
        <v>69</v>
      </c>
      <c r="X516" t="s">
        <v>69</v>
      </c>
      <c r="Y516" t="s">
        <v>69</v>
      </c>
      <c r="Z516" t="s">
        <v>69</v>
      </c>
      <c r="AA516" t="s">
        <v>69</v>
      </c>
      <c r="AB516" t="s">
        <v>69</v>
      </c>
      <c r="AC516" t="s">
        <v>32420</v>
      </c>
      <c r="AD516" t="s">
        <v>69</v>
      </c>
      <c r="AE516" t="s">
        <v>69</v>
      </c>
      <c r="AF516" t="s">
        <v>32421</v>
      </c>
      <c r="AG516" t="s">
        <v>69</v>
      </c>
      <c r="AH516" t="s">
        <v>69</v>
      </c>
      <c r="AI516" t="s">
        <v>32422</v>
      </c>
      <c r="AJ516" t="s">
        <v>69</v>
      </c>
      <c r="AK516" t="s">
        <v>69</v>
      </c>
      <c r="AL516" t="s">
        <v>69</v>
      </c>
      <c r="AM516" t="s">
        <v>69</v>
      </c>
      <c r="AN516">
        <v>11</v>
      </c>
      <c r="AO516">
        <v>4</v>
      </c>
      <c r="AP516">
        <v>4</v>
      </c>
      <c r="AQ516">
        <v>0</v>
      </c>
      <c r="AR516">
        <v>0</v>
      </c>
      <c r="AS516" t="s">
        <v>32423</v>
      </c>
      <c r="AT516" t="s">
        <v>15901</v>
      </c>
      <c r="AU516" t="s">
        <v>32424</v>
      </c>
      <c r="AV516" t="s">
        <v>32425</v>
      </c>
      <c r="AW516" t="s">
        <v>69</v>
      </c>
      <c r="AX516" t="s">
        <v>69</v>
      </c>
      <c r="AY516" t="s">
        <v>32426</v>
      </c>
      <c r="AZ516" t="s">
        <v>32427</v>
      </c>
      <c r="BA516" t="s">
        <v>255</v>
      </c>
      <c r="BB516">
        <v>1996</v>
      </c>
      <c r="BC516">
        <v>131</v>
      </c>
      <c r="BD516">
        <v>9</v>
      </c>
      <c r="BE516" t="s">
        <v>69</v>
      </c>
      <c r="BF516" t="s">
        <v>69</v>
      </c>
      <c r="BG516" t="s">
        <v>69</v>
      </c>
      <c r="BH516" t="s">
        <v>69</v>
      </c>
      <c r="BI516">
        <v>990</v>
      </c>
      <c r="BJ516">
        <v>993</v>
      </c>
      <c r="BK516" t="s">
        <v>69</v>
      </c>
      <c r="BL516" t="s">
        <v>69</v>
      </c>
      <c r="BM516" t="s">
        <v>69</v>
      </c>
      <c r="BN516" t="s">
        <v>69</v>
      </c>
      <c r="BO516" t="s">
        <v>69</v>
      </c>
      <c r="BP516">
        <v>4</v>
      </c>
      <c r="BQ516" t="s">
        <v>11956</v>
      </c>
      <c r="BR516" t="s">
        <v>8548</v>
      </c>
      <c r="BS516" t="s">
        <v>11956</v>
      </c>
      <c r="BT516" t="s">
        <v>32428</v>
      </c>
      <c r="BU516" t="s">
        <v>32429</v>
      </c>
      <c r="BV516">
        <v>8790171</v>
      </c>
      <c r="BW516" t="s">
        <v>69</v>
      </c>
      <c r="BX516" t="s">
        <v>69</v>
      </c>
      <c r="BY516" t="s">
        <v>69</v>
      </c>
      <c r="BZ516" t="s">
        <v>8526</v>
      </c>
      <c r="CA516" t="str">
        <f>HYPERLINK("https%3A%2F%2Fwww.webofscience.com%2Fwos%2Fwoscc%2Ffull-record%2FWOS:A1996VF46900026","View Full Record in Web of Science")</f>
        <v>View Full Record in Web of Science</v>
      </c>
    </row>
    <row r="517" spans="2:79" ht="12.5" x14ac:dyDescent="0.25">
      <c r="B517" t="s">
        <v>8495</v>
      </c>
      <c r="D517" s="22" t="s">
        <v>32931</v>
      </c>
      <c r="E517" s="7"/>
      <c r="F517" s="7"/>
      <c r="G517" s="7"/>
      <c r="H517" t="s">
        <v>67</v>
      </c>
      <c r="I517" t="s">
        <v>9058</v>
      </c>
      <c r="J517" t="s">
        <v>69</v>
      </c>
      <c r="K517" t="s">
        <v>69</v>
      </c>
      <c r="L517" t="s">
        <v>69</v>
      </c>
      <c r="M517" t="s">
        <v>9059</v>
      </c>
      <c r="N517" t="s">
        <v>69</v>
      </c>
      <c r="O517" t="s">
        <v>69</v>
      </c>
      <c r="P517" t="s">
        <v>9060</v>
      </c>
      <c r="Q517" t="s">
        <v>9061</v>
      </c>
      <c r="R517" t="s">
        <v>69</v>
      </c>
      <c r="S517" t="s">
        <v>69</v>
      </c>
      <c r="T517" t="s">
        <v>8505</v>
      </c>
      <c r="U517" t="s">
        <v>8556</v>
      </c>
      <c r="V517" t="s">
        <v>69</v>
      </c>
      <c r="W517" t="s">
        <v>69</v>
      </c>
      <c r="X517" t="s">
        <v>69</v>
      </c>
      <c r="Y517" t="s">
        <v>69</v>
      </c>
      <c r="Z517" t="s">
        <v>69</v>
      </c>
      <c r="AA517" t="s">
        <v>9062</v>
      </c>
      <c r="AB517" t="s">
        <v>9063</v>
      </c>
      <c r="AC517" t="s">
        <v>9064</v>
      </c>
      <c r="AD517" t="s">
        <v>9065</v>
      </c>
      <c r="AE517" t="s">
        <v>69</v>
      </c>
      <c r="AF517" t="s">
        <v>9066</v>
      </c>
      <c r="AG517" t="s">
        <v>9067</v>
      </c>
      <c r="AH517" t="s">
        <v>9068</v>
      </c>
      <c r="AI517" t="s">
        <v>9069</v>
      </c>
      <c r="AJ517" t="s">
        <v>9070</v>
      </c>
      <c r="AK517" t="s">
        <v>9070</v>
      </c>
      <c r="AL517" t="s">
        <v>9071</v>
      </c>
      <c r="AM517" t="s">
        <v>69</v>
      </c>
      <c r="AN517">
        <v>53</v>
      </c>
      <c r="AO517">
        <v>0</v>
      </c>
      <c r="AP517">
        <v>0</v>
      </c>
      <c r="AQ517">
        <v>0</v>
      </c>
      <c r="AR517">
        <v>0</v>
      </c>
      <c r="AS517" t="s">
        <v>9047</v>
      </c>
      <c r="AT517" t="s">
        <v>9048</v>
      </c>
      <c r="AU517" t="s">
        <v>9049</v>
      </c>
      <c r="AV517" t="s">
        <v>9072</v>
      </c>
      <c r="AW517" t="s">
        <v>9073</v>
      </c>
      <c r="AX517" t="s">
        <v>69</v>
      </c>
      <c r="AY517" t="s">
        <v>9074</v>
      </c>
      <c r="AZ517" t="s">
        <v>9075</v>
      </c>
      <c r="BA517" t="s">
        <v>69</v>
      </c>
      <c r="BB517" t="s">
        <v>69</v>
      </c>
      <c r="BC517" t="s">
        <v>69</v>
      </c>
      <c r="BD517" t="s">
        <v>69</v>
      </c>
      <c r="BE517" t="s">
        <v>69</v>
      </c>
      <c r="BF517" t="s">
        <v>69</v>
      </c>
      <c r="BG517" t="s">
        <v>69</v>
      </c>
      <c r="BH517" t="s">
        <v>69</v>
      </c>
      <c r="BI517" t="s">
        <v>69</v>
      </c>
      <c r="BJ517" t="s">
        <v>69</v>
      </c>
      <c r="BK517" t="s">
        <v>69</v>
      </c>
      <c r="BL517" t="s">
        <v>9076</v>
      </c>
      <c r="BM517" t="str">
        <f>HYPERLINK("http://dx.doi.org/10.1007/s10728-022-00446-4","http://dx.doi.org/10.1007/s10728-022-00446-4")</f>
        <v>http://dx.doi.org/10.1007/s10728-022-00446-4</v>
      </c>
      <c r="BN517" t="s">
        <v>69</v>
      </c>
      <c r="BO517" t="s">
        <v>9025</v>
      </c>
      <c r="BP517">
        <v>25</v>
      </c>
      <c r="BQ517" t="s">
        <v>9077</v>
      </c>
      <c r="BR517" t="s">
        <v>8661</v>
      </c>
      <c r="BS517" t="s">
        <v>9078</v>
      </c>
      <c r="BT517" t="s">
        <v>9079</v>
      </c>
      <c r="BU517" t="s">
        <v>9080</v>
      </c>
      <c r="BV517">
        <v>35562635</v>
      </c>
      <c r="BW517" t="s">
        <v>8622</v>
      </c>
      <c r="BX517" t="s">
        <v>69</v>
      </c>
      <c r="BY517" t="s">
        <v>69</v>
      </c>
      <c r="BZ517" t="s">
        <v>8526</v>
      </c>
      <c r="CA517" t="str">
        <f>HYPERLINK("https%3A%2F%2Fwww.webofscience.com%2Fwos%2Fwoscc%2Ffull-record%2FWOS:000799404400001","View Full Record in Web of Science")</f>
        <v>View Full Record in Web of Science</v>
      </c>
    </row>
    <row r="518" spans="2:79" ht="12.5" x14ac:dyDescent="0.25">
      <c r="B518" t="s">
        <v>8495</v>
      </c>
      <c r="D518" s="22" t="s">
        <v>32931</v>
      </c>
      <c r="E518" s="7"/>
      <c r="F518" s="7"/>
      <c r="G518" s="7"/>
      <c r="H518" t="s">
        <v>67</v>
      </c>
      <c r="I518" t="s">
        <v>20500</v>
      </c>
      <c r="J518" t="s">
        <v>69</v>
      </c>
      <c r="K518" t="s">
        <v>69</v>
      </c>
      <c r="L518" t="s">
        <v>69</v>
      </c>
      <c r="M518" t="s">
        <v>20501</v>
      </c>
      <c r="N518" t="s">
        <v>69</v>
      </c>
      <c r="O518" t="s">
        <v>69</v>
      </c>
      <c r="P518" t="s">
        <v>20502</v>
      </c>
      <c r="Q518" t="s">
        <v>20503</v>
      </c>
      <c r="R518" t="s">
        <v>69</v>
      </c>
      <c r="S518" t="s">
        <v>69</v>
      </c>
      <c r="T518" t="s">
        <v>8505</v>
      </c>
      <c r="U518" t="s">
        <v>8506</v>
      </c>
      <c r="V518" t="s">
        <v>69</v>
      </c>
      <c r="W518" t="s">
        <v>69</v>
      </c>
      <c r="X518" t="s">
        <v>69</v>
      </c>
      <c r="Y518" t="s">
        <v>69</v>
      </c>
      <c r="Z518" t="s">
        <v>69</v>
      </c>
      <c r="AA518" t="s">
        <v>20504</v>
      </c>
      <c r="AB518" t="s">
        <v>20505</v>
      </c>
      <c r="AC518" t="s">
        <v>20506</v>
      </c>
      <c r="AD518" t="s">
        <v>20507</v>
      </c>
      <c r="AE518" t="s">
        <v>69</v>
      </c>
      <c r="AF518" t="s">
        <v>20508</v>
      </c>
      <c r="AG518" t="s">
        <v>20509</v>
      </c>
      <c r="AH518" t="s">
        <v>20510</v>
      </c>
      <c r="AI518" t="s">
        <v>20511</v>
      </c>
      <c r="AJ518" t="s">
        <v>69</v>
      </c>
      <c r="AK518" t="s">
        <v>69</v>
      </c>
      <c r="AL518" t="s">
        <v>69</v>
      </c>
      <c r="AM518" t="s">
        <v>69</v>
      </c>
      <c r="AN518">
        <v>43</v>
      </c>
      <c r="AO518">
        <v>41</v>
      </c>
      <c r="AP518">
        <v>42</v>
      </c>
      <c r="AQ518">
        <v>0</v>
      </c>
      <c r="AR518">
        <v>15</v>
      </c>
      <c r="AS518" t="s">
        <v>8846</v>
      </c>
      <c r="AT518" t="s">
        <v>8847</v>
      </c>
      <c r="AU518" t="s">
        <v>8848</v>
      </c>
      <c r="AV518" t="s">
        <v>20512</v>
      </c>
      <c r="AW518" t="s">
        <v>20513</v>
      </c>
      <c r="AX518" t="s">
        <v>69</v>
      </c>
      <c r="AY518" t="s">
        <v>20514</v>
      </c>
      <c r="AZ518" t="s">
        <v>20515</v>
      </c>
      <c r="BA518" t="s">
        <v>94</v>
      </c>
      <c r="BB518">
        <v>2017</v>
      </c>
      <c r="BC518">
        <v>47</v>
      </c>
      <c r="BD518">
        <v>3</v>
      </c>
      <c r="BE518" t="s">
        <v>69</v>
      </c>
      <c r="BF518" t="s">
        <v>69</v>
      </c>
      <c r="BG518" t="s">
        <v>69</v>
      </c>
      <c r="BH518" t="s">
        <v>69</v>
      </c>
      <c r="BI518">
        <v>291</v>
      </c>
      <c r="BJ518">
        <v>298</v>
      </c>
      <c r="BK518" t="s">
        <v>69</v>
      </c>
      <c r="BL518" t="s">
        <v>20516</v>
      </c>
      <c r="BM518" t="str">
        <f>HYPERLINK("http://dx.doi.org/10.1111/imj.13349","http://dx.doi.org/10.1111/imj.13349")</f>
        <v>http://dx.doi.org/10.1111/imj.13349</v>
      </c>
      <c r="BN518" t="s">
        <v>69</v>
      </c>
      <c r="BO518" t="s">
        <v>69</v>
      </c>
      <c r="BP518">
        <v>8</v>
      </c>
      <c r="BQ518" t="s">
        <v>9450</v>
      </c>
      <c r="BR518" t="s">
        <v>8548</v>
      </c>
      <c r="BS518" t="s">
        <v>9451</v>
      </c>
      <c r="BT518" t="s">
        <v>20517</v>
      </c>
      <c r="BU518" t="s">
        <v>20518</v>
      </c>
      <c r="BV518">
        <v>27925381</v>
      </c>
      <c r="BW518" t="s">
        <v>69</v>
      </c>
      <c r="BX518" t="s">
        <v>69</v>
      </c>
      <c r="BY518" t="s">
        <v>69</v>
      </c>
      <c r="BZ518" t="s">
        <v>8526</v>
      </c>
      <c r="CA518" t="str">
        <f>HYPERLINK("https%3A%2F%2Fwww.webofscience.com%2Fwos%2Fwoscc%2Ffull-record%2FWOS:000399309300010","View Full Record in Web of Science")</f>
        <v>View Full Record in Web of Science</v>
      </c>
    </row>
    <row r="519" spans="2:79" ht="12.5" x14ac:dyDescent="0.25">
      <c r="B519" t="s">
        <v>8495</v>
      </c>
      <c r="D519" s="7" t="s">
        <v>32933</v>
      </c>
      <c r="E519" s="7"/>
      <c r="F519" s="7"/>
      <c r="G519" s="7"/>
      <c r="H519" t="s">
        <v>67</v>
      </c>
      <c r="I519" t="s">
        <v>3783</v>
      </c>
      <c r="J519" t="s">
        <v>69</v>
      </c>
      <c r="K519" t="s">
        <v>69</v>
      </c>
      <c r="L519" t="s">
        <v>69</v>
      </c>
      <c r="M519" t="s">
        <v>3784</v>
      </c>
      <c r="N519" t="s">
        <v>69</v>
      </c>
      <c r="O519" t="s">
        <v>69</v>
      </c>
      <c r="P519" t="s">
        <v>3785</v>
      </c>
      <c r="Q519" t="s">
        <v>3786</v>
      </c>
      <c r="R519" t="s">
        <v>69</v>
      </c>
      <c r="S519" t="s">
        <v>69</v>
      </c>
      <c r="T519" t="s">
        <v>8505</v>
      </c>
      <c r="U519" t="s">
        <v>15797</v>
      </c>
      <c r="V519" t="s">
        <v>3787</v>
      </c>
      <c r="W519" t="s">
        <v>3788</v>
      </c>
      <c r="X519" t="s">
        <v>3789</v>
      </c>
      <c r="Y519" t="s">
        <v>30041</v>
      </c>
      <c r="Z519" t="s">
        <v>69</v>
      </c>
      <c r="AA519" t="s">
        <v>30042</v>
      </c>
      <c r="AB519" t="s">
        <v>30043</v>
      </c>
      <c r="AC519" t="s">
        <v>3790</v>
      </c>
      <c r="AD519" t="s">
        <v>30044</v>
      </c>
      <c r="AE519" t="s">
        <v>69</v>
      </c>
      <c r="AF519" t="s">
        <v>30045</v>
      </c>
      <c r="AG519" t="s">
        <v>30046</v>
      </c>
      <c r="AH519" t="s">
        <v>69</v>
      </c>
      <c r="AI519" t="s">
        <v>69</v>
      </c>
      <c r="AJ519" t="s">
        <v>69</v>
      </c>
      <c r="AK519" t="s">
        <v>69</v>
      </c>
      <c r="AL519" t="s">
        <v>69</v>
      </c>
      <c r="AM519" t="s">
        <v>69</v>
      </c>
      <c r="AN519">
        <v>45</v>
      </c>
      <c r="AO519">
        <v>5</v>
      </c>
      <c r="AP519">
        <v>6</v>
      </c>
      <c r="AQ519">
        <v>1</v>
      </c>
      <c r="AR519">
        <v>18</v>
      </c>
      <c r="AS519" t="s">
        <v>8865</v>
      </c>
      <c r="AT519" t="s">
        <v>8612</v>
      </c>
      <c r="AU519" t="s">
        <v>8866</v>
      </c>
      <c r="AV519" t="s">
        <v>3791</v>
      </c>
      <c r="AW519" t="s">
        <v>3792</v>
      </c>
      <c r="AX519" t="s">
        <v>69</v>
      </c>
      <c r="AY519" t="s">
        <v>30047</v>
      </c>
      <c r="AZ519" t="s">
        <v>30048</v>
      </c>
      <c r="BA519" t="s">
        <v>69</v>
      </c>
      <c r="BB519">
        <v>2007</v>
      </c>
      <c r="BC519">
        <v>44</v>
      </c>
      <c r="BD519">
        <v>3</v>
      </c>
      <c r="BE519" t="s">
        <v>69</v>
      </c>
      <c r="BF519" t="s">
        <v>69</v>
      </c>
      <c r="BG519" t="s">
        <v>69</v>
      </c>
      <c r="BH519" t="s">
        <v>69</v>
      </c>
      <c r="BI519">
        <v>145</v>
      </c>
      <c r="BJ519">
        <v>159</v>
      </c>
      <c r="BK519" t="s">
        <v>69</v>
      </c>
      <c r="BL519" t="s">
        <v>3793</v>
      </c>
      <c r="BM519" t="str">
        <f>HYPERLINK("http://dx.doi.org/10.1300/J010v44n03_02","http://dx.doi.org/10.1300/J010v44n03_02")</f>
        <v>http://dx.doi.org/10.1300/J010v44n03_02</v>
      </c>
      <c r="BN519" t="s">
        <v>69</v>
      </c>
      <c r="BO519" t="s">
        <v>69</v>
      </c>
      <c r="BP519">
        <v>15</v>
      </c>
      <c r="BQ519" t="s">
        <v>17741</v>
      </c>
      <c r="BR519" t="s">
        <v>18588</v>
      </c>
      <c r="BS519" t="s">
        <v>17741</v>
      </c>
      <c r="BT519" t="s">
        <v>30049</v>
      </c>
      <c r="BU519" t="s">
        <v>3794</v>
      </c>
      <c r="BV519">
        <v>17548272</v>
      </c>
      <c r="BW519" t="s">
        <v>69</v>
      </c>
      <c r="BX519" t="s">
        <v>69</v>
      </c>
      <c r="BY519" t="s">
        <v>69</v>
      </c>
      <c r="BZ519" t="s">
        <v>8526</v>
      </c>
      <c r="CA519" t="str">
        <f>HYPERLINK("https%3A%2F%2Fwww.webofscience.com%2Fwos%2Fwoscc%2Ffull-record%2FWOS:000246995800002","View Full Record in Web of Science")</f>
        <v>View Full Record in Web of Science</v>
      </c>
    </row>
    <row r="520" spans="2:79" ht="12.5" x14ac:dyDescent="0.25">
      <c r="B520" t="s">
        <v>8495</v>
      </c>
      <c r="D520" s="22" t="s">
        <v>32931</v>
      </c>
      <c r="E520" s="7"/>
      <c r="F520" s="7"/>
      <c r="G520" s="7"/>
      <c r="H520" t="s">
        <v>67</v>
      </c>
      <c r="I520" t="s">
        <v>32534</v>
      </c>
      <c r="J520" t="s">
        <v>69</v>
      </c>
      <c r="K520" t="s">
        <v>69</v>
      </c>
      <c r="L520" t="s">
        <v>69</v>
      </c>
      <c r="M520" t="s">
        <v>32534</v>
      </c>
      <c r="N520" t="s">
        <v>69</v>
      </c>
      <c r="O520" t="s">
        <v>69</v>
      </c>
      <c r="P520" t="s">
        <v>32535</v>
      </c>
      <c r="Q520" t="s">
        <v>17054</v>
      </c>
      <c r="R520" t="s">
        <v>69</v>
      </c>
      <c r="S520" t="s">
        <v>69</v>
      </c>
      <c r="T520" t="s">
        <v>8505</v>
      </c>
      <c r="U520" t="s">
        <v>8506</v>
      </c>
      <c r="V520" t="s">
        <v>69</v>
      </c>
      <c r="W520" t="s">
        <v>69</v>
      </c>
      <c r="X520" t="s">
        <v>69</v>
      </c>
      <c r="Y520" t="s">
        <v>69</v>
      </c>
      <c r="Z520" t="s">
        <v>69</v>
      </c>
      <c r="AA520" t="s">
        <v>69</v>
      </c>
      <c r="AB520" t="s">
        <v>69</v>
      </c>
      <c r="AC520" t="s">
        <v>32536</v>
      </c>
      <c r="AD520" t="s">
        <v>69</v>
      </c>
      <c r="AE520" t="s">
        <v>69</v>
      </c>
      <c r="AF520" t="s">
        <v>69</v>
      </c>
      <c r="AG520" t="s">
        <v>69</v>
      </c>
      <c r="AH520" t="s">
        <v>69</v>
      </c>
      <c r="AI520" t="s">
        <v>69</v>
      </c>
      <c r="AJ520" t="s">
        <v>69</v>
      </c>
      <c r="AK520" t="s">
        <v>69</v>
      </c>
      <c r="AL520" t="s">
        <v>69</v>
      </c>
      <c r="AM520" t="s">
        <v>69</v>
      </c>
      <c r="AN520">
        <v>7</v>
      </c>
      <c r="AO520">
        <v>0</v>
      </c>
      <c r="AP520">
        <v>0</v>
      </c>
      <c r="AQ520">
        <v>0</v>
      </c>
      <c r="AR520">
        <v>5</v>
      </c>
      <c r="AS520" t="s">
        <v>32537</v>
      </c>
      <c r="AT520" t="s">
        <v>8637</v>
      </c>
      <c r="AU520" t="s">
        <v>32538</v>
      </c>
      <c r="AV520" t="s">
        <v>17065</v>
      </c>
      <c r="AW520" t="s">
        <v>69</v>
      </c>
      <c r="AX520" t="s">
        <v>69</v>
      </c>
      <c r="AY520" t="s">
        <v>17067</v>
      </c>
      <c r="AZ520" t="s">
        <v>17068</v>
      </c>
      <c r="BA520" t="s">
        <v>75</v>
      </c>
      <c r="BB520">
        <v>1995</v>
      </c>
      <c r="BC520">
        <v>10</v>
      </c>
      <c r="BD520" t="s">
        <v>69</v>
      </c>
      <c r="BE520" t="s">
        <v>69</v>
      </c>
      <c r="BF520" t="s">
        <v>627</v>
      </c>
      <c r="BG520" t="s">
        <v>69</v>
      </c>
      <c r="BH520" t="s">
        <v>69</v>
      </c>
      <c r="BI520">
        <v>17</v>
      </c>
      <c r="BJ520">
        <v>27</v>
      </c>
      <c r="BK520" t="s">
        <v>69</v>
      </c>
      <c r="BL520" t="s">
        <v>69</v>
      </c>
      <c r="BM520" t="s">
        <v>69</v>
      </c>
      <c r="BN520" t="s">
        <v>69</v>
      </c>
      <c r="BO520" t="s">
        <v>69</v>
      </c>
      <c r="BP520">
        <v>11</v>
      </c>
      <c r="BQ520" t="s">
        <v>9809</v>
      </c>
      <c r="BR520" t="s">
        <v>8661</v>
      </c>
      <c r="BS520" t="s">
        <v>9209</v>
      </c>
      <c r="BT520" t="s">
        <v>32539</v>
      </c>
      <c r="BU520" t="s">
        <v>32540</v>
      </c>
      <c r="BV520" t="s">
        <v>69</v>
      </c>
      <c r="BW520" t="s">
        <v>69</v>
      </c>
      <c r="BX520" t="s">
        <v>69</v>
      </c>
      <c r="BY520" t="s">
        <v>69</v>
      </c>
      <c r="BZ520" t="s">
        <v>8526</v>
      </c>
      <c r="CA520" t="str">
        <f>HYPERLINK("https%3A%2F%2Fwww.webofscience.com%2Fwos%2Fwoscc%2Ffull-record%2FWOS:A1995TM95500004","View Full Record in Web of Science")</f>
        <v>View Full Record in Web of Science</v>
      </c>
    </row>
    <row r="521" spans="2:79" ht="12.5" x14ac:dyDescent="0.25">
      <c r="B521" t="s">
        <v>8495</v>
      </c>
      <c r="D521" s="22" t="s">
        <v>32931</v>
      </c>
      <c r="E521" s="7"/>
      <c r="F521" s="7"/>
      <c r="G521" s="7"/>
      <c r="H521" t="s">
        <v>67</v>
      </c>
      <c r="I521" t="s">
        <v>11287</v>
      </c>
      <c r="J521" t="s">
        <v>69</v>
      </c>
      <c r="K521" t="s">
        <v>69</v>
      </c>
      <c r="L521" t="s">
        <v>69</v>
      </c>
      <c r="M521" t="s">
        <v>11288</v>
      </c>
      <c r="N521" t="s">
        <v>69</v>
      </c>
      <c r="O521" t="s">
        <v>69</v>
      </c>
      <c r="P521" t="s">
        <v>11289</v>
      </c>
      <c r="Q521" t="s">
        <v>436</v>
      </c>
      <c r="R521" t="s">
        <v>69</v>
      </c>
      <c r="S521" t="s">
        <v>69</v>
      </c>
      <c r="T521" t="s">
        <v>8505</v>
      </c>
      <c r="U521" t="s">
        <v>8506</v>
      </c>
      <c r="V521" t="s">
        <v>69</v>
      </c>
      <c r="W521" t="s">
        <v>69</v>
      </c>
      <c r="X521" t="s">
        <v>69</v>
      </c>
      <c r="Y521" t="s">
        <v>69</v>
      </c>
      <c r="Z521" t="s">
        <v>69</v>
      </c>
      <c r="AA521" t="s">
        <v>11290</v>
      </c>
      <c r="AB521" t="s">
        <v>11291</v>
      </c>
      <c r="AC521" t="s">
        <v>11292</v>
      </c>
      <c r="AD521" t="s">
        <v>11293</v>
      </c>
      <c r="AE521" t="s">
        <v>69</v>
      </c>
      <c r="AF521" t="s">
        <v>11294</v>
      </c>
      <c r="AG521" t="s">
        <v>11295</v>
      </c>
      <c r="AH521" t="s">
        <v>69</v>
      </c>
      <c r="AI521" t="s">
        <v>69</v>
      </c>
      <c r="AJ521" t="s">
        <v>11296</v>
      </c>
      <c r="AK521" t="s">
        <v>11296</v>
      </c>
      <c r="AL521" t="s">
        <v>11297</v>
      </c>
      <c r="AM521" t="s">
        <v>69</v>
      </c>
      <c r="AN521">
        <v>125</v>
      </c>
      <c r="AO521">
        <v>11</v>
      </c>
      <c r="AP521">
        <v>11</v>
      </c>
      <c r="AQ521">
        <v>5</v>
      </c>
      <c r="AR521">
        <v>9</v>
      </c>
      <c r="AS521" t="s">
        <v>8636</v>
      </c>
      <c r="AT521" t="s">
        <v>8637</v>
      </c>
      <c r="AU521" t="s">
        <v>8638</v>
      </c>
      <c r="AV521" t="s">
        <v>440</v>
      </c>
      <c r="AW521" t="s">
        <v>441</v>
      </c>
      <c r="AX521" t="s">
        <v>69</v>
      </c>
      <c r="AY521" t="s">
        <v>8639</v>
      </c>
      <c r="AZ521" t="s">
        <v>8640</v>
      </c>
      <c r="BA521" t="s">
        <v>1206</v>
      </c>
      <c r="BB521">
        <v>2021</v>
      </c>
      <c r="BC521">
        <v>322</v>
      </c>
      <c r="BD521" t="s">
        <v>69</v>
      </c>
      <c r="BE521" t="s">
        <v>69</v>
      </c>
      <c r="BF521" t="s">
        <v>69</v>
      </c>
      <c r="BG521" t="s">
        <v>69</v>
      </c>
      <c r="BH521" t="s">
        <v>69</v>
      </c>
      <c r="BI521" t="s">
        <v>69</v>
      </c>
      <c r="BJ521" t="s">
        <v>69</v>
      </c>
      <c r="BK521">
        <v>129098</v>
      </c>
      <c r="BL521" t="s">
        <v>11298</v>
      </c>
      <c r="BM521" t="str">
        <f>HYPERLINK("http://dx.doi.org/10.1016/j.jclepro.2021.129098","http://dx.doi.org/10.1016/j.jclepro.2021.129098")</f>
        <v>http://dx.doi.org/10.1016/j.jclepro.2021.129098</v>
      </c>
      <c r="BN521" t="s">
        <v>69</v>
      </c>
      <c r="BO521" t="s">
        <v>11299</v>
      </c>
      <c r="BP521">
        <v>16</v>
      </c>
      <c r="BQ521" t="s">
        <v>8643</v>
      </c>
      <c r="BR521" t="s">
        <v>8548</v>
      </c>
      <c r="BS521" t="s">
        <v>8644</v>
      </c>
      <c r="BT521" t="s">
        <v>11300</v>
      </c>
      <c r="BU521" t="s">
        <v>11301</v>
      </c>
      <c r="BV521" t="s">
        <v>69</v>
      </c>
      <c r="BW521" t="s">
        <v>69</v>
      </c>
      <c r="BX521" t="s">
        <v>69</v>
      </c>
      <c r="BY521" t="s">
        <v>69</v>
      </c>
      <c r="BZ521" t="s">
        <v>8526</v>
      </c>
      <c r="CA521" t="str">
        <f>HYPERLINK("https%3A%2F%2Fwww.webofscience.com%2Fwos%2Fwoscc%2Ffull-record%2FWOS:000705714400002","View Full Record in Web of Science")</f>
        <v>View Full Record in Web of Science</v>
      </c>
    </row>
    <row r="522" spans="2:79" ht="12.5" x14ac:dyDescent="0.25">
      <c r="B522" t="s">
        <v>8495</v>
      </c>
      <c r="D522" s="7" t="s">
        <v>32933</v>
      </c>
      <c r="E522" s="7"/>
      <c r="F522" s="7"/>
      <c r="G522" s="7"/>
      <c r="H522" t="s">
        <v>67</v>
      </c>
      <c r="I522" t="s">
        <v>4750</v>
      </c>
      <c r="J522" t="s">
        <v>69</v>
      </c>
      <c r="K522" t="s">
        <v>69</v>
      </c>
      <c r="L522" t="s">
        <v>69</v>
      </c>
      <c r="M522" t="s">
        <v>4751</v>
      </c>
      <c r="N522" t="s">
        <v>69</v>
      </c>
      <c r="O522" t="s">
        <v>69</v>
      </c>
      <c r="P522" t="s">
        <v>4752</v>
      </c>
      <c r="Q522" t="s">
        <v>1495</v>
      </c>
      <c r="R522" t="s">
        <v>69</v>
      </c>
      <c r="S522" t="s">
        <v>69</v>
      </c>
      <c r="T522" t="s">
        <v>8505</v>
      </c>
      <c r="U522" t="s">
        <v>8506</v>
      </c>
      <c r="V522" t="s">
        <v>69</v>
      </c>
      <c r="W522" t="s">
        <v>69</v>
      </c>
      <c r="X522" t="s">
        <v>69</v>
      </c>
      <c r="Y522" t="s">
        <v>69</v>
      </c>
      <c r="Z522" t="s">
        <v>69</v>
      </c>
      <c r="AA522" t="s">
        <v>24986</v>
      </c>
      <c r="AB522" t="s">
        <v>24987</v>
      </c>
      <c r="AC522" t="s">
        <v>4753</v>
      </c>
      <c r="AD522" t="s">
        <v>24988</v>
      </c>
      <c r="AE522" t="s">
        <v>69</v>
      </c>
      <c r="AF522" t="s">
        <v>24989</v>
      </c>
      <c r="AG522" t="s">
        <v>24990</v>
      </c>
      <c r="AH522" t="s">
        <v>4754</v>
      </c>
      <c r="AI522" t="s">
        <v>24991</v>
      </c>
      <c r="AJ522" t="s">
        <v>24992</v>
      </c>
      <c r="AK522" t="s">
        <v>24993</v>
      </c>
      <c r="AL522" t="s">
        <v>69</v>
      </c>
      <c r="AM522" t="s">
        <v>69</v>
      </c>
      <c r="AN522">
        <v>50</v>
      </c>
      <c r="AO522">
        <v>78</v>
      </c>
      <c r="AP522">
        <v>78</v>
      </c>
      <c r="AQ522">
        <v>3</v>
      </c>
      <c r="AR522">
        <v>37</v>
      </c>
      <c r="AS522" t="s">
        <v>9554</v>
      </c>
      <c r="AT522" t="s">
        <v>9555</v>
      </c>
      <c r="AU522" t="s">
        <v>9556</v>
      </c>
      <c r="AV522" t="s">
        <v>1499</v>
      </c>
      <c r="AW522" t="s">
        <v>1500</v>
      </c>
      <c r="AX522" t="s">
        <v>69</v>
      </c>
      <c r="AY522" t="s">
        <v>13954</v>
      </c>
      <c r="AZ522" t="s">
        <v>13955</v>
      </c>
      <c r="BA522" t="s">
        <v>586</v>
      </c>
      <c r="BB522">
        <v>2013</v>
      </c>
      <c r="BC522">
        <v>38</v>
      </c>
      <c r="BD522">
        <v>3</v>
      </c>
      <c r="BE522" t="s">
        <v>69</v>
      </c>
      <c r="BF522" t="s">
        <v>69</v>
      </c>
      <c r="BG522" t="s">
        <v>69</v>
      </c>
      <c r="BH522" t="s">
        <v>69</v>
      </c>
      <c r="BI522">
        <v>351</v>
      </c>
      <c r="BJ522">
        <v>373</v>
      </c>
      <c r="BK522" t="s">
        <v>69</v>
      </c>
      <c r="BL522" t="s">
        <v>4755</v>
      </c>
      <c r="BM522" t="str">
        <f>HYPERLINK("http://dx.doi.org/10.1177/0162243912444736","http://dx.doi.org/10.1177/0162243912444736")</f>
        <v>http://dx.doi.org/10.1177/0162243912444736</v>
      </c>
      <c r="BN522" t="s">
        <v>69</v>
      </c>
      <c r="BO522" t="s">
        <v>69</v>
      </c>
      <c r="BP522">
        <v>23</v>
      </c>
      <c r="BQ522" t="s">
        <v>13650</v>
      </c>
      <c r="BR522" t="s">
        <v>8661</v>
      </c>
      <c r="BS522" t="s">
        <v>13650</v>
      </c>
      <c r="BT522" t="s">
        <v>24994</v>
      </c>
      <c r="BU522" t="s">
        <v>4756</v>
      </c>
      <c r="BV522" t="s">
        <v>69</v>
      </c>
      <c r="BW522" t="s">
        <v>69</v>
      </c>
      <c r="BX522" t="s">
        <v>69</v>
      </c>
      <c r="BY522" t="s">
        <v>69</v>
      </c>
      <c r="BZ522" t="s">
        <v>8526</v>
      </c>
      <c r="CA522" t="str">
        <f>HYPERLINK("https%3A%2F%2Fwww.webofscience.com%2Fwos%2Fwoscc%2Ffull-record%2FWOS:000330314200003","View Full Record in Web of Science")</f>
        <v>View Full Record in Web of Science</v>
      </c>
    </row>
    <row r="523" spans="2:79" ht="12.5" x14ac:dyDescent="0.25">
      <c r="B523" t="s">
        <v>8495</v>
      </c>
      <c r="D523" s="7" t="s">
        <v>32933</v>
      </c>
      <c r="E523" s="7"/>
      <c r="F523" s="7"/>
      <c r="G523" s="7"/>
      <c r="H523" t="s">
        <v>627</v>
      </c>
      <c r="I523" t="s">
        <v>3134</v>
      </c>
      <c r="J523" t="s">
        <v>69</v>
      </c>
      <c r="K523" t="s">
        <v>646</v>
      </c>
      <c r="L523" t="s">
        <v>69</v>
      </c>
      <c r="M523" t="s">
        <v>3135</v>
      </c>
      <c r="N523" t="s">
        <v>69</v>
      </c>
      <c r="O523" t="s">
        <v>69</v>
      </c>
      <c r="P523" t="s">
        <v>3136</v>
      </c>
      <c r="Q523" t="s">
        <v>3137</v>
      </c>
      <c r="R523" t="s">
        <v>650</v>
      </c>
      <c r="S523" t="s">
        <v>69</v>
      </c>
      <c r="T523" t="s">
        <v>8505</v>
      </c>
      <c r="U523" t="s">
        <v>17635</v>
      </c>
      <c r="V523" t="s">
        <v>69</v>
      </c>
      <c r="W523" t="s">
        <v>69</v>
      </c>
      <c r="X523" t="s">
        <v>69</v>
      </c>
      <c r="Y523" t="s">
        <v>69</v>
      </c>
      <c r="Z523" t="s">
        <v>69</v>
      </c>
      <c r="AA523" t="s">
        <v>69</v>
      </c>
      <c r="AB523" t="s">
        <v>23140</v>
      </c>
      <c r="AC523" t="s">
        <v>3138</v>
      </c>
      <c r="AD523" t="s">
        <v>23141</v>
      </c>
      <c r="AE523" t="s">
        <v>69</v>
      </c>
      <c r="AF523" t="s">
        <v>23142</v>
      </c>
      <c r="AG523" t="s">
        <v>23143</v>
      </c>
      <c r="AH523" t="s">
        <v>23144</v>
      </c>
      <c r="AI523" t="s">
        <v>23145</v>
      </c>
      <c r="AJ523" t="s">
        <v>69</v>
      </c>
      <c r="AK523" t="s">
        <v>69</v>
      </c>
      <c r="AL523" t="s">
        <v>69</v>
      </c>
      <c r="AM523" t="s">
        <v>69</v>
      </c>
      <c r="AN523">
        <v>116</v>
      </c>
      <c r="AO523">
        <v>71</v>
      </c>
      <c r="AP523">
        <v>72</v>
      </c>
      <c r="AQ523">
        <v>6</v>
      </c>
      <c r="AR523">
        <v>60</v>
      </c>
      <c r="AS523" t="s">
        <v>23146</v>
      </c>
      <c r="AT523" t="s">
        <v>12925</v>
      </c>
      <c r="AU523" t="s">
        <v>23147</v>
      </c>
      <c r="AV523" t="s">
        <v>652</v>
      </c>
      <c r="AW523" t="s">
        <v>69</v>
      </c>
      <c r="AX523" t="s">
        <v>3139</v>
      </c>
      <c r="AY523" t="s">
        <v>17644</v>
      </c>
      <c r="AZ523" t="s">
        <v>17645</v>
      </c>
      <c r="BA523" t="s">
        <v>69</v>
      </c>
      <c r="BB523">
        <v>2015</v>
      </c>
      <c r="BC523">
        <v>133</v>
      </c>
      <c r="BD523" t="s">
        <v>69</v>
      </c>
      <c r="BE523" t="s">
        <v>69</v>
      </c>
      <c r="BF523" t="s">
        <v>69</v>
      </c>
      <c r="BG523" t="s">
        <v>69</v>
      </c>
      <c r="BH523" t="s">
        <v>69</v>
      </c>
      <c r="BI523">
        <v>183</v>
      </c>
      <c r="BJ523">
        <v>237</v>
      </c>
      <c r="BK523" t="s">
        <v>69</v>
      </c>
      <c r="BL523" t="s">
        <v>3140</v>
      </c>
      <c r="BM523" t="str">
        <f>HYPERLINK("http://dx.doi.org/10.1016/bs.agron.2015.06.001","http://dx.doi.org/10.1016/bs.agron.2015.06.001")</f>
        <v>http://dx.doi.org/10.1016/bs.agron.2015.06.001</v>
      </c>
      <c r="BN523" t="s">
        <v>69</v>
      </c>
      <c r="BO523" t="s">
        <v>69</v>
      </c>
      <c r="BP523">
        <v>55</v>
      </c>
      <c r="BQ523" t="s">
        <v>10815</v>
      </c>
      <c r="BR523" t="s">
        <v>17647</v>
      </c>
      <c r="BS523" t="s">
        <v>8450</v>
      </c>
      <c r="BT523" t="s">
        <v>23148</v>
      </c>
      <c r="BU523" t="s">
        <v>3141</v>
      </c>
      <c r="BV523" t="s">
        <v>69</v>
      </c>
      <c r="BW523" t="s">
        <v>69</v>
      </c>
      <c r="BX523" t="s">
        <v>69</v>
      </c>
      <c r="BY523" t="s">
        <v>69</v>
      </c>
      <c r="BZ523" t="s">
        <v>8526</v>
      </c>
      <c r="CA523" t="str">
        <f>HYPERLINK("https%3A%2F%2Fwww.webofscience.com%2Fwos%2Fwoscc%2Ffull-record%2FWOS:000363330000006","View Full Record in Web of Science")</f>
        <v>View Full Record in Web of Science</v>
      </c>
    </row>
    <row r="524" spans="2:79" ht="12.5" x14ac:dyDescent="0.25">
      <c r="B524" t="s">
        <v>8495</v>
      </c>
      <c r="D524" s="22" t="s">
        <v>32931</v>
      </c>
      <c r="E524" s="7"/>
      <c r="F524" s="7"/>
      <c r="G524" s="7"/>
      <c r="H524" t="s">
        <v>67</v>
      </c>
      <c r="I524" t="s">
        <v>12222</v>
      </c>
      <c r="J524" t="s">
        <v>69</v>
      </c>
      <c r="K524" t="s">
        <v>69</v>
      </c>
      <c r="L524" t="s">
        <v>69</v>
      </c>
      <c r="M524" t="s">
        <v>12223</v>
      </c>
      <c r="N524" t="s">
        <v>69</v>
      </c>
      <c r="O524" t="s">
        <v>69</v>
      </c>
      <c r="P524" t="s">
        <v>12224</v>
      </c>
      <c r="Q524" t="s">
        <v>352</v>
      </c>
      <c r="R524" t="s">
        <v>69</v>
      </c>
      <c r="S524" t="s">
        <v>69</v>
      </c>
      <c r="T524" t="s">
        <v>8505</v>
      </c>
      <c r="U524" t="s">
        <v>8506</v>
      </c>
      <c r="V524" t="s">
        <v>69</v>
      </c>
      <c r="W524" t="s">
        <v>69</v>
      </c>
      <c r="X524" t="s">
        <v>69</v>
      </c>
      <c r="Y524" t="s">
        <v>69</v>
      </c>
      <c r="Z524" t="s">
        <v>69</v>
      </c>
      <c r="AA524" t="s">
        <v>12225</v>
      </c>
      <c r="AB524" t="s">
        <v>12226</v>
      </c>
      <c r="AC524" t="s">
        <v>12227</v>
      </c>
      <c r="AD524" t="s">
        <v>12228</v>
      </c>
      <c r="AE524" t="s">
        <v>69</v>
      </c>
      <c r="AF524" t="s">
        <v>12229</v>
      </c>
      <c r="AG524" t="s">
        <v>12230</v>
      </c>
      <c r="AH524" t="s">
        <v>12231</v>
      </c>
      <c r="AI524" t="s">
        <v>12232</v>
      </c>
      <c r="AJ524" t="s">
        <v>12233</v>
      </c>
      <c r="AK524" t="s">
        <v>12234</v>
      </c>
      <c r="AL524" t="s">
        <v>12235</v>
      </c>
      <c r="AM524" t="s">
        <v>69</v>
      </c>
      <c r="AN524">
        <v>54</v>
      </c>
      <c r="AO524">
        <v>4</v>
      </c>
      <c r="AP524">
        <v>4</v>
      </c>
      <c r="AQ524">
        <v>7</v>
      </c>
      <c r="AR524">
        <v>15</v>
      </c>
      <c r="AS524" t="s">
        <v>8924</v>
      </c>
      <c r="AT524" t="s">
        <v>8925</v>
      </c>
      <c r="AU524" t="s">
        <v>8926</v>
      </c>
      <c r="AV524" t="s">
        <v>69</v>
      </c>
      <c r="AW524" t="s">
        <v>354</v>
      </c>
      <c r="AX524" t="s">
        <v>69</v>
      </c>
      <c r="AY524" t="s">
        <v>8958</v>
      </c>
      <c r="AZ524" t="s">
        <v>8434</v>
      </c>
      <c r="BA524" t="s">
        <v>586</v>
      </c>
      <c r="BB524">
        <v>2021</v>
      </c>
      <c r="BC524">
        <v>13</v>
      </c>
      <c r="BD524">
        <v>9</v>
      </c>
      <c r="BE524" t="s">
        <v>69</v>
      </c>
      <c r="BF524" t="s">
        <v>69</v>
      </c>
      <c r="BG524" t="s">
        <v>69</v>
      </c>
      <c r="BH524" t="s">
        <v>69</v>
      </c>
      <c r="BI524" t="s">
        <v>69</v>
      </c>
      <c r="BJ524" t="s">
        <v>69</v>
      </c>
      <c r="BK524">
        <v>5179</v>
      </c>
      <c r="BL524" t="s">
        <v>12236</v>
      </c>
      <c r="BM524" t="str">
        <f>HYPERLINK("http://dx.doi.org/10.3390/su13095179","http://dx.doi.org/10.3390/su13095179")</f>
        <v>http://dx.doi.org/10.3390/su13095179</v>
      </c>
      <c r="BN524" t="s">
        <v>69</v>
      </c>
      <c r="BO524" t="s">
        <v>69</v>
      </c>
      <c r="BP524">
        <v>22</v>
      </c>
      <c r="BQ524" t="s">
        <v>8960</v>
      </c>
      <c r="BR524" t="s">
        <v>8523</v>
      </c>
      <c r="BS524" t="s">
        <v>8961</v>
      </c>
      <c r="BT524" t="s">
        <v>12237</v>
      </c>
      <c r="BU524" t="s">
        <v>12238</v>
      </c>
      <c r="BV524" t="s">
        <v>69</v>
      </c>
      <c r="BW524" t="s">
        <v>8812</v>
      </c>
      <c r="BX524" t="s">
        <v>69</v>
      </c>
      <c r="BY524" t="s">
        <v>69</v>
      </c>
      <c r="BZ524" t="s">
        <v>8526</v>
      </c>
      <c r="CA524" t="str">
        <f>HYPERLINK("https%3A%2F%2Fwww.webofscience.com%2Fwos%2Fwoscc%2Ffull-record%2FWOS:000650875000001","View Full Record in Web of Science")</f>
        <v>View Full Record in Web of Science</v>
      </c>
    </row>
    <row r="525" spans="2:79" ht="12.5" x14ac:dyDescent="0.25">
      <c r="B525" t="s">
        <v>8495</v>
      </c>
      <c r="D525" s="7" t="s">
        <v>32933</v>
      </c>
      <c r="E525" s="7"/>
      <c r="F525" s="7"/>
      <c r="G525" s="7"/>
      <c r="H525" t="s">
        <v>67</v>
      </c>
      <c r="I525" t="s">
        <v>849</v>
      </c>
      <c r="J525" t="s">
        <v>69</v>
      </c>
      <c r="K525" t="s">
        <v>69</v>
      </c>
      <c r="L525" t="s">
        <v>69</v>
      </c>
      <c r="M525" t="s">
        <v>850</v>
      </c>
      <c r="N525" t="s">
        <v>69</v>
      </c>
      <c r="O525" t="s">
        <v>69</v>
      </c>
      <c r="P525" t="s">
        <v>959</v>
      </c>
      <c r="Q525" t="s">
        <v>179</v>
      </c>
      <c r="R525" t="s">
        <v>69</v>
      </c>
      <c r="S525" t="s">
        <v>69</v>
      </c>
      <c r="T525" t="s">
        <v>8505</v>
      </c>
      <c r="U525" t="s">
        <v>8506</v>
      </c>
      <c r="V525" t="s">
        <v>69</v>
      </c>
      <c r="W525" t="s">
        <v>69</v>
      </c>
      <c r="X525" t="s">
        <v>69</v>
      </c>
      <c r="Y525" t="s">
        <v>69</v>
      </c>
      <c r="Z525" t="s">
        <v>69</v>
      </c>
      <c r="AA525" t="s">
        <v>17424</v>
      </c>
      <c r="AB525" t="s">
        <v>17425</v>
      </c>
      <c r="AC525" t="s">
        <v>960</v>
      </c>
      <c r="AD525" t="s">
        <v>17426</v>
      </c>
      <c r="AE525" t="s">
        <v>69</v>
      </c>
      <c r="AF525" t="s">
        <v>17427</v>
      </c>
      <c r="AG525" t="s">
        <v>17428</v>
      </c>
      <c r="AH525" t="s">
        <v>17429</v>
      </c>
      <c r="AI525" t="s">
        <v>961</v>
      </c>
      <c r="AJ525" t="s">
        <v>17430</v>
      </c>
      <c r="AK525" t="s">
        <v>17430</v>
      </c>
      <c r="AL525" t="s">
        <v>17431</v>
      </c>
      <c r="AM525" t="s">
        <v>69</v>
      </c>
      <c r="AN525">
        <v>55</v>
      </c>
      <c r="AO525">
        <v>18</v>
      </c>
      <c r="AP525">
        <v>19</v>
      </c>
      <c r="AQ525">
        <v>3</v>
      </c>
      <c r="AR525">
        <v>23</v>
      </c>
      <c r="AS525" t="s">
        <v>9047</v>
      </c>
      <c r="AT525" t="s">
        <v>8693</v>
      </c>
      <c r="AU525" t="s">
        <v>16643</v>
      </c>
      <c r="AV525" t="s">
        <v>181</v>
      </c>
      <c r="AW525" t="s">
        <v>182</v>
      </c>
      <c r="AX525" t="s">
        <v>69</v>
      </c>
      <c r="AY525" t="s">
        <v>17432</v>
      </c>
      <c r="AZ525" t="s">
        <v>17433</v>
      </c>
      <c r="BA525" t="s">
        <v>246</v>
      </c>
      <c r="BB525">
        <v>2019</v>
      </c>
      <c r="BC525">
        <v>63</v>
      </c>
      <c r="BD525">
        <v>4</v>
      </c>
      <c r="BE525" t="s">
        <v>69</v>
      </c>
      <c r="BF525" t="s">
        <v>69</v>
      </c>
      <c r="BG525" t="s">
        <v>114</v>
      </c>
      <c r="BH525" t="s">
        <v>69</v>
      </c>
      <c r="BI525">
        <v>495</v>
      </c>
      <c r="BJ525">
        <v>506</v>
      </c>
      <c r="BK525" t="s">
        <v>69</v>
      </c>
      <c r="BL525" t="s">
        <v>962</v>
      </c>
      <c r="BM525" t="str">
        <f>HYPERLINK("http://dx.doi.org/10.1007/s00267-017-0958-5","http://dx.doi.org/10.1007/s00267-017-0958-5")</f>
        <v>http://dx.doi.org/10.1007/s00267-017-0958-5</v>
      </c>
      <c r="BN525" t="s">
        <v>69</v>
      </c>
      <c r="BO525" t="s">
        <v>69</v>
      </c>
      <c r="BP525">
        <v>12</v>
      </c>
      <c r="BQ525" t="s">
        <v>8717</v>
      </c>
      <c r="BR525" t="s">
        <v>8523</v>
      </c>
      <c r="BS525" t="s">
        <v>8662</v>
      </c>
      <c r="BT525" t="s">
        <v>17434</v>
      </c>
      <c r="BU525" t="s">
        <v>963</v>
      </c>
      <c r="BV525">
        <v>29134261</v>
      </c>
      <c r="BW525" t="s">
        <v>69</v>
      </c>
      <c r="BX525" t="s">
        <v>69</v>
      </c>
      <c r="BY525" t="s">
        <v>69</v>
      </c>
      <c r="BZ525" t="s">
        <v>8526</v>
      </c>
      <c r="CA525" t="str">
        <f>HYPERLINK("https%3A%2F%2Fwww.webofscience.com%2Fwos%2Fwoscc%2Ffull-record%2FWOS:000466724900008","View Full Record in Web of Science")</f>
        <v>View Full Record in Web of Science</v>
      </c>
    </row>
    <row r="526" spans="2:79" ht="12.5" x14ac:dyDescent="0.25">
      <c r="B526" t="s">
        <v>8495</v>
      </c>
      <c r="D526" s="7" t="s">
        <v>32933</v>
      </c>
      <c r="E526" s="7"/>
      <c r="F526" s="7"/>
      <c r="G526" s="7"/>
      <c r="H526" t="s">
        <v>67</v>
      </c>
      <c r="I526" t="s">
        <v>712</v>
      </c>
      <c r="J526" t="s">
        <v>69</v>
      </c>
      <c r="K526" t="s">
        <v>69</v>
      </c>
      <c r="L526" t="s">
        <v>69</v>
      </c>
      <c r="M526" t="s">
        <v>713</v>
      </c>
      <c r="N526" t="s">
        <v>69</v>
      </c>
      <c r="O526" t="s">
        <v>69</v>
      </c>
      <c r="P526" t="s">
        <v>714</v>
      </c>
      <c r="Q526" t="s">
        <v>715</v>
      </c>
      <c r="R526" t="s">
        <v>69</v>
      </c>
      <c r="S526" t="s">
        <v>69</v>
      </c>
      <c r="T526" t="s">
        <v>8505</v>
      </c>
      <c r="U526" t="s">
        <v>8506</v>
      </c>
      <c r="V526" t="s">
        <v>69</v>
      </c>
      <c r="W526" t="s">
        <v>69</v>
      </c>
      <c r="X526" t="s">
        <v>69</v>
      </c>
      <c r="Y526" t="s">
        <v>69</v>
      </c>
      <c r="Z526" t="s">
        <v>69</v>
      </c>
      <c r="AA526" t="s">
        <v>14668</v>
      </c>
      <c r="AB526" t="s">
        <v>14669</v>
      </c>
      <c r="AC526" t="s">
        <v>716</v>
      </c>
      <c r="AD526" t="s">
        <v>14670</v>
      </c>
      <c r="AE526" t="s">
        <v>69</v>
      </c>
      <c r="AF526" t="s">
        <v>14671</v>
      </c>
      <c r="AG526" t="s">
        <v>14672</v>
      </c>
      <c r="AH526" t="s">
        <v>717</v>
      </c>
      <c r="AI526" t="s">
        <v>718</v>
      </c>
      <c r="AJ526" t="s">
        <v>14673</v>
      </c>
      <c r="AK526" t="s">
        <v>14674</v>
      </c>
      <c r="AL526" t="s">
        <v>14675</v>
      </c>
      <c r="AM526" t="s">
        <v>69</v>
      </c>
      <c r="AN526">
        <v>103</v>
      </c>
      <c r="AO526">
        <v>8</v>
      </c>
      <c r="AP526">
        <v>8</v>
      </c>
      <c r="AQ526">
        <v>3</v>
      </c>
      <c r="AR526">
        <v>17</v>
      </c>
      <c r="AS526" t="s">
        <v>8846</v>
      </c>
      <c r="AT526" t="s">
        <v>8847</v>
      </c>
      <c r="AU526" t="s">
        <v>8848</v>
      </c>
      <c r="AV526" t="s">
        <v>719</v>
      </c>
      <c r="AW526" t="s">
        <v>720</v>
      </c>
      <c r="AX526" t="s">
        <v>69</v>
      </c>
      <c r="AY526" t="s">
        <v>9110</v>
      </c>
      <c r="AZ526" t="s">
        <v>9111</v>
      </c>
      <c r="BA526" t="s">
        <v>75</v>
      </c>
      <c r="BB526">
        <v>2020</v>
      </c>
      <c r="BC526">
        <v>29</v>
      </c>
      <c r="BD526">
        <v>8</v>
      </c>
      <c r="BE526" t="s">
        <v>69</v>
      </c>
      <c r="BF526" t="s">
        <v>69</v>
      </c>
      <c r="BG526" t="s">
        <v>69</v>
      </c>
      <c r="BH526" t="s">
        <v>69</v>
      </c>
      <c r="BI526">
        <v>3702</v>
      </c>
      <c r="BJ526">
        <v>3719</v>
      </c>
      <c r="BK526" t="s">
        <v>69</v>
      </c>
      <c r="BL526" t="s">
        <v>721</v>
      </c>
      <c r="BM526" t="str">
        <f>HYPERLINK("http://dx.doi.org/10.1002/bse.2606","http://dx.doi.org/10.1002/bse.2606")</f>
        <v>http://dx.doi.org/10.1002/bse.2606</v>
      </c>
      <c r="BN526" t="s">
        <v>69</v>
      </c>
      <c r="BO526" t="s">
        <v>702</v>
      </c>
      <c r="BP526">
        <v>18</v>
      </c>
      <c r="BQ526" t="s">
        <v>9113</v>
      </c>
      <c r="BR526" t="s">
        <v>8661</v>
      </c>
      <c r="BS526" t="s">
        <v>9114</v>
      </c>
      <c r="BT526" t="s">
        <v>14676</v>
      </c>
      <c r="BU526" t="s">
        <v>722</v>
      </c>
      <c r="BV526" t="s">
        <v>69</v>
      </c>
      <c r="BW526" t="s">
        <v>69</v>
      </c>
      <c r="BX526" t="s">
        <v>69</v>
      </c>
      <c r="BY526" t="s">
        <v>69</v>
      </c>
      <c r="BZ526" t="s">
        <v>8526</v>
      </c>
      <c r="CA526" t="str">
        <f>HYPERLINK("https%3A%2F%2Fwww.webofscience.com%2Fwos%2Fwoscc%2Ffull-record%2FWOS:000553016900001","View Full Record in Web of Science")</f>
        <v>View Full Record in Web of Science</v>
      </c>
    </row>
    <row r="527" spans="2:79" x14ac:dyDescent="0.3">
      <c r="B527" t="s">
        <v>8495</v>
      </c>
      <c r="D527" s="9" t="s">
        <v>32961</v>
      </c>
      <c r="E527" s="9" t="s">
        <v>33111</v>
      </c>
      <c r="F527" s="10" t="s">
        <v>8490</v>
      </c>
      <c r="G527" s="9" t="s">
        <v>8490</v>
      </c>
      <c r="H527" t="s">
        <v>67</v>
      </c>
      <c r="I527" t="s">
        <v>8949</v>
      </c>
      <c r="J527" t="s">
        <v>69</v>
      </c>
      <c r="K527" t="s">
        <v>69</v>
      </c>
      <c r="L527" t="s">
        <v>69</v>
      </c>
      <c r="M527" t="s">
        <v>8950</v>
      </c>
      <c r="N527" t="s">
        <v>69</v>
      </c>
      <c r="O527" t="s">
        <v>69</v>
      </c>
      <c r="P527" t="s">
        <v>8951</v>
      </c>
      <c r="Q527" t="s">
        <v>352</v>
      </c>
      <c r="R527" t="s">
        <v>69</v>
      </c>
      <c r="S527" t="s">
        <v>69</v>
      </c>
      <c r="T527" t="s">
        <v>8505</v>
      </c>
      <c r="U527" t="s">
        <v>8506</v>
      </c>
      <c r="V527" t="s">
        <v>69</v>
      </c>
      <c r="W527" t="s">
        <v>69</v>
      </c>
      <c r="X527" t="s">
        <v>69</v>
      </c>
      <c r="Y527" t="s">
        <v>69</v>
      </c>
      <c r="Z527" t="s">
        <v>69</v>
      </c>
      <c r="AA527" t="s">
        <v>8952</v>
      </c>
      <c r="AB527" t="s">
        <v>8953</v>
      </c>
      <c r="AC527" t="s">
        <v>8954</v>
      </c>
      <c r="AD527" t="s">
        <v>8955</v>
      </c>
      <c r="AE527" t="s">
        <v>69</v>
      </c>
      <c r="AF527" t="s">
        <v>8956</v>
      </c>
      <c r="AG527" t="s">
        <v>8957</v>
      </c>
      <c r="AH527" t="s">
        <v>69</v>
      </c>
      <c r="AI527" t="s">
        <v>69</v>
      </c>
      <c r="AJ527" t="s">
        <v>69</v>
      </c>
      <c r="AK527" t="s">
        <v>69</v>
      </c>
      <c r="AL527" t="s">
        <v>69</v>
      </c>
      <c r="AM527" t="s">
        <v>69</v>
      </c>
      <c r="AN527">
        <v>61</v>
      </c>
      <c r="AO527">
        <v>0</v>
      </c>
      <c r="AP527">
        <v>0</v>
      </c>
      <c r="AQ527">
        <v>0</v>
      </c>
      <c r="AR527">
        <v>0</v>
      </c>
      <c r="AS527" t="s">
        <v>8924</v>
      </c>
      <c r="AT527" t="s">
        <v>8925</v>
      </c>
      <c r="AU527" t="s">
        <v>8926</v>
      </c>
      <c r="AV527" t="s">
        <v>69</v>
      </c>
      <c r="AW527" t="s">
        <v>354</v>
      </c>
      <c r="AX527" t="s">
        <v>69</v>
      </c>
      <c r="AY527" t="s">
        <v>8958</v>
      </c>
      <c r="AZ527" t="s">
        <v>8434</v>
      </c>
      <c r="BA527" t="s">
        <v>155</v>
      </c>
      <c r="BB527">
        <v>2022</v>
      </c>
      <c r="BC527">
        <v>14</v>
      </c>
      <c r="BD527">
        <v>12</v>
      </c>
      <c r="BE527" t="s">
        <v>69</v>
      </c>
      <c r="BF527" t="s">
        <v>69</v>
      </c>
      <c r="BG527" t="s">
        <v>69</v>
      </c>
      <c r="BH527" t="s">
        <v>69</v>
      </c>
      <c r="BI527" t="s">
        <v>69</v>
      </c>
      <c r="BJ527" t="s">
        <v>69</v>
      </c>
      <c r="BK527">
        <v>7007</v>
      </c>
      <c r="BL527" t="s">
        <v>8959</v>
      </c>
      <c r="BM527" t="str">
        <f>HYPERLINK("http://dx.doi.org/10.3390/su14127007","http://dx.doi.org/10.3390/su14127007")</f>
        <v>http://dx.doi.org/10.3390/su14127007</v>
      </c>
      <c r="BN527" t="s">
        <v>69</v>
      </c>
      <c r="BO527" t="s">
        <v>69</v>
      </c>
      <c r="BP527">
        <v>25</v>
      </c>
      <c r="BQ527" t="s">
        <v>8960</v>
      </c>
      <c r="BR527" t="s">
        <v>8523</v>
      </c>
      <c r="BS527" t="s">
        <v>8961</v>
      </c>
      <c r="BT527" t="s">
        <v>8962</v>
      </c>
      <c r="BU527" t="s">
        <v>8963</v>
      </c>
      <c r="BV527" t="s">
        <v>69</v>
      </c>
      <c r="BW527" t="s">
        <v>8812</v>
      </c>
      <c r="BX527" t="s">
        <v>69</v>
      </c>
      <c r="BY527" t="s">
        <v>69</v>
      </c>
      <c r="BZ527" t="s">
        <v>8526</v>
      </c>
      <c r="CA527" t="str">
        <f>HYPERLINK("https%3A%2F%2Fwww.webofscience.com%2Fwos%2Fwoscc%2Ffull-record%2FWOS:000816784900001","View Full Record in Web of Science")</f>
        <v>View Full Record in Web of Science</v>
      </c>
    </row>
    <row r="528" spans="2:79" ht="12.5" x14ac:dyDescent="0.25">
      <c r="B528" t="s">
        <v>8495</v>
      </c>
      <c r="D528" s="22" t="s">
        <v>32931</v>
      </c>
      <c r="E528" s="7"/>
      <c r="F528" s="7"/>
      <c r="G528" s="7"/>
      <c r="H528" t="s">
        <v>67</v>
      </c>
      <c r="I528" t="s">
        <v>9294</v>
      </c>
      <c r="J528" t="s">
        <v>69</v>
      </c>
      <c r="K528" t="s">
        <v>69</v>
      </c>
      <c r="L528" t="s">
        <v>69</v>
      </c>
      <c r="M528" t="s">
        <v>9295</v>
      </c>
      <c r="N528" t="s">
        <v>69</v>
      </c>
      <c r="O528" t="s">
        <v>69</v>
      </c>
      <c r="P528" t="s">
        <v>9296</v>
      </c>
      <c r="Q528" t="s">
        <v>9297</v>
      </c>
      <c r="R528" t="s">
        <v>69</v>
      </c>
      <c r="S528" t="s">
        <v>69</v>
      </c>
      <c r="T528" t="s">
        <v>8505</v>
      </c>
      <c r="U528" t="s">
        <v>8556</v>
      </c>
      <c r="V528" t="s">
        <v>69</v>
      </c>
      <c r="W528" t="s">
        <v>69</v>
      </c>
      <c r="X528" t="s">
        <v>69</v>
      </c>
      <c r="Y528" t="s">
        <v>69</v>
      </c>
      <c r="Z528" t="s">
        <v>69</v>
      </c>
      <c r="AA528" t="s">
        <v>69</v>
      </c>
      <c r="AB528" t="s">
        <v>69</v>
      </c>
      <c r="AC528" t="s">
        <v>9298</v>
      </c>
      <c r="AD528" t="s">
        <v>9299</v>
      </c>
      <c r="AE528" t="s">
        <v>69</v>
      </c>
      <c r="AF528" t="s">
        <v>9300</v>
      </c>
      <c r="AG528" t="s">
        <v>9301</v>
      </c>
      <c r="AH528" t="s">
        <v>69</v>
      </c>
      <c r="AI528" t="s">
        <v>9302</v>
      </c>
      <c r="AJ528" t="s">
        <v>9303</v>
      </c>
      <c r="AK528" t="s">
        <v>9303</v>
      </c>
      <c r="AL528" t="s">
        <v>9304</v>
      </c>
      <c r="AM528" t="s">
        <v>69</v>
      </c>
      <c r="AN528">
        <v>16</v>
      </c>
      <c r="AO528">
        <v>0</v>
      </c>
      <c r="AP528">
        <v>0</v>
      </c>
      <c r="AQ528">
        <v>0</v>
      </c>
      <c r="AR528">
        <v>0</v>
      </c>
      <c r="AS528" t="s">
        <v>9305</v>
      </c>
      <c r="AT528" t="s">
        <v>8763</v>
      </c>
      <c r="AU528" t="s">
        <v>9306</v>
      </c>
      <c r="AV528" t="s">
        <v>9307</v>
      </c>
      <c r="AW528" t="s">
        <v>9308</v>
      </c>
      <c r="AX528" t="s">
        <v>69</v>
      </c>
      <c r="AY528" t="s">
        <v>9297</v>
      </c>
      <c r="AZ528" t="s">
        <v>9309</v>
      </c>
      <c r="BA528" t="s">
        <v>69</v>
      </c>
      <c r="BB528" t="s">
        <v>69</v>
      </c>
      <c r="BC528" t="s">
        <v>69</v>
      </c>
      <c r="BD528" t="s">
        <v>69</v>
      </c>
      <c r="BE528" t="s">
        <v>69</v>
      </c>
      <c r="BF528" t="s">
        <v>69</v>
      </c>
      <c r="BG528" t="s">
        <v>69</v>
      </c>
      <c r="BH528" t="s">
        <v>69</v>
      </c>
      <c r="BI528" t="s">
        <v>69</v>
      </c>
      <c r="BJ528" t="s">
        <v>69</v>
      </c>
      <c r="BK528" t="s">
        <v>69</v>
      </c>
      <c r="BL528" t="s">
        <v>9310</v>
      </c>
      <c r="BM528" t="str">
        <f>HYPERLINK("http://dx.doi.org/10.1038/s41433-022-02046-x","http://dx.doi.org/10.1038/s41433-022-02046-x")</f>
        <v>http://dx.doi.org/10.1038/s41433-022-02046-x</v>
      </c>
      <c r="BN528" t="s">
        <v>69</v>
      </c>
      <c r="BO528" t="s">
        <v>9228</v>
      </c>
      <c r="BP528">
        <v>5</v>
      </c>
      <c r="BQ528" t="s">
        <v>9311</v>
      </c>
      <c r="BR528" t="s">
        <v>8548</v>
      </c>
      <c r="BS528" t="s">
        <v>9311</v>
      </c>
      <c r="BT528" t="s">
        <v>9312</v>
      </c>
      <c r="BU528" t="s">
        <v>9313</v>
      </c>
      <c r="BV528">
        <v>35411112</v>
      </c>
      <c r="BW528" t="s">
        <v>69</v>
      </c>
      <c r="BX528" t="s">
        <v>69</v>
      </c>
      <c r="BY528" t="s">
        <v>69</v>
      </c>
      <c r="BZ528" t="s">
        <v>8526</v>
      </c>
      <c r="CA528" t="str">
        <f>HYPERLINK("https%3A%2F%2Fwww.webofscience.com%2Fwos%2Fwoscc%2Ffull-record%2FWOS:000780877600002","View Full Record in Web of Science")</f>
        <v>View Full Record in Web of Science</v>
      </c>
    </row>
    <row r="529" spans="2:79" ht="12.5" x14ac:dyDescent="0.25">
      <c r="B529" t="s">
        <v>8495</v>
      </c>
      <c r="D529" s="7" t="s">
        <v>32933</v>
      </c>
      <c r="E529" s="7"/>
      <c r="F529" s="7"/>
      <c r="G529" s="7"/>
      <c r="H529" t="s">
        <v>67</v>
      </c>
      <c r="I529" t="s">
        <v>8128</v>
      </c>
      <c r="J529" t="s">
        <v>69</v>
      </c>
      <c r="K529" t="s">
        <v>69</v>
      </c>
      <c r="L529" t="s">
        <v>69</v>
      </c>
      <c r="M529" t="s">
        <v>8129</v>
      </c>
      <c r="N529" t="s">
        <v>69</v>
      </c>
      <c r="O529" t="s">
        <v>69</v>
      </c>
      <c r="P529" t="s">
        <v>8130</v>
      </c>
      <c r="Q529" t="s">
        <v>8131</v>
      </c>
      <c r="R529" t="s">
        <v>69</v>
      </c>
      <c r="S529" t="s">
        <v>69</v>
      </c>
      <c r="T529" t="s">
        <v>8505</v>
      </c>
      <c r="U529" t="s">
        <v>8506</v>
      </c>
      <c r="V529" t="s">
        <v>69</v>
      </c>
      <c r="W529" t="s">
        <v>69</v>
      </c>
      <c r="X529" t="s">
        <v>69</v>
      </c>
      <c r="Y529" t="s">
        <v>69</v>
      </c>
      <c r="Z529" t="s">
        <v>69</v>
      </c>
      <c r="AA529" t="s">
        <v>14157</v>
      </c>
      <c r="AB529" t="s">
        <v>14158</v>
      </c>
      <c r="AC529" t="s">
        <v>8132</v>
      </c>
      <c r="AD529" t="s">
        <v>14159</v>
      </c>
      <c r="AE529" t="s">
        <v>69</v>
      </c>
      <c r="AF529" t="s">
        <v>14160</v>
      </c>
      <c r="AG529" t="s">
        <v>14161</v>
      </c>
      <c r="AH529" t="s">
        <v>69</v>
      </c>
      <c r="AI529" t="s">
        <v>8133</v>
      </c>
      <c r="AJ529" t="s">
        <v>69</v>
      </c>
      <c r="AK529" t="s">
        <v>69</v>
      </c>
      <c r="AL529" t="s">
        <v>69</v>
      </c>
      <c r="AM529" t="s">
        <v>69</v>
      </c>
      <c r="AN529">
        <v>70</v>
      </c>
      <c r="AO529">
        <v>0</v>
      </c>
      <c r="AP529">
        <v>0</v>
      </c>
      <c r="AQ529">
        <v>0</v>
      </c>
      <c r="AR529">
        <v>13</v>
      </c>
      <c r="AS529" t="s">
        <v>9145</v>
      </c>
      <c r="AT529" t="s">
        <v>8637</v>
      </c>
      <c r="AU529" t="s">
        <v>9146</v>
      </c>
      <c r="AV529" t="s">
        <v>8134</v>
      </c>
      <c r="AW529" t="s">
        <v>69</v>
      </c>
      <c r="AX529" t="s">
        <v>69</v>
      </c>
      <c r="AY529" t="s">
        <v>14162</v>
      </c>
      <c r="AZ529" t="s">
        <v>14163</v>
      </c>
      <c r="BA529" t="s">
        <v>274</v>
      </c>
      <c r="BB529">
        <v>2020</v>
      </c>
      <c r="BC529">
        <v>135</v>
      </c>
      <c r="BD529" t="s">
        <v>69</v>
      </c>
      <c r="BE529" t="s">
        <v>69</v>
      </c>
      <c r="BF529" t="s">
        <v>69</v>
      </c>
      <c r="BG529" t="s">
        <v>69</v>
      </c>
      <c r="BH529" t="s">
        <v>69</v>
      </c>
      <c r="BI529" t="s">
        <v>69</v>
      </c>
      <c r="BJ529" t="s">
        <v>69</v>
      </c>
      <c r="BK529">
        <v>105056</v>
      </c>
      <c r="BL529" t="s">
        <v>8135</v>
      </c>
      <c r="BM529" t="str">
        <f>HYPERLINK("http://dx.doi.org/10.1016/j.worlddev.2020.105056","http://dx.doi.org/10.1016/j.worlddev.2020.105056")</f>
        <v>http://dx.doi.org/10.1016/j.worlddev.2020.105056</v>
      </c>
      <c r="BN529" t="s">
        <v>69</v>
      </c>
      <c r="BO529" t="s">
        <v>69</v>
      </c>
      <c r="BP529">
        <v>12</v>
      </c>
      <c r="BQ529" t="s">
        <v>14164</v>
      </c>
      <c r="BR529" t="s">
        <v>8661</v>
      </c>
      <c r="BS529" t="s">
        <v>14165</v>
      </c>
      <c r="BT529" t="s">
        <v>14166</v>
      </c>
      <c r="BU529" t="s">
        <v>8136</v>
      </c>
      <c r="BV529" t="s">
        <v>69</v>
      </c>
      <c r="BW529" t="s">
        <v>69</v>
      </c>
      <c r="BX529" t="s">
        <v>69</v>
      </c>
      <c r="BY529" t="s">
        <v>69</v>
      </c>
      <c r="BZ529" t="s">
        <v>8526</v>
      </c>
      <c r="CA529" t="str">
        <f>HYPERLINK("https%3A%2F%2Fwww.webofscience.com%2Fwos%2Fwoscc%2Ffull-record%2FWOS:000564711800007","View Full Record in Web of Science")</f>
        <v>View Full Record in Web of Science</v>
      </c>
    </row>
    <row r="530" spans="2:79" ht="12.5" x14ac:dyDescent="0.25">
      <c r="B530" t="s">
        <v>8495</v>
      </c>
      <c r="D530" s="7" t="s">
        <v>32933</v>
      </c>
      <c r="E530" s="7"/>
      <c r="F530" s="7"/>
      <c r="G530" s="7"/>
      <c r="H530" t="s">
        <v>67</v>
      </c>
      <c r="I530" t="s">
        <v>3359</v>
      </c>
      <c r="J530" t="s">
        <v>69</v>
      </c>
      <c r="K530" t="s">
        <v>69</v>
      </c>
      <c r="L530" t="s">
        <v>69</v>
      </c>
      <c r="M530" t="s">
        <v>3360</v>
      </c>
      <c r="N530" t="s">
        <v>69</v>
      </c>
      <c r="O530" t="s">
        <v>69</v>
      </c>
      <c r="P530" t="s">
        <v>3361</v>
      </c>
      <c r="Q530" t="s">
        <v>1467</v>
      </c>
      <c r="R530" t="s">
        <v>69</v>
      </c>
      <c r="S530" t="s">
        <v>69</v>
      </c>
      <c r="T530" t="s">
        <v>8505</v>
      </c>
      <c r="U530" t="s">
        <v>8506</v>
      </c>
      <c r="V530" t="s">
        <v>69</v>
      </c>
      <c r="W530" t="s">
        <v>69</v>
      </c>
      <c r="X530" t="s">
        <v>69</v>
      </c>
      <c r="Y530" t="s">
        <v>69</v>
      </c>
      <c r="Z530" t="s">
        <v>69</v>
      </c>
      <c r="AA530" t="s">
        <v>25306</v>
      </c>
      <c r="AB530" t="s">
        <v>25307</v>
      </c>
      <c r="AC530" t="s">
        <v>3362</v>
      </c>
      <c r="AD530" t="s">
        <v>25308</v>
      </c>
      <c r="AE530" t="s">
        <v>69</v>
      </c>
      <c r="AF530" t="s">
        <v>25309</v>
      </c>
      <c r="AG530" t="s">
        <v>25310</v>
      </c>
      <c r="AH530" t="s">
        <v>69</v>
      </c>
      <c r="AI530" t="s">
        <v>69</v>
      </c>
      <c r="AJ530" t="s">
        <v>69</v>
      </c>
      <c r="AK530" t="s">
        <v>69</v>
      </c>
      <c r="AL530" t="s">
        <v>69</v>
      </c>
      <c r="AM530" t="s">
        <v>69</v>
      </c>
      <c r="AN530">
        <v>69</v>
      </c>
      <c r="AO530">
        <v>21</v>
      </c>
      <c r="AP530">
        <v>21</v>
      </c>
      <c r="AQ530">
        <v>4</v>
      </c>
      <c r="AR530">
        <v>31</v>
      </c>
      <c r="AS530" t="s">
        <v>8762</v>
      </c>
      <c r="AT530" t="s">
        <v>8763</v>
      </c>
      <c r="AU530" t="s">
        <v>8764</v>
      </c>
      <c r="AV530" t="s">
        <v>1469</v>
      </c>
      <c r="AW530" t="s">
        <v>1470</v>
      </c>
      <c r="AX530" t="s">
        <v>69</v>
      </c>
      <c r="AY530" t="s">
        <v>22443</v>
      </c>
      <c r="AZ530" t="s">
        <v>22444</v>
      </c>
      <c r="BA530" t="s">
        <v>69</v>
      </c>
      <c r="BB530">
        <v>2013</v>
      </c>
      <c r="BC530">
        <v>31</v>
      </c>
      <c r="BD530">
        <v>4</v>
      </c>
      <c r="BE530" t="s">
        <v>69</v>
      </c>
      <c r="BF530" t="s">
        <v>69</v>
      </c>
      <c r="BG530" t="s">
        <v>69</v>
      </c>
      <c r="BH530" t="s">
        <v>69</v>
      </c>
      <c r="BI530">
        <v>700</v>
      </c>
      <c r="BJ530">
        <v>715</v>
      </c>
      <c r="BK530" t="s">
        <v>69</v>
      </c>
      <c r="BL530" t="s">
        <v>3363</v>
      </c>
      <c r="BM530" t="str">
        <f>HYPERLINK("http://dx.doi.org/10.1068/c1254","http://dx.doi.org/10.1068/c1254")</f>
        <v>http://dx.doi.org/10.1068/c1254</v>
      </c>
      <c r="BN530" t="s">
        <v>69</v>
      </c>
      <c r="BO530" t="s">
        <v>69</v>
      </c>
      <c r="BP530">
        <v>16</v>
      </c>
      <c r="BQ530" t="s">
        <v>22445</v>
      </c>
      <c r="BR530" t="s">
        <v>8661</v>
      </c>
      <c r="BS530" t="s">
        <v>15243</v>
      </c>
      <c r="BT530" t="s">
        <v>25311</v>
      </c>
      <c r="BU530" t="s">
        <v>3364</v>
      </c>
      <c r="BV530" t="s">
        <v>69</v>
      </c>
      <c r="BW530" t="s">
        <v>10995</v>
      </c>
      <c r="BX530" t="s">
        <v>69</v>
      </c>
      <c r="BY530" t="s">
        <v>69</v>
      </c>
      <c r="BZ530" t="s">
        <v>8526</v>
      </c>
      <c r="CA530" t="str">
        <f>HYPERLINK("https%3A%2F%2Fwww.webofscience.com%2Fwos%2Fwoscc%2Ffull-record%2FWOS:000323038200009","View Full Record in Web of Science")</f>
        <v>View Full Record in Web of Science</v>
      </c>
    </row>
    <row r="531" spans="2:79" x14ac:dyDescent="0.3">
      <c r="B531" t="s">
        <v>8495</v>
      </c>
      <c r="D531" s="9" t="s">
        <v>32958</v>
      </c>
      <c r="G531" s="9" t="s">
        <v>33053</v>
      </c>
      <c r="H531" t="s">
        <v>67</v>
      </c>
      <c r="I531" t="s">
        <v>31832</v>
      </c>
      <c r="J531" t="s">
        <v>69</v>
      </c>
      <c r="K531" t="s">
        <v>69</v>
      </c>
      <c r="L531" t="s">
        <v>69</v>
      </c>
      <c r="M531" t="s">
        <v>31832</v>
      </c>
      <c r="N531" t="s">
        <v>69</v>
      </c>
      <c r="O531" t="s">
        <v>69</v>
      </c>
      <c r="P531" t="s">
        <v>31833</v>
      </c>
      <c r="Q531" t="s">
        <v>31704</v>
      </c>
      <c r="R531" t="s">
        <v>69</v>
      </c>
      <c r="S531" t="s">
        <v>69</v>
      </c>
      <c r="T531" t="s">
        <v>12534</v>
      </c>
      <c r="U531" t="s">
        <v>8506</v>
      </c>
      <c r="V531" t="s">
        <v>69</v>
      </c>
      <c r="W531" t="s">
        <v>69</v>
      </c>
      <c r="X531" t="s">
        <v>69</v>
      </c>
      <c r="Y531" t="s">
        <v>69</v>
      </c>
      <c r="Z531" t="s">
        <v>69</v>
      </c>
      <c r="AA531" t="s">
        <v>69</v>
      </c>
      <c r="AB531" t="s">
        <v>69</v>
      </c>
      <c r="AC531" t="s">
        <v>31834</v>
      </c>
      <c r="AD531" t="s">
        <v>31835</v>
      </c>
      <c r="AE531" t="s">
        <v>69</v>
      </c>
      <c r="AF531" t="s">
        <v>31836</v>
      </c>
      <c r="AG531" t="s">
        <v>69</v>
      </c>
      <c r="AH531" t="s">
        <v>69</v>
      </c>
      <c r="AI531" t="s">
        <v>69</v>
      </c>
      <c r="AJ531" t="s">
        <v>69</v>
      </c>
      <c r="AK531" t="s">
        <v>69</v>
      </c>
      <c r="AL531" t="s">
        <v>69</v>
      </c>
      <c r="AM531" t="s">
        <v>69</v>
      </c>
      <c r="AN531">
        <v>0</v>
      </c>
      <c r="AO531">
        <v>0</v>
      </c>
      <c r="AP531">
        <v>0</v>
      </c>
      <c r="AQ531">
        <v>0</v>
      </c>
      <c r="AR531">
        <v>1</v>
      </c>
      <c r="AS531" t="s">
        <v>30767</v>
      </c>
      <c r="AT531" t="s">
        <v>30768</v>
      </c>
      <c r="AU531" t="s">
        <v>30769</v>
      </c>
      <c r="AV531" t="s">
        <v>12505</v>
      </c>
      <c r="AW531" t="s">
        <v>69</v>
      </c>
      <c r="AX531" t="s">
        <v>69</v>
      </c>
      <c r="AY531" t="s">
        <v>31708</v>
      </c>
      <c r="AZ531" t="s">
        <v>31709</v>
      </c>
      <c r="BA531" t="s">
        <v>586</v>
      </c>
      <c r="BB531">
        <v>2000</v>
      </c>
      <c r="BC531">
        <v>45</v>
      </c>
      <c r="BD531">
        <v>5</v>
      </c>
      <c r="BE531" t="s">
        <v>69</v>
      </c>
      <c r="BF531" t="s">
        <v>69</v>
      </c>
      <c r="BG531" t="s">
        <v>69</v>
      </c>
      <c r="BH531" t="s">
        <v>69</v>
      </c>
      <c r="BI531">
        <v>315</v>
      </c>
      <c r="BJ531" t="s">
        <v>219</v>
      </c>
      <c r="BK531" t="s">
        <v>69</v>
      </c>
      <c r="BL531" t="s">
        <v>69</v>
      </c>
      <c r="BM531" t="s">
        <v>69</v>
      </c>
      <c r="BN531" t="s">
        <v>69</v>
      </c>
      <c r="BO531" t="s">
        <v>69</v>
      </c>
      <c r="BP531">
        <v>5</v>
      </c>
      <c r="BQ531" t="s">
        <v>12508</v>
      </c>
      <c r="BR531" t="s">
        <v>8548</v>
      </c>
      <c r="BS531" t="s">
        <v>12508</v>
      </c>
      <c r="BT531" t="s">
        <v>31837</v>
      </c>
      <c r="BU531" t="s">
        <v>31838</v>
      </c>
      <c r="BV531" t="s">
        <v>69</v>
      </c>
      <c r="BW531" t="s">
        <v>69</v>
      </c>
      <c r="BX531" t="s">
        <v>69</v>
      </c>
      <c r="BY531" t="s">
        <v>69</v>
      </c>
      <c r="BZ531" t="s">
        <v>8526</v>
      </c>
      <c r="CA531" t="str">
        <f>HYPERLINK("https%3A%2F%2Fwww.webofscience.com%2Fwos%2Fwoscc%2Ffull-record%2FWOS:000087613800010","View Full Record in Web of Science")</f>
        <v>View Full Record in Web of Science</v>
      </c>
    </row>
    <row r="532" spans="2:79" ht="12.5" x14ac:dyDescent="0.25">
      <c r="B532" t="s">
        <v>8495</v>
      </c>
      <c r="D532" s="7" t="s">
        <v>32933</v>
      </c>
      <c r="E532" s="7"/>
      <c r="F532" s="7"/>
      <c r="G532" s="7"/>
      <c r="H532" t="s">
        <v>67</v>
      </c>
      <c r="I532" t="s">
        <v>4134</v>
      </c>
      <c r="J532" t="s">
        <v>69</v>
      </c>
      <c r="K532" t="s">
        <v>69</v>
      </c>
      <c r="L532" t="s">
        <v>69</v>
      </c>
      <c r="M532" t="s">
        <v>4134</v>
      </c>
      <c r="N532" t="s">
        <v>69</v>
      </c>
      <c r="O532" t="s">
        <v>69</v>
      </c>
      <c r="P532" t="s">
        <v>4135</v>
      </c>
      <c r="Q532" t="s">
        <v>3929</v>
      </c>
      <c r="R532" t="s">
        <v>69</v>
      </c>
      <c r="S532" t="s">
        <v>69</v>
      </c>
      <c r="T532" t="s">
        <v>8505</v>
      </c>
      <c r="U532" t="s">
        <v>8506</v>
      </c>
      <c r="V532" t="s">
        <v>69</v>
      </c>
      <c r="W532" t="s">
        <v>69</v>
      </c>
      <c r="X532" t="s">
        <v>69</v>
      </c>
      <c r="Y532" t="s">
        <v>69</v>
      </c>
      <c r="Z532" t="s">
        <v>69</v>
      </c>
      <c r="AA532" t="s">
        <v>31868</v>
      </c>
      <c r="AB532" t="s">
        <v>69</v>
      </c>
      <c r="AC532" t="s">
        <v>4136</v>
      </c>
      <c r="AD532" t="s">
        <v>31869</v>
      </c>
      <c r="AE532" t="s">
        <v>69</v>
      </c>
      <c r="AF532" t="s">
        <v>31870</v>
      </c>
      <c r="AG532" t="s">
        <v>69</v>
      </c>
      <c r="AH532" t="s">
        <v>69</v>
      </c>
      <c r="AI532" t="s">
        <v>69</v>
      </c>
      <c r="AJ532" t="s">
        <v>69</v>
      </c>
      <c r="AK532" t="s">
        <v>69</v>
      </c>
      <c r="AL532" t="s">
        <v>69</v>
      </c>
      <c r="AM532" t="s">
        <v>69</v>
      </c>
      <c r="AN532">
        <v>7</v>
      </c>
      <c r="AO532">
        <v>1</v>
      </c>
      <c r="AP532">
        <v>1</v>
      </c>
      <c r="AQ532">
        <v>0</v>
      </c>
      <c r="AR532">
        <v>1</v>
      </c>
      <c r="AS532" t="s">
        <v>13509</v>
      </c>
      <c r="AT532" t="s">
        <v>31871</v>
      </c>
      <c r="AU532" t="s">
        <v>31872</v>
      </c>
      <c r="AV532" t="s">
        <v>3931</v>
      </c>
      <c r="AW532" t="s">
        <v>69</v>
      </c>
      <c r="AX532" t="s">
        <v>69</v>
      </c>
      <c r="AY532" t="s">
        <v>28096</v>
      </c>
      <c r="AZ532" t="s">
        <v>28097</v>
      </c>
      <c r="BA532" t="s">
        <v>69</v>
      </c>
      <c r="BB532">
        <v>2000</v>
      </c>
      <c r="BC532">
        <v>19</v>
      </c>
      <c r="BD532" t="s">
        <v>3849</v>
      </c>
      <c r="BE532" t="s">
        <v>69</v>
      </c>
      <c r="BF532" t="s">
        <v>69</v>
      </c>
      <c r="BG532" t="s">
        <v>69</v>
      </c>
      <c r="BH532" t="s">
        <v>69</v>
      </c>
      <c r="BI532">
        <v>846</v>
      </c>
      <c r="BJ532">
        <v>863</v>
      </c>
      <c r="BK532" t="s">
        <v>69</v>
      </c>
      <c r="BL532" t="s">
        <v>4137</v>
      </c>
      <c r="BM532" t="str">
        <f>HYPERLINK("http://dx.doi.org/10.1504/IJTM.2000.002847","http://dx.doi.org/10.1504/IJTM.2000.002847")</f>
        <v>http://dx.doi.org/10.1504/IJTM.2000.002847</v>
      </c>
      <c r="BN532" t="s">
        <v>69</v>
      </c>
      <c r="BO532" t="s">
        <v>69</v>
      </c>
      <c r="BP532">
        <v>18</v>
      </c>
      <c r="BQ532" t="s">
        <v>28099</v>
      </c>
      <c r="BR532" t="s">
        <v>8523</v>
      </c>
      <c r="BS532" t="s">
        <v>15877</v>
      </c>
      <c r="BT532" t="s">
        <v>31873</v>
      </c>
      <c r="BU532" t="s">
        <v>4138</v>
      </c>
      <c r="BV532" t="s">
        <v>69</v>
      </c>
      <c r="BW532" t="s">
        <v>69</v>
      </c>
      <c r="BX532" t="s">
        <v>69</v>
      </c>
      <c r="BY532" t="s">
        <v>69</v>
      </c>
      <c r="BZ532" t="s">
        <v>8526</v>
      </c>
      <c r="CA532" t="str">
        <f>HYPERLINK("https%3A%2F%2Fwww.webofscience.com%2Fwos%2Fwoscc%2Ffull-record%2FWOS:000087665300011","View Full Record in Web of Science")</f>
        <v>View Full Record in Web of Science</v>
      </c>
    </row>
    <row r="533" spans="2:79" ht="12.5" x14ac:dyDescent="0.25">
      <c r="B533" t="s">
        <v>8495</v>
      </c>
      <c r="D533" s="7" t="s">
        <v>32933</v>
      </c>
      <c r="E533" s="7"/>
      <c r="F533" s="7"/>
      <c r="G533" s="7"/>
      <c r="H533" t="s">
        <v>67</v>
      </c>
      <c r="I533" t="s">
        <v>4127</v>
      </c>
      <c r="J533" t="s">
        <v>69</v>
      </c>
      <c r="K533" t="s">
        <v>69</v>
      </c>
      <c r="L533" t="s">
        <v>69</v>
      </c>
      <c r="M533" t="s">
        <v>4127</v>
      </c>
      <c r="N533" t="s">
        <v>69</v>
      </c>
      <c r="O533" t="s">
        <v>69</v>
      </c>
      <c r="P533" t="s">
        <v>4128</v>
      </c>
      <c r="Q533" t="s">
        <v>4129</v>
      </c>
      <c r="R533" t="s">
        <v>69</v>
      </c>
      <c r="S533" t="s">
        <v>69</v>
      </c>
      <c r="T533" t="s">
        <v>8505</v>
      </c>
      <c r="U533" t="s">
        <v>8506</v>
      </c>
      <c r="V533" t="s">
        <v>69</v>
      </c>
      <c r="W533" t="s">
        <v>69</v>
      </c>
      <c r="X533" t="s">
        <v>69</v>
      </c>
      <c r="Y533" t="s">
        <v>69</v>
      </c>
      <c r="Z533" t="s">
        <v>69</v>
      </c>
      <c r="AA533" t="s">
        <v>69</v>
      </c>
      <c r="AB533" t="s">
        <v>69</v>
      </c>
      <c r="AC533" t="s">
        <v>4130</v>
      </c>
      <c r="AD533" t="s">
        <v>31824</v>
      </c>
      <c r="AE533" t="s">
        <v>69</v>
      </c>
      <c r="AF533" t="s">
        <v>31825</v>
      </c>
      <c r="AG533" t="s">
        <v>69</v>
      </c>
      <c r="AH533" t="s">
        <v>69</v>
      </c>
      <c r="AI533" t="s">
        <v>69</v>
      </c>
      <c r="AJ533" t="s">
        <v>69</v>
      </c>
      <c r="AK533" t="s">
        <v>69</v>
      </c>
      <c r="AL533" t="s">
        <v>69</v>
      </c>
      <c r="AM533" t="s">
        <v>69</v>
      </c>
      <c r="AN533">
        <v>28</v>
      </c>
      <c r="AO533">
        <v>14</v>
      </c>
      <c r="AP533">
        <v>15</v>
      </c>
      <c r="AQ533">
        <v>0</v>
      </c>
      <c r="AR533">
        <v>1</v>
      </c>
      <c r="AS533" t="s">
        <v>31597</v>
      </c>
      <c r="AT533" t="s">
        <v>31598</v>
      </c>
      <c r="AU533" t="s">
        <v>31599</v>
      </c>
      <c r="AV533" t="s">
        <v>4131</v>
      </c>
      <c r="AW533" t="s">
        <v>69</v>
      </c>
      <c r="AX533" t="s">
        <v>69</v>
      </c>
      <c r="AY533" t="s">
        <v>31826</v>
      </c>
      <c r="AZ533" t="s">
        <v>31827</v>
      </c>
      <c r="BA533" t="s">
        <v>1628</v>
      </c>
      <c r="BB533">
        <v>2000</v>
      </c>
      <c r="BC533">
        <v>20</v>
      </c>
      <c r="BD533">
        <v>2</v>
      </c>
      <c r="BE533" t="s">
        <v>69</v>
      </c>
      <c r="BF533" t="s">
        <v>69</v>
      </c>
      <c r="BG533" t="s">
        <v>69</v>
      </c>
      <c r="BH533" t="s">
        <v>69</v>
      </c>
      <c r="BI533">
        <v>87</v>
      </c>
      <c r="BJ533">
        <v>94</v>
      </c>
      <c r="BK533" t="s">
        <v>69</v>
      </c>
      <c r="BL533" t="s">
        <v>4132</v>
      </c>
      <c r="BM533" t="str">
        <f>HYPERLINK("http://dx.doi.org/10.1177/027112140002000204","http://dx.doi.org/10.1177/027112140002000204")</f>
        <v>http://dx.doi.org/10.1177/027112140002000204</v>
      </c>
      <c r="BN533" t="s">
        <v>69</v>
      </c>
      <c r="BO533" t="s">
        <v>69</v>
      </c>
      <c r="BP533">
        <v>8</v>
      </c>
      <c r="BQ533" t="s">
        <v>13837</v>
      </c>
      <c r="BR533" t="s">
        <v>8661</v>
      </c>
      <c r="BS533" t="s">
        <v>9290</v>
      </c>
      <c r="BT533" t="s">
        <v>31828</v>
      </c>
      <c r="BU533" t="s">
        <v>4133</v>
      </c>
      <c r="BV533" t="s">
        <v>69</v>
      </c>
      <c r="BW533" t="s">
        <v>69</v>
      </c>
      <c r="BX533" t="s">
        <v>69</v>
      </c>
      <c r="BY533" t="s">
        <v>69</v>
      </c>
      <c r="BZ533" t="s">
        <v>8526</v>
      </c>
      <c r="CA533" t="str">
        <f>HYPERLINK("https%3A%2F%2Fwww.webofscience.com%2Fwos%2Fwoscc%2Ffull-record%2FWOS:000087963400005","View Full Record in Web of Science")</f>
        <v>View Full Record in Web of Science</v>
      </c>
    </row>
    <row r="534" spans="2:79" ht="12.5" x14ac:dyDescent="0.25">
      <c r="B534" t="s">
        <v>8495</v>
      </c>
      <c r="D534" s="22" t="s">
        <v>32931</v>
      </c>
      <c r="E534" s="7"/>
      <c r="F534" s="7"/>
      <c r="G534" s="7"/>
      <c r="H534" t="s">
        <v>67</v>
      </c>
      <c r="I534" t="s">
        <v>16628</v>
      </c>
      <c r="J534" t="s">
        <v>69</v>
      </c>
      <c r="K534" t="s">
        <v>69</v>
      </c>
      <c r="L534" t="s">
        <v>69</v>
      </c>
      <c r="M534" t="s">
        <v>16629</v>
      </c>
      <c r="N534" t="s">
        <v>69</v>
      </c>
      <c r="O534" t="s">
        <v>69</v>
      </c>
      <c r="P534" t="s">
        <v>16630</v>
      </c>
      <c r="Q534" t="s">
        <v>16631</v>
      </c>
      <c r="R534" t="s">
        <v>69</v>
      </c>
      <c r="S534" t="s">
        <v>69</v>
      </c>
      <c r="T534" t="s">
        <v>8505</v>
      </c>
      <c r="U534" t="s">
        <v>8506</v>
      </c>
      <c r="V534" t="s">
        <v>69</v>
      </c>
      <c r="W534" t="s">
        <v>69</v>
      </c>
      <c r="X534" t="s">
        <v>69</v>
      </c>
      <c r="Y534" t="s">
        <v>69</v>
      </c>
      <c r="Z534" t="s">
        <v>69</v>
      </c>
      <c r="AA534" t="s">
        <v>16632</v>
      </c>
      <c r="AB534" t="s">
        <v>16633</v>
      </c>
      <c r="AC534" t="s">
        <v>16634</v>
      </c>
      <c r="AD534" t="s">
        <v>16635</v>
      </c>
      <c r="AE534" t="s">
        <v>69</v>
      </c>
      <c r="AF534" t="s">
        <v>16636</v>
      </c>
      <c r="AG534" t="s">
        <v>16637</v>
      </c>
      <c r="AH534" t="s">
        <v>16638</v>
      </c>
      <c r="AI534" t="s">
        <v>16639</v>
      </c>
      <c r="AJ534" t="s">
        <v>16640</v>
      </c>
      <c r="AK534" t="s">
        <v>16641</v>
      </c>
      <c r="AL534" t="s">
        <v>16642</v>
      </c>
      <c r="AM534" t="s">
        <v>69</v>
      </c>
      <c r="AN534">
        <v>20</v>
      </c>
      <c r="AO534">
        <v>13</v>
      </c>
      <c r="AP534">
        <v>13</v>
      </c>
      <c r="AQ534">
        <v>0</v>
      </c>
      <c r="AR534">
        <v>1</v>
      </c>
      <c r="AS534" t="s">
        <v>9047</v>
      </c>
      <c r="AT534" t="s">
        <v>8693</v>
      </c>
      <c r="AU534" t="s">
        <v>16643</v>
      </c>
      <c r="AV534" t="s">
        <v>16644</v>
      </c>
      <c r="AW534" t="s">
        <v>16645</v>
      </c>
      <c r="AX534" t="s">
        <v>69</v>
      </c>
      <c r="AY534" t="s">
        <v>16646</v>
      </c>
      <c r="AZ534" t="s">
        <v>16647</v>
      </c>
      <c r="BA534" t="s">
        <v>381</v>
      </c>
      <c r="BB534">
        <v>2019</v>
      </c>
      <c r="BC534">
        <v>34</v>
      </c>
      <c r="BD534">
        <v>10</v>
      </c>
      <c r="BE534" t="s">
        <v>69</v>
      </c>
      <c r="BF534" t="s">
        <v>69</v>
      </c>
      <c r="BG534" t="s">
        <v>69</v>
      </c>
      <c r="BH534" t="s">
        <v>69</v>
      </c>
      <c r="BI534">
        <v>2150</v>
      </c>
      <c r="BJ534">
        <v>2158</v>
      </c>
      <c r="BK534" t="s">
        <v>69</v>
      </c>
      <c r="BL534" t="s">
        <v>16648</v>
      </c>
      <c r="BM534" t="str">
        <f>HYPERLINK("http://dx.doi.org/10.1007/s11606-019-05195-0","http://dx.doi.org/10.1007/s11606-019-05195-0")</f>
        <v>http://dx.doi.org/10.1007/s11606-019-05195-0</v>
      </c>
      <c r="BN534" t="s">
        <v>69</v>
      </c>
      <c r="BO534" t="s">
        <v>69</v>
      </c>
      <c r="BP534">
        <v>9</v>
      </c>
      <c r="BQ534" t="s">
        <v>9186</v>
      </c>
      <c r="BR534" t="s">
        <v>8548</v>
      </c>
      <c r="BS534" t="s">
        <v>9187</v>
      </c>
      <c r="BT534" t="s">
        <v>16649</v>
      </c>
      <c r="BU534" t="s">
        <v>16650</v>
      </c>
      <c r="BV534">
        <v>31367872</v>
      </c>
      <c r="BW534" t="s">
        <v>9029</v>
      </c>
      <c r="BX534" t="s">
        <v>69</v>
      </c>
      <c r="BY534" t="s">
        <v>69</v>
      </c>
      <c r="BZ534" t="s">
        <v>8526</v>
      </c>
      <c r="CA534" t="str">
        <f>HYPERLINK("https%3A%2F%2Fwww.webofscience.com%2Fwos%2Fwoscc%2Ffull-record%2FWOS:000495477900045","View Full Record in Web of Science")</f>
        <v>View Full Record in Web of Science</v>
      </c>
    </row>
    <row r="535" spans="2:79" x14ac:dyDescent="0.3">
      <c r="B535" t="s">
        <v>8495</v>
      </c>
      <c r="D535" s="9" t="s">
        <v>32958</v>
      </c>
      <c r="E535" s="9" t="s">
        <v>33104</v>
      </c>
      <c r="F535" s="9" t="s">
        <v>8491</v>
      </c>
      <c r="G535" s="9" t="s">
        <v>8490</v>
      </c>
      <c r="H535" t="s">
        <v>67</v>
      </c>
      <c r="I535" t="s">
        <v>9629</v>
      </c>
      <c r="J535" t="s">
        <v>69</v>
      </c>
      <c r="K535" t="s">
        <v>69</v>
      </c>
      <c r="L535" t="s">
        <v>69</v>
      </c>
      <c r="M535" t="s">
        <v>9630</v>
      </c>
      <c r="N535" t="s">
        <v>69</v>
      </c>
      <c r="O535" t="s">
        <v>69</v>
      </c>
      <c r="P535" t="s">
        <v>9631</v>
      </c>
      <c r="Q535" t="s">
        <v>417</v>
      </c>
      <c r="R535" t="s">
        <v>69</v>
      </c>
      <c r="S535" t="s">
        <v>69</v>
      </c>
      <c r="T535" t="s">
        <v>8505</v>
      </c>
      <c r="U535" t="s">
        <v>8506</v>
      </c>
      <c r="V535" t="s">
        <v>69</v>
      </c>
      <c r="W535" t="s">
        <v>69</v>
      </c>
      <c r="X535" t="s">
        <v>69</v>
      </c>
      <c r="Y535" t="s">
        <v>69</v>
      </c>
      <c r="Z535" t="s">
        <v>69</v>
      </c>
      <c r="AA535" t="s">
        <v>9632</v>
      </c>
      <c r="AB535" t="s">
        <v>9633</v>
      </c>
      <c r="AC535" t="s">
        <v>9634</v>
      </c>
      <c r="AD535" t="s">
        <v>9635</v>
      </c>
      <c r="AE535" t="s">
        <v>69</v>
      </c>
      <c r="AF535" t="s">
        <v>9636</v>
      </c>
      <c r="AG535" t="s">
        <v>9637</v>
      </c>
      <c r="AH535" t="s">
        <v>69</v>
      </c>
      <c r="AI535" t="s">
        <v>69</v>
      </c>
      <c r="AJ535" t="s">
        <v>69</v>
      </c>
      <c r="AK535" t="s">
        <v>69</v>
      </c>
      <c r="AL535" t="s">
        <v>69</v>
      </c>
      <c r="AM535" t="s">
        <v>69</v>
      </c>
      <c r="AN535">
        <v>111</v>
      </c>
      <c r="AO535">
        <v>0</v>
      </c>
      <c r="AP535">
        <v>0</v>
      </c>
      <c r="AQ535">
        <v>0</v>
      </c>
      <c r="AR535">
        <v>0</v>
      </c>
      <c r="AS535" t="s">
        <v>9145</v>
      </c>
      <c r="AT535" t="s">
        <v>8637</v>
      </c>
      <c r="AU535" t="s">
        <v>9146</v>
      </c>
      <c r="AV535" t="s">
        <v>419</v>
      </c>
      <c r="AW535" t="s">
        <v>420</v>
      </c>
      <c r="AX535" t="s">
        <v>69</v>
      </c>
      <c r="AY535" t="s">
        <v>417</v>
      </c>
      <c r="AZ535" t="s">
        <v>8482</v>
      </c>
      <c r="BA535" t="s">
        <v>94</v>
      </c>
      <c r="BB535">
        <v>2022</v>
      </c>
      <c r="BC535">
        <v>130</v>
      </c>
      <c r="BD535" t="s">
        <v>69</v>
      </c>
      <c r="BE535" t="s">
        <v>69</v>
      </c>
      <c r="BF535" t="s">
        <v>69</v>
      </c>
      <c r="BG535" t="s">
        <v>69</v>
      </c>
      <c r="BH535" t="s">
        <v>69</v>
      </c>
      <c r="BI535">
        <v>23</v>
      </c>
      <c r="BJ535">
        <v>34</v>
      </c>
      <c r="BK535" t="s">
        <v>69</v>
      </c>
      <c r="BL535" t="s">
        <v>9638</v>
      </c>
      <c r="BM535" t="str">
        <f>HYPERLINK("http://dx.doi.org/10.1016/j.geoforum.2022.01.016","http://dx.doi.org/10.1016/j.geoforum.2022.01.016")</f>
        <v>http://dx.doi.org/10.1016/j.geoforum.2022.01.016</v>
      </c>
      <c r="BN535" t="s">
        <v>69</v>
      </c>
      <c r="BO535" t="s">
        <v>69</v>
      </c>
      <c r="BP535">
        <v>12</v>
      </c>
      <c r="BQ535" t="s">
        <v>8446</v>
      </c>
      <c r="BR535" t="s">
        <v>8661</v>
      </c>
      <c r="BS535" t="s">
        <v>8446</v>
      </c>
      <c r="BT535" t="s">
        <v>9639</v>
      </c>
      <c r="BU535" t="s">
        <v>9640</v>
      </c>
      <c r="BV535" t="s">
        <v>69</v>
      </c>
      <c r="BW535" t="s">
        <v>69</v>
      </c>
      <c r="BX535" t="s">
        <v>69</v>
      </c>
      <c r="BY535" t="s">
        <v>69</v>
      </c>
      <c r="BZ535" t="s">
        <v>8526</v>
      </c>
      <c r="CA535" t="str">
        <f>HYPERLINK("https%3A%2F%2Fwww.webofscience.com%2Fwos%2Fwoscc%2Ffull-record%2FWOS:000820442300003","View Full Record in Web of Science")</f>
        <v>View Full Record in Web of Science</v>
      </c>
    </row>
    <row r="536" spans="2:79" ht="12.5" x14ac:dyDescent="0.25">
      <c r="B536" t="s">
        <v>8495</v>
      </c>
      <c r="D536" s="7" t="s">
        <v>32933</v>
      </c>
      <c r="E536" s="7"/>
      <c r="F536" s="7"/>
      <c r="G536" s="7"/>
      <c r="H536" t="s">
        <v>67</v>
      </c>
      <c r="I536" t="s">
        <v>6774</v>
      </c>
      <c r="J536" t="s">
        <v>69</v>
      </c>
      <c r="K536" t="s">
        <v>69</v>
      </c>
      <c r="L536" t="s">
        <v>69</v>
      </c>
      <c r="M536" t="s">
        <v>6774</v>
      </c>
      <c r="N536" t="s">
        <v>69</v>
      </c>
      <c r="O536" t="s">
        <v>69</v>
      </c>
      <c r="P536" t="s">
        <v>6775</v>
      </c>
      <c r="Q536" t="s">
        <v>6776</v>
      </c>
      <c r="R536" t="s">
        <v>69</v>
      </c>
      <c r="S536" t="s">
        <v>69</v>
      </c>
      <c r="T536" t="s">
        <v>8505</v>
      </c>
      <c r="U536" t="s">
        <v>8506</v>
      </c>
      <c r="V536" t="s">
        <v>69</v>
      </c>
      <c r="W536" t="s">
        <v>69</v>
      </c>
      <c r="X536" t="s">
        <v>69</v>
      </c>
      <c r="Y536" t="s">
        <v>69</v>
      </c>
      <c r="Z536" t="s">
        <v>69</v>
      </c>
      <c r="AA536" t="s">
        <v>69</v>
      </c>
      <c r="AB536" t="s">
        <v>69</v>
      </c>
      <c r="AC536" t="s">
        <v>6777</v>
      </c>
      <c r="AD536" t="s">
        <v>69</v>
      </c>
      <c r="AE536" t="s">
        <v>69</v>
      </c>
      <c r="AF536" t="s">
        <v>69</v>
      </c>
      <c r="AG536" t="s">
        <v>69</v>
      </c>
      <c r="AH536" t="s">
        <v>69</v>
      </c>
      <c r="AI536" t="s">
        <v>69</v>
      </c>
      <c r="AJ536" t="s">
        <v>69</v>
      </c>
      <c r="AK536" t="s">
        <v>69</v>
      </c>
      <c r="AL536" t="s">
        <v>69</v>
      </c>
      <c r="AM536" t="s">
        <v>69</v>
      </c>
      <c r="AN536">
        <v>12</v>
      </c>
      <c r="AO536">
        <v>1</v>
      </c>
      <c r="AP536">
        <v>1</v>
      </c>
      <c r="AQ536">
        <v>0</v>
      </c>
      <c r="AR536">
        <v>6</v>
      </c>
      <c r="AS536" t="s">
        <v>32789</v>
      </c>
      <c r="AT536" t="s">
        <v>32790</v>
      </c>
      <c r="AU536" t="s">
        <v>32791</v>
      </c>
      <c r="AV536" t="s">
        <v>6778</v>
      </c>
      <c r="AW536" t="s">
        <v>69</v>
      </c>
      <c r="AX536" t="s">
        <v>69</v>
      </c>
      <c r="AY536" t="s">
        <v>32792</v>
      </c>
      <c r="AZ536" t="s">
        <v>32793</v>
      </c>
      <c r="BA536" t="s">
        <v>1628</v>
      </c>
      <c r="BB536">
        <v>1993</v>
      </c>
      <c r="BC536">
        <v>31</v>
      </c>
      <c r="BD536">
        <v>4</v>
      </c>
      <c r="BE536" t="s">
        <v>69</v>
      </c>
      <c r="BF536" t="s">
        <v>69</v>
      </c>
      <c r="BG536" t="s">
        <v>69</v>
      </c>
      <c r="BH536" t="s">
        <v>69</v>
      </c>
      <c r="BI536">
        <v>51</v>
      </c>
      <c r="BJ536">
        <v>81</v>
      </c>
      <c r="BK536" t="s">
        <v>69</v>
      </c>
      <c r="BL536" t="s">
        <v>6779</v>
      </c>
      <c r="BM536" t="str">
        <f>HYPERLINK("http://dx.doi.org/10.1080/00128775.1993.11648511","http://dx.doi.org/10.1080/00128775.1993.11648511")</f>
        <v>http://dx.doi.org/10.1080/00128775.1993.11648511</v>
      </c>
      <c r="BN536" t="s">
        <v>69</v>
      </c>
      <c r="BO536" t="s">
        <v>69</v>
      </c>
      <c r="BP536">
        <v>31</v>
      </c>
      <c r="BQ536" t="s">
        <v>9726</v>
      </c>
      <c r="BR536" t="s">
        <v>8661</v>
      </c>
      <c r="BS536" t="s">
        <v>8594</v>
      </c>
      <c r="BT536" t="s">
        <v>32794</v>
      </c>
      <c r="BU536" t="s">
        <v>6780</v>
      </c>
      <c r="BV536" t="s">
        <v>69</v>
      </c>
      <c r="BW536" t="s">
        <v>69</v>
      </c>
      <c r="BX536" t="s">
        <v>69</v>
      </c>
      <c r="BY536" t="s">
        <v>69</v>
      </c>
      <c r="BZ536" t="s">
        <v>8526</v>
      </c>
      <c r="CA536" t="str">
        <f>HYPERLINK("https%3A%2F%2Fwww.webofscience.com%2Fwos%2Fwoscc%2Ffull-record%2FWOS:A1993MH13300003","View Full Record in Web of Science")</f>
        <v>View Full Record in Web of Science</v>
      </c>
    </row>
    <row r="537" spans="2:79" ht="12.5" x14ac:dyDescent="0.25">
      <c r="B537" t="s">
        <v>8495</v>
      </c>
      <c r="D537" s="7" t="s">
        <v>32933</v>
      </c>
      <c r="E537" s="7"/>
      <c r="F537" s="7"/>
      <c r="G537" s="7"/>
      <c r="H537" t="s">
        <v>67</v>
      </c>
      <c r="I537" t="s">
        <v>6215</v>
      </c>
      <c r="J537" t="s">
        <v>69</v>
      </c>
      <c r="K537" t="s">
        <v>69</v>
      </c>
      <c r="L537" t="s">
        <v>69</v>
      </c>
      <c r="M537" t="s">
        <v>6216</v>
      </c>
      <c r="N537" t="s">
        <v>69</v>
      </c>
      <c r="O537" t="s">
        <v>69</v>
      </c>
      <c r="P537" s="3" t="s">
        <v>6217</v>
      </c>
      <c r="Q537" t="s">
        <v>436</v>
      </c>
      <c r="R537" t="s">
        <v>69</v>
      </c>
      <c r="S537" t="s">
        <v>69</v>
      </c>
      <c r="T537" t="s">
        <v>8505</v>
      </c>
      <c r="U537" t="s">
        <v>8506</v>
      </c>
      <c r="V537" t="s">
        <v>69</v>
      </c>
      <c r="W537" t="s">
        <v>69</v>
      </c>
      <c r="X537" t="s">
        <v>69</v>
      </c>
      <c r="Y537" t="s">
        <v>69</v>
      </c>
      <c r="Z537" t="s">
        <v>69</v>
      </c>
      <c r="AA537" t="s">
        <v>21222</v>
      </c>
      <c r="AB537" t="s">
        <v>21223</v>
      </c>
      <c r="AC537" t="s">
        <v>6218</v>
      </c>
      <c r="AD537" t="s">
        <v>21224</v>
      </c>
      <c r="AE537" t="s">
        <v>69</v>
      </c>
      <c r="AF537" t="s">
        <v>21225</v>
      </c>
      <c r="AG537" t="s">
        <v>21226</v>
      </c>
      <c r="AH537" t="s">
        <v>21227</v>
      </c>
      <c r="AI537" t="s">
        <v>21228</v>
      </c>
      <c r="AJ537" t="s">
        <v>21229</v>
      </c>
      <c r="AK537" t="s">
        <v>21230</v>
      </c>
      <c r="AL537" t="s">
        <v>21231</v>
      </c>
      <c r="AM537" t="s">
        <v>69</v>
      </c>
      <c r="AN537">
        <v>77</v>
      </c>
      <c r="AO537">
        <v>60</v>
      </c>
      <c r="AP537">
        <v>60</v>
      </c>
      <c r="AQ537">
        <v>5</v>
      </c>
      <c r="AR537">
        <v>123</v>
      </c>
      <c r="AS537" t="s">
        <v>8636</v>
      </c>
      <c r="AT537" t="s">
        <v>8637</v>
      </c>
      <c r="AU537" t="s">
        <v>8638</v>
      </c>
      <c r="AV537" t="s">
        <v>440</v>
      </c>
      <c r="AW537" t="s">
        <v>441</v>
      </c>
      <c r="AX537" t="s">
        <v>69</v>
      </c>
      <c r="AY537" t="s">
        <v>8639</v>
      </c>
      <c r="AZ537" t="s">
        <v>8640</v>
      </c>
      <c r="BA537" t="s">
        <v>2982</v>
      </c>
      <c r="BB537">
        <v>2016</v>
      </c>
      <c r="BC537">
        <v>134</v>
      </c>
      <c r="BD537" t="s">
        <v>69</v>
      </c>
      <c r="BE537" t="s">
        <v>6219</v>
      </c>
      <c r="BF537" t="s">
        <v>69</v>
      </c>
      <c r="BG537" t="s">
        <v>114</v>
      </c>
      <c r="BH537" t="s">
        <v>69</v>
      </c>
      <c r="BI537">
        <v>31</v>
      </c>
      <c r="BJ537">
        <v>41</v>
      </c>
      <c r="BK537" t="s">
        <v>69</v>
      </c>
      <c r="BL537" t="s">
        <v>6220</v>
      </c>
      <c r="BM537" t="str">
        <f>HYPERLINK("http://dx.doi.org/10.1016/j.jclepro.2016.03.083","http://dx.doi.org/10.1016/j.jclepro.2016.03.083")</f>
        <v>http://dx.doi.org/10.1016/j.jclepro.2016.03.083</v>
      </c>
      <c r="BN537" t="s">
        <v>69</v>
      </c>
      <c r="BO537" t="s">
        <v>69</v>
      </c>
      <c r="BP537">
        <v>11</v>
      </c>
      <c r="BQ537" t="s">
        <v>8643</v>
      </c>
      <c r="BR537" t="s">
        <v>8523</v>
      </c>
      <c r="BS537" t="s">
        <v>8644</v>
      </c>
      <c r="BT537" t="s">
        <v>21232</v>
      </c>
      <c r="BU537" t="s">
        <v>6221</v>
      </c>
      <c r="BV537" t="s">
        <v>69</v>
      </c>
      <c r="BW537" t="s">
        <v>9292</v>
      </c>
      <c r="BX537" t="s">
        <v>69</v>
      </c>
      <c r="BY537" t="s">
        <v>69</v>
      </c>
      <c r="BZ537" t="s">
        <v>8526</v>
      </c>
      <c r="CA537" t="str">
        <f>HYPERLINK("https%3A%2F%2Fwww.webofscience.com%2Fwos%2Fwoscc%2Ffull-record%2FWOS:000382409700004","View Full Record in Web of Science")</f>
        <v>View Full Record in Web of Science</v>
      </c>
    </row>
    <row r="538" spans="2:79" ht="12.5" x14ac:dyDescent="0.25">
      <c r="B538" t="s">
        <v>8495</v>
      </c>
      <c r="D538" s="7" t="s">
        <v>32933</v>
      </c>
      <c r="E538" s="7"/>
      <c r="F538" s="7"/>
      <c r="G538" s="7"/>
      <c r="H538" t="s">
        <v>67</v>
      </c>
      <c r="I538" t="s">
        <v>3639</v>
      </c>
      <c r="J538" t="s">
        <v>69</v>
      </c>
      <c r="K538" t="s">
        <v>69</v>
      </c>
      <c r="L538" t="s">
        <v>69</v>
      </c>
      <c r="M538" t="s">
        <v>3640</v>
      </c>
      <c r="N538" t="s">
        <v>69</v>
      </c>
      <c r="O538" t="s">
        <v>69</v>
      </c>
      <c r="P538" t="s">
        <v>3641</v>
      </c>
      <c r="Q538" t="s">
        <v>3642</v>
      </c>
      <c r="R538" t="s">
        <v>69</v>
      </c>
      <c r="S538" t="s">
        <v>69</v>
      </c>
      <c r="T538" t="s">
        <v>8505</v>
      </c>
      <c r="U538" t="s">
        <v>8506</v>
      </c>
      <c r="V538" t="s">
        <v>69</v>
      </c>
      <c r="W538" t="s">
        <v>69</v>
      </c>
      <c r="X538" t="s">
        <v>69</v>
      </c>
      <c r="Y538" t="s">
        <v>69</v>
      </c>
      <c r="Z538" t="s">
        <v>69</v>
      </c>
      <c r="AA538" t="s">
        <v>69</v>
      </c>
      <c r="AB538" t="s">
        <v>69</v>
      </c>
      <c r="AC538" t="s">
        <v>3643</v>
      </c>
      <c r="AD538" t="s">
        <v>28926</v>
      </c>
      <c r="AE538" t="s">
        <v>69</v>
      </c>
      <c r="AF538" t="s">
        <v>28927</v>
      </c>
      <c r="AG538" t="s">
        <v>69</v>
      </c>
      <c r="AH538" t="s">
        <v>69</v>
      </c>
      <c r="AI538" t="s">
        <v>3644</v>
      </c>
      <c r="AJ538" t="s">
        <v>69</v>
      </c>
      <c r="AK538" t="s">
        <v>69</v>
      </c>
      <c r="AL538" t="s">
        <v>69</v>
      </c>
      <c r="AM538" t="s">
        <v>69</v>
      </c>
      <c r="AN538">
        <v>39</v>
      </c>
      <c r="AO538">
        <v>14</v>
      </c>
      <c r="AP538">
        <v>15</v>
      </c>
      <c r="AQ538">
        <v>0</v>
      </c>
      <c r="AR538">
        <v>5</v>
      </c>
      <c r="AS538" t="s">
        <v>28928</v>
      </c>
      <c r="AT538" t="s">
        <v>28929</v>
      </c>
      <c r="AU538" t="s">
        <v>28930</v>
      </c>
      <c r="AV538" t="s">
        <v>3645</v>
      </c>
      <c r="AW538" t="s">
        <v>3646</v>
      </c>
      <c r="AX538" t="s">
        <v>69</v>
      </c>
      <c r="AY538" t="s">
        <v>28931</v>
      </c>
      <c r="AZ538" t="s">
        <v>28932</v>
      </c>
      <c r="BA538" t="s">
        <v>69</v>
      </c>
      <c r="BB538">
        <v>2009</v>
      </c>
      <c r="BC538">
        <v>44</v>
      </c>
      <c r="BD538">
        <v>1</v>
      </c>
      <c r="BE538" t="s">
        <v>69</v>
      </c>
      <c r="BF538" t="s">
        <v>69</v>
      </c>
      <c r="BG538" t="s">
        <v>69</v>
      </c>
      <c r="BH538" t="s">
        <v>69</v>
      </c>
      <c r="BI538">
        <v>132</v>
      </c>
      <c r="BJ538">
        <v>157</v>
      </c>
      <c r="BK538" t="s">
        <v>69</v>
      </c>
      <c r="BL538" t="s">
        <v>69</v>
      </c>
      <c r="BM538" t="s">
        <v>69</v>
      </c>
      <c r="BN538" t="s">
        <v>69</v>
      </c>
      <c r="BO538" t="s">
        <v>69</v>
      </c>
      <c r="BP538">
        <v>26</v>
      </c>
      <c r="BQ538" t="s">
        <v>17049</v>
      </c>
      <c r="BR538" t="s">
        <v>8661</v>
      </c>
      <c r="BS538" t="s">
        <v>17049</v>
      </c>
      <c r="BT538" t="s">
        <v>28933</v>
      </c>
      <c r="BU538" t="s">
        <v>3647</v>
      </c>
      <c r="BV538" t="s">
        <v>69</v>
      </c>
      <c r="BW538" t="s">
        <v>69</v>
      </c>
      <c r="BX538" t="s">
        <v>69</v>
      </c>
      <c r="BY538" t="s">
        <v>69</v>
      </c>
      <c r="BZ538" t="s">
        <v>8526</v>
      </c>
      <c r="CA538" t="str">
        <f>HYPERLINK("https%3A%2F%2Fwww.webofscience.com%2Fwos%2Fwoscc%2Ffull-record%2FWOS:000263479800007","View Full Record in Web of Science")</f>
        <v>View Full Record in Web of Science</v>
      </c>
    </row>
    <row r="539" spans="2:79" ht="12.5" x14ac:dyDescent="0.25">
      <c r="B539" t="s">
        <v>8495</v>
      </c>
      <c r="D539" s="7" t="s">
        <v>32933</v>
      </c>
      <c r="E539" s="7"/>
      <c r="F539" s="7"/>
      <c r="G539" s="7"/>
      <c r="H539" t="s">
        <v>67</v>
      </c>
      <c r="I539" t="s">
        <v>3333</v>
      </c>
      <c r="J539" t="s">
        <v>69</v>
      </c>
      <c r="K539" t="s">
        <v>69</v>
      </c>
      <c r="L539" t="s">
        <v>69</v>
      </c>
      <c r="M539" t="s">
        <v>3334</v>
      </c>
      <c r="N539" t="s">
        <v>69</v>
      </c>
      <c r="O539" t="s">
        <v>69</v>
      </c>
      <c r="P539" t="s">
        <v>3335</v>
      </c>
      <c r="Q539" t="s">
        <v>3336</v>
      </c>
      <c r="R539" t="s">
        <v>69</v>
      </c>
      <c r="S539" t="s">
        <v>69</v>
      </c>
      <c r="T539" t="s">
        <v>8505</v>
      </c>
      <c r="U539" t="s">
        <v>8506</v>
      </c>
      <c r="V539" t="s">
        <v>69</v>
      </c>
      <c r="W539" t="s">
        <v>69</v>
      </c>
      <c r="X539" t="s">
        <v>69</v>
      </c>
      <c r="Y539" t="s">
        <v>69</v>
      </c>
      <c r="Z539" t="s">
        <v>69</v>
      </c>
      <c r="AA539" t="s">
        <v>25203</v>
      </c>
      <c r="AB539" t="s">
        <v>25204</v>
      </c>
      <c r="AC539" t="s">
        <v>3337</v>
      </c>
      <c r="AD539" t="s">
        <v>25205</v>
      </c>
      <c r="AE539" t="s">
        <v>69</v>
      </c>
      <c r="AF539" t="s">
        <v>25206</v>
      </c>
      <c r="AG539" t="s">
        <v>25207</v>
      </c>
      <c r="AH539" t="s">
        <v>69</v>
      </c>
      <c r="AI539" t="s">
        <v>3338</v>
      </c>
      <c r="AJ539" t="s">
        <v>25208</v>
      </c>
      <c r="AK539" t="s">
        <v>25209</v>
      </c>
      <c r="AL539" t="s">
        <v>25210</v>
      </c>
      <c r="AM539" t="s">
        <v>69</v>
      </c>
      <c r="AN539">
        <v>106</v>
      </c>
      <c r="AO539">
        <v>84</v>
      </c>
      <c r="AP539">
        <v>88</v>
      </c>
      <c r="AQ539">
        <v>1</v>
      </c>
      <c r="AR539">
        <v>154</v>
      </c>
      <c r="AS539" t="s">
        <v>17140</v>
      </c>
      <c r="AT539" t="s">
        <v>8517</v>
      </c>
      <c r="AU539" t="s">
        <v>17141</v>
      </c>
      <c r="AV539" t="s">
        <v>3339</v>
      </c>
      <c r="AW539" t="s">
        <v>3340</v>
      </c>
      <c r="AX539" t="s">
        <v>69</v>
      </c>
      <c r="AY539" t="s">
        <v>25086</v>
      </c>
      <c r="AZ539" t="s">
        <v>25087</v>
      </c>
      <c r="BA539" t="s">
        <v>191</v>
      </c>
      <c r="BB539">
        <v>2013</v>
      </c>
      <c r="BC539">
        <v>86</v>
      </c>
      <c r="BD539" t="s">
        <v>69</v>
      </c>
      <c r="BE539" t="s">
        <v>69</v>
      </c>
      <c r="BF539" t="s">
        <v>69</v>
      </c>
      <c r="BG539" t="s">
        <v>69</v>
      </c>
      <c r="BH539" t="s">
        <v>69</v>
      </c>
      <c r="BI539">
        <v>274</v>
      </c>
      <c r="BJ539">
        <v>284</v>
      </c>
      <c r="BK539" t="s">
        <v>69</v>
      </c>
      <c r="BL539" t="s">
        <v>3341</v>
      </c>
      <c r="BM539" t="str">
        <f>HYPERLINK("http://dx.doi.org/10.1016/j.ecolecon.2012.09.012","http://dx.doi.org/10.1016/j.ecolecon.2012.09.012")</f>
        <v>http://dx.doi.org/10.1016/j.ecolecon.2012.09.012</v>
      </c>
      <c r="BN539" t="s">
        <v>69</v>
      </c>
      <c r="BO539" t="s">
        <v>69</v>
      </c>
      <c r="BP539">
        <v>11</v>
      </c>
      <c r="BQ539" t="s">
        <v>25089</v>
      </c>
      <c r="BR539" t="s">
        <v>8523</v>
      </c>
      <c r="BS539" t="s">
        <v>25090</v>
      </c>
      <c r="BT539" t="s">
        <v>25211</v>
      </c>
      <c r="BU539" t="s">
        <v>3342</v>
      </c>
      <c r="BV539" t="s">
        <v>69</v>
      </c>
      <c r="BW539" t="s">
        <v>8622</v>
      </c>
      <c r="BX539" t="s">
        <v>69</v>
      </c>
      <c r="BY539" t="s">
        <v>69</v>
      </c>
      <c r="BZ539" t="s">
        <v>8526</v>
      </c>
      <c r="CA539" t="str">
        <f>HYPERLINK("https%3A%2F%2Fwww.webofscience.com%2Fwos%2Fwoscc%2Ffull-record%2FWOS:000317803500033","View Full Record in Web of Science")</f>
        <v>View Full Record in Web of Science</v>
      </c>
    </row>
    <row r="540" spans="2:79" ht="12.5" x14ac:dyDescent="0.25">
      <c r="B540" t="s">
        <v>8495</v>
      </c>
      <c r="D540" s="7" t="s">
        <v>32933</v>
      </c>
      <c r="E540" s="7"/>
      <c r="F540" s="7"/>
      <c r="G540" s="7"/>
      <c r="H540" t="s">
        <v>67</v>
      </c>
      <c r="I540" t="s">
        <v>3776</v>
      </c>
      <c r="J540" t="s">
        <v>69</v>
      </c>
      <c r="K540" t="s">
        <v>69</v>
      </c>
      <c r="L540" t="s">
        <v>69</v>
      </c>
      <c r="M540" t="s">
        <v>3777</v>
      </c>
      <c r="N540" t="s">
        <v>69</v>
      </c>
      <c r="O540" t="s">
        <v>69</v>
      </c>
      <c r="P540" t="s">
        <v>3778</v>
      </c>
      <c r="Q540" t="s">
        <v>1831</v>
      </c>
      <c r="R540" t="s">
        <v>69</v>
      </c>
      <c r="S540" t="s">
        <v>69</v>
      </c>
      <c r="T540" t="s">
        <v>8505</v>
      </c>
      <c r="U540" t="s">
        <v>8506</v>
      </c>
      <c r="V540" t="s">
        <v>69</v>
      </c>
      <c r="W540" t="s">
        <v>69</v>
      </c>
      <c r="X540" t="s">
        <v>69</v>
      </c>
      <c r="Y540" t="s">
        <v>69</v>
      </c>
      <c r="Z540" t="s">
        <v>69</v>
      </c>
      <c r="AA540" t="s">
        <v>29924</v>
      </c>
      <c r="AB540" t="s">
        <v>29925</v>
      </c>
      <c r="AC540" t="s">
        <v>3779</v>
      </c>
      <c r="AD540" t="s">
        <v>29926</v>
      </c>
      <c r="AE540" t="s">
        <v>69</v>
      </c>
      <c r="AF540" t="s">
        <v>29927</v>
      </c>
      <c r="AG540" t="s">
        <v>29928</v>
      </c>
      <c r="AH540" t="s">
        <v>29929</v>
      </c>
      <c r="AI540" t="s">
        <v>3780</v>
      </c>
      <c r="AJ540" t="s">
        <v>69</v>
      </c>
      <c r="AK540" t="s">
        <v>69</v>
      </c>
      <c r="AL540" t="s">
        <v>69</v>
      </c>
      <c r="AM540" t="s">
        <v>69</v>
      </c>
      <c r="AN540">
        <v>57</v>
      </c>
      <c r="AO540">
        <v>14</v>
      </c>
      <c r="AP540">
        <v>15</v>
      </c>
      <c r="AQ540">
        <v>2</v>
      </c>
      <c r="AR540">
        <v>33</v>
      </c>
      <c r="AS540" t="s">
        <v>17140</v>
      </c>
      <c r="AT540" t="s">
        <v>8517</v>
      </c>
      <c r="AU540" t="s">
        <v>17141</v>
      </c>
      <c r="AV540" t="s">
        <v>1833</v>
      </c>
      <c r="AW540" t="s">
        <v>69</v>
      </c>
      <c r="AX540" t="s">
        <v>69</v>
      </c>
      <c r="AY540" t="s">
        <v>13291</v>
      </c>
      <c r="AZ540" t="s">
        <v>13292</v>
      </c>
      <c r="BA540" t="s">
        <v>373</v>
      </c>
      <c r="BB540">
        <v>2007</v>
      </c>
      <c r="BC540">
        <v>9</v>
      </c>
      <c r="BD540">
        <v>5</v>
      </c>
      <c r="BE540" t="s">
        <v>69</v>
      </c>
      <c r="BF540" t="s">
        <v>69</v>
      </c>
      <c r="BG540" t="s">
        <v>69</v>
      </c>
      <c r="BH540" t="s">
        <v>69</v>
      </c>
      <c r="BI540">
        <v>496</v>
      </c>
      <c r="BJ540">
        <v>515</v>
      </c>
      <c r="BK540" t="s">
        <v>69</v>
      </c>
      <c r="BL540" t="s">
        <v>3781</v>
      </c>
      <c r="BM540" t="str">
        <f>HYPERLINK("http://dx.doi.org/10.1016/j.forpol.2006.02.001","http://dx.doi.org/10.1016/j.forpol.2006.02.001")</f>
        <v>http://dx.doi.org/10.1016/j.forpol.2006.02.001</v>
      </c>
      <c r="BN540" t="s">
        <v>69</v>
      </c>
      <c r="BO540" t="s">
        <v>69</v>
      </c>
      <c r="BP540">
        <v>20</v>
      </c>
      <c r="BQ540" t="s">
        <v>13293</v>
      </c>
      <c r="BR540" t="s">
        <v>8523</v>
      </c>
      <c r="BS540" t="s">
        <v>13294</v>
      </c>
      <c r="BT540" t="s">
        <v>29930</v>
      </c>
      <c r="BU540" t="s">
        <v>3782</v>
      </c>
      <c r="BV540" t="s">
        <v>69</v>
      </c>
      <c r="BW540" t="s">
        <v>69</v>
      </c>
      <c r="BX540" t="s">
        <v>69</v>
      </c>
      <c r="BY540" t="s">
        <v>69</v>
      </c>
      <c r="BZ540" t="s">
        <v>8526</v>
      </c>
      <c r="CA540" t="str">
        <f>HYPERLINK("https%3A%2F%2Fwww.webofscience.com%2Fwos%2Fwoscc%2Ffull-record%2FWOS:000244102000006","View Full Record in Web of Science")</f>
        <v>View Full Record in Web of Science</v>
      </c>
    </row>
    <row r="541" spans="2:79" x14ac:dyDescent="0.3">
      <c r="B541" t="s">
        <v>8495</v>
      </c>
      <c r="D541" s="9" t="s">
        <v>32958</v>
      </c>
      <c r="E541" s="9" t="s">
        <v>33103</v>
      </c>
      <c r="F541" s="9" t="s">
        <v>8491</v>
      </c>
      <c r="G541" s="9" t="s">
        <v>8490</v>
      </c>
      <c r="H541" t="s">
        <v>67</v>
      </c>
      <c r="I541" t="s">
        <v>28596</v>
      </c>
      <c r="J541" t="s">
        <v>69</v>
      </c>
      <c r="K541" t="s">
        <v>69</v>
      </c>
      <c r="L541" t="s">
        <v>69</v>
      </c>
      <c r="M541" t="s">
        <v>28597</v>
      </c>
      <c r="N541" t="s">
        <v>69</v>
      </c>
      <c r="O541" t="s">
        <v>69</v>
      </c>
      <c r="P541" t="s">
        <v>28598</v>
      </c>
      <c r="Q541" t="s">
        <v>28599</v>
      </c>
      <c r="R541" t="s">
        <v>69</v>
      </c>
      <c r="S541" t="s">
        <v>69</v>
      </c>
      <c r="T541" t="s">
        <v>8505</v>
      </c>
      <c r="U541" t="s">
        <v>10174</v>
      </c>
      <c r="V541" t="s">
        <v>69</v>
      </c>
      <c r="W541" t="s">
        <v>69</v>
      </c>
      <c r="X541" t="s">
        <v>69</v>
      </c>
      <c r="Y541" t="s">
        <v>69</v>
      </c>
      <c r="Z541" t="s">
        <v>69</v>
      </c>
      <c r="AA541" t="s">
        <v>69</v>
      </c>
      <c r="AB541" t="s">
        <v>69</v>
      </c>
      <c r="AC541" t="s">
        <v>28600</v>
      </c>
      <c r="AD541" t="s">
        <v>28601</v>
      </c>
      <c r="AE541" t="s">
        <v>69</v>
      </c>
      <c r="AF541" t="s">
        <v>28602</v>
      </c>
      <c r="AG541" t="s">
        <v>69</v>
      </c>
      <c r="AH541" t="s">
        <v>69</v>
      </c>
      <c r="AI541" t="s">
        <v>69</v>
      </c>
      <c r="AJ541" t="s">
        <v>69</v>
      </c>
      <c r="AK541" t="s">
        <v>69</v>
      </c>
      <c r="AL541" t="s">
        <v>69</v>
      </c>
      <c r="AM541" t="s">
        <v>69</v>
      </c>
      <c r="AN541">
        <v>0</v>
      </c>
      <c r="AO541">
        <v>0</v>
      </c>
      <c r="AP541">
        <v>0</v>
      </c>
      <c r="AQ541">
        <v>0</v>
      </c>
      <c r="AR541">
        <v>0</v>
      </c>
      <c r="AS541" t="s">
        <v>8846</v>
      </c>
      <c r="AT541" t="s">
        <v>8847</v>
      </c>
      <c r="AU541" t="s">
        <v>8848</v>
      </c>
      <c r="AV541" t="s">
        <v>28603</v>
      </c>
      <c r="AW541" t="s">
        <v>28604</v>
      </c>
      <c r="AX541" t="s">
        <v>69</v>
      </c>
      <c r="AY541" t="s">
        <v>28605</v>
      </c>
      <c r="AZ541" t="s">
        <v>28606</v>
      </c>
      <c r="BA541" t="s">
        <v>4092</v>
      </c>
      <c r="BB541">
        <v>2009</v>
      </c>
      <c r="BC541">
        <v>19</v>
      </c>
      <c r="BD541">
        <v>2</v>
      </c>
      <c r="BE541" t="s">
        <v>69</v>
      </c>
      <c r="BF541" t="s">
        <v>69</v>
      </c>
      <c r="BG541" t="s">
        <v>69</v>
      </c>
      <c r="BH541" t="s">
        <v>69</v>
      </c>
      <c r="BI541">
        <v>1</v>
      </c>
      <c r="BJ541">
        <v>5</v>
      </c>
      <c r="BK541" t="s">
        <v>69</v>
      </c>
      <c r="BL541" t="s">
        <v>28607</v>
      </c>
      <c r="BM541" t="str">
        <f>HYPERLINK("http://dx.doi.org/10.1002/rem.20197","http://dx.doi.org/10.1002/rem.20197")</f>
        <v>http://dx.doi.org/10.1002/rem.20197</v>
      </c>
      <c r="BN541" t="s">
        <v>69</v>
      </c>
      <c r="BO541" t="s">
        <v>69</v>
      </c>
      <c r="BP541">
        <v>5</v>
      </c>
      <c r="BQ541" t="s">
        <v>28608</v>
      </c>
      <c r="BR541" t="s">
        <v>8573</v>
      </c>
      <c r="BS541" t="s">
        <v>8445</v>
      </c>
      <c r="BT541" t="s">
        <v>28609</v>
      </c>
      <c r="BU541" t="s">
        <v>28610</v>
      </c>
      <c r="BV541" t="s">
        <v>69</v>
      </c>
      <c r="BW541" t="s">
        <v>69</v>
      </c>
      <c r="BX541" t="s">
        <v>69</v>
      </c>
      <c r="BY541" t="s">
        <v>69</v>
      </c>
      <c r="BZ541" t="s">
        <v>8526</v>
      </c>
      <c r="CA541" t="str">
        <f>HYPERLINK("https%3A%2F%2Fwww.webofscience.com%2Fwos%2Fwoscc%2Ffull-record%2FWOS:000211085000001","View Full Record in Web of Science")</f>
        <v>View Full Record in Web of Science</v>
      </c>
    </row>
    <row r="542" spans="2:79" x14ac:dyDescent="0.3">
      <c r="B542" t="s">
        <v>8495</v>
      </c>
      <c r="D542" s="12" t="s">
        <v>32975</v>
      </c>
      <c r="H542" t="s">
        <v>67</v>
      </c>
      <c r="I542" t="s">
        <v>7764</v>
      </c>
      <c r="J542" t="s">
        <v>69</v>
      </c>
      <c r="K542" t="s">
        <v>69</v>
      </c>
      <c r="L542" t="s">
        <v>69</v>
      </c>
      <c r="M542" s="3" t="s">
        <v>7764</v>
      </c>
      <c r="N542" t="s">
        <v>69</v>
      </c>
      <c r="O542" t="s">
        <v>69</v>
      </c>
      <c r="P542" s="11" t="s">
        <v>7765</v>
      </c>
      <c r="Q542" t="s">
        <v>7766</v>
      </c>
      <c r="R542" t="s">
        <v>69</v>
      </c>
      <c r="S542" t="s">
        <v>69</v>
      </c>
      <c r="T542" t="s">
        <v>8505</v>
      </c>
      <c r="U542" t="s">
        <v>8506</v>
      </c>
      <c r="V542" t="s">
        <v>69</v>
      </c>
      <c r="W542" t="s">
        <v>69</v>
      </c>
      <c r="X542" t="s">
        <v>69</v>
      </c>
      <c r="Y542" t="s">
        <v>69</v>
      </c>
      <c r="Z542" t="s">
        <v>69</v>
      </c>
      <c r="AA542" t="s">
        <v>69</v>
      </c>
      <c r="AB542" t="s">
        <v>32233</v>
      </c>
      <c r="AC542" t="s">
        <v>7767</v>
      </c>
      <c r="AD542" t="s">
        <v>32234</v>
      </c>
      <c r="AE542" t="s">
        <v>69</v>
      </c>
      <c r="AF542" t="s">
        <v>69</v>
      </c>
      <c r="AG542" t="s">
        <v>69</v>
      </c>
      <c r="AH542" t="s">
        <v>7768</v>
      </c>
      <c r="AI542" t="s">
        <v>7769</v>
      </c>
      <c r="AJ542" t="s">
        <v>69</v>
      </c>
      <c r="AK542" t="s">
        <v>69</v>
      </c>
      <c r="AL542" t="s">
        <v>69</v>
      </c>
      <c r="AM542" t="s">
        <v>69</v>
      </c>
      <c r="AN542">
        <v>31</v>
      </c>
      <c r="AO542">
        <v>2</v>
      </c>
      <c r="AP542">
        <v>2</v>
      </c>
      <c r="AQ542">
        <v>0</v>
      </c>
      <c r="AR542">
        <v>3</v>
      </c>
      <c r="AS542" t="s">
        <v>32235</v>
      </c>
      <c r="AT542" t="s">
        <v>32236</v>
      </c>
      <c r="AU542" t="s">
        <v>32237</v>
      </c>
      <c r="AV542" t="s">
        <v>7770</v>
      </c>
      <c r="AW542" t="s">
        <v>69</v>
      </c>
      <c r="AX542" t="s">
        <v>69</v>
      </c>
      <c r="AY542" t="s">
        <v>32238</v>
      </c>
      <c r="AZ542" t="s">
        <v>32239</v>
      </c>
      <c r="BA542" t="s">
        <v>155</v>
      </c>
      <c r="BB542">
        <v>1997</v>
      </c>
      <c r="BC542">
        <v>22</v>
      </c>
      <c r="BD542" t="s">
        <v>7771</v>
      </c>
      <c r="BE542" t="s">
        <v>69</v>
      </c>
      <c r="BF542" t="s">
        <v>69</v>
      </c>
      <c r="BG542" t="s">
        <v>69</v>
      </c>
      <c r="BH542" t="s">
        <v>69</v>
      </c>
      <c r="BI542">
        <v>199</v>
      </c>
      <c r="BJ542">
        <v>212</v>
      </c>
      <c r="BK542" t="s">
        <v>69</v>
      </c>
      <c r="BL542" t="s">
        <v>69</v>
      </c>
      <c r="BM542" t="s">
        <v>69</v>
      </c>
      <c r="BN542" t="s">
        <v>69</v>
      </c>
      <c r="BO542" t="s">
        <v>69</v>
      </c>
      <c r="BP542">
        <v>14</v>
      </c>
      <c r="BQ542" t="s">
        <v>8619</v>
      </c>
      <c r="BR542" t="s">
        <v>8548</v>
      </c>
      <c r="BS542" t="s">
        <v>8620</v>
      </c>
      <c r="BT542" t="s">
        <v>32240</v>
      </c>
      <c r="BU542" t="s">
        <v>7772</v>
      </c>
      <c r="BV542" t="s">
        <v>69</v>
      </c>
      <c r="BW542" t="s">
        <v>69</v>
      </c>
      <c r="BX542" t="s">
        <v>69</v>
      </c>
      <c r="BY542" t="s">
        <v>69</v>
      </c>
      <c r="BZ542" t="s">
        <v>8526</v>
      </c>
      <c r="CA542" t="str">
        <f>HYPERLINK("https%3A%2F%2Fwww.webofscience.com%2Fwos%2Fwoscc%2Ffull-record%2FWOS:A1997XT55200016","View Full Record in Web of Science")</f>
        <v>View Full Record in Web of Science</v>
      </c>
    </row>
    <row r="543" spans="2:79" ht="12.5" x14ac:dyDescent="0.25">
      <c r="B543" t="s">
        <v>8495</v>
      </c>
      <c r="D543" s="7" t="s">
        <v>32933</v>
      </c>
      <c r="E543" s="7"/>
      <c r="F543" s="7"/>
      <c r="G543" s="7"/>
      <c r="H543" t="s">
        <v>67</v>
      </c>
      <c r="I543" t="s">
        <v>2328</v>
      </c>
      <c r="J543" t="s">
        <v>69</v>
      </c>
      <c r="K543" t="s">
        <v>69</v>
      </c>
      <c r="L543" t="s">
        <v>69</v>
      </c>
      <c r="M543" t="s">
        <v>2329</v>
      </c>
      <c r="N543" t="s">
        <v>69</v>
      </c>
      <c r="O543" t="s">
        <v>69</v>
      </c>
      <c r="P543" t="s">
        <v>2330</v>
      </c>
      <c r="Q543" t="s">
        <v>1642</v>
      </c>
      <c r="R543" t="s">
        <v>69</v>
      </c>
      <c r="S543" t="s">
        <v>69</v>
      </c>
      <c r="T543" t="s">
        <v>8505</v>
      </c>
      <c r="U543" t="s">
        <v>8506</v>
      </c>
      <c r="V543" t="s">
        <v>69</v>
      </c>
      <c r="W543" t="s">
        <v>69</v>
      </c>
      <c r="X543" t="s">
        <v>69</v>
      </c>
      <c r="Y543" t="s">
        <v>69</v>
      </c>
      <c r="Z543" t="s">
        <v>69</v>
      </c>
      <c r="AA543" t="s">
        <v>18055</v>
      </c>
      <c r="AB543" t="s">
        <v>18056</v>
      </c>
      <c r="AC543" t="s">
        <v>2331</v>
      </c>
      <c r="AD543" t="s">
        <v>18057</v>
      </c>
      <c r="AE543" t="s">
        <v>69</v>
      </c>
      <c r="AF543" t="s">
        <v>18058</v>
      </c>
      <c r="AG543" t="s">
        <v>18059</v>
      </c>
      <c r="AH543" t="s">
        <v>2332</v>
      </c>
      <c r="AI543" t="s">
        <v>18060</v>
      </c>
      <c r="AJ543" t="s">
        <v>18061</v>
      </c>
      <c r="AK543" t="s">
        <v>18062</v>
      </c>
      <c r="AL543" t="s">
        <v>18063</v>
      </c>
      <c r="AM543" t="s">
        <v>69</v>
      </c>
      <c r="AN543">
        <v>42</v>
      </c>
      <c r="AO543">
        <v>10</v>
      </c>
      <c r="AP543">
        <v>10</v>
      </c>
      <c r="AQ543">
        <v>4</v>
      </c>
      <c r="AR543">
        <v>24</v>
      </c>
      <c r="AS543" t="s">
        <v>8636</v>
      </c>
      <c r="AT543" t="s">
        <v>8637</v>
      </c>
      <c r="AU543" t="s">
        <v>8638</v>
      </c>
      <c r="AV543" t="s">
        <v>1644</v>
      </c>
      <c r="AW543" t="s">
        <v>1645</v>
      </c>
      <c r="AX543" t="s">
        <v>69</v>
      </c>
      <c r="AY543" t="s">
        <v>16744</v>
      </c>
      <c r="AZ543" t="s">
        <v>16745</v>
      </c>
      <c r="BA543" t="s">
        <v>75</v>
      </c>
      <c r="BB543">
        <v>2018</v>
      </c>
      <c r="BC543">
        <v>228</v>
      </c>
      <c r="BD543" t="s">
        <v>69</v>
      </c>
      <c r="BE543" t="s">
        <v>69</v>
      </c>
      <c r="BF543" t="s">
        <v>69</v>
      </c>
      <c r="BG543" t="s">
        <v>69</v>
      </c>
      <c r="BH543" t="s">
        <v>69</v>
      </c>
      <c r="BI543">
        <v>291</v>
      </c>
      <c r="BJ543">
        <v>300</v>
      </c>
      <c r="BK543" t="s">
        <v>69</v>
      </c>
      <c r="BL543" t="s">
        <v>2333</v>
      </c>
      <c r="BM543" t="str">
        <f>HYPERLINK("http://dx.doi.org/10.1016/j.biocon.2018.10.021","http://dx.doi.org/10.1016/j.biocon.2018.10.021")</f>
        <v>http://dx.doi.org/10.1016/j.biocon.2018.10.021</v>
      </c>
      <c r="BN543" t="s">
        <v>69</v>
      </c>
      <c r="BO543" t="s">
        <v>69</v>
      </c>
      <c r="BP543">
        <v>10</v>
      </c>
      <c r="BQ543" t="s">
        <v>16747</v>
      </c>
      <c r="BR543" t="s">
        <v>8548</v>
      </c>
      <c r="BS543" t="s">
        <v>15452</v>
      </c>
      <c r="BT543" t="s">
        <v>18064</v>
      </c>
      <c r="BU543" t="s">
        <v>2334</v>
      </c>
      <c r="BV543" t="s">
        <v>69</v>
      </c>
      <c r="BW543" t="s">
        <v>69</v>
      </c>
      <c r="BX543" t="s">
        <v>69</v>
      </c>
      <c r="BY543" t="s">
        <v>69</v>
      </c>
      <c r="BZ543" t="s">
        <v>8526</v>
      </c>
      <c r="CA543" t="str">
        <f>HYPERLINK("https%3A%2F%2Fwww.webofscience.com%2Fwos%2Fwoscc%2Ffull-record%2FWOS:000452815200032","View Full Record in Web of Science")</f>
        <v>View Full Record in Web of Science</v>
      </c>
    </row>
    <row r="544" spans="2:79" ht="12.5" x14ac:dyDescent="0.25">
      <c r="B544" t="s">
        <v>8495</v>
      </c>
      <c r="D544" s="7" t="s">
        <v>32933</v>
      </c>
      <c r="E544" s="7"/>
      <c r="F544" s="7"/>
      <c r="G544" s="7"/>
      <c r="H544" t="s">
        <v>67</v>
      </c>
      <c r="I544" t="s">
        <v>926</v>
      </c>
      <c r="J544" t="s">
        <v>69</v>
      </c>
      <c r="K544" t="s">
        <v>69</v>
      </c>
      <c r="L544" t="s">
        <v>69</v>
      </c>
      <c r="M544" t="s">
        <v>927</v>
      </c>
      <c r="N544" t="s">
        <v>69</v>
      </c>
      <c r="O544" t="s">
        <v>69</v>
      </c>
      <c r="P544" t="s">
        <v>928</v>
      </c>
      <c r="Q544" t="s">
        <v>929</v>
      </c>
      <c r="R544" t="s">
        <v>69</v>
      </c>
      <c r="S544" t="s">
        <v>69</v>
      </c>
      <c r="T544" t="s">
        <v>8505</v>
      </c>
      <c r="U544" t="s">
        <v>8506</v>
      </c>
      <c r="V544" t="s">
        <v>69</v>
      </c>
      <c r="W544" t="s">
        <v>69</v>
      </c>
      <c r="X544" t="s">
        <v>69</v>
      </c>
      <c r="Y544" t="s">
        <v>69</v>
      </c>
      <c r="Z544" t="s">
        <v>69</v>
      </c>
      <c r="AA544" t="s">
        <v>17025</v>
      </c>
      <c r="AB544" t="s">
        <v>17026</v>
      </c>
      <c r="AC544" t="s">
        <v>930</v>
      </c>
      <c r="AD544" t="s">
        <v>17027</v>
      </c>
      <c r="AE544" t="s">
        <v>69</v>
      </c>
      <c r="AF544" t="s">
        <v>17028</v>
      </c>
      <c r="AG544" t="s">
        <v>17029</v>
      </c>
      <c r="AH544" t="s">
        <v>69</v>
      </c>
      <c r="AI544" t="s">
        <v>69</v>
      </c>
      <c r="AJ544" t="s">
        <v>69</v>
      </c>
      <c r="AK544" t="s">
        <v>69</v>
      </c>
      <c r="AL544" t="s">
        <v>69</v>
      </c>
      <c r="AM544" t="s">
        <v>69</v>
      </c>
      <c r="AN544">
        <v>40</v>
      </c>
      <c r="AO544">
        <v>4</v>
      </c>
      <c r="AP544">
        <v>4</v>
      </c>
      <c r="AQ544">
        <v>1</v>
      </c>
      <c r="AR544">
        <v>5</v>
      </c>
      <c r="AS544" t="s">
        <v>8865</v>
      </c>
      <c r="AT544" t="s">
        <v>8612</v>
      </c>
      <c r="AU544" t="s">
        <v>8866</v>
      </c>
      <c r="AV544" t="s">
        <v>931</v>
      </c>
      <c r="AW544" t="s">
        <v>932</v>
      </c>
      <c r="AX544" t="s">
        <v>69</v>
      </c>
      <c r="AY544" t="s">
        <v>15975</v>
      </c>
      <c r="AZ544" t="s">
        <v>15976</v>
      </c>
      <c r="BA544" t="s">
        <v>933</v>
      </c>
      <c r="BB544">
        <v>2019</v>
      </c>
      <c r="BC544">
        <v>37</v>
      </c>
      <c r="BD544" t="s">
        <v>145</v>
      </c>
      <c r="BE544" t="s">
        <v>69</v>
      </c>
      <c r="BF544" t="s">
        <v>69</v>
      </c>
      <c r="BG544" t="s">
        <v>69</v>
      </c>
      <c r="BH544" t="s">
        <v>69</v>
      </c>
      <c r="BI544">
        <v>266</v>
      </c>
      <c r="BJ544">
        <v>278</v>
      </c>
      <c r="BK544" t="s">
        <v>69</v>
      </c>
      <c r="BL544" t="s">
        <v>934</v>
      </c>
      <c r="BM544" t="str">
        <f>HYPERLINK("http://dx.doi.org/10.1080/14615517.2019.1579989","http://dx.doi.org/10.1080/14615517.2019.1579989")</f>
        <v>http://dx.doi.org/10.1080/14615517.2019.1579989</v>
      </c>
      <c r="BN544" t="s">
        <v>69</v>
      </c>
      <c r="BO544" t="s">
        <v>69</v>
      </c>
      <c r="BP544">
        <v>13</v>
      </c>
      <c r="BQ544" t="s">
        <v>8660</v>
      </c>
      <c r="BR544" t="s">
        <v>8661</v>
      </c>
      <c r="BS544" t="s">
        <v>8662</v>
      </c>
      <c r="BT544" t="s">
        <v>17024</v>
      </c>
      <c r="BU544" t="s">
        <v>935</v>
      </c>
      <c r="BV544" t="s">
        <v>69</v>
      </c>
      <c r="BW544" t="s">
        <v>69</v>
      </c>
      <c r="BX544" t="s">
        <v>69</v>
      </c>
      <c r="BY544" t="s">
        <v>69</v>
      </c>
      <c r="BZ544" t="s">
        <v>8526</v>
      </c>
      <c r="CA544" t="str">
        <f>HYPERLINK("https%3A%2F%2Fwww.webofscience.com%2Fwos%2Fwoscc%2Ffull-record%2FWOS:000476565900008","View Full Record in Web of Science")</f>
        <v>View Full Record in Web of Science</v>
      </c>
    </row>
    <row r="545" spans="1:79" ht="12.5" x14ac:dyDescent="0.25">
      <c r="B545" t="s">
        <v>8495</v>
      </c>
      <c r="D545" s="22" t="s">
        <v>32931</v>
      </c>
      <c r="E545" s="7"/>
      <c r="F545" s="7"/>
      <c r="G545" s="7"/>
      <c r="H545" t="s">
        <v>67</v>
      </c>
      <c r="I545" t="s">
        <v>8502</v>
      </c>
      <c r="J545" t="s">
        <v>69</v>
      </c>
      <c r="K545" t="s">
        <v>69</v>
      </c>
      <c r="L545" t="s">
        <v>69</v>
      </c>
      <c r="M545" t="s">
        <v>8503</v>
      </c>
      <c r="N545" t="s">
        <v>69</v>
      </c>
      <c r="O545" t="s">
        <v>69</v>
      </c>
      <c r="P545" t="s">
        <v>8504</v>
      </c>
      <c r="Q545" t="s">
        <v>3592</v>
      </c>
      <c r="R545" t="s">
        <v>69</v>
      </c>
      <c r="S545" t="s">
        <v>69</v>
      </c>
      <c r="T545" t="s">
        <v>8505</v>
      </c>
      <c r="U545" t="s">
        <v>8506</v>
      </c>
      <c r="V545" t="s">
        <v>69</v>
      </c>
      <c r="W545" t="s">
        <v>69</v>
      </c>
      <c r="X545" t="s">
        <v>69</v>
      </c>
      <c r="Y545" t="s">
        <v>69</v>
      </c>
      <c r="Z545" t="s">
        <v>69</v>
      </c>
      <c r="AA545" t="s">
        <v>8507</v>
      </c>
      <c r="AB545" t="s">
        <v>8508</v>
      </c>
      <c r="AC545" t="s">
        <v>8509</v>
      </c>
      <c r="AD545" t="s">
        <v>8510</v>
      </c>
      <c r="AE545" t="s">
        <v>69</v>
      </c>
      <c r="AF545" t="s">
        <v>8511</v>
      </c>
      <c r="AG545" t="s">
        <v>8512</v>
      </c>
      <c r="AH545" t="s">
        <v>69</v>
      </c>
      <c r="AI545" t="s">
        <v>69</v>
      </c>
      <c r="AJ545" t="s">
        <v>8513</v>
      </c>
      <c r="AK545" t="s">
        <v>8514</v>
      </c>
      <c r="AL545" t="s">
        <v>8515</v>
      </c>
      <c r="AM545" t="s">
        <v>69</v>
      </c>
      <c r="AN545">
        <v>65</v>
      </c>
      <c r="AO545">
        <v>0</v>
      </c>
      <c r="AP545">
        <v>0</v>
      </c>
      <c r="AQ545">
        <v>0</v>
      </c>
      <c r="AR545">
        <v>0</v>
      </c>
      <c r="AS545" t="s">
        <v>8516</v>
      </c>
      <c r="AT545" t="s">
        <v>8517</v>
      </c>
      <c r="AU545" t="s">
        <v>8518</v>
      </c>
      <c r="AV545" t="s">
        <v>3594</v>
      </c>
      <c r="AW545" t="s">
        <v>3595</v>
      </c>
      <c r="AX545" t="s">
        <v>69</v>
      </c>
      <c r="AY545" t="s">
        <v>8519</v>
      </c>
      <c r="AZ545" t="s">
        <v>8520</v>
      </c>
      <c r="BA545" t="s">
        <v>381</v>
      </c>
      <c r="BB545">
        <v>2022</v>
      </c>
      <c r="BC545">
        <v>226</v>
      </c>
      <c r="BD545" t="s">
        <v>69</v>
      </c>
      <c r="BE545" t="s">
        <v>69</v>
      </c>
      <c r="BF545" t="s">
        <v>69</v>
      </c>
      <c r="BG545" t="s">
        <v>69</v>
      </c>
      <c r="BH545" t="s">
        <v>69</v>
      </c>
      <c r="BI545" t="s">
        <v>69</v>
      </c>
      <c r="BJ545" t="s">
        <v>69</v>
      </c>
      <c r="BK545">
        <v>104504</v>
      </c>
      <c r="BL545" t="s">
        <v>8521</v>
      </c>
      <c r="BM545" t="str">
        <f>HYPERLINK("http://dx.doi.org/10.1016/j.lurbplan.2022.104504","http://dx.doi.org/10.1016/j.lurbplan.2022.104504")</f>
        <v>http://dx.doi.org/10.1016/j.lurbplan.2022.104504</v>
      </c>
      <c r="BN545" t="s">
        <v>69</v>
      </c>
      <c r="BO545" t="s">
        <v>69</v>
      </c>
      <c r="BP545">
        <v>11</v>
      </c>
      <c r="BQ545" t="s">
        <v>8522</v>
      </c>
      <c r="BR545" t="s">
        <v>8523</v>
      </c>
      <c r="BS545" t="s">
        <v>8524</v>
      </c>
      <c r="BT545" t="s">
        <v>8525</v>
      </c>
      <c r="BU545" t="s">
        <v>8527</v>
      </c>
      <c r="BV545" t="s">
        <v>69</v>
      </c>
      <c r="BW545" t="s">
        <v>69</v>
      </c>
      <c r="BX545" t="s">
        <v>69</v>
      </c>
      <c r="BY545" t="s">
        <v>69</v>
      </c>
      <c r="BZ545" t="s">
        <v>8526</v>
      </c>
      <c r="CA545" t="str">
        <f>HYPERLINK("https%3A%2F%2Fwww.webofscience.com%2Fwos%2Fwoscc%2Ffull-record%2FWOS:000826304100002","View Full Record in Web of Science")</f>
        <v>View Full Record in Web of Science</v>
      </c>
    </row>
    <row r="546" spans="1:79" x14ac:dyDescent="0.3">
      <c r="B546" t="s">
        <v>8495</v>
      </c>
      <c r="D546" s="9" t="s">
        <v>32958</v>
      </c>
      <c r="E546" s="9" t="s">
        <v>33102</v>
      </c>
      <c r="F546" s="9" t="s">
        <v>8491</v>
      </c>
      <c r="G546" s="9" t="s">
        <v>8490</v>
      </c>
      <c r="H546" t="s">
        <v>67</v>
      </c>
      <c r="I546" t="s">
        <v>17308</v>
      </c>
      <c r="J546" t="s">
        <v>69</v>
      </c>
      <c r="K546" t="s">
        <v>69</v>
      </c>
      <c r="L546" t="s">
        <v>69</v>
      </c>
      <c r="M546" t="s">
        <v>17309</v>
      </c>
      <c r="N546" t="s">
        <v>69</v>
      </c>
      <c r="O546" t="s">
        <v>69</v>
      </c>
      <c r="P546" t="s">
        <v>17310</v>
      </c>
      <c r="Q546" t="s">
        <v>929</v>
      </c>
      <c r="R546" t="s">
        <v>69</v>
      </c>
      <c r="S546" t="s">
        <v>69</v>
      </c>
      <c r="T546" t="s">
        <v>8505</v>
      </c>
      <c r="U546" t="s">
        <v>8506</v>
      </c>
      <c r="V546" t="s">
        <v>69</v>
      </c>
      <c r="W546" t="s">
        <v>69</v>
      </c>
      <c r="X546" t="s">
        <v>69</v>
      </c>
      <c r="Y546" t="s">
        <v>69</v>
      </c>
      <c r="Z546" t="s">
        <v>69</v>
      </c>
      <c r="AA546" t="s">
        <v>17311</v>
      </c>
      <c r="AB546" t="s">
        <v>69</v>
      </c>
      <c r="AC546" t="s">
        <v>17312</v>
      </c>
      <c r="AD546" t="s">
        <v>17313</v>
      </c>
      <c r="AE546" t="s">
        <v>69</v>
      </c>
      <c r="AF546" t="s">
        <v>17314</v>
      </c>
      <c r="AG546" t="s">
        <v>17315</v>
      </c>
      <c r="AH546" t="s">
        <v>17316</v>
      </c>
      <c r="AI546" t="s">
        <v>17317</v>
      </c>
      <c r="AJ546" t="s">
        <v>69</v>
      </c>
      <c r="AK546" t="s">
        <v>69</v>
      </c>
      <c r="AL546" t="s">
        <v>69</v>
      </c>
      <c r="AM546" t="s">
        <v>69</v>
      </c>
      <c r="AN546">
        <v>25</v>
      </c>
      <c r="AO546">
        <v>6</v>
      </c>
      <c r="AP546">
        <v>5</v>
      </c>
      <c r="AQ546">
        <v>2</v>
      </c>
      <c r="AR546">
        <v>14</v>
      </c>
      <c r="AS546" t="s">
        <v>8865</v>
      </c>
      <c r="AT546" t="s">
        <v>8612</v>
      </c>
      <c r="AU546" t="s">
        <v>8866</v>
      </c>
      <c r="AV546" t="s">
        <v>931</v>
      </c>
      <c r="AW546" t="s">
        <v>932</v>
      </c>
      <c r="AX546" t="s">
        <v>69</v>
      </c>
      <c r="AY546" t="s">
        <v>15975</v>
      </c>
      <c r="AZ546" t="s">
        <v>15976</v>
      </c>
      <c r="BA546" t="s">
        <v>933</v>
      </c>
      <c r="BB546">
        <v>2019</v>
      </c>
      <c r="BC546">
        <v>37</v>
      </c>
      <c r="BD546" t="s">
        <v>145</v>
      </c>
      <c r="BE546" t="s">
        <v>69</v>
      </c>
      <c r="BF546" t="s">
        <v>69</v>
      </c>
      <c r="BG546" t="s">
        <v>69</v>
      </c>
      <c r="BH546" t="s">
        <v>69</v>
      </c>
      <c r="BI546">
        <v>279</v>
      </c>
      <c r="BJ546">
        <v>291</v>
      </c>
      <c r="BK546" t="s">
        <v>69</v>
      </c>
      <c r="BL546" t="s">
        <v>17318</v>
      </c>
      <c r="BM546" t="str">
        <f>HYPERLINK("http://dx.doi.org/10.1080/14615517.2019.1601441","http://dx.doi.org/10.1080/14615517.2019.1601441")</f>
        <v>http://dx.doi.org/10.1080/14615517.2019.1601441</v>
      </c>
      <c r="BN546" t="s">
        <v>69</v>
      </c>
      <c r="BO546" t="s">
        <v>4996</v>
      </c>
      <c r="BP546">
        <v>13</v>
      </c>
      <c r="BQ546" t="s">
        <v>8660</v>
      </c>
      <c r="BR546" t="s">
        <v>8661</v>
      </c>
      <c r="BS546" t="s">
        <v>8662</v>
      </c>
      <c r="BT546" t="s">
        <v>17024</v>
      </c>
      <c r="BU546" t="s">
        <v>17319</v>
      </c>
      <c r="BV546" t="s">
        <v>69</v>
      </c>
      <c r="BW546" t="s">
        <v>69</v>
      </c>
      <c r="BX546" t="s">
        <v>69</v>
      </c>
      <c r="BY546" t="s">
        <v>69</v>
      </c>
      <c r="BZ546" t="s">
        <v>8526</v>
      </c>
      <c r="CA546" t="str">
        <f>HYPERLINK("https%3A%2F%2Fwww.webofscience.com%2Fwos%2Fwoscc%2Ffull-record%2FWOS:000465917300001","View Full Record in Web of Science")</f>
        <v>View Full Record in Web of Science</v>
      </c>
    </row>
    <row r="547" spans="1:79" ht="12.5" x14ac:dyDescent="0.25">
      <c r="B547" t="s">
        <v>8495</v>
      </c>
      <c r="D547" s="7" t="s">
        <v>32933</v>
      </c>
      <c r="E547" s="7"/>
      <c r="F547" s="7"/>
      <c r="G547" s="7"/>
      <c r="H547" t="s">
        <v>67</v>
      </c>
      <c r="I547" t="s">
        <v>2190</v>
      </c>
      <c r="J547" t="s">
        <v>69</v>
      </c>
      <c r="K547" t="s">
        <v>69</v>
      </c>
      <c r="L547" t="s">
        <v>69</v>
      </c>
      <c r="M547" t="s">
        <v>2191</v>
      </c>
      <c r="N547" t="s">
        <v>69</v>
      </c>
      <c r="O547" t="s">
        <v>69</v>
      </c>
      <c r="P547" t="s">
        <v>2192</v>
      </c>
      <c r="Q547" t="s">
        <v>929</v>
      </c>
      <c r="R547" t="s">
        <v>69</v>
      </c>
      <c r="S547" t="s">
        <v>69</v>
      </c>
      <c r="T547" t="s">
        <v>8505</v>
      </c>
      <c r="U547" t="s">
        <v>8506</v>
      </c>
      <c r="V547" t="s">
        <v>69</v>
      </c>
      <c r="W547" t="s">
        <v>69</v>
      </c>
      <c r="X547" t="s">
        <v>69</v>
      </c>
      <c r="Y547" t="s">
        <v>69</v>
      </c>
      <c r="Z547" t="s">
        <v>69</v>
      </c>
      <c r="AA547" t="s">
        <v>17020</v>
      </c>
      <c r="AB547" t="s">
        <v>69</v>
      </c>
      <c r="AC547" t="s">
        <v>2193</v>
      </c>
      <c r="AD547" t="s">
        <v>17021</v>
      </c>
      <c r="AE547" t="s">
        <v>69</v>
      </c>
      <c r="AF547" t="s">
        <v>17022</v>
      </c>
      <c r="AG547" t="s">
        <v>17023</v>
      </c>
      <c r="AH547" t="s">
        <v>69</v>
      </c>
      <c r="AI547" t="s">
        <v>69</v>
      </c>
      <c r="AJ547" t="s">
        <v>69</v>
      </c>
      <c r="AK547" t="s">
        <v>69</v>
      </c>
      <c r="AL547" t="s">
        <v>69</v>
      </c>
      <c r="AM547" t="s">
        <v>69</v>
      </c>
      <c r="AN547">
        <v>8</v>
      </c>
      <c r="AO547">
        <v>6</v>
      </c>
      <c r="AP547">
        <v>6</v>
      </c>
      <c r="AQ547">
        <v>0</v>
      </c>
      <c r="AR547">
        <v>6</v>
      </c>
      <c r="AS547" t="s">
        <v>8865</v>
      </c>
      <c r="AT547" t="s">
        <v>8612</v>
      </c>
      <c r="AU547" t="s">
        <v>8866</v>
      </c>
      <c r="AV547" t="s">
        <v>931</v>
      </c>
      <c r="AW547" t="s">
        <v>932</v>
      </c>
      <c r="AX547" t="s">
        <v>69</v>
      </c>
      <c r="AY547" t="s">
        <v>15975</v>
      </c>
      <c r="AZ547" t="s">
        <v>15976</v>
      </c>
      <c r="BA547" t="s">
        <v>933</v>
      </c>
      <c r="BB547">
        <v>2019</v>
      </c>
      <c r="BC547">
        <v>37</v>
      </c>
      <c r="BD547" t="s">
        <v>145</v>
      </c>
      <c r="BE547" t="s">
        <v>69</v>
      </c>
      <c r="BF547" t="s">
        <v>69</v>
      </c>
      <c r="BG547" t="s">
        <v>69</v>
      </c>
      <c r="BH547" t="s">
        <v>69</v>
      </c>
      <c r="BI547">
        <v>199</v>
      </c>
      <c r="BJ547">
        <v>209</v>
      </c>
      <c r="BK547" t="s">
        <v>69</v>
      </c>
      <c r="BL547" t="s">
        <v>2194</v>
      </c>
      <c r="BM547" t="str">
        <f>HYPERLINK("http://dx.doi.org/10.1080/14615517.2019.1578482","http://dx.doi.org/10.1080/14615517.2019.1578482")</f>
        <v>http://dx.doi.org/10.1080/14615517.2019.1578482</v>
      </c>
      <c r="BN547" t="s">
        <v>69</v>
      </c>
      <c r="BO547" t="s">
        <v>69</v>
      </c>
      <c r="BP547">
        <v>11</v>
      </c>
      <c r="BQ547" t="s">
        <v>8660</v>
      </c>
      <c r="BR547" t="s">
        <v>8661</v>
      </c>
      <c r="BS547" t="s">
        <v>8662</v>
      </c>
      <c r="BT547" t="s">
        <v>17024</v>
      </c>
      <c r="BU547" t="s">
        <v>2195</v>
      </c>
      <c r="BV547" t="s">
        <v>69</v>
      </c>
      <c r="BW547" t="s">
        <v>69</v>
      </c>
      <c r="BX547" t="s">
        <v>69</v>
      </c>
      <c r="BY547" t="s">
        <v>69</v>
      </c>
      <c r="BZ547" t="s">
        <v>8526</v>
      </c>
      <c r="CA547" t="str">
        <f>HYPERLINK("https%3A%2F%2Fwww.webofscience.com%2Fwos%2Fwoscc%2Ffull-record%2FWOS:000476565900003","View Full Record in Web of Science")</f>
        <v>View Full Record in Web of Science</v>
      </c>
    </row>
    <row r="548" spans="1:79" ht="12.5" x14ac:dyDescent="0.25">
      <c r="B548" t="s">
        <v>8495</v>
      </c>
      <c r="D548" s="22" t="s">
        <v>32931</v>
      </c>
      <c r="E548" s="7"/>
      <c r="F548" s="7"/>
      <c r="G548" s="7"/>
      <c r="H548" t="s">
        <v>67</v>
      </c>
      <c r="I548" t="s">
        <v>24930</v>
      </c>
      <c r="J548" t="s">
        <v>69</v>
      </c>
      <c r="K548" t="s">
        <v>69</v>
      </c>
      <c r="L548" t="s">
        <v>69</v>
      </c>
      <c r="M548" t="s">
        <v>24931</v>
      </c>
      <c r="N548" t="s">
        <v>69</v>
      </c>
      <c r="O548" t="s">
        <v>69</v>
      </c>
      <c r="P548" t="s">
        <v>24932</v>
      </c>
      <c r="Q548" t="s">
        <v>12317</v>
      </c>
      <c r="R548" t="s">
        <v>69</v>
      </c>
      <c r="S548" t="s">
        <v>69</v>
      </c>
      <c r="T548" t="s">
        <v>8505</v>
      </c>
      <c r="U548" t="s">
        <v>8506</v>
      </c>
      <c r="V548" t="s">
        <v>69</v>
      </c>
      <c r="W548" t="s">
        <v>69</v>
      </c>
      <c r="X548" t="s">
        <v>69</v>
      </c>
      <c r="Y548" t="s">
        <v>69</v>
      </c>
      <c r="Z548" t="s">
        <v>69</v>
      </c>
      <c r="AA548" t="s">
        <v>24933</v>
      </c>
      <c r="AB548" t="s">
        <v>24934</v>
      </c>
      <c r="AC548" t="s">
        <v>24935</v>
      </c>
      <c r="AD548" t="s">
        <v>24936</v>
      </c>
      <c r="AE548" t="s">
        <v>69</v>
      </c>
      <c r="AF548" t="s">
        <v>24937</v>
      </c>
      <c r="AG548" t="s">
        <v>24938</v>
      </c>
      <c r="AH548" t="s">
        <v>24939</v>
      </c>
      <c r="AI548" t="s">
        <v>24940</v>
      </c>
      <c r="AJ548" t="s">
        <v>24941</v>
      </c>
      <c r="AK548" t="s">
        <v>24941</v>
      </c>
      <c r="AL548" t="s">
        <v>24942</v>
      </c>
      <c r="AM548" t="s">
        <v>69</v>
      </c>
      <c r="AN548">
        <v>46</v>
      </c>
      <c r="AO548">
        <v>12</v>
      </c>
      <c r="AP548">
        <v>12</v>
      </c>
      <c r="AQ548">
        <v>1</v>
      </c>
      <c r="AR548">
        <v>31</v>
      </c>
      <c r="AS548" t="s">
        <v>9203</v>
      </c>
      <c r="AT548" t="s">
        <v>8763</v>
      </c>
      <c r="AU548" t="s">
        <v>9204</v>
      </c>
      <c r="AV548" t="s">
        <v>12325</v>
      </c>
      <c r="AW548" t="s">
        <v>69</v>
      </c>
      <c r="AX548" t="s">
        <v>69</v>
      </c>
      <c r="AY548" t="s">
        <v>12326</v>
      </c>
      <c r="AZ548" t="s">
        <v>12327</v>
      </c>
      <c r="BA548" t="s">
        <v>7041</v>
      </c>
      <c r="BB548">
        <v>2013</v>
      </c>
      <c r="BC548">
        <v>13</v>
      </c>
      <c r="BD548" t="s">
        <v>69</v>
      </c>
      <c r="BE548" t="s">
        <v>69</v>
      </c>
      <c r="BF548" t="s">
        <v>69</v>
      </c>
      <c r="BG548" t="s">
        <v>69</v>
      </c>
      <c r="BH548" t="s">
        <v>69</v>
      </c>
      <c r="BI548" t="s">
        <v>69</v>
      </c>
      <c r="BJ548" t="s">
        <v>69</v>
      </c>
      <c r="BK548">
        <v>226</v>
      </c>
      <c r="BL548" t="s">
        <v>24943</v>
      </c>
      <c r="BM548" t="str">
        <f>HYPERLINK("http://dx.doi.org/10.1186/1472-6963-13-226","http://dx.doi.org/10.1186/1472-6963-13-226")</f>
        <v>http://dx.doi.org/10.1186/1472-6963-13-226</v>
      </c>
      <c r="BN548" t="s">
        <v>69</v>
      </c>
      <c r="BO548" t="s">
        <v>69</v>
      </c>
      <c r="BP548">
        <v>11</v>
      </c>
      <c r="BQ548" t="s">
        <v>9209</v>
      </c>
      <c r="BR548" t="s">
        <v>8523</v>
      </c>
      <c r="BS548" t="s">
        <v>9209</v>
      </c>
      <c r="BT548" t="s">
        <v>24944</v>
      </c>
      <c r="BU548" t="s">
        <v>24945</v>
      </c>
      <c r="BV548">
        <v>23800253</v>
      </c>
      <c r="BW548" t="s">
        <v>9352</v>
      </c>
      <c r="BX548" t="s">
        <v>69</v>
      </c>
      <c r="BY548" t="s">
        <v>69</v>
      </c>
      <c r="BZ548" t="s">
        <v>8526</v>
      </c>
      <c r="CA548" t="str">
        <f>HYPERLINK("https%3A%2F%2Fwww.webofscience.com%2Fwos%2Fwoscc%2Ffull-record%2FWOS:000321665600001","View Full Record in Web of Science")</f>
        <v>View Full Record in Web of Science</v>
      </c>
    </row>
    <row r="549" spans="1:79" ht="12.5" x14ac:dyDescent="0.25">
      <c r="B549" t="s">
        <v>8495</v>
      </c>
      <c r="D549" s="22" t="s">
        <v>32931</v>
      </c>
      <c r="E549" s="7"/>
      <c r="F549" s="7"/>
      <c r="G549" s="7"/>
      <c r="H549" t="s">
        <v>67</v>
      </c>
      <c r="I549" t="s">
        <v>29993</v>
      </c>
      <c r="J549" t="s">
        <v>69</v>
      </c>
      <c r="K549" t="s">
        <v>69</v>
      </c>
      <c r="L549" t="s">
        <v>69</v>
      </c>
      <c r="M549" t="s">
        <v>29994</v>
      </c>
      <c r="N549" t="s">
        <v>69</v>
      </c>
      <c r="O549" t="s">
        <v>69</v>
      </c>
      <c r="P549" t="s">
        <v>29995</v>
      </c>
      <c r="Q549" t="s">
        <v>29996</v>
      </c>
      <c r="R549" t="s">
        <v>69</v>
      </c>
      <c r="S549" t="s">
        <v>69</v>
      </c>
      <c r="T549" t="s">
        <v>25721</v>
      </c>
      <c r="U549" t="s">
        <v>8506</v>
      </c>
      <c r="V549" t="s">
        <v>69</v>
      </c>
      <c r="W549" t="s">
        <v>69</v>
      </c>
      <c r="X549" t="s">
        <v>69</v>
      </c>
      <c r="Y549" t="s">
        <v>69</v>
      </c>
      <c r="Z549" t="s">
        <v>69</v>
      </c>
      <c r="AA549" t="s">
        <v>29997</v>
      </c>
      <c r="AB549" t="s">
        <v>69</v>
      </c>
      <c r="AC549" t="s">
        <v>29998</v>
      </c>
      <c r="AD549" t="s">
        <v>29999</v>
      </c>
      <c r="AE549" t="s">
        <v>69</v>
      </c>
      <c r="AF549" t="s">
        <v>30000</v>
      </c>
      <c r="AG549" t="s">
        <v>69</v>
      </c>
      <c r="AH549" t="s">
        <v>69</v>
      </c>
      <c r="AI549" t="s">
        <v>69</v>
      </c>
      <c r="AJ549" t="s">
        <v>69</v>
      </c>
      <c r="AK549" t="s">
        <v>69</v>
      </c>
      <c r="AL549" t="s">
        <v>69</v>
      </c>
      <c r="AM549" t="s">
        <v>69</v>
      </c>
      <c r="AN549">
        <v>19</v>
      </c>
      <c r="AO549">
        <v>0</v>
      </c>
      <c r="AP549">
        <v>0</v>
      </c>
      <c r="AQ549">
        <v>1</v>
      </c>
      <c r="AR549">
        <v>1</v>
      </c>
      <c r="AS549" t="s">
        <v>30001</v>
      </c>
      <c r="AT549" t="s">
        <v>14458</v>
      </c>
      <c r="AU549" t="s">
        <v>30002</v>
      </c>
      <c r="AV549" t="s">
        <v>30003</v>
      </c>
      <c r="AW549" t="s">
        <v>30004</v>
      </c>
      <c r="AX549" t="s">
        <v>69</v>
      </c>
      <c r="AY549" t="s">
        <v>30005</v>
      </c>
      <c r="AZ549" t="s">
        <v>30006</v>
      </c>
      <c r="BA549" t="s">
        <v>69</v>
      </c>
      <c r="BB549">
        <v>2007</v>
      </c>
      <c r="BC549">
        <v>10</v>
      </c>
      <c r="BD549">
        <v>4</v>
      </c>
      <c r="BE549" t="s">
        <v>69</v>
      </c>
      <c r="BF549" t="s">
        <v>69</v>
      </c>
      <c r="BG549" t="s">
        <v>69</v>
      </c>
      <c r="BH549" t="s">
        <v>69</v>
      </c>
      <c r="BI549">
        <v>441</v>
      </c>
      <c r="BJ549">
        <v>449</v>
      </c>
      <c r="BK549" t="s">
        <v>69</v>
      </c>
      <c r="BL549" t="s">
        <v>30007</v>
      </c>
      <c r="BM549" t="str">
        <f>HYPERLINK("http://dx.doi.org/10.2339/2007.10.4.441-449","http://dx.doi.org/10.2339/2007.10.4.441-449")</f>
        <v>http://dx.doi.org/10.2339/2007.10.4.441-449</v>
      </c>
      <c r="BN549" t="s">
        <v>69</v>
      </c>
      <c r="BO549" t="s">
        <v>69</v>
      </c>
      <c r="BP549">
        <v>9</v>
      </c>
      <c r="BQ549" t="s">
        <v>9891</v>
      </c>
      <c r="BR549" t="s">
        <v>8573</v>
      </c>
      <c r="BS549" t="s">
        <v>8445</v>
      </c>
      <c r="BT549" t="s">
        <v>30008</v>
      </c>
      <c r="BU549" t="s">
        <v>30009</v>
      </c>
      <c r="BV549" t="s">
        <v>69</v>
      </c>
      <c r="BW549" t="s">
        <v>69</v>
      </c>
      <c r="BX549" t="s">
        <v>69</v>
      </c>
      <c r="BY549" t="s">
        <v>69</v>
      </c>
      <c r="BZ549" t="s">
        <v>8526</v>
      </c>
      <c r="CA549" t="str">
        <f>HYPERLINK("https%3A%2F%2Fwww.webofscience.com%2Fwos%2Fwoscc%2Ffull-record%2FWOS:000447783600014","View Full Record in Web of Science")</f>
        <v>View Full Record in Web of Science</v>
      </c>
    </row>
    <row r="550" spans="1:79" ht="12.5" x14ac:dyDescent="0.25">
      <c r="B550" t="s">
        <v>8495</v>
      </c>
      <c r="D550" s="7" t="s">
        <v>32933</v>
      </c>
      <c r="E550" s="7"/>
      <c r="F550" s="7"/>
      <c r="G550" s="7"/>
      <c r="H550" t="s">
        <v>67</v>
      </c>
      <c r="I550" t="s">
        <v>2593</v>
      </c>
      <c r="J550" t="s">
        <v>69</v>
      </c>
      <c r="K550" t="s">
        <v>69</v>
      </c>
      <c r="L550" t="s">
        <v>69</v>
      </c>
      <c r="M550" t="s">
        <v>2594</v>
      </c>
      <c r="N550" t="s">
        <v>69</v>
      </c>
      <c r="O550" t="s">
        <v>69</v>
      </c>
      <c r="P550" t="s">
        <v>2595</v>
      </c>
      <c r="Q550" t="s">
        <v>2596</v>
      </c>
      <c r="R550" t="s">
        <v>69</v>
      </c>
      <c r="S550" t="s">
        <v>69</v>
      </c>
      <c r="T550" t="s">
        <v>8505</v>
      </c>
      <c r="U550" t="s">
        <v>8506</v>
      </c>
      <c r="V550" t="s">
        <v>69</v>
      </c>
      <c r="W550" t="s">
        <v>69</v>
      </c>
      <c r="X550" t="s">
        <v>69</v>
      </c>
      <c r="Y550" t="s">
        <v>69</v>
      </c>
      <c r="Z550" t="s">
        <v>69</v>
      </c>
      <c r="AA550" t="s">
        <v>20317</v>
      </c>
      <c r="AB550" t="s">
        <v>20318</v>
      </c>
      <c r="AC550" t="s">
        <v>2597</v>
      </c>
      <c r="AD550" t="s">
        <v>20319</v>
      </c>
      <c r="AE550" t="s">
        <v>69</v>
      </c>
      <c r="AF550" t="s">
        <v>20320</v>
      </c>
      <c r="AG550" t="s">
        <v>20321</v>
      </c>
      <c r="AH550" t="s">
        <v>2598</v>
      </c>
      <c r="AI550" t="s">
        <v>2599</v>
      </c>
      <c r="AJ550" t="s">
        <v>69</v>
      </c>
      <c r="AK550" t="s">
        <v>69</v>
      </c>
      <c r="AL550" t="s">
        <v>69</v>
      </c>
      <c r="AM550" t="s">
        <v>69</v>
      </c>
      <c r="AN550">
        <v>83</v>
      </c>
      <c r="AO550">
        <v>21</v>
      </c>
      <c r="AP550">
        <v>21</v>
      </c>
      <c r="AQ550">
        <v>1</v>
      </c>
      <c r="AR550">
        <v>25</v>
      </c>
      <c r="AS550" t="s">
        <v>8611</v>
      </c>
      <c r="AT550" t="s">
        <v>8612</v>
      </c>
      <c r="AU550" t="s">
        <v>8613</v>
      </c>
      <c r="AV550" t="s">
        <v>2600</v>
      </c>
      <c r="AW550" t="s">
        <v>2601</v>
      </c>
      <c r="AX550" t="s">
        <v>69</v>
      </c>
      <c r="AY550" t="s">
        <v>20322</v>
      </c>
      <c r="AZ550" t="s">
        <v>20323</v>
      </c>
      <c r="BA550" t="s">
        <v>155</v>
      </c>
      <c r="BB550">
        <v>2017</v>
      </c>
      <c r="BC550">
        <v>41</v>
      </c>
      <c r="BD550">
        <v>2</v>
      </c>
      <c r="BE550" t="s">
        <v>69</v>
      </c>
      <c r="BF550" t="s">
        <v>69</v>
      </c>
      <c r="BG550" t="s">
        <v>69</v>
      </c>
      <c r="BH550" t="s">
        <v>69</v>
      </c>
      <c r="BI550">
        <v>77</v>
      </c>
      <c r="BJ550">
        <v>95</v>
      </c>
      <c r="BK550" t="s">
        <v>69</v>
      </c>
      <c r="BL550" t="s">
        <v>2602</v>
      </c>
      <c r="BM550" t="str">
        <f>HYPERLINK("http://dx.doi.org/10.1016/j.accfor.2017.01.002","http://dx.doi.org/10.1016/j.accfor.2017.01.002")</f>
        <v>http://dx.doi.org/10.1016/j.accfor.2017.01.002</v>
      </c>
      <c r="BN550" t="s">
        <v>69</v>
      </c>
      <c r="BO550" t="s">
        <v>69</v>
      </c>
      <c r="BP550">
        <v>19</v>
      </c>
      <c r="BQ550" t="s">
        <v>9749</v>
      </c>
      <c r="BR550" t="s">
        <v>8661</v>
      </c>
      <c r="BS550" t="s">
        <v>8594</v>
      </c>
      <c r="BT550" t="s">
        <v>20324</v>
      </c>
      <c r="BU550" t="s">
        <v>2603</v>
      </c>
      <c r="BV550" t="s">
        <v>69</v>
      </c>
      <c r="BW550" t="s">
        <v>69</v>
      </c>
      <c r="BX550" t="s">
        <v>69</v>
      </c>
      <c r="BY550" t="s">
        <v>69</v>
      </c>
      <c r="BZ550" t="s">
        <v>8526</v>
      </c>
      <c r="CA550" t="str">
        <f>HYPERLINK("https%3A%2F%2Fwww.webofscience.com%2Fwos%2Fwoscc%2Ffull-record%2FWOS:000403269500002","View Full Record in Web of Science")</f>
        <v>View Full Record in Web of Science</v>
      </c>
    </row>
    <row r="551" spans="1:79" x14ac:dyDescent="0.3">
      <c r="B551" t="s">
        <v>8495</v>
      </c>
      <c r="D551" s="9" t="s">
        <v>32954</v>
      </c>
      <c r="E551" s="9" t="s">
        <v>33101</v>
      </c>
      <c r="F551" s="9" t="s">
        <v>8491</v>
      </c>
      <c r="G551" s="9" t="s">
        <v>8490</v>
      </c>
      <c r="H551" t="s">
        <v>67</v>
      </c>
      <c r="I551" t="s">
        <v>24055</v>
      </c>
      <c r="J551" t="s">
        <v>69</v>
      </c>
      <c r="K551" t="s">
        <v>69</v>
      </c>
      <c r="L551" t="s">
        <v>69</v>
      </c>
      <c r="M551" t="s">
        <v>24056</v>
      </c>
      <c r="N551" t="s">
        <v>69</v>
      </c>
      <c r="O551" t="s">
        <v>69</v>
      </c>
      <c r="P551" t="s">
        <v>24057</v>
      </c>
      <c r="Q551" t="s">
        <v>4552</v>
      </c>
      <c r="R551" t="s">
        <v>69</v>
      </c>
      <c r="S551" t="s">
        <v>69</v>
      </c>
      <c r="T551" t="s">
        <v>8505</v>
      </c>
      <c r="U551" t="s">
        <v>8506</v>
      </c>
      <c r="V551" t="s">
        <v>69</v>
      </c>
      <c r="W551" t="s">
        <v>69</v>
      </c>
      <c r="X551" t="s">
        <v>69</v>
      </c>
      <c r="Y551" t="s">
        <v>69</v>
      </c>
      <c r="Z551" t="s">
        <v>69</v>
      </c>
      <c r="AA551" t="s">
        <v>24058</v>
      </c>
      <c r="AB551" t="s">
        <v>24059</v>
      </c>
      <c r="AC551" t="s">
        <v>24060</v>
      </c>
      <c r="AD551" t="s">
        <v>24061</v>
      </c>
      <c r="AE551" t="s">
        <v>69</v>
      </c>
      <c r="AF551" t="s">
        <v>24062</v>
      </c>
      <c r="AG551" t="s">
        <v>24063</v>
      </c>
      <c r="AH551" t="s">
        <v>24064</v>
      </c>
      <c r="AI551" t="s">
        <v>24065</v>
      </c>
      <c r="AJ551" t="s">
        <v>69</v>
      </c>
      <c r="AK551" t="s">
        <v>69</v>
      </c>
      <c r="AL551" t="s">
        <v>69</v>
      </c>
      <c r="AM551" t="s">
        <v>69</v>
      </c>
      <c r="AN551">
        <v>46</v>
      </c>
      <c r="AO551">
        <v>4</v>
      </c>
      <c r="AP551">
        <v>5</v>
      </c>
      <c r="AQ551">
        <v>0</v>
      </c>
      <c r="AR551">
        <v>13</v>
      </c>
      <c r="AS551" t="s">
        <v>9091</v>
      </c>
      <c r="AT551" t="s">
        <v>8763</v>
      </c>
      <c r="AU551" t="s">
        <v>15468</v>
      </c>
      <c r="AV551" t="s">
        <v>4556</v>
      </c>
      <c r="AW551" t="s">
        <v>69</v>
      </c>
      <c r="AX551" t="s">
        <v>69</v>
      </c>
      <c r="AY551" t="s">
        <v>4552</v>
      </c>
      <c r="AZ551" t="s">
        <v>9094</v>
      </c>
      <c r="BA551" t="s">
        <v>69</v>
      </c>
      <c r="BB551">
        <v>2014</v>
      </c>
      <c r="BC551">
        <v>16</v>
      </c>
      <c r="BD551">
        <v>1</v>
      </c>
      <c r="BE551" t="s">
        <v>69</v>
      </c>
      <c r="BF551" t="s">
        <v>69</v>
      </c>
      <c r="BG551" t="s">
        <v>69</v>
      </c>
      <c r="BH551" t="s">
        <v>69</v>
      </c>
      <c r="BI551">
        <v>62</v>
      </c>
      <c r="BJ551">
        <v>78</v>
      </c>
      <c r="BK551" t="s">
        <v>69</v>
      </c>
      <c r="BL551" t="s">
        <v>24066</v>
      </c>
      <c r="BM551" t="str">
        <f>HYPERLINK("http://dx.doi.org/10.2166/wp.2013.135","http://dx.doi.org/10.2166/wp.2013.135")</f>
        <v>http://dx.doi.org/10.2166/wp.2013.135</v>
      </c>
      <c r="BN551" t="s">
        <v>69</v>
      </c>
      <c r="BO551" t="s">
        <v>69</v>
      </c>
      <c r="BP551">
        <v>17</v>
      </c>
      <c r="BQ551" t="s">
        <v>9096</v>
      </c>
      <c r="BR551" t="s">
        <v>8523</v>
      </c>
      <c r="BS551" t="s">
        <v>9096</v>
      </c>
      <c r="BT551" t="s">
        <v>24067</v>
      </c>
      <c r="BU551" t="s">
        <v>24068</v>
      </c>
      <c r="BV551" t="s">
        <v>69</v>
      </c>
      <c r="BW551" t="s">
        <v>69</v>
      </c>
      <c r="BX551" t="s">
        <v>69</v>
      </c>
      <c r="BY551" t="s">
        <v>69</v>
      </c>
      <c r="BZ551" t="s">
        <v>8526</v>
      </c>
      <c r="CA551" t="str">
        <f>HYPERLINK("https%3A%2F%2Fwww.webofscience.com%2Fwos%2Fwoscc%2Ffull-record%2FWOS:000334505400004","View Full Record in Web of Science")</f>
        <v>View Full Record in Web of Science</v>
      </c>
    </row>
    <row r="552" spans="1:79" ht="12.5" x14ac:dyDescent="0.25">
      <c r="B552" t="s">
        <v>8495</v>
      </c>
      <c r="D552" s="7" t="s">
        <v>32933</v>
      </c>
      <c r="E552" s="7"/>
      <c r="F552" s="7"/>
      <c r="G552" s="7"/>
      <c r="H552" t="s">
        <v>67</v>
      </c>
      <c r="I552" t="s">
        <v>6481</v>
      </c>
      <c r="J552" t="s">
        <v>69</v>
      </c>
      <c r="K552" t="s">
        <v>69</v>
      </c>
      <c r="L552" t="s">
        <v>69</v>
      </c>
      <c r="M552" t="s">
        <v>6482</v>
      </c>
      <c r="N552" t="s">
        <v>69</v>
      </c>
      <c r="O552" t="s">
        <v>69</v>
      </c>
      <c r="P552" t="s">
        <v>6483</v>
      </c>
      <c r="Q552" t="s">
        <v>6484</v>
      </c>
      <c r="R552" t="s">
        <v>69</v>
      </c>
      <c r="S552" t="s">
        <v>69</v>
      </c>
      <c r="T552" t="s">
        <v>8505</v>
      </c>
      <c r="U552" t="s">
        <v>8506</v>
      </c>
      <c r="V552" t="s">
        <v>69</v>
      </c>
      <c r="W552" t="s">
        <v>69</v>
      </c>
      <c r="X552" t="s">
        <v>69</v>
      </c>
      <c r="Y552" t="s">
        <v>69</v>
      </c>
      <c r="Z552" t="s">
        <v>69</v>
      </c>
      <c r="AA552" t="s">
        <v>17588</v>
      </c>
      <c r="AB552" t="s">
        <v>17589</v>
      </c>
      <c r="AC552" t="s">
        <v>6485</v>
      </c>
      <c r="AD552" t="s">
        <v>17590</v>
      </c>
      <c r="AE552" t="s">
        <v>69</v>
      </c>
      <c r="AF552" t="s">
        <v>17591</v>
      </c>
      <c r="AG552" t="s">
        <v>17592</v>
      </c>
      <c r="AH552" t="s">
        <v>17593</v>
      </c>
      <c r="AI552" t="s">
        <v>17594</v>
      </c>
      <c r="AJ552" t="s">
        <v>17595</v>
      </c>
      <c r="AK552" t="s">
        <v>17596</v>
      </c>
      <c r="AL552" t="s">
        <v>17597</v>
      </c>
      <c r="AM552" t="s">
        <v>69</v>
      </c>
      <c r="AN552">
        <v>103</v>
      </c>
      <c r="AO552">
        <v>18</v>
      </c>
      <c r="AP552">
        <v>18</v>
      </c>
      <c r="AQ552">
        <v>8</v>
      </c>
      <c r="AR552">
        <v>81</v>
      </c>
      <c r="AS552" t="s">
        <v>8586</v>
      </c>
      <c r="AT552" t="s">
        <v>8587</v>
      </c>
      <c r="AU552" t="s">
        <v>8588</v>
      </c>
      <c r="AV552" t="s">
        <v>6486</v>
      </c>
      <c r="AW552" t="s">
        <v>6487</v>
      </c>
      <c r="AX552" t="s">
        <v>69</v>
      </c>
      <c r="AY552" t="s">
        <v>17598</v>
      </c>
      <c r="AZ552" t="s">
        <v>17599</v>
      </c>
      <c r="BA552" t="s">
        <v>6488</v>
      </c>
      <c r="BB552">
        <v>2019</v>
      </c>
      <c r="BC552">
        <v>39</v>
      </c>
      <c r="BD552">
        <v>1</v>
      </c>
      <c r="BE552" t="s">
        <v>69</v>
      </c>
      <c r="BF552" t="s">
        <v>69</v>
      </c>
      <c r="BG552" t="s">
        <v>69</v>
      </c>
      <c r="BH552" t="s">
        <v>69</v>
      </c>
      <c r="BI552">
        <v>138</v>
      </c>
      <c r="BJ552">
        <v>163</v>
      </c>
      <c r="BK552" t="s">
        <v>69</v>
      </c>
      <c r="BL552" t="s">
        <v>6489</v>
      </c>
      <c r="BM552" t="str">
        <f>HYPERLINK("http://dx.doi.org/10.1108/IJOPM-11-2017-0695","http://dx.doi.org/10.1108/IJOPM-11-2017-0695")</f>
        <v>http://dx.doi.org/10.1108/IJOPM-11-2017-0695</v>
      </c>
      <c r="BN552" t="s">
        <v>69</v>
      </c>
      <c r="BO552" t="s">
        <v>69</v>
      </c>
      <c r="BP552">
        <v>26</v>
      </c>
      <c r="BQ552" t="s">
        <v>9410</v>
      </c>
      <c r="BR552" t="s">
        <v>8661</v>
      </c>
      <c r="BS552" t="s">
        <v>8594</v>
      </c>
      <c r="BT552" t="s">
        <v>17600</v>
      </c>
      <c r="BU552" t="s">
        <v>6490</v>
      </c>
      <c r="BV552" t="s">
        <v>69</v>
      </c>
      <c r="BW552" t="s">
        <v>69</v>
      </c>
      <c r="BX552" t="s">
        <v>69</v>
      </c>
      <c r="BY552" t="s">
        <v>69</v>
      </c>
      <c r="BZ552" t="s">
        <v>8526</v>
      </c>
      <c r="CA552" t="str">
        <f>HYPERLINK("https%3A%2F%2Fwww.webofscience.com%2Fwos%2Fwoscc%2Ffull-record%2FWOS:000453288300007","View Full Record in Web of Science")</f>
        <v>View Full Record in Web of Science</v>
      </c>
    </row>
    <row r="553" spans="1:79" ht="12.5" x14ac:dyDescent="0.25">
      <c r="B553" t="s">
        <v>8495</v>
      </c>
      <c r="D553" s="7" t="s">
        <v>32933</v>
      </c>
      <c r="E553" s="7"/>
      <c r="F553" s="7"/>
      <c r="G553" s="7"/>
      <c r="H553" t="s">
        <v>67</v>
      </c>
      <c r="I553" t="s">
        <v>6792</v>
      </c>
      <c r="J553" t="s">
        <v>69</v>
      </c>
      <c r="K553" t="s">
        <v>69</v>
      </c>
      <c r="L553" t="s">
        <v>69</v>
      </c>
      <c r="M553" t="s">
        <v>6793</v>
      </c>
      <c r="N553" t="s">
        <v>69</v>
      </c>
      <c r="O553" t="s">
        <v>69</v>
      </c>
      <c r="P553" t="s">
        <v>6794</v>
      </c>
      <c r="Q553" t="s">
        <v>3088</v>
      </c>
      <c r="R553" t="s">
        <v>69</v>
      </c>
      <c r="S553" t="s">
        <v>69</v>
      </c>
      <c r="T553" t="s">
        <v>8505</v>
      </c>
      <c r="U553" t="s">
        <v>8506</v>
      </c>
      <c r="V553" t="s">
        <v>69</v>
      </c>
      <c r="W553" t="s">
        <v>69</v>
      </c>
      <c r="X553" t="s">
        <v>69</v>
      </c>
      <c r="Y553" t="s">
        <v>69</v>
      </c>
      <c r="Z553" t="s">
        <v>69</v>
      </c>
      <c r="AA553" t="s">
        <v>28102</v>
      </c>
      <c r="AB553" t="s">
        <v>11306</v>
      </c>
      <c r="AC553" t="s">
        <v>6795</v>
      </c>
      <c r="AD553" t="s">
        <v>28103</v>
      </c>
      <c r="AE553" t="s">
        <v>69</v>
      </c>
      <c r="AF553" t="s">
        <v>28104</v>
      </c>
      <c r="AG553" t="s">
        <v>28105</v>
      </c>
      <c r="AH553" t="s">
        <v>69</v>
      </c>
      <c r="AI553" t="s">
        <v>69</v>
      </c>
      <c r="AJ553" t="s">
        <v>69</v>
      </c>
      <c r="AK553" t="s">
        <v>69</v>
      </c>
      <c r="AL553" t="s">
        <v>69</v>
      </c>
      <c r="AM553" t="s">
        <v>69</v>
      </c>
      <c r="AN553">
        <v>61</v>
      </c>
      <c r="AO553">
        <v>13</v>
      </c>
      <c r="AP553">
        <v>13</v>
      </c>
      <c r="AQ553">
        <v>2</v>
      </c>
      <c r="AR553">
        <v>80</v>
      </c>
      <c r="AS553" t="s">
        <v>22996</v>
      </c>
      <c r="AT553" t="s">
        <v>22997</v>
      </c>
      <c r="AU553" t="s">
        <v>22998</v>
      </c>
      <c r="AV553" t="s">
        <v>3090</v>
      </c>
      <c r="AW553" t="s">
        <v>3091</v>
      </c>
      <c r="AX553" t="s">
        <v>69</v>
      </c>
      <c r="AY553" t="s">
        <v>22999</v>
      </c>
      <c r="AZ553" t="s">
        <v>23000</v>
      </c>
      <c r="BA553" t="s">
        <v>69</v>
      </c>
      <c r="BB553">
        <v>2010</v>
      </c>
      <c r="BC553">
        <v>21</v>
      </c>
      <c r="BD553">
        <v>1</v>
      </c>
      <c r="BE553" t="s">
        <v>69</v>
      </c>
      <c r="BF553" t="s">
        <v>69</v>
      </c>
      <c r="BG553" t="s">
        <v>69</v>
      </c>
      <c r="BH553" t="s">
        <v>69</v>
      </c>
      <c r="BI553">
        <v>99</v>
      </c>
      <c r="BJ553">
        <v>110</v>
      </c>
      <c r="BK553" t="s">
        <v>69</v>
      </c>
      <c r="BL553" t="s">
        <v>69</v>
      </c>
      <c r="BM553" t="s">
        <v>69</v>
      </c>
      <c r="BN553" t="s">
        <v>69</v>
      </c>
      <c r="BO553" t="s">
        <v>69</v>
      </c>
      <c r="BP553">
        <v>12</v>
      </c>
      <c r="BQ553" t="s">
        <v>9726</v>
      </c>
      <c r="BR553" t="s">
        <v>8661</v>
      </c>
      <c r="BS553" t="s">
        <v>8594</v>
      </c>
      <c r="BT553" t="s">
        <v>28106</v>
      </c>
      <c r="BU553" t="s">
        <v>6796</v>
      </c>
      <c r="BV553" t="s">
        <v>69</v>
      </c>
      <c r="BW553" t="s">
        <v>69</v>
      </c>
      <c r="BX553" t="s">
        <v>69</v>
      </c>
      <c r="BY553" t="s">
        <v>69</v>
      </c>
      <c r="BZ553" t="s">
        <v>8526</v>
      </c>
      <c r="CA553" t="str">
        <f>HYPERLINK("https%3A%2F%2Fwww.webofscience.com%2Fwos%2Fwoscc%2Ffull-record%2FWOS:000275918300011","View Full Record in Web of Science")</f>
        <v>View Full Record in Web of Science</v>
      </c>
    </row>
    <row r="554" spans="1:79" ht="12.5" x14ac:dyDescent="0.25">
      <c r="B554" t="s">
        <v>8495</v>
      </c>
      <c r="D554" s="7" t="s">
        <v>32933</v>
      </c>
      <c r="E554" s="7"/>
      <c r="F554" s="7"/>
      <c r="G554" s="7"/>
      <c r="H554" t="s">
        <v>67</v>
      </c>
      <c r="I554" t="s">
        <v>4533</v>
      </c>
      <c r="J554" t="s">
        <v>69</v>
      </c>
      <c r="K554" t="s">
        <v>69</v>
      </c>
      <c r="L554" t="s">
        <v>69</v>
      </c>
      <c r="M554" t="s">
        <v>4533</v>
      </c>
      <c r="N554" t="s">
        <v>69</v>
      </c>
      <c r="O554" t="s">
        <v>69</v>
      </c>
      <c r="P554" t="s">
        <v>4534</v>
      </c>
      <c r="Q554" t="s">
        <v>100</v>
      </c>
      <c r="R554" t="s">
        <v>69</v>
      </c>
      <c r="S554" t="s">
        <v>69</v>
      </c>
      <c r="T554" t="s">
        <v>8505</v>
      </c>
      <c r="U554" t="s">
        <v>15797</v>
      </c>
      <c r="V554" t="s">
        <v>4535</v>
      </c>
      <c r="W554" t="s">
        <v>4536</v>
      </c>
      <c r="X554" t="s">
        <v>4537</v>
      </c>
      <c r="Y554" t="s">
        <v>69</v>
      </c>
      <c r="Z554" t="s">
        <v>69</v>
      </c>
      <c r="AA554" t="s">
        <v>31014</v>
      </c>
      <c r="AB554" t="s">
        <v>69</v>
      </c>
      <c r="AC554" t="s">
        <v>4538</v>
      </c>
      <c r="AD554" t="s">
        <v>31015</v>
      </c>
      <c r="AE554" t="s">
        <v>69</v>
      </c>
      <c r="AF554" t="s">
        <v>31016</v>
      </c>
      <c r="AG554" t="s">
        <v>31017</v>
      </c>
      <c r="AH554" t="s">
        <v>69</v>
      </c>
      <c r="AI554" t="s">
        <v>69</v>
      </c>
      <c r="AJ554" t="s">
        <v>69</v>
      </c>
      <c r="AK554" t="s">
        <v>69</v>
      </c>
      <c r="AL554" t="s">
        <v>69</v>
      </c>
      <c r="AM554" t="s">
        <v>69</v>
      </c>
      <c r="AN554">
        <v>5</v>
      </c>
      <c r="AO554">
        <v>3</v>
      </c>
      <c r="AP554">
        <v>3</v>
      </c>
      <c r="AQ554">
        <v>0</v>
      </c>
      <c r="AR554">
        <v>8</v>
      </c>
      <c r="AS554" t="s">
        <v>9091</v>
      </c>
      <c r="AT554" t="s">
        <v>8763</v>
      </c>
      <c r="AU554" t="s">
        <v>15468</v>
      </c>
      <c r="AV554" t="s">
        <v>102</v>
      </c>
      <c r="AW554" t="s">
        <v>103</v>
      </c>
      <c r="AX554" t="s">
        <v>69</v>
      </c>
      <c r="AY554" t="s">
        <v>15469</v>
      </c>
      <c r="AZ554" t="s">
        <v>15470</v>
      </c>
      <c r="BA554" t="s">
        <v>69</v>
      </c>
      <c r="BB554">
        <v>2005</v>
      </c>
      <c r="BC554">
        <v>52</v>
      </c>
      <c r="BD554">
        <v>4</v>
      </c>
      <c r="BE554" t="s">
        <v>69</v>
      </c>
      <c r="BF554" t="s">
        <v>69</v>
      </c>
      <c r="BG554" t="s">
        <v>69</v>
      </c>
      <c r="BH554" t="s">
        <v>69</v>
      </c>
      <c r="BI554">
        <v>99</v>
      </c>
      <c r="BJ554">
        <v>105</v>
      </c>
      <c r="BK554" t="s">
        <v>69</v>
      </c>
      <c r="BL554" t="s">
        <v>31018</v>
      </c>
      <c r="BM554" t="str">
        <f>HYPERLINK("http://dx.doi.org/10.2166/wst.2005.0092","http://dx.doi.org/10.2166/wst.2005.0092")</f>
        <v>http://dx.doi.org/10.2166/wst.2005.0092</v>
      </c>
      <c r="BN554" t="s">
        <v>69</v>
      </c>
      <c r="BO554" t="s">
        <v>69</v>
      </c>
      <c r="BP554">
        <v>7</v>
      </c>
      <c r="BQ554" t="s">
        <v>10687</v>
      </c>
      <c r="BR554" t="s">
        <v>15808</v>
      </c>
      <c r="BS554" t="s">
        <v>10688</v>
      </c>
      <c r="BT554" t="s">
        <v>31019</v>
      </c>
      <c r="BU554" t="s">
        <v>4539</v>
      </c>
      <c r="BV554">
        <v>16235751</v>
      </c>
      <c r="BW554" t="s">
        <v>69</v>
      </c>
      <c r="BX554" t="s">
        <v>69</v>
      </c>
      <c r="BY554" t="s">
        <v>69</v>
      </c>
      <c r="BZ554" t="s">
        <v>8526</v>
      </c>
      <c r="CA554" t="str">
        <f>HYPERLINK("https%3A%2F%2Fwww.webofscience.com%2Fwos%2Fwoscc%2Ffull-record%2FWOS:000232732600012","View Full Record in Web of Science")</f>
        <v>View Full Record in Web of Science</v>
      </c>
    </row>
    <row r="555" spans="1:79" ht="12.5" x14ac:dyDescent="0.25">
      <c r="B555" t="s">
        <v>8495</v>
      </c>
      <c r="D555" s="7" t="s">
        <v>32933</v>
      </c>
      <c r="E555" s="7"/>
      <c r="F555" s="7"/>
      <c r="G555" s="7"/>
      <c r="H555" t="s">
        <v>67</v>
      </c>
      <c r="I555" t="s">
        <v>2272</v>
      </c>
      <c r="J555" t="s">
        <v>69</v>
      </c>
      <c r="K555" t="s">
        <v>69</v>
      </c>
      <c r="L555" t="s">
        <v>69</v>
      </c>
      <c r="M555" t="s">
        <v>2273</v>
      </c>
      <c r="N555" t="s">
        <v>69</v>
      </c>
      <c r="O555" t="s">
        <v>69</v>
      </c>
      <c r="P555" t="s">
        <v>2274</v>
      </c>
      <c r="Q555" t="s">
        <v>352</v>
      </c>
      <c r="R555" t="s">
        <v>69</v>
      </c>
      <c r="S555" t="s">
        <v>69</v>
      </c>
      <c r="T555" t="s">
        <v>8505</v>
      </c>
      <c r="U555" t="s">
        <v>8506</v>
      </c>
      <c r="V555" t="s">
        <v>69</v>
      </c>
      <c r="W555" t="s">
        <v>69</v>
      </c>
      <c r="X555" t="s">
        <v>69</v>
      </c>
      <c r="Y555" t="s">
        <v>69</v>
      </c>
      <c r="Z555" t="s">
        <v>69</v>
      </c>
      <c r="AA555" t="s">
        <v>17251</v>
      </c>
      <c r="AB555" t="s">
        <v>17252</v>
      </c>
      <c r="AC555" t="s">
        <v>2275</v>
      </c>
      <c r="AD555" t="s">
        <v>17253</v>
      </c>
      <c r="AE555" t="s">
        <v>69</v>
      </c>
      <c r="AF555" t="s">
        <v>17254</v>
      </c>
      <c r="AG555" t="s">
        <v>17255</v>
      </c>
      <c r="AH555" t="s">
        <v>69</v>
      </c>
      <c r="AI555" t="s">
        <v>69</v>
      </c>
      <c r="AJ555" t="s">
        <v>69</v>
      </c>
      <c r="AK555" t="s">
        <v>69</v>
      </c>
      <c r="AL555" t="s">
        <v>69</v>
      </c>
      <c r="AM555" t="s">
        <v>69</v>
      </c>
      <c r="AN555">
        <v>58</v>
      </c>
      <c r="AO555">
        <v>2</v>
      </c>
      <c r="AP555">
        <v>2</v>
      </c>
      <c r="AQ555">
        <v>2</v>
      </c>
      <c r="AR555">
        <v>14</v>
      </c>
      <c r="AS555" t="s">
        <v>8924</v>
      </c>
      <c r="AT555" t="s">
        <v>8925</v>
      </c>
      <c r="AU555" t="s">
        <v>8926</v>
      </c>
      <c r="AV555" t="s">
        <v>69</v>
      </c>
      <c r="AW555" t="s">
        <v>354</v>
      </c>
      <c r="AX555" t="s">
        <v>69</v>
      </c>
      <c r="AY555" t="s">
        <v>8958</v>
      </c>
      <c r="AZ555" t="s">
        <v>8434</v>
      </c>
      <c r="BA555" t="s">
        <v>636</v>
      </c>
      <c r="BB555">
        <v>2019</v>
      </c>
      <c r="BC555">
        <v>11</v>
      </c>
      <c r="BD555">
        <v>9</v>
      </c>
      <c r="BE555" t="s">
        <v>69</v>
      </c>
      <c r="BF555" t="s">
        <v>69</v>
      </c>
      <c r="BG555" t="s">
        <v>69</v>
      </c>
      <c r="BH555" t="s">
        <v>69</v>
      </c>
      <c r="BI555" t="s">
        <v>69</v>
      </c>
      <c r="BJ555" t="s">
        <v>69</v>
      </c>
      <c r="BK555">
        <v>2523</v>
      </c>
      <c r="BL555" t="s">
        <v>2276</v>
      </c>
      <c r="BM555" t="str">
        <f>HYPERLINK("http://dx.doi.org/10.3390/su11092523","http://dx.doi.org/10.3390/su11092523")</f>
        <v>http://dx.doi.org/10.3390/su11092523</v>
      </c>
      <c r="BN555" t="s">
        <v>69</v>
      </c>
      <c r="BO555" t="s">
        <v>69</v>
      </c>
      <c r="BP555">
        <v>20</v>
      </c>
      <c r="BQ555" t="s">
        <v>8960</v>
      </c>
      <c r="BR555" t="s">
        <v>8523</v>
      </c>
      <c r="BS555" t="s">
        <v>8961</v>
      </c>
      <c r="BT555" t="s">
        <v>17256</v>
      </c>
      <c r="BU555" t="s">
        <v>2277</v>
      </c>
      <c r="BV555" t="s">
        <v>69</v>
      </c>
      <c r="BW555" t="s">
        <v>8812</v>
      </c>
      <c r="BX555" t="s">
        <v>69</v>
      </c>
      <c r="BY555" t="s">
        <v>69</v>
      </c>
      <c r="BZ555" t="s">
        <v>8526</v>
      </c>
      <c r="CA555" t="str">
        <f>HYPERLINK("https%3A%2F%2Fwww.webofscience.com%2Fwos%2Fwoscc%2Ffull-record%2FWOS:000469518700071","View Full Record in Web of Science")</f>
        <v>View Full Record in Web of Science</v>
      </c>
    </row>
    <row r="556" spans="1:79" ht="12.5" x14ac:dyDescent="0.25">
      <c r="A556" t="s">
        <v>8408</v>
      </c>
      <c r="B556" t="s">
        <v>8495</v>
      </c>
      <c r="D556" s="11" t="s">
        <v>33206</v>
      </c>
      <c r="E556" s="7"/>
      <c r="F556" s="11" t="s">
        <v>8490</v>
      </c>
      <c r="G556" s="7"/>
      <c r="H556" t="s">
        <v>67</v>
      </c>
      <c r="I556" t="s">
        <v>8196</v>
      </c>
      <c r="J556" t="s">
        <v>69</v>
      </c>
      <c r="K556" t="s">
        <v>69</v>
      </c>
      <c r="L556" t="s">
        <v>69</v>
      </c>
      <c r="M556" s="2" t="s">
        <v>8197</v>
      </c>
      <c r="N556" t="s">
        <v>69</v>
      </c>
      <c r="O556" t="s">
        <v>69</v>
      </c>
      <c r="P556" s="11" t="s">
        <v>8198</v>
      </c>
      <c r="Q556" t="s">
        <v>1405</v>
      </c>
      <c r="R556" t="s">
        <v>69</v>
      </c>
      <c r="S556" t="s">
        <v>69</v>
      </c>
      <c r="T556" t="s">
        <v>8505</v>
      </c>
      <c r="U556" t="s">
        <v>8506</v>
      </c>
      <c r="V556" t="s">
        <v>69</v>
      </c>
      <c r="W556" t="s">
        <v>69</v>
      </c>
      <c r="X556" t="s">
        <v>69</v>
      </c>
      <c r="Y556" t="s">
        <v>69</v>
      </c>
      <c r="Z556" t="s">
        <v>69</v>
      </c>
      <c r="AA556" t="s">
        <v>21186</v>
      </c>
      <c r="AB556" t="s">
        <v>21187</v>
      </c>
      <c r="AC556" t="s">
        <v>8199</v>
      </c>
      <c r="AD556" t="s">
        <v>21188</v>
      </c>
      <c r="AE556" t="s">
        <v>69</v>
      </c>
      <c r="AF556" t="s">
        <v>21189</v>
      </c>
      <c r="AG556" t="s">
        <v>21190</v>
      </c>
      <c r="AH556" t="s">
        <v>69</v>
      </c>
      <c r="AI556" t="s">
        <v>8200</v>
      </c>
      <c r="AJ556" t="s">
        <v>21191</v>
      </c>
      <c r="AK556" t="s">
        <v>21192</v>
      </c>
      <c r="AL556" t="s">
        <v>21193</v>
      </c>
      <c r="AM556" t="s">
        <v>69</v>
      </c>
      <c r="AN556">
        <v>63</v>
      </c>
      <c r="AO556">
        <v>7</v>
      </c>
      <c r="AP556">
        <v>7</v>
      </c>
      <c r="AQ556">
        <v>0</v>
      </c>
      <c r="AR556">
        <v>11</v>
      </c>
      <c r="AS556" t="s">
        <v>8636</v>
      </c>
      <c r="AT556" t="s">
        <v>8637</v>
      </c>
      <c r="AU556" t="s">
        <v>8638</v>
      </c>
      <c r="AV556" t="s">
        <v>1407</v>
      </c>
      <c r="AW556" t="s">
        <v>1408</v>
      </c>
      <c r="AX556" t="s">
        <v>69</v>
      </c>
      <c r="AY556" t="s">
        <v>14240</v>
      </c>
      <c r="AZ556" t="s">
        <v>8486</v>
      </c>
      <c r="BA556" t="s">
        <v>274</v>
      </c>
      <c r="BB556">
        <v>2016</v>
      </c>
      <c r="BC556">
        <v>98</v>
      </c>
      <c r="BD556" t="s">
        <v>69</v>
      </c>
      <c r="BE556" t="s">
        <v>69</v>
      </c>
      <c r="BF556" t="s">
        <v>69</v>
      </c>
      <c r="BG556" t="s">
        <v>69</v>
      </c>
      <c r="BH556" t="s">
        <v>69</v>
      </c>
      <c r="BI556">
        <v>309</v>
      </c>
      <c r="BJ556">
        <v>317</v>
      </c>
      <c r="BK556" t="s">
        <v>69</v>
      </c>
      <c r="BL556" t="s">
        <v>8201</v>
      </c>
      <c r="BM556" t="str">
        <f>HYPERLINK("http://dx.doi.org/10.1016/j.enpol.2016.08.022","http://dx.doi.org/10.1016/j.enpol.2016.08.022")</f>
        <v>http://dx.doi.org/10.1016/j.enpol.2016.08.022</v>
      </c>
      <c r="BN556" t="s">
        <v>69</v>
      </c>
      <c r="BO556" t="s">
        <v>69</v>
      </c>
      <c r="BP556">
        <v>9</v>
      </c>
      <c r="BQ556" t="s">
        <v>14242</v>
      </c>
      <c r="BR556" t="s">
        <v>8523</v>
      </c>
      <c r="BS556" t="s">
        <v>14243</v>
      </c>
      <c r="BT556" t="s">
        <v>21194</v>
      </c>
      <c r="BU556" t="s">
        <v>8202</v>
      </c>
      <c r="BV556" t="s">
        <v>69</v>
      </c>
      <c r="BW556" t="s">
        <v>10995</v>
      </c>
      <c r="BX556" t="s">
        <v>69</v>
      </c>
      <c r="BY556" t="s">
        <v>69</v>
      </c>
      <c r="BZ556" t="s">
        <v>8526</v>
      </c>
      <c r="CA556" t="str">
        <f>HYPERLINK("https%3A%2F%2Fwww.webofscience.com%2Fwos%2Fwoscc%2Ffull-record%2FWOS:000387300300029","View Full Record in Web of Science")</f>
        <v>View Full Record in Web of Science</v>
      </c>
    </row>
    <row r="557" spans="1:79" ht="12.5" x14ac:dyDescent="0.25">
      <c r="B557" t="s">
        <v>8495</v>
      </c>
      <c r="D557" s="7" t="s">
        <v>32933</v>
      </c>
      <c r="E557" s="7"/>
      <c r="F557" s="7"/>
      <c r="G557" s="7"/>
      <c r="H557" t="s">
        <v>67</v>
      </c>
      <c r="I557" t="s">
        <v>2760</v>
      </c>
      <c r="J557" t="s">
        <v>69</v>
      </c>
      <c r="K557" t="s">
        <v>69</v>
      </c>
      <c r="L557" t="s">
        <v>69</v>
      </c>
      <c r="M557" t="s">
        <v>2761</v>
      </c>
      <c r="N557" t="s">
        <v>69</v>
      </c>
      <c r="O557" t="s">
        <v>69</v>
      </c>
      <c r="P557" t="s">
        <v>2762</v>
      </c>
      <c r="Q557" t="s">
        <v>2763</v>
      </c>
      <c r="R557" t="s">
        <v>69</v>
      </c>
      <c r="S557" t="s">
        <v>69</v>
      </c>
      <c r="T557" t="s">
        <v>8505</v>
      </c>
      <c r="U557" t="s">
        <v>10174</v>
      </c>
      <c r="V557" t="s">
        <v>69</v>
      </c>
      <c r="W557" t="s">
        <v>69</v>
      </c>
      <c r="X557" t="s">
        <v>69</v>
      </c>
      <c r="Y557" t="s">
        <v>69</v>
      </c>
      <c r="Z557" t="s">
        <v>69</v>
      </c>
      <c r="AA557" t="s">
        <v>69</v>
      </c>
      <c r="AB557" t="s">
        <v>69</v>
      </c>
      <c r="AC557" t="s">
        <v>2764</v>
      </c>
      <c r="AD557" t="s">
        <v>69</v>
      </c>
      <c r="AE557" t="s">
        <v>69</v>
      </c>
      <c r="AF557" t="s">
        <v>21132</v>
      </c>
      <c r="AG557" t="s">
        <v>21133</v>
      </c>
      <c r="AH557" t="s">
        <v>69</v>
      </c>
      <c r="AI557" t="s">
        <v>69</v>
      </c>
      <c r="AJ557" t="s">
        <v>21134</v>
      </c>
      <c r="AK557" t="s">
        <v>21134</v>
      </c>
      <c r="AL557" t="s">
        <v>21135</v>
      </c>
      <c r="AM557" t="s">
        <v>69</v>
      </c>
      <c r="AN557">
        <v>0</v>
      </c>
      <c r="AO557">
        <v>0</v>
      </c>
      <c r="AP557">
        <v>0</v>
      </c>
      <c r="AQ557">
        <v>0</v>
      </c>
      <c r="AR557">
        <v>2</v>
      </c>
      <c r="AS557" t="s">
        <v>9978</v>
      </c>
      <c r="AT557" t="s">
        <v>9979</v>
      </c>
      <c r="AU557" t="s">
        <v>9980</v>
      </c>
      <c r="AV557" t="s">
        <v>2765</v>
      </c>
      <c r="AW557" t="s">
        <v>2766</v>
      </c>
      <c r="AX557" t="s">
        <v>69</v>
      </c>
      <c r="AY557" t="s">
        <v>21136</v>
      </c>
      <c r="AZ557" t="s">
        <v>21137</v>
      </c>
      <c r="BA557" t="s">
        <v>75</v>
      </c>
      <c r="BB557">
        <v>2016</v>
      </c>
      <c r="BC557">
        <v>18</v>
      </c>
      <c r="BD557">
        <v>4</v>
      </c>
      <c r="BE557" t="s">
        <v>69</v>
      </c>
      <c r="BF557" t="s">
        <v>69</v>
      </c>
      <c r="BG557" t="s">
        <v>69</v>
      </c>
      <c r="BH557" t="s">
        <v>69</v>
      </c>
      <c r="BI557">
        <v>270</v>
      </c>
      <c r="BJ557">
        <v>273</v>
      </c>
      <c r="BK557" t="s">
        <v>69</v>
      </c>
      <c r="BL557" t="s">
        <v>2767</v>
      </c>
      <c r="BM557" t="str">
        <f>HYPERLINK("http://dx.doi.org/10.1017/S1466046616000478","http://dx.doi.org/10.1017/S1466046616000478")</f>
        <v>http://dx.doi.org/10.1017/S1466046616000478</v>
      </c>
      <c r="BN557" t="s">
        <v>69</v>
      </c>
      <c r="BO557" t="s">
        <v>69</v>
      </c>
      <c r="BP557">
        <v>4</v>
      </c>
      <c r="BQ557" t="s">
        <v>8717</v>
      </c>
      <c r="BR557" t="s">
        <v>8573</v>
      </c>
      <c r="BS557" t="s">
        <v>8662</v>
      </c>
      <c r="BT557" t="s">
        <v>21138</v>
      </c>
      <c r="BU557" t="s">
        <v>2768</v>
      </c>
      <c r="BV557" t="s">
        <v>69</v>
      </c>
      <c r="BW557" t="s">
        <v>69</v>
      </c>
      <c r="BX557" t="s">
        <v>69</v>
      </c>
      <c r="BY557" t="s">
        <v>69</v>
      </c>
      <c r="BZ557" t="s">
        <v>8526</v>
      </c>
      <c r="CA557" t="str">
        <f>HYPERLINK("https%3A%2F%2Fwww.webofscience.com%2Fwos%2Fwoscc%2Ffull-record%2FWOS:000388731200008","View Full Record in Web of Science")</f>
        <v>View Full Record in Web of Science</v>
      </c>
    </row>
    <row r="558" spans="1:79" ht="12.5" x14ac:dyDescent="0.25">
      <c r="B558" t="s">
        <v>8495</v>
      </c>
      <c r="D558" s="22" t="s">
        <v>32931</v>
      </c>
      <c r="E558" s="7"/>
      <c r="F558" s="7"/>
      <c r="G558" s="7"/>
      <c r="H558" t="s">
        <v>67</v>
      </c>
      <c r="I558" t="s">
        <v>20171</v>
      </c>
      <c r="J558" t="s">
        <v>69</v>
      </c>
      <c r="K558" t="s">
        <v>69</v>
      </c>
      <c r="L558" t="s">
        <v>69</v>
      </c>
      <c r="M558" t="s">
        <v>20172</v>
      </c>
      <c r="N558" t="s">
        <v>69</v>
      </c>
      <c r="O558" t="s">
        <v>69</v>
      </c>
      <c r="P558" t="s">
        <v>20173</v>
      </c>
      <c r="Q558" t="s">
        <v>20174</v>
      </c>
      <c r="R558" t="s">
        <v>69</v>
      </c>
      <c r="S558" t="s">
        <v>69</v>
      </c>
      <c r="T558" t="s">
        <v>8505</v>
      </c>
      <c r="U558" t="s">
        <v>8506</v>
      </c>
      <c r="V558" t="s">
        <v>69</v>
      </c>
      <c r="W558" t="s">
        <v>69</v>
      </c>
      <c r="X558" t="s">
        <v>69</v>
      </c>
      <c r="Y558" t="s">
        <v>69</v>
      </c>
      <c r="Z558" t="s">
        <v>69</v>
      </c>
      <c r="AA558" t="s">
        <v>20175</v>
      </c>
      <c r="AB558" t="s">
        <v>20176</v>
      </c>
      <c r="AC558" t="s">
        <v>20177</v>
      </c>
      <c r="AD558" t="s">
        <v>20178</v>
      </c>
      <c r="AE558" t="s">
        <v>69</v>
      </c>
      <c r="AF558" t="s">
        <v>20179</v>
      </c>
      <c r="AG558" t="s">
        <v>20180</v>
      </c>
      <c r="AH558" t="s">
        <v>20181</v>
      </c>
      <c r="AI558" t="s">
        <v>20182</v>
      </c>
      <c r="AJ558" t="s">
        <v>69</v>
      </c>
      <c r="AK558" t="s">
        <v>69</v>
      </c>
      <c r="AL558" t="s">
        <v>69</v>
      </c>
      <c r="AM558" t="s">
        <v>69</v>
      </c>
      <c r="AN558">
        <v>35</v>
      </c>
      <c r="AO558">
        <v>8</v>
      </c>
      <c r="AP558">
        <v>8</v>
      </c>
      <c r="AQ558">
        <v>1</v>
      </c>
      <c r="AR558">
        <v>19</v>
      </c>
      <c r="AS558" t="s">
        <v>20183</v>
      </c>
      <c r="AT558" t="s">
        <v>20184</v>
      </c>
      <c r="AU558" t="s">
        <v>20185</v>
      </c>
      <c r="AV558" t="s">
        <v>20186</v>
      </c>
      <c r="AW558" t="s">
        <v>69</v>
      </c>
      <c r="AX558" t="s">
        <v>69</v>
      </c>
      <c r="AY558" t="s">
        <v>20187</v>
      </c>
      <c r="AZ558" t="s">
        <v>20188</v>
      </c>
      <c r="BA558" t="s">
        <v>84</v>
      </c>
      <c r="BB558">
        <v>2017</v>
      </c>
      <c r="BC558">
        <v>18</v>
      </c>
      <c r="BD558">
        <v>3</v>
      </c>
      <c r="BE558" t="s">
        <v>69</v>
      </c>
      <c r="BF558" t="s">
        <v>69</v>
      </c>
      <c r="BG558" t="s">
        <v>69</v>
      </c>
      <c r="BH558" t="s">
        <v>69</v>
      </c>
      <c r="BI558">
        <v>135</v>
      </c>
      <c r="BJ558">
        <v>155</v>
      </c>
      <c r="BK558" t="s">
        <v>69</v>
      </c>
      <c r="BL558" t="s">
        <v>69</v>
      </c>
      <c r="BM558" t="s">
        <v>69</v>
      </c>
      <c r="BN558" t="s">
        <v>69</v>
      </c>
      <c r="BO558" t="s">
        <v>69</v>
      </c>
      <c r="BP558">
        <v>21</v>
      </c>
      <c r="BQ558" t="s">
        <v>9290</v>
      </c>
      <c r="BR558" t="s">
        <v>8573</v>
      </c>
      <c r="BS558" t="s">
        <v>9290</v>
      </c>
      <c r="BT558" t="s">
        <v>20189</v>
      </c>
      <c r="BU558" t="s">
        <v>20190</v>
      </c>
      <c r="BV558" t="s">
        <v>69</v>
      </c>
      <c r="BW558" t="s">
        <v>12220</v>
      </c>
      <c r="BX558" t="s">
        <v>69</v>
      </c>
      <c r="BY558" t="s">
        <v>69</v>
      </c>
      <c r="BZ558" t="s">
        <v>8526</v>
      </c>
      <c r="CA558" t="str">
        <f>HYPERLINK("https%3A%2F%2Fwww.webofscience.com%2Fwos%2Fwoscc%2Ffull-record%2FWOS:000414269100009","View Full Record in Web of Science")</f>
        <v>View Full Record in Web of Science</v>
      </c>
    </row>
    <row r="559" spans="1:79" ht="12.5" x14ac:dyDescent="0.25">
      <c r="B559" t="s">
        <v>8495</v>
      </c>
      <c r="D559" s="22" t="s">
        <v>32931</v>
      </c>
      <c r="E559" s="7"/>
      <c r="F559" s="7"/>
      <c r="G559" s="7"/>
      <c r="H559" t="s">
        <v>67</v>
      </c>
      <c r="I559" t="s">
        <v>29218</v>
      </c>
      <c r="J559" t="s">
        <v>69</v>
      </c>
      <c r="K559" t="s">
        <v>69</v>
      </c>
      <c r="L559" t="s">
        <v>69</v>
      </c>
      <c r="M559" t="s">
        <v>29219</v>
      </c>
      <c r="N559" t="s">
        <v>69</v>
      </c>
      <c r="O559" t="s">
        <v>69</v>
      </c>
      <c r="P559" t="s">
        <v>29220</v>
      </c>
      <c r="Q559" t="s">
        <v>29221</v>
      </c>
      <c r="R559" t="s">
        <v>69</v>
      </c>
      <c r="S559" t="s">
        <v>69</v>
      </c>
      <c r="T559" t="s">
        <v>8505</v>
      </c>
      <c r="U559" t="s">
        <v>8506</v>
      </c>
      <c r="V559" t="s">
        <v>69</v>
      </c>
      <c r="W559" t="s">
        <v>69</v>
      </c>
      <c r="X559" t="s">
        <v>69</v>
      </c>
      <c r="Y559" t="s">
        <v>69</v>
      </c>
      <c r="Z559" t="s">
        <v>69</v>
      </c>
      <c r="AA559" t="s">
        <v>29222</v>
      </c>
      <c r="AB559" t="s">
        <v>69</v>
      </c>
      <c r="AC559" t="s">
        <v>29223</v>
      </c>
      <c r="AD559" t="s">
        <v>29224</v>
      </c>
      <c r="AE559" t="s">
        <v>69</v>
      </c>
      <c r="AF559" t="s">
        <v>29225</v>
      </c>
      <c r="AG559" t="s">
        <v>29226</v>
      </c>
      <c r="AH559" t="s">
        <v>29227</v>
      </c>
      <c r="AI559" t="s">
        <v>29228</v>
      </c>
      <c r="AJ559" t="s">
        <v>69</v>
      </c>
      <c r="AK559" t="s">
        <v>69</v>
      </c>
      <c r="AL559" t="s">
        <v>69</v>
      </c>
      <c r="AM559" t="s">
        <v>69</v>
      </c>
      <c r="AN559">
        <v>41</v>
      </c>
      <c r="AO559">
        <v>9</v>
      </c>
      <c r="AP559">
        <v>9</v>
      </c>
      <c r="AQ559">
        <v>0</v>
      </c>
      <c r="AR559">
        <v>0</v>
      </c>
      <c r="AS559" t="s">
        <v>29229</v>
      </c>
      <c r="AT559" t="s">
        <v>29230</v>
      </c>
      <c r="AU559" t="s">
        <v>29231</v>
      </c>
      <c r="AV559" t="s">
        <v>29232</v>
      </c>
      <c r="AW559" t="s">
        <v>69</v>
      </c>
      <c r="AX559" t="s">
        <v>69</v>
      </c>
      <c r="AY559" t="s">
        <v>29233</v>
      </c>
      <c r="AZ559" t="s">
        <v>29234</v>
      </c>
      <c r="BA559" t="s">
        <v>155</v>
      </c>
      <c r="BB559">
        <v>2008</v>
      </c>
      <c r="BC559">
        <v>1</v>
      </c>
      <c r="BD559">
        <v>1</v>
      </c>
      <c r="BE559" t="s">
        <v>69</v>
      </c>
      <c r="BF559" t="s">
        <v>69</v>
      </c>
      <c r="BG559" t="s">
        <v>69</v>
      </c>
      <c r="BH559" t="s">
        <v>69</v>
      </c>
      <c r="BI559">
        <v>18</v>
      </c>
      <c r="BJ559">
        <v>43</v>
      </c>
      <c r="BK559" t="s">
        <v>69</v>
      </c>
      <c r="BL559" t="s">
        <v>69</v>
      </c>
      <c r="BM559" t="s">
        <v>69</v>
      </c>
      <c r="BN559" t="s">
        <v>69</v>
      </c>
      <c r="BO559" t="s">
        <v>69</v>
      </c>
      <c r="BP559">
        <v>26</v>
      </c>
      <c r="BQ559" t="s">
        <v>10975</v>
      </c>
      <c r="BR559" t="s">
        <v>8573</v>
      </c>
      <c r="BS559" t="s">
        <v>10976</v>
      </c>
      <c r="BT559" t="s">
        <v>29235</v>
      </c>
      <c r="BU559" t="s">
        <v>29236</v>
      </c>
      <c r="BV559" t="s">
        <v>69</v>
      </c>
      <c r="BW559" t="s">
        <v>69</v>
      </c>
      <c r="BX559" t="s">
        <v>69</v>
      </c>
      <c r="BY559" t="s">
        <v>69</v>
      </c>
      <c r="BZ559" t="s">
        <v>8526</v>
      </c>
      <c r="CA559" t="str">
        <f>HYPERLINK("https%3A%2F%2Fwww.webofscience.com%2Fwos%2Fwoscc%2Ffull-record%2FWOS:000214378600003","View Full Record in Web of Science")</f>
        <v>View Full Record in Web of Science</v>
      </c>
    </row>
    <row r="560" spans="1:79" ht="12.5" x14ac:dyDescent="0.25">
      <c r="B560" t="s">
        <v>8495</v>
      </c>
      <c r="D560" s="7" t="s">
        <v>32933</v>
      </c>
      <c r="E560" s="7"/>
      <c r="F560" s="7"/>
      <c r="G560" s="7"/>
      <c r="H560" t="s">
        <v>67</v>
      </c>
      <c r="I560" t="s">
        <v>2220</v>
      </c>
      <c r="J560" t="s">
        <v>69</v>
      </c>
      <c r="K560" t="s">
        <v>69</v>
      </c>
      <c r="L560" t="s">
        <v>69</v>
      </c>
      <c r="M560" t="s">
        <v>2221</v>
      </c>
      <c r="N560" t="s">
        <v>69</v>
      </c>
      <c r="O560" t="s">
        <v>69</v>
      </c>
      <c r="P560" t="s">
        <v>2222</v>
      </c>
      <c r="Q560" t="s">
        <v>2223</v>
      </c>
      <c r="R560" t="s">
        <v>69</v>
      </c>
      <c r="S560" t="s">
        <v>69</v>
      </c>
      <c r="T560" t="s">
        <v>8505</v>
      </c>
      <c r="U560" t="s">
        <v>8506</v>
      </c>
      <c r="V560" t="s">
        <v>69</v>
      </c>
      <c r="W560" t="s">
        <v>69</v>
      </c>
      <c r="X560" t="s">
        <v>69</v>
      </c>
      <c r="Y560" t="s">
        <v>69</v>
      </c>
      <c r="Z560" t="s">
        <v>69</v>
      </c>
      <c r="AA560" t="s">
        <v>69</v>
      </c>
      <c r="AB560" t="s">
        <v>17124</v>
      </c>
      <c r="AC560" t="s">
        <v>2224</v>
      </c>
      <c r="AD560" t="s">
        <v>17125</v>
      </c>
      <c r="AE560" t="s">
        <v>69</v>
      </c>
      <c r="AF560" t="s">
        <v>17126</v>
      </c>
      <c r="AG560" t="s">
        <v>17127</v>
      </c>
      <c r="AH560" t="s">
        <v>69</v>
      </c>
      <c r="AI560" t="s">
        <v>17128</v>
      </c>
      <c r="AJ560" t="s">
        <v>69</v>
      </c>
      <c r="AK560" t="s">
        <v>69</v>
      </c>
      <c r="AL560" t="s">
        <v>69</v>
      </c>
      <c r="AM560" t="s">
        <v>69</v>
      </c>
      <c r="AN560">
        <v>22</v>
      </c>
      <c r="AO560">
        <v>5</v>
      </c>
      <c r="AP560">
        <v>5</v>
      </c>
      <c r="AQ560">
        <v>1</v>
      </c>
      <c r="AR560">
        <v>4</v>
      </c>
      <c r="AS560" t="s">
        <v>8846</v>
      </c>
      <c r="AT560" t="s">
        <v>8847</v>
      </c>
      <c r="AU560" t="s">
        <v>8848</v>
      </c>
      <c r="AV560" t="s">
        <v>2225</v>
      </c>
      <c r="AW560" t="s">
        <v>2226</v>
      </c>
      <c r="AX560" t="s">
        <v>69</v>
      </c>
      <c r="AY560" t="s">
        <v>17129</v>
      </c>
      <c r="AZ560" t="s">
        <v>17130</v>
      </c>
      <c r="BA560" t="s">
        <v>274</v>
      </c>
      <c r="BB560">
        <v>2019</v>
      </c>
      <c r="BC560">
        <v>26</v>
      </c>
      <c r="BD560">
        <v>11</v>
      </c>
      <c r="BE560" t="s">
        <v>69</v>
      </c>
      <c r="BF560" t="s">
        <v>69</v>
      </c>
      <c r="BG560" t="s">
        <v>69</v>
      </c>
      <c r="BH560" t="s">
        <v>69</v>
      </c>
      <c r="BI560">
        <v>1245</v>
      </c>
      <c r="BJ560">
        <v>1254</v>
      </c>
      <c r="BK560" t="s">
        <v>69</v>
      </c>
      <c r="BL560" t="s">
        <v>2227</v>
      </c>
      <c r="BM560" t="str">
        <f>HYPERLINK("http://dx.doi.org/10.1111/acem.13814","http://dx.doi.org/10.1111/acem.13814")</f>
        <v>http://dx.doi.org/10.1111/acem.13814</v>
      </c>
      <c r="BN560" t="s">
        <v>69</v>
      </c>
      <c r="BO560" t="s">
        <v>2228</v>
      </c>
      <c r="BP560">
        <v>10</v>
      </c>
      <c r="BQ560" t="s">
        <v>17131</v>
      </c>
      <c r="BR560" t="s">
        <v>8548</v>
      </c>
      <c r="BS560" t="s">
        <v>17131</v>
      </c>
      <c r="BT560" t="s">
        <v>17132</v>
      </c>
      <c r="BU560" t="s">
        <v>2229</v>
      </c>
      <c r="BV560">
        <v>31166061</v>
      </c>
      <c r="BW560" t="s">
        <v>69</v>
      </c>
      <c r="BX560" t="s">
        <v>69</v>
      </c>
      <c r="BY560" t="s">
        <v>69</v>
      </c>
      <c r="BZ560" t="s">
        <v>8526</v>
      </c>
      <c r="CA560" t="str">
        <f>HYPERLINK("https%3A%2F%2Fwww.webofscience.com%2Fwos%2Fwoscc%2Ffull-record%2FWOS:000476267100001","View Full Record in Web of Science")</f>
        <v>View Full Record in Web of Science</v>
      </c>
    </row>
    <row r="561" spans="1:79" ht="12.5" x14ac:dyDescent="0.25">
      <c r="B561" t="s">
        <v>8495</v>
      </c>
      <c r="D561" s="22" t="s">
        <v>32931</v>
      </c>
      <c r="E561" s="7"/>
      <c r="F561" s="7"/>
      <c r="G561" s="7"/>
      <c r="H561" t="s">
        <v>67</v>
      </c>
      <c r="I561" t="s">
        <v>26917</v>
      </c>
      <c r="J561" t="s">
        <v>69</v>
      </c>
      <c r="K561" t="s">
        <v>69</v>
      </c>
      <c r="L561" t="s">
        <v>69</v>
      </c>
      <c r="M561" t="s">
        <v>26918</v>
      </c>
      <c r="N561" t="s">
        <v>69</v>
      </c>
      <c r="O561" t="s">
        <v>69</v>
      </c>
      <c r="P561" t="s">
        <v>26919</v>
      </c>
      <c r="Q561" t="s">
        <v>17957</v>
      </c>
      <c r="R561" t="s">
        <v>69</v>
      </c>
      <c r="S561" t="s">
        <v>69</v>
      </c>
      <c r="T561" t="s">
        <v>8505</v>
      </c>
      <c r="U561" t="s">
        <v>8506</v>
      </c>
      <c r="V561" t="s">
        <v>69</v>
      </c>
      <c r="W561" t="s">
        <v>69</v>
      </c>
      <c r="X561" t="s">
        <v>69</v>
      </c>
      <c r="Y561" t="s">
        <v>69</v>
      </c>
      <c r="Z561" t="s">
        <v>69</v>
      </c>
      <c r="AA561" t="s">
        <v>26920</v>
      </c>
      <c r="AB561" t="s">
        <v>26921</v>
      </c>
      <c r="AC561" t="s">
        <v>26922</v>
      </c>
      <c r="AD561" t="s">
        <v>26923</v>
      </c>
      <c r="AE561" t="s">
        <v>69</v>
      </c>
      <c r="AF561" t="s">
        <v>26924</v>
      </c>
      <c r="AG561" t="s">
        <v>26925</v>
      </c>
      <c r="AH561" t="s">
        <v>26926</v>
      </c>
      <c r="AI561" t="s">
        <v>26927</v>
      </c>
      <c r="AJ561" t="s">
        <v>26928</v>
      </c>
      <c r="AK561" t="s">
        <v>26928</v>
      </c>
      <c r="AL561" t="s">
        <v>26929</v>
      </c>
      <c r="AM561" t="s">
        <v>69</v>
      </c>
      <c r="AN561">
        <v>62</v>
      </c>
      <c r="AO561">
        <v>52</v>
      </c>
      <c r="AP561">
        <v>52</v>
      </c>
      <c r="AQ561">
        <v>0</v>
      </c>
      <c r="AR561">
        <v>36</v>
      </c>
      <c r="AS561" t="s">
        <v>8636</v>
      </c>
      <c r="AT561" t="s">
        <v>8637</v>
      </c>
      <c r="AU561" t="s">
        <v>8638</v>
      </c>
      <c r="AV561" t="s">
        <v>17965</v>
      </c>
      <c r="AW561" t="s">
        <v>17966</v>
      </c>
      <c r="AX561" t="s">
        <v>69</v>
      </c>
      <c r="AY561" t="s">
        <v>17967</v>
      </c>
      <c r="AZ561" t="s">
        <v>17968</v>
      </c>
      <c r="BA561" t="s">
        <v>84</v>
      </c>
      <c r="BB561">
        <v>2011</v>
      </c>
      <c r="BC561">
        <v>104</v>
      </c>
      <c r="BD561">
        <v>6</v>
      </c>
      <c r="BE561" t="s">
        <v>69</v>
      </c>
      <c r="BF561" t="s">
        <v>69</v>
      </c>
      <c r="BG561" t="s">
        <v>69</v>
      </c>
      <c r="BH561" t="s">
        <v>69</v>
      </c>
      <c r="BI561">
        <v>441</v>
      </c>
      <c r="BJ561">
        <v>450</v>
      </c>
      <c r="BK561" t="s">
        <v>69</v>
      </c>
      <c r="BL561" t="s">
        <v>26930</v>
      </c>
      <c r="BM561" t="str">
        <f>HYPERLINK("http://dx.doi.org/10.1016/j.agsy.2011.03.001","http://dx.doi.org/10.1016/j.agsy.2011.03.001")</f>
        <v>http://dx.doi.org/10.1016/j.agsy.2011.03.001</v>
      </c>
      <c r="BN561" t="s">
        <v>69</v>
      </c>
      <c r="BO561" t="s">
        <v>69</v>
      </c>
      <c r="BP561">
        <v>10</v>
      </c>
      <c r="BQ561" t="s">
        <v>17664</v>
      </c>
      <c r="BR561" t="s">
        <v>8523</v>
      </c>
      <c r="BS561" t="s">
        <v>8450</v>
      </c>
      <c r="BT561" t="s">
        <v>26931</v>
      </c>
      <c r="BU561" t="s">
        <v>26932</v>
      </c>
      <c r="BV561" t="s">
        <v>69</v>
      </c>
      <c r="BW561" t="s">
        <v>69</v>
      </c>
      <c r="BX561" t="s">
        <v>69</v>
      </c>
      <c r="BY561" t="s">
        <v>69</v>
      </c>
      <c r="BZ561" t="s">
        <v>8526</v>
      </c>
      <c r="CA561" t="str">
        <f>HYPERLINK("https%3A%2F%2Fwww.webofscience.com%2Fwos%2Fwoscc%2Ffull-record%2FWOS:000292711800001","View Full Record in Web of Science")</f>
        <v>View Full Record in Web of Science</v>
      </c>
    </row>
    <row r="562" spans="1:79" ht="12.5" x14ac:dyDescent="0.25">
      <c r="B562" t="s">
        <v>8495</v>
      </c>
      <c r="D562" s="22" t="s">
        <v>32931</v>
      </c>
      <c r="E562" s="7"/>
      <c r="F562" s="7"/>
      <c r="G562" s="7"/>
      <c r="H562" t="s">
        <v>67</v>
      </c>
      <c r="I562" t="s">
        <v>17825</v>
      </c>
      <c r="J562" t="s">
        <v>69</v>
      </c>
      <c r="K562" t="s">
        <v>69</v>
      </c>
      <c r="L562" t="s">
        <v>69</v>
      </c>
      <c r="M562" t="s">
        <v>17826</v>
      </c>
      <c r="N562" t="s">
        <v>69</v>
      </c>
      <c r="O562" t="s">
        <v>69</v>
      </c>
      <c r="P562" t="s">
        <v>17827</v>
      </c>
      <c r="Q562" t="s">
        <v>17828</v>
      </c>
      <c r="R562" t="s">
        <v>69</v>
      </c>
      <c r="S562" t="s">
        <v>69</v>
      </c>
      <c r="T562" t="s">
        <v>8505</v>
      </c>
      <c r="U562" t="s">
        <v>8506</v>
      </c>
      <c r="V562" t="s">
        <v>69</v>
      </c>
      <c r="W562" t="s">
        <v>69</v>
      </c>
      <c r="X562" t="s">
        <v>69</v>
      </c>
      <c r="Y562" t="s">
        <v>69</v>
      </c>
      <c r="Z562" t="s">
        <v>69</v>
      </c>
      <c r="AA562" t="s">
        <v>17829</v>
      </c>
      <c r="AB562" t="s">
        <v>17830</v>
      </c>
      <c r="AC562" t="s">
        <v>17831</v>
      </c>
      <c r="AD562" t="s">
        <v>17832</v>
      </c>
      <c r="AE562" t="s">
        <v>69</v>
      </c>
      <c r="AF562" t="s">
        <v>17833</v>
      </c>
      <c r="AG562" t="s">
        <v>17834</v>
      </c>
      <c r="AH562" t="s">
        <v>17835</v>
      </c>
      <c r="AI562" t="s">
        <v>17836</v>
      </c>
      <c r="AJ562" t="s">
        <v>17837</v>
      </c>
      <c r="AK562" t="s">
        <v>17837</v>
      </c>
      <c r="AL562" t="s">
        <v>17838</v>
      </c>
      <c r="AM562" t="s">
        <v>69</v>
      </c>
      <c r="AN562">
        <v>20</v>
      </c>
      <c r="AO562">
        <v>4</v>
      </c>
      <c r="AP562">
        <v>4</v>
      </c>
      <c r="AQ562">
        <v>0</v>
      </c>
      <c r="AR562">
        <v>1</v>
      </c>
      <c r="AS562" t="s">
        <v>10538</v>
      </c>
      <c r="AT562" t="s">
        <v>10539</v>
      </c>
      <c r="AU562" t="s">
        <v>14431</v>
      </c>
      <c r="AV562" t="s">
        <v>17839</v>
      </c>
      <c r="AW562" t="s">
        <v>17840</v>
      </c>
      <c r="AX562" t="s">
        <v>69</v>
      </c>
      <c r="AY562" t="s">
        <v>17841</v>
      </c>
      <c r="AZ562" t="s">
        <v>17842</v>
      </c>
      <c r="BA562" t="s">
        <v>602</v>
      </c>
      <c r="BB562">
        <v>2019</v>
      </c>
      <c r="BC562">
        <v>40</v>
      </c>
      <c r="BD562">
        <v>1</v>
      </c>
      <c r="BE562" t="s">
        <v>69</v>
      </c>
      <c r="BF562" t="s">
        <v>69</v>
      </c>
      <c r="BG562" t="s">
        <v>69</v>
      </c>
      <c r="BH562" t="s">
        <v>69</v>
      </c>
      <c r="BI562">
        <v>111</v>
      </c>
      <c r="BJ562">
        <v>120</v>
      </c>
      <c r="BK562" t="s">
        <v>69</v>
      </c>
      <c r="BL562" t="s">
        <v>17843</v>
      </c>
      <c r="BM562" t="str">
        <f>HYPERLINK("http://dx.doi.org/10.4103/ijmpo.ijmpo_168_17","http://dx.doi.org/10.4103/ijmpo.ijmpo_168_17")</f>
        <v>http://dx.doi.org/10.4103/ijmpo.ijmpo_168_17</v>
      </c>
      <c r="BN562" t="s">
        <v>69</v>
      </c>
      <c r="BO562" t="s">
        <v>69</v>
      </c>
      <c r="BP562">
        <v>10</v>
      </c>
      <c r="BQ562" t="s">
        <v>17844</v>
      </c>
      <c r="BR562" t="s">
        <v>8573</v>
      </c>
      <c r="BS562" t="s">
        <v>17844</v>
      </c>
      <c r="BT562" t="s">
        <v>17845</v>
      </c>
      <c r="BU562" t="s">
        <v>17846</v>
      </c>
      <c r="BV562" t="s">
        <v>69</v>
      </c>
      <c r="BW562" t="s">
        <v>8622</v>
      </c>
      <c r="BX562" t="s">
        <v>69</v>
      </c>
      <c r="BY562" t="s">
        <v>69</v>
      </c>
      <c r="BZ562" t="s">
        <v>8526</v>
      </c>
      <c r="CA562" t="str">
        <f>HYPERLINK("https%3A%2F%2Fwww.webofscience.com%2Fwos%2Fwoscc%2Ffull-record%2FWOS:000465141300023","View Full Record in Web of Science")</f>
        <v>View Full Record in Web of Science</v>
      </c>
    </row>
    <row r="563" spans="1:79" ht="12.5" x14ac:dyDescent="0.25">
      <c r="B563" t="s">
        <v>8495</v>
      </c>
      <c r="D563" s="7" t="s">
        <v>32933</v>
      </c>
      <c r="E563" s="7"/>
      <c r="F563" s="7"/>
      <c r="G563" s="7"/>
      <c r="H563" t="s">
        <v>67</v>
      </c>
      <c r="I563" t="s">
        <v>7435</v>
      </c>
      <c r="J563" t="s">
        <v>69</v>
      </c>
      <c r="K563" t="s">
        <v>69</v>
      </c>
      <c r="L563" t="s">
        <v>69</v>
      </c>
      <c r="M563" t="s">
        <v>7436</v>
      </c>
      <c r="N563" t="s">
        <v>69</v>
      </c>
      <c r="O563" t="s">
        <v>69</v>
      </c>
      <c r="P563" t="s">
        <v>7437</v>
      </c>
      <c r="Q563" t="s">
        <v>5977</v>
      </c>
      <c r="R563" t="s">
        <v>69</v>
      </c>
      <c r="S563" t="s">
        <v>69</v>
      </c>
      <c r="T563" t="s">
        <v>8505</v>
      </c>
      <c r="U563" t="s">
        <v>8506</v>
      </c>
      <c r="V563" t="s">
        <v>69</v>
      </c>
      <c r="W563" t="s">
        <v>69</v>
      </c>
      <c r="X563" t="s">
        <v>69</v>
      </c>
      <c r="Y563" t="s">
        <v>69</v>
      </c>
      <c r="Z563" t="s">
        <v>69</v>
      </c>
      <c r="AA563" t="s">
        <v>25266</v>
      </c>
      <c r="AB563" t="s">
        <v>25267</v>
      </c>
      <c r="AC563" t="s">
        <v>7438</v>
      </c>
      <c r="AD563" t="s">
        <v>25268</v>
      </c>
      <c r="AE563" t="s">
        <v>69</v>
      </c>
      <c r="AF563" t="s">
        <v>25269</v>
      </c>
      <c r="AG563" t="s">
        <v>25270</v>
      </c>
      <c r="AH563" t="s">
        <v>69</v>
      </c>
      <c r="AI563" t="s">
        <v>69</v>
      </c>
      <c r="AJ563" t="s">
        <v>25271</v>
      </c>
      <c r="AK563" t="s">
        <v>25272</v>
      </c>
      <c r="AL563" t="s">
        <v>25273</v>
      </c>
      <c r="AM563" t="s">
        <v>69</v>
      </c>
      <c r="AN563">
        <v>62</v>
      </c>
      <c r="AO563">
        <v>38</v>
      </c>
      <c r="AP563">
        <v>38</v>
      </c>
      <c r="AQ563">
        <v>0</v>
      </c>
      <c r="AR563">
        <v>29</v>
      </c>
      <c r="AS563" t="s">
        <v>15611</v>
      </c>
      <c r="AT563" t="s">
        <v>10924</v>
      </c>
      <c r="AU563" t="s">
        <v>15612</v>
      </c>
      <c r="AV563" t="s">
        <v>5979</v>
      </c>
      <c r="AW563" t="s">
        <v>5980</v>
      </c>
      <c r="AX563" t="s">
        <v>69</v>
      </c>
      <c r="AY563" t="s">
        <v>20815</v>
      </c>
      <c r="AZ563" t="s">
        <v>20816</v>
      </c>
      <c r="BA563" t="s">
        <v>69</v>
      </c>
      <c r="BB563">
        <v>2013</v>
      </c>
      <c r="BC563">
        <v>38</v>
      </c>
      <c r="BD563">
        <v>2</v>
      </c>
      <c r="BE563" t="s">
        <v>69</v>
      </c>
      <c r="BF563" t="s">
        <v>69</v>
      </c>
      <c r="BG563" t="s">
        <v>69</v>
      </c>
      <c r="BH563" t="s">
        <v>69</v>
      </c>
      <c r="BI563">
        <v>135</v>
      </c>
      <c r="BJ563">
        <v>147</v>
      </c>
      <c r="BK563" t="s">
        <v>69</v>
      </c>
      <c r="BL563" t="s">
        <v>7439</v>
      </c>
      <c r="BM563" t="str">
        <f>HYPERLINK("http://dx.doi.org/10.1080/07011784.2013.794992","http://dx.doi.org/10.1080/07011784.2013.794992")</f>
        <v>http://dx.doi.org/10.1080/07011784.2013.794992</v>
      </c>
      <c r="BN563" t="s">
        <v>69</v>
      </c>
      <c r="BO563" t="s">
        <v>69</v>
      </c>
      <c r="BP563">
        <v>13</v>
      </c>
      <c r="BQ563" t="s">
        <v>9096</v>
      </c>
      <c r="BR563" t="s">
        <v>8548</v>
      </c>
      <c r="BS563" t="s">
        <v>9096</v>
      </c>
      <c r="BT563" t="s">
        <v>25274</v>
      </c>
      <c r="BU563" t="s">
        <v>7440</v>
      </c>
      <c r="BV563" t="s">
        <v>69</v>
      </c>
      <c r="BW563" t="s">
        <v>69</v>
      </c>
      <c r="BX563" t="s">
        <v>69</v>
      </c>
      <c r="BY563" t="s">
        <v>69</v>
      </c>
      <c r="BZ563" t="s">
        <v>8526</v>
      </c>
      <c r="CA563" t="str">
        <f>HYPERLINK("https%3A%2F%2Fwww.webofscience.com%2Fwos%2Fwoscc%2Ffull-record%2FWOS:000328249100004","View Full Record in Web of Science")</f>
        <v>View Full Record in Web of Science</v>
      </c>
    </row>
    <row r="564" spans="1:79" ht="12.5" x14ac:dyDescent="0.25">
      <c r="B564" t="s">
        <v>8495</v>
      </c>
      <c r="D564" s="22" t="s">
        <v>32931</v>
      </c>
      <c r="E564" s="7"/>
      <c r="F564" s="7"/>
      <c r="G564" s="7"/>
      <c r="H564" t="s">
        <v>67</v>
      </c>
      <c r="I564" t="s">
        <v>31197</v>
      </c>
      <c r="J564" t="s">
        <v>69</v>
      </c>
      <c r="K564" t="s">
        <v>69</v>
      </c>
      <c r="L564" t="s">
        <v>69</v>
      </c>
      <c r="M564" t="s">
        <v>31197</v>
      </c>
      <c r="N564" t="s">
        <v>69</v>
      </c>
      <c r="O564" t="s">
        <v>69</v>
      </c>
      <c r="P564" t="s">
        <v>31198</v>
      </c>
      <c r="Q564" t="s">
        <v>31199</v>
      </c>
      <c r="R564" t="s">
        <v>69</v>
      </c>
      <c r="S564" t="s">
        <v>69</v>
      </c>
      <c r="T564" t="s">
        <v>12534</v>
      </c>
      <c r="U564" t="s">
        <v>8506</v>
      </c>
      <c r="V564" t="s">
        <v>69</v>
      </c>
      <c r="W564" t="s">
        <v>69</v>
      </c>
      <c r="X564" t="s">
        <v>69</v>
      </c>
      <c r="Y564" t="s">
        <v>69</v>
      </c>
      <c r="Z564" t="s">
        <v>69</v>
      </c>
      <c r="AA564" t="s">
        <v>31200</v>
      </c>
      <c r="AB564" t="s">
        <v>69</v>
      </c>
      <c r="AC564" t="s">
        <v>31201</v>
      </c>
      <c r="AD564" t="s">
        <v>31202</v>
      </c>
      <c r="AE564" t="s">
        <v>69</v>
      </c>
      <c r="AF564" t="s">
        <v>31203</v>
      </c>
      <c r="AG564" t="s">
        <v>69</v>
      </c>
      <c r="AH564" t="s">
        <v>69</v>
      </c>
      <c r="AI564" t="s">
        <v>69</v>
      </c>
      <c r="AJ564" t="s">
        <v>69</v>
      </c>
      <c r="AK564" t="s">
        <v>69</v>
      </c>
      <c r="AL564" t="s">
        <v>69</v>
      </c>
      <c r="AM564" t="s">
        <v>69</v>
      </c>
      <c r="AN564">
        <v>48</v>
      </c>
      <c r="AO564">
        <v>0</v>
      </c>
      <c r="AP564">
        <v>0</v>
      </c>
      <c r="AQ564">
        <v>0</v>
      </c>
      <c r="AR564">
        <v>1</v>
      </c>
      <c r="AS564" t="s">
        <v>31204</v>
      </c>
      <c r="AT564" t="s">
        <v>31205</v>
      </c>
      <c r="AU564" t="s">
        <v>31206</v>
      </c>
      <c r="AV564" t="s">
        <v>31207</v>
      </c>
      <c r="AW564" t="s">
        <v>69</v>
      </c>
      <c r="AX564" t="s">
        <v>69</v>
      </c>
      <c r="AY564" t="s">
        <v>31208</v>
      </c>
      <c r="AZ564" t="s">
        <v>31209</v>
      </c>
      <c r="BA564" t="s">
        <v>201</v>
      </c>
      <c r="BB564">
        <v>2003</v>
      </c>
      <c r="BC564">
        <v>174</v>
      </c>
      <c r="BD564">
        <v>8</v>
      </c>
      <c r="BE564" t="s">
        <v>69</v>
      </c>
      <c r="BF564" t="s">
        <v>69</v>
      </c>
      <c r="BG564" t="s">
        <v>69</v>
      </c>
      <c r="BH564" t="s">
        <v>69</v>
      </c>
      <c r="BI564">
        <v>137</v>
      </c>
      <c r="BJ564">
        <v>148</v>
      </c>
      <c r="BK564" t="s">
        <v>69</v>
      </c>
      <c r="BL564" t="s">
        <v>69</v>
      </c>
      <c r="BM564" t="s">
        <v>69</v>
      </c>
      <c r="BN564" t="s">
        <v>69</v>
      </c>
      <c r="BO564" t="s">
        <v>69</v>
      </c>
      <c r="BP564">
        <v>12</v>
      </c>
      <c r="BQ564" t="s">
        <v>8453</v>
      </c>
      <c r="BR564" t="s">
        <v>8548</v>
      </c>
      <c r="BS564" t="s">
        <v>8453</v>
      </c>
      <c r="BT564" t="s">
        <v>31210</v>
      </c>
      <c r="BU564" t="s">
        <v>31211</v>
      </c>
      <c r="BV564" t="s">
        <v>69</v>
      </c>
      <c r="BW564" t="s">
        <v>69</v>
      </c>
      <c r="BX564" t="s">
        <v>69</v>
      </c>
      <c r="BY564" t="s">
        <v>69</v>
      </c>
      <c r="BZ564" t="s">
        <v>8526</v>
      </c>
      <c r="CA564" t="str">
        <f>HYPERLINK("https%3A%2F%2Fwww.webofscience.com%2Fwos%2Fwoscc%2Ffull-record%2FWOS:000184743700001","View Full Record in Web of Science")</f>
        <v>View Full Record in Web of Science</v>
      </c>
    </row>
    <row r="565" spans="1:79" ht="12.5" x14ac:dyDescent="0.25">
      <c r="B565" t="s">
        <v>8495</v>
      </c>
      <c r="D565" s="22" t="s">
        <v>32931</v>
      </c>
      <c r="E565" s="7"/>
      <c r="F565" s="7"/>
      <c r="G565" s="7"/>
      <c r="H565" t="s">
        <v>67</v>
      </c>
      <c r="I565" t="s">
        <v>25061</v>
      </c>
      <c r="J565" t="s">
        <v>69</v>
      </c>
      <c r="K565" t="s">
        <v>69</v>
      </c>
      <c r="L565" t="s">
        <v>69</v>
      </c>
      <c r="M565" t="s">
        <v>25062</v>
      </c>
      <c r="N565" t="s">
        <v>69</v>
      </c>
      <c r="O565" t="s">
        <v>69</v>
      </c>
      <c r="P565" t="s">
        <v>25063</v>
      </c>
      <c r="Q565" t="s">
        <v>2668</v>
      </c>
      <c r="R565" t="s">
        <v>69</v>
      </c>
      <c r="S565" t="s">
        <v>69</v>
      </c>
      <c r="T565" t="s">
        <v>8505</v>
      </c>
      <c r="U565" t="s">
        <v>8506</v>
      </c>
      <c r="V565" t="s">
        <v>69</v>
      </c>
      <c r="W565" t="s">
        <v>69</v>
      </c>
      <c r="X565" t="s">
        <v>69</v>
      </c>
      <c r="Y565" t="s">
        <v>69</v>
      </c>
      <c r="Z565" t="s">
        <v>69</v>
      </c>
      <c r="AA565" t="s">
        <v>25064</v>
      </c>
      <c r="AB565" t="s">
        <v>25065</v>
      </c>
      <c r="AC565" t="s">
        <v>25066</v>
      </c>
      <c r="AD565" t="s">
        <v>25067</v>
      </c>
      <c r="AE565" t="s">
        <v>69</v>
      </c>
      <c r="AF565" t="s">
        <v>25068</v>
      </c>
      <c r="AG565" t="s">
        <v>25069</v>
      </c>
      <c r="AH565" t="s">
        <v>25070</v>
      </c>
      <c r="AI565" t="s">
        <v>25071</v>
      </c>
      <c r="AJ565" t="s">
        <v>69</v>
      </c>
      <c r="AK565" t="s">
        <v>69</v>
      </c>
      <c r="AL565" t="s">
        <v>69</v>
      </c>
      <c r="AM565" t="s">
        <v>69</v>
      </c>
      <c r="AN565">
        <v>41</v>
      </c>
      <c r="AO565">
        <v>4</v>
      </c>
      <c r="AP565">
        <v>4</v>
      </c>
      <c r="AQ565">
        <v>0</v>
      </c>
      <c r="AR565">
        <v>32</v>
      </c>
      <c r="AS565" t="s">
        <v>8865</v>
      </c>
      <c r="AT565" t="s">
        <v>8612</v>
      </c>
      <c r="AU565" t="s">
        <v>22341</v>
      </c>
      <c r="AV565" t="s">
        <v>2670</v>
      </c>
      <c r="AW565" t="s">
        <v>69</v>
      </c>
      <c r="AX565" t="s">
        <v>69</v>
      </c>
      <c r="AY565" t="s">
        <v>20911</v>
      </c>
      <c r="AZ565" t="s">
        <v>20912</v>
      </c>
      <c r="BA565" t="s">
        <v>3848</v>
      </c>
      <c r="BB565">
        <v>2013</v>
      </c>
      <c r="BC565">
        <v>24</v>
      </c>
      <c r="BD565">
        <v>8</v>
      </c>
      <c r="BE565" t="s">
        <v>69</v>
      </c>
      <c r="BF565" t="s">
        <v>69</v>
      </c>
      <c r="BG565" t="s">
        <v>69</v>
      </c>
      <c r="BH565" t="s">
        <v>69</v>
      </c>
      <c r="BI565">
        <v>1613</v>
      </c>
      <c r="BJ565">
        <v>1628</v>
      </c>
      <c r="BK565" t="s">
        <v>69</v>
      </c>
      <c r="BL565" t="s">
        <v>25072</v>
      </c>
      <c r="BM565" t="str">
        <f>HYPERLINK("http://dx.doi.org/10.1080/09585192.2012.725083","http://dx.doi.org/10.1080/09585192.2012.725083")</f>
        <v>http://dx.doi.org/10.1080/09585192.2012.725083</v>
      </c>
      <c r="BN565" t="s">
        <v>69</v>
      </c>
      <c r="BO565" t="s">
        <v>69</v>
      </c>
      <c r="BP565">
        <v>16</v>
      </c>
      <c r="BQ565" t="s">
        <v>9410</v>
      </c>
      <c r="BR565" t="s">
        <v>8661</v>
      </c>
      <c r="BS565" t="s">
        <v>8594</v>
      </c>
      <c r="BT565" t="s">
        <v>25073</v>
      </c>
      <c r="BU565" t="s">
        <v>25074</v>
      </c>
      <c r="BV565" t="s">
        <v>69</v>
      </c>
      <c r="BW565" t="s">
        <v>10995</v>
      </c>
      <c r="BX565" t="s">
        <v>69</v>
      </c>
      <c r="BY565" t="s">
        <v>69</v>
      </c>
      <c r="BZ565" t="s">
        <v>8526</v>
      </c>
      <c r="CA565" t="str">
        <f>HYPERLINK("https%3A%2F%2Fwww.webofscience.com%2Fwos%2Fwoscc%2Ffull-record%2FWOS:000315682800004","View Full Record in Web of Science")</f>
        <v>View Full Record in Web of Science</v>
      </c>
    </row>
    <row r="566" spans="1:79" ht="12.5" x14ac:dyDescent="0.25">
      <c r="B566" t="s">
        <v>8495</v>
      </c>
      <c r="D566" s="7" t="s">
        <v>32933</v>
      </c>
      <c r="E566" s="7"/>
      <c r="F566" s="7"/>
      <c r="G566" s="7"/>
      <c r="H566" t="s">
        <v>67</v>
      </c>
      <c r="I566" t="s">
        <v>6113</v>
      </c>
      <c r="J566" t="s">
        <v>69</v>
      </c>
      <c r="K566" t="s">
        <v>69</v>
      </c>
      <c r="L566" t="s">
        <v>69</v>
      </c>
      <c r="M566" t="s">
        <v>6114</v>
      </c>
      <c r="N566" t="s">
        <v>69</v>
      </c>
      <c r="O566" t="s">
        <v>69</v>
      </c>
      <c r="P566" t="s">
        <v>6115</v>
      </c>
      <c r="Q566" t="s">
        <v>6116</v>
      </c>
      <c r="R566" t="s">
        <v>69</v>
      </c>
      <c r="S566" t="s">
        <v>69</v>
      </c>
      <c r="T566" t="s">
        <v>8505</v>
      </c>
      <c r="U566" t="s">
        <v>8442</v>
      </c>
      <c r="V566" t="s">
        <v>69</v>
      </c>
      <c r="W566" t="s">
        <v>69</v>
      </c>
      <c r="X566" t="s">
        <v>69</v>
      </c>
      <c r="Y566" t="s">
        <v>69</v>
      </c>
      <c r="Z566" t="s">
        <v>69</v>
      </c>
      <c r="AA566" t="s">
        <v>69</v>
      </c>
      <c r="AB566" t="s">
        <v>23958</v>
      </c>
      <c r="AC566" t="s">
        <v>6117</v>
      </c>
      <c r="AD566" t="s">
        <v>23959</v>
      </c>
      <c r="AE566" t="s">
        <v>69</v>
      </c>
      <c r="AF566" t="s">
        <v>23960</v>
      </c>
      <c r="AG566" t="s">
        <v>23961</v>
      </c>
      <c r="AH566" t="s">
        <v>23962</v>
      </c>
      <c r="AI566" t="s">
        <v>23963</v>
      </c>
      <c r="AJ566" t="s">
        <v>23964</v>
      </c>
      <c r="AK566" t="s">
        <v>23964</v>
      </c>
      <c r="AL566" t="s">
        <v>23965</v>
      </c>
      <c r="AM566" t="s">
        <v>69</v>
      </c>
      <c r="AN566">
        <v>87</v>
      </c>
      <c r="AO566">
        <v>182</v>
      </c>
      <c r="AP566">
        <v>183</v>
      </c>
      <c r="AQ566">
        <v>3</v>
      </c>
      <c r="AR566">
        <v>69</v>
      </c>
      <c r="AS566" t="s">
        <v>23966</v>
      </c>
      <c r="AT566" t="s">
        <v>23967</v>
      </c>
      <c r="AU566" t="s">
        <v>23968</v>
      </c>
      <c r="AV566" t="s">
        <v>6118</v>
      </c>
      <c r="AW566" t="s">
        <v>6119</v>
      </c>
      <c r="AX566" t="s">
        <v>69</v>
      </c>
      <c r="AY566" t="s">
        <v>23969</v>
      </c>
      <c r="AZ566" t="s">
        <v>23970</v>
      </c>
      <c r="BA566" t="s">
        <v>191</v>
      </c>
      <c r="BB566">
        <v>2014</v>
      </c>
      <c r="BC566">
        <v>122</v>
      </c>
      <c r="BD566">
        <v>2</v>
      </c>
      <c r="BE566" t="s">
        <v>69</v>
      </c>
      <c r="BF566" t="s">
        <v>69</v>
      </c>
      <c r="BG566" t="s">
        <v>69</v>
      </c>
      <c r="BH566" t="s">
        <v>69</v>
      </c>
      <c r="BI566">
        <v>120</v>
      </c>
      <c r="BJ566">
        <v>130</v>
      </c>
      <c r="BK566" t="s">
        <v>69</v>
      </c>
      <c r="BL566" t="s">
        <v>6120</v>
      </c>
      <c r="BM566" t="str">
        <f>HYPERLINK("http://dx.doi.org/10.1289/ehp.1306639","http://dx.doi.org/10.1289/ehp.1306639")</f>
        <v>http://dx.doi.org/10.1289/ehp.1306639</v>
      </c>
      <c r="BN566" t="s">
        <v>69</v>
      </c>
      <c r="BO566" t="s">
        <v>69</v>
      </c>
      <c r="BP566">
        <v>11</v>
      </c>
      <c r="BQ566" t="s">
        <v>23971</v>
      </c>
      <c r="BR566" t="s">
        <v>8523</v>
      </c>
      <c r="BS566" t="s">
        <v>23972</v>
      </c>
      <c r="BT566" t="s">
        <v>23973</v>
      </c>
      <c r="BU566" t="s">
        <v>6121</v>
      </c>
      <c r="BV566">
        <v>24300100</v>
      </c>
      <c r="BW566" t="s">
        <v>12297</v>
      </c>
      <c r="BX566" t="s">
        <v>69</v>
      </c>
      <c r="BY566" t="s">
        <v>69</v>
      </c>
      <c r="BZ566" t="s">
        <v>8526</v>
      </c>
      <c r="CA566" t="str">
        <f>HYPERLINK("https%3A%2F%2Fwww.webofscience.com%2Fwos%2Fwoscc%2Ffull-record%2FWOS:000332650500014","View Full Record in Web of Science")</f>
        <v>View Full Record in Web of Science</v>
      </c>
    </row>
    <row r="567" spans="1:79" ht="12.5" x14ac:dyDescent="0.25">
      <c r="B567" t="s">
        <v>8495</v>
      </c>
      <c r="D567" s="22" t="s">
        <v>32931</v>
      </c>
      <c r="E567" s="7"/>
      <c r="F567" s="7"/>
      <c r="G567" s="7"/>
      <c r="H567" t="s">
        <v>67</v>
      </c>
      <c r="I567" t="s">
        <v>11173</v>
      </c>
      <c r="J567" t="s">
        <v>69</v>
      </c>
      <c r="K567" t="s">
        <v>69</v>
      </c>
      <c r="L567" t="s">
        <v>69</v>
      </c>
      <c r="M567" t="s">
        <v>11174</v>
      </c>
      <c r="N567" t="s">
        <v>69</v>
      </c>
      <c r="O567" t="s">
        <v>69</v>
      </c>
      <c r="P567" t="s">
        <v>11175</v>
      </c>
      <c r="Q567" t="s">
        <v>342</v>
      </c>
      <c r="R567" t="s">
        <v>69</v>
      </c>
      <c r="S567" t="s">
        <v>69</v>
      </c>
      <c r="T567" t="s">
        <v>8505</v>
      </c>
      <c r="U567" t="s">
        <v>8556</v>
      </c>
      <c r="V567" t="s">
        <v>69</v>
      </c>
      <c r="W567" t="s">
        <v>69</v>
      </c>
      <c r="X567" t="s">
        <v>69</v>
      </c>
      <c r="Y567" t="s">
        <v>69</v>
      </c>
      <c r="Z567" t="s">
        <v>69</v>
      </c>
      <c r="AA567" t="s">
        <v>11176</v>
      </c>
      <c r="AB567" t="s">
        <v>11177</v>
      </c>
      <c r="AC567" t="s">
        <v>11178</v>
      </c>
      <c r="AD567" t="s">
        <v>11179</v>
      </c>
      <c r="AE567" t="s">
        <v>69</v>
      </c>
      <c r="AF567" t="s">
        <v>11180</v>
      </c>
      <c r="AG567" t="s">
        <v>11181</v>
      </c>
      <c r="AH567" t="s">
        <v>11182</v>
      </c>
      <c r="AI567" t="s">
        <v>11183</v>
      </c>
      <c r="AJ567" t="s">
        <v>11184</v>
      </c>
      <c r="AK567" t="s">
        <v>11185</v>
      </c>
      <c r="AL567" t="s">
        <v>11186</v>
      </c>
      <c r="AM567" t="s">
        <v>69</v>
      </c>
      <c r="AN567">
        <v>64</v>
      </c>
      <c r="AO567">
        <v>0</v>
      </c>
      <c r="AP567">
        <v>0</v>
      </c>
      <c r="AQ567">
        <v>2</v>
      </c>
      <c r="AR567">
        <v>3</v>
      </c>
      <c r="AS567" t="s">
        <v>8611</v>
      </c>
      <c r="AT567" t="s">
        <v>8612</v>
      </c>
      <c r="AU567" t="s">
        <v>8613</v>
      </c>
      <c r="AV567" t="s">
        <v>344</v>
      </c>
      <c r="AW567" t="s">
        <v>345</v>
      </c>
      <c r="AX567" t="s">
        <v>69</v>
      </c>
      <c r="AY567" t="s">
        <v>9821</v>
      </c>
      <c r="AZ567" t="s">
        <v>9822</v>
      </c>
      <c r="BA567" t="s">
        <v>69</v>
      </c>
      <c r="BB567" t="s">
        <v>69</v>
      </c>
      <c r="BC567" t="s">
        <v>69</v>
      </c>
      <c r="BD567" t="s">
        <v>69</v>
      </c>
      <c r="BE567" t="s">
        <v>69</v>
      </c>
      <c r="BF567" t="s">
        <v>69</v>
      </c>
      <c r="BG567" t="s">
        <v>69</v>
      </c>
      <c r="BH567" t="s">
        <v>69</v>
      </c>
      <c r="BI567" t="s">
        <v>69</v>
      </c>
      <c r="BJ567" t="s">
        <v>69</v>
      </c>
      <c r="BK567" t="s">
        <v>69</v>
      </c>
      <c r="BL567" t="s">
        <v>11187</v>
      </c>
      <c r="BM567" t="str">
        <f>HYPERLINK("http://dx.doi.org/10.1080/15623599.2021.1985775","http://dx.doi.org/10.1080/15623599.2021.1985775")</f>
        <v>http://dx.doi.org/10.1080/15623599.2021.1985775</v>
      </c>
      <c r="BN567" t="s">
        <v>69</v>
      </c>
      <c r="BO567" t="s">
        <v>10991</v>
      </c>
      <c r="BP567">
        <v>11</v>
      </c>
      <c r="BQ567" t="s">
        <v>9410</v>
      </c>
      <c r="BR567" t="s">
        <v>8573</v>
      </c>
      <c r="BS567" t="s">
        <v>8594</v>
      </c>
      <c r="BT567" t="s">
        <v>11188</v>
      </c>
      <c r="BU567" t="s">
        <v>11189</v>
      </c>
      <c r="BV567" t="s">
        <v>69</v>
      </c>
      <c r="BW567" t="s">
        <v>69</v>
      </c>
      <c r="BX567" t="s">
        <v>69</v>
      </c>
      <c r="BY567" t="s">
        <v>69</v>
      </c>
      <c r="BZ567" t="s">
        <v>8526</v>
      </c>
      <c r="CA567" t="str">
        <f>HYPERLINK("https%3A%2F%2Fwww.webofscience.com%2Fwos%2Fwoscc%2Ffull-record%2FWOS:000705115800001","View Full Record in Web of Science")</f>
        <v>View Full Record in Web of Science</v>
      </c>
    </row>
    <row r="568" spans="1:79" ht="12.5" x14ac:dyDescent="0.25">
      <c r="B568" t="s">
        <v>8495</v>
      </c>
      <c r="D568" s="22" t="s">
        <v>32931</v>
      </c>
      <c r="E568" s="7"/>
      <c r="F568" s="7"/>
      <c r="G568" s="7"/>
      <c r="H568" t="s">
        <v>67</v>
      </c>
      <c r="I568" t="s">
        <v>10691</v>
      </c>
      <c r="J568" t="s">
        <v>69</v>
      </c>
      <c r="K568" t="s">
        <v>69</v>
      </c>
      <c r="L568" t="s">
        <v>69</v>
      </c>
      <c r="M568" t="s">
        <v>10692</v>
      </c>
      <c r="N568" t="s">
        <v>69</v>
      </c>
      <c r="O568" t="s">
        <v>69</v>
      </c>
      <c r="P568" t="s">
        <v>10693</v>
      </c>
      <c r="Q568" t="s">
        <v>206</v>
      </c>
      <c r="R568" t="s">
        <v>69</v>
      </c>
      <c r="S568" t="s">
        <v>69</v>
      </c>
      <c r="T568" t="s">
        <v>8505</v>
      </c>
      <c r="U568" t="s">
        <v>8442</v>
      </c>
      <c r="V568" t="s">
        <v>69</v>
      </c>
      <c r="W568" t="s">
        <v>69</v>
      </c>
      <c r="X568" t="s">
        <v>69</v>
      </c>
      <c r="Y568" t="s">
        <v>69</v>
      </c>
      <c r="Z568" t="s">
        <v>69</v>
      </c>
      <c r="AA568" t="s">
        <v>10694</v>
      </c>
      <c r="AB568" t="s">
        <v>10695</v>
      </c>
      <c r="AC568" t="s">
        <v>10696</v>
      </c>
      <c r="AD568" t="s">
        <v>10697</v>
      </c>
      <c r="AE568" t="s">
        <v>69</v>
      </c>
      <c r="AF568" t="s">
        <v>10698</v>
      </c>
      <c r="AG568" t="s">
        <v>10699</v>
      </c>
      <c r="AH568" t="s">
        <v>10700</v>
      </c>
      <c r="AI568" t="s">
        <v>10701</v>
      </c>
      <c r="AJ568" t="s">
        <v>10702</v>
      </c>
      <c r="AK568" t="s">
        <v>10702</v>
      </c>
      <c r="AL568" t="s">
        <v>10703</v>
      </c>
      <c r="AM568" t="s">
        <v>69</v>
      </c>
      <c r="AN568">
        <v>44</v>
      </c>
      <c r="AO568">
        <v>0</v>
      </c>
      <c r="AP568">
        <v>0</v>
      </c>
      <c r="AQ568">
        <v>2</v>
      </c>
      <c r="AR568">
        <v>3</v>
      </c>
      <c r="AS568" t="s">
        <v>9203</v>
      </c>
      <c r="AT568" t="s">
        <v>8763</v>
      </c>
      <c r="AU568" t="s">
        <v>9204</v>
      </c>
      <c r="AV568" t="s">
        <v>69</v>
      </c>
      <c r="AW568" t="s">
        <v>208</v>
      </c>
      <c r="AX568" t="s">
        <v>69</v>
      </c>
      <c r="AY568" t="s">
        <v>206</v>
      </c>
      <c r="AZ568" t="s">
        <v>10704</v>
      </c>
      <c r="BA568" t="s">
        <v>10705</v>
      </c>
      <c r="BB568">
        <v>2021</v>
      </c>
      <c r="BC568">
        <v>21</v>
      </c>
      <c r="BD568">
        <v>1</v>
      </c>
      <c r="BE568" t="s">
        <v>69</v>
      </c>
      <c r="BF568" t="s">
        <v>69</v>
      </c>
      <c r="BG568" t="s">
        <v>69</v>
      </c>
      <c r="BH568" t="s">
        <v>69</v>
      </c>
      <c r="BI568" t="s">
        <v>69</v>
      </c>
      <c r="BJ568" t="s">
        <v>69</v>
      </c>
      <c r="BK568">
        <v>2176</v>
      </c>
      <c r="BL568" t="s">
        <v>10706</v>
      </c>
      <c r="BM568" t="str">
        <f>HYPERLINK("http://dx.doi.org/10.1186/s12889-021-12212-7","http://dx.doi.org/10.1186/s12889-021-12212-7")</f>
        <v>http://dx.doi.org/10.1186/s12889-021-12212-7</v>
      </c>
      <c r="BN568" t="s">
        <v>69</v>
      </c>
      <c r="BO568" t="s">
        <v>69</v>
      </c>
      <c r="BP568">
        <v>13</v>
      </c>
      <c r="BQ568" t="s">
        <v>8810</v>
      </c>
      <c r="BR568" t="s">
        <v>8523</v>
      </c>
      <c r="BS568" t="s">
        <v>8810</v>
      </c>
      <c r="BT568" t="s">
        <v>10707</v>
      </c>
      <c r="BU568" t="s">
        <v>10708</v>
      </c>
      <c r="BV568">
        <v>34837979</v>
      </c>
      <c r="BW568" t="s">
        <v>9352</v>
      </c>
      <c r="BX568" t="s">
        <v>69</v>
      </c>
      <c r="BY568" t="s">
        <v>69</v>
      </c>
      <c r="BZ568" t="s">
        <v>8526</v>
      </c>
      <c r="CA568" t="str">
        <f>HYPERLINK("https%3A%2F%2Fwww.webofscience.com%2Fwos%2Fwoscc%2Ffull-record%2FWOS:000722998500004","View Full Record in Web of Science")</f>
        <v>View Full Record in Web of Science</v>
      </c>
    </row>
    <row r="569" spans="1:79" x14ac:dyDescent="0.3">
      <c r="B569" t="s">
        <v>8495</v>
      </c>
      <c r="D569" s="9" t="s">
        <v>32954</v>
      </c>
      <c r="E569" s="9" t="s">
        <v>33100</v>
      </c>
      <c r="F569" s="9" t="s">
        <v>8491</v>
      </c>
      <c r="G569" s="9" t="s">
        <v>8490</v>
      </c>
      <c r="H569" t="s">
        <v>67</v>
      </c>
      <c r="I569" t="s">
        <v>31163</v>
      </c>
      <c r="J569" t="s">
        <v>69</v>
      </c>
      <c r="K569" t="s">
        <v>69</v>
      </c>
      <c r="L569" t="s">
        <v>69</v>
      </c>
      <c r="M569" t="s">
        <v>31163</v>
      </c>
      <c r="N569" t="s">
        <v>69</v>
      </c>
      <c r="O569" t="s">
        <v>69</v>
      </c>
      <c r="P569" t="s">
        <v>31164</v>
      </c>
      <c r="Q569" t="s">
        <v>31165</v>
      </c>
      <c r="R569" t="s">
        <v>69</v>
      </c>
      <c r="S569" t="s">
        <v>69</v>
      </c>
      <c r="T569" t="s">
        <v>8505</v>
      </c>
      <c r="U569" t="s">
        <v>8506</v>
      </c>
      <c r="V569" t="s">
        <v>69</v>
      </c>
      <c r="W569" t="s">
        <v>69</v>
      </c>
      <c r="X569" t="s">
        <v>69</v>
      </c>
      <c r="Y569" t="s">
        <v>69</v>
      </c>
      <c r="Z569" t="s">
        <v>69</v>
      </c>
      <c r="AA569" t="s">
        <v>31166</v>
      </c>
      <c r="AB569" t="s">
        <v>69</v>
      </c>
      <c r="AC569" t="s">
        <v>31167</v>
      </c>
      <c r="AD569" t="s">
        <v>31168</v>
      </c>
      <c r="AE569" t="s">
        <v>69</v>
      </c>
      <c r="AF569" t="s">
        <v>69</v>
      </c>
      <c r="AG569" t="s">
        <v>69</v>
      </c>
      <c r="AH569" t="s">
        <v>69</v>
      </c>
      <c r="AI569" t="s">
        <v>69</v>
      </c>
      <c r="AJ569" t="s">
        <v>69</v>
      </c>
      <c r="AK569" t="s">
        <v>69</v>
      </c>
      <c r="AL569" t="s">
        <v>69</v>
      </c>
      <c r="AM569" t="s">
        <v>69</v>
      </c>
      <c r="AN569">
        <v>20</v>
      </c>
      <c r="AO569">
        <v>0</v>
      </c>
      <c r="AP569">
        <v>0</v>
      </c>
      <c r="AQ569">
        <v>1</v>
      </c>
      <c r="AR569">
        <v>6</v>
      </c>
      <c r="AS569" t="s">
        <v>17140</v>
      </c>
      <c r="AT569" t="s">
        <v>8517</v>
      </c>
      <c r="AU569" t="s">
        <v>17141</v>
      </c>
      <c r="AV569" t="s">
        <v>31169</v>
      </c>
      <c r="AW569" t="s">
        <v>69</v>
      </c>
      <c r="AX569" t="s">
        <v>69</v>
      </c>
      <c r="AY569" t="s">
        <v>31170</v>
      </c>
      <c r="AZ569" t="s">
        <v>31171</v>
      </c>
      <c r="BA569" t="s">
        <v>381</v>
      </c>
      <c r="BB569">
        <v>2003</v>
      </c>
      <c r="BC569">
        <v>70</v>
      </c>
      <c r="BD569" t="s">
        <v>336</v>
      </c>
      <c r="BE569" t="s">
        <v>69</v>
      </c>
      <c r="BF569" t="s">
        <v>69</v>
      </c>
      <c r="BG569" t="s">
        <v>69</v>
      </c>
      <c r="BH569" t="s">
        <v>69</v>
      </c>
      <c r="BI569">
        <v>169</v>
      </c>
      <c r="BJ569">
        <v>200</v>
      </c>
      <c r="BK569" t="s">
        <v>69</v>
      </c>
      <c r="BL569" t="s">
        <v>31172</v>
      </c>
      <c r="BM569" t="str">
        <f>HYPERLINK("http://dx.doi.org/10.1016/S0013-7952(03)00084-X","http://dx.doi.org/10.1016/S0013-7952(03)00084-X")</f>
        <v>http://dx.doi.org/10.1016/S0013-7952(03)00084-X</v>
      </c>
      <c r="BN569" t="s">
        <v>69</v>
      </c>
      <c r="BO569" t="s">
        <v>69</v>
      </c>
      <c r="BP569">
        <v>32</v>
      </c>
      <c r="BQ569" t="s">
        <v>31173</v>
      </c>
      <c r="BR569" t="s">
        <v>8548</v>
      </c>
      <c r="BS569" t="s">
        <v>29172</v>
      </c>
      <c r="BT569" t="s">
        <v>31174</v>
      </c>
      <c r="BU569" t="s">
        <v>31175</v>
      </c>
      <c r="BV569" t="s">
        <v>69</v>
      </c>
      <c r="BW569" t="s">
        <v>69</v>
      </c>
      <c r="BX569" t="s">
        <v>69</v>
      </c>
      <c r="BY569" t="s">
        <v>69</v>
      </c>
      <c r="BZ569" t="s">
        <v>8526</v>
      </c>
      <c r="CA569" t="str">
        <f>HYPERLINK("https%3A%2F%2Fwww.webofscience.com%2Fwos%2Fwoscc%2Ffull-record%2FWOS:000185641200012","View Full Record in Web of Science")</f>
        <v>View Full Record in Web of Science</v>
      </c>
    </row>
    <row r="570" spans="1:79" ht="12.5" x14ac:dyDescent="0.25">
      <c r="B570" t="s">
        <v>8495</v>
      </c>
      <c r="D570" s="7" t="s">
        <v>32933</v>
      </c>
      <c r="E570" s="7"/>
      <c r="F570" s="7"/>
      <c r="G570" s="7"/>
      <c r="H570" t="s">
        <v>67</v>
      </c>
      <c r="I570" t="s">
        <v>6964</v>
      </c>
      <c r="J570" t="s">
        <v>69</v>
      </c>
      <c r="K570" t="s">
        <v>69</v>
      </c>
      <c r="L570" t="s">
        <v>69</v>
      </c>
      <c r="M570" t="s">
        <v>6964</v>
      </c>
      <c r="N570" t="s">
        <v>69</v>
      </c>
      <c r="O570" t="s">
        <v>69</v>
      </c>
      <c r="P570" t="s">
        <v>6965</v>
      </c>
      <c r="Q570" t="s">
        <v>436</v>
      </c>
      <c r="R570" t="s">
        <v>69</v>
      </c>
      <c r="S570" t="s">
        <v>69</v>
      </c>
      <c r="T570" t="s">
        <v>8505</v>
      </c>
      <c r="U570" t="s">
        <v>15797</v>
      </c>
      <c r="V570" t="s">
        <v>6966</v>
      </c>
      <c r="W570" t="s">
        <v>6967</v>
      </c>
      <c r="X570" t="s">
        <v>6968</v>
      </c>
      <c r="Y570" t="s">
        <v>69</v>
      </c>
      <c r="Z570" t="s">
        <v>69</v>
      </c>
      <c r="AA570" t="s">
        <v>30501</v>
      </c>
      <c r="AB570" t="s">
        <v>69</v>
      </c>
      <c r="AC570" t="s">
        <v>6969</v>
      </c>
      <c r="AD570" t="s">
        <v>30502</v>
      </c>
      <c r="AE570" t="s">
        <v>69</v>
      </c>
      <c r="AF570" t="s">
        <v>30503</v>
      </c>
      <c r="AG570" t="s">
        <v>30504</v>
      </c>
      <c r="AH570" t="s">
        <v>69</v>
      </c>
      <c r="AI570" t="s">
        <v>69</v>
      </c>
      <c r="AJ570" t="s">
        <v>69</v>
      </c>
      <c r="AK570" t="s">
        <v>69</v>
      </c>
      <c r="AL570" t="s">
        <v>69</v>
      </c>
      <c r="AM570" t="s">
        <v>69</v>
      </c>
      <c r="AN570">
        <v>8</v>
      </c>
      <c r="AO570">
        <v>46</v>
      </c>
      <c r="AP570">
        <v>46</v>
      </c>
      <c r="AQ570">
        <v>1</v>
      </c>
      <c r="AR570">
        <v>50</v>
      </c>
      <c r="AS570" t="s">
        <v>8636</v>
      </c>
      <c r="AT570" t="s">
        <v>8637</v>
      </c>
      <c r="AU570" t="s">
        <v>8638</v>
      </c>
      <c r="AV570" t="s">
        <v>440</v>
      </c>
      <c r="AW570" t="s">
        <v>69</v>
      </c>
      <c r="AX570" t="s">
        <v>69</v>
      </c>
      <c r="AY570" t="s">
        <v>8639</v>
      </c>
      <c r="AZ570" t="s">
        <v>8640</v>
      </c>
      <c r="BA570" t="s">
        <v>69</v>
      </c>
      <c r="BB570">
        <v>2006</v>
      </c>
      <c r="BC570">
        <v>14</v>
      </c>
      <c r="BD570" t="s">
        <v>6970</v>
      </c>
      <c r="BE570" t="s">
        <v>69</v>
      </c>
      <c r="BF570" t="s">
        <v>69</v>
      </c>
      <c r="BG570" t="s">
        <v>69</v>
      </c>
      <c r="BH570" t="s">
        <v>69</v>
      </c>
      <c r="BI570">
        <v>601</v>
      </c>
      <c r="BJ570">
        <v>609</v>
      </c>
      <c r="BK570" t="s">
        <v>69</v>
      </c>
      <c r="BL570" t="s">
        <v>6971</v>
      </c>
      <c r="BM570" t="str">
        <f>HYPERLINK("http://dx.doi.org/10.1016/j.jclepro.2005.07.013","http://dx.doi.org/10.1016/j.jclepro.2005.07.013")</f>
        <v>http://dx.doi.org/10.1016/j.jclepro.2005.07.013</v>
      </c>
      <c r="BN570" t="s">
        <v>69</v>
      </c>
      <c r="BO570" t="s">
        <v>69</v>
      </c>
      <c r="BP570">
        <v>9</v>
      </c>
      <c r="BQ570" t="s">
        <v>8643</v>
      </c>
      <c r="BR570" t="s">
        <v>29550</v>
      </c>
      <c r="BS570" t="s">
        <v>8644</v>
      </c>
      <c r="BT570" t="s">
        <v>30505</v>
      </c>
      <c r="BU570" t="s">
        <v>6972</v>
      </c>
      <c r="BV570" t="s">
        <v>69</v>
      </c>
      <c r="BW570" t="s">
        <v>69</v>
      </c>
      <c r="BX570" t="s">
        <v>69</v>
      </c>
      <c r="BY570" t="s">
        <v>69</v>
      </c>
      <c r="BZ570" t="s">
        <v>8526</v>
      </c>
      <c r="CA570" t="str">
        <f>HYPERLINK("https%3A%2F%2Fwww.webofscience.com%2Fwos%2Fwoscc%2Ffull-record%2FWOS:000236893500008","View Full Record in Web of Science")</f>
        <v>View Full Record in Web of Science</v>
      </c>
    </row>
    <row r="571" spans="1:79" ht="12.5" x14ac:dyDescent="0.25">
      <c r="B571" t="s">
        <v>8495</v>
      </c>
      <c r="D571" s="7" t="s">
        <v>32933</v>
      </c>
      <c r="E571" s="7"/>
      <c r="F571" s="7"/>
      <c r="G571" s="7"/>
      <c r="H571" t="s">
        <v>67</v>
      </c>
      <c r="I571" t="s">
        <v>878</v>
      </c>
      <c r="J571" t="s">
        <v>69</v>
      </c>
      <c r="K571" t="s">
        <v>69</v>
      </c>
      <c r="L571" t="s">
        <v>69</v>
      </c>
      <c r="M571" t="s">
        <v>879</v>
      </c>
      <c r="N571" t="s">
        <v>69</v>
      </c>
      <c r="O571" t="s">
        <v>69</v>
      </c>
      <c r="P571" t="s">
        <v>880</v>
      </c>
      <c r="Q571" t="s">
        <v>881</v>
      </c>
      <c r="R571" t="s">
        <v>69</v>
      </c>
      <c r="S571" t="s">
        <v>69</v>
      </c>
      <c r="T571" t="s">
        <v>8505</v>
      </c>
      <c r="U571" t="s">
        <v>8506</v>
      </c>
      <c r="V571" t="s">
        <v>69</v>
      </c>
      <c r="W571" t="s">
        <v>69</v>
      </c>
      <c r="X571" t="s">
        <v>69</v>
      </c>
      <c r="Y571" t="s">
        <v>69</v>
      </c>
      <c r="Z571" t="s">
        <v>69</v>
      </c>
      <c r="AA571" t="s">
        <v>16538</v>
      </c>
      <c r="AB571" t="s">
        <v>16539</v>
      </c>
      <c r="AC571" t="s">
        <v>882</v>
      </c>
      <c r="AD571" t="s">
        <v>16540</v>
      </c>
      <c r="AE571" t="s">
        <v>69</v>
      </c>
      <c r="AF571" t="s">
        <v>16541</v>
      </c>
      <c r="AG571" t="s">
        <v>16542</v>
      </c>
      <c r="AH571" t="s">
        <v>16543</v>
      </c>
      <c r="AI571" t="s">
        <v>16544</v>
      </c>
      <c r="AJ571" t="s">
        <v>16545</v>
      </c>
      <c r="AK571" t="s">
        <v>16545</v>
      </c>
      <c r="AL571" t="s">
        <v>16546</v>
      </c>
      <c r="AM571" t="s">
        <v>69</v>
      </c>
      <c r="AN571">
        <v>47</v>
      </c>
      <c r="AO571">
        <v>25</v>
      </c>
      <c r="AP571">
        <v>25</v>
      </c>
      <c r="AQ571">
        <v>1</v>
      </c>
      <c r="AR571">
        <v>28</v>
      </c>
      <c r="AS571" t="s">
        <v>8516</v>
      </c>
      <c r="AT571" t="s">
        <v>8517</v>
      </c>
      <c r="AU571" t="s">
        <v>8518</v>
      </c>
      <c r="AV571" t="s">
        <v>883</v>
      </c>
      <c r="AW571" t="s">
        <v>884</v>
      </c>
      <c r="AX571" t="s">
        <v>69</v>
      </c>
      <c r="AY571" t="s">
        <v>12415</v>
      </c>
      <c r="AZ571" t="s">
        <v>12416</v>
      </c>
      <c r="BA571" t="s">
        <v>274</v>
      </c>
      <c r="BB571">
        <v>2019</v>
      </c>
      <c r="BC571">
        <v>150</v>
      </c>
      <c r="BD571" t="s">
        <v>69</v>
      </c>
      <c r="BE571" t="s">
        <v>69</v>
      </c>
      <c r="BF571" t="s">
        <v>69</v>
      </c>
      <c r="BG571" t="s">
        <v>69</v>
      </c>
      <c r="BH571" t="s">
        <v>69</v>
      </c>
      <c r="BI571" t="s">
        <v>69</v>
      </c>
      <c r="BJ571" t="s">
        <v>69</v>
      </c>
      <c r="BK571">
        <v>104444</v>
      </c>
      <c r="BL571" t="s">
        <v>885</v>
      </c>
      <c r="BM571" t="str">
        <f>HYPERLINK("http://dx.doi.org/10.1016/j.resconrec.2019.104444","http://dx.doi.org/10.1016/j.resconrec.2019.104444")</f>
        <v>http://dx.doi.org/10.1016/j.resconrec.2019.104444</v>
      </c>
      <c r="BN571" t="s">
        <v>69</v>
      </c>
      <c r="BO571" t="s">
        <v>69</v>
      </c>
      <c r="BP571">
        <v>11</v>
      </c>
      <c r="BQ571" t="s">
        <v>8743</v>
      </c>
      <c r="BR571" t="s">
        <v>8523</v>
      </c>
      <c r="BS571" t="s">
        <v>8744</v>
      </c>
      <c r="BT571" t="s">
        <v>16547</v>
      </c>
      <c r="BU571" t="s">
        <v>886</v>
      </c>
      <c r="BV571" t="s">
        <v>69</v>
      </c>
      <c r="BW571" t="s">
        <v>69</v>
      </c>
      <c r="BX571" t="s">
        <v>69</v>
      </c>
      <c r="BY571" t="s">
        <v>69</v>
      </c>
      <c r="BZ571" t="s">
        <v>8526</v>
      </c>
      <c r="CA571" t="str">
        <f>HYPERLINK("https%3A%2F%2Fwww.webofscience.com%2Fwos%2Fwoscc%2Ffull-record%2FWOS:000488141000033","View Full Record in Web of Science")</f>
        <v>View Full Record in Web of Science</v>
      </c>
    </row>
    <row r="572" spans="1:79" ht="12.5" x14ac:dyDescent="0.25">
      <c r="B572" t="s">
        <v>8495</v>
      </c>
      <c r="D572" s="7" t="s">
        <v>32933</v>
      </c>
      <c r="E572" s="7"/>
      <c r="F572" s="7"/>
      <c r="G572" s="7"/>
      <c r="H572" t="s">
        <v>67</v>
      </c>
      <c r="I572" t="s">
        <v>2173</v>
      </c>
      <c r="J572" t="s">
        <v>69</v>
      </c>
      <c r="K572" t="s">
        <v>69</v>
      </c>
      <c r="L572" t="s">
        <v>69</v>
      </c>
      <c r="M572" t="s">
        <v>2174</v>
      </c>
      <c r="N572" t="s">
        <v>69</v>
      </c>
      <c r="O572" t="s">
        <v>69</v>
      </c>
      <c r="P572" t="s">
        <v>2175</v>
      </c>
      <c r="Q572" t="s">
        <v>332</v>
      </c>
      <c r="R572" t="s">
        <v>69</v>
      </c>
      <c r="S572" t="s">
        <v>69</v>
      </c>
      <c r="T572" t="s">
        <v>8505</v>
      </c>
      <c r="U572" t="s">
        <v>8506</v>
      </c>
      <c r="V572" t="s">
        <v>69</v>
      </c>
      <c r="W572" t="s">
        <v>69</v>
      </c>
      <c r="X572" t="s">
        <v>69</v>
      </c>
      <c r="Y572" t="s">
        <v>69</v>
      </c>
      <c r="Z572" t="s">
        <v>69</v>
      </c>
      <c r="AA572" t="s">
        <v>16918</v>
      </c>
      <c r="AB572" t="s">
        <v>16919</v>
      </c>
      <c r="AC572" t="s">
        <v>2176</v>
      </c>
      <c r="AD572" t="s">
        <v>16920</v>
      </c>
      <c r="AE572" t="s">
        <v>69</v>
      </c>
      <c r="AF572" t="s">
        <v>16921</v>
      </c>
      <c r="AG572" t="s">
        <v>16922</v>
      </c>
      <c r="AH572" t="s">
        <v>69</v>
      </c>
      <c r="AI572" t="s">
        <v>2177</v>
      </c>
      <c r="AJ572" t="s">
        <v>69</v>
      </c>
      <c r="AK572" t="s">
        <v>69</v>
      </c>
      <c r="AL572" t="s">
        <v>69</v>
      </c>
      <c r="AM572" t="s">
        <v>69</v>
      </c>
      <c r="AN572">
        <v>39</v>
      </c>
      <c r="AO572">
        <v>0</v>
      </c>
      <c r="AP572">
        <v>0</v>
      </c>
      <c r="AQ572">
        <v>1</v>
      </c>
      <c r="AR572">
        <v>3</v>
      </c>
      <c r="AS572" t="s">
        <v>8586</v>
      </c>
      <c r="AT572" t="s">
        <v>8587</v>
      </c>
      <c r="AU572" t="s">
        <v>8588</v>
      </c>
      <c r="AV572" t="s">
        <v>334</v>
      </c>
      <c r="AW572" t="s">
        <v>335</v>
      </c>
      <c r="AX572" t="s">
        <v>69</v>
      </c>
      <c r="AY572" t="s">
        <v>332</v>
      </c>
      <c r="AZ572" t="s">
        <v>16285</v>
      </c>
      <c r="BA572" t="s">
        <v>2178</v>
      </c>
      <c r="BB572">
        <v>2019</v>
      </c>
      <c r="BC572">
        <v>37</v>
      </c>
      <c r="BD572" t="s">
        <v>1263</v>
      </c>
      <c r="BE572" t="s">
        <v>69</v>
      </c>
      <c r="BF572" t="s">
        <v>69</v>
      </c>
      <c r="BG572" t="s">
        <v>69</v>
      </c>
      <c r="BH572" t="s">
        <v>69</v>
      </c>
      <c r="BI572">
        <v>825</v>
      </c>
      <c r="BJ572">
        <v>838</v>
      </c>
      <c r="BK572" t="s">
        <v>69</v>
      </c>
      <c r="BL572" t="s">
        <v>2179</v>
      </c>
      <c r="BM572" t="str">
        <f>HYPERLINK("http://dx.doi.org/10.1108/F-02-2017-0014","http://dx.doi.org/10.1108/F-02-2017-0014")</f>
        <v>http://dx.doi.org/10.1108/F-02-2017-0014</v>
      </c>
      <c r="BN572" t="s">
        <v>69</v>
      </c>
      <c r="BO572" t="s">
        <v>69</v>
      </c>
      <c r="BP572">
        <v>14</v>
      </c>
      <c r="BQ572" t="s">
        <v>9410</v>
      </c>
      <c r="BR572" t="s">
        <v>8573</v>
      </c>
      <c r="BS572" t="s">
        <v>8594</v>
      </c>
      <c r="BT572" t="s">
        <v>16923</v>
      </c>
      <c r="BU572" t="s">
        <v>2180</v>
      </c>
      <c r="BV572" t="s">
        <v>69</v>
      </c>
      <c r="BW572" t="s">
        <v>69</v>
      </c>
      <c r="BX572" t="s">
        <v>69</v>
      </c>
      <c r="BY572" t="s">
        <v>69</v>
      </c>
      <c r="BZ572" t="s">
        <v>8526</v>
      </c>
      <c r="CA572" t="str">
        <f>HYPERLINK("https%3A%2F%2Fwww.webofscience.com%2Fwos%2Fwoscc%2Ffull-record%2FWOS:000475370600009","View Full Record in Web of Science")</f>
        <v>View Full Record in Web of Science</v>
      </c>
    </row>
    <row r="573" spans="1:79" x14ac:dyDescent="0.3">
      <c r="A573" s="7" t="s">
        <v>8408</v>
      </c>
      <c r="B573" t="s">
        <v>8495</v>
      </c>
      <c r="D573" s="12" t="s">
        <v>8401</v>
      </c>
      <c r="E573" s="9" t="s">
        <v>33221</v>
      </c>
      <c r="F573" s="9" t="s">
        <v>8491</v>
      </c>
      <c r="H573" t="s">
        <v>67</v>
      </c>
      <c r="I573" t="s">
        <v>4896</v>
      </c>
      <c r="J573" t="s">
        <v>69</v>
      </c>
      <c r="K573" t="s">
        <v>69</v>
      </c>
      <c r="L573" t="s">
        <v>69</v>
      </c>
      <c r="M573" t="s">
        <v>4897</v>
      </c>
      <c r="N573" t="s">
        <v>69</v>
      </c>
      <c r="O573" t="s">
        <v>69</v>
      </c>
      <c r="P573" s="3" t="s">
        <v>4898</v>
      </c>
      <c r="Q573" t="s">
        <v>4899</v>
      </c>
      <c r="R573" t="s">
        <v>69</v>
      </c>
      <c r="S573" t="s">
        <v>69</v>
      </c>
      <c r="T573" t="s">
        <v>8505</v>
      </c>
      <c r="U573" t="s">
        <v>8442</v>
      </c>
      <c r="V573" t="s">
        <v>69</v>
      </c>
      <c r="W573" t="s">
        <v>69</v>
      </c>
      <c r="X573" t="s">
        <v>69</v>
      </c>
      <c r="Y573" t="s">
        <v>69</v>
      </c>
      <c r="Z573" t="s">
        <v>69</v>
      </c>
      <c r="AA573" t="s">
        <v>19904</v>
      </c>
      <c r="AB573" t="s">
        <v>19905</v>
      </c>
      <c r="AC573" t="s">
        <v>4900</v>
      </c>
      <c r="AD573" t="s">
        <v>19906</v>
      </c>
      <c r="AE573" t="s">
        <v>69</v>
      </c>
      <c r="AF573" t="s">
        <v>19907</v>
      </c>
      <c r="AG573" t="s">
        <v>19908</v>
      </c>
      <c r="AH573" t="s">
        <v>69</v>
      </c>
      <c r="AI573" t="s">
        <v>69</v>
      </c>
      <c r="AJ573" t="s">
        <v>19909</v>
      </c>
      <c r="AK573" t="s">
        <v>15550</v>
      </c>
      <c r="AL573" t="s">
        <v>19910</v>
      </c>
      <c r="AM573" t="s">
        <v>69</v>
      </c>
      <c r="AN573">
        <v>49</v>
      </c>
      <c r="AO573">
        <v>3</v>
      </c>
      <c r="AP573">
        <v>3</v>
      </c>
      <c r="AQ573">
        <v>2</v>
      </c>
      <c r="AR573">
        <v>15</v>
      </c>
      <c r="AS573" t="s">
        <v>9203</v>
      </c>
      <c r="AT573" t="s">
        <v>8763</v>
      </c>
      <c r="AU573" t="s">
        <v>9204</v>
      </c>
      <c r="AV573" t="s">
        <v>4901</v>
      </c>
      <c r="AW573" t="s">
        <v>69</v>
      </c>
      <c r="AX573" t="s">
        <v>69</v>
      </c>
      <c r="AY573" t="s">
        <v>19911</v>
      </c>
      <c r="AZ573" t="s">
        <v>19912</v>
      </c>
      <c r="BA573" t="s">
        <v>891</v>
      </c>
      <c r="BB573">
        <v>2017</v>
      </c>
      <c r="BC573">
        <v>7</v>
      </c>
      <c r="BD573" t="s">
        <v>69</v>
      </c>
      <c r="BE573" t="s">
        <v>69</v>
      </c>
      <c r="BF573" t="s">
        <v>69</v>
      </c>
      <c r="BG573" t="s">
        <v>69</v>
      </c>
      <c r="BH573" t="s">
        <v>69</v>
      </c>
      <c r="BI573" t="s">
        <v>69</v>
      </c>
      <c r="BJ573" t="s">
        <v>69</v>
      </c>
      <c r="BK573">
        <v>30</v>
      </c>
      <c r="BL573" t="s">
        <v>4902</v>
      </c>
      <c r="BM573" t="str">
        <f>HYPERLINK("http://dx.doi.org/10.1186/s13705-017-0132-1","http://dx.doi.org/10.1186/s13705-017-0132-1")</f>
        <v>http://dx.doi.org/10.1186/s13705-017-0132-1</v>
      </c>
      <c r="BN573" t="s">
        <v>69</v>
      </c>
      <c r="BO573" t="s">
        <v>69</v>
      </c>
      <c r="BP573">
        <v>10</v>
      </c>
      <c r="BQ573" t="s">
        <v>9931</v>
      </c>
      <c r="BR573" t="s">
        <v>8548</v>
      </c>
      <c r="BS573" t="s">
        <v>9932</v>
      </c>
      <c r="BT573" t="s">
        <v>19913</v>
      </c>
      <c r="BU573" t="s">
        <v>4903</v>
      </c>
      <c r="BV573" t="s">
        <v>69</v>
      </c>
      <c r="BW573" t="s">
        <v>9352</v>
      </c>
      <c r="BX573" t="s">
        <v>69</v>
      </c>
      <c r="BY573" t="s">
        <v>69</v>
      </c>
      <c r="BZ573" t="s">
        <v>8526</v>
      </c>
      <c r="CA573" t="str">
        <f>HYPERLINK("https%3A%2F%2Fwww.webofscience.com%2Fwos%2Fwoscc%2Ffull-record%2FWOS:000414332500001","View Full Record in Web of Science")</f>
        <v>View Full Record in Web of Science</v>
      </c>
    </row>
    <row r="574" spans="1:79" x14ac:dyDescent="0.3">
      <c r="B574" t="s">
        <v>8495</v>
      </c>
      <c r="D574" s="9" t="s">
        <v>32972</v>
      </c>
      <c r="E574" s="9" t="s">
        <v>33071</v>
      </c>
      <c r="F574" s="27" t="s">
        <v>8490</v>
      </c>
      <c r="G574" s="9" t="s">
        <v>8490</v>
      </c>
      <c r="H574" t="s">
        <v>67</v>
      </c>
      <c r="I574" t="s">
        <v>31651</v>
      </c>
      <c r="J574" t="s">
        <v>69</v>
      </c>
      <c r="K574" t="s">
        <v>69</v>
      </c>
      <c r="L574" t="s">
        <v>69</v>
      </c>
      <c r="M574" t="s">
        <v>31651</v>
      </c>
      <c r="N574" t="s">
        <v>69</v>
      </c>
      <c r="O574" t="s">
        <v>69</v>
      </c>
      <c r="P574" t="s">
        <v>31652</v>
      </c>
      <c r="Q574" t="s">
        <v>3321</v>
      </c>
      <c r="R574" t="s">
        <v>69</v>
      </c>
      <c r="S574" t="s">
        <v>69</v>
      </c>
      <c r="T574" t="s">
        <v>8505</v>
      </c>
      <c r="U574" t="s">
        <v>8506</v>
      </c>
      <c r="V574" t="s">
        <v>69</v>
      </c>
      <c r="W574" t="s">
        <v>69</v>
      </c>
      <c r="X574" t="s">
        <v>69</v>
      </c>
      <c r="Y574" t="s">
        <v>69</v>
      </c>
      <c r="Z574" t="s">
        <v>69</v>
      </c>
      <c r="AA574" t="s">
        <v>31653</v>
      </c>
      <c r="AB574" t="s">
        <v>31654</v>
      </c>
      <c r="AC574" t="s">
        <v>31655</v>
      </c>
      <c r="AD574" t="s">
        <v>31656</v>
      </c>
      <c r="AE574" t="s">
        <v>69</v>
      </c>
      <c r="AF574" t="s">
        <v>31657</v>
      </c>
      <c r="AG574" t="s">
        <v>69</v>
      </c>
      <c r="AH574" t="s">
        <v>69</v>
      </c>
      <c r="AI574" t="s">
        <v>69</v>
      </c>
      <c r="AJ574" t="s">
        <v>69</v>
      </c>
      <c r="AK574" t="s">
        <v>69</v>
      </c>
      <c r="AL574" t="s">
        <v>69</v>
      </c>
      <c r="AM574" t="s">
        <v>69</v>
      </c>
      <c r="AN574">
        <v>64</v>
      </c>
      <c r="AO574">
        <v>45</v>
      </c>
      <c r="AP574">
        <v>45</v>
      </c>
      <c r="AQ574">
        <v>0</v>
      </c>
      <c r="AR574">
        <v>12</v>
      </c>
      <c r="AS574" t="s">
        <v>8762</v>
      </c>
      <c r="AT574" t="s">
        <v>8763</v>
      </c>
      <c r="AU574" t="s">
        <v>31143</v>
      </c>
      <c r="AV574" t="s">
        <v>3323</v>
      </c>
      <c r="AW574" t="s">
        <v>69</v>
      </c>
      <c r="AX574" t="s">
        <v>69</v>
      </c>
      <c r="AY574" t="s">
        <v>3321</v>
      </c>
      <c r="AZ574" t="s">
        <v>25026</v>
      </c>
      <c r="BA574" t="s">
        <v>191</v>
      </c>
      <c r="BB574">
        <v>2001</v>
      </c>
      <c r="BC574">
        <v>8</v>
      </c>
      <c r="BD574">
        <v>1</v>
      </c>
      <c r="BE574" t="s">
        <v>69</v>
      </c>
      <c r="BF574" t="s">
        <v>69</v>
      </c>
      <c r="BG574" t="s">
        <v>69</v>
      </c>
      <c r="BH574" t="s">
        <v>69</v>
      </c>
      <c r="BI574">
        <v>17</v>
      </c>
      <c r="BJ574">
        <v>31</v>
      </c>
      <c r="BK574" t="s">
        <v>69</v>
      </c>
      <c r="BL574" t="s">
        <v>31658</v>
      </c>
      <c r="BM574" t="str">
        <f>HYPERLINK("http://dx.doi.org/10.1177/135050840181002","http://dx.doi.org/10.1177/135050840181002")</f>
        <v>http://dx.doi.org/10.1177/135050840181002</v>
      </c>
      <c r="BN574" t="s">
        <v>69</v>
      </c>
      <c r="BO574" t="s">
        <v>69</v>
      </c>
      <c r="BP574">
        <v>15</v>
      </c>
      <c r="BQ574" t="s">
        <v>9410</v>
      </c>
      <c r="BR574" t="s">
        <v>8661</v>
      </c>
      <c r="BS574" t="s">
        <v>8594</v>
      </c>
      <c r="BT574" t="s">
        <v>31659</v>
      </c>
      <c r="BU574" t="s">
        <v>31660</v>
      </c>
      <c r="BV574" t="s">
        <v>69</v>
      </c>
      <c r="BW574" t="s">
        <v>69</v>
      </c>
      <c r="BX574" t="s">
        <v>69</v>
      </c>
      <c r="BY574" t="s">
        <v>69</v>
      </c>
      <c r="BZ574" t="s">
        <v>8526</v>
      </c>
      <c r="CA574" t="str">
        <f>HYPERLINK("https%3A%2F%2Fwww.webofscience.com%2Fwos%2Fwoscc%2Ffull-record%2FWOS:000167229400002","View Full Record in Web of Science")</f>
        <v>View Full Record in Web of Science</v>
      </c>
    </row>
    <row r="575" spans="1:79" ht="12.5" x14ac:dyDescent="0.25">
      <c r="B575" t="s">
        <v>8495</v>
      </c>
      <c r="D575" s="22" t="s">
        <v>32931</v>
      </c>
      <c r="E575" s="7"/>
      <c r="F575" s="7"/>
      <c r="G575" s="7"/>
      <c r="H575" t="s">
        <v>67</v>
      </c>
      <c r="I575" t="s">
        <v>31183</v>
      </c>
      <c r="J575" t="s">
        <v>69</v>
      </c>
      <c r="K575" t="s">
        <v>69</v>
      </c>
      <c r="L575" t="s">
        <v>69</v>
      </c>
      <c r="M575" t="s">
        <v>31183</v>
      </c>
      <c r="N575" t="s">
        <v>69</v>
      </c>
      <c r="O575" t="s">
        <v>69</v>
      </c>
      <c r="P575" t="s">
        <v>31184</v>
      </c>
      <c r="Q575" t="s">
        <v>19128</v>
      </c>
      <c r="R575" t="s">
        <v>69</v>
      </c>
      <c r="S575" t="s">
        <v>69</v>
      </c>
      <c r="T575" t="s">
        <v>8505</v>
      </c>
      <c r="U575" t="s">
        <v>15797</v>
      </c>
      <c r="V575" t="s">
        <v>31185</v>
      </c>
      <c r="W575" t="s">
        <v>31186</v>
      </c>
      <c r="X575" t="s">
        <v>31187</v>
      </c>
      <c r="Y575" t="s">
        <v>31188</v>
      </c>
      <c r="Z575" t="s">
        <v>69</v>
      </c>
      <c r="AA575" t="s">
        <v>31189</v>
      </c>
      <c r="AB575" t="s">
        <v>69</v>
      </c>
      <c r="AC575" t="s">
        <v>31190</v>
      </c>
      <c r="AD575" t="s">
        <v>31191</v>
      </c>
      <c r="AE575" t="s">
        <v>69</v>
      </c>
      <c r="AF575" t="s">
        <v>31192</v>
      </c>
      <c r="AG575" t="s">
        <v>69</v>
      </c>
      <c r="AH575" t="s">
        <v>69</v>
      </c>
      <c r="AI575" t="s">
        <v>31193</v>
      </c>
      <c r="AJ575" t="s">
        <v>69</v>
      </c>
      <c r="AK575" t="s">
        <v>69</v>
      </c>
      <c r="AL575" t="s">
        <v>69</v>
      </c>
      <c r="AM575" t="s">
        <v>69</v>
      </c>
      <c r="AN575">
        <v>0</v>
      </c>
      <c r="AO575">
        <v>8</v>
      </c>
      <c r="AP575">
        <v>8</v>
      </c>
      <c r="AQ575">
        <v>0</v>
      </c>
      <c r="AR575">
        <v>22</v>
      </c>
      <c r="AS575" t="s">
        <v>8636</v>
      </c>
      <c r="AT575" t="s">
        <v>8637</v>
      </c>
      <c r="AU575" t="s">
        <v>8638</v>
      </c>
      <c r="AV575" t="s">
        <v>19136</v>
      </c>
      <c r="AW575" t="s">
        <v>69</v>
      </c>
      <c r="AX575" t="s">
        <v>69</v>
      </c>
      <c r="AY575" t="s">
        <v>19138</v>
      </c>
      <c r="AZ575" t="s">
        <v>19139</v>
      </c>
      <c r="BA575" t="s">
        <v>1725</v>
      </c>
      <c r="BB575">
        <v>2003</v>
      </c>
      <c r="BC575">
        <v>76</v>
      </c>
      <c r="BD575" t="s">
        <v>4219</v>
      </c>
      <c r="BE575" t="s">
        <v>69</v>
      </c>
      <c r="BF575" t="s">
        <v>69</v>
      </c>
      <c r="BG575" t="s">
        <v>69</v>
      </c>
      <c r="BH575" t="s">
        <v>69</v>
      </c>
      <c r="BI575">
        <v>123</v>
      </c>
      <c r="BJ575">
        <v>134</v>
      </c>
      <c r="BK575" t="s">
        <v>69</v>
      </c>
      <c r="BL575" t="s">
        <v>31194</v>
      </c>
      <c r="BM575" t="str">
        <f>HYPERLINK("http://dx.doi.org/10.1016/S0306-2619(03)00053-9","http://dx.doi.org/10.1016/S0306-2619(03)00053-9")</f>
        <v>http://dx.doi.org/10.1016/S0306-2619(03)00053-9</v>
      </c>
      <c r="BN575" t="s">
        <v>69</v>
      </c>
      <c r="BO575" t="s">
        <v>69</v>
      </c>
      <c r="BP575">
        <v>12</v>
      </c>
      <c r="BQ575" t="s">
        <v>19141</v>
      </c>
      <c r="BR575" t="s">
        <v>29550</v>
      </c>
      <c r="BS575" t="s">
        <v>19142</v>
      </c>
      <c r="BT575" t="s">
        <v>31195</v>
      </c>
      <c r="BU575" t="s">
        <v>31196</v>
      </c>
      <c r="BV575" t="s">
        <v>69</v>
      </c>
      <c r="BW575" t="s">
        <v>69</v>
      </c>
      <c r="BX575" t="s">
        <v>69</v>
      </c>
      <c r="BY575" t="s">
        <v>69</v>
      </c>
      <c r="BZ575" t="s">
        <v>8526</v>
      </c>
      <c r="CA575" t="str">
        <f>HYPERLINK("https%3A%2F%2Fwww.webofscience.com%2Fwos%2Fwoscc%2Ffull-record%2FWOS:000184860200012","View Full Record in Web of Science")</f>
        <v>View Full Record in Web of Science</v>
      </c>
    </row>
    <row r="576" spans="1:79" ht="12.5" x14ac:dyDescent="0.25">
      <c r="B576" t="s">
        <v>8495</v>
      </c>
      <c r="D576" s="7" t="s">
        <v>32933</v>
      </c>
      <c r="E576" s="7"/>
      <c r="F576" s="7"/>
      <c r="G576" s="7"/>
      <c r="H576" t="s">
        <v>67</v>
      </c>
      <c r="I576" t="s">
        <v>5906</v>
      </c>
      <c r="J576" t="s">
        <v>69</v>
      </c>
      <c r="K576" t="s">
        <v>69</v>
      </c>
      <c r="L576" t="s">
        <v>69</v>
      </c>
      <c r="M576" t="s">
        <v>5907</v>
      </c>
      <c r="N576" t="s">
        <v>69</v>
      </c>
      <c r="O576" t="s">
        <v>69</v>
      </c>
      <c r="P576" t="s">
        <v>5908</v>
      </c>
      <c r="Q576" t="s">
        <v>1405</v>
      </c>
      <c r="R576" t="s">
        <v>69</v>
      </c>
      <c r="S576" t="s">
        <v>69</v>
      </c>
      <c r="T576" t="s">
        <v>8505</v>
      </c>
      <c r="U576" t="s">
        <v>8506</v>
      </c>
      <c r="V576" t="s">
        <v>69</v>
      </c>
      <c r="W576" t="s">
        <v>69</v>
      </c>
      <c r="X576" t="s">
        <v>69</v>
      </c>
      <c r="Y576" t="s">
        <v>69</v>
      </c>
      <c r="Z576" t="s">
        <v>69</v>
      </c>
      <c r="AA576" t="s">
        <v>28448</v>
      </c>
      <c r="AB576" t="s">
        <v>69</v>
      </c>
      <c r="AC576" t="s">
        <v>5909</v>
      </c>
      <c r="AD576" t="s">
        <v>28449</v>
      </c>
      <c r="AE576" t="s">
        <v>69</v>
      </c>
      <c r="AF576" t="s">
        <v>28450</v>
      </c>
      <c r="AG576" t="s">
        <v>28451</v>
      </c>
      <c r="AH576" t="s">
        <v>5910</v>
      </c>
      <c r="AI576" t="s">
        <v>5911</v>
      </c>
      <c r="AJ576" t="s">
        <v>28452</v>
      </c>
      <c r="AK576" t="s">
        <v>28453</v>
      </c>
      <c r="AL576" t="s">
        <v>28454</v>
      </c>
      <c r="AM576" t="s">
        <v>69</v>
      </c>
      <c r="AN576">
        <v>46</v>
      </c>
      <c r="AO576">
        <v>37</v>
      </c>
      <c r="AP576">
        <v>37</v>
      </c>
      <c r="AQ576">
        <v>0</v>
      </c>
      <c r="AR576">
        <v>18</v>
      </c>
      <c r="AS576" t="s">
        <v>8636</v>
      </c>
      <c r="AT576" t="s">
        <v>8637</v>
      </c>
      <c r="AU576" t="s">
        <v>8638</v>
      </c>
      <c r="AV576" t="s">
        <v>1407</v>
      </c>
      <c r="AW576" t="s">
        <v>1408</v>
      </c>
      <c r="AX576" t="s">
        <v>69</v>
      </c>
      <c r="AY576" t="s">
        <v>14240</v>
      </c>
      <c r="AZ576" t="s">
        <v>8486</v>
      </c>
      <c r="BA576" t="s">
        <v>155</v>
      </c>
      <c r="BB576">
        <v>2009</v>
      </c>
      <c r="BC576">
        <v>37</v>
      </c>
      <c r="BD576">
        <v>6</v>
      </c>
      <c r="BE576" t="s">
        <v>69</v>
      </c>
      <c r="BF576" t="s">
        <v>69</v>
      </c>
      <c r="BG576" t="s">
        <v>69</v>
      </c>
      <c r="BH576" t="s">
        <v>69</v>
      </c>
      <c r="BI576">
        <v>2356</v>
      </c>
      <c r="BJ576">
        <v>2367</v>
      </c>
      <c r="BK576" t="s">
        <v>69</v>
      </c>
      <c r="BL576" t="s">
        <v>5912</v>
      </c>
      <c r="BM576" t="str">
        <f>HYPERLINK("http://dx.doi.org/10.1016/j.enpol.2009.02.014","http://dx.doi.org/10.1016/j.enpol.2009.02.014")</f>
        <v>http://dx.doi.org/10.1016/j.enpol.2009.02.014</v>
      </c>
      <c r="BN576" t="s">
        <v>69</v>
      </c>
      <c r="BO576" t="s">
        <v>69</v>
      </c>
      <c r="BP576">
        <v>12</v>
      </c>
      <c r="BQ576" t="s">
        <v>14242</v>
      </c>
      <c r="BR576" t="s">
        <v>8523</v>
      </c>
      <c r="BS576" t="s">
        <v>14243</v>
      </c>
      <c r="BT576" t="s">
        <v>28455</v>
      </c>
      <c r="BU576" t="s">
        <v>5913</v>
      </c>
      <c r="BV576" t="s">
        <v>69</v>
      </c>
      <c r="BW576" t="s">
        <v>69</v>
      </c>
      <c r="BX576" t="s">
        <v>69</v>
      </c>
      <c r="BY576" t="s">
        <v>69</v>
      </c>
      <c r="BZ576" t="s">
        <v>8526</v>
      </c>
      <c r="CA576" t="str">
        <f>HYPERLINK("https%3A%2F%2Fwww.webofscience.com%2Fwos%2Fwoscc%2Ffull-record%2FWOS:000266233300040","View Full Record in Web of Science")</f>
        <v>View Full Record in Web of Science</v>
      </c>
    </row>
    <row r="577" spans="2:79" ht="12.5" x14ac:dyDescent="0.25">
      <c r="B577" t="s">
        <v>8495</v>
      </c>
      <c r="D577" s="22" t="s">
        <v>32931</v>
      </c>
      <c r="E577" s="7"/>
      <c r="F577" s="7"/>
      <c r="G577" s="7"/>
      <c r="H577" t="s">
        <v>67</v>
      </c>
      <c r="I577" t="s">
        <v>10567</v>
      </c>
      <c r="J577" t="s">
        <v>69</v>
      </c>
      <c r="K577" t="s">
        <v>69</v>
      </c>
      <c r="L577" t="s">
        <v>69</v>
      </c>
      <c r="M577" t="s">
        <v>10568</v>
      </c>
      <c r="N577" t="s">
        <v>69</v>
      </c>
      <c r="O577" t="s">
        <v>69</v>
      </c>
      <c r="P577" t="s">
        <v>10569</v>
      </c>
      <c r="Q577" t="s">
        <v>7227</v>
      </c>
      <c r="R577" t="s">
        <v>69</v>
      </c>
      <c r="S577" t="s">
        <v>69</v>
      </c>
      <c r="T577" t="s">
        <v>8505</v>
      </c>
      <c r="U577" t="s">
        <v>8506</v>
      </c>
      <c r="V577" t="s">
        <v>69</v>
      </c>
      <c r="W577" t="s">
        <v>69</v>
      </c>
      <c r="X577" t="s">
        <v>69</v>
      </c>
      <c r="Y577" t="s">
        <v>69</v>
      </c>
      <c r="Z577" t="s">
        <v>69</v>
      </c>
      <c r="AA577" t="s">
        <v>10570</v>
      </c>
      <c r="AB577" t="s">
        <v>10571</v>
      </c>
      <c r="AC577" t="s">
        <v>10572</v>
      </c>
      <c r="AD577" t="s">
        <v>10573</v>
      </c>
      <c r="AE577" t="s">
        <v>69</v>
      </c>
      <c r="AF577" t="s">
        <v>10574</v>
      </c>
      <c r="AG577" t="s">
        <v>10575</v>
      </c>
      <c r="AH577" t="s">
        <v>10576</v>
      </c>
      <c r="AI577" t="s">
        <v>10577</v>
      </c>
      <c r="AJ577" t="s">
        <v>69</v>
      </c>
      <c r="AK577" t="s">
        <v>69</v>
      </c>
      <c r="AL577" t="s">
        <v>69</v>
      </c>
      <c r="AM577" t="s">
        <v>69</v>
      </c>
      <c r="AN577">
        <v>84</v>
      </c>
      <c r="AO577">
        <v>1</v>
      </c>
      <c r="AP577">
        <v>1</v>
      </c>
      <c r="AQ577">
        <v>2</v>
      </c>
      <c r="AR577">
        <v>2</v>
      </c>
      <c r="AS577" t="s">
        <v>8924</v>
      </c>
      <c r="AT577" t="s">
        <v>8925</v>
      </c>
      <c r="AU577" t="s">
        <v>8926</v>
      </c>
      <c r="AV577" t="s">
        <v>69</v>
      </c>
      <c r="AW577" t="s">
        <v>7231</v>
      </c>
      <c r="AX577" t="s">
        <v>69</v>
      </c>
      <c r="AY577" t="s">
        <v>7227</v>
      </c>
      <c r="AZ577" t="s">
        <v>9162</v>
      </c>
      <c r="BA577" t="s">
        <v>75</v>
      </c>
      <c r="BB577">
        <v>2021</v>
      </c>
      <c r="BC577">
        <v>14</v>
      </c>
      <c r="BD577">
        <v>24</v>
      </c>
      <c r="BE577" t="s">
        <v>69</v>
      </c>
      <c r="BF577" t="s">
        <v>69</v>
      </c>
      <c r="BG577" t="s">
        <v>69</v>
      </c>
      <c r="BH577" t="s">
        <v>69</v>
      </c>
      <c r="BI577" t="s">
        <v>69</v>
      </c>
      <c r="BJ577" t="s">
        <v>69</v>
      </c>
      <c r="BK577">
        <v>8426</v>
      </c>
      <c r="BL577" t="s">
        <v>10578</v>
      </c>
      <c r="BM577" t="str">
        <f>HYPERLINK("http://dx.doi.org/10.3390/en14248426","http://dx.doi.org/10.3390/en14248426")</f>
        <v>http://dx.doi.org/10.3390/en14248426</v>
      </c>
      <c r="BN577" t="s">
        <v>69</v>
      </c>
      <c r="BO577" t="s">
        <v>69</v>
      </c>
      <c r="BP577">
        <v>28</v>
      </c>
      <c r="BQ577" t="s">
        <v>9164</v>
      </c>
      <c r="BR577" t="s">
        <v>8548</v>
      </c>
      <c r="BS577" t="s">
        <v>9164</v>
      </c>
      <c r="BT577" t="s">
        <v>10579</v>
      </c>
      <c r="BU577" t="s">
        <v>10580</v>
      </c>
      <c r="BV577" t="s">
        <v>69</v>
      </c>
      <c r="BW577" t="s">
        <v>8812</v>
      </c>
      <c r="BX577" t="s">
        <v>69</v>
      </c>
      <c r="BY577" t="s">
        <v>69</v>
      </c>
      <c r="BZ577" t="s">
        <v>8526</v>
      </c>
      <c r="CA577" t="str">
        <f>HYPERLINK("https%3A%2F%2Fwww.webofscience.com%2Fwos%2Fwoscc%2Ffull-record%2FWOS:000737566000001","View Full Record in Web of Science")</f>
        <v>View Full Record in Web of Science</v>
      </c>
    </row>
    <row r="578" spans="2:79" ht="12.5" x14ac:dyDescent="0.25">
      <c r="B578" t="s">
        <v>8495</v>
      </c>
      <c r="D578" s="7" t="s">
        <v>32933</v>
      </c>
      <c r="E578" s="7"/>
      <c r="F578" s="7"/>
      <c r="G578" s="7"/>
      <c r="H578" t="s">
        <v>67</v>
      </c>
      <c r="I578" t="s">
        <v>1378</v>
      </c>
      <c r="J578" t="s">
        <v>69</v>
      </c>
      <c r="K578" t="s">
        <v>69</v>
      </c>
      <c r="L578" t="s">
        <v>69</v>
      </c>
      <c r="M578" t="s">
        <v>1379</v>
      </c>
      <c r="N578" t="s">
        <v>69</v>
      </c>
      <c r="O578" t="s">
        <v>69</v>
      </c>
      <c r="P578" t="s">
        <v>1380</v>
      </c>
      <c r="Q578" t="s">
        <v>436</v>
      </c>
      <c r="R578" t="s">
        <v>69</v>
      </c>
      <c r="S578" t="s">
        <v>69</v>
      </c>
      <c r="T578" t="s">
        <v>8505</v>
      </c>
      <c r="U578" t="s">
        <v>8506</v>
      </c>
      <c r="V578" t="s">
        <v>69</v>
      </c>
      <c r="W578" t="s">
        <v>69</v>
      </c>
      <c r="X578" t="s">
        <v>69</v>
      </c>
      <c r="Y578" t="s">
        <v>69</v>
      </c>
      <c r="Z578" t="s">
        <v>69</v>
      </c>
      <c r="AA578" t="s">
        <v>23952</v>
      </c>
      <c r="AB578" t="s">
        <v>23953</v>
      </c>
      <c r="AC578" t="s">
        <v>1381</v>
      </c>
      <c r="AD578" t="s">
        <v>23954</v>
      </c>
      <c r="AE578" t="s">
        <v>69</v>
      </c>
      <c r="AF578" t="s">
        <v>23955</v>
      </c>
      <c r="AG578" t="s">
        <v>23956</v>
      </c>
      <c r="AH578" t="s">
        <v>1382</v>
      </c>
      <c r="AI578" t="s">
        <v>1383</v>
      </c>
      <c r="AJ578" t="s">
        <v>69</v>
      </c>
      <c r="AK578" t="s">
        <v>69</v>
      </c>
      <c r="AL578" t="s">
        <v>69</v>
      </c>
      <c r="AM578" t="s">
        <v>69</v>
      </c>
      <c r="AN578">
        <v>65</v>
      </c>
      <c r="AO578">
        <v>42</v>
      </c>
      <c r="AP578">
        <v>42</v>
      </c>
      <c r="AQ578">
        <v>7</v>
      </c>
      <c r="AR578">
        <v>30</v>
      </c>
      <c r="AS578" t="s">
        <v>8636</v>
      </c>
      <c r="AT578" t="s">
        <v>8637</v>
      </c>
      <c r="AU578" t="s">
        <v>8638</v>
      </c>
      <c r="AV578" t="s">
        <v>440</v>
      </c>
      <c r="AW578" t="s">
        <v>441</v>
      </c>
      <c r="AX578" t="s">
        <v>69</v>
      </c>
      <c r="AY578" t="s">
        <v>8639</v>
      </c>
      <c r="AZ578" t="s">
        <v>8640</v>
      </c>
      <c r="BA578" t="s">
        <v>1384</v>
      </c>
      <c r="BB578">
        <v>2014</v>
      </c>
      <c r="BC578">
        <v>65</v>
      </c>
      <c r="BD578" t="s">
        <v>69</v>
      </c>
      <c r="BE578" t="s">
        <v>69</v>
      </c>
      <c r="BF578" t="s">
        <v>69</v>
      </c>
      <c r="BG578" t="s">
        <v>69</v>
      </c>
      <c r="BH578" t="s">
        <v>69</v>
      </c>
      <c r="BI578">
        <v>380</v>
      </c>
      <c r="BJ578">
        <v>388</v>
      </c>
      <c r="BK578" t="s">
        <v>69</v>
      </c>
      <c r="BL578" t="s">
        <v>1385</v>
      </c>
      <c r="BM578" t="str">
        <f>HYPERLINK("http://dx.doi.org/10.1016/j.jclepro.2013.09.015","http://dx.doi.org/10.1016/j.jclepro.2013.09.015")</f>
        <v>http://dx.doi.org/10.1016/j.jclepro.2013.09.015</v>
      </c>
      <c r="BN578" t="s">
        <v>69</v>
      </c>
      <c r="BO578" t="s">
        <v>69</v>
      </c>
      <c r="BP578">
        <v>9</v>
      </c>
      <c r="BQ578" t="s">
        <v>8643</v>
      </c>
      <c r="BR578" t="s">
        <v>8548</v>
      </c>
      <c r="BS578" t="s">
        <v>8644</v>
      </c>
      <c r="BT578" t="s">
        <v>23957</v>
      </c>
      <c r="BU578" t="s">
        <v>1386</v>
      </c>
      <c r="BV578" t="s">
        <v>69</v>
      </c>
      <c r="BW578" t="s">
        <v>69</v>
      </c>
      <c r="BX578" t="s">
        <v>69</v>
      </c>
      <c r="BY578" t="s">
        <v>69</v>
      </c>
      <c r="BZ578" t="s">
        <v>8526</v>
      </c>
      <c r="CA578" t="str">
        <f>HYPERLINK("https%3A%2F%2Fwww.webofscience.com%2Fwos%2Fwoscc%2Ffull-record%2FWOS:000332433200039","View Full Record in Web of Science")</f>
        <v>View Full Record in Web of Science</v>
      </c>
    </row>
    <row r="579" spans="2:79" ht="12.5" x14ac:dyDescent="0.25">
      <c r="B579" t="s">
        <v>8495</v>
      </c>
      <c r="D579" s="7" t="s">
        <v>32933</v>
      </c>
      <c r="E579" s="7"/>
      <c r="F579" s="7"/>
      <c r="G579" s="7"/>
      <c r="H579" t="s">
        <v>67</v>
      </c>
      <c r="I579" t="s">
        <v>3281</v>
      </c>
      <c r="J579" t="s">
        <v>69</v>
      </c>
      <c r="K579" t="s">
        <v>69</v>
      </c>
      <c r="L579" t="s">
        <v>69</v>
      </c>
      <c r="M579" t="s">
        <v>3282</v>
      </c>
      <c r="N579" t="s">
        <v>69</v>
      </c>
      <c r="O579" t="s">
        <v>69</v>
      </c>
      <c r="P579" t="s">
        <v>3283</v>
      </c>
      <c r="Q579" t="s">
        <v>3284</v>
      </c>
      <c r="R579" t="s">
        <v>69</v>
      </c>
      <c r="S579" t="s">
        <v>69</v>
      </c>
      <c r="T579" t="s">
        <v>8505</v>
      </c>
      <c r="U579" t="s">
        <v>8506</v>
      </c>
      <c r="V579" t="s">
        <v>69</v>
      </c>
      <c r="W579" t="s">
        <v>69</v>
      </c>
      <c r="X579" t="s">
        <v>69</v>
      </c>
      <c r="Y579" t="s">
        <v>69</v>
      </c>
      <c r="Z579" t="s">
        <v>69</v>
      </c>
      <c r="AA579" t="s">
        <v>24709</v>
      </c>
      <c r="AB579" t="s">
        <v>24710</v>
      </c>
      <c r="AC579" t="s">
        <v>3285</v>
      </c>
      <c r="AD579" t="s">
        <v>24711</v>
      </c>
      <c r="AE579" t="s">
        <v>69</v>
      </c>
      <c r="AF579" t="s">
        <v>24712</v>
      </c>
      <c r="AG579" t="s">
        <v>69</v>
      </c>
      <c r="AH579" t="s">
        <v>69</v>
      </c>
      <c r="AI579" t="s">
        <v>69</v>
      </c>
      <c r="AJ579" t="s">
        <v>69</v>
      </c>
      <c r="AK579" t="s">
        <v>69</v>
      </c>
      <c r="AL579" t="s">
        <v>69</v>
      </c>
      <c r="AM579" t="s">
        <v>69</v>
      </c>
      <c r="AN579">
        <v>34</v>
      </c>
      <c r="AO579">
        <v>9</v>
      </c>
      <c r="AP579">
        <v>9</v>
      </c>
      <c r="AQ579">
        <v>0</v>
      </c>
      <c r="AR579">
        <v>17</v>
      </c>
      <c r="AS579" t="s">
        <v>9554</v>
      </c>
      <c r="AT579" t="s">
        <v>9555</v>
      </c>
      <c r="AU579" t="s">
        <v>9556</v>
      </c>
      <c r="AV579" t="s">
        <v>3286</v>
      </c>
      <c r="AW579" t="s">
        <v>3287</v>
      </c>
      <c r="AX579" t="s">
        <v>69</v>
      </c>
      <c r="AY579" t="s">
        <v>24713</v>
      </c>
      <c r="AZ579" t="s">
        <v>24714</v>
      </c>
      <c r="BA579" t="s">
        <v>255</v>
      </c>
      <c r="BB579">
        <v>2013</v>
      </c>
      <c r="BC579">
        <v>649</v>
      </c>
      <c r="BD579">
        <v>1</v>
      </c>
      <c r="BE579" t="s">
        <v>69</v>
      </c>
      <c r="BF579" t="s">
        <v>69</v>
      </c>
      <c r="BG579" t="s">
        <v>69</v>
      </c>
      <c r="BH579" t="s">
        <v>69</v>
      </c>
      <c r="BI579">
        <v>122</v>
      </c>
      <c r="BJ579">
        <v>138</v>
      </c>
      <c r="BK579" t="s">
        <v>69</v>
      </c>
      <c r="BL579" t="s">
        <v>3288</v>
      </c>
      <c r="BM579" t="str">
        <f>HYPERLINK("http://dx.doi.org/10.1177/0002716213486468","http://dx.doi.org/10.1177/0002716213486468")</f>
        <v>http://dx.doi.org/10.1177/0002716213486468</v>
      </c>
      <c r="BN579" t="s">
        <v>69</v>
      </c>
      <c r="BO579" t="s">
        <v>69</v>
      </c>
      <c r="BP579">
        <v>17</v>
      </c>
      <c r="BQ579" t="s">
        <v>24715</v>
      </c>
      <c r="BR579" t="s">
        <v>8661</v>
      </c>
      <c r="BS579" t="s">
        <v>24716</v>
      </c>
      <c r="BT579" t="s">
        <v>24717</v>
      </c>
      <c r="BU579" t="s">
        <v>3289</v>
      </c>
      <c r="BV579" t="s">
        <v>69</v>
      </c>
      <c r="BW579" t="s">
        <v>69</v>
      </c>
      <c r="BX579" t="s">
        <v>69</v>
      </c>
      <c r="BY579" t="s">
        <v>69</v>
      </c>
      <c r="BZ579" t="s">
        <v>8526</v>
      </c>
      <c r="CA579" t="str">
        <f>HYPERLINK("https%3A%2F%2Fwww.webofscience.com%2Fwos%2Fwoscc%2Ffull-record%2FWOS:000326238800007","View Full Record in Web of Science")</f>
        <v>View Full Record in Web of Science</v>
      </c>
    </row>
    <row r="580" spans="2:79" ht="12.5" x14ac:dyDescent="0.25">
      <c r="B580" t="s">
        <v>8495</v>
      </c>
      <c r="D580" s="22" t="s">
        <v>32931</v>
      </c>
      <c r="E580" s="7"/>
      <c r="F580" s="7"/>
      <c r="G580" s="7"/>
      <c r="H580" t="s">
        <v>67</v>
      </c>
      <c r="I580" t="s">
        <v>24443</v>
      </c>
      <c r="J580" t="s">
        <v>69</v>
      </c>
      <c r="K580" t="s">
        <v>69</v>
      </c>
      <c r="L580" t="s">
        <v>69</v>
      </c>
      <c r="M580" t="s">
        <v>24444</v>
      </c>
      <c r="N580" t="s">
        <v>69</v>
      </c>
      <c r="O580" t="s">
        <v>69</v>
      </c>
      <c r="P580" t="s">
        <v>24445</v>
      </c>
      <c r="Q580" t="s">
        <v>24446</v>
      </c>
      <c r="R580" t="s">
        <v>69</v>
      </c>
      <c r="S580" t="s">
        <v>69</v>
      </c>
      <c r="T580" t="s">
        <v>8505</v>
      </c>
      <c r="U580" t="s">
        <v>8506</v>
      </c>
      <c r="V580" t="s">
        <v>69</v>
      </c>
      <c r="W580" t="s">
        <v>69</v>
      </c>
      <c r="X580" t="s">
        <v>69</v>
      </c>
      <c r="Y580" t="s">
        <v>69</v>
      </c>
      <c r="Z580" t="s">
        <v>69</v>
      </c>
      <c r="AA580" t="s">
        <v>24447</v>
      </c>
      <c r="AB580" t="s">
        <v>24448</v>
      </c>
      <c r="AC580" t="s">
        <v>24449</v>
      </c>
      <c r="AD580" t="s">
        <v>24450</v>
      </c>
      <c r="AE580" t="s">
        <v>69</v>
      </c>
      <c r="AF580" t="s">
        <v>24451</v>
      </c>
      <c r="AG580" t="s">
        <v>24452</v>
      </c>
      <c r="AH580" t="s">
        <v>69</v>
      </c>
      <c r="AI580" t="s">
        <v>24453</v>
      </c>
      <c r="AJ580" t="s">
        <v>69</v>
      </c>
      <c r="AK580" t="s">
        <v>69</v>
      </c>
      <c r="AL580" t="s">
        <v>69</v>
      </c>
      <c r="AM580" t="s">
        <v>69</v>
      </c>
      <c r="AN580">
        <v>73</v>
      </c>
      <c r="AO580">
        <v>26</v>
      </c>
      <c r="AP580">
        <v>27</v>
      </c>
      <c r="AQ580">
        <v>2</v>
      </c>
      <c r="AR580">
        <v>68</v>
      </c>
      <c r="AS580" t="s">
        <v>8865</v>
      </c>
      <c r="AT580" t="s">
        <v>8612</v>
      </c>
      <c r="AU580" t="s">
        <v>8866</v>
      </c>
      <c r="AV580" t="s">
        <v>24454</v>
      </c>
      <c r="AW580" t="s">
        <v>24455</v>
      </c>
      <c r="AX580" t="s">
        <v>69</v>
      </c>
      <c r="AY580" t="s">
        <v>24456</v>
      </c>
      <c r="AZ580" t="s">
        <v>24457</v>
      </c>
      <c r="BA580" t="s">
        <v>5185</v>
      </c>
      <c r="BB580">
        <v>2013</v>
      </c>
      <c r="BC580">
        <v>44</v>
      </c>
      <c r="BD580">
        <v>4</v>
      </c>
      <c r="BE580" t="s">
        <v>69</v>
      </c>
      <c r="BF580" t="s">
        <v>69</v>
      </c>
      <c r="BG580" t="s">
        <v>69</v>
      </c>
      <c r="BH580" t="s">
        <v>69</v>
      </c>
      <c r="BI580">
        <v>435</v>
      </c>
      <c r="BJ580">
        <v>459</v>
      </c>
      <c r="BK580" t="s">
        <v>69</v>
      </c>
      <c r="BL580" t="s">
        <v>24458</v>
      </c>
      <c r="BM580" t="str">
        <f>HYPERLINK("http://dx.doi.org/10.1080/00049182.2013.852502","http://dx.doi.org/10.1080/00049182.2013.852502")</f>
        <v>http://dx.doi.org/10.1080/00049182.2013.852502</v>
      </c>
      <c r="BN580" t="s">
        <v>69</v>
      </c>
      <c r="BO580" t="s">
        <v>69</v>
      </c>
      <c r="BP580">
        <v>25</v>
      </c>
      <c r="BQ580" t="s">
        <v>8446</v>
      </c>
      <c r="BR580" t="s">
        <v>8661</v>
      </c>
      <c r="BS580" t="s">
        <v>8446</v>
      </c>
      <c r="BT580" t="s">
        <v>24459</v>
      </c>
      <c r="BU580" t="s">
        <v>24460</v>
      </c>
      <c r="BV580" t="s">
        <v>69</v>
      </c>
      <c r="BW580" t="s">
        <v>69</v>
      </c>
      <c r="BX580" t="s">
        <v>69</v>
      </c>
      <c r="BY580" t="s">
        <v>69</v>
      </c>
      <c r="BZ580" t="s">
        <v>8526</v>
      </c>
      <c r="CA580" t="str">
        <f>HYPERLINK("https%3A%2F%2Fwww.webofscience.com%2Fwos%2Fwoscc%2Ffull-record%2FWOS:000327929400006","View Full Record in Web of Science")</f>
        <v>View Full Record in Web of Science</v>
      </c>
    </row>
    <row r="581" spans="2:79" x14ac:dyDescent="0.3">
      <c r="B581" t="s">
        <v>8495</v>
      </c>
      <c r="D581" s="9" t="s">
        <v>32954</v>
      </c>
      <c r="E581" s="9" t="s">
        <v>33098</v>
      </c>
      <c r="F581" s="12" t="s">
        <v>33099</v>
      </c>
      <c r="G581" s="9" t="s">
        <v>8490</v>
      </c>
      <c r="H581" t="s">
        <v>67</v>
      </c>
      <c r="I581" t="s">
        <v>18695</v>
      </c>
      <c r="J581" t="s">
        <v>69</v>
      </c>
      <c r="K581" t="s">
        <v>69</v>
      </c>
      <c r="L581" t="s">
        <v>69</v>
      </c>
      <c r="M581" t="s">
        <v>18696</v>
      </c>
      <c r="N581" t="s">
        <v>69</v>
      </c>
      <c r="O581" t="s">
        <v>69</v>
      </c>
      <c r="P581" t="s">
        <v>18697</v>
      </c>
      <c r="Q581" t="s">
        <v>14890</v>
      </c>
      <c r="R581" t="s">
        <v>69</v>
      </c>
      <c r="S581" t="s">
        <v>69</v>
      </c>
      <c r="T581" t="s">
        <v>8505</v>
      </c>
      <c r="U581" t="s">
        <v>8506</v>
      </c>
      <c r="V581" t="s">
        <v>69</v>
      </c>
      <c r="W581" t="s">
        <v>69</v>
      </c>
      <c r="X581" t="s">
        <v>69</v>
      </c>
      <c r="Y581" t="s">
        <v>69</v>
      </c>
      <c r="Z581" t="s">
        <v>69</v>
      </c>
      <c r="AA581" t="s">
        <v>18698</v>
      </c>
      <c r="AB581" t="s">
        <v>18699</v>
      </c>
      <c r="AC581" t="s">
        <v>18700</v>
      </c>
      <c r="AD581" t="s">
        <v>18701</v>
      </c>
      <c r="AE581" t="s">
        <v>69</v>
      </c>
      <c r="AF581" t="s">
        <v>18702</v>
      </c>
      <c r="AG581" t="s">
        <v>18703</v>
      </c>
      <c r="AH581" t="s">
        <v>18704</v>
      </c>
      <c r="AI581" t="s">
        <v>18705</v>
      </c>
      <c r="AJ581" t="s">
        <v>69</v>
      </c>
      <c r="AK581" t="s">
        <v>69</v>
      </c>
      <c r="AL581" t="s">
        <v>69</v>
      </c>
      <c r="AM581" t="s">
        <v>69</v>
      </c>
      <c r="AN581">
        <v>59</v>
      </c>
      <c r="AO581">
        <v>4</v>
      </c>
      <c r="AP581">
        <v>4</v>
      </c>
      <c r="AQ581">
        <v>1</v>
      </c>
      <c r="AR581">
        <v>10</v>
      </c>
      <c r="AS581" t="s">
        <v>9047</v>
      </c>
      <c r="AT581" t="s">
        <v>9048</v>
      </c>
      <c r="AU581" t="s">
        <v>9049</v>
      </c>
      <c r="AV581" t="s">
        <v>14898</v>
      </c>
      <c r="AW581" t="s">
        <v>14899</v>
      </c>
      <c r="AX581" t="s">
        <v>69</v>
      </c>
      <c r="AY581" t="s">
        <v>14890</v>
      </c>
      <c r="AZ581" t="s">
        <v>14900</v>
      </c>
      <c r="BA581" t="s">
        <v>155</v>
      </c>
      <c r="BB581">
        <v>2018</v>
      </c>
      <c r="BC581">
        <v>56</v>
      </c>
      <c r="BD581">
        <v>2</v>
      </c>
      <c r="BE581" t="s">
        <v>69</v>
      </c>
      <c r="BF581" t="s">
        <v>69</v>
      </c>
      <c r="BG581" t="s">
        <v>69</v>
      </c>
      <c r="BH581" t="s">
        <v>69</v>
      </c>
      <c r="BI581">
        <v>183</v>
      </c>
      <c r="BJ581">
        <v>207</v>
      </c>
      <c r="BK581" t="s">
        <v>69</v>
      </c>
      <c r="BL581" t="s">
        <v>18706</v>
      </c>
      <c r="BM581" t="str">
        <f>HYPERLINK("http://dx.doi.org/10.1007/s11024-017-9331-3","http://dx.doi.org/10.1007/s11024-017-9331-3")</f>
        <v>http://dx.doi.org/10.1007/s11024-017-9331-3</v>
      </c>
      <c r="BN581" t="s">
        <v>69</v>
      </c>
      <c r="BO581" t="s">
        <v>69</v>
      </c>
      <c r="BP581">
        <v>25</v>
      </c>
      <c r="BQ581" t="s">
        <v>14902</v>
      </c>
      <c r="BR581" t="s">
        <v>8661</v>
      </c>
      <c r="BS581" t="s">
        <v>14903</v>
      </c>
      <c r="BT581" t="s">
        <v>18707</v>
      </c>
      <c r="BU581" t="s">
        <v>18708</v>
      </c>
      <c r="BV581">
        <v>29780180</v>
      </c>
      <c r="BW581" t="s">
        <v>10363</v>
      </c>
      <c r="BX581" t="s">
        <v>69</v>
      </c>
      <c r="BY581" t="s">
        <v>69</v>
      </c>
      <c r="BZ581" t="s">
        <v>8526</v>
      </c>
      <c r="CA581" t="str">
        <f>HYPERLINK("https%3A%2F%2Fwww.webofscience.com%2Fwos%2Fwoscc%2Ffull-record%2FWOS:000431960500003","View Full Record in Web of Science")</f>
        <v>View Full Record in Web of Science</v>
      </c>
    </row>
    <row r="582" spans="2:79" ht="12.5" x14ac:dyDescent="0.25">
      <c r="B582" t="s">
        <v>8495</v>
      </c>
      <c r="D582" s="7" t="s">
        <v>32933</v>
      </c>
      <c r="E582" s="7"/>
      <c r="F582" s="7"/>
      <c r="G582" s="7"/>
      <c r="H582" t="s">
        <v>67</v>
      </c>
      <c r="I582" t="s">
        <v>5298</v>
      </c>
      <c r="J582" t="s">
        <v>69</v>
      </c>
      <c r="K582" t="s">
        <v>69</v>
      </c>
      <c r="L582" t="s">
        <v>69</v>
      </c>
      <c r="M582" t="s">
        <v>5299</v>
      </c>
      <c r="N582" t="s">
        <v>69</v>
      </c>
      <c r="O582" t="s">
        <v>69</v>
      </c>
      <c r="P582" t="s">
        <v>5300</v>
      </c>
      <c r="Q582" t="s">
        <v>5301</v>
      </c>
      <c r="R582" t="s">
        <v>69</v>
      </c>
      <c r="S582" t="s">
        <v>69</v>
      </c>
      <c r="T582" t="s">
        <v>8505</v>
      </c>
      <c r="U582" t="s">
        <v>8506</v>
      </c>
      <c r="V582" t="s">
        <v>69</v>
      </c>
      <c r="W582" t="s">
        <v>69</v>
      </c>
      <c r="X582" t="s">
        <v>69</v>
      </c>
      <c r="Y582" t="s">
        <v>69</v>
      </c>
      <c r="Z582" t="s">
        <v>69</v>
      </c>
      <c r="AA582" t="s">
        <v>27910</v>
      </c>
      <c r="AB582" t="s">
        <v>27911</v>
      </c>
      <c r="AC582" t="s">
        <v>5302</v>
      </c>
      <c r="AD582" t="s">
        <v>27912</v>
      </c>
      <c r="AE582" t="s">
        <v>69</v>
      </c>
      <c r="AF582" t="s">
        <v>27913</v>
      </c>
      <c r="AG582" t="s">
        <v>27914</v>
      </c>
      <c r="AH582" t="s">
        <v>69</v>
      </c>
      <c r="AI582" t="s">
        <v>69</v>
      </c>
      <c r="AJ582" t="s">
        <v>69</v>
      </c>
      <c r="AK582" t="s">
        <v>69</v>
      </c>
      <c r="AL582" t="s">
        <v>69</v>
      </c>
      <c r="AM582" t="s">
        <v>69</v>
      </c>
      <c r="AN582">
        <v>11</v>
      </c>
      <c r="AO582">
        <v>0</v>
      </c>
      <c r="AP582">
        <v>0</v>
      </c>
      <c r="AQ582">
        <v>0</v>
      </c>
      <c r="AR582">
        <v>5</v>
      </c>
      <c r="AS582" t="s">
        <v>27915</v>
      </c>
      <c r="AT582" t="s">
        <v>27916</v>
      </c>
      <c r="AU582" t="s">
        <v>27917</v>
      </c>
      <c r="AV582" t="s">
        <v>5303</v>
      </c>
      <c r="AW582" t="s">
        <v>69</v>
      </c>
      <c r="AX582" t="s">
        <v>69</v>
      </c>
      <c r="AY582" t="s">
        <v>27918</v>
      </c>
      <c r="AZ582" t="s">
        <v>27919</v>
      </c>
      <c r="BA582" t="s">
        <v>191</v>
      </c>
      <c r="BB582">
        <v>2010</v>
      </c>
      <c r="BC582">
        <v>34</v>
      </c>
      <c r="BD582">
        <v>1</v>
      </c>
      <c r="BE582" t="s">
        <v>69</v>
      </c>
      <c r="BF582" t="s">
        <v>69</v>
      </c>
      <c r="BG582" t="s">
        <v>69</v>
      </c>
      <c r="BH582" t="s">
        <v>69</v>
      </c>
      <c r="BI582">
        <v>38</v>
      </c>
      <c r="BJ582">
        <v>45</v>
      </c>
      <c r="BK582" t="s">
        <v>69</v>
      </c>
      <c r="BL582" t="s">
        <v>5304</v>
      </c>
      <c r="BM582" t="str">
        <f>HYPERLINK("http://dx.doi.org/10.1093/sjaf/34.1.38","http://dx.doi.org/10.1093/sjaf/34.1.38")</f>
        <v>http://dx.doi.org/10.1093/sjaf/34.1.38</v>
      </c>
      <c r="BN582" t="s">
        <v>69</v>
      </c>
      <c r="BO582" t="s">
        <v>69</v>
      </c>
      <c r="BP582">
        <v>8</v>
      </c>
      <c r="BQ582" t="s">
        <v>8453</v>
      </c>
      <c r="BR582" t="s">
        <v>8548</v>
      </c>
      <c r="BS582" t="s">
        <v>8453</v>
      </c>
      <c r="BT582" t="s">
        <v>27920</v>
      </c>
      <c r="BU582" t="s">
        <v>5305</v>
      </c>
      <c r="BV582" t="s">
        <v>69</v>
      </c>
      <c r="BW582" t="s">
        <v>9374</v>
      </c>
      <c r="BX582" t="s">
        <v>69</v>
      </c>
      <c r="BY582" t="s">
        <v>69</v>
      </c>
      <c r="BZ582" t="s">
        <v>8526</v>
      </c>
      <c r="CA582" t="str">
        <f>HYPERLINK("https%3A%2F%2Fwww.webofscience.com%2Fwos%2Fwoscc%2Ffull-record%2FWOS:000275448700006","View Full Record in Web of Science")</f>
        <v>View Full Record in Web of Science</v>
      </c>
    </row>
    <row r="583" spans="2:79" ht="12.5" x14ac:dyDescent="0.25">
      <c r="B583" t="s">
        <v>8495</v>
      </c>
      <c r="D583" s="22" t="s">
        <v>32931</v>
      </c>
      <c r="E583" s="7"/>
      <c r="F583" s="7"/>
      <c r="G583" s="7"/>
      <c r="H583" t="s">
        <v>67</v>
      </c>
      <c r="I583" t="s">
        <v>18478</v>
      </c>
      <c r="J583" t="s">
        <v>69</v>
      </c>
      <c r="K583" t="s">
        <v>69</v>
      </c>
      <c r="L583" t="s">
        <v>69</v>
      </c>
      <c r="M583" t="s">
        <v>18479</v>
      </c>
      <c r="N583" t="s">
        <v>69</v>
      </c>
      <c r="O583" t="s">
        <v>69</v>
      </c>
      <c r="P583" t="s">
        <v>18480</v>
      </c>
      <c r="Q583" t="s">
        <v>18481</v>
      </c>
      <c r="R583" t="s">
        <v>69</v>
      </c>
      <c r="S583" t="s">
        <v>69</v>
      </c>
      <c r="T583" t="s">
        <v>8505</v>
      </c>
      <c r="U583" t="s">
        <v>8506</v>
      </c>
      <c r="V583" t="s">
        <v>69</v>
      </c>
      <c r="W583" t="s">
        <v>69</v>
      </c>
      <c r="X583" t="s">
        <v>69</v>
      </c>
      <c r="Y583" t="s">
        <v>69</v>
      </c>
      <c r="Z583" t="s">
        <v>69</v>
      </c>
      <c r="AA583" t="s">
        <v>18482</v>
      </c>
      <c r="AB583" t="s">
        <v>69</v>
      </c>
      <c r="AC583" t="s">
        <v>18483</v>
      </c>
      <c r="AD583" t="s">
        <v>18484</v>
      </c>
      <c r="AE583" t="s">
        <v>69</v>
      </c>
      <c r="AF583" t="s">
        <v>18485</v>
      </c>
      <c r="AG583" t="s">
        <v>69</v>
      </c>
      <c r="AH583" t="s">
        <v>69</v>
      </c>
      <c r="AI583" t="s">
        <v>18486</v>
      </c>
      <c r="AJ583" t="s">
        <v>69</v>
      </c>
      <c r="AK583" t="s">
        <v>69</v>
      </c>
      <c r="AL583" t="s">
        <v>69</v>
      </c>
      <c r="AM583" t="s">
        <v>69</v>
      </c>
      <c r="AN583">
        <v>9</v>
      </c>
      <c r="AO583">
        <v>0</v>
      </c>
      <c r="AP583">
        <v>0</v>
      </c>
      <c r="AQ583">
        <v>0</v>
      </c>
      <c r="AR583">
        <v>2</v>
      </c>
      <c r="AS583" t="s">
        <v>18487</v>
      </c>
      <c r="AT583" t="s">
        <v>18488</v>
      </c>
      <c r="AU583" t="s">
        <v>18489</v>
      </c>
      <c r="AV583" t="s">
        <v>18490</v>
      </c>
      <c r="AW583" t="s">
        <v>18491</v>
      </c>
      <c r="AX583" t="s">
        <v>69</v>
      </c>
      <c r="AY583" t="s">
        <v>18492</v>
      </c>
      <c r="AZ583" t="s">
        <v>18493</v>
      </c>
      <c r="BA583" t="s">
        <v>201</v>
      </c>
      <c r="BB583">
        <v>2018</v>
      </c>
      <c r="BC583">
        <v>118</v>
      </c>
      <c r="BD583">
        <v>8</v>
      </c>
      <c r="BE583" t="s">
        <v>69</v>
      </c>
      <c r="BF583" t="s">
        <v>69</v>
      </c>
      <c r="BG583" t="s">
        <v>69</v>
      </c>
      <c r="BH583" t="s">
        <v>69</v>
      </c>
      <c r="BI583">
        <v>861</v>
      </c>
      <c r="BJ583">
        <v>864</v>
      </c>
      <c r="BK583" t="s">
        <v>69</v>
      </c>
      <c r="BL583" t="s">
        <v>18494</v>
      </c>
      <c r="BM583" t="str">
        <f>HYPERLINK("http://dx.doi.org/10.17159/2411-9717/2018/v118n8a8","http://dx.doi.org/10.17159/2411-9717/2018/v118n8a8")</f>
        <v>http://dx.doi.org/10.17159/2411-9717/2018/v118n8a8</v>
      </c>
      <c r="BN583" t="s">
        <v>69</v>
      </c>
      <c r="BO583" t="s">
        <v>69</v>
      </c>
      <c r="BP583">
        <v>4</v>
      </c>
      <c r="BQ583" t="s">
        <v>18495</v>
      </c>
      <c r="BR583" t="s">
        <v>8548</v>
      </c>
      <c r="BS583" t="s">
        <v>18495</v>
      </c>
      <c r="BT583" t="s">
        <v>18496</v>
      </c>
      <c r="BU583" t="s">
        <v>18497</v>
      </c>
      <c r="BV583" t="s">
        <v>69</v>
      </c>
      <c r="BW583" t="s">
        <v>11853</v>
      </c>
      <c r="BX583" t="s">
        <v>69</v>
      </c>
      <c r="BY583" t="s">
        <v>69</v>
      </c>
      <c r="BZ583" t="s">
        <v>8526</v>
      </c>
      <c r="CA583" t="str">
        <f>HYPERLINK("https%3A%2F%2Fwww.webofscience.com%2Fwos%2Fwoscc%2Ffull-record%2FWOS:000444818200008","View Full Record in Web of Science")</f>
        <v>View Full Record in Web of Science</v>
      </c>
    </row>
    <row r="584" spans="2:79" x14ac:dyDescent="0.3">
      <c r="B584" t="s">
        <v>8495</v>
      </c>
      <c r="D584" s="9" t="s">
        <v>32954</v>
      </c>
      <c r="E584" s="9" t="s">
        <v>33097</v>
      </c>
      <c r="F584" s="9" t="s">
        <v>8491</v>
      </c>
      <c r="G584" s="9" t="s">
        <v>8490</v>
      </c>
      <c r="H584" t="s">
        <v>67</v>
      </c>
      <c r="I584" t="s">
        <v>22843</v>
      </c>
      <c r="J584" t="s">
        <v>69</v>
      </c>
      <c r="K584" t="s">
        <v>69</v>
      </c>
      <c r="L584" t="s">
        <v>69</v>
      </c>
      <c r="M584" t="s">
        <v>22844</v>
      </c>
      <c r="N584" t="s">
        <v>69</v>
      </c>
      <c r="O584" t="s">
        <v>69</v>
      </c>
      <c r="P584" t="s">
        <v>22845</v>
      </c>
      <c r="Q584" t="s">
        <v>715</v>
      </c>
      <c r="R584" t="s">
        <v>69</v>
      </c>
      <c r="S584" t="s">
        <v>69</v>
      </c>
      <c r="T584" t="s">
        <v>8505</v>
      </c>
      <c r="U584" t="s">
        <v>8506</v>
      </c>
      <c r="V584" t="s">
        <v>69</v>
      </c>
      <c r="W584" t="s">
        <v>69</v>
      </c>
      <c r="X584" t="s">
        <v>69</v>
      </c>
      <c r="Y584" t="s">
        <v>69</v>
      </c>
      <c r="Z584" t="s">
        <v>69</v>
      </c>
      <c r="AA584" t="s">
        <v>22846</v>
      </c>
      <c r="AB584" t="s">
        <v>22847</v>
      </c>
      <c r="AC584" t="s">
        <v>22848</v>
      </c>
      <c r="AD584" t="s">
        <v>22849</v>
      </c>
      <c r="AE584" t="s">
        <v>69</v>
      </c>
      <c r="AF584" t="s">
        <v>22850</v>
      </c>
      <c r="AG584" t="s">
        <v>22851</v>
      </c>
      <c r="AH584" t="s">
        <v>69</v>
      </c>
      <c r="AI584" t="s">
        <v>69</v>
      </c>
      <c r="AJ584" t="s">
        <v>69</v>
      </c>
      <c r="AK584" t="s">
        <v>69</v>
      </c>
      <c r="AL584" t="s">
        <v>69</v>
      </c>
      <c r="AM584" t="s">
        <v>69</v>
      </c>
      <c r="AN584">
        <v>54</v>
      </c>
      <c r="AO584">
        <v>63</v>
      </c>
      <c r="AP584">
        <v>65</v>
      </c>
      <c r="AQ584">
        <v>5</v>
      </c>
      <c r="AR584">
        <v>61</v>
      </c>
      <c r="AS584" t="s">
        <v>8846</v>
      </c>
      <c r="AT584" t="s">
        <v>8847</v>
      </c>
      <c r="AU584" t="s">
        <v>8848</v>
      </c>
      <c r="AV584" t="s">
        <v>719</v>
      </c>
      <c r="AW584" t="s">
        <v>720</v>
      </c>
      <c r="AX584" t="s">
        <v>69</v>
      </c>
      <c r="AY584" t="s">
        <v>9110</v>
      </c>
      <c r="AZ584" t="s">
        <v>9111</v>
      </c>
      <c r="BA584" t="s">
        <v>94</v>
      </c>
      <c r="BB584">
        <v>2015</v>
      </c>
      <c r="BC584">
        <v>24</v>
      </c>
      <c r="BD584">
        <v>3</v>
      </c>
      <c r="BE584" t="s">
        <v>69</v>
      </c>
      <c r="BF584" t="s">
        <v>69</v>
      </c>
      <c r="BG584" t="s">
        <v>69</v>
      </c>
      <c r="BH584" t="s">
        <v>69</v>
      </c>
      <c r="BI584">
        <v>190</v>
      </c>
      <c r="BJ584">
        <v>216</v>
      </c>
      <c r="BK584" t="s">
        <v>69</v>
      </c>
      <c r="BL584" t="s">
        <v>22852</v>
      </c>
      <c r="BM584" t="str">
        <f>HYPERLINK("http://dx.doi.org/10.1002/bse.1814","http://dx.doi.org/10.1002/bse.1814")</f>
        <v>http://dx.doi.org/10.1002/bse.1814</v>
      </c>
      <c r="BN584" t="s">
        <v>69</v>
      </c>
      <c r="BO584" t="s">
        <v>69</v>
      </c>
      <c r="BP584">
        <v>27</v>
      </c>
      <c r="BQ584" t="s">
        <v>9113</v>
      </c>
      <c r="BR584" t="s">
        <v>8661</v>
      </c>
      <c r="BS584" t="s">
        <v>9114</v>
      </c>
      <c r="BT584" t="s">
        <v>22853</v>
      </c>
      <c r="BU584" t="s">
        <v>22854</v>
      </c>
      <c r="BV584" t="s">
        <v>69</v>
      </c>
      <c r="BW584" t="s">
        <v>69</v>
      </c>
      <c r="BX584" t="s">
        <v>69</v>
      </c>
      <c r="BY584" t="s">
        <v>69</v>
      </c>
      <c r="BZ584" t="s">
        <v>8526</v>
      </c>
      <c r="CA584" t="str">
        <f>HYPERLINK("https%3A%2F%2Fwww.webofscience.com%2Fwos%2Fwoscc%2Ffull-record%2FWOS:000351851800004","View Full Record in Web of Science")</f>
        <v>View Full Record in Web of Science</v>
      </c>
    </row>
    <row r="585" spans="2:79" ht="12.5" x14ac:dyDescent="0.25">
      <c r="B585" t="s">
        <v>8495</v>
      </c>
      <c r="D585" s="22" t="s">
        <v>32931</v>
      </c>
      <c r="E585" s="7"/>
      <c r="F585" s="7"/>
      <c r="G585" s="7"/>
      <c r="H585" t="s">
        <v>67</v>
      </c>
      <c r="I585" t="s">
        <v>29732</v>
      </c>
      <c r="J585" t="s">
        <v>69</v>
      </c>
      <c r="K585" t="s">
        <v>69</v>
      </c>
      <c r="L585" t="s">
        <v>69</v>
      </c>
      <c r="M585" t="s">
        <v>29733</v>
      </c>
      <c r="N585" t="s">
        <v>69</v>
      </c>
      <c r="O585" t="s">
        <v>69</v>
      </c>
      <c r="P585" t="s">
        <v>29734</v>
      </c>
      <c r="Q585" t="s">
        <v>29304</v>
      </c>
      <c r="R585" t="s">
        <v>69</v>
      </c>
      <c r="S585" t="s">
        <v>69</v>
      </c>
      <c r="T585" t="s">
        <v>8505</v>
      </c>
      <c r="U585" t="s">
        <v>8506</v>
      </c>
      <c r="V585" t="s">
        <v>69</v>
      </c>
      <c r="W585" t="s">
        <v>69</v>
      </c>
      <c r="X585" t="s">
        <v>69</v>
      </c>
      <c r="Y585" t="s">
        <v>69</v>
      </c>
      <c r="Z585" t="s">
        <v>69</v>
      </c>
      <c r="AA585" t="s">
        <v>29735</v>
      </c>
      <c r="AB585" t="s">
        <v>69</v>
      </c>
      <c r="AC585" t="s">
        <v>29736</v>
      </c>
      <c r="AD585" t="s">
        <v>29737</v>
      </c>
      <c r="AE585" t="s">
        <v>69</v>
      </c>
      <c r="AF585" t="s">
        <v>29738</v>
      </c>
      <c r="AG585" t="s">
        <v>29739</v>
      </c>
      <c r="AH585" t="s">
        <v>69</v>
      </c>
      <c r="AI585" t="s">
        <v>69</v>
      </c>
      <c r="AJ585" t="s">
        <v>69</v>
      </c>
      <c r="AK585" t="s">
        <v>69</v>
      </c>
      <c r="AL585" t="s">
        <v>69</v>
      </c>
      <c r="AM585" t="s">
        <v>69</v>
      </c>
      <c r="AN585">
        <v>8</v>
      </c>
      <c r="AO585">
        <v>1</v>
      </c>
      <c r="AP585">
        <v>1</v>
      </c>
      <c r="AQ585">
        <v>0</v>
      </c>
      <c r="AR585">
        <v>0</v>
      </c>
      <c r="AS585" t="s">
        <v>8636</v>
      </c>
      <c r="AT585" t="s">
        <v>8637</v>
      </c>
      <c r="AU585" t="s">
        <v>8638</v>
      </c>
      <c r="AV585" t="s">
        <v>29310</v>
      </c>
      <c r="AW585" t="s">
        <v>29311</v>
      </c>
      <c r="AX585" t="s">
        <v>69</v>
      </c>
      <c r="AY585" t="s">
        <v>29304</v>
      </c>
      <c r="AZ585" t="s">
        <v>29312</v>
      </c>
      <c r="BA585" t="s">
        <v>586</v>
      </c>
      <c r="BB585">
        <v>2007</v>
      </c>
      <c r="BC585">
        <v>13</v>
      </c>
      <c r="BD585">
        <v>2</v>
      </c>
      <c r="BE585" t="s">
        <v>69</v>
      </c>
      <c r="BF585" t="s">
        <v>69</v>
      </c>
      <c r="BG585" t="s">
        <v>69</v>
      </c>
      <c r="BH585" t="s">
        <v>69</v>
      </c>
      <c r="BI585">
        <v>159</v>
      </c>
      <c r="BJ585">
        <v>163</v>
      </c>
      <c r="BK585" t="s">
        <v>69</v>
      </c>
      <c r="BL585" t="s">
        <v>29740</v>
      </c>
      <c r="BM585" t="str">
        <f>HYPERLINK("http://dx.doi.org/10.1016/j.radi.2006.01.005","http://dx.doi.org/10.1016/j.radi.2006.01.005")</f>
        <v>http://dx.doi.org/10.1016/j.radi.2006.01.005</v>
      </c>
      <c r="BN585" t="s">
        <v>69</v>
      </c>
      <c r="BO585" t="s">
        <v>69</v>
      </c>
      <c r="BP585">
        <v>5</v>
      </c>
      <c r="BQ585" t="s">
        <v>14443</v>
      </c>
      <c r="BR585" t="s">
        <v>8573</v>
      </c>
      <c r="BS585" t="s">
        <v>14443</v>
      </c>
      <c r="BT585" t="s">
        <v>29741</v>
      </c>
      <c r="BU585" t="s">
        <v>29742</v>
      </c>
      <c r="BV585" t="s">
        <v>69</v>
      </c>
      <c r="BW585" t="s">
        <v>10995</v>
      </c>
      <c r="BX585" t="s">
        <v>69</v>
      </c>
      <c r="BY585" t="s">
        <v>69</v>
      </c>
      <c r="BZ585" t="s">
        <v>8526</v>
      </c>
      <c r="CA585" t="str">
        <f>HYPERLINK("https%3A%2F%2Fwww.webofscience.com%2Fwos%2Fwoscc%2Ffull-record%2FWOS:000213724700011","View Full Record in Web of Science")</f>
        <v>View Full Record in Web of Science</v>
      </c>
    </row>
    <row r="586" spans="2:79" ht="12.5" x14ac:dyDescent="0.25">
      <c r="B586" t="s">
        <v>8495</v>
      </c>
      <c r="D586" s="7" t="s">
        <v>32933</v>
      </c>
      <c r="E586" s="7"/>
      <c r="F586" s="7"/>
      <c r="G586" s="7"/>
      <c r="H586" t="s">
        <v>67</v>
      </c>
      <c r="I586" t="s">
        <v>7951</v>
      </c>
      <c r="J586" t="s">
        <v>69</v>
      </c>
      <c r="K586" t="s">
        <v>69</v>
      </c>
      <c r="L586" t="s">
        <v>69</v>
      </c>
      <c r="M586" t="s">
        <v>7952</v>
      </c>
      <c r="N586" t="s">
        <v>69</v>
      </c>
      <c r="O586" t="s">
        <v>69</v>
      </c>
      <c r="P586" t="s">
        <v>7953</v>
      </c>
      <c r="Q586" t="s">
        <v>215</v>
      </c>
      <c r="R586" t="s">
        <v>69</v>
      </c>
      <c r="S586" t="s">
        <v>69</v>
      </c>
      <c r="T586" t="s">
        <v>8505</v>
      </c>
      <c r="U586" t="s">
        <v>8506</v>
      </c>
      <c r="V586" t="s">
        <v>69</v>
      </c>
      <c r="W586" t="s">
        <v>69</v>
      </c>
      <c r="X586" t="s">
        <v>69</v>
      </c>
      <c r="Y586" t="s">
        <v>69</v>
      </c>
      <c r="Z586" t="s">
        <v>69</v>
      </c>
      <c r="AA586" t="s">
        <v>28240</v>
      </c>
      <c r="AB586" t="s">
        <v>28241</v>
      </c>
      <c r="AC586" t="s">
        <v>7954</v>
      </c>
      <c r="AD586" t="s">
        <v>28242</v>
      </c>
      <c r="AE586" t="s">
        <v>69</v>
      </c>
      <c r="AF586" t="s">
        <v>28243</v>
      </c>
      <c r="AG586" t="s">
        <v>28244</v>
      </c>
      <c r="AH586" t="s">
        <v>7955</v>
      </c>
      <c r="AI586" t="s">
        <v>7956</v>
      </c>
      <c r="AJ586" t="s">
        <v>69</v>
      </c>
      <c r="AK586" t="s">
        <v>69</v>
      </c>
      <c r="AL586" t="s">
        <v>69</v>
      </c>
      <c r="AM586" t="s">
        <v>69</v>
      </c>
      <c r="AN586">
        <v>123</v>
      </c>
      <c r="AO586">
        <v>18</v>
      </c>
      <c r="AP586">
        <v>18</v>
      </c>
      <c r="AQ586">
        <v>2</v>
      </c>
      <c r="AR586">
        <v>22</v>
      </c>
      <c r="AS586" t="s">
        <v>9145</v>
      </c>
      <c r="AT586" t="s">
        <v>8637</v>
      </c>
      <c r="AU586" t="s">
        <v>9146</v>
      </c>
      <c r="AV586" t="s">
        <v>218</v>
      </c>
      <c r="AW586" t="s">
        <v>69</v>
      </c>
      <c r="AX586" t="s">
        <v>69</v>
      </c>
      <c r="AY586" t="s">
        <v>15240</v>
      </c>
      <c r="AZ586" t="s">
        <v>15241</v>
      </c>
      <c r="BA586" t="s">
        <v>69</v>
      </c>
      <c r="BB586">
        <v>2010</v>
      </c>
      <c r="BC586">
        <v>73</v>
      </c>
      <c r="BD586" t="s">
        <v>69</v>
      </c>
      <c r="BE586">
        <v>3</v>
      </c>
      <c r="BF586" t="s">
        <v>69</v>
      </c>
      <c r="BG586" t="s">
        <v>69</v>
      </c>
      <c r="BH586" t="s">
        <v>69</v>
      </c>
      <c r="BI586">
        <v>113</v>
      </c>
      <c r="BJ586">
        <v>207</v>
      </c>
      <c r="BK586" t="s">
        <v>69</v>
      </c>
      <c r="BL586" t="s">
        <v>7957</v>
      </c>
      <c r="BM586" t="str">
        <f>HYPERLINK("http://dx.doi.org/10.1016/j.progress.2009.11.001","http://dx.doi.org/10.1016/j.progress.2009.11.001")</f>
        <v>http://dx.doi.org/10.1016/j.progress.2009.11.001</v>
      </c>
      <c r="BN586" t="s">
        <v>69</v>
      </c>
      <c r="BO586" t="s">
        <v>69</v>
      </c>
      <c r="BP586">
        <v>95</v>
      </c>
      <c r="BQ586" t="s">
        <v>15242</v>
      </c>
      <c r="BR586" t="s">
        <v>8661</v>
      </c>
      <c r="BS586" t="s">
        <v>15243</v>
      </c>
      <c r="BT586" t="s">
        <v>28245</v>
      </c>
      <c r="BU586" t="s">
        <v>7958</v>
      </c>
      <c r="BV586" t="s">
        <v>69</v>
      </c>
      <c r="BW586" t="s">
        <v>69</v>
      </c>
      <c r="BX586" t="s">
        <v>69</v>
      </c>
      <c r="BY586" t="s">
        <v>69</v>
      </c>
      <c r="BZ586" t="s">
        <v>8526</v>
      </c>
      <c r="CA586" t="str">
        <f>HYPERLINK("https%3A%2F%2Fwww.webofscience.com%2Fwos%2Fwoscc%2Ffull-record%2FWOS:000278500500001","View Full Record in Web of Science")</f>
        <v>View Full Record in Web of Science</v>
      </c>
    </row>
    <row r="587" spans="2:79" ht="12.5" x14ac:dyDescent="0.25">
      <c r="B587" t="s">
        <v>8495</v>
      </c>
      <c r="D587" s="7" t="s">
        <v>32933</v>
      </c>
      <c r="E587" s="7"/>
      <c r="F587" s="7"/>
      <c r="G587" s="7"/>
      <c r="H587" t="s">
        <v>67</v>
      </c>
      <c r="I587" t="s">
        <v>2304</v>
      </c>
      <c r="J587" t="s">
        <v>69</v>
      </c>
      <c r="K587" t="s">
        <v>69</v>
      </c>
      <c r="L587" t="s">
        <v>69</v>
      </c>
      <c r="M587" t="s">
        <v>2305</v>
      </c>
      <c r="N587" t="s">
        <v>69</v>
      </c>
      <c r="O587" t="s">
        <v>69</v>
      </c>
      <c r="P587" t="s">
        <v>2306</v>
      </c>
      <c r="Q587" t="s">
        <v>2307</v>
      </c>
      <c r="R587" t="s">
        <v>69</v>
      </c>
      <c r="S587" t="s">
        <v>69</v>
      </c>
      <c r="T587" t="s">
        <v>8505</v>
      </c>
      <c r="U587" t="s">
        <v>8506</v>
      </c>
      <c r="V587" t="s">
        <v>69</v>
      </c>
      <c r="W587" t="s">
        <v>69</v>
      </c>
      <c r="X587" t="s">
        <v>69</v>
      </c>
      <c r="Y587" t="s">
        <v>69</v>
      </c>
      <c r="Z587" t="s">
        <v>69</v>
      </c>
      <c r="AA587" t="s">
        <v>17541</v>
      </c>
      <c r="AB587" t="s">
        <v>17542</v>
      </c>
      <c r="AC587" t="s">
        <v>2308</v>
      </c>
      <c r="AD587" t="s">
        <v>17543</v>
      </c>
      <c r="AE587" t="s">
        <v>69</v>
      </c>
      <c r="AF587" t="s">
        <v>17544</v>
      </c>
      <c r="AG587" t="s">
        <v>17545</v>
      </c>
      <c r="AH587" t="s">
        <v>69</v>
      </c>
      <c r="AI587" t="s">
        <v>69</v>
      </c>
      <c r="AJ587" t="s">
        <v>69</v>
      </c>
      <c r="AK587" t="s">
        <v>69</v>
      </c>
      <c r="AL587" t="s">
        <v>69</v>
      </c>
      <c r="AM587" t="s">
        <v>69</v>
      </c>
      <c r="AN587">
        <v>61</v>
      </c>
      <c r="AO587">
        <v>9</v>
      </c>
      <c r="AP587">
        <v>9</v>
      </c>
      <c r="AQ587">
        <v>2</v>
      </c>
      <c r="AR587">
        <v>20</v>
      </c>
      <c r="AS587" t="s">
        <v>8762</v>
      </c>
      <c r="AT587" t="s">
        <v>8763</v>
      </c>
      <c r="AU587" t="s">
        <v>8764</v>
      </c>
      <c r="AV587" t="s">
        <v>2309</v>
      </c>
      <c r="AW587" t="s">
        <v>2310</v>
      </c>
      <c r="AX587" t="s">
        <v>69</v>
      </c>
      <c r="AY587" t="s">
        <v>17546</v>
      </c>
      <c r="AZ587" t="s">
        <v>17547</v>
      </c>
      <c r="BA587" t="s">
        <v>191</v>
      </c>
      <c r="BB587">
        <v>2019</v>
      </c>
      <c r="BC587">
        <v>72</v>
      </c>
      <c r="BD587">
        <v>2</v>
      </c>
      <c r="BE587" t="s">
        <v>69</v>
      </c>
      <c r="BF587" t="s">
        <v>69</v>
      </c>
      <c r="BG587" t="s">
        <v>69</v>
      </c>
      <c r="BH587" t="s">
        <v>69</v>
      </c>
      <c r="BI587">
        <v>188</v>
      </c>
      <c r="BJ587">
        <v>216</v>
      </c>
      <c r="BK587" t="s">
        <v>69</v>
      </c>
      <c r="BL587" t="s">
        <v>2311</v>
      </c>
      <c r="BM587" t="str">
        <f>HYPERLINK("http://dx.doi.org/10.1177/0018726718767952","http://dx.doi.org/10.1177/0018726718767952")</f>
        <v>http://dx.doi.org/10.1177/0018726718767952</v>
      </c>
      <c r="BN587" t="s">
        <v>69</v>
      </c>
      <c r="BO587" t="s">
        <v>69</v>
      </c>
      <c r="BP587">
        <v>29</v>
      </c>
      <c r="BQ587" t="s">
        <v>17548</v>
      </c>
      <c r="BR587" t="s">
        <v>8661</v>
      </c>
      <c r="BS587" t="s">
        <v>15524</v>
      </c>
      <c r="BT587" t="s">
        <v>17549</v>
      </c>
      <c r="BU587" t="s">
        <v>2312</v>
      </c>
      <c r="BV587" t="s">
        <v>69</v>
      </c>
      <c r="BW587" t="s">
        <v>10995</v>
      </c>
      <c r="BX587" t="s">
        <v>69</v>
      </c>
      <c r="BY587" t="s">
        <v>69</v>
      </c>
      <c r="BZ587" t="s">
        <v>8526</v>
      </c>
      <c r="CA587" t="str">
        <f>HYPERLINK("https%3A%2F%2Fwww.webofscience.com%2Fwos%2Fwoscc%2Ffull-record%2FWOS:000456399400002","View Full Record in Web of Science")</f>
        <v>View Full Record in Web of Science</v>
      </c>
    </row>
    <row r="588" spans="2:79" ht="12.5" x14ac:dyDescent="0.25">
      <c r="B588" t="s">
        <v>8495</v>
      </c>
      <c r="D588" s="7" t="s">
        <v>32933</v>
      </c>
      <c r="E588" s="7"/>
      <c r="F588" s="7"/>
      <c r="G588" s="7"/>
      <c r="H588" t="s">
        <v>67</v>
      </c>
      <c r="I588" t="s">
        <v>7152</v>
      </c>
      <c r="J588" t="s">
        <v>69</v>
      </c>
      <c r="K588" t="s">
        <v>69</v>
      </c>
      <c r="L588" t="s">
        <v>69</v>
      </c>
      <c r="M588" t="s">
        <v>7153</v>
      </c>
      <c r="N588" t="s">
        <v>69</v>
      </c>
      <c r="O588" t="s">
        <v>69</v>
      </c>
      <c r="P588" t="s">
        <v>7154</v>
      </c>
      <c r="Q588" t="s">
        <v>7155</v>
      </c>
      <c r="R588" t="s">
        <v>69</v>
      </c>
      <c r="S588" t="s">
        <v>69</v>
      </c>
      <c r="T588" t="s">
        <v>8505</v>
      </c>
      <c r="U588" t="s">
        <v>8506</v>
      </c>
      <c r="V588" t="s">
        <v>69</v>
      </c>
      <c r="W588" t="s">
        <v>69</v>
      </c>
      <c r="X588" t="s">
        <v>69</v>
      </c>
      <c r="Y588" t="s">
        <v>69</v>
      </c>
      <c r="Z588" t="s">
        <v>69</v>
      </c>
      <c r="AA588" t="s">
        <v>16571</v>
      </c>
      <c r="AB588" t="s">
        <v>16572</v>
      </c>
      <c r="AC588" t="s">
        <v>7156</v>
      </c>
      <c r="AD588" t="s">
        <v>16573</v>
      </c>
      <c r="AE588" t="s">
        <v>69</v>
      </c>
      <c r="AF588" t="s">
        <v>16574</v>
      </c>
      <c r="AG588" t="s">
        <v>16575</v>
      </c>
      <c r="AH588" t="s">
        <v>69</v>
      </c>
      <c r="AI588" t="s">
        <v>69</v>
      </c>
      <c r="AJ588" t="s">
        <v>69</v>
      </c>
      <c r="AK588" t="s">
        <v>69</v>
      </c>
      <c r="AL588" t="s">
        <v>69</v>
      </c>
      <c r="AM588" t="s">
        <v>69</v>
      </c>
      <c r="AN588">
        <v>57</v>
      </c>
      <c r="AO588">
        <v>14</v>
      </c>
      <c r="AP588">
        <v>14</v>
      </c>
      <c r="AQ588">
        <v>5</v>
      </c>
      <c r="AR588">
        <v>38</v>
      </c>
      <c r="AS588" t="s">
        <v>8586</v>
      </c>
      <c r="AT588" t="s">
        <v>8587</v>
      </c>
      <c r="AU588" t="s">
        <v>8588</v>
      </c>
      <c r="AV588" t="s">
        <v>7157</v>
      </c>
      <c r="AW588" t="s">
        <v>7158</v>
      </c>
      <c r="AX588" t="s">
        <v>69</v>
      </c>
      <c r="AY588" t="s">
        <v>16576</v>
      </c>
      <c r="AZ588" t="s">
        <v>16577</v>
      </c>
      <c r="BA588" t="s">
        <v>7159</v>
      </c>
      <c r="BB588">
        <v>2019</v>
      </c>
      <c r="BC588">
        <v>8</v>
      </c>
      <c r="BD588">
        <v>3</v>
      </c>
      <c r="BE588" t="s">
        <v>69</v>
      </c>
      <c r="BF588" t="s">
        <v>69</v>
      </c>
      <c r="BG588" t="s">
        <v>69</v>
      </c>
      <c r="BH588" t="s">
        <v>69</v>
      </c>
      <c r="BI588">
        <v>348</v>
      </c>
      <c r="BJ588">
        <v>369</v>
      </c>
      <c r="BK588" t="s">
        <v>69</v>
      </c>
      <c r="BL588" t="s">
        <v>7160</v>
      </c>
      <c r="BM588" t="str">
        <f>HYPERLINK("http://dx.doi.org/10.1108/SAJBS-11-2018-0136","http://dx.doi.org/10.1108/SAJBS-11-2018-0136")</f>
        <v>http://dx.doi.org/10.1108/SAJBS-11-2018-0136</v>
      </c>
      <c r="BN588" t="s">
        <v>69</v>
      </c>
      <c r="BO588" t="s">
        <v>69</v>
      </c>
      <c r="BP588">
        <v>22</v>
      </c>
      <c r="BQ588" t="s">
        <v>8444</v>
      </c>
      <c r="BR588" t="s">
        <v>8573</v>
      </c>
      <c r="BS588" t="s">
        <v>8594</v>
      </c>
      <c r="BT588" t="s">
        <v>16578</v>
      </c>
      <c r="BU588" t="s">
        <v>7161</v>
      </c>
      <c r="BV588" t="s">
        <v>69</v>
      </c>
      <c r="BW588" t="s">
        <v>69</v>
      </c>
      <c r="BX588" t="s">
        <v>69</v>
      </c>
      <c r="BY588" t="s">
        <v>69</v>
      </c>
      <c r="BZ588" t="s">
        <v>8526</v>
      </c>
      <c r="CA588" t="str">
        <f>HYPERLINK("https%3A%2F%2Fwww.webofscience.com%2Fwos%2Fwoscc%2Ffull-record%2FWOS:000495078400009","View Full Record in Web of Science")</f>
        <v>View Full Record in Web of Science</v>
      </c>
    </row>
    <row r="589" spans="2:79" ht="12.5" x14ac:dyDescent="0.25">
      <c r="B589" t="s">
        <v>8495</v>
      </c>
      <c r="D589" s="7" t="s">
        <v>32933</v>
      </c>
      <c r="E589" s="7"/>
      <c r="F589" s="7"/>
      <c r="G589" s="7"/>
      <c r="H589" t="s">
        <v>67</v>
      </c>
      <c r="I589" t="s">
        <v>8350</v>
      </c>
      <c r="J589" t="s">
        <v>69</v>
      </c>
      <c r="K589" t="s">
        <v>69</v>
      </c>
      <c r="L589" t="s">
        <v>69</v>
      </c>
      <c r="M589" t="s">
        <v>8350</v>
      </c>
      <c r="N589" t="s">
        <v>69</v>
      </c>
      <c r="O589" t="s">
        <v>69</v>
      </c>
      <c r="P589" t="s">
        <v>8351</v>
      </c>
      <c r="Q589" t="s">
        <v>1722</v>
      </c>
      <c r="R589" t="s">
        <v>69</v>
      </c>
      <c r="S589" t="s">
        <v>69</v>
      </c>
      <c r="T589" t="s">
        <v>8505</v>
      </c>
      <c r="U589" t="s">
        <v>8506</v>
      </c>
      <c r="V589" t="s">
        <v>69</v>
      </c>
      <c r="W589" t="s">
        <v>69</v>
      </c>
      <c r="X589" t="s">
        <v>69</v>
      </c>
      <c r="Y589" t="s">
        <v>69</v>
      </c>
      <c r="Z589" t="s">
        <v>69</v>
      </c>
      <c r="AA589" t="s">
        <v>69</v>
      </c>
      <c r="AB589" t="s">
        <v>32734</v>
      </c>
      <c r="AC589" t="s">
        <v>8352</v>
      </c>
      <c r="AD589" t="s">
        <v>69</v>
      </c>
      <c r="AE589" t="s">
        <v>69</v>
      </c>
      <c r="AF589" t="s">
        <v>32735</v>
      </c>
      <c r="AG589" t="s">
        <v>69</v>
      </c>
      <c r="AH589" t="s">
        <v>8353</v>
      </c>
      <c r="AI589" t="s">
        <v>8354</v>
      </c>
      <c r="AJ589" t="s">
        <v>69</v>
      </c>
      <c r="AK589" t="s">
        <v>69</v>
      </c>
      <c r="AL589" t="s">
        <v>69</v>
      </c>
      <c r="AM589" t="s">
        <v>69</v>
      </c>
      <c r="AN589">
        <v>18</v>
      </c>
      <c r="AO589">
        <v>55</v>
      </c>
      <c r="AP589">
        <v>57</v>
      </c>
      <c r="AQ589">
        <v>1</v>
      </c>
      <c r="AR589">
        <v>49</v>
      </c>
      <c r="AS589" t="s">
        <v>17140</v>
      </c>
      <c r="AT589" t="s">
        <v>8517</v>
      </c>
      <c r="AU589" t="s">
        <v>17141</v>
      </c>
      <c r="AV589" t="s">
        <v>1724</v>
      </c>
      <c r="AW589" t="s">
        <v>69</v>
      </c>
      <c r="AX589" t="s">
        <v>69</v>
      </c>
      <c r="AY589" t="s">
        <v>28853</v>
      </c>
      <c r="AZ589" t="s">
        <v>28854</v>
      </c>
      <c r="BA589" t="s">
        <v>274</v>
      </c>
      <c r="BB589">
        <v>1993</v>
      </c>
      <c r="BC589">
        <v>8</v>
      </c>
      <c r="BD589">
        <v>6</v>
      </c>
      <c r="BE589" t="s">
        <v>69</v>
      </c>
      <c r="BF589" t="s">
        <v>69</v>
      </c>
      <c r="BG589" t="s">
        <v>69</v>
      </c>
      <c r="BH589" t="s">
        <v>69</v>
      </c>
      <c r="BI589">
        <v>513</v>
      </c>
      <c r="BJ589">
        <v>524</v>
      </c>
      <c r="BK589" t="s">
        <v>69</v>
      </c>
      <c r="BL589" t="s">
        <v>8355</v>
      </c>
      <c r="BM589" t="str">
        <f>HYPERLINK("http://dx.doi.org/10.1016/0883-9026(93)90036-5","http://dx.doi.org/10.1016/0883-9026(93)90036-5")</f>
        <v>http://dx.doi.org/10.1016/0883-9026(93)90036-5</v>
      </c>
      <c r="BN589" t="s">
        <v>69</v>
      </c>
      <c r="BO589" t="s">
        <v>69</v>
      </c>
      <c r="BP589">
        <v>12</v>
      </c>
      <c r="BQ589" t="s">
        <v>8444</v>
      </c>
      <c r="BR589" t="s">
        <v>8661</v>
      </c>
      <c r="BS589" t="s">
        <v>8594</v>
      </c>
      <c r="BT589" t="s">
        <v>32736</v>
      </c>
      <c r="BU589" t="s">
        <v>8356</v>
      </c>
      <c r="BV589" t="s">
        <v>69</v>
      </c>
      <c r="BW589" t="s">
        <v>69</v>
      </c>
      <c r="BX589" t="s">
        <v>69</v>
      </c>
      <c r="BY589" t="s">
        <v>69</v>
      </c>
      <c r="BZ589" t="s">
        <v>8526</v>
      </c>
      <c r="CA589" t="str">
        <f>HYPERLINK("https%3A%2F%2Fwww.webofscience.com%2Fwos%2Fwoscc%2Ffull-record%2FWOS:A1993MB74700004","View Full Record in Web of Science")</f>
        <v>View Full Record in Web of Science</v>
      </c>
    </row>
    <row r="590" spans="2:79" ht="12.5" x14ac:dyDescent="0.25">
      <c r="B590" t="s">
        <v>8495</v>
      </c>
      <c r="D590" s="22" t="s">
        <v>32931</v>
      </c>
      <c r="E590" s="7"/>
      <c r="F590" s="7"/>
      <c r="G590" s="7"/>
      <c r="H590" t="s">
        <v>67</v>
      </c>
      <c r="I590" t="s">
        <v>32384</v>
      </c>
      <c r="J590" t="s">
        <v>69</v>
      </c>
      <c r="K590" t="s">
        <v>69</v>
      </c>
      <c r="L590" t="s">
        <v>69</v>
      </c>
      <c r="M590" t="s">
        <v>32384</v>
      </c>
      <c r="N590" t="s">
        <v>69</v>
      </c>
      <c r="O590" t="s">
        <v>69</v>
      </c>
      <c r="P590" t="s">
        <v>32385</v>
      </c>
      <c r="Q590" t="s">
        <v>32386</v>
      </c>
      <c r="R590" t="s">
        <v>69</v>
      </c>
      <c r="S590" t="s">
        <v>69</v>
      </c>
      <c r="T590" t="s">
        <v>8505</v>
      </c>
      <c r="U590" t="s">
        <v>8506</v>
      </c>
      <c r="V590" t="s">
        <v>69</v>
      </c>
      <c r="W590" t="s">
        <v>69</v>
      </c>
      <c r="X590" t="s">
        <v>69</v>
      </c>
      <c r="Y590" t="s">
        <v>69</v>
      </c>
      <c r="Z590" t="s">
        <v>69</v>
      </c>
      <c r="AA590" t="s">
        <v>69</v>
      </c>
      <c r="AB590" t="s">
        <v>69</v>
      </c>
      <c r="AC590" t="s">
        <v>32387</v>
      </c>
      <c r="AD590" t="s">
        <v>69</v>
      </c>
      <c r="AE590" t="s">
        <v>69</v>
      </c>
      <c r="AF590" t="s">
        <v>32388</v>
      </c>
      <c r="AG590" t="s">
        <v>69</v>
      </c>
      <c r="AH590" t="s">
        <v>69</v>
      </c>
      <c r="AI590" t="s">
        <v>69</v>
      </c>
      <c r="AJ590" t="s">
        <v>69</v>
      </c>
      <c r="AK590" t="s">
        <v>69</v>
      </c>
      <c r="AL590" t="s">
        <v>69</v>
      </c>
      <c r="AM590" t="s">
        <v>69</v>
      </c>
      <c r="AN590">
        <v>11</v>
      </c>
      <c r="AO590">
        <v>2</v>
      </c>
      <c r="AP590">
        <v>2</v>
      </c>
      <c r="AQ590">
        <v>1</v>
      </c>
      <c r="AR590">
        <v>2</v>
      </c>
      <c r="AS590" t="s">
        <v>27579</v>
      </c>
      <c r="AT590" t="s">
        <v>8763</v>
      </c>
      <c r="AU590" t="s">
        <v>9179</v>
      </c>
      <c r="AV590" t="s">
        <v>32389</v>
      </c>
      <c r="AW590" t="s">
        <v>69</v>
      </c>
      <c r="AX590" t="s">
        <v>69</v>
      </c>
      <c r="AY590" t="s">
        <v>32390</v>
      </c>
      <c r="AZ590" t="s">
        <v>32391</v>
      </c>
      <c r="BA590" t="s">
        <v>11008</v>
      </c>
      <c r="BB590">
        <v>1996</v>
      </c>
      <c r="BC590">
        <v>313</v>
      </c>
      <c r="BD590">
        <v>7066</v>
      </c>
      <c r="BE590" t="s">
        <v>69</v>
      </c>
      <c r="BF590" t="s">
        <v>69</v>
      </c>
      <c r="BG590" t="s">
        <v>69</v>
      </c>
      <c r="BH590" t="s">
        <v>69</v>
      </c>
      <c r="BI590">
        <v>1197</v>
      </c>
      <c r="BJ590">
        <v>1199</v>
      </c>
      <c r="BK590" t="s">
        <v>69</v>
      </c>
      <c r="BL590" t="s">
        <v>32392</v>
      </c>
      <c r="BM590" t="str">
        <f>HYPERLINK("http://dx.doi.org/10.1136/bmj.313.7066.1197","http://dx.doi.org/10.1136/bmj.313.7066.1197")</f>
        <v>http://dx.doi.org/10.1136/bmj.313.7066.1197</v>
      </c>
      <c r="BN590" t="s">
        <v>69</v>
      </c>
      <c r="BO590" t="s">
        <v>69</v>
      </c>
      <c r="BP590">
        <v>3</v>
      </c>
      <c r="BQ590" t="s">
        <v>9450</v>
      </c>
      <c r="BR590" t="s">
        <v>8548</v>
      </c>
      <c r="BS590" t="s">
        <v>9451</v>
      </c>
      <c r="BT590" t="s">
        <v>32393</v>
      </c>
      <c r="BU590" t="s">
        <v>32394</v>
      </c>
      <c r="BV590">
        <v>8916758</v>
      </c>
      <c r="BW590" t="s">
        <v>10423</v>
      </c>
      <c r="BX590" t="s">
        <v>69</v>
      </c>
      <c r="BY590" t="s">
        <v>69</v>
      </c>
      <c r="BZ590" t="s">
        <v>8526</v>
      </c>
      <c r="CA590" t="str">
        <f>HYPERLINK("https%3A%2F%2Fwww.webofscience.com%2Fwos%2Fwoscc%2Ffull-record%2FWOS:A1996VR90700031","View Full Record in Web of Science")</f>
        <v>View Full Record in Web of Science</v>
      </c>
    </row>
    <row r="591" spans="2:79" x14ac:dyDescent="0.3">
      <c r="B591" t="s">
        <v>8495</v>
      </c>
      <c r="D591" s="12" t="s">
        <v>32979</v>
      </c>
      <c r="H591" t="s">
        <v>67</v>
      </c>
      <c r="I591" t="s">
        <v>5370</v>
      </c>
      <c r="J591" t="s">
        <v>69</v>
      </c>
      <c r="K591" t="s">
        <v>69</v>
      </c>
      <c r="L591" t="s">
        <v>69</v>
      </c>
      <c r="M591" s="3" t="s">
        <v>5371</v>
      </c>
      <c r="N591" t="s">
        <v>69</v>
      </c>
      <c r="O591" t="s">
        <v>69</v>
      </c>
      <c r="P591" s="2" t="s">
        <v>5372</v>
      </c>
      <c r="Q591" t="s">
        <v>5373</v>
      </c>
      <c r="R591" t="s">
        <v>69</v>
      </c>
      <c r="S591" t="s">
        <v>69</v>
      </c>
      <c r="T591" t="s">
        <v>8505</v>
      </c>
      <c r="U591" t="s">
        <v>8506</v>
      </c>
      <c r="V591" t="s">
        <v>69</v>
      </c>
      <c r="W591" t="s">
        <v>69</v>
      </c>
      <c r="X591" t="s">
        <v>69</v>
      </c>
      <c r="Y591" t="s">
        <v>69</v>
      </c>
      <c r="Z591" t="s">
        <v>69</v>
      </c>
      <c r="AA591" t="s">
        <v>69</v>
      </c>
      <c r="AB591" t="s">
        <v>69</v>
      </c>
      <c r="AC591" t="s">
        <v>5374</v>
      </c>
      <c r="AD591" t="s">
        <v>30534</v>
      </c>
      <c r="AE591" t="s">
        <v>69</v>
      </c>
      <c r="AF591" t="s">
        <v>30535</v>
      </c>
      <c r="AG591" t="s">
        <v>69</v>
      </c>
      <c r="AH591" t="s">
        <v>69</v>
      </c>
      <c r="AI591" t="s">
        <v>5375</v>
      </c>
      <c r="AJ591" t="s">
        <v>69</v>
      </c>
      <c r="AK591" t="s">
        <v>69</v>
      </c>
      <c r="AL591" t="s">
        <v>69</v>
      </c>
      <c r="AM591" t="s">
        <v>69</v>
      </c>
      <c r="AN591">
        <v>32</v>
      </c>
      <c r="AO591">
        <v>1</v>
      </c>
      <c r="AP591">
        <v>1</v>
      </c>
      <c r="AQ591">
        <v>1</v>
      </c>
      <c r="AR591">
        <v>13</v>
      </c>
      <c r="AS591" t="s">
        <v>8846</v>
      </c>
      <c r="AT591" t="s">
        <v>8847</v>
      </c>
      <c r="AU591" t="s">
        <v>8848</v>
      </c>
      <c r="AV591" t="s">
        <v>5376</v>
      </c>
      <c r="AW591" t="s">
        <v>5377</v>
      </c>
      <c r="AX591" t="s">
        <v>69</v>
      </c>
      <c r="AY591" t="s">
        <v>22554</v>
      </c>
      <c r="AZ591" t="s">
        <v>22555</v>
      </c>
      <c r="BA591" t="s">
        <v>69</v>
      </c>
      <c r="BB591">
        <v>2006</v>
      </c>
      <c r="BC591">
        <v>34</v>
      </c>
      <c r="BD591">
        <v>4</v>
      </c>
      <c r="BE591" t="s">
        <v>69</v>
      </c>
      <c r="BF591" t="s">
        <v>69</v>
      </c>
      <c r="BG591" t="s">
        <v>69</v>
      </c>
      <c r="BH591" t="s">
        <v>69</v>
      </c>
      <c r="BI591">
        <v>511</v>
      </c>
      <c r="BJ591">
        <v>532</v>
      </c>
      <c r="BK591" t="s">
        <v>69</v>
      </c>
      <c r="BL591" t="s">
        <v>5378</v>
      </c>
      <c r="BM591" t="str">
        <f>HYPERLINK("http://dx.doi.org/10.1111/j.1541-0072.2006.00189.x","http://dx.doi.org/10.1111/j.1541-0072.2006.00189.x")</f>
        <v>http://dx.doi.org/10.1111/j.1541-0072.2006.00189.x</v>
      </c>
      <c r="BN591" t="s">
        <v>69</v>
      </c>
      <c r="BO591" t="s">
        <v>69</v>
      </c>
      <c r="BP591">
        <v>22</v>
      </c>
      <c r="BQ591" t="s">
        <v>10439</v>
      </c>
      <c r="BR591" t="s">
        <v>8661</v>
      </c>
      <c r="BS591" t="s">
        <v>10440</v>
      </c>
      <c r="BT591" t="s">
        <v>30536</v>
      </c>
      <c r="BU591" t="s">
        <v>5379</v>
      </c>
      <c r="BV591" t="s">
        <v>69</v>
      </c>
      <c r="BW591" t="s">
        <v>69</v>
      </c>
      <c r="BX591" t="s">
        <v>69</v>
      </c>
      <c r="BY591" t="s">
        <v>69</v>
      </c>
      <c r="BZ591" t="s">
        <v>8526</v>
      </c>
      <c r="CA591" t="str">
        <f>HYPERLINK("https%3A%2F%2Fwww.webofscience.com%2Fwos%2Fwoscc%2Ffull-record%2FWOS:000242866800004","View Full Record in Web of Science")</f>
        <v>View Full Record in Web of Science</v>
      </c>
    </row>
    <row r="592" spans="2:79" x14ac:dyDescent="0.3">
      <c r="C592" s="7" t="s">
        <v>8458</v>
      </c>
      <c r="F592" s="10" t="s">
        <v>8490</v>
      </c>
      <c r="I592" t="s">
        <v>8459</v>
      </c>
      <c r="P592" s="7" t="s">
        <v>8460</v>
      </c>
      <c r="Q592" s="7" t="s">
        <v>8461</v>
      </c>
      <c r="AC592" t="s">
        <v>33210</v>
      </c>
      <c r="BB592">
        <v>2008</v>
      </c>
      <c r="BM592" s="25" t="s">
        <v>8462</v>
      </c>
    </row>
    <row r="593" spans="1:79" x14ac:dyDescent="0.3">
      <c r="B593" t="s">
        <v>8495</v>
      </c>
      <c r="D593" s="9" t="s">
        <v>32954</v>
      </c>
      <c r="E593" s="9" t="s">
        <v>33075</v>
      </c>
      <c r="G593" s="9" t="s">
        <v>8490</v>
      </c>
      <c r="H593" t="s">
        <v>67</v>
      </c>
      <c r="I593" t="s">
        <v>28783</v>
      </c>
      <c r="J593" t="s">
        <v>69</v>
      </c>
      <c r="K593" t="s">
        <v>69</v>
      </c>
      <c r="L593" t="s">
        <v>69</v>
      </c>
      <c r="M593" t="s">
        <v>28784</v>
      </c>
      <c r="N593" t="s">
        <v>69</v>
      </c>
      <c r="O593" t="s">
        <v>69</v>
      </c>
      <c r="P593" t="s">
        <v>28785</v>
      </c>
      <c r="Q593" t="s">
        <v>28786</v>
      </c>
      <c r="R593" t="s">
        <v>69</v>
      </c>
      <c r="S593" t="s">
        <v>69</v>
      </c>
      <c r="T593" t="s">
        <v>8505</v>
      </c>
      <c r="U593" t="s">
        <v>8506</v>
      </c>
      <c r="V593" t="s">
        <v>69</v>
      </c>
      <c r="W593" t="s">
        <v>69</v>
      </c>
      <c r="X593" t="s">
        <v>69</v>
      </c>
      <c r="Y593" t="s">
        <v>69</v>
      </c>
      <c r="Z593" t="s">
        <v>69</v>
      </c>
      <c r="AA593" t="s">
        <v>28787</v>
      </c>
      <c r="AB593" t="s">
        <v>69</v>
      </c>
      <c r="AC593" t="s">
        <v>28788</v>
      </c>
      <c r="AD593" t="s">
        <v>28789</v>
      </c>
      <c r="AE593" t="s">
        <v>69</v>
      </c>
      <c r="AF593" t="s">
        <v>28790</v>
      </c>
      <c r="AG593" t="s">
        <v>28791</v>
      </c>
      <c r="AH593" t="s">
        <v>28792</v>
      </c>
      <c r="AI593" t="s">
        <v>28793</v>
      </c>
      <c r="AJ593" t="s">
        <v>69</v>
      </c>
      <c r="AK593" t="s">
        <v>69</v>
      </c>
      <c r="AL593" t="s">
        <v>69</v>
      </c>
      <c r="AM593" t="s">
        <v>69</v>
      </c>
      <c r="AN593">
        <v>39</v>
      </c>
      <c r="AO593">
        <v>10</v>
      </c>
      <c r="AP593">
        <v>11</v>
      </c>
      <c r="AQ593">
        <v>0</v>
      </c>
      <c r="AR593">
        <v>0</v>
      </c>
      <c r="AS593" t="s">
        <v>13509</v>
      </c>
      <c r="AT593" t="s">
        <v>13510</v>
      </c>
      <c r="AU593" t="s">
        <v>13511</v>
      </c>
      <c r="AV593" t="s">
        <v>28794</v>
      </c>
      <c r="AW593" t="s">
        <v>28795</v>
      </c>
      <c r="AX593" t="s">
        <v>69</v>
      </c>
      <c r="AY593" t="s">
        <v>28796</v>
      </c>
      <c r="AZ593" t="s">
        <v>28797</v>
      </c>
      <c r="BA593" t="s">
        <v>69</v>
      </c>
      <c r="BB593">
        <v>2009</v>
      </c>
      <c r="BC593">
        <v>10</v>
      </c>
      <c r="BD593">
        <v>2</v>
      </c>
      <c r="BE593" t="s">
        <v>69</v>
      </c>
      <c r="BF593" t="s">
        <v>69</v>
      </c>
      <c r="BG593" t="s">
        <v>69</v>
      </c>
      <c r="BH593" t="s">
        <v>69</v>
      </c>
      <c r="BI593">
        <v>223</v>
      </c>
      <c r="BJ593">
        <v>240</v>
      </c>
      <c r="BK593" t="s">
        <v>69</v>
      </c>
      <c r="BL593" t="s">
        <v>28798</v>
      </c>
      <c r="BM593" t="str">
        <f>HYPERLINK("http://dx.doi.org/10.1504/IJETM.2009.023523","http://dx.doi.org/10.1504/IJETM.2009.023523")</f>
        <v>http://dx.doi.org/10.1504/IJETM.2009.023523</v>
      </c>
      <c r="BN593" t="s">
        <v>69</v>
      </c>
      <c r="BO593" t="s">
        <v>69</v>
      </c>
      <c r="BP593">
        <v>18</v>
      </c>
      <c r="BQ593" t="s">
        <v>28608</v>
      </c>
      <c r="BR593" t="s">
        <v>8573</v>
      </c>
      <c r="BS593" t="s">
        <v>8445</v>
      </c>
      <c r="BT593" t="s">
        <v>28799</v>
      </c>
      <c r="BU593" t="s">
        <v>28800</v>
      </c>
      <c r="BV593" t="s">
        <v>69</v>
      </c>
      <c r="BW593" t="s">
        <v>10423</v>
      </c>
      <c r="BX593" t="s">
        <v>69</v>
      </c>
      <c r="BY593" t="s">
        <v>69</v>
      </c>
      <c r="BZ593" t="s">
        <v>8526</v>
      </c>
      <c r="CA593" t="str">
        <f>HYPERLINK("https%3A%2F%2Fwww.webofscience.com%2Fwos%2Fwoscc%2Ffull-record%2FWOS:000213058600006","View Full Record in Web of Science")</f>
        <v>View Full Record in Web of Science</v>
      </c>
    </row>
    <row r="594" spans="1:79" ht="12.5" x14ac:dyDescent="0.25">
      <c r="B594" t="s">
        <v>8495</v>
      </c>
      <c r="D594" s="22" t="s">
        <v>32931</v>
      </c>
      <c r="E594" s="7"/>
      <c r="F594" s="7"/>
      <c r="G594" s="7"/>
      <c r="H594" t="s">
        <v>67</v>
      </c>
      <c r="I594" t="s">
        <v>10108</v>
      </c>
      <c r="J594" t="s">
        <v>69</v>
      </c>
      <c r="K594" t="s">
        <v>69</v>
      </c>
      <c r="L594" t="s">
        <v>69</v>
      </c>
      <c r="M594" t="s">
        <v>10109</v>
      </c>
      <c r="N594" t="s">
        <v>69</v>
      </c>
      <c r="O594" t="s">
        <v>69</v>
      </c>
      <c r="P594" t="s">
        <v>10110</v>
      </c>
      <c r="Q594" t="s">
        <v>10111</v>
      </c>
      <c r="R594" t="s">
        <v>69</v>
      </c>
      <c r="S594" t="s">
        <v>69</v>
      </c>
      <c r="T594" t="s">
        <v>8505</v>
      </c>
      <c r="U594" t="s">
        <v>8506</v>
      </c>
      <c r="V594" t="s">
        <v>69</v>
      </c>
      <c r="W594" t="s">
        <v>69</v>
      </c>
      <c r="X594" t="s">
        <v>69</v>
      </c>
      <c r="Y594" t="s">
        <v>69</v>
      </c>
      <c r="Z594" t="s">
        <v>69</v>
      </c>
      <c r="AA594" t="s">
        <v>10112</v>
      </c>
      <c r="AB594" t="s">
        <v>10113</v>
      </c>
      <c r="AC594" t="s">
        <v>10114</v>
      </c>
      <c r="AD594" t="s">
        <v>10115</v>
      </c>
      <c r="AE594" t="s">
        <v>69</v>
      </c>
      <c r="AF594" t="s">
        <v>10116</v>
      </c>
      <c r="AG594" t="s">
        <v>10117</v>
      </c>
      <c r="AH594" t="s">
        <v>69</v>
      </c>
      <c r="AI594" t="s">
        <v>69</v>
      </c>
      <c r="AJ594" t="s">
        <v>69</v>
      </c>
      <c r="AK594" t="s">
        <v>69</v>
      </c>
      <c r="AL594" t="s">
        <v>69</v>
      </c>
      <c r="AM594" t="s">
        <v>69</v>
      </c>
      <c r="AN594">
        <v>34</v>
      </c>
      <c r="AO594">
        <v>0</v>
      </c>
      <c r="AP594">
        <v>0</v>
      </c>
      <c r="AQ594">
        <v>1</v>
      </c>
      <c r="AR594">
        <v>1</v>
      </c>
      <c r="AS594" t="s">
        <v>10118</v>
      </c>
      <c r="AT594" t="s">
        <v>10119</v>
      </c>
      <c r="AU594" t="s">
        <v>10120</v>
      </c>
      <c r="AV594" t="s">
        <v>10121</v>
      </c>
      <c r="AW594" t="s">
        <v>10122</v>
      </c>
      <c r="AX594" t="s">
        <v>69</v>
      </c>
      <c r="AY594" t="s">
        <v>10123</v>
      </c>
      <c r="AZ594" t="s">
        <v>10124</v>
      </c>
      <c r="BA594" t="s">
        <v>451</v>
      </c>
      <c r="BB594">
        <v>2022</v>
      </c>
      <c r="BC594">
        <v>26</v>
      </c>
      <c r="BD594">
        <v>1</v>
      </c>
      <c r="BE594" t="s">
        <v>69</v>
      </c>
      <c r="BF594" t="s">
        <v>69</v>
      </c>
      <c r="BG594" t="s">
        <v>69</v>
      </c>
      <c r="BH594" t="s">
        <v>69</v>
      </c>
      <c r="BI594">
        <v>484</v>
      </c>
      <c r="BJ594">
        <v>498</v>
      </c>
      <c r="BK594" t="s">
        <v>69</v>
      </c>
      <c r="BL594" t="s">
        <v>10125</v>
      </c>
      <c r="BM594" t="str">
        <f>HYPERLINK("http://dx.doi.org/10.2478/rtuect-2022-0037","http://dx.doi.org/10.2478/rtuect-2022-0037")</f>
        <v>http://dx.doi.org/10.2478/rtuect-2022-0037</v>
      </c>
      <c r="BN594" t="s">
        <v>69</v>
      </c>
      <c r="BO594" t="s">
        <v>69</v>
      </c>
      <c r="BP594">
        <v>15</v>
      </c>
      <c r="BQ594" t="s">
        <v>10126</v>
      </c>
      <c r="BR594" t="s">
        <v>8573</v>
      </c>
      <c r="BS594" t="s">
        <v>8620</v>
      </c>
      <c r="BT594" t="s">
        <v>10127</v>
      </c>
      <c r="BU594" t="s">
        <v>10128</v>
      </c>
      <c r="BV594" t="s">
        <v>69</v>
      </c>
      <c r="BW594" t="s">
        <v>8931</v>
      </c>
      <c r="BX594" t="s">
        <v>69</v>
      </c>
      <c r="BY594" t="s">
        <v>69</v>
      </c>
      <c r="BZ594" t="s">
        <v>8526</v>
      </c>
      <c r="CA594" t="str">
        <f>HYPERLINK("https%3A%2F%2Fwww.webofscience.com%2Fwos%2Fwoscc%2Ffull-record%2FWOS:000821620200002","View Full Record in Web of Science")</f>
        <v>View Full Record in Web of Science</v>
      </c>
    </row>
    <row r="595" spans="1:79" ht="12.5" x14ac:dyDescent="0.25">
      <c r="B595" t="s">
        <v>8495</v>
      </c>
      <c r="D595" s="22" t="s">
        <v>32931</v>
      </c>
      <c r="E595" s="7"/>
      <c r="F595" s="7"/>
      <c r="G595" s="7"/>
      <c r="H595" t="s">
        <v>67</v>
      </c>
      <c r="I595" t="s">
        <v>21991</v>
      </c>
      <c r="J595" t="s">
        <v>69</v>
      </c>
      <c r="K595" t="s">
        <v>69</v>
      </c>
      <c r="L595" t="s">
        <v>69</v>
      </c>
      <c r="M595" t="s">
        <v>21992</v>
      </c>
      <c r="N595" t="s">
        <v>69</v>
      </c>
      <c r="O595" t="s">
        <v>69</v>
      </c>
      <c r="P595" t="s">
        <v>21993</v>
      </c>
      <c r="Q595" t="s">
        <v>21994</v>
      </c>
      <c r="R595" t="s">
        <v>69</v>
      </c>
      <c r="S595" t="s">
        <v>69</v>
      </c>
      <c r="T595" t="s">
        <v>8505</v>
      </c>
      <c r="U595" t="s">
        <v>8506</v>
      </c>
      <c r="V595" t="s">
        <v>69</v>
      </c>
      <c r="W595" t="s">
        <v>69</v>
      </c>
      <c r="X595" t="s">
        <v>69</v>
      </c>
      <c r="Y595" t="s">
        <v>69</v>
      </c>
      <c r="Z595" t="s">
        <v>69</v>
      </c>
      <c r="AA595" t="s">
        <v>21995</v>
      </c>
      <c r="AB595" t="s">
        <v>21996</v>
      </c>
      <c r="AC595" t="s">
        <v>21997</v>
      </c>
      <c r="AD595" t="s">
        <v>21998</v>
      </c>
      <c r="AE595" t="s">
        <v>69</v>
      </c>
      <c r="AF595" t="s">
        <v>21999</v>
      </c>
      <c r="AG595" t="s">
        <v>22000</v>
      </c>
      <c r="AH595" t="s">
        <v>69</v>
      </c>
      <c r="AI595" t="s">
        <v>22001</v>
      </c>
      <c r="AJ595" t="s">
        <v>69</v>
      </c>
      <c r="AK595" t="s">
        <v>69</v>
      </c>
      <c r="AL595" t="s">
        <v>69</v>
      </c>
      <c r="AM595" t="s">
        <v>69</v>
      </c>
      <c r="AN595">
        <v>17</v>
      </c>
      <c r="AO595">
        <v>19</v>
      </c>
      <c r="AP595">
        <v>20</v>
      </c>
      <c r="AQ595">
        <v>0</v>
      </c>
      <c r="AR595">
        <v>9</v>
      </c>
      <c r="AS595" t="s">
        <v>15611</v>
      </c>
      <c r="AT595" t="s">
        <v>10924</v>
      </c>
      <c r="AU595" t="s">
        <v>15612</v>
      </c>
      <c r="AV595" t="s">
        <v>22002</v>
      </c>
      <c r="AW595" t="s">
        <v>22003</v>
      </c>
      <c r="AX595" t="s">
        <v>69</v>
      </c>
      <c r="AY595" t="s">
        <v>22004</v>
      </c>
      <c r="AZ595" t="s">
        <v>22005</v>
      </c>
      <c r="BA595" t="s">
        <v>69</v>
      </c>
      <c r="BB595">
        <v>2016</v>
      </c>
      <c r="BC595">
        <v>13</v>
      </c>
      <c r="BD595">
        <v>10</v>
      </c>
      <c r="BE595" t="s">
        <v>69</v>
      </c>
      <c r="BF595" t="s">
        <v>69</v>
      </c>
      <c r="BG595" t="s">
        <v>69</v>
      </c>
      <c r="BH595" t="s">
        <v>69</v>
      </c>
      <c r="BI595">
        <v>770</v>
      </c>
      <c r="BJ595">
        <v>781</v>
      </c>
      <c r="BK595" t="s">
        <v>69</v>
      </c>
      <c r="BL595" t="s">
        <v>22006</v>
      </c>
      <c r="BM595" t="str">
        <f>HYPERLINK("http://dx.doi.org/10.1080/15459624.2016.1177649","http://dx.doi.org/10.1080/15459624.2016.1177649")</f>
        <v>http://dx.doi.org/10.1080/15459624.2016.1177649</v>
      </c>
      <c r="BN595" t="s">
        <v>69</v>
      </c>
      <c r="BO595" t="s">
        <v>69</v>
      </c>
      <c r="BP595">
        <v>12</v>
      </c>
      <c r="BQ595" t="s">
        <v>10595</v>
      </c>
      <c r="BR595" t="s">
        <v>8548</v>
      </c>
      <c r="BS595" t="s">
        <v>10596</v>
      </c>
      <c r="BT595" t="s">
        <v>22007</v>
      </c>
      <c r="BU595" t="s">
        <v>22008</v>
      </c>
      <c r="BV595">
        <v>27105025</v>
      </c>
      <c r="BW595" t="s">
        <v>9292</v>
      </c>
      <c r="BX595" t="s">
        <v>69</v>
      </c>
      <c r="BY595" t="s">
        <v>69</v>
      </c>
      <c r="BZ595" t="s">
        <v>8526</v>
      </c>
      <c r="CA595" t="str">
        <f>HYPERLINK("https%3A%2F%2Fwww.webofscience.com%2Fwos%2Fwoscc%2Ffull-record%2FWOS:000382752900008","View Full Record in Web of Science")</f>
        <v>View Full Record in Web of Science</v>
      </c>
    </row>
    <row r="596" spans="1:79" ht="12.5" x14ac:dyDescent="0.25">
      <c r="B596" t="s">
        <v>8495</v>
      </c>
      <c r="D596" s="7" t="s">
        <v>32933</v>
      </c>
      <c r="E596" s="7"/>
      <c r="F596" s="7"/>
      <c r="G596" s="7"/>
      <c r="H596" t="s">
        <v>67</v>
      </c>
      <c r="I596" t="s">
        <v>6470</v>
      </c>
      <c r="J596" t="s">
        <v>69</v>
      </c>
      <c r="K596" t="s">
        <v>69</v>
      </c>
      <c r="L596" t="s">
        <v>69</v>
      </c>
      <c r="M596" t="s">
        <v>6471</v>
      </c>
      <c r="N596" t="s">
        <v>69</v>
      </c>
      <c r="O596" t="s">
        <v>69</v>
      </c>
      <c r="P596" t="s">
        <v>6472</v>
      </c>
      <c r="Q596" t="s">
        <v>6473</v>
      </c>
      <c r="R596" t="s">
        <v>69</v>
      </c>
      <c r="S596" t="s">
        <v>69</v>
      </c>
      <c r="T596" t="s">
        <v>10153</v>
      </c>
      <c r="U596" t="s">
        <v>8506</v>
      </c>
      <c r="V596" t="s">
        <v>69</v>
      </c>
      <c r="W596" t="s">
        <v>69</v>
      </c>
      <c r="X596" t="s">
        <v>69</v>
      </c>
      <c r="Y596" t="s">
        <v>69</v>
      </c>
      <c r="Z596" t="s">
        <v>69</v>
      </c>
      <c r="AA596" t="s">
        <v>18522</v>
      </c>
      <c r="AB596" t="s">
        <v>69</v>
      </c>
      <c r="AC596" t="s">
        <v>6474</v>
      </c>
      <c r="AD596" t="s">
        <v>18523</v>
      </c>
      <c r="AE596" t="s">
        <v>69</v>
      </c>
      <c r="AF596" t="s">
        <v>18524</v>
      </c>
      <c r="AG596" t="s">
        <v>18525</v>
      </c>
      <c r="AH596" t="s">
        <v>6475</v>
      </c>
      <c r="AI596" t="s">
        <v>6476</v>
      </c>
      <c r="AJ596" t="s">
        <v>69</v>
      </c>
      <c r="AK596" t="s">
        <v>69</v>
      </c>
      <c r="AL596" t="s">
        <v>69</v>
      </c>
      <c r="AM596" t="s">
        <v>69</v>
      </c>
      <c r="AN596">
        <v>22</v>
      </c>
      <c r="AO596">
        <v>1</v>
      </c>
      <c r="AP596">
        <v>1</v>
      </c>
      <c r="AQ596">
        <v>0</v>
      </c>
      <c r="AR596">
        <v>3</v>
      </c>
      <c r="AS596" t="s">
        <v>18526</v>
      </c>
      <c r="AT596" t="s">
        <v>18527</v>
      </c>
      <c r="AU596" t="s">
        <v>18528</v>
      </c>
      <c r="AV596" t="s">
        <v>6477</v>
      </c>
      <c r="AW596" t="s">
        <v>6478</v>
      </c>
      <c r="AX596" t="s">
        <v>69</v>
      </c>
      <c r="AY596" t="s">
        <v>18529</v>
      </c>
      <c r="AZ596" t="s">
        <v>18530</v>
      </c>
      <c r="BA596" t="s">
        <v>6479</v>
      </c>
      <c r="BB596">
        <v>2018</v>
      </c>
      <c r="BC596">
        <v>15</v>
      </c>
      <c r="BD596">
        <v>30</v>
      </c>
      <c r="BE596" t="s">
        <v>69</v>
      </c>
      <c r="BF596" t="s">
        <v>69</v>
      </c>
      <c r="BG596" t="s">
        <v>69</v>
      </c>
      <c r="BH596" t="s">
        <v>69</v>
      </c>
      <c r="BI596">
        <v>169</v>
      </c>
      <c r="BJ596">
        <v>195</v>
      </c>
      <c r="BK596" t="s">
        <v>69</v>
      </c>
      <c r="BL596" t="s">
        <v>69</v>
      </c>
      <c r="BM596" t="s">
        <v>69</v>
      </c>
      <c r="BN596" t="s">
        <v>69</v>
      </c>
      <c r="BO596" t="s">
        <v>69</v>
      </c>
      <c r="BP596">
        <v>27</v>
      </c>
      <c r="BQ596" t="s">
        <v>10299</v>
      </c>
      <c r="BR596" t="s">
        <v>8573</v>
      </c>
      <c r="BS596" t="s">
        <v>10279</v>
      </c>
      <c r="BT596" t="s">
        <v>18531</v>
      </c>
      <c r="BU596" t="s">
        <v>6480</v>
      </c>
      <c r="BV596" t="s">
        <v>69</v>
      </c>
      <c r="BW596" t="s">
        <v>69</v>
      </c>
      <c r="BX596" t="s">
        <v>69</v>
      </c>
      <c r="BY596" t="s">
        <v>69</v>
      </c>
      <c r="BZ596" t="s">
        <v>8526</v>
      </c>
      <c r="CA596" t="str">
        <f>HYPERLINK("https%3A%2F%2Fwww.webofscience.com%2Fwos%2Fwoscc%2Ffull-record%2FWOS:000457373100011","View Full Record in Web of Science")</f>
        <v>View Full Record in Web of Science</v>
      </c>
    </row>
    <row r="597" spans="1:79" ht="12.5" x14ac:dyDescent="0.25">
      <c r="B597" t="s">
        <v>8495</v>
      </c>
      <c r="D597" s="7" t="s">
        <v>32933</v>
      </c>
      <c r="E597" s="7"/>
      <c r="F597" s="7"/>
      <c r="G597" s="7"/>
      <c r="H597" t="s">
        <v>67</v>
      </c>
      <c r="I597" t="s">
        <v>1020</v>
      </c>
      <c r="J597" t="s">
        <v>69</v>
      </c>
      <c r="K597" t="s">
        <v>69</v>
      </c>
      <c r="L597" t="s">
        <v>69</v>
      </c>
      <c r="M597" t="s">
        <v>1021</v>
      </c>
      <c r="N597" t="s">
        <v>69</v>
      </c>
      <c r="O597" t="s">
        <v>69</v>
      </c>
      <c r="P597" t="s">
        <v>1022</v>
      </c>
      <c r="Q597" t="s">
        <v>1023</v>
      </c>
      <c r="R597" t="s">
        <v>69</v>
      </c>
      <c r="S597" t="s">
        <v>69</v>
      </c>
      <c r="T597" t="s">
        <v>8505</v>
      </c>
      <c r="U597" t="s">
        <v>8506</v>
      </c>
      <c r="V597" t="s">
        <v>69</v>
      </c>
      <c r="W597" t="s">
        <v>69</v>
      </c>
      <c r="X597" t="s">
        <v>69</v>
      </c>
      <c r="Y597" t="s">
        <v>69</v>
      </c>
      <c r="Z597" t="s">
        <v>69</v>
      </c>
      <c r="AA597" t="s">
        <v>18071</v>
      </c>
      <c r="AB597" t="s">
        <v>18072</v>
      </c>
      <c r="AC597" t="s">
        <v>1024</v>
      </c>
      <c r="AD597" t="s">
        <v>16498</v>
      </c>
      <c r="AE597" t="s">
        <v>69</v>
      </c>
      <c r="AF597" t="s">
        <v>16499</v>
      </c>
      <c r="AG597" t="s">
        <v>16500</v>
      </c>
      <c r="AH597" t="s">
        <v>18073</v>
      </c>
      <c r="AI597" t="s">
        <v>1025</v>
      </c>
      <c r="AJ597" t="s">
        <v>69</v>
      </c>
      <c r="AK597" t="s">
        <v>69</v>
      </c>
      <c r="AL597" t="s">
        <v>69</v>
      </c>
      <c r="AM597" t="s">
        <v>69</v>
      </c>
      <c r="AN597">
        <v>37</v>
      </c>
      <c r="AO597">
        <v>9</v>
      </c>
      <c r="AP597">
        <v>9</v>
      </c>
      <c r="AQ597">
        <v>0</v>
      </c>
      <c r="AR597">
        <v>6</v>
      </c>
      <c r="AS597" t="s">
        <v>9145</v>
      </c>
      <c r="AT597" t="s">
        <v>8637</v>
      </c>
      <c r="AU597" t="s">
        <v>9146</v>
      </c>
      <c r="AV597" t="s">
        <v>1026</v>
      </c>
      <c r="AW597" t="s">
        <v>69</v>
      </c>
      <c r="AX597" t="s">
        <v>69</v>
      </c>
      <c r="AY597" t="s">
        <v>18074</v>
      </c>
      <c r="AZ597" t="s">
        <v>18075</v>
      </c>
      <c r="BA597" t="s">
        <v>75</v>
      </c>
      <c r="BB597">
        <v>2018</v>
      </c>
      <c r="BC597">
        <v>118</v>
      </c>
      <c r="BD597" t="s">
        <v>69</v>
      </c>
      <c r="BE597" t="s">
        <v>69</v>
      </c>
      <c r="BF597" t="s">
        <v>69</v>
      </c>
      <c r="BG597" t="s">
        <v>69</v>
      </c>
      <c r="BH597" t="s">
        <v>69</v>
      </c>
      <c r="BI597">
        <v>556</v>
      </c>
      <c r="BJ597">
        <v>566</v>
      </c>
      <c r="BK597" t="s">
        <v>69</v>
      </c>
      <c r="BL597" t="s">
        <v>1027</v>
      </c>
      <c r="BM597" t="str">
        <f>HYPERLINK("http://dx.doi.org/10.1016/j.tra.2018.09.024","http://dx.doi.org/10.1016/j.tra.2018.09.024")</f>
        <v>http://dx.doi.org/10.1016/j.tra.2018.09.024</v>
      </c>
      <c r="BN597" t="s">
        <v>69</v>
      </c>
      <c r="BO597" t="s">
        <v>69</v>
      </c>
      <c r="BP597">
        <v>11</v>
      </c>
      <c r="BQ597" t="s">
        <v>18076</v>
      </c>
      <c r="BR597" t="s">
        <v>8523</v>
      </c>
      <c r="BS597" t="s">
        <v>15301</v>
      </c>
      <c r="BT597" t="s">
        <v>18077</v>
      </c>
      <c r="BU597" t="s">
        <v>1028</v>
      </c>
      <c r="BV597" t="s">
        <v>69</v>
      </c>
      <c r="BW597" t="s">
        <v>10423</v>
      </c>
      <c r="BX597" t="s">
        <v>69</v>
      </c>
      <c r="BY597" t="s">
        <v>69</v>
      </c>
      <c r="BZ597" t="s">
        <v>8526</v>
      </c>
      <c r="CA597" t="str">
        <f>HYPERLINK("https%3A%2F%2Fwww.webofscience.com%2Fwos%2Fwoscc%2Ffull-record%2FWOS:000452941000038","View Full Record in Web of Science")</f>
        <v>View Full Record in Web of Science</v>
      </c>
    </row>
    <row r="598" spans="1:79" ht="12.5" x14ac:dyDescent="0.25">
      <c r="A598" t="s">
        <v>8408</v>
      </c>
      <c r="B598" t="s">
        <v>8495</v>
      </c>
      <c r="D598" s="11" t="s">
        <v>33208</v>
      </c>
      <c r="E598" s="7"/>
      <c r="F598" s="11" t="s">
        <v>8490</v>
      </c>
      <c r="G598" s="7"/>
      <c r="H598" t="s">
        <v>67</v>
      </c>
      <c r="I598" t="s">
        <v>8357</v>
      </c>
      <c r="J598" t="s">
        <v>69</v>
      </c>
      <c r="K598" t="s">
        <v>69</v>
      </c>
      <c r="L598" t="s">
        <v>69</v>
      </c>
      <c r="M598" s="2" t="s">
        <v>8357</v>
      </c>
      <c r="N598" t="s">
        <v>69</v>
      </c>
      <c r="O598" t="s">
        <v>69</v>
      </c>
      <c r="P598" s="11" t="s">
        <v>8358</v>
      </c>
      <c r="Q598" t="s">
        <v>4711</v>
      </c>
      <c r="R598" t="s">
        <v>69</v>
      </c>
      <c r="S598" t="s">
        <v>69</v>
      </c>
      <c r="T598" t="s">
        <v>8505</v>
      </c>
      <c r="U598" t="s">
        <v>8506</v>
      </c>
      <c r="V598" t="s">
        <v>69</v>
      </c>
      <c r="W598" t="s">
        <v>69</v>
      </c>
      <c r="X598" t="s">
        <v>69</v>
      </c>
      <c r="Y598" t="s">
        <v>69</v>
      </c>
      <c r="Z598" t="s">
        <v>69</v>
      </c>
      <c r="AA598" t="s">
        <v>69</v>
      </c>
      <c r="AB598" t="s">
        <v>69</v>
      </c>
      <c r="AC598" t="s">
        <v>8359</v>
      </c>
      <c r="AD598" t="s">
        <v>69</v>
      </c>
      <c r="AE598" t="s">
        <v>69</v>
      </c>
      <c r="AF598" t="s">
        <v>32754</v>
      </c>
      <c r="AG598" t="s">
        <v>69</v>
      </c>
      <c r="AH598" t="s">
        <v>8360</v>
      </c>
      <c r="AI598" t="s">
        <v>69</v>
      </c>
      <c r="AJ598" t="s">
        <v>69</v>
      </c>
      <c r="AK598" t="s">
        <v>69</v>
      </c>
      <c r="AL598" t="s">
        <v>69</v>
      </c>
      <c r="AM598" t="s">
        <v>69</v>
      </c>
      <c r="AN598">
        <v>21</v>
      </c>
      <c r="AO598">
        <v>2094</v>
      </c>
      <c r="AP598">
        <v>2167</v>
      </c>
      <c r="AQ598">
        <v>8</v>
      </c>
      <c r="AR598">
        <v>208</v>
      </c>
      <c r="AS598" t="s">
        <v>32755</v>
      </c>
      <c r="AT598" t="s">
        <v>8637</v>
      </c>
      <c r="AU598" t="s">
        <v>32756</v>
      </c>
      <c r="AV598" t="s">
        <v>4714</v>
      </c>
      <c r="AW598" t="s">
        <v>69</v>
      </c>
      <c r="AX598" t="s">
        <v>69</v>
      </c>
      <c r="AY598" t="s">
        <v>4711</v>
      </c>
      <c r="AZ598" t="s">
        <v>8487</v>
      </c>
      <c r="BA598" t="s">
        <v>255</v>
      </c>
      <c r="BB598">
        <v>1993</v>
      </c>
      <c r="BC598">
        <v>25</v>
      </c>
      <c r="BD598">
        <v>7</v>
      </c>
      <c r="BE598" t="s">
        <v>69</v>
      </c>
      <c r="BF598" t="s">
        <v>69</v>
      </c>
      <c r="BG598" t="s">
        <v>69</v>
      </c>
      <c r="BH598" t="s">
        <v>69</v>
      </c>
      <c r="BI598">
        <v>739</v>
      </c>
      <c r="BJ598">
        <v>755</v>
      </c>
      <c r="BK598" t="s">
        <v>69</v>
      </c>
      <c r="BL598" t="s">
        <v>8361</v>
      </c>
      <c r="BM598" t="str">
        <f>HYPERLINK("http://dx.doi.org/10.1016/0016-3287(93)90022-L","http://dx.doi.org/10.1016/0016-3287(93)90022-L")</f>
        <v>http://dx.doi.org/10.1016/0016-3287(93)90022-L</v>
      </c>
      <c r="BN598" t="s">
        <v>69</v>
      </c>
      <c r="BO598" t="s">
        <v>69</v>
      </c>
      <c r="BP598">
        <v>17</v>
      </c>
      <c r="BQ598" t="s">
        <v>25762</v>
      </c>
      <c r="BR598" t="s">
        <v>8661</v>
      </c>
      <c r="BS598" t="s">
        <v>10993</v>
      </c>
      <c r="BT598" t="s">
        <v>32757</v>
      </c>
      <c r="BU598" t="s">
        <v>8362</v>
      </c>
      <c r="BV598" t="s">
        <v>69</v>
      </c>
      <c r="BW598" t="s">
        <v>69</v>
      </c>
      <c r="BX598" t="s">
        <v>69</v>
      </c>
      <c r="BY598" t="s">
        <v>69</v>
      </c>
      <c r="BZ598" t="s">
        <v>8526</v>
      </c>
      <c r="CA598" t="str">
        <f>HYPERLINK("https%3A%2F%2Fwww.webofscience.com%2Fwos%2Fwoscc%2Ffull-record%2FWOS:A1993LZ96700001","View Full Record in Web of Science")</f>
        <v>View Full Record in Web of Science</v>
      </c>
    </row>
    <row r="599" spans="1:79" ht="12.5" x14ac:dyDescent="0.25">
      <c r="B599" t="s">
        <v>8495</v>
      </c>
      <c r="D599" s="22" t="s">
        <v>32931</v>
      </c>
      <c r="E599" s="7"/>
      <c r="F599" s="7"/>
      <c r="G599" s="7"/>
      <c r="H599" t="s">
        <v>67</v>
      </c>
      <c r="I599" t="s">
        <v>24470</v>
      </c>
      <c r="J599" t="s">
        <v>69</v>
      </c>
      <c r="K599" t="s">
        <v>69</v>
      </c>
      <c r="L599" t="s">
        <v>69</v>
      </c>
      <c r="M599" t="s">
        <v>24471</v>
      </c>
      <c r="N599" t="s">
        <v>69</v>
      </c>
      <c r="O599" t="s">
        <v>69</v>
      </c>
      <c r="P599" t="s">
        <v>24472</v>
      </c>
      <c r="Q599" t="s">
        <v>726</v>
      </c>
      <c r="R599" t="s">
        <v>69</v>
      </c>
      <c r="S599" t="s">
        <v>69</v>
      </c>
      <c r="T599" t="s">
        <v>8505</v>
      </c>
      <c r="U599" t="s">
        <v>8506</v>
      </c>
      <c r="V599" t="s">
        <v>69</v>
      </c>
      <c r="W599" t="s">
        <v>69</v>
      </c>
      <c r="X599" t="s">
        <v>69</v>
      </c>
      <c r="Y599" t="s">
        <v>69</v>
      </c>
      <c r="Z599" t="s">
        <v>69</v>
      </c>
      <c r="AA599" t="s">
        <v>24473</v>
      </c>
      <c r="AB599" t="s">
        <v>24474</v>
      </c>
      <c r="AC599" t="s">
        <v>24475</v>
      </c>
      <c r="AD599" t="s">
        <v>24476</v>
      </c>
      <c r="AE599" t="s">
        <v>69</v>
      </c>
      <c r="AF599" t="s">
        <v>24477</v>
      </c>
      <c r="AG599" t="s">
        <v>24478</v>
      </c>
      <c r="AH599" t="s">
        <v>24479</v>
      </c>
      <c r="AI599" t="s">
        <v>24480</v>
      </c>
      <c r="AJ599" t="s">
        <v>69</v>
      </c>
      <c r="AK599" t="s">
        <v>69</v>
      </c>
      <c r="AL599" t="s">
        <v>69</v>
      </c>
      <c r="AM599" t="s">
        <v>69</v>
      </c>
      <c r="AN599">
        <v>54</v>
      </c>
      <c r="AO599">
        <v>9</v>
      </c>
      <c r="AP599">
        <v>9</v>
      </c>
      <c r="AQ599">
        <v>0</v>
      </c>
      <c r="AR599">
        <v>15</v>
      </c>
      <c r="AS599" t="s">
        <v>8865</v>
      </c>
      <c r="AT599" t="s">
        <v>8612</v>
      </c>
      <c r="AU599" t="s">
        <v>22341</v>
      </c>
      <c r="AV599" t="s">
        <v>729</v>
      </c>
      <c r="AW599" t="s">
        <v>730</v>
      </c>
      <c r="AX599" t="s">
        <v>69</v>
      </c>
      <c r="AY599" t="s">
        <v>14684</v>
      </c>
      <c r="AZ599" t="s">
        <v>14685</v>
      </c>
      <c r="BA599" t="s">
        <v>5185</v>
      </c>
      <c r="BB599">
        <v>2013</v>
      </c>
      <c r="BC599">
        <v>15</v>
      </c>
      <c r="BD599">
        <v>4</v>
      </c>
      <c r="BE599" t="s">
        <v>69</v>
      </c>
      <c r="BF599" t="s">
        <v>69</v>
      </c>
      <c r="BG599" t="s">
        <v>69</v>
      </c>
      <c r="BH599" t="s">
        <v>69</v>
      </c>
      <c r="BI599">
        <v>533</v>
      </c>
      <c r="BJ599">
        <v>550</v>
      </c>
      <c r="BK599" t="s">
        <v>69</v>
      </c>
      <c r="BL599" t="s">
        <v>24481</v>
      </c>
      <c r="BM599" t="str">
        <f>HYPERLINK("http://dx.doi.org/10.1080/1523908X.2013.807211","http://dx.doi.org/10.1080/1523908X.2013.807211")</f>
        <v>http://dx.doi.org/10.1080/1523908X.2013.807211</v>
      </c>
      <c r="BN599" t="s">
        <v>69</v>
      </c>
      <c r="BO599" t="s">
        <v>69</v>
      </c>
      <c r="BP599">
        <v>18</v>
      </c>
      <c r="BQ599" t="s">
        <v>14686</v>
      </c>
      <c r="BR599" t="s">
        <v>8661</v>
      </c>
      <c r="BS599" t="s">
        <v>14687</v>
      </c>
      <c r="BT599" t="s">
        <v>24482</v>
      </c>
      <c r="BU599" t="s">
        <v>24483</v>
      </c>
      <c r="BV599" t="s">
        <v>69</v>
      </c>
      <c r="BW599" t="s">
        <v>69</v>
      </c>
      <c r="BX599" t="s">
        <v>69</v>
      </c>
      <c r="BY599" t="s">
        <v>69</v>
      </c>
      <c r="BZ599" t="s">
        <v>8526</v>
      </c>
      <c r="CA599" t="str">
        <f>HYPERLINK("https%3A%2F%2Fwww.webofscience.com%2Fwos%2Fwoscc%2Ffull-record%2FWOS:000326489600005","View Full Record in Web of Science")</f>
        <v>View Full Record in Web of Science</v>
      </c>
    </row>
    <row r="600" spans="1:79" ht="12.5" x14ac:dyDescent="0.25">
      <c r="B600" t="s">
        <v>8495</v>
      </c>
      <c r="D600" s="7" t="s">
        <v>32933</v>
      </c>
      <c r="E600" s="7"/>
      <c r="F600" s="7"/>
      <c r="G600" s="7"/>
      <c r="H600" t="s">
        <v>67</v>
      </c>
      <c r="I600" t="s">
        <v>1966</v>
      </c>
      <c r="J600" t="s">
        <v>69</v>
      </c>
      <c r="K600" t="s">
        <v>69</v>
      </c>
      <c r="L600" t="s">
        <v>69</v>
      </c>
      <c r="M600" t="s">
        <v>1967</v>
      </c>
      <c r="N600" t="s">
        <v>69</v>
      </c>
      <c r="O600" t="s">
        <v>69</v>
      </c>
      <c r="P600" t="s">
        <v>1968</v>
      </c>
      <c r="Q600" t="s">
        <v>1969</v>
      </c>
      <c r="R600" t="s">
        <v>69</v>
      </c>
      <c r="S600" t="s">
        <v>69</v>
      </c>
      <c r="T600" t="s">
        <v>8505</v>
      </c>
      <c r="U600" t="s">
        <v>8506</v>
      </c>
      <c r="V600" t="s">
        <v>69</v>
      </c>
      <c r="W600" t="s">
        <v>69</v>
      </c>
      <c r="X600" t="s">
        <v>69</v>
      </c>
      <c r="Y600" t="s">
        <v>69</v>
      </c>
      <c r="Z600" t="s">
        <v>69</v>
      </c>
      <c r="AA600" t="s">
        <v>15142</v>
      </c>
      <c r="AB600" t="s">
        <v>15143</v>
      </c>
      <c r="AC600" t="s">
        <v>1970</v>
      </c>
      <c r="AD600" t="s">
        <v>15144</v>
      </c>
      <c r="AE600" t="s">
        <v>69</v>
      </c>
      <c r="AF600" t="s">
        <v>15145</v>
      </c>
      <c r="AG600" t="s">
        <v>15146</v>
      </c>
      <c r="AH600" t="s">
        <v>15147</v>
      </c>
      <c r="AI600" t="s">
        <v>15148</v>
      </c>
      <c r="AJ600" t="s">
        <v>69</v>
      </c>
      <c r="AK600" t="s">
        <v>69</v>
      </c>
      <c r="AL600" t="s">
        <v>69</v>
      </c>
      <c r="AM600" t="s">
        <v>69</v>
      </c>
      <c r="AN600">
        <v>34</v>
      </c>
      <c r="AO600">
        <v>2</v>
      </c>
      <c r="AP600">
        <v>2</v>
      </c>
      <c r="AQ600">
        <v>5</v>
      </c>
      <c r="AR600">
        <v>26</v>
      </c>
      <c r="AS600" t="s">
        <v>8586</v>
      </c>
      <c r="AT600" t="s">
        <v>8587</v>
      </c>
      <c r="AU600" t="s">
        <v>8588</v>
      </c>
      <c r="AV600" t="s">
        <v>1971</v>
      </c>
      <c r="AW600" t="s">
        <v>1972</v>
      </c>
      <c r="AX600" t="s">
        <v>69</v>
      </c>
      <c r="AY600" t="s">
        <v>15149</v>
      </c>
      <c r="AZ600" t="s">
        <v>15150</v>
      </c>
      <c r="BA600" t="s">
        <v>1973</v>
      </c>
      <c r="BB600">
        <v>2020</v>
      </c>
      <c r="BC600">
        <v>31</v>
      </c>
      <c r="BD600">
        <v>6</v>
      </c>
      <c r="BE600" t="s">
        <v>69</v>
      </c>
      <c r="BF600" t="s">
        <v>69</v>
      </c>
      <c r="BG600" t="s">
        <v>69</v>
      </c>
      <c r="BH600" t="s">
        <v>69</v>
      </c>
      <c r="BI600">
        <v>1623</v>
      </c>
      <c r="BJ600">
        <v>1645</v>
      </c>
      <c r="BK600" t="s">
        <v>69</v>
      </c>
      <c r="BL600" t="s">
        <v>1974</v>
      </c>
      <c r="BM600" t="str">
        <f>HYPERLINK("http://dx.doi.org/10.1108/MEQ-07-2019-0153","http://dx.doi.org/10.1108/MEQ-07-2019-0153")</f>
        <v>http://dx.doi.org/10.1108/MEQ-07-2019-0153</v>
      </c>
      <c r="BN600" t="s">
        <v>69</v>
      </c>
      <c r="BO600" t="s">
        <v>732</v>
      </c>
      <c r="BP600">
        <v>23</v>
      </c>
      <c r="BQ600" t="s">
        <v>8660</v>
      </c>
      <c r="BR600" t="s">
        <v>8573</v>
      </c>
      <c r="BS600" t="s">
        <v>8662</v>
      </c>
      <c r="BT600" t="s">
        <v>15151</v>
      </c>
      <c r="BU600" t="s">
        <v>1975</v>
      </c>
      <c r="BV600" t="s">
        <v>69</v>
      </c>
      <c r="BW600" t="s">
        <v>69</v>
      </c>
      <c r="BX600" t="s">
        <v>69</v>
      </c>
      <c r="BY600" t="s">
        <v>69</v>
      </c>
      <c r="BZ600" t="s">
        <v>8526</v>
      </c>
      <c r="CA600" t="str">
        <f>HYPERLINK("https%3A%2F%2Fwww.webofscience.com%2Fwos%2Fwoscc%2Ffull-record%2FWOS:000535724700001","View Full Record in Web of Science")</f>
        <v>View Full Record in Web of Science</v>
      </c>
    </row>
    <row r="601" spans="1:79" ht="12.5" x14ac:dyDescent="0.25">
      <c r="B601" t="s">
        <v>8495</v>
      </c>
      <c r="D601" s="7" t="s">
        <v>32933</v>
      </c>
      <c r="E601" s="7"/>
      <c r="F601" s="7"/>
      <c r="G601" s="7"/>
      <c r="H601" t="s">
        <v>67</v>
      </c>
      <c r="I601" t="s">
        <v>7473</v>
      </c>
      <c r="J601" t="s">
        <v>69</v>
      </c>
      <c r="K601" t="s">
        <v>69</v>
      </c>
      <c r="L601" t="s">
        <v>69</v>
      </c>
      <c r="M601" t="s">
        <v>7474</v>
      </c>
      <c r="N601" t="s">
        <v>69</v>
      </c>
      <c r="O601" t="s">
        <v>69</v>
      </c>
      <c r="P601" t="s">
        <v>7475</v>
      </c>
      <c r="Q601" t="s">
        <v>436</v>
      </c>
      <c r="R601" t="s">
        <v>69</v>
      </c>
      <c r="S601" t="s">
        <v>69</v>
      </c>
      <c r="T601" t="s">
        <v>8505</v>
      </c>
      <c r="U601" t="s">
        <v>8506</v>
      </c>
      <c r="V601" t="s">
        <v>69</v>
      </c>
      <c r="W601" t="s">
        <v>69</v>
      </c>
      <c r="X601" t="s">
        <v>69</v>
      </c>
      <c r="Y601" t="s">
        <v>69</v>
      </c>
      <c r="Z601" t="s">
        <v>69</v>
      </c>
      <c r="AA601" t="s">
        <v>14275</v>
      </c>
      <c r="AB601" t="s">
        <v>14276</v>
      </c>
      <c r="AC601" t="s">
        <v>7476</v>
      </c>
      <c r="AD601" t="s">
        <v>14277</v>
      </c>
      <c r="AE601" t="s">
        <v>69</v>
      </c>
      <c r="AF601" t="s">
        <v>14278</v>
      </c>
      <c r="AG601" t="s">
        <v>14279</v>
      </c>
      <c r="AH601" t="s">
        <v>14280</v>
      </c>
      <c r="AI601" t="s">
        <v>14281</v>
      </c>
      <c r="AJ601" t="s">
        <v>69</v>
      </c>
      <c r="AK601" t="s">
        <v>69</v>
      </c>
      <c r="AL601" t="s">
        <v>69</v>
      </c>
      <c r="AM601" t="s">
        <v>69</v>
      </c>
      <c r="AN601">
        <v>136</v>
      </c>
      <c r="AO601">
        <v>8</v>
      </c>
      <c r="AP601">
        <v>8</v>
      </c>
      <c r="AQ601">
        <v>5</v>
      </c>
      <c r="AR601">
        <v>56</v>
      </c>
      <c r="AS601" t="s">
        <v>8636</v>
      </c>
      <c r="AT601" t="s">
        <v>8637</v>
      </c>
      <c r="AU601" t="s">
        <v>8638</v>
      </c>
      <c r="AV601" t="s">
        <v>440</v>
      </c>
      <c r="AW601" t="s">
        <v>441</v>
      </c>
      <c r="AX601" t="s">
        <v>69</v>
      </c>
      <c r="AY601" t="s">
        <v>8639</v>
      </c>
      <c r="AZ601" t="s">
        <v>8640</v>
      </c>
      <c r="BA601" t="s">
        <v>7477</v>
      </c>
      <c r="BB601">
        <v>2020</v>
      </c>
      <c r="BC601">
        <v>267</v>
      </c>
      <c r="BD601" t="s">
        <v>69</v>
      </c>
      <c r="BE601" t="s">
        <v>69</v>
      </c>
      <c r="BF601" t="s">
        <v>69</v>
      </c>
      <c r="BG601" t="s">
        <v>69</v>
      </c>
      <c r="BH601" t="s">
        <v>69</v>
      </c>
      <c r="BI601" t="s">
        <v>69</v>
      </c>
      <c r="BJ601" t="s">
        <v>69</v>
      </c>
      <c r="BK601">
        <v>121870</v>
      </c>
      <c r="BL601" t="s">
        <v>7478</v>
      </c>
      <c r="BM601" t="str">
        <f>HYPERLINK("http://dx.doi.org/10.1016/j.jclepro.2020.121870","http://dx.doi.org/10.1016/j.jclepro.2020.121870")</f>
        <v>http://dx.doi.org/10.1016/j.jclepro.2020.121870</v>
      </c>
      <c r="BN601" t="s">
        <v>69</v>
      </c>
      <c r="BO601" t="s">
        <v>69</v>
      </c>
      <c r="BP601">
        <v>15</v>
      </c>
      <c r="BQ601" t="s">
        <v>8643</v>
      </c>
      <c r="BR601" t="s">
        <v>8523</v>
      </c>
      <c r="BS601" t="s">
        <v>8644</v>
      </c>
      <c r="BT601" t="s">
        <v>14282</v>
      </c>
      <c r="BU601" t="s">
        <v>7479</v>
      </c>
      <c r="BV601" t="s">
        <v>69</v>
      </c>
      <c r="BW601" t="s">
        <v>69</v>
      </c>
      <c r="BX601" t="s">
        <v>69</v>
      </c>
      <c r="BY601" t="s">
        <v>69</v>
      </c>
      <c r="BZ601" t="s">
        <v>8526</v>
      </c>
      <c r="CA601" t="str">
        <f>HYPERLINK("https%3A%2F%2Fwww.webofscience.com%2Fwos%2Fwoscc%2Ffull-record%2FWOS:000542705400006","View Full Record in Web of Science")</f>
        <v>View Full Record in Web of Science</v>
      </c>
    </row>
    <row r="602" spans="1:79" ht="12.5" x14ac:dyDescent="0.25">
      <c r="B602" t="s">
        <v>8495</v>
      </c>
      <c r="D602" s="22" t="s">
        <v>32931</v>
      </c>
      <c r="E602" s="7"/>
      <c r="F602" s="7"/>
      <c r="G602" s="7"/>
      <c r="H602" t="s">
        <v>67</v>
      </c>
      <c r="I602" t="s">
        <v>29407</v>
      </c>
      <c r="J602" t="s">
        <v>69</v>
      </c>
      <c r="K602" t="s">
        <v>69</v>
      </c>
      <c r="L602" t="s">
        <v>69</v>
      </c>
      <c r="M602" t="s">
        <v>29408</v>
      </c>
      <c r="N602" t="s">
        <v>69</v>
      </c>
      <c r="O602" t="s">
        <v>69</v>
      </c>
      <c r="P602" t="s">
        <v>29409</v>
      </c>
      <c r="Q602" t="s">
        <v>29410</v>
      </c>
      <c r="R602" t="s">
        <v>69</v>
      </c>
      <c r="S602" t="s">
        <v>69</v>
      </c>
      <c r="T602" t="s">
        <v>8505</v>
      </c>
      <c r="U602" t="s">
        <v>8506</v>
      </c>
      <c r="V602" t="s">
        <v>69</v>
      </c>
      <c r="W602" t="s">
        <v>69</v>
      </c>
      <c r="X602" t="s">
        <v>69</v>
      </c>
      <c r="Y602" t="s">
        <v>69</v>
      </c>
      <c r="Z602" t="s">
        <v>69</v>
      </c>
      <c r="AA602" t="s">
        <v>29411</v>
      </c>
      <c r="AB602" t="s">
        <v>69</v>
      </c>
      <c r="AC602" t="s">
        <v>29412</v>
      </c>
      <c r="AD602" t="s">
        <v>29413</v>
      </c>
      <c r="AE602" t="s">
        <v>69</v>
      </c>
      <c r="AF602" t="s">
        <v>29414</v>
      </c>
      <c r="AG602" t="s">
        <v>29415</v>
      </c>
      <c r="AH602" t="s">
        <v>29416</v>
      </c>
      <c r="AI602" t="s">
        <v>29417</v>
      </c>
      <c r="AJ602" t="s">
        <v>69</v>
      </c>
      <c r="AK602" t="s">
        <v>69</v>
      </c>
      <c r="AL602" t="s">
        <v>69</v>
      </c>
      <c r="AM602" t="s">
        <v>69</v>
      </c>
      <c r="AN602">
        <v>54</v>
      </c>
      <c r="AO602">
        <v>14</v>
      </c>
      <c r="AP602">
        <v>15</v>
      </c>
      <c r="AQ602">
        <v>0</v>
      </c>
      <c r="AR602">
        <v>0</v>
      </c>
      <c r="AS602" t="s">
        <v>8586</v>
      </c>
      <c r="AT602" t="s">
        <v>8587</v>
      </c>
      <c r="AU602" t="s">
        <v>8588</v>
      </c>
      <c r="AV602" t="s">
        <v>29418</v>
      </c>
      <c r="AW602" t="s">
        <v>29419</v>
      </c>
      <c r="AX602" t="s">
        <v>69</v>
      </c>
      <c r="AY602" t="s">
        <v>29420</v>
      </c>
      <c r="AZ602" t="s">
        <v>29421</v>
      </c>
      <c r="BA602" t="s">
        <v>69</v>
      </c>
      <c r="BB602">
        <v>2008</v>
      </c>
      <c r="BC602">
        <v>21</v>
      </c>
      <c r="BD602">
        <v>5</v>
      </c>
      <c r="BE602" t="s">
        <v>69</v>
      </c>
      <c r="BF602" t="s">
        <v>69</v>
      </c>
      <c r="BG602" t="s">
        <v>69</v>
      </c>
      <c r="BH602" t="s">
        <v>69</v>
      </c>
      <c r="BI602">
        <v>525</v>
      </c>
      <c r="BJ602" t="s">
        <v>219</v>
      </c>
      <c r="BK602" t="s">
        <v>69</v>
      </c>
      <c r="BL602" t="s">
        <v>29422</v>
      </c>
      <c r="BM602" t="str">
        <f>HYPERLINK("http://dx.doi.org/10.1108/09513550810885813","http://dx.doi.org/10.1108/09513550810885813")</f>
        <v>http://dx.doi.org/10.1108/09513550810885813</v>
      </c>
      <c r="BN602" t="s">
        <v>69</v>
      </c>
      <c r="BO602" t="s">
        <v>69</v>
      </c>
      <c r="BP602">
        <v>16</v>
      </c>
      <c r="BQ602" t="s">
        <v>29423</v>
      </c>
      <c r="BR602" t="s">
        <v>8573</v>
      </c>
      <c r="BS602" t="s">
        <v>10993</v>
      </c>
      <c r="BT602" t="s">
        <v>29424</v>
      </c>
      <c r="BU602" t="s">
        <v>29425</v>
      </c>
      <c r="BV602" t="s">
        <v>69</v>
      </c>
      <c r="BW602" t="s">
        <v>69</v>
      </c>
      <c r="BX602" t="s">
        <v>69</v>
      </c>
      <c r="BY602" t="s">
        <v>69</v>
      </c>
      <c r="BZ602" t="s">
        <v>8526</v>
      </c>
      <c r="CA602" t="str">
        <f>HYPERLINK("https%3A%2F%2Fwww.webofscience.com%2Fwos%2Fwoscc%2Ffull-record%2FWOS:000211496800006","View Full Record in Web of Science")</f>
        <v>View Full Record in Web of Science</v>
      </c>
    </row>
    <row r="603" spans="1:79" ht="12.5" x14ac:dyDescent="0.25">
      <c r="B603" t="s">
        <v>8495</v>
      </c>
      <c r="D603" s="7" t="s">
        <v>32933</v>
      </c>
      <c r="E603" s="7"/>
      <c r="F603" s="7"/>
      <c r="G603" s="7"/>
      <c r="H603" t="s">
        <v>67</v>
      </c>
      <c r="I603" t="s">
        <v>6348</v>
      </c>
      <c r="J603" t="s">
        <v>69</v>
      </c>
      <c r="K603" t="s">
        <v>69</v>
      </c>
      <c r="L603" t="s">
        <v>69</v>
      </c>
      <c r="M603" t="s">
        <v>6349</v>
      </c>
      <c r="N603" t="s">
        <v>69</v>
      </c>
      <c r="O603" t="s">
        <v>69</v>
      </c>
      <c r="P603" t="s">
        <v>6350</v>
      </c>
      <c r="Q603" t="s">
        <v>436</v>
      </c>
      <c r="R603" t="s">
        <v>69</v>
      </c>
      <c r="S603" t="s">
        <v>69</v>
      </c>
      <c r="T603" t="s">
        <v>8505</v>
      </c>
      <c r="U603" t="s">
        <v>8442</v>
      </c>
      <c r="V603" t="s">
        <v>69</v>
      </c>
      <c r="W603" t="s">
        <v>69</v>
      </c>
      <c r="X603" t="s">
        <v>69</v>
      </c>
      <c r="Y603" t="s">
        <v>69</v>
      </c>
      <c r="Z603" t="s">
        <v>69</v>
      </c>
      <c r="AA603" t="s">
        <v>23742</v>
      </c>
      <c r="AB603" t="s">
        <v>23743</v>
      </c>
      <c r="AC603" t="s">
        <v>6351</v>
      </c>
      <c r="AD603" t="s">
        <v>23744</v>
      </c>
      <c r="AE603" t="s">
        <v>69</v>
      </c>
      <c r="AF603" t="s">
        <v>23745</v>
      </c>
      <c r="AG603" t="s">
        <v>23746</v>
      </c>
      <c r="AH603" t="s">
        <v>23747</v>
      </c>
      <c r="AI603" t="s">
        <v>23748</v>
      </c>
      <c r="AJ603" t="s">
        <v>23749</v>
      </c>
      <c r="AK603" t="s">
        <v>23750</v>
      </c>
      <c r="AL603" t="s">
        <v>23751</v>
      </c>
      <c r="AM603" t="s">
        <v>69</v>
      </c>
      <c r="AN603">
        <v>50</v>
      </c>
      <c r="AO603">
        <v>55</v>
      </c>
      <c r="AP603">
        <v>55</v>
      </c>
      <c r="AQ603">
        <v>0</v>
      </c>
      <c r="AR603">
        <v>79</v>
      </c>
      <c r="AS603" t="s">
        <v>8636</v>
      </c>
      <c r="AT603" t="s">
        <v>8637</v>
      </c>
      <c r="AU603" t="s">
        <v>8638</v>
      </c>
      <c r="AV603" t="s">
        <v>440</v>
      </c>
      <c r="AW603" t="s">
        <v>441</v>
      </c>
      <c r="AX603" t="s">
        <v>69</v>
      </c>
      <c r="AY603" t="s">
        <v>8639</v>
      </c>
      <c r="AZ603" t="s">
        <v>8640</v>
      </c>
      <c r="BA603" t="s">
        <v>2216</v>
      </c>
      <c r="BB603">
        <v>2014</v>
      </c>
      <c r="BC603">
        <v>74</v>
      </c>
      <c r="BD603" t="s">
        <v>69</v>
      </c>
      <c r="BE603" t="s">
        <v>69</v>
      </c>
      <c r="BF603" t="s">
        <v>69</v>
      </c>
      <c r="BG603" t="s">
        <v>69</v>
      </c>
      <c r="BH603" t="s">
        <v>69</v>
      </c>
      <c r="BI603">
        <v>44</v>
      </c>
      <c r="BJ603">
        <v>53</v>
      </c>
      <c r="BK603" t="s">
        <v>69</v>
      </c>
      <c r="BL603" t="s">
        <v>6352</v>
      </c>
      <c r="BM603" t="str">
        <f>HYPERLINK("http://dx.doi.org/10.1016/j.jclepro.2014.03.027","http://dx.doi.org/10.1016/j.jclepro.2014.03.027")</f>
        <v>http://dx.doi.org/10.1016/j.jclepro.2014.03.027</v>
      </c>
      <c r="BN603" t="s">
        <v>69</v>
      </c>
      <c r="BO603" t="s">
        <v>69</v>
      </c>
      <c r="BP603">
        <v>10</v>
      </c>
      <c r="BQ603" t="s">
        <v>8643</v>
      </c>
      <c r="BR603" t="s">
        <v>8523</v>
      </c>
      <c r="BS603" t="s">
        <v>8644</v>
      </c>
      <c r="BT603" t="s">
        <v>23752</v>
      </c>
      <c r="BU603" t="s">
        <v>6353</v>
      </c>
      <c r="BV603" t="s">
        <v>69</v>
      </c>
      <c r="BW603" t="s">
        <v>69</v>
      </c>
      <c r="BX603" t="s">
        <v>69</v>
      </c>
      <c r="BY603" t="s">
        <v>69</v>
      </c>
      <c r="BZ603" t="s">
        <v>8526</v>
      </c>
      <c r="CA603" t="str">
        <f>HYPERLINK("https%3A%2F%2Fwww.webofscience.com%2Fwos%2Fwoscc%2Ffull-record%2FWOS:000337773000005","View Full Record in Web of Science")</f>
        <v>View Full Record in Web of Science</v>
      </c>
    </row>
    <row r="604" spans="1:79" x14ac:dyDescent="0.3">
      <c r="A604" t="s">
        <v>8408</v>
      </c>
      <c r="B604" t="s">
        <v>8495</v>
      </c>
      <c r="D604" s="10" t="s">
        <v>33189</v>
      </c>
      <c r="F604" s="10" t="s">
        <v>8490</v>
      </c>
      <c r="H604" t="s">
        <v>67</v>
      </c>
      <c r="I604" t="s">
        <v>4362</v>
      </c>
      <c r="J604" t="s">
        <v>69</v>
      </c>
      <c r="K604" t="s">
        <v>69</v>
      </c>
      <c r="L604" t="s">
        <v>69</v>
      </c>
      <c r="M604" s="2" t="s">
        <v>4363</v>
      </c>
      <c r="N604" t="s">
        <v>69</v>
      </c>
      <c r="O604" t="s">
        <v>69</v>
      </c>
      <c r="P604" s="2" t="s">
        <v>4364</v>
      </c>
      <c r="Q604" t="s">
        <v>2116</v>
      </c>
      <c r="R604" t="s">
        <v>69</v>
      </c>
      <c r="S604" t="s">
        <v>69</v>
      </c>
      <c r="T604" t="s">
        <v>8505</v>
      </c>
      <c r="U604" t="s">
        <v>8506</v>
      </c>
      <c r="V604" t="s">
        <v>69</v>
      </c>
      <c r="W604" t="s">
        <v>69</v>
      </c>
      <c r="X604" t="s">
        <v>69</v>
      </c>
      <c r="Y604" t="s">
        <v>69</v>
      </c>
      <c r="Z604" t="s">
        <v>69</v>
      </c>
      <c r="AA604" t="s">
        <v>15766</v>
      </c>
      <c r="AB604" t="s">
        <v>69</v>
      </c>
      <c r="AC604" t="s">
        <v>4365</v>
      </c>
      <c r="AD604" t="s">
        <v>15767</v>
      </c>
      <c r="AE604" t="s">
        <v>69</v>
      </c>
      <c r="AF604" t="s">
        <v>15768</v>
      </c>
      <c r="AG604" t="s">
        <v>15769</v>
      </c>
      <c r="AH604" t="s">
        <v>69</v>
      </c>
      <c r="AI604" t="s">
        <v>69</v>
      </c>
      <c r="AJ604" t="s">
        <v>69</v>
      </c>
      <c r="AK604" t="s">
        <v>69</v>
      </c>
      <c r="AL604" t="s">
        <v>69</v>
      </c>
      <c r="AM604" t="s">
        <v>69</v>
      </c>
      <c r="AN604">
        <v>21</v>
      </c>
      <c r="AO604">
        <v>20</v>
      </c>
      <c r="AP604">
        <v>20</v>
      </c>
      <c r="AQ604">
        <v>1</v>
      </c>
      <c r="AR604">
        <v>11</v>
      </c>
      <c r="AS604" t="s">
        <v>8992</v>
      </c>
      <c r="AT604" t="s">
        <v>8993</v>
      </c>
      <c r="AU604" t="s">
        <v>8994</v>
      </c>
      <c r="AV604" t="s">
        <v>69</v>
      </c>
      <c r="AW604" t="s">
        <v>2118</v>
      </c>
      <c r="AX604" t="s">
        <v>69</v>
      </c>
      <c r="AY604" t="s">
        <v>15770</v>
      </c>
      <c r="AZ604" t="s">
        <v>15771</v>
      </c>
      <c r="BA604" t="s">
        <v>4366</v>
      </c>
      <c r="BB604">
        <v>2020</v>
      </c>
      <c r="BC604">
        <v>7</v>
      </c>
      <c r="BD604" t="s">
        <v>69</v>
      </c>
      <c r="BE604" t="s">
        <v>69</v>
      </c>
      <c r="BF604" t="s">
        <v>69</v>
      </c>
      <c r="BG604" t="s">
        <v>69</v>
      </c>
      <c r="BH604" t="s">
        <v>69</v>
      </c>
      <c r="BI604" t="s">
        <v>69</v>
      </c>
      <c r="BJ604" t="s">
        <v>69</v>
      </c>
      <c r="BK604">
        <v>201</v>
      </c>
      <c r="BL604" t="s">
        <v>4367</v>
      </c>
      <c r="BM604" t="str">
        <f>HYPERLINK("http://dx.doi.org/10.3389/fenvs.2019.00201","http://dx.doi.org/10.3389/fenvs.2019.00201")</f>
        <v>http://dx.doi.org/10.3389/fenvs.2019.00201</v>
      </c>
      <c r="BN604" t="s">
        <v>69</v>
      </c>
      <c r="BO604" t="s">
        <v>69</v>
      </c>
      <c r="BP604">
        <v>10</v>
      </c>
      <c r="BQ604" t="s">
        <v>8717</v>
      </c>
      <c r="BR604" t="s">
        <v>8548</v>
      </c>
      <c r="BS604" t="s">
        <v>8662</v>
      </c>
      <c r="BT604" t="s">
        <v>15772</v>
      </c>
      <c r="BU604" t="s">
        <v>4368</v>
      </c>
      <c r="BV604" t="s">
        <v>69</v>
      </c>
      <c r="BW604" t="s">
        <v>8931</v>
      </c>
      <c r="BX604" t="s">
        <v>69</v>
      </c>
      <c r="BY604" t="s">
        <v>69</v>
      </c>
      <c r="BZ604" t="s">
        <v>8526</v>
      </c>
      <c r="CA604" t="str">
        <f>HYPERLINK("https%3A%2F%2Fwww.webofscience.com%2Fwos%2Fwoscc%2Ffull-record%2FWOS:000518967300001","View Full Record in Web of Science")</f>
        <v>View Full Record in Web of Science</v>
      </c>
    </row>
    <row r="605" spans="1:79" ht="12.5" x14ac:dyDescent="0.25">
      <c r="B605" t="s">
        <v>8495</v>
      </c>
      <c r="D605" s="22" t="s">
        <v>32931</v>
      </c>
      <c r="E605" s="7"/>
      <c r="F605" s="7"/>
      <c r="G605" s="7"/>
      <c r="H605" t="s">
        <v>67</v>
      </c>
      <c r="I605" t="s">
        <v>9686</v>
      </c>
      <c r="J605" t="s">
        <v>69</v>
      </c>
      <c r="K605" t="s">
        <v>69</v>
      </c>
      <c r="L605" t="s">
        <v>69</v>
      </c>
      <c r="M605" t="s">
        <v>9687</v>
      </c>
      <c r="N605" t="s">
        <v>69</v>
      </c>
      <c r="O605" t="s">
        <v>69</v>
      </c>
      <c r="P605" t="s">
        <v>9688</v>
      </c>
      <c r="Q605" t="s">
        <v>1360</v>
      </c>
      <c r="R605" t="s">
        <v>69</v>
      </c>
      <c r="S605" t="s">
        <v>69</v>
      </c>
      <c r="T605" t="s">
        <v>8505</v>
      </c>
      <c r="U605" t="s">
        <v>8506</v>
      </c>
      <c r="V605" t="s">
        <v>69</v>
      </c>
      <c r="W605" t="s">
        <v>69</v>
      </c>
      <c r="X605" t="s">
        <v>69</v>
      </c>
      <c r="Y605" t="s">
        <v>69</v>
      </c>
      <c r="Z605" t="s">
        <v>69</v>
      </c>
      <c r="AA605" t="s">
        <v>9689</v>
      </c>
      <c r="AB605" t="s">
        <v>9690</v>
      </c>
      <c r="AC605" t="s">
        <v>9691</v>
      </c>
      <c r="AD605" t="s">
        <v>9692</v>
      </c>
      <c r="AE605" t="s">
        <v>69</v>
      </c>
      <c r="AF605" t="s">
        <v>9693</v>
      </c>
      <c r="AG605" t="s">
        <v>9694</v>
      </c>
      <c r="AH605" t="s">
        <v>69</v>
      </c>
      <c r="AI605" t="s">
        <v>9695</v>
      </c>
      <c r="AJ605" t="s">
        <v>9696</v>
      </c>
      <c r="AK605" t="s">
        <v>9696</v>
      </c>
      <c r="AL605" t="s">
        <v>9697</v>
      </c>
      <c r="AM605" t="s">
        <v>69</v>
      </c>
      <c r="AN605">
        <v>98</v>
      </c>
      <c r="AO605">
        <v>2</v>
      </c>
      <c r="AP605">
        <v>2</v>
      </c>
      <c r="AQ605">
        <v>8</v>
      </c>
      <c r="AR605">
        <v>8</v>
      </c>
      <c r="AS605" t="s">
        <v>8636</v>
      </c>
      <c r="AT605" t="s">
        <v>8637</v>
      </c>
      <c r="AU605" t="s">
        <v>8638</v>
      </c>
      <c r="AV605" t="s">
        <v>1364</v>
      </c>
      <c r="AW605" t="s">
        <v>1365</v>
      </c>
      <c r="AX605" t="s">
        <v>69</v>
      </c>
      <c r="AY605" t="s">
        <v>9698</v>
      </c>
      <c r="AZ605" t="s">
        <v>9699</v>
      </c>
      <c r="BA605" t="s">
        <v>94</v>
      </c>
      <c r="BB605">
        <v>2022</v>
      </c>
      <c r="BC605">
        <v>129</v>
      </c>
      <c r="BD605" t="s">
        <v>69</v>
      </c>
      <c r="BE605" t="s">
        <v>69</v>
      </c>
      <c r="BF605" t="s">
        <v>69</v>
      </c>
      <c r="BG605" t="s">
        <v>69</v>
      </c>
      <c r="BH605" t="s">
        <v>69</v>
      </c>
      <c r="BI605">
        <v>96</v>
      </c>
      <c r="BJ605">
        <v>106</v>
      </c>
      <c r="BK605" t="s">
        <v>69</v>
      </c>
      <c r="BL605" t="s">
        <v>9700</v>
      </c>
      <c r="BM605" t="str">
        <f>HYPERLINK("http://dx.doi.org/10.1016/j.envsci.2021.12.016","http://dx.doi.org/10.1016/j.envsci.2021.12.016")</f>
        <v>http://dx.doi.org/10.1016/j.envsci.2021.12.016</v>
      </c>
      <c r="BN605" t="s">
        <v>69</v>
      </c>
      <c r="BO605" t="s">
        <v>69</v>
      </c>
      <c r="BP605">
        <v>11</v>
      </c>
      <c r="BQ605" t="s">
        <v>8717</v>
      </c>
      <c r="BR605" t="s">
        <v>8523</v>
      </c>
      <c r="BS605" t="s">
        <v>8662</v>
      </c>
      <c r="BT605" t="s">
        <v>9701</v>
      </c>
      <c r="BU605" t="s">
        <v>9702</v>
      </c>
      <c r="BV605" t="s">
        <v>69</v>
      </c>
      <c r="BW605" t="s">
        <v>69</v>
      </c>
      <c r="BX605" t="s">
        <v>69</v>
      </c>
      <c r="BY605" t="s">
        <v>69</v>
      </c>
      <c r="BZ605" t="s">
        <v>8526</v>
      </c>
      <c r="CA605" t="str">
        <f>HYPERLINK("https%3A%2F%2Fwww.webofscience.com%2Fwos%2Fwoscc%2Ffull-record%2FWOS:000787577400010","View Full Record in Web of Science")</f>
        <v>View Full Record in Web of Science</v>
      </c>
    </row>
    <row r="606" spans="1:79" x14ac:dyDescent="0.3">
      <c r="B606" t="s">
        <v>8495</v>
      </c>
      <c r="D606" s="12" t="s">
        <v>32966</v>
      </c>
      <c r="H606" t="s">
        <v>67</v>
      </c>
      <c r="I606" t="s">
        <v>2815</v>
      </c>
      <c r="J606" t="s">
        <v>69</v>
      </c>
      <c r="K606" t="s">
        <v>69</v>
      </c>
      <c r="L606" t="s">
        <v>69</v>
      </c>
      <c r="M606" t="s">
        <v>2816</v>
      </c>
      <c r="N606" t="s">
        <v>69</v>
      </c>
      <c r="O606" t="s">
        <v>69</v>
      </c>
      <c r="P606" s="2" t="s">
        <v>2817</v>
      </c>
      <c r="Q606" t="s">
        <v>2763</v>
      </c>
      <c r="R606" t="s">
        <v>69</v>
      </c>
      <c r="S606" t="s">
        <v>69</v>
      </c>
      <c r="T606" t="s">
        <v>8505</v>
      </c>
      <c r="U606" t="s">
        <v>8442</v>
      </c>
      <c r="V606" t="s">
        <v>69</v>
      </c>
      <c r="W606" t="s">
        <v>69</v>
      </c>
      <c r="X606" t="s">
        <v>69</v>
      </c>
      <c r="Y606" t="s">
        <v>69</v>
      </c>
      <c r="Z606" t="s">
        <v>69</v>
      </c>
      <c r="AA606" t="s">
        <v>69</v>
      </c>
      <c r="AB606" t="s">
        <v>21386</v>
      </c>
      <c r="AC606" t="s">
        <v>2818</v>
      </c>
      <c r="AD606" t="s">
        <v>21387</v>
      </c>
      <c r="AE606" t="s">
        <v>69</v>
      </c>
      <c r="AF606" t="s">
        <v>21388</v>
      </c>
      <c r="AG606" t="s">
        <v>21389</v>
      </c>
      <c r="AH606" t="s">
        <v>69</v>
      </c>
      <c r="AI606" t="s">
        <v>69</v>
      </c>
      <c r="AJ606" t="s">
        <v>69</v>
      </c>
      <c r="AK606" t="s">
        <v>69</v>
      </c>
      <c r="AL606" t="s">
        <v>69</v>
      </c>
      <c r="AM606" t="s">
        <v>69</v>
      </c>
      <c r="AN606">
        <v>93</v>
      </c>
      <c r="AO606">
        <v>9</v>
      </c>
      <c r="AP606">
        <v>9</v>
      </c>
      <c r="AQ606">
        <v>0</v>
      </c>
      <c r="AR606">
        <v>14</v>
      </c>
      <c r="AS606" t="s">
        <v>9978</v>
      </c>
      <c r="AT606" t="s">
        <v>9979</v>
      </c>
      <c r="AU606" t="s">
        <v>9980</v>
      </c>
      <c r="AV606" t="s">
        <v>2765</v>
      </c>
      <c r="AW606" t="s">
        <v>2766</v>
      </c>
      <c r="AX606" t="s">
        <v>69</v>
      </c>
      <c r="AY606" t="s">
        <v>21136</v>
      </c>
      <c r="AZ606" t="s">
        <v>21137</v>
      </c>
      <c r="BA606" t="s">
        <v>255</v>
      </c>
      <c r="BB606">
        <v>2016</v>
      </c>
      <c r="BC606">
        <v>18</v>
      </c>
      <c r="BD606">
        <v>3</v>
      </c>
      <c r="BE606" t="s">
        <v>69</v>
      </c>
      <c r="BF606" t="s">
        <v>69</v>
      </c>
      <c r="BG606" t="s">
        <v>69</v>
      </c>
      <c r="BH606" t="s">
        <v>69</v>
      </c>
      <c r="BI606">
        <v>148</v>
      </c>
      <c r="BJ606">
        <v>165</v>
      </c>
      <c r="BK606" t="s">
        <v>69</v>
      </c>
      <c r="BL606" t="s">
        <v>2819</v>
      </c>
      <c r="BM606" t="str">
        <f>HYPERLINK("http://dx.doi.org/10.1017/S1466046616000259","http://dx.doi.org/10.1017/S1466046616000259")</f>
        <v>http://dx.doi.org/10.1017/S1466046616000259</v>
      </c>
      <c r="BN606" t="s">
        <v>69</v>
      </c>
      <c r="BO606" t="s">
        <v>69</v>
      </c>
      <c r="BP606">
        <v>18</v>
      </c>
      <c r="BQ606" t="s">
        <v>8717</v>
      </c>
      <c r="BR606" t="s">
        <v>8573</v>
      </c>
      <c r="BS606" t="s">
        <v>8662</v>
      </c>
      <c r="BT606" t="s">
        <v>21390</v>
      </c>
      <c r="BU606" t="s">
        <v>2820</v>
      </c>
      <c r="BV606" t="s">
        <v>69</v>
      </c>
      <c r="BW606" t="s">
        <v>69</v>
      </c>
      <c r="BX606" t="s">
        <v>69</v>
      </c>
      <c r="BY606" t="s">
        <v>69</v>
      </c>
      <c r="BZ606" t="s">
        <v>8526</v>
      </c>
      <c r="CA606" t="str">
        <f>HYPERLINK("https%3A%2F%2Fwww.webofscience.com%2Fwos%2Fwoscc%2Ffull-record%2FWOS:000382976500004","View Full Record in Web of Science")</f>
        <v>View Full Record in Web of Science</v>
      </c>
    </row>
    <row r="607" spans="1:79" ht="12.5" x14ac:dyDescent="0.25">
      <c r="B607" t="s">
        <v>8495</v>
      </c>
      <c r="D607" s="22" t="s">
        <v>32931</v>
      </c>
      <c r="E607" s="7"/>
      <c r="F607" s="7"/>
      <c r="G607" s="7"/>
      <c r="H607" t="s">
        <v>67</v>
      </c>
      <c r="I607" t="s">
        <v>13794</v>
      </c>
      <c r="J607" t="s">
        <v>69</v>
      </c>
      <c r="K607" t="s">
        <v>69</v>
      </c>
      <c r="L607" t="s">
        <v>69</v>
      </c>
      <c r="M607" t="s">
        <v>13795</v>
      </c>
      <c r="N607" t="s">
        <v>69</v>
      </c>
      <c r="O607" t="s">
        <v>69</v>
      </c>
      <c r="P607" t="s">
        <v>13796</v>
      </c>
      <c r="Q607" t="s">
        <v>13797</v>
      </c>
      <c r="R607" t="s">
        <v>69</v>
      </c>
      <c r="S607" t="s">
        <v>69</v>
      </c>
      <c r="T607" t="s">
        <v>8505</v>
      </c>
      <c r="U607" t="s">
        <v>8506</v>
      </c>
      <c r="V607" t="s">
        <v>69</v>
      </c>
      <c r="W607" t="s">
        <v>69</v>
      </c>
      <c r="X607" t="s">
        <v>69</v>
      </c>
      <c r="Y607" t="s">
        <v>69</v>
      </c>
      <c r="Z607" t="s">
        <v>69</v>
      </c>
      <c r="AA607" t="s">
        <v>13798</v>
      </c>
      <c r="AB607" t="s">
        <v>13799</v>
      </c>
      <c r="AC607" t="s">
        <v>13800</v>
      </c>
      <c r="AD607" t="s">
        <v>13801</v>
      </c>
      <c r="AE607" t="s">
        <v>69</v>
      </c>
      <c r="AF607" t="s">
        <v>13802</v>
      </c>
      <c r="AG607" t="s">
        <v>13803</v>
      </c>
      <c r="AH607" t="s">
        <v>13804</v>
      </c>
      <c r="AI607" t="s">
        <v>13805</v>
      </c>
      <c r="AJ607" t="s">
        <v>13806</v>
      </c>
      <c r="AK607" t="s">
        <v>13806</v>
      </c>
      <c r="AL607" t="s">
        <v>13807</v>
      </c>
      <c r="AM607" t="s">
        <v>69</v>
      </c>
      <c r="AN607">
        <v>47</v>
      </c>
      <c r="AO607">
        <v>0</v>
      </c>
      <c r="AP607">
        <v>0</v>
      </c>
      <c r="AQ607">
        <v>0</v>
      </c>
      <c r="AR607">
        <v>2</v>
      </c>
      <c r="AS607" t="s">
        <v>13769</v>
      </c>
      <c r="AT607" t="s">
        <v>13770</v>
      </c>
      <c r="AU607" t="s">
        <v>13771</v>
      </c>
      <c r="AV607" t="s">
        <v>13808</v>
      </c>
      <c r="AW607" t="s">
        <v>69</v>
      </c>
      <c r="AX607" t="s">
        <v>69</v>
      </c>
      <c r="AY607" t="s">
        <v>13809</v>
      </c>
      <c r="AZ607" t="s">
        <v>13810</v>
      </c>
      <c r="BA607" t="s">
        <v>451</v>
      </c>
      <c r="BB607">
        <v>2021</v>
      </c>
      <c r="BC607">
        <v>8</v>
      </c>
      <c r="BD607">
        <v>1</v>
      </c>
      <c r="BE607" t="s">
        <v>69</v>
      </c>
      <c r="BF607" t="s">
        <v>69</v>
      </c>
      <c r="BG607" t="s">
        <v>69</v>
      </c>
      <c r="BH607" t="s">
        <v>69</v>
      </c>
      <c r="BI607" t="s">
        <v>69</v>
      </c>
      <c r="BJ607" t="s">
        <v>69</v>
      </c>
      <c r="BK607">
        <v>1878590</v>
      </c>
      <c r="BL607" t="s">
        <v>13811</v>
      </c>
      <c r="BM607" t="str">
        <f>HYPERLINK("http://dx.doi.org/10.1080/23311983.2021.1878590","http://dx.doi.org/10.1080/23311983.2021.1878590")</f>
        <v>http://dx.doi.org/10.1080/23311983.2021.1878590</v>
      </c>
      <c r="BN607" t="s">
        <v>69</v>
      </c>
      <c r="BO607" t="s">
        <v>69</v>
      </c>
      <c r="BP607">
        <v>15</v>
      </c>
      <c r="BQ607" t="s">
        <v>11206</v>
      </c>
      <c r="BR607" t="s">
        <v>8573</v>
      </c>
      <c r="BS607" t="s">
        <v>11208</v>
      </c>
      <c r="BT607" t="s">
        <v>13812</v>
      </c>
      <c r="BU607" t="s">
        <v>13813</v>
      </c>
      <c r="BV607" t="s">
        <v>69</v>
      </c>
      <c r="BW607" t="s">
        <v>8931</v>
      </c>
      <c r="BX607" t="s">
        <v>69</v>
      </c>
      <c r="BY607" t="s">
        <v>69</v>
      </c>
      <c r="BZ607" t="s">
        <v>8526</v>
      </c>
      <c r="CA607" t="str">
        <f>HYPERLINK("https%3A%2F%2Fwww.webofscience.com%2Fwos%2Fwoscc%2Ffull-record%2FWOS:000620384500001","View Full Record in Web of Science")</f>
        <v>View Full Record in Web of Science</v>
      </c>
    </row>
    <row r="608" spans="1:79" x14ac:dyDescent="0.3">
      <c r="B608" t="s">
        <v>8495</v>
      </c>
      <c r="D608" s="9" t="s">
        <v>32982</v>
      </c>
      <c r="E608" s="9" t="s">
        <v>33074</v>
      </c>
      <c r="G608" s="9" t="s">
        <v>8490</v>
      </c>
      <c r="H608" t="s">
        <v>67</v>
      </c>
      <c r="I608" t="s">
        <v>14887</v>
      </c>
      <c r="J608" t="s">
        <v>69</v>
      </c>
      <c r="K608" t="s">
        <v>69</v>
      </c>
      <c r="L608" t="s">
        <v>69</v>
      </c>
      <c r="M608" t="s">
        <v>14888</v>
      </c>
      <c r="N608" t="s">
        <v>69</v>
      </c>
      <c r="O608" t="s">
        <v>69</v>
      </c>
      <c r="P608" t="s">
        <v>14889</v>
      </c>
      <c r="Q608" t="s">
        <v>14890</v>
      </c>
      <c r="R608" t="s">
        <v>69</v>
      </c>
      <c r="S608" t="s">
        <v>69</v>
      </c>
      <c r="T608" t="s">
        <v>8505</v>
      </c>
      <c r="U608" t="s">
        <v>8506</v>
      </c>
      <c r="V608" t="s">
        <v>69</v>
      </c>
      <c r="W608" t="s">
        <v>69</v>
      </c>
      <c r="X608" t="s">
        <v>69</v>
      </c>
      <c r="Y608" t="s">
        <v>69</v>
      </c>
      <c r="Z608" t="s">
        <v>69</v>
      </c>
      <c r="AA608" t="s">
        <v>14891</v>
      </c>
      <c r="AB608" t="s">
        <v>14892</v>
      </c>
      <c r="AC608" t="s">
        <v>14893</v>
      </c>
      <c r="AD608" t="s">
        <v>14894</v>
      </c>
      <c r="AE608" t="s">
        <v>69</v>
      </c>
      <c r="AF608" t="s">
        <v>14895</v>
      </c>
      <c r="AG608" t="s">
        <v>14896</v>
      </c>
      <c r="AH608" t="s">
        <v>69</v>
      </c>
      <c r="AI608" t="s">
        <v>14897</v>
      </c>
      <c r="AJ608" t="s">
        <v>69</v>
      </c>
      <c r="AK608" t="s">
        <v>69</v>
      </c>
      <c r="AL608" t="s">
        <v>69</v>
      </c>
      <c r="AM608" t="s">
        <v>69</v>
      </c>
      <c r="AN608">
        <v>90</v>
      </c>
      <c r="AO608">
        <v>0</v>
      </c>
      <c r="AP608">
        <v>0</v>
      </c>
      <c r="AQ608">
        <v>0</v>
      </c>
      <c r="AR608">
        <v>4</v>
      </c>
      <c r="AS608" t="s">
        <v>9047</v>
      </c>
      <c r="AT608" t="s">
        <v>9048</v>
      </c>
      <c r="AU608" t="s">
        <v>9049</v>
      </c>
      <c r="AV608" t="s">
        <v>14898</v>
      </c>
      <c r="AW608" t="s">
        <v>14899</v>
      </c>
      <c r="AX608" t="s">
        <v>69</v>
      </c>
      <c r="AY608" t="s">
        <v>14890</v>
      </c>
      <c r="AZ608" t="s">
        <v>14900</v>
      </c>
      <c r="BA608" t="s">
        <v>75</v>
      </c>
      <c r="BB608">
        <v>2020</v>
      </c>
      <c r="BC608">
        <v>58</v>
      </c>
      <c r="BD608">
        <v>4</v>
      </c>
      <c r="BE608" t="s">
        <v>69</v>
      </c>
      <c r="BF608" t="s">
        <v>69</v>
      </c>
      <c r="BG608" t="s">
        <v>69</v>
      </c>
      <c r="BH608" t="s">
        <v>69</v>
      </c>
      <c r="BI608">
        <v>535</v>
      </c>
      <c r="BJ608">
        <v>558</v>
      </c>
      <c r="BK608" t="s">
        <v>69</v>
      </c>
      <c r="BL608" t="s">
        <v>14901</v>
      </c>
      <c r="BM608" t="str">
        <f>HYPERLINK("http://dx.doi.org/10.1007/s11024-020-09411-8","http://dx.doi.org/10.1007/s11024-020-09411-8")</f>
        <v>http://dx.doi.org/10.1007/s11024-020-09411-8</v>
      </c>
      <c r="BN608" t="s">
        <v>69</v>
      </c>
      <c r="BO608" t="s">
        <v>4582</v>
      </c>
      <c r="BP608">
        <v>24</v>
      </c>
      <c r="BQ608" t="s">
        <v>14902</v>
      </c>
      <c r="BR608" t="s">
        <v>8661</v>
      </c>
      <c r="BS608" t="s">
        <v>14903</v>
      </c>
      <c r="BT608" t="s">
        <v>14904</v>
      </c>
      <c r="BU608" t="s">
        <v>14905</v>
      </c>
      <c r="BV608">
        <v>32836392</v>
      </c>
      <c r="BW608" t="s">
        <v>8746</v>
      </c>
      <c r="BX608" t="s">
        <v>69</v>
      </c>
      <c r="BY608" t="s">
        <v>69</v>
      </c>
      <c r="BZ608" t="s">
        <v>8526</v>
      </c>
      <c r="CA608" t="str">
        <f>HYPERLINK("https%3A%2F%2Fwww.webofscience.com%2Fwos%2Fwoscc%2Ffull-record%2FWOS:000543003100001","View Full Record in Web of Science")</f>
        <v>View Full Record in Web of Science</v>
      </c>
    </row>
    <row r="609" spans="2:79" ht="12.5" x14ac:dyDescent="0.25">
      <c r="B609" t="s">
        <v>8495</v>
      </c>
      <c r="D609" s="7" t="s">
        <v>32933</v>
      </c>
      <c r="E609" s="7"/>
      <c r="F609" s="7"/>
      <c r="G609" s="7"/>
      <c r="H609" t="s">
        <v>67</v>
      </c>
      <c r="I609" t="s">
        <v>856</v>
      </c>
      <c r="J609" t="s">
        <v>69</v>
      </c>
      <c r="K609" t="s">
        <v>69</v>
      </c>
      <c r="L609" t="s">
        <v>69</v>
      </c>
      <c r="M609" t="s">
        <v>857</v>
      </c>
      <c r="N609" t="s">
        <v>69</v>
      </c>
      <c r="O609" t="s">
        <v>69</v>
      </c>
      <c r="P609" t="s">
        <v>858</v>
      </c>
      <c r="Q609" t="s">
        <v>859</v>
      </c>
      <c r="R609" t="s">
        <v>69</v>
      </c>
      <c r="S609" t="s">
        <v>69</v>
      </c>
      <c r="T609" t="s">
        <v>8505</v>
      </c>
      <c r="U609" t="s">
        <v>8506</v>
      </c>
      <c r="V609" t="s">
        <v>69</v>
      </c>
      <c r="W609" t="s">
        <v>69</v>
      </c>
      <c r="X609" t="s">
        <v>69</v>
      </c>
      <c r="Y609" t="s">
        <v>69</v>
      </c>
      <c r="Z609" t="s">
        <v>69</v>
      </c>
      <c r="AA609" t="s">
        <v>69</v>
      </c>
      <c r="AB609" t="s">
        <v>69</v>
      </c>
      <c r="AC609" t="s">
        <v>860</v>
      </c>
      <c r="AD609" t="s">
        <v>16351</v>
      </c>
      <c r="AE609" t="s">
        <v>69</v>
      </c>
      <c r="AF609" t="s">
        <v>16352</v>
      </c>
      <c r="AG609" t="s">
        <v>16353</v>
      </c>
      <c r="AH609" t="s">
        <v>69</v>
      </c>
      <c r="AI609" t="s">
        <v>861</v>
      </c>
      <c r="AJ609" t="s">
        <v>16354</v>
      </c>
      <c r="AK609" t="s">
        <v>16355</v>
      </c>
      <c r="AL609" t="s">
        <v>16356</v>
      </c>
      <c r="AM609" t="s">
        <v>69</v>
      </c>
      <c r="AN609">
        <v>20</v>
      </c>
      <c r="AO609">
        <v>1</v>
      </c>
      <c r="AP609">
        <v>1</v>
      </c>
      <c r="AQ609">
        <v>0</v>
      </c>
      <c r="AR609">
        <v>0</v>
      </c>
      <c r="AS609" t="s">
        <v>11130</v>
      </c>
      <c r="AT609" t="s">
        <v>11131</v>
      </c>
      <c r="AU609" t="s">
        <v>11132</v>
      </c>
      <c r="AV609" t="s">
        <v>862</v>
      </c>
      <c r="AW609" t="s">
        <v>69</v>
      </c>
      <c r="AX609" t="s">
        <v>69</v>
      </c>
      <c r="AY609" t="s">
        <v>859</v>
      </c>
      <c r="AZ609" t="s">
        <v>11133</v>
      </c>
      <c r="BA609" t="s">
        <v>863</v>
      </c>
      <c r="BB609">
        <v>2019</v>
      </c>
      <c r="BC609">
        <v>14</v>
      </c>
      <c r="BD609">
        <v>12</v>
      </c>
      <c r="BE609" t="s">
        <v>69</v>
      </c>
      <c r="BF609" t="s">
        <v>69</v>
      </c>
      <c r="BG609" t="s">
        <v>69</v>
      </c>
      <c r="BH609" t="s">
        <v>69</v>
      </c>
      <c r="BI609" t="s">
        <v>69</v>
      </c>
      <c r="BJ609" t="s">
        <v>69</v>
      </c>
      <c r="BK609" t="s">
        <v>864</v>
      </c>
      <c r="BL609" t="s">
        <v>865</v>
      </c>
      <c r="BM609" t="str">
        <f>HYPERLINK("http://dx.doi.org/10.1371/journal.pone.0226612","http://dx.doi.org/10.1371/journal.pone.0226612")</f>
        <v>http://dx.doi.org/10.1371/journal.pone.0226612</v>
      </c>
      <c r="BN609" t="s">
        <v>69</v>
      </c>
      <c r="BO609" t="s">
        <v>69</v>
      </c>
      <c r="BP609">
        <v>20</v>
      </c>
      <c r="BQ609" t="s">
        <v>8619</v>
      </c>
      <c r="BR609" t="s">
        <v>8548</v>
      </c>
      <c r="BS609" t="s">
        <v>8620</v>
      </c>
      <c r="BT609" t="s">
        <v>16357</v>
      </c>
      <c r="BU609" t="s">
        <v>866</v>
      </c>
      <c r="BV609">
        <v>31841555</v>
      </c>
      <c r="BW609" t="s">
        <v>8812</v>
      </c>
      <c r="BX609" t="s">
        <v>69</v>
      </c>
      <c r="BY609" t="s">
        <v>69</v>
      </c>
      <c r="BZ609" t="s">
        <v>8526</v>
      </c>
      <c r="CA609" t="str">
        <f>HYPERLINK("https%3A%2F%2Fwww.webofscience.com%2Fwos%2Fwoscc%2Ffull-record%2FWOS:000534236300047","View Full Record in Web of Science")</f>
        <v>View Full Record in Web of Science</v>
      </c>
    </row>
    <row r="610" spans="2:79" x14ac:dyDescent="0.3">
      <c r="B610" t="s">
        <v>8495</v>
      </c>
      <c r="D610" s="13" t="s">
        <v>32971</v>
      </c>
      <c r="H610" t="s">
        <v>67</v>
      </c>
      <c r="I610" t="s">
        <v>6122</v>
      </c>
      <c r="J610" t="s">
        <v>69</v>
      </c>
      <c r="K610" t="s">
        <v>69</v>
      </c>
      <c r="L610" t="s">
        <v>69</v>
      </c>
      <c r="M610" s="4" t="s">
        <v>6123</v>
      </c>
      <c r="N610" t="s">
        <v>69</v>
      </c>
      <c r="O610" t="s">
        <v>69</v>
      </c>
      <c r="P610" s="6" t="s">
        <v>6124</v>
      </c>
      <c r="Q610" t="s">
        <v>352</v>
      </c>
      <c r="R610" t="s">
        <v>69</v>
      </c>
      <c r="S610" t="s">
        <v>69</v>
      </c>
      <c r="T610" t="s">
        <v>8505</v>
      </c>
      <c r="U610" t="s">
        <v>8506</v>
      </c>
      <c r="V610" t="s">
        <v>69</v>
      </c>
      <c r="W610" t="s">
        <v>69</v>
      </c>
      <c r="X610" t="s">
        <v>69</v>
      </c>
      <c r="Y610" t="s">
        <v>69</v>
      </c>
      <c r="Z610" t="s">
        <v>69</v>
      </c>
      <c r="AA610" t="s">
        <v>13992</v>
      </c>
      <c r="AB610" t="s">
        <v>13993</v>
      </c>
      <c r="AC610" t="s">
        <v>6125</v>
      </c>
      <c r="AD610" t="s">
        <v>13994</v>
      </c>
      <c r="AE610" t="s">
        <v>69</v>
      </c>
      <c r="AF610" t="s">
        <v>13995</v>
      </c>
      <c r="AG610" t="s">
        <v>13996</v>
      </c>
      <c r="AH610" t="s">
        <v>69</v>
      </c>
      <c r="AI610" t="s">
        <v>13997</v>
      </c>
      <c r="AJ610" t="s">
        <v>13998</v>
      </c>
      <c r="AK610" t="s">
        <v>13999</v>
      </c>
      <c r="AL610" t="s">
        <v>14000</v>
      </c>
      <c r="AM610" t="s">
        <v>69</v>
      </c>
      <c r="AN610">
        <v>60</v>
      </c>
      <c r="AO610">
        <v>2</v>
      </c>
      <c r="AP610">
        <v>2</v>
      </c>
      <c r="AQ610">
        <v>25</v>
      </c>
      <c r="AR610">
        <v>50</v>
      </c>
      <c r="AS610" t="s">
        <v>8924</v>
      </c>
      <c r="AT610" t="s">
        <v>8925</v>
      </c>
      <c r="AU610" t="s">
        <v>8926</v>
      </c>
      <c r="AV610" t="s">
        <v>69</v>
      </c>
      <c r="AW610" t="s">
        <v>354</v>
      </c>
      <c r="AX610" t="s">
        <v>69</v>
      </c>
      <c r="AY610" t="s">
        <v>8958</v>
      </c>
      <c r="AZ610" t="s">
        <v>8434</v>
      </c>
      <c r="BA610" t="s">
        <v>75</v>
      </c>
      <c r="BB610">
        <v>2020</v>
      </c>
      <c r="BC610">
        <v>12</v>
      </c>
      <c r="BD610">
        <v>24</v>
      </c>
      <c r="BE610" t="s">
        <v>69</v>
      </c>
      <c r="BF610" t="s">
        <v>69</v>
      </c>
      <c r="BG610" t="s">
        <v>69</v>
      </c>
      <c r="BH610" t="s">
        <v>69</v>
      </c>
      <c r="BI610" t="s">
        <v>69</v>
      </c>
      <c r="BJ610" t="s">
        <v>69</v>
      </c>
      <c r="BK610">
        <v>10228</v>
      </c>
      <c r="BL610" t="s">
        <v>6126</v>
      </c>
      <c r="BM610" t="str">
        <f>HYPERLINK("http://dx.doi.org/10.3390/su122410228","http://dx.doi.org/10.3390/su122410228")</f>
        <v>http://dx.doi.org/10.3390/su122410228</v>
      </c>
      <c r="BN610" t="s">
        <v>69</v>
      </c>
      <c r="BO610" t="s">
        <v>69</v>
      </c>
      <c r="BP610">
        <v>15</v>
      </c>
      <c r="BQ610" t="s">
        <v>8960</v>
      </c>
      <c r="BR610" t="s">
        <v>8523</v>
      </c>
      <c r="BS610" t="s">
        <v>8961</v>
      </c>
      <c r="BT610" t="s">
        <v>14001</v>
      </c>
      <c r="BU610" t="s">
        <v>6127</v>
      </c>
      <c r="BV610" t="s">
        <v>69</v>
      </c>
      <c r="BW610" t="s">
        <v>9352</v>
      </c>
      <c r="BX610" t="s">
        <v>69</v>
      </c>
      <c r="BY610" t="s">
        <v>69</v>
      </c>
      <c r="BZ610" t="s">
        <v>8526</v>
      </c>
      <c r="CA610" t="str">
        <f>HYPERLINK("https%3A%2F%2Fwww.webofscience.com%2Fwos%2Fwoscc%2Ffull-record%2FWOS:000603287200001","View Full Record in Web of Science")</f>
        <v>View Full Record in Web of Science</v>
      </c>
    </row>
    <row r="611" spans="2:79" ht="12.5" x14ac:dyDescent="0.25">
      <c r="B611" t="s">
        <v>8495</v>
      </c>
      <c r="D611" s="7" t="s">
        <v>32933</v>
      </c>
      <c r="E611" s="7"/>
      <c r="F611" s="7"/>
      <c r="G611" s="7"/>
      <c r="H611" t="s">
        <v>67</v>
      </c>
      <c r="I611" t="s">
        <v>5075</v>
      </c>
      <c r="J611" t="s">
        <v>69</v>
      </c>
      <c r="K611" t="s">
        <v>69</v>
      </c>
      <c r="L611" t="s">
        <v>69</v>
      </c>
      <c r="M611" t="s">
        <v>5075</v>
      </c>
      <c r="N611" t="s">
        <v>69</v>
      </c>
      <c r="O611" t="s">
        <v>69</v>
      </c>
      <c r="P611" t="s">
        <v>5076</v>
      </c>
      <c r="Q611" t="s">
        <v>5077</v>
      </c>
      <c r="R611" t="s">
        <v>69</v>
      </c>
      <c r="S611" t="s">
        <v>69</v>
      </c>
      <c r="T611" t="s">
        <v>8505</v>
      </c>
      <c r="U611" t="s">
        <v>8506</v>
      </c>
      <c r="V611" t="s">
        <v>69</v>
      </c>
      <c r="W611" t="s">
        <v>69</v>
      </c>
      <c r="X611" t="s">
        <v>69</v>
      </c>
      <c r="Y611" t="s">
        <v>69</v>
      </c>
      <c r="Z611" t="s">
        <v>69</v>
      </c>
      <c r="AA611" t="s">
        <v>32900</v>
      </c>
      <c r="AB611" t="s">
        <v>69</v>
      </c>
      <c r="AC611" t="s">
        <v>5078</v>
      </c>
      <c r="AD611" t="s">
        <v>32901</v>
      </c>
      <c r="AE611" t="s">
        <v>69</v>
      </c>
      <c r="AF611" t="s">
        <v>32902</v>
      </c>
      <c r="AG611" t="s">
        <v>69</v>
      </c>
      <c r="AH611" t="s">
        <v>5079</v>
      </c>
      <c r="AI611" t="s">
        <v>5080</v>
      </c>
      <c r="AJ611" t="s">
        <v>69</v>
      </c>
      <c r="AK611" t="s">
        <v>69</v>
      </c>
      <c r="AL611" t="s">
        <v>69</v>
      </c>
      <c r="AM611" t="s">
        <v>69</v>
      </c>
      <c r="AN611">
        <v>14</v>
      </c>
      <c r="AO611">
        <v>13</v>
      </c>
      <c r="AP611">
        <v>13</v>
      </c>
      <c r="AQ611">
        <v>0</v>
      </c>
      <c r="AR611">
        <v>5</v>
      </c>
      <c r="AS611" t="s">
        <v>32903</v>
      </c>
      <c r="AT611" t="s">
        <v>26039</v>
      </c>
      <c r="AU611" t="s">
        <v>32728</v>
      </c>
      <c r="AV611" t="s">
        <v>5081</v>
      </c>
      <c r="AW611" t="s">
        <v>69</v>
      </c>
      <c r="AX611" t="s">
        <v>69</v>
      </c>
      <c r="AY611" t="s">
        <v>32729</v>
      </c>
      <c r="AZ611" t="s">
        <v>32730</v>
      </c>
      <c r="BA611" t="s">
        <v>191</v>
      </c>
      <c r="BB611">
        <v>1991</v>
      </c>
      <c r="BC611">
        <v>45</v>
      </c>
      <c r="BD611">
        <v>1</v>
      </c>
      <c r="BE611" t="s">
        <v>69</v>
      </c>
      <c r="BF611" t="s">
        <v>69</v>
      </c>
      <c r="BG611" t="s">
        <v>69</v>
      </c>
      <c r="BH611" t="s">
        <v>69</v>
      </c>
      <c r="BI611">
        <v>22</v>
      </c>
      <c r="BJ611">
        <v>27</v>
      </c>
      <c r="BK611" t="s">
        <v>69</v>
      </c>
      <c r="BL611" t="s">
        <v>5082</v>
      </c>
      <c r="BM611" t="str">
        <f>HYPERLINK("http://dx.doi.org/10.2307/2685234","http://dx.doi.org/10.2307/2685234")</f>
        <v>http://dx.doi.org/10.2307/2685234</v>
      </c>
      <c r="BN611" t="s">
        <v>69</v>
      </c>
      <c r="BO611" t="s">
        <v>69</v>
      </c>
      <c r="BP611">
        <v>6</v>
      </c>
      <c r="BQ611" t="s">
        <v>25853</v>
      </c>
      <c r="BR611" t="s">
        <v>8548</v>
      </c>
      <c r="BS611" t="s">
        <v>25854</v>
      </c>
      <c r="BT611" t="s">
        <v>32904</v>
      </c>
      <c r="BU611" t="s">
        <v>5083</v>
      </c>
      <c r="BV611" t="s">
        <v>69</v>
      </c>
      <c r="BW611" t="s">
        <v>69</v>
      </c>
      <c r="BX611" t="s">
        <v>69</v>
      </c>
      <c r="BY611" t="s">
        <v>69</v>
      </c>
      <c r="BZ611" t="s">
        <v>8526</v>
      </c>
      <c r="CA611" t="str">
        <f>HYPERLINK("https%3A%2F%2Fwww.webofscience.com%2Fwos%2Fwoscc%2Ffull-record%2FWOS:A1991EU94800005","View Full Record in Web of Science")</f>
        <v>View Full Record in Web of Science</v>
      </c>
    </row>
    <row r="612" spans="2:79" ht="12.5" x14ac:dyDescent="0.25">
      <c r="B612" t="s">
        <v>8495</v>
      </c>
      <c r="D612" s="7" t="s">
        <v>32933</v>
      </c>
      <c r="E612" s="7"/>
      <c r="F612" s="7"/>
      <c r="G612" s="7"/>
      <c r="H612" t="s">
        <v>67</v>
      </c>
      <c r="I612" t="s">
        <v>7245</v>
      </c>
      <c r="J612" t="s">
        <v>69</v>
      </c>
      <c r="K612" t="s">
        <v>69</v>
      </c>
      <c r="L612" t="s">
        <v>69</v>
      </c>
      <c r="M612" t="s">
        <v>7246</v>
      </c>
      <c r="N612" t="s">
        <v>69</v>
      </c>
      <c r="O612" t="s">
        <v>69</v>
      </c>
      <c r="P612" s="4" t="s">
        <v>7247</v>
      </c>
      <c r="Q612" t="s">
        <v>7248</v>
      </c>
      <c r="R612" t="s">
        <v>69</v>
      </c>
      <c r="S612" t="s">
        <v>69</v>
      </c>
      <c r="T612" t="s">
        <v>8505</v>
      </c>
      <c r="U612" t="s">
        <v>8506</v>
      </c>
      <c r="V612" t="s">
        <v>69</v>
      </c>
      <c r="W612" t="s">
        <v>69</v>
      </c>
      <c r="X612" t="s">
        <v>69</v>
      </c>
      <c r="Y612" t="s">
        <v>69</v>
      </c>
      <c r="Z612" t="s">
        <v>69</v>
      </c>
      <c r="AA612" t="s">
        <v>16358</v>
      </c>
      <c r="AB612" t="s">
        <v>16359</v>
      </c>
      <c r="AC612" t="s">
        <v>7249</v>
      </c>
      <c r="AD612" t="s">
        <v>16360</v>
      </c>
      <c r="AE612" t="s">
        <v>69</v>
      </c>
      <c r="AF612" t="s">
        <v>16361</v>
      </c>
      <c r="AG612" t="s">
        <v>16362</v>
      </c>
      <c r="AH612" t="s">
        <v>69</v>
      </c>
      <c r="AI612" t="s">
        <v>16363</v>
      </c>
      <c r="AJ612" t="s">
        <v>69</v>
      </c>
      <c r="AK612" t="s">
        <v>69</v>
      </c>
      <c r="AL612" t="s">
        <v>69</v>
      </c>
      <c r="AM612" t="s">
        <v>69</v>
      </c>
      <c r="AN612">
        <v>22</v>
      </c>
      <c r="AO612">
        <v>4</v>
      </c>
      <c r="AP612">
        <v>4</v>
      </c>
      <c r="AQ612">
        <v>0</v>
      </c>
      <c r="AR612">
        <v>0</v>
      </c>
      <c r="AS612" t="s">
        <v>9978</v>
      </c>
      <c r="AT612" t="s">
        <v>9979</v>
      </c>
      <c r="AU612" t="s">
        <v>9980</v>
      </c>
      <c r="AV612" t="s">
        <v>7250</v>
      </c>
      <c r="AW612" t="s">
        <v>7251</v>
      </c>
      <c r="AX612" t="s">
        <v>69</v>
      </c>
      <c r="AY612" t="s">
        <v>16364</v>
      </c>
      <c r="AZ612" t="s">
        <v>16365</v>
      </c>
      <c r="BA612" t="s">
        <v>75</v>
      </c>
      <c r="BB612">
        <v>2019</v>
      </c>
      <c r="BC612">
        <v>29</v>
      </c>
      <c r="BD612">
        <v>12</v>
      </c>
      <c r="BE612" t="s">
        <v>69</v>
      </c>
      <c r="BF612" t="s">
        <v>69</v>
      </c>
      <c r="BG612" t="s">
        <v>69</v>
      </c>
      <c r="BH612" t="s">
        <v>69</v>
      </c>
      <c r="BI612">
        <v>1489</v>
      </c>
      <c r="BJ612">
        <v>1493</v>
      </c>
      <c r="BK612" t="s">
        <v>69</v>
      </c>
      <c r="BL612" t="s">
        <v>7252</v>
      </c>
      <c r="BM612" t="str">
        <f>HYPERLINK("http://dx.doi.org/10.1017/S1047951119002531","http://dx.doi.org/10.1017/S1047951119002531")</f>
        <v>http://dx.doi.org/10.1017/S1047951119002531</v>
      </c>
      <c r="BN612" t="s">
        <v>69</v>
      </c>
      <c r="BO612" t="s">
        <v>69</v>
      </c>
      <c r="BP612">
        <v>5</v>
      </c>
      <c r="BQ612" t="s">
        <v>16366</v>
      </c>
      <c r="BR612" t="s">
        <v>8548</v>
      </c>
      <c r="BS612" t="s">
        <v>16367</v>
      </c>
      <c r="BT612" t="s">
        <v>16368</v>
      </c>
      <c r="BU612" t="s">
        <v>7253</v>
      </c>
      <c r="BV612">
        <v>31749444</v>
      </c>
      <c r="BW612" t="s">
        <v>69</v>
      </c>
      <c r="BX612" t="s">
        <v>69</v>
      </c>
      <c r="BY612" t="s">
        <v>69</v>
      </c>
      <c r="BZ612" t="s">
        <v>8526</v>
      </c>
      <c r="CA612" t="str">
        <f>HYPERLINK("https%3A%2F%2Fwww.webofscience.com%2Fwos%2Fwoscc%2Ffull-record%2FWOS:000511342400012","View Full Record in Web of Science")</f>
        <v>View Full Record in Web of Science</v>
      </c>
    </row>
    <row r="613" spans="2:79" ht="12.5" x14ac:dyDescent="0.25">
      <c r="B613" t="s">
        <v>8495</v>
      </c>
      <c r="D613" s="7" t="s">
        <v>32933</v>
      </c>
      <c r="E613" s="7"/>
      <c r="F613" s="7"/>
      <c r="G613" s="7"/>
      <c r="H613" t="s">
        <v>67</v>
      </c>
      <c r="I613" t="s">
        <v>7234</v>
      </c>
      <c r="J613" t="s">
        <v>69</v>
      </c>
      <c r="K613" t="s">
        <v>69</v>
      </c>
      <c r="L613" t="s">
        <v>69</v>
      </c>
      <c r="M613" t="s">
        <v>7235</v>
      </c>
      <c r="N613" t="s">
        <v>69</v>
      </c>
      <c r="O613" t="s">
        <v>69</v>
      </c>
      <c r="P613" t="s">
        <v>7236</v>
      </c>
      <c r="Q613" t="s">
        <v>7237</v>
      </c>
      <c r="R613" t="s">
        <v>69</v>
      </c>
      <c r="S613" t="s">
        <v>69</v>
      </c>
      <c r="T613" t="s">
        <v>8505</v>
      </c>
      <c r="U613" t="s">
        <v>8506</v>
      </c>
      <c r="V613" t="s">
        <v>69</v>
      </c>
      <c r="W613" t="s">
        <v>69</v>
      </c>
      <c r="X613" t="s">
        <v>69</v>
      </c>
      <c r="Y613" t="s">
        <v>69</v>
      </c>
      <c r="Z613" t="s">
        <v>69</v>
      </c>
      <c r="AA613" t="s">
        <v>17930</v>
      </c>
      <c r="AB613" t="s">
        <v>17931</v>
      </c>
      <c r="AC613" t="s">
        <v>7238</v>
      </c>
      <c r="AD613" t="s">
        <v>17932</v>
      </c>
      <c r="AE613" t="s">
        <v>69</v>
      </c>
      <c r="AF613" t="s">
        <v>17933</v>
      </c>
      <c r="AG613" t="s">
        <v>17934</v>
      </c>
      <c r="AH613" t="s">
        <v>7239</v>
      </c>
      <c r="AI613" t="s">
        <v>7240</v>
      </c>
      <c r="AJ613" t="s">
        <v>17935</v>
      </c>
      <c r="AK613" t="s">
        <v>17936</v>
      </c>
      <c r="AL613" t="s">
        <v>17937</v>
      </c>
      <c r="AM613" t="s">
        <v>69</v>
      </c>
      <c r="AN613">
        <v>28</v>
      </c>
      <c r="AO613">
        <v>8</v>
      </c>
      <c r="AP613">
        <v>8</v>
      </c>
      <c r="AQ613">
        <v>1</v>
      </c>
      <c r="AR613">
        <v>8</v>
      </c>
      <c r="AS613" t="s">
        <v>9978</v>
      </c>
      <c r="AT613" t="s">
        <v>8693</v>
      </c>
      <c r="AU613" t="s">
        <v>17938</v>
      </c>
      <c r="AV613" t="s">
        <v>7241</v>
      </c>
      <c r="AW613" t="s">
        <v>7242</v>
      </c>
      <c r="AX613" t="s">
        <v>69</v>
      </c>
      <c r="AY613" t="s">
        <v>7237</v>
      </c>
      <c r="AZ613" t="s">
        <v>17939</v>
      </c>
      <c r="BA613" t="s">
        <v>373</v>
      </c>
      <c r="BB613">
        <v>2019</v>
      </c>
      <c r="BC613">
        <v>53</v>
      </c>
      <c r="BD613">
        <v>1</v>
      </c>
      <c r="BE613" t="s">
        <v>69</v>
      </c>
      <c r="BF613" t="s">
        <v>69</v>
      </c>
      <c r="BG613" t="s">
        <v>69</v>
      </c>
      <c r="BH613" t="s">
        <v>69</v>
      </c>
      <c r="BI613">
        <v>49</v>
      </c>
      <c r="BJ613">
        <v>57</v>
      </c>
      <c r="BK613" t="s">
        <v>69</v>
      </c>
      <c r="BL613" t="s">
        <v>7243</v>
      </c>
      <c r="BM613" t="str">
        <f>HYPERLINK("http://dx.doi.org/10.1017/S0030605317001478","http://dx.doi.org/10.1017/S0030605317001478")</f>
        <v>http://dx.doi.org/10.1017/S0030605317001478</v>
      </c>
      <c r="BN613" t="s">
        <v>69</v>
      </c>
      <c r="BO613" t="s">
        <v>69</v>
      </c>
      <c r="BP613">
        <v>9</v>
      </c>
      <c r="BQ613" t="s">
        <v>15451</v>
      </c>
      <c r="BR613" t="s">
        <v>8548</v>
      </c>
      <c r="BS613" t="s">
        <v>15452</v>
      </c>
      <c r="BT613" t="s">
        <v>17940</v>
      </c>
      <c r="BU613" t="s">
        <v>7244</v>
      </c>
      <c r="BV613" t="s">
        <v>69</v>
      </c>
      <c r="BW613" t="s">
        <v>9374</v>
      </c>
      <c r="BX613" t="s">
        <v>69</v>
      </c>
      <c r="BY613" t="s">
        <v>69</v>
      </c>
      <c r="BZ613" t="s">
        <v>8526</v>
      </c>
      <c r="CA613" t="str">
        <f>HYPERLINK("https%3A%2F%2Fwww.webofscience.com%2Fwos%2Fwoscc%2Ffull-record%2FWOS:000454304000009","View Full Record in Web of Science")</f>
        <v>View Full Record in Web of Science</v>
      </c>
    </row>
    <row r="614" spans="2:79" ht="12.5" x14ac:dyDescent="0.25">
      <c r="B614" t="s">
        <v>8495</v>
      </c>
      <c r="D614" s="7" t="s">
        <v>32933</v>
      </c>
      <c r="E614" s="7"/>
      <c r="F614" s="7"/>
      <c r="G614" s="7"/>
      <c r="H614" t="s">
        <v>67</v>
      </c>
      <c r="I614" t="s">
        <v>4323</v>
      </c>
      <c r="J614" t="s">
        <v>69</v>
      </c>
      <c r="K614" t="s">
        <v>69</v>
      </c>
      <c r="L614" t="s">
        <v>69</v>
      </c>
      <c r="M614" t="s">
        <v>4323</v>
      </c>
      <c r="N614" t="s">
        <v>69</v>
      </c>
      <c r="O614" t="s">
        <v>69</v>
      </c>
      <c r="P614" t="s">
        <v>4324</v>
      </c>
      <c r="Q614" t="s">
        <v>1495</v>
      </c>
      <c r="R614" t="s">
        <v>69</v>
      </c>
      <c r="S614" t="s">
        <v>69</v>
      </c>
      <c r="T614" t="s">
        <v>8505</v>
      </c>
      <c r="U614" t="s">
        <v>8506</v>
      </c>
      <c r="V614" t="s">
        <v>69</v>
      </c>
      <c r="W614" t="s">
        <v>69</v>
      </c>
      <c r="X614" t="s">
        <v>69</v>
      </c>
      <c r="Y614" t="s">
        <v>69</v>
      </c>
      <c r="Z614" t="s">
        <v>69</v>
      </c>
      <c r="AA614" t="s">
        <v>69</v>
      </c>
      <c r="AB614" t="s">
        <v>32683</v>
      </c>
      <c r="AC614" t="s">
        <v>4325</v>
      </c>
      <c r="AD614" t="s">
        <v>32684</v>
      </c>
      <c r="AE614" t="s">
        <v>69</v>
      </c>
      <c r="AF614" t="s">
        <v>32685</v>
      </c>
      <c r="AG614" t="s">
        <v>69</v>
      </c>
      <c r="AH614" t="s">
        <v>69</v>
      </c>
      <c r="AI614" t="s">
        <v>69</v>
      </c>
      <c r="AJ614" t="s">
        <v>69</v>
      </c>
      <c r="AK614" t="s">
        <v>69</v>
      </c>
      <c r="AL614" t="s">
        <v>69</v>
      </c>
      <c r="AM614" t="s">
        <v>69</v>
      </c>
      <c r="AN614">
        <v>30</v>
      </c>
      <c r="AO614">
        <v>14</v>
      </c>
      <c r="AP614">
        <v>14</v>
      </c>
      <c r="AQ614">
        <v>0</v>
      </c>
      <c r="AR614">
        <v>7</v>
      </c>
      <c r="AS614" t="s">
        <v>9554</v>
      </c>
      <c r="AT614" t="s">
        <v>9555</v>
      </c>
      <c r="AU614" t="s">
        <v>32686</v>
      </c>
      <c r="AV614" t="s">
        <v>1499</v>
      </c>
      <c r="AW614" t="s">
        <v>69</v>
      </c>
      <c r="AX614" t="s">
        <v>69</v>
      </c>
      <c r="AY614" t="s">
        <v>13954</v>
      </c>
      <c r="AZ614" t="s">
        <v>13955</v>
      </c>
      <c r="BA614" t="s">
        <v>4092</v>
      </c>
      <c r="BB614">
        <v>1994</v>
      </c>
      <c r="BC614">
        <v>19</v>
      </c>
      <c r="BD614">
        <v>2</v>
      </c>
      <c r="BE614" t="s">
        <v>69</v>
      </c>
      <c r="BF614" t="s">
        <v>69</v>
      </c>
      <c r="BG614" t="s">
        <v>69</v>
      </c>
      <c r="BH614" t="s">
        <v>69</v>
      </c>
      <c r="BI614">
        <v>223</v>
      </c>
      <c r="BJ614">
        <v>241</v>
      </c>
      <c r="BK614" t="s">
        <v>69</v>
      </c>
      <c r="BL614" t="s">
        <v>4326</v>
      </c>
      <c r="BM614" t="str">
        <f>HYPERLINK("http://dx.doi.org/10.1177/016224399401900206","http://dx.doi.org/10.1177/016224399401900206")</f>
        <v>http://dx.doi.org/10.1177/016224399401900206</v>
      </c>
      <c r="BN614" t="s">
        <v>69</v>
      </c>
      <c r="BO614" t="s">
        <v>69</v>
      </c>
      <c r="BP614">
        <v>19</v>
      </c>
      <c r="BQ614" t="s">
        <v>13650</v>
      </c>
      <c r="BR614" t="s">
        <v>8661</v>
      </c>
      <c r="BS614" t="s">
        <v>13650</v>
      </c>
      <c r="BT614" t="s">
        <v>32687</v>
      </c>
      <c r="BU614" t="s">
        <v>4327</v>
      </c>
      <c r="BV614">
        <v>11652278</v>
      </c>
      <c r="BW614" t="s">
        <v>69</v>
      </c>
      <c r="BX614" t="s">
        <v>69</v>
      </c>
      <c r="BY614" t="s">
        <v>69</v>
      </c>
      <c r="BZ614" t="s">
        <v>8526</v>
      </c>
      <c r="CA614" t="str">
        <f>HYPERLINK("https%3A%2F%2Fwww.webofscience.com%2Fwos%2Fwoscc%2Ffull-record%2FWOS:A1994ND36700006","View Full Record in Web of Science")</f>
        <v>View Full Record in Web of Science</v>
      </c>
    </row>
    <row r="615" spans="2:79" ht="12.5" x14ac:dyDescent="0.25">
      <c r="B615" t="s">
        <v>8495</v>
      </c>
      <c r="D615" s="7" t="s">
        <v>32933</v>
      </c>
      <c r="E615" s="7"/>
      <c r="F615" s="7"/>
      <c r="G615" s="7"/>
      <c r="H615" t="s">
        <v>67</v>
      </c>
      <c r="I615" t="s">
        <v>1387</v>
      </c>
      <c r="J615" t="s">
        <v>69</v>
      </c>
      <c r="K615" t="s">
        <v>69</v>
      </c>
      <c r="L615" t="s">
        <v>69</v>
      </c>
      <c r="M615" t="s">
        <v>1388</v>
      </c>
      <c r="N615" t="s">
        <v>69</v>
      </c>
      <c r="O615" t="s">
        <v>69</v>
      </c>
      <c r="P615" t="s">
        <v>1389</v>
      </c>
      <c r="Q615" t="s">
        <v>436</v>
      </c>
      <c r="R615" t="s">
        <v>69</v>
      </c>
      <c r="S615" t="s">
        <v>69</v>
      </c>
      <c r="T615" t="s">
        <v>8505</v>
      </c>
      <c r="U615" t="s">
        <v>8506</v>
      </c>
      <c r="V615" t="s">
        <v>69</v>
      </c>
      <c r="W615" t="s">
        <v>69</v>
      </c>
      <c r="X615" t="s">
        <v>69</v>
      </c>
      <c r="Y615" t="s">
        <v>69</v>
      </c>
      <c r="Z615" t="s">
        <v>69</v>
      </c>
      <c r="AA615" t="s">
        <v>23991</v>
      </c>
      <c r="AB615" t="s">
        <v>23992</v>
      </c>
      <c r="AC615" t="s">
        <v>1390</v>
      </c>
      <c r="AD615" t="s">
        <v>23993</v>
      </c>
      <c r="AE615" t="s">
        <v>69</v>
      </c>
      <c r="AF615" t="s">
        <v>23994</v>
      </c>
      <c r="AG615" t="s">
        <v>23995</v>
      </c>
      <c r="AH615" t="s">
        <v>69</v>
      </c>
      <c r="AI615" t="s">
        <v>1391</v>
      </c>
      <c r="AJ615" t="s">
        <v>23996</v>
      </c>
      <c r="AK615" t="s">
        <v>23997</v>
      </c>
      <c r="AL615" t="s">
        <v>69</v>
      </c>
      <c r="AM615" t="s">
        <v>69</v>
      </c>
      <c r="AN615">
        <v>76</v>
      </c>
      <c r="AO615">
        <v>29</v>
      </c>
      <c r="AP615">
        <v>31</v>
      </c>
      <c r="AQ615">
        <v>2</v>
      </c>
      <c r="AR615">
        <v>52</v>
      </c>
      <c r="AS615" t="s">
        <v>8636</v>
      </c>
      <c r="AT615" t="s">
        <v>8637</v>
      </c>
      <c r="AU615" t="s">
        <v>8638</v>
      </c>
      <c r="AV615" t="s">
        <v>440</v>
      </c>
      <c r="AW615" t="s">
        <v>441</v>
      </c>
      <c r="AX615" t="s">
        <v>69</v>
      </c>
      <c r="AY615" t="s">
        <v>8639</v>
      </c>
      <c r="AZ615" t="s">
        <v>8640</v>
      </c>
      <c r="BA615" t="s">
        <v>1392</v>
      </c>
      <c r="BB615">
        <v>2014</v>
      </c>
      <c r="BC615">
        <v>63</v>
      </c>
      <c r="BD615" t="s">
        <v>69</v>
      </c>
      <c r="BE615" t="s">
        <v>69</v>
      </c>
      <c r="BF615" t="s">
        <v>69</v>
      </c>
      <c r="BG615" t="s">
        <v>69</v>
      </c>
      <c r="BH615" t="s">
        <v>69</v>
      </c>
      <c r="BI615">
        <v>84</v>
      </c>
      <c r="BJ615">
        <v>92</v>
      </c>
      <c r="BK615" t="s">
        <v>69</v>
      </c>
      <c r="BL615" t="s">
        <v>1393</v>
      </c>
      <c r="BM615" t="str">
        <f>HYPERLINK("http://dx.doi.org/10.1016/j.jclepro.2013.04.040","http://dx.doi.org/10.1016/j.jclepro.2013.04.040")</f>
        <v>http://dx.doi.org/10.1016/j.jclepro.2013.04.040</v>
      </c>
      <c r="BN615" t="s">
        <v>69</v>
      </c>
      <c r="BO615" t="s">
        <v>69</v>
      </c>
      <c r="BP615">
        <v>9</v>
      </c>
      <c r="BQ615" t="s">
        <v>8643</v>
      </c>
      <c r="BR615" t="s">
        <v>8523</v>
      </c>
      <c r="BS615" t="s">
        <v>8644</v>
      </c>
      <c r="BT615" t="s">
        <v>23998</v>
      </c>
      <c r="BU615" t="s">
        <v>1394</v>
      </c>
      <c r="BV615" t="s">
        <v>69</v>
      </c>
      <c r="BW615" t="s">
        <v>8622</v>
      </c>
      <c r="BX615" t="s">
        <v>69</v>
      </c>
      <c r="BY615" t="s">
        <v>69</v>
      </c>
      <c r="BZ615" t="s">
        <v>8526</v>
      </c>
      <c r="CA615" t="str">
        <f>HYPERLINK("https%3A%2F%2Fwww.webofscience.com%2Fwos%2Fwoscc%2Ffull-record%2FWOS:000328527300009","View Full Record in Web of Science")</f>
        <v>View Full Record in Web of Science</v>
      </c>
    </row>
    <row r="616" spans="2:79" ht="12.5" x14ac:dyDescent="0.25">
      <c r="B616" t="s">
        <v>8495</v>
      </c>
      <c r="D616" s="22" t="s">
        <v>32931</v>
      </c>
      <c r="E616" s="7"/>
      <c r="F616" s="7"/>
      <c r="G616" s="7"/>
      <c r="H616" t="s">
        <v>67</v>
      </c>
      <c r="I616" t="s">
        <v>13653</v>
      </c>
      <c r="J616" t="s">
        <v>69</v>
      </c>
      <c r="K616" t="s">
        <v>69</v>
      </c>
      <c r="L616" t="s">
        <v>69</v>
      </c>
      <c r="M616" t="s">
        <v>13654</v>
      </c>
      <c r="N616" t="s">
        <v>69</v>
      </c>
      <c r="O616" t="s">
        <v>69</v>
      </c>
      <c r="P616" t="s">
        <v>13655</v>
      </c>
      <c r="Q616" t="s">
        <v>13656</v>
      </c>
      <c r="R616" t="s">
        <v>69</v>
      </c>
      <c r="S616" t="s">
        <v>69</v>
      </c>
      <c r="T616" t="s">
        <v>10153</v>
      </c>
      <c r="U616" t="s">
        <v>8506</v>
      </c>
      <c r="V616" t="s">
        <v>69</v>
      </c>
      <c r="W616" t="s">
        <v>69</v>
      </c>
      <c r="X616" t="s">
        <v>69</v>
      </c>
      <c r="Y616" t="s">
        <v>69</v>
      </c>
      <c r="Z616" t="s">
        <v>69</v>
      </c>
      <c r="AA616" t="s">
        <v>13657</v>
      </c>
      <c r="AB616" t="s">
        <v>69</v>
      </c>
      <c r="AC616" t="s">
        <v>13658</v>
      </c>
      <c r="AD616" t="s">
        <v>13659</v>
      </c>
      <c r="AE616" t="s">
        <v>69</v>
      </c>
      <c r="AF616" t="s">
        <v>13660</v>
      </c>
      <c r="AG616" t="s">
        <v>13661</v>
      </c>
      <c r="AH616" t="s">
        <v>13662</v>
      </c>
      <c r="AI616" t="s">
        <v>13663</v>
      </c>
      <c r="AJ616" t="s">
        <v>69</v>
      </c>
      <c r="AK616" t="s">
        <v>69</v>
      </c>
      <c r="AL616" t="s">
        <v>69</v>
      </c>
      <c r="AM616" t="s">
        <v>69</v>
      </c>
      <c r="AN616">
        <v>31</v>
      </c>
      <c r="AO616">
        <v>0</v>
      </c>
      <c r="AP616">
        <v>0</v>
      </c>
      <c r="AQ616">
        <v>3</v>
      </c>
      <c r="AR616">
        <v>4</v>
      </c>
      <c r="AS616" t="s">
        <v>13664</v>
      </c>
      <c r="AT616" t="s">
        <v>13665</v>
      </c>
      <c r="AU616" t="s">
        <v>13666</v>
      </c>
      <c r="AV616" t="s">
        <v>13667</v>
      </c>
      <c r="AW616" t="s">
        <v>69</v>
      </c>
      <c r="AX616" t="s">
        <v>69</v>
      </c>
      <c r="AY616" t="s">
        <v>13668</v>
      </c>
      <c r="AZ616" t="s">
        <v>13669</v>
      </c>
      <c r="BA616" t="s">
        <v>2654</v>
      </c>
      <c r="BB616">
        <v>2021</v>
      </c>
      <c r="BC616">
        <v>11</v>
      </c>
      <c r="BD616">
        <v>21</v>
      </c>
      <c r="BE616" t="s">
        <v>69</v>
      </c>
      <c r="BF616" t="s">
        <v>69</v>
      </c>
      <c r="BG616" t="s">
        <v>69</v>
      </c>
      <c r="BH616" t="s">
        <v>69</v>
      </c>
      <c r="BI616">
        <v>167</v>
      </c>
      <c r="BJ616">
        <v>188</v>
      </c>
      <c r="BK616" t="s">
        <v>69</v>
      </c>
      <c r="BL616" t="s">
        <v>13670</v>
      </c>
      <c r="BM616" t="str">
        <f>HYPERLINK("http://dx.doi.org/10.5783/RIRP-21-2021-09-167-188","http://dx.doi.org/10.5783/RIRP-21-2021-09-167-188")</f>
        <v>http://dx.doi.org/10.5783/RIRP-21-2021-09-167-188</v>
      </c>
      <c r="BN616" t="s">
        <v>69</v>
      </c>
      <c r="BO616" t="s">
        <v>69</v>
      </c>
      <c r="BP616">
        <v>22</v>
      </c>
      <c r="BQ616" t="s">
        <v>8443</v>
      </c>
      <c r="BR616" t="s">
        <v>8573</v>
      </c>
      <c r="BS616" t="s">
        <v>8443</v>
      </c>
      <c r="BT616" t="s">
        <v>13671</v>
      </c>
      <c r="BU616" t="s">
        <v>13672</v>
      </c>
      <c r="BV616" t="s">
        <v>69</v>
      </c>
      <c r="BW616" t="s">
        <v>8931</v>
      </c>
      <c r="BX616" t="s">
        <v>69</v>
      </c>
      <c r="BY616" t="s">
        <v>69</v>
      </c>
      <c r="BZ616" t="s">
        <v>8526</v>
      </c>
      <c r="CA616" t="str">
        <f>HYPERLINK("https%3A%2F%2Fwww.webofscience.com%2Fwos%2Fwoscc%2Ffull-record%2FWOS:000667243700009","View Full Record in Web of Science")</f>
        <v>View Full Record in Web of Science</v>
      </c>
    </row>
    <row r="617" spans="2:79" ht="12.5" x14ac:dyDescent="0.25">
      <c r="B617" t="s">
        <v>8495</v>
      </c>
      <c r="D617" s="7" t="s">
        <v>32933</v>
      </c>
      <c r="E617" s="7"/>
      <c r="F617" s="7"/>
      <c r="G617" s="7"/>
      <c r="H617" t="s">
        <v>67</v>
      </c>
      <c r="I617" t="s">
        <v>1020</v>
      </c>
      <c r="J617" t="s">
        <v>69</v>
      </c>
      <c r="K617" t="s">
        <v>69</v>
      </c>
      <c r="L617" t="s">
        <v>69</v>
      </c>
      <c r="M617" t="s">
        <v>1021</v>
      </c>
      <c r="N617" t="s">
        <v>69</v>
      </c>
      <c r="O617" t="s">
        <v>69</v>
      </c>
      <c r="P617" t="s">
        <v>6973</v>
      </c>
      <c r="Q617" t="s">
        <v>436</v>
      </c>
      <c r="R617" t="s">
        <v>69</v>
      </c>
      <c r="S617" t="s">
        <v>69</v>
      </c>
      <c r="T617" t="s">
        <v>8505</v>
      </c>
      <c r="U617" t="s">
        <v>8506</v>
      </c>
      <c r="V617" t="s">
        <v>69</v>
      </c>
      <c r="W617" t="s">
        <v>69</v>
      </c>
      <c r="X617" t="s">
        <v>69</v>
      </c>
      <c r="Y617" t="s">
        <v>69</v>
      </c>
      <c r="Z617" t="s">
        <v>69</v>
      </c>
      <c r="AA617" t="s">
        <v>16496</v>
      </c>
      <c r="AB617" t="s">
        <v>16497</v>
      </c>
      <c r="AC617" t="s">
        <v>6974</v>
      </c>
      <c r="AD617" t="s">
        <v>16498</v>
      </c>
      <c r="AE617" t="s">
        <v>69</v>
      </c>
      <c r="AF617" t="s">
        <v>16499</v>
      </c>
      <c r="AG617" t="s">
        <v>16500</v>
      </c>
      <c r="AH617" t="s">
        <v>6975</v>
      </c>
      <c r="AI617" t="s">
        <v>1025</v>
      </c>
      <c r="AJ617" t="s">
        <v>69</v>
      </c>
      <c r="AK617" t="s">
        <v>69</v>
      </c>
      <c r="AL617" t="s">
        <v>69</v>
      </c>
      <c r="AM617" t="s">
        <v>69</v>
      </c>
      <c r="AN617">
        <v>61</v>
      </c>
      <c r="AO617">
        <v>28</v>
      </c>
      <c r="AP617">
        <v>29</v>
      </c>
      <c r="AQ617">
        <v>3</v>
      </c>
      <c r="AR617">
        <v>78</v>
      </c>
      <c r="AS617" t="s">
        <v>8636</v>
      </c>
      <c r="AT617" t="s">
        <v>8637</v>
      </c>
      <c r="AU617" t="s">
        <v>8638</v>
      </c>
      <c r="AV617" t="s">
        <v>440</v>
      </c>
      <c r="AW617" t="s">
        <v>441</v>
      </c>
      <c r="AX617" t="s">
        <v>69</v>
      </c>
      <c r="AY617" t="s">
        <v>8639</v>
      </c>
      <c r="AZ617" t="s">
        <v>8640</v>
      </c>
      <c r="BA617" t="s">
        <v>6976</v>
      </c>
      <c r="BB617">
        <v>2019</v>
      </c>
      <c r="BC617">
        <v>237</v>
      </c>
      <c r="BD617" t="s">
        <v>69</v>
      </c>
      <c r="BE617" t="s">
        <v>69</v>
      </c>
      <c r="BF617" t="s">
        <v>69</v>
      </c>
      <c r="BG617" t="s">
        <v>69</v>
      </c>
      <c r="BH617" t="s">
        <v>69</v>
      </c>
      <c r="BI617" t="s">
        <v>69</v>
      </c>
      <c r="BJ617" t="s">
        <v>69</v>
      </c>
      <c r="BK617">
        <v>117734</v>
      </c>
      <c r="BL617" t="s">
        <v>6977</v>
      </c>
      <c r="BM617" t="str">
        <f>HYPERLINK("http://dx.doi.org/10.1016/j.jclepro.2019.117734","http://dx.doi.org/10.1016/j.jclepro.2019.117734")</f>
        <v>http://dx.doi.org/10.1016/j.jclepro.2019.117734</v>
      </c>
      <c r="BN617" t="s">
        <v>69</v>
      </c>
      <c r="BO617" t="s">
        <v>69</v>
      </c>
      <c r="BP617">
        <v>10</v>
      </c>
      <c r="BQ617" t="s">
        <v>8643</v>
      </c>
      <c r="BR617" t="s">
        <v>8523</v>
      </c>
      <c r="BS617" t="s">
        <v>8644</v>
      </c>
      <c r="BT617" t="s">
        <v>16495</v>
      </c>
      <c r="BU617" t="s">
        <v>6978</v>
      </c>
      <c r="BV617" t="s">
        <v>69</v>
      </c>
      <c r="BW617" t="s">
        <v>10423</v>
      </c>
      <c r="BX617" t="s">
        <v>69</v>
      </c>
      <c r="BY617" t="s">
        <v>69</v>
      </c>
      <c r="BZ617" t="s">
        <v>8526</v>
      </c>
      <c r="CA617" t="str">
        <f>HYPERLINK("https%3A%2F%2Fwww.webofscience.com%2Fwos%2Fwoscc%2Ffull-record%2FWOS:000483462700039","View Full Record in Web of Science")</f>
        <v>View Full Record in Web of Science</v>
      </c>
    </row>
    <row r="618" spans="2:79" ht="12.5" x14ac:dyDescent="0.25">
      <c r="B618" t="s">
        <v>8495</v>
      </c>
      <c r="D618" s="22" t="s">
        <v>32931</v>
      </c>
      <c r="E618" s="7"/>
      <c r="F618" s="7"/>
      <c r="G618" s="7"/>
      <c r="H618" t="s">
        <v>67</v>
      </c>
      <c r="I618" t="s">
        <v>30826</v>
      </c>
      <c r="J618" t="s">
        <v>69</v>
      </c>
      <c r="K618" t="s">
        <v>69</v>
      </c>
      <c r="L618" t="s">
        <v>69</v>
      </c>
      <c r="M618" t="s">
        <v>30827</v>
      </c>
      <c r="N618" t="s">
        <v>69</v>
      </c>
      <c r="O618" t="s">
        <v>69</v>
      </c>
      <c r="P618" t="s">
        <v>30828</v>
      </c>
      <c r="Q618" t="s">
        <v>30829</v>
      </c>
      <c r="R618" t="s">
        <v>69</v>
      </c>
      <c r="S618" t="s">
        <v>69</v>
      </c>
      <c r="T618" t="s">
        <v>8505</v>
      </c>
      <c r="U618" t="s">
        <v>8506</v>
      </c>
      <c r="V618" t="s">
        <v>69</v>
      </c>
      <c r="W618" t="s">
        <v>69</v>
      </c>
      <c r="X618" t="s">
        <v>69</v>
      </c>
      <c r="Y618" t="s">
        <v>69</v>
      </c>
      <c r="Z618" t="s">
        <v>69</v>
      </c>
      <c r="AA618" t="s">
        <v>69</v>
      </c>
      <c r="AB618" t="s">
        <v>69</v>
      </c>
      <c r="AC618" t="s">
        <v>69</v>
      </c>
      <c r="AD618" t="s">
        <v>30830</v>
      </c>
      <c r="AE618" t="s">
        <v>69</v>
      </c>
      <c r="AF618" t="s">
        <v>30831</v>
      </c>
      <c r="AG618" t="s">
        <v>30832</v>
      </c>
      <c r="AH618" t="s">
        <v>69</v>
      </c>
      <c r="AI618" t="s">
        <v>69</v>
      </c>
      <c r="AJ618" t="s">
        <v>69</v>
      </c>
      <c r="AK618" t="s">
        <v>69</v>
      </c>
      <c r="AL618" t="s">
        <v>69</v>
      </c>
      <c r="AM618" t="s">
        <v>69</v>
      </c>
      <c r="AN618">
        <v>0</v>
      </c>
      <c r="AO618">
        <v>0</v>
      </c>
      <c r="AP618">
        <v>0</v>
      </c>
      <c r="AQ618">
        <v>0</v>
      </c>
      <c r="AR618">
        <v>0</v>
      </c>
      <c r="AS618" t="s">
        <v>30833</v>
      </c>
      <c r="AT618" t="s">
        <v>30834</v>
      </c>
      <c r="AU618" t="s">
        <v>30835</v>
      </c>
      <c r="AV618" t="s">
        <v>30836</v>
      </c>
      <c r="AW618" t="s">
        <v>69</v>
      </c>
      <c r="AX618" t="s">
        <v>69</v>
      </c>
      <c r="AY618" t="s">
        <v>30829</v>
      </c>
      <c r="AZ618" t="s">
        <v>30837</v>
      </c>
      <c r="BA618" t="s">
        <v>69</v>
      </c>
      <c r="BB618">
        <v>2005</v>
      </c>
      <c r="BC618" t="s">
        <v>69</v>
      </c>
      <c r="BD618">
        <v>13</v>
      </c>
      <c r="BE618" t="s">
        <v>69</v>
      </c>
      <c r="BF618" t="s">
        <v>69</v>
      </c>
      <c r="BG618" t="s">
        <v>69</v>
      </c>
      <c r="BH618" t="s">
        <v>69</v>
      </c>
      <c r="BI618" t="s">
        <v>69</v>
      </c>
      <c r="BJ618" t="s">
        <v>69</v>
      </c>
      <c r="BK618" t="s">
        <v>69</v>
      </c>
      <c r="BL618" t="s">
        <v>69</v>
      </c>
      <c r="BM618" t="s">
        <v>69</v>
      </c>
      <c r="BN618" t="s">
        <v>69</v>
      </c>
      <c r="BO618" t="s">
        <v>69</v>
      </c>
      <c r="BP618">
        <v>37</v>
      </c>
      <c r="BQ618" t="s">
        <v>9096</v>
      </c>
      <c r="BR618" t="s">
        <v>8573</v>
      </c>
      <c r="BS618" t="s">
        <v>9096</v>
      </c>
      <c r="BT618" t="s">
        <v>30838</v>
      </c>
      <c r="BU618" t="s">
        <v>30839</v>
      </c>
      <c r="BV618" t="s">
        <v>69</v>
      </c>
      <c r="BW618" t="s">
        <v>69</v>
      </c>
      <c r="BX618" t="s">
        <v>69</v>
      </c>
      <c r="BY618" t="s">
        <v>69</v>
      </c>
      <c r="BZ618" t="s">
        <v>8526</v>
      </c>
      <c r="CA618" t="str">
        <f>HYPERLINK("https%3A%2F%2Fwww.webofscience.com%2Fwos%2Fwoscc%2Ffull-record%2FWOS:000422312000001","View Full Record in Web of Science")</f>
        <v>View Full Record in Web of Science</v>
      </c>
    </row>
    <row r="619" spans="2:79" ht="12.5" x14ac:dyDescent="0.25">
      <c r="B619" t="s">
        <v>8495</v>
      </c>
      <c r="D619" s="7" t="s">
        <v>32933</v>
      </c>
      <c r="E619" s="7"/>
      <c r="F619" s="7"/>
      <c r="G619" s="7"/>
      <c r="H619" t="s">
        <v>67</v>
      </c>
      <c r="I619" t="s">
        <v>2994</v>
      </c>
      <c r="J619" t="s">
        <v>69</v>
      </c>
      <c r="K619" t="s">
        <v>69</v>
      </c>
      <c r="L619" t="s">
        <v>69</v>
      </c>
      <c r="M619" t="s">
        <v>2995</v>
      </c>
      <c r="N619" t="s">
        <v>69</v>
      </c>
      <c r="O619" t="s">
        <v>69</v>
      </c>
      <c r="P619" t="s">
        <v>2996</v>
      </c>
      <c r="Q619" t="s">
        <v>1467</v>
      </c>
      <c r="R619" t="s">
        <v>69</v>
      </c>
      <c r="S619" t="s">
        <v>69</v>
      </c>
      <c r="T619" t="s">
        <v>8505</v>
      </c>
      <c r="U619" t="s">
        <v>8506</v>
      </c>
      <c r="V619" t="s">
        <v>69</v>
      </c>
      <c r="W619" t="s">
        <v>69</v>
      </c>
      <c r="X619" t="s">
        <v>69</v>
      </c>
      <c r="Y619" t="s">
        <v>69</v>
      </c>
      <c r="Z619" t="s">
        <v>69</v>
      </c>
      <c r="AA619" t="s">
        <v>22435</v>
      </c>
      <c r="AB619" t="s">
        <v>22436</v>
      </c>
      <c r="AC619" t="s">
        <v>2997</v>
      </c>
      <c r="AD619" t="s">
        <v>22437</v>
      </c>
      <c r="AE619" t="s">
        <v>69</v>
      </c>
      <c r="AF619" t="s">
        <v>22438</v>
      </c>
      <c r="AG619" t="s">
        <v>22439</v>
      </c>
      <c r="AH619" t="s">
        <v>69</v>
      </c>
      <c r="AI619" t="s">
        <v>69</v>
      </c>
      <c r="AJ619" t="s">
        <v>22440</v>
      </c>
      <c r="AK619" t="s">
        <v>22441</v>
      </c>
      <c r="AL619" t="s">
        <v>22442</v>
      </c>
      <c r="AM619" t="s">
        <v>69</v>
      </c>
      <c r="AN619">
        <v>42</v>
      </c>
      <c r="AO619">
        <v>5</v>
      </c>
      <c r="AP619">
        <v>5</v>
      </c>
      <c r="AQ619">
        <v>0</v>
      </c>
      <c r="AR619">
        <v>16</v>
      </c>
      <c r="AS619" t="s">
        <v>8762</v>
      </c>
      <c r="AT619" t="s">
        <v>8763</v>
      </c>
      <c r="AU619" t="s">
        <v>8764</v>
      </c>
      <c r="AV619" t="s">
        <v>1469</v>
      </c>
      <c r="AW619" t="s">
        <v>1470</v>
      </c>
      <c r="AX619" t="s">
        <v>69</v>
      </c>
      <c r="AY619" t="s">
        <v>22443</v>
      </c>
      <c r="AZ619" t="s">
        <v>22444</v>
      </c>
      <c r="BA619" t="s">
        <v>381</v>
      </c>
      <c r="BB619">
        <v>2015</v>
      </c>
      <c r="BC619">
        <v>33</v>
      </c>
      <c r="BD619">
        <v>5</v>
      </c>
      <c r="BE619" t="s">
        <v>69</v>
      </c>
      <c r="BF619" t="s">
        <v>69</v>
      </c>
      <c r="BG619" t="s">
        <v>114</v>
      </c>
      <c r="BH619" t="s">
        <v>69</v>
      </c>
      <c r="BI619">
        <v>919</v>
      </c>
      <c r="BJ619">
        <v>934</v>
      </c>
      <c r="BK619" t="s">
        <v>69</v>
      </c>
      <c r="BL619" t="s">
        <v>2998</v>
      </c>
      <c r="BM619" t="str">
        <f>HYPERLINK("http://dx.doi.org/10.1177/0263774X15605898","http://dx.doi.org/10.1177/0263774X15605898")</f>
        <v>http://dx.doi.org/10.1177/0263774X15605898</v>
      </c>
      <c r="BN619" t="s">
        <v>69</v>
      </c>
      <c r="BO619" t="s">
        <v>69</v>
      </c>
      <c r="BP619">
        <v>16</v>
      </c>
      <c r="BQ619" t="s">
        <v>22445</v>
      </c>
      <c r="BR619" t="s">
        <v>8661</v>
      </c>
      <c r="BS619" t="s">
        <v>15243</v>
      </c>
      <c r="BT619" t="s">
        <v>22446</v>
      </c>
      <c r="BU619" t="s">
        <v>2999</v>
      </c>
      <c r="BV619" t="s">
        <v>69</v>
      </c>
      <c r="BW619" t="s">
        <v>10065</v>
      </c>
      <c r="BX619" t="s">
        <v>69</v>
      </c>
      <c r="BY619" t="s">
        <v>69</v>
      </c>
      <c r="BZ619" t="s">
        <v>8526</v>
      </c>
      <c r="CA619" t="str">
        <f>HYPERLINK("https%3A%2F%2Fwww.webofscience.com%2Fwos%2Fwoscc%2Ffull-record%2FWOS:000364537900003","View Full Record in Web of Science")</f>
        <v>View Full Record in Web of Science</v>
      </c>
    </row>
    <row r="620" spans="2:79" ht="12.5" x14ac:dyDescent="0.25">
      <c r="B620" t="s">
        <v>8495</v>
      </c>
      <c r="D620" s="22" t="s">
        <v>32931</v>
      </c>
      <c r="E620" s="7"/>
      <c r="F620" s="7"/>
      <c r="G620" s="7"/>
      <c r="H620" t="s">
        <v>67</v>
      </c>
      <c r="I620" t="s">
        <v>13407</v>
      </c>
      <c r="J620" t="s">
        <v>69</v>
      </c>
      <c r="K620" t="s">
        <v>69</v>
      </c>
      <c r="L620" t="s">
        <v>69</v>
      </c>
      <c r="M620" t="s">
        <v>13408</v>
      </c>
      <c r="N620" t="s">
        <v>69</v>
      </c>
      <c r="O620" t="s">
        <v>69</v>
      </c>
      <c r="P620" t="s">
        <v>13409</v>
      </c>
      <c r="Q620" t="s">
        <v>1959</v>
      </c>
      <c r="R620" t="s">
        <v>69</v>
      </c>
      <c r="S620" t="s">
        <v>69</v>
      </c>
      <c r="T620" t="s">
        <v>8505</v>
      </c>
      <c r="U620" t="s">
        <v>8506</v>
      </c>
      <c r="V620" t="s">
        <v>69</v>
      </c>
      <c r="W620" t="s">
        <v>69</v>
      </c>
      <c r="X620" t="s">
        <v>69</v>
      </c>
      <c r="Y620" t="s">
        <v>69</v>
      </c>
      <c r="Z620" t="s">
        <v>69</v>
      </c>
      <c r="AA620" t="s">
        <v>13410</v>
      </c>
      <c r="AB620" t="s">
        <v>13411</v>
      </c>
      <c r="AC620" t="s">
        <v>13412</v>
      </c>
      <c r="AD620" t="s">
        <v>13413</v>
      </c>
      <c r="AE620" t="s">
        <v>69</v>
      </c>
      <c r="AF620" t="s">
        <v>13414</v>
      </c>
      <c r="AG620" t="s">
        <v>13415</v>
      </c>
      <c r="AH620" t="s">
        <v>69</v>
      </c>
      <c r="AI620" t="s">
        <v>13416</v>
      </c>
      <c r="AJ620" t="s">
        <v>69</v>
      </c>
      <c r="AK620" t="s">
        <v>69</v>
      </c>
      <c r="AL620" t="s">
        <v>69</v>
      </c>
      <c r="AM620" t="s">
        <v>69</v>
      </c>
      <c r="AN620">
        <v>109</v>
      </c>
      <c r="AO620">
        <v>0</v>
      </c>
      <c r="AP620">
        <v>0</v>
      </c>
      <c r="AQ620">
        <v>4</v>
      </c>
      <c r="AR620">
        <v>6</v>
      </c>
      <c r="AS620" t="s">
        <v>8636</v>
      </c>
      <c r="AT620" t="s">
        <v>8637</v>
      </c>
      <c r="AU620" t="s">
        <v>8638</v>
      </c>
      <c r="AV620" t="s">
        <v>69</v>
      </c>
      <c r="AW620" t="s">
        <v>1962</v>
      </c>
      <c r="AX620" t="s">
        <v>69</v>
      </c>
      <c r="AY620" t="s">
        <v>1959</v>
      </c>
      <c r="AZ620" t="s">
        <v>13417</v>
      </c>
      <c r="BA620" t="s">
        <v>373</v>
      </c>
      <c r="BB620">
        <v>2021</v>
      </c>
      <c r="BC620">
        <v>7</v>
      </c>
      <c r="BD620">
        <v>1</v>
      </c>
      <c r="BE620" t="s">
        <v>69</v>
      </c>
      <c r="BF620" t="s">
        <v>69</v>
      </c>
      <c r="BG620" t="s">
        <v>69</v>
      </c>
      <c r="BH620" t="s">
        <v>69</v>
      </c>
      <c r="BI620" t="s">
        <v>69</v>
      </c>
      <c r="BJ620" t="s">
        <v>69</v>
      </c>
      <c r="BK620" t="s">
        <v>13418</v>
      </c>
      <c r="BL620" t="s">
        <v>13419</v>
      </c>
      <c r="BM620" t="str">
        <f>HYPERLINK("http://dx.doi.org/10.1016/j.heliyon.2021.e05928","http://dx.doi.org/10.1016/j.heliyon.2021.e05928")</f>
        <v>http://dx.doi.org/10.1016/j.heliyon.2021.e05928</v>
      </c>
      <c r="BN620" t="s">
        <v>69</v>
      </c>
      <c r="BO620" t="s">
        <v>300</v>
      </c>
      <c r="BP620">
        <v>17</v>
      </c>
      <c r="BQ620" t="s">
        <v>8619</v>
      </c>
      <c r="BR620" t="s">
        <v>8548</v>
      </c>
      <c r="BS620" t="s">
        <v>8620</v>
      </c>
      <c r="BT620" t="s">
        <v>13420</v>
      </c>
      <c r="BU620" t="s">
        <v>13421</v>
      </c>
      <c r="BV620">
        <v>33521351</v>
      </c>
      <c r="BW620" t="s">
        <v>8812</v>
      </c>
      <c r="BX620" t="s">
        <v>69</v>
      </c>
      <c r="BY620" t="s">
        <v>69</v>
      </c>
      <c r="BZ620" t="s">
        <v>8526</v>
      </c>
      <c r="CA620" t="str">
        <f>HYPERLINK("https%3A%2F%2Fwww.webofscience.com%2Fwos%2Fwoscc%2Ffull-record%2FWOS:000618043700024","View Full Record in Web of Science")</f>
        <v>View Full Record in Web of Science</v>
      </c>
    </row>
    <row r="621" spans="2:79" ht="12.5" x14ac:dyDescent="0.25">
      <c r="B621" t="s">
        <v>8495</v>
      </c>
      <c r="D621" s="22" t="s">
        <v>32931</v>
      </c>
      <c r="E621" s="7"/>
      <c r="F621" s="7"/>
      <c r="G621" s="7"/>
      <c r="H621" t="s">
        <v>67</v>
      </c>
      <c r="I621" t="s">
        <v>10581</v>
      </c>
      <c r="J621" t="s">
        <v>69</v>
      </c>
      <c r="K621" t="s">
        <v>69</v>
      </c>
      <c r="L621" t="s">
        <v>69</v>
      </c>
      <c r="M621" t="s">
        <v>10582</v>
      </c>
      <c r="N621" t="s">
        <v>69</v>
      </c>
      <c r="O621" t="s">
        <v>69</v>
      </c>
      <c r="P621" t="s">
        <v>10583</v>
      </c>
      <c r="Q621" t="s">
        <v>2107</v>
      </c>
      <c r="R621" t="s">
        <v>69</v>
      </c>
      <c r="S621" t="s">
        <v>69</v>
      </c>
      <c r="T621" t="s">
        <v>8505</v>
      </c>
      <c r="U621" t="s">
        <v>8506</v>
      </c>
      <c r="V621" t="s">
        <v>69</v>
      </c>
      <c r="W621" t="s">
        <v>69</v>
      </c>
      <c r="X621" t="s">
        <v>69</v>
      </c>
      <c r="Y621" t="s">
        <v>69</v>
      </c>
      <c r="Z621" t="s">
        <v>69</v>
      </c>
      <c r="AA621" t="s">
        <v>10584</v>
      </c>
      <c r="AB621" t="s">
        <v>10585</v>
      </c>
      <c r="AC621" t="s">
        <v>10586</v>
      </c>
      <c r="AD621" t="s">
        <v>10587</v>
      </c>
      <c r="AE621" t="s">
        <v>69</v>
      </c>
      <c r="AF621" t="s">
        <v>10588</v>
      </c>
      <c r="AG621" t="s">
        <v>10589</v>
      </c>
      <c r="AH621" t="s">
        <v>69</v>
      </c>
      <c r="AI621" t="s">
        <v>69</v>
      </c>
      <c r="AJ621" t="s">
        <v>10590</v>
      </c>
      <c r="AK621" t="s">
        <v>9925</v>
      </c>
      <c r="AL621" t="s">
        <v>10591</v>
      </c>
      <c r="AM621" t="s">
        <v>69</v>
      </c>
      <c r="AN621">
        <v>77</v>
      </c>
      <c r="AO621">
        <v>0</v>
      </c>
      <c r="AP621">
        <v>0</v>
      </c>
      <c r="AQ621">
        <v>35</v>
      </c>
      <c r="AR621">
        <v>39</v>
      </c>
      <c r="AS621" t="s">
        <v>8924</v>
      </c>
      <c r="AT621" t="s">
        <v>8925</v>
      </c>
      <c r="AU621" t="s">
        <v>8926</v>
      </c>
      <c r="AV621" t="s">
        <v>69</v>
      </c>
      <c r="AW621" t="s">
        <v>2110</v>
      </c>
      <c r="AX621" t="s">
        <v>69</v>
      </c>
      <c r="AY621" t="s">
        <v>10592</v>
      </c>
      <c r="AZ621" t="s">
        <v>10593</v>
      </c>
      <c r="BA621" t="s">
        <v>75</v>
      </c>
      <c r="BB621">
        <v>2021</v>
      </c>
      <c r="BC621">
        <v>18</v>
      </c>
      <c r="BD621">
        <v>24</v>
      </c>
      <c r="BE621" t="s">
        <v>69</v>
      </c>
      <c r="BF621" t="s">
        <v>69</v>
      </c>
      <c r="BG621" t="s">
        <v>69</v>
      </c>
      <c r="BH621" t="s">
        <v>69</v>
      </c>
      <c r="BI621" t="s">
        <v>69</v>
      </c>
      <c r="BJ621" t="s">
        <v>69</v>
      </c>
      <c r="BK621">
        <v>12880</v>
      </c>
      <c r="BL621" t="s">
        <v>10594</v>
      </c>
      <c r="BM621" t="str">
        <f>HYPERLINK("http://dx.doi.org/10.3390/ijerph182412880","http://dx.doi.org/10.3390/ijerph182412880")</f>
        <v>http://dx.doi.org/10.3390/ijerph182412880</v>
      </c>
      <c r="BN621" t="s">
        <v>69</v>
      </c>
      <c r="BO621" t="s">
        <v>69</v>
      </c>
      <c r="BP621">
        <v>20</v>
      </c>
      <c r="BQ621" t="s">
        <v>10595</v>
      </c>
      <c r="BR621" t="s">
        <v>8523</v>
      </c>
      <c r="BS621" t="s">
        <v>10596</v>
      </c>
      <c r="BT621" t="s">
        <v>10597</v>
      </c>
      <c r="BU621" t="s">
        <v>10598</v>
      </c>
      <c r="BV621">
        <v>34948490</v>
      </c>
      <c r="BW621" t="s">
        <v>8812</v>
      </c>
      <c r="BX621" t="s">
        <v>69</v>
      </c>
      <c r="BY621" t="s">
        <v>69</v>
      </c>
      <c r="BZ621" t="s">
        <v>8526</v>
      </c>
      <c r="CA621" t="str">
        <f>HYPERLINK("https%3A%2F%2Fwww.webofscience.com%2Fwos%2Fwoscc%2Ffull-record%2FWOS:000738089800001","View Full Record in Web of Science")</f>
        <v>View Full Record in Web of Science</v>
      </c>
    </row>
    <row r="622" spans="2:79" ht="12.5" x14ac:dyDescent="0.25">
      <c r="B622" t="s">
        <v>8495</v>
      </c>
      <c r="D622" s="7" t="s">
        <v>32933</v>
      </c>
      <c r="E622" s="7"/>
      <c r="F622" s="7"/>
      <c r="G622" s="7"/>
      <c r="H622" t="s">
        <v>67</v>
      </c>
      <c r="I622" t="s">
        <v>5575</v>
      </c>
      <c r="J622" t="s">
        <v>69</v>
      </c>
      <c r="K622" t="s">
        <v>69</v>
      </c>
      <c r="L622" t="s">
        <v>69</v>
      </c>
      <c r="M622" t="s">
        <v>5576</v>
      </c>
      <c r="N622" t="s">
        <v>69</v>
      </c>
      <c r="O622" t="s">
        <v>69</v>
      </c>
      <c r="P622" t="s">
        <v>5577</v>
      </c>
      <c r="Q622" t="s">
        <v>5162</v>
      </c>
      <c r="R622" t="s">
        <v>69</v>
      </c>
      <c r="S622" t="s">
        <v>69</v>
      </c>
      <c r="T622" t="s">
        <v>8505</v>
      </c>
      <c r="U622" t="s">
        <v>8506</v>
      </c>
      <c r="V622" t="s">
        <v>69</v>
      </c>
      <c r="W622" t="s">
        <v>69</v>
      </c>
      <c r="X622" t="s">
        <v>69</v>
      </c>
      <c r="Y622" t="s">
        <v>69</v>
      </c>
      <c r="Z622" t="s">
        <v>69</v>
      </c>
      <c r="AA622" t="s">
        <v>69</v>
      </c>
      <c r="AB622" t="s">
        <v>18216</v>
      </c>
      <c r="AC622" t="s">
        <v>5578</v>
      </c>
      <c r="AD622" t="s">
        <v>18217</v>
      </c>
      <c r="AE622" t="s">
        <v>69</v>
      </c>
      <c r="AF622" t="s">
        <v>18218</v>
      </c>
      <c r="AG622" t="s">
        <v>18219</v>
      </c>
      <c r="AH622" t="s">
        <v>69</v>
      </c>
      <c r="AI622" t="s">
        <v>69</v>
      </c>
      <c r="AJ622" t="s">
        <v>69</v>
      </c>
      <c r="AK622" t="s">
        <v>69</v>
      </c>
      <c r="AL622" t="s">
        <v>69</v>
      </c>
      <c r="AM622" t="s">
        <v>69</v>
      </c>
      <c r="AN622">
        <v>49</v>
      </c>
      <c r="AO622">
        <v>12</v>
      </c>
      <c r="AP622">
        <v>12</v>
      </c>
      <c r="AQ622">
        <v>1</v>
      </c>
      <c r="AR622">
        <v>8</v>
      </c>
      <c r="AS622" t="s">
        <v>8636</v>
      </c>
      <c r="AT622" t="s">
        <v>8637</v>
      </c>
      <c r="AU622" t="s">
        <v>8638</v>
      </c>
      <c r="AV622" t="s">
        <v>5164</v>
      </c>
      <c r="AW622" t="s">
        <v>5165</v>
      </c>
      <c r="AX622" t="s">
        <v>69</v>
      </c>
      <c r="AY622" t="s">
        <v>11987</v>
      </c>
      <c r="AZ622" t="s">
        <v>11988</v>
      </c>
      <c r="BA622" t="s">
        <v>274</v>
      </c>
      <c r="BB622">
        <v>2018</v>
      </c>
      <c r="BC622">
        <v>97</v>
      </c>
      <c r="BD622" t="s">
        <v>69</v>
      </c>
      <c r="BE622" t="s">
        <v>69</v>
      </c>
      <c r="BF622" t="s">
        <v>69</v>
      </c>
      <c r="BG622" t="s">
        <v>69</v>
      </c>
      <c r="BH622" t="s">
        <v>69</v>
      </c>
      <c r="BI622">
        <v>109</v>
      </c>
      <c r="BJ622">
        <v>118</v>
      </c>
      <c r="BK622" t="s">
        <v>69</v>
      </c>
      <c r="BL622" t="s">
        <v>5579</v>
      </c>
      <c r="BM622" t="str">
        <f>HYPERLINK("http://dx.doi.org/10.1016/j.marpol.2018.08.020","http://dx.doi.org/10.1016/j.marpol.2018.08.020")</f>
        <v>http://dx.doi.org/10.1016/j.marpol.2018.08.020</v>
      </c>
      <c r="BN622" t="s">
        <v>69</v>
      </c>
      <c r="BO622" t="s">
        <v>69</v>
      </c>
      <c r="BP622">
        <v>10</v>
      </c>
      <c r="BQ622" t="s">
        <v>11990</v>
      </c>
      <c r="BR622" t="s">
        <v>8661</v>
      </c>
      <c r="BS622" t="s">
        <v>11991</v>
      </c>
      <c r="BT622" t="s">
        <v>18220</v>
      </c>
      <c r="BU622" t="s">
        <v>5580</v>
      </c>
      <c r="BV622" t="s">
        <v>69</v>
      </c>
      <c r="BW622" t="s">
        <v>69</v>
      </c>
      <c r="BX622" t="s">
        <v>69</v>
      </c>
      <c r="BY622" t="s">
        <v>69</v>
      </c>
      <c r="BZ622" t="s">
        <v>8526</v>
      </c>
      <c r="CA622" t="str">
        <f>HYPERLINK("https%3A%2F%2Fwww.webofscience.com%2Fwos%2Fwoscc%2Ffull-record%2FWOS:000448099300013","View Full Record in Web of Science")</f>
        <v>View Full Record in Web of Science</v>
      </c>
    </row>
    <row r="623" spans="2:79" ht="12.5" x14ac:dyDescent="0.25">
      <c r="B623" t="s">
        <v>8495</v>
      </c>
      <c r="D623" s="7" t="s">
        <v>32933</v>
      </c>
      <c r="E623" s="7"/>
      <c r="F623" s="7"/>
      <c r="G623" s="7"/>
      <c r="H623" t="s">
        <v>67</v>
      </c>
      <c r="I623" t="s">
        <v>203</v>
      </c>
      <c r="J623" t="s">
        <v>69</v>
      </c>
      <c r="K623" t="s">
        <v>69</v>
      </c>
      <c r="L623" t="s">
        <v>69</v>
      </c>
      <c r="M623" t="s">
        <v>204</v>
      </c>
      <c r="N623" t="s">
        <v>69</v>
      </c>
      <c r="O623" t="s">
        <v>69</v>
      </c>
      <c r="P623" t="s">
        <v>205</v>
      </c>
      <c r="Q623" t="s">
        <v>206</v>
      </c>
      <c r="R623" t="s">
        <v>69</v>
      </c>
      <c r="S623" t="s">
        <v>69</v>
      </c>
      <c r="T623" t="s">
        <v>8505</v>
      </c>
      <c r="U623" t="s">
        <v>8506</v>
      </c>
      <c r="V623" t="s">
        <v>69</v>
      </c>
      <c r="W623" t="s">
        <v>69</v>
      </c>
      <c r="X623" t="s">
        <v>69</v>
      </c>
      <c r="Y623" t="s">
        <v>69</v>
      </c>
      <c r="Z623" t="s">
        <v>69</v>
      </c>
      <c r="AA623" t="s">
        <v>14601</v>
      </c>
      <c r="AB623" t="s">
        <v>14602</v>
      </c>
      <c r="AC623" t="s">
        <v>207</v>
      </c>
      <c r="AD623" t="s">
        <v>14603</v>
      </c>
      <c r="AE623" t="s">
        <v>69</v>
      </c>
      <c r="AF623" t="s">
        <v>14604</v>
      </c>
      <c r="AG623" t="s">
        <v>14605</v>
      </c>
      <c r="AH623" t="s">
        <v>69</v>
      </c>
      <c r="AI623" t="s">
        <v>14606</v>
      </c>
      <c r="AJ623" t="s">
        <v>14607</v>
      </c>
      <c r="AK623" t="s">
        <v>14607</v>
      </c>
      <c r="AL623" t="s">
        <v>14608</v>
      </c>
      <c r="AM623" t="s">
        <v>69</v>
      </c>
      <c r="AN623">
        <v>15</v>
      </c>
      <c r="AO623">
        <v>2</v>
      </c>
      <c r="AP623">
        <v>2</v>
      </c>
      <c r="AQ623">
        <v>1</v>
      </c>
      <c r="AR623">
        <v>2</v>
      </c>
      <c r="AS623" t="s">
        <v>9203</v>
      </c>
      <c r="AT623" t="s">
        <v>8763</v>
      </c>
      <c r="AU623" t="s">
        <v>9204</v>
      </c>
      <c r="AV623" t="s">
        <v>69</v>
      </c>
      <c r="AW623" t="s">
        <v>208</v>
      </c>
      <c r="AX623" t="s">
        <v>69</v>
      </c>
      <c r="AY623" t="s">
        <v>206</v>
      </c>
      <c r="AZ623" t="s">
        <v>10704</v>
      </c>
      <c r="BA623" t="s">
        <v>209</v>
      </c>
      <c r="BB623">
        <v>2020</v>
      </c>
      <c r="BC623">
        <v>20</v>
      </c>
      <c r="BD623" t="s">
        <v>69</v>
      </c>
      <c r="BE623" t="s">
        <v>69</v>
      </c>
      <c r="BF623">
        <v>2</v>
      </c>
      <c r="BG623" t="s">
        <v>114</v>
      </c>
      <c r="BH623" t="s">
        <v>69</v>
      </c>
      <c r="BI623" t="s">
        <v>69</v>
      </c>
      <c r="BJ623" t="s">
        <v>69</v>
      </c>
      <c r="BK623">
        <v>1058</v>
      </c>
      <c r="BL623" t="s">
        <v>210</v>
      </c>
      <c r="BM623" t="str">
        <f>HYPERLINK("http://dx.doi.org/10.1186/s12889-020-08591-y","http://dx.doi.org/10.1186/s12889-020-08591-y")</f>
        <v>http://dx.doi.org/10.1186/s12889-020-08591-y</v>
      </c>
      <c r="BN623" t="s">
        <v>69</v>
      </c>
      <c r="BO623" t="s">
        <v>69</v>
      </c>
      <c r="BP623">
        <v>10</v>
      </c>
      <c r="BQ623" t="s">
        <v>8810</v>
      </c>
      <c r="BR623" t="s">
        <v>8523</v>
      </c>
      <c r="BS623" t="s">
        <v>8810</v>
      </c>
      <c r="BT623" t="s">
        <v>14609</v>
      </c>
      <c r="BU623" t="s">
        <v>211</v>
      </c>
      <c r="BV623">
        <v>32787895</v>
      </c>
      <c r="BW623" t="s">
        <v>8812</v>
      </c>
      <c r="BX623" t="s">
        <v>69</v>
      </c>
      <c r="BY623" t="s">
        <v>69</v>
      </c>
      <c r="BZ623" t="s">
        <v>8526</v>
      </c>
      <c r="CA623" t="str">
        <f>HYPERLINK("https%3A%2F%2Fwww.webofscience.com%2Fwos%2Fwoscc%2Ffull-record%2FWOS:000562780600003","View Full Record in Web of Science")</f>
        <v>View Full Record in Web of Science</v>
      </c>
    </row>
    <row r="624" spans="2:79" ht="12.5" x14ac:dyDescent="0.25">
      <c r="B624" t="s">
        <v>8495</v>
      </c>
      <c r="D624" s="7" t="s">
        <v>32933</v>
      </c>
      <c r="E624" s="7"/>
      <c r="F624" s="7"/>
      <c r="G624" s="7"/>
      <c r="H624" t="s">
        <v>67</v>
      </c>
      <c r="I624" t="s">
        <v>2203</v>
      </c>
      <c r="J624" t="s">
        <v>69</v>
      </c>
      <c r="K624" t="s">
        <v>69</v>
      </c>
      <c r="L624" t="s">
        <v>69</v>
      </c>
      <c r="M624" t="s">
        <v>2204</v>
      </c>
      <c r="N624" t="s">
        <v>69</v>
      </c>
      <c r="O624" t="s">
        <v>69</v>
      </c>
      <c r="P624" t="s">
        <v>2205</v>
      </c>
      <c r="Q624" t="s">
        <v>2206</v>
      </c>
      <c r="R624" t="s">
        <v>69</v>
      </c>
      <c r="S624" t="s">
        <v>69</v>
      </c>
      <c r="T624" t="s">
        <v>8505</v>
      </c>
      <c r="U624" t="s">
        <v>8506</v>
      </c>
      <c r="V624" t="s">
        <v>69</v>
      </c>
      <c r="W624" t="s">
        <v>69</v>
      </c>
      <c r="X624" t="s">
        <v>69</v>
      </c>
      <c r="Y624" t="s">
        <v>69</v>
      </c>
      <c r="Z624" t="s">
        <v>69</v>
      </c>
      <c r="AA624" t="s">
        <v>17087</v>
      </c>
      <c r="AB624" t="s">
        <v>17088</v>
      </c>
      <c r="AC624" t="s">
        <v>2207</v>
      </c>
      <c r="AD624" t="s">
        <v>17089</v>
      </c>
      <c r="AE624" t="s">
        <v>69</v>
      </c>
      <c r="AF624" t="s">
        <v>17090</v>
      </c>
      <c r="AG624" t="s">
        <v>17091</v>
      </c>
      <c r="AH624" t="s">
        <v>69</v>
      </c>
      <c r="AI624" t="s">
        <v>17092</v>
      </c>
      <c r="AJ624" t="s">
        <v>69</v>
      </c>
      <c r="AK624" t="s">
        <v>69</v>
      </c>
      <c r="AL624" t="s">
        <v>69</v>
      </c>
      <c r="AM624" t="s">
        <v>69</v>
      </c>
      <c r="AN624">
        <v>30</v>
      </c>
      <c r="AO624">
        <v>5</v>
      </c>
      <c r="AP624">
        <v>5</v>
      </c>
      <c r="AQ624">
        <v>5</v>
      </c>
      <c r="AR624">
        <v>16</v>
      </c>
      <c r="AS624" t="s">
        <v>9554</v>
      </c>
      <c r="AT624" t="s">
        <v>9555</v>
      </c>
      <c r="AU624" t="s">
        <v>9556</v>
      </c>
      <c r="AV624" t="s">
        <v>2208</v>
      </c>
      <c r="AW624" t="s">
        <v>2209</v>
      </c>
      <c r="AX624" t="s">
        <v>69</v>
      </c>
      <c r="AY624" t="s">
        <v>17093</v>
      </c>
      <c r="AZ624" t="s">
        <v>17094</v>
      </c>
      <c r="BA624" t="s">
        <v>84</v>
      </c>
      <c r="BB624">
        <v>2019</v>
      </c>
      <c r="BC624">
        <v>12</v>
      </c>
      <c r="BD624">
        <v>3</v>
      </c>
      <c r="BE624" t="s">
        <v>69</v>
      </c>
      <c r="BF624" t="s">
        <v>69</v>
      </c>
      <c r="BG624" t="s">
        <v>69</v>
      </c>
      <c r="BH624" t="s">
        <v>69</v>
      </c>
      <c r="BI624">
        <v>11</v>
      </c>
      <c r="BJ624">
        <v>30</v>
      </c>
      <c r="BK624" t="s">
        <v>69</v>
      </c>
      <c r="BL624" t="s">
        <v>2210</v>
      </c>
      <c r="BM624" t="str">
        <f>HYPERLINK("http://dx.doi.org/10.1177/1937586718812439","http://dx.doi.org/10.1177/1937586718812439")</f>
        <v>http://dx.doi.org/10.1177/1937586718812439</v>
      </c>
      <c r="BN624" t="s">
        <v>69</v>
      </c>
      <c r="BO624" t="s">
        <v>69</v>
      </c>
      <c r="BP624">
        <v>20</v>
      </c>
      <c r="BQ624" t="s">
        <v>8810</v>
      </c>
      <c r="BR624" t="s">
        <v>8661</v>
      </c>
      <c r="BS624" t="s">
        <v>8810</v>
      </c>
      <c r="BT624" t="s">
        <v>17095</v>
      </c>
      <c r="BU624" t="s">
        <v>2211</v>
      </c>
      <c r="BV624">
        <v>30509122</v>
      </c>
      <c r="BW624" t="s">
        <v>14589</v>
      </c>
      <c r="BX624" t="s">
        <v>69</v>
      </c>
      <c r="BY624" t="s">
        <v>69</v>
      </c>
      <c r="BZ624" t="s">
        <v>8526</v>
      </c>
      <c r="CA624" t="str">
        <f>HYPERLINK("https%3A%2F%2Fwww.webofscience.com%2Fwos%2Fwoscc%2Ffull-record%2FWOS:000475784900002","View Full Record in Web of Science")</f>
        <v>View Full Record in Web of Science</v>
      </c>
    </row>
    <row r="625" spans="2:79" ht="12.5" x14ac:dyDescent="0.25">
      <c r="B625" t="s">
        <v>8495</v>
      </c>
      <c r="D625" s="7" t="s">
        <v>32933</v>
      </c>
      <c r="E625" s="7"/>
      <c r="F625" s="7"/>
      <c r="G625" s="7"/>
      <c r="H625" t="s">
        <v>67</v>
      </c>
      <c r="I625" t="s">
        <v>6322</v>
      </c>
      <c r="J625" t="s">
        <v>69</v>
      </c>
      <c r="K625" t="s">
        <v>69</v>
      </c>
      <c r="L625" t="s">
        <v>69</v>
      </c>
      <c r="M625" t="s">
        <v>6323</v>
      </c>
      <c r="N625" t="s">
        <v>69</v>
      </c>
      <c r="O625" t="s">
        <v>69</v>
      </c>
      <c r="P625" t="s">
        <v>6324</v>
      </c>
      <c r="Q625" t="s">
        <v>6325</v>
      </c>
      <c r="R625" t="s">
        <v>69</v>
      </c>
      <c r="S625" t="s">
        <v>69</v>
      </c>
      <c r="T625" t="s">
        <v>8505</v>
      </c>
      <c r="U625" t="s">
        <v>8506</v>
      </c>
      <c r="V625" t="s">
        <v>69</v>
      </c>
      <c r="W625" t="s">
        <v>69</v>
      </c>
      <c r="X625" t="s">
        <v>69</v>
      </c>
      <c r="Y625" t="s">
        <v>69</v>
      </c>
      <c r="Z625" t="s">
        <v>69</v>
      </c>
      <c r="AA625" t="s">
        <v>16977</v>
      </c>
      <c r="AB625" t="s">
        <v>16978</v>
      </c>
      <c r="AC625" t="s">
        <v>6326</v>
      </c>
      <c r="AD625" t="s">
        <v>16979</v>
      </c>
      <c r="AE625" t="s">
        <v>69</v>
      </c>
      <c r="AF625" t="s">
        <v>16980</v>
      </c>
      <c r="AG625" t="s">
        <v>16981</v>
      </c>
      <c r="AH625" t="s">
        <v>69</v>
      </c>
      <c r="AI625" t="s">
        <v>6327</v>
      </c>
      <c r="AJ625" t="s">
        <v>69</v>
      </c>
      <c r="AK625" t="s">
        <v>69</v>
      </c>
      <c r="AL625" t="s">
        <v>69</v>
      </c>
      <c r="AM625" t="s">
        <v>69</v>
      </c>
      <c r="AN625">
        <v>176</v>
      </c>
      <c r="AO625">
        <v>23</v>
      </c>
      <c r="AP625">
        <v>23</v>
      </c>
      <c r="AQ625">
        <v>9</v>
      </c>
      <c r="AR625">
        <v>81</v>
      </c>
      <c r="AS625" t="s">
        <v>9145</v>
      </c>
      <c r="AT625" t="s">
        <v>8637</v>
      </c>
      <c r="AU625" t="s">
        <v>9146</v>
      </c>
      <c r="AV625" t="s">
        <v>6328</v>
      </c>
      <c r="AW625" t="s">
        <v>69</v>
      </c>
      <c r="AX625" t="s">
        <v>69</v>
      </c>
      <c r="AY625" t="s">
        <v>11023</v>
      </c>
      <c r="AZ625" t="s">
        <v>11024</v>
      </c>
      <c r="BA625" t="s">
        <v>201</v>
      </c>
      <c r="BB625">
        <v>2019</v>
      </c>
      <c r="BC625">
        <v>73</v>
      </c>
      <c r="BD625" t="s">
        <v>69</v>
      </c>
      <c r="BE625" t="s">
        <v>69</v>
      </c>
      <c r="BF625" t="s">
        <v>69</v>
      </c>
      <c r="BG625" t="s">
        <v>69</v>
      </c>
      <c r="BH625" t="s">
        <v>69</v>
      </c>
      <c r="BI625">
        <v>162</v>
      </c>
      <c r="BJ625">
        <v>186</v>
      </c>
      <c r="BK625" t="s">
        <v>69</v>
      </c>
      <c r="BL625" t="s">
        <v>6329</v>
      </c>
      <c r="BM625" t="str">
        <f>HYPERLINK("http://dx.doi.org/10.1016/j.trd.2019.06.011","http://dx.doi.org/10.1016/j.trd.2019.06.011")</f>
        <v>http://dx.doi.org/10.1016/j.trd.2019.06.011</v>
      </c>
      <c r="BN625" t="s">
        <v>69</v>
      </c>
      <c r="BO625" t="s">
        <v>69</v>
      </c>
      <c r="BP625">
        <v>25</v>
      </c>
      <c r="BQ625" t="s">
        <v>11026</v>
      </c>
      <c r="BR625" t="s">
        <v>8523</v>
      </c>
      <c r="BS625" t="s">
        <v>11027</v>
      </c>
      <c r="BT625" t="s">
        <v>16982</v>
      </c>
      <c r="BU625" t="s">
        <v>6330</v>
      </c>
      <c r="BV625" t="s">
        <v>69</v>
      </c>
      <c r="BW625" t="s">
        <v>69</v>
      </c>
      <c r="BX625" t="s">
        <v>69</v>
      </c>
      <c r="BY625" t="s">
        <v>69</v>
      </c>
      <c r="BZ625" t="s">
        <v>8526</v>
      </c>
      <c r="CA625" t="str">
        <f>HYPERLINK("https%3A%2F%2Fwww.webofscience.com%2Fwos%2Fwoscc%2Ffull-record%2FWOS:000483908200014","View Full Record in Web of Science")</f>
        <v>View Full Record in Web of Science</v>
      </c>
    </row>
    <row r="626" spans="2:79" ht="12.5" x14ac:dyDescent="0.25">
      <c r="B626" t="s">
        <v>8495</v>
      </c>
      <c r="D626" s="22" t="s">
        <v>32931</v>
      </c>
      <c r="E626" s="7"/>
      <c r="F626" s="7"/>
      <c r="G626" s="7"/>
      <c r="H626" t="s">
        <v>67</v>
      </c>
      <c r="I626" t="s">
        <v>13082</v>
      </c>
      <c r="J626" t="s">
        <v>69</v>
      </c>
      <c r="K626" t="s">
        <v>69</v>
      </c>
      <c r="L626" t="s">
        <v>69</v>
      </c>
      <c r="M626" t="s">
        <v>13083</v>
      </c>
      <c r="N626" t="s">
        <v>69</v>
      </c>
      <c r="O626" t="s">
        <v>69</v>
      </c>
      <c r="P626" t="s">
        <v>13084</v>
      </c>
      <c r="Q626" t="s">
        <v>6529</v>
      </c>
      <c r="R626" t="s">
        <v>69</v>
      </c>
      <c r="S626" t="s">
        <v>69</v>
      </c>
      <c r="T626" t="s">
        <v>8505</v>
      </c>
      <c r="U626" t="s">
        <v>10174</v>
      </c>
      <c r="V626" t="s">
        <v>69</v>
      </c>
      <c r="W626" t="s">
        <v>69</v>
      </c>
      <c r="X626" t="s">
        <v>69</v>
      </c>
      <c r="Y626" t="s">
        <v>69</v>
      </c>
      <c r="Z626" t="s">
        <v>69</v>
      </c>
      <c r="AA626" t="s">
        <v>69</v>
      </c>
      <c r="AB626" t="s">
        <v>13085</v>
      </c>
      <c r="AC626" t="s">
        <v>13086</v>
      </c>
      <c r="AD626" t="s">
        <v>13087</v>
      </c>
      <c r="AE626" t="s">
        <v>69</v>
      </c>
      <c r="AF626" t="s">
        <v>13088</v>
      </c>
      <c r="AG626" t="s">
        <v>13089</v>
      </c>
      <c r="AH626" t="s">
        <v>13090</v>
      </c>
      <c r="AI626" t="s">
        <v>13091</v>
      </c>
      <c r="AJ626" t="s">
        <v>13092</v>
      </c>
      <c r="AK626" t="s">
        <v>13093</v>
      </c>
      <c r="AL626" t="s">
        <v>13094</v>
      </c>
      <c r="AM626" t="s">
        <v>69</v>
      </c>
      <c r="AN626">
        <v>12</v>
      </c>
      <c r="AO626">
        <v>2</v>
      </c>
      <c r="AP626">
        <v>2</v>
      </c>
      <c r="AQ626">
        <v>0</v>
      </c>
      <c r="AR626">
        <v>9</v>
      </c>
      <c r="AS626" t="s">
        <v>13095</v>
      </c>
      <c r="AT626" t="s">
        <v>9979</v>
      </c>
      <c r="AU626" t="s">
        <v>13096</v>
      </c>
      <c r="AV626" t="s">
        <v>6531</v>
      </c>
      <c r="AW626" t="s">
        <v>69</v>
      </c>
      <c r="AX626" t="s">
        <v>69</v>
      </c>
      <c r="AY626" t="s">
        <v>6529</v>
      </c>
      <c r="AZ626" t="s">
        <v>13097</v>
      </c>
      <c r="BA626" t="s">
        <v>8033</v>
      </c>
      <c r="BB626">
        <v>2021</v>
      </c>
      <c r="BC626">
        <v>5</v>
      </c>
      <c r="BD626">
        <v>2</v>
      </c>
      <c r="BE626" t="s">
        <v>69</v>
      </c>
      <c r="BF626" t="s">
        <v>69</v>
      </c>
      <c r="BG626" t="s">
        <v>69</v>
      </c>
      <c r="BH626" t="s">
        <v>69</v>
      </c>
      <c r="BI626">
        <v>285</v>
      </c>
      <c r="BJ626">
        <v>289</v>
      </c>
      <c r="BK626" t="s">
        <v>69</v>
      </c>
      <c r="BL626" t="s">
        <v>13098</v>
      </c>
      <c r="BM626" t="str">
        <f>HYPERLINK("http://dx.doi.org/10.1016/j.joule.2020.12.019","http://dx.doi.org/10.1016/j.joule.2020.12.019")</f>
        <v>http://dx.doi.org/10.1016/j.joule.2020.12.019</v>
      </c>
      <c r="BN626" t="s">
        <v>69</v>
      </c>
      <c r="BO626" t="s">
        <v>69</v>
      </c>
      <c r="BP626">
        <v>5</v>
      </c>
      <c r="BQ626" t="s">
        <v>13099</v>
      </c>
      <c r="BR626" t="s">
        <v>8548</v>
      </c>
      <c r="BS626" t="s">
        <v>13100</v>
      </c>
      <c r="BT626" t="s">
        <v>13101</v>
      </c>
      <c r="BU626" t="s">
        <v>13102</v>
      </c>
      <c r="BV626" t="s">
        <v>69</v>
      </c>
      <c r="BW626" t="s">
        <v>10995</v>
      </c>
      <c r="BX626" t="s">
        <v>69</v>
      </c>
      <c r="BY626" t="s">
        <v>69</v>
      </c>
      <c r="BZ626" t="s">
        <v>8526</v>
      </c>
      <c r="CA626" t="str">
        <f>HYPERLINK("https%3A%2F%2Fwww.webofscience.com%2Fwos%2Fwoscc%2Ffull-record%2FWOS:000629204800001","View Full Record in Web of Science")</f>
        <v>View Full Record in Web of Science</v>
      </c>
    </row>
    <row r="627" spans="2:79" ht="12.5" x14ac:dyDescent="0.25">
      <c r="B627" t="s">
        <v>8495</v>
      </c>
      <c r="D627" s="7" t="s">
        <v>32933</v>
      </c>
      <c r="E627" s="7"/>
      <c r="F627" s="7"/>
      <c r="G627" s="7"/>
      <c r="H627" t="s">
        <v>67</v>
      </c>
      <c r="I627" t="s">
        <v>5500</v>
      </c>
      <c r="J627" t="s">
        <v>69</v>
      </c>
      <c r="K627" t="s">
        <v>69</v>
      </c>
      <c r="L627" t="s">
        <v>69</v>
      </c>
      <c r="M627" t="s">
        <v>5501</v>
      </c>
      <c r="N627" t="s">
        <v>69</v>
      </c>
      <c r="O627" t="s">
        <v>69</v>
      </c>
      <c r="P627" t="s">
        <v>5502</v>
      </c>
      <c r="Q627" t="s">
        <v>5503</v>
      </c>
      <c r="R627" t="s">
        <v>69</v>
      </c>
      <c r="S627" t="s">
        <v>69</v>
      </c>
      <c r="T627" t="s">
        <v>8505</v>
      </c>
      <c r="U627" t="s">
        <v>8506</v>
      </c>
      <c r="V627" t="s">
        <v>69</v>
      </c>
      <c r="W627" t="s">
        <v>69</v>
      </c>
      <c r="X627" t="s">
        <v>69</v>
      </c>
      <c r="Y627" t="s">
        <v>69</v>
      </c>
      <c r="Z627" t="s">
        <v>69</v>
      </c>
      <c r="AA627" t="s">
        <v>29237</v>
      </c>
      <c r="AB627" t="s">
        <v>29238</v>
      </c>
      <c r="AC627" t="s">
        <v>5504</v>
      </c>
      <c r="AD627" t="s">
        <v>29239</v>
      </c>
      <c r="AE627" t="s">
        <v>69</v>
      </c>
      <c r="AF627" t="s">
        <v>29240</v>
      </c>
      <c r="AG627" t="s">
        <v>29241</v>
      </c>
      <c r="AH627" t="s">
        <v>69</v>
      </c>
      <c r="AI627" t="s">
        <v>69</v>
      </c>
      <c r="AJ627" t="s">
        <v>69</v>
      </c>
      <c r="AK627" t="s">
        <v>69</v>
      </c>
      <c r="AL627" t="s">
        <v>69</v>
      </c>
      <c r="AM627" t="s">
        <v>69</v>
      </c>
      <c r="AN627">
        <v>56</v>
      </c>
      <c r="AO627">
        <v>46</v>
      </c>
      <c r="AP627">
        <v>49</v>
      </c>
      <c r="AQ627">
        <v>7</v>
      </c>
      <c r="AR627">
        <v>55</v>
      </c>
      <c r="AS627" t="s">
        <v>29242</v>
      </c>
      <c r="AT627" t="s">
        <v>8637</v>
      </c>
      <c r="AU627" t="s">
        <v>29243</v>
      </c>
      <c r="AV627" t="s">
        <v>5505</v>
      </c>
      <c r="AW627" t="s">
        <v>69</v>
      </c>
      <c r="AX627" t="s">
        <v>69</v>
      </c>
      <c r="AY627" t="s">
        <v>23986</v>
      </c>
      <c r="AZ627" t="s">
        <v>23987</v>
      </c>
      <c r="BA627" t="s">
        <v>155</v>
      </c>
      <c r="BB627">
        <v>2008</v>
      </c>
      <c r="BC627">
        <v>22</v>
      </c>
      <c r="BD627">
        <v>3</v>
      </c>
      <c r="BE627" t="s">
        <v>69</v>
      </c>
      <c r="BF627" t="s">
        <v>69</v>
      </c>
      <c r="BG627" t="s">
        <v>69</v>
      </c>
      <c r="BH627" t="s">
        <v>69</v>
      </c>
      <c r="BI627">
        <v>636</v>
      </c>
      <c r="BJ627">
        <v>646</v>
      </c>
      <c r="BK627" t="s">
        <v>69</v>
      </c>
      <c r="BL627" t="s">
        <v>5506</v>
      </c>
      <c r="BM627" t="str">
        <f>HYPERLINK("http://dx.doi.org/10.1111/j.1523-1739.2008.00963.x","http://dx.doi.org/10.1111/j.1523-1739.2008.00963.x")</f>
        <v>http://dx.doi.org/10.1111/j.1523-1739.2008.00963.x</v>
      </c>
      <c r="BN627" t="s">
        <v>69</v>
      </c>
      <c r="BO627" t="s">
        <v>69</v>
      </c>
      <c r="BP627">
        <v>11</v>
      </c>
      <c r="BQ627" t="s">
        <v>16747</v>
      </c>
      <c r="BR627" t="s">
        <v>8523</v>
      </c>
      <c r="BS627" t="s">
        <v>15452</v>
      </c>
      <c r="BT627" t="s">
        <v>29244</v>
      </c>
      <c r="BU627" t="s">
        <v>5507</v>
      </c>
      <c r="BV627">
        <v>18577091</v>
      </c>
      <c r="BW627" t="s">
        <v>69</v>
      </c>
      <c r="BX627" t="s">
        <v>69</v>
      </c>
      <c r="BY627" t="s">
        <v>69</v>
      </c>
      <c r="BZ627" t="s">
        <v>8526</v>
      </c>
      <c r="CA627" t="str">
        <f>HYPERLINK("https%3A%2F%2Fwww.webofscience.com%2Fwos%2Fwoscc%2Ffull-record%2FWOS:000256612800020","View Full Record in Web of Science")</f>
        <v>View Full Record in Web of Science</v>
      </c>
    </row>
    <row r="628" spans="2:79" ht="12.5" x14ac:dyDescent="0.25">
      <c r="B628" t="s">
        <v>8495</v>
      </c>
      <c r="D628" s="7" t="s">
        <v>32933</v>
      </c>
      <c r="E628" s="7"/>
      <c r="F628" s="7"/>
      <c r="G628" s="7"/>
      <c r="H628" t="s">
        <v>67</v>
      </c>
      <c r="I628" t="s">
        <v>6076</v>
      </c>
      <c r="J628" t="s">
        <v>69</v>
      </c>
      <c r="K628" t="s">
        <v>69</v>
      </c>
      <c r="L628" t="s">
        <v>69</v>
      </c>
      <c r="M628" t="s">
        <v>6077</v>
      </c>
      <c r="N628" t="s">
        <v>69</v>
      </c>
      <c r="O628" t="s">
        <v>69</v>
      </c>
      <c r="P628" t="s">
        <v>6078</v>
      </c>
      <c r="Q628" t="s">
        <v>582</v>
      </c>
      <c r="R628" t="s">
        <v>69</v>
      </c>
      <c r="S628" t="s">
        <v>69</v>
      </c>
      <c r="T628" t="s">
        <v>8505</v>
      </c>
      <c r="U628" t="s">
        <v>8506</v>
      </c>
      <c r="V628" t="s">
        <v>69</v>
      </c>
      <c r="W628" t="s">
        <v>69</v>
      </c>
      <c r="X628" t="s">
        <v>69</v>
      </c>
      <c r="Y628" t="s">
        <v>69</v>
      </c>
      <c r="Z628" t="s">
        <v>69</v>
      </c>
      <c r="AA628" t="s">
        <v>29039</v>
      </c>
      <c r="AB628" t="s">
        <v>69</v>
      </c>
      <c r="AC628" t="s">
        <v>6079</v>
      </c>
      <c r="AD628" t="s">
        <v>29040</v>
      </c>
      <c r="AE628" t="s">
        <v>69</v>
      </c>
      <c r="AF628" t="s">
        <v>29041</v>
      </c>
      <c r="AG628" t="s">
        <v>29042</v>
      </c>
      <c r="AH628" t="s">
        <v>69</v>
      </c>
      <c r="AI628" t="s">
        <v>69</v>
      </c>
      <c r="AJ628" t="s">
        <v>69</v>
      </c>
      <c r="AK628" t="s">
        <v>69</v>
      </c>
      <c r="AL628" t="s">
        <v>69</v>
      </c>
      <c r="AM628" t="s">
        <v>69</v>
      </c>
      <c r="AN628">
        <v>34</v>
      </c>
      <c r="AO628">
        <v>48</v>
      </c>
      <c r="AP628">
        <v>53</v>
      </c>
      <c r="AQ628">
        <v>0</v>
      </c>
      <c r="AR628">
        <v>20</v>
      </c>
      <c r="AS628" t="s">
        <v>8692</v>
      </c>
      <c r="AT628" t="s">
        <v>8693</v>
      </c>
      <c r="AU628" t="s">
        <v>18139</v>
      </c>
      <c r="AV628" t="s">
        <v>584</v>
      </c>
      <c r="AW628" t="s">
        <v>69</v>
      </c>
      <c r="AX628" t="s">
        <v>69</v>
      </c>
      <c r="AY628" t="s">
        <v>8695</v>
      </c>
      <c r="AZ628" t="s">
        <v>8696</v>
      </c>
      <c r="BA628" t="s">
        <v>274</v>
      </c>
      <c r="BB628">
        <v>2008</v>
      </c>
      <c r="BC628">
        <v>28</v>
      </c>
      <c r="BD628">
        <v>8</v>
      </c>
      <c r="BE628" t="s">
        <v>69</v>
      </c>
      <c r="BF628" t="s">
        <v>69</v>
      </c>
      <c r="BG628" t="s">
        <v>69</v>
      </c>
      <c r="BH628" t="s">
        <v>69</v>
      </c>
      <c r="BI628">
        <v>562</v>
      </c>
      <c r="BJ628">
        <v>571</v>
      </c>
      <c r="BK628" t="s">
        <v>69</v>
      </c>
      <c r="BL628" t="s">
        <v>6080</v>
      </c>
      <c r="BM628" t="str">
        <f>HYPERLINK("http://dx.doi.org/10.1016/j.eiar.2008.02.003","http://dx.doi.org/10.1016/j.eiar.2008.02.003")</f>
        <v>http://dx.doi.org/10.1016/j.eiar.2008.02.003</v>
      </c>
      <c r="BN628" t="s">
        <v>69</v>
      </c>
      <c r="BO628" t="s">
        <v>69</v>
      </c>
      <c r="BP628">
        <v>10</v>
      </c>
      <c r="BQ628" t="s">
        <v>8660</v>
      </c>
      <c r="BR628" t="s">
        <v>8661</v>
      </c>
      <c r="BS628" t="s">
        <v>8662</v>
      </c>
      <c r="BT628" t="s">
        <v>29043</v>
      </c>
      <c r="BU628" t="s">
        <v>6081</v>
      </c>
      <c r="BV628" t="s">
        <v>69</v>
      </c>
      <c r="BW628" t="s">
        <v>69</v>
      </c>
      <c r="BX628" t="s">
        <v>69</v>
      </c>
      <c r="BY628" t="s">
        <v>69</v>
      </c>
      <c r="BZ628" t="s">
        <v>8526</v>
      </c>
      <c r="CA628" t="str">
        <f>HYPERLINK("https%3A%2F%2Fwww.webofscience.com%2Fwos%2Fwoscc%2Ffull-record%2FWOS:000261132600004","View Full Record in Web of Science")</f>
        <v>View Full Record in Web of Science</v>
      </c>
    </row>
    <row r="629" spans="2:79" ht="12.5" x14ac:dyDescent="0.25">
      <c r="B629" t="s">
        <v>8495</v>
      </c>
      <c r="D629" s="7" t="s">
        <v>32933</v>
      </c>
      <c r="E629" s="7"/>
      <c r="F629" s="7"/>
      <c r="G629" s="7"/>
      <c r="H629" t="s">
        <v>67</v>
      </c>
      <c r="I629" t="s">
        <v>3510</v>
      </c>
      <c r="J629" t="s">
        <v>69</v>
      </c>
      <c r="K629" t="s">
        <v>69</v>
      </c>
      <c r="L629" t="s">
        <v>69</v>
      </c>
      <c r="M629" t="s">
        <v>3511</v>
      </c>
      <c r="N629" t="s">
        <v>69</v>
      </c>
      <c r="O629" t="s">
        <v>69</v>
      </c>
      <c r="P629" t="s">
        <v>3512</v>
      </c>
      <c r="Q629" t="s">
        <v>3513</v>
      </c>
      <c r="R629" t="s">
        <v>69</v>
      </c>
      <c r="S629" t="s">
        <v>69</v>
      </c>
      <c r="T629" t="s">
        <v>8505</v>
      </c>
      <c r="U629" t="s">
        <v>8506</v>
      </c>
      <c r="V629" t="s">
        <v>69</v>
      </c>
      <c r="W629" t="s">
        <v>69</v>
      </c>
      <c r="X629" t="s">
        <v>69</v>
      </c>
      <c r="Y629" t="s">
        <v>69</v>
      </c>
      <c r="Z629" t="s">
        <v>69</v>
      </c>
      <c r="AA629" t="s">
        <v>69</v>
      </c>
      <c r="AB629" t="s">
        <v>27627</v>
      </c>
      <c r="AC629" t="s">
        <v>3514</v>
      </c>
      <c r="AD629" t="s">
        <v>27628</v>
      </c>
      <c r="AE629" t="s">
        <v>69</v>
      </c>
      <c r="AF629" t="s">
        <v>27629</v>
      </c>
      <c r="AG629" t="s">
        <v>27630</v>
      </c>
      <c r="AH629" t="s">
        <v>69</v>
      </c>
      <c r="AI629" t="s">
        <v>69</v>
      </c>
      <c r="AJ629" t="s">
        <v>69</v>
      </c>
      <c r="AK629" t="s">
        <v>69</v>
      </c>
      <c r="AL629" t="s">
        <v>69</v>
      </c>
      <c r="AM629" t="s">
        <v>69</v>
      </c>
      <c r="AN629">
        <v>26</v>
      </c>
      <c r="AO629">
        <v>14</v>
      </c>
      <c r="AP629">
        <v>14</v>
      </c>
      <c r="AQ629">
        <v>0</v>
      </c>
      <c r="AR629">
        <v>16</v>
      </c>
      <c r="AS629" t="s">
        <v>9554</v>
      </c>
      <c r="AT629" t="s">
        <v>9555</v>
      </c>
      <c r="AU629" t="s">
        <v>9556</v>
      </c>
      <c r="AV629" t="s">
        <v>3515</v>
      </c>
      <c r="AW629" t="s">
        <v>3516</v>
      </c>
      <c r="AX629" t="s">
        <v>69</v>
      </c>
      <c r="AY629" t="s">
        <v>27631</v>
      </c>
      <c r="AZ629" t="s">
        <v>27632</v>
      </c>
      <c r="BA629" t="s">
        <v>381</v>
      </c>
      <c r="BB629">
        <v>2010</v>
      </c>
      <c r="BC629">
        <v>15</v>
      </c>
      <c r="BD629">
        <v>4</v>
      </c>
      <c r="BE629" t="s">
        <v>69</v>
      </c>
      <c r="BF629" t="s">
        <v>69</v>
      </c>
      <c r="BG629" t="s">
        <v>69</v>
      </c>
      <c r="BH629" t="s">
        <v>69</v>
      </c>
      <c r="BI629">
        <v>195</v>
      </c>
      <c r="BJ629">
        <v>203</v>
      </c>
      <c r="BK629" t="s">
        <v>69</v>
      </c>
      <c r="BL629" t="s">
        <v>3517</v>
      </c>
      <c r="BM629" t="str">
        <f>HYPERLINK("http://dx.doi.org/10.1258/jhsrp.2010.009068","http://dx.doi.org/10.1258/jhsrp.2010.009068")</f>
        <v>http://dx.doi.org/10.1258/jhsrp.2010.009068</v>
      </c>
      <c r="BN629" t="s">
        <v>69</v>
      </c>
      <c r="BO629" t="s">
        <v>69</v>
      </c>
      <c r="BP629">
        <v>9</v>
      </c>
      <c r="BQ629" t="s">
        <v>9208</v>
      </c>
      <c r="BR629" t="s">
        <v>8661</v>
      </c>
      <c r="BS629" t="s">
        <v>9209</v>
      </c>
      <c r="BT629" t="s">
        <v>27633</v>
      </c>
      <c r="BU629" t="s">
        <v>3518</v>
      </c>
      <c r="BV629">
        <v>20410188</v>
      </c>
      <c r="BW629" t="s">
        <v>69</v>
      </c>
      <c r="BX629" t="s">
        <v>69</v>
      </c>
      <c r="BY629" t="s">
        <v>69</v>
      </c>
      <c r="BZ629" t="s">
        <v>8526</v>
      </c>
      <c r="CA629" t="str">
        <f>HYPERLINK("https%3A%2F%2Fwww.webofscience.com%2Fwos%2Fwoscc%2Ffull-record%2FWOS:000283755900002","View Full Record in Web of Science")</f>
        <v>View Full Record in Web of Science</v>
      </c>
    </row>
    <row r="630" spans="2:79" ht="12.5" x14ac:dyDescent="0.25">
      <c r="B630" t="s">
        <v>8495</v>
      </c>
      <c r="D630" s="7" t="s">
        <v>32933</v>
      </c>
      <c r="E630" s="7"/>
      <c r="F630" s="7"/>
      <c r="G630" s="7"/>
      <c r="H630" t="s">
        <v>67</v>
      </c>
      <c r="I630" t="s">
        <v>809</v>
      </c>
      <c r="J630" t="s">
        <v>69</v>
      </c>
      <c r="K630" t="s">
        <v>69</v>
      </c>
      <c r="L630" t="s">
        <v>69</v>
      </c>
      <c r="M630" t="s">
        <v>810</v>
      </c>
      <c r="N630" t="s">
        <v>69</v>
      </c>
      <c r="O630" t="s">
        <v>69</v>
      </c>
      <c r="P630" t="s">
        <v>811</v>
      </c>
      <c r="Q630" t="s">
        <v>812</v>
      </c>
      <c r="R630" t="s">
        <v>69</v>
      </c>
      <c r="S630" t="s">
        <v>69</v>
      </c>
      <c r="T630" t="s">
        <v>8505</v>
      </c>
      <c r="U630" t="s">
        <v>8506</v>
      </c>
      <c r="V630" t="s">
        <v>69</v>
      </c>
      <c r="W630" t="s">
        <v>69</v>
      </c>
      <c r="X630" t="s">
        <v>69</v>
      </c>
      <c r="Y630" t="s">
        <v>69</v>
      </c>
      <c r="Z630" t="s">
        <v>69</v>
      </c>
      <c r="AA630" t="s">
        <v>15617</v>
      </c>
      <c r="AB630" t="s">
        <v>15618</v>
      </c>
      <c r="AC630" t="s">
        <v>813</v>
      </c>
      <c r="AD630" t="s">
        <v>15619</v>
      </c>
      <c r="AE630" t="s">
        <v>69</v>
      </c>
      <c r="AF630" t="s">
        <v>15620</v>
      </c>
      <c r="AG630" t="s">
        <v>15621</v>
      </c>
      <c r="AH630" t="s">
        <v>814</v>
      </c>
      <c r="AI630" t="s">
        <v>815</v>
      </c>
      <c r="AJ630" t="s">
        <v>69</v>
      </c>
      <c r="AK630" t="s">
        <v>69</v>
      </c>
      <c r="AL630" t="s">
        <v>69</v>
      </c>
      <c r="AM630" t="s">
        <v>69</v>
      </c>
      <c r="AN630">
        <v>62</v>
      </c>
      <c r="AO630">
        <v>46</v>
      </c>
      <c r="AP630">
        <v>46</v>
      </c>
      <c r="AQ630">
        <v>5</v>
      </c>
      <c r="AR630">
        <v>32</v>
      </c>
      <c r="AS630" t="s">
        <v>9047</v>
      </c>
      <c r="AT630" t="s">
        <v>8693</v>
      </c>
      <c r="AU630" t="s">
        <v>11784</v>
      </c>
      <c r="AV630" t="s">
        <v>816</v>
      </c>
      <c r="AW630" t="s">
        <v>817</v>
      </c>
      <c r="AX630" t="s">
        <v>69</v>
      </c>
      <c r="AY630" t="s">
        <v>15622</v>
      </c>
      <c r="AZ630" t="s">
        <v>15623</v>
      </c>
      <c r="BA630" t="s">
        <v>94</v>
      </c>
      <c r="BB630">
        <v>2020</v>
      </c>
      <c r="BC630">
        <v>22</v>
      </c>
      <c r="BD630">
        <v>2</v>
      </c>
      <c r="BE630" t="s">
        <v>69</v>
      </c>
      <c r="BF630" t="s">
        <v>69</v>
      </c>
      <c r="BG630" t="s">
        <v>69</v>
      </c>
      <c r="BH630" t="s">
        <v>69</v>
      </c>
      <c r="BI630">
        <v>493</v>
      </c>
      <c r="BJ630">
        <v>512</v>
      </c>
      <c r="BK630" t="s">
        <v>69</v>
      </c>
      <c r="BL630" t="s">
        <v>818</v>
      </c>
      <c r="BM630" t="str">
        <f>HYPERLINK("http://dx.doi.org/10.1007/s10098-019-01798-7","http://dx.doi.org/10.1007/s10098-019-01798-7")</f>
        <v>http://dx.doi.org/10.1007/s10098-019-01798-7</v>
      </c>
      <c r="BN630" t="s">
        <v>69</v>
      </c>
      <c r="BO630" t="s">
        <v>69</v>
      </c>
      <c r="BP630">
        <v>20</v>
      </c>
      <c r="BQ630" t="s">
        <v>8643</v>
      </c>
      <c r="BR630" t="s">
        <v>8548</v>
      </c>
      <c r="BS630" t="s">
        <v>8644</v>
      </c>
      <c r="BT630" t="s">
        <v>15624</v>
      </c>
      <c r="BU630" t="s">
        <v>819</v>
      </c>
      <c r="BV630" t="s">
        <v>69</v>
      </c>
      <c r="BW630" t="s">
        <v>69</v>
      </c>
      <c r="BX630" t="s">
        <v>69</v>
      </c>
      <c r="BY630" t="s">
        <v>69</v>
      </c>
      <c r="BZ630" t="s">
        <v>8526</v>
      </c>
      <c r="CA630" t="str">
        <f>HYPERLINK("https%3A%2F%2Fwww.webofscience.com%2Fwos%2Fwoscc%2Ffull-record%2FWOS:000519114000014","View Full Record in Web of Science")</f>
        <v>View Full Record in Web of Science</v>
      </c>
    </row>
    <row r="631" spans="2:79" ht="12.5" x14ac:dyDescent="0.25">
      <c r="B631" t="s">
        <v>8495</v>
      </c>
      <c r="D631" s="7" t="s">
        <v>32933</v>
      </c>
      <c r="E631" s="7"/>
      <c r="F631" s="7"/>
      <c r="G631" s="7"/>
      <c r="H631" t="s">
        <v>67</v>
      </c>
      <c r="I631" t="s">
        <v>7980</v>
      </c>
      <c r="J631" t="s">
        <v>69</v>
      </c>
      <c r="K631" t="s">
        <v>69</v>
      </c>
      <c r="L631" t="s">
        <v>69</v>
      </c>
      <c r="M631" t="s">
        <v>7981</v>
      </c>
      <c r="N631" t="s">
        <v>69</v>
      </c>
      <c r="O631" t="s">
        <v>69</v>
      </c>
      <c r="P631" t="s">
        <v>7982</v>
      </c>
      <c r="Q631" t="s">
        <v>4622</v>
      </c>
      <c r="R631" t="s">
        <v>69</v>
      </c>
      <c r="S631" t="s">
        <v>69</v>
      </c>
      <c r="T631" t="s">
        <v>8505</v>
      </c>
      <c r="U631" t="s">
        <v>8506</v>
      </c>
      <c r="V631" t="s">
        <v>69</v>
      </c>
      <c r="W631" t="s">
        <v>69</v>
      </c>
      <c r="X631" t="s">
        <v>69</v>
      </c>
      <c r="Y631" t="s">
        <v>69</v>
      </c>
      <c r="Z631" t="s">
        <v>69</v>
      </c>
      <c r="AA631" t="s">
        <v>18590</v>
      </c>
      <c r="AB631" t="s">
        <v>18591</v>
      </c>
      <c r="AC631" t="s">
        <v>7983</v>
      </c>
      <c r="AD631" t="s">
        <v>18592</v>
      </c>
      <c r="AE631" t="s">
        <v>69</v>
      </c>
      <c r="AF631" t="s">
        <v>18593</v>
      </c>
      <c r="AG631" t="s">
        <v>18594</v>
      </c>
      <c r="AH631" t="s">
        <v>18595</v>
      </c>
      <c r="AI631" t="s">
        <v>18596</v>
      </c>
      <c r="AJ631" t="s">
        <v>18597</v>
      </c>
      <c r="AK631" t="s">
        <v>18597</v>
      </c>
      <c r="AL631" t="s">
        <v>18598</v>
      </c>
      <c r="AM631" t="s">
        <v>69</v>
      </c>
      <c r="AN631">
        <v>41</v>
      </c>
      <c r="AO631">
        <v>17</v>
      </c>
      <c r="AP631">
        <v>18</v>
      </c>
      <c r="AQ631">
        <v>0</v>
      </c>
      <c r="AR631">
        <v>19</v>
      </c>
      <c r="AS631" t="s">
        <v>17140</v>
      </c>
      <c r="AT631" t="s">
        <v>8517</v>
      </c>
      <c r="AU631" t="s">
        <v>17141</v>
      </c>
      <c r="AV631" t="s">
        <v>4624</v>
      </c>
      <c r="AW631" t="s">
        <v>4625</v>
      </c>
      <c r="AX631" t="s">
        <v>69</v>
      </c>
      <c r="AY631" t="s">
        <v>18032</v>
      </c>
      <c r="AZ631" t="s">
        <v>18033</v>
      </c>
      <c r="BA631" t="s">
        <v>84</v>
      </c>
      <c r="BB631">
        <v>2018</v>
      </c>
      <c r="BC631">
        <v>562</v>
      </c>
      <c r="BD631" t="s">
        <v>69</v>
      </c>
      <c r="BE631" t="s">
        <v>69</v>
      </c>
      <c r="BF631" t="s">
        <v>69</v>
      </c>
      <c r="BG631" t="s">
        <v>69</v>
      </c>
      <c r="BH631" t="s">
        <v>69</v>
      </c>
      <c r="BI631">
        <v>181</v>
      </c>
      <c r="BJ631">
        <v>192</v>
      </c>
      <c r="BK631" t="s">
        <v>69</v>
      </c>
      <c r="BL631" t="s">
        <v>7984</v>
      </c>
      <c r="BM631" t="str">
        <f>HYPERLINK("http://dx.doi.org/10.1016/j.jhydrol.2018.04.066","http://dx.doi.org/10.1016/j.jhydrol.2018.04.066")</f>
        <v>http://dx.doi.org/10.1016/j.jhydrol.2018.04.066</v>
      </c>
      <c r="BN631" t="s">
        <v>69</v>
      </c>
      <c r="BO631" t="s">
        <v>69</v>
      </c>
      <c r="BP631">
        <v>12</v>
      </c>
      <c r="BQ631" t="s">
        <v>18034</v>
      </c>
      <c r="BR631" t="s">
        <v>8548</v>
      </c>
      <c r="BS631" t="s">
        <v>8853</v>
      </c>
      <c r="BT631" t="s">
        <v>18599</v>
      </c>
      <c r="BU631" t="s">
        <v>7985</v>
      </c>
      <c r="BV631" t="s">
        <v>69</v>
      </c>
      <c r="BW631" t="s">
        <v>9292</v>
      </c>
      <c r="BX631" t="s">
        <v>69</v>
      </c>
      <c r="BY631" t="s">
        <v>69</v>
      </c>
      <c r="BZ631" t="s">
        <v>8526</v>
      </c>
      <c r="CA631" t="str">
        <f>HYPERLINK("https%3A%2F%2Fwww.webofscience.com%2Fwos%2Fwoscc%2Ffull-record%2FWOS:000438003000014","View Full Record in Web of Science")</f>
        <v>View Full Record in Web of Science</v>
      </c>
    </row>
    <row r="632" spans="2:79" ht="12.5" x14ac:dyDescent="0.25">
      <c r="B632" t="s">
        <v>8495</v>
      </c>
      <c r="D632" s="22" t="s">
        <v>32931</v>
      </c>
      <c r="E632" s="7"/>
      <c r="F632" s="7"/>
      <c r="G632" s="7"/>
      <c r="H632" t="s">
        <v>67</v>
      </c>
      <c r="I632" t="s">
        <v>20302</v>
      </c>
      <c r="J632" t="s">
        <v>69</v>
      </c>
      <c r="K632" t="s">
        <v>69</v>
      </c>
      <c r="L632" t="s">
        <v>69</v>
      </c>
      <c r="M632" t="s">
        <v>20303</v>
      </c>
      <c r="N632" t="s">
        <v>69</v>
      </c>
      <c r="O632" t="s">
        <v>69</v>
      </c>
      <c r="P632" t="s">
        <v>20304</v>
      </c>
      <c r="Q632" t="s">
        <v>352</v>
      </c>
      <c r="R632" t="s">
        <v>69</v>
      </c>
      <c r="S632" t="s">
        <v>69</v>
      </c>
      <c r="T632" t="s">
        <v>8505</v>
      </c>
      <c r="U632" t="s">
        <v>8506</v>
      </c>
      <c r="V632" t="s">
        <v>69</v>
      </c>
      <c r="W632" t="s">
        <v>69</v>
      </c>
      <c r="X632" t="s">
        <v>69</v>
      </c>
      <c r="Y632" t="s">
        <v>69</v>
      </c>
      <c r="Z632" t="s">
        <v>69</v>
      </c>
      <c r="AA632" t="s">
        <v>20305</v>
      </c>
      <c r="AB632" t="s">
        <v>20306</v>
      </c>
      <c r="AC632" t="s">
        <v>20307</v>
      </c>
      <c r="AD632" t="s">
        <v>20308</v>
      </c>
      <c r="AE632" t="s">
        <v>69</v>
      </c>
      <c r="AF632" t="s">
        <v>20309</v>
      </c>
      <c r="AG632" t="s">
        <v>20310</v>
      </c>
      <c r="AH632" t="s">
        <v>69</v>
      </c>
      <c r="AI632" t="s">
        <v>20311</v>
      </c>
      <c r="AJ632" t="s">
        <v>20312</v>
      </c>
      <c r="AK632" t="s">
        <v>20313</v>
      </c>
      <c r="AL632" t="s">
        <v>20314</v>
      </c>
      <c r="AM632" t="s">
        <v>69</v>
      </c>
      <c r="AN632">
        <v>61</v>
      </c>
      <c r="AO632">
        <v>17</v>
      </c>
      <c r="AP632">
        <v>18</v>
      </c>
      <c r="AQ632">
        <v>3</v>
      </c>
      <c r="AR632">
        <v>49</v>
      </c>
      <c r="AS632" t="s">
        <v>8924</v>
      </c>
      <c r="AT632" t="s">
        <v>8925</v>
      </c>
      <c r="AU632" t="s">
        <v>8926</v>
      </c>
      <c r="AV632" t="s">
        <v>69</v>
      </c>
      <c r="AW632" t="s">
        <v>354</v>
      </c>
      <c r="AX632" t="s">
        <v>69</v>
      </c>
      <c r="AY632" t="s">
        <v>8958</v>
      </c>
      <c r="AZ632" t="s">
        <v>8434</v>
      </c>
      <c r="BA632" t="s">
        <v>155</v>
      </c>
      <c r="BB632">
        <v>2017</v>
      </c>
      <c r="BC632">
        <v>9</v>
      </c>
      <c r="BD632">
        <v>6</v>
      </c>
      <c r="BE632" t="s">
        <v>69</v>
      </c>
      <c r="BF632" t="s">
        <v>69</v>
      </c>
      <c r="BG632" t="s">
        <v>69</v>
      </c>
      <c r="BH632" t="s">
        <v>69</v>
      </c>
      <c r="BI632" t="s">
        <v>69</v>
      </c>
      <c r="BJ632" t="s">
        <v>69</v>
      </c>
      <c r="BK632">
        <v>1009</v>
      </c>
      <c r="BL632" t="s">
        <v>20315</v>
      </c>
      <c r="BM632" t="str">
        <f>HYPERLINK("http://dx.doi.org/10.3390/su9061009","http://dx.doi.org/10.3390/su9061009")</f>
        <v>http://dx.doi.org/10.3390/su9061009</v>
      </c>
      <c r="BN632" t="s">
        <v>69</v>
      </c>
      <c r="BO632" t="s">
        <v>69</v>
      </c>
      <c r="BP632">
        <v>23</v>
      </c>
      <c r="BQ632" t="s">
        <v>8960</v>
      </c>
      <c r="BR632" t="s">
        <v>8523</v>
      </c>
      <c r="BS632" t="s">
        <v>8961</v>
      </c>
      <c r="BT632" t="s">
        <v>20301</v>
      </c>
      <c r="BU632" t="s">
        <v>20316</v>
      </c>
      <c r="BV632" t="s">
        <v>69</v>
      </c>
      <c r="BW632" t="s">
        <v>11853</v>
      </c>
      <c r="BX632" t="s">
        <v>69</v>
      </c>
      <c r="BY632" t="s">
        <v>69</v>
      </c>
      <c r="BZ632" t="s">
        <v>8526</v>
      </c>
      <c r="CA632" t="str">
        <f>HYPERLINK("https%3A%2F%2Fwww.webofscience.com%2Fwos%2Fwoscc%2Ffull-record%2FWOS:000404133200140","View Full Record in Web of Science")</f>
        <v>View Full Record in Web of Science</v>
      </c>
    </row>
    <row r="633" spans="2:79" ht="12.5" x14ac:dyDescent="0.25">
      <c r="B633" t="s">
        <v>8495</v>
      </c>
      <c r="D633" s="22" t="s">
        <v>32931</v>
      </c>
      <c r="E633" s="7"/>
      <c r="F633" s="7"/>
      <c r="G633" s="7"/>
      <c r="H633" t="s">
        <v>67</v>
      </c>
      <c r="I633" t="s">
        <v>20928</v>
      </c>
      <c r="J633" t="s">
        <v>69</v>
      </c>
      <c r="K633" t="s">
        <v>69</v>
      </c>
      <c r="L633" t="s">
        <v>69</v>
      </c>
      <c r="M633" t="s">
        <v>20929</v>
      </c>
      <c r="N633" t="s">
        <v>69</v>
      </c>
      <c r="O633" t="s">
        <v>69</v>
      </c>
      <c r="P633" t="s">
        <v>20930</v>
      </c>
      <c r="Q633" t="s">
        <v>20931</v>
      </c>
      <c r="R633" t="s">
        <v>69</v>
      </c>
      <c r="S633" t="s">
        <v>69</v>
      </c>
      <c r="T633" t="s">
        <v>8505</v>
      </c>
      <c r="U633" t="s">
        <v>8506</v>
      </c>
      <c r="V633" t="s">
        <v>69</v>
      </c>
      <c r="W633" t="s">
        <v>69</v>
      </c>
      <c r="X633" t="s">
        <v>69</v>
      </c>
      <c r="Y633" t="s">
        <v>69</v>
      </c>
      <c r="Z633" t="s">
        <v>69</v>
      </c>
      <c r="AA633" t="s">
        <v>20932</v>
      </c>
      <c r="AB633" t="s">
        <v>20933</v>
      </c>
      <c r="AC633" t="s">
        <v>20934</v>
      </c>
      <c r="AD633" t="s">
        <v>20935</v>
      </c>
      <c r="AE633" t="s">
        <v>69</v>
      </c>
      <c r="AF633" t="s">
        <v>20936</v>
      </c>
      <c r="AG633" t="s">
        <v>20937</v>
      </c>
      <c r="AH633" t="s">
        <v>20938</v>
      </c>
      <c r="AI633" t="s">
        <v>20939</v>
      </c>
      <c r="AJ633" t="s">
        <v>20940</v>
      </c>
      <c r="AK633" t="s">
        <v>20941</v>
      </c>
      <c r="AL633" t="s">
        <v>20942</v>
      </c>
      <c r="AM633" t="s">
        <v>69</v>
      </c>
      <c r="AN633">
        <v>13</v>
      </c>
      <c r="AO633">
        <v>7</v>
      </c>
      <c r="AP633">
        <v>8</v>
      </c>
      <c r="AQ633">
        <v>2</v>
      </c>
      <c r="AR633">
        <v>12</v>
      </c>
      <c r="AS633" t="s">
        <v>20943</v>
      </c>
      <c r="AT633" t="s">
        <v>13553</v>
      </c>
      <c r="AU633" t="s">
        <v>20944</v>
      </c>
      <c r="AV633" t="s">
        <v>20945</v>
      </c>
      <c r="AW633" t="s">
        <v>20946</v>
      </c>
      <c r="AX633" t="s">
        <v>69</v>
      </c>
      <c r="AY633" t="s">
        <v>20947</v>
      </c>
      <c r="AZ633" t="s">
        <v>20948</v>
      </c>
      <c r="BA633" t="s">
        <v>69</v>
      </c>
      <c r="BB633">
        <v>2017</v>
      </c>
      <c r="BC633">
        <v>19</v>
      </c>
      <c r="BD633">
        <v>1</v>
      </c>
      <c r="BE633" t="s">
        <v>69</v>
      </c>
      <c r="BF633" t="s">
        <v>69</v>
      </c>
      <c r="BG633" t="s">
        <v>69</v>
      </c>
      <c r="BH633" t="s">
        <v>69</v>
      </c>
      <c r="BI633">
        <v>39</v>
      </c>
      <c r="BJ633">
        <v>43</v>
      </c>
      <c r="BK633" t="s">
        <v>69</v>
      </c>
      <c r="BL633" t="s">
        <v>20949</v>
      </c>
      <c r="BM633" t="str">
        <f>HYPERLINK("http://dx.doi.org/10.5114/fmpcr.2017.65089","http://dx.doi.org/10.5114/fmpcr.2017.65089")</f>
        <v>http://dx.doi.org/10.5114/fmpcr.2017.65089</v>
      </c>
      <c r="BN633" t="s">
        <v>69</v>
      </c>
      <c r="BO633" t="s">
        <v>69</v>
      </c>
      <c r="BP633">
        <v>5</v>
      </c>
      <c r="BQ633" t="s">
        <v>10546</v>
      </c>
      <c r="BR633" t="s">
        <v>8573</v>
      </c>
      <c r="BS633" t="s">
        <v>9451</v>
      </c>
      <c r="BT633" t="s">
        <v>20950</v>
      </c>
      <c r="BU633" t="s">
        <v>20951</v>
      </c>
      <c r="BV633" t="s">
        <v>69</v>
      </c>
      <c r="BW633" t="s">
        <v>10482</v>
      </c>
      <c r="BX633" t="s">
        <v>69</v>
      </c>
      <c r="BY633" t="s">
        <v>69</v>
      </c>
      <c r="BZ633" t="s">
        <v>8526</v>
      </c>
      <c r="CA633" t="str">
        <f>HYPERLINK("https%3A%2F%2Fwww.webofscience.com%2Fwos%2Fwoscc%2Ffull-record%2FWOS:000398934500008","View Full Record in Web of Science")</f>
        <v>View Full Record in Web of Science</v>
      </c>
    </row>
    <row r="634" spans="2:79" ht="12.5" x14ac:dyDescent="0.25">
      <c r="B634" t="s">
        <v>8495</v>
      </c>
      <c r="D634" s="22" t="s">
        <v>32931</v>
      </c>
      <c r="E634" s="7"/>
      <c r="F634" s="7"/>
      <c r="G634" s="7"/>
      <c r="H634" t="s">
        <v>67</v>
      </c>
      <c r="I634" t="s">
        <v>11084</v>
      </c>
      <c r="J634" t="s">
        <v>69</v>
      </c>
      <c r="K634" t="s">
        <v>69</v>
      </c>
      <c r="L634" t="s">
        <v>69</v>
      </c>
      <c r="M634" t="s">
        <v>11085</v>
      </c>
      <c r="N634" t="s">
        <v>69</v>
      </c>
      <c r="O634" t="s">
        <v>69</v>
      </c>
      <c r="P634" t="s">
        <v>11086</v>
      </c>
      <c r="Q634" t="s">
        <v>632</v>
      </c>
      <c r="R634" t="s">
        <v>69</v>
      </c>
      <c r="S634" t="s">
        <v>69</v>
      </c>
      <c r="T634" t="s">
        <v>8505</v>
      </c>
      <c r="U634" t="s">
        <v>8506</v>
      </c>
      <c r="V634" t="s">
        <v>69</v>
      </c>
      <c r="W634" t="s">
        <v>69</v>
      </c>
      <c r="X634" t="s">
        <v>69</v>
      </c>
      <c r="Y634" t="s">
        <v>69</v>
      </c>
      <c r="Z634" t="s">
        <v>69</v>
      </c>
      <c r="AA634" t="s">
        <v>11087</v>
      </c>
      <c r="AB634" t="s">
        <v>11088</v>
      </c>
      <c r="AC634" t="s">
        <v>11089</v>
      </c>
      <c r="AD634" t="s">
        <v>11090</v>
      </c>
      <c r="AE634" t="s">
        <v>69</v>
      </c>
      <c r="AF634" t="s">
        <v>11091</v>
      </c>
      <c r="AG634" t="s">
        <v>11092</v>
      </c>
      <c r="AH634" t="s">
        <v>69</v>
      </c>
      <c r="AI634" t="s">
        <v>69</v>
      </c>
      <c r="AJ634" t="s">
        <v>11093</v>
      </c>
      <c r="AK634" t="s">
        <v>11093</v>
      </c>
      <c r="AL634" t="s">
        <v>11094</v>
      </c>
      <c r="AM634" t="s">
        <v>69</v>
      </c>
      <c r="AN634">
        <v>331</v>
      </c>
      <c r="AO634">
        <v>4</v>
      </c>
      <c r="AP634">
        <v>4</v>
      </c>
      <c r="AQ634">
        <v>38</v>
      </c>
      <c r="AR634">
        <v>82</v>
      </c>
      <c r="AS634" t="s">
        <v>8516</v>
      </c>
      <c r="AT634" t="s">
        <v>8517</v>
      </c>
      <c r="AU634" t="s">
        <v>8518</v>
      </c>
      <c r="AV634" t="s">
        <v>634</v>
      </c>
      <c r="AW634" t="s">
        <v>635</v>
      </c>
      <c r="AX634" t="s">
        <v>69</v>
      </c>
      <c r="AY634" t="s">
        <v>8714</v>
      </c>
      <c r="AZ634" t="s">
        <v>8715</v>
      </c>
      <c r="BA634" t="s">
        <v>8102</v>
      </c>
      <c r="BB634">
        <v>2022</v>
      </c>
      <c r="BC634">
        <v>807</v>
      </c>
      <c r="BD634" t="s">
        <v>69</v>
      </c>
      <c r="BE634">
        <v>1</v>
      </c>
      <c r="BF634" t="s">
        <v>69</v>
      </c>
      <c r="BG634" t="s">
        <v>69</v>
      </c>
      <c r="BH634" t="s">
        <v>69</v>
      </c>
      <c r="BI634" t="s">
        <v>69</v>
      </c>
      <c r="BJ634" t="s">
        <v>69</v>
      </c>
      <c r="BK634">
        <v>150700</v>
      </c>
      <c r="BL634" t="s">
        <v>11095</v>
      </c>
      <c r="BM634" t="str">
        <f>HYPERLINK("http://dx.doi.org/10.1016/j.scitotenv.2021.150700","http://dx.doi.org/10.1016/j.scitotenv.2021.150700")</f>
        <v>http://dx.doi.org/10.1016/j.scitotenv.2021.150700</v>
      </c>
      <c r="BN634" t="s">
        <v>69</v>
      </c>
      <c r="BO634" t="s">
        <v>10991</v>
      </c>
      <c r="BP634">
        <v>16</v>
      </c>
      <c r="BQ634" t="s">
        <v>8717</v>
      </c>
      <c r="BR634" t="s">
        <v>8523</v>
      </c>
      <c r="BS634" t="s">
        <v>8662</v>
      </c>
      <c r="BT634" t="s">
        <v>11096</v>
      </c>
      <c r="BU634" t="s">
        <v>11097</v>
      </c>
      <c r="BV634">
        <v>34606858</v>
      </c>
      <c r="BW634" t="s">
        <v>69</v>
      </c>
      <c r="BX634" t="s">
        <v>69</v>
      </c>
      <c r="BY634" t="s">
        <v>69</v>
      </c>
      <c r="BZ634" t="s">
        <v>8526</v>
      </c>
      <c r="CA634" t="str">
        <f>HYPERLINK("https%3A%2F%2Fwww.webofscience.com%2Fwos%2Fwoscc%2Ffull-record%2FWOS:000707663100002","View Full Record in Web of Science")</f>
        <v>View Full Record in Web of Science</v>
      </c>
    </row>
    <row r="635" spans="2:79" ht="12.5" x14ac:dyDescent="0.25">
      <c r="B635" t="s">
        <v>8495</v>
      </c>
      <c r="D635" s="7" t="s">
        <v>32933</v>
      </c>
      <c r="E635" s="7"/>
      <c r="F635" s="7"/>
      <c r="G635" s="7"/>
      <c r="H635" t="s">
        <v>67</v>
      </c>
      <c r="I635" t="s">
        <v>1106</v>
      </c>
      <c r="J635" t="s">
        <v>69</v>
      </c>
      <c r="K635" t="s">
        <v>69</v>
      </c>
      <c r="L635" t="s">
        <v>69</v>
      </c>
      <c r="M635" t="s">
        <v>1107</v>
      </c>
      <c r="N635" t="s">
        <v>69</v>
      </c>
      <c r="O635" t="s">
        <v>69</v>
      </c>
      <c r="P635" t="s">
        <v>1108</v>
      </c>
      <c r="Q635" t="s">
        <v>1109</v>
      </c>
      <c r="R635" t="s">
        <v>69</v>
      </c>
      <c r="S635" t="s">
        <v>69</v>
      </c>
      <c r="T635" t="s">
        <v>8505</v>
      </c>
      <c r="U635" t="s">
        <v>8506</v>
      </c>
      <c r="V635" t="s">
        <v>69</v>
      </c>
      <c r="W635" t="s">
        <v>69</v>
      </c>
      <c r="X635" t="s">
        <v>69</v>
      </c>
      <c r="Y635" t="s">
        <v>69</v>
      </c>
      <c r="Z635" t="s">
        <v>69</v>
      </c>
      <c r="AA635" t="s">
        <v>19475</v>
      </c>
      <c r="AB635" t="s">
        <v>69</v>
      </c>
      <c r="AC635" t="s">
        <v>1110</v>
      </c>
      <c r="AD635" t="s">
        <v>19476</v>
      </c>
      <c r="AE635" t="s">
        <v>69</v>
      </c>
      <c r="AF635" t="s">
        <v>18258</v>
      </c>
      <c r="AG635" t="s">
        <v>19477</v>
      </c>
      <c r="AH635" t="s">
        <v>69</v>
      </c>
      <c r="AI635" t="s">
        <v>69</v>
      </c>
      <c r="AJ635" t="s">
        <v>19478</v>
      </c>
      <c r="AK635" t="s">
        <v>19479</v>
      </c>
      <c r="AL635" t="s">
        <v>19480</v>
      </c>
      <c r="AM635" t="s">
        <v>69</v>
      </c>
      <c r="AN635">
        <v>9</v>
      </c>
      <c r="AO635">
        <v>8</v>
      </c>
      <c r="AP635">
        <v>8</v>
      </c>
      <c r="AQ635">
        <v>0</v>
      </c>
      <c r="AR635">
        <v>6</v>
      </c>
      <c r="AS635" t="s">
        <v>8865</v>
      </c>
      <c r="AT635" t="s">
        <v>8612</v>
      </c>
      <c r="AU635" t="s">
        <v>8866</v>
      </c>
      <c r="AV635" t="s">
        <v>1111</v>
      </c>
      <c r="AW635" t="s">
        <v>1112</v>
      </c>
      <c r="AX635" t="s">
        <v>69</v>
      </c>
      <c r="AY635" t="s">
        <v>19289</v>
      </c>
      <c r="AZ635" t="s">
        <v>19290</v>
      </c>
      <c r="BA635" t="s">
        <v>69</v>
      </c>
      <c r="BB635">
        <v>2018</v>
      </c>
      <c r="BC635">
        <v>16</v>
      </c>
      <c r="BD635">
        <v>1</v>
      </c>
      <c r="BE635" t="s">
        <v>69</v>
      </c>
      <c r="BF635" t="s">
        <v>69</v>
      </c>
      <c r="BG635" t="s">
        <v>69</v>
      </c>
      <c r="BH635" t="s">
        <v>69</v>
      </c>
      <c r="BI635">
        <v>28</v>
      </c>
      <c r="BJ635">
        <v>35</v>
      </c>
      <c r="BK635" t="s">
        <v>69</v>
      </c>
      <c r="BL635" t="s">
        <v>1113</v>
      </c>
      <c r="BM635" t="str">
        <f>HYPERLINK("http://dx.doi.org/10.1080/10042857.2018.1433809","http://dx.doi.org/10.1080/10042857.2018.1433809")</f>
        <v>http://dx.doi.org/10.1080/10042857.2018.1433809</v>
      </c>
      <c r="BN635" t="s">
        <v>69</v>
      </c>
      <c r="BO635" t="s">
        <v>69</v>
      </c>
      <c r="BP635">
        <v>8</v>
      </c>
      <c r="BQ635" t="s">
        <v>8660</v>
      </c>
      <c r="BR635" t="s">
        <v>8573</v>
      </c>
      <c r="BS635" t="s">
        <v>8662</v>
      </c>
      <c r="BT635" t="s">
        <v>19481</v>
      </c>
      <c r="BU635" t="s">
        <v>1114</v>
      </c>
      <c r="BV635" t="s">
        <v>69</v>
      </c>
      <c r="BW635" t="s">
        <v>69</v>
      </c>
      <c r="BX635" t="s">
        <v>69</v>
      </c>
      <c r="BY635" t="s">
        <v>69</v>
      </c>
      <c r="BZ635" t="s">
        <v>8526</v>
      </c>
      <c r="CA635" t="str">
        <f>HYPERLINK("https%3A%2F%2Fwww.webofscience.com%2Fwos%2Fwoscc%2Ffull-record%2FWOS:000437273300003","View Full Record in Web of Science")</f>
        <v>View Full Record in Web of Science</v>
      </c>
    </row>
    <row r="636" spans="2:79" ht="12.5" x14ac:dyDescent="0.25">
      <c r="B636" t="s">
        <v>8495</v>
      </c>
      <c r="D636" s="22" t="s">
        <v>32931</v>
      </c>
      <c r="E636" s="7"/>
      <c r="F636" s="7"/>
      <c r="G636" s="7"/>
      <c r="H636" t="s">
        <v>67</v>
      </c>
      <c r="I636" t="s">
        <v>20325</v>
      </c>
      <c r="J636" t="s">
        <v>69</v>
      </c>
      <c r="K636" t="s">
        <v>69</v>
      </c>
      <c r="L636" t="s">
        <v>69</v>
      </c>
      <c r="M636" t="s">
        <v>20326</v>
      </c>
      <c r="N636" t="s">
        <v>69</v>
      </c>
      <c r="O636" t="s">
        <v>69</v>
      </c>
      <c r="P636" t="s">
        <v>20327</v>
      </c>
      <c r="Q636" t="s">
        <v>18957</v>
      </c>
      <c r="R636" t="s">
        <v>69</v>
      </c>
      <c r="S636" t="s">
        <v>69</v>
      </c>
      <c r="T636" t="s">
        <v>8505</v>
      </c>
      <c r="U636" t="s">
        <v>8506</v>
      </c>
      <c r="V636" t="s">
        <v>69</v>
      </c>
      <c r="W636" t="s">
        <v>69</v>
      </c>
      <c r="X636" t="s">
        <v>69</v>
      </c>
      <c r="Y636" t="s">
        <v>69</v>
      </c>
      <c r="Z636" t="s">
        <v>69</v>
      </c>
      <c r="AA636" t="s">
        <v>69</v>
      </c>
      <c r="AB636" t="s">
        <v>20328</v>
      </c>
      <c r="AC636" t="s">
        <v>20329</v>
      </c>
      <c r="AD636" t="s">
        <v>20330</v>
      </c>
      <c r="AE636" t="s">
        <v>69</v>
      </c>
      <c r="AF636" t="s">
        <v>20331</v>
      </c>
      <c r="AG636" t="s">
        <v>20332</v>
      </c>
      <c r="AH636" t="s">
        <v>69</v>
      </c>
      <c r="AI636" t="s">
        <v>20333</v>
      </c>
      <c r="AJ636" t="s">
        <v>20334</v>
      </c>
      <c r="AK636" t="s">
        <v>20334</v>
      </c>
      <c r="AL636" t="s">
        <v>20335</v>
      </c>
      <c r="AM636" t="s">
        <v>69</v>
      </c>
      <c r="AN636">
        <v>40</v>
      </c>
      <c r="AO636">
        <v>42</v>
      </c>
      <c r="AP636">
        <v>46</v>
      </c>
      <c r="AQ636">
        <v>2</v>
      </c>
      <c r="AR636">
        <v>23</v>
      </c>
      <c r="AS636" t="s">
        <v>9305</v>
      </c>
      <c r="AT636" t="s">
        <v>8763</v>
      </c>
      <c r="AU636" t="s">
        <v>9306</v>
      </c>
      <c r="AV636" t="s">
        <v>18965</v>
      </c>
      <c r="AW636" t="s">
        <v>18966</v>
      </c>
      <c r="AX636" t="s">
        <v>69</v>
      </c>
      <c r="AY636" t="s">
        <v>18967</v>
      </c>
      <c r="AZ636" t="s">
        <v>18968</v>
      </c>
      <c r="BA636" t="s">
        <v>155</v>
      </c>
      <c r="BB636">
        <v>2017</v>
      </c>
      <c r="BC636">
        <v>222</v>
      </c>
      <c r="BD636">
        <v>12</v>
      </c>
      <c r="BE636" t="s">
        <v>69</v>
      </c>
      <c r="BF636" t="s">
        <v>69</v>
      </c>
      <c r="BG636" t="s">
        <v>69</v>
      </c>
      <c r="BH636" t="s">
        <v>69</v>
      </c>
      <c r="BI636">
        <v>944</v>
      </c>
      <c r="BJ636">
        <v>948</v>
      </c>
      <c r="BK636" t="s">
        <v>69</v>
      </c>
      <c r="BL636" t="s">
        <v>20336</v>
      </c>
      <c r="BM636" t="str">
        <f>HYPERLINK("http://dx.doi.org/10.1038/sj.bdj.2017.544","http://dx.doi.org/10.1038/sj.bdj.2017.544")</f>
        <v>http://dx.doi.org/10.1038/sj.bdj.2017.544</v>
      </c>
      <c r="BN636" t="s">
        <v>69</v>
      </c>
      <c r="BO636" t="s">
        <v>69</v>
      </c>
      <c r="BP636">
        <v>5</v>
      </c>
      <c r="BQ636" t="s">
        <v>17390</v>
      </c>
      <c r="BR636" t="s">
        <v>8548</v>
      </c>
      <c r="BS636" t="s">
        <v>17390</v>
      </c>
      <c r="BT636" t="s">
        <v>20337</v>
      </c>
      <c r="BU636" t="s">
        <v>20338</v>
      </c>
      <c r="BV636">
        <v>28642531</v>
      </c>
      <c r="BW636" t="s">
        <v>10995</v>
      </c>
      <c r="BX636" t="s">
        <v>69</v>
      </c>
      <c r="BY636" t="s">
        <v>69</v>
      </c>
      <c r="BZ636" t="s">
        <v>8526</v>
      </c>
      <c r="CA636" t="str">
        <f>HYPERLINK("https%3A%2F%2Fwww.webofscience.com%2Fwos%2Fwoscc%2Ffull-record%2FWOS:000404111200018","View Full Record in Web of Science")</f>
        <v>View Full Record in Web of Science</v>
      </c>
    </row>
    <row r="637" spans="2:79" ht="12.5" x14ac:dyDescent="0.25">
      <c r="B637" t="s">
        <v>8495</v>
      </c>
      <c r="D637" s="22" t="s">
        <v>32931</v>
      </c>
      <c r="E637" s="7"/>
      <c r="F637" s="7"/>
      <c r="G637" s="7"/>
      <c r="H637" t="s">
        <v>67</v>
      </c>
      <c r="I637" t="s">
        <v>10890</v>
      </c>
      <c r="J637" t="s">
        <v>69</v>
      </c>
      <c r="K637" t="s">
        <v>69</v>
      </c>
      <c r="L637" t="s">
        <v>69</v>
      </c>
      <c r="M637" t="s">
        <v>10891</v>
      </c>
      <c r="N637" t="s">
        <v>69</v>
      </c>
      <c r="O637" t="s">
        <v>69</v>
      </c>
      <c r="P637" t="s">
        <v>10892</v>
      </c>
      <c r="Q637" t="s">
        <v>10893</v>
      </c>
      <c r="R637" t="s">
        <v>69</v>
      </c>
      <c r="S637" t="s">
        <v>69</v>
      </c>
      <c r="T637" t="s">
        <v>8505</v>
      </c>
      <c r="U637" t="s">
        <v>8506</v>
      </c>
      <c r="V637" t="s">
        <v>69</v>
      </c>
      <c r="W637" t="s">
        <v>69</v>
      </c>
      <c r="X637" t="s">
        <v>69</v>
      </c>
      <c r="Y637" t="s">
        <v>69</v>
      </c>
      <c r="Z637" t="s">
        <v>69</v>
      </c>
      <c r="AA637" t="s">
        <v>10894</v>
      </c>
      <c r="AB637" t="s">
        <v>10895</v>
      </c>
      <c r="AC637" t="s">
        <v>10896</v>
      </c>
      <c r="AD637" t="s">
        <v>10897</v>
      </c>
      <c r="AE637" t="s">
        <v>69</v>
      </c>
      <c r="AF637" t="s">
        <v>10898</v>
      </c>
      <c r="AG637" t="s">
        <v>10899</v>
      </c>
      <c r="AH637" t="s">
        <v>10900</v>
      </c>
      <c r="AI637" t="s">
        <v>10901</v>
      </c>
      <c r="AJ637" t="s">
        <v>10902</v>
      </c>
      <c r="AK637" t="s">
        <v>10903</v>
      </c>
      <c r="AL637" t="s">
        <v>10904</v>
      </c>
      <c r="AM637" t="s">
        <v>69</v>
      </c>
      <c r="AN637">
        <v>61</v>
      </c>
      <c r="AO637">
        <v>0</v>
      </c>
      <c r="AP637">
        <v>0</v>
      </c>
      <c r="AQ637">
        <v>2</v>
      </c>
      <c r="AR637">
        <v>2</v>
      </c>
      <c r="AS637" t="s">
        <v>8924</v>
      </c>
      <c r="AT637" t="s">
        <v>8925</v>
      </c>
      <c r="AU637" t="s">
        <v>8926</v>
      </c>
      <c r="AV637" t="s">
        <v>69</v>
      </c>
      <c r="AW637" t="s">
        <v>10905</v>
      </c>
      <c r="AX637" t="s">
        <v>69</v>
      </c>
      <c r="AY637" t="s">
        <v>10893</v>
      </c>
      <c r="AZ637" t="s">
        <v>10906</v>
      </c>
      <c r="BA637" t="s">
        <v>274</v>
      </c>
      <c r="BB637">
        <v>2021</v>
      </c>
      <c r="BC637">
        <v>13</v>
      </c>
      <c r="BD637">
        <v>11</v>
      </c>
      <c r="BE637" t="s">
        <v>69</v>
      </c>
      <c r="BF637" t="s">
        <v>69</v>
      </c>
      <c r="BG637" t="s">
        <v>69</v>
      </c>
      <c r="BH637" t="s">
        <v>69</v>
      </c>
      <c r="BI637" t="s">
        <v>69</v>
      </c>
      <c r="BJ637" t="s">
        <v>69</v>
      </c>
      <c r="BK637">
        <v>3748</v>
      </c>
      <c r="BL637" t="s">
        <v>10907</v>
      </c>
      <c r="BM637" t="str">
        <f>HYPERLINK("http://dx.doi.org/10.3390/nu13113748","http://dx.doi.org/10.3390/nu13113748")</f>
        <v>http://dx.doi.org/10.3390/nu13113748</v>
      </c>
      <c r="BN637" t="s">
        <v>69</v>
      </c>
      <c r="BO637" t="s">
        <v>69</v>
      </c>
      <c r="BP637">
        <v>17</v>
      </c>
      <c r="BQ637" t="s">
        <v>10908</v>
      </c>
      <c r="BR637" t="s">
        <v>8548</v>
      </c>
      <c r="BS637" t="s">
        <v>10908</v>
      </c>
      <c r="BT637" t="s">
        <v>10909</v>
      </c>
      <c r="BU637" t="s">
        <v>10910</v>
      </c>
      <c r="BV637">
        <v>34836004</v>
      </c>
      <c r="BW637" t="s">
        <v>9352</v>
      </c>
      <c r="BX637" t="s">
        <v>69</v>
      </c>
      <c r="BY637" t="s">
        <v>69</v>
      </c>
      <c r="BZ637" t="s">
        <v>8526</v>
      </c>
      <c r="CA637" t="str">
        <f>HYPERLINK("https%3A%2F%2Fwww.webofscience.com%2Fwos%2Fwoscc%2Ffull-record%2FWOS:000724111000001","View Full Record in Web of Science")</f>
        <v>View Full Record in Web of Science</v>
      </c>
    </row>
    <row r="638" spans="2:79" ht="12.5" x14ac:dyDescent="0.25">
      <c r="B638" t="s">
        <v>8495</v>
      </c>
      <c r="D638" s="22" t="s">
        <v>32931</v>
      </c>
      <c r="E638" s="7"/>
      <c r="F638" s="7"/>
      <c r="G638" s="7"/>
      <c r="H638" t="s">
        <v>67</v>
      </c>
      <c r="I638" t="s">
        <v>26618</v>
      </c>
      <c r="J638" t="s">
        <v>69</v>
      </c>
      <c r="K638" t="s">
        <v>69</v>
      </c>
      <c r="L638" t="s">
        <v>69</v>
      </c>
      <c r="M638" t="s">
        <v>26619</v>
      </c>
      <c r="N638" t="s">
        <v>69</v>
      </c>
      <c r="O638" t="s">
        <v>69</v>
      </c>
      <c r="P638" t="s">
        <v>26620</v>
      </c>
      <c r="Q638" t="s">
        <v>120</v>
      </c>
      <c r="R638" t="s">
        <v>69</v>
      </c>
      <c r="S638" t="s">
        <v>69</v>
      </c>
      <c r="T638" t="s">
        <v>8505</v>
      </c>
      <c r="U638" t="s">
        <v>8506</v>
      </c>
      <c r="V638" t="s">
        <v>69</v>
      </c>
      <c r="W638" t="s">
        <v>69</v>
      </c>
      <c r="X638" t="s">
        <v>69</v>
      </c>
      <c r="Y638" t="s">
        <v>69</v>
      </c>
      <c r="Z638" t="s">
        <v>69</v>
      </c>
      <c r="AA638" t="s">
        <v>26621</v>
      </c>
      <c r="AB638" t="s">
        <v>69</v>
      </c>
      <c r="AC638" t="s">
        <v>26622</v>
      </c>
      <c r="AD638" t="s">
        <v>26623</v>
      </c>
      <c r="AE638" t="s">
        <v>69</v>
      </c>
      <c r="AF638" t="s">
        <v>26624</v>
      </c>
      <c r="AG638" t="s">
        <v>26625</v>
      </c>
      <c r="AH638" t="s">
        <v>26626</v>
      </c>
      <c r="AI638" t="s">
        <v>26627</v>
      </c>
      <c r="AJ638" t="s">
        <v>69</v>
      </c>
      <c r="AK638" t="s">
        <v>69</v>
      </c>
      <c r="AL638" t="s">
        <v>69</v>
      </c>
      <c r="AM638" t="s">
        <v>69</v>
      </c>
      <c r="AN638">
        <v>2</v>
      </c>
      <c r="AO638">
        <v>1</v>
      </c>
      <c r="AP638">
        <v>1</v>
      </c>
      <c r="AQ638">
        <v>0</v>
      </c>
      <c r="AR638">
        <v>0</v>
      </c>
      <c r="AS638" t="s">
        <v>23318</v>
      </c>
      <c r="AT638" t="s">
        <v>23319</v>
      </c>
      <c r="AU638" t="s">
        <v>23320</v>
      </c>
      <c r="AV638" t="s">
        <v>122</v>
      </c>
      <c r="AW638" t="s">
        <v>123</v>
      </c>
      <c r="AX638" t="s">
        <v>69</v>
      </c>
      <c r="AY638" t="s">
        <v>23321</v>
      </c>
      <c r="AZ638" t="s">
        <v>23322</v>
      </c>
      <c r="BA638" t="s">
        <v>69</v>
      </c>
      <c r="BB638">
        <v>2012</v>
      </c>
      <c r="BC638">
        <v>12</v>
      </c>
      <c r="BD638">
        <v>3</v>
      </c>
      <c r="BE638" t="s">
        <v>69</v>
      </c>
      <c r="BF638" t="s">
        <v>69</v>
      </c>
      <c r="BG638" t="s">
        <v>69</v>
      </c>
      <c r="BH638" t="s">
        <v>69</v>
      </c>
      <c r="BI638">
        <v>123</v>
      </c>
      <c r="BJ638">
        <v>128</v>
      </c>
      <c r="BK638" t="s">
        <v>69</v>
      </c>
      <c r="BL638" t="s">
        <v>69</v>
      </c>
      <c r="BM638" t="s">
        <v>69</v>
      </c>
      <c r="BN638" t="s">
        <v>69</v>
      </c>
      <c r="BO638" t="s">
        <v>69</v>
      </c>
      <c r="BP638">
        <v>6</v>
      </c>
      <c r="BQ638" t="s">
        <v>23323</v>
      </c>
      <c r="BR638" t="s">
        <v>8573</v>
      </c>
      <c r="BS638" t="s">
        <v>8450</v>
      </c>
      <c r="BT638" t="s">
        <v>26628</v>
      </c>
      <c r="BU638" t="s">
        <v>26629</v>
      </c>
      <c r="BV638" t="s">
        <v>69</v>
      </c>
      <c r="BW638" t="s">
        <v>69</v>
      </c>
      <c r="BX638" t="s">
        <v>69</v>
      </c>
      <c r="BY638" t="s">
        <v>69</v>
      </c>
      <c r="BZ638" t="s">
        <v>8526</v>
      </c>
      <c r="CA638" t="str">
        <f>HYPERLINK("https%3A%2F%2Fwww.webofscience.com%2Fwos%2Fwoscc%2Ffull-record%2FWOS:000422177300024","View Full Record in Web of Science")</f>
        <v>View Full Record in Web of Science</v>
      </c>
    </row>
    <row r="639" spans="2:79" ht="12.5" x14ac:dyDescent="0.25">
      <c r="B639" t="s">
        <v>8495</v>
      </c>
      <c r="D639" s="22" t="s">
        <v>32931</v>
      </c>
      <c r="E639" s="7"/>
      <c r="F639" s="7"/>
      <c r="G639" s="7"/>
      <c r="H639" t="s">
        <v>67</v>
      </c>
      <c r="I639" t="s">
        <v>12459</v>
      </c>
      <c r="J639" t="s">
        <v>69</v>
      </c>
      <c r="K639" t="s">
        <v>69</v>
      </c>
      <c r="L639" t="s">
        <v>69</v>
      </c>
      <c r="M639" t="s">
        <v>12460</v>
      </c>
      <c r="N639" t="s">
        <v>69</v>
      </c>
      <c r="O639" t="s">
        <v>69</v>
      </c>
      <c r="P639" t="s">
        <v>12461</v>
      </c>
      <c r="Q639" t="s">
        <v>12462</v>
      </c>
      <c r="R639" t="s">
        <v>69</v>
      </c>
      <c r="S639" t="s">
        <v>69</v>
      </c>
      <c r="T639" t="s">
        <v>8505</v>
      </c>
      <c r="U639" t="s">
        <v>8506</v>
      </c>
      <c r="V639" t="s">
        <v>69</v>
      </c>
      <c r="W639" t="s">
        <v>69</v>
      </c>
      <c r="X639" t="s">
        <v>69</v>
      </c>
      <c r="Y639" t="s">
        <v>69</v>
      </c>
      <c r="Z639" t="s">
        <v>69</v>
      </c>
      <c r="AA639" t="s">
        <v>12463</v>
      </c>
      <c r="AB639" t="s">
        <v>69</v>
      </c>
      <c r="AC639" t="s">
        <v>12464</v>
      </c>
      <c r="AD639" t="s">
        <v>12465</v>
      </c>
      <c r="AE639" t="s">
        <v>69</v>
      </c>
      <c r="AF639" t="s">
        <v>12466</v>
      </c>
      <c r="AG639" t="s">
        <v>12467</v>
      </c>
      <c r="AH639" t="s">
        <v>69</v>
      </c>
      <c r="AI639" t="s">
        <v>69</v>
      </c>
      <c r="AJ639" t="s">
        <v>69</v>
      </c>
      <c r="AK639" t="s">
        <v>69</v>
      </c>
      <c r="AL639" t="s">
        <v>69</v>
      </c>
      <c r="AM639" t="s">
        <v>69</v>
      </c>
      <c r="AN639">
        <v>23</v>
      </c>
      <c r="AO639">
        <v>3</v>
      </c>
      <c r="AP639">
        <v>4</v>
      </c>
      <c r="AQ639">
        <v>6</v>
      </c>
      <c r="AR639">
        <v>6</v>
      </c>
      <c r="AS639" t="s">
        <v>8611</v>
      </c>
      <c r="AT639" t="s">
        <v>8612</v>
      </c>
      <c r="AU639" t="s">
        <v>8613</v>
      </c>
      <c r="AV639" t="s">
        <v>69</v>
      </c>
      <c r="AW639" t="s">
        <v>12468</v>
      </c>
      <c r="AX639" t="s">
        <v>69</v>
      </c>
      <c r="AY639" t="s">
        <v>12469</v>
      </c>
      <c r="AZ639" t="s">
        <v>12470</v>
      </c>
      <c r="BA639" t="s">
        <v>4530</v>
      </c>
      <c r="BB639">
        <v>2021</v>
      </c>
      <c r="BC639">
        <v>4</v>
      </c>
      <c r="BD639">
        <v>2</v>
      </c>
      <c r="BE639" t="s">
        <v>69</v>
      </c>
      <c r="BF639" t="s">
        <v>69</v>
      </c>
      <c r="BG639" t="s">
        <v>114</v>
      </c>
      <c r="BH639" t="s">
        <v>69</v>
      </c>
      <c r="BI639">
        <v>252</v>
      </c>
      <c r="BJ639">
        <v>270</v>
      </c>
      <c r="BK639" t="s">
        <v>69</v>
      </c>
      <c r="BL639" t="s">
        <v>12471</v>
      </c>
      <c r="BM639" t="str">
        <f>HYPERLINK("http://dx.doi.org/10.1080/25741292.2021.1883834","http://dx.doi.org/10.1080/25741292.2021.1883834")</f>
        <v>http://dx.doi.org/10.1080/25741292.2021.1883834</v>
      </c>
      <c r="BN639" t="s">
        <v>69</v>
      </c>
      <c r="BO639" t="s">
        <v>69</v>
      </c>
      <c r="BP639">
        <v>19</v>
      </c>
      <c r="BQ639" t="s">
        <v>12182</v>
      </c>
      <c r="BR639" t="s">
        <v>8573</v>
      </c>
      <c r="BS639" t="s">
        <v>12182</v>
      </c>
      <c r="BT639" t="s">
        <v>12472</v>
      </c>
      <c r="BU639" t="s">
        <v>12473</v>
      </c>
      <c r="BV639" t="s">
        <v>69</v>
      </c>
      <c r="BW639" t="s">
        <v>8931</v>
      </c>
      <c r="BX639" t="s">
        <v>69</v>
      </c>
      <c r="BY639" t="s">
        <v>69</v>
      </c>
      <c r="BZ639" t="s">
        <v>8526</v>
      </c>
      <c r="CA639" t="str">
        <f>HYPERLINK("https%3A%2F%2Fwww.webofscience.com%2Fwos%2Fwoscc%2Ffull-record%2FWOS:000679955800005","View Full Record in Web of Science")</f>
        <v>View Full Record in Web of Science</v>
      </c>
    </row>
    <row r="640" spans="2:79" ht="12.5" x14ac:dyDescent="0.25">
      <c r="B640" t="s">
        <v>8495</v>
      </c>
      <c r="D640" s="22" t="s">
        <v>32931</v>
      </c>
      <c r="E640" s="7"/>
      <c r="F640" s="7"/>
      <c r="G640" s="7"/>
      <c r="H640" t="s">
        <v>67</v>
      </c>
      <c r="I640" t="s">
        <v>19380</v>
      </c>
      <c r="J640" t="s">
        <v>69</v>
      </c>
      <c r="K640" t="s">
        <v>69</v>
      </c>
      <c r="L640" t="s">
        <v>69</v>
      </c>
      <c r="M640" t="s">
        <v>19381</v>
      </c>
      <c r="N640" t="s">
        <v>69</v>
      </c>
      <c r="O640" t="s">
        <v>69</v>
      </c>
      <c r="P640" t="s">
        <v>19382</v>
      </c>
      <c r="Q640" t="s">
        <v>11049</v>
      </c>
      <c r="R640" t="s">
        <v>69</v>
      </c>
      <c r="S640" t="s">
        <v>69</v>
      </c>
      <c r="T640" t="s">
        <v>8505</v>
      </c>
      <c r="U640" t="s">
        <v>8506</v>
      </c>
      <c r="V640" t="s">
        <v>69</v>
      </c>
      <c r="W640" t="s">
        <v>69</v>
      </c>
      <c r="X640" t="s">
        <v>69</v>
      </c>
      <c r="Y640" t="s">
        <v>69</v>
      </c>
      <c r="Z640" t="s">
        <v>69</v>
      </c>
      <c r="AA640" t="s">
        <v>19383</v>
      </c>
      <c r="AB640" t="s">
        <v>19384</v>
      </c>
      <c r="AC640" t="s">
        <v>19385</v>
      </c>
      <c r="AD640" t="s">
        <v>19386</v>
      </c>
      <c r="AE640" t="s">
        <v>69</v>
      </c>
      <c r="AF640" t="s">
        <v>19387</v>
      </c>
      <c r="AG640" t="s">
        <v>19325</v>
      </c>
      <c r="AH640" t="s">
        <v>19326</v>
      </c>
      <c r="AI640" t="s">
        <v>19327</v>
      </c>
      <c r="AJ640" t="s">
        <v>69</v>
      </c>
      <c r="AK640" t="s">
        <v>69</v>
      </c>
      <c r="AL640" t="s">
        <v>69</v>
      </c>
      <c r="AM640" t="s">
        <v>69</v>
      </c>
      <c r="AN640">
        <v>77</v>
      </c>
      <c r="AO640">
        <v>37</v>
      </c>
      <c r="AP640">
        <v>39</v>
      </c>
      <c r="AQ640">
        <v>2</v>
      </c>
      <c r="AR640">
        <v>58</v>
      </c>
      <c r="AS640" t="s">
        <v>8586</v>
      </c>
      <c r="AT640" t="s">
        <v>8587</v>
      </c>
      <c r="AU640" t="s">
        <v>8588</v>
      </c>
      <c r="AV640" t="s">
        <v>11058</v>
      </c>
      <c r="AW640" t="s">
        <v>11059</v>
      </c>
      <c r="AX640" t="s">
        <v>69</v>
      </c>
      <c r="AY640" t="s">
        <v>11060</v>
      </c>
      <c r="AZ640" t="s">
        <v>11061</v>
      </c>
      <c r="BA640" t="s">
        <v>69</v>
      </c>
      <c r="BB640">
        <v>2018</v>
      </c>
      <c r="BC640">
        <v>31</v>
      </c>
      <c r="BD640">
        <v>2</v>
      </c>
      <c r="BE640" t="s">
        <v>69</v>
      </c>
      <c r="BF640" t="s">
        <v>69</v>
      </c>
      <c r="BG640" t="s">
        <v>69</v>
      </c>
      <c r="BH640" t="s">
        <v>69</v>
      </c>
      <c r="BI640">
        <v>338</v>
      </c>
      <c r="BJ640">
        <v>356</v>
      </c>
      <c r="BK640" t="s">
        <v>69</v>
      </c>
      <c r="BL640" t="s">
        <v>19388</v>
      </c>
      <c r="BM640" t="str">
        <f>HYPERLINK("http://dx.doi.org/10.1108/JEIM-12-2014-0125","http://dx.doi.org/10.1108/JEIM-12-2014-0125")</f>
        <v>http://dx.doi.org/10.1108/JEIM-12-2014-0125</v>
      </c>
      <c r="BN640" t="s">
        <v>69</v>
      </c>
      <c r="BO640" t="s">
        <v>69</v>
      </c>
      <c r="BP640">
        <v>19</v>
      </c>
      <c r="BQ640" t="s">
        <v>11063</v>
      </c>
      <c r="BR640" t="s">
        <v>8661</v>
      </c>
      <c r="BS640" t="s">
        <v>11064</v>
      </c>
      <c r="BT640" t="s">
        <v>19389</v>
      </c>
      <c r="BU640" t="s">
        <v>19390</v>
      </c>
      <c r="BV640" t="s">
        <v>69</v>
      </c>
      <c r="BW640" t="s">
        <v>9292</v>
      </c>
      <c r="BX640" t="s">
        <v>69</v>
      </c>
      <c r="BY640" t="s">
        <v>69</v>
      </c>
      <c r="BZ640" t="s">
        <v>8526</v>
      </c>
      <c r="CA640" t="str">
        <f>HYPERLINK("https%3A%2F%2Fwww.webofscience.com%2Fwos%2Fwoscc%2Ffull-record%2FWOS:000426176900006","View Full Record in Web of Science")</f>
        <v>View Full Record in Web of Science</v>
      </c>
    </row>
    <row r="641" spans="2:79" ht="12.5" x14ac:dyDescent="0.25">
      <c r="B641" t="s">
        <v>8495</v>
      </c>
      <c r="D641" s="7" t="s">
        <v>32933</v>
      </c>
      <c r="E641" s="7"/>
      <c r="F641" s="7"/>
      <c r="G641" s="7"/>
      <c r="H641" t="s">
        <v>67</v>
      </c>
      <c r="I641" t="s">
        <v>1076</v>
      </c>
      <c r="J641" t="s">
        <v>69</v>
      </c>
      <c r="K641" t="s">
        <v>69</v>
      </c>
      <c r="L641" t="s">
        <v>69</v>
      </c>
      <c r="M641" t="s">
        <v>1077</v>
      </c>
      <c r="N641" t="s">
        <v>69</v>
      </c>
      <c r="O641" t="s">
        <v>69</v>
      </c>
      <c r="P641" t="s">
        <v>1078</v>
      </c>
      <c r="Q641" t="s">
        <v>1079</v>
      </c>
      <c r="R641" t="s">
        <v>69</v>
      </c>
      <c r="S641" t="s">
        <v>69</v>
      </c>
      <c r="T641" t="s">
        <v>8505</v>
      </c>
      <c r="U641" t="s">
        <v>8506</v>
      </c>
      <c r="V641" t="s">
        <v>69</v>
      </c>
      <c r="W641" t="s">
        <v>69</v>
      </c>
      <c r="X641" t="s">
        <v>69</v>
      </c>
      <c r="Y641" t="s">
        <v>69</v>
      </c>
      <c r="Z641" t="s">
        <v>69</v>
      </c>
      <c r="AA641" t="s">
        <v>19028</v>
      </c>
      <c r="AB641" t="s">
        <v>69</v>
      </c>
      <c r="AC641" t="s">
        <v>1080</v>
      </c>
      <c r="AD641" t="s">
        <v>19029</v>
      </c>
      <c r="AE641" t="s">
        <v>69</v>
      </c>
      <c r="AF641" t="s">
        <v>19030</v>
      </c>
      <c r="AG641" t="s">
        <v>19031</v>
      </c>
      <c r="AH641" t="s">
        <v>19032</v>
      </c>
      <c r="AI641" t="s">
        <v>69</v>
      </c>
      <c r="AJ641" t="s">
        <v>19033</v>
      </c>
      <c r="AK641" t="s">
        <v>19034</v>
      </c>
      <c r="AL641" t="s">
        <v>19035</v>
      </c>
      <c r="AM641" t="s">
        <v>69</v>
      </c>
      <c r="AN641">
        <v>25</v>
      </c>
      <c r="AO641">
        <v>0</v>
      </c>
      <c r="AP641">
        <v>0</v>
      </c>
      <c r="AQ641">
        <v>0</v>
      </c>
      <c r="AR641">
        <v>3</v>
      </c>
      <c r="AS641" t="s">
        <v>19036</v>
      </c>
      <c r="AT641" t="s">
        <v>19037</v>
      </c>
      <c r="AU641" t="s">
        <v>19038</v>
      </c>
      <c r="AV641" t="s">
        <v>1081</v>
      </c>
      <c r="AW641" t="s">
        <v>1082</v>
      </c>
      <c r="AX641" t="s">
        <v>69</v>
      </c>
      <c r="AY641" t="s">
        <v>19039</v>
      </c>
      <c r="AZ641" t="s">
        <v>19040</v>
      </c>
      <c r="BA641" t="s">
        <v>246</v>
      </c>
      <c r="BB641">
        <v>2018</v>
      </c>
      <c r="BC641">
        <v>37</v>
      </c>
      <c r="BD641">
        <v>2</v>
      </c>
      <c r="BE641" t="s">
        <v>69</v>
      </c>
      <c r="BF641" t="s">
        <v>69</v>
      </c>
      <c r="BG641" t="s">
        <v>69</v>
      </c>
      <c r="BH641" t="s">
        <v>69</v>
      </c>
      <c r="BI641">
        <v>417</v>
      </c>
      <c r="BJ641">
        <v>428</v>
      </c>
      <c r="BK641" t="s">
        <v>69</v>
      </c>
      <c r="BL641" t="s">
        <v>1083</v>
      </c>
      <c r="BM641" t="str">
        <f>HYPERLINK("http://dx.doi.org/10.22581/muet1982.1802.17","http://dx.doi.org/10.22581/muet1982.1802.17")</f>
        <v>http://dx.doi.org/10.22581/muet1982.1802.17</v>
      </c>
      <c r="BN641" t="s">
        <v>69</v>
      </c>
      <c r="BO641" t="s">
        <v>69</v>
      </c>
      <c r="BP641">
        <v>12</v>
      </c>
      <c r="BQ641" t="s">
        <v>9891</v>
      </c>
      <c r="BR641" t="s">
        <v>8573</v>
      </c>
      <c r="BS641" t="s">
        <v>8445</v>
      </c>
      <c r="BT641" t="s">
        <v>19041</v>
      </c>
      <c r="BU641" t="s">
        <v>1084</v>
      </c>
      <c r="BV641" t="s">
        <v>69</v>
      </c>
      <c r="BW641" t="s">
        <v>8931</v>
      </c>
      <c r="BX641" t="s">
        <v>69</v>
      </c>
      <c r="BY641" t="s">
        <v>69</v>
      </c>
      <c r="BZ641" t="s">
        <v>8526</v>
      </c>
      <c r="CA641" t="str">
        <f>HYPERLINK("https%3A%2F%2Fwww.webofscience.com%2Fwos%2Fwoscc%2Ffull-record%2FWOS:000430487400017","View Full Record in Web of Science")</f>
        <v>View Full Record in Web of Science</v>
      </c>
    </row>
    <row r="642" spans="2:79" ht="12.5" x14ac:dyDescent="0.25">
      <c r="B642" t="s">
        <v>8495</v>
      </c>
      <c r="D642" s="22" t="s">
        <v>32931</v>
      </c>
      <c r="E642" s="7"/>
      <c r="F642" s="7"/>
      <c r="G642" s="7"/>
      <c r="H642" t="s">
        <v>67</v>
      </c>
      <c r="I642" t="s">
        <v>12368</v>
      </c>
      <c r="J642" t="s">
        <v>69</v>
      </c>
      <c r="K642" t="s">
        <v>69</v>
      </c>
      <c r="L642" t="s">
        <v>69</v>
      </c>
      <c r="M642" t="s">
        <v>12369</v>
      </c>
      <c r="N642" t="s">
        <v>69</v>
      </c>
      <c r="O642" t="s">
        <v>69</v>
      </c>
      <c r="P642" t="s">
        <v>12370</v>
      </c>
      <c r="Q642" t="s">
        <v>5838</v>
      </c>
      <c r="R642" t="s">
        <v>69</v>
      </c>
      <c r="S642" t="s">
        <v>69</v>
      </c>
      <c r="T642" t="s">
        <v>8505</v>
      </c>
      <c r="U642" t="s">
        <v>8506</v>
      </c>
      <c r="V642" t="s">
        <v>69</v>
      </c>
      <c r="W642" t="s">
        <v>69</v>
      </c>
      <c r="X642" t="s">
        <v>69</v>
      </c>
      <c r="Y642" t="s">
        <v>69</v>
      </c>
      <c r="Z642" t="s">
        <v>69</v>
      </c>
      <c r="AA642" t="s">
        <v>12371</v>
      </c>
      <c r="AB642" t="s">
        <v>12372</v>
      </c>
      <c r="AC642" t="s">
        <v>12373</v>
      </c>
      <c r="AD642" t="s">
        <v>12374</v>
      </c>
      <c r="AE642" t="s">
        <v>69</v>
      </c>
      <c r="AF642" t="s">
        <v>12375</v>
      </c>
      <c r="AG642" t="s">
        <v>12376</v>
      </c>
      <c r="AH642" t="s">
        <v>12377</v>
      </c>
      <c r="AI642" t="s">
        <v>12378</v>
      </c>
      <c r="AJ642" t="s">
        <v>69</v>
      </c>
      <c r="AK642" t="s">
        <v>69</v>
      </c>
      <c r="AL642" t="s">
        <v>69</v>
      </c>
      <c r="AM642" t="s">
        <v>69</v>
      </c>
      <c r="AN642">
        <v>122</v>
      </c>
      <c r="AO642">
        <v>9</v>
      </c>
      <c r="AP642">
        <v>9</v>
      </c>
      <c r="AQ642">
        <v>26</v>
      </c>
      <c r="AR642">
        <v>47</v>
      </c>
      <c r="AS642" t="s">
        <v>8692</v>
      </c>
      <c r="AT642" t="s">
        <v>8693</v>
      </c>
      <c r="AU642" t="s">
        <v>8694</v>
      </c>
      <c r="AV642" t="s">
        <v>5841</v>
      </c>
      <c r="AW642" t="s">
        <v>5842</v>
      </c>
      <c r="AX642" t="s">
        <v>69</v>
      </c>
      <c r="AY642" t="s">
        <v>12379</v>
      </c>
      <c r="AZ642" t="s">
        <v>12380</v>
      </c>
      <c r="BA642" t="s">
        <v>84</v>
      </c>
      <c r="BB642">
        <v>2021</v>
      </c>
      <c r="BC642">
        <v>131</v>
      </c>
      <c r="BD642" t="s">
        <v>69</v>
      </c>
      <c r="BE642" t="s">
        <v>69</v>
      </c>
      <c r="BF642" t="s">
        <v>69</v>
      </c>
      <c r="BG642" t="s">
        <v>69</v>
      </c>
      <c r="BH642" t="s">
        <v>69</v>
      </c>
      <c r="BI642">
        <v>311</v>
      </c>
      <c r="BJ642">
        <v>326</v>
      </c>
      <c r="BK642" t="s">
        <v>69</v>
      </c>
      <c r="BL642" t="s">
        <v>12381</v>
      </c>
      <c r="BM642" t="str">
        <f>HYPERLINK("http://dx.doi.org/10.1016/j.jbusres.2021.03.054","http://dx.doi.org/10.1016/j.jbusres.2021.03.054")</f>
        <v>http://dx.doi.org/10.1016/j.jbusres.2021.03.054</v>
      </c>
      <c r="BN642" t="s">
        <v>69</v>
      </c>
      <c r="BO642" t="s">
        <v>12312</v>
      </c>
      <c r="BP642">
        <v>16</v>
      </c>
      <c r="BQ642" t="s">
        <v>8444</v>
      </c>
      <c r="BR642" t="s">
        <v>8661</v>
      </c>
      <c r="BS642" t="s">
        <v>8594</v>
      </c>
      <c r="BT642" t="s">
        <v>12382</v>
      </c>
      <c r="BU642" t="s">
        <v>12383</v>
      </c>
      <c r="BV642" t="s">
        <v>69</v>
      </c>
      <c r="BW642" t="s">
        <v>69</v>
      </c>
      <c r="BX642" t="s">
        <v>69</v>
      </c>
      <c r="BY642" t="s">
        <v>69</v>
      </c>
      <c r="BZ642" t="s">
        <v>8526</v>
      </c>
      <c r="CA642" t="str">
        <f>HYPERLINK("https%3A%2F%2Fwww.webofscience.com%2Fwos%2Fwoscc%2Ffull-record%2FWOS:000694876300027","View Full Record in Web of Science")</f>
        <v>View Full Record in Web of Science</v>
      </c>
    </row>
    <row r="643" spans="2:79" ht="12.5" x14ac:dyDescent="0.25">
      <c r="B643" t="s">
        <v>8495</v>
      </c>
      <c r="D643" s="7" t="s">
        <v>32933</v>
      </c>
      <c r="E643" s="7"/>
      <c r="F643" s="7"/>
      <c r="G643" s="7"/>
      <c r="H643" t="s">
        <v>67</v>
      </c>
      <c r="I643" t="s">
        <v>7078</v>
      </c>
      <c r="J643" t="s">
        <v>69</v>
      </c>
      <c r="K643" t="s">
        <v>69</v>
      </c>
      <c r="L643" t="s">
        <v>69</v>
      </c>
      <c r="M643" t="s">
        <v>7079</v>
      </c>
      <c r="N643" t="s">
        <v>69</v>
      </c>
      <c r="O643" t="s">
        <v>69</v>
      </c>
      <c r="P643" t="s">
        <v>7080</v>
      </c>
      <c r="Q643" t="s">
        <v>7038</v>
      </c>
      <c r="R643" t="s">
        <v>69</v>
      </c>
      <c r="S643" t="s">
        <v>69</v>
      </c>
      <c r="T643" t="s">
        <v>8505</v>
      </c>
      <c r="U643" t="s">
        <v>8506</v>
      </c>
      <c r="V643" t="s">
        <v>69</v>
      </c>
      <c r="W643" t="s">
        <v>69</v>
      </c>
      <c r="X643" t="s">
        <v>69</v>
      </c>
      <c r="Y643" t="s">
        <v>69</v>
      </c>
      <c r="Z643" t="s">
        <v>69</v>
      </c>
      <c r="AA643" t="s">
        <v>21348</v>
      </c>
      <c r="AB643" t="s">
        <v>21349</v>
      </c>
      <c r="AC643" t="s">
        <v>7081</v>
      </c>
      <c r="AD643" t="s">
        <v>21350</v>
      </c>
      <c r="AE643" t="s">
        <v>69</v>
      </c>
      <c r="AF643" t="s">
        <v>21351</v>
      </c>
      <c r="AG643" t="s">
        <v>21352</v>
      </c>
      <c r="AH643" t="s">
        <v>69</v>
      </c>
      <c r="AI643" t="s">
        <v>69</v>
      </c>
      <c r="AJ643" t="s">
        <v>21353</v>
      </c>
      <c r="AK643" t="s">
        <v>21353</v>
      </c>
      <c r="AL643" t="s">
        <v>21354</v>
      </c>
      <c r="AM643" t="s">
        <v>69</v>
      </c>
      <c r="AN643">
        <v>40</v>
      </c>
      <c r="AO643">
        <v>10</v>
      </c>
      <c r="AP643">
        <v>10</v>
      </c>
      <c r="AQ643">
        <v>0</v>
      </c>
      <c r="AR643">
        <v>9</v>
      </c>
      <c r="AS643" t="s">
        <v>9203</v>
      </c>
      <c r="AT643" t="s">
        <v>8763</v>
      </c>
      <c r="AU643" t="s">
        <v>9204</v>
      </c>
      <c r="AV643" t="s">
        <v>7040</v>
      </c>
      <c r="AW643" t="s">
        <v>69</v>
      </c>
      <c r="AX643" t="s">
        <v>69</v>
      </c>
      <c r="AY643" t="s">
        <v>9205</v>
      </c>
      <c r="AZ643" t="s">
        <v>9206</v>
      </c>
      <c r="BA643" t="s">
        <v>477</v>
      </c>
      <c r="BB643">
        <v>2016</v>
      </c>
      <c r="BC643">
        <v>14</v>
      </c>
      <c r="BD643" t="s">
        <v>69</v>
      </c>
      <c r="BE643" t="s">
        <v>69</v>
      </c>
      <c r="BF643" t="s">
        <v>69</v>
      </c>
      <c r="BG643" t="s">
        <v>69</v>
      </c>
      <c r="BH643" t="s">
        <v>69</v>
      </c>
      <c r="BI643" t="s">
        <v>69</v>
      </c>
      <c r="BJ643" t="s">
        <v>69</v>
      </c>
      <c r="BK643">
        <v>66</v>
      </c>
      <c r="BL643" t="s">
        <v>7082</v>
      </c>
      <c r="BM643" t="str">
        <f>HYPERLINK("http://dx.doi.org/10.1186/s12961-016-0139-7","http://dx.doi.org/10.1186/s12961-016-0139-7")</f>
        <v>http://dx.doi.org/10.1186/s12961-016-0139-7</v>
      </c>
      <c r="BN643" t="s">
        <v>69</v>
      </c>
      <c r="BO643" t="s">
        <v>69</v>
      </c>
      <c r="BP643">
        <v>11</v>
      </c>
      <c r="BQ643" t="s">
        <v>9208</v>
      </c>
      <c r="BR643" t="s">
        <v>8661</v>
      </c>
      <c r="BS643" t="s">
        <v>9209</v>
      </c>
      <c r="BT643" t="s">
        <v>21355</v>
      </c>
      <c r="BU643" t="s">
        <v>7083</v>
      </c>
      <c r="BV643">
        <v>27585630</v>
      </c>
      <c r="BW643" t="s">
        <v>9352</v>
      </c>
      <c r="BX643" t="s">
        <v>69</v>
      </c>
      <c r="BY643" t="s">
        <v>69</v>
      </c>
      <c r="BZ643" t="s">
        <v>8526</v>
      </c>
      <c r="CA643" t="str">
        <f>HYPERLINK("https%3A%2F%2Fwww.webofscience.com%2Fwos%2Fwoscc%2Ffull-record%2FWOS:000384478900001","View Full Record in Web of Science")</f>
        <v>View Full Record in Web of Science</v>
      </c>
    </row>
    <row r="644" spans="2:79" x14ac:dyDescent="0.3">
      <c r="B644" t="s">
        <v>8495</v>
      </c>
      <c r="D644" s="9" t="s">
        <v>32948</v>
      </c>
      <c r="E644" s="9" t="s">
        <v>33144</v>
      </c>
      <c r="F644" s="10" t="s">
        <v>8490</v>
      </c>
      <c r="G644" s="9" t="s">
        <v>8490</v>
      </c>
      <c r="H644" t="s">
        <v>67</v>
      </c>
      <c r="I644" t="s">
        <v>13244</v>
      </c>
      <c r="J644" t="s">
        <v>69</v>
      </c>
      <c r="K644" t="s">
        <v>69</v>
      </c>
      <c r="L644" t="s">
        <v>69</v>
      </c>
      <c r="M644" t="s">
        <v>13245</v>
      </c>
      <c r="N644" t="s">
        <v>69</v>
      </c>
      <c r="O644" t="s">
        <v>69</v>
      </c>
      <c r="P644" t="s">
        <v>13246</v>
      </c>
      <c r="Q644" t="s">
        <v>4739</v>
      </c>
      <c r="R644" t="s">
        <v>69</v>
      </c>
      <c r="S644" t="s">
        <v>69</v>
      </c>
      <c r="T644" t="s">
        <v>8505</v>
      </c>
      <c r="U644" t="s">
        <v>8506</v>
      </c>
      <c r="V644" t="s">
        <v>69</v>
      </c>
      <c r="W644" t="s">
        <v>69</v>
      </c>
      <c r="X644" t="s">
        <v>69</v>
      </c>
      <c r="Y644" t="s">
        <v>69</v>
      </c>
      <c r="Z644" t="s">
        <v>69</v>
      </c>
      <c r="AA644" t="s">
        <v>13247</v>
      </c>
      <c r="AB644" t="s">
        <v>69</v>
      </c>
      <c r="AC644" t="s">
        <v>13248</v>
      </c>
      <c r="AD644" t="s">
        <v>13249</v>
      </c>
      <c r="AE644" t="s">
        <v>69</v>
      </c>
      <c r="AF644" t="s">
        <v>13250</v>
      </c>
      <c r="AG644" t="s">
        <v>13251</v>
      </c>
      <c r="AH644" t="s">
        <v>69</v>
      </c>
      <c r="AI644" t="s">
        <v>13252</v>
      </c>
      <c r="AJ644" t="s">
        <v>13253</v>
      </c>
      <c r="AK644" t="s">
        <v>13254</v>
      </c>
      <c r="AL644" t="s">
        <v>13255</v>
      </c>
      <c r="AM644" t="s">
        <v>69</v>
      </c>
      <c r="AN644">
        <v>44</v>
      </c>
      <c r="AO644">
        <v>0</v>
      </c>
      <c r="AP644">
        <v>0</v>
      </c>
      <c r="AQ644">
        <v>4</v>
      </c>
      <c r="AR644">
        <v>13</v>
      </c>
      <c r="AS644" t="s">
        <v>8924</v>
      </c>
      <c r="AT644" t="s">
        <v>8925</v>
      </c>
      <c r="AU644" t="s">
        <v>8926</v>
      </c>
      <c r="AV644" t="s">
        <v>69</v>
      </c>
      <c r="AW644" t="s">
        <v>4741</v>
      </c>
      <c r="AX644" t="s">
        <v>69</v>
      </c>
      <c r="AY644" t="s">
        <v>11435</v>
      </c>
      <c r="AZ644" t="s">
        <v>8426</v>
      </c>
      <c r="BA644" t="s">
        <v>191</v>
      </c>
      <c r="BB644">
        <v>2021</v>
      </c>
      <c r="BC644">
        <v>13</v>
      </c>
      <c r="BD644">
        <v>3</v>
      </c>
      <c r="BE644" t="s">
        <v>69</v>
      </c>
      <c r="BF644" t="s">
        <v>69</v>
      </c>
      <c r="BG644" t="s">
        <v>69</v>
      </c>
      <c r="BH644" t="s">
        <v>69</v>
      </c>
      <c r="BI644" t="s">
        <v>69</v>
      </c>
      <c r="BJ644" t="s">
        <v>69</v>
      </c>
      <c r="BK644">
        <v>267</v>
      </c>
      <c r="BL644" t="s">
        <v>13256</v>
      </c>
      <c r="BM644" t="str">
        <f>HYPERLINK("http://dx.doi.org/10.3390/w13030267","http://dx.doi.org/10.3390/w13030267")</f>
        <v>http://dx.doi.org/10.3390/w13030267</v>
      </c>
      <c r="BN644" t="s">
        <v>69</v>
      </c>
      <c r="BO644" t="s">
        <v>69</v>
      </c>
      <c r="BP644">
        <v>18</v>
      </c>
      <c r="BQ644" t="s">
        <v>11437</v>
      </c>
      <c r="BR644" t="s">
        <v>8548</v>
      </c>
      <c r="BS644" t="s">
        <v>11438</v>
      </c>
      <c r="BT644" t="s">
        <v>13257</v>
      </c>
      <c r="BU644" t="s">
        <v>13258</v>
      </c>
      <c r="BV644" t="s">
        <v>69</v>
      </c>
      <c r="BW644" t="s">
        <v>9352</v>
      </c>
      <c r="BX644" t="s">
        <v>69</v>
      </c>
      <c r="BY644" t="s">
        <v>69</v>
      </c>
      <c r="BZ644" t="s">
        <v>8526</v>
      </c>
      <c r="CA644" t="str">
        <f>HYPERLINK("https%3A%2F%2Fwww.webofscience.com%2Fwos%2Fwoscc%2Ffull-record%2FWOS:000615602200001","View Full Record in Web of Science")</f>
        <v>View Full Record in Web of Science</v>
      </c>
    </row>
    <row r="645" spans="2:79" ht="12.5" x14ac:dyDescent="0.25">
      <c r="B645" t="s">
        <v>8495</v>
      </c>
      <c r="D645" s="22" t="s">
        <v>32931</v>
      </c>
      <c r="E645" s="7"/>
      <c r="F645" s="7"/>
      <c r="G645" s="7"/>
      <c r="H645" t="s">
        <v>67</v>
      </c>
      <c r="I645" t="s">
        <v>25109</v>
      </c>
      <c r="J645" t="s">
        <v>69</v>
      </c>
      <c r="K645" t="s">
        <v>69</v>
      </c>
      <c r="L645" t="s">
        <v>69</v>
      </c>
      <c r="M645" t="s">
        <v>25110</v>
      </c>
      <c r="N645" t="s">
        <v>69</v>
      </c>
      <c r="O645" t="s">
        <v>69</v>
      </c>
      <c r="P645" t="s">
        <v>25111</v>
      </c>
      <c r="Q645" t="s">
        <v>25112</v>
      </c>
      <c r="R645" t="s">
        <v>69</v>
      </c>
      <c r="S645" t="s">
        <v>69</v>
      </c>
      <c r="T645" t="s">
        <v>9357</v>
      </c>
      <c r="U645" t="s">
        <v>8506</v>
      </c>
      <c r="V645" t="s">
        <v>69</v>
      </c>
      <c r="W645" t="s">
        <v>69</v>
      </c>
      <c r="X645" t="s">
        <v>69</v>
      </c>
      <c r="Y645" t="s">
        <v>69</v>
      </c>
      <c r="Z645" t="s">
        <v>69</v>
      </c>
      <c r="AA645" t="s">
        <v>25113</v>
      </c>
      <c r="AB645" t="s">
        <v>69</v>
      </c>
      <c r="AC645" t="s">
        <v>25114</v>
      </c>
      <c r="AD645" t="s">
        <v>25115</v>
      </c>
      <c r="AE645" t="s">
        <v>69</v>
      </c>
      <c r="AF645" t="s">
        <v>25116</v>
      </c>
      <c r="AG645" t="s">
        <v>25117</v>
      </c>
      <c r="AH645" t="s">
        <v>25118</v>
      </c>
      <c r="AI645" t="s">
        <v>25119</v>
      </c>
      <c r="AJ645" t="s">
        <v>69</v>
      </c>
      <c r="AK645" t="s">
        <v>69</v>
      </c>
      <c r="AL645" t="s">
        <v>69</v>
      </c>
      <c r="AM645" t="s">
        <v>69</v>
      </c>
      <c r="AN645">
        <v>8</v>
      </c>
      <c r="AO645">
        <v>0</v>
      </c>
      <c r="AP645">
        <v>0</v>
      </c>
      <c r="AQ645">
        <v>0</v>
      </c>
      <c r="AR645">
        <v>1</v>
      </c>
      <c r="AS645" t="s">
        <v>21091</v>
      </c>
      <c r="AT645" t="s">
        <v>21092</v>
      </c>
      <c r="AU645" t="s">
        <v>21093</v>
      </c>
      <c r="AV645" t="s">
        <v>25120</v>
      </c>
      <c r="AW645" t="s">
        <v>25121</v>
      </c>
      <c r="AX645" t="s">
        <v>69</v>
      </c>
      <c r="AY645" t="s">
        <v>25122</v>
      </c>
      <c r="AZ645" t="s">
        <v>25123</v>
      </c>
      <c r="BA645" t="s">
        <v>246</v>
      </c>
      <c r="BB645">
        <v>2013</v>
      </c>
      <c r="BC645" t="s">
        <v>69</v>
      </c>
      <c r="BD645">
        <v>369</v>
      </c>
      <c r="BE645" t="s">
        <v>69</v>
      </c>
      <c r="BF645" t="s">
        <v>69</v>
      </c>
      <c r="BG645" t="s">
        <v>69</v>
      </c>
      <c r="BH645" t="s">
        <v>69</v>
      </c>
      <c r="BI645">
        <v>122</v>
      </c>
      <c r="BJ645" t="s">
        <v>219</v>
      </c>
      <c r="BK645" t="s">
        <v>69</v>
      </c>
      <c r="BL645" t="s">
        <v>69</v>
      </c>
      <c r="BM645" t="s">
        <v>69</v>
      </c>
      <c r="BN645" t="s">
        <v>69</v>
      </c>
      <c r="BO645" t="s">
        <v>69</v>
      </c>
      <c r="BP645">
        <v>5</v>
      </c>
      <c r="BQ645" t="s">
        <v>8619</v>
      </c>
      <c r="BR645" t="s">
        <v>8573</v>
      </c>
      <c r="BS645" t="s">
        <v>8620</v>
      </c>
      <c r="BT645" t="s">
        <v>25124</v>
      </c>
      <c r="BU645" t="s">
        <v>25125</v>
      </c>
      <c r="BV645" t="s">
        <v>69</v>
      </c>
      <c r="BW645" t="s">
        <v>69</v>
      </c>
      <c r="BX645" t="s">
        <v>69</v>
      </c>
      <c r="BY645" t="s">
        <v>69</v>
      </c>
      <c r="BZ645" t="s">
        <v>8526</v>
      </c>
      <c r="CA645" t="str">
        <f>HYPERLINK("https%3A%2F%2Fwww.webofscience.com%2Fwos%2Fwoscc%2Ffull-record%2FWOS:000421539100026","View Full Record in Web of Science")</f>
        <v>View Full Record in Web of Science</v>
      </c>
    </row>
    <row r="646" spans="2:79" ht="12.5" x14ac:dyDescent="0.25">
      <c r="B646" t="s">
        <v>8495</v>
      </c>
      <c r="D646" s="22" t="s">
        <v>32931</v>
      </c>
      <c r="E646" s="7"/>
      <c r="F646" s="7"/>
      <c r="G646" s="7"/>
      <c r="H646" t="s">
        <v>67</v>
      </c>
      <c r="I646" t="s">
        <v>27173</v>
      </c>
      <c r="J646" t="s">
        <v>69</v>
      </c>
      <c r="K646" t="s">
        <v>69</v>
      </c>
      <c r="L646" t="s">
        <v>69</v>
      </c>
      <c r="M646" t="s">
        <v>27174</v>
      </c>
      <c r="N646" t="s">
        <v>69</v>
      </c>
      <c r="O646" t="s">
        <v>69</v>
      </c>
      <c r="P646" t="s">
        <v>27175</v>
      </c>
      <c r="Q646" t="s">
        <v>13858</v>
      </c>
      <c r="R646" t="s">
        <v>69</v>
      </c>
      <c r="S646" t="s">
        <v>69</v>
      </c>
      <c r="T646" t="s">
        <v>8505</v>
      </c>
      <c r="U646" t="s">
        <v>8506</v>
      </c>
      <c r="V646" t="s">
        <v>69</v>
      </c>
      <c r="W646" t="s">
        <v>69</v>
      </c>
      <c r="X646" t="s">
        <v>69</v>
      </c>
      <c r="Y646" t="s">
        <v>69</v>
      </c>
      <c r="Z646" t="s">
        <v>69</v>
      </c>
      <c r="AA646" t="s">
        <v>27176</v>
      </c>
      <c r="AB646" t="s">
        <v>27177</v>
      </c>
      <c r="AC646" t="s">
        <v>27178</v>
      </c>
      <c r="AD646" t="s">
        <v>27179</v>
      </c>
      <c r="AE646" t="s">
        <v>69</v>
      </c>
      <c r="AF646" t="s">
        <v>27180</v>
      </c>
      <c r="AG646" t="s">
        <v>27181</v>
      </c>
      <c r="AH646" t="s">
        <v>27182</v>
      </c>
      <c r="AI646" t="s">
        <v>27183</v>
      </c>
      <c r="AJ646" t="s">
        <v>69</v>
      </c>
      <c r="AK646" t="s">
        <v>69</v>
      </c>
      <c r="AL646" t="s">
        <v>69</v>
      </c>
      <c r="AM646" t="s">
        <v>69</v>
      </c>
      <c r="AN646">
        <v>18</v>
      </c>
      <c r="AO646">
        <v>8</v>
      </c>
      <c r="AP646">
        <v>8</v>
      </c>
      <c r="AQ646">
        <v>1</v>
      </c>
      <c r="AR646">
        <v>10</v>
      </c>
      <c r="AS646" t="s">
        <v>8586</v>
      </c>
      <c r="AT646" t="s">
        <v>8587</v>
      </c>
      <c r="AU646" t="s">
        <v>8588</v>
      </c>
      <c r="AV646" t="s">
        <v>13869</v>
      </c>
      <c r="AW646" t="s">
        <v>13870</v>
      </c>
      <c r="AX646" t="s">
        <v>69</v>
      </c>
      <c r="AY646" t="s">
        <v>13871</v>
      </c>
      <c r="AZ646" t="s">
        <v>13872</v>
      </c>
      <c r="BA646" t="s">
        <v>69</v>
      </c>
      <c r="BB646">
        <v>2011</v>
      </c>
      <c r="BC646">
        <v>12</v>
      </c>
      <c r="BD646">
        <v>2</v>
      </c>
      <c r="BE646" t="s">
        <v>69</v>
      </c>
      <c r="BF646" t="s">
        <v>69</v>
      </c>
      <c r="BG646" t="s">
        <v>69</v>
      </c>
      <c r="BH646" t="s">
        <v>69</v>
      </c>
      <c r="BI646">
        <v>163</v>
      </c>
      <c r="BJ646">
        <v>176</v>
      </c>
      <c r="BK646" t="s">
        <v>69</v>
      </c>
      <c r="BL646" t="s">
        <v>27184</v>
      </c>
      <c r="BM646" t="str">
        <f>HYPERLINK("http://dx.doi.org/10.1108/14676371111118219","http://dx.doi.org/10.1108/14676371111118219")</f>
        <v>http://dx.doi.org/10.1108/14676371111118219</v>
      </c>
      <c r="BN646" t="s">
        <v>69</v>
      </c>
      <c r="BO646" t="s">
        <v>69</v>
      </c>
      <c r="BP646">
        <v>14</v>
      </c>
      <c r="BQ646" t="s">
        <v>13875</v>
      </c>
      <c r="BR646" t="s">
        <v>8661</v>
      </c>
      <c r="BS646" t="s">
        <v>13876</v>
      </c>
      <c r="BT646" t="s">
        <v>27185</v>
      </c>
      <c r="BU646" t="s">
        <v>27186</v>
      </c>
      <c r="BV646" t="s">
        <v>69</v>
      </c>
      <c r="BW646" t="s">
        <v>10423</v>
      </c>
      <c r="BX646" t="s">
        <v>69</v>
      </c>
      <c r="BY646" t="s">
        <v>69</v>
      </c>
      <c r="BZ646" t="s">
        <v>8526</v>
      </c>
      <c r="CA646" t="str">
        <f>HYPERLINK("https%3A%2F%2Fwww.webofscience.com%2Fwos%2Fwoscc%2Ffull-record%2FWOS:000306672500005","View Full Record in Web of Science")</f>
        <v>View Full Record in Web of Science</v>
      </c>
    </row>
    <row r="647" spans="2:79" ht="12.5" x14ac:dyDescent="0.25">
      <c r="B647" t="s">
        <v>8495</v>
      </c>
      <c r="D647" s="22" t="s">
        <v>32931</v>
      </c>
      <c r="E647" s="7"/>
      <c r="F647" s="7"/>
      <c r="G647" s="7"/>
      <c r="H647" t="s">
        <v>67</v>
      </c>
      <c r="I647" t="s">
        <v>7986</v>
      </c>
      <c r="J647" t="s">
        <v>69</v>
      </c>
      <c r="K647" t="s">
        <v>69</v>
      </c>
      <c r="L647" t="s">
        <v>69</v>
      </c>
      <c r="M647" t="s">
        <v>7986</v>
      </c>
      <c r="N647" t="s">
        <v>69</v>
      </c>
      <c r="O647" t="s">
        <v>69</v>
      </c>
      <c r="P647" t="s">
        <v>31733</v>
      </c>
      <c r="Q647" t="s">
        <v>31704</v>
      </c>
      <c r="R647" t="s">
        <v>69</v>
      </c>
      <c r="S647" t="s">
        <v>69</v>
      </c>
      <c r="T647" t="s">
        <v>12534</v>
      </c>
      <c r="U647" t="s">
        <v>8506</v>
      </c>
      <c r="V647" t="s">
        <v>69</v>
      </c>
      <c r="W647" t="s">
        <v>69</v>
      </c>
      <c r="X647" t="s">
        <v>69</v>
      </c>
      <c r="Y647" t="s">
        <v>69</v>
      </c>
      <c r="Z647" t="s">
        <v>69</v>
      </c>
      <c r="AA647" t="s">
        <v>69</v>
      </c>
      <c r="AB647" t="s">
        <v>69</v>
      </c>
      <c r="AC647" t="s">
        <v>31734</v>
      </c>
      <c r="AD647" t="s">
        <v>69</v>
      </c>
      <c r="AE647" t="s">
        <v>69</v>
      </c>
      <c r="AF647" t="s">
        <v>69</v>
      </c>
      <c r="AG647" t="s">
        <v>69</v>
      </c>
      <c r="AH647" t="s">
        <v>69</v>
      </c>
      <c r="AI647" t="s">
        <v>69</v>
      </c>
      <c r="AJ647" t="s">
        <v>69</v>
      </c>
      <c r="AK647" t="s">
        <v>69</v>
      </c>
      <c r="AL647" t="s">
        <v>69</v>
      </c>
      <c r="AM647" t="s">
        <v>69</v>
      </c>
      <c r="AN647">
        <v>0</v>
      </c>
      <c r="AO647">
        <v>0</v>
      </c>
      <c r="AP647">
        <v>0</v>
      </c>
      <c r="AQ647">
        <v>1</v>
      </c>
      <c r="AR647">
        <v>1</v>
      </c>
      <c r="AS647" t="s">
        <v>30767</v>
      </c>
      <c r="AT647" t="s">
        <v>30768</v>
      </c>
      <c r="AU647" t="s">
        <v>30769</v>
      </c>
      <c r="AV647" t="s">
        <v>12505</v>
      </c>
      <c r="AW647" t="s">
        <v>69</v>
      </c>
      <c r="AX647" t="s">
        <v>69</v>
      </c>
      <c r="AY647" t="s">
        <v>31708</v>
      </c>
      <c r="AZ647" t="s">
        <v>31709</v>
      </c>
      <c r="BA647" t="s">
        <v>274</v>
      </c>
      <c r="BB647">
        <v>2000</v>
      </c>
      <c r="BC647">
        <v>45</v>
      </c>
      <c r="BD647">
        <v>11</v>
      </c>
      <c r="BE647" t="s">
        <v>69</v>
      </c>
      <c r="BF647" t="s">
        <v>69</v>
      </c>
      <c r="BG647" t="s">
        <v>69</v>
      </c>
      <c r="BH647" t="s">
        <v>69</v>
      </c>
      <c r="BI647">
        <v>661</v>
      </c>
      <c r="BJ647" t="s">
        <v>219</v>
      </c>
      <c r="BK647" t="s">
        <v>69</v>
      </c>
      <c r="BL647" t="s">
        <v>69</v>
      </c>
      <c r="BM647" t="s">
        <v>69</v>
      </c>
      <c r="BN647" t="s">
        <v>69</v>
      </c>
      <c r="BO647" t="s">
        <v>69</v>
      </c>
      <c r="BP647">
        <v>3</v>
      </c>
      <c r="BQ647" t="s">
        <v>12508</v>
      </c>
      <c r="BR647" t="s">
        <v>8548</v>
      </c>
      <c r="BS647" t="s">
        <v>12508</v>
      </c>
      <c r="BT647" t="s">
        <v>31735</v>
      </c>
      <c r="BU647" t="s">
        <v>31736</v>
      </c>
      <c r="BV647" t="s">
        <v>69</v>
      </c>
      <c r="BW647" t="s">
        <v>69</v>
      </c>
      <c r="BX647" t="s">
        <v>69</v>
      </c>
      <c r="BY647" t="s">
        <v>69</v>
      </c>
      <c r="BZ647" t="s">
        <v>8526</v>
      </c>
      <c r="CA647" t="str">
        <f>HYPERLINK("https%3A%2F%2Fwww.webofscience.com%2Fwos%2Fwoscc%2Ffull-record%2FWOS:000165901400004","View Full Record in Web of Science")</f>
        <v>View Full Record in Web of Science</v>
      </c>
    </row>
    <row r="648" spans="2:79" ht="12.5" x14ac:dyDescent="0.25">
      <c r="B648" t="s">
        <v>8495</v>
      </c>
      <c r="D648" s="7" t="s">
        <v>32933</v>
      </c>
      <c r="E648" s="7"/>
      <c r="F648" s="7"/>
      <c r="G648" s="7"/>
      <c r="H648" t="s">
        <v>67</v>
      </c>
      <c r="I648" t="s">
        <v>4559</v>
      </c>
      <c r="J648" t="s">
        <v>69</v>
      </c>
      <c r="K648" t="s">
        <v>69</v>
      </c>
      <c r="L648" t="s">
        <v>69</v>
      </c>
      <c r="M648" t="s">
        <v>4560</v>
      </c>
      <c r="N648" t="s">
        <v>69</v>
      </c>
      <c r="O648" t="s">
        <v>69</v>
      </c>
      <c r="P648" t="s">
        <v>4561</v>
      </c>
      <c r="Q648" t="s">
        <v>632</v>
      </c>
      <c r="R648" t="s">
        <v>69</v>
      </c>
      <c r="S648" t="s">
        <v>69</v>
      </c>
      <c r="T648" t="s">
        <v>8505</v>
      </c>
      <c r="U648" t="s">
        <v>8506</v>
      </c>
      <c r="V648" t="s">
        <v>69</v>
      </c>
      <c r="W648" t="s">
        <v>69</v>
      </c>
      <c r="X648" t="s">
        <v>69</v>
      </c>
      <c r="Y648" t="s">
        <v>69</v>
      </c>
      <c r="Z648" t="s">
        <v>69</v>
      </c>
      <c r="AA648" t="s">
        <v>25785</v>
      </c>
      <c r="AB648" t="s">
        <v>25786</v>
      </c>
      <c r="AC648" t="s">
        <v>4562</v>
      </c>
      <c r="AD648" t="s">
        <v>25787</v>
      </c>
      <c r="AE648" t="s">
        <v>69</v>
      </c>
      <c r="AF648" t="s">
        <v>25788</v>
      </c>
      <c r="AG648" t="s">
        <v>25789</v>
      </c>
      <c r="AH648" t="s">
        <v>4563</v>
      </c>
      <c r="AI648" t="s">
        <v>4564</v>
      </c>
      <c r="AJ648" t="s">
        <v>25790</v>
      </c>
      <c r="AK648" t="s">
        <v>25790</v>
      </c>
      <c r="AL648" t="s">
        <v>25791</v>
      </c>
      <c r="AM648" t="s">
        <v>69</v>
      </c>
      <c r="AN648">
        <v>40</v>
      </c>
      <c r="AO648">
        <v>8</v>
      </c>
      <c r="AP648">
        <v>8</v>
      </c>
      <c r="AQ648">
        <v>1</v>
      </c>
      <c r="AR648">
        <v>33</v>
      </c>
      <c r="AS648" t="s">
        <v>8516</v>
      </c>
      <c r="AT648" t="s">
        <v>8517</v>
      </c>
      <c r="AU648" t="s">
        <v>8518</v>
      </c>
      <c r="AV648" t="s">
        <v>634</v>
      </c>
      <c r="AW648" t="s">
        <v>635</v>
      </c>
      <c r="AX648" t="s">
        <v>69</v>
      </c>
      <c r="AY648" t="s">
        <v>8714</v>
      </c>
      <c r="AZ648" t="s">
        <v>8715</v>
      </c>
      <c r="BA648" t="s">
        <v>2982</v>
      </c>
      <c r="BB648">
        <v>2012</v>
      </c>
      <c r="BC648">
        <v>437</v>
      </c>
      <c r="BD648" t="s">
        <v>69</v>
      </c>
      <c r="BE648" t="s">
        <v>69</v>
      </c>
      <c r="BF648" t="s">
        <v>69</v>
      </c>
      <c r="BG648" t="s">
        <v>69</v>
      </c>
      <c r="BH648" t="s">
        <v>69</v>
      </c>
      <c r="BI648">
        <v>245</v>
      </c>
      <c r="BJ648">
        <v>254</v>
      </c>
      <c r="BK648" t="s">
        <v>69</v>
      </c>
      <c r="BL648" t="s">
        <v>4565</v>
      </c>
      <c r="BM648" t="str">
        <f>HYPERLINK("http://dx.doi.org/10.1016/j.scitotenv.2012.07.067","http://dx.doi.org/10.1016/j.scitotenv.2012.07.067")</f>
        <v>http://dx.doi.org/10.1016/j.scitotenv.2012.07.067</v>
      </c>
      <c r="BN648" t="s">
        <v>69</v>
      </c>
      <c r="BO648" t="s">
        <v>69</v>
      </c>
      <c r="BP648">
        <v>10</v>
      </c>
      <c r="BQ648" t="s">
        <v>8717</v>
      </c>
      <c r="BR648" t="s">
        <v>8523</v>
      </c>
      <c r="BS648" t="s">
        <v>8662</v>
      </c>
      <c r="BT648" t="s">
        <v>25792</v>
      </c>
      <c r="BU648" t="s">
        <v>4566</v>
      </c>
      <c r="BV648">
        <v>22944216</v>
      </c>
      <c r="BW648" t="s">
        <v>69</v>
      </c>
      <c r="BX648" t="s">
        <v>69</v>
      </c>
      <c r="BY648" t="s">
        <v>69</v>
      </c>
      <c r="BZ648" t="s">
        <v>8526</v>
      </c>
      <c r="CA648" t="str">
        <f>HYPERLINK("https%3A%2F%2Fwww.webofscience.com%2Fwos%2Fwoscc%2Ffull-record%2FWOS:000310941000029","View Full Record in Web of Science")</f>
        <v>View Full Record in Web of Science</v>
      </c>
    </row>
    <row r="649" spans="2:79" ht="12.5" x14ac:dyDescent="0.25">
      <c r="B649" t="s">
        <v>8495</v>
      </c>
      <c r="D649" s="7" t="s">
        <v>32933</v>
      </c>
      <c r="E649" s="7"/>
      <c r="F649" s="7"/>
      <c r="G649" s="7"/>
      <c r="H649" t="s">
        <v>67</v>
      </c>
      <c r="I649" t="s">
        <v>4584</v>
      </c>
      <c r="J649" t="s">
        <v>69</v>
      </c>
      <c r="K649" t="s">
        <v>69</v>
      </c>
      <c r="L649" t="s">
        <v>69</v>
      </c>
      <c r="M649" t="s">
        <v>4585</v>
      </c>
      <c r="N649" t="s">
        <v>69</v>
      </c>
      <c r="O649" t="s">
        <v>69</v>
      </c>
      <c r="P649" t="s">
        <v>4586</v>
      </c>
      <c r="Q649" t="s">
        <v>179</v>
      </c>
      <c r="R649" t="s">
        <v>69</v>
      </c>
      <c r="S649" t="s">
        <v>69</v>
      </c>
      <c r="T649" t="s">
        <v>8505</v>
      </c>
      <c r="U649" t="s">
        <v>8506</v>
      </c>
      <c r="V649" t="s">
        <v>69</v>
      </c>
      <c r="W649" t="s">
        <v>69</v>
      </c>
      <c r="X649" t="s">
        <v>69</v>
      </c>
      <c r="Y649" t="s">
        <v>69</v>
      </c>
      <c r="Z649" t="s">
        <v>69</v>
      </c>
      <c r="AA649" t="s">
        <v>30131</v>
      </c>
      <c r="AB649" t="s">
        <v>30132</v>
      </c>
      <c r="AC649" t="s">
        <v>4587</v>
      </c>
      <c r="AD649" t="s">
        <v>30133</v>
      </c>
      <c r="AE649" t="s">
        <v>69</v>
      </c>
      <c r="AF649" t="s">
        <v>30134</v>
      </c>
      <c r="AG649" t="s">
        <v>30135</v>
      </c>
      <c r="AH649" t="s">
        <v>69</v>
      </c>
      <c r="AI649" t="s">
        <v>69</v>
      </c>
      <c r="AJ649" t="s">
        <v>69</v>
      </c>
      <c r="AK649" t="s">
        <v>69</v>
      </c>
      <c r="AL649" t="s">
        <v>69</v>
      </c>
      <c r="AM649" t="s">
        <v>69</v>
      </c>
      <c r="AN649">
        <v>76</v>
      </c>
      <c r="AO649">
        <v>54</v>
      </c>
      <c r="AP649">
        <v>59</v>
      </c>
      <c r="AQ649">
        <v>4</v>
      </c>
      <c r="AR649">
        <v>70</v>
      </c>
      <c r="AS649" t="s">
        <v>9047</v>
      </c>
      <c r="AT649" t="s">
        <v>8693</v>
      </c>
      <c r="AU649" t="s">
        <v>11784</v>
      </c>
      <c r="AV649" t="s">
        <v>181</v>
      </c>
      <c r="AW649" t="s">
        <v>182</v>
      </c>
      <c r="AX649" t="s">
        <v>69</v>
      </c>
      <c r="AY649" t="s">
        <v>17432</v>
      </c>
      <c r="AZ649" t="s">
        <v>17433</v>
      </c>
      <c r="BA649" t="s">
        <v>274</v>
      </c>
      <c r="BB649">
        <v>2006</v>
      </c>
      <c r="BC649">
        <v>38</v>
      </c>
      <c r="BD649">
        <v>5</v>
      </c>
      <c r="BE649" t="s">
        <v>69</v>
      </c>
      <c r="BF649" t="s">
        <v>69</v>
      </c>
      <c r="BG649" t="s">
        <v>69</v>
      </c>
      <c r="BH649" t="s">
        <v>69</v>
      </c>
      <c r="BI649">
        <v>853</v>
      </c>
      <c r="BJ649">
        <v>866</v>
      </c>
      <c r="BK649" t="s">
        <v>69</v>
      </c>
      <c r="BL649" t="s">
        <v>4588</v>
      </c>
      <c r="BM649" t="str">
        <f>HYPERLINK("http://dx.doi.org/10.1007/s00267-005-0306-z","http://dx.doi.org/10.1007/s00267-005-0306-z")</f>
        <v>http://dx.doi.org/10.1007/s00267-005-0306-z</v>
      </c>
      <c r="BN649" t="s">
        <v>69</v>
      </c>
      <c r="BO649" t="s">
        <v>69</v>
      </c>
      <c r="BP649">
        <v>14</v>
      </c>
      <c r="BQ649" t="s">
        <v>8717</v>
      </c>
      <c r="BR649" t="s">
        <v>8523</v>
      </c>
      <c r="BS649" t="s">
        <v>8662</v>
      </c>
      <c r="BT649" t="s">
        <v>30136</v>
      </c>
      <c r="BU649" t="s">
        <v>4589</v>
      </c>
      <c r="BV649">
        <v>16955232</v>
      </c>
      <c r="BW649" t="s">
        <v>69</v>
      </c>
      <c r="BX649" t="s">
        <v>69</v>
      </c>
      <c r="BY649" t="s">
        <v>69</v>
      </c>
      <c r="BZ649" t="s">
        <v>8526</v>
      </c>
      <c r="CA649" t="str">
        <f>HYPERLINK("https%3A%2F%2Fwww.webofscience.com%2Fwos%2Fwoscc%2Ffull-record%2FWOS:000241104500012","View Full Record in Web of Science")</f>
        <v>View Full Record in Web of Science</v>
      </c>
    </row>
    <row r="650" spans="2:79" x14ac:dyDescent="0.3">
      <c r="B650" t="s">
        <v>8495</v>
      </c>
      <c r="D650" s="12" t="s">
        <v>32983</v>
      </c>
      <c r="H650" t="s">
        <v>67</v>
      </c>
      <c r="I650" t="s">
        <v>554</v>
      </c>
      <c r="J650" t="s">
        <v>69</v>
      </c>
      <c r="K650" t="s">
        <v>69</v>
      </c>
      <c r="L650" t="s">
        <v>69</v>
      </c>
      <c r="M650" s="3" t="s">
        <v>555</v>
      </c>
      <c r="N650" t="s">
        <v>69</v>
      </c>
      <c r="O650" t="s">
        <v>69</v>
      </c>
      <c r="P650" s="14" t="s">
        <v>8397</v>
      </c>
      <c r="Q650" t="s">
        <v>556</v>
      </c>
      <c r="R650" t="s">
        <v>69</v>
      </c>
      <c r="S650" t="s">
        <v>69</v>
      </c>
      <c r="T650" t="s">
        <v>8505</v>
      </c>
      <c r="U650" t="s">
        <v>8506</v>
      </c>
      <c r="V650" t="s">
        <v>69</v>
      </c>
      <c r="W650" t="s">
        <v>69</v>
      </c>
      <c r="X650" t="s">
        <v>69</v>
      </c>
      <c r="Y650" t="s">
        <v>69</v>
      </c>
      <c r="Z650" t="s">
        <v>69</v>
      </c>
      <c r="AA650" t="s">
        <v>28775</v>
      </c>
      <c r="AB650" t="s">
        <v>69</v>
      </c>
      <c r="AC650" t="s">
        <v>557</v>
      </c>
      <c r="AD650" t="s">
        <v>28776</v>
      </c>
      <c r="AE650" t="s">
        <v>69</v>
      </c>
      <c r="AF650" t="s">
        <v>28777</v>
      </c>
      <c r="AG650" t="s">
        <v>28778</v>
      </c>
      <c r="AH650" t="s">
        <v>69</v>
      </c>
      <c r="AI650" t="s">
        <v>558</v>
      </c>
      <c r="AJ650" t="s">
        <v>69</v>
      </c>
      <c r="AK650" t="s">
        <v>69</v>
      </c>
      <c r="AL650" t="s">
        <v>69</v>
      </c>
      <c r="AM650" t="s">
        <v>69</v>
      </c>
      <c r="AN650">
        <v>43</v>
      </c>
      <c r="AO650">
        <v>8</v>
      </c>
      <c r="AP650">
        <v>8</v>
      </c>
      <c r="AQ650">
        <v>0</v>
      </c>
      <c r="AR650">
        <v>9</v>
      </c>
      <c r="AS650" t="s">
        <v>8865</v>
      </c>
      <c r="AT650" t="s">
        <v>8612</v>
      </c>
      <c r="AU650" t="s">
        <v>22341</v>
      </c>
      <c r="AV650" t="s">
        <v>559</v>
      </c>
      <c r="AW650" t="s">
        <v>69</v>
      </c>
      <c r="AX650" t="s">
        <v>69</v>
      </c>
      <c r="AY650" t="s">
        <v>28779</v>
      </c>
      <c r="AZ650" t="s">
        <v>28780</v>
      </c>
      <c r="BA650" t="s">
        <v>69</v>
      </c>
      <c r="BB650">
        <v>2009</v>
      </c>
      <c r="BC650">
        <v>12</v>
      </c>
      <c r="BD650">
        <v>1</v>
      </c>
      <c r="BE650" t="s">
        <v>69</v>
      </c>
      <c r="BF650" t="s">
        <v>69</v>
      </c>
      <c r="BG650" t="s">
        <v>69</v>
      </c>
      <c r="BH650" t="s">
        <v>69</v>
      </c>
      <c r="BI650">
        <v>110</v>
      </c>
      <c r="BJ650">
        <v>127</v>
      </c>
      <c r="BK650" t="s">
        <v>69</v>
      </c>
      <c r="BL650" t="s">
        <v>560</v>
      </c>
      <c r="BM650" t="str">
        <f>HYPERLINK("http://dx.doi.org/10.1080/13691180802109030","http://dx.doi.org/10.1080/13691180802109030")</f>
        <v>http://dx.doi.org/10.1080/13691180802109030</v>
      </c>
      <c r="BN650" t="s">
        <v>69</v>
      </c>
      <c r="BO650" t="s">
        <v>69</v>
      </c>
      <c r="BP650">
        <v>18</v>
      </c>
      <c r="BQ650" t="s">
        <v>28781</v>
      </c>
      <c r="BR650" t="s">
        <v>8661</v>
      </c>
      <c r="BS650" t="s">
        <v>28781</v>
      </c>
      <c r="BT650" t="s">
        <v>28782</v>
      </c>
      <c r="BU650" t="s">
        <v>561</v>
      </c>
      <c r="BV650" t="s">
        <v>69</v>
      </c>
      <c r="BW650" t="s">
        <v>69</v>
      </c>
      <c r="BX650" t="s">
        <v>69</v>
      </c>
      <c r="BY650" t="s">
        <v>69</v>
      </c>
      <c r="BZ650" t="s">
        <v>8526</v>
      </c>
      <c r="CA650" t="str">
        <f>HYPERLINK("https%3A%2F%2Fwww.webofscience.com%2Fwos%2Fwoscc%2Ffull-record%2FWOS:000207870700005","View Full Record in Web of Science")</f>
        <v>View Full Record in Web of Science</v>
      </c>
    </row>
    <row r="651" spans="2:79" x14ac:dyDescent="0.3">
      <c r="B651" t="s">
        <v>8495</v>
      </c>
      <c r="D651" s="9" t="s">
        <v>32954</v>
      </c>
      <c r="E651" s="9" t="s">
        <v>33073</v>
      </c>
      <c r="G651" s="9" t="s">
        <v>8490</v>
      </c>
      <c r="H651" t="s">
        <v>67</v>
      </c>
      <c r="I651" t="s">
        <v>26217</v>
      </c>
      <c r="J651" t="s">
        <v>69</v>
      </c>
      <c r="K651" t="s">
        <v>69</v>
      </c>
      <c r="L651" t="s">
        <v>69</v>
      </c>
      <c r="M651" t="s">
        <v>26218</v>
      </c>
      <c r="N651" t="s">
        <v>69</v>
      </c>
      <c r="O651" t="s">
        <v>69</v>
      </c>
      <c r="P651" t="s">
        <v>26219</v>
      </c>
      <c r="Q651" t="s">
        <v>5392</v>
      </c>
      <c r="R651" t="s">
        <v>69</v>
      </c>
      <c r="S651" t="s">
        <v>69</v>
      </c>
      <c r="T651" t="s">
        <v>8505</v>
      </c>
      <c r="U651" t="s">
        <v>8506</v>
      </c>
      <c r="V651" t="s">
        <v>69</v>
      </c>
      <c r="W651" t="s">
        <v>69</v>
      </c>
      <c r="X651" t="s">
        <v>69</v>
      </c>
      <c r="Y651" t="s">
        <v>69</v>
      </c>
      <c r="Z651" t="s">
        <v>69</v>
      </c>
      <c r="AA651" t="s">
        <v>26220</v>
      </c>
      <c r="AB651" t="s">
        <v>26221</v>
      </c>
      <c r="AC651" t="s">
        <v>26222</v>
      </c>
      <c r="AD651" t="s">
        <v>26223</v>
      </c>
      <c r="AE651" t="s">
        <v>69</v>
      </c>
      <c r="AF651" t="s">
        <v>26224</v>
      </c>
      <c r="AG651" t="s">
        <v>26225</v>
      </c>
      <c r="AH651" t="s">
        <v>26226</v>
      </c>
      <c r="AI651" t="s">
        <v>26227</v>
      </c>
      <c r="AJ651" t="s">
        <v>69</v>
      </c>
      <c r="AK651" t="s">
        <v>69</v>
      </c>
      <c r="AL651" t="s">
        <v>69</v>
      </c>
      <c r="AM651" t="s">
        <v>69</v>
      </c>
      <c r="AN651">
        <v>49</v>
      </c>
      <c r="AO651">
        <v>7</v>
      </c>
      <c r="AP651">
        <v>7</v>
      </c>
      <c r="AQ651">
        <v>3</v>
      </c>
      <c r="AR651">
        <v>17</v>
      </c>
      <c r="AS651" t="s">
        <v>21296</v>
      </c>
      <c r="AT651" t="s">
        <v>21297</v>
      </c>
      <c r="AU651" t="s">
        <v>21298</v>
      </c>
      <c r="AV651" t="s">
        <v>5394</v>
      </c>
      <c r="AW651" t="s">
        <v>8294</v>
      </c>
      <c r="AX651" t="s">
        <v>69</v>
      </c>
      <c r="AY651" t="s">
        <v>21299</v>
      </c>
      <c r="AZ651" t="s">
        <v>21300</v>
      </c>
      <c r="BA651" t="s">
        <v>69</v>
      </c>
      <c r="BB651">
        <v>2012</v>
      </c>
      <c r="BC651">
        <v>7</v>
      </c>
      <c r="BD651">
        <v>3</v>
      </c>
      <c r="BE651" t="s">
        <v>69</v>
      </c>
      <c r="BF651" t="s">
        <v>69</v>
      </c>
      <c r="BG651" t="s">
        <v>69</v>
      </c>
      <c r="BH651" t="s">
        <v>69</v>
      </c>
      <c r="BI651">
        <v>193</v>
      </c>
      <c r="BJ651">
        <v>209</v>
      </c>
      <c r="BK651" t="s">
        <v>69</v>
      </c>
      <c r="BL651" t="s">
        <v>26228</v>
      </c>
      <c r="BM651" t="str">
        <f>HYPERLINK("http://dx.doi.org/10.3992/1943-4618-7.3.193","http://dx.doi.org/10.3992/1943-4618-7.3.193")</f>
        <v>http://dx.doi.org/10.3992/1943-4618-7.3.193</v>
      </c>
      <c r="BN651" t="s">
        <v>69</v>
      </c>
      <c r="BO651" t="s">
        <v>69</v>
      </c>
      <c r="BP651">
        <v>17</v>
      </c>
      <c r="BQ651" t="s">
        <v>8449</v>
      </c>
      <c r="BR651" t="s">
        <v>11207</v>
      </c>
      <c r="BS651" t="s">
        <v>8449</v>
      </c>
      <c r="BT651" t="s">
        <v>26229</v>
      </c>
      <c r="BU651" t="s">
        <v>26230</v>
      </c>
      <c r="BV651" t="s">
        <v>69</v>
      </c>
      <c r="BW651" t="s">
        <v>8622</v>
      </c>
      <c r="BX651" t="s">
        <v>69</v>
      </c>
      <c r="BY651" t="s">
        <v>69</v>
      </c>
      <c r="BZ651" t="s">
        <v>8526</v>
      </c>
      <c r="CA651" t="str">
        <f>HYPERLINK("https%3A%2F%2Fwww.webofscience.com%2Fwos%2Fwoscc%2Ffull-record%2FWOS:000322715200012","View Full Record in Web of Science")</f>
        <v>View Full Record in Web of Science</v>
      </c>
    </row>
    <row r="652" spans="2:79" ht="12.5" x14ac:dyDescent="0.25">
      <c r="B652" t="s">
        <v>8495</v>
      </c>
      <c r="D652" s="7" t="s">
        <v>32933</v>
      </c>
      <c r="E652" s="7"/>
      <c r="F652" s="7"/>
      <c r="G652" s="7"/>
      <c r="H652" t="s">
        <v>67</v>
      </c>
      <c r="I652" t="s">
        <v>1339</v>
      </c>
      <c r="J652" t="s">
        <v>69</v>
      </c>
      <c r="K652" t="s">
        <v>69</v>
      </c>
      <c r="L652" t="s">
        <v>69</v>
      </c>
      <c r="M652" t="s">
        <v>1340</v>
      </c>
      <c r="N652" t="s">
        <v>69</v>
      </c>
      <c r="O652" t="s">
        <v>69</v>
      </c>
      <c r="P652" t="s">
        <v>1341</v>
      </c>
      <c r="Q652" t="s">
        <v>1342</v>
      </c>
      <c r="R652" t="s">
        <v>69</v>
      </c>
      <c r="S652" t="s">
        <v>69</v>
      </c>
      <c r="T652" t="s">
        <v>8505</v>
      </c>
      <c r="U652" t="s">
        <v>8506</v>
      </c>
      <c r="V652" t="s">
        <v>69</v>
      </c>
      <c r="W652" t="s">
        <v>69</v>
      </c>
      <c r="X652" t="s">
        <v>69</v>
      </c>
      <c r="Y652" t="s">
        <v>69</v>
      </c>
      <c r="Z652" t="s">
        <v>69</v>
      </c>
      <c r="AA652" t="s">
        <v>23481</v>
      </c>
      <c r="AB652" t="s">
        <v>23482</v>
      </c>
      <c r="AC652" t="s">
        <v>1343</v>
      </c>
      <c r="AD652" t="s">
        <v>23483</v>
      </c>
      <c r="AE652" t="s">
        <v>69</v>
      </c>
      <c r="AF652" t="s">
        <v>23484</v>
      </c>
      <c r="AG652" t="s">
        <v>23485</v>
      </c>
      <c r="AH652" t="s">
        <v>69</v>
      </c>
      <c r="AI652" t="s">
        <v>69</v>
      </c>
      <c r="AJ652" t="s">
        <v>69</v>
      </c>
      <c r="AK652" t="s">
        <v>69</v>
      </c>
      <c r="AL652" t="s">
        <v>69</v>
      </c>
      <c r="AM652" t="s">
        <v>69</v>
      </c>
      <c r="AN652">
        <v>47</v>
      </c>
      <c r="AO652">
        <v>10</v>
      </c>
      <c r="AP652">
        <v>10</v>
      </c>
      <c r="AQ652">
        <v>0</v>
      </c>
      <c r="AR652">
        <v>3</v>
      </c>
      <c r="AS652" t="s">
        <v>21110</v>
      </c>
      <c r="AT652" t="s">
        <v>8847</v>
      </c>
      <c r="AU652" t="s">
        <v>8848</v>
      </c>
      <c r="AV652" t="s">
        <v>1344</v>
      </c>
      <c r="AW652" t="s">
        <v>1345</v>
      </c>
      <c r="AX652" t="s">
        <v>69</v>
      </c>
      <c r="AY652" t="s">
        <v>23486</v>
      </c>
      <c r="AZ652" t="s">
        <v>23487</v>
      </c>
      <c r="BA652" t="s">
        <v>274</v>
      </c>
      <c r="BB652">
        <v>2014</v>
      </c>
      <c r="BC652">
        <v>52</v>
      </c>
      <c r="BD652">
        <v>4</v>
      </c>
      <c r="BE652" t="s">
        <v>69</v>
      </c>
      <c r="BF652" t="s">
        <v>69</v>
      </c>
      <c r="BG652" t="s">
        <v>114</v>
      </c>
      <c r="BH652" t="s">
        <v>69</v>
      </c>
      <c r="BI652">
        <v>411</v>
      </c>
      <c r="BJ652">
        <v>429</v>
      </c>
      <c r="BK652" t="s">
        <v>69</v>
      </c>
      <c r="BL652" t="s">
        <v>1346</v>
      </c>
      <c r="BM652" t="str">
        <f>HYPERLINK("http://dx.doi.org/10.1111/1745-5871.12083","http://dx.doi.org/10.1111/1745-5871.12083")</f>
        <v>http://dx.doi.org/10.1111/1745-5871.12083</v>
      </c>
      <c r="BN652" t="s">
        <v>69</v>
      </c>
      <c r="BO652" t="s">
        <v>69</v>
      </c>
      <c r="BP652">
        <v>19</v>
      </c>
      <c r="BQ652" t="s">
        <v>8446</v>
      </c>
      <c r="BR652" t="s">
        <v>8661</v>
      </c>
      <c r="BS652" t="s">
        <v>8446</v>
      </c>
      <c r="BT652" t="s">
        <v>23488</v>
      </c>
      <c r="BU652" t="s">
        <v>1347</v>
      </c>
      <c r="BV652" t="s">
        <v>69</v>
      </c>
      <c r="BW652" t="s">
        <v>69</v>
      </c>
      <c r="BX652" t="s">
        <v>69</v>
      </c>
      <c r="BY652" t="s">
        <v>69</v>
      </c>
      <c r="BZ652" t="s">
        <v>8526</v>
      </c>
      <c r="CA652" t="str">
        <f>HYPERLINK("https%3A%2F%2Fwww.webofscience.com%2Fwos%2Fwoscc%2Ffull-record%2FWOS:000344522100008","View Full Record in Web of Science")</f>
        <v>View Full Record in Web of Science</v>
      </c>
    </row>
    <row r="653" spans="2:79" ht="12.5" x14ac:dyDescent="0.25">
      <c r="B653" t="s">
        <v>8495</v>
      </c>
      <c r="D653" s="22" t="s">
        <v>32931</v>
      </c>
      <c r="E653" s="7"/>
      <c r="F653" s="7"/>
      <c r="G653" s="7"/>
      <c r="H653" t="s">
        <v>67</v>
      </c>
      <c r="I653" t="s">
        <v>16942</v>
      </c>
      <c r="J653" t="s">
        <v>69</v>
      </c>
      <c r="K653" t="s">
        <v>69</v>
      </c>
      <c r="L653" t="s">
        <v>69</v>
      </c>
      <c r="M653" t="s">
        <v>16943</v>
      </c>
      <c r="N653" t="s">
        <v>69</v>
      </c>
      <c r="O653" t="s">
        <v>69</v>
      </c>
      <c r="P653" t="s">
        <v>16944</v>
      </c>
      <c r="Q653" t="s">
        <v>9437</v>
      </c>
      <c r="R653" t="s">
        <v>69</v>
      </c>
      <c r="S653" t="s">
        <v>69</v>
      </c>
      <c r="T653" t="s">
        <v>8505</v>
      </c>
      <c r="U653" t="s">
        <v>8506</v>
      </c>
      <c r="V653" t="s">
        <v>69</v>
      </c>
      <c r="W653" t="s">
        <v>69</v>
      </c>
      <c r="X653" t="s">
        <v>69</v>
      </c>
      <c r="Y653" t="s">
        <v>69</v>
      </c>
      <c r="Z653" t="s">
        <v>69</v>
      </c>
      <c r="AA653" t="s">
        <v>69</v>
      </c>
      <c r="AB653" t="s">
        <v>16945</v>
      </c>
      <c r="AC653" t="s">
        <v>16946</v>
      </c>
      <c r="AD653" t="s">
        <v>16947</v>
      </c>
      <c r="AE653" t="s">
        <v>69</v>
      </c>
      <c r="AF653" t="s">
        <v>16948</v>
      </c>
      <c r="AG653" t="s">
        <v>16949</v>
      </c>
      <c r="AH653" t="s">
        <v>69</v>
      </c>
      <c r="AI653" t="s">
        <v>16950</v>
      </c>
      <c r="AJ653" t="s">
        <v>16951</v>
      </c>
      <c r="AK653" t="s">
        <v>16952</v>
      </c>
      <c r="AL653" t="s">
        <v>16953</v>
      </c>
      <c r="AM653" t="s">
        <v>69</v>
      </c>
      <c r="AN653">
        <v>50</v>
      </c>
      <c r="AO653">
        <v>5</v>
      </c>
      <c r="AP653">
        <v>5</v>
      </c>
      <c r="AQ653">
        <v>0</v>
      </c>
      <c r="AR653">
        <v>1</v>
      </c>
      <c r="AS653" t="s">
        <v>9178</v>
      </c>
      <c r="AT653" t="s">
        <v>8763</v>
      </c>
      <c r="AU653" t="s">
        <v>9179</v>
      </c>
      <c r="AV653" t="s">
        <v>9446</v>
      </c>
      <c r="AW653" t="s">
        <v>69</v>
      </c>
      <c r="AX653" t="s">
        <v>69</v>
      </c>
      <c r="AY653" t="s">
        <v>9437</v>
      </c>
      <c r="AZ653" t="s">
        <v>9447</v>
      </c>
      <c r="BA653" t="s">
        <v>201</v>
      </c>
      <c r="BB653">
        <v>2019</v>
      </c>
      <c r="BC653">
        <v>9</v>
      </c>
      <c r="BD653">
        <v>7</v>
      </c>
      <c r="BE653" t="s">
        <v>69</v>
      </c>
      <c r="BF653" t="s">
        <v>69</v>
      </c>
      <c r="BG653" t="s">
        <v>69</v>
      </c>
      <c r="BH653" t="s">
        <v>69</v>
      </c>
      <c r="BI653" t="s">
        <v>69</v>
      </c>
      <c r="BJ653" t="s">
        <v>69</v>
      </c>
      <c r="BK653" t="s">
        <v>16954</v>
      </c>
      <c r="BL653" t="s">
        <v>16955</v>
      </c>
      <c r="BM653" t="str">
        <f>HYPERLINK("http://dx.doi.org/10.1136/bmjopen-2018-026586","http://dx.doi.org/10.1136/bmjopen-2018-026586")</f>
        <v>http://dx.doi.org/10.1136/bmjopen-2018-026586</v>
      </c>
      <c r="BN653" t="s">
        <v>69</v>
      </c>
      <c r="BO653" t="s">
        <v>69</v>
      </c>
      <c r="BP653">
        <v>11</v>
      </c>
      <c r="BQ653" t="s">
        <v>9450</v>
      </c>
      <c r="BR653" t="s">
        <v>8523</v>
      </c>
      <c r="BS653" t="s">
        <v>9451</v>
      </c>
      <c r="BT653" t="s">
        <v>16956</v>
      </c>
      <c r="BU653" t="s">
        <v>16957</v>
      </c>
      <c r="BV653">
        <v>31272974</v>
      </c>
      <c r="BW653" t="s">
        <v>9352</v>
      </c>
      <c r="BX653" t="s">
        <v>69</v>
      </c>
      <c r="BY653" t="s">
        <v>69</v>
      </c>
      <c r="BZ653" t="s">
        <v>8526</v>
      </c>
      <c r="CA653" t="str">
        <f>HYPERLINK("https%3A%2F%2Fwww.webofscience.com%2Fwos%2Fwoscc%2Ffull-record%2FWOS:000485269700379","View Full Record in Web of Science")</f>
        <v>View Full Record in Web of Science</v>
      </c>
    </row>
    <row r="654" spans="2:79" ht="12.5" x14ac:dyDescent="0.25">
      <c r="B654" t="s">
        <v>8495</v>
      </c>
      <c r="D654" s="22" t="s">
        <v>32931</v>
      </c>
      <c r="E654" s="7"/>
      <c r="F654" s="7"/>
      <c r="G654" s="7"/>
      <c r="H654" t="s">
        <v>67</v>
      </c>
      <c r="I654" t="s">
        <v>27538</v>
      </c>
      <c r="J654" t="s">
        <v>69</v>
      </c>
      <c r="K654" t="s">
        <v>69</v>
      </c>
      <c r="L654" t="s">
        <v>69</v>
      </c>
      <c r="M654" t="s">
        <v>27539</v>
      </c>
      <c r="N654" t="s">
        <v>69</v>
      </c>
      <c r="O654" t="s">
        <v>69</v>
      </c>
      <c r="P654" t="s">
        <v>27540</v>
      </c>
      <c r="Q654" t="s">
        <v>7713</v>
      </c>
      <c r="R654" t="s">
        <v>69</v>
      </c>
      <c r="S654" t="s">
        <v>69</v>
      </c>
      <c r="T654" t="s">
        <v>8505</v>
      </c>
      <c r="U654" t="s">
        <v>8506</v>
      </c>
      <c r="V654" t="s">
        <v>69</v>
      </c>
      <c r="W654" t="s">
        <v>69</v>
      </c>
      <c r="X654" t="s">
        <v>69</v>
      </c>
      <c r="Y654" t="s">
        <v>69</v>
      </c>
      <c r="Z654" t="s">
        <v>69</v>
      </c>
      <c r="AA654" t="s">
        <v>27541</v>
      </c>
      <c r="AB654" t="s">
        <v>27542</v>
      </c>
      <c r="AC654" t="s">
        <v>27543</v>
      </c>
      <c r="AD654" t="s">
        <v>27544</v>
      </c>
      <c r="AE654" t="s">
        <v>69</v>
      </c>
      <c r="AF654" t="s">
        <v>27545</v>
      </c>
      <c r="AG654" t="s">
        <v>27546</v>
      </c>
      <c r="AH654" t="s">
        <v>27547</v>
      </c>
      <c r="AI654" t="s">
        <v>27548</v>
      </c>
      <c r="AJ654" t="s">
        <v>27549</v>
      </c>
      <c r="AK654" t="s">
        <v>27550</v>
      </c>
      <c r="AL654" t="s">
        <v>27551</v>
      </c>
      <c r="AM654" t="s">
        <v>69</v>
      </c>
      <c r="AN654">
        <v>68</v>
      </c>
      <c r="AO654">
        <v>28</v>
      </c>
      <c r="AP654">
        <v>28</v>
      </c>
      <c r="AQ654">
        <v>0</v>
      </c>
      <c r="AR654">
        <v>35</v>
      </c>
      <c r="AS654" t="s">
        <v>9047</v>
      </c>
      <c r="AT654" t="s">
        <v>9048</v>
      </c>
      <c r="AU654" t="s">
        <v>9049</v>
      </c>
      <c r="AV654" t="s">
        <v>7715</v>
      </c>
      <c r="AW654" t="s">
        <v>9224</v>
      </c>
      <c r="AX654" t="s">
        <v>69</v>
      </c>
      <c r="AY654" t="s">
        <v>9225</v>
      </c>
      <c r="AZ654" t="s">
        <v>9226</v>
      </c>
      <c r="BA654" t="s">
        <v>373</v>
      </c>
      <c r="BB654">
        <v>2011</v>
      </c>
      <c r="BC654">
        <v>25</v>
      </c>
      <c r="BD654">
        <v>1</v>
      </c>
      <c r="BE654" t="s">
        <v>69</v>
      </c>
      <c r="BF654" t="s">
        <v>69</v>
      </c>
      <c r="BG654" t="s">
        <v>69</v>
      </c>
      <c r="BH654" t="s">
        <v>69</v>
      </c>
      <c r="BI654">
        <v>141</v>
      </c>
      <c r="BJ654">
        <v>164</v>
      </c>
      <c r="BK654" t="s">
        <v>69</v>
      </c>
      <c r="BL654" t="s">
        <v>27552</v>
      </c>
      <c r="BM654" t="str">
        <f>HYPERLINK("http://dx.doi.org/10.1007/s11269-010-9691-z","http://dx.doi.org/10.1007/s11269-010-9691-z")</f>
        <v>http://dx.doi.org/10.1007/s11269-010-9691-z</v>
      </c>
      <c r="BN654" t="s">
        <v>69</v>
      </c>
      <c r="BO654" t="s">
        <v>69</v>
      </c>
      <c r="BP654">
        <v>24</v>
      </c>
      <c r="BQ654" t="s">
        <v>9229</v>
      </c>
      <c r="BR654" t="s">
        <v>8523</v>
      </c>
      <c r="BS654" t="s">
        <v>9230</v>
      </c>
      <c r="BT654" t="s">
        <v>27553</v>
      </c>
      <c r="BU654" t="s">
        <v>27554</v>
      </c>
      <c r="BV654" t="s">
        <v>69</v>
      </c>
      <c r="BW654" t="s">
        <v>69</v>
      </c>
      <c r="BX654" t="s">
        <v>69</v>
      </c>
      <c r="BY654" t="s">
        <v>69</v>
      </c>
      <c r="BZ654" t="s">
        <v>8526</v>
      </c>
      <c r="CA654" t="str">
        <f>HYPERLINK("https%3A%2F%2Fwww.webofscience.com%2Fwos%2Fwoscc%2Ffull-record%2FWOS:000285469200008","View Full Record in Web of Science")</f>
        <v>View Full Record in Web of Science</v>
      </c>
    </row>
    <row r="655" spans="2:79" ht="12.5" x14ac:dyDescent="0.25">
      <c r="B655" t="s">
        <v>8495</v>
      </c>
      <c r="D655" s="7" t="s">
        <v>32933</v>
      </c>
      <c r="E655" s="7"/>
      <c r="F655" s="7"/>
      <c r="G655" s="7"/>
      <c r="H655" t="s">
        <v>67</v>
      </c>
      <c r="I655" t="s">
        <v>2372</v>
      </c>
      <c r="J655" t="s">
        <v>69</v>
      </c>
      <c r="K655" t="s">
        <v>69</v>
      </c>
      <c r="L655" t="s">
        <v>69</v>
      </c>
      <c r="M655" t="s">
        <v>2373</v>
      </c>
      <c r="N655" t="s">
        <v>69</v>
      </c>
      <c r="O655" t="s">
        <v>69</v>
      </c>
      <c r="P655" t="s">
        <v>2374</v>
      </c>
      <c r="Q655" t="s">
        <v>2375</v>
      </c>
      <c r="R655" t="s">
        <v>69</v>
      </c>
      <c r="S655" t="s">
        <v>69</v>
      </c>
      <c r="T655" t="s">
        <v>8505</v>
      </c>
      <c r="U655" t="s">
        <v>8506</v>
      </c>
      <c r="V655" t="s">
        <v>69</v>
      </c>
      <c r="W655" t="s">
        <v>69</v>
      </c>
      <c r="X655" t="s">
        <v>69</v>
      </c>
      <c r="Y655" t="s">
        <v>69</v>
      </c>
      <c r="Z655" t="s">
        <v>69</v>
      </c>
      <c r="AA655" t="s">
        <v>18229</v>
      </c>
      <c r="AB655" t="s">
        <v>18230</v>
      </c>
      <c r="AC655" t="s">
        <v>2376</v>
      </c>
      <c r="AD655" t="s">
        <v>18231</v>
      </c>
      <c r="AE655" t="s">
        <v>69</v>
      </c>
      <c r="AF655" t="s">
        <v>18232</v>
      </c>
      <c r="AG655" t="s">
        <v>18233</v>
      </c>
      <c r="AH655" t="s">
        <v>2377</v>
      </c>
      <c r="AI655" t="s">
        <v>18234</v>
      </c>
      <c r="AJ655" t="s">
        <v>18235</v>
      </c>
      <c r="AK655" t="s">
        <v>18236</v>
      </c>
      <c r="AL655" t="s">
        <v>18237</v>
      </c>
      <c r="AM655" t="s">
        <v>69</v>
      </c>
      <c r="AN655">
        <v>46</v>
      </c>
      <c r="AO655">
        <v>16</v>
      </c>
      <c r="AP655">
        <v>16</v>
      </c>
      <c r="AQ655">
        <v>2</v>
      </c>
      <c r="AR655">
        <v>10</v>
      </c>
      <c r="AS655" t="s">
        <v>8692</v>
      </c>
      <c r="AT655" t="s">
        <v>8693</v>
      </c>
      <c r="AU655" t="s">
        <v>8694</v>
      </c>
      <c r="AV655" t="s">
        <v>2378</v>
      </c>
      <c r="AW655" t="s">
        <v>2379</v>
      </c>
      <c r="AX655" t="s">
        <v>69</v>
      </c>
      <c r="AY655" t="s">
        <v>18238</v>
      </c>
      <c r="AZ655" t="s">
        <v>18239</v>
      </c>
      <c r="BA655" t="s">
        <v>274</v>
      </c>
      <c r="BB655">
        <v>2018</v>
      </c>
      <c r="BC655">
        <v>19</v>
      </c>
      <c r="BD655">
        <v>11</v>
      </c>
      <c r="BE655" t="s">
        <v>69</v>
      </c>
      <c r="BF655" t="s">
        <v>69</v>
      </c>
      <c r="BG655" t="s">
        <v>69</v>
      </c>
      <c r="BH655" t="s">
        <v>69</v>
      </c>
      <c r="BI655">
        <v>948</v>
      </c>
      <c r="BJ655" t="s">
        <v>219</v>
      </c>
      <c r="BK655" t="s">
        <v>69</v>
      </c>
      <c r="BL655" t="s">
        <v>2380</v>
      </c>
      <c r="BM655" t="str">
        <f>HYPERLINK("http://dx.doi.org/10.1016/j.jamda.2018.07.004","http://dx.doi.org/10.1016/j.jamda.2018.07.004")</f>
        <v>http://dx.doi.org/10.1016/j.jamda.2018.07.004</v>
      </c>
      <c r="BN655" t="s">
        <v>69</v>
      </c>
      <c r="BO655" t="s">
        <v>69</v>
      </c>
      <c r="BP655">
        <v>23</v>
      </c>
      <c r="BQ655" t="s">
        <v>18240</v>
      </c>
      <c r="BR655" t="s">
        <v>8523</v>
      </c>
      <c r="BS655" t="s">
        <v>18240</v>
      </c>
      <c r="BT655" t="s">
        <v>18241</v>
      </c>
      <c r="BU655" t="s">
        <v>2381</v>
      </c>
      <c r="BV655">
        <v>30241987</v>
      </c>
      <c r="BW655" t="s">
        <v>10995</v>
      </c>
      <c r="BX655" t="s">
        <v>69</v>
      </c>
      <c r="BY655" t="s">
        <v>69</v>
      </c>
      <c r="BZ655" t="s">
        <v>8526</v>
      </c>
      <c r="CA655" t="str">
        <f>HYPERLINK("https%3A%2F%2Fwww.webofscience.com%2Fwos%2Fwoscc%2Ffull-record%2FWOS:000448423900005","View Full Record in Web of Science")</f>
        <v>View Full Record in Web of Science</v>
      </c>
    </row>
    <row r="656" spans="2:79" ht="12.5" x14ac:dyDescent="0.25">
      <c r="B656" t="s">
        <v>8495</v>
      </c>
      <c r="D656" s="22" t="s">
        <v>32931</v>
      </c>
      <c r="E656" s="7"/>
      <c r="F656" s="7"/>
      <c r="G656" s="7"/>
      <c r="H656" t="s">
        <v>67</v>
      </c>
      <c r="I656" t="s">
        <v>15631</v>
      </c>
      <c r="J656" t="s">
        <v>69</v>
      </c>
      <c r="K656" t="s">
        <v>69</v>
      </c>
      <c r="L656" t="s">
        <v>69</v>
      </c>
      <c r="M656" t="s">
        <v>15632</v>
      </c>
      <c r="N656" t="s">
        <v>69</v>
      </c>
      <c r="O656" t="s">
        <v>69</v>
      </c>
      <c r="P656" t="s">
        <v>15633</v>
      </c>
      <c r="Q656" t="s">
        <v>15634</v>
      </c>
      <c r="R656" t="s">
        <v>69</v>
      </c>
      <c r="S656" t="s">
        <v>69</v>
      </c>
      <c r="T656" t="s">
        <v>8505</v>
      </c>
      <c r="U656" t="s">
        <v>8506</v>
      </c>
      <c r="V656" t="s">
        <v>69</v>
      </c>
      <c r="W656" t="s">
        <v>69</v>
      </c>
      <c r="X656" t="s">
        <v>69</v>
      </c>
      <c r="Y656" t="s">
        <v>69</v>
      </c>
      <c r="Z656" t="s">
        <v>69</v>
      </c>
      <c r="AA656" t="s">
        <v>15635</v>
      </c>
      <c r="AB656" t="s">
        <v>15388</v>
      </c>
      <c r="AC656" t="s">
        <v>15636</v>
      </c>
      <c r="AD656" t="s">
        <v>15637</v>
      </c>
      <c r="AE656" t="s">
        <v>69</v>
      </c>
      <c r="AF656" t="s">
        <v>15638</v>
      </c>
      <c r="AG656" t="s">
        <v>15639</v>
      </c>
      <c r="AH656" t="s">
        <v>69</v>
      </c>
      <c r="AI656" t="s">
        <v>69</v>
      </c>
      <c r="AJ656" t="s">
        <v>15640</v>
      </c>
      <c r="AK656" t="s">
        <v>15640</v>
      </c>
      <c r="AL656" t="s">
        <v>15641</v>
      </c>
      <c r="AM656" t="s">
        <v>69</v>
      </c>
      <c r="AN656">
        <v>39</v>
      </c>
      <c r="AO656">
        <v>2</v>
      </c>
      <c r="AP656">
        <v>2</v>
      </c>
      <c r="AQ656">
        <v>1</v>
      </c>
      <c r="AR656">
        <v>1</v>
      </c>
      <c r="AS656" t="s">
        <v>15642</v>
      </c>
      <c r="AT656" t="s">
        <v>8735</v>
      </c>
      <c r="AU656" t="s">
        <v>15643</v>
      </c>
      <c r="AV656" t="s">
        <v>15644</v>
      </c>
      <c r="AW656" t="s">
        <v>15645</v>
      </c>
      <c r="AX656" t="s">
        <v>69</v>
      </c>
      <c r="AY656" t="s">
        <v>15646</v>
      </c>
      <c r="AZ656" t="s">
        <v>15647</v>
      </c>
      <c r="BA656" t="s">
        <v>94</v>
      </c>
      <c r="BB656">
        <v>2020</v>
      </c>
      <c r="BC656">
        <v>72</v>
      </c>
      <c r="BD656">
        <v>1</v>
      </c>
      <c r="BE656" t="s">
        <v>69</v>
      </c>
      <c r="BF656" t="s">
        <v>69</v>
      </c>
      <c r="BG656" t="s">
        <v>114</v>
      </c>
      <c r="BH656" t="s">
        <v>69</v>
      </c>
      <c r="BI656">
        <v>8</v>
      </c>
      <c r="BJ656">
        <v>26</v>
      </c>
      <c r="BK656" t="s">
        <v>69</v>
      </c>
      <c r="BL656" t="s">
        <v>15648</v>
      </c>
      <c r="BM656" t="str">
        <f>HYPERLINK("http://dx.doi.org/10.1037/cpb0000155","http://dx.doi.org/10.1037/cpb0000155")</f>
        <v>http://dx.doi.org/10.1037/cpb0000155</v>
      </c>
      <c r="BN656" t="s">
        <v>69</v>
      </c>
      <c r="BO656" t="s">
        <v>69</v>
      </c>
      <c r="BP656">
        <v>19</v>
      </c>
      <c r="BQ656" t="s">
        <v>15649</v>
      </c>
      <c r="BR656" t="s">
        <v>8573</v>
      </c>
      <c r="BS656" t="s">
        <v>9001</v>
      </c>
      <c r="BT656" t="s">
        <v>15650</v>
      </c>
      <c r="BU656" t="s">
        <v>15651</v>
      </c>
      <c r="BV656" t="s">
        <v>69</v>
      </c>
      <c r="BW656" t="s">
        <v>69</v>
      </c>
      <c r="BX656" t="s">
        <v>69</v>
      </c>
      <c r="BY656" t="s">
        <v>69</v>
      </c>
      <c r="BZ656" t="s">
        <v>8526</v>
      </c>
      <c r="CA656" t="str">
        <f>HYPERLINK("https%3A%2F%2Fwww.webofscience.com%2Fwos%2Fwoscc%2Ffull-record%2FWOS:000719413900003","View Full Record in Web of Science")</f>
        <v>View Full Record in Web of Science</v>
      </c>
    </row>
    <row r="657" spans="2:79" ht="12.5" x14ac:dyDescent="0.25">
      <c r="B657" t="s">
        <v>8495</v>
      </c>
      <c r="D657" s="7" t="s">
        <v>32933</v>
      </c>
      <c r="E657" s="7"/>
      <c r="F657" s="7"/>
      <c r="G657" s="7"/>
      <c r="H657" t="s">
        <v>67</v>
      </c>
      <c r="I657" t="s">
        <v>6544</v>
      </c>
      <c r="J657" t="s">
        <v>69</v>
      </c>
      <c r="K657" t="s">
        <v>69</v>
      </c>
      <c r="L657" t="s">
        <v>69</v>
      </c>
      <c r="M657" t="s">
        <v>6545</v>
      </c>
      <c r="N657" t="s">
        <v>69</v>
      </c>
      <c r="O657" t="s">
        <v>69</v>
      </c>
      <c r="P657" t="s">
        <v>6546</v>
      </c>
      <c r="Q657" t="s">
        <v>408</v>
      </c>
      <c r="R657" t="s">
        <v>69</v>
      </c>
      <c r="S657" t="s">
        <v>69</v>
      </c>
      <c r="T657" t="s">
        <v>8505</v>
      </c>
      <c r="U657" t="s">
        <v>8506</v>
      </c>
      <c r="V657" t="s">
        <v>69</v>
      </c>
      <c r="W657" t="s">
        <v>69</v>
      </c>
      <c r="X657" t="s">
        <v>69</v>
      </c>
      <c r="Y657" t="s">
        <v>69</v>
      </c>
      <c r="Z657" t="s">
        <v>69</v>
      </c>
      <c r="AA657" t="s">
        <v>14265</v>
      </c>
      <c r="AB657" t="s">
        <v>14266</v>
      </c>
      <c r="AC657" t="s">
        <v>6547</v>
      </c>
      <c r="AD657" t="s">
        <v>14267</v>
      </c>
      <c r="AE657" t="s">
        <v>69</v>
      </c>
      <c r="AF657" t="s">
        <v>14268</v>
      </c>
      <c r="AG657" t="s">
        <v>14269</v>
      </c>
      <c r="AH657" t="s">
        <v>69</v>
      </c>
      <c r="AI657" t="s">
        <v>69</v>
      </c>
      <c r="AJ657" t="s">
        <v>14270</v>
      </c>
      <c r="AK657" t="s">
        <v>14271</v>
      </c>
      <c r="AL657" t="s">
        <v>14272</v>
      </c>
      <c r="AM657" t="s">
        <v>69</v>
      </c>
      <c r="AN657">
        <v>55</v>
      </c>
      <c r="AO657">
        <v>7</v>
      </c>
      <c r="AP657">
        <v>7</v>
      </c>
      <c r="AQ657">
        <v>9</v>
      </c>
      <c r="AR657">
        <v>42</v>
      </c>
      <c r="AS657" t="s">
        <v>8586</v>
      </c>
      <c r="AT657" t="s">
        <v>8587</v>
      </c>
      <c r="AU657" t="s">
        <v>8588</v>
      </c>
      <c r="AV657" t="s">
        <v>410</v>
      </c>
      <c r="AW657" t="s">
        <v>411</v>
      </c>
      <c r="AX657" t="s">
        <v>69</v>
      </c>
      <c r="AY657" t="s">
        <v>9125</v>
      </c>
      <c r="AZ657" t="s">
        <v>9126</v>
      </c>
      <c r="BA657" t="s">
        <v>14273</v>
      </c>
      <c r="BB657">
        <v>2021</v>
      </c>
      <c r="BC657">
        <v>28</v>
      </c>
      <c r="BD657">
        <v>6</v>
      </c>
      <c r="BE657" t="s">
        <v>69</v>
      </c>
      <c r="BF657" t="s">
        <v>69</v>
      </c>
      <c r="BG657" t="s">
        <v>69</v>
      </c>
      <c r="BH657" t="s">
        <v>69</v>
      </c>
      <c r="BI657">
        <v>1561</v>
      </c>
      <c r="BJ657">
        <v>1592</v>
      </c>
      <c r="BK657" t="s">
        <v>69</v>
      </c>
      <c r="BL657" t="s">
        <v>6548</v>
      </c>
      <c r="BM657" t="str">
        <f>HYPERLINK("http://dx.doi.org/10.1108/ECAM-12-2019-0709","http://dx.doi.org/10.1108/ECAM-12-2019-0709")</f>
        <v>http://dx.doi.org/10.1108/ECAM-12-2019-0709</v>
      </c>
      <c r="BN657" t="s">
        <v>69</v>
      </c>
      <c r="BO657" t="s">
        <v>683</v>
      </c>
      <c r="BP657">
        <v>32</v>
      </c>
      <c r="BQ657" t="s">
        <v>9128</v>
      </c>
      <c r="BR657" t="s">
        <v>8523</v>
      </c>
      <c r="BS657" t="s">
        <v>9129</v>
      </c>
      <c r="BT657" t="s">
        <v>14274</v>
      </c>
      <c r="BU657" t="s">
        <v>6549</v>
      </c>
      <c r="BV657" t="s">
        <v>69</v>
      </c>
      <c r="BW657" t="s">
        <v>69</v>
      </c>
      <c r="BX657" t="s">
        <v>69</v>
      </c>
      <c r="BY657" t="s">
        <v>69</v>
      </c>
      <c r="BZ657" t="s">
        <v>8526</v>
      </c>
      <c r="CA657" t="str">
        <f>HYPERLINK("https%3A%2F%2Fwww.webofscience.com%2Fwos%2Fwoscc%2Ffull-record%2FWOS:000577333800001","View Full Record in Web of Science")</f>
        <v>View Full Record in Web of Science</v>
      </c>
    </row>
    <row r="658" spans="2:79" ht="12.5" x14ac:dyDescent="0.25">
      <c r="B658" t="s">
        <v>8495</v>
      </c>
      <c r="D658" s="22" t="s">
        <v>32931</v>
      </c>
      <c r="E658" s="7"/>
      <c r="F658" s="7"/>
      <c r="G658" s="7"/>
      <c r="H658" t="s">
        <v>67</v>
      </c>
      <c r="I658" t="s">
        <v>31686</v>
      </c>
      <c r="J658" t="s">
        <v>69</v>
      </c>
      <c r="K658" t="s">
        <v>69</v>
      </c>
      <c r="L658" t="s">
        <v>69</v>
      </c>
      <c r="M658" t="s">
        <v>31686</v>
      </c>
      <c r="N658" t="s">
        <v>69</v>
      </c>
      <c r="O658" t="s">
        <v>69</v>
      </c>
      <c r="P658" t="s">
        <v>31687</v>
      </c>
      <c r="Q658" t="s">
        <v>31688</v>
      </c>
      <c r="R658" t="s">
        <v>69</v>
      </c>
      <c r="S658" t="s">
        <v>69</v>
      </c>
      <c r="T658" t="s">
        <v>8505</v>
      </c>
      <c r="U658" t="s">
        <v>8506</v>
      </c>
      <c r="V658" t="s">
        <v>69</v>
      </c>
      <c r="W658" t="s">
        <v>69</v>
      </c>
      <c r="X658" t="s">
        <v>69</v>
      </c>
      <c r="Y658" t="s">
        <v>69</v>
      </c>
      <c r="Z658" t="s">
        <v>69</v>
      </c>
      <c r="AA658" t="s">
        <v>31689</v>
      </c>
      <c r="AB658" t="s">
        <v>31690</v>
      </c>
      <c r="AC658" t="s">
        <v>31691</v>
      </c>
      <c r="AD658" t="s">
        <v>31692</v>
      </c>
      <c r="AE658" t="s">
        <v>69</v>
      </c>
      <c r="AF658" t="s">
        <v>31693</v>
      </c>
      <c r="AG658" t="s">
        <v>69</v>
      </c>
      <c r="AH658" t="s">
        <v>69</v>
      </c>
      <c r="AI658" t="s">
        <v>31694</v>
      </c>
      <c r="AJ658" t="s">
        <v>69</v>
      </c>
      <c r="AK658" t="s">
        <v>69</v>
      </c>
      <c r="AL658" t="s">
        <v>69</v>
      </c>
      <c r="AM658" t="s">
        <v>69</v>
      </c>
      <c r="AN658">
        <v>46</v>
      </c>
      <c r="AO658">
        <v>27</v>
      </c>
      <c r="AP658">
        <v>27</v>
      </c>
      <c r="AQ658">
        <v>1</v>
      </c>
      <c r="AR658">
        <v>8</v>
      </c>
      <c r="AS658" t="s">
        <v>31695</v>
      </c>
      <c r="AT658" t="s">
        <v>31293</v>
      </c>
      <c r="AU658" t="s">
        <v>31294</v>
      </c>
      <c r="AV658" t="s">
        <v>31696</v>
      </c>
      <c r="AW658" t="s">
        <v>69</v>
      </c>
      <c r="AX658" t="s">
        <v>69</v>
      </c>
      <c r="AY658" t="s">
        <v>31697</v>
      </c>
      <c r="AZ658" t="s">
        <v>31698</v>
      </c>
      <c r="BA658" t="s">
        <v>69</v>
      </c>
      <c r="BB658">
        <v>2001</v>
      </c>
      <c r="BC658">
        <v>24</v>
      </c>
      <c r="BD658">
        <v>3</v>
      </c>
      <c r="BE658" t="s">
        <v>69</v>
      </c>
      <c r="BF658" t="s">
        <v>69</v>
      </c>
      <c r="BG658" t="s">
        <v>69</v>
      </c>
      <c r="BH658" t="s">
        <v>69</v>
      </c>
      <c r="BI658">
        <v>399</v>
      </c>
      <c r="BJ658">
        <v>419</v>
      </c>
      <c r="BK658" t="s">
        <v>69</v>
      </c>
      <c r="BL658" t="s">
        <v>31699</v>
      </c>
      <c r="BM658" t="str">
        <f>HYPERLINK("http://dx.doi.org/10.1108/EUM0000000005854","http://dx.doi.org/10.1108/EUM0000000005854")</f>
        <v>http://dx.doi.org/10.1108/EUM0000000005854</v>
      </c>
      <c r="BN658" t="s">
        <v>69</v>
      </c>
      <c r="BO658" t="s">
        <v>69</v>
      </c>
      <c r="BP658">
        <v>21</v>
      </c>
      <c r="BQ658" t="s">
        <v>19122</v>
      </c>
      <c r="BR658" t="s">
        <v>8661</v>
      </c>
      <c r="BS658" t="s">
        <v>19122</v>
      </c>
      <c r="BT658" t="s">
        <v>31700</v>
      </c>
      <c r="BU658" t="s">
        <v>31701</v>
      </c>
      <c r="BV658" t="s">
        <v>69</v>
      </c>
      <c r="BW658" t="s">
        <v>69</v>
      </c>
      <c r="BX658" t="s">
        <v>69</v>
      </c>
      <c r="BY658" t="s">
        <v>69</v>
      </c>
      <c r="BZ658" t="s">
        <v>8526</v>
      </c>
      <c r="CA658" t="str">
        <f>HYPERLINK("https%3A%2F%2Fwww.webofscience.com%2Fwos%2Fwoscc%2Ffull-record%2FWOS:000172006400009","View Full Record in Web of Science")</f>
        <v>View Full Record in Web of Science</v>
      </c>
    </row>
    <row r="659" spans="2:79" ht="12.5" x14ac:dyDescent="0.25">
      <c r="B659" t="s">
        <v>8495</v>
      </c>
      <c r="D659" s="7" t="s">
        <v>32933</v>
      </c>
      <c r="E659" s="7"/>
      <c r="F659" s="7"/>
      <c r="G659" s="7"/>
      <c r="H659" t="s">
        <v>67</v>
      </c>
      <c r="I659" t="s">
        <v>1909</v>
      </c>
      <c r="J659" t="s">
        <v>69</v>
      </c>
      <c r="K659" t="s">
        <v>69</v>
      </c>
      <c r="L659" t="s">
        <v>69</v>
      </c>
      <c r="M659" t="s">
        <v>1910</v>
      </c>
      <c r="N659" t="s">
        <v>69</v>
      </c>
      <c r="O659" t="s">
        <v>69</v>
      </c>
      <c r="P659" t="s">
        <v>1911</v>
      </c>
      <c r="Q659" t="s">
        <v>1912</v>
      </c>
      <c r="R659" t="s">
        <v>69</v>
      </c>
      <c r="S659" t="s">
        <v>69</v>
      </c>
      <c r="T659" t="s">
        <v>8505</v>
      </c>
      <c r="U659" t="s">
        <v>8506</v>
      </c>
      <c r="V659" t="s">
        <v>69</v>
      </c>
      <c r="W659" t="s">
        <v>69</v>
      </c>
      <c r="X659" t="s">
        <v>69</v>
      </c>
      <c r="Y659" t="s">
        <v>69</v>
      </c>
      <c r="Z659" t="s">
        <v>69</v>
      </c>
      <c r="AA659" t="s">
        <v>14544</v>
      </c>
      <c r="AB659" t="s">
        <v>14545</v>
      </c>
      <c r="AC659" t="s">
        <v>1913</v>
      </c>
      <c r="AD659" t="s">
        <v>14546</v>
      </c>
      <c r="AE659" t="s">
        <v>69</v>
      </c>
      <c r="AF659" t="s">
        <v>14547</v>
      </c>
      <c r="AG659" t="s">
        <v>14548</v>
      </c>
      <c r="AH659" t="s">
        <v>14549</v>
      </c>
      <c r="AI659" t="s">
        <v>14550</v>
      </c>
      <c r="AJ659" t="s">
        <v>69</v>
      </c>
      <c r="AK659" t="s">
        <v>69</v>
      </c>
      <c r="AL659" t="s">
        <v>69</v>
      </c>
      <c r="AM659" t="s">
        <v>69</v>
      </c>
      <c r="AN659">
        <v>68</v>
      </c>
      <c r="AO659">
        <v>1</v>
      </c>
      <c r="AP659">
        <v>1</v>
      </c>
      <c r="AQ659">
        <v>3</v>
      </c>
      <c r="AR659">
        <v>17</v>
      </c>
      <c r="AS659" t="s">
        <v>8586</v>
      </c>
      <c r="AT659" t="s">
        <v>8587</v>
      </c>
      <c r="AU659" t="s">
        <v>8588</v>
      </c>
      <c r="AV659" t="s">
        <v>1914</v>
      </c>
      <c r="AW659" t="s">
        <v>1915</v>
      </c>
      <c r="AX659" t="s">
        <v>69</v>
      </c>
      <c r="AY659" t="s">
        <v>14551</v>
      </c>
      <c r="AZ659" t="s">
        <v>14552</v>
      </c>
      <c r="BA659" t="s">
        <v>14553</v>
      </c>
      <c r="BB659">
        <v>2021</v>
      </c>
      <c r="BC659">
        <v>33</v>
      </c>
      <c r="BD659">
        <v>3</v>
      </c>
      <c r="BE659" t="s">
        <v>69</v>
      </c>
      <c r="BF659" t="s">
        <v>69</v>
      </c>
      <c r="BG659" t="s">
        <v>69</v>
      </c>
      <c r="BH659" t="s">
        <v>69</v>
      </c>
      <c r="BI659">
        <v>450</v>
      </c>
      <c r="BJ659">
        <v>464</v>
      </c>
      <c r="BK659" t="s">
        <v>69</v>
      </c>
      <c r="BL659" t="s">
        <v>1916</v>
      </c>
      <c r="BM659" t="str">
        <f>HYPERLINK("http://dx.doi.org/10.1108/EBR-04-2020-0089","http://dx.doi.org/10.1108/EBR-04-2020-0089")</f>
        <v>http://dx.doi.org/10.1108/EBR-04-2020-0089</v>
      </c>
      <c r="BN659" t="s">
        <v>69</v>
      </c>
      <c r="BO659" t="s">
        <v>1917</v>
      </c>
      <c r="BP659">
        <v>15</v>
      </c>
      <c r="BQ659" t="s">
        <v>8444</v>
      </c>
      <c r="BR659" t="s">
        <v>8573</v>
      </c>
      <c r="BS659" t="s">
        <v>8594</v>
      </c>
      <c r="BT659" t="s">
        <v>14554</v>
      </c>
      <c r="BU659" t="s">
        <v>1918</v>
      </c>
      <c r="BV659" t="s">
        <v>69</v>
      </c>
      <c r="BW659" t="s">
        <v>69</v>
      </c>
      <c r="BX659" t="s">
        <v>69</v>
      </c>
      <c r="BY659" t="s">
        <v>69</v>
      </c>
      <c r="BZ659" t="s">
        <v>8526</v>
      </c>
      <c r="CA659" t="str">
        <f>HYPERLINK("https%3A%2F%2Fwww.webofscience.com%2Fwos%2Fwoscc%2Ffull-record%2FWOS:000566119200001","View Full Record in Web of Science")</f>
        <v>View Full Record in Web of Science</v>
      </c>
    </row>
    <row r="660" spans="2:79" ht="12.5" x14ac:dyDescent="0.25">
      <c r="B660" t="s">
        <v>8495</v>
      </c>
      <c r="D660" s="22" t="s">
        <v>32931</v>
      </c>
      <c r="E660" s="7"/>
      <c r="F660" s="7"/>
      <c r="G660" s="7"/>
      <c r="H660" t="s">
        <v>67</v>
      </c>
      <c r="I660" t="s">
        <v>13889</v>
      </c>
      <c r="J660" t="s">
        <v>69</v>
      </c>
      <c r="K660" t="s">
        <v>69</v>
      </c>
      <c r="L660" t="s">
        <v>69</v>
      </c>
      <c r="M660" t="s">
        <v>13890</v>
      </c>
      <c r="N660" t="s">
        <v>69</v>
      </c>
      <c r="O660" t="s">
        <v>69</v>
      </c>
      <c r="P660" t="s">
        <v>13891</v>
      </c>
      <c r="Q660" t="s">
        <v>13892</v>
      </c>
      <c r="R660" t="s">
        <v>69</v>
      </c>
      <c r="S660" t="s">
        <v>69</v>
      </c>
      <c r="T660" t="s">
        <v>8505</v>
      </c>
      <c r="U660" t="s">
        <v>8506</v>
      </c>
      <c r="V660" t="s">
        <v>69</v>
      </c>
      <c r="W660" t="s">
        <v>69</v>
      </c>
      <c r="X660" t="s">
        <v>69</v>
      </c>
      <c r="Y660" t="s">
        <v>69</v>
      </c>
      <c r="Z660" t="s">
        <v>69</v>
      </c>
      <c r="AA660" t="s">
        <v>69</v>
      </c>
      <c r="AB660" t="s">
        <v>13893</v>
      </c>
      <c r="AC660" t="s">
        <v>13894</v>
      </c>
      <c r="AD660" t="s">
        <v>13895</v>
      </c>
      <c r="AE660" t="s">
        <v>69</v>
      </c>
      <c r="AF660" t="s">
        <v>13896</v>
      </c>
      <c r="AG660" t="s">
        <v>13897</v>
      </c>
      <c r="AH660" t="s">
        <v>69</v>
      </c>
      <c r="AI660" t="s">
        <v>13898</v>
      </c>
      <c r="AJ660" t="s">
        <v>13899</v>
      </c>
      <c r="AK660" t="s">
        <v>13899</v>
      </c>
      <c r="AL660" t="s">
        <v>13899</v>
      </c>
      <c r="AM660" t="s">
        <v>69</v>
      </c>
      <c r="AN660">
        <v>47</v>
      </c>
      <c r="AO660">
        <v>5</v>
      </c>
      <c r="AP660">
        <v>5</v>
      </c>
      <c r="AQ660">
        <v>1</v>
      </c>
      <c r="AR660">
        <v>7</v>
      </c>
      <c r="AS660" t="s">
        <v>8846</v>
      </c>
      <c r="AT660" t="s">
        <v>8847</v>
      </c>
      <c r="AU660" t="s">
        <v>8848</v>
      </c>
      <c r="AV660" t="s">
        <v>13900</v>
      </c>
      <c r="AW660" t="s">
        <v>13901</v>
      </c>
      <c r="AX660" t="s">
        <v>69</v>
      </c>
      <c r="AY660" t="s">
        <v>13902</v>
      </c>
      <c r="AZ660" t="s">
        <v>13903</v>
      </c>
      <c r="BA660" t="s">
        <v>246</v>
      </c>
      <c r="BB660">
        <v>2021</v>
      </c>
      <c r="BC660">
        <v>55</v>
      </c>
      <c r="BD660">
        <v>4</v>
      </c>
      <c r="BE660" t="s">
        <v>69</v>
      </c>
      <c r="BF660" t="s">
        <v>69</v>
      </c>
      <c r="BG660" t="s">
        <v>69</v>
      </c>
      <c r="BH660" t="s">
        <v>69</v>
      </c>
      <c r="BI660">
        <v>486</v>
      </c>
      <c r="BJ660">
        <v>495</v>
      </c>
      <c r="BK660" t="s">
        <v>69</v>
      </c>
      <c r="BL660" t="s">
        <v>13904</v>
      </c>
      <c r="BM660" t="str">
        <f>HYPERLINK("http://dx.doi.org/10.1111/medu.14408","http://dx.doi.org/10.1111/medu.14408")</f>
        <v>http://dx.doi.org/10.1111/medu.14408</v>
      </c>
      <c r="BN660" t="s">
        <v>69</v>
      </c>
      <c r="BO660" t="s">
        <v>1852</v>
      </c>
      <c r="BP660">
        <v>10</v>
      </c>
      <c r="BQ660" t="s">
        <v>13905</v>
      </c>
      <c r="BR660" t="s">
        <v>8548</v>
      </c>
      <c r="BS660" t="s">
        <v>13906</v>
      </c>
      <c r="BT660" t="s">
        <v>13907</v>
      </c>
      <c r="BU660" t="s">
        <v>13908</v>
      </c>
      <c r="BV660">
        <v>33152148</v>
      </c>
      <c r="BW660" t="s">
        <v>69</v>
      </c>
      <c r="BX660" t="s">
        <v>69</v>
      </c>
      <c r="BY660" t="s">
        <v>69</v>
      </c>
      <c r="BZ660" t="s">
        <v>8526</v>
      </c>
      <c r="CA660" t="str">
        <f>HYPERLINK("https%3A%2F%2Fwww.webofscience.com%2Fwos%2Fwoscc%2Ffull-record%2FWOS:000596627800001","View Full Record in Web of Science")</f>
        <v>View Full Record in Web of Science</v>
      </c>
    </row>
    <row r="661" spans="2:79" x14ac:dyDescent="0.3">
      <c r="C661" s="7" t="s">
        <v>33213</v>
      </c>
      <c r="F661" s="10" t="s">
        <v>8490</v>
      </c>
      <c r="I661" s="7" t="s">
        <v>8478</v>
      </c>
      <c r="P661" s="7" t="s">
        <v>8479</v>
      </c>
      <c r="Q661" t="s">
        <v>8480</v>
      </c>
      <c r="BB661">
        <v>2019</v>
      </c>
      <c r="BM661" s="23" t="s">
        <v>8481</v>
      </c>
    </row>
    <row r="662" spans="2:79" ht="12.5" x14ac:dyDescent="0.25">
      <c r="B662" t="s">
        <v>8495</v>
      </c>
      <c r="D662" s="22" t="s">
        <v>32931</v>
      </c>
      <c r="E662" s="7"/>
      <c r="F662" s="7"/>
      <c r="G662" s="7"/>
      <c r="H662" t="s">
        <v>67</v>
      </c>
      <c r="I662" t="s">
        <v>26402</v>
      </c>
      <c r="J662" t="s">
        <v>69</v>
      </c>
      <c r="K662" t="s">
        <v>69</v>
      </c>
      <c r="L662" t="s">
        <v>69</v>
      </c>
      <c r="M662" t="s">
        <v>26403</v>
      </c>
      <c r="N662" t="s">
        <v>69</v>
      </c>
      <c r="O662" t="s">
        <v>69</v>
      </c>
      <c r="P662" t="s">
        <v>26404</v>
      </c>
      <c r="Q662" t="s">
        <v>26405</v>
      </c>
      <c r="R662" t="s">
        <v>69</v>
      </c>
      <c r="S662" t="s">
        <v>69</v>
      </c>
      <c r="T662" t="s">
        <v>8505</v>
      </c>
      <c r="U662" t="s">
        <v>8506</v>
      </c>
      <c r="V662" t="s">
        <v>69</v>
      </c>
      <c r="W662" t="s">
        <v>69</v>
      </c>
      <c r="X662" t="s">
        <v>69</v>
      </c>
      <c r="Y662" t="s">
        <v>69</v>
      </c>
      <c r="Z662" t="s">
        <v>69</v>
      </c>
      <c r="AA662" t="s">
        <v>69</v>
      </c>
      <c r="AB662" t="s">
        <v>69</v>
      </c>
      <c r="AC662" t="s">
        <v>26406</v>
      </c>
      <c r="AD662" t="s">
        <v>26407</v>
      </c>
      <c r="AE662" t="s">
        <v>69</v>
      </c>
      <c r="AF662" t="s">
        <v>26408</v>
      </c>
      <c r="AG662" t="s">
        <v>69</v>
      </c>
      <c r="AH662" t="s">
        <v>26409</v>
      </c>
      <c r="AI662" t="s">
        <v>26410</v>
      </c>
      <c r="AJ662" t="s">
        <v>69</v>
      </c>
      <c r="AK662" t="s">
        <v>69</v>
      </c>
      <c r="AL662" t="s">
        <v>69</v>
      </c>
      <c r="AM662" t="s">
        <v>69</v>
      </c>
      <c r="AN662">
        <v>39</v>
      </c>
      <c r="AO662">
        <v>2</v>
      </c>
      <c r="AP662">
        <v>2</v>
      </c>
      <c r="AQ662">
        <v>0</v>
      </c>
      <c r="AR662">
        <v>0</v>
      </c>
      <c r="AS662" t="s">
        <v>26411</v>
      </c>
      <c r="AT662" t="s">
        <v>26412</v>
      </c>
      <c r="AU662" t="s">
        <v>26413</v>
      </c>
      <c r="AV662" t="s">
        <v>26414</v>
      </c>
      <c r="AW662" t="s">
        <v>26415</v>
      </c>
      <c r="AX662" t="s">
        <v>69</v>
      </c>
      <c r="AY662" t="s">
        <v>26405</v>
      </c>
      <c r="AZ662" t="s">
        <v>26416</v>
      </c>
      <c r="BA662" t="s">
        <v>69</v>
      </c>
      <c r="BB662">
        <v>2012</v>
      </c>
      <c r="BC662">
        <v>17</v>
      </c>
      <c r="BD662">
        <v>1</v>
      </c>
      <c r="BE662" t="s">
        <v>69</v>
      </c>
      <c r="BF662" t="s">
        <v>69</v>
      </c>
      <c r="BG662" t="s">
        <v>69</v>
      </c>
      <c r="BH662" t="s">
        <v>69</v>
      </c>
      <c r="BI662">
        <v>199</v>
      </c>
      <c r="BJ662">
        <v>221</v>
      </c>
      <c r="BK662" t="s">
        <v>69</v>
      </c>
      <c r="BL662" t="s">
        <v>69</v>
      </c>
      <c r="BM662" t="s">
        <v>69</v>
      </c>
      <c r="BN662" t="s">
        <v>69</v>
      </c>
      <c r="BO662" t="s">
        <v>69</v>
      </c>
      <c r="BP662">
        <v>23</v>
      </c>
      <c r="BQ662" t="s">
        <v>8443</v>
      </c>
      <c r="BR662" t="s">
        <v>8573</v>
      </c>
      <c r="BS662" t="s">
        <v>8443</v>
      </c>
      <c r="BT662" t="s">
        <v>26417</v>
      </c>
      <c r="BU662" t="s">
        <v>26418</v>
      </c>
      <c r="BV662" t="s">
        <v>69</v>
      </c>
      <c r="BW662" t="s">
        <v>69</v>
      </c>
      <c r="BX662" t="s">
        <v>69</v>
      </c>
      <c r="BY662" t="s">
        <v>69</v>
      </c>
      <c r="BZ662" t="s">
        <v>8526</v>
      </c>
      <c r="CA662" t="str">
        <f>HYPERLINK("https%3A%2F%2Fwww.webofscience.com%2Fwos%2Fwoscc%2Ffull-record%2FWOS:000420002300011","View Full Record in Web of Science")</f>
        <v>View Full Record in Web of Science</v>
      </c>
    </row>
    <row r="663" spans="2:79" ht="12.5" x14ac:dyDescent="0.25">
      <c r="B663" t="s">
        <v>8495</v>
      </c>
      <c r="D663" s="7" t="s">
        <v>32933</v>
      </c>
      <c r="E663" s="7"/>
      <c r="F663" s="7"/>
      <c r="G663" s="7"/>
      <c r="H663" t="s">
        <v>67</v>
      </c>
      <c r="I663" t="s">
        <v>6184</v>
      </c>
      <c r="J663" t="s">
        <v>69</v>
      </c>
      <c r="K663" t="s">
        <v>69</v>
      </c>
      <c r="L663" t="s">
        <v>69</v>
      </c>
      <c r="M663" t="s">
        <v>6185</v>
      </c>
      <c r="N663" t="s">
        <v>69</v>
      </c>
      <c r="O663" t="s">
        <v>69</v>
      </c>
      <c r="P663" t="s">
        <v>6186</v>
      </c>
      <c r="Q663" t="s">
        <v>352</v>
      </c>
      <c r="R663" t="s">
        <v>69</v>
      </c>
      <c r="S663" t="s">
        <v>69</v>
      </c>
      <c r="T663" t="s">
        <v>8505</v>
      </c>
      <c r="U663" t="s">
        <v>8506</v>
      </c>
      <c r="V663" t="s">
        <v>69</v>
      </c>
      <c r="W663" t="s">
        <v>69</v>
      </c>
      <c r="X663" t="s">
        <v>69</v>
      </c>
      <c r="Y663" t="s">
        <v>69</v>
      </c>
      <c r="Z663" t="s">
        <v>69</v>
      </c>
      <c r="AA663" t="s">
        <v>16765</v>
      </c>
      <c r="AB663" t="s">
        <v>16766</v>
      </c>
      <c r="AC663" t="s">
        <v>6187</v>
      </c>
      <c r="AD663" t="s">
        <v>16767</v>
      </c>
      <c r="AE663" t="s">
        <v>69</v>
      </c>
      <c r="AF663" t="s">
        <v>16768</v>
      </c>
      <c r="AG663" t="s">
        <v>16769</v>
      </c>
      <c r="AH663" t="s">
        <v>69</v>
      </c>
      <c r="AI663" t="s">
        <v>69</v>
      </c>
      <c r="AJ663" t="s">
        <v>16770</v>
      </c>
      <c r="AK663" t="s">
        <v>9925</v>
      </c>
      <c r="AL663" t="s">
        <v>16771</v>
      </c>
      <c r="AM663" t="s">
        <v>69</v>
      </c>
      <c r="AN663">
        <v>90</v>
      </c>
      <c r="AO663">
        <v>4</v>
      </c>
      <c r="AP663">
        <v>4</v>
      </c>
      <c r="AQ663">
        <v>9</v>
      </c>
      <c r="AR663">
        <v>50</v>
      </c>
      <c r="AS663" t="s">
        <v>8924</v>
      </c>
      <c r="AT663" t="s">
        <v>8925</v>
      </c>
      <c r="AU663" t="s">
        <v>8926</v>
      </c>
      <c r="AV663" t="s">
        <v>69</v>
      </c>
      <c r="AW663" t="s">
        <v>354</v>
      </c>
      <c r="AX663" t="s">
        <v>69</v>
      </c>
      <c r="AY663" t="s">
        <v>8958</v>
      </c>
      <c r="AZ663" t="s">
        <v>8434</v>
      </c>
      <c r="BA663" t="s">
        <v>477</v>
      </c>
      <c r="BB663">
        <v>2019</v>
      </c>
      <c r="BC663">
        <v>11</v>
      </c>
      <c r="BD663">
        <v>17</v>
      </c>
      <c r="BE663" t="s">
        <v>69</v>
      </c>
      <c r="BF663" t="s">
        <v>69</v>
      </c>
      <c r="BG663" t="s">
        <v>69</v>
      </c>
      <c r="BH663" t="s">
        <v>69</v>
      </c>
      <c r="BI663" t="s">
        <v>69</v>
      </c>
      <c r="BJ663" t="s">
        <v>69</v>
      </c>
      <c r="BK663">
        <v>4744</v>
      </c>
      <c r="BL663" t="s">
        <v>6188</v>
      </c>
      <c r="BM663" t="str">
        <f>HYPERLINK("http://dx.doi.org/10.3390/su11174744","http://dx.doi.org/10.3390/su11174744")</f>
        <v>http://dx.doi.org/10.3390/su11174744</v>
      </c>
      <c r="BN663" t="s">
        <v>69</v>
      </c>
      <c r="BO663" t="s">
        <v>69</v>
      </c>
      <c r="BP663">
        <v>27</v>
      </c>
      <c r="BQ663" t="s">
        <v>8960</v>
      </c>
      <c r="BR663" t="s">
        <v>8523</v>
      </c>
      <c r="BS663" t="s">
        <v>8961</v>
      </c>
      <c r="BT663" t="s">
        <v>16762</v>
      </c>
      <c r="BU663" t="s">
        <v>6189</v>
      </c>
      <c r="BV663" t="s">
        <v>69</v>
      </c>
      <c r="BW663" t="s">
        <v>12297</v>
      </c>
      <c r="BX663" t="s">
        <v>69</v>
      </c>
      <c r="BY663" t="s">
        <v>69</v>
      </c>
      <c r="BZ663" t="s">
        <v>8526</v>
      </c>
      <c r="CA663" t="str">
        <f>HYPERLINK("https%3A%2F%2Fwww.webofscience.com%2Fwos%2Fwoscc%2Ffull-record%2FWOS:000486877700232","View Full Record in Web of Science")</f>
        <v>View Full Record in Web of Science</v>
      </c>
    </row>
    <row r="664" spans="2:79" ht="12.5" x14ac:dyDescent="0.25">
      <c r="B664" t="s">
        <v>8495</v>
      </c>
      <c r="D664" s="22" t="s">
        <v>32931</v>
      </c>
      <c r="E664" s="7"/>
      <c r="F664" s="7"/>
      <c r="G664" s="7"/>
      <c r="H664" t="s">
        <v>67</v>
      </c>
      <c r="I664" t="s">
        <v>13497</v>
      </c>
      <c r="J664" t="s">
        <v>69</v>
      </c>
      <c r="K664" t="s">
        <v>69</v>
      </c>
      <c r="L664" t="s">
        <v>69</v>
      </c>
      <c r="M664" t="s">
        <v>13498</v>
      </c>
      <c r="N664" t="s">
        <v>69</v>
      </c>
      <c r="O664" t="s">
        <v>69</v>
      </c>
      <c r="P664" t="s">
        <v>13499</v>
      </c>
      <c r="Q664" t="s">
        <v>13500</v>
      </c>
      <c r="R664" t="s">
        <v>69</v>
      </c>
      <c r="S664" t="s">
        <v>69</v>
      </c>
      <c r="T664" t="s">
        <v>8505</v>
      </c>
      <c r="U664" t="s">
        <v>8506</v>
      </c>
      <c r="V664" t="s">
        <v>69</v>
      </c>
      <c r="W664" t="s">
        <v>69</v>
      </c>
      <c r="X664" t="s">
        <v>69</v>
      </c>
      <c r="Y664" t="s">
        <v>69</v>
      </c>
      <c r="Z664" t="s">
        <v>69</v>
      </c>
      <c r="AA664" t="s">
        <v>13501</v>
      </c>
      <c r="AB664" t="s">
        <v>13502</v>
      </c>
      <c r="AC664" t="s">
        <v>13503</v>
      </c>
      <c r="AD664" t="s">
        <v>13504</v>
      </c>
      <c r="AE664" t="s">
        <v>69</v>
      </c>
      <c r="AF664" t="s">
        <v>13505</v>
      </c>
      <c r="AG664" t="s">
        <v>13506</v>
      </c>
      <c r="AH664" t="s">
        <v>13507</v>
      </c>
      <c r="AI664" t="s">
        <v>13508</v>
      </c>
      <c r="AJ664" t="s">
        <v>69</v>
      </c>
      <c r="AK664" t="s">
        <v>69</v>
      </c>
      <c r="AL664" t="s">
        <v>69</v>
      </c>
      <c r="AM664" t="s">
        <v>69</v>
      </c>
      <c r="AN664">
        <v>33</v>
      </c>
      <c r="AO664">
        <v>0</v>
      </c>
      <c r="AP664">
        <v>0</v>
      </c>
      <c r="AQ664">
        <v>2</v>
      </c>
      <c r="AR664">
        <v>3</v>
      </c>
      <c r="AS664" t="s">
        <v>13509</v>
      </c>
      <c r="AT664" t="s">
        <v>13510</v>
      </c>
      <c r="AU664" t="s">
        <v>13511</v>
      </c>
      <c r="AV664" t="s">
        <v>13512</v>
      </c>
      <c r="AW664" t="s">
        <v>13513</v>
      </c>
      <c r="AX664" t="s">
        <v>69</v>
      </c>
      <c r="AY664" t="s">
        <v>13514</v>
      </c>
      <c r="AZ664" t="s">
        <v>13515</v>
      </c>
      <c r="BA664" t="s">
        <v>69</v>
      </c>
      <c r="BB664">
        <v>2021</v>
      </c>
      <c r="BC664">
        <v>24</v>
      </c>
      <c r="BD664">
        <v>2</v>
      </c>
      <c r="BE664" t="s">
        <v>69</v>
      </c>
      <c r="BF664" t="s">
        <v>69</v>
      </c>
      <c r="BG664" t="s">
        <v>69</v>
      </c>
      <c r="BH664" t="s">
        <v>69</v>
      </c>
      <c r="BI664">
        <v>214</v>
      </c>
      <c r="BJ664">
        <v>224</v>
      </c>
      <c r="BK664" t="s">
        <v>69</v>
      </c>
      <c r="BL664" t="s">
        <v>13516</v>
      </c>
      <c r="BM664" t="str">
        <f>HYPERLINK("http://dx.doi.org/10.1504/IJICBM.2021.118880","http://dx.doi.org/10.1504/IJICBM.2021.118880")</f>
        <v>http://dx.doi.org/10.1504/IJICBM.2021.118880</v>
      </c>
      <c r="BN664" t="s">
        <v>69</v>
      </c>
      <c r="BO664" t="s">
        <v>69</v>
      </c>
      <c r="BP664">
        <v>11</v>
      </c>
      <c r="BQ664" t="s">
        <v>8444</v>
      </c>
      <c r="BR664" t="s">
        <v>8573</v>
      </c>
      <c r="BS664" t="s">
        <v>8594</v>
      </c>
      <c r="BT664" t="s">
        <v>13517</v>
      </c>
      <c r="BU664" t="s">
        <v>13518</v>
      </c>
      <c r="BV664" t="s">
        <v>69</v>
      </c>
      <c r="BW664" t="s">
        <v>69</v>
      </c>
      <c r="BX664" t="s">
        <v>69</v>
      </c>
      <c r="BY664" t="s">
        <v>69</v>
      </c>
      <c r="BZ664" t="s">
        <v>8526</v>
      </c>
      <c r="CA664" t="str">
        <f>HYPERLINK("https%3A%2F%2Fwww.webofscience.com%2Fwos%2Fwoscc%2Ffull-record%2FWOS:000716628400004","View Full Record in Web of Science")</f>
        <v>View Full Record in Web of Science</v>
      </c>
    </row>
    <row r="665" spans="2:79" ht="12.5" x14ac:dyDescent="0.25">
      <c r="B665" t="s">
        <v>8495</v>
      </c>
      <c r="D665" s="7" t="s">
        <v>32933</v>
      </c>
      <c r="E665" s="7"/>
      <c r="F665" s="7"/>
      <c r="G665" s="7"/>
      <c r="H665" t="s">
        <v>67</v>
      </c>
      <c r="I665" t="s">
        <v>5762</v>
      </c>
      <c r="J665" t="s">
        <v>69</v>
      </c>
      <c r="K665" t="s">
        <v>69</v>
      </c>
      <c r="L665" t="s">
        <v>69</v>
      </c>
      <c r="M665" t="s">
        <v>5763</v>
      </c>
      <c r="N665" t="s">
        <v>69</v>
      </c>
      <c r="O665" t="s">
        <v>69</v>
      </c>
      <c r="P665" t="s">
        <v>5764</v>
      </c>
      <c r="Q665" t="s">
        <v>457</v>
      </c>
      <c r="R665" t="s">
        <v>69</v>
      </c>
      <c r="S665" t="s">
        <v>69</v>
      </c>
      <c r="T665" t="s">
        <v>8505</v>
      </c>
      <c r="U665" t="s">
        <v>8506</v>
      </c>
      <c r="V665" t="s">
        <v>69</v>
      </c>
      <c r="W665" t="s">
        <v>69</v>
      </c>
      <c r="X665" t="s">
        <v>69</v>
      </c>
      <c r="Y665" t="s">
        <v>69</v>
      </c>
      <c r="Z665" t="s">
        <v>69</v>
      </c>
      <c r="AA665" t="s">
        <v>24003</v>
      </c>
      <c r="AB665" t="s">
        <v>24004</v>
      </c>
      <c r="AC665" t="s">
        <v>5765</v>
      </c>
      <c r="AD665" t="s">
        <v>24005</v>
      </c>
      <c r="AE665" t="s">
        <v>69</v>
      </c>
      <c r="AF665" t="s">
        <v>24006</v>
      </c>
      <c r="AG665" t="s">
        <v>24007</v>
      </c>
      <c r="AH665" t="s">
        <v>5766</v>
      </c>
      <c r="AI665" t="s">
        <v>5767</v>
      </c>
      <c r="AJ665" t="s">
        <v>24008</v>
      </c>
      <c r="AK665" t="s">
        <v>24008</v>
      </c>
      <c r="AL665" t="s">
        <v>24009</v>
      </c>
      <c r="AM665" t="s">
        <v>69</v>
      </c>
      <c r="AN665">
        <v>44</v>
      </c>
      <c r="AO665">
        <v>4</v>
      </c>
      <c r="AP665">
        <v>4</v>
      </c>
      <c r="AQ665">
        <v>1</v>
      </c>
      <c r="AR665">
        <v>13</v>
      </c>
      <c r="AS665" t="s">
        <v>17203</v>
      </c>
      <c r="AT665" t="s">
        <v>17204</v>
      </c>
      <c r="AU665" t="s">
        <v>17205</v>
      </c>
      <c r="AV665" t="s">
        <v>461</v>
      </c>
      <c r="AW665" t="s">
        <v>462</v>
      </c>
      <c r="AX665" t="s">
        <v>69</v>
      </c>
      <c r="AY665" t="s">
        <v>17206</v>
      </c>
      <c r="AZ665" t="s">
        <v>17207</v>
      </c>
      <c r="BA665" t="s">
        <v>69</v>
      </c>
      <c r="BB665">
        <v>2014</v>
      </c>
      <c r="BC665">
        <v>16</v>
      </c>
      <c r="BD665">
        <v>6</v>
      </c>
      <c r="BE665" t="s">
        <v>69</v>
      </c>
      <c r="BF665" t="s">
        <v>69</v>
      </c>
      <c r="BG665" t="s">
        <v>69</v>
      </c>
      <c r="BH665" t="s">
        <v>69</v>
      </c>
      <c r="BI665">
        <v>573</v>
      </c>
      <c r="BJ665">
        <v>585</v>
      </c>
      <c r="BK665" t="s">
        <v>69</v>
      </c>
      <c r="BL665" t="s">
        <v>5768</v>
      </c>
      <c r="BM665" t="str">
        <f>HYPERLINK("http://dx.doi.org/10.1505/146554814814095320","http://dx.doi.org/10.1505/146554814814095320")</f>
        <v>http://dx.doi.org/10.1505/146554814814095320</v>
      </c>
      <c r="BN665" t="s">
        <v>69</v>
      </c>
      <c r="BO665" t="s">
        <v>69</v>
      </c>
      <c r="BP665">
        <v>13</v>
      </c>
      <c r="BQ665" t="s">
        <v>8453</v>
      </c>
      <c r="BR665" t="s">
        <v>8523</v>
      </c>
      <c r="BS665" t="s">
        <v>8453</v>
      </c>
      <c r="BT665" t="s">
        <v>24010</v>
      </c>
      <c r="BU665" t="s">
        <v>5769</v>
      </c>
      <c r="BV665" t="s">
        <v>69</v>
      </c>
      <c r="BW665" t="s">
        <v>69</v>
      </c>
      <c r="BX665" t="s">
        <v>69</v>
      </c>
      <c r="BY665" t="s">
        <v>69</v>
      </c>
      <c r="BZ665" t="s">
        <v>8526</v>
      </c>
      <c r="CA665" t="str">
        <f>HYPERLINK("https%3A%2F%2Fwww.webofscience.com%2Fwos%2Fwoscc%2Ffull-record%2FWOS:000346628300006","View Full Record in Web of Science")</f>
        <v>View Full Record in Web of Science</v>
      </c>
    </row>
    <row r="666" spans="2:79" ht="12.5" x14ac:dyDescent="0.25">
      <c r="B666" t="s">
        <v>8495</v>
      </c>
      <c r="D666" s="22" t="s">
        <v>32931</v>
      </c>
      <c r="E666" s="7"/>
      <c r="F666" s="7"/>
      <c r="G666" s="7"/>
      <c r="H666" t="s">
        <v>67</v>
      </c>
      <c r="I666" t="s">
        <v>29675</v>
      </c>
      <c r="J666" t="s">
        <v>69</v>
      </c>
      <c r="K666" t="s">
        <v>69</v>
      </c>
      <c r="L666" t="s">
        <v>69</v>
      </c>
      <c r="M666" t="s">
        <v>29676</v>
      </c>
      <c r="N666" t="s">
        <v>69</v>
      </c>
      <c r="O666" t="s">
        <v>69</v>
      </c>
      <c r="P666" t="s">
        <v>29677</v>
      </c>
      <c r="Q666" t="s">
        <v>7713</v>
      </c>
      <c r="R666" t="s">
        <v>69</v>
      </c>
      <c r="S666" t="s">
        <v>69</v>
      </c>
      <c r="T666" t="s">
        <v>8505</v>
      </c>
      <c r="U666" t="s">
        <v>8506</v>
      </c>
      <c r="V666" t="s">
        <v>69</v>
      </c>
      <c r="W666" t="s">
        <v>69</v>
      </c>
      <c r="X666" t="s">
        <v>69</v>
      </c>
      <c r="Y666" t="s">
        <v>69</v>
      </c>
      <c r="Z666" t="s">
        <v>69</v>
      </c>
      <c r="AA666" t="s">
        <v>29678</v>
      </c>
      <c r="AB666" t="s">
        <v>29679</v>
      </c>
      <c r="AC666" t="s">
        <v>29680</v>
      </c>
      <c r="AD666" t="s">
        <v>29681</v>
      </c>
      <c r="AE666" t="s">
        <v>69</v>
      </c>
      <c r="AF666" t="s">
        <v>29682</v>
      </c>
      <c r="AG666" t="s">
        <v>29683</v>
      </c>
      <c r="AH666" t="s">
        <v>69</v>
      </c>
      <c r="AI666" t="s">
        <v>69</v>
      </c>
      <c r="AJ666" t="s">
        <v>69</v>
      </c>
      <c r="AK666" t="s">
        <v>69</v>
      </c>
      <c r="AL666" t="s">
        <v>69</v>
      </c>
      <c r="AM666" t="s">
        <v>69</v>
      </c>
      <c r="AN666">
        <v>53</v>
      </c>
      <c r="AO666">
        <v>106</v>
      </c>
      <c r="AP666">
        <v>107</v>
      </c>
      <c r="AQ666">
        <v>0</v>
      </c>
      <c r="AR666">
        <v>37</v>
      </c>
      <c r="AS666" t="s">
        <v>9047</v>
      </c>
      <c r="AT666" t="s">
        <v>9048</v>
      </c>
      <c r="AU666" t="s">
        <v>9049</v>
      </c>
      <c r="AV666" t="s">
        <v>7715</v>
      </c>
      <c r="AW666" t="s">
        <v>9224</v>
      </c>
      <c r="AX666" t="s">
        <v>69</v>
      </c>
      <c r="AY666" t="s">
        <v>9225</v>
      </c>
      <c r="AZ666" t="s">
        <v>9226</v>
      </c>
      <c r="BA666" t="s">
        <v>84</v>
      </c>
      <c r="BB666">
        <v>2007</v>
      </c>
      <c r="BC666">
        <v>21</v>
      </c>
      <c r="BD666">
        <v>7</v>
      </c>
      <c r="BE666" t="s">
        <v>69</v>
      </c>
      <c r="BF666" t="s">
        <v>69</v>
      </c>
      <c r="BG666" t="s">
        <v>69</v>
      </c>
      <c r="BH666" t="s">
        <v>69</v>
      </c>
      <c r="BI666">
        <v>1049</v>
      </c>
      <c r="BJ666">
        <v>1074</v>
      </c>
      <c r="BK666" t="s">
        <v>69</v>
      </c>
      <c r="BL666" t="s">
        <v>29684</v>
      </c>
      <c r="BM666" t="str">
        <f>HYPERLINK("http://dx.doi.org/10.1007/s11269-006-9098-z","http://dx.doi.org/10.1007/s11269-006-9098-z")</f>
        <v>http://dx.doi.org/10.1007/s11269-006-9098-z</v>
      </c>
      <c r="BN666" t="s">
        <v>69</v>
      </c>
      <c r="BO666" t="s">
        <v>69</v>
      </c>
      <c r="BP666">
        <v>26</v>
      </c>
      <c r="BQ666" t="s">
        <v>9229</v>
      </c>
      <c r="BR666" t="s">
        <v>8523</v>
      </c>
      <c r="BS666" t="s">
        <v>9230</v>
      </c>
      <c r="BT666" t="s">
        <v>29685</v>
      </c>
      <c r="BU666" t="s">
        <v>29686</v>
      </c>
      <c r="BV666" t="s">
        <v>69</v>
      </c>
      <c r="BW666" t="s">
        <v>69</v>
      </c>
      <c r="BX666" t="s">
        <v>69</v>
      </c>
      <c r="BY666" t="s">
        <v>69</v>
      </c>
      <c r="BZ666" t="s">
        <v>8526</v>
      </c>
      <c r="CA666" t="str">
        <f>HYPERLINK("https%3A%2F%2Fwww.webofscience.com%2Fwos%2Fwoscc%2Ffull-record%2FWOS:000247312200002","View Full Record in Web of Science")</f>
        <v>View Full Record in Web of Science</v>
      </c>
    </row>
    <row r="667" spans="2:79" ht="12.5" x14ac:dyDescent="0.25">
      <c r="B667" t="s">
        <v>8495</v>
      </c>
      <c r="D667" s="22" t="s">
        <v>32931</v>
      </c>
      <c r="E667" s="7"/>
      <c r="F667" s="7"/>
      <c r="G667" s="7"/>
      <c r="H667" t="s">
        <v>67</v>
      </c>
      <c r="I667" t="s">
        <v>21668</v>
      </c>
      <c r="J667" t="s">
        <v>69</v>
      </c>
      <c r="K667" t="s">
        <v>69</v>
      </c>
      <c r="L667" t="s">
        <v>69</v>
      </c>
      <c r="M667" t="s">
        <v>21669</v>
      </c>
      <c r="N667" t="s">
        <v>69</v>
      </c>
      <c r="O667" t="s">
        <v>69</v>
      </c>
      <c r="P667" t="s">
        <v>21670</v>
      </c>
      <c r="Q667" t="s">
        <v>21671</v>
      </c>
      <c r="R667" t="s">
        <v>69</v>
      </c>
      <c r="S667" t="s">
        <v>69</v>
      </c>
      <c r="T667" t="s">
        <v>8505</v>
      </c>
      <c r="U667" t="s">
        <v>8506</v>
      </c>
      <c r="V667" t="s">
        <v>69</v>
      </c>
      <c r="W667" t="s">
        <v>69</v>
      </c>
      <c r="X667" t="s">
        <v>69</v>
      </c>
      <c r="Y667" t="s">
        <v>69</v>
      </c>
      <c r="Z667" t="s">
        <v>69</v>
      </c>
      <c r="AA667" t="s">
        <v>69</v>
      </c>
      <c r="AB667" t="s">
        <v>21672</v>
      </c>
      <c r="AC667" t="s">
        <v>21673</v>
      </c>
      <c r="AD667" t="s">
        <v>21674</v>
      </c>
      <c r="AE667" t="s">
        <v>69</v>
      </c>
      <c r="AF667" t="s">
        <v>21675</v>
      </c>
      <c r="AG667" t="s">
        <v>21676</v>
      </c>
      <c r="AH667" t="s">
        <v>69</v>
      </c>
      <c r="AI667" t="s">
        <v>69</v>
      </c>
      <c r="AJ667" t="s">
        <v>21677</v>
      </c>
      <c r="AK667" t="s">
        <v>21678</v>
      </c>
      <c r="AL667" t="s">
        <v>21679</v>
      </c>
      <c r="AM667" t="s">
        <v>69</v>
      </c>
      <c r="AN667">
        <v>20</v>
      </c>
      <c r="AO667">
        <v>1</v>
      </c>
      <c r="AP667">
        <v>1</v>
      </c>
      <c r="AQ667">
        <v>1</v>
      </c>
      <c r="AR667">
        <v>5</v>
      </c>
      <c r="AS667" t="s">
        <v>21680</v>
      </c>
      <c r="AT667" t="s">
        <v>18731</v>
      </c>
      <c r="AU667" t="s">
        <v>21681</v>
      </c>
      <c r="AV667" t="s">
        <v>21682</v>
      </c>
      <c r="AW667" t="s">
        <v>69</v>
      </c>
      <c r="AX667" t="s">
        <v>69</v>
      </c>
      <c r="AY667" t="s">
        <v>21683</v>
      </c>
      <c r="AZ667" t="s">
        <v>21684</v>
      </c>
      <c r="BA667" t="s">
        <v>586</v>
      </c>
      <c r="BB667">
        <v>2016</v>
      </c>
      <c r="BC667">
        <v>8</v>
      </c>
      <c r="BD667">
        <v>1</v>
      </c>
      <c r="BE667" t="s">
        <v>69</v>
      </c>
      <c r="BF667" t="s">
        <v>69</v>
      </c>
      <c r="BG667" t="s">
        <v>69</v>
      </c>
      <c r="BH667" t="s">
        <v>69</v>
      </c>
      <c r="BI667">
        <v>99</v>
      </c>
      <c r="BJ667">
        <v>103</v>
      </c>
      <c r="BK667" t="s">
        <v>69</v>
      </c>
      <c r="BL667" t="s">
        <v>21685</v>
      </c>
      <c r="BM667" t="str">
        <f>HYPERLINK("http://dx.doi.org/10.7196/AJHPE.2016.v8i1.748","http://dx.doi.org/10.7196/AJHPE.2016.v8i1.748")</f>
        <v>http://dx.doi.org/10.7196/AJHPE.2016.v8i1.748</v>
      </c>
      <c r="BN667" t="s">
        <v>69</v>
      </c>
      <c r="BO667" t="s">
        <v>69</v>
      </c>
      <c r="BP667">
        <v>5</v>
      </c>
      <c r="BQ667" t="s">
        <v>9209</v>
      </c>
      <c r="BR667" t="s">
        <v>8573</v>
      </c>
      <c r="BS667" t="s">
        <v>9209</v>
      </c>
      <c r="BT667" t="s">
        <v>21686</v>
      </c>
      <c r="BU667" t="s">
        <v>21687</v>
      </c>
      <c r="BV667" t="s">
        <v>69</v>
      </c>
      <c r="BW667" t="s">
        <v>8931</v>
      </c>
      <c r="BX667" t="s">
        <v>69</v>
      </c>
      <c r="BY667" t="s">
        <v>69</v>
      </c>
      <c r="BZ667" t="s">
        <v>8526</v>
      </c>
      <c r="CA667" t="str">
        <f>HYPERLINK("https%3A%2F%2Fwww.webofscience.com%2Fwos%2Fwoscc%2Ffull-record%2FWOS:000379316000025","View Full Record in Web of Science")</f>
        <v>View Full Record in Web of Science</v>
      </c>
    </row>
    <row r="668" spans="2:79" ht="12.5" x14ac:dyDescent="0.25">
      <c r="B668" t="s">
        <v>8495</v>
      </c>
      <c r="D668" s="22" t="s">
        <v>32931</v>
      </c>
      <c r="E668" s="7"/>
      <c r="F668" s="7"/>
      <c r="G668" s="7"/>
      <c r="H668" t="s">
        <v>67</v>
      </c>
      <c r="I668" t="s">
        <v>25603</v>
      </c>
      <c r="J668" t="s">
        <v>69</v>
      </c>
      <c r="K668" t="s">
        <v>69</v>
      </c>
      <c r="L668" t="s">
        <v>69</v>
      </c>
      <c r="M668" t="s">
        <v>25604</v>
      </c>
      <c r="N668" t="s">
        <v>69</v>
      </c>
      <c r="O668" t="s">
        <v>69</v>
      </c>
      <c r="P668" t="s">
        <v>25605</v>
      </c>
      <c r="Q668" t="s">
        <v>25606</v>
      </c>
      <c r="R668" t="s">
        <v>69</v>
      </c>
      <c r="S668" t="s">
        <v>69</v>
      </c>
      <c r="T668" t="s">
        <v>8505</v>
      </c>
      <c r="U668" t="s">
        <v>8506</v>
      </c>
      <c r="V668" t="s">
        <v>69</v>
      </c>
      <c r="W668" t="s">
        <v>69</v>
      </c>
      <c r="X668" t="s">
        <v>69</v>
      </c>
      <c r="Y668" t="s">
        <v>69</v>
      </c>
      <c r="Z668" t="s">
        <v>69</v>
      </c>
      <c r="AA668" t="s">
        <v>25607</v>
      </c>
      <c r="AB668" t="s">
        <v>25608</v>
      </c>
      <c r="AC668" t="s">
        <v>25609</v>
      </c>
      <c r="AD668" t="s">
        <v>25610</v>
      </c>
      <c r="AE668" t="s">
        <v>69</v>
      </c>
      <c r="AF668" t="s">
        <v>25611</v>
      </c>
      <c r="AG668" t="s">
        <v>25612</v>
      </c>
      <c r="AH668" t="s">
        <v>69</v>
      </c>
      <c r="AI668" t="s">
        <v>69</v>
      </c>
      <c r="AJ668" t="s">
        <v>69</v>
      </c>
      <c r="AK668" t="s">
        <v>69</v>
      </c>
      <c r="AL668" t="s">
        <v>69</v>
      </c>
      <c r="AM668" t="s">
        <v>69</v>
      </c>
      <c r="AN668">
        <v>77</v>
      </c>
      <c r="AO668">
        <v>33</v>
      </c>
      <c r="AP668">
        <v>33</v>
      </c>
      <c r="AQ668">
        <v>3</v>
      </c>
      <c r="AR668">
        <v>48</v>
      </c>
      <c r="AS668" t="s">
        <v>25613</v>
      </c>
      <c r="AT668" t="s">
        <v>25614</v>
      </c>
      <c r="AU668" t="s">
        <v>25615</v>
      </c>
      <c r="AV668" t="s">
        <v>25616</v>
      </c>
      <c r="AW668" t="s">
        <v>25617</v>
      </c>
      <c r="AX668" t="s">
        <v>69</v>
      </c>
      <c r="AY668" t="s">
        <v>25618</v>
      </c>
      <c r="AZ668" t="s">
        <v>25619</v>
      </c>
      <c r="BA668" t="s">
        <v>1710</v>
      </c>
      <c r="BB668">
        <v>2012</v>
      </c>
      <c r="BC668">
        <v>19</v>
      </c>
      <c r="BD668">
        <v>2</v>
      </c>
      <c r="BE668" t="s">
        <v>69</v>
      </c>
      <c r="BF668" t="s">
        <v>69</v>
      </c>
      <c r="BG668" t="s">
        <v>69</v>
      </c>
      <c r="BH668" t="s">
        <v>69</v>
      </c>
      <c r="BI668">
        <v>110</v>
      </c>
      <c r="BJ668">
        <v>124</v>
      </c>
      <c r="BK668" t="s">
        <v>69</v>
      </c>
      <c r="BL668" t="s">
        <v>69</v>
      </c>
      <c r="BM668" t="s">
        <v>69</v>
      </c>
      <c r="BN668" t="s">
        <v>69</v>
      </c>
      <c r="BO668" t="s">
        <v>69</v>
      </c>
      <c r="BP668">
        <v>15</v>
      </c>
      <c r="BQ668" t="s">
        <v>25620</v>
      </c>
      <c r="BR668" t="s">
        <v>8661</v>
      </c>
      <c r="BS668" t="s">
        <v>25621</v>
      </c>
      <c r="BT668" t="s">
        <v>25622</v>
      </c>
      <c r="BU668" t="s">
        <v>25623</v>
      </c>
      <c r="BV668" t="s">
        <v>69</v>
      </c>
      <c r="BW668" t="s">
        <v>69</v>
      </c>
      <c r="BX668" t="s">
        <v>69</v>
      </c>
      <c r="BY668" t="s">
        <v>69</v>
      </c>
      <c r="BZ668" t="s">
        <v>8526</v>
      </c>
      <c r="CA668" t="str">
        <f>HYPERLINK("https%3A%2F%2Fwww.webofscience.com%2Fwos%2Fwoscc%2Ffull-record%2FWOS:000315541700003","View Full Record in Web of Science")</f>
        <v>View Full Record in Web of Science</v>
      </c>
    </row>
    <row r="669" spans="2:79" ht="12.5" x14ac:dyDescent="0.25">
      <c r="B669" t="s">
        <v>8495</v>
      </c>
      <c r="D669" s="22" t="s">
        <v>32931</v>
      </c>
      <c r="E669" s="7"/>
      <c r="F669" s="7"/>
      <c r="G669" s="7"/>
      <c r="H669" t="s">
        <v>67</v>
      </c>
      <c r="I669" t="s">
        <v>19097</v>
      </c>
      <c r="J669" t="s">
        <v>69</v>
      </c>
      <c r="K669" t="s">
        <v>69</v>
      </c>
      <c r="L669" t="s">
        <v>69</v>
      </c>
      <c r="M669" t="s">
        <v>19098</v>
      </c>
      <c r="N669" t="s">
        <v>69</v>
      </c>
      <c r="O669" t="s">
        <v>69</v>
      </c>
      <c r="P669" t="s">
        <v>19099</v>
      </c>
      <c r="Q669" t="s">
        <v>1522</v>
      </c>
      <c r="R669" t="s">
        <v>69</v>
      </c>
      <c r="S669" t="s">
        <v>69</v>
      </c>
      <c r="T669" t="s">
        <v>8505</v>
      </c>
      <c r="U669" t="s">
        <v>8506</v>
      </c>
      <c r="V669" t="s">
        <v>69</v>
      </c>
      <c r="W669" t="s">
        <v>69</v>
      </c>
      <c r="X669" t="s">
        <v>69</v>
      </c>
      <c r="Y669" t="s">
        <v>69</v>
      </c>
      <c r="Z669" t="s">
        <v>69</v>
      </c>
      <c r="AA669" t="s">
        <v>19100</v>
      </c>
      <c r="AB669" t="s">
        <v>19101</v>
      </c>
      <c r="AC669" t="s">
        <v>19102</v>
      </c>
      <c r="AD669" t="s">
        <v>19103</v>
      </c>
      <c r="AE669" t="s">
        <v>69</v>
      </c>
      <c r="AF669" t="s">
        <v>19104</v>
      </c>
      <c r="AG669" t="s">
        <v>19105</v>
      </c>
      <c r="AH669" t="s">
        <v>69</v>
      </c>
      <c r="AI669" t="s">
        <v>69</v>
      </c>
      <c r="AJ669" t="s">
        <v>69</v>
      </c>
      <c r="AK669" t="s">
        <v>69</v>
      </c>
      <c r="AL669" t="s">
        <v>69</v>
      </c>
      <c r="AM669" t="s">
        <v>69</v>
      </c>
      <c r="AN669">
        <v>58</v>
      </c>
      <c r="AO669">
        <v>17</v>
      </c>
      <c r="AP669">
        <v>17</v>
      </c>
      <c r="AQ669">
        <v>0</v>
      </c>
      <c r="AR669">
        <v>16</v>
      </c>
      <c r="AS669" t="s">
        <v>8563</v>
      </c>
      <c r="AT669" t="s">
        <v>8564</v>
      </c>
      <c r="AU669" t="s">
        <v>8565</v>
      </c>
      <c r="AV669" t="s">
        <v>1525</v>
      </c>
      <c r="AW669" t="s">
        <v>1526</v>
      </c>
      <c r="AX669" t="s">
        <v>69</v>
      </c>
      <c r="AY669" t="s">
        <v>14032</v>
      </c>
      <c r="AZ669" t="s">
        <v>14033</v>
      </c>
      <c r="BA669" t="s">
        <v>94</v>
      </c>
      <c r="BB669">
        <v>2018</v>
      </c>
      <c r="BC669">
        <v>23</v>
      </c>
      <c r="BD669">
        <v>3</v>
      </c>
      <c r="BE669" t="s">
        <v>69</v>
      </c>
      <c r="BF669" t="s">
        <v>69</v>
      </c>
      <c r="BG669" t="s">
        <v>69</v>
      </c>
      <c r="BH669" t="s">
        <v>69</v>
      </c>
      <c r="BI669">
        <v>492</v>
      </c>
      <c r="BJ669">
        <v>506</v>
      </c>
      <c r="BK669" t="s">
        <v>69</v>
      </c>
      <c r="BL669" t="s">
        <v>19106</v>
      </c>
      <c r="BM669" t="str">
        <f>HYPERLINK("http://dx.doi.org/10.1007/s11367-016-1226-2","http://dx.doi.org/10.1007/s11367-016-1226-2")</f>
        <v>http://dx.doi.org/10.1007/s11367-016-1226-2</v>
      </c>
      <c r="BN669" t="s">
        <v>69</v>
      </c>
      <c r="BO669" t="s">
        <v>69</v>
      </c>
      <c r="BP669">
        <v>15</v>
      </c>
      <c r="BQ669" t="s">
        <v>8743</v>
      </c>
      <c r="BR669" t="s">
        <v>8523</v>
      </c>
      <c r="BS669" t="s">
        <v>8744</v>
      </c>
      <c r="BT669" t="s">
        <v>19107</v>
      </c>
      <c r="BU669" t="s">
        <v>19108</v>
      </c>
      <c r="BV669" t="s">
        <v>69</v>
      </c>
      <c r="BW669" t="s">
        <v>10995</v>
      </c>
      <c r="BX669" t="s">
        <v>69</v>
      </c>
      <c r="BY669" t="s">
        <v>69</v>
      </c>
      <c r="BZ669" t="s">
        <v>8526</v>
      </c>
      <c r="CA669" t="str">
        <f>HYPERLINK("https%3A%2F%2Fwww.webofscience.com%2Fwos%2Fwoscc%2Ffull-record%2FWOS:000424920100010","View Full Record in Web of Science")</f>
        <v>View Full Record in Web of Science</v>
      </c>
    </row>
    <row r="670" spans="2:79" x14ac:dyDescent="0.3">
      <c r="B670" t="s">
        <v>8495</v>
      </c>
      <c r="D670" s="13" t="s">
        <v>32985</v>
      </c>
      <c r="H670" t="s">
        <v>67</v>
      </c>
      <c r="I670" t="s">
        <v>367</v>
      </c>
      <c r="J670" t="s">
        <v>69</v>
      </c>
      <c r="K670" t="s">
        <v>69</v>
      </c>
      <c r="L670" t="s">
        <v>69</v>
      </c>
      <c r="M670" t="s">
        <v>368</v>
      </c>
      <c r="N670" t="s">
        <v>69</v>
      </c>
      <c r="O670" t="s">
        <v>69</v>
      </c>
      <c r="P670" s="2" t="s">
        <v>369</v>
      </c>
      <c r="Q670" t="s">
        <v>370</v>
      </c>
      <c r="R670" t="s">
        <v>69</v>
      </c>
      <c r="S670" t="s">
        <v>69</v>
      </c>
      <c r="T670" t="s">
        <v>8505</v>
      </c>
      <c r="U670" t="s">
        <v>8506</v>
      </c>
      <c r="V670" t="s">
        <v>69</v>
      </c>
      <c r="W670" t="s">
        <v>69</v>
      </c>
      <c r="X670" t="s">
        <v>69</v>
      </c>
      <c r="Y670" t="s">
        <v>69</v>
      </c>
      <c r="Z670" t="s">
        <v>69</v>
      </c>
      <c r="AA670" t="s">
        <v>17941</v>
      </c>
      <c r="AB670" t="s">
        <v>17942</v>
      </c>
      <c r="AC670" t="s">
        <v>371</v>
      </c>
      <c r="AD670" t="s">
        <v>17943</v>
      </c>
      <c r="AE670" t="s">
        <v>69</v>
      </c>
      <c r="AF670" t="s">
        <v>17944</v>
      </c>
      <c r="AG670" t="s">
        <v>17945</v>
      </c>
      <c r="AH670" t="s">
        <v>17946</v>
      </c>
      <c r="AI670" t="s">
        <v>17947</v>
      </c>
      <c r="AJ670" t="s">
        <v>17948</v>
      </c>
      <c r="AK670" t="s">
        <v>17949</v>
      </c>
      <c r="AL670" t="s">
        <v>17950</v>
      </c>
      <c r="AM670" t="s">
        <v>69</v>
      </c>
      <c r="AN670">
        <v>64</v>
      </c>
      <c r="AO670">
        <v>64</v>
      </c>
      <c r="AP670">
        <v>65</v>
      </c>
      <c r="AQ670">
        <v>21</v>
      </c>
      <c r="AR670">
        <v>109</v>
      </c>
      <c r="AS670" t="s">
        <v>9145</v>
      </c>
      <c r="AT670" t="s">
        <v>8637</v>
      </c>
      <c r="AU670" t="s">
        <v>9146</v>
      </c>
      <c r="AV670" t="s">
        <v>372</v>
      </c>
      <c r="AW670" t="s">
        <v>69</v>
      </c>
      <c r="AX670" t="s">
        <v>69</v>
      </c>
      <c r="AY670" t="s">
        <v>17951</v>
      </c>
      <c r="AZ670" t="s">
        <v>17952</v>
      </c>
      <c r="BA670" t="s">
        <v>373</v>
      </c>
      <c r="BB670">
        <v>2019</v>
      </c>
      <c r="BC670">
        <v>83</v>
      </c>
      <c r="BD670" t="s">
        <v>69</v>
      </c>
      <c r="BE670" t="s">
        <v>69</v>
      </c>
      <c r="BF670" t="s">
        <v>69</v>
      </c>
      <c r="BG670" t="s">
        <v>69</v>
      </c>
      <c r="BH670" t="s">
        <v>69</v>
      </c>
      <c r="BI670">
        <v>161</v>
      </c>
      <c r="BJ670">
        <v>170</v>
      </c>
      <c r="BK670" t="s">
        <v>69</v>
      </c>
      <c r="BL670" t="s">
        <v>374</v>
      </c>
      <c r="BM670" t="str">
        <f>HYPERLINK("http://dx.doi.org/10.1016/j.wasman.2018.11.016","http://dx.doi.org/10.1016/j.wasman.2018.11.016")</f>
        <v>http://dx.doi.org/10.1016/j.wasman.2018.11.016</v>
      </c>
      <c r="BN670" t="s">
        <v>69</v>
      </c>
      <c r="BO670" t="s">
        <v>69</v>
      </c>
      <c r="BP670">
        <v>10</v>
      </c>
      <c r="BQ670" t="s">
        <v>8743</v>
      </c>
      <c r="BR670" t="s">
        <v>8523</v>
      </c>
      <c r="BS670" t="s">
        <v>8744</v>
      </c>
      <c r="BT670" t="s">
        <v>17953</v>
      </c>
      <c r="BU670" t="s">
        <v>375</v>
      </c>
      <c r="BV670">
        <v>30514463</v>
      </c>
      <c r="BW670" t="s">
        <v>69</v>
      </c>
      <c r="BX670" t="s">
        <v>69</v>
      </c>
      <c r="BY670" t="s">
        <v>69</v>
      </c>
      <c r="BZ670" t="s">
        <v>8526</v>
      </c>
      <c r="CA670" t="str">
        <f>HYPERLINK("https%3A%2F%2Fwww.webofscience.com%2Fwos%2Fwoscc%2Ffull-record%2FWOS:000454371400018","View Full Record in Web of Science")</f>
        <v>View Full Record in Web of Science</v>
      </c>
    </row>
    <row r="671" spans="2:79" x14ac:dyDescent="0.3">
      <c r="B671" t="s">
        <v>8495</v>
      </c>
      <c r="D671" s="9" t="s">
        <v>32973</v>
      </c>
      <c r="E671" s="10" t="s">
        <v>33066</v>
      </c>
      <c r="F671" s="10" t="s">
        <v>8490</v>
      </c>
      <c r="G671" s="9" t="s">
        <v>8490</v>
      </c>
      <c r="H671" t="s">
        <v>67</v>
      </c>
      <c r="I671" t="s">
        <v>22595</v>
      </c>
      <c r="J671" t="s">
        <v>69</v>
      </c>
      <c r="K671" t="s">
        <v>69</v>
      </c>
      <c r="L671" t="s">
        <v>69</v>
      </c>
      <c r="M671" t="s">
        <v>22596</v>
      </c>
      <c r="N671" t="s">
        <v>69</v>
      </c>
      <c r="O671" t="s">
        <v>69</v>
      </c>
      <c r="P671" t="s">
        <v>22597</v>
      </c>
      <c r="Q671" t="s">
        <v>22598</v>
      </c>
      <c r="R671" t="s">
        <v>69</v>
      </c>
      <c r="S671" t="s">
        <v>69</v>
      </c>
      <c r="T671" t="s">
        <v>8505</v>
      </c>
      <c r="U671" t="s">
        <v>8506</v>
      </c>
      <c r="V671" t="s">
        <v>69</v>
      </c>
      <c r="W671" t="s">
        <v>69</v>
      </c>
      <c r="X671" t="s">
        <v>69</v>
      </c>
      <c r="Y671" t="s">
        <v>69</v>
      </c>
      <c r="Z671" t="s">
        <v>69</v>
      </c>
      <c r="AA671" t="s">
        <v>22599</v>
      </c>
      <c r="AB671" t="s">
        <v>22600</v>
      </c>
      <c r="AC671" t="s">
        <v>22601</v>
      </c>
      <c r="AD671" t="s">
        <v>22602</v>
      </c>
      <c r="AE671" t="s">
        <v>69</v>
      </c>
      <c r="AF671" t="s">
        <v>22603</v>
      </c>
      <c r="AG671" t="s">
        <v>22604</v>
      </c>
      <c r="AH671" t="s">
        <v>22605</v>
      </c>
      <c r="AI671" t="s">
        <v>22606</v>
      </c>
      <c r="AJ671" t="s">
        <v>22607</v>
      </c>
      <c r="AK671" t="s">
        <v>22608</v>
      </c>
      <c r="AL671" t="s">
        <v>22609</v>
      </c>
      <c r="AM671" t="s">
        <v>69</v>
      </c>
      <c r="AN671">
        <v>43</v>
      </c>
      <c r="AO671">
        <v>29</v>
      </c>
      <c r="AP671">
        <v>29</v>
      </c>
      <c r="AQ671">
        <v>1</v>
      </c>
      <c r="AR671">
        <v>31</v>
      </c>
      <c r="AS671" t="s">
        <v>8846</v>
      </c>
      <c r="AT671" t="s">
        <v>8847</v>
      </c>
      <c r="AU671" t="s">
        <v>8848</v>
      </c>
      <c r="AV671" t="s">
        <v>22610</v>
      </c>
      <c r="AW671" t="s">
        <v>22611</v>
      </c>
      <c r="AX671" t="s">
        <v>69</v>
      </c>
      <c r="AY671" t="s">
        <v>22612</v>
      </c>
      <c r="AZ671" t="s">
        <v>22613</v>
      </c>
      <c r="BA671" t="s">
        <v>84</v>
      </c>
      <c r="BB671">
        <v>2015</v>
      </c>
      <c r="BC671">
        <v>40</v>
      </c>
      <c r="BD671">
        <v>3</v>
      </c>
      <c r="BE671" t="s">
        <v>69</v>
      </c>
      <c r="BF671" t="s">
        <v>69</v>
      </c>
      <c r="BG671" t="s">
        <v>69</v>
      </c>
      <c r="BH671" t="s">
        <v>69</v>
      </c>
      <c r="BI671">
        <v>375</v>
      </c>
      <c r="BJ671">
        <v>386</v>
      </c>
      <c r="BK671" t="s">
        <v>69</v>
      </c>
      <c r="BL671" t="s">
        <v>22614</v>
      </c>
      <c r="BM671" t="str">
        <f>HYPERLINK("http://dx.doi.org/10.1111/tran.12082","http://dx.doi.org/10.1111/tran.12082")</f>
        <v>http://dx.doi.org/10.1111/tran.12082</v>
      </c>
      <c r="BN671" t="s">
        <v>69</v>
      </c>
      <c r="BO671" t="s">
        <v>69</v>
      </c>
      <c r="BP671">
        <v>12</v>
      </c>
      <c r="BQ671" t="s">
        <v>8446</v>
      </c>
      <c r="BR671" t="s">
        <v>8661</v>
      </c>
      <c r="BS671" t="s">
        <v>8446</v>
      </c>
      <c r="BT671" t="s">
        <v>22615</v>
      </c>
      <c r="BU671" t="s">
        <v>22616</v>
      </c>
      <c r="BV671" t="s">
        <v>69</v>
      </c>
      <c r="BW671" t="s">
        <v>10363</v>
      </c>
      <c r="BX671" t="s">
        <v>69</v>
      </c>
      <c r="BY671" t="s">
        <v>69</v>
      </c>
      <c r="BZ671" t="s">
        <v>8526</v>
      </c>
      <c r="CA671" t="str">
        <f>HYPERLINK("https%3A%2F%2Fwww.webofscience.com%2Fwos%2Fwoscc%2Ffull-record%2FWOS:000356880700006","View Full Record in Web of Science")</f>
        <v>View Full Record in Web of Science</v>
      </c>
    </row>
    <row r="672" spans="2:79" ht="12.5" x14ac:dyDescent="0.25">
      <c r="B672" t="s">
        <v>8495</v>
      </c>
      <c r="D672" s="22" t="s">
        <v>32931</v>
      </c>
      <c r="E672" s="7"/>
      <c r="F672" s="7"/>
      <c r="G672" s="7"/>
      <c r="H672" t="s">
        <v>67</v>
      </c>
      <c r="I672" t="s">
        <v>23237</v>
      </c>
      <c r="J672" t="s">
        <v>69</v>
      </c>
      <c r="K672" t="s">
        <v>69</v>
      </c>
      <c r="L672" t="s">
        <v>69</v>
      </c>
      <c r="M672" t="s">
        <v>23238</v>
      </c>
      <c r="N672" t="s">
        <v>69</v>
      </c>
      <c r="O672" t="s">
        <v>69</v>
      </c>
      <c r="P672" t="s">
        <v>23239</v>
      </c>
      <c r="Q672" t="s">
        <v>23221</v>
      </c>
      <c r="R672" t="s">
        <v>69</v>
      </c>
      <c r="S672" t="s">
        <v>69</v>
      </c>
      <c r="T672" t="s">
        <v>8505</v>
      </c>
      <c r="U672" t="s">
        <v>8506</v>
      </c>
      <c r="V672" t="s">
        <v>69</v>
      </c>
      <c r="W672" t="s">
        <v>69</v>
      </c>
      <c r="X672" t="s">
        <v>69</v>
      </c>
      <c r="Y672" t="s">
        <v>69</v>
      </c>
      <c r="Z672" t="s">
        <v>69</v>
      </c>
      <c r="AA672" t="s">
        <v>23240</v>
      </c>
      <c r="AB672" t="s">
        <v>10571</v>
      </c>
      <c r="AC672" t="s">
        <v>23241</v>
      </c>
      <c r="AD672" t="s">
        <v>23242</v>
      </c>
      <c r="AE672" t="s">
        <v>69</v>
      </c>
      <c r="AF672" t="s">
        <v>23243</v>
      </c>
      <c r="AG672" t="s">
        <v>23244</v>
      </c>
      <c r="AH672" t="s">
        <v>23245</v>
      </c>
      <c r="AI672" t="s">
        <v>23246</v>
      </c>
      <c r="AJ672" t="s">
        <v>23247</v>
      </c>
      <c r="AK672" t="s">
        <v>23248</v>
      </c>
      <c r="AL672" t="s">
        <v>23249</v>
      </c>
      <c r="AM672" t="s">
        <v>69</v>
      </c>
      <c r="AN672">
        <v>45</v>
      </c>
      <c r="AO672">
        <v>7</v>
      </c>
      <c r="AP672">
        <v>7</v>
      </c>
      <c r="AQ672">
        <v>1</v>
      </c>
      <c r="AR672">
        <v>6</v>
      </c>
      <c r="AS672" t="s">
        <v>8865</v>
      </c>
      <c r="AT672" t="s">
        <v>8612</v>
      </c>
      <c r="AU672" t="s">
        <v>8866</v>
      </c>
      <c r="AV672" t="s">
        <v>23230</v>
      </c>
      <c r="AW672" t="s">
        <v>23231</v>
      </c>
      <c r="AX672" t="s">
        <v>69</v>
      </c>
      <c r="AY672" t="s">
        <v>23232</v>
      </c>
      <c r="AZ672" t="s">
        <v>23233</v>
      </c>
      <c r="BA672" t="s">
        <v>69</v>
      </c>
      <c r="BB672">
        <v>2015</v>
      </c>
      <c r="BC672">
        <v>47</v>
      </c>
      <c r="BD672">
        <v>3</v>
      </c>
      <c r="BE672" t="s">
        <v>69</v>
      </c>
      <c r="BF672" t="s">
        <v>69</v>
      </c>
      <c r="BG672" t="s">
        <v>114</v>
      </c>
      <c r="BH672" t="s">
        <v>69</v>
      </c>
      <c r="BI672">
        <v>272</v>
      </c>
      <c r="BJ672">
        <v>293</v>
      </c>
      <c r="BK672" t="s">
        <v>69</v>
      </c>
      <c r="BL672" t="s">
        <v>23250</v>
      </c>
      <c r="BM672" t="str">
        <f>HYPERLINK("http://dx.doi.org/10.1080/00220620.2015.1038699","http://dx.doi.org/10.1080/00220620.2015.1038699")</f>
        <v>http://dx.doi.org/10.1080/00220620.2015.1038699</v>
      </c>
      <c r="BN672" t="s">
        <v>69</v>
      </c>
      <c r="BO672" t="s">
        <v>69</v>
      </c>
      <c r="BP672">
        <v>22</v>
      </c>
      <c r="BQ672" t="s">
        <v>9290</v>
      </c>
      <c r="BR672" t="s">
        <v>8573</v>
      </c>
      <c r="BS672" t="s">
        <v>9290</v>
      </c>
      <c r="BT672" t="s">
        <v>23235</v>
      </c>
      <c r="BU672" t="s">
        <v>23251</v>
      </c>
      <c r="BV672" t="s">
        <v>69</v>
      </c>
      <c r="BW672" t="s">
        <v>69</v>
      </c>
      <c r="BX672" t="s">
        <v>69</v>
      </c>
      <c r="BY672" t="s">
        <v>69</v>
      </c>
      <c r="BZ672" t="s">
        <v>8526</v>
      </c>
      <c r="CA672" t="str">
        <f>HYPERLINK("https%3A%2F%2Fwww.webofscience.com%2Fwos%2Fwoscc%2Ffull-record%2FWOS:000212003700005","View Full Record in Web of Science")</f>
        <v>View Full Record in Web of Science</v>
      </c>
    </row>
    <row r="673" spans="2:79" ht="12.5" x14ac:dyDescent="0.25">
      <c r="B673" t="s">
        <v>8495</v>
      </c>
      <c r="D673" s="7" t="s">
        <v>32933</v>
      </c>
      <c r="E673" s="7"/>
      <c r="F673" s="7"/>
      <c r="G673" s="7"/>
      <c r="H673" t="s">
        <v>67</v>
      </c>
      <c r="I673" t="s">
        <v>830</v>
      </c>
      <c r="J673" t="s">
        <v>69</v>
      </c>
      <c r="K673" t="s">
        <v>69</v>
      </c>
      <c r="L673" t="s">
        <v>69</v>
      </c>
      <c r="M673" t="s">
        <v>831</v>
      </c>
      <c r="N673" t="s">
        <v>69</v>
      </c>
      <c r="O673" t="s">
        <v>69</v>
      </c>
      <c r="P673" t="s">
        <v>832</v>
      </c>
      <c r="Q673" t="s">
        <v>833</v>
      </c>
      <c r="R673" t="s">
        <v>69</v>
      </c>
      <c r="S673" t="s">
        <v>69</v>
      </c>
      <c r="T673" t="s">
        <v>8505</v>
      </c>
      <c r="U673" t="s">
        <v>8506</v>
      </c>
      <c r="V673" t="s">
        <v>69</v>
      </c>
      <c r="W673" t="s">
        <v>69</v>
      </c>
      <c r="X673" t="s">
        <v>69</v>
      </c>
      <c r="Y673" t="s">
        <v>69</v>
      </c>
      <c r="Z673" t="s">
        <v>69</v>
      </c>
      <c r="AA673" t="s">
        <v>15980</v>
      </c>
      <c r="AB673" t="s">
        <v>15981</v>
      </c>
      <c r="AC673" t="s">
        <v>834</v>
      </c>
      <c r="AD673" t="s">
        <v>15982</v>
      </c>
      <c r="AE673" t="s">
        <v>69</v>
      </c>
      <c r="AF673" t="s">
        <v>15983</v>
      </c>
      <c r="AG673" t="s">
        <v>69</v>
      </c>
      <c r="AH673" t="s">
        <v>69</v>
      </c>
      <c r="AI673" t="s">
        <v>69</v>
      </c>
      <c r="AJ673" t="s">
        <v>69</v>
      </c>
      <c r="AK673" t="s">
        <v>69</v>
      </c>
      <c r="AL673" t="s">
        <v>69</v>
      </c>
      <c r="AM673" t="s">
        <v>69</v>
      </c>
      <c r="AN673">
        <v>58</v>
      </c>
      <c r="AO673">
        <v>2</v>
      </c>
      <c r="AP673">
        <v>2</v>
      </c>
      <c r="AQ673">
        <v>0</v>
      </c>
      <c r="AR673">
        <v>16</v>
      </c>
      <c r="AS673" t="s">
        <v>8865</v>
      </c>
      <c r="AT673" t="s">
        <v>8612</v>
      </c>
      <c r="AU673" t="s">
        <v>8866</v>
      </c>
      <c r="AV673" t="s">
        <v>835</v>
      </c>
      <c r="AW673" t="s">
        <v>836</v>
      </c>
      <c r="AX673" t="s">
        <v>69</v>
      </c>
      <c r="AY673" t="s">
        <v>15984</v>
      </c>
      <c r="AZ673" t="s">
        <v>15985</v>
      </c>
      <c r="BA673" t="s">
        <v>837</v>
      </c>
      <c r="BB673">
        <v>2020</v>
      </c>
      <c r="BC673">
        <v>40</v>
      </c>
      <c r="BD673">
        <v>1</v>
      </c>
      <c r="BE673" t="s">
        <v>69</v>
      </c>
      <c r="BF673" t="s">
        <v>69</v>
      </c>
      <c r="BG673" t="s">
        <v>69</v>
      </c>
      <c r="BH673" t="s">
        <v>69</v>
      </c>
      <c r="BI673">
        <v>42</v>
      </c>
      <c r="BJ673">
        <v>51</v>
      </c>
      <c r="BK673" t="s">
        <v>69</v>
      </c>
      <c r="BL673" t="s">
        <v>838</v>
      </c>
      <c r="BM673" t="str">
        <f>HYPERLINK("http://dx.doi.org/10.1080/09540962.2019.1583890","http://dx.doi.org/10.1080/09540962.2019.1583890")</f>
        <v>http://dx.doi.org/10.1080/09540962.2019.1583890</v>
      </c>
      <c r="BN673" t="s">
        <v>69</v>
      </c>
      <c r="BO673" t="s">
        <v>69</v>
      </c>
      <c r="BP673">
        <v>10</v>
      </c>
      <c r="BQ673" t="s">
        <v>12182</v>
      </c>
      <c r="BR673" t="s">
        <v>8661</v>
      </c>
      <c r="BS673" t="s">
        <v>12182</v>
      </c>
      <c r="BT673" t="s">
        <v>15986</v>
      </c>
      <c r="BU673" t="s">
        <v>839</v>
      </c>
      <c r="BV673" t="s">
        <v>69</v>
      </c>
      <c r="BW673" t="s">
        <v>10995</v>
      </c>
      <c r="BX673" t="s">
        <v>69</v>
      </c>
      <c r="BY673" t="s">
        <v>69</v>
      </c>
      <c r="BZ673" t="s">
        <v>8526</v>
      </c>
      <c r="CA673" t="str">
        <f>HYPERLINK("https%3A%2F%2Fwww.webofscience.com%2Fwos%2Fwoscc%2Ffull-record%2FWOS:000499753800009","View Full Record in Web of Science")</f>
        <v>View Full Record in Web of Science</v>
      </c>
    </row>
    <row r="674" spans="2:79" ht="12.5" x14ac:dyDescent="0.25">
      <c r="B674" t="s">
        <v>8495</v>
      </c>
      <c r="D674" s="7" t="s">
        <v>32933</v>
      </c>
      <c r="E674" s="7"/>
      <c r="F674" s="7"/>
      <c r="G674" s="7"/>
      <c r="H674" t="s">
        <v>67</v>
      </c>
      <c r="I674" t="s">
        <v>7594</v>
      </c>
      <c r="J674" t="s">
        <v>69</v>
      </c>
      <c r="K674" t="s">
        <v>69</v>
      </c>
      <c r="L674" t="s">
        <v>69</v>
      </c>
      <c r="M674" t="s">
        <v>8027</v>
      </c>
      <c r="N674" t="s">
        <v>69</v>
      </c>
      <c r="O674" t="s">
        <v>69</v>
      </c>
      <c r="P674" t="s">
        <v>8028</v>
      </c>
      <c r="Q674" t="s">
        <v>8029</v>
      </c>
      <c r="R674" t="s">
        <v>69</v>
      </c>
      <c r="S674" t="s">
        <v>69</v>
      </c>
      <c r="T674" t="s">
        <v>8505</v>
      </c>
      <c r="U674" t="s">
        <v>8506</v>
      </c>
      <c r="V674" t="s">
        <v>69</v>
      </c>
      <c r="W674" t="s">
        <v>69</v>
      </c>
      <c r="X674" t="s">
        <v>69</v>
      </c>
      <c r="Y674" t="s">
        <v>69</v>
      </c>
      <c r="Z674" t="s">
        <v>69</v>
      </c>
      <c r="AA674" t="s">
        <v>21784</v>
      </c>
      <c r="AB674" t="s">
        <v>21785</v>
      </c>
      <c r="AC674" t="s">
        <v>8030</v>
      </c>
      <c r="AD674" t="s">
        <v>21786</v>
      </c>
      <c r="AE674" t="s">
        <v>69</v>
      </c>
      <c r="AF674" t="s">
        <v>21787</v>
      </c>
      <c r="AG674" t="s">
        <v>21788</v>
      </c>
      <c r="AH674" t="s">
        <v>21789</v>
      </c>
      <c r="AI674" t="s">
        <v>7432</v>
      </c>
      <c r="AJ674" t="s">
        <v>21790</v>
      </c>
      <c r="AK674" t="s">
        <v>21791</v>
      </c>
      <c r="AL674" t="s">
        <v>21792</v>
      </c>
      <c r="AM674" t="s">
        <v>69</v>
      </c>
      <c r="AN674">
        <v>40</v>
      </c>
      <c r="AO674">
        <v>21</v>
      </c>
      <c r="AP674">
        <v>21</v>
      </c>
      <c r="AQ674">
        <v>2</v>
      </c>
      <c r="AR674">
        <v>57</v>
      </c>
      <c r="AS674" t="s">
        <v>13769</v>
      </c>
      <c r="AT674" t="s">
        <v>13770</v>
      </c>
      <c r="AU674" t="s">
        <v>13771</v>
      </c>
      <c r="AV674" t="s">
        <v>8031</v>
      </c>
      <c r="AW674" t="s">
        <v>8032</v>
      </c>
      <c r="AX674" t="s">
        <v>69</v>
      </c>
      <c r="AY674" t="s">
        <v>21793</v>
      </c>
      <c r="AZ674" t="s">
        <v>21794</v>
      </c>
      <c r="BA674" t="s">
        <v>8033</v>
      </c>
      <c r="BB674">
        <v>2016</v>
      </c>
      <c r="BC674">
        <v>31</v>
      </c>
      <c r="BD674">
        <v>2</v>
      </c>
      <c r="BE674" t="s">
        <v>69</v>
      </c>
      <c r="BF674" t="s">
        <v>69</v>
      </c>
      <c r="BG674" t="s">
        <v>69</v>
      </c>
      <c r="BH674" t="s">
        <v>69</v>
      </c>
      <c r="BI674">
        <v>148</v>
      </c>
      <c r="BJ674">
        <v>155</v>
      </c>
      <c r="BK674" t="s">
        <v>69</v>
      </c>
      <c r="BL674" t="s">
        <v>8034</v>
      </c>
      <c r="BM674" t="str">
        <f>HYPERLINK("http://dx.doi.org/10.1080/02827581.2015.1113308","http://dx.doi.org/10.1080/02827581.2015.1113308")</f>
        <v>http://dx.doi.org/10.1080/02827581.2015.1113308</v>
      </c>
      <c r="BN674" t="s">
        <v>69</v>
      </c>
      <c r="BO674" t="s">
        <v>69</v>
      </c>
      <c r="BP674">
        <v>8</v>
      </c>
      <c r="BQ674" t="s">
        <v>8453</v>
      </c>
      <c r="BR674" t="s">
        <v>8523</v>
      </c>
      <c r="BS674" t="s">
        <v>8453</v>
      </c>
      <c r="BT674" t="s">
        <v>21795</v>
      </c>
      <c r="BU674" t="s">
        <v>8035</v>
      </c>
      <c r="BV674" t="s">
        <v>69</v>
      </c>
      <c r="BW674" t="s">
        <v>11793</v>
      </c>
      <c r="BX674" t="s">
        <v>69</v>
      </c>
      <c r="BY674" t="s">
        <v>69</v>
      </c>
      <c r="BZ674" t="s">
        <v>8526</v>
      </c>
      <c r="CA674" t="str">
        <f>HYPERLINK("https%3A%2F%2Fwww.webofscience.com%2Fwos%2Fwoscc%2Ffull-record%2FWOS:000368547300003","View Full Record in Web of Science")</f>
        <v>View Full Record in Web of Science</v>
      </c>
    </row>
    <row r="675" spans="2:79" ht="12.5" x14ac:dyDescent="0.25">
      <c r="B675" t="s">
        <v>8495</v>
      </c>
      <c r="D675" s="7" t="s">
        <v>32933</v>
      </c>
      <c r="E675" s="7"/>
      <c r="F675" s="7"/>
      <c r="G675" s="7"/>
      <c r="H675" t="s">
        <v>67</v>
      </c>
      <c r="I675" t="s">
        <v>4150</v>
      </c>
      <c r="J675" t="s">
        <v>69</v>
      </c>
      <c r="K675" t="s">
        <v>69</v>
      </c>
      <c r="L675" t="s">
        <v>69</v>
      </c>
      <c r="M675" t="s">
        <v>4150</v>
      </c>
      <c r="N675" t="s">
        <v>69</v>
      </c>
      <c r="O675" t="s">
        <v>69</v>
      </c>
      <c r="P675" t="s">
        <v>4151</v>
      </c>
      <c r="Q675" t="s">
        <v>4152</v>
      </c>
      <c r="R675" t="s">
        <v>69</v>
      </c>
      <c r="S675" t="s">
        <v>69</v>
      </c>
      <c r="T675" t="s">
        <v>8505</v>
      </c>
      <c r="U675" t="s">
        <v>8506</v>
      </c>
      <c r="V675" t="s">
        <v>69</v>
      </c>
      <c r="W675" t="s">
        <v>69</v>
      </c>
      <c r="X675" t="s">
        <v>69</v>
      </c>
      <c r="Y675" t="s">
        <v>69</v>
      </c>
      <c r="Z675" t="s">
        <v>69</v>
      </c>
      <c r="AA675" t="s">
        <v>69</v>
      </c>
      <c r="AB675" t="s">
        <v>69</v>
      </c>
      <c r="AC675" t="s">
        <v>4153</v>
      </c>
      <c r="AD675" t="s">
        <v>31998</v>
      </c>
      <c r="AE675" t="s">
        <v>69</v>
      </c>
      <c r="AF675" t="s">
        <v>31999</v>
      </c>
      <c r="AG675" t="s">
        <v>69</v>
      </c>
      <c r="AH675" t="s">
        <v>4154</v>
      </c>
      <c r="AI675" t="s">
        <v>4155</v>
      </c>
      <c r="AJ675" t="s">
        <v>69</v>
      </c>
      <c r="AK675" t="s">
        <v>69</v>
      </c>
      <c r="AL675" t="s">
        <v>69</v>
      </c>
      <c r="AM675" t="s">
        <v>69</v>
      </c>
      <c r="AN675">
        <v>25</v>
      </c>
      <c r="AO675">
        <v>12</v>
      </c>
      <c r="AP675">
        <v>12</v>
      </c>
      <c r="AQ675">
        <v>0</v>
      </c>
      <c r="AR675">
        <v>6</v>
      </c>
      <c r="AS675" t="s">
        <v>8611</v>
      </c>
      <c r="AT675" t="s">
        <v>8612</v>
      </c>
      <c r="AU675" t="s">
        <v>8613</v>
      </c>
      <c r="AV675" t="s">
        <v>4156</v>
      </c>
      <c r="AW675" t="s">
        <v>32000</v>
      </c>
      <c r="AX675" t="s">
        <v>69</v>
      </c>
      <c r="AY675" t="s">
        <v>32001</v>
      </c>
      <c r="AZ675" t="s">
        <v>32002</v>
      </c>
      <c r="BA675" t="s">
        <v>4157</v>
      </c>
      <c r="BB675">
        <v>1999</v>
      </c>
      <c r="BC675">
        <v>45</v>
      </c>
      <c r="BD675">
        <v>2</v>
      </c>
      <c r="BE675" t="s">
        <v>69</v>
      </c>
      <c r="BF675" t="s">
        <v>69</v>
      </c>
      <c r="BG675" t="s">
        <v>69</v>
      </c>
      <c r="BH675" t="s">
        <v>69</v>
      </c>
      <c r="BI675">
        <v>85</v>
      </c>
      <c r="BJ675">
        <v>90</v>
      </c>
      <c r="BK675" t="s">
        <v>69</v>
      </c>
      <c r="BL675" t="s">
        <v>4158</v>
      </c>
      <c r="BM675" t="str">
        <f>HYPERLINK("http://dx.doi.org/10.1080/096708799227860","http://dx.doi.org/10.1080/096708799227860")</f>
        <v>http://dx.doi.org/10.1080/096708799227860</v>
      </c>
      <c r="BN675" t="s">
        <v>69</v>
      </c>
      <c r="BO675" t="s">
        <v>69</v>
      </c>
      <c r="BP675">
        <v>6</v>
      </c>
      <c r="BQ675" t="s">
        <v>26862</v>
      </c>
      <c r="BR675" t="s">
        <v>8548</v>
      </c>
      <c r="BS675" t="s">
        <v>26862</v>
      </c>
      <c r="BT675" t="s">
        <v>32003</v>
      </c>
      <c r="BU675" t="s">
        <v>4159</v>
      </c>
      <c r="BV675" t="s">
        <v>69</v>
      </c>
      <c r="BW675" t="s">
        <v>69</v>
      </c>
      <c r="BX675" t="s">
        <v>69</v>
      </c>
      <c r="BY675" t="s">
        <v>69</v>
      </c>
      <c r="BZ675" t="s">
        <v>8526</v>
      </c>
      <c r="CA675" t="str">
        <f>HYPERLINK("https%3A%2F%2Fwww.webofscience.com%2Fwos%2Fwoscc%2Ffull-record%2FWOS:000080024600002","View Full Record in Web of Science")</f>
        <v>View Full Record in Web of Science</v>
      </c>
    </row>
    <row r="676" spans="2:79" ht="12.5" x14ac:dyDescent="0.25">
      <c r="B676" t="s">
        <v>8495</v>
      </c>
      <c r="D676" s="7" t="s">
        <v>32933</v>
      </c>
      <c r="E676" s="7"/>
      <c r="F676" s="7"/>
      <c r="G676" s="7"/>
      <c r="H676" t="s">
        <v>67</v>
      </c>
      <c r="I676" t="s">
        <v>4239</v>
      </c>
      <c r="J676" t="s">
        <v>69</v>
      </c>
      <c r="K676" t="s">
        <v>69</v>
      </c>
      <c r="L676" t="s">
        <v>69</v>
      </c>
      <c r="M676" t="s">
        <v>4239</v>
      </c>
      <c r="N676" t="s">
        <v>69</v>
      </c>
      <c r="O676" t="s">
        <v>69</v>
      </c>
      <c r="P676" t="s">
        <v>4240</v>
      </c>
      <c r="Q676" t="s">
        <v>4241</v>
      </c>
      <c r="R676" t="s">
        <v>69</v>
      </c>
      <c r="S676" t="s">
        <v>69</v>
      </c>
      <c r="T676" t="s">
        <v>8505</v>
      </c>
      <c r="U676" t="s">
        <v>8506</v>
      </c>
      <c r="V676" t="s">
        <v>69</v>
      </c>
      <c r="W676" t="s">
        <v>69</v>
      </c>
      <c r="X676" t="s">
        <v>69</v>
      </c>
      <c r="Y676" t="s">
        <v>69</v>
      </c>
      <c r="Z676" t="s">
        <v>69</v>
      </c>
      <c r="AA676" t="s">
        <v>69</v>
      </c>
      <c r="AB676" t="s">
        <v>69</v>
      </c>
      <c r="AC676" t="s">
        <v>4242</v>
      </c>
      <c r="AD676" t="s">
        <v>69</v>
      </c>
      <c r="AE676" t="s">
        <v>69</v>
      </c>
      <c r="AF676" t="s">
        <v>32461</v>
      </c>
      <c r="AG676" t="s">
        <v>69</v>
      </c>
      <c r="AH676" t="s">
        <v>69</v>
      </c>
      <c r="AI676" t="s">
        <v>69</v>
      </c>
      <c r="AJ676" t="s">
        <v>69</v>
      </c>
      <c r="AK676" t="s">
        <v>69</v>
      </c>
      <c r="AL676" t="s">
        <v>69</v>
      </c>
      <c r="AM676" t="s">
        <v>69</v>
      </c>
      <c r="AN676">
        <v>1</v>
      </c>
      <c r="AO676">
        <v>1</v>
      </c>
      <c r="AP676">
        <v>1</v>
      </c>
      <c r="AQ676">
        <v>0</v>
      </c>
      <c r="AR676">
        <v>2</v>
      </c>
      <c r="AS676" t="s">
        <v>32462</v>
      </c>
      <c r="AT676" t="s">
        <v>32463</v>
      </c>
      <c r="AU676" t="s">
        <v>32464</v>
      </c>
      <c r="AV676" t="s">
        <v>4243</v>
      </c>
      <c r="AW676" t="s">
        <v>69</v>
      </c>
      <c r="AX676" t="s">
        <v>69</v>
      </c>
      <c r="AY676" t="s">
        <v>4241</v>
      </c>
      <c r="AZ676" t="s">
        <v>8483</v>
      </c>
      <c r="BA676" t="s">
        <v>586</v>
      </c>
      <c r="BB676">
        <v>1996</v>
      </c>
      <c r="BC676">
        <v>25</v>
      </c>
      <c r="BD676">
        <v>3</v>
      </c>
      <c r="BE676" t="s">
        <v>69</v>
      </c>
      <c r="BF676" t="s">
        <v>69</v>
      </c>
      <c r="BG676" t="s">
        <v>69</v>
      </c>
      <c r="BH676" t="s">
        <v>69</v>
      </c>
      <c r="BI676">
        <v>214</v>
      </c>
      <c r="BJ676">
        <v>215</v>
      </c>
      <c r="BK676" t="s">
        <v>69</v>
      </c>
      <c r="BL676" t="s">
        <v>69</v>
      </c>
      <c r="BM676" t="s">
        <v>69</v>
      </c>
      <c r="BN676" t="s">
        <v>69</v>
      </c>
      <c r="BO676" t="s">
        <v>69</v>
      </c>
      <c r="BP676">
        <v>2</v>
      </c>
      <c r="BQ676" t="s">
        <v>8743</v>
      </c>
      <c r="BR676" t="s">
        <v>8523</v>
      </c>
      <c r="BS676" t="s">
        <v>8744</v>
      </c>
      <c r="BT676" t="s">
        <v>32465</v>
      </c>
      <c r="BU676" t="s">
        <v>4244</v>
      </c>
      <c r="BV676" t="s">
        <v>69</v>
      </c>
      <c r="BW676" t="s">
        <v>69</v>
      </c>
      <c r="BX676" t="s">
        <v>69</v>
      </c>
      <c r="BY676" t="s">
        <v>69</v>
      </c>
      <c r="BZ676" t="s">
        <v>8526</v>
      </c>
      <c r="CA676" t="str">
        <f>HYPERLINK("https%3A%2F%2Fwww.webofscience.com%2Fwos%2Fwoscc%2Ffull-record%2FWOS:A1996UQ53100015","View Full Record in Web of Science")</f>
        <v>View Full Record in Web of Science</v>
      </c>
    </row>
    <row r="677" spans="2:79" ht="12.5" x14ac:dyDescent="0.25">
      <c r="B677" t="s">
        <v>8495</v>
      </c>
      <c r="D677" s="7" t="s">
        <v>32933</v>
      </c>
      <c r="E677" s="7"/>
      <c r="F677" s="7"/>
      <c r="G677" s="7"/>
      <c r="H677" t="s">
        <v>67</v>
      </c>
      <c r="I677" t="s">
        <v>5091</v>
      </c>
      <c r="J677" t="s">
        <v>69</v>
      </c>
      <c r="K677" t="s">
        <v>69</v>
      </c>
      <c r="L677" t="s">
        <v>69</v>
      </c>
      <c r="M677" t="s">
        <v>5092</v>
      </c>
      <c r="N677" t="s">
        <v>69</v>
      </c>
      <c r="O677" t="s">
        <v>69</v>
      </c>
      <c r="P677" t="s">
        <v>5093</v>
      </c>
      <c r="Q677" t="s">
        <v>4739</v>
      </c>
      <c r="R677" t="s">
        <v>69</v>
      </c>
      <c r="S677" t="s">
        <v>69</v>
      </c>
      <c r="T677" t="s">
        <v>8505</v>
      </c>
      <c r="U677" t="s">
        <v>8506</v>
      </c>
      <c r="V677" t="s">
        <v>69</v>
      </c>
      <c r="W677" t="s">
        <v>69</v>
      </c>
      <c r="X677" t="s">
        <v>69</v>
      </c>
      <c r="Y677" t="s">
        <v>69</v>
      </c>
      <c r="Z677" t="s">
        <v>69</v>
      </c>
      <c r="AA677" t="s">
        <v>20223</v>
      </c>
      <c r="AB677" t="s">
        <v>20224</v>
      </c>
      <c r="AC677" t="s">
        <v>5094</v>
      </c>
      <c r="AD677" t="s">
        <v>20225</v>
      </c>
      <c r="AE677" t="s">
        <v>69</v>
      </c>
      <c r="AF677" t="s">
        <v>20226</v>
      </c>
      <c r="AG677" t="s">
        <v>20227</v>
      </c>
      <c r="AH677" t="s">
        <v>20228</v>
      </c>
      <c r="AI677" t="s">
        <v>20229</v>
      </c>
      <c r="AJ677" t="s">
        <v>20230</v>
      </c>
      <c r="AK677" t="s">
        <v>20231</v>
      </c>
      <c r="AL677" t="s">
        <v>20232</v>
      </c>
      <c r="AM677" t="s">
        <v>69</v>
      </c>
      <c r="AN677">
        <v>20</v>
      </c>
      <c r="AO677">
        <v>2</v>
      </c>
      <c r="AP677">
        <v>2</v>
      </c>
      <c r="AQ677">
        <v>1</v>
      </c>
      <c r="AR677">
        <v>16</v>
      </c>
      <c r="AS677" t="s">
        <v>19814</v>
      </c>
      <c r="AT677" t="s">
        <v>8925</v>
      </c>
      <c r="AU677" t="s">
        <v>8926</v>
      </c>
      <c r="AV677" t="s">
        <v>4741</v>
      </c>
      <c r="AW677" t="s">
        <v>69</v>
      </c>
      <c r="AX677" t="s">
        <v>69</v>
      </c>
      <c r="AY677" t="s">
        <v>11435</v>
      </c>
      <c r="AZ677" t="s">
        <v>8426</v>
      </c>
      <c r="BA677" t="s">
        <v>84</v>
      </c>
      <c r="BB677">
        <v>2017</v>
      </c>
      <c r="BC677">
        <v>9</v>
      </c>
      <c r="BD677">
        <v>7</v>
      </c>
      <c r="BE677" t="s">
        <v>69</v>
      </c>
      <c r="BF677" t="s">
        <v>69</v>
      </c>
      <c r="BG677" t="s">
        <v>69</v>
      </c>
      <c r="BH677" t="s">
        <v>69</v>
      </c>
      <c r="BI677" t="s">
        <v>69</v>
      </c>
      <c r="BJ677" t="s">
        <v>69</v>
      </c>
      <c r="BK677">
        <v>492</v>
      </c>
      <c r="BL677" t="s">
        <v>5095</v>
      </c>
      <c r="BM677" t="str">
        <f>HYPERLINK("http://dx.doi.org/10.3390/w9070492","http://dx.doi.org/10.3390/w9070492")</f>
        <v>http://dx.doi.org/10.3390/w9070492</v>
      </c>
      <c r="BN677" t="s">
        <v>69</v>
      </c>
      <c r="BO677" t="s">
        <v>69</v>
      </c>
      <c r="BP677">
        <v>10</v>
      </c>
      <c r="BQ677" t="s">
        <v>11437</v>
      </c>
      <c r="BR677" t="s">
        <v>8548</v>
      </c>
      <c r="BS677" t="s">
        <v>11438</v>
      </c>
      <c r="BT677" t="s">
        <v>20233</v>
      </c>
      <c r="BU677" t="s">
        <v>5096</v>
      </c>
      <c r="BV677" t="s">
        <v>69</v>
      </c>
      <c r="BW677" t="s">
        <v>12220</v>
      </c>
      <c r="BX677" t="s">
        <v>69</v>
      </c>
      <c r="BY677" t="s">
        <v>69</v>
      </c>
      <c r="BZ677" t="s">
        <v>8526</v>
      </c>
      <c r="CA677" t="str">
        <f>HYPERLINK("https%3A%2F%2Fwww.webofscience.com%2Fwos%2Fwoscc%2Ffull-record%2FWOS:000406681700043","View Full Record in Web of Science")</f>
        <v>View Full Record in Web of Science</v>
      </c>
    </row>
    <row r="678" spans="2:79" ht="12.5" x14ac:dyDescent="0.25">
      <c r="B678" t="s">
        <v>8495</v>
      </c>
      <c r="D678" s="7" t="s">
        <v>32933</v>
      </c>
      <c r="E678" s="7"/>
      <c r="F678" s="7"/>
      <c r="G678" s="7"/>
      <c r="H678" t="s">
        <v>67</v>
      </c>
      <c r="I678" t="s">
        <v>394</v>
      </c>
      <c r="J678" t="s">
        <v>69</v>
      </c>
      <c r="K678" t="s">
        <v>69</v>
      </c>
      <c r="L678" t="s">
        <v>69</v>
      </c>
      <c r="M678" t="s">
        <v>395</v>
      </c>
      <c r="N678" t="s">
        <v>69</v>
      </c>
      <c r="O678" t="s">
        <v>69</v>
      </c>
      <c r="P678" t="s">
        <v>396</v>
      </c>
      <c r="Q678" t="s">
        <v>397</v>
      </c>
      <c r="R678" t="s">
        <v>69</v>
      </c>
      <c r="S678" t="s">
        <v>69</v>
      </c>
      <c r="T678" t="s">
        <v>8505</v>
      </c>
      <c r="U678" t="s">
        <v>8506</v>
      </c>
      <c r="V678" t="s">
        <v>69</v>
      </c>
      <c r="W678" t="s">
        <v>69</v>
      </c>
      <c r="X678" t="s">
        <v>69</v>
      </c>
      <c r="Y678" t="s">
        <v>69</v>
      </c>
      <c r="Z678" t="s">
        <v>69</v>
      </c>
      <c r="AA678" t="s">
        <v>19607</v>
      </c>
      <c r="AB678" t="s">
        <v>19608</v>
      </c>
      <c r="AC678" t="s">
        <v>398</v>
      </c>
      <c r="AD678" t="s">
        <v>19609</v>
      </c>
      <c r="AE678" t="s">
        <v>69</v>
      </c>
      <c r="AF678" t="s">
        <v>19610</v>
      </c>
      <c r="AG678" t="s">
        <v>19611</v>
      </c>
      <c r="AH678" t="s">
        <v>399</v>
      </c>
      <c r="AI678" t="s">
        <v>400</v>
      </c>
      <c r="AJ678" t="s">
        <v>69</v>
      </c>
      <c r="AK678" t="s">
        <v>69</v>
      </c>
      <c r="AL678" t="s">
        <v>69</v>
      </c>
      <c r="AM678" t="s">
        <v>69</v>
      </c>
      <c r="AN678">
        <v>80</v>
      </c>
      <c r="AO678">
        <v>10</v>
      </c>
      <c r="AP678">
        <v>10</v>
      </c>
      <c r="AQ678">
        <v>1</v>
      </c>
      <c r="AR678">
        <v>7</v>
      </c>
      <c r="AS678" t="s">
        <v>8586</v>
      </c>
      <c r="AT678" t="s">
        <v>8587</v>
      </c>
      <c r="AU678" t="s">
        <v>8588</v>
      </c>
      <c r="AV678" t="s">
        <v>401</v>
      </c>
      <c r="AW678" t="s">
        <v>402</v>
      </c>
      <c r="AX678" t="s">
        <v>69</v>
      </c>
      <c r="AY678" t="s">
        <v>19612</v>
      </c>
      <c r="AZ678" t="s">
        <v>19613</v>
      </c>
      <c r="BA678" t="s">
        <v>69</v>
      </c>
      <c r="BB678">
        <v>2018</v>
      </c>
      <c r="BC678">
        <v>25</v>
      </c>
      <c r="BD678">
        <v>1</v>
      </c>
      <c r="BE678" t="s">
        <v>69</v>
      </c>
      <c r="BF678" t="s">
        <v>69</v>
      </c>
      <c r="BG678" t="s">
        <v>69</v>
      </c>
      <c r="BH678" t="s">
        <v>69</v>
      </c>
      <c r="BI678">
        <v>357</v>
      </c>
      <c r="BJ678">
        <v>372</v>
      </c>
      <c r="BK678" t="s">
        <v>69</v>
      </c>
      <c r="BL678" t="s">
        <v>403</v>
      </c>
      <c r="BM678" t="str">
        <f>HYPERLINK("http://dx.doi.org/10.1108/BIJ-07-2016-0117","http://dx.doi.org/10.1108/BIJ-07-2016-0117")</f>
        <v>http://dx.doi.org/10.1108/BIJ-07-2016-0117</v>
      </c>
      <c r="BN678" t="s">
        <v>69</v>
      </c>
      <c r="BO678" t="s">
        <v>69</v>
      </c>
      <c r="BP678">
        <v>16</v>
      </c>
      <c r="BQ678" t="s">
        <v>9410</v>
      </c>
      <c r="BR678" t="s">
        <v>8573</v>
      </c>
      <c r="BS678" t="s">
        <v>8594</v>
      </c>
      <c r="BT678" t="s">
        <v>19614</v>
      </c>
      <c r="BU678" t="s">
        <v>404</v>
      </c>
      <c r="BV678" t="s">
        <v>69</v>
      </c>
      <c r="BW678" t="s">
        <v>69</v>
      </c>
      <c r="BX678" t="s">
        <v>69</v>
      </c>
      <c r="BY678" t="s">
        <v>69</v>
      </c>
      <c r="BZ678" t="s">
        <v>8526</v>
      </c>
      <c r="CA678" t="str">
        <f>HYPERLINK("https%3A%2F%2Fwww.webofscience.com%2Fwos%2Fwoscc%2Ffull-record%2FWOS:000426531000018","View Full Record in Web of Science")</f>
        <v>View Full Record in Web of Science</v>
      </c>
    </row>
    <row r="679" spans="2:79" ht="12.5" x14ac:dyDescent="0.25">
      <c r="B679" t="s">
        <v>8495</v>
      </c>
      <c r="D679" s="7" t="s">
        <v>32933</v>
      </c>
      <c r="E679" s="7"/>
      <c r="F679" s="7"/>
      <c r="G679" s="7"/>
      <c r="H679" t="s">
        <v>67</v>
      </c>
      <c r="I679" t="s">
        <v>2320</v>
      </c>
      <c r="J679" t="s">
        <v>69</v>
      </c>
      <c r="K679" t="s">
        <v>69</v>
      </c>
      <c r="L679" t="s">
        <v>69</v>
      </c>
      <c r="M679" t="s">
        <v>2321</v>
      </c>
      <c r="N679" t="s">
        <v>69</v>
      </c>
      <c r="O679" t="s">
        <v>69</v>
      </c>
      <c r="P679" t="s">
        <v>2322</v>
      </c>
      <c r="Q679" t="s">
        <v>2323</v>
      </c>
      <c r="R679" t="s">
        <v>69</v>
      </c>
      <c r="S679" t="s">
        <v>69</v>
      </c>
      <c r="T679" t="s">
        <v>18078</v>
      </c>
      <c r="U679" t="s">
        <v>8506</v>
      </c>
      <c r="V679" t="s">
        <v>69</v>
      </c>
      <c r="W679" t="s">
        <v>69</v>
      </c>
      <c r="X679" t="s">
        <v>69</v>
      </c>
      <c r="Y679" t="s">
        <v>69</v>
      </c>
      <c r="Z679" t="s">
        <v>69</v>
      </c>
      <c r="AA679" t="s">
        <v>18079</v>
      </c>
      <c r="AB679" t="s">
        <v>69</v>
      </c>
      <c r="AC679" t="s">
        <v>2324</v>
      </c>
      <c r="AD679" t="s">
        <v>18080</v>
      </c>
      <c r="AE679" t="s">
        <v>69</v>
      </c>
      <c r="AF679" t="s">
        <v>18081</v>
      </c>
      <c r="AG679" t="s">
        <v>18082</v>
      </c>
      <c r="AH679" t="s">
        <v>69</v>
      </c>
      <c r="AI679" t="s">
        <v>69</v>
      </c>
      <c r="AJ679" t="s">
        <v>69</v>
      </c>
      <c r="AK679" t="s">
        <v>69</v>
      </c>
      <c r="AL679" t="s">
        <v>69</v>
      </c>
      <c r="AM679" t="s">
        <v>69</v>
      </c>
      <c r="AN679">
        <v>30</v>
      </c>
      <c r="AO679">
        <v>0</v>
      </c>
      <c r="AP679">
        <v>0</v>
      </c>
      <c r="AQ679">
        <v>1</v>
      </c>
      <c r="AR679">
        <v>1</v>
      </c>
      <c r="AS679" t="s">
        <v>18083</v>
      </c>
      <c r="AT679" t="s">
        <v>18084</v>
      </c>
      <c r="AU679" t="s">
        <v>18085</v>
      </c>
      <c r="AV679" t="s">
        <v>2325</v>
      </c>
      <c r="AW679" t="s">
        <v>2326</v>
      </c>
      <c r="AX679" t="s">
        <v>69</v>
      </c>
      <c r="AY679" t="s">
        <v>18086</v>
      </c>
      <c r="AZ679" t="s">
        <v>18087</v>
      </c>
      <c r="BA679" t="s">
        <v>75</v>
      </c>
      <c r="BB679">
        <v>2018</v>
      </c>
      <c r="BC679">
        <v>25</v>
      </c>
      <c r="BD679">
        <v>2</v>
      </c>
      <c r="BE679" t="s">
        <v>69</v>
      </c>
      <c r="BF679" t="s">
        <v>69</v>
      </c>
      <c r="BG679" t="s">
        <v>69</v>
      </c>
      <c r="BH679" t="s">
        <v>69</v>
      </c>
      <c r="BI679">
        <v>1</v>
      </c>
      <c r="BJ679">
        <v>18</v>
      </c>
      <c r="BK679" t="s">
        <v>69</v>
      </c>
      <c r="BL679" t="s">
        <v>69</v>
      </c>
      <c r="BM679" t="s">
        <v>69</v>
      </c>
      <c r="BN679" t="s">
        <v>69</v>
      </c>
      <c r="BO679" t="s">
        <v>69</v>
      </c>
      <c r="BP679">
        <v>18</v>
      </c>
      <c r="BQ679" t="s">
        <v>9726</v>
      </c>
      <c r="BR679" t="s">
        <v>8573</v>
      </c>
      <c r="BS679" t="s">
        <v>8594</v>
      </c>
      <c r="BT679" t="s">
        <v>18088</v>
      </c>
      <c r="BU679" t="s">
        <v>2327</v>
      </c>
      <c r="BV679" t="s">
        <v>69</v>
      </c>
      <c r="BW679" t="s">
        <v>69</v>
      </c>
      <c r="BX679" t="s">
        <v>69</v>
      </c>
      <c r="BY679" t="s">
        <v>69</v>
      </c>
      <c r="BZ679" t="s">
        <v>8526</v>
      </c>
      <c r="CA679" t="str">
        <f>HYPERLINK("https%3A%2F%2Fwww.webofscience.com%2Fwos%2Fwoscc%2Ffull-record%2FWOS:000598881800001","View Full Record in Web of Science")</f>
        <v>View Full Record in Web of Science</v>
      </c>
    </row>
    <row r="680" spans="2:79" ht="12.5" x14ac:dyDescent="0.25">
      <c r="B680" t="s">
        <v>8495</v>
      </c>
      <c r="D680" s="22" t="s">
        <v>32931</v>
      </c>
      <c r="E680" s="7"/>
      <c r="F680" s="7"/>
      <c r="G680" s="7"/>
      <c r="H680" t="s">
        <v>67</v>
      </c>
      <c r="I680" t="s">
        <v>11013</v>
      </c>
      <c r="J680" t="s">
        <v>69</v>
      </c>
      <c r="K680" t="s">
        <v>69</v>
      </c>
      <c r="L680" t="s">
        <v>69</v>
      </c>
      <c r="M680" t="s">
        <v>11014</v>
      </c>
      <c r="N680" t="s">
        <v>69</v>
      </c>
      <c r="O680" t="s">
        <v>69</v>
      </c>
      <c r="P680" t="s">
        <v>11015</v>
      </c>
      <c r="Q680" t="s">
        <v>6325</v>
      </c>
      <c r="R680" t="s">
        <v>69</v>
      </c>
      <c r="S680" t="s">
        <v>69</v>
      </c>
      <c r="T680" t="s">
        <v>8505</v>
      </c>
      <c r="U680" t="s">
        <v>8506</v>
      </c>
      <c r="V680" t="s">
        <v>69</v>
      </c>
      <c r="W680" t="s">
        <v>69</v>
      </c>
      <c r="X680" t="s">
        <v>69</v>
      </c>
      <c r="Y680" t="s">
        <v>69</v>
      </c>
      <c r="Z680" t="s">
        <v>69</v>
      </c>
      <c r="AA680" t="s">
        <v>11016</v>
      </c>
      <c r="AB680" t="s">
        <v>11017</v>
      </c>
      <c r="AC680" t="s">
        <v>11018</v>
      </c>
      <c r="AD680" t="s">
        <v>11019</v>
      </c>
      <c r="AE680" t="s">
        <v>69</v>
      </c>
      <c r="AF680" t="s">
        <v>11020</v>
      </c>
      <c r="AG680" t="s">
        <v>11021</v>
      </c>
      <c r="AH680" t="s">
        <v>69</v>
      </c>
      <c r="AI680" t="s">
        <v>69</v>
      </c>
      <c r="AJ680" t="s">
        <v>69</v>
      </c>
      <c r="AK680" t="s">
        <v>69</v>
      </c>
      <c r="AL680" t="s">
        <v>69</v>
      </c>
      <c r="AM680" t="s">
        <v>69</v>
      </c>
      <c r="AN680">
        <v>64</v>
      </c>
      <c r="AO680">
        <v>0</v>
      </c>
      <c r="AP680">
        <v>0</v>
      </c>
      <c r="AQ680">
        <v>3</v>
      </c>
      <c r="AR680">
        <v>3</v>
      </c>
      <c r="AS680" t="s">
        <v>9145</v>
      </c>
      <c r="AT680" t="s">
        <v>8637</v>
      </c>
      <c r="AU680" t="s">
        <v>9146</v>
      </c>
      <c r="AV680" t="s">
        <v>6328</v>
      </c>
      <c r="AW680" t="s">
        <v>11022</v>
      </c>
      <c r="AX680" t="s">
        <v>69</v>
      </c>
      <c r="AY680" t="s">
        <v>11023</v>
      </c>
      <c r="AZ680" t="s">
        <v>11024</v>
      </c>
      <c r="BA680" t="s">
        <v>274</v>
      </c>
      <c r="BB680">
        <v>2021</v>
      </c>
      <c r="BC680">
        <v>100</v>
      </c>
      <c r="BD680" t="s">
        <v>69</v>
      </c>
      <c r="BE680" t="s">
        <v>69</v>
      </c>
      <c r="BF680" t="s">
        <v>69</v>
      </c>
      <c r="BG680" t="s">
        <v>69</v>
      </c>
      <c r="BH680" t="s">
        <v>69</v>
      </c>
      <c r="BI680" t="s">
        <v>69</v>
      </c>
      <c r="BJ680" t="s">
        <v>69</v>
      </c>
      <c r="BK680">
        <v>103084</v>
      </c>
      <c r="BL680" t="s">
        <v>11025</v>
      </c>
      <c r="BM680" t="str">
        <f>HYPERLINK("http://dx.doi.org/10.1016/j.trd.2021.103084","http://dx.doi.org/10.1016/j.trd.2021.103084")</f>
        <v>http://dx.doi.org/10.1016/j.trd.2021.103084</v>
      </c>
      <c r="BN680" t="s">
        <v>69</v>
      </c>
      <c r="BO680" t="s">
        <v>10991</v>
      </c>
      <c r="BP680">
        <v>14</v>
      </c>
      <c r="BQ680" t="s">
        <v>11026</v>
      </c>
      <c r="BR680" t="s">
        <v>8523</v>
      </c>
      <c r="BS680" t="s">
        <v>11027</v>
      </c>
      <c r="BT680" t="s">
        <v>11028</v>
      </c>
      <c r="BU680" t="s">
        <v>11029</v>
      </c>
      <c r="BV680" t="s">
        <v>69</v>
      </c>
      <c r="BW680" t="s">
        <v>69</v>
      </c>
      <c r="BX680" t="s">
        <v>69</v>
      </c>
      <c r="BY680" t="s">
        <v>69</v>
      </c>
      <c r="BZ680" t="s">
        <v>8526</v>
      </c>
      <c r="CA680" t="str">
        <f>HYPERLINK("https%3A%2F%2Fwww.webofscience.com%2Fwos%2Fwoscc%2Ffull-record%2FWOS:000723848500005","View Full Record in Web of Science")</f>
        <v>View Full Record in Web of Science</v>
      </c>
    </row>
    <row r="681" spans="2:79" ht="12.5" x14ac:dyDescent="0.25">
      <c r="B681" t="s">
        <v>8495</v>
      </c>
      <c r="D681" s="22" t="s">
        <v>32931</v>
      </c>
      <c r="E681" s="7"/>
      <c r="F681" s="7"/>
      <c r="G681" s="7"/>
      <c r="H681" t="s">
        <v>67</v>
      </c>
      <c r="I681" t="s">
        <v>11245</v>
      </c>
      <c r="J681" t="s">
        <v>69</v>
      </c>
      <c r="K681" t="s">
        <v>69</v>
      </c>
      <c r="L681" t="s">
        <v>69</v>
      </c>
      <c r="M681" t="s">
        <v>11246</v>
      </c>
      <c r="N681" t="s">
        <v>69</v>
      </c>
      <c r="O681" t="s">
        <v>69</v>
      </c>
      <c r="P681" t="s">
        <v>11247</v>
      </c>
      <c r="Q681" t="s">
        <v>352</v>
      </c>
      <c r="R681" t="s">
        <v>69</v>
      </c>
      <c r="S681" t="s">
        <v>69</v>
      </c>
      <c r="T681" t="s">
        <v>8505</v>
      </c>
      <c r="U681" t="s">
        <v>8506</v>
      </c>
      <c r="V681" t="s">
        <v>69</v>
      </c>
      <c r="W681" t="s">
        <v>69</v>
      </c>
      <c r="X681" t="s">
        <v>69</v>
      </c>
      <c r="Y681" t="s">
        <v>69</v>
      </c>
      <c r="Z681" t="s">
        <v>69</v>
      </c>
      <c r="AA681" t="s">
        <v>11248</v>
      </c>
      <c r="AB681" t="s">
        <v>11249</v>
      </c>
      <c r="AC681" t="s">
        <v>11250</v>
      </c>
      <c r="AD681" t="s">
        <v>11251</v>
      </c>
      <c r="AE681" t="s">
        <v>69</v>
      </c>
      <c r="AF681" t="s">
        <v>11252</v>
      </c>
      <c r="AG681" t="s">
        <v>11253</v>
      </c>
      <c r="AH681" t="s">
        <v>11254</v>
      </c>
      <c r="AI681" t="s">
        <v>11255</v>
      </c>
      <c r="AJ681" t="s">
        <v>11256</v>
      </c>
      <c r="AK681" t="s">
        <v>11257</v>
      </c>
      <c r="AL681" t="s">
        <v>11258</v>
      </c>
      <c r="AM681" t="s">
        <v>69</v>
      </c>
      <c r="AN681">
        <v>62</v>
      </c>
      <c r="AO681">
        <v>0</v>
      </c>
      <c r="AP681">
        <v>0</v>
      </c>
      <c r="AQ681">
        <v>25</v>
      </c>
      <c r="AR681">
        <v>55</v>
      </c>
      <c r="AS681" t="s">
        <v>8924</v>
      </c>
      <c r="AT681" t="s">
        <v>8925</v>
      </c>
      <c r="AU681" t="s">
        <v>8926</v>
      </c>
      <c r="AV681" t="s">
        <v>69</v>
      </c>
      <c r="AW681" t="s">
        <v>354</v>
      </c>
      <c r="AX681" t="s">
        <v>69</v>
      </c>
      <c r="AY681" t="s">
        <v>8958</v>
      </c>
      <c r="AZ681" t="s">
        <v>8434</v>
      </c>
      <c r="BA681" t="s">
        <v>381</v>
      </c>
      <c r="BB681">
        <v>2021</v>
      </c>
      <c r="BC681">
        <v>13</v>
      </c>
      <c r="BD681">
        <v>19</v>
      </c>
      <c r="BE681" t="s">
        <v>69</v>
      </c>
      <c r="BF681" t="s">
        <v>69</v>
      </c>
      <c r="BG681" t="s">
        <v>69</v>
      </c>
      <c r="BH681" t="s">
        <v>69</v>
      </c>
      <c r="BI681" t="s">
        <v>69</v>
      </c>
      <c r="BJ681" t="s">
        <v>69</v>
      </c>
      <c r="BK681">
        <v>10868</v>
      </c>
      <c r="BL681" t="s">
        <v>11259</v>
      </c>
      <c r="BM681" t="str">
        <f>HYPERLINK("http://dx.doi.org/10.3390/su131910868","http://dx.doi.org/10.3390/su131910868")</f>
        <v>http://dx.doi.org/10.3390/su131910868</v>
      </c>
      <c r="BN681" t="s">
        <v>69</v>
      </c>
      <c r="BO681" t="s">
        <v>69</v>
      </c>
      <c r="BP681">
        <v>14</v>
      </c>
      <c r="BQ681" t="s">
        <v>8960</v>
      </c>
      <c r="BR681" t="s">
        <v>8523</v>
      </c>
      <c r="BS681" t="s">
        <v>8961</v>
      </c>
      <c r="BT681" t="s">
        <v>11260</v>
      </c>
      <c r="BU681" t="s">
        <v>11261</v>
      </c>
      <c r="BV681" t="s">
        <v>69</v>
      </c>
      <c r="BW681" t="s">
        <v>8931</v>
      </c>
      <c r="BX681" t="s">
        <v>69</v>
      </c>
      <c r="BY681" t="s">
        <v>69</v>
      </c>
      <c r="BZ681" t="s">
        <v>8526</v>
      </c>
      <c r="CA681" t="str">
        <f>HYPERLINK("https%3A%2F%2Fwww.webofscience.com%2Fwos%2Fwoscc%2Ffull-record%2FWOS:000710731700001","View Full Record in Web of Science")</f>
        <v>View Full Record in Web of Science</v>
      </c>
    </row>
    <row r="682" spans="2:79" ht="12.5" x14ac:dyDescent="0.25">
      <c r="B682" t="s">
        <v>8495</v>
      </c>
      <c r="D682" s="22" t="s">
        <v>32931</v>
      </c>
      <c r="E682" s="7"/>
      <c r="F682" s="7"/>
      <c r="G682" s="7"/>
      <c r="H682" t="s">
        <v>67</v>
      </c>
      <c r="I682" t="s">
        <v>9703</v>
      </c>
      <c r="J682" t="s">
        <v>69</v>
      </c>
      <c r="K682" t="s">
        <v>69</v>
      </c>
      <c r="L682" t="s">
        <v>69</v>
      </c>
      <c r="M682" t="s">
        <v>9704</v>
      </c>
      <c r="N682" t="s">
        <v>69</v>
      </c>
      <c r="O682" t="s">
        <v>69</v>
      </c>
      <c r="P682" t="s">
        <v>9705</v>
      </c>
      <c r="Q682" t="s">
        <v>9706</v>
      </c>
      <c r="R682" t="s">
        <v>69</v>
      </c>
      <c r="S682" t="s">
        <v>69</v>
      </c>
      <c r="T682" t="s">
        <v>8505</v>
      </c>
      <c r="U682" t="s">
        <v>8506</v>
      </c>
      <c r="V682" t="s">
        <v>69</v>
      </c>
      <c r="W682" t="s">
        <v>69</v>
      </c>
      <c r="X682" t="s">
        <v>69</v>
      </c>
      <c r="Y682" t="s">
        <v>69</v>
      </c>
      <c r="Z682" t="s">
        <v>69</v>
      </c>
      <c r="AA682" t="s">
        <v>9707</v>
      </c>
      <c r="AB682" t="s">
        <v>9708</v>
      </c>
      <c r="AC682" t="s">
        <v>9709</v>
      </c>
      <c r="AD682" t="s">
        <v>9710</v>
      </c>
      <c r="AE682" t="s">
        <v>69</v>
      </c>
      <c r="AF682" t="s">
        <v>9711</v>
      </c>
      <c r="AG682" t="s">
        <v>9712</v>
      </c>
      <c r="AH682" t="s">
        <v>9713</v>
      </c>
      <c r="AI682" t="s">
        <v>9714</v>
      </c>
      <c r="AJ682" t="s">
        <v>9715</v>
      </c>
      <c r="AK682" t="s">
        <v>9716</v>
      </c>
      <c r="AL682" t="s">
        <v>9717</v>
      </c>
      <c r="AM682" t="s">
        <v>69</v>
      </c>
      <c r="AN682">
        <v>82</v>
      </c>
      <c r="AO682">
        <v>0</v>
      </c>
      <c r="AP682">
        <v>0</v>
      </c>
      <c r="AQ682">
        <v>7</v>
      </c>
      <c r="AR682">
        <v>7</v>
      </c>
      <c r="AS682" t="s">
        <v>9718</v>
      </c>
      <c r="AT682" t="s">
        <v>9719</v>
      </c>
      <c r="AU682" t="s">
        <v>9720</v>
      </c>
      <c r="AV682" t="s">
        <v>9721</v>
      </c>
      <c r="AW682" t="s">
        <v>9722</v>
      </c>
      <c r="AX682" t="s">
        <v>69</v>
      </c>
      <c r="AY682" t="s">
        <v>9723</v>
      </c>
      <c r="AZ682" t="s">
        <v>9724</v>
      </c>
      <c r="BA682" t="s">
        <v>94</v>
      </c>
      <c r="BB682">
        <v>2022</v>
      </c>
      <c r="BC682">
        <v>13</v>
      </c>
      <c r="BD682">
        <v>1</v>
      </c>
      <c r="BE682" t="s">
        <v>69</v>
      </c>
      <c r="BF682" t="s">
        <v>69</v>
      </c>
      <c r="BG682" t="s">
        <v>69</v>
      </c>
      <c r="BH682" t="s">
        <v>69</v>
      </c>
      <c r="BI682">
        <v>79</v>
      </c>
      <c r="BJ682">
        <v>108</v>
      </c>
      <c r="BK682" t="s">
        <v>69</v>
      </c>
      <c r="BL682" t="s">
        <v>9725</v>
      </c>
      <c r="BM682" t="str">
        <f>HYPERLINK("http://dx.doi.org/10.24136/oc.2022.003","http://dx.doi.org/10.24136/oc.2022.003")</f>
        <v>http://dx.doi.org/10.24136/oc.2022.003</v>
      </c>
      <c r="BN682" t="s">
        <v>69</v>
      </c>
      <c r="BO682" t="s">
        <v>69</v>
      </c>
      <c r="BP682">
        <v>30</v>
      </c>
      <c r="BQ682" t="s">
        <v>9726</v>
      </c>
      <c r="BR682" t="s">
        <v>8661</v>
      </c>
      <c r="BS682" t="s">
        <v>8594</v>
      </c>
      <c r="BT682" t="s">
        <v>9727</v>
      </c>
      <c r="BU682" t="s">
        <v>9728</v>
      </c>
      <c r="BV682" t="s">
        <v>69</v>
      </c>
      <c r="BW682" t="s">
        <v>8931</v>
      </c>
      <c r="BX682" t="s">
        <v>69</v>
      </c>
      <c r="BY682" t="s">
        <v>69</v>
      </c>
      <c r="BZ682" t="s">
        <v>8526</v>
      </c>
      <c r="CA682" t="str">
        <f>HYPERLINK("https%3A%2F%2Fwww.webofscience.com%2Fwos%2Fwoscc%2Ffull-record%2FWOS:000782850400003","View Full Record in Web of Science")</f>
        <v>View Full Record in Web of Science</v>
      </c>
    </row>
    <row r="683" spans="2:79" ht="12.5" x14ac:dyDescent="0.25">
      <c r="B683" t="s">
        <v>8495</v>
      </c>
      <c r="D683" s="7" t="s">
        <v>32933</v>
      </c>
      <c r="E683" s="7"/>
      <c r="F683" s="7"/>
      <c r="G683" s="7"/>
      <c r="H683" t="s">
        <v>67</v>
      </c>
      <c r="I683" t="s">
        <v>2167</v>
      </c>
      <c r="J683" t="s">
        <v>69</v>
      </c>
      <c r="K683" t="s">
        <v>69</v>
      </c>
      <c r="L683" t="s">
        <v>69</v>
      </c>
      <c r="M683" t="s">
        <v>2168</v>
      </c>
      <c r="N683" t="s">
        <v>69</v>
      </c>
      <c r="O683" t="s">
        <v>69</v>
      </c>
      <c r="P683" t="s">
        <v>2169</v>
      </c>
      <c r="Q683" t="s">
        <v>436</v>
      </c>
      <c r="R683" t="s">
        <v>69</v>
      </c>
      <c r="S683" t="s">
        <v>69</v>
      </c>
      <c r="T683" t="s">
        <v>8505</v>
      </c>
      <c r="U683" t="s">
        <v>8506</v>
      </c>
      <c r="V683" t="s">
        <v>69</v>
      </c>
      <c r="W683" t="s">
        <v>69</v>
      </c>
      <c r="X683" t="s">
        <v>69</v>
      </c>
      <c r="Y683" t="s">
        <v>69</v>
      </c>
      <c r="Z683" t="s">
        <v>69</v>
      </c>
      <c r="AA683" t="s">
        <v>16857</v>
      </c>
      <c r="AB683" t="s">
        <v>16858</v>
      </c>
      <c r="AC683" t="s">
        <v>2170</v>
      </c>
      <c r="AD683" t="s">
        <v>16859</v>
      </c>
      <c r="AE683" t="s">
        <v>69</v>
      </c>
      <c r="AF683" t="s">
        <v>16860</v>
      </c>
      <c r="AG683" t="s">
        <v>16861</v>
      </c>
      <c r="AH683" t="s">
        <v>16862</v>
      </c>
      <c r="AI683" t="s">
        <v>16863</v>
      </c>
      <c r="AJ683" t="s">
        <v>16864</v>
      </c>
      <c r="AK683" t="s">
        <v>16865</v>
      </c>
      <c r="AL683" t="s">
        <v>16866</v>
      </c>
      <c r="AM683" t="s">
        <v>69</v>
      </c>
      <c r="AN683">
        <v>69</v>
      </c>
      <c r="AO683">
        <v>0</v>
      </c>
      <c r="AP683">
        <v>0</v>
      </c>
      <c r="AQ683">
        <v>1</v>
      </c>
      <c r="AR683">
        <v>9</v>
      </c>
      <c r="AS683" t="s">
        <v>8636</v>
      </c>
      <c r="AT683" t="s">
        <v>8637</v>
      </c>
      <c r="AU683" t="s">
        <v>8638</v>
      </c>
      <c r="AV683" t="s">
        <v>440</v>
      </c>
      <c r="AW683" t="s">
        <v>441</v>
      </c>
      <c r="AX683" t="s">
        <v>69</v>
      </c>
      <c r="AY683" t="s">
        <v>8639</v>
      </c>
      <c r="AZ683" t="s">
        <v>8640</v>
      </c>
      <c r="BA683" t="s">
        <v>477</v>
      </c>
      <c r="BB683">
        <v>2019</v>
      </c>
      <c r="BC683">
        <v>230</v>
      </c>
      <c r="BD683" t="s">
        <v>69</v>
      </c>
      <c r="BE683" t="s">
        <v>69</v>
      </c>
      <c r="BF683" t="s">
        <v>69</v>
      </c>
      <c r="BG683" t="s">
        <v>69</v>
      </c>
      <c r="BH683" t="s">
        <v>69</v>
      </c>
      <c r="BI683">
        <v>634</v>
      </c>
      <c r="BJ683">
        <v>646</v>
      </c>
      <c r="BK683" t="s">
        <v>69</v>
      </c>
      <c r="BL683" t="s">
        <v>2171</v>
      </c>
      <c r="BM683" t="str">
        <f>HYPERLINK("http://dx.doi.org/10.1016/j.jclepro.2019.05.123","http://dx.doi.org/10.1016/j.jclepro.2019.05.123")</f>
        <v>http://dx.doi.org/10.1016/j.jclepro.2019.05.123</v>
      </c>
      <c r="BN683" t="s">
        <v>69</v>
      </c>
      <c r="BO683" t="s">
        <v>69</v>
      </c>
      <c r="BP683">
        <v>13</v>
      </c>
      <c r="BQ683" t="s">
        <v>8643</v>
      </c>
      <c r="BR683" t="s">
        <v>8548</v>
      </c>
      <c r="BS683" t="s">
        <v>8644</v>
      </c>
      <c r="BT683" t="s">
        <v>16867</v>
      </c>
      <c r="BU683" t="s">
        <v>2172</v>
      </c>
      <c r="BV683" t="s">
        <v>69</v>
      </c>
      <c r="BW683" t="s">
        <v>69</v>
      </c>
      <c r="BX683" t="s">
        <v>69</v>
      </c>
      <c r="BY683" t="s">
        <v>69</v>
      </c>
      <c r="BZ683" t="s">
        <v>8526</v>
      </c>
      <c r="CA683" t="str">
        <f>HYPERLINK("https%3A%2F%2Fwww.webofscience.com%2Fwos%2Fwoscc%2Ffull-record%2FWOS:000474676300056","View Full Record in Web of Science")</f>
        <v>View Full Record in Web of Science</v>
      </c>
    </row>
    <row r="684" spans="2:79" x14ac:dyDescent="0.3">
      <c r="B684" t="s">
        <v>8495</v>
      </c>
      <c r="D684" s="12" t="s">
        <v>32986</v>
      </c>
      <c r="H684" t="s">
        <v>67</v>
      </c>
      <c r="I684" t="s">
        <v>291</v>
      </c>
      <c r="J684" t="s">
        <v>69</v>
      </c>
      <c r="K684" t="s">
        <v>69</v>
      </c>
      <c r="L684" t="s">
        <v>69</v>
      </c>
      <c r="M684" t="s">
        <v>292</v>
      </c>
      <c r="N684" t="s">
        <v>69</v>
      </c>
      <c r="O684" t="s">
        <v>69</v>
      </c>
      <c r="P684" s="11" t="s">
        <v>293</v>
      </c>
      <c r="Q684" t="s">
        <v>294</v>
      </c>
      <c r="R684" t="s">
        <v>69</v>
      </c>
      <c r="S684" t="s">
        <v>69</v>
      </c>
      <c r="T684" t="s">
        <v>8505</v>
      </c>
      <c r="U684" t="s">
        <v>8442</v>
      </c>
      <c r="V684" t="s">
        <v>69</v>
      </c>
      <c r="W684" t="s">
        <v>69</v>
      </c>
      <c r="X684" t="s">
        <v>69</v>
      </c>
      <c r="Y684" t="s">
        <v>69</v>
      </c>
      <c r="Z684" t="s">
        <v>69</v>
      </c>
      <c r="AA684" t="s">
        <v>13422</v>
      </c>
      <c r="AB684" t="s">
        <v>13423</v>
      </c>
      <c r="AC684" t="s">
        <v>295</v>
      </c>
      <c r="AD684" t="s">
        <v>13424</v>
      </c>
      <c r="AE684" t="s">
        <v>69</v>
      </c>
      <c r="AF684" t="s">
        <v>13425</v>
      </c>
      <c r="AG684" t="s">
        <v>13426</v>
      </c>
      <c r="AH684" t="s">
        <v>296</v>
      </c>
      <c r="AI684" t="s">
        <v>13427</v>
      </c>
      <c r="AJ684" t="s">
        <v>69</v>
      </c>
      <c r="AK684" t="s">
        <v>69</v>
      </c>
      <c r="AL684" t="s">
        <v>69</v>
      </c>
      <c r="AM684" t="s">
        <v>69</v>
      </c>
      <c r="AN684">
        <v>116</v>
      </c>
      <c r="AO684">
        <v>2</v>
      </c>
      <c r="AP684">
        <v>2</v>
      </c>
      <c r="AQ684">
        <v>5</v>
      </c>
      <c r="AR684">
        <v>30</v>
      </c>
      <c r="AS684" t="s">
        <v>8563</v>
      </c>
      <c r="AT684" t="s">
        <v>8564</v>
      </c>
      <c r="AU684" t="s">
        <v>8565</v>
      </c>
      <c r="AV684" t="s">
        <v>297</v>
      </c>
      <c r="AW684" t="s">
        <v>298</v>
      </c>
      <c r="AX684" t="s">
        <v>69</v>
      </c>
      <c r="AY684" t="s">
        <v>13428</v>
      </c>
      <c r="AZ684" t="s">
        <v>13429</v>
      </c>
      <c r="BA684" t="s">
        <v>94</v>
      </c>
      <c r="BB684">
        <v>2021</v>
      </c>
      <c r="BC684">
        <v>28</v>
      </c>
      <c r="BD684">
        <v>9</v>
      </c>
      <c r="BE684" t="s">
        <v>69</v>
      </c>
      <c r="BF684" t="s">
        <v>69</v>
      </c>
      <c r="BG684" t="s">
        <v>69</v>
      </c>
      <c r="BH684" t="s">
        <v>69</v>
      </c>
      <c r="BI684">
        <v>10335</v>
      </c>
      <c r="BJ684">
        <v>10356</v>
      </c>
      <c r="BK684" t="s">
        <v>69</v>
      </c>
      <c r="BL684" t="s">
        <v>299</v>
      </c>
      <c r="BM684" t="str">
        <f>HYPERLINK("http://dx.doi.org/10.1007/s11356-020-12143-7","http://dx.doi.org/10.1007/s11356-020-12143-7")</f>
        <v>http://dx.doi.org/10.1007/s11356-020-12143-7</v>
      </c>
      <c r="BN684" t="s">
        <v>69</v>
      </c>
      <c r="BO684" t="s">
        <v>300</v>
      </c>
      <c r="BP684">
        <v>22</v>
      </c>
      <c r="BQ684" t="s">
        <v>8717</v>
      </c>
      <c r="BR684" t="s">
        <v>8523</v>
      </c>
      <c r="BS684" t="s">
        <v>8662</v>
      </c>
      <c r="BT684" t="s">
        <v>13430</v>
      </c>
      <c r="BU684" t="s">
        <v>301</v>
      </c>
      <c r="BV684">
        <v>33403636</v>
      </c>
      <c r="BW684" t="s">
        <v>69</v>
      </c>
      <c r="BX684" t="s">
        <v>69</v>
      </c>
      <c r="BY684" t="s">
        <v>69</v>
      </c>
      <c r="BZ684" t="s">
        <v>8526</v>
      </c>
      <c r="CA684" t="str">
        <f>HYPERLINK("https%3A%2F%2Fwww.webofscience.com%2Fwos%2Fwoscc%2Ffull-record%2FWOS:000605128700004","View Full Record in Web of Science")</f>
        <v>View Full Record in Web of Science</v>
      </c>
    </row>
    <row r="685" spans="2:79" ht="12.5" x14ac:dyDescent="0.25">
      <c r="B685" t="s">
        <v>8495</v>
      </c>
      <c r="D685" s="22" t="s">
        <v>32931</v>
      </c>
      <c r="E685" s="7"/>
      <c r="F685" s="7"/>
      <c r="G685" s="7"/>
      <c r="H685" t="s">
        <v>67</v>
      </c>
      <c r="I685" t="s">
        <v>22822</v>
      </c>
      <c r="J685" t="s">
        <v>69</v>
      </c>
      <c r="K685" t="s">
        <v>69</v>
      </c>
      <c r="L685" t="s">
        <v>69</v>
      </c>
      <c r="M685" t="s">
        <v>22823</v>
      </c>
      <c r="N685" t="s">
        <v>69</v>
      </c>
      <c r="O685" t="s">
        <v>69</v>
      </c>
      <c r="P685" t="s">
        <v>22824</v>
      </c>
      <c r="Q685" t="s">
        <v>22825</v>
      </c>
      <c r="R685" t="s">
        <v>69</v>
      </c>
      <c r="S685" t="s">
        <v>69</v>
      </c>
      <c r="T685" t="s">
        <v>8505</v>
      </c>
      <c r="U685" t="s">
        <v>8506</v>
      </c>
      <c r="V685" t="s">
        <v>69</v>
      </c>
      <c r="W685" t="s">
        <v>69</v>
      </c>
      <c r="X685" t="s">
        <v>69</v>
      </c>
      <c r="Y685" t="s">
        <v>69</v>
      </c>
      <c r="Z685" t="s">
        <v>69</v>
      </c>
      <c r="AA685" t="s">
        <v>69</v>
      </c>
      <c r="AB685" t="s">
        <v>22826</v>
      </c>
      <c r="AC685" t="s">
        <v>22827</v>
      </c>
      <c r="AD685" t="s">
        <v>22828</v>
      </c>
      <c r="AE685" t="s">
        <v>69</v>
      </c>
      <c r="AF685" t="s">
        <v>22829</v>
      </c>
      <c r="AG685" t="s">
        <v>22830</v>
      </c>
      <c r="AH685" t="s">
        <v>69</v>
      </c>
      <c r="AI685" t="s">
        <v>22831</v>
      </c>
      <c r="AJ685" t="s">
        <v>22832</v>
      </c>
      <c r="AK685" t="s">
        <v>22833</v>
      </c>
      <c r="AL685" t="s">
        <v>22834</v>
      </c>
      <c r="AM685" t="s">
        <v>69</v>
      </c>
      <c r="AN685">
        <v>23</v>
      </c>
      <c r="AO685">
        <v>13</v>
      </c>
      <c r="AP685">
        <v>14</v>
      </c>
      <c r="AQ685">
        <v>1</v>
      </c>
      <c r="AR685">
        <v>16</v>
      </c>
      <c r="AS685" t="s">
        <v>9178</v>
      </c>
      <c r="AT685" t="s">
        <v>8763</v>
      </c>
      <c r="AU685" t="s">
        <v>9179</v>
      </c>
      <c r="AV685" t="s">
        <v>22835</v>
      </c>
      <c r="AW685" t="s">
        <v>22836</v>
      </c>
      <c r="AX685" t="s">
        <v>69</v>
      </c>
      <c r="AY685" t="s">
        <v>22837</v>
      </c>
      <c r="AZ685" t="s">
        <v>22838</v>
      </c>
      <c r="BA685" t="s">
        <v>94</v>
      </c>
      <c r="BB685">
        <v>2015</v>
      </c>
      <c r="BC685">
        <v>5</v>
      </c>
      <c r="BD685">
        <v>1</v>
      </c>
      <c r="BE685" t="s">
        <v>69</v>
      </c>
      <c r="BF685" t="s">
        <v>69</v>
      </c>
      <c r="BG685" t="s">
        <v>69</v>
      </c>
      <c r="BH685" t="s">
        <v>69</v>
      </c>
      <c r="BI685">
        <v>70</v>
      </c>
      <c r="BJ685">
        <v>77</v>
      </c>
      <c r="BK685" t="s">
        <v>69</v>
      </c>
      <c r="BL685" t="s">
        <v>22839</v>
      </c>
      <c r="BM685" t="str">
        <f>HYPERLINK("http://dx.doi.org/10.1136/bmjspcare-2014-000723","http://dx.doi.org/10.1136/bmjspcare-2014-000723")</f>
        <v>http://dx.doi.org/10.1136/bmjspcare-2014-000723</v>
      </c>
      <c r="BN685" t="s">
        <v>69</v>
      </c>
      <c r="BO685" t="s">
        <v>69</v>
      </c>
      <c r="BP685">
        <v>8</v>
      </c>
      <c r="BQ685" t="s">
        <v>9209</v>
      </c>
      <c r="BR685" t="s">
        <v>8548</v>
      </c>
      <c r="BS685" t="s">
        <v>9209</v>
      </c>
      <c r="BT685" t="s">
        <v>22840</v>
      </c>
      <c r="BU685" t="s">
        <v>22842</v>
      </c>
      <c r="BV685">
        <v>25380834</v>
      </c>
      <c r="BW685" t="s">
        <v>22841</v>
      </c>
      <c r="BX685" t="s">
        <v>69</v>
      </c>
      <c r="BY685" t="s">
        <v>69</v>
      </c>
      <c r="BZ685" t="s">
        <v>8526</v>
      </c>
      <c r="CA685" t="str">
        <f>HYPERLINK("https%3A%2F%2Fwww.webofscience.com%2Fwos%2Fwoscc%2Ffull-record%2FWOS:000360579700013","View Full Record in Web of Science")</f>
        <v>View Full Record in Web of Science</v>
      </c>
    </row>
    <row r="686" spans="2:79" ht="12.5" x14ac:dyDescent="0.25">
      <c r="B686" t="s">
        <v>8495</v>
      </c>
      <c r="D686" s="22" t="s">
        <v>32931</v>
      </c>
      <c r="E686" s="7"/>
      <c r="F686" s="7"/>
      <c r="G686" s="7"/>
      <c r="H686" t="s">
        <v>67</v>
      </c>
      <c r="I686" t="s">
        <v>24361</v>
      </c>
      <c r="J686" t="s">
        <v>69</v>
      </c>
      <c r="K686" t="s">
        <v>69</v>
      </c>
      <c r="L686" t="s">
        <v>69</v>
      </c>
      <c r="M686" t="s">
        <v>24362</v>
      </c>
      <c r="N686" t="s">
        <v>69</v>
      </c>
      <c r="O686" t="s">
        <v>69</v>
      </c>
      <c r="P686" t="s">
        <v>24363</v>
      </c>
      <c r="Q686" t="s">
        <v>24364</v>
      </c>
      <c r="R686" t="s">
        <v>69</v>
      </c>
      <c r="S686" t="s">
        <v>69</v>
      </c>
      <c r="T686" t="s">
        <v>8505</v>
      </c>
      <c r="U686" t="s">
        <v>8442</v>
      </c>
      <c r="V686" t="s">
        <v>69</v>
      </c>
      <c r="W686" t="s">
        <v>69</v>
      </c>
      <c r="X686" t="s">
        <v>69</v>
      </c>
      <c r="Y686" t="s">
        <v>69</v>
      </c>
      <c r="Z686" t="s">
        <v>69</v>
      </c>
      <c r="AA686" t="s">
        <v>24365</v>
      </c>
      <c r="AB686" t="s">
        <v>24366</v>
      </c>
      <c r="AC686" t="s">
        <v>24367</v>
      </c>
      <c r="AD686" t="s">
        <v>24368</v>
      </c>
      <c r="AE686" t="s">
        <v>69</v>
      </c>
      <c r="AF686" t="s">
        <v>24369</v>
      </c>
      <c r="AG686" t="s">
        <v>24370</v>
      </c>
      <c r="AH686" t="s">
        <v>24371</v>
      </c>
      <c r="AI686" t="s">
        <v>24372</v>
      </c>
      <c r="AJ686" t="s">
        <v>69</v>
      </c>
      <c r="AK686" t="s">
        <v>69</v>
      </c>
      <c r="AL686" t="s">
        <v>69</v>
      </c>
      <c r="AM686" t="s">
        <v>69</v>
      </c>
      <c r="AN686">
        <v>24</v>
      </c>
      <c r="AO686">
        <v>2</v>
      </c>
      <c r="AP686">
        <v>2</v>
      </c>
      <c r="AQ686">
        <v>0</v>
      </c>
      <c r="AR686">
        <v>0</v>
      </c>
      <c r="AS686" t="s">
        <v>9203</v>
      </c>
      <c r="AT686" t="s">
        <v>8763</v>
      </c>
      <c r="AU686" t="s">
        <v>9204</v>
      </c>
      <c r="AV686" t="s">
        <v>69</v>
      </c>
      <c r="AW686" t="s">
        <v>24373</v>
      </c>
      <c r="AX686" t="s">
        <v>69</v>
      </c>
      <c r="AY686" t="s">
        <v>24374</v>
      </c>
      <c r="AZ686" t="s">
        <v>24375</v>
      </c>
      <c r="BA686" t="s">
        <v>69</v>
      </c>
      <c r="BB686">
        <v>2014</v>
      </c>
      <c r="BC686">
        <v>3</v>
      </c>
      <c r="BD686" t="s">
        <v>69</v>
      </c>
      <c r="BE686" t="s">
        <v>69</v>
      </c>
      <c r="BF686" t="s">
        <v>69</v>
      </c>
      <c r="BG686" t="s">
        <v>69</v>
      </c>
      <c r="BH686" t="s">
        <v>69</v>
      </c>
      <c r="BI686" t="s">
        <v>69</v>
      </c>
      <c r="BJ686" t="s">
        <v>69</v>
      </c>
      <c r="BK686">
        <v>115</v>
      </c>
      <c r="BL686" t="s">
        <v>24376</v>
      </c>
      <c r="BM686" t="str">
        <f>HYPERLINK("http://dx.doi.org/10.1186/2046-4053-3-115","http://dx.doi.org/10.1186/2046-4053-3-115")</f>
        <v>http://dx.doi.org/10.1186/2046-4053-3-115</v>
      </c>
      <c r="BN686" t="s">
        <v>69</v>
      </c>
      <c r="BO686" t="s">
        <v>69</v>
      </c>
      <c r="BP686">
        <v>5</v>
      </c>
      <c r="BQ686" t="s">
        <v>9450</v>
      </c>
      <c r="BR686" t="s">
        <v>8573</v>
      </c>
      <c r="BS686" t="s">
        <v>9451</v>
      </c>
      <c r="BT686" t="s">
        <v>24377</v>
      </c>
      <c r="BU686" t="s">
        <v>24378</v>
      </c>
      <c r="BV686">
        <v>25312976</v>
      </c>
      <c r="BW686" t="s">
        <v>9352</v>
      </c>
      <c r="BX686" t="s">
        <v>69</v>
      </c>
      <c r="BY686" t="s">
        <v>69</v>
      </c>
      <c r="BZ686" t="s">
        <v>8526</v>
      </c>
      <c r="CA686" t="str">
        <f>HYPERLINK("https%3A%2F%2Fwww.webofscience.com%2Fwos%2Fwoscc%2Ffull-record%2FWOS:000453128800114","View Full Record in Web of Science")</f>
        <v>View Full Record in Web of Science</v>
      </c>
    </row>
    <row r="687" spans="2:79" x14ac:dyDescent="0.3">
      <c r="B687" t="s">
        <v>8495</v>
      </c>
      <c r="D687" s="12" t="s">
        <v>32987</v>
      </c>
      <c r="H687" t="s">
        <v>67</v>
      </c>
      <c r="I687" t="s">
        <v>4404</v>
      </c>
      <c r="J687" t="s">
        <v>69</v>
      </c>
      <c r="K687" t="s">
        <v>69</v>
      </c>
      <c r="L687" t="s">
        <v>69</v>
      </c>
      <c r="M687" s="3" t="s">
        <v>4405</v>
      </c>
      <c r="N687" t="s">
        <v>69</v>
      </c>
      <c r="O687" t="s">
        <v>69</v>
      </c>
      <c r="P687" s="2" t="s">
        <v>4879</v>
      </c>
      <c r="Q687" t="s">
        <v>4880</v>
      </c>
      <c r="R687" t="s">
        <v>69</v>
      </c>
      <c r="S687" t="s">
        <v>69</v>
      </c>
      <c r="T687" t="s">
        <v>8505</v>
      </c>
      <c r="U687" t="s">
        <v>8506</v>
      </c>
      <c r="V687" t="s">
        <v>69</v>
      </c>
      <c r="W687" t="s">
        <v>69</v>
      </c>
      <c r="X687" t="s">
        <v>69</v>
      </c>
      <c r="Y687" t="s">
        <v>69</v>
      </c>
      <c r="Z687" t="s">
        <v>69</v>
      </c>
      <c r="AA687" t="s">
        <v>18221</v>
      </c>
      <c r="AB687" t="s">
        <v>18222</v>
      </c>
      <c r="AC687" t="s">
        <v>4881</v>
      </c>
      <c r="AD687" t="s">
        <v>18223</v>
      </c>
      <c r="AE687" t="s">
        <v>69</v>
      </c>
      <c r="AF687" t="s">
        <v>18224</v>
      </c>
      <c r="AG687" t="s">
        <v>18225</v>
      </c>
      <c r="AH687" t="s">
        <v>4409</v>
      </c>
      <c r="AI687" t="s">
        <v>4410</v>
      </c>
      <c r="AJ687" t="s">
        <v>18226</v>
      </c>
      <c r="AK687" t="s">
        <v>18226</v>
      </c>
      <c r="AL687" t="s">
        <v>18227</v>
      </c>
      <c r="AM687" t="s">
        <v>69</v>
      </c>
      <c r="AN687">
        <v>100</v>
      </c>
      <c r="AO687">
        <v>6</v>
      </c>
      <c r="AP687">
        <v>8</v>
      </c>
      <c r="AQ687">
        <v>6</v>
      </c>
      <c r="AR687">
        <v>20</v>
      </c>
      <c r="AS687" t="s">
        <v>8846</v>
      </c>
      <c r="AT687" t="s">
        <v>8847</v>
      </c>
      <c r="AU687" t="s">
        <v>8848</v>
      </c>
      <c r="AV687" t="s">
        <v>4882</v>
      </c>
      <c r="AW687" t="s">
        <v>4883</v>
      </c>
      <c r="AX687" t="s">
        <v>69</v>
      </c>
      <c r="AY687" t="s">
        <v>15931</v>
      </c>
      <c r="AZ687" t="s">
        <v>15932</v>
      </c>
      <c r="BA687" t="s">
        <v>274</v>
      </c>
      <c r="BB687">
        <v>2018</v>
      </c>
      <c r="BC687">
        <v>22</v>
      </c>
      <c r="BD687">
        <v>3</v>
      </c>
      <c r="BE687" t="s">
        <v>69</v>
      </c>
      <c r="BF687" t="s">
        <v>69</v>
      </c>
      <c r="BG687" t="s">
        <v>69</v>
      </c>
      <c r="BH687" t="s">
        <v>69</v>
      </c>
      <c r="BI687">
        <v>404</v>
      </c>
      <c r="BJ687">
        <v>421</v>
      </c>
      <c r="BK687" t="s">
        <v>69</v>
      </c>
      <c r="BL687" t="s">
        <v>4884</v>
      </c>
      <c r="BM687" t="str">
        <f>HYPERLINK("http://dx.doi.org/10.1111/ijau.12125","http://dx.doi.org/10.1111/ijau.12125")</f>
        <v>http://dx.doi.org/10.1111/ijau.12125</v>
      </c>
      <c r="BN687" t="s">
        <v>69</v>
      </c>
      <c r="BO687" t="s">
        <v>69</v>
      </c>
      <c r="BP687">
        <v>18</v>
      </c>
      <c r="BQ687" t="s">
        <v>9749</v>
      </c>
      <c r="BR687" t="s">
        <v>8661</v>
      </c>
      <c r="BS687" t="s">
        <v>8594</v>
      </c>
      <c r="BT687" t="s">
        <v>18228</v>
      </c>
      <c r="BU687" t="s">
        <v>4885</v>
      </c>
      <c r="BV687" t="s">
        <v>69</v>
      </c>
      <c r="BW687" t="s">
        <v>69</v>
      </c>
      <c r="BX687" t="s">
        <v>69</v>
      </c>
      <c r="BY687" t="s">
        <v>69</v>
      </c>
      <c r="BZ687" t="s">
        <v>8526</v>
      </c>
      <c r="CA687" t="str">
        <f>HYPERLINK("https%3A%2F%2Fwww.webofscience.com%2Fwos%2Fwoscc%2Ffull-record%2FWOS:000448847400007","View Full Record in Web of Science")</f>
        <v>View Full Record in Web of Science</v>
      </c>
    </row>
    <row r="688" spans="2:79" ht="12.5" x14ac:dyDescent="0.25">
      <c r="B688" t="s">
        <v>8495</v>
      </c>
      <c r="D688" s="7" t="s">
        <v>32933</v>
      </c>
      <c r="E688" s="7"/>
      <c r="F688" s="7"/>
      <c r="G688" s="7"/>
      <c r="H688" t="s">
        <v>67</v>
      </c>
      <c r="I688" t="s">
        <v>7102</v>
      </c>
      <c r="J688" t="s">
        <v>69</v>
      </c>
      <c r="K688" t="s">
        <v>69</v>
      </c>
      <c r="L688" t="s">
        <v>69</v>
      </c>
      <c r="M688" t="s">
        <v>7103</v>
      </c>
      <c r="N688" t="s">
        <v>69</v>
      </c>
      <c r="O688" t="s">
        <v>69</v>
      </c>
      <c r="P688" t="s">
        <v>7104</v>
      </c>
      <c r="Q688" t="s">
        <v>206</v>
      </c>
      <c r="R688" t="s">
        <v>69</v>
      </c>
      <c r="S688" t="s">
        <v>69</v>
      </c>
      <c r="T688" t="s">
        <v>8505</v>
      </c>
      <c r="U688" t="s">
        <v>8506</v>
      </c>
      <c r="V688" t="s">
        <v>69</v>
      </c>
      <c r="W688" t="s">
        <v>69</v>
      </c>
      <c r="X688" t="s">
        <v>69</v>
      </c>
      <c r="Y688" t="s">
        <v>69</v>
      </c>
      <c r="Z688" t="s">
        <v>69</v>
      </c>
      <c r="AA688" t="s">
        <v>18741</v>
      </c>
      <c r="AB688" t="s">
        <v>18742</v>
      </c>
      <c r="AC688" t="s">
        <v>7105</v>
      </c>
      <c r="AD688" t="s">
        <v>18743</v>
      </c>
      <c r="AE688" t="s">
        <v>69</v>
      </c>
      <c r="AF688" t="s">
        <v>18744</v>
      </c>
      <c r="AG688" t="s">
        <v>18745</v>
      </c>
      <c r="AH688" t="s">
        <v>69</v>
      </c>
      <c r="AI688" t="s">
        <v>18746</v>
      </c>
      <c r="AJ688" t="s">
        <v>18747</v>
      </c>
      <c r="AK688" t="s">
        <v>18747</v>
      </c>
      <c r="AL688" t="s">
        <v>18748</v>
      </c>
      <c r="AM688" t="s">
        <v>69</v>
      </c>
      <c r="AN688">
        <v>67</v>
      </c>
      <c r="AO688">
        <v>8</v>
      </c>
      <c r="AP688">
        <v>8</v>
      </c>
      <c r="AQ688">
        <v>4</v>
      </c>
      <c r="AR688">
        <v>24</v>
      </c>
      <c r="AS688" t="s">
        <v>18749</v>
      </c>
      <c r="AT688" t="s">
        <v>8763</v>
      </c>
      <c r="AU688" t="s">
        <v>18750</v>
      </c>
      <c r="AV688" t="s">
        <v>208</v>
      </c>
      <c r="AW688" t="s">
        <v>69</v>
      </c>
      <c r="AX688" t="s">
        <v>69</v>
      </c>
      <c r="AY688" t="s">
        <v>206</v>
      </c>
      <c r="AZ688" t="s">
        <v>10704</v>
      </c>
      <c r="BA688" t="s">
        <v>7106</v>
      </c>
      <c r="BB688">
        <v>2018</v>
      </c>
      <c r="BC688">
        <v>18</v>
      </c>
      <c r="BD688" t="s">
        <v>69</v>
      </c>
      <c r="BE688" t="s">
        <v>69</v>
      </c>
      <c r="BF688" t="s">
        <v>69</v>
      </c>
      <c r="BG688" t="s">
        <v>69</v>
      </c>
      <c r="BH688" t="s">
        <v>69</v>
      </c>
      <c r="BI688" t="s">
        <v>69</v>
      </c>
      <c r="BJ688" t="s">
        <v>69</v>
      </c>
      <c r="BK688">
        <v>636</v>
      </c>
      <c r="BL688" t="s">
        <v>7107</v>
      </c>
      <c r="BM688" t="str">
        <f>HYPERLINK("http://dx.doi.org/10.1186/s12889-018-5482-x","http://dx.doi.org/10.1186/s12889-018-5482-x")</f>
        <v>http://dx.doi.org/10.1186/s12889-018-5482-x</v>
      </c>
      <c r="BN688" t="s">
        <v>69</v>
      </c>
      <c r="BO688" t="s">
        <v>69</v>
      </c>
      <c r="BP688">
        <v>14</v>
      </c>
      <c r="BQ688" t="s">
        <v>8810</v>
      </c>
      <c r="BR688" t="s">
        <v>8523</v>
      </c>
      <c r="BS688" t="s">
        <v>8810</v>
      </c>
      <c r="BT688" t="s">
        <v>18751</v>
      </c>
      <c r="BU688" t="s">
        <v>7108</v>
      </c>
      <c r="BV688">
        <v>29769054</v>
      </c>
      <c r="BW688" t="s">
        <v>8812</v>
      </c>
      <c r="BX688" t="s">
        <v>69</v>
      </c>
      <c r="BY688" t="s">
        <v>69</v>
      </c>
      <c r="BZ688" t="s">
        <v>8526</v>
      </c>
      <c r="CA688" t="str">
        <f>HYPERLINK("https%3A%2F%2Fwww.webofscience.com%2Fwos%2Fwoscc%2Ffull-record%2FWOS:000432721200006","View Full Record in Web of Science")</f>
        <v>View Full Record in Web of Science</v>
      </c>
    </row>
    <row r="689" spans="1:79" ht="12.5" x14ac:dyDescent="0.25">
      <c r="B689" t="s">
        <v>8495</v>
      </c>
      <c r="D689" s="7" t="s">
        <v>32933</v>
      </c>
      <c r="E689" s="7"/>
      <c r="F689" s="7"/>
      <c r="G689" s="7"/>
      <c r="H689" t="s">
        <v>67</v>
      </c>
      <c r="I689" t="s">
        <v>7364</v>
      </c>
      <c r="J689" t="s">
        <v>69</v>
      </c>
      <c r="K689" t="s">
        <v>69</v>
      </c>
      <c r="L689" t="s">
        <v>69</v>
      </c>
      <c r="M689" t="s">
        <v>7365</v>
      </c>
      <c r="N689" t="s">
        <v>69</v>
      </c>
      <c r="O689" t="s">
        <v>69</v>
      </c>
      <c r="P689" t="s">
        <v>7366</v>
      </c>
      <c r="Q689" t="s">
        <v>7367</v>
      </c>
      <c r="R689" t="s">
        <v>69</v>
      </c>
      <c r="S689" t="s">
        <v>69</v>
      </c>
      <c r="T689" t="s">
        <v>8505</v>
      </c>
      <c r="U689" t="s">
        <v>8506</v>
      </c>
      <c r="V689" t="s">
        <v>69</v>
      </c>
      <c r="W689" t="s">
        <v>69</v>
      </c>
      <c r="X689" t="s">
        <v>69</v>
      </c>
      <c r="Y689" t="s">
        <v>69</v>
      </c>
      <c r="Z689" t="s">
        <v>69</v>
      </c>
      <c r="AA689" t="s">
        <v>20519</v>
      </c>
      <c r="AB689" t="s">
        <v>20520</v>
      </c>
      <c r="AC689" t="s">
        <v>7368</v>
      </c>
      <c r="AD689" t="s">
        <v>20521</v>
      </c>
      <c r="AE689" t="s">
        <v>69</v>
      </c>
      <c r="AF689" t="s">
        <v>20522</v>
      </c>
      <c r="AG689" t="s">
        <v>20523</v>
      </c>
      <c r="AH689" t="s">
        <v>20524</v>
      </c>
      <c r="AI689" t="s">
        <v>20525</v>
      </c>
      <c r="AJ689" t="s">
        <v>69</v>
      </c>
      <c r="AK689" t="s">
        <v>69</v>
      </c>
      <c r="AL689" t="s">
        <v>69</v>
      </c>
      <c r="AM689" t="s">
        <v>69</v>
      </c>
      <c r="AN689">
        <v>72</v>
      </c>
      <c r="AO689">
        <v>77</v>
      </c>
      <c r="AP689">
        <v>77</v>
      </c>
      <c r="AQ689">
        <v>45</v>
      </c>
      <c r="AR689">
        <v>148</v>
      </c>
      <c r="AS689" t="s">
        <v>17140</v>
      </c>
      <c r="AT689" t="s">
        <v>8517</v>
      </c>
      <c r="AU689" t="s">
        <v>17141</v>
      </c>
      <c r="AV689" t="s">
        <v>7369</v>
      </c>
      <c r="AW689" t="s">
        <v>69</v>
      </c>
      <c r="AX689" t="s">
        <v>69</v>
      </c>
      <c r="AY689" t="s">
        <v>20526</v>
      </c>
      <c r="AZ689" t="s">
        <v>20527</v>
      </c>
      <c r="BA689" t="s">
        <v>94</v>
      </c>
      <c r="BB689">
        <v>2017</v>
      </c>
      <c r="BC689">
        <v>10</v>
      </c>
      <c r="BD689" t="s">
        <v>69</v>
      </c>
      <c r="BE689" t="s">
        <v>69</v>
      </c>
      <c r="BF689" t="s">
        <v>69</v>
      </c>
      <c r="BG689" t="s">
        <v>69</v>
      </c>
      <c r="BH689" t="s">
        <v>69</v>
      </c>
      <c r="BI689">
        <v>89</v>
      </c>
      <c r="BJ689">
        <v>101</v>
      </c>
      <c r="BK689" t="s">
        <v>69</v>
      </c>
      <c r="BL689" t="s">
        <v>7370</v>
      </c>
      <c r="BM689" t="str">
        <f>HYPERLINK("http://dx.doi.org/10.1016/j.jobe.2017.02.006","http://dx.doi.org/10.1016/j.jobe.2017.02.006")</f>
        <v>http://dx.doi.org/10.1016/j.jobe.2017.02.006</v>
      </c>
      <c r="BN689" t="s">
        <v>69</v>
      </c>
      <c r="BO689" t="s">
        <v>69</v>
      </c>
      <c r="BP689">
        <v>13</v>
      </c>
      <c r="BQ689" t="s">
        <v>11242</v>
      </c>
      <c r="BR689" t="s">
        <v>8548</v>
      </c>
      <c r="BS689" t="s">
        <v>8549</v>
      </c>
      <c r="BT689" t="s">
        <v>20528</v>
      </c>
      <c r="BU689" t="s">
        <v>7371</v>
      </c>
      <c r="BV689" t="s">
        <v>69</v>
      </c>
      <c r="BW689" t="s">
        <v>9292</v>
      </c>
      <c r="BX689" t="s">
        <v>69</v>
      </c>
      <c r="BY689" t="s">
        <v>69</v>
      </c>
      <c r="BZ689" t="s">
        <v>8526</v>
      </c>
      <c r="CA689" t="str">
        <f>HYPERLINK("https%3A%2F%2Fwww.webofscience.com%2Fwos%2Fwoscc%2Ffull-record%2FWOS:000398995200010","View Full Record in Web of Science")</f>
        <v>View Full Record in Web of Science</v>
      </c>
    </row>
    <row r="690" spans="1:79" ht="12.5" x14ac:dyDescent="0.25">
      <c r="B690" t="s">
        <v>8495</v>
      </c>
      <c r="D690" s="22" t="s">
        <v>32931</v>
      </c>
      <c r="E690" s="7"/>
      <c r="F690" s="7"/>
      <c r="G690" s="7"/>
      <c r="H690" t="s">
        <v>67</v>
      </c>
      <c r="I690" t="s">
        <v>14104</v>
      </c>
      <c r="J690" t="s">
        <v>69</v>
      </c>
      <c r="K690" t="s">
        <v>69</v>
      </c>
      <c r="L690" t="s">
        <v>69</v>
      </c>
      <c r="M690" t="s">
        <v>14105</v>
      </c>
      <c r="N690" t="s">
        <v>69</v>
      </c>
      <c r="O690" t="s">
        <v>69</v>
      </c>
      <c r="P690" t="s">
        <v>14106</v>
      </c>
      <c r="Q690" t="s">
        <v>14107</v>
      </c>
      <c r="R690" t="s">
        <v>69</v>
      </c>
      <c r="S690" t="s">
        <v>69</v>
      </c>
      <c r="T690" t="s">
        <v>8505</v>
      </c>
      <c r="U690" t="s">
        <v>8506</v>
      </c>
      <c r="V690" t="s">
        <v>69</v>
      </c>
      <c r="W690" t="s">
        <v>69</v>
      </c>
      <c r="X690" t="s">
        <v>69</v>
      </c>
      <c r="Y690" t="s">
        <v>69</v>
      </c>
      <c r="Z690" t="s">
        <v>69</v>
      </c>
      <c r="AA690" t="s">
        <v>14108</v>
      </c>
      <c r="AB690" t="s">
        <v>14109</v>
      </c>
      <c r="AC690" t="s">
        <v>14110</v>
      </c>
      <c r="AD690" t="s">
        <v>14111</v>
      </c>
      <c r="AE690" t="s">
        <v>69</v>
      </c>
      <c r="AF690" t="s">
        <v>14112</v>
      </c>
      <c r="AG690" t="s">
        <v>14113</v>
      </c>
      <c r="AH690" t="s">
        <v>69</v>
      </c>
      <c r="AI690" t="s">
        <v>14114</v>
      </c>
      <c r="AJ690" t="s">
        <v>69</v>
      </c>
      <c r="AK690" t="s">
        <v>69</v>
      </c>
      <c r="AL690" t="s">
        <v>69</v>
      </c>
      <c r="AM690" t="s">
        <v>69</v>
      </c>
      <c r="AN690">
        <v>77</v>
      </c>
      <c r="AO690">
        <v>3</v>
      </c>
      <c r="AP690">
        <v>3</v>
      </c>
      <c r="AQ690">
        <v>1</v>
      </c>
      <c r="AR690">
        <v>6</v>
      </c>
      <c r="AS690" t="s">
        <v>8924</v>
      </c>
      <c r="AT690" t="s">
        <v>8925</v>
      </c>
      <c r="AU690" t="s">
        <v>8926</v>
      </c>
      <c r="AV690" t="s">
        <v>69</v>
      </c>
      <c r="AW690" t="s">
        <v>14115</v>
      </c>
      <c r="AX690" t="s">
        <v>69</v>
      </c>
      <c r="AY690" t="s">
        <v>14116</v>
      </c>
      <c r="AZ690" t="s">
        <v>14117</v>
      </c>
      <c r="BA690" t="s">
        <v>274</v>
      </c>
      <c r="BB690">
        <v>2020</v>
      </c>
      <c r="BC690">
        <v>10</v>
      </c>
      <c r="BD690">
        <v>22</v>
      </c>
      <c r="BE690" t="s">
        <v>69</v>
      </c>
      <c r="BF690" t="s">
        <v>69</v>
      </c>
      <c r="BG690" t="s">
        <v>69</v>
      </c>
      <c r="BH690" t="s">
        <v>69</v>
      </c>
      <c r="BI690" t="s">
        <v>69</v>
      </c>
      <c r="BJ690" t="s">
        <v>69</v>
      </c>
      <c r="BK690">
        <v>8098</v>
      </c>
      <c r="BL690" t="s">
        <v>14118</v>
      </c>
      <c r="BM690" t="str">
        <f>HYPERLINK("http://dx.doi.org/10.3390/app10228098","http://dx.doi.org/10.3390/app10228098")</f>
        <v>http://dx.doi.org/10.3390/app10228098</v>
      </c>
      <c r="BN690" t="s">
        <v>69</v>
      </c>
      <c r="BO690" t="s">
        <v>69</v>
      </c>
      <c r="BP690">
        <v>27</v>
      </c>
      <c r="BQ690" t="s">
        <v>14119</v>
      </c>
      <c r="BR690" t="s">
        <v>8523</v>
      </c>
      <c r="BS690" t="s">
        <v>14120</v>
      </c>
      <c r="BT690" t="s">
        <v>14121</v>
      </c>
      <c r="BU690" t="s">
        <v>14122</v>
      </c>
      <c r="BV690" t="s">
        <v>69</v>
      </c>
      <c r="BW690" t="s">
        <v>12220</v>
      </c>
      <c r="BX690" t="s">
        <v>69</v>
      </c>
      <c r="BY690" t="s">
        <v>69</v>
      </c>
      <c r="BZ690" t="s">
        <v>8526</v>
      </c>
      <c r="CA690" t="str">
        <f>HYPERLINK("https%3A%2F%2Fwww.webofscience.com%2Fwos%2Fwoscc%2Ffull-record%2FWOS:000594895300001","View Full Record in Web of Science")</f>
        <v>View Full Record in Web of Science</v>
      </c>
    </row>
    <row r="691" spans="1:79" ht="12.5" x14ac:dyDescent="0.25">
      <c r="B691" t="s">
        <v>8495</v>
      </c>
      <c r="D691" s="22" t="s">
        <v>32931</v>
      </c>
      <c r="E691" s="7"/>
      <c r="F691" s="7"/>
      <c r="G691" s="7"/>
      <c r="H691" t="s">
        <v>67</v>
      </c>
      <c r="I691" t="s">
        <v>17523</v>
      </c>
      <c r="J691" t="s">
        <v>69</v>
      </c>
      <c r="K691" t="s">
        <v>69</v>
      </c>
      <c r="L691" t="s">
        <v>69</v>
      </c>
      <c r="M691" t="s">
        <v>17524</v>
      </c>
      <c r="N691" t="s">
        <v>69</v>
      </c>
      <c r="O691" t="s">
        <v>69</v>
      </c>
      <c r="P691" t="s">
        <v>17525</v>
      </c>
      <c r="Q691" t="s">
        <v>7846</v>
      </c>
      <c r="R691" t="s">
        <v>69</v>
      </c>
      <c r="S691" t="s">
        <v>69</v>
      </c>
      <c r="T691" t="s">
        <v>8505</v>
      </c>
      <c r="U691" t="s">
        <v>8506</v>
      </c>
      <c r="V691" t="s">
        <v>69</v>
      </c>
      <c r="W691" t="s">
        <v>69</v>
      </c>
      <c r="X691" t="s">
        <v>69</v>
      </c>
      <c r="Y691" t="s">
        <v>69</v>
      </c>
      <c r="Z691" t="s">
        <v>69</v>
      </c>
      <c r="AA691" t="s">
        <v>17526</v>
      </c>
      <c r="AB691" t="s">
        <v>17527</v>
      </c>
      <c r="AC691" t="s">
        <v>17528</v>
      </c>
      <c r="AD691" t="s">
        <v>17529</v>
      </c>
      <c r="AE691" t="s">
        <v>69</v>
      </c>
      <c r="AF691" t="s">
        <v>17530</v>
      </c>
      <c r="AG691" t="s">
        <v>17531</v>
      </c>
      <c r="AH691" t="s">
        <v>69</v>
      </c>
      <c r="AI691" t="s">
        <v>17532</v>
      </c>
      <c r="AJ691" t="s">
        <v>17533</v>
      </c>
      <c r="AK691" t="s">
        <v>17534</v>
      </c>
      <c r="AL691" t="s">
        <v>17535</v>
      </c>
      <c r="AM691" t="s">
        <v>69</v>
      </c>
      <c r="AN691">
        <v>52</v>
      </c>
      <c r="AO691">
        <v>0</v>
      </c>
      <c r="AP691">
        <v>0</v>
      </c>
      <c r="AQ691">
        <v>1</v>
      </c>
      <c r="AR691">
        <v>36</v>
      </c>
      <c r="AS691" t="s">
        <v>8516</v>
      </c>
      <c r="AT691" t="s">
        <v>8517</v>
      </c>
      <c r="AU691" t="s">
        <v>8518</v>
      </c>
      <c r="AV691" t="s">
        <v>7850</v>
      </c>
      <c r="AW691" t="s">
        <v>7851</v>
      </c>
      <c r="AX691" t="s">
        <v>69</v>
      </c>
      <c r="AY691" t="s">
        <v>17536</v>
      </c>
      <c r="AZ691" t="s">
        <v>17537</v>
      </c>
      <c r="BA691" t="s">
        <v>3909</v>
      </c>
      <c r="BB691">
        <v>2019</v>
      </c>
      <c r="BC691">
        <v>434</v>
      </c>
      <c r="BD691" t="s">
        <v>69</v>
      </c>
      <c r="BE691" t="s">
        <v>69</v>
      </c>
      <c r="BF691" t="s">
        <v>69</v>
      </c>
      <c r="BG691" t="s">
        <v>69</v>
      </c>
      <c r="BH691" t="s">
        <v>69</v>
      </c>
      <c r="BI691">
        <v>172</v>
      </c>
      <c r="BJ691">
        <v>180</v>
      </c>
      <c r="BK691" t="s">
        <v>69</v>
      </c>
      <c r="BL691" t="s">
        <v>17538</v>
      </c>
      <c r="BM691" t="str">
        <f>HYPERLINK("http://dx.doi.org/10.1016/j.foreco.2018.12.025","http://dx.doi.org/10.1016/j.foreco.2018.12.025")</f>
        <v>http://dx.doi.org/10.1016/j.foreco.2018.12.025</v>
      </c>
      <c r="BN691" t="s">
        <v>69</v>
      </c>
      <c r="BO691" t="s">
        <v>69</v>
      </c>
      <c r="BP691">
        <v>9</v>
      </c>
      <c r="BQ691" t="s">
        <v>8453</v>
      </c>
      <c r="BR691" t="s">
        <v>8523</v>
      </c>
      <c r="BS691" t="s">
        <v>8453</v>
      </c>
      <c r="BT691" t="s">
        <v>17539</v>
      </c>
      <c r="BU691" t="s">
        <v>17540</v>
      </c>
      <c r="BV691" t="s">
        <v>69</v>
      </c>
      <c r="BW691" t="s">
        <v>69</v>
      </c>
      <c r="BX691" t="s">
        <v>69</v>
      </c>
      <c r="BY691" t="s">
        <v>69</v>
      </c>
      <c r="BZ691" t="s">
        <v>8526</v>
      </c>
      <c r="CA691" t="str">
        <f>HYPERLINK("https%3A%2F%2Fwww.webofscience.com%2Fwos%2Fwoscc%2Ffull-record%2FWOS:000457657100016","View Full Record in Web of Science")</f>
        <v>View Full Record in Web of Science</v>
      </c>
    </row>
    <row r="692" spans="1:79" ht="12.5" x14ac:dyDescent="0.25">
      <c r="B692" t="s">
        <v>8495</v>
      </c>
      <c r="D692" s="22" t="s">
        <v>32931</v>
      </c>
      <c r="E692" s="7"/>
      <c r="F692" s="7"/>
      <c r="G692" s="7"/>
      <c r="H692" t="s">
        <v>67</v>
      </c>
      <c r="I692" t="s">
        <v>10443</v>
      </c>
      <c r="J692" t="s">
        <v>69</v>
      </c>
      <c r="K692" t="s">
        <v>69</v>
      </c>
      <c r="L692" t="s">
        <v>69</v>
      </c>
      <c r="M692" t="s">
        <v>10444</v>
      </c>
      <c r="N692" t="s">
        <v>69</v>
      </c>
      <c r="O692" t="s">
        <v>69</v>
      </c>
      <c r="P692" t="s">
        <v>10445</v>
      </c>
      <c r="Q692" t="s">
        <v>10446</v>
      </c>
      <c r="R692" t="s">
        <v>69</v>
      </c>
      <c r="S692" t="s">
        <v>69</v>
      </c>
      <c r="T692" t="s">
        <v>8505</v>
      </c>
      <c r="U692" t="s">
        <v>8556</v>
      </c>
      <c r="V692" t="s">
        <v>69</v>
      </c>
      <c r="W692" t="s">
        <v>69</v>
      </c>
      <c r="X692" t="s">
        <v>69</v>
      </c>
      <c r="Y692" t="s">
        <v>69</v>
      </c>
      <c r="Z692" t="s">
        <v>69</v>
      </c>
      <c r="AA692" t="s">
        <v>10447</v>
      </c>
      <c r="AB692" t="s">
        <v>10448</v>
      </c>
      <c r="AC692" t="s">
        <v>10449</v>
      </c>
      <c r="AD692" t="s">
        <v>10450</v>
      </c>
      <c r="AE692" t="s">
        <v>69</v>
      </c>
      <c r="AF692" t="s">
        <v>10451</v>
      </c>
      <c r="AG692" t="s">
        <v>10452</v>
      </c>
      <c r="AH692" t="s">
        <v>69</v>
      </c>
      <c r="AI692" t="s">
        <v>10453</v>
      </c>
      <c r="AJ692" t="s">
        <v>69</v>
      </c>
      <c r="AK692" t="s">
        <v>69</v>
      </c>
      <c r="AL692" t="s">
        <v>69</v>
      </c>
      <c r="AM692" t="s">
        <v>69</v>
      </c>
      <c r="AN692">
        <v>71</v>
      </c>
      <c r="AO692">
        <v>0</v>
      </c>
      <c r="AP692">
        <v>0</v>
      </c>
      <c r="AQ692">
        <v>3</v>
      </c>
      <c r="AR692">
        <v>3</v>
      </c>
      <c r="AS692" t="s">
        <v>8586</v>
      </c>
      <c r="AT692" t="s">
        <v>8587</v>
      </c>
      <c r="AU692" t="s">
        <v>8588</v>
      </c>
      <c r="AV692" t="s">
        <v>10454</v>
      </c>
      <c r="AW692" t="s">
        <v>10455</v>
      </c>
      <c r="AX692" t="s">
        <v>69</v>
      </c>
      <c r="AY692" t="s">
        <v>10456</v>
      </c>
      <c r="AZ692" t="s">
        <v>10457</v>
      </c>
      <c r="BA692" t="s">
        <v>69</v>
      </c>
      <c r="BB692" t="s">
        <v>69</v>
      </c>
      <c r="BC692" t="s">
        <v>69</v>
      </c>
      <c r="BD692" t="s">
        <v>69</v>
      </c>
      <c r="BE692" t="s">
        <v>69</v>
      </c>
      <c r="BF692" t="s">
        <v>69</v>
      </c>
      <c r="BG692" t="s">
        <v>69</v>
      </c>
      <c r="BH692" t="s">
        <v>69</v>
      </c>
      <c r="BI692" t="s">
        <v>69</v>
      </c>
      <c r="BJ692" t="s">
        <v>69</v>
      </c>
      <c r="BK692" t="s">
        <v>69</v>
      </c>
      <c r="BL692" t="s">
        <v>10458</v>
      </c>
      <c r="BM692" t="str">
        <f>HYPERLINK("http://dx.doi.org/10.1108/JQME-05-2021-0038","http://dx.doi.org/10.1108/JQME-05-2021-0038")</f>
        <v>http://dx.doi.org/10.1108/JQME-05-2021-0038</v>
      </c>
      <c r="BN692" t="s">
        <v>69</v>
      </c>
      <c r="BO692" t="s">
        <v>10359</v>
      </c>
      <c r="BP692">
        <v>20</v>
      </c>
      <c r="BQ692" t="s">
        <v>10459</v>
      </c>
      <c r="BR692" t="s">
        <v>8573</v>
      </c>
      <c r="BS692" t="s">
        <v>8445</v>
      </c>
      <c r="BT692" t="s">
        <v>10460</v>
      </c>
      <c r="BU692" t="s">
        <v>10461</v>
      </c>
      <c r="BV692" t="s">
        <v>69</v>
      </c>
      <c r="BW692" t="s">
        <v>69</v>
      </c>
      <c r="BX692" t="s">
        <v>69</v>
      </c>
      <c r="BY692" t="s">
        <v>69</v>
      </c>
      <c r="BZ692" t="s">
        <v>8526</v>
      </c>
      <c r="CA692" t="str">
        <f>HYPERLINK("https%3A%2F%2Fwww.webofscience.com%2Fwos%2Fwoscc%2Ffull-record%2FWOS:000730618300001","View Full Record in Web of Science")</f>
        <v>View Full Record in Web of Science</v>
      </c>
    </row>
    <row r="693" spans="1:79" ht="12.5" x14ac:dyDescent="0.25">
      <c r="B693" t="s">
        <v>8495</v>
      </c>
      <c r="D693" s="22" t="s">
        <v>32931</v>
      </c>
      <c r="E693" s="7"/>
      <c r="F693" s="7"/>
      <c r="G693" s="7"/>
      <c r="H693" t="s">
        <v>67</v>
      </c>
      <c r="I693" t="s">
        <v>31339</v>
      </c>
      <c r="J693" t="s">
        <v>69</v>
      </c>
      <c r="K693" t="s">
        <v>69</v>
      </c>
      <c r="L693" t="s">
        <v>69</v>
      </c>
      <c r="M693" t="s">
        <v>31339</v>
      </c>
      <c r="N693" t="s">
        <v>69</v>
      </c>
      <c r="O693" t="s">
        <v>69</v>
      </c>
      <c r="P693" t="s">
        <v>31340</v>
      </c>
      <c r="Q693" t="s">
        <v>31341</v>
      </c>
      <c r="R693" t="s">
        <v>69</v>
      </c>
      <c r="S693" t="s">
        <v>69</v>
      </c>
      <c r="T693" t="s">
        <v>14800</v>
      </c>
      <c r="U693" t="s">
        <v>8506</v>
      </c>
      <c r="V693" t="s">
        <v>69</v>
      </c>
      <c r="W693" t="s">
        <v>69</v>
      </c>
      <c r="X693" t="s">
        <v>69</v>
      </c>
      <c r="Y693" t="s">
        <v>69</v>
      </c>
      <c r="Z693" t="s">
        <v>69</v>
      </c>
      <c r="AA693" t="s">
        <v>69</v>
      </c>
      <c r="AB693" t="s">
        <v>31342</v>
      </c>
      <c r="AC693" t="s">
        <v>31343</v>
      </c>
      <c r="AD693" t="s">
        <v>31344</v>
      </c>
      <c r="AE693" t="s">
        <v>69</v>
      </c>
      <c r="AF693" t="s">
        <v>31345</v>
      </c>
      <c r="AG693" t="s">
        <v>31346</v>
      </c>
      <c r="AH693" t="s">
        <v>31347</v>
      </c>
      <c r="AI693" t="s">
        <v>31348</v>
      </c>
      <c r="AJ693" t="s">
        <v>69</v>
      </c>
      <c r="AK693" t="s">
        <v>69</v>
      </c>
      <c r="AL693" t="s">
        <v>69</v>
      </c>
      <c r="AM693" t="s">
        <v>69</v>
      </c>
      <c r="AN693">
        <v>23</v>
      </c>
      <c r="AO693">
        <v>6</v>
      </c>
      <c r="AP693">
        <v>7</v>
      </c>
      <c r="AQ693">
        <v>0</v>
      </c>
      <c r="AR693">
        <v>1</v>
      </c>
      <c r="AS693" t="s">
        <v>31349</v>
      </c>
      <c r="AT693" t="s">
        <v>31350</v>
      </c>
      <c r="AU693" t="s">
        <v>31351</v>
      </c>
      <c r="AV693" t="s">
        <v>31352</v>
      </c>
      <c r="AW693" t="s">
        <v>31353</v>
      </c>
      <c r="AX693" t="s">
        <v>69</v>
      </c>
      <c r="AY693" t="s">
        <v>31354</v>
      </c>
      <c r="AZ693" t="s">
        <v>31355</v>
      </c>
      <c r="BA693" t="s">
        <v>31356</v>
      </c>
      <c r="BB693">
        <v>2002</v>
      </c>
      <c r="BC693">
        <v>31</v>
      </c>
      <c r="BD693">
        <v>39</v>
      </c>
      <c r="BE693">
        <v>1</v>
      </c>
      <c r="BF693" t="s">
        <v>69</v>
      </c>
      <c r="BG693" t="s">
        <v>69</v>
      </c>
      <c r="BH693" t="s">
        <v>69</v>
      </c>
      <c r="BI693">
        <v>1831</v>
      </c>
      <c r="BJ693">
        <v>1835</v>
      </c>
      <c r="BK693" t="s">
        <v>69</v>
      </c>
      <c r="BL693" t="s">
        <v>69</v>
      </c>
      <c r="BM693" t="s">
        <v>69</v>
      </c>
      <c r="BN693" t="s">
        <v>69</v>
      </c>
      <c r="BO693" t="s">
        <v>69</v>
      </c>
      <c r="BP693">
        <v>5</v>
      </c>
      <c r="BQ693" t="s">
        <v>9450</v>
      </c>
      <c r="BR693" t="s">
        <v>8548</v>
      </c>
      <c r="BS693" t="s">
        <v>9451</v>
      </c>
      <c r="BT693" t="s">
        <v>31357</v>
      </c>
      <c r="BU693" t="s">
        <v>31358</v>
      </c>
      <c r="BV693">
        <v>12496712</v>
      </c>
      <c r="BW693" t="s">
        <v>69</v>
      </c>
      <c r="BX693" t="s">
        <v>69</v>
      </c>
      <c r="BY693" t="s">
        <v>69</v>
      </c>
      <c r="BZ693" t="s">
        <v>8526</v>
      </c>
      <c r="CA693" t="str">
        <f>HYPERLINK("https%3A%2F%2Fwww.webofscience.com%2Fwos%2Fwoscc%2Ffull-record%2FWOS:000179953500002","View Full Record in Web of Science")</f>
        <v>View Full Record in Web of Science</v>
      </c>
    </row>
    <row r="694" spans="1:79" ht="12.5" x14ac:dyDescent="0.25">
      <c r="B694" t="s">
        <v>8495</v>
      </c>
      <c r="D694" s="7" t="s">
        <v>32933</v>
      </c>
      <c r="E694" s="7"/>
      <c r="F694" s="7"/>
      <c r="G694" s="7"/>
      <c r="H694" t="s">
        <v>67</v>
      </c>
      <c r="I694" t="s">
        <v>3085</v>
      </c>
      <c r="J694" t="s">
        <v>69</v>
      </c>
      <c r="K694" t="s">
        <v>69</v>
      </c>
      <c r="L694" t="s">
        <v>69</v>
      </c>
      <c r="M694" t="s">
        <v>3086</v>
      </c>
      <c r="N694" t="s">
        <v>69</v>
      </c>
      <c r="O694" t="s">
        <v>69</v>
      </c>
      <c r="P694" t="s">
        <v>3087</v>
      </c>
      <c r="Q694" t="s">
        <v>3088</v>
      </c>
      <c r="R694" t="s">
        <v>69</v>
      </c>
      <c r="S694" t="s">
        <v>69</v>
      </c>
      <c r="T694" t="s">
        <v>8505</v>
      </c>
      <c r="U694" t="s">
        <v>8506</v>
      </c>
      <c r="V694" t="s">
        <v>69</v>
      </c>
      <c r="W694" t="s">
        <v>69</v>
      </c>
      <c r="X694" t="s">
        <v>69</v>
      </c>
      <c r="Y694" t="s">
        <v>69</v>
      </c>
      <c r="Z694" t="s">
        <v>69</v>
      </c>
      <c r="AA694" t="s">
        <v>22986</v>
      </c>
      <c r="AB694" t="s">
        <v>22987</v>
      </c>
      <c r="AC694" t="s">
        <v>3089</v>
      </c>
      <c r="AD694" t="s">
        <v>22988</v>
      </c>
      <c r="AE694" t="s">
        <v>69</v>
      </c>
      <c r="AF694" t="s">
        <v>22989</v>
      </c>
      <c r="AG694" t="s">
        <v>22990</v>
      </c>
      <c r="AH694" t="s">
        <v>22991</v>
      </c>
      <c r="AI694" t="s">
        <v>22992</v>
      </c>
      <c r="AJ694" t="s">
        <v>22993</v>
      </c>
      <c r="AK694" t="s">
        <v>22994</v>
      </c>
      <c r="AL694" t="s">
        <v>22995</v>
      </c>
      <c r="AM694" t="s">
        <v>69</v>
      </c>
      <c r="AN694">
        <v>61</v>
      </c>
      <c r="AO694">
        <v>16</v>
      </c>
      <c r="AP694">
        <v>16</v>
      </c>
      <c r="AQ694">
        <v>0</v>
      </c>
      <c r="AR694">
        <v>29</v>
      </c>
      <c r="AS694" t="s">
        <v>22996</v>
      </c>
      <c r="AT694" t="s">
        <v>22997</v>
      </c>
      <c r="AU694" t="s">
        <v>22998</v>
      </c>
      <c r="AV694" t="s">
        <v>3090</v>
      </c>
      <c r="AW694" t="s">
        <v>3091</v>
      </c>
      <c r="AX694" t="s">
        <v>69</v>
      </c>
      <c r="AY694" t="s">
        <v>22999</v>
      </c>
      <c r="AZ694" t="s">
        <v>23000</v>
      </c>
      <c r="BA694" t="s">
        <v>69</v>
      </c>
      <c r="BB694">
        <v>2015</v>
      </c>
      <c r="BC694">
        <v>26</v>
      </c>
      <c r="BD694">
        <v>5</v>
      </c>
      <c r="BE694" t="s">
        <v>69</v>
      </c>
      <c r="BF694" t="s">
        <v>69</v>
      </c>
      <c r="BG694" t="s">
        <v>69</v>
      </c>
      <c r="BH694" t="s">
        <v>69</v>
      </c>
      <c r="BI694">
        <v>560</v>
      </c>
      <c r="BJ694">
        <v>570</v>
      </c>
      <c r="BK694" t="s">
        <v>69</v>
      </c>
      <c r="BL694" t="s">
        <v>3092</v>
      </c>
      <c r="BM694" t="str">
        <f>HYPERLINK("http://dx.doi.org/10.5755/j01.ee.26.5.7690","http://dx.doi.org/10.5755/j01.ee.26.5.7690")</f>
        <v>http://dx.doi.org/10.5755/j01.ee.26.5.7690</v>
      </c>
      <c r="BN694" t="s">
        <v>69</v>
      </c>
      <c r="BO694" t="s">
        <v>69</v>
      </c>
      <c r="BP694">
        <v>11</v>
      </c>
      <c r="BQ694" t="s">
        <v>9726</v>
      </c>
      <c r="BR694" t="s">
        <v>8661</v>
      </c>
      <c r="BS694" t="s">
        <v>8594</v>
      </c>
      <c r="BT694" t="s">
        <v>23001</v>
      </c>
      <c r="BU694" t="s">
        <v>3093</v>
      </c>
      <c r="BV694" t="s">
        <v>69</v>
      </c>
      <c r="BW694" t="s">
        <v>9374</v>
      </c>
      <c r="BX694" t="s">
        <v>69</v>
      </c>
      <c r="BY694" t="s">
        <v>69</v>
      </c>
      <c r="BZ694" t="s">
        <v>8526</v>
      </c>
      <c r="CA694" t="str">
        <f>HYPERLINK("https%3A%2F%2Fwww.webofscience.com%2Fwos%2Fwoscc%2Ffull-record%2FWOS:000368523300010","View Full Record in Web of Science")</f>
        <v>View Full Record in Web of Science</v>
      </c>
    </row>
    <row r="695" spans="1:79" ht="12.5" x14ac:dyDescent="0.25">
      <c r="B695" t="s">
        <v>8495</v>
      </c>
      <c r="D695" s="22" t="s">
        <v>32931</v>
      </c>
      <c r="E695" s="7"/>
      <c r="F695" s="7"/>
      <c r="G695" s="7"/>
      <c r="H695" t="s">
        <v>67</v>
      </c>
      <c r="I695" t="s">
        <v>12690</v>
      </c>
      <c r="J695" t="s">
        <v>69</v>
      </c>
      <c r="K695" t="s">
        <v>69</v>
      </c>
      <c r="L695" t="s">
        <v>69</v>
      </c>
      <c r="M695" t="s">
        <v>12691</v>
      </c>
      <c r="N695" t="s">
        <v>69</v>
      </c>
      <c r="O695" t="s">
        <v>69</v>
      </c>
      <c r="P695" t="s">
        <v>12692</v>
      </c>
      <c r="Q695" t="s">
        <v>7336</v>
      </c>
      <c r="R695" t="s">
        <v>69</v>
      </c>
      <c r="S695" t="s">
        <v>69</v>
      </c>
      <c r="T695" t="s">
        <v>8505</v>
      </c>
      <c r="U695" t="s">
        <v>8506</v>
      </c>
      <c r="V695" t="s">
        <v>69</v>
      </c>
      <c r="W695" t="s">
        <v>69</v>
      </c>
      <c r="X695" t="s">
        <v>69</v>
      </c>
      <c r="Y695" t="s">
        <v>69</v>
      </c>
      <c r="Z695" t="s">
        <v>69</v>
      </c>
      <c r="AA695" t="s">
        <v>12693</v>
      </c>
      <c r="AB695" t="s">
        <v>69</v>
      </c>
      <c r="AC695" t="s">
        <v>12694</v>
      </c>
      <c r="AD695" t="s">
        <v>12695</v>
      </c>
      <c r="AE695" t="s">
        <v>69</v>
      </c>
      <c r="AF695" t="s">
        <v>12696</v>
      </c>
      <c r="AG695" t="s">
        <v>12697</v>
      </c>
      <c r="AH695" t="s">
        <v>12698</v>
      </c>
      <c r="AI695" t="s">
        <v>12699</v>
      </c>
      <c r="AJ695" t="s">
        <v>69</v>
      </c>
      <c r="AK695" t="s">
        <v>69</v>
      </c>
      <c r="AL695" t="s">
        <v>69</v>
      </c>
      <c r="AM695" t="s">
        <v>69</v>
      </c>
      <c r="AN695">
        <v>60</v>
      </c>
      <c r="AO695">
        <v>4</v>
      </c>
      <c r="AP695">
        <v>4</v>
      </c>
      <c r="AQ695">
        <v>2</v>
      </c>
      <c r="AR695">
        <v>8</v>
      </c>
      <c r="AS695" t="s">
        <v>8586</v>
      </c>
      <c r="AT695" t="s">
        <v>8587</v>
      </c>
      <c r="AU695" t="s">
        <v>8588</v>
      </c>
      <c r="AV695" t="s">
        <v>7338</v>
      </c>
      <c r="AW695" t="s">
        <v>69</v>
      </c>
      <c r="AX695" t="s">
        <v>69</v>
      </c>
      <c r="AY695" t="s">
        <v>12700</v>
      </c>
      <c r="AZ695" t="s">
        <v>12701</v>
      </c>
      <c r="BA695" t="s">
        <v>12702</v>
      </c>
      <c r="BB695">
        <v>2022</v>
      </c>
      <c r="BC695">
        <v>40</v>
      </c>
      <c r="BD695">
        <v>2</v>
      </c>
      <c r="BE695" t="s">
        <v>69</v>
      </c>
      <c r="BF695" t="s">
        <v>69</v>
      </c>
      <c r="BG695" t="s">
        <v>114</v>
      </c>
      <c r="BH695" t="s">
        <v>69</v>
      </c>
      <c r="BI695">
        <v>202</v>
      </c>
      <c r="BJ695">
        <v>218</v>
      </c>
      <c r="BK695" t="s">
        <v>69</v>
      </c>
      <c r="BL695" t="s">
        <v>12703</v>
      </c>
      <c r="BM695" t="str">
        <f>HYPERLINK("http://dx.doi.org/10.1108/IJBPA-11-2020-0100","http://dx.doi.org/10.1108/IJBPA-11-2020-0100")</f>
        <v>http://dx.doi.org/10.1108/IJBPA-11-2020-0100</v>
      </c>
      <c r="BN695" t="s">
        <v>69</v>
      </c>
      <c r="BO695" t="s">
        <v>12704</v>
      </c>
      <c r="BP695">
        <v>17</v>
      </c>
      <c r="BQ695" t="s">
        <v>10105</v>
      </c>
      <c r="BR695" t="s">
        <v>8573</v>
      </c>
      <c r="BS695" t="s">
        <v>10105</v>
      </c>
      <c r="BT695" t="s">
        <v>12705</v>
      </c>
      <c r="BU695" t="s">
        <v>12706</v>
      </c>
      <c r="BV695" t="s">
        <v>69</v>
      </c>
      <c r="BW695" t="s">
        <v>69</v>
      </c>
      <c r="BX695" t="s">
        <v>69</v>
      </c>
      <c r="BY695" t="s">
        <v>69</v>
      </c>
      <c r="BZ695" t="s">
        <v>8526</v>
      </c>
      <c r="CA695" t="str">
        <f>HYPERLINK("https%3A%2F%2Fwww.webofscience.com%2Fwos%2Fwoscc%2Ffull-record%2FWOS:000631567200001","View Full Record in Web of Science")</f>
        <v>View Full Record in Web of Science</v>
      </c>
    </row>
    <row r="696" spans="1:79" ht="12.5" x14ac:dyDescent="0.25">
      <c r="B696" t="s">
        <v>8495</v>
      </c>
      <c r="D696" s="22" t="s">
        <v>32931</v>
      </c>
      <c r="E696" s="7"/>
      <c r="F696" s="7"/>
      <c r="G696" s="7"/>
      <c r="H696" t="s">
        <v>67</v>
      </c>
      <c r="I696" t="s">
        <v>26790</v>
      </c>
      <c r="J696" t="s">
        <v>69</v>
      </c>
      <c r="K696" t="s">
        <v>69</v>
      </c>
      <c r="L696" t="s">
        <v>69</v>
      </c>
      <c r="M696" t="s">
        <v>26791</v>
      </c>
      <c r="N696" t="s">
        <v>69</v>
      </c>
      <c r="O696" t="s">
        <v>69</v>
      </c>
      <c r="P696" t="s">
        <v>26792</v>
      </c>
      <c r="Q696" t="s">
        <v>21578</v>
      </c>
      <c r="R696" t="s">
        <v>69</v>
      </c>
      <c r="S696" t="s">
        <v>69</v>
      </c>
      <c r="T696" t="s">
        <v>8505</v>
      </c>
      <c r="U696" t="s">
        <v>8506</v>
      </c>
      <c r="V696" t="s">
        <v>69</v>
      </c>
      <c r="W696" t="s">
        <v>69</v>
      </c>
      <c r="X696" t="s">
        <v>69</v>
      </c>
      <c r="Y696" t="s">
        <v>69</v>
      </c>
      <c r="Z696" t="s">
        <v>69</v>
      </c>
      <c r="AA696" t="s">
        <v>69</v>
      </c>
      <c r="AB696" t="s">
        <v>26793</v>
      </c>
      <c r="AC696" t="s">
        <v>26794</v>
      </c>
      <c r="AD696" t="s">
        <v>26795</v>
      </c>
      <c r="AE696" t="s">
        <v>69</v>
      </c>
      <c r="AF696" t="s">
        <v>26796</v>
      </c>
      <c r="AG696" t="s">
        <v>69</v>
      </c>
      <c r="AH696" t="s">
        <v>69</v>
      </c>
      <c r="AI696" t="s">
        <v>26797</v>
      </c>
      <c r="AJ696" t="s">
        <v>69</v>
      </c>
      <c r="AK696" t="s">
        <v>69</v>
      </c>
      <c r="AL696" t="s">
        <v>69</v>
      </c>
      <c r="AM696" t="s">
        <v>69</v>
      </c>
      <c r="AN696">
        <v>54</v>
      </c>
      <c r="AO696">
        <v>22</v>
      </c>
      <c r="AP696">
        <v>22</v>
      </c>
      <c r="AQ696">
        <v>1</v>
      </c>
      <c r="AR696">
        <v>54</v>
      </c>
      <c r="AS696" t="s">
        <v>21583</v>
      </c>
      <c r="AT696" t="s">
        <v>8693</v>
      </c>
      <c r="AU696" t="s">
        <v>21584</v>
      </c>
      <c r="AV696" t="s">
        <v>21585</v>
      </c>
      <c r="AW696" t="s">
        <v>69</v>
      </c>
      <c r="AX696" t="s">
        <v>69</v>
      </c>
      <c r="AY696" t="s">
        <v>21587</v>
      </c>
      <c r="AZ696" t="s">
        <v>21588</v>
      </c>
      <c r="BA696" t="s">
        <v>255</v>
      </c>
      <c r="BB696">
        <v>2011</v>
      </c>
      <c r="BC696">
        <v>113</v>
      </c>
      <c r="BD696">
        <v>9</v>
      </c>
      <c r="BE696" t="s">
        <v>69</v>
      </c>
      <c r="BF696" t="s">
        <v>69</v>
      </c>
      <c r="BG696" t="s">
        <v>69</v>
      </c>
      <c r="BH696" t="s">
        <v>69</v>
      </c>
      <c r="BI696">
        <v>2080</v>
      </c>
      <c r="BJ696">
        <v>2114</v>
      </c>
      <c r="BK696" t="s">
        <v>69</v>
      </c>
      <c r="BL696" t="s">
        <v>69</v>
      </c>
      <c r="BM696" t="s">
        <v>69</v>
      </c>
      <c r="BN696" t="s">
        <v>69</v>
      </c>
      <c r="BO696" t="s">
        <v>69</v>
      </c>
      <c r="BP696">
        <v>35</v>
      </c>
      <c r="BQ696" t="s">
        <v>9290</v>
      </c>
      <c r="BR696" t="s">
        <v>8661</v>
      </c>
      <c r="BS696" t="s">
        <v>9290</v>
      </c>
      <c r="BT696" t="s">
        <v>26798</v>
      </c>
      <c r="BU696" t="s">
        <v>26799</v>
      </c>
      <c r="BV696" t="s">
        <v>69</v>
      </c>
      <c r="BW696" t="s">
        <v>69</v>
      </c>
      <c r="BX696" t="s">
        <v>69</v>
      </c>
      <c r="BY696" t="s">
        <v>69</v>
      </c>
      <c r="BZ696" t="s">
        <v>8526</v>
      </c>
      <c r="CA696" t="str">
        <f>HYPERLINK("https%3A%2F%2Fwww.webofscience.com%2Fwos%2Fwoscc%2Ffull-record%2FWOS:000297995100007","View Full Record in Web of Science")</f>
        <v>View Full Record in Web of Science</v>
      </c>
    </row>
    <row r="697" spans="1:79" ht="12.5" x14ac:dyDescent="0.25">
      <c r="B697" t="s">
        <v>8495</v>
      </c>
      <c r="D697" s="22" t="s">
        <v>32931</v>
      </c>
      <c r="E697" s="7"/>
      <c r="F697" s="7"/>
      <c r="G697" s="7"/>
      <c r="H697" t="s">
        <v>67</v>
      </c>
      <c r="I697" t="s">
        <v>20876</v>
      </c>
      <c r="J697" t="s">
        <v>69</v>
      </c>
      <c r="K697" t="s">
        <v>69</v>
      </c>
      <c r="L697" t="s">
        <v>69</v>
      </c>
      <c r="M697" t="s">
        <v>20877</v>
      </c>
      <c r="N697" t="s">
        <v>69</v>
      </c>
      <c r="O697" t="s">
        <v>69</v>
      </c>
      <c r="P697" t="s">
        <v>20878</v>
      </c>
      <c r="Q697" t="s">
        <v>20879</v>
      </c>
      <c r="R697" t="s">
        <v>69</v>
      </c>
      <c r="S697" t="s">
        <v>69</v>
      </c>
      <c r="T697" t="s">
        <v>8505</v>
      </c>
      <c r="U697" t="s">
        <v>8506</v>
      </c>
      <c r="V697" t="s">
        <v>69</v>
      </c>
      <c r="W697" t="s">
        <v>69</v>
      </c>
      <c r="X697" t="s">
        <v>69</v>
      </c>
      <c r="Y697" t="s">
        <v>69</v>
      </c>
      <c r="Z697" t="s">
        <v>69</v>
      </c>
      <c r="AA697" t="s">
        <v>20880</v>
      </c>
      <c r="AB697" t="s">
        <v>20881</v>
      </c>
      <c r="AC697" t="s">
        <v>20882</v>
      </c>
      <c r="AD697" t="s">
        <v>20883</v>
      </c>
      <c r="AE697" t="s">
        <v>69</v>
      </c>
      <c r="AF697" t="s">
        <v>20884</v>
      </c>
      <c r="AG697" t="s">
        <v>20885</v>
      </c>
      <c r="AH697" t="s">
        <v>69</v>
      </c>
      <c r="AI697" t="s">
        <v>69</v>
      </c>
      <c r="AJ697" t="s">
        <v>69</v>
      </c>
      <c r="AK697" t="s">
        <v>69</v>
      </c>
      <c r="AL697" t="s">
        <v>69</v>
      </c>
      <c r="AM697" t="s">
        <v>69</v>
      </c>
      <c r="AN697">
        <v>61</v>
      </c>
      <c r="AO697">
        <v>4</v>
      </c>
      <c r="AP697">
        <v>4</v>
      </c>
      <c r="AQ697">
        <v>1</v>
      </c>
      <c r="AR697">
        <v>16</v>
      </c>
      <c r="AS697" t="s">
        <v>15611</v>
      </c>
      <c r="AT697" t="s">
        <v>10924</v>
      </c>
      <c r="AU697" t="s">
        <v>15612</v>
      </c>
      <c r="AV697" t="s">
        <v>20886</v>
      </c>
      <c r="AW697" t="s">
        <v>20887</v>
      </c>
      <c r="AX697" t="s">
        <v>69</v>
      </c>
      <c r="AY697" t="s">
        <v>20888</v>
      </c>
      <c r="AZ697" t="s">
        <v>20889</v>
      </c>
      <c r="BA697" t="s">
        <v>69</v>
      </c>
      <c r="BB697">
        <v>2017</v>
      </c>
      <c r="BC697">
        <v>36</v>
      </c>
      <c r="BD697">
        <v>4</v>
      </c>
      <c r="BE697" t="s">
        <v>69</v>
      </c>
      <c r="BF697" t="s">
        <v>69</v>
      </c>
      <c r="BG697" t="s">
        <v>69</v>
      </c>
      <c r="BH697" t="s">
        <v>69</v>
      </c>
      <c r="BI697">
        <v>309</v>
      </c>
      <c r="BJ697">
        <v>323</v>
      </c>
      <c r="BK697" t="s">
        <v>69</v>
      </c>
      <c r="BL697" t="s">
        <v>20890</v>
      </c>
      <c r="BM697" t="str">
        <f>HYPERLINK("http://dx.doi.org/10.1080/10549811.2017.1300539","http://dx.doi.org/10.1080/10549811.2017.1300539")</f>
        <v>http://dx.doi.org/10.1080/10549811.2017.1300539</v>
      </c>
      <c r="BN697" t="s">
        <v>69</v>
      </c>
      <c r="BO697" t="s">
        <v>69</v>
      </c>
      <c r="BP697">
        <v>15</v>
      </c>
      <c r="BQ697" t="s">
        <v>8453</v>
      </c>
      <c r="BR697" t="s">
        <v>8523</v>
      </c>
      <c r="BS697" t="s">
        <v>8453</v>
      </c>
      <c r="BT697" t="s">
        <v>20891</v>
      </c>
      <c r="BU697" t="s">
        <v>20892</v>
      </c>
      <c r="BV697" t="s">
        <v>69</v>
      </c>
      <c r="BW697" t="s">
        <v>9292</v>
      </c>
      <c r="BX697" t="s">
        <v>69</v>
      </c>
      <c r="BY697" t="s">
        <v>69</v>
      </c>
      <c r="BZ697" t="s">
        <v>8526</v>
      </c>
      <c r="CA697" t="str">
        <f>HYPERLINK("https%3A%2F%2Fwww.webofscience.com%2Fwos%2Fwoscc%2Ffull-record%2FWOS:000404290500001","View Full Record in Web of Science")</f>
        <v>View Full Record in Web of Science</v>
      </c>
    </row>
    <row r="698" spans="1:79" ht="12.5" x14ac:dyDescent="0.25">
      <c r="B698" t="s">
        <v>8495</v>
      </c>
      <c r="D698" s="7" t="s">
        <v>32933</v>
      </c>
      <c r="E698" s="7"/>
      <c r="F698" s="7"/>
      <c r="G698" s="7"/>
      <c r="H698" t="s">
        <v>67</v>
      </c>
      <c r="I698" t="s">
        <v>3205</v>
      </c>
      <c r="J698" t="s">
        <v>69</v>
      </c>
      <c r="K698" t="s">
        <v>69</v>
      </c>
      <c r="L698" t="s">
        <v>69</v>
      </c>
      <c r="M698" t="s">
        <v>3206</v>
      </c>
      <c r="N698" t="s">
        <v>69</v>
      </c>
      <c r="O698" t="s">
        <v>69</v>
      </c>
      <c r="P698" t="s">
        <v>3207</v>
      </c>
      <c r="Q698" t="s">
        <v>3208</v>
      </c>
      <c r="R698" t="s">
        <v>69</v>
      </c>
      <c r="S698" t="s">
        <v>69</v>
      </c>
      <c r="T698" t="s">
        <v>8505</v>
      </c>
      <c r="U698" t="s">
        <v>8506</v>
      </c>
      <c r="V698" t="s">
        <v>69</v>
      </c>
      <c r="W698" t="s">
        <v>69</v>
      </c>
      <c r="X698" t="s">
        <v>69</v>
      </c>
      <c r="Y698" t="s">
        <v>69</v>
      </c>
      <c r="Z698" t="s">
        <v>69</v>
      </c>
      <c r="AA698" t="s">
        <v>24046</v>
      </c>
      <c r="AB698" t="s">
        <v>24047</v>
      </c>
      <c r="AC698" t="s">
        <v>3209</v>
      </c>
      <c r="AD698" t="s">
        <v>24048</v>
      </c>
      <c r="AE698" t="s">
        <v>69</v>
      </c>
      <c r="AF698" t="s">
        <v>24049</v>
      </c>
      <c r="AG698" t="s">
        <v>24050</v>
      </c>
      <c r="AH698" t="s">
        <v>24051</v>
      </c>
      <c r="AI698" t="s">
        <v>24052</v>
      </c>
      <c r="AJ698" t="s">
        <v>21822</v>
      </c>
      <c r="AK698" t="s">
        <v>21822</v>
      </c>
      <c r="AL698" t="s">
        <v>24053</v>
      </c>
      <c r="AM698" t="s">
        <v>69</v>
      </c>
      <c r="AN698">
        <v>22</v>
      </c>
      <c r="AO698">
        <v>4</v>
      </c>
      <c r="AP698">
        <v>4</v>
      </c>
      <c r="AQ698">
        <v>1</v>
      </c>
      <c r="AR698">
        <v>14</v>
      </c>
      <c r="AS698" t="s">
        <v>17695</v>
      </c>
      <c r="AT698" t="s">
        <v>12737</v>
      </c>
      <c r="AU698" t="s">
        <v>17696</v>
      </c>
      <c r="AV698" t="s">
        <v>3210</v>
      </c>
      <c r="AW698" t="s">
        <v>69</v>
      </c>
      <c r="AX698" t="s">
        <v>69</v>
      </c>
      <c r="AY698" t="s">
        <v>17697</v>
      </c>
      <c r="AZ698" t="s">
        <v>17697</v>
      </c>
      <c r="BA698" t="s">
        <v>69</v>
      </c>
      <c r="BB698">
        <v>2014</v>
      </c>
      <c r="BC698">
        <v>23</v>
      </c>
      <c r="BD698">
        <v>2</v>
      </c>
      <c r="BE698" t="s">
        <v>69</v>
      </c>
      <c r="BF698" t="s">
        <v>69</v>
      </c>
      <c r="BG698" t="s">
        <v>69</v>
      </c>
      <c r="BH698" t="s">
        <v>69</v>
      </c>
      <c r="BI698">
        <v>118</v>
      </c>
      <c r="BJ698">
        <v>124</v>
      </c>
      <c r="BK698" t="s">
        <v>69</v>
      </c>
      <c r="BL698" t="s">
        <v>3211</v>
      </c>
      <c r="BM698" t="str">
        <f>HYPERLINK("http://dx.doi.org/10.14512/gaia.23.2.9","http://dx.doi.org/10.14512/gaia.23.2.9")</f>
        <v>http://dx.doi.org/10.14512/gaia.23.2.9</v>
      </c>
      <c r="BN698" t="s">
        <v>69</v>
      </c>
      <c r="BO698" t="s">
        <v>69</v>
      </c>
      <c r="BP698">
        <v>7</v>
      </c>
      <c r="BQ698" t="s">
        <v>11791</v>
      </c>
      <c r="BR698" t="s">
        <v>8523</v>
      </c>
      <c r="BS698" t="s">
        <v>8662</v>
      </c>
      <c r="BT698" t="s">
        <v>24054</v>
      </c>
      <c r="BU698" t="s">
        <v>3212</v>
      </c>
      <c r="BV698" t="s">
        <v>69</v>
      </c>
      <c r="BW698" t="s">
        <v>69</v>
      </c>
      <c r="BX698" t="s">
        <v>69</v>
      </c>
      <c r="BY698" t="s">
        <v>69</v>
      </c>
      <c r="BZ698" t="s">
        <v>8526</v>
      </c>
      <c r="CA698" t="str">
        <f>HYPERLINK("https%3A%2F%2Fwww.webofscience.com%2Fwos%2Fwoscc%2Ffull-record%2FWOS:000336561700008","View Full Record in Web of Science")</f>
        <v>View Full Record in Web of Science</v>
      </c>
    </row>
    <row r="699" spans="1:79" x14ac:dyDescent="0.3">
      <c r="A699" t="s">
        <v>8408</v>
      </c>
      <c r="B699" t="s">
        <v>8495</v>
      </c>
      <c r="D699" s="10" t="s">
        <v>33196</v>
      </c>
      <c r="F699" s="10" t="s">
        <v>8490</v>
      </c>
      <c r="H699" t="s">
        <v>67</v>
      </c>
      <c r="I699" t="s">
        <v>5029</v>
      </c>
      <c r="J699" t="s">
        <v>69</v>
      </c>
      <c r="K699" t="s">
        <v>69</v>
      </c>
      <c r="L699" t="s">
        <v>69</v>
      </c>
      <c r="M699" s="2" t="s">
        <v>5030</v>
      </c>
      <c r="N699" t="s">
        <v>69</v>
      </c>
      <c r="O699" t="s">
        <v>69</v>
      </c>
      <c r="P699" s="2" t="s">
        <v>5031</v>
      </c>
      <c r="Q699" t="s">
        <v>5032</v>
      </c>
      <c r="R699" t="s">
        <v>69</v>
      </c>
      <c r="S699" t="s">
        <v>69</v>
      </c>
      <c r="T699" t="s">
        <v>8505</v>
      </c>
      <c r="U699" t="s">
        <v>8506</v>
      </c>
      <c r="V699" t="s">
        <v>69</v>
      </c>
      <c r="W699" t="s">
        <v>69</v>
      </c>
      <c r="X699" t="s">
        <v>69</v>
      </c>
      <c r="Y699" t="s">
        <v>69</v>
      </c>
      <c r="Z699" t="s">
        <v>69</v>
      </c>
      <c r="AA699" t="s">
        <v>25738</v>
      </c>
      <c r="AB699" t="s">
        <v>69</v>
      </c>
      <c r="AC699" t="s">
        <v>5033</v>
      </c>
      <c r="AD699" t="s">
        <v>25739</v>
      </c>
      <c r="AE699" t="s">
        <v>69</v>
      </c>
      <c r="AF699" t="s">
        <v>25740</v>
      </c>
      <c r="AG699" t="s">
        <v>25741</v>
      </c>
      <c r="AH699" t="s">
        <v>69</v>
      </c>
      <c r="AI699" t="s">
        <v>69</v>
      </c>
      <c r="AJ699" t="s">
        <v>69</v>
      </c>
      <c r="AK699" t="s">
        <v>69</v>
      </c>
      <c r="AL699" t="s">
        <v>69</v>
      </c>
      <c r="AM699" t="s">
        <v>69</v>
      </c>
      <c r="AN699">
        <v>33</v>
      </c>
      <c r="AO699">
        <v>6</v>
      </c>
      <c r="AP699">
        <v>6</v>
      </c>
      <c r="AQ699">
        <v>0</v>
      </c>
      <c r="AR699">
        <v>18</v>
      </c>
      <c r="AS699" t="s">
        <v>8762</v>
      </c>
      <c r="AT699" t="s">
        <v>8763</v>
      </c>
      <c r="AU699" t="s">
        <v>8764</v>
      </c>
      <c r="AV699" t="s">
        <v>5034</v>
      </c>
      <c r="AW699" t="s">
        <v>5035</v>
      </c>
      <c r="AX699" t="s">
        <v>69</v>
      </c>
      <c r="AY699" t="s">
        <v>25742</v>
      </c>
      <c r="AZ699" t="s">
        <v>25743</v>
      </c>
      <c r="BA699" t="s">
        <v>75</v>
      </c>
      <c r="BB699">
        <v>2012</v>
      </c>
      <c r="BC699">
        <v>55</v>
      </c>
      <c r="BD699">
        <v>4</v>
      </c>
      <c r="BE699" t="s">
        <v>69</v>
      </c>
      <c r="BF699" t="s">
        <v>69</v>
      </c>
      <c r="BG699" t="s">
        <v>69</v>
      </c>
      <c r="BH699" t="s">
        <v>69</v>
      </c>
      <c r="BI699">
        <v>321</v>
      </c>
      <c r="BJ699">
        <v>334</v>
      </c>
      <c r="BK699" t="s">
        <v>69</v>
      </c>
      <c r="BL699" t="s">
        <v>5036</v>
      </c>
      <c r="BM699" t="str">
        <f>HYPERLINK("http://dx.doi.org/10.1177/0001699312460252","http://dx.doi.org/10.1177/0001699312460252")</f>
        <v>http://dx.doi.org/10.1177/0001699312460252</v>
      </c>
      <c r="BN699" t="s">
        <v>69</v>
      </c>
      <c r="BO699" t="s">
        <v>69</v>
      </c>
      <c r="BP699">
        <v>14</v>
      </c>
      <c r="BQ699" t="s">
        <v>12930</v>
      </c>
      <c r="BR699" t="s">
        <v>8661</v>
      </c>
      <c r="BS699" t="s">
        <v>12930</v>
      </c>
      <c r="BT699" t="s">
        <v>25744</v>
      </c>
      <c r="BU699" t="s">
        <v>5037</v>
      </c>
      <c r="BV699" t="s">
        <v>69</v>
      </c>
      <c r="BW699" t="s">
        <v>9292</v>
      </c>
      <c r="BX699" t="s">
        <v>69</v>
      </c>
      <c r="BY699" t="s">
        <v>69</v>
      </c>
      <c r="BZ699" t="s">
        <v>8526</v>
      </c>
      <c r="CA699" t="str">
        <f>HYPERLINK("https%3A%2F%2Fwww.webofscience.com%2Fwos%2Fwoscc%2Ffull-record%2FWOS:000310535800002","View Full Record in Web of Science")</f>
        <v>View Full Record in Web of Science</v>
      </c>
    </row>
    <row r="700" spans="1:79" ht="12.5" x14ac:dyDescent="0.25">
      <c r="B700" t="s">
        <v>8495</v>
      </c>
      <c r="D700" s="22" t="s">
        <v>32931</v>
      </c>
      <c r="E700" s="7"/>
      <c r="F700" s="7"/>
      <c r="G700" s="7"/>
      <c r="H700" t="s">
        <v>67</v>
      </c>
      <c r="I700" t="s">
        <v>15272</v>
      </c>
      <c r="J700" t="s">
        <v>69</v>
      </c>
      <c r="K700" t="s">
        <v>69</v>
      </c>
      <c r="L700" t="s">
        <v>69</v>
      </c>
      <c r="M700" t="s">
        <v>15273</v>
      </c>
      <c r="N700" t="s">
        <v>69</v>
      </c>
      <c r="O700" t="s">
        <v>15274</v>
      </c>
      <c r="P700" t="s">
        <v>15275</v>
      </c>
      <c r="Q700" t="s">
        <v>15276</v>
      </c>
      <c r="R700" t="s">
        <v>69</v>
      </c>
      <c r="S700" t="s">
        <v>69</v>
      </c>
      <c r="T700" t="s">
        <v>8505</v>
      </c>
      <c r="U700" t="s">
        <v>8506</v>
      </c>
      <c r="V700" t="s">
        <v>69</v>
      </c>
      <c r="W700" t="s">
        <v>69</v>
      </c>
      <c r="X700" t="s">
        <v>69</v>
      </c>
      <c r="Y700" t="s">
        <v>69</v>
      </c>
      <c r="Z700" t="s">
        <v>69</v>
      </c>
      <c r="AA700" t="s">
        <v>15277</v>
      </c>
      <c r="AB700" t="s">
        <v>15278</v>
      </c>
      <c r="AC700" t="s">
        <v>15279</v>
      </c>
      <c r="AD700" t="s">
        <v>15280</v>
      </c>
      <c r="AE700" t="s">
        <v>69</v>
      </c>
      <c r="AF700" t="s">
        <v>15281</v>
      </c>
      <c r="AG700" t="s">
        <v>15282</v>
      </c>
      <c r="AH700" t="s">
        <v>69</v>
      </c>
      <c r="AI700" t="s">
        <v>15283</v>
      </c>
      <c r="AJ700" t="s">
        <v>15284</v>
      </c>
      <c r="AK700" t="s">
        <v>15284</v>
      </c>
      <c r="AL700" t="s">
        <v>15285</v>
      </c>
      <c r="AM700" t="s">
        <v>69</v>
      </c>
      <c r="AN700">
        <v>62</v>
      </c>
      <c r="AO700">
        <v>9</v>
      </c>
      <c r="AP700">
        <v>9</v>
      </c>
      <c r="AQ700">
        <v>0</v>
      </c>
      <c r="AR700">
        <v>3</v>
      </c>
      <c r="AS700" t="s">
        <v>8692</v>
      </c>
      <c r="AT700" t="s">
        <v>8693</v>
      </c>
      <c r="AU700" t="s">
        <v>8694</v>
      </c>
      <c r="AV700" t="s">
        <v>15286</v>
      </c>
      <c r="AW700" t="s">
        <v>15287</v>
      </c>
      <c r="AX700" t="s">
        <v>69</v>
      </c>
      <c r="AY700" t="s">
        <v>15288</v>
      </c>
      <c r="AZ700" t="s">
        <v>15289</v>
      </c>
      <c r="BA700" t="s">
        <v>586</v>
      </c>
      <c r="BB700">
        <v>2020</v>
      </c>
      <c r="BC700">
        <v>16</v>
      </c>
      <c r="BD700">
        <v>5</v>
      </c>
      <c r="BE700" t="s">
        <v>69</v>
      </c>
      <c r="BF700" t="s">
        <v>69</v>
      </c>
      <c r="BG700" t="s">
        <v>69</v>
      </c>
      <c r="BH700" t="s">
        <v>69</v>
      </c>
      <c r="BI700">
        <v>699</v>
      </c>
      <c r="BJ700">
        <v>709</v>
      </c>
      <c r="BK700" t="s">
        <v>69</v>
      </c>
      <c r="BL700" t="s">
        <v>15290</v>
      </c>
      <c r="BM700" t="str">
        <f>HYPERLINK("http://dx.doi.org/10.1016/j.sapharm.2019.08.026","http://dx.doi.org/10.1016/j.sapharm.2019.08.026")</f>
        <v>http://dx.doi.org/10.1016/j.sapharm.2019.08.026</v>
      </c>
      <c r="BN700" t="s">
        <v>69</v>
      </c>
      <c r="BO700" t="s">
        <v>69</v>
      </c>
      <c r="BP700">
        <v>11</v>
      </c>
      <c r="BQ700" t="s">
        <v>15291</v>
      </c>
      <c r="BR700" t="s">
        <v>8661</v>
      </c>
      <c r="BS700" t="s">
        <v>15291</v>
      </c>
      <c r="BT700" t="s">
        <v>15292</v>
      </c>
      <c r="BU700" t="s">
        <v>15293</v>
      </c>
      <c r="BV700">
        <v>31611071</v>
      </c>
      <c r="BW700" t="s">
        <v>10363</v>
      </c>
      <c r="BX700" t="s">
        <v>69</v>
      </c>
      <c r="BY700" t="s">
        <v>69</v>
      </c>
      <c r="BZ700" t="s">
        <v>8526</v>
      </c>
      <c r="CA700" t="str">
        <f>HYPERLINK("https%3A%2F%2Fwww.webofscience.com%2Fwos%2Fwoscc%2Ffull-record%2FWOS:000527106000011","View Full Record in Web of Science")</f>
        <v>View Full Record in Web of Science</v>
      </c>
    </row>
    <row r="701" spans="1:79" ht="12.5" x14ac:dyDescent="0.25">
      <c r="B701" t="s">
        <v>8495</v>
      </c>
      <c r="D701" s="22" t="s">
        <v>32931</v>
      </c>
      <c r="E701" s="7"/>
      <c r="F701" s="7"/>
      <c r="G701" s="7"/>
      <c r="H701" t="s">
        <v>67</v>
      </c>
      <c r="I701" t="s">
        <v>13348</v>
      </c>
      <c r="J701" t="s">
        <v>69</v>
      </c>
      <c r="K701" t="s">
        <v>69</v>
      </c>
      <c r="L701" t="s">
        <v>69</v>
      </c>
      <c r="M701" t="s">
        <v>13349</v>
      </c>
      <c r="N701" t="s">
        <v>69</v>
      </c>
      <c r="O701" t="s">
        <v>69</v>
      </c>
      <c r="P701" t="s">
        <v>13350</v>
      </c>
      <c r="Q701" t="s">
        <v>13351</v>
      </c>
      <c r="R701" t="s">
        <v>69</v>
      </c>
      <c r="S701" t="s">
        <v>69</v>
      </c>
      <c r="T701" t="s">
        <v>8505</v>
      </c>
      <c r="U701" t="s">
        <v>8506</v>
      </c>
      <c r="V701" t="s">
        <v>69</v>
      </c>
      <c r="W701" t="s">
        <v>69</v>
      </c>
      <c r="X701" t="s">
        <v>69</v>
      </c>
      <c r="Y701" t="s">
        <v>69</v>
      </c>
      <c r="Z701" t="s">
        <v>69</v>
      </c>
      <c r="AA701" t="s">
        <v>13352</v>
      </c>
      <c r="AB701" t="s">
        <v>13353</v>
      </c>
      <c r="AC701" t="s">
        <v>13354</v>
      </c>
      <c r="AD701" t="s">
        <v>13355</v>
      </c>
      <c r="AE701" t="s">
        <v>69</v>
      </c>
      <c r="AF701" t="s">
        <v>13356</v>
      </c>
      <c r="AG701" t="s">
        <v>13357</v>
      </c>
      <c r="AH701" t="s">
        <v>69</v>
      </c>
      <c r="AI701" t="s">
        <v>69</v>
      </c>
      <c r="AJ701" t="s">
        <v>13358</v>
      </c>
      <c r="AK701" t="s">
        <v>13359</v>
      </c>
      <c r="AL701" t="s">
        <v>13360</v>
      </c>
      <c r="AM701" t="s">
        <v>69</v>
      </c>
      <c r="AN701">
        <v>38</v>
      </c>
      <c r="AO701">
        <v>2</v>
      </c>
      <c r="AP701">
        <v>2</v>
      </c>
      <c r="AQ701">
        <v>7</v>
      </c>
      <c r="AR701">
        <v>11</v>
      </c>
      <c r="AS701" t="s">
        <v>8636</v>
      </c>
      <c r="AT701" t="s">
        <v>8637</v>
      </c>
      <c r="AU701" t="s">
        <v>8638</v>
      </c>
      <c r="AV701" t="s">
        <v>13361</v>
      </c>
      <c r="AW701" t="s">
        <v>13362</v>
      </c>
      <c r="AX701" t="s">
        <v>69</v>
      </c>
      <c r="AY701" t="s">
        <v>13363</v>
      </c>
      <c r="AZ701" t="s">
        <v>13364</v>
      </c>
      <c r="BA701" t="s">
        <v>191</v>
      </c>
      <c r="BB701">
        <v>2021</v>
      </c>
      <c r="BC701">
        <v>9</v>
      </c>
      <c r="BD701">
        <v>1</v>
      </c>
      <c r="BE701" t="s">
        <v>69</v>
      </c>
      <c r="BF701" t="s">
        <v>69</v>
      </c>
      <c r="BG701" t="s">
        <v>69</v>
      </c>
      <c r="BH701" t="s">
        <v>69</v>
      </c>
      <c r="BI701" t="s">
        <v>69</v>
      </c>
      <c r="BJ701" t="s">
        <v>69</v>
      </c>
      <c r="BK701">
        <v>104721</v>
      </c>
      <c r="BL701" t="s">
        <v>13365</v>
      </c>
      <c r="BM701" t="str">
        <f>HYPERLINK("http://dx.doi.org/10.1016/j.jece.2020.104721","http://dx.doi.org/10.1016/j.jece.2020.104721")</f>
        <v>http://dx.doi.org/10.1016/j.jece.2020.104721</v>
      </c>
      <c r="BN701" t="s">
        <v>69</v>
      </c>
      <c r="BO701" t="s">
        <v>300</v>
      </c>
      <c r="BP701">
        <v>6</v>
      </c>
      <c r="BQ701" t="s">
        <v>13366</v>
      </c>
      <c r="BR701" t="s">
        <v>8548</v>
      </c>
      <c r="BS701" t="s">
        <v>8445</v>
      </c>
      <c r="BT701" t="s">
        <v>13367</v>
      </c>
      <c r="BU701" t="s">
        <v>13368</v>
      </c>
      <c r="BV701">
        <v>33173752</v>
      </c>
      <c r="BW701" t="s">
        <v>11793</v>
      </c>
      <c r="BX701" t="s">
        <v>69</v>
      </c>
      <c r="BY701" t="s">
        <v>69</v>
      </c>
      <c r="BZ701" t="s">
        <v>8526</v>
      </c>
      <c r="CA701" t="str">
        <f>HYPERLINK("https%3A%2F%2Fwww.webofscience.com%2Fwos%2Fwoscc%2Ffull-record%2FWOS:000615243900002","View Full Record in Web of Science")</f>
        <v>View Full Record in Web of Science</v>
      </c>
    </row>
    <row r="702" spans="1:79" ht="12.5" x14ac:dyDescent="0.25">
      <c r="B702" t="s">
        <v>8495</v>
      </c>
      <c r="D702" s="7" t="s">
        <v>32933</v>
      </c>
      <c r="E702" s="7"/>
      <c r="F702" s="7"/>
      <c r="G702" s="7"/>
      <c r="H702" t="s">
        <v>67</v>
      </c>
      <c r="I702" t="s">
        <v>1987</v>
      </c>
      <c r="J702" t="s">
        <v>69</v>
      </c>
      <c r="K702" t="s">
        <v>69</v>
      </c>
      <c r="L702" t="s">
        <v>69</v>
      </c>
      <c r="M702" t="s">
        <v>1988</v>
      </c>
      <c r="N702" t="s">
        <v>69</v>
      </c>
      <c r="O702" t="s">
        <v>69</v>
      </c>
      <c r="P702" t="s">
        <v>1989</v>
      </c>
      <c r="Q702" t="s">
        <v>1990</v>
      </c>
      <c r="R702" t="s">
        <v>69</v>
      </c>
      <c r="S702" t="s">
        <v>69</v>
      </c>
      <c r="T702" t="s">
        <v>8505</v>
      </c>
      <c r="U702" t="s">
        <v>8506</v>
      </c>
      <c r="V702" t="s">
        <v>69</v>
      </c>
      <c r="W702" t="s">
        <v>69</v>
      </c>
      <c r="X702" t="s">
        <v>69</v>
      </c>
      <c r="Y702" t="s">
        <v>69</v>
      </c>
      <c r="Z702" t="s">
        <v>69</v>
      </c>
      <c r="AA702" t="s">
        <v>15420</v>
      </c>
      <c r="AB702" t="s">
        <v>15421</v>
      </c>
      <c r="AC702" t="s">
        <v>1991</v>
      </c>
      <c r="AD702" t="s">
        <v>15422</v>
      </c>
      <c r="AE702" t="s">
        <v>69</v>
      </c>
      <c r="AF702" t="s">
        <v>15423</v>
      </c>
      <c r="AG702" t="s">
        <v>15424</v>
      </c>
      <c r="AH702" t="s">
        <v>69</v>
      </c>
      <c r="AI702" t="s">
        <v>15425</v>
      </c>
      <c r="AJ702" t="s">
        <v>15426</v>
      </c>
      <c r="AK702" t="s">
        <v>15427</v>
      </c>
      <c r="AL702" t="s">
        <v>15428</v>
      </c>
      <c r="AM702" t="s">
        <v>69</v>
      </c>
      <c r="AN702">
        <v>72</v>
      </c>
      <c r="AO702">
        <v>2</v>
      </c>
      <c r="AP702">
        <v>2</v>
      </c>
      <c r="AQ702">
        <v>0</v>
      </c>
      <c r="AR702">
        <v>7</v>
      </c>
      <c r="AS702" t="s">
        <v>8846</v>
      </c>
      <c r="AT702" t="s">
        <v>8847</v>
      </c>
      <c r="AU702" t="s">
        <v>8848</v>
      </c>
      <c r="AV702" t="s">
        <v>1992</v>
      </c>
      <c r="AW702" t="s">
        <v>1993</v>
      </c>
      <c r="AX702" t="s">
        <v>69</v>
      </c>
      <c r="AY702" t="s">
        <v>15139</v>
      </c>
      <c r="AZ702" t="s">
        <v>15140</v>
      </c>
      <c r="BA702" t="s">
        <v>586</v>
      </c>
      <c r="BB702">
        <v>2021</v>
      </c>
      <c r="BC702">
        <v>37</v>
      </c>
      <c r="BD702">
        <v>2</v>
      </c>
      <c r="BE702" t="s">
        <v>69</v>
      </c>
      <c r="BF702" t="s">
        <v>69</v>
      </c>
      <c r="BG702" t="s">
        <v>69</v>
      </c>
      <c r="BH702" t="s">
        <v>69</v>
      </c>
      <c r="BI702">
        <v>107</v>
      </c>
      <c r="BJ702">
        <v>123</v>
      </c>
      <c r="BK702" t="s">
        <v>69</v>
      </c>
      <c r="BL702" t="s">
        <v>1994</v>
      </c>
      <c r="BM702" t="str">
        <f>HYPERLINK("http://dx.doi.org/10.1111/faam.12240","http://dx.doi.org/10.1111/faam.12240")</f>
        <v>http://dx.doi.org/10.1111/faam.12240</v>
      </c>
      <c r="BN702" t="s">
        <v>69</v>
      </c>
      <c r="BO702" t="s">
        <v>767</v>
      </c>
      <c r="BP702">
        <v>17</v>
      </c>
      <c r="BQ702" t="s">
        <v>9749</v>
      </c>
      <c r="BR702" t="s">
        <v>8573</v>
      </c>
      <c r="BS702" t="s">
        <v>8594</v>
      </c>
      <c r="BT702" t="s">
        <v>15429</v>
      </c>
      <c r="BU702" t="s">
        <v>1995</v>
      </c>
      <c r="BV702" t="s">
        <v>69</v>
      </c>
      <c r="BW702" t="s">
        <v>9292</v>
      </c>
      <c r="BX702" t="s">
        <v>69</v>
      </c>
      <c r="BY702" t="s">
        <v>69</v>
      </c>
      <c r="BZ702" t="s">
        <v>8526</v>
      </c>
      <c r="CA702" t="str">
        <f>HYPERLINK("https%3A%2F%2Fwww.webofscience.com%2Fwos%2Fwoscc%2Ffull-record%2FWOS:000525960100001","View Full Record in Web of Science")</f>
        <v>View Full Record in Web of Science</v>
      </c>
    </row>
    <row r="703" spans="1:79" ht="12.5" x14ac:dyDescent="0.25">
      <c r="B703" t="s">
        <v>8495</v>
      </c>
      <c r="D703" s="7" t="s">
        <v>32933</v>
      </c>
      <c r="E703" s="7"/>
      <c r="F703" s="7"/>
      <c r="G703" s="7"/>
      <c r="H703" t="s">
        <v>67</v>
      </c>
      <c r="I703" t="s">
        <v>6381</v>
      </c>
      <c r="J703" t="s">
        <v>69</v>
      </c>
      <c r="K703" t="s">
        <v>69</v>
      </c>
      <c r="L703" t="s">
        <v>69</v>
      </c>
      <c r="M703" t="s">
        <v>6382</v>
      </c>
      <c r="N703" t="s">
        <v>69</v>
      </c>
      <c r="O703" t="s">
        <v>69</v>
      </c>
      <c r="P703" t="s">
        <v>6383</v>
      </c>
      <c r="Q703" t="s">
        <v>6384</v>
      </c>
      <c r="R703" t="s">
        <v>69</v>
      </c>
      <c r="S703" t="s">
        <v>69</v>
      </c>
      <c r="T703" t="s">
        <v>8505</v>
      </c>
      <c r="U703" t="s">
        <v>8506</v>
      </c>
      <c r="V703" t="s">
        <v>69</v>
      </c>
      <c r="W703" t="s">
        <v>69</v>
      </c>
      <c r="X703" t="s">
        <v>69</v>
      </c>
      <c r="Y703" t="s">
        <v>69</v>
      </c>
      <c r="Z703" t="s">
        <v>69</v>
      </c>
      <c r="AA703" t="s">
        <v>22177</v>
      </c>
      <c r="AB703" t="s">
        <v>22178</v>
      </c>
      <c r="AC703" t="s">
        <v>6385</v>
      </c>
      <c r="AD703" t="s">
        <v>22179</v>
      </c>
      <c r="AE703" t="s">
        <v>69</v>
      </c>
      <c r="AF703" t="s">
        <v>22180</v>
      </c>
      <c r="AG703" t="s">
        <v>22181</v>
      </c>
      <c r="AH703" t="s">
        <v>6386</v>
      </c>
      <c r="AI703" t="s">
        <v>6387</v>
      </c>
      <c r="AJ703" t="s">
        <v>22182</v>
      </c>
      <c r="AK703" t="s">
        <v>22183</v>
      </c>
      <c r="AL703" t="s">
        <v>22184</v>
      </c>
      <c r="AM703" t="s">
        <v>69</v>
      </c>
      <c r="AN703">
        <v>103</v>
      </c>
      <c r="AO703">
        <v>27</v>
      </c>
      <c r="AP703">
        <v>29</v>
      </c>
      <c r="AQ703">
        <v>6</v>
      </c>
      <c r="AR703">
        <v>82</v>
      </c>
      <c r="AS703" t="s">
        <v>8586</v>
      </c>
      <c r="AT703" t="s">
        <v>8587</v>
      </c>
      <c r="AU703" t="s">
        <v>8588</v>
      </c>
      <c r="AV703" t="s">
        <v>6388</v>
      </c>
      <c r="AW703" t="s">
        <v>6389</v>
      </c>
      <c r="AX703" t="s">
        <v>69</v>
      </c>
      <c r="AY703" t="s">
        <v>22185</v>
      </c>
      <c r="AZ703" t="s">
        <v>22186</v>
      </c>
      <c r="BA703" t="s">
        <v>69</v>
      </c>
      <c r="BB703">
        <v>2016</v>
      </c>
      <c r="BC703">
        <v>29</v>
      </c>
      <c r="BD703">
        <v>1</v>
      </c>
      <c r="BE703" t="s">
        <v>69</v>
      </c>
      <c r="BF703" t="s">
        <v>69</v>
      </c>
      <c r="BG703" t="s">
        <v>69</v>
      </c>
      <c r="BH703" t="s">
        <v>69</v>
      </c>
      <c r="BI703">
        <v>84</v>
      </c>
      <c r="BJ703">
        <v>106</v>
      </c>
      <c r="BK703" t="s">
        <v>69</v>
      </c>
      <c r="BL703" t="s">
        <v>6390</v>
      </c>
      <c r="BM703" t="str">
        <f>HYPERLINK("http://dx.doi.org/10.1108/ARLA-04-2015-0067","http://dx.doi.org/10.1108/ARLA-04-2015-0067")</f>
        <v>http://dx.doi.org/10.1108/ARLA-04-2015-0067</v>
      </c>
      <c r="BN703" t="s">
        <v>69</v>
      </c>
      <c r="BO703" t="s">
        <v>69</v>
      </c>
      <c r="BP703">
        <v>23</v>
      </c>
      <c r="BQ703" t="s">
        <v>8791</v>
      </c>
      <c r="BR703" t="s">
        <v>8661</v>
      </c>
      <c r="BS703" t="s">
        <v>8594</v>
      </c>
      <c r="BT703" t="s">
        <v>22187</v>
      </c>
      <c r="BU703" t="s">
        <v>6391</v>
      </c>
      <c r="BV703" t="s">
        <v>69</v>
      </c>
      <c r="BW703" t="s">
        <v>69</v>
      </c>
      <c r="BX703" t="s">
        <v>69</v>
      </c>
      <c r="BY703" t="s">
        <v>69</v>
      </c>
      <c r="BZ703" t="s">
        <v>8526</v>
      </c>
      <c r="CA703" t="str">
        <f>HYPERLINK("https%3A%2F%2Fwww.webofscience.com%2Fwos%2Fwoscc%2Ffull-record%2FWOS:000374136400005","View Full Record in Web of Science")</f>
        <v>View Full Record in Web of Science</v>
      </c>
    </row>
    <row r="704" spans="1:79" ht="12.5" x14ac:dyDescent="0.25">
      <c r="B704" t="s">
        <v>8495</v>
      </c>
      <c r="D704" s="7" t="s">
        <v>32933</v>
      </c>
      <c r="E704" s="7"/>
      <c r="F704" s="7"/>
      <c r="G704" s="7"/>
      <c r="H704" t="s">
        <v>67</v>
      </c>
      <c r="I704" t="s">
        <v>1187</v>
      </c>
      <c r="J704" t="s">
        <v>69</v>
      </c>
      <c r="K704" t="s">
        <v>69</v>
      </c>
      <c r="L704" t="s">
        <v>69</v>
      </c>
      <c r="M704" t="s">
        <v>1188</v>
      </c>
      <c r="N704" t="s">
        <v>69</v>
      </c>
      <c r="O704" t="s">
        <v>69</v>
      </c>
      <c r="P704" t="s">
        <v>1189</v>
      </c>
      <c r="Q704" t="s">
        <v>473</v>
      </c>
      <c r="R704" t="s">
        <v>69</v>
      </c>
      <c r="S704" t="s">
        <v>69</v>
      </c>
      <c r="T704" t="s">
        <v>8505</v>
      </c>
      <c r="U704" t="s">
        <v>8506</v>
      </c>
      <c r="V704" t="s">
        <v>69</v>
      </c>
      <c r="W704" t="s">
        <v>69</v>
      </c>
      <c r="X704" t="s">
        <v>69</v>
      </c>
      <c r="Y704" t="s">
        <v>69</v>
      </c>
      <c r="Z704" t="s">
        <v>69</v>
      </c>
      <c r="AA704" t="s">
        <v>21074</v>
      </c>
      <c r="AB704" t="s">
        <v>21075</v>
      </c>
      <c r="AC704" t="s">
        <v>1190</v>
      </c>
      <c r="AD704" t="s">
        <v>21076</v>
      </c>
      <c r="AE704" t="s">
        <v>69</v>
      </c>
      <c r="AF704" t="s">
        <v>21077</v>
      </c>
      <c r="AG704" t="s">
        <v>21078</v>
      </c>
      <c r="AH704" t="s">
        <v>69</v>
      </c>
      <c r="AI704" t="s">
        <v>69</v>
      </c>
      <c r="AJ704" t="s">
        <v>21079</v>
      </c>
      <c r="AK704" t="s">
        <v>21080</v>
      </c>
      <c r="AL704" t="s">
        <v>21081</v>
      </c>
      <c r="AM704" t="s">
        <v>69</v>
      </c>
      <c r="AN704">
        <v>57</v>
      </c>
      <c r="AO704">
        <v>15</v>
      </c>
      <c r="AP704">
        <v>16</v>
      </c>
      <c r="AQ704">
        <v>3</v>
      </c>
      <c r="AR704">
        <v>22</v>
      </c>
      <c r="AS704" t="s">
        <v>18272</v>
      </c>
      <c r="AT704" t="s">
        <v>8763</v>
      </c>
      <c r="AU704" t="s">
        <v>18273</v>
      </c>
      <c r="AV704" t="s">
        <v>475</v>
      </c>
      <c r="AW704" t="s">
        <v>476</v>
      </c>
      <c r="AX704" t="s">
        <v>69</v>
      </c>
      <c r="AY704" t="s">
        <v>18274</v>
      </c>
      <c r="AZ704" t="s">
        <v>18275</v>
      </c>
      <c r="BA704" t="s">
        <v>504</v>
      </c>
      <c r="BB704">
        <v>2016</v>
      </c>
      <c r="BC704">
        <v>184</v>
      </c>
      <c r="BD704" t="s">
        <v>69</v>
      </c>
      <c r="BE704">
        <v>1</v>
      </c>
      <c r="BF704" t="s">
        <v>69</v>
      </c>
      <c r="BG704" t="s">
        <v>114</v>
      </c>
      <c r="BH704" t="s">
        <v>69</v>
      </c>
      <c r="BI704">
        <v>108</v>
      </c>
      <c r="BJ704">
        <v>119</v>
      </c>
      <c r="BK704" t="s">
        <v>69</v>
      </c>
      <c r="BL704" t="s">
        <v>1191</v>
      </c>
      <c r="BM704" t="str">
        <f>HYPERLINK("http://dx.doi.org/10.1016/j.jenvman.2016.08.046","http://dx.doi.org/10.1016/j.jenvman.2016.08.046")</f>
        <v>http://dx.doi.org/10.1016/j.jenvman.2016.08.046</v>
      </c>
      <c r="BN704" t="s">
        <v>69</v>
      </c>
      <c r="BO704" t="s">
        <v>69</v>
      </c>
      <c r="BP704">
        <v>12</v>
      </c>
      <c r="BQ704" t="s">
        <v>8717</v>
      </c>
      <c r="BR704" t="s">
        <v>8523</v>
      </c>
      <c r="BS704" t="s">
        <v>8662</v>
      </c>
      <c r="BT704" t="s">
        <v>21082</v>
      </c>
      <c r="BU704" t="s">
        <v>1192</v>
      </c>
      <c r="BV704">
        <v>27589916</v>
      </c>
      <c r="BW704" t="s">
        <v>69</v>
      </c>
      <c r="BX704" t="s">
        <v>69</v>
      </c>
      <c r="BY704" t="s">
        <v>69</v>
      </c>
      <c r="BZ704" t="s">
        <v>8526</v>
      </c>
      <c r="CA704" t="str">
        <f>HYPERLINK("https%3A%2F%2Fwww.webofscience.com%2Fwos%2Fwoscc%2Ffull-record%2FWOS:000388547300012","View Full Record in Web of Science")</f>
        <v>View Full Record in Web of Science</v>
      </c>
    </row>
    <row r="705" spans="2:79" ht="12.5" x14ac:dyDescent="0.25">
      <c r="B705" t="s">
        <v>8495</v>
      </c>
      <c r="D705" s="7" t="s">
        <v>32933</v>
      </c>
      <c r="E705" s="7"/>
      <c r="F705" s="7"/>
      <c r="G705" s="7"/>
      <c r="H705" t="s">
        <v>67</v>
      </c>
      <c r="I705" t="s">
        <v>5983</v>
      </c>
      <c r="J705" t="s">
        <v>69</v>
      </c>
      <c r="K705" t="s">
        <v>69</v>
      </c>
      <c r="L705" t="s">
        <v>69</v>
      </c>
      <c r="M705" t="s">
        <v>5984</v>
      </c>
      <c r="N705" t="s">
        <v>69</v>
      </c>
      <c r="O705" t="s">
        <v>69</v>
      </c>
      <c r="P705" t="s">
        <v>5985</v>
      </c>
      <c r="Q705" t="s">
        <v>510</v>
      </c>
      <c r="R705" t="s">
        <v>69</v>
      </c>
      <c r="S705" t="s">
        <v>69</v>
      </c>
      <c r="T705" t="s">
        <v>8505</v>
      </c>
      <c r="U705" t="s">
        <v>8506</v>
      </c>
      <c r="V705" t="s">
        <v>69</v>
      </c>
      <c r="W705" t="s">
        <v>69</v>
      </c>
      <c r="X705" t="s">
        <v>69</v>
      </c>
      <c r="Y705" t="s">
        <v>69</v>
      </c>
      <c r="Z705" t="s">
        <v>69</v>
      </c>
      <c r="AA705" t="s">
        <v>18402</v>
      </c>
      <c r="AB705" t="s">
        <v>18403</v>
      </c>
      <c r="AC705" t="s">
        <v>5986</v>
      </c>
      <c r="AD705" t="s">
        <v>18404</v>
      </c>
      <c r="AE705" t="s">
        <v>69</v>
      </c>
      <c r="AF705" t="s">
        <v>18405</v>
      </c>
      <c r="AG705" t="s">
        <v>18406</v>
      </c>
      <c r="AH705" t="s">
        <v>18407</v>
      </c>
      <c r="AI705" t="s">
        <v>5987</v>
      </c>
      <c r="AJ705" t="s">
        <v>69</v>
      </c>
      <c r="AK705" t="s">
        <v>69</v>
      </c>
      <c r="AL705" t="s">
        <v>69</v>
      </c>
      <c r="AM705" t="s">
        <v>69</v>
      </c>
      <c r="AN705">
        <v>55</v>
      </c>
      <c r="AO705">
        <v>7</v>
      </c>
      <c r="AP705">
        <v>8</v>
      </c>
      <c r="AQ705">
        <v>0</v>
      </c>
      <c r="AR705">
        <v>9</v>
      </c>
      <c r="AS705" t="s">
        <v>8636</v>
      </c>
      <c r="AT705" t="s">
        <v>8637</v>
      </c>
      <c r="AU705" t="s">
        <v>8638</v>
      </c>
      <c r="AV705" t="s">
        <v>512</v>
      </c>
      <c r="AW705" t="s">
        <v>513</v>
      </c>
      <c r="AX705" t="s">
        <v>69</v>
      </c>
      <c r="AY705" t="s">
        <v>18408</v>
      </c>
      <c r="AZ705" t="s">
        <v>18409</v>
      </c>
      <c r="BA705" t="s">
        <v>477</v>
      </c>
      <c r="BB705">
        <v>2018</v>
      </c>
      <c r="BC705">
        <v>163</v>
      </c>
      <c r="BD705" t="s">
        <v>69</v>
      </c>
      <c r="BE705" t="s">
        <v>69</v>
      </c>
      <c r="BF705" t="s">
        <v>69</v>
      </c>
      <c r="BG705" t="s">
        <v>69</v>
      </c>
      <c r="BH705" t="s">
        <v>69</v>
      </c>
      <c r="BI705">
        <v>11</v>
      </c>
      <c r="BJ705">
        <v>21</v>
      </c>
      <c r="BK705" t="s">
        <v>69</v>
      </c>
      <c r="BL705" t="s">
        <v>5988</v>
      </c>
      <c r="BM705" t="str">
        <f>HYPERLINK("http://dx.doi.org/10.1016/j.ocecoaman.2018.05.022","http://dx.doi.org/10.1016/j.ocecoaman.2018.05.022")</f>
        <v>http://dx.doi.org/10.1016/j.ocecoaman.2018.05.022</v>
      </c>
      <c r="BN705" t="s">
        <v>69</v>
      </c>
      <c r="BO705" t="s">
        <v>69</v>
      </c>
      <c r="BP705">
        <v>11</v>
      </c>
      <c r="BQ705" t="s">
        <v>18410</v>
      </c>
      <c r="BR705" t="s">
        <v>8523</v>
      </c>
      <c r="BS705" t="s">
        <v>18410</v>
      </c>
      <c r="BT705" t="s">
        <v>18411</v>
      </c>
      <c r="BU705" t="s">
        <v>5989</v>
      </c>
      <c r="BV705" t="s">
        <v>69</v>
      </c>
      <c r="BW705" t="s">
        <v>69</v>
      </c>
      <c r="BX705" t="s">
        <v>69</v>
      </c>
      <c r="BY705" t="s">
        <v>69</v>
      </c>
      <c r="BZ705" t="s">
        <v>8526</v>
      </c>
      <c r="CA705" t="str">
        <f>HYPERLINK("https%3A%2F%2Fwww.webofscience.com%2Fwos%2Fwoscc%2Ffull-record%2FWOS:000444793600002","View Full Record in Web of Science")</f>
        <v>View Full Record in Web of Science</v>
      </c>
    </row>
    <row r="706" spans="2:79" ht="12.5" x14ac:dyDescent="0.25">
      <c r="B706" t="s">
        <v>8495</v>
      </c>
      <c r="D706" s="22" t="s">
        <v>32931</v>
      </c>
      <c r="E706" s="7"/>
      <c r="F706" s="7"/>
      <c r="G706" s="7"/>
      <c r="H706" t="s">
        <v>67</v>
      </c>
      <c r="I706" t="s">
        <v>22966</v>
      </c>
      <c r="J706" t="s">
        <v>69</v>
      </c>
      <c r="K706" t="s">
        <v>69</v>
      </c>
      <c r="L706" t="s">
        <v>69</v>
      </c>
      <c r="M706" t="s">
        <v>22967</v>
      </c>
      <c r="N706" t="s">
        <v>69</v>
      </c>
      <c r="O706" t="s">
        <v>69</v>
      </c>
      <c r="P706" t="s">
        <v>22968</v>
      </c>
      <c r="Q706" t="s">
        <v>929</v>
      </c>
      <c r="R706" t="s">
        <v>69</v>
      </c>
      <c r="S706" t="s">
        <v>69</v>
      </c>
      <c r="T706" t="s">
        <v>8505</v>
      </c>
      <c r="U706" t="s">
        <v>8506</v>
      </c>
      <c r="V706" t="s">
        <v>69</v>
      </c>
      <c r="W706" t="s">
        <v>69</v>
      </c>
      <c r="X706" t="s">
        <v>69</v>
      </c>
      <c r="Y706" t="s">
        <v>69</v>
      </c>
      <c r="Z706" t="s">
        <v>69</v>
      </c>
      <c r="AA706" t="s">
        <v>22969</v>
      </c>
      <c r="AB706" t="s">
        <v>69</v>
      </c>
      <c r="AC706" t="s">
        <v>22970</v>
      </c>
      <c r="AD706" t="s">
        <v>22971</v>
      </c>
      <c r="AE706" t="s">
        <v>69</v>
      </c>
      <c r="AF706" t="s">
        <v>22972</v>
      </c>
      <c r="AG706" t="s">
        <v>22973</v>
      </c>
      <c r="AH706" t="s">
        <v>22974</v>
      </c>
      <c r="AI706" t="s">
        <v>22975</v>
      </c>
      <c r="AJ706" t="s">
        <v>69</v>
      </c>
      <c r="AK706" t="s">
        <v>69</v>
      </c>
      <c r="AL706" t="s">
        <v>69</v>
      </c>
      <c r="AM706" t="s">
        <v>69</v>
      </c>
      <c r="AN706">
        <v>14</v>
      </c>
      <c r="AO706">
        <v>28</v>
      </c>
      <c r="AP706">
        <v>28</v>
      </c>
      <c r="AQ706">
        <v>1</v>
      </c>
      <c r="AR706">
        <v>11</v>
      </c>
      <c r="AS706" t="s">
        <v>8865</v>
      </c>
      <c r="AT706" t="s">
        <v>8612</v>
      </c>
      <c r="AU706" t="s">
        <v>22341</v>
      </c>
      <c r="AV706" t="s">
        <v>931</v>
      </c>
      <c r="AW706" t="s">
        <v>932</v>
      </c>
      <c r="AX706" t="s">
        <v>69</v>
      </c>
      <c r="AY706" t="s">
        <v>15975</v>
      </c>
      <c r="AZ706" t="s">
        <v>15976</v>
      </c>
      <c r="BA706" t="s">
        <v>69</v>
      </c>
      <c r="BB706">
        <v>2015</v>
      </c>
      <c r="BC706">
        <v>33</v>
      </c>
      <c r="BD706">
        <v>3</v>
      </c>
      <c r="BE706" t="s">
        <v>69</v>
      </c>
      <c r="BF706" t="s">
        <v>69</v>
      </c>
      <c r="BG706" t="s">
        <v>69</v>
      </c>
      <c r="BH706" t="s">
        <v>69</v>
      </c>
      <c r="BI706">
        <v>220</v>
      </c>
      <c r="BJ706">
        <v>225</v>
      </c>
      <c r="BK706" t="s">
        <v>69</v>
      </c>
      <c r="BL706" t="s">
        <v>22976</v>
      </c>
      <c r="BM706" t="str">
        <f>HYPERLINK("http://dx.doi.org/10.1080/14615517.2015.1037665","http://dx.doi.org/10.1080/14615517.2015.1037665")</f>
        <v>http://dx.doi.org/10.1080/14615517.2015.1037665</v>
      </c>
      <c r="BN706" t="s">
        <v>69</v>
      </c>
      <c r="BO706" t="s">
        <v>69</v>
      </c>
      <c r="BP706">
        <v>6</v>
      </c>
      <c r="BQ706" t="s">
        <v>8660</v>
      </c>
      <c r="BR706" t="s">
        <v>8661</v>
      </c>
      <c r="BS706" t="s">
        <v>8662</v>
      </c>
      <c r="BT706" t="s">
        <v>22977</v>
      </c>
      <c r="BU706" t="s">
        <v>22978</v>
      </c>
      <c r="BV706" t="s">
        <v>69</v>
      </c>
      <c r="BW706" t="s">
        <v>69</v>
      </c>
      <c r="BX706" t="s">
        <v>69</v>
      </c>
      <c r="BY706" t="s">
        <v>69</v>
      </c>
      <c r="BZ706" t="s">
        <v>8526</v>
      </c>
      <c r="CA706" t="str">
        <f>HYPERLINK("https%3A%2F%2Fwww.webofscience.com%2Fwos%2Fwoscc%2Ffull-record%2FWOS:000368669300005","View Full Record in Web of Science")</f>
        <v>View Full Record in Web of Science</v>
      </c>
    </row>
    <row r="707" spans="2:79" ht="12.5" x14ac:dyDescent="0.25">
      <c r="B707" t="s">
        <v>8495</v>
      </c>
      <c r="D707" s="22" t="s">
        <v>32931</v>
      </c>
      <c r="E707" s="7"/>
      <c r="F707" s="7"/>
      <c r="G707" s="7"/>
      <c r="H707" t="s">
        <v>67</v>
      </c>
      <c r="I707" t="s">
        <v>12652</v>
      </c>
      <c r="J707" t="s">
        <v>69</v>
      </c>
      <c r="K707" t="s">
        <v>69</v>
      </c>
      <c r="L707" t="s">
        <v>69</v>
      </c>
      <c r="M707" t="s">
        <v>12653</v>
      </c>
      <c r="N707" t="s">
        <v>69</v>
      </c>
      <c r="O707" t="s">
        <v>69</v>
      </c>
      <c r="P707" t="s">
        <v>12654</v>
      </c>
      <c r="Q707" t="s">
        <v>12655</v>
      </c>
      <c r="R707" t="s">
        <v>69</v>
      </c>
      <c r="S707" t="s">
        <v>69</v>
      </c>
      <c r="T707" t="s">
        <v>8505</v>
      </c>
      <c r="U707" t="s">
        <v>10174</v>
      </c>
      <c r="V707" t="s">
        <v>69</v>
      </c>
      <c r="W707" t="s">
        <v>69</v>
      </c>
      <c r="X707" t="s">
        <v>69</v>
      </c>
      <c r="Y707" t="s">
        <v>69</v>
      </c>
      <c r="Z707" t="s">
        <v>69</v>
      </c>
      <c r="AA707" t="s">
        <v>12656</v>
      </c>
      <c r="AB707" t="s">
        <v>69</v>
      </c>
      <c r="AC707" t="s">
        <v>12657</v>
      </c>
      <c r="AD707" t="s">
        <v>12658</v>
      </c>
      <c r="AE707" t="s">
        <v>69</v>
      </c>
      <c r="AF707" t="s">
        <v>12659</v>
      </c>
      <c r="AG707" t="s">
        <v>12660</v>
      </c>
      <c r="AH707" t="s">
        <v>69</v>
      </c>
      <c r="AI707" t="s">
        <v>69</v>
      </c>
      <c r="AJ707" t="s">
        <v>69</v>
      </c>
      <c r="AK707" t="s">
        <v>69</v>
      </c>
      <c r="AL707" t="s">
        <v>69</v>
      </c>
      <c r="AM707" t="s">
        <v>69</v>
      </c>
      <c r="AN707">
        <v>8</v>
      </c>
      <c r="AO707">
        <v>1</v>
      </c>
      <c r="AP707">
        <v>1</v>
      </c>
      <c r="AQ707">
        <v>0</v>
      </c>
      <c r="AR707">
        <v>0</v>
      </c>
      <c r="AS707" t="s">
        <v>9978</v>
      </c>
      <c r="AT707" t="s">
        <v>9979</v>
      </c>
      <c r="AU707" t="s">
        <v>9980</v>
      </c>
      <c r="AV707" t="s">
        <v>12661</v>
      </c>
      <c r="AW707" t="s">
        <v>12662</v>
      </c>
      <c r="AX707" t="s">
        <v>69</v>
      </c>
      <c r="AY707" t="s">
        <v>12663</v>
      </c>
      <c r="AZ707" t="s">
        <v>12664</v>
      </c>
      <c r="BA707" t="s">
        <v>246</v>
      </c>
      <c r="BB707">
        <v>2021</v>
      </c>
      <c r="BC707">
        <v>45</v>
      </c>
      <c r="BD707">
        <v>2</v>
      </c>
      <c r="BE707" t="s">
        <v>69</v>
      </c>
      <c r="BF707" t="s">
        <v>69</v>
      </c>
      <c r="BG707" t="s">
        <v>69</v>
      </c>
      <c r="BH707" t="s">
        <v>69</v>
      </c>
      <c r="BI707">
        <v>73</v>
      </c>
      <c r="BJ707">
        <v>76</v>
      </c>
      <c r="BK707" t="s">
        <v>12665</v>
      </c>
      <c r="BL707" t="s">
        <v>12666</v>
      </c>
      <c r="BM707" t="str">
        <f>HYPERLINK("http://dx.doi.org/10.1192/bjb.2020.50","http://dx.doi.org/10.1192/bjb.2020.50")</f>
        <v>http://dx.doi.org/10.1192/bjb.2020.50</v>
      </c>
      <c r="BN707" t="s">
        <v>69</v>
      </c>
      <c r="BO707" t="s">
        <v>69</v>
      </c>
      <c r="BP707">
        <v>4</v>
      </c>
      <c r="BQ707" t="s">
        <v>9332</v>
      </c>
      <c r="BR707" t="s">
        <v>8573</v>
      </c>
      <c r="BS707" t="s">
        <v>9332</v>
      </c>
      <c r="BT707" t="s">
        <v>12667</v>
      </c>
      <c r="BU707" t="s">
        <v>12669</v>
      </c>
      <c r="BV707">
        <v>32654674</v>
      </c>
      <c r="BW707" t="s">
        <v>12668</v>
      </c>
      <c r="BX707" t="s">
        <v>69</v>
      </c>
      <c r="BY707" t="s">
        <v>69</v>
      </c>
      <c r="BZ707" t="s">
        <v>8526</v>
      </c>
      <c r="CA707" t="str">
        <f>HYPERLINK("https%3A%2F%2Fwww.webofscience.com%2Fwos%2Fwoscc%2Ffull-record%2FWOS:000632448600001","View Full Record in Web of Science")</f>
        <v>View Full Record in Web of Science</v>
      </c>
    </row>
    <row r="708" spans="2:79" ht="12.5" x14ac:dyDescent="0.25">
      <c r="B708" t="s">
        <v>8495</v>
      </c>
      <c r="D708" s="7" t="s">
        <v>32933</v>
      </c>
      <c r="E708" s="7"/>
      <c r="F708" s="7"/>
      <c r="G708" s="7"/>
      <c r="H708" t="s">
        <v>67</v>
      </c>
      <c r="I708" t="s">
        <v>6507</v>
      </c>
      <c r="J708" t="s">
        <v>69</v>
      </c>
      <c r="K708" t="s">
        <v>69</v>
      </c>
      <c r="L708" t="s">
        <v>69</v>
      </c>
      <c r="M708" t="s">
        <v>6508</v>
      </c>
      <c r="N708" t="s">
        <v>69</v>
      </c>
      <c r="O708" t="s">
        <v>69</v>
      </c>
      <c r="P708" t="s">
        <v>6509</v>
      </c>
      <c r="Q708" t="s">
        <v>6510</v>
      </c>
      <c r="R708" t="s">
        <v>69</v>
      </c>
      <c r="S708" t="s">
        <v>69</v>
      </c>
      <c r="T708" t="s">
        <v>8505</v>
      </c>
      <c r="U708" t="s">
        <v>8506</v>
      </c>
      <c r="V708" t="s">
        <v>69</v>
      </c>
      <c r="W708" t="s">
        <v>69</v>
      </c>
      <c r="X708" t="s">
        <v>69</v>
      </c>
      <c r="Y708" t="s">
        <v>69</v>
      </c>
      <c r="Z708" t="s">
        <v>69</v>
      </c>
      <c r="AA708" t="s">
        <v>18647</v>
      </c>
      <c r="AB708" t="s">
        <v>18648</v>
      </c>
      <c r="AC708" t="s">
        <v>6511</v>
      </c>
      <c r="AD708" t="s">
        <v>18649</v>
      </c>
      <c r="AE708" t="s">
        <v>69</v>
      </c>
      <c r="AF708" t="s">
        <v>18650</v>
      </c>
      <c r="AG708" t="s">
        <v>18651</v>
      </c>
      <c r="AH708" t="s">
        <v>69</v>
      </c>
      <c r="AI708" t="s">
        <v>69</v>
      </c>
      <c r="AJ708" t="s">
        <v>69</v>
      </c>
      <c r="AK708" t="s">
        <v>69</v>
      </c>
      <c r="AL708" t="s">
        <v>69</v>
      </c>
      <c r="AM708" t="s">
        <v>69</v>
      </c>
      <c r="AN708">
        <v>33</v>
      </c>
      <c r="AO708">
        <v>4</v>
      </c>
      <c r="AP708">
        <v>5</v>
      </c>
      <c r="AQ708">
        <v>6</v>
      </c>
      <c r="AR708">
        <v>53</v>
      </c>
      <c r="AS708" t="s">
        <v>8636</v>
      </c>
      <c r="AT708" t="s">
        <v>8637</v>
      </c>
      <c r="AU708" t="s">
        <v>8638</v>
      </c>
      <c r="AV708" t="s">
        <v>6512</v>
      </c>
      <c r="AW708" t="s">
        <v>6513</v>
      </c>
      <c r="AX708" t="s">
        <v>69</v>
      </c>
      <c r="AY708" t="s">
        <v>18652</v>
      </c>
      <c r="AZ708" t="s">
        <v>18653</v>
      </c>
      <c r="BA708" t="s">
        <v>155</v>
      </c>
      <c r="BB708">
        <v>2018</v>
      </c>
      <c r="BC708">
        <v>47</v>
      </c>
      <c r="BD708" t="s">
        <v>69</v>
      </c>
      <c r="BE708" t="s">
        <v>69</v>
      </c>
      <c r="BF708" t="s">
        <v>69</v>
      </c>
      <c r="BG708" t="s">
        <v>69</v>
      </c>
      <c r="BH708" t="s">
        <v>69</v>
      </c>
      <c r="BI708">
        <v>326</v>
      </c>
      <c r="BJ708">
        <v>334</v>
      </c>
      <c r="BK708" t="s">
        <v>69</v>
      </c>
      <c r="BL708" t="s">
        <v>6514</v>
      </c>
      <c r="BM708" t="str">
        <f>HYPERLINK("http://dx.doi.org/10.1016/j.ifset.2018.03.001","http://dx.doi.org/10.1016/j.ifset.2018.03.001")</f>
        <v>http://dx.doi.org/10.1016/j.ifset.2018.03.001</v>
      </c>
      <c r="BN708" t="s">
        <v>69</v>
      </c>
      <c r="BO708" t="s">
        <v>69</v>
      </c>
      <c r="BP708">
        <v>9</v>
      </c>
      <c r="BQ708" t="s">
        <v>17221</v>
      </c>
      <c r="BR708" t="s">
        <v>8548</v>
      </c>
      <c r="BS708" t="s">
        <v>17221</v>
      </c>
      <c r="BT708" t="s">
        <v>18654</v>
      </c>
      <c r="BU708" t="s">
        <v>6515</v>
      </c>
      <c r="BV708" t="s">
        <v>69</v>
      </c>
      <c r="BW708" t="s">
        <v>69</v>
      </c>
      <c r="BX708" t="s">
        <v>69</v>
      </c>
      <c r="BY708" t="s">
        <v>69</v>
      </c>
      <c r="BZ708" t="s">
        <v>8526</v>
      </c>
      <c r="CA708" t="str">
        <f>HYPERLINK("https%3A%2F%2Fwww.webofscience.com%2Fwos%2Fwoscc%2Ffull-record%2FWOS:000444364100038","View Full Record in Web of Science")</f>
        <v>View Full Record in Web of Science</v>
      </c>
    </row>
    <row r="709" spans="2:79" ht="12.5" x14ac:dyDescent="0.25">
      <c r="B709" t="s">
        <v>8495</v>
      </c>
      <c r="D709" s="22" t="s">
        <v>32931</v>
      </c>
      <c r="E709" s="7"/>
      <c r="F709" s="7"/>
      <c r="G709" s="7"/>
      <c r="H709" t="s">
        <v>67</v>
      </c>
      <c r="I709" t="s">
        <v>25825</v>
      </c>
      <c r="J709" t="s">
        <v>69</v>
      </c>
      <c r="K709" t="s">
        <v>69</v>
      </c>
      <c r="L709" t="s">
        <v>69</v>
      </c>
      <c r="M709" t="s">
        <v>25826</v>
      </c>
      <c r="N709" t="s">
        <v>69</v>
      </c>
      <c r="O709" t="s">
        <v>69</v>
      </c>
      <c r="P709" t="s">
        <v>25827</v>
      </c>
      <c r="Q709" t="s">
        <v>1930</v>
      </c>
      <c r="R709" t="s">
        <v>69</v>
      </c>
      <c r="S709" t="s">
        <v>69</v>
      </c>
      <c r="T709" t="s">
        <v>8505</v>
      </c>
      <c r="U709" t="s">
        <v>8506</v>
      </c>
      <c r="V709" t="s">
        <v>69</v>
      </c>
      <c r="W709" t="s">
        <v>69</v>
      </c>
      <c r="X709" t="s">
        <v>69</v>
      </c>
      <c r="Y709" t="s">
        <v>69</v>
      </c>
      <c r="Z709" t="s">
        <v>69</v>
      </c>
      <c r="AA709" t="s">
        <v>25828</v>
      </c>
      <c r="AB709" t="s">
        <v>25829</v>
      </c>
      <c r="AC709" t="s">
        <v>25830</v>
      </c>
      <c r="AD709" t="s">
        <v>25831</v>
      </c>
      <c r="AE709" t="s">
        <v>69</v>
      </c>
      <c r="AF709" t="s">
        <v>25832</v>
      </c>
      <c r="AG709" t="s">
        <v>25833</v>
      </c>
      <c r="AH709" t="s">
        <v>25834</v>
      </c>
      <c r="AI709" t="s">
        <v>25835</v>
      </c>
      <c r="AJ709" t="s">
        <v>69</v>
      </c>
      <c r="AK709" t="s">
        <v>69</v>
      </c>
      <c r="AL709" t="s">
        <v>69</v>
      </c>
      <c r="AM709" t="s">
        <v>69</v>
      </c>
      <c r="AN709">
        <v>76</v>
      </c>
      <c r="AO709">
        <v>10</v>
      </c>
      <c r="AP709">
        <v>12</v>
      </c>
      <c r="AQ709">
        <v>3</v>
      </c>
      <c r="AR709">
        <v>59</v>
      </c>
      <c r="AS709" t="s">
        <v>8636</v>
      </c>
      <c r="AT709" t="s">
        <v>8637</v>
      </c>
      <c r="AU709" t="s">
        <v>8638</v>
      </c>
      <c r="AV709" t="s">
        <v>1933</v>
      </c>
      <c r="AW709" t="s">
        <v>1934</v>
      </c>
      <c r="AX709" t="s">
        <v>69</v>
      </c>
      <c r="AY709" t="s">
        <v>1930</v>
      </c>
      <c r="AZ709" t="s">
        <v>14639</v>
      </c>
      <c r="BA709" t="s">
        <v>201</v>
      </c>
      <c r="BB709">
        <v>2012</v>
      </c>
      <c r="BC709">
        <v>37</v>
      </c>
      <c r="BD709">
        <v>4</v>
      </c>
      <c r="BE709" t="s">
        <v>69</v>
      </c>
      <c r="BF709" t="s">
        <v>69</v>
      </c>
      <c r="BG709" t="s">
        <v>69</v>
      </c>
      <c r="BH709" t="s">
        <v>69</v>
      </c>
      <c r="BI709">
        <v>427</v>
      </c>
      <c r="BJ709">
        <v>438</v>
      </c>
      <c r="BK709" t="s">
        <v>69</v>
      </c>
      <c r="BL709" t="s">
        <v>25836</v>
      </c>
      <c r="BM709" t="str">
        <f>HYPERLINK("http://dx.doi.org/10.1016/j.foodpol.2012.03.005","http://dx.doi.org/10.1016/j.foodpol.2012.03.005")</f>
        <v>http://dx.doi.org/10.1016/j.foodpol.2012.03.005</v>
      </c>
      <c r="BN709" t="s">
        <v>69</v>
      </c>
      <c r="BO709" t="s">
        <v>69</v>
      </c>
      <c r="BP709">
        <v>12</v>
      </c>
      <c r="BQ709" t="s">
        <v>14640</v>
      </c>
      <c r="BR709" t="s">
        <v>8523</v>
      </c>
      <c r="BS709" t="s">
        <v>14641</v>
      </c>
      <c r="BT709" t="s">
        <v>25837</v>
      </c>
      <c r="BU709" t="s">
        <v>25838</v>
      </c>
      <c r="BV709" t="s">
        <v>69</v>
      </c>
      <c r="BW709" t="s">
        <v>69</v>
      </c>
      <c r="BX709" t="s">
        <v>69</v>
      </c>
      <c r="BY709" t="s">
        <v>69</v>
      </c>
      <c r="BZ709" t="s">
        <v>8526</v>
      </c>
      <c r="CA709" t="str">
        <f>HYPERLINK("https%3A%2F%2Fwww.webofscience.com%2Fwos%2Fwoscc%2Ffull-record%2FWOS:000307203000008","View Full Record in Web of Science")</f>
        <v>View Full Record in Web of Science</v>
      </c>
    </row>
    <row r="710" spans="2:79" ht="12.5" x14ac:dyDescent="0.25">
      <c r="B710" t="s">
        <v>8495</v>
      </c>
      <c r="D710" s="22" t="s">
        <v>32931</v>
      </c>
      <c r="E710" s="7"/>
      <c r="F710" s="7"/>
      <c r="G710" s="7"/>
      <c r="H710" t="s">
        <v>67</v>
      </c>
      <c r="I710" t="s">
        <v>12860</v>
      </c>
      <c r="J710" t="s">
        <v>69</v>
      </c>
      <c r="K710" t="s">
        <v>69</v>
      </c>
      <c r="L710" t="s">
        <v>69</v>
      </c>
      <c r="M710" t="s">
        <v>12861</v>
      </c>
      <c r="N710" t="s">
        <v>69</v>
      </c>
      <c r="O710" t="s">
        <v>69</v>
      </c>
      <c r="P710" t="s">
        <v>12862</v>
      </c>
      <c r="Q710" t="s">
        <v>2731</v>
      </c>
      <c r="R710" t="s">
        <v>69</v>
      </c>
      <c r="S710" t="s">
        <v>69</v>
      </c>
      <c r="T710" t="s">
        <v>10153</v>
      </c>
      <c r="U710" t="s">
        <v>8506</v>
      </c>
      <c r="V710" t="s">
        <v>69</v>
      </c>
      <c r="W710" t="s">
        <v>69</v>
      </c>
      <c r="X710" t="s">
        <v>69</v>
      </c>
      <c r="Y710" t="s">
        <v>69</v>
      </c>
      <c r="Z710" t="s">
        <v>69</v>
      </c>
      <c r="AA710" t="s">
        <v>12863</v>
      </c>
      <c r="AB710" t="s">
        <v>69</v>
      </c>
      <c r="AC710" t="s">
        <v>12864</v>
      </c>
      <c r="AD710" t="s">
        <v>12865</v>
      </c>
      <c r="AE710" t="s">
        <v>69</v>
      </c>
      <c r="AF710" t="s">
        <v>12866</v>
      </c>
      <c r="AG710" t="s">
        <v>12867</v>
      </c>
      <c r="AH710" t="s">
        <v>69</v>
      </c>
      <c r="AI710" t="s">
        <v>69</v>
      </c>
      <c r="AJ710" t="s">
        <v>69</v>
      </c>
      <c r="AK710" t="s">
        <v>69</v>
      </c>
      <c r="AL710" t="s">
        <v>69</v>
      </c>
      <c r="AM710" t="s">
        <v>69</v>
      </c>
      <c r="AN710">
        <v>31</v>
      </c>
      <c r="AO710">
        <v>0</v>
      </c>
      <c r="AP710">
        <v>0</v>
      </c>
      <c r="AQ710">
        <v>0</v>
      </c>
      <c r="AR710">
        <v>0</v>
      </c>
      <c r="AS710" t="s">
        <v>12868</v>
      </c>
      <c r="AT710" t="s">
        <v>12869</v>
      </c>
      <c r="AU710" t="s">
        <v>12870</v>
      </c>
      <c r="AV710" t="s">
        <v>2733</v>
      </c>
      <c r="AW710" t="s">
        <v>69</v>
      </c>
      <c r="AX710" t="s">
        <v>69</v>
      </c>
      <c r="AY710" t="s">
        <v>12871</v>
      </c>
      <c r="AZ710" t="s">
        <v>12872</v>
      </c>
      <c r="BA710" t="s">
        <v>94</v>
      </c>
      <c r="BB710">
        <v>2021</v>
      </c>
      <c r="BC710">
        <v>8</v>
      </c>
      <c r="BD710">
        <v>38</v>
      </c>
      <c r="BE710" t="s">
        <v>69</v>
      </c>
      <c r="BF710" t="s">
        <v>69</v>
      </c>
      <c r="BG710" t="s">
        <v>69</v>
      </c>
      <c r="BH710" t="s">
        <v>69</v>
      </c>
      <c r="BI710">
        <v>119</v>
      </c>
      <c r="BJ710">
        <v>130</v>
      </c>
      <c r="BK710" t="s">
        <v>69</v>
      </c>
      <c r="BL710" t="s">
        <v>69</v>
      </c>
      <c r="BM710" t="s">
        <v>69</v>
      </c>
      <c r="BN710" t="s">
        <v>69</v>
      </c>
      <c r="BO710" t="s">
        <v>69</v>
      </c>
      <c r="BP710">
        <v>12</v>
      </c>
      <c r="BQ710" t="s">
        <v>11206</v>
      </c>
      <c r="BR710" t="s">
        <v>8573</v>
      </c>
      <c r="BS710" t="s">
        <v>11208</v>
      </c>
      <c r="BT710" t="s">
        <v>12873</v>
      </c>
      <c r="BU710" t="s">
        <v>12874</v>
      </c>
      <c r="BV710" t="s">
        <v>69</v>
      </c>
      <c r="BW710" t="s">
        <v>69</v>
      </c>
      <c r="BX710" t="s">
        <v>69</v>
      </c>
      <c r="BY710" t="s">
        <v>69</v>
      </c>
      <c r="BZ710" t="s">
        <v>8526</v>
      </c>
      <c r="CA710" t="str">
        <f>HYPERLINK("https%3A%2F%2Fwww.webofscience.com%2Fwos%2Fwoscc%2Ffull-record%2FWOS:000674633900010","View Full Record in Web of Science")</f>
        <v>View Full Record in Web of Science</v>
      </c>
    </row>
    <row r="711" spans="2:79" ht="12.5" x14ac:dyDescent="0.25">
      <c r="B711" t="s">
        <v>8495</v>
      </c>
      <c r="D711" s="22" t="s">
        <v>32931</v>
      </c>
      <c r="E711" s="7"/>
      <c r="F711" s="7"/>
      <c r="G711" s="7"/>
      <c r="H711" t="s">
        <v>67</v>
      </c>
      <c r="I711" t="s">
        <v>26541</v>
      </c>
      <c r="J711" t="s">
        <v>69</v>
      </c>
      <c r="K711" t="s">
        <v>69</v>
      </c>
      <c r="L711" t="s">
        <v>69</v>
      </c>
      <c r="M711" t="s">
        <v>26542</v>
      </c>
      <c r="N711" t="s">
        <v>69</v>
      </c>
      <c r="O711" t="s">
        <v>69</v>
      </c>
      <c r="P711" t="s">
        <v>26543</v>
      </c>
      <c r="Q711" t="s">
        <v>26544</v>
      </c>
      <c r="R711" t="s">
        <v>69</v>
      </c>
      <c r="S711" t="s">
        <v>69</v>
      </c>
      <c r="T711" t="s">
        <v>8505</v>
      </c>
      <c r="U711" t="s">
        <v>8506</v>
      </c>
      <c r="V711" t="s">
        <v>69</v>
      </c>
      <c r="W711" t="s">
        <v>69</v>
      </c>
      <c r="X711" t="s">
        <v>69</v>
      </c>
      <c r="Y711" t="s">
        <v>69</v>
      </c>
      <c r="Z711" t="s">
        <v>69</v>
      </c>
      <c r="AA711" t="s">
        <v>26545</v>
      </c>
      <c r="AB711" t="s">
        <v>69</v>
      </c>
      <c r="AC711" t="s">
        <v>26546</v>
      </c>
      <c r="AD711" t="s">
        <v>26547</v>
      </c>
      <c r="AE711" t="s">
        <v>69</v>
      </c>
      <c r="AF711" t="s">
        <v>26548</v>
      </c>
      <c r="AG711" t="s">
        <v>26549</v>
      </c>
      <c r="AH711" t="s">
        <v>69</v>
      </c>
      <c r="AI711" t="s">
        <v>69</v>
      </c>
      <c r="AJ711" t="s">
        <v>69</v>
      </c>
      <c r="AK711" t="s">
        <v>69</v>
      </c>
      <c r="AL711" t="s">
        <v>69</v>
      </c>
      <c r="AM711" t="s">
        <v>69</v>
      </c>
      <c r="AN711">
        <v>10</v>
      </c>
      <c r="AO711">
        <v>0</v>
      </c>
      <c r="AP711">
        <v>0</v>
      </c>
      <c r="AQ711">
        <v>0</v>
      </c>
      <c r="AR711">
        <v>0</v>
      </c>
      <c r="AS711" t="s">
        <v>17140</v>
      </c>
      <c r="AT711" t="s">
        <v>8517</v>
      </c>
      <c r="AU711" t="s">
        <v>17141</v>
      </c>
      <c r="AV711" t="s">
        <v>26550</v>
      </c>
      <c r="AW711" t="s">
        <v>26551</v>
      </c>
      <c r="AX711" t="s">
        <v>69</v>
      </c>
      <c r="AY711" t="s">
        <v>26552</v>
      </c>
      <c r="AZ711" t="s">
        <v>26553</v>
      </c>
      <c r="BA711" t="s">
        <v>69</v>
      </c>
      <c r="BB711">
        <v>2012</v>
      </c>
      <c r="BC711">
        <v>1</v>
      </c>
      <c r="BD711">
        <v>1</v>
      </c>
      <c r="BE711" t="s">
        <v>69</v>
      </c>
      <c r="BF711" t="s">
        <v>69</v>
      </c>
      <c r="BG711" t="s">
        <v>69</v>
      </c>
      <c r="BH711" t="s">
        <v>69</v>
      </c>
      <c r="BI711">
        <v>39</v>
      </c>
      <c r="BJ711">
        <v>61</v>
      </c>
      <c r="BK711" t="s">
        <v>69</v>
      </c>
      <c r="BL711" t="s">
        <v>26554</v>
      </c>
      <c r="BM711" t="str">
        <f>HYPERLINK("http://dx.doi.org/10.1016/S2226-5856(18)30053-0","http://dx.doi.org/10.1016/S2226-5856(18)30053-0")</f>
        <v>http://dx.doi.org/10.1016/S2226-5856(18)30053-0</v>
      </c>
      <c r="BN711" t="s">
        <v>69</v>
      </c>
      <c r="BO711" t="s">
        <v>69</v>
      </c>
      <c r="BP711">
        <v>23</v>
      </c>
      <c r="BQ711" t="s">
        <v>8475</v>
      </c>
      <c r="BR711" t="s">
        <v>8573</v>
      </c>
      <c r="BS711" t="s">
        <v>8475</v>
      </c>
      <c r="BT711" t="s">
        <v>26555</v>
      </c>
      <c r="BU711" t="s">
        <v>26556</v>
      </c>
      <c r="BV711" t="s">
        <v>69</v>
      </c>
      <c r="BW711" t="s">
        <v>8746</v>
      </c>
      <c r="BX711" t="s">
        <v>69</v>
      </c>
      <c r="BY711" t="s">
        <v>69</v>
      </c>
      <c r="BZ711" t="s">
        <v>8526</v>
      </c>
      <c r="CA711" t="str">
        <f>HYPERLINK("https%3A%2F%2Fwww.webofscience.com%2Fwos%2Fwoscc%2Ffull-record%2FWOS:000453151200003","View Full Record in Web of Science")</f>
        <v>View Full Record in Web of Science</v>
      </c>
    </row>
    <row r="712" spans="2:79" ht="12.5" x14ac:dyDescent="0.25">
      <c r="B712" t="s">
        <v>8495</v>
      </c>
      <c r="D712" s="7" t="s">
        <v>32933</v>
      </c>
      <c r="E712" s="7"/>
      <c r="F712" s="7"/>
      <c r="G712" s="7"/>
      <c r="H712" t="s">
        <v>67</v>
      </c>
      <c r="I712" t="s">
        <v>7693</v>
      </c>
      <c r="J712" t="s">
        <v>69</v>
      </c>
      <c r="K712" t="s">
        <v>69</v>
      </c>
      <c r="L712" t="s">
        <v>69</v>
      </c>
      <c r="M712" t="s">
        <v>7694</v>
      </c>
      <c r="N712" t="s">
        <v>69</v>
      </c>
      <c r="O712" t="s">
        <v>69</v>
      </c>
      <c r="P712" t="s">
        <v>7695</v>
      </c>
      <c r="Q712" t="s">
        <v>6571</v>
      </c>
      <c r="R712" t="s">
        <v>69</v>
      </c>
      <c r="S712" t="s">
        <v>69</v>
      </c>
      <c r="T712" t="s">
        <v>8505</v>
      </c>
      <c r="U712" t="s">
        <v>8506</v>
      </c>
      <c r="V712" t="s">
        <v>69</v>
      </c>
      <c r="W712" t="s">
        <v>69</v>
      </c>
      <c r="X712" t="s">
        <v>69</v>
      </c>
      <c r="Y712" t="s">
        <v>69</v>
      </c>
      <c r="Z712" t="s">
        <v>69</v>
      </c>
      <c r="AA712" t="s">
        <v>27593</v>
      </c>
      <c r="AB712" t="s">
        <v>27594</v>
      </c>
      <c r="AC712" t="s">
        <v>7696</v>
      </c>
      <c r="AD712" t="s">
        <v>27595</v>
      </c>
      <c r="AE712" t="s">
        <v>69</v>
      </c>
      <c r="AF712" t="s">
        <v>27596</v>
      </c>
      <c r="AG712" t="s">
        <v>27597</v>
      </c>
      <c r="AH712" t="s">
        <v>69</v>
      </c>
      <c r="AI712" t="s">
        <v>69</v>
      </c>
      <c r="AJ712" t="s">
        <v>69</v>
      </c>
      <c r="AK712" t="s">
        <v>69</v>
      </c>
      <c r="AL712" t="s">
        <v>69</v>
      </c>
      <c r="AM712" t="s">
        <v>69</v>
      </c>
      <c r="AN712">
        <v>51</v>
      </c>
      <c r="AO712">
        <v>23</v>
      </c>
      <c r="AP712">
        <v>23</v>
      </c>
      <c r="AQ712">
        <v>0</v>
      </c>
      <c r="AR712">
        <v>30</v>
      </c>
      <c r="AS712" t="s">
        <v>8692</v>
      </c>
      <c r="AT712" t="s">
        <v>8693</v>
      </c>
      <c r="AU712" t="s">
        <v>8694</v>
      </c>
      <c r="AV712" t="s">
        <v>6573</v>
      </c>
      <c r="AW712" t="s">
        <v>6574</v>
      </c>
      <c r="AX712" t="s">
        <v>69</v>
      </c>
      <c r="AY712" t="s">
        <v>10988</v>
      </c>
      <c r="AZ712" t="s">
        <v>10989</v>
      </c>
      <c r="BA712" t="s">
        <v>274</v>
      </c>
      <c r="BB712">
        <v>2010</v>
      </c>
      <c r="BC712">
        <v>77</v>
      </c>
      <c r="BD712">
        <v>9</v>
      </c>
      <c r="BE712" t="s">
        <v>69</v>
      </c>
      <c r="BF712" t="s">
        <v>69</v>
      </c>
      <c r="BG712" t="s">
        <v>114</v>
      </c>
      <c r="BH712" t="s">
        <v>69</v>
      </c>
      <c r="BI712">
        <v>1575</v>
      </c>
      <c r="BJ712">
        <v>1587</v>
      </c>
      <c r="BK712" t="s">
        <v>69</v>
      </c>
      <c r="BL712" t="s">
        <v>7697</v>
      </c>
      <c r="BM712" t="str">
        <f>HYPERLINK("http://dx.doi.org/10.1016/j.techfore.2010.07.005","http://dx.doi.org/10.1016/j.techfore.2010.07.005")</f>
        <v>http://dx.doi.org/10.1016/j.techfore.2010.07.005</v>
      </c>
      <c r="BN712" t="s">
        <v>69</v>
      </c>
      <c r="BO712" t="s">
        <v>69</v>
      </c>
      <c r="BP712">
        <v>13</v>
      </c>
      <c r="BQ712" t="s">
        <v>10992</v>
      </c>
      <c r="BR712" t="s">
        <v>8661</v>
      </c>
      <c r="BS712" t="s">
        <v>10993</v>
      </c>
      <c r="BT712" t="s">
        <v>27598</v>
      </c>
      <c r="BU712" t="s">
        <v>7698</v>
      </c>
      <c r="BV712" t="s">
        <v>69</v>
      </c>
      <c r="BW712" t="s">
        <v>69</v>
      </c>
      <c r="BX712" t="s">
        <v>69</v>
      </c>
      <c r="BY712" t="s">
        <v>69</v>
      </c>
      <c r="BZ712" t="s">
        <v>8526</v>
      </c>
      <c r="CA712" t="str">
        <f>HYPERLINK("https%3A%2F%2Fwww.webofscience.com%2Fwos%2Fwoscc%2Ffull-record%2FWOS:000285123900024","View Full Record in Web of Science")</f>
        <v>View Full Record in Web of Science</v>
      </c>
    </row>
    <row r="713" spans="2:79" ht="12.5" x14ac:dyDescent="0.25">
      <c r="B713" t="s">
        <v>8495</v>
      </c>
      <c r="D713" s="7" t="s">
        <v>32933</v>
      </c>
      <c r="E713" s="7"/>
      <c r="F713" s="7"/>
      <c r="G713" s="7"/>
      <c r="H713" t="s">
        <v>67</v>
      </c>
      <c r="I713" t="s">
        <v>454</v>
      </c>
      <c r="J713" t="s">
        <v>69</v>
      </c>
      <c r="K713" t="s">
        <v>69</v>
      </c>
      <c r="L713" t="s">
        <v>69</v>
      </c>
      <c r="M713" t="s">
        <v>455</v>
      </c>
      <c r="N713" t="s">
        <v>69</v>
      </c>
      <c r="O713" t="s">
        <v>69</v>
      </c>
      <c r="P713" t="s">
        <v>456</v>
      </c>
      <c r="Q713" t="s">
        <v>457</v>
      </c>
      <c r="R713" t="s">
        <v>69</v>
      </c>
      <c r="S713" t="s">
        <v>69</v>
      </c>
      <c r="T713" t="s">
        <v>8505</v>
      </c>
      <c r="U713" t="s">
        <v>8506</v>
      </c>
      <c r="V713" t="s">
        <v>69</v>
      </c>
      <c r="W713" t="s">
        <v>69</v>
      </c>
      <c r="X713" t="s">
        <v>69</v>
      </c>
      <c r="Y713" t="s">
        <v>69</v>
      </c>
      <c r="Z713" t="s">
        <v>69</v>
      </c>
      <c r="AA713" t="s">
        <v>20666</v>
      </c>
      <c r="AB713" t="s">
        <v>20667</v>
      </c>
      <c r="AC713" t="s">
        <v>458</v>
      </c>
      <c r="AD713" t="s">
        <v>20668</v>
      </c>
      <c r="AE713" t="s">
        <v>69</v>
      </c>
      <c r="AF713" t="s">
        <v>20669</v>
      </c>
      <c r="AG713" t="s">
        <v>20670</v>
      </c>
      <c r="AH713" t="s">
        <v>459</v>
      </c>
      <c r="AI713" t="s">
        <v>460</v>
      </c>
      <c r="AJ713" t="s">
        <v>20671</v>
      </c>
      <c r="AK713" t="s">
        <v>20672</v>
      </c>
      <c r="AL713" t="s">
        <v>20673</v>
      </c>
      <c r="AM713" t="s">
        <v>69</v>
      </c>
      <c r="AN713">
        <v>67</v>
      </c>
      <c r="AO713">
        <v>1</v>
      </c>
      <c r="AP713">
        <v>1</v>
      </c>
      <c r="AQ713">
        <v>3</v>
      </c>
      <c r="AR713">
        <v>15</v>
      </c>
      <c r="AS713" t="s">
        <v>17203</v>
      </c>
      <c r="AT713" t="s">
        <v>17204</v>
      </c>
      <c r="AU713" t="s">
        <v>17205</v>
      </c>
      <c r="AV713" t="s">
        <v>461</v>
      </c>
      <c r="AW713" t="s">
        <v>462</v>
      </c>
      <c r="AX713" t="s">
        <v>69</v>
      </c>
      <c r="AY713" t="s">
        <v>17206</v>
      </c>
      <c r="AZ713" t="s">
        <v>17207</v>
      </c>
      <c r="BA713" t="s">
        <v>69</v>
      </c>
      <c r="BB713">
        <v>2017</v>
      </c>
      <c r="BC713">
        <v>19</v>
      </c>
      <c r="BD713" t="s">
        <v>69</v>
      </c>
      <c r="BE713" t="s">
        <v>69</v>
      </c>
      <c r="BF713">
        <v>1</v>
      </c>
      <c r="BG713" t="s">
        <v>69</v>
      </c>
      <c r="BH713" t="s">
        <v>69</v>
      </c>
      <c r="BI713">
        <v>170</v>
      </c>
      <c r="BJ713">
        <v>182</v>
      </c>
      <c r="BK713" t="s">
        <v>69</v>
      </c>
      <c r="BL713" t="s">
        <v>20674</v>
      </c>
      <c r="BM713" t="str">
        <f>HYPERLINK("http://dx.doi.org/10.1505/146554817822407402","http://dx.doi.org/10.1505/146554817822407402")</f>
        <v>http://dx.doi.org/10.1505/146554817822407402</v>
      </c>
      <c r="BN713" t="s">
        <v>69</v>
      </c>
      <c r="BO713" t="s">
        <v>69</v>
      </c>
      <c r="BP713">
        <v>13</v>
      </c>
      <c r="BQ713" t="s">
        <v>8453</v>
      </c>
      <c r="BR713" t="s">
        <v>8523</v>
      </c>
      <c r="BS713" t="s">
        <v>8453</v>
      </c>
      <c r="BT713" t="s">
        <v>20675</v>
      </c>
      <c r="BU713" t="s">
        <v>463</v>
      </c>
      <c r="BV713" t="s">
        <v>69</v>
      </c>
      <c r="BW713" t="s">
        <v>69</v>
      </c>
      <c r="BX713" t="s">
        <v>69</v>
      </c>
      <c r="BY713" t="s">
        <v>69</v>
      </c>
      <c r="BZ713" t="s">
        <v>8526</v>
      </c>
      <c r="CA713" t="str">
        <f>HYPERLINK("https%3A%2F%2Fwww.webofscience.com%2Fwos%2Fwoscc%2Ffull-record%2FWOS:000427716200013","View Full Record in Web of Science")</f>
        <v>View Full Record in Web of Science</v>
      </c>
    </row>
    <row r="714" spans="2:79" ht="12.5" x14ac:dyDescent="0.25">
      <c r="B714" t="s">
        <v>8495</v>
      </c>
      <c r="D714" s="22" t="s">
        <v>32931</v>
      </c>
      <c r="E714" s="7"/>
      <c r="F714" s="7"/>
      <c r="G714" s="7"/>
      <c r="H714" t="s">
        <v>67</v>
      </c>
      <c r="I714" t="s">
        <v>23811</v>
      </c>
      <c r="J714" t="s">
        <v>69</v>
      </c>
      <c r="K714" t="s">
        <v>69</v>
      </c>
      <c r="L714" t="s">
        <v>69</v>
      </c>
      <c r="M714" t="s">
        <v>23812</v>
      </c>
      <c r="N714" t="s">
        <v>69</v>
      </c>
      <c r="O714" t="s">
        <v>69</v>
      </c>
      <c r="P714" t="s">
        <v>23813</v>
      </c>
      <c r="Q714" t="s">
        <v>1128</v>
      </c>
      <c r="R714" t="s">
        <v>69</v>
      </c>
      <c r="S714" t="s">
        <v>69</v>
      </c>
      <c r="T714" t="s">
        <v>8505</v>
      </c>
      <c r="U714" t="s">
        <v>8506</v>
      </c>
      <c r="V714" t="s">
        <v>69</v>
      </c>
      <c r="W714" t="s">
        <v>69</v>
      </c>
      <c r="X714" t="s">
        <v>69</v>
      </c>
      <c r="Y714" t="s">
        <v>69</v>
      </c>
      <c r="Z714" t="s">
        <v>69</v>
      </c>
      <c r="AA714" t="s">
        <v>23814</v>
      </c>
      <c r="AB714" t="s">
        <v>23815</v>
      </c>
      <c r="AC714" t="s">
        <v>23816</v>
      </c>
      <c r="AD714" t="s">
        <v>23817</v>
      </c>
      <c r="AE714" t="s">
        <v>69</v>
      </c>
      <c r="AF714" t="s">
        <v>23818</v>
      </c>
      <c r="AG714" t="s">
        <v>23819</v>
      </c>
      <c r="AH714" t="s">
        <v>69</v>
      </c>
      <c r="AI714" t="s">
        <v>69</v>
      </c>
      <c r="AJ714" t="s">
        <v>69</v>
      </c>
      <c r="AK714" t="s">
        <v>69</v>
      </c>
      <c r="AL714" t="s">
        <v>69</v>
      </c>
      <c r="AM714" t="s">
        <v>69</v>
      </c>
      <c r="AN714">
        <v>59</v>
      </c>
      <c r="AO714">
        <v>10</v>
      </c>
      <c r="AP714">
        <v>10</v>
      </c>
      <c r="AQ714">
        <v>1</v>
      </c>
      <c r="AR714">
        <v>65</v>
      </c>
      <c r="AS714" t="s">
        <v>8636</v>
      </c>
      <c r="AT714" t="s">
        <v>8637</v>
      </c>
      <c r="AU714" t="s">
        <v>8638</v>
      </c>
      <c r="AV714" t="s">
        <v>1130</v>
      </c>
      <c r="AW714" t="s">
        <v>1131</v>
      </c>
      <c r="AX714" t="s">
        <v>69</v>
      </c>
      <c r="AY714" t="s">
        <v>1128</v>
      </c>
      <c r="AZ714" t="s">
        <v>8658</v>
      </c>
      <c r="BA714" t="s">
        <v>586</v>
      </c>
      <c r="BB714">
        <v>2014</v>
      </c>
      <c r="BC714">
        <v>38</v>
      </c>
      <c r="BD714" t="s">
        <v>69</v>
      </c>
      <c r="BE714" t="s">
        <v>69</v>
      </c>
      <c r="BF714" t="s">
        <v>69</v>
      </c>
      <c r="BG714" t="s">
        <v>69</v>
      </c>
      <c r="BH714" t="s">
        <v>69</v>
      </c>
      <c r="BI714">
        <v>388</v>
      </c>
      <c r="BJ714">
        <v>396</v>
      </c>
      <c r="BK714" t="s">
        <v>69</v>
      </c>
      <c r="BL714" t="s">
        <v>23820</v>
      </c>
      <c r="BM714" t="str">
        <f>HYPERLINK("http://dx.doi.org/10.1016/j.landusepol.2013.11.025","http://dx.doi.org/10.1016/j.landusepol.2013.11.025")</f>
        <v>http://dx.doi.org/10.1016/j.landusepol.2013.11.025</v>
      </c>
      <c r="BN714" t="s">
        <v>69</v>
      </c>
      <c r="BO714" t="s">
        <v>69</v>
      </c>
      <c r="BP714">
        <v>9</v>
      </c>
      <c r="BQ714" t="s">
        <v>8660</v>
      </c>
      <c r="BR714" t="s">
        <v>8661</v>
      </c>
      <c r="BS714" t="s">
        <v>8662</v>
      </c>
      <c r="BT714" t="s">
        <v>23821</v>
      </c>
      <c r="BU714" t="s">
        <v>23822</v>
      </c>
      <c r="BV714" t="s">
        <v>69</v>
      </c>
      <c r="BW714" t="s">
        <v>69</v>
      </c>
      <c r="BX714" t="s">
        <v>69</v>
      </c>
      <c r="BY714" t="s">
        <v>69</v>
      </c>
      <c r="BZ714" t="s">
        <v>8526</v>
      </c>
      <c r="CA714" t="str">
        <f>HYPERLINK("https%3A%2F%2Fwww.webofscience.com%2Fwos%2Fwoscc%2Ffull-record%2FWOS:000335424100038","View Full Record in Web of Science")</f>
        <v>View Full Record in Web of Science</v>
      </c>
    </row>
    <row r="715" spans="2:79" ht="12.5" x14ac:dyDescent="0.25">
      <c r="B715" t="s">
        <v>8495</v>
      </c>
      <c r="D715" s="22" t="s">
        <v>32931</v>
      </c>
      <c r="E715" s="7"/>
      <c r="F715" s="7"/>
      <c r="G715" s="7"/>
      <c r="H715" t="s">
        <v>67</v>
      </c>
      <c r="I715" t="s">
        <v>31927</v>
      </c>
      <c r="J715" t="s">
        <v>69</v>
      </c>
      <c r="K715" t="s">
        <v>69</v>
      </c>
      <c r="L715" t="s">
        <v>69</v>
      </c>
      <c r="M715" t="s">
        <v>31927</v>
      </c>
      <c r="N715" t="s">
        <v>69</v>
      </c>
      <c r="O715" t="s">
        <v>69</v>
      </c>
      <c r="P715" t="s">
        <v>31928</v>
      </c>
      <c r="Q715" t="s">
        <v>31929</v>
      </c>
      <c r="R715" t="s">
        <v>69</v>
      </c>
      <c r="S715" t="s">
        <v>69</v>
      </c>
      <c r="T715" t="s">
        <v>8505</v>
      </c>
      <c r="U715" t="s">
        <v>8506</v>
      </c>
      <c r="V715" t="s">
        <v>69</v>
      </c>
      <c r="W715" t="s">
        <v>69</v>
      </c>
      <c r="X715" t="s">
        <v>69</v>
      </c>
      <c r="Y715" t="s">
        <v>69</v>
      </c>
      <c r="Z715" t="s">
        <v>69</v>
      </c>
      <c r="AA715" t="s">
        <v>31930</v>
      </c>
      <c r="AB715" t="s">
        <v>31931</v>
      </c>
      <c r="AC715" t="s">
        <v>31932</v>
      </c>
      <c r="AD715" t="s">
        <v>31933</v>
      </c>
      <c r="AE715" t="s">
        <v>69</v>
      </c>
      <c r="AF715" t="s">
        <v>31934</v>
      </c>
      <c r="AG715" t="s">
        <v>31935</v>
      </c>
      <c r="AH715" t="s">
        <v>69</v>
      </c>
      <c r="AI715" t="s">
        <v>31936</v>
      </c>
      <c r="AJ715" t="s">
        <v>69</v>
      </c>
      <c r="AK715" t="s">
        <v>69</v>
      </c>
      <c r="AL715" t="s">
        <v>69</v>
      </c>
      <c r="AM715" t="s">
        <v>69</v>
      </c>
      <c r="AN715">
        <v>43</v>
      </c>
      <c r="AO715">
        <v>278</v>
      </c>
      <c r="AP715">
        <v>289</v>
      </c>
      <c r="AQ715">
        <v>1</v>
      </c>
      <c r="AR715">
        <v>23</v>
      </c>
      <c r="AS715" t="s">
        <v>10923</v>
      </c>
      <c r="AT715" t="s">
        <v>10924</v>
      </c>
      <c r="AU715" t="s">
        <v>10925</v>
      </c>
      <c r="AV715" t="s">
        <v>31937</v>
      </c>
      <c r="AW715" t="s">
        <v>31938</v>
      </c>
      <c r="AX715" t="s">
        <v>69</v>
      </c>
      <c r="AY715" t="s">
        <v>31939</v>
      </c>
      <c r="AZ715" t="s">
        <v>31940</v>
      </c>
      <c r="BA715" t="s">
        <v>201</v>
      </c>
      <c r="BB715">
        <v>1999</v>
      </c>
      <c r="BC715">
        <v>27</v>
      </c>
      <c r="BD715">
        <v>8</v>
      </c>
      <c r="BE715" t="s">
        <v>69</v>
      </c>
      <c r="BF715" t="s">
        <v>69</v>
      </c>
      <c r="BG715" t="s">
        <v>69</v>
      </c>
      <c r="BH715" t="s">
        <v>69</v>
      </c>
      <c r="BI715">
        <v>1626</v>
      </c>
      <c r="BJ715">
        <v>1633</v>
      </c>
      <c r="BK715" t="s">
        <v>69</v>
      </c>
      <c r="BL715" t="s">
        <v>31941</v>
      </c>
      <c r="BM715" t="str">
        <f>HYPERLINK("http://dx.doi.org/10.1097/00003246-199908000-00042","http://dx.doi.org/10.1097/00003246-199908000-00042")</f>
        <v>http://dx.doi.org/10.1097/00003246-199908000-00042</v>
      </c>
      <c r="BN715" t="s">
        <v>69</v>
      </c>
      <c r="BO715" t="s">
        <v>69</v>
      </c>
      <c r="BP715">
        <v>8</v>
      </c>
      <c r="BQ715" t="s">
        <v>22637</v>
      </c>
      <c r="BR715" t="s">
        <v>8548</v>
      </c>
      <c r="BS715" t="s">
        <v>9451</v>
      </c>
      <c r="BT715" t="s">
        <v>31942</v>
      </c>
      <c r="BU715" t="s">
        <v>31943</v>
      </c>
      <c r="BV715">
        <v>10470775</v>
      </c>
      <c r="BW715" t="s">
        <v>69</v>
      </c>
      <c r="BX715" t="s">
        <v>69</v>
      </c>
      <c r="BY715" t="s">
        <v>69</v>
      </c>
      <c r="BZ715" t="s">
        <v>8526</v>
      </c>
      <c r="CA715" t="str">
        <f>HYPERLINK("https%3A%2F%2Fwww.webofscience.com%2Fwos%2Fwoscc%2Ffull-record%2FWOS:000082218300033","View Full Record in Web of Science")</f>
        <v>View Full Record in Web of Science</v>
      </c>
    </row>
    <row r="716" spans="2:79" ht="12.5" x14ac:dyDescent="0.25">
      <c r="B716" t="s">
        <v>8495</v>
      </c>
      <c r="D716" s="22" t="s">
        <v>32931</v>
      </c>
      <c r="E716" s="7"/>
      <c r="F716" s="7"/>
      <c r="G716" s="7"/>
      <c r="H716" t="s">
        <v>67</v>
      </c>
      <c r="I716" t="s">
        <v>24851</v>
      </c>
      <c r="J716" t="s">
        <v>69</v>
      </c>
      <c r="K716" t="s">
        <v>69</v>
      </c>
      <c r="L716" t="s">
        <v>69</v>
      </c>
      <c r="M716" t="s">
        <v>24852</v>
      </c>
      <c r="N716" t="s">
        <v>69</v>
      </c>
      <c r="O716" t="s">
        <v>69</v>
      </c>
      <c r="P716" t="s">
        <v>24853</v>
      </c>
      <c r="Q716" t="s">
        <v>24854</v>
      </c>
      <c r="R716" t="s">
        <v>69</v>
      </c>
      <c r="S716" t="s">
        <v>69</v>
      </c>
      <c r="T716" t="s">
        <v>8505</v>
      </c>
      <c r="U716" t="s">
        <v>10174</v>
      </c>
      <c r="V716" t="s">
        <v>69</v>
      </c>
      <c r="W716" t="s">
        <v>69</v>
      </c>
      <c r="X716" t="s">
        <v>69</v>
      </c>
      <c r="Y716" t="s">
        <v>69</v>
      </c>
      <c r="Z716" t="s">
        <v>69</v>
      </c>
      <c r="AA716" t="s">
        <v>24855</v>
      </c>
      <c r="AB716" t="s">
        <v>69</v>
      </c>
      <c r="AC716" t="s">
        <v>24856</v>
      </c>
      <c r="AD716" t="s">
        <v>24857</v>
      </c>
      <c r="AE716" t="s">
        <v>69</v>
      </c>
      <c r="AF716" t="s">
        <v>24858</v>
      </c>
      <c r="AG716" t="s">
        <v>69</v>
      </c>
      <c r="AH716" t="s">
        <v>69</v>
      </c>
      <c r="AI716" t="s">
        <v>69</v>
      </c>
      <c r="AJ716" t="s">
        <v>69</v>
      </c>
      <c r="AK716" t="s">
        <v>69</v>
      </c>
      <c r="AL716" t="s">
        <v>69</v>
      </c>
      <c r="AM716" t="s">
        <v>69</v>
      </c>
      <c r="AN716">
        <v>5</v>
      </c>
      <c r="AO716">
        <v>4</v>
      </c>
      <c r="AP716">
        <v>5</v>
      </c>
      <c r="AQ716">
        <v>0</v>
      </c>
      <c r="AR716">
        <v>0</v>
      </c>
      <c r="AS716" t="s">
        <v>8762</v>
      </c>
      <c r="AT716" t="s">
        <v>8763</v>
      </c>
      <c r="AU716" t="s">
        <v>8764</v>
      </c>
      <c r="AV716" t="s">
        <v>24859</v>
      </c>
      <c r="AW716" t="s">
        <v>24860</v>
      </c>
      <c r="AX716" t="s">
        <v>69</v>
      </c>
      <c r="AY716" t="s">
        <v>24861</v>
      </c>
      <c r="AZ716" t="s">
        <v>24862</v>
      </c>
      <c r="BA716" t="s">
        <v>84</v>
      </c>
      <c r="BB716">
        <v>2013</v>
      </c>
      <c r="BC716">
        <v>8</v>
      </c>
      <c r="BD716">
        <v>2</v>
      </c>
      <c r="BE716" t="s">
        <v>69</v>
      </c>
      <c r="BF716" t="s">
        <v>69</v>
      </c>
      <c r="BG716" t="s">
        <v>69</v>
      </c>
      <c r="BH716" t="s">
        <v>69</v>
      </c>
      <c r="BI716">
        <v>76</v>
      </c>
      <c r="BJ716">
        <v>84</v>
      </c>
      <c r="BK716" t="s">
        <v>69</v>
      </c>
      <c r="BL716" t="s">
        <v>24863</v>
      </c>
      <c r="BM716" t="str">
        <f>HYPERLINK("http://dx.doi.org/10.7227/CST.8.2.8","http://dx.doi.org/10.7227/CST.8.2.8")</f>
        <v>http://dx.doi.org/10.7227/CST.8.2.8</v>
      </c>
      <c r="BN716" t="s">
        <v>69</v>
      </c>
      <c r="BO716" t="s">
        <v>69</v>
      </c>
      <c r="BP716">
        <v>9</v>
      </c>
      <c r="BQ716" t="s">
        <v>24864</v>
      </c>
      <c r="BR716" t="s">
        <v>8573</v>
      </c>
      <c r="BS716" t="s">
        <v>24865</v>
      </c>
      <c r="BT716" t="s">
        <v>24866</v>
      </c>
      <c r="BU716" t="s">
        <v>24867</v>
      </c>
      <c r="BV716" t="s">
        <v>69</v>
      </c>
      <c r="BW716" t="s">
        <v>69</v>
      </c>
      <c r="BX716" t="s">
        <v>69</v>
      </c>
      <c r="BY716" t="s">
        <v>69</v>
      </c>
      <c r="BZ716" t="s">
        <v>8526</v>
      </c>
      <c r="CA716" t="str">
        <f>HYPERLINK("https%3A%2F%2Fwww.webofscience.com%2Fwos%2Fwoscc%2Ffull-record%2FWOS:000214629500008","View Full Record in Web of Science")</f>
        <v>View Full Record in Web of Science</v>
      </c>
    </row>
    <row r="717" spans="2:79" x14ac:dyDescent="0.3">
      <c r="B717" t="s">
        <v>8495</v>
      </c>
      <c r="D717" s="9" t="s">
        <v>32973</v>
      </c>
      <c r="E717" s="9" t="s">
        <v>33105</v>
      </c>
      <c r="F717" s="10" t="s">
        <v>8490</v>
      </c>
      <c r="G717" s="9" t="s">
        <v>8490</v>
      </c>
      <c r="H717" t="s">
        <v>67</v>
      </c>
      <c r="I717" t="s">
        <v>9132</v>
      </c>
      <c r="J717" t="s">
        <v>69</v>
      </c>
      <c r="K717" t="s">
        <v>69</v>
      </c>
      <c r="L717" t="s">
        <v>69</v>
      </c>
      <c r="M717" t="s">
        <v>9133</v>
      </c>
      <c r="N717" t="s">
        <v>69</v>
      </c>
      <c r="O717" t="s">
        <v>69</v>
      </c>
      <c r="P717" t="s">
        <v>9134</v>
      </c>
      <c r="Q717" t="s">
        <v>417</v>
      </c>
      <c r="R717" t="s">
        <v>69</v>
      </c>
      <c r="S717" t="s">
        <v>69</v>
      </c>
      <c r="T717" t="s">
        <v>8505</v>
      </c>
      <c r="U717" t="s">
        <v>8506</v>
      </c>
      <c r="V717" t="s">
        <v>69</v>
      </c>
      <c r="W717" t="s">
        <v>69</v>
      </c>
      <c r="X717" t="s">
        <v>69</v>
      </c>
      <c r="Y717" t="s">
        <v>69</v>
      </c>
      <c r="Z717" t="s">
        <v>69</v>
      </c>
      <c r="AA717" t="s">
        <v>9135</v>
      </c>
      <c r="AB717" t="s">
        <v>9136</v>
      </c>
      <c r="AC717" t="s">
        <v>9137</v>
      </c>
      <c r="AD717" t="s">
        <v>9138</v>
      </c>
      <c r="AE717" t="s">
        <v>69</v>
      </c>
      <c r="AF717" t="s">
        <v>9139</v>
      </c>
      <c r="AG717" t="s">
        <v>9140</v>
      </c>
      <c r="AH717" t="s">
        <v>69</v>
      </c>
      <c r="AI717" t="s">
        <v>9141</v>
      </c>
      <c r="AJ717" t="s">
        <v>9142</v>
      </c>
      <c r="AK717" t="s">
        <v>9143</v>
      </c>
      <c r="AL717" t="s">
        <v>9144</v>
      </c>
      <c r="AM717" t="s">
        <v>69</v>
      </c>
      <c r="AN717">
        <v>66</v>
      </c>
      <c r="AO717">
        <v>3</v>
      </c>
      <c r="AP717">
        <v>3</v>
      </c>
      <c r="AQ717">
        <v>3</v>
      </c>
      <c r="AR717">
        <v>3</v>
      </c>
      <c r="AS717" t="s">
        <v>9145</v>
      </c>
      <c r="AT717" t="s">
        <v>8637</v>
      </c>
      <c r="AU717" t="s">
        <v>9146</v>
      </c>
      <c r="AV717" t="s">
        <v>419</v>
      </c>
      <c r="AW717" t="s">
        <v>420</v>
      </c>
      <c r="AX717" t="s">
        <v>69</v>
      </c>
      <c r="AY717" t="s">
        <v>417</v>
      </c>
      <c r="AZ717" t="s">
        <v>8482</v>
      </c>
      <c r="BA717" t="s">
        <v>586</v>
      </c>
      <c r="BB717">
        <v>2022</v>
      </c>
      <c r="BC717">
        <v>131</v>
      </c>
      <c r="BD717" t="s">
        <v>69</v>
      </c>
      <c r="BE717" t="s">
        <v>69</v>
      </c>
      <c r="BF717" t="s">
        <v>69</v>
      </c>
      <c r="BG717" t="s">
        <v>69</v>
      </c>
      <c r="BH717" t="s">
        <v>69</v>
      </c>
      <c r="BI717">
        <v>163</v>
      </c>
      <c r="BJ717">
        <v>172</v>
      </c>
      <c r="BK717" t="s">
        <v>69</v>
      </c>
      <c r="BL717" t="s">
        <v>9147</v>
      </c>
      <c r="BM717" t="str">
        <f>HYPERLINK("http://dx.doi.org/10.1016/j.geoforum.2022.02.012","http://dx.doi.org/10.1016/j.geoforum.2022.02.012")</f>
        <v>http://dx.doi.org/10.1016/j.geoforum.2022.02.012</v>
      </c>
      <c r="BN717" t="s">
        <v>69</v>
      </c>
      <c r="BO717" t="s">
        <v>69</v>
      </c>
      <c r="BP717">
        <v>10</v>
      </c>
      <c r="BQ717" t="s">
        <v>8446</v>
      </c>
      <c r="BR717" t="s">
        <v>8661</v>
      </c>
      <c r="BS717" t="s">
        <v>8446</v>
      </c>
      <c r="BT717" t="s">
        <v>9148</v>
      </c>
      <c r="BU717" t="s">
        <v>9149</v>
      </c>
      <c r="BV717" t="s">
        <v>69</v>
      </c>
      <c r="BW717" t="s">
        <v>69</v>
      </c>
      <c r="BX717" t="s">
        <v>69</v>
      </c>
      <c r="BY717" t="s">
        <v>69</v>
      </c>
      <c r="BZ717" t="s">
        <v>8526</v>
      </c>
      <c r="CA717" t="str">
        <f>HYPERLINK("https%3A%2F%2Fwww.webofscience.com%2Fwos%2Fwoscc%2Ffull-record%2FWOS:000796712800005","View Full Record in Web of Science")</f>
        <v>View Full Record in Web of Science</v>
      </c>
    </row>
    <row r="718" spans="2:79" ht="12.5" x14ac:dyDescent="0.25">
      <c r="B718" t="s">
        <v>8495</v>
      </c>
      <c r="D718" s="22" t="s">
        <v>32931</v>
      </c>
      <c r="E718" s="7"/>
      <c r="F718" s="7"/>
      <c r="G718" s="7"/>
      <c r="H718" t="s">
        <v>67</v>
      </c>
      <c r="I718" t="s">
        <v>25387</v>
      </c>
      <c r="J718" t="s">
        <v>69</v>
      </c>
      <c r="K718" t="s">
        <v>69</v>
      </c>
      <c r="L718" t="s">
        <v>69</v>
      </c>
      <c r="M718" t="s">
        <v>25388</v>
      </c>
      <c r="N718" t="s">
        <v>69</v>
      </c>
      <c r="O718" t="s">
        <v>69</v>
      </c>
      <c r="P718" t="s">
        <v>25389</v>
      </c>
      <c r="Q718" t="s">
        <v>25390</v>
      </c>
      <c r="R718" t="s">
        <v>69</v>
      </c>
      <c r="S718" t="s">
        <v>69</v>
      </c>
      <c r="T718" t="s">
        <v>8505</v>
      </c>
      <c r="U718" t="s">
        <v>8506</v>
      </c>
      <c r="V718" t="s">
        <v>69</v>
      </c>
      <c r="W718" t="s">
        <v>69</v>
      </c>
      <c r="X718" t="s">
        <v>69</v>
      </c>
      <c r="Y718" t="s">
        <v>69</v>
      </c>
      <c r="Z718" t="s">
        <v>69</v>
      </c>
      <c r="AA718" t="s">
        <v>25391</v>
      </c>
      <c r="AB718" t="s">
        <v>69</v>
      </c>
      <c r="AC718" t="s">
        <v>25392</v>
      </c>
      <c r="AD718" t="s">
        <v>25393</v>
      </c>
      <c r="AE718" t="s">
        <v>69</v>
      </c>
      <c r="AF718" t="s">
        <v>25394</v>
      </c>
      <c r="AG718" t="s">
        <v>25395</v>
      </c>
      <c r="AH718" t="s">
        <v>25396</v>
      </c>
      <c r="AI718" t="s">
        <v>25397</v>
      </c>
      <c r="AJ718" t="s">
        <v>69</v>
      </c>
      <c r="AK718" t="s">
        <v>69</v>
      </c>
      <c r="AL718" t="s">
        <v>69</v>
      </c>
      <c r="AM718" t="s">
        <v>69</v>
      </c>
      <c r="AN718">
        <v>22</v>
      </c>
      <c r="AO718">
        <v>12</v>
      </c>
      <c r="AP718">
        <v>12</v>
      </c>
      <c r="AQ718">
        <v>0</v>
      </c>
      <c r="AR718">
        <v>0</v>
      </c>
      <c r="AS718" t="s">
        <v>8586</v>
      </c>
      <c r="AT718" t="s">
        <v>8587</v>
      </c>
      <c r="AU718" t="s">
        <v>8588</v>
      </c>
      <c r="AV718" t="s">
        <v>25398</v>
      </c>
      <c r="AW718" t="s">
        <v>25399</v>
      </c>
      <c r="AX718" t="s">
        <v>69</v>
      </c>
      <c r="AY718" t="s">
        <v>25400</v>
      </c>
      <c r="AZ718" t="s">
        <v>25401</v>
      </c>
      <c r="BA718" t="s">
        <v>69</v>
      </c>
      <c r="BB718">
        <v>2013</v>
      </c>
      <c r="BC718">
        <v>37</v>
      </c>
      <c r="BD718">
        <v>7</v>
      </c>
      <c r="BE718" t="s">
        <v>69</v>
      </c>
      <c r="BF718" t="s">
        <v>69</v>
      </c>
      <c r="BG718" t="s">
        <v>114</v>
      </c>
      <c r="BH718" t="s">
        <v>69</v>
      </c>
      <c r="BI718">
        <v>662</v>
      </c>
      <c r="BJ718">
        <v>677</v>
      </c>
      <c r="BK718" t="s">
        <v>69</v>
      </c>
      <c r="BL718" t="s">
        <v>25402</v>
      </c>
      <c r="BM718" t="str">
        <f>HYPERLINK("http://dx.doi.org/10.1108/EJTD-10-2012-0060","http://dx.doi.org/10.1108/EJTD-10-2012-0060")</f>
        <v>http://dx.doi.org/10.1108/EJTD-10-2012-0060</v>
      </c>
      <c r="BN718" t="s">
        <v>69</v>
      </c>
      <c r="BO718" t="s">
        <v>69</v>
      </c>
      <c r="BP718">
        <v>16</v>
      </c>
      <c r="BQ718" t="s">
        <v>9410</v>
      </c>
      <c r="BR718" t="s">
        <v>8573</v>
      </c>
      <c r="BS718" t="s">
        <v>8594</v>
      </c>
      <c r="BT718" t="s">
        <v>25403</v>
      </c>
      <c r="BU718" t="s">
        <v>25404</v>
      </c>
      <c r="BV718" t="s">
        <v>69</v>
      </c>
      <c r="BW718" t="s">
        <v>69</v>
      </c>
      <c r="BX718" t="s">
        <v>69</v>
      </c>
      <c r="BY718" t="s">
        <v>69</v>
      </c>
      <c r="BZ718" t="s">
        <v>8526</v>
      </c>
      <c r="CA718" t="str">
        <f>HYPERLINK("https%3A%2F%2Fwww.webofscience.com%2Fwos%2Fwoscc%2Ffull-record%2FWOS:000214813000005","View Full Record in Web of Science")</f>
        <v>View Full Record in Web of Science</v>
      </c>
    </row>
    <row r="719" spans="2:79" x14ac:dyDescent="0.3">
      <c r="B719" t="s">
        <v>8495</v>
      </c>
      <c r="D719" s="9" t="s">
        <v>32954</v>
      </c>
      <c r="E719" s="9" t="s">
        <v>33113</v>
      </c>
      <c r="F719" s="10" t="s">
        <v>8490</v>
      </c>
      <c r="G719" s="9" t="s">
        <v>8490</v>
      </c>
      <c r="H719" t="s">
        <v>67</v>
      </c>
      <c r="I719" t="s">
        <v>9081</v>
      </c>
      <c r="J719" t="s">
        <v>69</v>
      </c>
      <c r="K719" t="s">
        <v>69</v>
      </c>
      <c r="L719" t="s">
        <v>69</v>
      </c>
      <c r="M719" t="s">
        <v>9082</v>
      </c>
      <c r="N719" t="s">
        <v>69</v>
      </c>
      <c r="O719" t="s">
        <v>69</v>
      </c>
      <c r="P719" t="s">
        <v>9083</v>
      </c>
      <c r="Q719" t="s">
        <v>4552</v>
      </c>
      <c r="R719" t="s">
        <v>69</v>
      </c>
      <c r="S719" t="s">
        <v>69</v>
      </c>
      <c r="T719" t="s">
        <v>8505</v>
      </c>
      <c r="U719" t="s">
        <v>8506</v>
      </c>
      <c r="V719" t="s">
        <v>69</v>
      </c>
      <c r="W719" t="s">
        <v>69</v>
      </c>
      <c r="X719" t="s">
        <v>69</v>
      </c>
      <c r="Y719" t="s">
        <v>69</v>
      </c>
      <c r="Z719" t="s">
        <v>69</v>
      </c>
      <c r="AA719" t="s">
        <v>9084</v>
      </c>
      <c r="AB719" t="s">
        <v>9085</v>
      </c>
      <c r="AC719" t="s">
        <v>9086</v>
      </c>
      <c r="AD719" t="s">
        <v>9087</v>
      </c>
      <c r="AE719" t="s">
        <v>69</v>
      </c>
      <c r="AF719" t="s">
        <v>9088</v>
      </c>
      <c r="AG719" t="s">
        <v>9089</v>
      </c>
      <c r="AH719" t="s">
        <v>69</v>
      </c>
      <c r="AI719" t="s">
        <v>9090</v>
      </c>
      <c r="AJ719" t="s">
        <v>69</v>
      </c>
      <c r="AK719" t="s">
        <v>69</v>
      </c>
      <c r="AL719" t="s">
        <v>69</v>
      </c>
      <c r="AM719" t="s">
        <v>69</v>
      </c>
      <c r="AN719">
        <v>60</v>
      </c>
      <c r="AO719">
        <v>1</v>
      </c>
      <c r="AP719">
        <v>1</v>
      </c>
      <c r="AQ719">
        <v>1</v>
      </c>
      <c r="AR719">
        <v>1</v>
      </c>
      <c r="AS719" t="s">
        <v>9091</v>
      </c>
      <c r="AT719" t="s">
        <v>8763</v>
      </c>
      <c r="AU719" t="s">
        <v>9092</v>
      </c>
      <c r="AV719" t="s">
        <v>4556</v>
      </c>
      <c r="AW719" t="s">
        <v>9093</v>
      </c>
      <c r="AX719" t="s">
        <v>69</v>
      </c>
      <c r="AY719" t="s">
        <v>4552</v>
      </c>
      <c r="AZ719" t="s">
        <v>9094</v>
      </c>
      <c r="BA719" t="s">
        <v>586</v>
      </c>
      <c r="BB719">
        <v>2022</v>
      </c>
      <c r="BC719">
        <v>24</v>
      </c>
      <c r="BD719">
        <v>5</v>
      </c>
      <c r="BE719" t="s">
        <v>69</v>
      </c>
      <c r="BF719" t="s">
        <v>69</v>
      </c>
      <c r="BG719" t="s">
        <v>114</v>
      </c>
      <c r="BH719" t="s">
        <v>69</v>
      </c>
      <c r="BI719">
        <v>797</v>
      </c>
      <c r="BJ719">
        <v>813</v>
      </c>
      <c r="BK719" t="s">
        <v>69</v>
      </c>
      <c r="BL719" t="s">
        <v>9095</v>
      </c>
      <c r="BM719" t="str">
        <f>HYPERLINK("http://dx.doi.org/10.2166/wp.2022.229","http://dx.doi.org/10.2166/wp.2022.229")</f>
        <v>http://dx.doi.org/10.2166/wp.2022.229</v>
      </c>
      <c r="BN719" t="s">
        <v>69</v>
      </c>
      <c r="BO719" t="s">
        <v>9025</v>
      </c>
      <c r="BP719">
        <v>17</v>
      </c>
      <c r="BQ719" t="s">
        <v>9096</v>
      </c>
      <c r="BR719" t="s">
        <v>8548</v>
      </c>
      <c r="BS719" t="s">
        <v>9096</v>
      </c>
      <c r="BT719" t="s">
        <v>9097</v>
      </c>
      <c r="BU719" t="s">
        <v>9098</v>
      </c>
      <c r="BV719" t="s">
        <v>69</v>
      </c>
      <c r="BW719" t="s">
        <v>8931</v>
      </c>
      <c r="BX719" t="s">
        <v>69</v>
      </c>
      <c r="BY719" t="s">
        <v>69</v>
      </c>
      <c r="BZ719" t="s">
        <v>8526</v>
      </c>
      <c r="CA719" t="str">
        <f>HYPERLINK("https%3A%2F%2Fwww.webofscience.com%2Fwos%2Fwoscc%2Ffull-record%2FWOS:000794560100001","View Full Record in Web of Science")</f>
        <v>View Full Record in Web of Science</v>
      </c>
    </row>
    <row r="720" spans="2:79" ht="12.5" x14ac:dyDescent="0.25">
      <c r="B720" t="s">
        <v>8495</v>
      </c>
      <c r="D720" s="7" t="s">
        <v>32933</v>
      </c>
      <c r="E720" s="7"/>
      <c r="F720" s="7"/>
      <c r="G720" s="7"/>
      <c r="H720" t="s">
        <v>67</v>
      </c>
      <c r="I720" t="s">
        <v>1729</v>
      </c>
      <c r="J720" t="s">
        <v>69</v>
      </c>
      <c r="K720" t="s">
        <v>69</v>
      </c>
      <c r="L720" t="s">
        <v>69</v>
      </c>
      <c r="M720" t="s">
        <v>1729</v>
      </c>
      <c r="N720" t="s">
        <v>69</v>
      </c>
      <c r="O720" t="s">
        <v>69</v>
      </c>
      <c r="P720" t="s">
        <v>1730</v>
      </c>
      <c r="Q720" t="s">
        <v>1731</v>
      </c>
      <c r="R720" t="s">
        <v>69</v>
      </c>
      <c r="S720" t="s">
        <v>69</v>
      </c>
      <c r="T720" t="s">
        <v>8505</v>
      </c>
      <c r="U720" t="s">
        <v>15797</v>
      </c>
      <c r="V720" t="s">
        <v>1732</v>
      </c>
      <c r="W720" t="s">
        <v>1733</v>
      </c>
      <c r="X720" t="s">
        <v>1734</v>
      </c>
      <c r="Y720" t="s">
        <v>31770</v>
      </c>
      <c r="Z720" t="s">
        <v>69</v>
      </c>
      <c r="AA720" t="s">
        <v>31771</v>
      </c>
      <c r="AB720" t="s">
        <v>31772</v>
      </c>
      <c r="AC720" t="s">
        <v>1735</v>
      </c>
      <c r="AD720" t="s">
        <v>31773</v>
      </c>
      <c r="AE720" t="s">
        <v>69</v>
      </c>
      <c r="AF720" t="s">
        <v>31774</v>
      </c>
      <c r="AG720" t="s">
        <v>31775</v>
      </c>
      <c r="AH720" t="s">
        <v>69</v>
      </c>
      <c r="AI720" t="s">
        <v>1736</v>
      </c>
      <c r="AJ720" t="s">
        <v>69</v>
      </c>
      <c r="AK720" t="s">
        <v>69</v>
      </c>
      <c r="AL720" t="s">
        <v>69</v>
      </c>
      <c r="AM720" t="s">
        <v>69</v>
      </c>
      <c r="AN720">
        <v>61</v>
      </c>
      <c r="AO720">
        <v>57</v>
      </c>
      <c r="AP720">
        <v>58</v>
      </c>
      <c r="AQ720">
        <v>4</v>
      </c>
      <c r="AR720">
        <v>30</v>
      </c>
      <c r="AS720" t="s">
        <v>8516</v>
      </c>
      <c r="AT720" t="s">
        <v>8517</v>
      </c>
      <c r="AU720" t="s">
        <v>8518</v>
      </c>
      <c r="AV720" t="s">
        <v>1737</v>
      </c>
      <c r="AW720" t="s">
        <v>1738</v>
      </c>
      <c r="AX720" t="s">
        <v>69</v>
      </c>
      <c r="AY720" t="s">
        <v>31776</v>
      </c>
      <c r="AZ720" t="s">
        <v>31777</v>
      </c>
      <c r="BA720" t="s">
        <v>201</v>
      </c>
      <c r="BB720">
        <v>2000</v>
      </c>
      <c r="BC720">
        <v>15</v>
      </c>
      <c r="BD720">
        <v>1</v>
      </c>
      <c r="BE720" t="s">
        <v>69</v>
      </c>
      <c r="BF720" t="s">
        <v>69</v>
      </c>
      <c r="BG720" t="s">
        <v>69</v>
      </c>
      <c r="BH720" t="s">
        <v>69</v>
      </c>
      <c r="BI720">
        <v>61</v>
      </c>
      <c r="BJ720">
        <v>73</v>
      </c>
      <c r="BK720" t="s">
        <v>69</v>
      </c>
      <c r="BL720" t="s">
        <v>1739</v>
      </c>
      <c r="BM720" t="str">
        <f>HYPERLINK("http://dx.doi.org/10.1016/S0929-1393(00)00072-X","http://dx.doi.org/10.1016/S0929-1393(00)00072-X")</f>
        <v>http://dx.doi.org/10.1016/S0929-1393(00)00072-X</v>
      </c>
      <c r="BN720" t="s">
        <v>69</v>
      </c>
      <c r="BO720" t="s">
        <v>69</v>
      </c>
      <c r="BP720">
        <v>13</v>
      </c>
      <c r="BQ720" t="s">
        <v>17154</v>
      </c>
      <c r="BR720" t="s">
        <v>15808</v>
      </c>
      <c r="BS720" t="s">
        <v>8450</v>
      </c>
      <c r="BT720" t="s">
        <v>31778</v>
      </c>
      <c r="BU720" t="s">
        <v>1740</v>
      </c>
      <c r="BV720" t="s">
        <v>69</v>
      </c>
      <c r="BW720" t="s">
        <v>69</v>
      </c>
      <c r="BX720" t="s">
        <v>69</v>
      </c>
      <c r="BY720" t="s">
        <v>69</v>
      </c>
      <c r="BZ720" t="s">
        <v>8526</v>
      </c>
      <c r="CA720" t="str">
        <f>HYPERLINK("https%3A%2F%2Fwww.webofscience.com%2Fwos%2Fwoscc%2Ffull-record%2FWOS:000088655500007","View Full Record in Web of Science")</f>
        <v>View Full Record in Web of Science</v>
      </c>
    </row>
    <row r="721" spans="2:79" ht="12.5" x14ac:dyDescent="0.25">
      <c r="B721" t="s">
        <v>8495</v>
      </c>
      <c r="D721" s="22" t="s">
        <v>32931</v>
      </c>
      <c r="E721" s="7"/>
      <c r="F721" s="7"/>
      <c r="G721" s="7"/>
      <c r="H721" t="s">
        <v>67</v>
      </c>
      <c r="I721" t="s">
        <v>20068</v>
      </c>
      <c r="J721" t="s">
        <v>69</v>
      </c>
      <c r="K721" t="s">
        <v>69</v>
      </c>
      <c r="L721" t="s">
        <v>69</v>
      </c>
      <c r="M721" t="s">
        <v>20069</v>
      </c>
      <c r="N721" t="s">
        <v>69</v>
      </c>
      <c r="O721" t="s">
        <v>69</v>
      </c>
      <c r="P721" t="s">
        <v>20070</v>
      </c>
      <c r="Q721" t="s">
        <v>18603</v>
      </c>
      <c r="R721" t="s">
        <v>69</v>
      </c>
      <c r="S721" t="s">
        <v>69</v>
      </c>
      <c r="T721" t="s">
        <v>8505</v>
      </c>
      <c r="U721" t="s">
        <v>8506</v>
      </c>
      <c r="V721" t="s">
        <v>69</v>
      </c>
      <c r="W721" t="s">
        <v>69</v>
      </c>
      <c r="X721" t="s">
        <v>69</v>
      </c>
      <c r="Y721" t="s">
        <v>69</v>
      </c>
      <c r="Z721" t="s">
        <v>69</v>
      </c>
      <c r="AA721" t="s">
        <v>20071</v>
      </c>
      <c r="AB721" t="s">
        <v>69</v>
      </c>
      <c r="AC721" t="s">
        <v>20072</v>
      </c>
      <c r="AD721" t="s">
        <v>20073</v>
      </c>
      <c r="AE721" t="s">
        <v>69</v>
      </c>
      <c r="AF721" t="s">
        <v>20074</v>
      </c>
      <c r="AG721" t="s">
        <v>69</v>
      </c>
      <c r="AH721" t="s">
        <v>69</v>
      </c>
      <c r="AI721" t="s">
        <v>69</v>
      </c>
      <c r="AJ721" t="s">
        <v>69</v>
      </c>
      <c r="AK721" t="s">
        <v>69</v>
      </c>
      <c r="AL721" t="s">
        <v>69</v>
      </c>
      <c r="AM721" t="s">
        <v>69</v>
      </c>
      <c r="AN721">
        <v>12</v>
      </c>
      <c r="AO721">
        <v>3</v>
      </c>
      <c r="AP721">
        <v>3</v>
      </c>
      <c r="AQ721">
        <v>1</v>
      </c>
      <c r="AR721">
        <v>20</v>
      </c>
      <c r="AS721" t="s">
        <v>14856</v>
      </c>
      <c r="AT721" t="s">
        <v>11131</v>
      </c>
      <c r="AU721" t="s">
        <v>14857</v>
      </c>
      <c r="AV721" t="s">
        <v>18608</v>
      </c>
      <c r="AW721" t="s">
        <v>18609</v>
      </c>
      <c r="AX721" t="s">
        <v>69</v>
      </c>
      <c r="AY721" t="s">
        <v>18610</v>
      </c>
      <c r="AZ721" t="s">
        <v>18611</v>
      </c>
      <c r="BA721" t="s">
        <v>1774</v>
      </c>
      <c r="BB721">
        <v>2017</v>
      </c>
      <c r="BC721">
        <v>87</v>
      </c>
      <c r="BD721">
        <v>5</v>
      </c>
      <c r="BE721" t="s">
        <v>69</v>
      </c>
      <c r="BF721" t="s">
        <v>69</v>
      </c>
      <c r="BG721" t="s">
        <v>114</v>
      </c>
      <c r="BH721" t="s">
        <v>69</v>
      </c>
      <c r="BI721">
        <v>54</v>
      </c>
      <c r="BJ721">
        <v>61</v>
      </c>
      <c r="BK721" t="s">
        <v>69</v>
      </c>
      <c r="BL721" t="s">
        <v>20075</v>
      </c>
      <c r="BM721" t="str">
        <f>HYPERLINK("http://dx.doi.org/10.1002/ad.2216","http://dx.doi.org/10.1002/ad.2216")</f>
        <v>http://dx.doi.org/10.1002/ad.2216</v>
      </c>
      <c r="BN721" t="s">
        <v>69</v>
      </c>
      <c r="BO721" t="s">
        <v>69</v>
      </c>
      <c r="BP721">
        <v>8</v>
      </c>
      <c r="BQ721" t="s">
        <v>8449</v>
      </c>
      <c r="BR721" t="s">
        <v>11207</v>
      </c>
      <c r="BS721" t="s">
        <v>8449</v>
      </c>
      <c r="BT721" t="s">
        <v>20076</v>
      </c>
      <c r="BU721" t="s">
        <v>20077</v>
      </c>
      <c r="BV721" t="s">
        <v>69</v>
      </c>
      <c r="BW721" t="s">
        <v>69</v>
      </c>
      <c r="BX721" t="s">
        <v>69</v>
      </c>
      <c r="BY721" t="s">
        <v>69</v>
      </c>
      <c r="BZ721" t="s">
        <v>8526</v>
      </c>
      <c r="CA721" t="str">
        <f>HYPERLINK("https%3A%2F%2Fwww.webofscience.com%2Fwos%2Fwoscc%2Ffull-record%2FWOS:000409460400008","View Full Record in Web of Science")</f>
        <v>View Full Record in Web of Science</v>
      </c>
    </row>
    <row r="722" spans="2:79" ht="12.5" x14ac:dyDescent="0.25">
      <c r="B722" t="s">
        <v>8495</v>
      </c>
      <c r="D722" s="22" t="s">
        <v>32931</v>
      </c>
      <c r="E722" s="7"/>
      <c r="F722" s="7"/>
      <c r="G722" s="7"/>
      <c r="H722" t="s">
        <v>67</v>
      </c>
      <c r="I722" t="s">
        <v>24272</v>
      </c>
      <c r="J722" t="s">
        <v>69</v>
      </c>
      <c r="K722" t="s">
        <v>69</v>
      </c>
      <c r="L722" t="s">
        <v>69</v>
      </c>
      <c r="M722" t="s">
        <v>24273</v>
      </c>
      <c r="N722" t="s">
        <v>69</v>
      </c>
      <c r="O722" t="s">
        <v>69</v>
      </c>
      <c r="P722" t="s">
        <v>24274</v>
      </c>
      <c r="Q722" t="s">
        <v>3097</v>
      </c>
      <c r="R722" t="s">
        <v>69</v>
      </c>
      <c r="S722" t="s">
        <v>69</v>
      </c>
      <c r="T722" t="s">
        <v>8505</v>
      </c>
      <c r="U722" t="s">
        <v>8442</v>
      </c>
      <c r="V722" t="s">
        <v>69</v>
      </c>
      <c r="W722" t="s">
        <v>69</v>
      </c>
      <c r="X722" t="s">
        <v>69</v>
      </c>
      <c r="Y722" t="s">
        <v>69</v>
      </c>
      <c r="Z722" t="s">
        <v>69</v>
      </c>
      <c r="AA722" t="s">
        <v>24275</v>
      </c>
      <c r="AB722" t="s">
        <v>69</v>
      </c>
      <c r="AC722" t="s">
        <v>24276</v>
      </c>
      <c r="AD722" t="s">
        <v>24277</v>
      </c>
      <c r="AE722" t="s">
        <v>69</v>
      </c>
      <c r="AF722" t="s">
        <v>24278</v>
      </c>
      <c r="AG722" t="s">
        <v>24279</v>
      </c>
      <c r="AH722" t="s">
        <v>69</v>
      </c>
      <c r="AI722" t="s">
        <v>69</v>
      </c>
      <c r="AJ722" t="s">
        <v>69</v>
      </c>
      <c r="AK722" t="s">
        <v>69</v>
      </c>
      <c r="AL722" t="s">
        <v>69</v>
      </c>
      <c r="AM722" t="s">
        <v>69</v>
      </c>
      <c r="AN722">
        <v>37</v>
      </c>
      <c r="AO722">
        <v>6</v>
      </c>
      <c r="AP722">
        <v>6</v>
      </c>
      <c r="AQ722">
        <v>0</v>
      </c>
      <c r="AR722">
        <v>0</v>
      </c>
      <c r="AS722" t="s">
        <v>8586</v>
      </c>
      <c r="AT722" t="s">
        <v>8587</v>
      </c>
      <c r="AU722" t="s">
        <v>8588</v>
      </c>
      <c r="AV722" t="s">
        <v>3099</v>
      </c>
      <c r="AW722" t="s">
        <v>3100</v>
      </c>
      <c r="AX722" t="s">
        <v>69</v>
      </c>
      <c r="AY722" t="s">
        <v>15267</v>
      </c>
      <c r="AZ722" t="s">
        <v>15268</v>
      </c>
      <c r="BA722" t="s">
        <v>69</v>
      </c>
      <c r="BB722">
        <v>2014</v>
      </c>
      <c r="BC722">
        <v>32</v>
      </c>
      <c r="BD722">
        <v>5</v>
      </c>
      <c r="BE722" t="s">
        <v>69</v>
      </c>
      <c r="BF722" t="s">
        <v>69</v>
      </c>
      <c r="BG722" t="s">
        <v>69</v>
      </c>
      <c r="BH722" t="s">
        <v>69</v>
      </c>
      <c r="BI722">
        <v>505</v>
      </c>
      <c r="BJ722" t="s">
        <v>219</v>
      </c>
      <c r="BK722" t="s">
        <v>69</v>
      </c>
      <c r="BL722" t="s">
        <v>24280</v>
      </c>
      <c r="BM722" t="str">
        <f>HYPERLINK("http://dx.doi.org/10.1108/JPIF-04-2014-0022","http://dx.doi.org/10.1108/JPIF-04-2014-0022")</f>
        <v>http://dx.doi.org/10.1108/JPIF-04-2014-0022</v>
      </c>
      <c r="BN722" t="s">
        <v>69</v>
      </c>
      <c r="BO722" t="s">
        <v>69</v>
      </c>
      <c r="BP722">
        <v>14</v>
      </c>
      <c r="BQ722" t="s">
        <v>9749</v>
      </c>
      <c r="BR722" t="s">
        <v>8573</v>
      </c>
      <c r="BS722" t="s">
        <v>8594</v>
      </c>
      <c r="BT722" t="s">
        <v>24281</v>
      </c>
      <c r="BU722" t="s">
        <v>24282</v>
      </c>
      <c r="BV722" t="s">
        <v>69</v>
      </c>
      <c r="BW722" t="s">
        <v>69</v>
      </c>
      <c r="BX722" t="s">
        <v>69</v>
      </c>
      <c r="BY722" t="s">
        <v>69</v>
      </c>
      <c r="BZ722" t="s">
        <v>8526</v>
      </c>
      <c r="CA722" t="str">
        <f>HYPERLINK("https%3A%2F%2Fwww.webofscience.com%2Fwos%2Fwoscc%2Ffull-record%2FWOS:000212880300005","View Full Record in Web of Science")</f>
        <v>View Full Record in Web of Science</v>
      </c>
    </row>
    <row r="723" spans="2:79" ht="12.5" x14ac:dyDescent="0.25">
      <c r="B723" t="s">
        <v>8495</v>
      </c>
      <c r="D723" s="22" t="s">
        <v>32931</v>
      </c>
      <c r="E723" s="7"/>
      <c r="F723" s="7"/>
      <c r="G723" s="7"/>
      <c r="H723" t="s">
        <v>67</v>
      </c>
      <c r="I723" t="s">
        <v>20078</v>
      </c>
      <c r="J723" t="s">
        <v>69</v>
      </c>
      <c r="K723" t="s">
        <v>69</v>
      </c>
      <c r="L723" t="s">
        <v>69</v>
      </c>
      <c r="M723" t="s">
        <v>20079</v>
      </c>
      <c r="N723" t="s">
        <v>69</v>
      </c>
      <c r="O723" t="s">
        <v>69</v>
      </c>
      <c r="P723" t="s">
        <v>20080</v>
      </c>
      <c r="Q723" t="s">
        <v>20081</v>
      </c>
      <c r="R723" t="s">
        <v>69</v>
      </c>
      <c r="S723" t="s">
        <v>69</v>
      </c>
      <c r="T723" t="s">
        <v>8505</v>
      </c>
      <c r="U723" t="s">
        <v>10174</v>
      </c>
      <c r="V723" t="s">
        <v>69</v>
      </c>
      <c r="W723" t="s">
        <v>69</v>
      </c>
      <c r="X723" t="s">
        <v>69</v>
      </c>
      <c r="Y723" t="s">
        <v>69</v>
      </c>
      <c r="Z723" t="s">
        <v>69</v>
      </c>
      <c r="AA723" t="s">
        <v>20082</v>
      </c>
      <c r="AB723" t="s">
        <v>20083</v>
      </c>
      <c r="AC723" t="s">
        <v>20084</v>
      </c>
      <c r="AD723" t="s">
        <v>20085</v>
      </c>
      <c r="AE723" t="s">
        <v>69</v>
      </c>
      <c r="AF723" t="s">
        <v>20086</v>
      </c>
      <c r="AG723" t="s">
        <v>20087</v>
      </c>
      <c r="AH723" t="s">
        <v>69</v>
      </c>
      <c r="AI723" t="s">
        <v>69</v>
      </c>
      <c r="AJ723" t="s">
        <v>69</v>
      </c>
      <c r="AK723" t="s">
        <v>69</v>
      </c>
      <c r="AL723" t="s">
        <v>69</v>
      </c>
      <c r="AM723" t="s">
        <v>69</v>
      </c>
      <c r="AN723">
        <v>41</v>
      </c>
      <c r="AO723">
        <v>0</v>
      </c>
      <c r="AP723">
        <v>0</v>
      </c>
      <c r="AQ723">
        <v>0</v>
      </c>
      <c r="AR723">
        <v>2</v>
      </c>
      <c r="AS723" t="s">
        <v>10923</v>
      </c>
      <c r="AT723" t="s">
        <v>10924</v>
      </c>
      <c r="AU723" t="s">
        <v>10925</v>
      </c>
      <c r="AV723" t="s">
        <v>20088</v>
      </c>
      <c r="AW723" t="s">
        <v>20089</v>
      </c>
      <c r="AX723" t="s">
        <v>69</v>
      </c>
      <c r="AY723" t="s">
        <v>20090</v>
      </c>
      <c r="AZ723" t="s">
        <v>20091</v>
      </c>
      <c r="BA723" t="s">
        <v>255</v>
      </c>
      <c r="BB723">
        <v>2017</v>
      </c>
      <c r="BC723">
        <v>15</v>
      </c>
      <c r="BD723">
        <v>3</v>
      </c>
      <c r="BE723" t="s">
        <v>69</v>
      </c>
      <c r="BF723" t="s">
        <v>69</v>
      </c>
      <c r="BG723" t="s">
        <v>69</v>
      </c>
      <c r="BH723" t="s">
        <v>69</v>
      </c>
      <c r="BI723">
        <v>82</v>
      </c>
      <c r="BJ723">
        <v>89</v>
      </c>
      <c r="BK723" t="s">
        <v>69</v>
      </c>
      <c r="BL723" t="s">
        <v>20092</v>
      </c>
      <c r="BM723" t="str">
        <f>HYPERLINK("http://dx.doi.org/10.1097/XEB.0000000000000114","http://dx.doi.org/10.1097/XEB.0000000000000114")</f>
        <v>http://dx.doi.org/10.1097/XEB.0000000000000114</v>
      </c>
      <c r="BN723" t="s">
        <v>69</v>
      </c>
      <c r="BO723" t="s">
        <v>69</v>
      </c>
      <c r="BP723">
        <v>8</v>
      </c>
      <c r="BQ723" t="s">
        <v>9186</v>
      </c>
      <c r="BR723" t="s">
        <v>8548</v>
      </c>
      <c r="BS723" t="s">
        <v>9187</v>
      </c>
      <c r="BT723" t="s">
        <v>20093</v>
      </c>
      <c r="BU723" t="s">
        <v>20094</v>
      </c>
      <c r="BV723">
        <v>28863087</v>
      </c>
      <c r="BW723" t="s">
        <v>69</v>
      </c>
      <c r="BX723" t="s">
        <v>69</v>
      </c>
      <c r="BY723" t="s">
        <v>69</v>
      </c>
      <c r="BZ723" t="s">
        <v>8526</v>
      </c>
      <c r="CA723" t="str">
        <f>HYPERLINK("https%3A%2F%2Fwww.webofscience.com%2Fwos%2Fwoscc%2Ffull-record%2FWOS:000418523400002","View Full Record in Web of Science")</f>
        <v>View Full Record in Web of Science</v>
      </c>
    </row>
    <row r="724" spans="2:79" ht="12.5" x14ac:dyDescent="0.25">
      <c r="B724" t="s">
        <v>8495</v>
      </c>
      <c r="D724" s="22" t="s">
        <v>32931</v>
      </c>
      <c r="E724" s="7"/>
      <c r="F724" s="7"/>
      <c r="G724" s="7"/>
      <c r="H724" t="s">
        <v>67</v>
      </c>
      <c r="I724" t="s">
        <v>28246</v>
      </c>
      <c r="J724" t="s">
        <v>69</v>
      </c>
      <c r="K724" t="s">
        <v>69</v>
      </c>
      <c r="L724" t="s">
        <v>69</v>
      </c>
      <c r="M724" t="s">
        <v>28247</v>
      </c>
      <c r="N724" t="s">
        <v>69</v>
      </c>
      <c r="O724" t="s">
        <v>69</v>
      </c>
      <c r="P724" t="s">
        <v>28248</v>
      </c>
      <c r="Q724" t="s">
        <v>28249</v>
      </c>
      <c r="R724" t="s">
        <v>69</v>
      </c>
      <c r="S724" t="s">
        <v>69</v>
      </c>
      <c r="T724" t="s">
        <v>8505</v>
      </c>
      <c r="U724" t="s">
        <v>8506</v>
      </c>
      <c r="V724" t="s">
        <v>69</v>
      </c>
      <c r="W724" t="s">
        <v>69</v>
      </c>
      <c r="X724" t="s">
        <v>69</v>
      </c>
      <c r="Y724" t="s">
        <v>69</v>
      </c>
      <c r="Z724" t="s">
        <v>69</v>
      </c>
      <c r="AA724" t="s">
        <v>28250</v>
      </c>
      <c r="AB724" t="s">
        <v>28251</v>
      </c>
      <c r="AC724" t="s">
        <v>28252</v>
      </c>
      <c r="AD724" t="s">
        <v>28253</v>
      </c>
      <c r="AE724" t="s">
        <v>69</v>
      </c>
      <c r="AF724" t="s">
        <v>28254</v>
      </c>
      <c r="AG724" t="s">
        <v>28255</v>
      </c>
      <c r="AH724" t="s">
        <v>28256</v>
      </c>
      <c r="AI724" t="s">
        <v>69</v>
      </c>
      <c r="AJ724" t="s">
        <v>28257</v>
      </c>
      <c r="AK724" t="s">
        <v>28258</v>
      </c>
      <c r="AL724" t="s">
        <v>28259</v>
      </c>
      <c r="AM724" t="s">
        <v>69</v>
      </c>
      <c r="AN724">
        <v>47</v>
      </c>
      <c r="AO724">
        <v>25</v>
      </c>
      <c r="AP724">
        <v>26</v>
      </c>
      <c r="AQ724">
        <v>0</v>
      </c>
      <c r="AR724">
        <v>2</v>
      </c>
      <c r="AS724" t="s">
        <v>28260</v>
      </c>
      <c r="AT724" t="s">
        <v>8925</v>
      </c>
      <c r="AU724" t="s">
        <v>28261</v>
      </c>
      <c r="AV724" t="s">
        <v>28262</v>
      </c>
      <c r="AW724" t="s">
        <v>28263</v>
      </c>
      <c r="AX724" t="s">
        <v>69</v>
      </c>
      <c r="AY724" t="s">
        <v>28264</v>
      </c>
      <c r="AZ724" t="s">
        <v>28265</v>
      </c>
      <c r="BA724" t="s">
        <v>69</v>
      </c>
      <c r="BB724">
        <v>2010</v>
      </c>
      <c r="BC724">
        <v>13</v>
      </c>
      <c r="BD724">
        <v>4</v>
      </c>
      <c r="BE724" t="s">
        <v>69</v>
      </c>
      <c r="BF724" t="s">
        <v>69</v>
      </c>
      <c r="BG724" t="s">
        <v>69</v>
      </c>
      <c r="BH724" t="s">
        <v>69</v>
      </c>
      <c r="BI724">
        <v>224</v>
      </c>
      <c r="BJ724">
        <v>234</v>
      </c>
      <c r="BK724" t="s">
        <v>69</v>
      </c>
      <c r="BL724" t="s">
        <v>28266</v>
      </c>
      <c r="BM724" t="str">
        <f>HYPERLINK("http://dx.doi.org/10.1159/000279624","http://dx.doi.org/10.1159/000279624")</f>
        <v>http://dx.doi.org/10.1159/000279624</v>
      </c>
      <c r="BN724" t="s">
        <v>69</v>
      </c>
      <c r="BO724" t="s">
        <v>69</v>
      </c>
      <c r="BP724">
        <v>11</v>
      </c>
      <c r="BQ724" t="s">
        <v>28267</v>
      </c>
      <c r="BR724" t="s">
        <v>8523</v>
      </c>
      <c r="BS724" t="s">
        <v>28267</v>
      </c>
      <c r="BT724" t="s">
        <v>28268</v>
      </c>
      <c r="BU724" t="s">
        <v>28269</v>
      </c>
      <c r="BV724">
        <v>20395691</v>
      </c>
      <c r="BW724" t="s">
        <v>9374</v>
      </c>
      <c r="BX724" t="s">
        <v>69</v>
      </c>
      <c r="BY724" t="s">
        <v>69</v>
      </c>
      <c r="BZ724" t="s">
        <v>8526</v>
      </c>
      <c r="CA724" t="str">
        <f>HYPERLINK("https%3A%2F%2Fwww.webofscience.com%2Fwos%2Fwoscc%2Ffull-record%2FWOS:000276765500005","View Full Record in Web of Science")</f>
        <v>View Full Record in Web of Science</v>
      </c>
    </row>
    <row r="725" spans="2:79" ht="12.5" x14ac:dyDescent="0.25">
      <c r="B725" t="s">
        <v>8495</v>
      </c>
      <c r="D725" s="22" t="s">
        <v>32931</v>
      </c>
      <c r="E725" s="7"/>
      <c r="F725" s="7"/>
      <c r="G725" s="7"/>
      <c r="H725" t="s">
        <v>67</v>
      </c>
      <c r="I725" t="s">
        <v>28183</v>
      </c>
      <c r="J725" t="s">
        <v>69</v>
      </c>
      <c r="K725" t="s">
        <v>69</v>
      </c>
      <c r="L725" t="s">
        <v>69</v>
      </c>
      <c r="M725" t="s">
        <v>28184</v>
      </c>
      <c r="N725" t="s">
        <v>69</v>
      </c>
      <c r="O725" t="s">
        <v>69</v>
      </c>
      <c r="P725" t="s">
        <v>28185</v>
      </c>
      <c r="Q725" t="s">
        <v>4526</v>
      </c>
      <c r="R725" t="s">
        <v>69</v>
      </c>
      <c r="S725" t="s">
        <v>69</v>
      </c>
      <c r="T725" t="s">
        <v>8505</v>
      </c>
      <c r="U725" t="s">
        <v>8506</v>
      </c>
      <c r="V725" t="s">
        <v>69</v>
      </c>
      <c r="W725" t="s">
        <v>69</v>
      </c>
      <c r="X725" t="s">
        <v>69</v>
      </c>
      <c r="Y725" t="s">
        <v>69</v>
      </c>
      <c r="Z725" t="s">
        <v>69</v>
      </c>
      <c r="AA725" t="s">
        <v>28186</v>
      </c>
      <c r="AB725" t="s">
        <v>69</v>
      </c>
      <c r="AC725" t="s">
        <v>28187</v>
      </c>
      <c r="AD725" t="s">
        <v>28188</v>
      </c>
      <c r="AE725" t="s">
        <v>69</v>
      </c>
      <c r="AF725" t="s">
        <v>28189</v>
      </c>
      <c r="AG725" t="s">
        <v>28190</v>
      </c>
      <c r="AH725" t="s">
        <v>69</v>
      </c>
      <c r="AI725" t="s">
        <v>69</v>
      </c>
      <c r="AJ725" t="s">
        <v>69</v>
      </c>
      <c r="AK725" t="s">
        <v>69</v>
      </c>
      <c r="AL725" t="s">
        <v>69</v>
      </c>
      <c r="AM725" t="s">
        <v>69</v>
      </c>
      <c r="AN725">
        <v>1</v>
      </c>
      <c r="AO725">
        <v>1</v>
      </c>
      <c r="AP725">
        <v>1</v>
      </c>
      <c r="AQ725">
        <v>0</v>
      </c>
      <c r="AR725">
        <v>0</v>
      </c>
      <c r="AS725" t="s">
        <v>8865</v>
      </c>
      <c r="AT725" t="s">
        <v>8612</v>
      </c>
      <c r="AU725" t="s">
        <v>8866</v>
      </c>
      <c r="AV725" t="s">
        <v>4528</v>
      </c>
      <c r="AW725" t="s">
        <v>4529</v>
      </c>
      <c r="AX725" t="s">
        <v>69</v>
      </c>
      <c r="AY725" t="s">
        <v>17346</v>
      </c>
      <c r="AZ725" t="s">
        <v>17347</v>
      </c>
      <c r="BA725" t="s">
        <v>69</v>
      </c>
      <c r="BB725">
        <v>2010</v>
      </c>
      <c r="BC725">
        <v>15</v>
      </c>
      <c r="BD725">
        <v>5</v>
      </c>
      <c r="BE725" t="s">
        <v>69</v>
      </c>
      <c r="BF725" t="s">
        <v>69</v>
      </c>
      <c r="BG725" t="s">
        <v>69</v>
      </c>
      <c r="BH725" t="s">
        <v>69</v>
      </c>
      <c r="BI725">
        <v>493</v>
      </c>
      <c r="BJ725">
        <v>507</v>
      </c>
      <c r="BK725" t="s">
        <v>69</v>
      </c>
      <c r="BL725" t="s">
        <v>28191</v>
      </c>
      <c r="BM725" t="str">
        <f>HYPERLINK("http://dx.doi.org/10.1080/13549831003594198","http://dx.doi.org/10.1080/13549831003594198")</f>
        <v>http://dx.doi.org/10.1080/13549831003594198</v>
      </c>
      <c r="BN725" t="s">
        <v>69</v>
      </c>
      <c r="BO725" t="s">
        <v>69</v>
      </c>
      <c r="BP725">
        <v>15</v>
      </c>
      <c r="BQ725" t="s">
        <v>17348</v>
      </c>
      <c r="BR725" t="s">
        <v>8573</v>
      </c>
      <c r="BS725" t="s">
        <v>17349</v>
      </c>
      <c r="BT725" t="s">
        <v>28192</v>
      </c>
      <c r="BU725" t="s">
        <v>28193</v>
      </c>
      <c r="BV725" t="s">
        <v>69</v>
      </c>
      <c r="BW725" t="s">
        <v>69</v>
      </c>
      <c r="BX725" t="s">
        <v>69</v>
      </c>
      <c r="BY725" t="s">
        <v>69</v>
      </c>
      <c r="BZ725" t="s">
        <v>8526</v>
      </c>
      <c r="CA725" t="str">
        <f>HYPERLINK("https%3A%2F%2Fwww.webofscience.com%2Fwos%2Fwoscc%2Ffull-record%2FWOS:000212062700007","View Full Record in Web of Science")</f>
        <v>View Full Record in Web of Science</v>
      </c>
    </row>
    <row r="726" spans="2:79" ht="12.5" x14ac:dyDescent="0.25">
      <c r="B726" t="s">
        <v>8495</v>
      </c>
      <c r="D726" s="7" t="s">
        <v>32933</v>
      </c>
      <c r="E726" s="7"/>
      <c r="F726" s="7"/>
      <c r="G726" s="7"/>
      <c r="H726" t="s">
        <v>67</v>
      </c>
      <c r="I726" t="s">
        <v>6748</v>
      </c>
      <c r="J726" t="s">
        <v>69</v>
      </c>
      <c r="K726" t="s">
        <v>69</v>
      </c>
      <c r="L726" t="s">
        <v>69</v>
      </c>
      <c r="M726" t="s">
        <v>6749</v>
      </c>
      <c r="N726" t="s">
        <v>69</v>
      </c>
      <c r="O726" t="s">
        <v>69</v>
      </c>
      <c r="P726" t="s">
        <v>6750</v>
      </c>
      <c r="Q726" t="s">
        <v>6751</v>
      </c>
      <c r="R726" t="s">
        <v>69</v>
      </c>
      <c r="S726" t="s">
        <v>69</v>
      </c>
      <c r="T726" t="s">
        <v>14800</v>
      </c>
      <c r="U726" t="s">
        <v>8506</v>
      </c>
      <c r="V726" t="s">
        <v>69</v>
      </c>
      <c r="W726" t="s">
        <v>69</v>
      </c>
      <c r="X726" t="s">
        <v>69</v>
      </c>
      <c r="Y726" t="s">
        <v>69</v>
      </c>
      <c r="Z726" t="s">
        <v>69</v>
      </c>
      <c r="AA726" t="s">
        <v>22947</v>
      </c>
      <c r="AB726" t="s">
        <v>69</v>
      </c>
      <c r="AC726" t="s">
        <v>6752</v>
      </c>
      <c r="AD726" t="s">
        <v>22948</v>
      </c>
      <c r="AE726" t="s">
        <v>69</v>
      </c>
      <c r="AF726" t="s">
        <v>22949</v>
      </c>
      <c r="AG726" t="s">
        <v>22950</v>
      </c>
      <c r="AH726" t="s">
        <v>69</v>
      </c>
      <c r="AI726" t="s">
        <v>69</v>
      </c>
      <c r="AJ726" t="s">
        <v>69</v>
      </c>
      <c r="AK726" t="s">
        <v>69</v>
      </c>
      <c r="AL726" t="s">
        <v>69</v>
      </c>
      <c r="AM726" t="s">
        <v>69</v>
      </c>
      <c r="AN726">
        <v>9</v>
      </c>
      <c r="AO726">
        <v>0</v>
      </c>
      <c r="AP726">
        <v>0</v>
      </c>
      <c r="AQ726">
        <v>0</v>
      </c>
      <c r="AR726">
        <v>4</v>
      </c>
      <c r="AS726" t="s">
        <v>22951</v>
      </c>
      <c r="AT726" t="s">
        <v>21341</v>
      </c>
      <c r="AU726" t="s">
        <v>22952</v>
      </c>
      <c r="AV726" t="s">
        <v>6753</v>
      </c>
      <c r="AW726" t="s">
        <v>69</v>
      </c>
      <c r="AX726" t="s">
        <v>69</v>
      </c>
      <c r="AY726" t="s">
        <v>22953</v>
      </c>
      <c r="AZ726" t="s">
        <v>22954</v>
      </c>
      <c r="BA726" t="s">
        <v>69</v>
      </c>
      <c r="BB726">
        <v>2015</v>
      </c>
      <c r="BC726">
        <v>62</v>
      </c>
      <c r="BD726">
        <v>4</v>
      </c>
      <c r="BE726" t="s">
        <v>69</v>
      </c>
      <c r="BF726" t="s">
        <v>627</v>
      </c>
      <c r="BG726" t="s">
        <v>69</v>
      </c>
      <c r="BH726" t="s">
        <v>69</v>
      </c>
      <c r="BI726">
        <v>71</v>
      </c>
      <c r="BJ726">
        <v>82</v>
      </c>
      <c r="BK726" t="s">
        <v>69</v>
      </c>
      <c r="BL726" t="s">
        <v>6754</v>
      </c>
      <c r="BM726" t="str">
        <f>HYPERLINK("http://dx.doi.org/10.3917/rhmc.625.0071","http://dx.doi.org/10.3917/rhmc.625.0071")</f>
        <v>http://dx.doi.org/10.3917/rhmc.625.0071</v>
      </c>
      <c r="BN726" t="s">
        <v>69</v>
      </c>
      <c r="BO726" t="s">
        <v>69</v>
      </c>
      <c r="BP726">
        <v>12</v>
      </c>
      <c r="BQ726" t="s">
        <v>18520</v>
      </c>
      <c r="BR726" t="s">
        <v>11207</v>
      </c>
      <c r="BS726" t="s">
        <v>18520</v>
      </c>
      <c r="BT726" t="s">
        <v>22955</v>
      </c>
      <c r="BU726" t="s">
        <v>6755</v>
      </c>
      <c r="BV726" t="s">
        <v>69</v>
      </c>
      <c r="BW726" t="s">
        <v>69</v>
      </c>
      <c r="BX726" t="s">
        <v>69</v>
      </c>
      <c r="BY726" t="s">
        <v>69</v>
      </c>
      <c r="BZ726" t="s">
        <v>8526</v>
      </c>
      <c r="CA726" t="str">
        <f>HYPERLINK("https%3A%2F%2Fwww.webofscience.com%2Fwos%2Fwoscc%2Ffull-record%2FWOS:000380088000007","View Full Record in Web of Science")</f>
        <v>View Full Record in Web of Science</v>
      </c>
    </row>
    <row r="727" spans="2:79" ht="12.5" x14ac:dyDescent="0.25">
      <c r="B727" t="s">
        <v>8495</v>
      </c>
      <c r="D727" s="7" t="s">
        <v>32933</v>
      </c>
      <c r="E727" s="7"/>
      <c r="F727" s="7"/>
      <c r="G727" s="7"/>
      <c r="H727" t="s">
        <v>67</v>
      </c>
      <c r="I727" t="s">
        <v>6033</v>
      </c>
      <c r="J727" t="s">
        <v>69</v>
      </c>
      <c r="K727" t="s">
        <v>69</v>
      </c>
      <c r="L727" t="s">
        <v>69</v>
      </c>
      <c r="M727" t="s">
        <v>6034</v>
      </c>
      <c r="N727" t="s">
        <v>69</v>
      </c>
      <c r="O727" t="s">
        <v>69</v>
      </c>
      <c r="P727" t="s">
        <v>6035</v>
      </c>
      <c r="Q727" t="s">
        <v>6036</v>
      </c>
      <c r="R727" t="s">
        <v>69</v>
      </c>
      <c r="S727" t="s">
        <v>69</v>
      </c>
      <c r="T727" t="s">
        <v>10071</v>
      </c>
      <c r="U727" t="s">
        <v>8506</v>
      </c>
      <c r="V727" t="s">
        <v>69</v>
      </c>
      <c r="W727" t="s">
        <v>69</v>
      </c>
      <c r="X727" t="s">
        <v>69</v>
      </c>
      <c r="Y727" t="s">
        <v>69</v>
      </c>
      <c r="Z727" t="s">
        <v>69</v>
      </c>
      <c r="AA727" t="s">
        <v>16198</v>
      </c>
      <c r="AB727" t="s">
        <v>16199</v>
      </c>
      <c r="AC727" t="s">
        <v>6037</v>
      </c>
      <c r="AD727" t="s">
        <v>16200</v>
      </c>
      <c r="AE727" t="s">
        <v>69</v>
      </c>
      <c r="AF727" t="s">
        <v>16201</v>
      </c>
      <c r="AG727" t="s">
        <v>16202</v>
      </c>
      <c r="AH727" t="s">
        <v>69</v>
      </c>
      <c r="AI727" t="s">
        <v>69</v>
      </c>
      <c r="AJ727" t="s">
        <v>69</v>
      </c>
      <c r="AK727" t="s">
        <v>69</v>
      </c>
      <c r="AL727" t="s">
        <v>69</v>
      </c>
      <c r="AM727" t="s">
        <v>69</v>
      </c>
      <c r="AN727">
        <v>47</v>
      </c>
      <c r="AO727">
        <v>0</v>
      </c>
      <c r="AP727">
        <v>0</v>
      </c>
      <c r="AQ727">
        <v>0</v>
      </c>
      <c r="AR727">
        <v>0</v>
      </c>
      <c r="AS727" t="s">
        <v>16203</v>
      </c>
      <c r="AT727" t="s">
        <v>16204</v>
      </c>
      <c r="AU727" t="s">
        <v>16205</v>
      </c>
      <c r="AV727" t="s">
        <v>6038</v>
      </c>
      <c r="AW727" t="s">
        <v>6039</v>
      </c>
      <c r="AX727" t="s">
        <v>69</v>
      </c>
      <c r="AY727" t="s">
        <v>16206</v>
      </c>
      <c r="AZ727" t="s">
        <v>16207</v>
      </c>
      <c r="BA727" t="s">
        <v>2654</v>
      </c>
      <c r="BB727">
        <v>2020</v>
      </c>
      <c r="BC727">
        <v>50</v>
      </c>
      <c r="BD727">
        <v>1</v>
      </c>
      <c r="BE727" t="s">
        <v>69</v>
      </c>
      <c r="BF727" t="s">
        <v>69</v>
      </c>
      <c r="BG727" t="s">
        <v>69</v>
      </c>
      <c r="BH727" t="s">
        <v>69</v>
      </c>
      <c r="BI727">
        <v>505</v>
      </c>
      <c r="BJ727">
        <v>532</v>
      </c>
      <c r="BK727" t="s">
        <v>69</v>
      </c>
      <c r="BL727" t="s">
        <v>6040</v>
      </c>
      <c r="BM727" t="str">
        <f>HYPERLINK("http://dx.doi.org/10.3989/aem.2020.50.1.18","http://dx.doi.org/10.3989/aem.2020.50.1.18")</f>
        <v>http://dx.doi.org/10.3989/aem.2020.50.1.18</v>
      </c>
      <c r="BN727" t="s">
        <v>69</v>
      </c>
      <c r="BO727" t="s">
        <v>69</v>
      </c>
      <c r="BP727">
        <v>28</v>
      </c>
      <c r="BQ727" t="s">
        <v>16208</v>
      </c>
      <c r="BR727" t="s">
        <v>11207</v>
      </c>
      <c r="BS727" t="s">
        <v>16209</v>
      </c>
      <c r="BT727" t="s">
        <v>16210</v>
      </c>
      <c r="BU727" t="s">
        <v>6041</v>
      </c>
      <c r="BV727" t="s">
        <v>69</v>
      </c>
      <c r="BW727" t="s">
        <v>8812</v>
      </c>
      <c r="BX727" t="s">
        <v>69</v>
      </c>
      <c r="BY727" t="s">
        <v>69</v>
      </c>
      <c r="BZ727" t="s">
        <v>8526</v>
      </c>
      <c r="CA727" t="str">
        <f>HYPERLINK("https%3A%2F%2Fwww.webofscience.com%2Fwos%2Fwoscc%2Ffull-record%2FWOS:000539162000018","View Full Record in Web of Science")</f>
        <v>View Full Record in Web of Science</v>
      </c>
    </row>
    <row r="728" spans="2:79" x14ac:dyDescent="0.3">
      <c r="B728" t="s">
        <v>8495</v>
      </c>
      <c r="D728" s="9" t="s">
        <v>32954</v>
      </c>
      <c r="E728" s="9" t="s">
        <v>33069</v>
      </c>
      <c r="G728" s="9" t="s">
        <v>8490</v>
      </c>
      <c r="H728" t="s">
        <v>67</v>
      </c>
      <c r="I728" t="s">
        <v>30379</v>
      </c>
      <c r="J728" t="s">
        <v>69</v>
      </c>
      <c r="K728" t="s">
        <v>69</v>
      </c>
      <c r="L728" t="s">
        <v>69</v>
      </c>
      <c r="M728" t="s">
        <v>30380</v>
      </c>
      <c r="N728" t="s">
        <v>69</v>
      </c>
      <c r="O728" t="s">
        <v>69</v>
      </c>
      <c r="P728" t="s">
        <v>30381</v>
      </c>
      <c r="Q728" t="s">
        <v>30382</v>
      </c>
      <c r="R728" t="s">
        <v>69</v>
      </c>
      <c r="S728" t="s">
        <v>69</v>
      </c>
      <c r="T728" t="s">
        <v>8505</v>
      </c>
      <c r="U728" t="s">
        <v>8506</v>
      </c>
      <c r="V728" t="s">
        <v>69</v>
      </c>
      <c r="W728" t="s">
        <v>69</v>
      </c>
      <c r="X728" t="s">
        <v>69</v>
      </c>
      <c r="Y728" t="s">
        <v>69</v>
      </c>
      <c r="Z728" t="s">
        <v>69</v>
      </c>
      <c r="AA728" t="s">
        <v>30383</v>
      </c>
      <c r="AB728" t="s">
        <v>69</v>
      </c>
      <c r="AC728" t="s">
        <v>30384</v>
      </c>
      <c r="AD728" t="s">
        <v>30385</v>
      </c>
      <c r="AE728" t="s">
        <v>69</v>
      </c>
      <c r="AF728" t="s">
        <v>30386</v>
      </c>
      <c r="AG728" t="s">
        <v>30387</v>
      </c>
      <c r="AH728" t="s">
        <v>69</v>
      </c>
      <c r="AI728" t="s">
        <v>69</v>
      </c>
      <c r="AJ728" t="s">
        <v>69</v>
      </c>
      <c r="AK728" t="s">
        <v>69</v>
      </c>
      <c r="AL728" t="s">
        <v>69</v>
      </c>
      <c r="AM728" t="s">
        <v>69</v>
      </c>
      <c r="AN728">
        <v>42</v>
      </c>
      <c r="AO728">
        <v>25</v>
      </c>
      <c r="AP728">
        <v>25</v>
      </c>
      <c r="AQ728">
        <v>0</v>
      </c>
      <c r="AR728">
        <v>0</v>
      </c>
      <c r="AS728" t="s">
        <v>8865</v>
      </c>
      <c r="AT728" t="s">
        <v>8612</v>
      </c>
      <c r="AU728" t="s">
        <v>8866</v>
      </c>
      <c r="AV728" t="s">
        <v>30388</v>
      </c>
      <c r="AW728" t="s">
        <v>30389</v>
      </c>
      <c r="AX728" t="s">
        <v>69</v>
      </c>
      <c r="AY728" t="s">
        <v>30390</v>
      </c>
      <c r="AZ728" t="s">
        <v>30391</v>
      </c>
      <c r="BA728" t="s">
        <v>69</v>
      </c>
      <c r="BB728">
        <v>2006</v>
      </c>
      <c r="BC728">
        <v>44</v>
      </c>
      <c r="BD728">
        <v>1</v>
      </c>
      <c r="BE728" t="s">
        <v>69</v>
      </c>
      <c r="BF728" t="s">
        <v>69</v>
      </c>
      <c r="BG728" t="s">
        <v>114</v>
      </c>
      <c r="BH728" t="s">
        <v>69</v>
      </c>
      <c r="BI728">
        <v>118</v>
      </c>
      <c r="BJ728">
        <v>136</v>
      </c>
      <c r="BK728" t="s">
        <v>69</v>
      </c>
      <c r="BL728" t="s">
        <v>30392</v>
      </c>
      <c r="BM728" t="str">
        <f>HYPERLINK("http://dx.doi.org/10.1080/14662040600624502","http://dx.doi.org/10.1080/14662040600624502")</f>
        <v>http://dx.doi.org/10.1080/14662040600624502</v>
      </c>
      <c r="BN728" t="s">
        <v>69</v>
      </c>
      <c r="BO728" t="s">
        <v>69</v>
      </c>
      <c r="BP728">
        <v>19</v>
      </c>
      <c r="BQ728" t="s">
        <v>16728</v>
      </c>
      <c r="BR728" t="s">
        <v>8573</v>
      </c>
      <c r="BS728" t="s">
        <v>16729</v>
      </c>
      <c r="BT728" t="s">
        <v>30393</v>
      </c>
      <c r="BU728" t="s">
        <v>30394</v>
      </c>
      <c r="BV728" t="s">
        <v>69</v>
      </c>
      <c r="BW728" t="s">
        <v>69</v>
      </c>
      <c r="BX728" t="s">
        <v>69</v>
      </c>
      <c r="BY728" t="s">
        <v>69</v>
      </c>
      <c r="BZ728" t="s">
        <v>8526</v>
      </c>
      <c r="CA728" t="str">
        <f>HYPERLINK("https%3A%2F%2Fwww.webofscience.com%2Fwos%2Fwoscc%2Ffull-record%2FWOS:000212492700007","View Full Record in Web of Science")</f>
        <v>View Full Record in Web of Science</v>
      </c>
    </row>
    <row r="729" spans="2:79" ht="12.5" x14ac:dyDescent="0.25">
      <c r="B729" t="s">
        <v>8495</v>
      </c>
      <c r="D729" s="22" t="s">
        <v>32931</v>
      </c>
      <c r="E729" s="7"/>
      <c r="F729" s="7"/>
      <c r="G729" s="7"/>
      <c r="H729" t="s">
        <v>67</v>
      </c>
      <c r="I729" t="s">
        <v>25687</v>
      </c>
      <c r="J729" t="s">
        <v>69</v>
      </c>
      <c r="K729" t="s">
        <v>69</v>
      </c>
      <c r="L729" t="s">
        <v>69</v>
      </c>
      <c r="M729" t="s">
        <v>25688</v>
      </c>
      <c r="N729" t="s">
        <v>69</v>
      </c>
      <c r="O729" t="s">
        <v>69</v>
      </c>
      <c r="P729" t="s">
        <v>25689</v>
      </c>
      <c r="Q729" t="s">
        <v>25690</v>
      </c>
      <c r="R729" t="s">
        <v>69</v>
      </c>
      <c r="S729" t="s">
        <v>69</v>
      </c>
      <c r="T729" t="s">
        <v>8505</v>
      </c>
      <c r="U729" t="s">
        <v>8506</v>
      </c>
      <c r="V729" t="s">
        <v>69</v>
      </c>
      <c r="W729" t="s">
        <v>69</v>
      </c>
      <c r="X729" t="s">
        <v>69</v>
      </c>
      <c r="Y729" t="s">
        <v>69</v>
      </c>
      <c r="Z729" t="s">
        <v>69</v>
      </c>
      <c r="AA729" t="s">
        <v>69</v>
      </c>
      <c r="AB729" t="s">
        <v>69</v>
      </c>
      <c r="AC729" t="s">
        <v>25691</v>
      </c>
      <c r="AD729" t="s">
        <v>69</v>
      </c>
      <c r="AE729" t="s">
        <v>69</v>
      </c>
      <c r="AF729" t="s">
        <v>69</v>
      </c>
      <c r="AG729" t="s">
        <v>25692</v>
      </c>
      <c r="AH729" t="s">
        <v>69</v>
      </c>
      <c r="AI729" t="s">
        <v>69</v>
      </c>
      <c r="AJ729" t="s">
        <v>69</v>
      </c>
      <c r="AK729" t="s">
        <v>69</v>
      </c>
      <c r="AL729" t="s">
        <v>69</v>
      </c>
      <c r="AM729" t="s">
        <v>69</v>
      </c>
      <c r="AN729">
        <v>8</v>
      </c>
      <c r="AO729">
        <v>0</v>
      </c>
      <c r="AP729">
        <v>0</v>
      </c>
      <c r="AQ729">
        <v>0</v>
      </c>
      <c r="AR729">
        <v>0</v>
      </c>
      <c r="AS729" t="s">
        <v>8846</v>
      </c>
      <c r="AT729" t="s">
        <v>8847</v>
      </c>
      <c r="AU729" t="s">
        <v>8848</v>
      </c>
      <c r="AV729" t="s">
        <v>25693</v>
      </c>
      <c r="AW729" t="s">
        <v>25694</v>
      </c>
      <c r="AX729" t="s">
        <v>69</v>
      </c>
      <c r="AY729" t="s">
        <v>25690</v>
      </c>
      <c r="AZ729" t="s">
        <v>25695</v>
      </c>
      <c r="BA729" t="s">
        <v>75</v>
      </c>
      <c r="BB729">
        <v>2012</v>
      </c>
      <c r="BC729">
        <v>11</v>
      </c>
      <c r="BD729">
        <v>3</v>
      </c>
      <c r="BE729" t="s">
        <v>69</v>
      </c>
      <c r="BF729" t="s">
        <v>69</v>
      </c>
      <c r="BG729" t="s">
        <v>69</v>
      </c>
      <c r="BH729" t="s">
        <v>69</v>
      </c>
      <c r="BI729">
        <v>44</v>
      </c>
      <c r="BJ729">
        <v>48</v>
      </c>
      <c r="BK729" t="s">
        <v>69</v>
      </c>
      <c r="BL729" t="s">
        <v>25696</v>
      </c>
      <c r="BM729" t="str">
        <f>HYPERLINK("http://dx.doi.org/10.1111/1746-692X.12009","http://dx.doi.org/10.1111/1746-692X.12009")</f>
        <v>http://dx.doi.org/10.1111/1746-692X.12009</v>
      </c>
      <c r="BN729" t="s">
        <v>69</v>
      </c>
      <c r="BO729" t="s">
        <v>69</v>
      </c>
      <c r="BP729">
        <v>5</v>
      </c>
      <c r="BQ729" t="s">
        <v>23323</v>
      </c>
      <c r="BR729" t="s">
        <v>8573</v>
      </c>
      <c r="BS729" t="s">
        <v>8450</v>
      </c>
      <c r="BT729" t="s">
        <v>25697</v>
      </c>
      <c r="BU729" t="s">
        <v>25698</v>
      </c>
      <c r="BV729" t="s">
        <v>69</v>
      </c>
      <c r="BW729" t="s">
        <v>69</v>
      </c>
      <c r="BX729" t="s">
        <v>69</v>
      </c>
      <c r="BY729" t="s">
        <v>69</v>
      </c>
      <c r="BZ729" t="s">
        <v>8526</v>
      </c>
      <c r="CA729" t="str">
        <f>HYPERLINK("https%3A%2F%2Fwww.webofscience.com%2Fwos%2Fwoscc%2Ffull-record%2FWOS:000214485500009","View Full Record in Web of Science")</f>
        <v>View Full Record in Web of Science</v>
      </c>
    </row>
    <row r="730" spans="2:79" x14ac:dyDescent="0.3">
      <c r="B730" t="s">
        <v>8495</v>
      </c>
      <c r="D730" s="10" t="s">
        <v>32967</v>
      </c>
      <c r="F730" s="10" t="s">
        <v>8490</v>
      </c>
      <c r="G730" s="9" t="s">
        <v>33054</v>
      </c>
      <c r="H730" t="s">
        <v>67</v>
      </c>
      <c r="I730" t="s">
        <v>16512</v>
      </c>
      <c r="J730" t="s">
        <v>69</v>
      </c>
      <c r="K730" t="s">
        <v>69</v>
      </c>
      <c r="L730" t="s">
        <v>69</v>
      </c>
      <c r="M730" t="s">
        <v>16513</v>
      </c>
      <c r="N730" t="s">
        <v>69</v>
      </c>
      <c r="O730" t="s">
        <v>69</v>
      </c>
      <c r="P730" t="s">
        <v>16514</v>
      </c>
      <c r="Q730" t="s">
        <v>16515</v>
      </c>
      <c r="R730" t="s">
        <v>69</v>
      </c>
      <c r="S730" t="s">
        <v>69</v>
      </c>
      <c r="T730" t="s">
        <v>8505</v>
      </c>
      <c r="U730" t="s">
        <v>8506</v>
      </c>
      <c r="V730" t="s">
        <v>69</v>
      </c>
      <c r="W730" t="s">
        <v>69</v>
      </c>
      <c r="X730" t="s">
        <v>69</v>
      </c>
      <c r="Y730" t="s">
        <v>69</v>
      </c>
      <c r="Z730" t="s">
        <v>69</v>
      </c>
      <c r="AA730" t="s">
        <v>69</v>
      </c>
      <c r="AB730" t="s">
        <v>16516</v>
      </c>
      <c r="AC730" t="s">
        <v>16517</v>
      </c>
      <c r="AD730" t="s">
        <v>16518</v>
      </c>
      <c r="AE730" t="s">
        <v>69</v>
      </c>
      <c r="AF730" t="s">
        <v>16519</v>
      </c>
      <c r="AG730" t="s">
        <v>16520</v>
      </c>
      <c r="AH730" t="s">
        <v>69</v>
      </c>
      <c r="AI730" t="s">
        <v>16521</v>
      </c>
      <c r="AJ730" t="s">
        <v>16522</v>
      </c>
      <c r="AK730" t="s">
        <v>16523</v>
      </c>
      <c r="AL730" t="s">
        <v>16524</v>
      </c>
      <c r="AM730" t="s">
        <v>69</v>
      </c>
      <c r="AN730">
        <v>77</v>
      </c>
      <c r="AO730">
        <v>13</v>
      </c>
      <c r="AP730">
        <v>13</v>
      </c>
      <c r="AQ730">
        <v>1</v>
      </c>
      <c r="AR730">
        <v>10</v>
      </c>
      <c r="AS730" t="s">
        <v>9047</v>
      </c>
      <c r="AT730" t="s">
        <v>9048</v>
      </c>
      <c r="AU730" t="s">
        <v>9049</v>
      </c>
      <c r="AV730" t="s">
        <v>16525</v>
      </c>
      <c r="AW730" t="s">
        <v>16526</v>
      </c>
      <c r="AX730" t="s">
        <v>69</v>
      </c>
      <c r="AY730" t="s">
        <v>16515</v>
      </c>
      <c r="AZ730" t="s">
        <v>16527</v>
      </c>
      <c r="BA730" t="s">
        <v>274</v>
      </c>
      <c r="BB730">
        <v>2019</v>
      </c>
      <c r="BC730">
        <v>157</v>
      </c>
      <c r="BD730">
        <v>1</v>
      </c>
      <c r="BE730" t="s">
        <v>69</v>
      </c>
      <c r="BF730" t="s">
        <v>69</v>
      </c>
      <c r="BG730" t="s">
        <v>114</v>
      </c>
      <c r="BH730" t="s">
        <v>69</v>
      </c>
      <c r="BI730">
        <v>9</v>
      </c>
      <c r="BJ730">
        <v>26</v>
      </c>
      <c r="BK730" t="s">
        <v>69</v>
      </c>
      <c r="BL730" t="s">
        <v>16528</v>
      </c>
      <c r="BM730" t="str">
        <f>HYPERLINK("http://dx.doi.org/10.1007/s10584-019-02385-x","http://dx.doi.org/10.1007/s10584-019-02385-x")</f>
        <v>http://dx.doi.org/10.1007/s10584-019-02385-x</v>
      </c>
      <c r="BN730" t="s">
        <v>69</v>
      </c>
      <c r="BO730" t="s">
        <v>69</v>
      </c>
      <c r="BP730">
        <v>18</v>
      </c>
      <c r="BQ730" t="s">
        <v>11283</v>
      </c>
      <c r="BR730" t="s">
        <v>8523</v>
      </c>
      <c r="BS730" t="s">
        <v>11284</v>
      </c>
      <c r="BT730" t="s">
        <v>16529</v>
      </c>
      <c r="BU730" t="s">
        <v>16530</v>
      </c>
      <c r="BV730" t="s">
        <v>69</v>
      </c>
      <c r="BW730" t="s">
        <v>69</v>
      </c>
      <c r="BX730" t="s">
        <v>69</v>
      </c>
      <c r="BY730" t="s">
        <v>69</v>
      </c>
      <c r="BZ730" t="s">
        <v>8526</v>
      </c>
      <c r="CA730" t="str">
        <f>HYPERLINK("https%3A%2F%2Fwww.webofscience.com%2Fwos%2Fwoscc%2Ffull-record%2FWOS:000505168400002","View Full Record in Web of Science")</f>
        <v>View Full Record in Web of Science</v>
      </c>
    </row>
    <row r="731" spans="2:79" ht="12.5" x14ac:dyDescent="0.25">
      <c r="B731" t="s">
        <v>8495</v>
      </c>
      <c r="D731" s="7" t="s">
        <v>32933</v>
      </c>
      <c r="E731" s="7"/>
      <c r="F731" s="7"/>
      <c r="G731" s="7"/>
      <c r="H731" t="s">
        <v>67</v>
      </c>
      <c r="I731" t="s">
        <v>423</v>
      </c>
      <c r="J731" t="s">
        <v>69</v>
      </c>
      <c r="K731" t="s">
        <v>69</v>
      </c>
      <c r="L731" t="s">
        <v>69</v>
      </c>
      <c r="M731" t="s">
        <v>424</v>
      </c>
      <c r="N731" t="s">
        <v>69</v>
      </c>
      <c r="O731" t="s">
        <v>69</v>
      </c>
      <c r="P731" t="s">
        <v>425</v>
      </c>
      <c r="Q731" t="s">
        <v>426</v>
      </c>
      <c r="R731" t="s">
        <v>69</v>
      </c>
      <c r="S731" t="s">
        <v>69</v>
      </c>
      <c r="T731" t="s">
        <v>8505</v>
      </c>
      <c r="U731" t="s">
        <v>8506</v>
      </c>
      <c r="V731" t="s">
        <v>69</v>
      </c>
      <c r="W731" t="s">
        <v>69</v>
      </c>
      <c r="X731" t="s">
        <v>69</v>
      </c>
      <c r="Y731" t="s">
        <v>69</v>
      </c>
      <c r="Z731" t="s">
        <v>69</v>
      </c>
      <c r="AA731" t="s">
        <v>20490</v>
      </c>
      <c r="AB731" t="s">
        <v>20491</v>
      </c>
      <c r="AC731" t="s">
        <v>427</v>
      </c>
      <c r="AD731" t="s">
        <v>20492</v>
      </c>
      <c r="AE731" t="s">
        <v>69</v>
      </c>
      <c r="AF731" t="s">
        <v>20493</v>
      </c>
      <c r="AG731" t="s">
        <v>20494</v>
      </c>
      <c r="AH731" t="s">
        <v>428</v>
      </c>
      <c r="AI731" t="s">
        <v>20495</v>
      </c>
      <c r="AJ731" t="s">
        <v>20496</v>
      </c>
      <c r="AK731" t="s">
        <v>20497</v>
      </c>
      <c r="AL731" t="s">
        <v>20498</v>
      </c>
      <c r="AM731" t="s">
        <v>69</v>
      </c>
      <c r="AN731">
        <v>94</v>
      </c>
      <c r="AO731">
        <v>4</v>
      </c>
      <c r="AP731">
        <v>4</v>
      </c>
      <c r="AQ731">
        <v>3</v>
      </c>
      <c r="AR731">
        <v>8</v>
      </c>
      <c r="AS731" t="s">
        <v>8762</v>
      </c>
      <c r="AT731" t="s">
        <v>8763</v>
      </c>
      <c r="AU731" t="s">
        <v>8764</v>
      </c>
      <c r="AV731" t="s">
        <v>429</v>
      </c>
      <c r="AW731" t="s">
        <v>430</v>
      </c>
      <c r="AX731" t="s">
        <v>69</v>
      </c>
      <c r="AY731" t="s">
        <v>15573</v>
      </c>
      <c r="AZ731" t="s">
        <v>15574</v>
      </c>
      <c r="BA731" t="s">
        <v>94</v>
      </c>
      <c r="BB731">
        <v>2017</v>
      </c>
      <c r="BC731">
        <v>35</v>
      </c>
      <c r="BD731">
        <v>2</v>
      </c>
      <c r="BE731" t="s">
        <v>69</v>
      </c>
      <c r="BF731" t="s">
        <v>69</v>
      </c>
      <c r="BG731" t="s">
        <v>69</v>
      </c>
      <c r="BH731" t="s">
        <v>69</v>
      </c>
      <c r="BI731">
        <v>197</v>
      </c>
      <c r="BJ731">
        <v>220</v>
      </c>
      <c r="BK731" t="s">
        <v>69</v>
      </c>
      <c r="BL731" t="s">
        <v>431</v>
      </c>
      <c r="BM731" t="str">
        <f>HYPERLINK("http://dx.doi.org/10.1177/0263774X16646772","http://dx.doi.org/10.1177/0263774X16646772")</f>
        <v>http://dx.doi.org/10.1177/0263774X16646772</v>
      </c>
      <c r="BN731" t="s">
        <v>69</v>
      </c>
      <c r="BO731" t="s">
        <v>69</v>
      </c>
      <c r="BP731">
        <v>24</v>
      </c>
      <c r="BQ731" t="s">
        <v>15576</v>
      </c>
      <c r="BR731" t="s">
        <v>8661</v>
      </c>
      <c r="BS731" t="s">
        <v>15577</v>
      </c>
      <c r="BT731" t="s">
        <v>20499</v>
      </c>
      <c r="BU731" t="s">
        <v>432</v>
      </c>
      <c r="BV731" t="s">
        <v>69</v>
      </c>
      <c r="BW731" t="s">
        <v>10995</v>
      </c>
      <c r="BX731" t="s">
        <v>69</v>
      </c>
      <c r="BY731" t="s">
        <v>69</v>
      </c>
      <c r="BZ731" t="s">
        <v>8526</v>
      </c>
      <c r="CA731" t="str">
        <f>HYPERLINK("https%3A%2F%2Fwww.webofscience.com%2Fwos%2Fwoscc%2Ffull-record%2FWOS:000400015600001","View Full Record in Web of Science")</f>
        <v>View Full Record in Web of Science</v>
      </c>
    </row>
    <row r="732" spans="2:79" ht="12.5" x14ac:dyDescent="0.25">
      <c r="B732" t="s">
        <v>8495</v>
      </c>
      <c r="D732" s="7" t="s">
        <v>32933</v>
      </c>
      <c r="E732" s="7"/>
      <c r="F732" s="7"/>
      <c r="G732" s="7"/>
      <c r="H732" t="s">
        <v>67</v>
      </c>
      <c r="I732" t="s">
        <v>3471</v>
      </c>
      <c r="J732" t="s">
        <v>69</v>
      </c>
      <c r="K732" t="s">
        <v>69</v>
      </c>
      <c r="L732" t="s">
        <v>69</v>
      </c>
      <c r="M732" t="s">
        <v>3472</v>
      </c>
      <c r="N732" t="s">
        <v>69</v>
      </c>
      <c r="O732" t="s">
        <v>69</v>
      </c>
      <c r="P732" t="s">
        <v>3473</v>
      </c>
      <c r="Q732" t="s">
        <v>3474</v>
      </c>
      <c r="R732" t="s">
        <v>69</v>
      </c>
      <c r="S732" t="s">
        <v>69</v>
      </c>
      <c r="T732" t="s">
        <v>8505</v>
      </c>
      <c r="U732" t="s">
        <v>8506</v>
      </c>
      <c r="V732" t="s">
        <v>69</v>
      </c>
      <c r="W732" t="s">
        <v>69</v>
      </c>
      <c r="X732" t="s">
        <v>69</v>
      </c>
      <c r="Y732" t="s">
        <v>69</v>
      </c>
      <c r="Z732" t="s">
        <v>69</v>
      </c>
      <c r="AA732" t="s">
        <v>27211</v>
      </c>
      <c r="AB732" t="s">
        <v>27212</v>
      </c>
      <c r="AC732" t="s">
        <v>3475</v>
      </c>
      <c r="AD732" t="s">
        <v>27213</v>
      </c>
      <c r="AE732" t="s">
        <v>69</v>
      </c>
      <c r="AF732" t="s">
        <v>27214</v>
      </c>
      <c r="AG732" t="s">
        <v>27215</v>
      </c>
      <c r="AH732" t="s">
        <v>27216</v>
      </c>
      <c r="AI732" t="s">
        <v>3476</v>
      </c>
      <c r="AJ732" t="s">
        <v>69</v>
      </c>
      <c r="AK732" t="s">
        <v>69</v>
      </c>
      <c r="AL732" t="s">
        <v>69</v>
      </c>
      <c r="AM732" t="s">
        <v>69</v>
      </c>
      <c r="AN732">
        <v>65</v>
      </c>
      <c r="AO732">
        <v>21</v>
      </c>
      <c r="AP732">
        <v>21</v>
      </c>
      <c r="AQ732">
        <v>2</v>
      </c>
      <c r="AR732">
        <v>39</v>
      </c>
      <c r="AS732" t="s">
        <v>8865</v>
      </c>
      <c r="AT732" t="s">
        <v>8612</v>
      </c>
      <c r="AU732" t="s">
        <v>8866</v>
      </c>
      <c r="AV732" t="s">
        <v>3477</v>
      </c>
      <c r="AW732" t="s">
        <v>3478</v>
      </c>
      <c r="AX732" t="s">
        <v>69</v>
      </c>
      <c r="AY732" t="s">
        <v>27217</v>
      </c>
      <c r="AZ732" t="s">
        <v>27218</v>
      </c>
      <c r="BA732" t="s">
        <v>69</v>
      </c>
      <c r="BB732">
        <v>2011</v>
      </c>
      <c r="BC732">
        <v>101</v>
      </c>
      <c r="BD732">
        <v>3</v>
      </c>
      <c r="BE732" t="s">
        <v>69</v>
      </c>
      <c r="BF732" t="s">
        <v>69</v>
      </c>
      <c r="BG732" t="s">
        <v>69</v>
      </c>
      <c r="BH732" t="s">
        <v>69</v>
      </c>
      <c r="BI732">
        <v>609</v>
      </c>
      <c r="BJ732">
        <v>624</v>
      </c>
      <c r="BK732" t="s">
        <v>3479</v>
      </c>
      <c r="BL732" t="s">
        <v>3480</v>
      </c>
      <c r="BM732" t="str">
        <f>HYPERLINK("http://dx.doi.org/10.1080/00045608.2011.560062","http://dx.doi.org/10.1080/00045608.2011.560062")</f>
        <v>http://dx.doi.org/10.1080/00045608.2011.560062</v>
      </c>
      <c r="BN732" t="s">
        <v>69</v>
      </c>
      <c r="BO732" t="s">
        <v>69</v>
      </c>
      <c r="BP732">
        <v>16</v>
      </c>
      <c r="BQ732" t="s">
        <v>8446</v>
      </c>
      <c r="BR732" t="s">
        <v>8661</v>
      </c>
      <c r="BS732" t="s">
        <v>8446</v>
      </c>
      <c r="BT732" t="s">
        <v>27219</v>
      </c>
      <c r="BU732" t="s">
        <v>3481</v>
      </c>
      <c r="BV732" t="s">
        <v>69</v>
      </c>
      <c r="BW732" t="s">
        <v>69</v>
      </c>
      <c r="BX732" t="s">
        <v>69</v>
      </c>
      <c r="BY732" t="s">
        <v>69</v>
      </c>
      <c r="BZ732" t="s">
        <v>8526</v>
      </c>
      <c r="CA732" t="str">
        <f>HYPERLINK("https%3A%2F%2Fwww.webofscience.com%2Fwos%2Fwoscc%2Ffull-record%2FWOS:000290034200008","View Full Record in Web of Science")</f>
        <v>View Full Record in Web of Science</v>
      </c>
    </row>
    <row r="733" spans="2:79" x14ac:dyDescent="0.3">
      <c r="B733" t="s">
        <v>8495</v>
      </c>
      <c r="D733" s="9" t="s">
        <v>32954</v>
      </c>
      <c r="E733" s="9" t="s">
        <v>33067</v>
      </c>
      <c r="G733" s="9" t="s">
        <v>8490</v>
      </c>
      <c r="H733" t="s">
        <v>67</v>
      </c>
      <c r="I733" t="s">
        <v>17972</v>
      </c>
      <c r="J733" t="s">
        <v>69</v>
      </c>
      <c r="K733" t="s">
        <v>69</v>
      </c>
      <c r="L733" t="s">
        <v>69</v>
      </c>
      <c r="M733" t="s">
        <v>17973</v>
      </c>
      <c r="N733" t="s">
        <v>69</v>
      </c>
      <c r="O733" t="s">
        <v>69</v>
      </c>
      <c r="P733" t="s">
        <v>17974</v>
      </c>
      <c r="Q733" t="s">
        <v>8012</v>
      </c>
      <c r="R733" t="s">
        <v>69</v>
      </c>
      <c r="S733" t="s">
        <v>69</v>
      </c>
      <c r="T733" t="s">
        <v>8505</v>
      </c>
      <c r="U733" t="s">
        <v>8506</v>
      </c>
      <c r="V733" t="s">
        <v>69</v>
      </c>
      <c r="W733" t="s">
        <v>69</v>
      </c>
      <c r="X733" t="s">
        <v>69</v>
      </c>
      <c r="Y733" t="s">
        <v>69</v>
      </c>
      <c r="Z733" t="s">
        <v>69</v>
      </c>
      <c r="AA733" t="s">
        <v>17975</v>
      </c>
      <c r="AB733" t="s">
        <v>69</v>
      </c>
      <c r="AC733" t="s">
        <v>17976</v>
      </c>
      <c r="AD733" t="s">
        <v>17977</v>
      </c>
      <c r="AE733" t="s">
        <v>69</v>
      </c>
      <c r="AF733" t="s">
        <v>17978</v>
      </c>
      <c r="AG733" t="s">
        <v>17979</v>
      </c>
      <c r="AH733" t="s">
        <v>69</v>
      </c>
      <c r="AI733" t="s">
        <v>17980</v>
      </c>
      <c r="AJ733" t="s">
        <v>17981</v>
      </c>
      <c r="AK733" t="s">
        <v>17982</v>
      </c>
      <c r="AL733" t="s">
        <v>17983</v>
      </c>
      <c r="AM733" t="s">
        <v>69</v>
      </c>
      <c r="AN733">
        <v>114</v>
      </c>
      <c r="AO733">
        <v>2</v>
      </c>
      <c r="AP733">
        <v>2</v>
      </c>
      <c r="AQ733">
        <v>3</v>
      </c>
      <c r="AR733">
        <v>22</v>
      </c>
      <c r="AS733" t="s">
        <v>9554</v>
      </c>
      <c r="AT733" t="s">
        <v>9555</v>
      </c>
      <c r="AU733" t="s">
        <v>9556</v>
      </c>
      <c r="AV733" t="s">
        <v>8014</v>
      </c>
      <c r="AW733" t="s">
        <v>8015</v>
      </c>
      <c r="AX733" t="s">
        <v>69</v>
      </c>
      <c r="AY733" t="s">
        <v>17984</v>
      </c>
      <c r="AZ733" t="s">
        <v>17985</v>
      </c>
      <c r="BA733" t="s">
        <v>373</v>
      </c>
      <c r="BB733">
        <v>2019</v>
      </c>
      <c r="BC733">
        <v>45</v>
      </c>
      <c r="BD733">
        <v>1</v>
      </c>
      <c r="BE733" t="s">
        <v>69</v>
      </c>
      <c r="BF733" t="s">
        <v>69</v>
      </c>
      <c r="BG733" t="s">
        <v>69</v>
      </c>
      <c r="BH733" t="s">
        <v>69</v>
      </c>
      <c r="BI733">
        <v>126</v>
      </c>
      <c r="BJ733">
        <v>149</v>
      </c>
      <c r="BK733" t="s">
        <v>69</v>
      </c>
      <c r="BL733" t="s">
        <v>17986</v>
      </c>
      <c r="BM733" t="str">
        <f>HYPERLINK("http://dx.doi.org/10.1177/0096144217737063","http://dx.doi.org/10.1177/0096144217737063")</f>
        <v>http://dx.doi.org/10.1177/0096144217737063</v>
      </c>
      <c r="BN733" t="s">
        <v>69</v>
      </c>
      <c r="BO733" t="s">
        <v>69</v>
      </c>
      <c r="BP733">
        <v>24</v>
      </c>
      <c r="BQ733" t="s">
        <v>17987</v>
      </c>
      <c r="BR733" t="s">
        <v>12201</v>
      </c>
      <c r="BS733" t="s">
        <v>17988</v>
      </c>
      <c r="BT733" t="s">
        <v>17989</v>
      </c>
      <c r="BU733" t="s">
        <v>17990</v>
      </c>
      <c r="BV733" t="s">
        <v>69</v>
      </c>
      <c r="BW733" t="s">
        <v>69</v>
      </c>
      <c r="BX733" t="s">
        <v>69</v>
      </c>
      <c r="BY733" t="s">
        <v>69</v>
      </c>
      <c r="BZ733" t="s">
        <v>8526</v>
      </c>
      <c r="CA733" t="str">
        <f>HYPERLINK("https%3A%2F%2Fwww.webofscience.com%2Fwos%2Fwoscc%2Ffull-record%2FWOS:000454135500007","View Full Record in Web of Science")</f>
        <v>View Full Record in Web of Science</v>
      </c>
    </row>
    <row r="734" spans="2:79" ht="12.5" x14ac:dyDescent="0.25">
      <c r="B734" t="s">
        <v>8495</v>
      </c>
      <c r="D734" s="22" t="s">
        <v>32931</v>
      </c>
      <c r="E734" s="7"/>
      <c r="F734" s="7"/>
      <c r="G734" s="7"/>
      <c r="H734" t="s">
        <v>67</v>
      </c>
      <c r="I734" t="s">
        <v>29051</v>
      </c>
      <c r="J734" t="s">
        <v>69</v>
      </c>
      <c r="K734" t="s">
        <v>69</v>
      </c>
      <c r="L734" t="s">
        <v>69</v>
      </c>
      <c r="M734" t="s">
        <v>29052</v>
      </c>
      <c r="N734" t="s">
        <v>69</v>
      </c>
      <c r="O734" t="s">
        <v>69</v>
      </c>
      <c r="P734" t="s">
        <v>29053</v>
      </c>
      <c r="Q734" t="s">
        <v>29054</v>
      </c>
      <c r="R734" t="s">
        <v>69</v>
      </c>
      <c r="S734" t="s">
        <v>69</v>
      </c>
      <c r="T734" t="s">
        <v>8505</v>
      </c>
      <c r="U734" t="s">
        <v>8506</v>
      </c>
      <c r="V734" t="s">
        <v>69</v>
      </c>
      <c r="W734" t="s">
        <v>69</v>
      </c>
      <c r="X734" t="s">
        <v>69</v>
      </c>
      <c r="Y734" t="s">
        <v>69</v>
      </c>
      <c r="Z734" t="s">
        <v>69</v>
      </c>
      <c r="AA734" t="s">
        <v>69</v>
      </c>
      <c r="AB734" t="s">
        <v>69</v>
      </c>
      <c r="AC734" t="s">
        <v>29055</v>
      </c>
      <c r="AD734" t="s">
        <v>69</v>
      </c>
      <c r="AE734" t="s">
        <v>69</v>
      </c>
      <c r="AF734" t="s">
        <v>29056</v>
      </c>
      <c r="AG734" t="s">
        <v>29057</v>
      </c>
      <c r="AH734" t="s">
        <v>69</v>
      </c>
      <c r="AI734" t="s">
        <v>69</v>
      </c>
      <c r="AJ734" t="s">
        <v>69</v>
      </c>
      <c r="AK734" t="s">
        <v>69</v>
      </c>
      <c r="AL734" t="s">
        <v>69</v>
      </c>
      <c r="AM734" t="s">
        <v>69</v>
      </c>
      <c r="AN734">
        <v>16</v>
      </c>
      <c r="AO734">
        <v>4</v>
      </c>
      <c r="AP734">
        <v>4</v>
      </c>
      <c r="AQ734">
        <v>0</v>
      </c>
      <c r="AR734">
        <v>0</v>
      </c>
      <c r="AS734" t="s">
        <v>28353</v>
      </c>
      <c r="AT734" t="s">
        <v>28354</v>
      </c>
      <c r="AU734" t="s">
        <v>28355</v>
      </c>
      <c r="AV734" t="s">
        <v>29058</v>
      </c>
      <c r="AW734" t="s">
        <v>29059</v>
      </c>
      <c r="AX734" t="s">
        <v>69</v>
      </c>
      <c r="AY734" t="s">
        <v>29060</v>
      </c>
      <c r="AZ734" t="s">
        <v>29061</v>
      </c>
      <c r="BA734" t="s">
        <v>274</v>
      </c>
      <c r="BB734">
        <v>2008</v>
      </c>
      <c r="BC734">
        <v>17</v>
      </c>
      <c r="BD734" t="s">
        <v>3849</v>
      </c>
      <c r="BE734" t="s">
        <v>69</v>
      </c>
      <c r="BF734" t="s">
        <v>69</v>
      </c>
      <c r="BG734" t="s">
        <v>69</v>
      </c>
      <c r="BH734" t="s">
        <v>69</v>
      </c>
      <c r="BI734">
        <v>295</v>
      </c>
      <c r="BJ734">
        <v>306</v>
      </c>
      <c r="BK734" t="s">
        <v>69</v>
      </c>
      <c r="BL734" t="s">
        <v>29062</v>
      </c>
      <c r="BM734" t="str">
        <f>HYPERLINK("http://dx.doi.org/10.1002/jsc.834","http://dx.doi.org/10.1002/jsc.834")</f>
        <v>http://dx.doi.org/10.1002/jsc.834</v>
      </c>
      <c r="BN734" t="s">
        <v>69</v>
      </c>
      <c r="BO734" t="s">
        <v>69</v>
      </c>
      <c r="BP734">
        <v>12</v>
      </c>
      <c r="BQ734" t="s">
        <v>9749</v>
      </c>
      <c r="BR734" t="s">
        <v>8573</v>
      </c>
      <c r="BS734" t="s">
        <v>8594</v>
      </c>
      <c r="BT734" t="s">
        <v>29063</v>
      </c>
      <c r="BU734" t="s">
        <v>29064</v>
      </c>
      <c r="BV734" t="s">
        <v>69</v>
      </c>
      <c r="BW734" t="s">
        <v>69</v>
      </c>
      <c r="BX734" t="s">
        <v>69</v>
      </c>
      <c r="BY734" t="s">
        <v>69</v>
      </c>
      <c r="BZ734" t="s">
        <v>8526</v>
      </c>
      <c r="CA734" t="str">
        <f>HYPERLINK("https%3A%2F%2Fwww.webofscience.com%2Fwos%2Fwoscc%2Ffull-record%2FWOS:000218120400006","View Full Record in Web of Science")</f>
        <v>View Full Record in Web of Science</v>
      </c>
    </row>
    <row r="735" spans="2:79" ht="12.5" x14ac:dyDescent="0.25">
      <c r="B735" t="s">
        <v>8495</v>
      </c>
      <c r="D735" s="7" t="s">
        <v>32933</v>
      </c>
      <c r="E735" s="7"/>
      <c r="F735" s="7"/>
      <c r="G735" s="7"/>
      <c r="H735" t="s">
        <v>67</v>
      </c>
      <c r="I735" t="s">
        <v>4253</v>
      </c>
      <c r="J735" t="s">
        <v>69</v>
      </c>
      <c r="K735" t="s">
        <v>69</v>
      </c>
      <c r="L735" t="s">
        <v>69</v>
      </c>
      <c r="M735" t="s">
        <v>4253</v>
      </c>
      <c r="N735" t="s">
        <v>69</v>
      </c>
      <c r="O735" t="s">
        <v>69</v>
      </c>
      <c r="P735" t="s">
        <v>4254</v>
      </c>
      <c r="Q735" t="s">
        <v>4255</v>
      </c>
      <c r="R735" t="s">
        <v>69</v>
      </c>
      <c r="S735" t="s">
        <v>69</v>
      </c>
      <c r="T735" t="s">
        <v>8505</v>
      </c>
      <c r="U735" t="s">
        <v>15797</v>
      </c>
      <c r="V735" t="s">
        <v>4256</v>
      </c>
      <c r="W735">
        <v>1996</v>
      </c>
      <c r="X735" t="s">
        <v>4257</v>
      </c>
      <c r="Y735" t="s">
        <v>32492</v>
      </c>
      <c r="Z735" t="s">
        <v>69</v>
      </c>
      <c r="AA735" t="s">
        <v>32493</v>
      </c>
      <c r="AB735" t="s">
        <v>69</v>
      </c>
      <c r="AC735" t="s">
        <v>4258</v>
      </c>
      <c r="AD735" t="s">
        <v>69</v>
      </c>
      <c r="AE735" t="s">
        <v>69</v>
      </c>
      <c r="AF735" t="s">
        <v>32494</v>
      </c>
      <c r="AG735" t="s">
        <v>69</v>
      </c>
      <c r="AH735" t="s">
        <v>69</v>
      </c>
      <c r="AI735" t="s">
        <v>69</v>
      </c>
      <c r="AJ735" t="s">
        <v>69</v>
      </c>
      <c r="AK735" t="s">
        <v>69</v>
      </c>
      <c r="AL735" t="s">
        <v>69</v>
      </c>
      <c r="AM735" t="s">
        <v>69</v>
      </c>
      <c r="AN735">
        <v>36</v>
      </c>
      <c r="AO735">
        <v>0</v>
      </c>
      <c r="AP735">
        <v>0</v>
      </c>
      <c r="AQ735">
        <v>0</v>
      </c>
      <c r="AR735">
        <v>10</v>
      </c>
      <c r="AS735" t="s">
        <v>32495</v>
      </c>
      <c r="AT735" t="s">
        <v>32496</v>
      </c>
      <c r="AU735" t="s">
        <v>32497</v>
      </c>
      <c r="AV735" t="s">
        <v>4259</v>
      </c>
      <c r="AW735" t="s">
        <v>69</v>
      </c>
      <c r="AX735" t="s">
        <v>69</v>
      </c>
      <c r="AY735" t="s">
        <v>4255</v>
      </c>
      <c r="AZ735" t="s">
        <v>32498</v>
      </c>
      <c r="BA735" t="s">
        <v>69</v>
      </c>
      <c r="BB735">
        <v>1996</v>
      </c>
      <c r="BC735">
        <v>41</v>
      </c>
      <c r="BD735" t="s">
        <v>145</v>
      </c>
      <c r="BE735" t="s">
        <v>69</v>
      </c>
      <c r="BF735" t="s">
        <v>69</v>
      </c>
      <c r="BG735" t="s">
        <v>69</v>
      </c>
      <c r="BH735" t="s">
        <v>69</v>
      </c>
      <c r="BI735">
        <v>387</v>
      </c>
      <c r="BJ735">
        <v>404</v>
      </c>
      <c r="BK735" t="s">
        <v>69</v>
      </c>
      <c r="BL735" t="s">
        <v>4260</v>
      </c>
      <c r="BM735" t="str">
        <f>HYPERLINK("http://dx.doi.org/10.1007/BF02765792","http://dx.doi.org/10.1007/BF02765792")</f>
        <v>http://dx.doi.org/10.1007/BF02765792</v>
      </c>
      <c r="BN735" t="s">
        <v>69</v>
      </c>
      <c r="BO735" t="s">
        <v>69</v>
      </c>
      <c r="BP735">
        <v>18</v>
      </c>
      <c r="BQ735" t="s">
        <v>26862</v>
      </c>
      <c r="BR735" t="s">
        <v>29550</v>
      </c>
      <c r="BS735" t="s">
        <v>26862</v>
      </c>
      <c r="BT735" t="s">
        <v>32499</v>
      </c>
      <c r="BU735" t="s">
        <v>4261</v>
      </c>
      <c r="BV735" t="s">
        <v>69</v>
      </c>
      <c r="BW735" t="s">
        <v>69</v>
      </c>
      <c r="BX735" t="s">
        <v>69</v>
      </c>
      <c r="BY735" t="s">
        <v>69</v>
      </c>
      <c r="BZ735" t="s">
        <v>8526</v>
      </c>
      <c r="CA735" t="str">
        <f>HYPERLINK("https%3A%2F%2Fwww.webofscience.com%2Fwos%2Fwoscc%2Ffull-record%2FWOS:A1996XN47000007","View Full Record in Web of Science")</f>
        <v>View Full Record in Web of Science</v>
      </c>
    </row>
    <row r="736" spans="2:79" ht="12.5" x14ac:dyDescent="0.25">
      <c r="B736" t="s">
        <v>8495</v>
      </c>
      <c r="D736" s="7" t="s">
        <v>32933</v>
      </c>
      <c r="E736" s="7"/>
      <c r="F736" s="7"/>
      <c r="G736" s="7"/>
      <c r="H736" t="s">
        <v>67</v>
      </c>
      <c r="I736" t="s">
        <v>2041</v>
      </c>
      <c r="J736" t="s">
        <v>69</v>
      </c>
      <c r="K736" t="s">
        <v>69</v>
      </c>
      <c r="L736" t="s">
        <v>69</v>
      </c>
      <c r="M736" t="s">
        <v>2042</v>
      </c>
      <c r="N736" t="s">
        <v>69</v>
      </c>
      <c r="O736" t="s">
        <v>69</v>
      </c>
      <c r="P736" t="s">
        <v>2043</v>
      </c>
      <c r="Q736" t="s">
        <v>2044</v>
      </c>
      <c r="R736" t="s">
        <v>69</v>
      </c>
      <c r="S736" t="s">
        <v>69</v>
      </c>
      <c r="T736" t="s">
        <v>10153</v>
      </c>
      <c r="U736" t="s">
        <v>8506</v>
      </c>
      <c r="V736" t="s">
        <v>69</v>
      </c>
      <c r="W736" t="s">
        <v>69</v>
      </c>
      <c r="X736" t="s">
        <v>69</v>
      </c>
      <c r="Y736" t="s">
        <v>69</v>
      </c>
      <c r="Z736" t="s">
        <v>69</v>
      </c>
      <c r="AA736" t="s">
        <v>16086</v>
      </c>
      <c r="AB736" t="s">
        <v>69</v>
      </c>
      <c r="AC736" t="s">
        <v>2045</v>
      </c>
      <c r="AD736" t="s">
        <v>16087</v>
      </c>
      <c r="AE736" t="s">
        <v>69</v>
      </c>
      <c r="AF736" t="s">
        <v>16088</v>
      </c>
      <c r="AG736" t="s">
        <v>16089</v>
      </c>
      <c r="AH736" t="s">
        <v>69</v>
      </c>
      <c r="AI736" t="s">
        <v>69</v>
      </c>
      <c r="AJ736" t="s">
        <v>69</v>
      </c>
      <c r="AK736" t="s">
        <v>69</v>
      </c>
      <c r="AL736" t="s">
        <v>69</v>
      </c>
      <c r="AM736" t="s">
        <v>69</v>
      </c>
      <c r="AN736">
        <v>24</v>
      </c>
      <c r="AO736">
        <v>0</v>
      </c>
      <c r="AP736">
        <v>0</v>
      </c>
      <c r="AQ736">
        <v>0</v>
      </c>
      <c r="AR736">
        <v>0</v>
      </c>
      <c r="AS736" t="s">
        <v>16090</v>
      </c>
      <c r="AT736" t="s">
        <v>16091</v>
      </c>
      <c r="AU736" t="s">
        <v>16092</v>
      </c>
      <c r="AV736" t="s">
        <v>2046</v>
      </c>
      <c r="AW736" t="s">
        <v>2047</v>
      </c>
      <c r="AX736" t="s">
        <v>69</v>
      </c>
      <c r="AY736" t="s">
        <v>16093</v>
      </c>
      <c r="AZ736" t="s">
        <v>16094</v>
      </c>
      <c r="BA736" t="s">
        <v>69</v>
      </c>
      <c r="BB736">
        <v>2020</v>
      </c>
      <c r="BC736">
        <v>55</v>
      </c>
      <c r="BD736">
        <v>114</v>
      </c>
      <c r="BE736" t="s">
        <v>69</v>
      </c>
      <c r="BF736" t="s">
        <v>69</v>
      </c>
      <c r="BG736" t="s">
        <v>69</v>
      </c>
      <c r="BH736" t="s">
        <v>69</v>
      </c>
      <c r="BI736">
        <v>141</v>
      </c>
      <c r="BJ736">
        <v>155</v>
      </c>
      <c r="BK736" t="s">
        <v>69</v>
      </c>
      <c r="BL736" t="s">
        <v>2048</v>
      </c>
      <c r="BM736" t="str">
        <f>HYPERLINK("http://dx.doi.org/10.18055/Finis19631","http://dx.doi.org/10.18055/Finis19631")</f>
        <v>http://dx.doi.org/10.18055/Finis19631</v>
      </c>
      <c r="BN736" t="s">
        <v>69</v>
      </c>
      <c r="BO736" t="s">
        <v>69</v>
      </c>
      <c r="BP736">
        <v>15</v>
      </c>
      <c r="BQ736" t="s">
        <v>8446</v>
      </c>
      <c r="BR736" t="s">
        <v>8573</v>
      </c>
      <c r="BS736" t="s">
        <v>8446</v>
      </c>
      <c r="BT736" t="s">
        <v>16095</v>
      </c>
      <c r="BU736" t="s">
        <v>2049</v>
      </c>
      <c r="BV736" t="s">
        <v>69</v>
      </c>
      <c r="BW736" t="s">
        <v>69</v>
      </c>
      <c r="BX736" t="s">
        <v>69</v>
      </c>
      <c r="BY736" t="s">
        <v>69</v>
      </c>
      <c r="BZ736" t="s">
        <v>8526</v>
      </c>
      <c r="CA736" t="str">
        <f>HYPERLINK("https%3A%2F%2Fwww.webofscience.com%2Fwos%2Fwoscc%2Ffull-record%2FWOS:000560790500009","View Full Record in Web of Science")</f>
        <v>View Full Record in Web of Science</v>
      </c>
    </row>
    <row r="737" spans="2:79" ht="12.5" x14ac:dyDescent="0.25">
      <c r="B737" t="s">
        <v>8495</v>
      </c>
      <c r="D737" s="7" t="s">
        <v>32933</v>
      </c>
      <c r="E737" s="7"/>
      <c r="F737" s="7"/>
      <c r="G737" s="7"/>
      <c r="H737" t="s">
        <v>67</v>
      </c>
      <c r="I737" t="s">
        <v>2067</v>
      </c>
      <c r="J737" t="s">
        <v>69</v>
      </c>
      <c r="K737" t="s">
        <v>69</v>
      </c>
      <c r="L737" t="s">
        <v>69</v>
      </c>
      <c r="M737" t="s">
        <v>2068</v>
      </c>
      <c r="N737" t="s">
        <v>69</v>
      </c>
      <c r="O737" t="s">
        <v>69</v>
      </c>
      <c r="P737" t="s">
        <v>2069</v>
      </c>
      <c r="Q737" t="s">
        <v>2070</v>
      </c>
      <c r="R737" t="s">
        <v>69</v>
      </c>
      <c r="S737" t="s">
        <v>69</v>
      </c>
      <c r="T737" t="s">
        <v>8505</v>
      </c>
      <c r="U737" t="s">
        <v>8506</v>
      </c>
      <c r="V737" t="s">
        <v>69</v>
      </c>
      <c r="W737" t="s">
        <v>69</v>
      </c>
      <c r="X737" t="s">
        <v>69</v>
      </c>
      <c r="Y737" t="s">
        <v>69</v>
      </c>
      <c r="Z737" t="s">
        <v>69</v>
      </c>
      <c r="AA737" t="s">
        <v>16030</v>
      </c>
      <c r="AB737" t="s">
        <v>16031</v>
      </c>
      <c r="AC737" t="s">
        <v>2071</v>
      </c>
      <c r="AD737" t="s">
        <v>16032</v>
      </c>
      <c r="AE737" t="s">
        <v>69</v>
      </c>
      <c r="AF737" t="s">
        <v>16033</v>
      </c>
      <c r="AG737" t="s">
        <v>16034</v>
      </c>
      <c r="AH737" t="s">
        <v>16035</v>
      </c>
      <c r="AI737" t="s">
        <v>16036</v>
      </c>
      <c r="AJ737" t="s">
        <v>69</v>
      </c>
      <c r="AK737" t="s">
        <v>69</v>
      </c>
      <c r="AL737" t="s">
        <v>69</v>
      </c>
      <c r="AM737" t="s">
        <v>69</v>
      </c>
      <c r="AN737">
        <v>16</v>
      </c>
      <c r="AO737">
        <v>0</v>
      </c>
      <c r="AP737">
        <v>0</v>
      </c>
      <c r="AQ737">
        <v>1</v>
      </c>
      <c r="AR737">
        <v>2</v>
      </c>
      <c r="AS737" t="s">
        <v>16037</v>
      </c>
      <c r="AT737" t="s">
        <v>16038</v>
      </c>
      <c r="AU737" t="s">
        <v>16039</v>
      </c>
      <c r="AV737" t="s">
        <v>2072</v>
      </c>
      <c r="AW737" t="s">
        <v>69</v>
      </c>
      <c r="AX737" t="s">
        <v>69</v>
      </c>
      <c r="AY737" t="s">
        <v>16040</v>
      </c>
      <c r="AZ737" t="s">
        <v>16041</v>
      </c>
      <c r="BA737" t="s">
        <v>69</v>
      </c>
      <c r="BB737">
        <v>2020</v>
      </c>
      <c r="BC737">
        <v>15</v>
      </c>
      <c r="BD737">
        <v>4</v>
      </c>
      <c r="BE737" t="s">
        <v>69</v>
      </c>
      <c r="BF737" t="s">
        <v>69</v>
      </c>
      <c r="BG737" t="s">
        <v>69</v>
      </c>
      <c r="BH737" t="s">
        <v>69</v>
      </c>
      <c r="BI737">
        <v>871</v>
      </c>
      <c r="BJ737">
        <v>882</v>
      </c>
      <c r="BK737" t="s">
        <v>69</v>
      </c>
      <c r="BL737" t="s">
        <v>2073</v>
      </c>
      <c r="BM737" t="str">
        <f>HYPERLINK("http://dx.doi.org/10.14198/jhse.2020.154.14","http://dx.doi.org/10.14198/jhse.2020.154.14")</f>
        <v>http://dx.doi.org/10.14198/jhse.2020.154.14</v>
      </c>
      <c r="BN737" t="s">
        <v>69</v>
      </c>
      <c r="BO737" t="s">
        <v>69</v>
      </c>
      <c r="BP737">
        <v>12</v>
      </c>
      <c r="BQ737" t="s">
        <v>10024</v>
      </c>
      <c r="BR737" t="s">
        <v>8573</v>
      </c>
      <c r="BS737" t="s">
        <v>10024</v>
      </c>
      <c r="BT737" t="s">
        <v>16042</v>
      </c>
      <c r="BU737" t="s">
        <v>2074</v>
      </c>
      <c r="BV737" t="s">
        <v>69</v>
      </c>
      <c r="BW737" t="s">
        <v>8931</v>
      </c>
      <c r="BX737" t="s">
        <v>69</v>
      </c>
      <c r="BY737" t="s">
        <v>69</v>
      </c>
      <c r="BZ737" t="s">
        <v>8526</v>
      </c>
      <c r="CA737" t="str">
        <f>HYPERLINK("https%3A%2F%2Fwww.webofscience.com%2Fwos%2Fwoscc%2Ffull-record%2FWOS:000595736100014","View Full Record in Web of Science")</f>
        <v>View Full Record in Web of Science</v>
      </c>
    </row>
    <row r="738" spans="2:79" ht="12.5" x14ac:dyDescent="0.25">
      <c r="B738" t="s">
        <v>8495</v>
      </c>
      <c r="D738" s="22" t="s">
        <v>32931</v>
      </c>
      <c r="E738" s="7"/>
      <c r="F738" s="7"/>
      <c r="G738" s="7"/>
      <c r="H738" t="s">
        <v>67</v>
      </c>
      <c r="I738" t="s">
        <v>10149</v>
      </c>
      <c r="J738" t="s">
        <v>69</v>
      </c>
      <c r="K738" t="s">
        <v>69</v>
      </c>
      <c r="L738" t="s">
        <v>69</v>
      </c>
      <c r="M738" t="s">
        <v>10150</v>
      </c>
      <c r="N738" t="s">
        <v>69</v>
      </c>
      <c r="O738" t="s">
        <v>69</v>
      </c>
      <c r="P738" t="s">
        <v>10151</v>
      </c>
      <c r="Q738" t="s">
        <v>10152</v>
      </c>
      <c r="R738" t="s">
        <v>69</v>
      </c>
      <c r="S738" t="s">
        <v>69</v>
      </c>
      <c r="T738" t="s">
        <v>10153</v>
      </c>
      <c r="U738" t="s">
        <v>8506</v>
      </c>
      <c r="V738" t="s">
        <v>69</v>
      </c>
      <c r="W738" t="s">
        <v>69</v>
      </c>
      <c r="X738" t="s">
        <v>69</v>
      </c>
      <c r="Y738" t="s">
        <v>69</v>
      </c>
      <c r="Z738" t="s">
        <v>69</v>
      </c>
      <c r="AA738" t="s">
        <v>10154</v>
      </c>
      <c r="AB738" t="s">
        <v>10155</v>
      </c>
      <c r="AC738" t="s">
        <v>10156</v>
      </c>
      <c r="AD738" t="s">
        <v>10157</v>
      </c>
      <c r="AE738" t="s">
        <v>69</v>
      </c>
      <c r="AF738" t="s">
        <v>10158</v>
      </c>
      <c r="AG738" t="s">
        <v>10159</v>
      </c>
      <c r="AH738" t="s">
        <v>69</v>
      </c>
      <c r="AI738" t="s">
        <v>69</v>
      </c>
      <c r="AJ738" t="s">
        <v>69</v>
      </c>
      <c r="AK738" t="s">
        <v>69</v>
      </c>
      <c r="AL738" t="s">
        <v>69</v>
      </c>
      <c r="AM738" t="s">
        <v>69</v>
      </c>
      <c r="AN738">
        <v>60</v>
      </c>
      <c r="AO738">
        <v>0</v>
      </c>
      <c r="AP738">
        <v>0</v>
      </c>
      <c r="AQ738">
        <v>1</v>
      </c>
      <c r="AR738">
        <v>1</v>
      </c>
      <c r="AS738" t="s">
        <v>10160</v>
      </c>
      <c r="AT738" t="s">
        <v>10161</v>
      </c>
      <c r="AU738" t="s">
        <v>10162</v>
      </c>
      <c r="AV738" t="s">
        <v>10163</v>
      </c>
      <c r="AW738" t="s">
        <v>10164</v>
      </c>
      <c r="AX738" t="s">
        <v>69</v>
      </c>
      <c r="AY738" t="s">
        <v>10165</v>
      </c>
      <c r="AZ738" t="s">
        <v>10166</v>
      </c>
      <c r="BA738" t="s">
        <v>2654</v>
      </c>
      <c r="BB738">
        <v>2022</v>
      </c>
      <c r="BC738">
        <v>59</v>
      </c>
      <c r="BD738" t="s">
        <v>69</v>
      </c>
      <c r="BE738" t="s">
        <v>69</v>
      </c>
      <c r="BF738" t="s">
        <v>69</v>
      </c>
      <c r="BG738" t="s">
        <v>69</v>
      </c>
      <c r="BH738" t="s">
        <v>69</v>
      </c>
      <c r="BI738">
        <v>296</v>
      </c>
      <c r="BJ738">
        <v>318</v>
      </c>
      <c r="BK738" t="s">
        <v>69</v>
      </c>
      <c r="BL738" t="s">
        <v>10167</v>
      </c>
      <c r="BM738" t="str">
        <f>HYPERLINK("http://dx.doi.org/10.5380/dma.v59i0.74509","http://dx.doi.org/10.5380/dma.v59i0.74509")</f>
        <v>http://dx.doi.org/10.5380/dma.v59i0.74509</v>
      </c>
      <c r="BN738" t="s">
        <v>69</v>
      </c>
      <c r="BO738" t="s">
        <v>69</v>
      </c>
      <c r="BP738">
        <v>23</v>
      </c>
      <c r="BQ738" t="s">
        <v>8660</v>
      </c>
      <c r="BR738" t="s">
        <v>8573</v>
      </c>
      <c r="BS738" t="s">
        <v>8662</v>
      </c>
      <c r="BT738" t="s">
        <v>10168</v>
      </c>
      <c r="BU738" t="s">
        <v>10169</v>
      </c>
      <c r="BV738" t="s">
        <v>69</v>
      </c>
      <c r="BW738" t="s">
        <v>8931</v>
      </c>
      <c r="BX738" t="s">
        <v>69</v>
      </c>
      <c r="BY738" t="s">
        <v>69</v>
      </c>
      <c r="BZ738" t="s">
        <v>8526</v>
      </c>
      <c r="CA738" t="str">
        <f>HYPERLINK("https%3A%2F%2Fwww.webofscience.com%2Fwos%2Fwoscc%2Ffull-record%2FWOS:000810564300001","View Full Record in Web of Science")</f>
        <v>View Full Record in Web of Science</v>
      </c>
    </row>
    <row r="739" spans="2:79" ht="12.5" x14ac:dyDescent="0.25">
      <c r="B739" t="s">
        <v>8495</v>
      </c>
      <c r="D739" s="22" t="s">
        <v>32931</v>
      </c>
      <c r="E739" s="7"/>
      <c r="F739" s="7"/>
      <c r="G739" s="7"/>
      <c r="H739" t="s">
        <v>67</v>
      </c>
      <c r="I739" t="s">
        <v>13116</v>
      </c>
      <c r="J739" t="s">
        <v>69</v>
      </c>
      <c r="K739" t="s">
        <v>69</v>
      </c>
      <c r="L739" t="s">
        <v>69</v>
      </c>
      <c r="M739" t="s">
        <v>13117</v>
      </c>
      <c r="N739" t="s">
        <v>69</v>
      </c>
      <c r="O739" t="s">
        <v>69</v>
      </c>
      <c r="P739" t="s">
        <v>13118</v>
      </c>
      <c r="Q739" t="s">
        <v>859</v>
      </c>
      <c r="R739" t="s">
        <v>69</v>
      </c>
      <c r="S739" t="s">
        <v>69</v>
      </c>
      <c r="T739" t="s">
        <v>8505</v>
      </c>
      <c r="U739" t="s">
        <v>8506</v>
      </c>
      <c r="V739" t="s">
        <v>69</v>
      </c>
      <c r="W739" t="s">
        <v>69</v>
      </c>
      <c r="X739" t="s">
        <v>69</v>
      </c>
      <c r="Y739" t="s">
        <v>69</v>
      </c>
      <c r="Z739" t="s">
        <v>69</v>
      </c>
      <c r="AA739" t="s">
        <v>69</v>
      </c>
      <c r="AB739" t="s">
        <v>13119</v>
      </c>
      <c r="AC739" t="s">
        <v>13120</v>
      </c>
      <c r="AD739" t="s">
        <v>13121</v>
      </c>
      <c r="AE739" t="s">
        <v>69</v>
      </c>
      <c r="AF739" t="s">
        <v>13122</v>
      </c>
      <c r="AG739" t="s">
        <v>13123</v>
      </c>
      <c r="AH739" t="s">
        <v>13124</v>
      </c>
      <c r="AI739" t="s">
        <v>13125</v>
      </c>
      <c r="AJ739" t="s">
        <v>13126</v>
      </c>
      <c r="AK739" t="s">
        <v>13127</v>
      </c>
      <c r="AL739" t="s">
        <v>13128</v>
      </c>
      <c r="AM739" t="s">
        <v>69</v>
      </c>
      <c r="AN739">
        <v>30</v>
      </c>
      <c r="AO739">
        <v>0</v>
      </c>
      <c r="AP739">
        <v>0</v>
      </c>
      <c r="AQ739">
        <v>1</v>
      </c>
      <c r="AR739">
        <v>3</v>
      </c>
      <c r="AS739" t="s">
        <v>11130</v>
      </c>
      <c r="AT739" t="s">
        <v>11131</v>
      </c>
      <c r="AU739" t="s">
        <v>11132</v>
      </c>
      <c r="AV739" t="s">
        <v>862</v>
      </c>
      <c r="AW739" t="s">
        <v>69</v>
      </c>
      <c r="AX739" t="s">
        <v>69</v>
      </c>
      <c r="AY739" t="s">
        <v>859</v>
      </c>
      <c r="AZ739" t="s">
        <v>11133</v>
      </c>
      <c r="BA739" t="s">
        <v>4366</v>
      </c>
      <c r="BB739">
        <v>2021</v>
      </c>
      <c r="BC739">
        <v>16</v>
      </c>
      <c r="BD739">
        <v>2</v>
      </c>
      <c r="BE739" t="s">
        <v>69</v>
      </c>
      <c r="BF739" t="s">
        <v>69</v>
      </c>
      <c r="BG739" t="s">
        <v>69</v>
      </c>
      <c r="BH739" t="s">
        <v>69</v>
      </c>
      <c r="BI739" t="s">
        <v>69</v>
      </c>
      <c r="BJ739" t="s">
        <v>69</v>
      </c>
      <c r="BK739" t="s">
        <v>13129</v>
      </c>
      <c r="BL739" t="s">
        <v>13130</v>
      </c>
      <c r="BM739" t="str">
        <f>HYPERLINK("http://dx.doi.org/10.1371/journal.pone.0244959","http://dx.doi.org/10.1371/journal.pone.0244959")</f>
        <v>http://dx.doi.org/10.1371/journal.pone.0244959</v>
      </c>
      <c r="BN739" t="s">
        <v>69</v>
      </c>
      <c r="BO739" t="s">
        <v>69</v>
      </c>
      <c r="BP739">
        <v>11</v>
      </c>
      <c r="BQ739" t="s">
        <v>8619</v>
      </c>
      <c r="BR739" t="s">
        <v>8523</v>
      </c>
      <c r="BS739" t="s">
        <v>8620</v>
      </c>
      <c r="BT739" t="s">
        <v>13131</v>
      </c>
      <c r="BU739" t="s">
        <v>13132</v>
      </c>
      <c r="BV739">
        <v>33571213</v>
      </c>
      <c r="BW739" t="s">
        <v>8812</v>
      </c>
      <c r="BX739" t="s">
        <v>69</v>
      </c>
      <c r="BY739" t="s">
        <v>69</v>
      </c>
      <c r="BZ739" t="s">
        <v>8526</v>
      </c>
      <c r="CA739" t="str">
        <f>HYPERLINK("https%3A%2F%2Fwww.webofscience.com%2Fwos%2Fwoscc%2Ffull-record%2FWOS:000618274000084","View Full Record in Web of Science")</f>
        <v>View Full Record in Web of Science</v>
      </c>
    </row>
    <row r="740" spans="2:79" ht="12.5" x14ac:dyDescent="0.25">
      <c r="B740" t="s">
        <v>8495</v>
      </c>
      <c r="D740" s="7" t="s">
        <v>32933</v>
      </c>
      <c r="E740" s="7"/>
      <c r="F740" s="7"/>
      <c r="G740" s="7"/>
      <c r="H740" t="s">
        <v>67</v>
      </c>
      <c r="I740" t="s">
        <v>7995</v>
      </c>
      <c r="J740" t="s">
        <v>69</v>
      </c>
      <c r="K740" t="s">
        <v>69</v>
      </c>
      <c r="L740" t="s">
        <v>69</v>
      </c>
      <c r="M740" t="s">
        <v>7996</v>
      </c>
      <c r="N740" t="s">
        <v>69</v>
      </c>
      <c r="O740" t="s">
        <v>69</v>
      </c>
      <c r="P740" s="3" t="s">
        <v>7997</v>
      </c>
      <c r="Q740" t="s">
        <v>4079</v>
      </c>
      <c r="R740" t="s">
        <v>69</v>
      </c>
      <c r="S740" t="s">
        <v>69</v>
      </c>
      <c r="T740" t="s">
        <v>8505</v>
      </c>
      <c r="U740" t="s">
        <v>8506</v>
      </c>
      <c r="V740" t="s">
        <v>69</v>
      </c>
      <c r="W740" t="s">
        <v>69</v>
      </c>
      <c r="X740" t="s">
        <v>69</v>
      </c>
      <c r="Y740" t="s">
        <v>69</v>
      </c>
      <c r="Z740" t="s">
        <v>69</v>
      </c>
      <c r="AA740" t="s">
        <v>18770</v>
      </c>
      <c r="AB740" t="s">
        <v>18771</v>
      </c>
      <c r="AC740" t="s">
        <v>7998</v>
      </c>
      <c r="AD740" t="s">
        <v>18772</v>
      </c>
      <c r="AE740" t="s">
        <v>69</v>
      </c>
      <c r="AF740" t="s">
        <v>18773</v>
      </c>
      <c r="AG740" t="s">
        <v>18774</v>
      </c>
      <c r="AH740" t="s">
        <v>7999</v>
      </c>
      <c r="AI740" t="s">
        <v>18775</v>
      </c>
      <c r="AJ740" t="s">
        <v>18776</v>
      </c>
      <c r="AK740" t="s">
        <v>18777</v>
      </c>
      <c r="AL740" t="s">
        <v>18778</v>
      </c>
      <c r="AM740" t="s">
        <v>69</v>
      </c>
      <c r="AN740">
        <v>33</v>
      </c>
      <c r="AO740">
        <v>11</v>
      </c>
      <c r="AP740">
        <v>11</v>
      </c>
      <c r="AQ740">
        <v>1</v>
      </c>
      <c r="AR740">
        <v>15</v>
      </c>
      <c r="AS740" t="s">
        <v>18779</v>
      </c>
      <c r="AT740" t="s">
        <v>8993</v>
      </c>
      <c r="AU740" t="s">
        <v>18780</v>
      </c>
      <c r="AV740" t="s">
        <v>4084</v>
      </c>
      <c r="AW740" t="s">
        <v>8000</v>
      </c>
      <c r="AX740" t="s">
        <v>69</v>
      </c>
      <c r="AY740" t="s">
        <v>18781</v>
      </c>
      <c r="AZ740" t="s">
        <v>18782</v>
      </c>
      <c r="BA740" t="s">
        <v>8001</v>
      </c>
      <c r="BB740">
        <v>2018</v>
      </c>
      <c r="BC740">
        <v>167</v>
      </c>
      <c r="BD740" t="s">
        <v>69</v>
      </c>
      <c r="BE740" t="s">
        <v>69</v>
      </c>
      <c r="BF740" t="s">
        <v>69</v>
      </c>
      <c r="BG740" t="s">
        <v>69</v>
      </c>
      <c r="BH740" t="s">
        <v>69</v>
      </c>
      <c r="BI740">
        <v>177</v>
      </c>
      <c r="BJ740">
        <v>186</v>
      </c>
      <c r="BK740" t="s">
        <v>69</v>
      </c>
      <c r="BL740" t="s">
        <v>8002</v>
      </c>
      <c r="BM740" t="str">
        <f>HYPERLINK("http://dx.doi.org/10.1016/j.enbuild.2018.02.052","http://dx.doi.org/10.1016/j.enbuild.2018.02.052")</f>
        <v>http://dx.doi.org/10.1016/j.enbuild.2018.02.052</v>
      </c>
      <c r="BN740" t="s">
        <v>69</v>
      </c>
      <c r="BO740" t="s">
        <v>69</v>
      </c>
      <c r="BP740">
        <v>10</v>
      </c>
      <c r="BQ740" t="s">
        <v>18783</v>
      </c>
      <c r="BR740" t="s">
        <v>8548</v>
      </c>
      <c r="BS740" t="s">
        <v>18784</v>
      </c>
      <c r="BT740" t="s">
        <v>18785</v>
      </c>
      <c r="BU740" t="s">
        <v>8003</v>
      </c>
      <c r="BV740" t="s">
        <v>69</v>
      </c>
      <c r="BW740" t="s">
        <v>9292</v>
      </c>
      <c r="BX740" t="s">
        <v>69</v>
      </c>
      <c r="BY740" t="s">
        <v>69</v>
      </c>
      <c r="BZ740" t="s">
        <v>8526</v>
      </c>
      <c r="CA740" t="str">
        <f>HYPERLINK("https%3A%2F%2Fwww.webofscience.com%2Fwos%2Fwoscc%2Ffull-record%2FWOS:000430630700016","View Full Record in Web of Science")</f>
        <v>View Full Record in Web of Science</v>
      </c>
    </row>
    <row r="741" spans="2:79" ht="12.5" x14ac:dyDescent="0.25">
      <c r="B741" t="s">
        <v>8495</v>
      </c>
      <c r="D741" s="7" t="s">
        <v>32933</v>
      </c>
      <c r="E741" s="7"/>
      <c r="F741" s="7"/>
      <c r="G741" s="7"/>
      <c r="H741" t="s">
        <v>67</v>
      </c>
      <c r="I741" t="s">
        <v>1540</v>
      </c>
      <c r="J741" t="s">
        <v>69</v>
      </c>
      <c r="K741" t="s">
        <v>69</v>
      </c>
      <c r="L741" t="s">
        <v>69</v>
      </c>
      <c r="M741" t="s">
        <v>1541</v>
      </c>
      <c r="N741" t="s">
        <v>69</v>
      </c>
      <c r="O741" t="s">
        <v>69</v>
      </c>
      <c r="P741" t="s">
        <v>1542</v>
      </c>
      <c r="Q741" t="s">
        <v>151</v>
      </c>
      <c r="R741" t="s">
        <v>69</v>
      </c>
      <c r="S741" t="s">
        <v>69</v>
      </c>
      <c r="T741" t="s">
        <v>8505</v>
      </c>
      <c r="U741" t="s">
        <v>8442</v>
      </c>
      <c r="V741" t="s">
        <v>69</v>
      </c>
      <c r="W741" t="s">
        <v>69</v>
      </c>
      <c r="X741" t="s">
        <v>69</v>
      </c>
      <c r="Y741" t="s">
        <v>69</v>
      </c>
      <c r="Z741" t="s">
        <v>69</v>
      </c>
      <c r="AA741" t="s">
        <v>28538</v>
      </c>
      <c r="AB741" t="s">
        <v>69</v>
      </c>
      <c r="AC741" t="s">
        <v>1543</v>
      </c>
      <c r="AD741" t="s">
        <v>28539</v>
      </c>
      <c r="AE741" t="s">
        <v>69</v>
      </c>
      <c r="AF741" t="s">
        <v>28540</v>
      </c>
      <c r="AG741" t="s">
        <v>28541</v>
      </c>
      <c r="AH741" t="s">
        <v>28542</v>
      </c>
      <c r="AI741" t="s">
        <v>28543</v>
      </c>
      <c r="AJ741" t="s">
        <v>69</v>
      </c>
      <c r="AK741" t="s">
        <v>69</v>
      </c>
      <c r="AL741" t="s">
        <v>69</v>
      </c>
      <c r="AM741" t="s">
        <v>69</v>
      </c>
      <c r="AN741">
        <v>9</v>
      </c>
      <c r="AO741">
        <v>98</v>
      </c>
      <c r="AP741">
        <v>99</v>
      </c>
      <c r="AQ741">
        <v>1</v>
      </c>
      <c r="AR741">
        <v>16</v>
      </c>
      <c r="AS741" t="s">
        <v>9145</v>
      </c>
      <c r="AT741" t="s">
        <v>8637</v>
      </c>
      <c r="AU741" t="s">
        <v>9146</v>
      </c>
      <c r="AV741" t="s">
        <v>154</v>
      </c>
      <c r="AW741" t="s">
        <v>69</v>
      </c>
      <c r="AX741" t="s">
        <v>69</v>
      </c>
      <c r="AY741" t="s">
        <v>12762</v>
      </c>
      <c r="AZ741" t="s">
        <v>12763</v>
      </c>
      <c r="BA741" t="s">
        <v>246</v>
      </c>
      <c r="BB741">
        <v>2009</v>
      </c>
      <c r="BC741">
        <v>13</v>
      </c>
      <c r="BD741">
        <v>3</v>
      </c>
      <c r="BE741" t="s">
        <v>69</v>
      </c>
      <c r="BF741" t="s">
        <v>69</v>
      </c>
      <c r="BG741" t="s">
        <v>69</v>
      </c>
      <c r="BH741" t="s">
        <v>69</v>
      </c>
      <c r="BI741">
        <v>689</v>
      </c>
      <c r="BJ741">
        <v>695</v>
      </c>
      <c r="BK741" t="s">
        <v>69</v>
      </c>
      <c r="BL741" t="s">
        <v>1544</v>
      </c>
      <c r="BM741" t="str">
        <f>HYPERLINK("http://dx.doi.org/10.1016/j.rser.2007.11.010","http://dx.doi.org/10.1016/j.rser.2007.11.010")</f>
        <v>http://dx.doi.org/10.1016/j.rser.2007.11.010</v>
      </c>
      <c r="BN741" t="s">
        <v>69</v>
      </c>
      <c r="BO741" t="s">
        <v>69</v>
      </c>
      <c r="BP741">
        <v>7</v>
      </c>
      <c r="BQ741" t="s">
        <v>9931</v>
      </c>
      <c r="BR741" t="s">
        <v>8548</v>
      </c>
      <c r="BS741" t="s">
        <v>9932</v>
      </c>
      <c r="BT741" t="s">
        <v>28544</v>
      </c>
      <c r="BU741" t="s">
        <v>1545</v>
      </c>
      <c r="BV741" t="s">
        <v>69</v>
      </c>
      <c r="BW741" t="s">
        <v>69</v>
      </c>
      <c r="BX741" t="s">
        <v>69</v>
      </c>
      <c r="BY741" t="s">
        <v>69</v>
      </c>
      <c r="BZ741" t="s">
        <v>8526</v>
      </c>
      <c r="CA741" t="str">
        <f>HYPERLINK("https%3A%2F%2Fwww.webofscience.com%2Fwos%2Fwoscc%2Ffull-record%2FWOS:000263691900017","View Full Record in Web of Science")</f>
        <v>View Full Record in Web of Science</v>
      </c>
    </row>
    <row r="742" spans="2:79" ht="12.5" x14ac:dyDescent="0.25">
      <c r="B742" t="s">
        <v>8495</v>
      </c>
      <c r="D742" s="7" t="s">
        <v>32933</v>
      </c>
      <c r="E742" s="7"/>
      <c r="F742" s="7"/>
      <c r="G742" s="7"/>
      <c r="H742" t="s">
        <v>67</v>
      </c>
      <c r="I742" t="s">
        <v>3561</v>
      </c>
      <c r="J742" t="s">
        <v>69</v>
      </c>
      <c r="K742" t="s">
        <v>69</v>
      </c>
      <c r="L742" t="s">
        <v>69</v>
      </c>
      <c r="M742" t="s">
        <v>3562</v>
      </c>
      <c r="N742" t="s">
        <v>69</v>
      </c>
      <c r="O742" t="s">
        <v>69</v>
      </c>
      <c r="P742" t="s">
        <v>3563</v>
      </c>
      <c r="Q742" t="s">
        <v>3564</v>
      </c>
      <c r="R742" t="s">
        <v>69</v>
      </c>
      <c r="S742" t="s">
        <v>69</v>
      </c>
      <c r="T742" t="s">
        <v>8505</v>
      </c>
      <c r="U742" t="s">
        <v>8506</v>
      </c>
      <c r="V742" t="s">
        <v>69</v>
      </c>
      <c r="W742" t="s">
        <v>69</v>
      </c>
      <c r="X742" t="s">
        <v>69</v>
      </c>
      <c r="Y742" t="s">
        <v>69</v>
      </c>
      <c r="Z742" t="s">
        <v>69</v>
      </c>
      <c r="AA742" t="s">
        <v>27830</v>
      </c>
      <c r="AB742" t="s">
        <v>27831</v>
      </c>
      <c r="AC742" t="s">
        <v>3565</v>
      </c>
      <c r="AD742" t="s">
        <v>27832</v>
      </c>
      <c r="AE742" t="s">
        <v>69</v>
      </c>
      <c r="AF742" t="s">
        <v>27833</v>
      </c>
      <c r="AG742" t="s">
        <v>27834</v>
      </c>
      <c r="AH742" t="s">
        <v>69</v>
      </c>
      <c r="AI742" t="s">
        <v>69</v>
      </c>
      <c r="AJ742" t="s">
        <v>27835</v>
      </c>
      <c r="AK742" t="s">
        <v>27835</v>
      </c>
      <c r="AL742" t="s">
        <v>27836</v>
      </c>
      <c r="AM742" t="s">
        <v>69</v>
      </c>
      <c r="AN742">
        <v>44</v>
      </c>
      <c r="AO742">
        <v>9</v>
      </c>
      <c r="AP742">
        <v>9</v>
      </c>
      <c r="AQ742">
        <v>0</v>
      </c>
      <c r="AR742">
        <v>1</v>
      </c>
      <c r="AS742" t="s">
        <v>10923</v>
      </c>
      <c r="AT742" t="s">
        <v>10924</v>
      </c>
      <c r="AU742" t="s">
        <v>27837</v>
      </c>
      <c r="AV742" t="s">
        <v>3566</v>
      </c>
      <c r="AW742" t="s">
        <v>69</v>
      </c>
      <c r="AX742" t="s">
        <v>69</v>
      </c>
      <c r="AY742" t="s">
        <v>27838</v>
      </c>
      <c r="AZ742" t="s">
        <v>27839</v>
      </c>
      <c r="BA742" t="s">
        <v>246</v>
      </c>
      <c r="BB742">
        <v>2010</v>
      </c>
      <c r="BC742">
        <v>23</v>
      </c>
      <c r="BD742">
        <v>2</v>
      </c>
      <c r="BE742" t="s">
        <v>69</v>
      </c>
      <c r="BF742" t="s">
        <v>69</v>
      </c>
      <c r="BG742" t="s">
        <v>69</v>
      </c>
      <c r="BH742" t="s">
        <v>69</v>
      </c>
      <c r="BI742">
        <v>159</v>
      </c>
      <c r="BJ742">
        <v>166</v>
      </c>
      <c r="BK742" t="s">
        <v>69</v>
      </c>
      <c r="BL742" t="s">
        <v>3567</v>
      </c>
      <c r="BM742" t="str">
        <f>HYPERLINK("http://dx.doi.org/10.1097/ACO.0b013e328335db74","http://dx.doi.org/10.1097/ACO.0b013e328335db74")</f>
        <v>http://dx.doi.org/10.1097/ACO.0b013e328335db74</v>
      </c>
      <c r="BN742" t="s">
        <v>69</v>
      </c>
      <c r="BO742" t="s">
        <v>69</v>
      </c>
      <c r="BP742">
        <v>8</v>
      </c>
      <c r="BQ742" t="s">
        <v>20540</v>
      </c>
      <c r="BR742" t="s">
        <v>8548</v>
      </c>
      <c r="BS742" t="s">
        <v>20540</v>
      </c>
      <c r="BT742" t="s">
        <v>27840</v>
      </c>
      <c r="BU742" t="s">
        <v>3568</v>
      </c>
      <c r="BV742">
        <v>20019601</v>
      </c>
      <c r="BW742" t="s">
        <v>69</v>
      </c>
      <c r="BX742" t="s">
        <v>69</v>
      </c>
      <c r="BY742" t="s">
        <v>69</v>
      </c>
      <c r="BZ742" t="s">
        <v>8526</v>
      </c>
      <c r="CA742" t="str">
        <f>HYPERLINK("https%3A%2F%2Fwww.webofscience.com%2Fwos%2Fwoscc%2Ffull-record%2FWOS:000275817300007","View Full Record in Web of Science")</f>
        <v>View Full Record in Web of Science</v>
      </c>
    </row>
    <row r="743" spans="2:79" ht="12.5" x14ac:dyDescent="0.25">
      <c r="B743" t="s">
        <v>8495</v>
      </c>
      <c r="D743" s="22" t="s">
        <v>32931</v>
      </c>
      <c r="E743" s="7"/>
      <c r="F743" s="7"/>
      <c r="G743" s="7"/>
      <c r="H743" t="s">
        <v>67</v>
      </c>
      <c r="I743" t="s">
        <v>10709</v>
      </c>
      <c r="J743" t="s">
        <v>69</v>
      </c>
      <c r="K743" t="s">
        <v>69</v>
      </c>
      <c r="L743" t="s">
        <v>69</v>
      </c>
      <c r="M743" t="s">
        <v>10710</v>
      </c>
      <c r="N743" t="s">
        <v>69</v>
      </c>
      <c r="O743" t="s">
        <v>69</v>
      </c>
      <c r="P743" t="s">
        <v>10711</v>
      </c>
      <c r="Q743" t="s">
        <v>10712</v>
      </c>
      <c r="R743" t="s">
        <v>69</v>
      </c>
      <c r="S743" t="s">
        <v>69</v>
      </c>
      <c r="T743" t="s">
        <v>8505</v>
      </c>
      <c r="U743" t="s">
        <v>8556</v>
      </c>
      <c r="V743" t="s">
        <v>69</v>
      </c>
      <c r="W743" t="s">
        <v>69</v>
      </c>
      <c r="X743" t="s">
        <v>69</v>
      </c>
      <c r="Y743" t="s">
        <v>69</v>
      </c>
      <c r="Z743" t="s">
        <v>69</v>
      </c>
      <c r="AA743" t="s">
        <v>69</v>
      </c>
      <c r="AB743" t="s">
        <v>10713</v>
      </c>
      <c r="AC743" t="s">
        <v>10714</v>
      </c>
      <c r="AD743" t="s">
        <v>10715</v>
      </c>
      <c r="AE743" t="s">
        <v>69</v>
      </c>
      <c r="AF743" t="s">
        <v>10716</v>
      </c>
      <c r="AG743" t="s">
        <v>10717</v>
      </c>
      <c r="AH743" t="s">
        <v>69</v>
      </c>
      <c r="AI743" t="s">
        <v>69</v>
      </c>
      <c r="AJ743" t="s">
        <v>69</v>
      </c>
      <c r="AK743" t="s">
        <v>69</v>
      </c>
      <c r="AL743" t="s">
        <v>69</v>
      </c>
      <c r="AM743" t="s">
        <v>69</v>
      </c>
      <c r="AN743">
        <v>61</v>
      </c>
      <c r="AO743">
        <v>2</v>
      </c>
      <c r="AP743">
        <v>2</v>
      </c>
      <c r="AQ743">
        <v>2</v>
      </c>
      <c r="AR743">
        <v>2</v>
      </c>
      <c r="AS743" t="s">
        <v>8846</v>
      </c>
      <c r="AT743" t="s">
        <v>8847</v>
      </c>
      <c r="AU743" t="s">
        <v>8848</v>
      </c>
      <c r="AV743" t="s">
        <v>10718</v>
      </c>
      <c r="AW743" t="s">
        <v>10719</v>
      </c>
      <c r="AX743" t="s">
        <v>69</v>
      </c>
      <c r="AY743" t="s">
        <v>10720</v>
      </c>
      <c r="AZ743" t="s">
        <v>10721</v>
      </c>
      <c r="BA743" t="s">
        <v>69</v>
      </c>
      <c r="BB743" t="s">
        <v>69</v>
      </c>
      <c r="BC743" t="s">
        <v>69</v>
      </c>
      <c r="BD743" t="s">
        <v>69</v>
      </c>
      <c r="BE743" t="s">
        <v>69</v>
      </c>
      <c r="BF743" t="s">
        <v>69</v>
      </c>
      <c r="BG743" t="s">
        <v>69</v>
      </c>
      <c r="BH743" t="s">
        <v>69</v>
      </c>
      <c r="BI743" t="s">
        <v>69</v>
      </c>
      <c r="BJ743" t="s">
        <v>69</v>
      </c>
      <c r="BK743" t="s">
        <v>69</v>
      </c>
      <c r="BL743" t="s">
        <v>10722</v>
      </c>
      <c r="BM743" t="str">
        <f>HYPERLINK("http://dx.doi.org/10.1111/padm.12809","http://dx.doi.org/10.1111/padm.12809")</f>
        <v>http://dx.doi.org/10.1111/padm.12809</v>
      </c>
      <c r="BN743" t="s">
        <v>69</v>
      </c>
      <c r="BO743" t="s">
        <v>10646</v>
      </c>
      <c r="BP743">
        <v>17</v>
      </c>
      <c r="BQ743" t="s">
        <v>10439</v>
      </c>
      <c r="BR743" t="s">
        <v>8661</v>
      </c>
      <c r="BS743" t="s">
        <v>10440</v>
      </c>
      <c r="BT743" t="s">
        <v>10723</v>
      </c>
      <c r="BU743" t="s">
        <v>10724</v>
      </c>
      <c r="BV743" t="s">
        <v>69</v>
      </c>
      <c r="BW743" t="s">
        <v>69</v>
      </c>
      <c r="BX743" t="s">
        <v>69</v>
      </c>
      <c r="BY743" t="s">
        <v>69</v>
      </c>
      <c r="BZ743" t="s">
        <v>8526</v>
      </c>
      <c r="CA743" t="str">
        <f>HYPERLINK("https%3A%2F%2Fwww.webofscience.com%2Fwos%2Fwoscc%2Ffull-record%2FWOS:000722887500001","View Full Record in Web of Science")</f>
        <v>View Full Record in Web of Science</v>
      </c>
    </row>
    <row r="744" spans="2:79" ht="12.5" x14ac:dyDescent="0.25">
      <c r="B744" t="s">
        <v>8495</v>
      </c>
      <c r="D744" s="7" t="s">
        <v>32933</v>
      </c>
      <c r="E744" s="7"/>
      <c r="F744" s="7"/>
      <c r="G744" s="7"/>
      <c r="H744" t="s">
        <v>67</v>
      </c>
      <c r="I744" t="s">
        <v>1258</v>
      </c>
      <c r="J744" t="s">
        <v>69</v>
      </c>
      <c r="K744" t="s">
        <v>69</v>
      </c>
      <c r="L744" t="s">
        <v>69</v>
      </c>
      <c r="M744" t="s">
        <v>1259</v>
      </c>
      <c r="N744" t="s">
        <v>69</v>
      </c>
      <c r="O744" t="s">
        <v>69</v>
      </c>
      <c r="P744" t="s">
        <v>1260</v>
      </c>
      <c r="Q744" t="s">
        <v>332</v>
      </c>
      <c r="R744" t="s">
        <v>69</v>
      </c>
      <c r="S744" t="s">
        <v>69</v>
      </c>
      <c r="T744" t="s">
        <v>8505</v>
      </c>
      <c r="U744" t="s">
        <v>8506</v>
      </c>
      <c r="V744" t="s">
        <v>69</v>
      </c>
      <c r="W744" t="s">
        <v>69</v>
      </c>
      <c r="X744" t="s">
        <v>69</v>
      </c>
      <c r="Y744" t="s">
        <v>69</v>
      </c>
      <c r="Z744" t="s">
        <v>69</v>
      </c>
      <c r="AA744" t="s">
        <v>21898</v>
      </c>
      <c r="AB744" t="s">
        <v>21899</v>
      </c>
      <c r="AC744" t="s">
        <v>1261</v>
      </c>
      <c r="AD744" t="s">
        <v>21900</v>
      </c>
      <c r="AE744" t="s">
        <v>69</v>
      </c>
      <c r="AF744" t="s">
        <v>21901</v>
      </c>
      <c r="AG744" t="s">
        <v>21902</v>
      </c>
      <c r="AH744" t="s">
        <v>69</v>
      </c>
      <c r="AI744" t="s">
        <v>1262</v>
      </c>
      <c r="AJ744" t="s">
        <v>69</v>
      </c>
      <c r="AK744" t="s">
        <v>69</v>
      </c>
      <c r="AL744" t="s">
        <v>69</v>
      </c>
      <c r="AM744" t="s">
        <v>69</v>
      </c>
      <c r="AN744">
        <v>42</v>
      </c>
      <c r="AO744">
        <v>4</v>
      </c>
      <c r="AP744">
        <v>4</v>
      </c>
      <c r="AQ744">
        <v>0</v>
      </c>
      <c r="AR744">
        <v>7</v>
      </c>
      <c r="AS744" t="s">
        <v>8586</v>
      </c>
      <c r="AT744" t="s">
        <v>8587</v>
      </c>
      <c r="AU744" t="s">
        <v>8588</v>
      </c>
      <c r="AV744" t="s">
        <v>334</v>
      </c>
      <c r="AW744" t="s">
        <v>335</v>
      </c>
      <c r="AX744" t="s">
        <v>69</v>
      </c>
      <c r="AY744" t="s">
        <v>332</v>
      </c>
      <c r="AZ744" t="s">
        <v>16285</v>
      </c>
      <c r="BA744" t="s">
        <v>69</v>
      </c>
      <c r="BB744">
        <v>2016</v>
      </c>
      <c r="BC744">
        <v>34</v>
      </c>
      <c r="BD744" t="s">
        <v>1263</v>
      </c>
      <c r="BE744" t="s">
        <v>69</v>
      </c>
      <c r="BF744" t="s">
        <v>69</v>
      </c>
      <c r="BG744" t="s">
        <v>69</v>
      </c>
      <c r="BH744" t="s">
        <v>69</v>
      </c>
      <c r="BI744">
        <v>630</v>
      </c>
      <c r="BJ744">
        <v>648</v>
      </c>
      <c r="BK744" t="s">
        <v>69</v>
      </c>
      <c r="BL744" t="s">
        <v>1264</v>
      </c>
      <c r="BM744" t="str">
        <f>HYPERLINK("http://dx.doi.org/10.1108/F-02-2014-0012","http://dx.doi.org/10.1108/F-02-2014-0012")</f>
        <v>http://dx.doi.org/10.1108/F-02-2014-0012</v>
      </c>
      <c r="BN744" t="s">
        <v>69</v>
      </c>
      <c r="BO744" t="s">
        <v>69</v>
      </c>
      <c r="BP744">
        <v>19</v>
      </c>
      <c r="BQ744" t="s">
        <v>9410</v>
      </c>
      <c r="BR744" t="s">
        <v>8573</v>
      </c>
      <c r="BS744" t="s">
        <v>8594</v>
      </c>
      <c r="BT744" t="s">
        <v>21903</v>
      </c>
      <c r="BU744" t="s">
        <v>1265</v>
      </c>
      <c r="BV744" t="s">
        <v>69</v>
      </c>
      <c r="BW744" t="s">
        <v>69</v>
      </c>
      <c r="BX744" t="s">
        <v>69</v>
      </c>
      <c r="BY744" t="s">
        <v>69</v>
      </c>
      <c r="BZ744" t="s">
        <v>8526</v>
      </c>
      <c r="CA744" t="str">
        <f>HYPERLINK("https%3A%2F%2Fwww.webofscience.com%2Fwos%2Fwoscc%2Ffull-record%2FWOS:000409184700002","View Full Record in Web of Science")</f>
        <v>View Full Record in Web of Science</v>
      </c>
    </row>
    <row r="745" spans="2:79" ht="12.5" x14ac:dyDescent="0.25">
      <c r="B745" t="s">
        <v>8495</v>
      </c>
      <c r="D745" s="7" t="s">
        <v>32933</v>
      </c>
      <c r="E745" s="7"/>
      <c r="F745" s="7"/>
      <c r="G745" s="7"/>
      <c r="H745" t="s">
        <v>67</v>
      </c>
      <c r="I745" t="s">
        <v>6665</v>
      </c>
      <c r="J745" t="s">
        <v>69</v>
      </c>
      <c r="K745" t="s">
        <v>69</v>
      </c>
      <c r="L745" t="s">
        <v>69</v>
      </c>
      <c r="M745" t="s">
        <v>6666</v>
      </c>
      <c r="N745" t="s">
        <v>69</v>
      </c>
      <c r="O745" t="s">
        <v>69</v>
      </c>
      <c r="P745" t="s">
        <v>6667</v>
      </c>
      <c r="Q745" t="s">
        <v>6668</v>
      </c>
      <c r="R745" t="s">
        <v>69</v>
      </c>
      <c r="S745" t="s">
        <v>69</v>
      </c>
      <c r="T745" t="s">
        <v>8505</v>
      </c>
      <c r="U745" t="s">
        <v>8506</v>
      </c>
      <c r="V745" t="s">
        <v>69</v>
      </c>
      <c r="W745" t="s">
        <v>69</v>
      </c>
      <c r="X745" t="s">
        <v>69</v>
      </c>
      <c r="Y745" t="s">
        <v>69</v>
      </c>
      <c r="Z745" t="s">
        <v>69</v>
      </c>
      <c r="AA745" t="s">
        <v>69</v>
      </c>
      <c r="AB745" t="s">
        <v>22412</v>
      </c>
      <c r="AC745" t="s">
        <v>6669</v>
      </c>
      <c r="AD745" t="s">
        <v>22413</v>
      </c>
      <c r="AE745" t="s">
        <v>69</v>
      </c>
      <c r="AF745" t="s">
        <v>22414</v>
      </c>
      <c r="AG745" t="s">
        <v>22415</v>
      </c>
      <c r="AH745" t="s">
        <v>69</v>
      </c>
      <c r="AI745" t="s">
        <v>69</v>
      </c>
      <c r="AJ745" t="s">
        <v>22416</v>
      </c>
      <c r="AK745" t="s">
        <v>22416</v>
      </c>
      <c r="AL745" t="s">
        <v>22417</v>
      </c>
      <c r="AM745" t="s">
        <v>69</v>
      </c>
      <c r="AN745">
        <v>77</v>
      </c>
      <c r="AO745">
        <v>27</v>
      </c>
      <c r="AP745">
        <v>27</v>
      </c>
      <c r="AQ745">
        <v>2</v>
      </c>
      <c r="AR745">
        <v>56</v>
      </c>
      <c r="AS745" t="s">
        <v>14489</v>
      </c>
      <c r="AT745" t="s">
        <v>14490</v>
      </c>
      <c r="AU745" t="s">
        <v>14491</v>
      </c>
      <c r="AV745" t="s">
        <v>6670</v>
      </c>
      <c r="AW745" t="s">
        <v>6671</v>
      </c>
      <c r="AX745" t="s">
        <v>69</v>
      </c>
      <c r="AY745" t="s">
        <v>22418</v>
      </c>
      <c r="AZ745" t="s">
        <v>22419</v>
      </c>
      <c r="BA745" t="s">
        <v>904</v>
      </c>
      <c r="BB745">
        <v>2015</v>
      </c>
      <c r="BC745">
        <v>8</v>
      </c>
      <c r="BD745">
        <v>5</v>
      </c>
      <c r="BE745" t="s">
        <v>69</v>
      </c>
      <c r="BF745" t="s">
        <v>69</v>
      </c>
      <c r="BG745" t="s">
        <v>69</v>
      </c>
      <c r="BH745" t="s">
        <v>69</v>
      </c>
      <c r="BI745">
        <v>165</v>
      </c>
      <c r="BJ745">
        <v>180</v>
      </c>
      <c r="BK745" t="s">
        <v>69</v>
      </c>
      <c r="BL745" t="s">
        <v>6672</v>
      </c>
      <c r="BM745" t="str">
        <f>HYPERLINK("http://dx.doi.org/10.1089/env.2015.0018","http://dx.doi.org/10.1089/env.2015.0018")</f>
        <v>http://dx.doi.org/10.1089/env.2015.0018</v>
      </c>
      <c r="BN745" t="s">
        <v>69</v>
      </c>
      <c r="BO745" t="s">
        <v>69</v>
      </c>
      <c r="BP745">
        <v>16</v>
      </c>
      <c r="BQ745" t="s">
        <v>8660</v>
      </c>
      <c r="BR745" t="s">
        <v>8573</v>
      </c>
      <c r="BS745" t="s">
        <v>8662</v>
      </c>
      <c r="BT745" t="s">
        <v>22420</v>
      </c>
      <c r="BU745" t="s">
        <v>6673</v>
      </c>
      <c r="BV745" t="s">
        <v>69</v>
      </c>
      <c r="BW745" t="s">
        <v>69</v>
      </c>
      <c r="BX745" t="s">
        <v>69</v>
      </c>
      <c r="BY745" t="s">
        <v>69</v>
      </c>
      <c r="BZ745" t="s">
        <v>8526</v>
      </c>
      <c r="CA745" t="str">
        <f>HYPERLINK("https%3A%2F%2Fwww.webofscience.com%2Fwos%2Fwoscc%2Ffull-record%2FWOS:000363887700002","View Full Record in Web of Science")</f>
        <v>View Full Record in Web of Science</v>
      </c>
    </row>
    <row r="746" spans="2:79" ht="12.5" x14ac:dyDescent="0.25">
      <c r="B746" t="s">
        <v>8495</v>
      </c>
      <c r="D746" s="22" t="s">
        <v>32931</v>
      </c>
      <c r="E746" s="7"/>
      <c r="F746" s="7"/>
      <c r="G746" s="7"/>
      <c r="H746" t="s">
        <v>67</v>
      </c>
      <c r="I746" t="s">
        <v>23279</v>
      </c>
      <c r="J746" t="s">
        <v>69</v>
      </c>
      <c r="K746" t="s">
        <v>69</v>
      </c>
      <c r="L746" t="s">
        <v>69</v>
      </c>
      <c r="M746" t="s">
        <v>23280</v>
      </c>
      <c r="N746" t="s">
        <v>69</v>
      </c>
      <c r="O746" t="s">
        <v>69</v>
      </c>
      <c r="P746" t="s">
        <v>23281</v>
      </c>
      <c r="Q746" t="s">
        <v>22273</v>
      </c>
      <c r="R746" t="s">
        <v>69</v>
      </c>
      <c r="S746" t="s">
        <v>69</v>
      </c>
      <c r="T746" t="s">
        <v>8505</v>
      </c>
      <c r="U746" t="s">
        <v>8506</v>
      </c>
      <c r="V746" t="s">
        <v>69</v>
      </c>
      <c r="W746" t="s">
        <v>69</v>
      </c>
      <c r="X746" t="s">
        <v>69</v>
      </c>
      <c r="Y746" t="s">
        <v>69</v>
      </c>
      <c r="Z746" t="s">
        <v>69</v>
      </c>
      <c r="AA746" t="s">
        <v>23282</v>
      </c>
      <c r="AB746" t="s">
        <v>23283</v>
      </c>
      <c r="AC746" t="s">
        <v>23284</v>
      </c>
      <c r="AD746" t="s">
        <v>23285</v>
      </c>
      <c r="AE746" t="s">
        <v>69</v>
      </c>
      <c r="AF746" t="s">
        <v>23286</v>
      </c>
      <c r="AG746" t="s">
        <v>23287</v>
      </c>
      <c r="AH746" t="s">
        <v>69</v>
      </c>
      <c r="AI746" t="s">
        <v>69</v>
      </c>
      <c r="AJ746" t="s">
        <v>69</v>
      </c>
      <c r="AK746" t="s">
        <v>69</v>
      </c>
      <c r="AL746" t="s">
        <v>69</v>
      </c>
      <c r="AM746" t="s">
        <v>69</v>
      </c>
      <c r="AN746">
        <v>53</v>
      </c>
      <c r="AO746">
        <v>43</v>
      </c>
      <c r="AP746">
        <v>46</v>
      </c>
      <c r="AQ746">
        <v>5</v>
      </c>
      <c r="AR746">
        <v>46</v>
      </c>
      <c r="AS746" t="s">
        <v>22282</v>
      </c>
      <c r="AT746" t="s">
        <v>22283</v>
      </c>
      <c r="AU746" t="s">
        <v>22284</v>
      </c>
      <c r="AV746" t="s">
        <v>22285</v>
      </c>
      <c r="AW746" t="s">
        <v>22286</v>
      </c>
      <c r="AX746" t="s">
        <v>69</v>
      </c>
      <c r="AY746" t="s">
        <v>22287</v>
      </c>
      <c r="AZ746" t="s">
        <v>22288</v>
      </c>
      <c r="BA746" t="s">
        <v>69</v>
      </c>
      <c r="BB746">
        <v>2015</v>
      </c>
      <c r="BC746">
        <v>23</v>
      </c>
      <c r="BD746">
        <v>3</v>
      </c>
      <c r="BE746" t="s">
        <v>69</v>
      </c>
      <c r="BF746" t="s">
        <v>69</v>
      </c>
      <c r="BG746" t="s">
        <v>69</v>
      </c>
      <c r="BH746" t="s">
        <v>69</v>
      </c>
      <c r="BI746">
        <v>401</v>
      </c>
      <c r="BJ746">
        <v>416</v>
      </c>
      <c r="BK746" t="s">
        <v>69</v>
      </c>
      <c r="BL746" t="s">
        <v>23288</v>
      </c>
      <c r="BM746" t="str">
        <f>HYPERLINK("http://dx.doi.org/10.1080/09669582.2014.957208","http://dx.doi.org/10.1080/09669582.2014.957208")</f>
        <v>http://dx.doi.org/10.1080/09669582.2014.957208</v>
      </c>
      <c r="BN746" t="s">
        <v>69</v>
      </c>
      <c r="BO746" t="s">
        <v>69</v>
      </c>
      <c r="BP746">
        <v>16</v>
      </c>
      <c r="BQ746" t="s">
        <v>22290</v>
      </c>
      <c r="BR746" t="s">
        <v>8661</v>
      </c>
      <c r="BS746" t="s">
        <v>22291</v>
      </c>
      <c r="BT746" t="s">
        <v>23289</v>
      </c>
      <c r="BU746" t="s">
        <v>23290</v>
      </c>
      <c r="BV746" t="s">
        <v>69</v>
      </c>
      <c r="BW746" t="s">
        <v>69</v>
      </c>
      <c r="BX746" t="s">
        <v>69</v>
      </c>
      <c r="BY746" t="s">
        <v>69</v>
      </c>
      <c r="BZ746" t="s">
        <v>8526</v>
      </c>
      <c r="CA746" t="str">
        <f>HYPERLINK("https%3A%2F%2Fwww.webofscience.com%2Fwos%2Fwoscc%2Ffull-record%2FWOS:000350175100004","View Full Record in Web of Science")</f>
        <v>View Full Record in Web of Science</v>
      </c>
    </row>
    <row r="747" spans="2:79" ht="12.5" x14ac:dyDescent="0.25">
      <c r="B747" t="s">
        <v>8495</v>
      </c>
      <c r="D747" s="7" t="s">
        <v>32933</v>
      </c>
      <c r="E747" s="7"/>
      <c r="F747" s="7"/>
      <c r="G747" s="7"/>
      <c r="H747" t="s">
        <v>67</v>
      </c>
      <c r="I747" t="s">
        <v>3673</v>
      </c>
      <c r="J747" t="s">
        <v>69</v>
      </c>
      <c r="K747" t="s">
        <v>69</v>
      </c>
      <c r="L747" t="s">
        <v>69</v>
      </c>
      <c r="M747" t="s">
        <v>3674</v>
      </c>
      <c r="N747" t="s">
        <v>69</v>
      </c>
      <c r="O747" t="s">
        <v>69</v>
      </c>
      <c r="P747" t="s">
        <v>3675</v>
      </c>
      <c r="Q747" t="s">
        <v>1467</v>
      </c>
      <c r="R747" t="s">
        <v>69</v>
      </c>
      <c r="S747" t="s">
        <v>69</v>
      </c>
      <c r="T747" t="s">
        <v>8505</v>
      </c>
      <c r="U747" t="s">
        <v>15797</v>
      </c>
      <c r="V747" t="s">
        <v>3676</v>
      </c>
      <c r="W747" t="s">
        <v>3677</v>
      </c>
      <c r="X747" t="s">
        <v>3678</v>
      </c>
      <c r="Y747" t="s">
        <v>3679</v>
      </c>
      <c r="Z747" t="s">
        <v>69</v>
      </c>
      <c r="AA747" t="s">
        <v>69</v>
      </c>
      <c r="AB747" t="s">
        <v>29252</v>
      </c>
      <c r="AC747" t="s">
        <v>3680</v>
      </c>
      <c r="AD747" t="s">
        <v>29253</v>
      </c>
      <c r="AE747" t="s">
        <v>69</v>
      </c>
      <c r="AF747" t="s">
        <v>29254</v>
      </c>
      <c r="AG747" t="s">
        <v>29255</v>
      </c>
      <c r="AH747" t="s">
        <v>29256</v>
      </c>
      <c r="AI747" t="s">
        <v>29257</v>
      </c>
      <c r="AJ747" t="s">
        <v>69</v>
      </c>
      <c r="AK747" t="s">
        <v>69</v>
      </c>
      <c r="AL747" t="s">
        <v>69</v>
      </c>
      <c r="AM747" t="s">
        <v>69</v>
      </c>
      <c r="AN747">
        <v>88</v>
      </c>
      <c r="AO747">
        <v>26</v>
      </c>
      <c r="AP747">
        <v>26</v>
      </c>
      <c r="AQ747">
        <v>0</v>
      </c>
      <c r="AR747">
        <v>22</v>
      </c>
      <c r="AS747" t="s">
        <v>8762</v>
      </c>
      <c r="AT747" t="s">
        <v>8763</v>
      </c>
      <c r="AU747" t="s">
        <v>8764</v>
      </c>
      <c r="AV747" t="s">
        <v>1469</v>
      </c>
      <c r="AW747" t="s">
        <v>1470</v>
      </c>
      <c r="AX747" t="s">
        <v>69</v>
      </c>
      <c r="AY747" t="s">
        <v>22443</v>
      </c>
      <c r="AZ747" t="s">
        <v>22444</v>
      </c>
      <c r="BA747" t="s">
        <v>246</v>
      </c>
      <c r="BB747">
        <v>2008</v>
      </c>
      <c r="BC747">
        <v>26</v>
      </c>
      <c r="BD747">
        <v>2</v>
      </c>
      <c r="BE747" t="s">
        <v>69</v>
      </c>
      <c r="BF747" t="s">
        <v>69</v>
      </c>
      <c r="BG747" t="s">
        <v>69</v>
      </c>
      <c r="BH747" t="s">
        <v>69</v>
      </c>
      <c r="BI747">
        <v>292</v>
      </c>
      <c r="BJ747">
        <v>314</v>
      </c>
      <c r="BK747" t="s">
        <v>69</v>
      </c>
      <c r="BL747" t="s">
        <v>3681</v>
      </c>
      <c r="BM747" t="str">
        <f>HYPERLINK("http://dx.doi.org/10.1068/c0663","http://dx.doi.org/10.1068/c0663")</f>
        <v>http://dx.doi.org/10.1068/c0663</v>
      </c>
      <c r="BN747" t="s">
        <v>69</v>
      </c>
      <c r="BO747" t="s">
        <v>69</v>
      </c>
      <c r="BP747">
        <v>23</v>
      </c>
      <c r="BQ747" t="s">
        <v>22445</v>
      </c>
      <c r="BR747" t="s">
        <v>18588</v>
      </c>
      <c r="BS747" t="s">
        <v>15243</v>
      </c>
      <c r="BT747" t="s">
        <v>29258</v>
      </c>
      <c r="BU747" t="s">
        <v>3682</v>
      </c>
      <c r="BV747" t="s">
        <v>69</v>
      </c>
      <c r="BW747" t="s">
        <v>69</v>
      </c>
      <c r="BX747" t="s">
        <v>69</v>
      </c>
      <c r="BY747" t="s">
        <v>69</v>
      </c>
      <c r="BZ747" t="s">
        <v>8526</v>
      </c>
      <c r="CA747" t="str">
        <f>HYPERLINK("https%3A%2F%2Fwww.webofscience.com%2Fwos%2Fwoscc%2Ffull-record%2FWOS:000255731600002","View Full Record in Web of Science")</f>
        <v>View Full Record in Web of Science</v>
      </c>
    </row>
    <row r="748" spans="2:79" ht="12.5" x14ac:dyDescent="0.25">
      <c r="B748" t="s">
        <v>8495</v>
      </c>
      <c r="D748" s="7" t="s">
        <v>32933</v>
      </c>
      <c r="E748" s="7"/>
      <c r="F748" s="7"/>
      <c r="G748" s="7"/>
      <c r="H748" t="s">
        <v>67</v>
      </c>
      <c r="I748" t="s">
        <v>7781</v>
      </c>
      <c r="J748" t="s">
        <v>69</v>
      </c>
      <c r="K748" t="s">
        <v>69</v>
      </c>
      <c r="L748" t="s">
        <v>69</v>
      </c>
      <c r="M748" t="s">
        <v>7782</v>
      </c>
      <c r="N748" t="s">
        <v>69</v>
      </c>
      <c r="O748" t="s">
        <v>69</v>
      </c>
      <c r="P748" t="s">
        <v>7783</v>
      </c>
      <c r="Q748" t="s">
        <v>7336</v>
      </c>
      <c r="R748" t="s">
        <v>69</v>
      </c>
      <c r="S748" t="s">
        <v>69</v>
      </c>
      <c r="T748" t="s">
        <v>8505</v>
      </c>
      <c r="U748" t="s">
        <v>8506</v>
      </c>
      <c r="V748" t="s">
        <v>69</v>
      </c>
      <c r="W748" t="s">
        <v>69</v>
      </c>
      <c r="X748" t="s">
        <v>69</v>
      </c>
      <c r="Y748" t="s">
        <v>69</v>
      </c>
      <c r="Z748" t="s">
        <v>69</v>
      </c>
      <c r="AA748" t="s">
        <v>16556</v>
      </c>
      <c r="AB748" t="s">
        <v>16557</v>
      </c>
      <c r="AC748" t="s">
        <v>7784</v>
      </c>
      <c r="AD748" t="s">
        <v>16558</v>
      </c>
      <c r="AE748" t="s">
        <v>69</v>
      </c>
      <c r="AF748" t="s">
        <v>15705</v>
      </c>
      <c r="AG748" t="s">
        <v>16559</v>
      </c>
      <c r="AH748" t="s">
        <v>7785</v>
      </c>
      <c r="AI748" t="s">
        <v>7786</v>
      </c>
      <c r="AJ748" t="s">
        <v>69</v>
      </c>
      <c r="AK748" t="s">
        <v>69</v>
      </c>
      <c r="AL748" t="s">
        <v>69</v>
      </c>
      <c r="AM748" t="s">
        <v>69</v>
      </c>
      <c r="AN748">
        <v>57</v>
      </c>
      <c r="AO748">
        <v>2</v>
      </c>
      <c r="AP748">
        <v>2</v>
      </c>
      <c r="AQ748">
        <v>0</v>
      </c>
      <c r="AR748">
        <v>9</v>
      </c>
      <c r="AS748" t="s">
        <v>8586</v>
      </c>
      <c r="AT748" t="s">
        <v>8587</v>
      </c>
      <c r="AU748" t="s">
        <v>8588</v>
      </c>
      <c r="AV748" t="s">
        <v>7338</v>
      </c>
      <c r="AW748" t="s">
        <v>69</v>
      </c>
      <c r="AX748" t="s">
        <v>69</v>
      </c>
      <c r="AY748" t="s">
        <v>12700</v>
      </c>
      <c r="AZ748" t="s">
        <v>12701</v>
      </c>
      <c r="BA748" t="s">
        <v>1973</v>
      </c>
      <c r="BB748">
        <v>2019</v>
      </c>
      <c r="BC748">
        <v>37</v>
      </c>
      <c r="BD748">
        <v>5</v>
      </c>
      <c r="BE748" t="s">
        <v>69</v>
      </c>
      <c r="BF748" t="s">
        <v>69</v>
      </c>
      <c r="BG748" t="s">
        <v>69</v>
      </c>
      <c r="BH748" t="s">
        <v>69</v>
      </c>
      <c r="BI748">
        <v>718</v>
      </c>
      <c r="BJ748">
        <v>732</v>
      </c>
      <c r="BK748" t="s">
        <v>69</v>
      </c>
      <c r="BL748" t="s">
        <v>7787</v>
      </c>
      <c r="BM748" t="str">
        <f>HYPERLINK("http://dx.doi.org/10.1108/IJBPA-10-2018-0084","http://dx.doi.org/10.1108/IJBPA-10-2018-0084")</f>
        <v>http://dx.doi.org/10.1108/IJBPA-10-2018-0084</v>
      </c>
      <c r="BN748" t="s">
        <v>69</v>
      </c>
      <c r="BO748" t="s">
        <v>69</v>
      </c>
      <c r="BP748">
        <v>15</v>
      </c>
      <c r="BQ748" t="s">
        <v>10105</v>
      </c>
      <c r="BR748" t="s">
        <v>8573</v>
      </c>
      <c r="BS748" t="s">
        <v>10105</v>
      </c>
      <c r="BT748" t="s">
        <v>16560</v>
      </c>
      <c r="BU748" t="s">
        <v>7788</v>
      </c>
      <c r="BV748" t="s">
        <v>69</v>
      </c>
      <c r="BW748" t="s">
        <v>69</v>
      </c>
      <c r="BX748" t="s">
        <v>69</v>
      </c>
      <c r="BY748" t="s">
        <v>69</v>
      </c>
      <c r="BZ748" t="s">
        <v>8526</v>
      </c>
      <c r="CA748" t="str">
        <f>HYPERLINK("https%3A%2F%2Fwww.webofscience.com%2Fwos%2Fwoscc%2Ffull-record%2FWOS:000484524400013","View Full Record in Web of Science")</f>
        <v>View Full Record in Web of Science</v>
      </c>
    </row>
    <row r="749" spans="2:79" ht="12.5" x14ac:dyDescent="0.25">
      <c r="B749" t="s">
        <v>8495</v>
      </c>
      <c r="D749" s="22" t="s">
        <v>32931</v>
      </c>
      <c r="E749" s="7"/>
      <c r="F749" s="7"/>
      <c r="G749" s="7"/>
      <c r="H749" t="s">
        <v>67</v>
      </c>
      <c r="I749" t="s">
        <v>12082</v>
      </c>
      <c r="J749" t="s">
        <v>69</v>
      </c>
      <c r="K749" t="s">
        <v>69</v>
      </c>
      <c r="L749" t="s">
        <v>69</v>
      </c>
      <c r="M749" t="s">
        <v>12083</v>
      </c>
      <c r="N749" t="s">
        <v>69</v>
      </c>
      <c r="O749" t="s">
        <v>69</v>
      </c>
      <c r="P749" t="s">
        <v>12084</v>
      </c>
      <c r="Q749" t="s">
        <v>352</v>
      </c>
      <c r="R749" t="s">
        <v>69</v>
      </c>
      <c r="S749" t="s">
        <v>69</v>
      </c>
      <c r="T749" t="s">
        <v>8505</v>
      </c>
      <c r="U749" t="s">
        <v>8506</v>
      </c>
      <c r="V749" t="s">
        <v>69</v>
      </c>
      <c r="W749" t="s">
        <v>69</v>
      </c>
      <c r="X749" t="s">
        <v>69</v>
      </c>
      <c r="Y749" t="s">
        <v>69</v>
      </c>
      <c r="Z749" t="s">
        <v>69</v>
      </c>
      <c r="AA749" t="s">
        <v>12085</v>
      </c>
      <c r="AB749" t="s">
        <v>12086</v>
      </c>
      <c r="AC749" t="s">
        <v>12087</v>
      </c>
      <c r="AD749" t="s">
        <v>12088</v>
      </c>
      <c r="AE749" t="s">
        <v>69</v>
      </c>
      <c r="AF749" t="s">
        <v>12089</v>
      </c>
      <c r="AG749" t="s">
        <v>12090</v>
      </c>
      <c r="AH749" t="s">
        <v>69</v>
      </c>
      <c r="AI749" t="s">
        <v>69</v>
      </c>
      <c r="AJ749" t="s">
        <v>12091</v>
      </c>
      <c r="AK749" t="s">
        <v>12091</v>
      </c>
      <c r="AL749" t="s">
        <v>12092</v>
      </c>
      <c r="AM749" t="s">
        <v>69</v>
      </c>
      <c r="AN749">
        <v>82</v>
      </c>
      <c r="AO749">
        <v>0</v>
      </c>
      <c r="AP749">
        <v>0</v>
      </c>
      <c r="AQ749">
        <v>9</v>
      </c>
      <c r="AR749">
        <v>13</v>
      </c>
      <c r="AS749" t="s">
        <v>8924</v>
      </c>
      <c r="AT749" t="s">
        <v>8925</v>
      </c>
      <c r="AU749" t="s">
        <v>8926</v>
      </c>
      <c r="AV749" t="s">
        <v>69</v>
      </c>
      <c r="AW749" t="s">
        <v>354</v>
      </c>
      <c r="AX749" t="s">
        <v>69</v>
      </c>
      <c r="AY749" t="s">
        <v>8958</v>
      </c>
      <c r="AZ749" t="s">
        <v>8434</v>
      </c>
      <c r="BA749" t="s">
        <v>155</v>
      </c>
      <c r="BB749">
        <v>2021</v>
      </c>
      <c r="BC749">
        <v>13</v>
      </c>
      <c r="BD749">
        <v>11</v>
      </c>
      <c r="BE749" t="s">
        <v>69</v>
      </c>
      <c r="BF749" t="s">
        <v>69</v>
      </c>
      <c r="BG749" t="s">
        <v>69</v>
      </c>
      <c r="BH749" t="s">
        <v>69</v>
      </c>
      <c r="BI749" t="s">
        <v>69</v>
      </c>
      <c r="BJ749" t="s">
        <v>69</v>
      </c>
      <c r="BK749">
        <v>6209</v>
      </c>
      <c r="BL749" t="s">
        <v>12093</v>
      </c>
      <c r="BM749" t="str">
        <f>HYPERLINK("http://dx.doi.org/10.3390/su13116209","http://dx.doi.org/10.3390/su13116209")</f>
        <v>http://dx.doi.org/10.3390/su13116209</v>
      </c>
      <c r="BN749" t="s">
        <v>69</v>
      </c>
      <c r="BO749" t="s">
        <v>69</v>
      </c>
      <c r="BP749">
        <v>29</v>
      </c>
      <c r="BQ749" t="s">
        <v>8960</v>
      </c>
      <c r="BR749" t="s">
        <v>8523</v>
      </c>
      <c r="BS749" t="s">
        <v>8961</v>
      </c>
      <c r="BT749" t="s">
        <v>12094</v>
      </c>
      <c r="BU749" t="s">
        <v>12095</v>
      </c>
      <c r="BV749" t="s">
        <v>69</v>
      </c>
      <c r="BW749" t="s">
        <v>8931</v>
      </c>
      <c r="BX749" t="s">
        <v>69</v>
      </c>
      <c r="BY749" t="s">
        <v>69</v>
      </c>
      <c r="BZ749" t="s">
        <v>8526</v>
      </c>
      <c r="CA749" t="str">
        <f>HYPERLINK("https%3A%2F%2Fwww.webofscience.com%2Fwos%2Fwoscc%2Ffull-record%2FWOS:000660767500001","View Full Record in Web of Science")</f>
        <v>View Full Record in Web of Science</v>
      </c>
    </row>
    <row r="750" spans="2:79" x14ac:dyDescent="0.3">
      <c r="B750" t="s">
        <v>8495</v>
      </c>
      <c r="D750" s="12" t="s">
        <v>32989</v>
      </c>
      <c r="H750" t="s">
        <v>67</v>
      </c>
      <c r="I750" t="s">
        <v>3054</v>
      </c>
      <c r="J750" t="s">
        <v>69</v>
      </c>
      <c r="K750" t="s">
        <v>69</v>
      </c>
      <c r="L750" t="s">
        <v>69</v>
      </c>
      <c r="M750" t="s">
        <v>3055</v>
      </c>
      <c r="N750" t="s">
        <v>69</v>
      </c>
      <c r="O750" t="s">
        <v>69</v>
      </c>
      <c r="P750" s="2" t="s">
        <v>3056</v>
      </c>
      <c r="Q750" t="s">
        <v>2668</v>
      </c>
      <c r="R750" t="s">
        <v>69</v>
      </c>
      <c r="S750" t="s">
        <v>69</v>
      </c>
      <c r="T750" t="s">
        <v>8505</v>
      </c>
      <c r="U750" t="s">
        <v>8506</v>
      </c>
      <c r="V750" t="s">
        <v>69</v>
      </c>
      <c r="W750" t="s">
        <v>69</v>
      </c>
      <c r="X750" t="s">
        <v>69</v>
      </c>
      <c r="Y750" t="s">
        <v>69</v>
      </c>
      <c r="Z750" t="s">
        <v>69</v>
      </c>
      <c r="AA750" t="s">
        <v>22930</v>
      </c>
      <c r="AB750" t="s">
        <v>22931</v>
      </c>
      <c r="AC750" t="s">
        <v>3057</v>
      </c>
      <c r="AD750" t="s">
        <v>22932</v>
      </c>
      <c r="AE750" t="s">
        <v>69</v>
      </c>
      <c r="AF750" t="s">
        <v>22933</v>
      </c>
      <c r="AG750" t="s">
        <v>22934</v>
      </c>
      <c r="AH750" t="s">
        <v>69</v>
      </c>
      <c r="AI750" t="s">
        <v>69</v>
      </c>
      <c r="AJ750" t="s">
        <v>69</v>
      </c>
      <c r="AK750" t="s">
        <v>69</v>
      </c>
      <c r="AL750" t="s">
        <v>69</v>
      </c>
      <c r="AM750" t="s">
        <v>69</v>
      </c>
      <c r="AN750">
        <v>53</v>
      </c>
      <c r="AO750">
        <v>9</v>
      </c>
      <c r="AP750">
        <v>9</v>
      </c>
      <c r="AQ750">
        <v>1</v>
      </c>
      <c r="AR750">
        <v>47</v>
      </c>
      <c r="AS750" t="s">
        <v>8865</v>
      </c>
      <c r="AT750" t="s">
        <v>8612</v>
      </c>
      <c r="AU750" t="s">
        <v>8866</v>
      </c>
      <c r="AV750" t="s">
        <v>2670</v>
      </c>
      <c r="AW750" t="s">
        <v>2671</v>
      </c>
      <c r="AX750" t="s">
        <v>69</v>
      </c>
      <c r="AY750" t="s">
        <v>20911</v>
      </c>
      <c r="AZ750" t="s">
        <v>20912</v>
      </c>
      <c r="BA750" t="s">
        <v>837</v>
      </c>
      <c r="BB750">
        <v>2015</v>
      </c>
      <c r="BC750">
        <v>26</v>
      </c>
      <c r="BD750">
        <v>1</v>
      </c>
      <c r="BE750" t="s">
        <v>69</v>
      </c>
      <c r="BF750" t="s">
        <v>69</v>
      </c>
      <c r="BG750" t="s">
        <v>69</v>
      </c>
      <c r="BH750" t="s">
        <v>69</v>
      </c>
      <c r="BI750">
        <v>80</v>
      </c>
      <c r="BJ750">
        <v>99</v>
      </c>
      <c r="BK750" t="s">
        <v>69</v>
      </c>
      <c r="BL750" t="s">
        <v>3058</v>
      </c>
      <c r="BM750" t="str">
        <f>HYPERLINK("http://dx.doi.org/10.1080/09585192.2014.934889","http://dx.doi.org/10.1080/09585192.2014.934889")</f>
        <v>http://dx.doi.org/10.1080/09585192.2014.934889</v>
      </c>
      <c r="BN750" t="s">
        <v>69</v>
      </c>
      <c r="BO750" t="s">
        <v>69</v>
      </c>
      <c r="BP750">
        <v>20</v>
      </c>
      <c r="BQ750" t="s">
        <v>9410</v>
      </c>
      <c r="BR750" t="s">
        <v>8661</v>
      </c>
      <c r="BS750" t="s">
        <v>8594</v>
      </c>
      <c r="BT750" t="s">
        <v>22935</v>
      </c>
      <c r="BU750" t="s">
        <v>3059</v>
      </c>
      <c r="BV750" t="s">
        <v>69</v>
      </c>
      <c r="BW750" t="s">
        <v>10423</v>
      </c>
      <c r="BX750" t="s">
        <v>69</v>
      </c>
      <c r="BY750" t="s">
        <v>69</v>
      </c>
      <c r="BZ750" t="s">
        <v>8526</v>
      </c>
      <c r="CA750" t="str">
        <f>HYPERLINK("https%3A%2F%2Fwww.webofscience.com%2Fwos%2Fwoscc%2Ffull-record%2FWOS:000345132700005","View Full Record in Web of Science")</f>
        <v>View Full Record in Web of Science</v>
      </c>
    </row>
    <row r="751" spans="2:79" ht="12.5" x14ac:dyDescent="0.25">
      <c r="B751" t="s">
        <v>8495</v>
      </c>
      <c r="D751" s="22" t="s">
        <v>32931</v>
      </c>
      <c r="E751" s="7"/>
      <c r="F751" s="7"/>
      <c r="G751" s="7"/>
      <c r="H751" t="s">
        <v>67</v>
      </c>
      <c r="I751" t="s">
        <v>10067</v>
      </c>
      <c r="J751" t="s">
        <v>69</v>
      </c>
      <c r="K751" t="s">
        <v>69</v>
      </c>
      <c r="L751" t="s">
        <v>69</v>
      </c>
      <c r="M751" t="s">
        <v>10068</v>
      </c>
      <c r="N751" t="s">
        <v>69</v>
      </c>
      <c r="O751" t="s">
        <v>69</v>
      </c>
      <c r="P751" t="s">
        <v>10069</v>
      </c>
      <c r="Q751" t="s">
        <v>10070</v>
      </c>
      <c r="R751" t="s">
        <v>69</v>
      </c>
      <c r="S751" t="s">
        <v>69</v>
      </c>
      <c r="T751" t="s">
        <v>10071</v>
      </c>
      <c r="U751" t="s">
        <v>8506</v>
      </c>
      <c r="V751" t="s">
        <v>69</v>
      </c>
      <c r="W751" t="s">
        <v>69</v>
      </c>
      <c r="X751" t="s">
        <v>69</v>
      </c>
      <c r="Y751" t="s">
        <v>69</v>
      </c>
      <c r="Z751" t="s">
        <v>69</v>
      </c>
      <c r="AA751" t="s">
        <v>10072</v>
      </c>
      <c r="AB751" t="s">
        <v>69</v>
      </c>
      <c r="AC751" t="s">
        <v>10073</v>
      </c>
      <c r="AD751" t="s">
        <v>10074</v>
      </c>
      <c r="AE751" t="s">
        <v>69</v>
      </c>
      <c r="AF751" t="s">
        <v>10075</v>
      </c>
      <c r="AG751" t="s">
        <v>10076</v>
      </c>
      <c r="AH751" t="s">
        <v>69</v>
      </c>
      <c r="AI751" t="s">
        <v>69</v>
      </c>
      <c r="AJ751" t="s">
        <v>69</v>
      </c>
      <c r="AK751" t="s">
        <v>69</v>
      </c>
      <c r="AL751" t="s">
        <v>69</v>
      </c>
      <c r="AM751" t="s">
        <v>69</v>
      </c>
      <c r="AN751">
        <v>20</v>
      </c>
      <c r="AO751">
        <v>0</v>
      </c>
      <c r="AP751">
        <v>0</v>
      </c>
      <c r="AQ751">
        <v>0</v>
      </c>
      <c r="AR751">
        <v>0</v>
      </c>
      <c r="AS751" t="s">
        <v>10077</v>
      </c>
      <c r="AT751" t="s">
        <v>10078</v>
      </c>
      <c r="AU751" t="s">
        <v>10079</v>
      </c>
      <c r="AV751" t="s">
        <v>10080</v>
      </c>
      <c r="AW751" t="s">
        <v>10081</v>
      </c>
      <c r="AX751" t="s">
        <v>69</v>
      </c>
      <c r="AY751" t="s">
        <v>10082</v>
      </c>
      <c r="AZ751" t="s">
        <v>10083</v>
      </c>
      <c r="BA751" t="s">
        <v>69</v>
      </c>
      <c r="BB751">
        <v>2022</v>
      </c>
      <c r="BC751" t="s">
        <v>69</v>
      </c>
      <c r="BD751">
        <v>18</v>
      </c>
      <c r="BE751" t="s">
        <v>69</v>
      </c>
      <c r="BF751" t="s">
        <v>69</v>
      </c>
      <c r="BG751" t="s">
        <v>69</v>
      </c>
      <c r="BH751" t="s">
        <v>69</v>
      </c>
      <c r="BI751">
        <v>367</v>
      </c>
      <c r="BJ751">
        <v>386</v>
      </c>
      <c r="BK751" t="s">
        <v>69</v>
      </c>
      <c r="BL751" t="s">
        <v>69</v>
      </c>
      <c r="BM751" t="s">
        <v>69</v>
      </c>
      <c r="BN751" t="s">
        <v>69</v>
      </c>
      <c r="BO751" t="s">
        <v>69</v>
      </c>
      <c r="BP751">
        <v>20</v>
      </c>
      <c r="BQ751" t="s">
        <v>8452</v>
      </c>
      <c r="BR751" t="s">
        <v>8573</v>
      </c>
      <c r="BS751" t="s">
        <v>10084</v>
      </c>
      <c r="BT751" t="s">
        <v>10085</v>
      </c>
      <c r="BU751" t="s">
        <v>10086</v>
      </c>
      <c r="BV751" t="s">
        <v>69</v>
      </c>
      <c r="BW751" t="s">
        <v>69</v>
      </c>
      <c r="BX751" t="s">
        <v>69</v>
      </c>
      <c r="BY751" t="s">
        <v>69</v>
      </c>
      <c r="BZ751" t="s">
        <v>8526</v>
      </c>
      <c r="CA751" t="str">
        <f>HYPERLINK("https%3A%2F%2Fwww.webofscience.com%2Fwos%2Fwoscc%2Ffull-record%2FWOS:000823514700016","View Full Record in Web of Science")</f>
        <v>View Full Record in Web of Science</v>
      </c>
    </row>
    <row r="752" spans="2:79" ht="12.5" x14ac:dyDescent="0.25">
      <c r="B752" t="s">
        <v>8495</v>
      </c>
      <c r="D752" s="22" t="s">
        <v>32931</v>
      </c>
      <c r="E752" s="7"/>
      <c r="F752" s="7"/>
      <c r="G752" s="7"/>
      <c r="H752" t="s">
        <v>67</v>
      </c>
      <c r="I752" t="s">
        <v>29605</v>
      </c>
      <c r="J752" t="s">
        <v>69</v>
      </c>
      <c r="K752" t="s">
        <v>69</v>
      </c>
      <c r="L752" t="s">
        <v>69</v>
      </c>
      <c r="M752" t="s">
        <v>29606</v>
      </c>
      <c r="N752" t="s">
        <v>69</v>
      </c>
      <c r="O752" t="s">
        <v>69</v>
      </c>
      <c r="P752" t="s">
        <v>29607</v>
      </c>
      <c r="Q752" t="s">
        <v>29608</v>
      </c>
      <c r="R752" t="s">
        <v>69</v>
      </c>
      <c r="S752" t="s">
        <v>69</v>
      </c>
      <c r="T752" t="s">
        <v>8505</v>
      </c>
      <c r="U752" t="s">
        <v>8506</v>
      </c>
      <c r="V752" t="s">
        <v>69</v>
      </c>
      <c r="W752" t="s">
        <v>69</v>
      </c>
      <c r="X752" t="s">
        <v>69</v>
      </c>
      <c r="Y752" t="s">
        <v>69</v>
      </c>
      <c r="Z752" t="s">
        <v>69</v>
      </c>
      <c r="AA752" t="s">
        <v>69</v>
      </c>
      <c r="AB752" t="s">
        <v>29609</v>
      </c>
      <c r="AC752" t="s">
        <v>29610</v>
      </c>
      <c r="AD752" t="s">
        <v>29611</v>
      </c>
      <c r="AE752" t="s">
        <v>69</v>
      </c>
      <c r="AF752" t="s">
        <v>29612</v>
      </c>
      <c r="AG752" t="s">
        <v>29613</v>
      </c>
      <c r="AH752" t="s">
        <v>29614</v>
      </c>
      <c r="AI752" t="s">
        <v>29615</v>
      </c>
      <c r="AJ752" t="s">
        <v>69</v>
      </c>
      <c r="AK752" t="s">
        <v>69</v>
      </c>
      <c r="AL752" t="s">
        <v>69</v>
      </c>
      <c r="AM752" t="s">
        <v>69</v>
      </c>
      <c r="AN752">
        <v>22</v>
      </c>
      <c r="AO752">
        <v>9</v>
      </c>
      <c r="AP752">
        <v>9</v>
      </c>
      <c r="AQ752">
        <v>0</v>
      </c>
      <c r="AR752">
        <v>7</v>
      </c>
      <c r="AS752" t="s">
        <v>27579</v>
      </c>
      <c r="AT752" t="s">
        <v>8763</v>
      </c>
      <c r="AU752" t="s">
        <v>9179</v>
      </c>
      <c r="AV752" t="s">
        <v>29616</v>
      </c>
      <c r="AW752" t="s">
        <v>69</v>
      </c>
      <c r="AX752" t="s">
        <v>69</v>
      </c>
      <c r="AY752" t="s">
        <v>29617</v>
      </c>
      <c r="AZ752" t="s">
        <v>29618</v>
      </c>
      <c r="BA752" t="s">
        <v>201</v>
      </c>
      <c r="BB752">
        <v>2007</v>
      </c>
      <c r="BC752">
        <v>16</v>
      </c>
      <c r="BD752">
        <v>4</v>
      </c>
      <c r="BE752" t="s">
        <v>69</v>
      </c>
      <c r="BF752" t="s">
        <v>69</v>
      </c>
      <c r="BG752" t="s">
        <v>69</v>
      </c>
      <c r="BH752" t="s">
        <v>69</v>
      </c>
      <c r="BI752">
        <v>266</v>
      </c>
      <c r="BJ752">
        <v>270</v>
      </c>
      <c r="BK752" t="s">
        <v>69</v>
      </c>
      <c r="BL752" t="s">
        <v>29619</v>
      </c>
      <c r="BM752" t="str">
        <f>HYPERLINK("http://dx.doi.org/10.1136/qshc.2006.020164","http://dx.doi.org/10.1136/qshc.2006.020164")</f>
        <v>http://dx.doi.org/10.1136/qshc.2006.020164</v>
      </c>
      <c r="BN752" t="s">
        <v>69</v>
      </c>
      <c r="BO752" t="s">
        <v>69</v>
      </c>
      <c r="BP752">
        <v>5</v>
      </c>
      <c r="BQ752" t="s">
        <v>9209</v>
      </c>
      <c r="BR752" t="s">
        <v>8548</v>
      </c>
      <c r="BS752" t="s">
        <v>9209</v>
      </c>
      <c r="BT752" t="s">
        <v>29620</v>
      </c>
      <c r="BU752" t="s">
        <v>29621</v>
      </c>
      <c r="BV752">
        <v>17693673</v>
      </c>
      <c r="BW752" t="s">
        <v>26808</v>
      </c>
      <c r="BX752" t="s">
        <v>69</v>
      </c>
      <c r="BY752" t="s">
        <v>69</v>
      </c>
      <c r="BZ752" t="s">
        <v>8526</v>
      </c>
      <c r="CA752" t="str">
        <f>HYPERLINK("https%3A%2F%2Fwww.webofscience.com%2Fwos%2Fwoscc%2Ffull-record%2FWOS:000248690300007","View Full Record in Web of Science")</f>
        <v>View Full Record in Web of Science</v>
      </c>
    </row>
    <row r="753" spans="2:79" ht="12.5" x14ac:dyDescent="0.25">
      <c r="B753" t="s">
        <v>8495</v>
      </c>
      <c r="D753" s="7" t="s">
        <v>32933</v>
      </c>
      <c r="E753" s="7"/>
      <c r="F753" s="7"/>
      <c r="G753" s="7"/>
      <c r="H753" t="s">
        <v>67</v>
      </c>
      <c r="I753" t="s">
        <v>4101</v>
      </c>
      <c r="J753" t="s">
        <v>69</v>
      </c>
      <c r="K753" t="s">
        <v>69</v>
      </c>
      <c r="L753" t="s">
        <v>69</v>
      </c>
      <c r="M753" t="s">
        <v>4101</v>
      </c>
      <c r="N753" t="s">
        <v>69</v>
      </c>
      <c r="O753" t="s">
        <v>69</v>
      </c>
      <c r="P753" t="s">
        <v>4102</v>
      </c>
      <c r="Q753" t="s">
        <v>520</v>
      </c>
      <c r="R753" t="s">
        <v>69</v>
      </c>
      <c r="S753" t="s">
        <v>69</v>
      </c>
      <c r="T753" t="s">
        <v>8505</v>
      </c>
      <c r="U753" t="s">
        <v>8506</v>
      </c>
      <c r="V753" t="s">
        <v>69</v>
      </c>
      <c r="W753" t="s">
        <v>69</v>
      </c>
      <c r="X753" t="s">
        <v>69</v>
      </c>
      <c r="Y753" t="s">
        <v>69</v>
      </c>
      <c r="Z753" t="s">
        <v>69</v>
      </c>
      <c r="AA753" t="s">
        <v>31661</v>
      </c>
      <c r="AB753" t="s">
        <v>23150</v>
      </c>
      <c r="AC753" t="s">
        <v>4103</v>
      </c>
      <c r="AD753" t="s">
        <v>31662</v>
      </c>
      <c r="AE753" t="s">
        <v>69</v>
      </c>
      <c r="AF753" t="s">
        <v>31663</v>
      </c>
      <c r="AG753" t="s">
        <v>69</v>
      </c>
      <c r="AH753" t="s">
        <v>4104</v>
      </c>
      <c r="AI753" t="s">
        <v>4105</v>
      </c>
      <c r="AJ753" t="s">
        <v>69</v>
      </c>
      <c r="AK753" t="s">
        <v>69</v>
      </c>
      <c r="AL753" t="s">
        <v>69</v>
      </c>
      <c r="AM753" t="s">
        <v>69</v>
      </c>
      <c r="AN753">
        <v>37</v>
      </c>
      <c r="AO753">
        <v>18</v>
      </c>
      <c r="AP753">
        <v>18</v>
      </c>
      <c r="AQ753">
        <v>0</v>
      </c>
      <c r="AR753">
        <v>10</v>
      </c>
      <c r="AS753" t="s">
        <v>31664</v>
      </c>
      <c r="AT753" t="s">
        <v>8763</v>
      </c>
      <c r="AU753" t="s">
        <v>31665</v>
      </c>
      <c r="AV753" t="s">
        <v>523</v>
      </c>
      <c r="AW753" t="s">
        <v>69</v>
      </c>
      <c r="AX753" t="s">
        <v>69</v>
      </c>
      <c r="AY753" t="s">
        <v>21727</v>
      </c>
      <c r="AZ753" t="s">
        <v>21728</v>
      </c>
      <c r="BA753" t="s">
        <v>373</v>
      </c>
      <c r="BB753">
        <v>2001</v>
      </c>
      <c r="BC753">
        <v>29</v>
      </c>
      <c r="BD753">
        <v>1</v>
      </c>
      <c r="BE753" t="s">
        <v>69</v>
      </c>
      <c r="BF753" t="s">
        <v>69</v>
      </c>
      <c r="BG753" t="s">
        <v>69</v>
      </c>
      <c r="BH753" t="s">
        <v>69</v>
      </c>
      <c r="BI753">
        <v>1</v>
      </c>
      <c r="BJ753">
        <v>11</v>
      </c>
      <c r="BK753" t="s">
        <v>69</v>
      </c>
      <c r="BL753" t="s">
        <v>4106</v>
      </c>
      <c r="BM753" t="str">
        <f>HYPERLINK("http://dx.doi.org/10.1080/09613210150208741","http://dx.doi.org/10.1080/09613210150208741")</f>
        <v>http://dx.doi.org/10.1080/09613210150208741</v>
      </c>
      <c r="BN753" t="s">
        <v>69</v>
      </c>
      <c r="BO753" t="s">
        <v>69</v>
      </c>
      <c r="BP753">
        <v>11</v>
      </c>
      <c r="BQ753" t="s">
        <v>10105</v>
      </c>
      <c r="BR753" t="s">
        <v>8548</v>
      </c>
      <c r="BS753" t="s">
        <v>10105</v>
      </c>
      <c r="BT753" t="s">
        <v>31666</v>
      </c>
      <c r="BU753" t="s">
        <v>4107</v>
      </c>
      <c r="BV753" t="s">
        <v>69</v>
      </c>
      <c r="BW753" t="s">
        <v>10423</v>
      </c>
      <c r="BX753" t="s">
        <v>69</v>
      </c>
      <c r="BY753" t="s">
        <v>69</v>
      </c>
      <c r="BZ753" t="s">
        <v>8526</v>
      </c>
      <c r="CA753" t="str">
        <f>HYPERLINK("https%3A%2F%2Fwww.webofscience.com%2Fwos%2Fwoscc%2Ffull-record%2FWOS:000165965700001","View Full Record in Web of Science")</f>
        <v>View Full Record in Web of Science</v>
      </c>
    </row>
    <row r="754" spans="2:79" ht="12.5" x14ac:dyDescent="0.25">
      <c r="B754" t="s">
        <v>8495</v>
      </c>
      <c r="D754" s="22" t="s">
        <v>32931</v>
      </c>
      <c r="E754" s="7"/>
      <c r="F754" s="7"/>
      <c r="G754" s="7"/>
      <c r="H754" t="s">
        <v>67</v>
      </c>
      <c r="I754" t="s">
        <v>28750</v>
      </c>
      <c r="J754" t="s">
        <v>69</v>
      </c>
      <c r="K754" t="s">
        <v>69</v>
      </c>
      <c r="L754" t="s">
        <v>69</v>
      </c>
      <c r="M754" t="s">
        <v>28751</v>
      </c>
      <c r="N754" t="s">
        <v>69</v>
      </c>
      <c r="O754" t="s">
        <v>69</v>
      </c>
      <c r="P754" t="s">
        <v>28752</v>
      </c>
      <c r="Q754" t="s">
        <v>28753</v>
      </c>
      <c r="R754" t="s">
        <v>69</v>
      </c>
      <c r="S754" t="s">
        <v>69</v>
      </c>
      <c r="T754" t="s">
        <v>8505</v>
      </c>
      <c r="U754" t="s">
        <v>8506</v>
      </c>
      <c r="V754" t="s">
        <v>69</v>
      </c>
      <c r="W754" t="s">
        <v>69</v>
      </c>
      <c r="X754" t="s">
        <v>69</v>
      </c>
      <c r="Y754" t="s">
        <v>69</v>
      </c>
      <c r="Z754" t="s">
        <v>69</v>
      </c>
      <c r="AA754" t="s">
        <v>69</v>
      </c>
      <c r="AB754" t="s">
        <v>28754</v>
      </c>
      <c r="AC754" t="s">
        <v>28755</v>
      </c>
      <c r="AD754" t="s">
        <v>28756</v>
      </c>
      <c r="AE754" t="s">
        <v>69</v>
      </c>
      <c r="AF754" t="s">
        <v>28757</v>
      </c>
      <c r="AG754" t="s">
        <v>28758</v>
      </c>
      <c r="AH754" t="s">
        <v>69</v>
      </c>
      <c r="AI754" t="s">
        <v>69</v>
      </c>
      <c r="AJ754" t="s">
        <v>69</v>
      </c>
      <c r="AK754" t="s">
        <v>69</v>
      </c>
      <c r="AL754" t="s">
        <v>69</v>
      </c>
      <c r="AM754" t="s">
        <v>69</v>
      </c>
      <c r="AN754">
        <v>70</v>
      </c>
      <c r="AO754">
        <v>31</v>
      </c>
      <c r="AP754">
        <v>32</v>
      </c>
      <c r="AQ754">
        <v>0</v>
      </c>
      <c r="AR754">
        <v>27</v>
      </c>
      <c r="AS754" t="s">
        <v>9554</v>
      </c>
      <c r="AT754" t="s">
        <v>9555</v>
      </c>
      <c r="AU754" t="s">
        <v>9556</v>
      </c>
      <c r="AV754" t="s">
        <v>28759</v>
      </c>
      <c r="AW754" t="s">
        <v>28760</v>
      </c>
      <c r="AX754" t="s">
        <v>69</v>
      </c>
      <c r="AY754" t="s">
        <v>28761</v>
      </c>
      <c r="AZ754" t="s">
        <v>28762</v>
      </c>
      <c r="BA754" t="s">
        <v>373</v>
      </c>
      <c r="BB754">
        <v>2009</v>
      </c>
      <c r="BC754">
        <v>33</v>
      </c>
      <c r="BD754">
        <v>1</v>
      </c>
      <c r="BE754" t="s">
        <v>69</v>
      </c>
      <c r="BF754" t="s">
        <v>69</v>
      </c>
      <c r="BG754" t="s">
        <v>69</v>
      </c>
      <c r="BH754" t="s">
        <v>69</v>
      </c>
      <c r="BI754">
        <v>297</v>
      </c>
      <c r="BJ754">
        <v>318</v>
      </c>
      <c r="BK754" t="s">
        <v>69</v>
      </c>
      <c r="BL754" t="s">
        <v>28763</v>
      </c>
      <c r="BM754" t="str">
        <f>HYPERLINK("http://dx.doi.org/10.1111/j.1540-6520.2008.00290.x","http://dx.doi.org/10.1111/j.1540-6520.2008.00290.x")</f>
        <v>http://dx.doi.org/10.1111/j.1540-6520.2008.00290.x</v>
      </c>
      <c r="BN754" t="s">
        <v>69</v>
      </c>
      <c r="BO754" t="s">
        <v>69</v>
      </c>
      <c r="BP754">
        <v>22</v>
      </c>
      <c r="BQ754" t="s">
        <v>8444</v>
      </c>
      <c r="BR754" t="s">
        <v>8661</v>
      </c>
      <c r="BS754" t="s">
        <v>8594</v>
      </c>
      <c r="BT754" t="s">
        <v>28764</v>
      </c>
      <c r="BU754" t="s">
        <v>28765</v>
      </c>
      <c r="BV754" t="s">
        <v>69</v>
      </c>
      <c r="BW754" t="s">
        <v>69</v>
      </c>
      <c r="BX754" t="s">
        <v>69</v>
      </c>
      <c r="BY754" t="s">
        <v>69</v>
      </c>
      <c r="BZ754" t="s">
        <v>8526</v>
      </c>
      <c r="CA754" t="str">
        <f>HYPERLINK("https%3A%2F%2Fwww.webofscience.com%2Fwos%2Fwoscc%2Ffull-record%2FWOS:000262048300013","View Full Record in Web of Science")</f>
        <v>View Full Record in Web of Science</v>
      </c>
    </row>
    <row r="755" spans="2:79" ht="12.5" x14ac:dyDescent="0.25">
      <c r="B755" t="s">
        <v>8495</v>
      </c>
      <c r="D755" s="7" t="s">
        <v>32933</v>
      </c>
      <c r="E755" s="7"/>
      <c r="F755" s="7"/>
      <c r="G755" s="7"/>
      <c r="H755" t="s">
        <v>67</v>
      </c>
      <c r="I755" t="s">
        <v>6366</v>
      </c>
      <c r="J755" t="s">
        <v>69</v>
      </c>
      <c r="K755" t="s">
        <v>69</v>
      </c>
      <c r="L755" t="s">
        <v>69</v>
      </c>
      <c r="M755" t="s">
        <v>6367</v>
      </c>
      <c r="N755" t="s">
        <v>69</v>
      </c>
      <c r="O755" t="s">
        <v>69</v>
      </c>
      <c r="P755" t="s">
        <v>6368</v>
      </c>
      <c r="Q755" t="s">
        <v>6369</v>
      </c>
      <c r="R755" t="s">
        <v>69</v>
      </c>
      <c r="S755" t="s">
        <v>69</v>
      </c>
      <c r="T755" t="s">
        <v>10153</v>
      </c>
      <c r="U755" t="s">
        <v>8506</v>
      </c>
      <c r="V755" t="s">
        <v>69</v>
      </c>
      <c r="W755" t="s">
        <v>69</v>
      </c>
      <c r="X755" t="s">
        <v>69</v>
      </c>
      <c r="Y755" t="s">
        <v>69</v>
      </c>
      <c r="Z755" t="s">
        <v>69</v>
      </c>
      <c r="AA755" t="s">
        <v>16179</v>
      </c>
      <c r="AB755" t="s">
        <v>69</v>
      </c>
      <c r="AC755" t="s">
        <v>6370</v>
      </c>
      <c r="AD755" t="s">
        <v>16180</v>
      </c>
      <c r="AE755" t="s">
        <v>69</v>
      </c>
      <c r="AF755" t="s">
        <v>16181</v>
      </c>
      <c r="AG755" t="s">
        <v>16182</v>
      </c>
      <c r="AH755" t="s">
        <v>69</v>
      </c>
      <c r="AI755" t="s">
        <v>69</v>
      </c>
      <c r="AJ755" t="s">
        <v>69</v>
      </c>
      <c r="AK755" t="s">
        <v>69</v>
      </c>
      <c r="AL755" t="s">
        <v>69</v>
      </c>
      <c r="AM755" t="s">
        <v>69</v>
      </c>
      <c r="AN755">
        <v>24</v>
      </c>
      <c r="AO755">
        <v>0</v>
      </c>
      <c r="AP755">
        <v>0</v>
      </c>
      <c r="AQ755">
        <v>0</v>
      </c>
      <c r="AR755">
        <v>0</v>
      </c>
      <c r="AS755" t="s">
        <v>16183</v>
      </c>
      <c r="AT755" t="s">
        <v>14096</v>
      </c>
      <c r="AU755" t="s">
        <v>16184</v>
      </c>
      <c r="AV755" t="s">
        <v>6371</v>
      </c>
      <c r="AW755" t="s">
        <v>69</v>
      </c>
      <c r="AX755" t="s">
        <v>69</v>
      </c>
      <c r="AY755" t="s">
        <v>16185</v>
      </c>
      <c r="AZ755" t="s">
        <v>16186</v>
      </c>
      <c r="BA755" t="s">
        <v>69</v>
      </c>
      <c r="BB755">
        <v>2020</v>
      </c>
      <c r="BC755">
        <v>12</v>
      </c>
      <c r="BD755">
        <v>1</v>
      </c>
      <c r="BE755" t="s">
        <v>69</v>
      </c>
      <c r="BF755" t="s">
        <v>69</v>
      </c>
      <c r="BG755" t="s">
        <v>69</v>
      </c>
      <c r="BH755" t="s">
        <v>69</v>
      </c>
      <c r="BI755">
        <v>679</v>
      </c>
      <c r="BJ755">
        <v>699</v>
      </c>
      <c r="BK755" t="s">
        <v>69</v>
      </c>
      <c r="BL755" t="s">
        <v>6372</v>
      </c>
      <c r="BM755" t="str">
        <f>HYPERLINK("http://dx.doi.org/10.12957/rdc.2020.43125","http://dx.doi.org/10.12957/rdc.2020.43125")</f>
        <v>http://dx.doi.org/10.12957/rdc.2020.43125</v>
      </c>
      <c r="BN755" t="s">
        <v>69</v>
      </c>
      <c r="BO755" t="s">
        <v>69</v>
      </c>
      <c r="BP755">
        <v>21</v>
      </c>
      <c r="BQ755" t="s">
        <v>8475</v>
      </c>
      <c r="BR755" t="s">
        <v>8573</v>
      </c>
      <c r="BS755" t="s">
        <v>8475</v>
      </c>
      <c r="BT755" t="s">
        <v>16187</v>
      </c>
      <c r="BU755" t="s">
        <v>6373</v>
      </c>
      <c r="BV755" t="s">
        <v>69</v>
      </c>
      <c r="BW755" t="s">
        <v>8931</v>
      </c>
      <c r="BX755" t="s">
        <v>69</v>
      </c>
      <c r="BY755" t="s">
        <v>69</v>
      </c>
      <c r="BZ755" t="s">
        <v>8526</v>
      </c>
      <c r="CA755" t="str">
        <f>HYPERLINK("https%3A%2F%2Fwww.webofscience.com%2Fwos%2Fwoscc%2Ffull-record%2FWOS:000539991700024","View Full Record in Web of Science")</f>
        <v>View Full Record in Web of Science</v>
      </c>
    </row>
    <row r="756" spans="2:79" x14ac:dyDescent="0.3">
      <c r="B756" t="s">
        <v>8495</v>
      </c>
      <c r="D756" s="9" t="s">
        <v>32972</v>
      </c>
      <c r="E756" s="9" t="s">
        <v>33065</v>
      </c>
      <c r="G756" s="9" t="s">
        <v>8490</v>
      </c>
      <c r="H756" t="s">
        <v>67</v>
      </c>
      <c r="I756" t="s">
        <v>21158</v>
      </c>
      <c r="J756" t="s">
        <v>69</v>
      </c>
      <c r="K756" t="s">
        <v>69</v>
      </c>
      <c r="L756" t="s">
        <v>69</v>
      </c>
      <c r="M756" t="s">
        <v>21159</v>
      </c>
      <c r="N756" t="s">
        <v>69</v>
      </c>
      <c r="O756" t="s">
        <v>69</v>
      </c>
      <c r="P756" t="s">
        <v>21160</v>
      </c>
      <c r="Q756" t="s">
        <v>5814</v>
      </c>
      <c r="R756" t="s">
        <v>69</v>
      </c>
      <c r="S756" t="s">
        <v>69</v>
      </c>
      <c r="T756" t="s">
        <v>8505</v>
      </c>
      <c r="U756" t="s">
        <v>8506</v>
      </c>
      <c r="V756" t="s">
        <v>69</v>
      </c>
      <c r="W756" t="s">
        <v>69</v>
      </c>
      <c r="X756" t="s">
        <v>69</v>
      </c>
      <c r="Y756" t="s">
        <v>69</v>
      </c>
      <c r="Z756" t="s">
        <v>69</v>
      </c>
      <c r="AA756" t="s">
        <v>21161</v>
      </c>
      <c r="AB756" t="s">
        <v>21162</v>
      </c>
      <c r="AC756" t="s">
        <v>21163</v>
      </c>
      <c r="AD756" t="s">
        <v>21164</v>
      </c>
      <c r="AE756" t="s">
        <v>69</v>
      </c>
      <c r="AF756" t="s">
        <v>21165</v>
      </c>
      <c r="AG756" t="s">
        <v>21166</v>
      </c>
      <c r="AH756" t="s">
        <v>69</v>
      </c>
      <c r="AI756" t="s">
        <v>69</v>
      </c>
      <c r="AJ756" t="s">
        <v>69</v>
      </c>
      <c r="AK756" t="s">
        <v>69</v>
      </c>
      <c r="AL756" t="s">
        <v>69</v>
      </c>
      <c r="AM756" t="s">
        <v>69</v>
      </c>
      <c r="AN756">
        <v>60</v>
      </c>
      <c r="AO756">
        <v>9</v>
      </c>
      <c r="AP756">
        <v>9</v>
      </c>
      <c r="AQ756">
        <v>0</v>
      </c>
      <c r="AR756">
        <v>6</v>
      </c>
      <c r="AS756" t="s">
        <v>21167</v>
      </c>
      <c r="AT756" t="s">
        <v>21168</v>
      </c>
      <c r="AU756" t="s">
        <v>21169</v>
      </c>
      <c r="AV756" t="s">
        <v>5816</v>
      </c>
      <c r="AW756" t="s">
        <v>21170</v>
      </c>
      <c r="AX756" t="s">
        <v>69</v>
      </c>
      <c r="AY756" t="s">
        <v>21171</v>
      </c>
      <c r="AZ756" t="s">
        <v>21172</v>
      </c>
      <c r="BA756" t="s">
        <v>75</v>
      </c>
      <c r="BB756">
        <v>2016</v>
      </c>
      <c r="BC756">
        <v>25</v>
      </c>
      <c r="BD756">
        <v>6</v>
      </c>
      <c r="BE756" t="s">
        <v>69</v>
      </c>
      <c r="BF756" t="s">
        <v>69</v>
      </c>
      <c r="BG756" t="s">
        <v>69</v>
      </c>
      <c r="BH756" t="s">
        <v>69</v>
      </c>
      <c r="BI756">
        <v>687</v>
      </c>
      <c r="BJ756">
        <v>705</v>
      </c>
      <c r="BK756" t="s">
        <v>69</v>
      </c>
      <c r="BL756" t="s">
        <v>21173</v>
      </c>
      <c r="BM756" t="str">
        <f>HYPERLINK("http://dx.doi.org/10.3197/096327116X14736981715661","http://dx.doi.org/10.3197/096327116X14736981715661")</f>
        <v>http://dx.doi.org/10.3197/096327116X14736981715661</v>
      </c>
      <c r="BN756" t="s">
        <v>69</v>
      </c>
      <c r="BO756" t="s">
        <v>69</v>
      </c>
      <c r="BP756">
        <v>19</v>
      </c>
      <c r="BQ756" t="s">
        <v>21174</v>
      </c>
      <c r="BR756" t="s">
        <v>8661</v>
      </c>
      <c r="BS756" t="s">
        <v>21175</v>
      </c>
      <c r="BT756" t="s">
        <v>21176</v>
      </c>
      <c r="BU756" t="s">
        <v>21177</v>
      </c>
      <c r="BV756" t="s">
        <v>69</v>
      </c>
      <c r="BW756" t="s">
        <v>69</v>
      </c>
      <c r="BX756" t="s">
        <v>69</v>
      </c>
      <c r="BY756" t="s">
        <v>69</v>
      </c>
      <c r="BZ756" t="s">
        <v>8526</v>
      </c>
      <c r="CA756" t="str">
        <f>HYPERLINK("https%3A%2F%2Fwww.webofscience.com%2Fwos%2Fwoscc%2Ffull-record%2FWOS:000387408500004","View Full Record in Web of Science")</f>
        <v>View Full Record in Web of Science</v>
      </c>
    </row>
    <row r="757" spans="2:79" ht="12.5" x14ac:dyDescent="0.25">
      <c r="B757" t="s">
        <v>8495</v>
      </c>
      <c r="D757" s="7" t="s">
        <v>32933</v>
      </c>
      <c r="E757" s="7"/>
      <c r="F757" s="7"/>
      <c r="G757" s="7"/>
      <c r="H757" t="s">
        <v>67</v>
      </c>
      <c r="I757" t="s">
        <v>614</v>
      </c>
      <c r="J757" t="s">
        <v>69</v>
      </c>
      <c r="K757" t="s">
        <v>69</v>
      </c>
      <c r="L757" t="s">
        <v>69</v>
      </c>
      <c r="M757" t="s">
        <v>614</v>
      </c>
      <c r="N757" t="s">
        <v>69</v>
      </c>
      <c r="O757" t="s">
        <v>69</v>
      </c>
      <c r="P757" t="s">
        <v>615</v>
      </c>
      <c r="Q757" t="s">
        <v>616</v>
      </c>
      <c r="R757" t="s">
        <v>69</v>
      </c>
      <c r="S757" t="s">
        <v>69</v>
      </c>
      <c r="T757" t="s">
        <v>8505</v>
      </c>
      <c r="U757" t="s">
        <v>8506</v>
      </c>
      <c r="V757" t="s">
        <v>69</v>
      </c>
      <c r="W757" t="s">
        <v>69</v>
      </c>
      <c r="X757" t="s">
        <v>69</v>
      </c>
      <c r="Y757" t="s">
        <v>69</v>
      </c>
      <c r="Z757" t="s">
        <v>69</v>
      </c>
      <c r="AA757" t="s">
        <v>32737</v>
      </c>
      <c r="AB757" t="s">
        <v>69</v>
      </c>
      <c r="AC757" t="s">
        <v>617</v>
      </c>
      <c r="AD757" t="s">
        <v>69</v>
      </c>
      <c r="AE757" t="s">
        <v>69</v>
      </c>
      <c r="AF757" t="s">
        <v>32738</v>
      </c>
      <c r="AG757" t="s">
        <v>69</v>
      </c>
      <c r="AH757" t="s">
        <v>69</v>
      </c>
      <c r="AI757" t="s">
        <v>69</v>
      </c>
      <c r="AJ757" t="s">
        <v>69</v>
      </c>
      <c r="AK757" t="s">
        <v>69</v>
      </c>
      <c r="AL757" t="s">
        <v>69</v>
      </c>
      <c r="AM757" t="s">
        <v>69</v>
      </c>
      <c r="AN757">
        <v>5</v>
      </c>
      <c r="AO757">
        <v>5</v>
      </c>
      <c r="AP757">
        <v>5</v>
      </c>
      <c r="AQ757">
        <v>0</v>
      </c>
      <c r="AR757">
        <v>3</v>
      </c>
      <c r="AS757" t="s">
        <v>32739</v>
      </c>
      <c r="AT757" t="s">
        <v>32740</v>
      </c>
      <c r="AU757" t="s">
        <v>32741</v>
      </c>
      <c r="AV757" t="s">
        <v>618</v>
      </c>
      <c r="AW757" t="s">
        <v>69</v>
      </c>
      <c r="AX757" t="s">
        <v>69</v>
      </c>
      <c r="AY757" t="s">
        <v>32742</v>
      </c>
      <c r="AZ757" t="s">
        <v>32743</v>
      </c>
      <c r="BA757" t="s">
        <v>619</v>
      </c>
      <c r="BB757">
        <v>1993</v>
      </c>
      <c r="BC757">
        <v>29</v>
      </c>
      <c r="BD757">
        <v>6</v>
      </c>
      <c r="BE757" t="s">
        <v>69</v>
      </c>
      <c r="BF757" t="s">
        <v>69</v>
      </c>
      <c r="BG757" t="s">
        <v>69</v>
      </c>
      <c r="BH757" t="s">
        <v>69</v>
      </c>
      <c r="BI757">
        <v>1003</v>
      </c>
      <c r="BJ757">
        <v>1008</v>
      </c>
      <c r="BK757" t="s">
        <v>69</v>
      </c>
      <c r="BL757" t="s">
        <v>69</v>
      </c>
      <c r="BM757" t="s">
        <v>69</v>
      </c>
      <c r="BN757" t="s">
        <v>69</v>
      </c>
      <c r="BO757" t="s">
        <v>69</v>
      </c>
      <c r="BP757">
        <v>6</v>
      </c>
      <c r="BQ757" t="s">
        <v>18034</v>
      </c>
      <c r="BR757" t="s">
        <v>8548</v>
      </c>
      <c r="BS757" t="s">
        <v>8853</v>
      </c>
      <c r="BT757" t="s">
        <v>32744</v>
      </c>
      <c r="BU757" t="s">
        <v>620</v>
      </c>
      <c r="BV757" t="s">
        <v>69</v>
      </c>
      <c r="BW757" t="s">
        <v>69</v>
      </c>
      <c r="BX757" t="s">
        <v>69</v>
      </c>
      <c r="BY757" t="s">
        <v>69</v>
      </c>
      <c r="BZ757" t="s">
        <v>8526</v>
      </c>
      <c r="CA757" t="str">
        <f>HYPERLINK("https%3A%2F%2Fwww.webofscience.com%2Fwos%2Fwoscc%2Ffull-record%2FWOS:A1993MW60300017","View Full Record in Web of Science")</f>
        <v>View Full Record in Web of Science</v>
      </c>
    </row>
    <row r="758" spans="2:79" ht="12.5" x14ac:dyDescent="0.25">
      <c r="B758" t="s">
        <v>8495</v>
      </c>
      <c r="D758" s="7" t="s">
        <v>32933</v>
      </c>
      <c r="E758" s="7"/>
      <c r="F758" s="7"/>
      <c r="G758" s="7"/>
      <c r="H758" t="s">
        <v>67</v>
      </c>
      <c r="I758" t="s">
        <v>6812</v>
      </c>
      <c r="J758" t="s">
        <v>69</v>
      </c>
      <c r="K758" t="s">
        <v>69</v>
      </c>
      <c r="L758" t="s">
        <v>69</v>
      </c>
      <c r="M758" t="s">
        <v>6813</v>
      </c>
      <c r="N758" t="s">
        <v>69</v>
      </c>
      <c r="O758" t="s">
        <v>69</v>
      </c>
      <c r="P758" t="s">
        <v>6814</v>
      </c>
      <c r="Q758" t="s">
        <v>6815</v>
      </c>
      <c r="R758" t="s">
        <v>69</v>
      </c>
      <c r="S758" t="s">
        <v>69</v>
      </c>
      <c r="T758" t="s">
        <v>12534</v>
      </c>
      <c r="U758" t="s">
        <v>8506</v>
      </c>
      <c r="V758" t="s">
        <v>69</v>
      </c>
      <c r="W758" t="s">
        <v>69</v>
      </c>
      <c r="X758" t="s">
        <v>69</v>
      </c>
      <c r="Y758" t="s">
        <v>69</v>
      </c>
      <c r="Z758" t="s">
        <v>69</v>
      </c>
      <c r="AA758" t="s">
        <v>69</v>
      </c>
      <c r="AB758" t="s">
        <v>18515</v>
      </c>
      <c r="AC758" t="s">
        <v>6816</v>
      </c>
      <c r="AD758" t="s">
        <v>18516</v>
      </c>
      <c r="AE758" t="s">
        <v>69</v>
      </c>
      <c r="AF758" t="s">
        <v>18517</v>
      </c>
      <c r="AG758" t="s">
        <v>69</v>
      </c>
      <c r="AH758" t="s">
        <v>69</v>
      </c>
      <c r="AI758" t="s">
        <v>69</v>
      </c>
      <c r="AJ758" t="s">
        <v>69</v>
      </c>
      <c r="AK758" t="s">
        <v>69</v>
      </c>
      <c r="AL758" t="s">
        <v>69</v>
      </c>
      <c r="AM758" t="s">
        <v>69</v>
      </c>
      <c r="AN758">
        <v>119</v>
      </c>
      <c r="AO758">
        <v>0</v>
      </c>
      <c r="AP758">
        <v>0</v>
      </c>
      <c r="AQ758">
        <v>0</v>
      </c>
      <c r="AR758">
        <v>0</v>
      </c>
      <c r="AS758" t="s">
        <v>11360</v>
      </c>
      <c r="AT758" t="s">
        <v>11361</v>
      </c>
      <c r="AU758" t="s">
        <v>11362</v>
      </c>
      <c r="AV758" t="s">
        <v>6817</v>
      </c>
      <c r="AW758" t="s">
        <v>69</v>
      </c>
      <c r="AX758" t="s">
        <v>69</v>
      </c>
      <c r="AY758" t="s">
        <v>18518</v>
      </c>
      <c r="AZ758" t="s">
        <v>18519</v>
      </c>
      <c r="BA758" t="s">
        <v>201</v>
      </c>
      <c r="BB758">
        <v>2018</v>
      </c>
      <c r="BC758">
        <v>66</v>
      </c>
      <c r="BD758">
        <v>4</v>
      </c>
      <c r="BE758" t="s">
        <v>69</v>
      </c>
      <c r="BF758" t="s">
        <v>69</v>
      </c>
      <c r="BG758" t="s">
        <v>69</v>
      </c>
      <c r="BH758" t="s">
        <v>69</v>
      </c>
      <c r="BI758">
        <v>617</v>
      </c>
      <c r="BJ758" t="s">
        <v>219</v>
      </c>
      <c r="BK758" t="s">
        <v>69</v>
      </c>
      <c r="BL758" t="s">
        <v>6818</v>
      </c>
      <c r="BM758" t="str">
        <f>HYPERLINK("http://dx.doi.org/10.1515/vfzg-2018-0035","http://dx.doi.org/10.1515/vfzg-2018-0035")</f>
        <v>http://dx.doi.org/10.1515/vfzg-2018-0035</v>
      </c>
      <c r="BN758" t="s">
        <v>69</v>
      </c>
      <c r="BO758" t="s">
        <v>69</v>
      </c>
      <c r="BP758">
        <v>29</v>
      </c>
      <c r="BQ758" t="s">
        <v>18520</v>
      </c>
      <c r="BR758" t="s">
        <v>11207</v>
      </c>
      <c r="BS758" t="s">
        <v>18520</v>
      </c>
      <c r="BT758" t="s">
        <v>18521</v>
      </c>
      <c r="BU758" t="s">
        <v>6819</v>
      </c>
      <c r="BV758" t="s">
        <v>69</v>
      </c>
      <c r="BW758" t="s">
        <v>69</v>
      </c>
      <c r="BX758" t="s">
        <v>69</v>
      </c>
      <c r="BY758" t="s">
        <v>69</v>
      </c>
      <c r="BZ758" t="s">
        <v>8526</v>
      </c>
      <c r="CA758" t="str">
        <f>HYPERLINK("https%3A%2F%2Fwww.webofscience.com%2Fwos%2Fwoscc%2Ffull-record%2FWOS:000445751900003","View Full Record in Web of Science")</f>
        <v>View Full Record in Web of Science</v>
      </c>
    </row>
    <row r="759" spans="2:79" ht="12.5" x14ac:dyDescent="0.25">
      <c r="B759" t="s">
        <v>8495</v>
      </c>
      <c r="D759" s="7" t="s">
        <v>32933</v>
      </c>
      <c r="E759" s="7"/>
      <c r="F759" s="7"/>
      <c r="G759" s="7"/>
      <c r="H759" t="s">
        <v>67</v>
      </c>
      <c r="I759" t="s">
        <v>8018</v>
      </c>
      <c r="J759" t="s">
        <v>69</v>
      </c>
      <c r="K759" t="s">
        <v>69</v>
      </c>
      <c r="L759" t="s">
        <v>69</v>
      </c>
      <c r="M759" t="s">
        <v>8019</v>
      </c>
      <c r="N759" t="s">
        <v>69</v>
      </c>
      <c r="O759" t="s">
        <v>69</v>
      </c>
      <c r="P759" s="4" t="s">
        <v>8020</v>
      </c>
      <c r="Q759" t="s">
        <v>8021</v>
      </c>
      <c r="R759" t="s">
        <v>69</v>
      </c>
      <c r="S759" t="s">
        <v>69</v>
      </c>
      <c r="T759" t="s">
        <v>8505</v>
      </c>
      <c r="U759" t="s">
        <v>8506</v>
      </c>
      <c r="V759" t="s">
        <v>69</v>
      </c>
      <c r="W759" t="s">
        <v>69</v>
      </c>
      <c r="X759" t="s">
        <v>69</v>
      </c>
      <c r="Y759" t="s">
        <v>69</v>
      </c>
      <c r="Z759" t="s">
        <v>69</v>
      </c>
      <c r="AA759" t="s">
        <v>69</v>
      </c>
      <c r="AB759" t="s">
        <v>16096</v>
      </c>
      <c r="AC759" t="s">
        <v>8022</v>
      </c>
      <c r="AD759" t="s">
        <v>69</v>
      </c>
      <c r="AE759" t="s">
        <v>69</v>
      </c>
      <c r="AF759" t="s">
        <v>69</v>
      </c>
      <c r="AG759" t="s">
        <v>16097</v>
      </c>
      <c r="AH759" t="s">
        <v>69</v>
      </c>
      <c r="AI759" t="s">
        <v>69</v>
      </c>
      <c r="AJ759" t="s">
        <v>69</v>
      </c>
      <c r="AK759" t="s">
        <v>69</v>
      </c>
      <c r="AL759" t="s">
        <v>69</v>
      </c>
      <c r="AM759" t="s">
        <v>69</v>
      </c>
      <c r="AN759">
        <v>47</v>
      </c>
      <c r="AO759">
        <v>1</v>
      </c>
      <c r="AP759">
        <v>1</v>
      </c>
      <c r="AQ759">
        <v>0</v>
      </c>
      <c r="AR759">
        <v>2</v>
      </c>
      <c r="AS759" t="s">
        <v>8611</v>
      </c>
      <c r="AT759" t="s">
        <v>8612</v>
      </c>
      <c r="AU759" t="s">
        <v>8613</v>
      </c>
      <c r="AV759" t="s">
        <v>8023</v>
      </c>
      <c r="AW759" t="s">
        <v>8024</v>
      </c>
      <c r="AX759" t="s">
        <v>69</v>
      </c>
      <c r="AY759" t="s">
        <v>8021</v>
      </c>
      <c r="AZ759" t="s">
        <v>16098</v>
      </c>
      <c r="BA759" t="s">
        <v>69</v>
      </c>
      <c r="BB759">
        <v>2020</v>
      </c>
      <c r="BC759">
        <v>67</v>
      </c>
      <c r="BD759">
        <v>3</v>
      </c>
      <c r="BE759" t="s">
        <v>69</v>
      </c>
      <c r="BF759" t="s">
        <v>69</v>
      </c>
      <c r="BG759" t="s">
        <v>114</v>
      </c>
      <c r="BH759" t="s">
        <v>69</v>
      </c>
      <c r="BI759">
        <v>252</v>
      </c>
      <c r="BJ759">
        <v>270</v>
      </c>
      <c r="BK759" t="s">
        <v>69</v>
      </c>
      <c r="BL759" t="s">
        <v>8025</v>
      </c>
      <c r="BM759" t="str">
        <f>HYPERLINK("http://dx.doi.org/10.1080/00026980.2020.1794674","http://dx.doi.org/10.1080/00026980.2020.1794674")</f>
        <v>http://dx.doi.org/10.1080/00026980.2020.1794674</v>
      </c>
      <c r="BN759" t="s">
        <v>69</v>
      </c>
      <c r="BO759" t="s">
        <v>69</v>
      </c>
      <c r="BP759">
        <v>19</v>
      </c>
      <c r="BQ759" t="s">
        <v>16099</v>
      </c>
      <c r="BR759" t="s">
        <v>16100</v>
      </c>
      <c r="BS759" t="s">
        <v>16101</v>
      </c>
      <c r="BT759" t="s">
        <v>16102</v>
      </c>
      <c r="BU759" t="s">
        <v>8026</v>
      </c>
      <c r="BV759">
        <v>32684146</v>
      </c>
      <c r="BW759" t="s">
        <v>69</v>
      </c>
      <c r="BX759" t="s">
        <v>69</v>
      </c>
      <c r="BY759" t="s">
        <v>69</v>
      </c>
      <c r="BZ759" t="s">
        <v>8526</v>
      </c>
      <c r="CA759" t="str">
        <f>HYPERLINK("https%3A%2F%2Fwww.webofscience.com%2Fwos%2Fwoscc%2Ffull-record%2FWOS:000557445800004","View Full Record in Web of Science")</f>
        <v>View Full Record in Web of Science</v>
      </c>
    </row>
    <row r="760" spans="2:79" ht="12.5" x14ac:dyDescent="0.25">
      <c r="B760" t="s">
        <v>8495</v>
      </c>
      <c r="D760" s="22" t="s">
        <v>32931</v>
      </c>
      <c r="E760" s="7"/>
      <c r="F760" s="7"/>
      <c r="G760" s="7"/>
      <c r="H760" t="s">
        <v>67</v>
      </c>
      <c r="I760" t="s">
        <v>18786</v>
      </c>
      <c r="J760" t="s">
        <v>69</v>
      </c>
      <c r="K760" t="s">
        <v>69</v>
      </c>
      <c r="L760" t="s">
        <v>69</v>
      </c>
      <c r="M760" t="s">
        <v>18787</v>
      </c>
      <c r="N760" t="s">
        <v>69</v>
      </c>
      <c r="O760" t="s">
        <v>69</v>
      </c>
      <c r="P760" t="s">
        <v>18788</v>
      </c>
      <c r="Q760" t="s">
        <v>18789</v>
      </c>
      <c r="R760" t="s">
        <v>69</v>
      </c>
      <c r="S760" t="s">
        <v>69</v>
      </c>
      <c r="T760" t="s">
        <v>8505</v>
      </c>
      <c r="U760" t="s">
        <v>8506</v>
      </c>
      <c r="V760" t="s">
        <v>69</v>
      </c>
      <c r="W760" t="s">
        <v>69</v>
      </c>
      <c r="X760" t="s">
        <v>69</v>
      </c>
      <c r="Y760" t="s">
        <v>69</v>
      </c>
      <c r="Z760" t="s">
        <v>69</v>
      </c>
      <c r="AA760" t="s">
        <v>18790</v>
      </c>
      <c r="AB760" t="s">
        <v>18791</v>
      </c>
      <c r="AC760" t="s">
        <v>18792</v>
      </c>
      <c r="AD760" t="s">
        <v>18793</v>
      </c>
      <c r="AE760" t="s">
        <v>69</v>
      </c>
      <c r="AF760" t="s">
        <v>18794</v>
      </c>
      <c r="AG760" t="s">
        <v>18795</v>
      </c>
      <c r="AH760" t="s">
        <v>69</v>
      </c>
      <c r="AI760" t="s">
        <v>69</v>
      </c>
      <c r="AJ760" t="s">
        <v>69</v>
      </c>
      <c r="AK760" t="s">
        <v>69</v>
      </c>
      <c r="AL760" t="s">
        <v>69</v>
      </c>
      <c r="AM760" t="s">
        <v>69</v>
      </c>
      <c r="AN760">
        <v>53</v>
      </c>
      <c r="AO760">
        <v>11</v>
      </c>
      <c r="AP760">
        <v>11</v>
      </c>
      <c r="AQ760">
        <v>2</v>
      </c>
      <c r="AR760">
        <v>3</v>
      </c>
      <c r="AS760" t="s">
        <v>18796</v>
      </c>
      <c r="AT760" t="s">
        <v>13739</v>
      </c>
      <c r="AU760" t="s">
        <v>18797</v>
      </c>
      <c r="AV760" t="s">
        <v>18798</v>
      </c>
      <c r="AW760" t="s">
        <v>69</v>
      </c>
      <c r="AX760" t="s">
        <v>69</v>
      </c>
      <c r="AY760" t="s">
        <v>18799</v>
      </c>
      <c r="AZ760" t="s">
        <v>18800</v>
      </c>
      <c r="BA760" t="s">
        <v>18801</v>
      </c>
      <c r="BB760">
        <v>2018</v>
      </c>
      <c r="BC760">
        <v>41</v>
      </c>
      <c r="BD760">
        <v>2</v>
      </c>
      <c r="BE760" t="s">
        <v>69</v>
      </c>
      <c r="BF760" t="s">
        <v>69</v>
      </c>
      <c r="BG760" t="s">
        <v>69</v>
      </c>
      <c r="BH760" t="s">
        <v>69</v>
      </c>
      <c r="BI760">
        <v>107</v>
      </c>
      <c r="BJ760">
        <v>129</v>
      </c>
      <c r="BK760" t="s">
        <v>69</v>
      </c>
      <c r="BL760" t="s">
        <v>18802</v>
      </c>
      <c r="BM760" t="str">
        <f>HYPERLINK("http://dx.doi.org/10.28927/SR.412107","http://dx.doi.org/10.28927/SR.412107")</f>
        <v>http://dx.doi.org/10.28927/SR.412107</v>
      </c>
      <c r="BN760" t="s">
        <v>69</v>
      </c>
      <c r="BO760" t="s">
        <v>69</v>
      </c>
      <c r="BP760">
        <v>23</v>
      </c>
      <c r="BQ760" t="s">
        <v>12079</v>
      </c>
      <c r="BR760" t="s">
        <v>8573</v>
      </c>
      <c r="BS760" t="s">
        <v>8445</v>
      </c>
      <c r="BT760" t="s">
        <v>18803</v>
      </c>
      <c r="BU760" t="s">
        <v>18804</v>
      </c>
      <c r="BV760" t="s">
        <v>69</v>
      </c>
      <c r="BW760" t="s">
        <v>8931</v>
      </c>
      <c r="BX760" t="s">
        <v>69</v>
      </c>
      <c r="BY760" t="s">
        <v>69</v>
      </c>
      <c r="BZ760" t="s">
        <v>8526</v>
      </c>
      <c r="CA760" t="str">
        <f>HYPERLINK("https%3A%2F%2Fwww.webofscience.com%2Fwos%2Fwoscc%2Ffull-record%2FWOS:000454200400001","View Full Record in Web of Science")</f>
        <v>View Full Record in Web of Science</v>
      </c>
    </row>
    <row r="761" spans="2:79" ht="12.5" x14ac:dyDescent="0.25">
      <c r="B761" t="s">
        <v>8495</v>
      </c>
      <c r="D761" s="22" t="s">
        <v>32931</v>
      </c>
      <c r="E761" s="7"/>
      <c r="F761" s="7"/>
      <c r="G761" s="7"/>
      <c r="H761" t="s">
        <v>67</v>
      </c>
      <c r="I761" t="s">
        <v>21497</v>
      </c>
      <c r="J761" t="s">
        <v>69</v>
      </c>
      <c r="K761" t="s">
        <v>69</v>
      </c>
      <c r="L761" t="s">
        <v>69</v>
      </c>
      <c r="M761" t="s">
        <v>21498</v>
      </c>
      <c r="N761" t="s">
        <v>69</v>
      </c>
      <c r="O761" t="s">
        <v>69</v>
      </c>
      <c r="P761" t="s">
        <v>21499</v>
      </c>
      <c r="Q761" t="s">
        <v>21500</v>
      </c>
      <c r="R761" t="s">
        <v>69</v>
      </c>
      <c r="S761" t="s">
        <v>69</v>
      </c>
      <c r="T761" t="s">
        <v>8505</v>
      </c>
      <c r="U761" t="s">
        <v>8506</v>
      </c>
      <c r="V761" t="s">
        <v>69</v>
      </c>
      <c r="W761" t="s">
        <v>69</v>
      </c>
      <c r="X761" t="s">
        <v>69</v>
      </c>
      <c r="Y761" t="s">
        <v>69</v>
      </c>
      <c r="Z761" t="s">
        <v>69</v>
      </c>
      <c r="AA761" t="s">
        <v>21501</v>
      </c>
      <c r="AB761" t="s">
        <v>69</v>
      </c>
      <c r="AC761" t="s">
        <v>21502</v>
      </c>
      <c r="AD761" t="s">
        <v>21503</v>
      </c>
      <c r="AE761" t="s">
        <v>69</v>
      </c>
      <c r="AF761" t="s">
        <v>21504</v>
      </c>
      <c r="AG761" t="s">
        <v>21505</v>
      </c>
      <c r="AH761" t="s">
        <v>69</v>
      </c>
      <c r="AI761" t="s">
        <v>69</v>
      </c>
      <c r="AJ761" t="s">
        <v>69</v>
      </c>
      <c r="AK761" t="s">
        <v>69</v>
      </c>
      <c r="AL761" t="s">
        <v>69</v>
      </c>
      <c r="AM761" t="s">
        <v>69</v>
      </c>
      <c r="AN761">
        <v>30</v>
      </c>
      <c r="AO761">
        <v>1</v>
      </c>
      <c r="AP761">
        <v>1</v>
      </c>
      <c r="AQ761">
        <v>0</v>
      </c>
      <c r="AR761">
        <v>8</v>
      </c>
      <c r="AS761" t="s">
        <v>21506</v>
      </c>
      <c r="AT761" t="s">
        <v>21507</v>
      </c>
      <c r="AU761" t="s">
        <v>21508</v>
      </c>
      <c r="AV761" t="s">
        <v>21509</v>
      </c>
      <c r="AW761" t="s">
        <v>69</v>
      </c>
      <c r="AX761" t="s">
        <v>69</v>
      </c>
      <c r="AY761" t="s">
        <v>21510</v>
      </c>
      <c r="AZ761" t="s">
        <v>21511</v>
      </c>
      <c r="BA761" t="s">
        <v>1226</v>
      </c>
      <c r="BB761">
        <v>2016</v>
      </c>
      <c r="BC761">
        <v>36</v>
      </c>
      <c r="BD761">
        <v>4</v>
      </c>
      <c r="BE761" t="s">
        <v>69</v>
      </c>
      <c r="BF761" t="s">
        <v>69</v>
      </c>
      <c r="BG761" t="s">
        <v>69</v>
      </c>
      <c r="BH761" t="s">
        <v>69</v>
      </c>
      <c r="BI761">
        <v>684</v>
      </c>
      <c r="BJ761">
        <v>695</v>
      </c>
      <c r="BK761" t="s">
        <v>69</v>
      </c>
      <c r="BL761" t="s">
        <v>21512</v>
      </c>
      <c r="BM761" t="str">
        <f>HYPERLINK("http://dx.doi.org/10.1590/1809-4430-Eng.Agric.v36n4p684-695/2016","http://dx.doi.org/10.1590/1809-4430-Eng.Agric.v36n4p684-695/2016")</f>
        <v>http://dx.doi.org/10.1590/1809-4430-Eng.Agric.v36n4p684-695/2016</v>
      </c>
      <c r="BN761" t="s">
        <v>69</v>
      </c>
      <c r="BO761" t="s">
        <v>69</v>
      </c>
      <c r="BP761">
        <v>12</v>
      </c>
      <c r="BQ761" t="s">
        <v>21513</v>
      </c>
      <c r="BR761" t="s">
        <v>8548</v>
      </c>
      <c r="BS761" t="s">
        <v>8450</v>
      </c>
      <c r="BT761" t="s">
        <v>21514</v>
      </c>
      <c r="BU761" t="s">
        <v>21515</v>
      </c>
      <c r="BV761" t="s">
        <v>69</v>
      </c>
      <c r="BW761" t="s">
        <v>19008</v>
      </c>
      <c r="BX761" t="s">
        <v>69</v>
      </c>
      <c r="BY761" t="s">
        <v>69</v>
      </c>
      <c r="BZ761" t="s">
        <v>8526</v>
      </c>
      <c r="CA761" t="str">
        <f>HYPERLINK("https%3A%2F%2Fwww.webofscience.com%2Fwos%2Fwoscc%2Ffull-record%2FWOS:000382718300012","View Full Record in Web of Science")</f>
        <v>View Full Record in Web of Science</v>
      </c>
    </row>
    <row r="762" spans="2:79" ht="12.5" x14ac:dyDescent="0.25">
      <c r="B762" t="s">
        <v>8495</v>
      </c>
      <c r="D762" s="7" t="s">
        <v>32933</v>
      </c>
      <c r="E762" s="7"/>
      <c r="F762" s="7"/>
      <c r="G762" s="7"/>
      <c r="H762" t="s">
        <v>67</v>
      </c>
      <c r="I762" t="s">
        <v>4540</v>
      </c>
      <c r="J762" t="s">
        <v>69</v>
      </c>
      <c r="K762" t="s">
        <v>69</v>
      </c>
      <c r="L762" t="s">
        <v>69</v>
      </c>
      <c r="M762" t="s">
        <v>4541</v>
      </c>
      <c r="N762" t="s">
        <v>69</v>
      </c>
      <c r="O762" t="s">
        <v>69</v>
      </c>
      <c r="P762" t="s">
        <v>4542</v>
      </c>
      <c r="Q762" t="s">
        <v>4543</v>
      </c>
      <c r="R762" t="s">
        <v>69</v>
      </c>
      <c r="S762" t="s">
        <v>69</v>
      </c>
      <c r="T762" t="s">
        <v>8505</v>
      </c>
      <c r="U762" t="s">
        <v>8506</v>
      </c>
      <c r="V762" t="s">
        <v>69</v>
      </c>
      <c r="W762" t="s">
        <v>69</v>
      </c>
      <c r="X762" t="s">
        <v>69</v>
      </c>
      <c r="Y762" t="s">
        <v>69</v>
      </c>
      <c r="Z762" t="s">
        <v>69</v>
      </c>
      <c r="AA762" t="s">
        <v>25132</v>
      </c>
      <c r="AB762" t="s">
        <v>25133</v>
      </c>
      <c r="AC762" t="s">
        <v>4544</v>
      </c>
      <c r="AD762" t="s">
        <v>25134</v>
      </c>
      <c r="AE762" t="s">
        <v>69</v>
      </c>
      <c r="AF762" t="s">
        <v>25135</v>
      </c>
      <c r="AG762" t="s">
        <v>25136</v>
      </c>
      <c r="AH762" t="s">
        <v>25137</v>
      </c>
      <c r="AI762" t="s">
        <v>25138</v>
      </c>
      <c r="AJ762" t="s">
        <v>69</v>
      </c>
      <c r="AK762" t="s">
        <v>69</v>
      </c>
      <c r="AL762" t="s">
        <v>69</v>
      </c>
      <c r="AM762" t="s">
        <v>69</v>
      </c>
      <c r="AN762">
        <v>48</v>
      </c>
      <c r="AO762">
        <v>24</v>
      </c>
      <c r="AP762">
        <v>24</v>
      </c>
      <c r="AQ762">
        <v>2</v>
      </c>
      <c r="AR762">
        <v>37</v>
      </c>
      <c r="AS762" t="s">
        <v>14856</v>
      </c>
      <c r="AT762" t="s">
        <v>11131</v>
      </c>
      <c r="AU762" t="s">
        <v>14857</v>
      </c>
      <c r="AV762" t="s">
        <v>4545</v>
      </c>
      <c r="AW762" t="s">
        <v>4546</v>
      </c>
      <c r="AX762" t="s">
        <v>69</v>
      </c>
      <c r="AY762" t="s">
        <v>22470</v>
      </c>
      <c r="AZ762" t="s">
        <v>22471</v>
      </c>
      <c r="BA762" t="s">
        <v>1425</v>
      </c>
      <c r="BB762">
        <v>2013</v>
      </c>
      <c r="BC762">
        <v>23</v>
      </c>
      <c r="BD762">
        <v>2</v>
      </c>
      <c r="BE762" t="s">
        <v>69</v>
      </c>
      <c r="BF762" t="s">
        <v>69</v>
      </c>
      <c r="BG762" t="s">
        <v>69</v>
      </c>
      <c r="BH762" t="s">
        <v>69</v>
      </c>
      <c r="BI762">
        <v>130</v>
      </c>
      <c r="BJ762">
        <v>144</v>
      </c>
      <c r="BK762" t="s">
        <v>69</v>
      </c>
      <c r="BL762" t="s">
        <v>4547</v>
      </c>
      <c r="BM762" t="str">
        <f>HYPERLINK("http://dx.doi.org/10.1002/eet.1602","http://dx.doi.org/10.1002/eet.1602")</f>
        <v>http://dx.doi.org/10.1002/eet.1602</v>
      </c>
      <c r="BN762" t="s">
        <v>69</v>
      </c>
      <c r="BO762" t="s">
        <v>69</v>
      </c>
      <c r="BP762">
        <v>15</v>
      </c>
      <c r="BQ762" t="s">
        <v>8660</v>
      </c>
      <c r="BR762" t="s">
        <v>8661</v>
      </c>
      <c r="BS762" t="s">
        <v>8662</v>
      </c>
      <c r="BT762" t="s">
        <v>25139</v>
      </c>
      <c r="BU762" t="s">
        <v>4548</v>
      </c>
      <c r="BV762" t="s">
        <v>69</v>
      </c>
      <c r="BW762" t="s">
        <v>69</v>
      </c>
      <c r="BX762" t="s">
        <v>69</v>
      </c>
      <c r="BY762" t="s">
        <v>69</v>
      </c>
      <c r="BZ762" t="s">
        <v>8526</v>
      </c>
      <c r="CA762" t="str">
        <f>HYPERLINK("https%3A%2F%2Fwww.webofscience.com%2Fwos%2Fwoscc%2Ffull-record%2FWOS:000318041300004","View Full Record in Web of Science")</f>
        <v>View Full Record in Web of Science</v>
      </c>
    </row>
    <row r="763" spans="2:79" ht="12.5" x14ac:dyDescent="0.25">
      <c r="B763" t="s">
        <v>8495</v>
      </c>
      <c r="D763" s="22" t="s">
        <v>32931</v>
      </c>
      <c r="E763" s="7"/>
      <c r="F763" s="7"/>
      <c r="G763" s="7"/>
      <c r="H763" t="s">
        <v>67</v>
      </c>
      <c r="I763" t="s">
        <v>12609</v>
      </c>
      <c r="J763" t="s">
        <v>69</v>
      </c>
      <c r="K763" t="s">
        <v>69</v>
      </c>
      <c r="L763" t="s">
        <v>69</v>
      </c>
      <c r="M763" t="s">
        <v>12610</v>
      </c>
      <c r="N763" t="s">
        <v>69</v>
      </c>
      <c r="O763" t="s">
        <v>69</v>
      </c>
      <c r="P763" t="s">
        <v>12611</v>
      </c>
      <c r="Q763" t="s">
        <v>352</v>
      </c>
      <c r="R763" t="s">
        <v>69</v>
      </c>
      <c r="S763" t="s">
        <v>69</v>
      </c>
      <c r="T763" t="s">
        <v>8505</v>
      </c>
      <c r="U763" t="s">
        <v>8506</v>
      </c>
      <c r="V763" t="s">
        <v>69</v>
      </c>
      <c r="W763" t="s">
        <v>69</v>
      </c>
      <c r="X763" t="s">
        <v>69</v>
      </c>
      <c r="Y763" t="s">
        <v>69</v>
      </c>
      <c r="Z763" t="s">
        <v>69</v>
      </c>
      <c r="AA763" t="s">
        <v>12612</v>
      </c>
      <c r="AB763" t="s">
        <v>69</v>
      </c>
      <c r="AC763" t="s">
        <v>12613</v>
      </c>
      <c r="AD763" t="s">
        <v>12614</v>
      </c>
      <c r="AE763" t="s">
        <v>69</v>
      </c>
      <c r="AF763" t="s">
        <v>12615</v>
      </c>
      <c r="AG763" t="s">
        <v>12616</v>
      </c>
      <c r="AH763" t="s">
        <v>69</v>
      </c>
      <c r="AI763" t="s">
        <v>12617</v>
      </c>
      <c r="AJ763" t="s">
        <v>12618</v>
      </c>
      <c r="AK763" t="s">
        <v>12619</v>
      </c>
      <c r="AL763" t="s">
        <v>12620</v>
      </c>
      <c r="AM763" t="s">
        <v>69</v>
      </c>
      <c r="AN763">
        <v>32</v>
      </c>
      <c r="AO763">
        <v>1</v>
      </c>
      <c r="AP763">
        <v>1</v>
      </c>
      <c r="AQ763">
        <v>3</v>
      </c>
      <c r="AR763">
        <v>7</v>
      </c>
      <c r="AS763" t="s">
        <v>8924</v>
      </c>
      <c r="AT763" t="s">
        <v>8925</v>
      </c>
      <c r="AU763" t="s">
        <v>8926</v>
      </c>
      <c r="AV763" t="s">
        <v>69</v>
      </c>
      <c r="AW763" t="s">
        <v>354</v>
      </c>
      <c r="AX763" t="s">
        <v>69</v>
      </c>
      <c r="AY763" t="s">
        <v>8958</v>
      </c>
      <c r="AZ763" t="s">
        <v>8434</v>
      </c>
      <c r="BA763" t="s">
        <v>246</v>
      </c>
      <c r="BB763">
        <v>2021</v>
      </c>
      <c r="BC763">
        <v>13</v>
      </c>
      <c r="BD763">
        <v>7</v>
      </c>
      <c r="BE763" t="s">
        <v>69</v>
      </c>
      <c r="BF763" t="s">
        <v>69</v>
      </c>
      <c r="BG763" t="s">
        <v>69</v>
      </c>
      <c r="BH763" t="s">
        <v>69</v>
      </c>
      <c r="BI763" t="s">
        <v>69</v>
      </c>
      <c r="BJ763" t="s">
        <v>69</v>
      </c>
      <c r="BK763">
        <v>3638</v>
      </c>
      <c r="BL763" t="s">
        <v>12621</v>
      </c>
      <c r="BM763" t="str">
        <f>HYPERLINK("http://dx.doi.org/10.3390/su13073638","http://dx.doi.org/10.3390/su13073638")</f>
        <v>http://dx.doi.org/10.3390/su13073638</v>
      </c>
      <c r="BN763" t="s">
        <v>69</v>
      </c>
      <c r="BO763" t="s">
        <v>69</v>
      </c>
      <c r="BP763">
        <v>17</v>
      </c>
      <c r="BQ763" t="s">
        <v>8960</v>
      </c>
      <c r="BR763" t="s">
        <v>8523</v>
      </c>
      <c r="BS763" t="s">
        <v>8961</v>
      </c>
      <c r="BT763" t="s">
        <v>12622</v>
      </c>
      <c r="BU763" t="s">
        <v>12623</v>
      </c>
      <c r="BV763" t="s">
        <v>69</v>
      </c>
      <c r="BW763" t="s">
        <v>8812</v>
      </c>
      <c r="BX763" t="s">
        <v>69</v>
      </c>
      <c r="BY763" t="s">
        <v>69</v>
      </c>
      <c r="BZ763" t="s">
        <v>8526</v>
      </c>
      <c r="CA763" t="str">
        <f>HYPERLINK("https%3A%2F%2Fwww.webofscience.com%2Fwos%2Fwoscc%2Ffull-record%2FWOS:000638920100001","View Full Record in Web of Science")</f>
        <v>View Full Record in Web of Science</v>
      </c>
    </row>
    <row r="764" spans="2:79" ht="12.5" x14ac:dyDescent="0.25">
      <c r="B764" t="s">
        <v>8495</v>
      </c>
      <c r="D764" s="22" t="s">
        <v>32931</v>
      </c>
      <c r="E764" s="7"/>
      <c r="F764" s="7"/>
      <c r="G764" s="7"/>
      <c r="H764" t="s">
        <v>67</v>
      </c>
      <c r="I764" t="s">
        <v>30552</v>
      </c>
      <c r="J764" t="s">
        <v>69</v>
      </c>
      <c r="K764" t="s">
        <v>69</v>
      </c>
      <c r="L764" t="s">
        <v>69</v>
      </c>
      <c r="M764" t="s">
        <v>30552</v>
      </c>
      <c r="N764" t="s">
        <v>69</v>
      </c>
      <c r="O764" t="s">
        <v>69</v>
      </c>
      <c r="P764" t="s">
        <v>30553</v>
      </c>
      <c r="Q764" t="s">
        <v>30554</v>
      </c>
      <c r="R764" t="s">
        <v>69</v>
      </c>
      <c r="S764" t="s">
        <v>69</v>
      </c>
      <c r="T764" t="s">
        <v>8505</v>
      </c>
      <c r="U764" t="s">
        <v>15797</v>
      </c>
      <c r="V764" t="s">
        <v>30555</v>
      </c>
      <c r="W764">
        <v>2003</v>
      </c>
      <c r="X764" t="s">
        <v>30556</v>
      </c>
      <c r="Y764" t="s">
        <v>69</v>
      </c>
      <c r="Z764" t="s">
        <v>69</v>
      </c>
      <c r="AA764" t="s">
        <v>30557</v>
      </c>
      <c r="AB764" t="s">
        <v>30558</v>
      </c>
      <c r="AC764" t="s">
        <v>30559</v>
      </c>
      <c r="AD764" t="s">
        <v>30560</v>
      </c>
      <c r="AE764" t="s">
        <v>69</v>
      </c>
      <c r="AF764" t="s">
        <v>30561</v>
      </c>
      <c r="AG764" t="s">
        <v>30562</v>
      </c>
      <c r="AH764" t="s">
        <v>69</v>
      </c>
      <c r="AI764" t="s">
        <v>69</v>
      </c>
      <c r="AJ764" t="s">
        <v>69</v>
      </c>
      <c r="AK764" t="s">
        <v>69</v>
      </c>
      <c r="AL764" t="s">
        <v>69</v>
      </c>
      <c r="AM764" t="s">
        <v>69</v>
      </c>
      <c r="AN764">
        <v>3</v>
      </c>
      <c r="AO764">
        <v>7</v>
      </c>
      <c r="AP764">
        <v>8</v>
      </c>
      <c r="AQ764">
        <v>0</v>
      </c>
      <c r="AR764">
        <v>3</v>
      </c>
      <c r="AS764" t="s">
        <v>8636</v>
      </c>
      <c r="AT764" t="s">
        <v>8637</v>
      </c>
      <c r="AU764" t="s">
        <v>8638</v>
      </c>
      <c r="AV764" t="s">
        <v>30563</v>
      </c>
      <c r="AW764" t="s">
        <v>69</v>
      </c>
      <c r="AX764" t="s">
        <v>69</v>
      </c>
      <c r="AY764" t="s">
        <v>30564</v>
      </c>
      <c r="AZ764" t="s">
        <v>30565</v>
      </c>
      <c r="BA764" t="s">
        <v>75</v>
      </c>
      <c r="BB764">
        <v>2005</v>
      </c>
      <c r="BC764">
        <v>20</v>
      </c>
      <c r="BD764">
        <v>12</v>
      </c>
      <c r="BE764" t="s">
        <v>69</v>
      </c>
      <c r="BF764" t="s">
        <v>69</v>
      </c>
      <c r="BG764" t="s">
        <v>69</v>
      </c>
      <c r="BH764" t="s">
        <v>69</v>
      </c>
      <c r="BI764">
        <v>1478</v>
      </c>
      <c r="BJ764">
        <v>1485</v>
      </c>
      <c r="BK764" t="s">
        <v>69</v>
      </c>
      <c r="BL764" t="s">
        <v>30566</v>
      </c>
      <c r="BM764" t="str">
        <f>HYPERLINK("http://dx.doi.org/10.1016/j.envsoft.2004.07.018","http://dx.doi.org/10.1016/j.envsoft.2004.07.018")</f>
        <v>http://dx.doi.org/10.1016/j.envsoft.2004.07.018</v>
      </c>
      <c r="BN764" t="s">
        <v>69</v>
      </c>
      <c r="BO764" t="s">
        <v>69</v>
      </c>
      <c r="BP764">
        <v>8</v>
      </c>
      <c r="BQ764" t="s">
        <v>30567</v>
      </c>
      <c r="BR764" t="s">
        <v>29550</v>
      </c>
      <c r="BS764" t="s">
        <v>30568</v>
      </c>
      <c r="BT764" t="s">
        <v>30569</v>
      </c>
      <c r="BU764" t="s">
        <v>30570</v>
      </c>
      <c r="BV764" t="s">
        <v>69</v>
      </c>
      <c r="BW764" t="s">
        <v>69</v>
      </c>
      <c r="BX764" t="s">
        <v>69</v>
      </c>
      <c r="BY764" t="s">
        <v>69</v>
      </c>
      <c r="BZ764" t="s">
        <v>8526</v>
      </c>
      <c r="CA764" t="str">
        <f>HYPERLINK("https%3A%2F%2Fwww.webofscience.com%2Fwos%2Fwoscc%2Ffull-record%2FWOS:000232256300004","View Full Record in Web of Science")</f>
        <v>View Full Record in Web of Science</v>
      </c>
    </row>
    <row r="765" spans="2:79" ht="12.5" x14ac:dyDescent="0.25">
      <c r="B765" t="s">
        <v>8495</v>
      </c>
      <c r="D765" s="22" t="s">
        <v>32931</v>
      </c>
      <c r="E765" s="7"/>
      <c r="F765" s="7"/>
      <c r="G765" s="7"/>
      <c r="H765" t="s">
        <v>67</v>
      </c>
      <c r="I765" t="s">
        <v>28641</v>
      </c>
      <c r="J765" t="s">
        <v>69</v>
      </c>
      <c r="K765" t="s">
        <v>69</v>
      </c>
      <c r="L765" t="s">
        <v>69</v>
      </c>
      <c r="M765" t="s">
        <v>28642</v>
      </c>
      <c r="N765" t="s">
        <v>69</v>
      </c>
      <c r="O765" t="s">
        <v>69</v>
      </c>
      <c r="P765" t="s">
        <v>28643</v>
      </c>
      <c r="Q765" t="s">
        <v>28644</v>
      </c>
      <c r="R765" t="s">
        <v>69</v>
      </c>
      <c r="S765" t="s">
        <v>69</v>
      </c>
      <c r="T765" t="s">
        <v>8505</v>
      </c>
      <c r="U765" t="s">
        <v>8506</v>
      </c>
      <c r="V765" t="s">
        <v>69</v>
      </c>
      <c r="W765" t="s">
        <v>69</v>
      </c>
      <c r="X765" t="s">
        <v>69</v>
      </c>
      <c r="Y765" t="s">
        <v>69</v>
      </c>
      <c r="Z765" t="s">
        <v>69</v>
      </c>
      <c r="AA765" t="s">
        <v>28645</v>
      </c>
      <c r="AB765" t="s">
        <v>69</v>
      </c>
      <c r="AC765" t="s">
        <v>28646</v>
      </c>
      <c r="AD765" t="s">
        <v>28647</v>
      </c>
      <c r="AE765" t="s">
        <v>69</v>
      </c>
      <c r="AF765" t="s">
        <v>28648</v>
      </c>
      <c r="AG765" t="s">
        <v>28649</v>
      </c>
      <c r="AH765" t="s">
        <v>69</v>
      </c>
      <c r="AI765" t="s">
        <v>69</v>
      </c>
      <c r="AJ765" t="s">
        <v>69</v>
      </c>
      <c r="AK765" t="s">
        <v>69</v>
      </c>
      <c r="AL765" t="s">
        <v>69</v>
      </c>
      <c r="AM765" t="s">
        <v>69</v>
      </c>
      <c r="AN765">
        <v>39</v>
      </c>
      <c r="AO765">
        <v>1</v>
      </c>
      <c r="AP765">
        <v>1</v>
      </c>
      <c r="AQ765">
        <v>0</v>
      </c>
      <c r="AR765">
        <v>0</v>
      </c>
      <c r="AS765" t="s">
        <v>8865</v>
      </c>
      <c r="AT765" t="s">
        <v>8612</v>
      </c>
      <c r="AU765" t="s">
        <v>8866</v>
      </c>
      <c r="AV765" t="s">
        <v>28650</v>
      </c>
      <c r="AW765" t="s">
        <v>28651</v>
      </c>
      <c r="AX765" t="s">
        <v>69</v>
      </c>
      <c r="AY765" t="s">
        <v>28652</v>
      </c>
      <c r="AZ765" t="s">
        <v>28653</v>
      </c>
      <c r="BA765" t="s">
        <v>69</v>
      </c>
      <c r="BB765">
        <v>2009</v>
      </c>
      <c r="BC765">
        <v>23</v>
      </c>
      <c r="BD765">
        <v>79</v>
      </c>
      <c r="BE765" t="s">
        <v>69</v>
      </c>
      <c r="BF765" t="s">
        <v>69</v>
      </c>
      <c r="BG765" t="s">
        <v>69</v>
      </c>
      <c r="BH765" t="s">
        <v>69</v>
      </c>
      <c r="BI765">
        <v>13</v>
      </c>
      <c r="BJ765">
        <v>23</v>
      </c>
      <c r="BK765" t="s">
        <v>69</v>
      </c>
      <c r="BL765" t="s">
        <v>28654</v>
      </c>
      <c r="BM765" t="str">
        <f>HYPERLINK("http://dx.doi.org/10.1080/10130950.2009.9676219","http://dx.doi.org/10.1080/10130950.2009.9676219")</f>
        <v>http://dx.doi.org/10.1080/10130950.2009.9676219</v>
      </c>
      <c r="BN765" t="s">
        <v>69</v>
      </c>
      <c r="BO765" t="s">
        <v>69</v>
      </c>
      <c r="BP765">
        <v>11</v>
      </c>
      <c r="BQ765" t="s">
        <v>28655</v>
      </c>
      <c r="BR765" t="s">
        <v>8573</v>
      </c>
      <c r="BS765" t="s">
        <v>28655</v>
      </c>
      <c r="BT765" t="s">
        <v>28656</v>
      </c>
      <c r="BU765" t="s">
        <v>28657</v>
      </c>
      <c r="BV765" t="s">
        <v>69</v>
      </c>
      <c r="BW765" t="s">
        <v>69</v>
      </c>
      <c r="BX765" t="s">
        <v>69</v>
      </c>
      <c r="BY765" t="s">
        <v>69</v>
      </c>
      <c r="BZ765" t="s">
        <v>8526</v>
      </c>
      <c r="CA765" t="str">
        <f>HYPERLINK("https%3A%2F%2Fwww.webofscience.com%2Fwos%2Fwoscc%2Ffull-record%2FWOS:000420272200004","View Full Record in Web of Science")</f>
        <v>View Full Record in Web of Science</v>
      </c>
    </row>
    <row r="766" spans="2:79" ht="12.5" x14ac:dyDescent="0.25">
      <c r="B766" t="s">
        <v>8495</v>
      </c>
      <c r="D766" s="7" t="s">
        <v>32933</v>
      </c>
      <c r="E766" s="7"/>
      <c r="F766" s="7"/>
      <c r="G766" s="7"/>
      <c r="H766" t="s">
        <v>67</v>
      </c>
      <c r="I766" t="s">
        <v>5779</v>
      </c>
      <c r="J766" t="s">
        <v>69</v>
      </c>
      <c r="K766" t="s">
        <v>69</v>
      </c>
      <c r="L766" t="s">
        <v>69</v>
      </c>
      <c r="M766" t="s">
        <v>5780</v>
      </c>
      <c r="N766" t="s">
        <v>69</v>
      </c>
      <c r="O766" t="s">
        <v>69</v>
      </c>
      <c r="P766" t="s">
        <v>5781</v>
      </c>
      <c r="Q766" t="s">
        <v>436</v>
      </c>
      <c r="R766" t="s">
        <v>69</v>
      </c>
      <c r="S766" t="s">
        <v>69</v>
      </c>
      <c r="T766" t="s">
        <v>8505</v>
      </c>
      <c r="U766" t="s">
        <v>8506</v>
      </c>
      <c r="V766" t="s">
        <v>69</v>
      </c>
      <c r="W766" t="s">
        <v>69</v>
      </c>
      <c r="X766" t="s">
        <v>69</v>
      </c>
      <c r="Y766" t="s">
        <v>69</v>
      </c>
      <c r="Z766" t="s">
        <v>69</v>
      </c>
      <c r="AA766" t="s">
        <v>30506</v>
      </c>
      <c r="AB766" t="s">
        <v>17171</v>
      </c>
      <c r="AC766" t="s">
        <v>5782</v>
      </c>
      <c r="AD766" t="s">
        <v>30507</v>
      </c>
      <c r="AE766" t="s">
        <v>69</v>
      </c>
      <c r="AF766" t="s">
        <v>30508</v>
      </c>
      <c r="AG766" t="s">
        <v>30509</v>
      </c>
      <c r="AH766" t="s">
        <v>69</v>
      </c>
      <c r="AI766" t="s">
        <v>30510</v>
      </c>
      <c r="AJ766" t="s">
        <v>69</v>
      </c>
      <c r="AK766" t="s">
        <v>69</v>
      </c>
      <c r="AL766" t="s">
        <v>69</v>
      </c>
      <c r="AM766" t="s">
        <v>69</v>
      </c>
      <c r="AN766">
        <v>33</v>
      </c>
      <c r="AO766">
        <v>31</v>
      </c>
      <c r="AP766">
        <v>33</v>
      </c>
      <c r="AQ766">
        <v>0</v>
      </c>
      <c r="AR766">
        <v>8</v>
      </c>
      <c r="AS766" t="s">
        <v>8636</v>
      </c>
      <c r="AT766" t="s">
        <v>8637</v>
      </c>
      <c r="AU766" t="s">
        <v>8638</v>
      </c>
      <c r="AV766" t="s">
        <v>440</v>
      </c>
      <c r="AW766" t="s">
        <v>441</v>
      </c>
      <c r="AX766" t="s">
        <v>69</v>
      </c>
      <c r="AY766" t="s">
        <v>8639</v>
      </c>
      <c r="AZ766" t="s">
        <v>8640</v>
      </c>
      <c r="BA766" t="s">
        <v>69</v>
      </c>
      <c r="BB766">
        <v>2006</v>
      </c>
      <c r="BC766">
        <v>14</v>
      </c>
      <c r="BD766" t="s">
        <v>5783</v>
      </c>
      <c r="BE766" t="s">
        <v>69</v>
      </c>
      <c r="BF766" t="s">
        <v>69</v>
      </c>
      <c r="BG766" t="s">
        <v>114</v>
      </c>
      <c r="BH766" t="s">
        <v>69</v>
      </c>
      <c r="BI766">
        <v>761</v>
      </c>
      <c r="BJ766">
        <v>768</v>
      </c>
      <c r="BK766" t="s">
        <v>69</v>
      </c>
      <c r="BL766" t="s">
        <v>5784</v>
      </c>
      <c r="BM766" t="str">
        <f>HYPERLINK("http://dx.doi.org/10.1016/j.jclepro.2005.12.007","http://dx.doi.org/10.1016/j.jclepro.2005.12.007")</f>
        <v>http://dx.doi.org/10.1016/j.jclepro.2005.12.007</v>
      </c>
      <c r="BN766" t="s">
        <v>69</v>
      </c>
      <c r="BO766" t="s">
        <v>69</v>
      </c>
      <c r="BP766">
        <v>8</v>
      </c>
      <c r="BQ766" t="s">
        <v>8643</v>
      </c>
      <c r="BR766" t="s">
        <v>8548</v>
      </c>
      <c r="BS766" t="s">
        <v>8644</v>
      </c>
      <c r="BT766" t="s">
        <v>30511</v>
      </c>
      <c r="BU766" t="s">
        <v>5785</v>
      </c>
      <c r="BV766" t="s">
        <v>69</v>
      </c>
      <c r="BW766" t="s">
        <v>69</v>
      </c>
      <c r="BX766" t="s">
        <v>69</v>
      </c>
      <c r="BY766" t="s">
        <v>69</v>
      </c>
      <c r="BZ766" t="s">
        <v>8526</v>
      </c>
      <c r="CA766" t="str">
        <f>HYPERLINK("https%3A%2F%2Fwww.webofscience.com%2Fwos%2Fwoscc%2Ffull-record%2FWOS:000237756800002","View Full Record in Web of Science")</f>
        <v>View Full Record in Web of Science</v>
      </c>
    </row>
    <row r="767" spans="2:79" ht="12.5" x14ac:dyDescent="0.25">
      <c r="B767" t="s">
        <v>8495</v>
      </c>
      <c r="D767" s="7" t="s">
        <v>32933</v>
      </c>
      <c r="E767" s="7"/>
      <c r="F767" s="7"/>
      <c r="G767" s="7"/>
      <c r="H767" t="s">
        <v>67</v>
      </c>
      <c r="I767" t="s">
        <v>545</v>
      </c>
      <c r="J767" t="s">
        <v>69</v>
      </c>
      <c r="K767" t="s">
        <v>69</v>
      </c>
      <c r="L767" t="s">
        <v>69</v>
      </c>
      <c r="M767" t="s">
        <v>546</v>
      </c>
      <c r="N767" t="s">
        <v>69</v>
      </c>
      <c r="O767" t="s">
        <v>69</v>
      </c>
      <c r="P767" t="s">
        <v>547</v>
      </c>
      <c r="Q767" t="s">
        <v>548</v>
      </c>
      <c r="R767" t="s">
        <v>69</v>
      </c>
      <c r="S767" t="s">
        <v>69</v>
      </c>
      <c r="T767" t="s">
        <v>8505</v>
      </c>
      <c r="U767" t="s">
        <v>8506</v>
      </c>
      <c r="V767" t="s">
        <v>69</v>
      </c>
      <c r="W767" t="s">
        <v>69</v>
      </c>
      <c r="X767" t="s">
        <v>69</v>
      </c>
      <c r="Y767" t="s">
        <v>69</v>
      </c>
      <c r="Z767" t="s">
        <v>69</v>
      </c>
      <c r="AA767" t="s">
        <v>69</v>
      </c>
      <c r="AB767" t="s">
        <v>26745</v>
      </c>
      <c r="AC767" t="s">
        <v>549</v>
      </c>
      <c r="AD767" t="s">
        <v>26746</v>
      </c>
      <c r="AE767" t="s">
        <v>69</v>
      </c>
      <c r="AF767" t="s">
        <v>26747</v>
      </c>
      <c r="AG767" t="s">
        <v>26748</v>
      </c>
      <c r="AH767" t="s">
        <v>69</v>
      </c>
      <c r="AI767" t="s">
        <v>69</v>
      </c>
      <c r="AJ767" t="s">
        <v>69</v>
      </c>
      <c r="AK767" t="s">
        <v>69</v>
      </c>
      <c r="AL767" t="s">
        <v>69</v>
      </c>
      <c r="AM767" t="s">
        <v>69</v>
      </c>
      <c r="AN767">
        <v>68</v>
      </c>
      <c r="AO767">
        <v>51</v>
      </c>
      <c r="AP767">
        <v>52</v>
      </c>
      <c r="AQ767">
        <v>1</v>
      </c>
      <c r="AR767">
        <v>44</v>
      </c>
      <c r="AS767" t="s">
        <v>8846</v>
      </c>
      <c r="AT767" t="s">
        <v>8847</v>
      </c>
      <c r="AU767" t="s">
        <v>8848</v>
      </c>
      <c r="AV767" t="s">
        <v>550</v>
      </c>
      <c r="AW767" t="s">
        <v>551</v>
      </c>
      <c r="AX767" t="s">
        <v>69</v>
      </c>
      <c r="AY767" t="s">
        <v>26749</v>
      </c>
      <c r="AZ767" t="s">
        <v>26750</v>
      </c>
      <c r="BA767" t="s">
        <v>381</v>
      </c>
      <c r="BB767">
        <v>2011</v>
      </c>
      <c r="BC767">
        <v>33</v>
      </c>
      <c r="BD767">
        <v>4</v>
      </c>
      <c r="BE767" t="s">
        <v>69</v>
      </c>
      <c r="BF767" t="s">
        <v>69</v>
      </c>
      <c r="BG767" t="s">
        <v>69</v>
      </c>
      <c r="BH767" t="s">
        <v>69</v>
      </c>
      <c r="BI767">
        <v>542</v>
      </c>
      <c r="BJ767">
        <v>575</v>
      </c>
      <c r="BK767" t="s">
        <v>69</v>
      </c>
      <c r="BL767" t="s">
        <v>552</v>
      </c>
      <c r="BM767" t="str">
        <f>HYPERLINK("http://dx.doi.org/10.1111/j.1467-9930.2011.00348.x","http://dx.doi.org/10.1111/j.1467-9930.2011.00348.x")</f>
        <v>http://dx.doi.org/10.1111/j.1467-9930.2011.00348.x</v>
      </c>
      <c r="BN767" t="s">
        <v>69</v>
      </c>
      <c r="BO767" t="s">
        <v>69</v>
      </c>
      <c r="BP767">
        <v>34</v>
      </c>
      <c r="BQ767" t="s">
        <v>8452</v>
      </c>
      <c r="BR767" t="s">
        <v>8661</v>
      </c>
      <c r="BS767" t="s">
        <v>10084</v>
      </c>
      <c r="BT767" t="s">
        <v>26751</v>
      </c>
      <c r="BU767" t="s">
        <v>553</v>
      </c>
      <c r="BV767" t="s">
        <v>69</v>
      </c>
      <c r="BW767" t="s">
        <v>69</v>
      </c>
      <c r="BX767" t="s">
        <v>69</v>
      </c>
      <c r="BY767" t="s">
        <v>69</v>
      </c>
      <c r="BZ767" t="s">
        <v>8526</v>
      </c>
      <c r="CA767" t="str">
        <f>HYPERLINK("https%3A%2F%2Fwww.webofscience.com%2Fwos%2Fwoscc%2Ffull-record%2FWOS:000295057300005","View Full Record in Web of Science")</f>
        <v>View Full Record in Web of Science</v>
      </c>
    </row>
    <row r="768" spans="2:79" ht="12.5" x14ac:dyDescent="0.25">
      <c r="B768" t="s">
        <v>8495</v>
      </c>
      <c r="D768" s="7" t="s">
        <v>32933</v>
      </c>
      <c r="E768" s="7"/>
      <c r="F768" s="7"/>
      <c r="G768" s="7"/>
      <c r="H768" t="s">
        <v>67</v>
      </c>
      <c r="I768" t="s">
        <v>7731</v>
      </c>
      <c r="J768" t="s">
        <v>69</v>
      </c>
      <c r="K768" t="s">
        <v>69</v>
      </c>
      <c r="L768" t="s">
        <v>69</v>
      </c>
      <c r="M768" t="s">
        <v>7732</v>
      </c>
      <c r="N768" t="s">
        <v>69</v>
      </c>
      <c r="O768" t="s">
        <v>69</v>
      </c>
      <c r="P768" t="s">
        <v>7733</v>
      </c>
      <c r="Q768" t="s">
        <v>7734</v>
      </c>
      <c r="R768" t="s">
        <v>69</v>
      </c>
      <c r="S768" t="s">
        <v>69</v>
      </c>
      <c r="T768" t="s">
        <v>8505</v>
      </c>
      <c r="U768" t="s">
        <v>8506</v>
      </c>
      <c r="V768" t="s">
        <v>69</v>
      </c>
      <c r="W768" t="s">
        <v>69</v>
      </c>
      <c r="X768" t="s">
        <v>69</v>
      </c>
      <c r="Y768" t="s">
        <v>69</v>
      </c>
      <c r="Z768" t="s">
        <v>69</v>
      </c>
      <c r="AA768" t="s">
        <v>20893</v>
      </c>
      <c r="AB768" t="s">
        <v>20894</v>
      </c>
      <c r="AC768" t="s">
        <v>7735</v>
      </c>
      <c r="AD768" t="s">
        <v>20895</v>
      </c>
      <c r="AE768" t="s">
        <v>69</v>
      </c>
      <c r="AF768" t="s">
        <v>20896</v>
      </c>
      <c r="AG768" t="s">
        <v>20897</v>
      </c>
      <c r="AH768" t="s">
        <v>7736</v>
      </c>
      <c r="AI768" t="s">
        <v>7737</v>
      </c>
      <c r="AJ768" t="s">
        <v>20898</v>
      </c>
      <c r="AK768" t="s">
        <v>20899</v>
      </c>
      <c r="AL768" t="s">
        <v>20900</v>
      </c>
      <c r="AM768" t="s">
        <v>69</v>
      </c>
      <c r="AN768">
        <v>49</v>
      </c>
      <c r="AO768">
        <v>9</v>
      </c>
      <c r="AP768">
        <v>9</v>
      </c>
      <c r="AQ768">
        <v>2</v>
      </c>
      <c r="AR768">
        <v>15</v>
      </c>
      <c r="AS768" t="s">
        <v>8586</v>
      </c>
      <c r="AT768" t="s">
        <v>8587</v>
      </c>
      <c r="AU768" t="s">
        <v>8588</v>
      </c>
      <c r="AV768" t="s">
        <v>7738</v>
      </c>
      <c r="AW768" t="s">
        <v>7739</v>
      </c>
      <c r="AX768" t="s">
        <v>69</v>
      </c>
      <c r="AY768" t="s">
        <v>7734</v>
      </c>
      <c r="AZ768" t="s">
        <v>20901</v>
      </c>
      <c r="BA768" t="s">
        <v>69</v>
      </c>
      <c r="BB768">
        <v>2017</v>
      </c>
      <c r="BC768">
        <v>19</v>
      </c>
      <c r="BD768">
        <v>2</v>
      </c>
      <c r="BE768" t="s">
        <v>69</v>
      </c>
      <c r="BF768" t="s">
        <v>69</v>
      </c>
      <c r="BG768" t="s">
        <v>114</v>
      </c>
      <c r="BH768" t="s">
        <v>69</v>
      </c>
      <c r="BI768">
        <v>174</v>
      </c>
      <c r="BJ768">
        <v>197</v>
      </c>
      <c r="BK768" t="s">
        <v>69</v>
      </c>
      <c r="BL768" t="s">
        <v>7740</v>
      </c>
      <c r="BM768" t="str">
        <f>HYPERLINK("http://dx.doi.org/10.1108/FS-06-2016-0026","http://dx.doi.org/10.1108/FS-06-2016-0026")</f>
        <v>http://dx.doi.org/10.1108/FS-06-2016-0026</v>
      </c>
      <c r="BN768" t="s">
        <v>69</v>
      </c>
      <c r="BO768" t="s">
        <v>69</v>
      </c>
      <c r="BP768">
        <v>24</v>
      </c>
      <c r="BQ768" t="s">
        <v>14187</v>
      </c>
      <c r="BR768" t="s">
        <v>8573</v>
      </c>
      <c r="BS768" t="s">
        <v>12182</v>
      </c>
      <c r="BT768" t="s">
        <v>20902</v>
      </c>
      <c r="BU768" t="s">
        <v>7741</v>
      </c>
      <c r="BV768" t="s">
        <v>69</v>
      </c>
      <c r="BW768" t="s">
        <v>69</v>
      </c>
      <c r="BX768" t="s">
        <v>69</v>
      </c>
      <c r="BY768" t="s">
        <v>69</v>
      </c>
      <c r="BZ768" t="s">
        <v>8526</v>
      </c>
      <c r="CA768" t="str">
        <f>HYPERLINK("https%3A%2F%2Fwww.webofscience.com%2Fwos%2Fwoscc%2Ffull-record%2FWOS:000402886000006","View Full Record in Web of Science")</f>
        <v>View Full Record in Web of Science</v>
      </c>
    </row>
    <row r="769" spans="1:79" ht="12.5" x14ac:dyDescent="0.25">
      <c r="B769" t="s">
        <v>8495</v>
      </c>
      <c r="D769" s="7" t="s">
        <v>32933</v>
      </c>
      <c r="E769" s="7"/>
      <c r="F769" s="7"/>
      <c r="G769" s="7"/>
      <c r="H769" t="s">
        <v>67</v>
      </c>
      <c r="I769" t="s">
        <v>5042</v>
      </c>
      <c r="J769" t="s">
        <v>69</v>
      </c>
      <c r="K769" t="s">
        <v>69</v>
      </c>
      <c r="L769" t="s">
        <v>69</v>
      </c>
      <c r="M769" t="s">
        <v>5043</v>
      </c>
      <c r="N769" t="s">
        <v>69</v>
      </c>
      <c r="O769" t="s">
        <v>69</v>
      </c>
      <c r="P769" t="s">
        <v>5044</v>
      </c>
      <c r="Q769" t="s">
        <v>5045</v>
      </c>
      <c r="R769" t="s">
        <v>69</v>
      </c>
      <c r="S769" t="s">
        <v>69</v>
      </c>
      <c r="T769" t="s">
        <v>8505</v>
      </c>
      <c r="U769" t="s">
        <v>8506</v>
      </c>
      <c r="V769" t="s">
        <v>69</v>
      </c>
      <c r="W769" t="s">
        <v>69</v>
      </c>
      <c r="X769" t="s">
        <v>69</v>
      </c>
      <c r="Y769" t="s">
        <v>69</v>
      </c>
      <c r="Z769" t="s">
        <v>69</v>
      </c>
      <c r="AA769" t="s">
        <v>19464</v>
      </c>
      <c r="AB769" t="s">
        <v>69</v>
      </c>
      <c r="AC769" t="s">
        <v>5046</v>
      </c>
      <c r="AD769" t="s">
        <v>19465</v>
      </c>
      <c r="AE769" t="s">
        <v>69</v>
      </c>
      <c r="AF769" t="s">
        <v>19466</v>
      </c>
      <c r="AG769" t="s">
        <v>19467</v>
      </c>
      <c r="AH769" t="s">
        <v>5047</v>
      </c>
      <c r="AI769" t="s">
        <v>19468</v>
      </c>
      <c r="AJ769" t="s">
        <v>69</v>
      </c>
      <c r="AK769" t="s">
        <v>69</v>
      </c>
      <c r="AL769" t="s">
        <v>69</v>
      </c>
      <c r="AM769" t="s">
        <v>69</v>
      </c>
      <c r="AN769">
        <v>19</v>
      </c>
      <c r="AO769">
        <v>4</v>
      </c>
      <c r="AP769">
        <v>4</v>
      </c>
      <c r="AQ769">
        <v>1</v>
      </c>
      <c r="AR769">
        <v>14</v>
      </c>
      <c r="AS769" t="s">
        <v>19469</v>
      </c>
      <c r="AT769" t="s">
        <v>19470</v>
      </c>
      <c r="AU769" t="s">
        <v>19471</v>
      </c>
      <c r="AV769" t="s">
        <v>5048</v>
      </c>
      <c r="AW769" t="s">
        <v>5049</v>
      </c>
      <c r="AX769" t="s">
        <v>69</v>
      </c>
      <c r="AY769" t="s">
        <v>19472</v>
      </c>
      <c r="AZ769" t="s">
        <v>19473</v>
      </c>
      <c r="BA769" t="s">
        <v>69</v>
      </c>
      <c r="BB769">
        <v>2018</v>
      </c>
      <c r="BC769">
        <v>4</v>
      </c>
      <c r="BD769">
        <v>1</v>
      </c>
      <c r="BE769" t="s">
        <v>69</v>
      </c>
      <c r="BF769" t="s">
        <v>69</v>
      </c>
      <c r="BG769" t="s">
        <v>69</v>
      </c>
      <c r="BH769" t="s">
        <v>69</v>
      </c>
      <c r="BI769">
        <v>62</v>
      </c>
      <c r="BJ769">
        <v>67</v>
      </c>
      <c r="BK769" t="s">
        <v>69</v>
      </c>
      <c r="BL769" t="s">
        <v>5050</v>
      </c>
      <c r="BM769" t="str">
        <f>HYPERLINK("http://dx.doi.org/10.30525/2256-0742/2018-4-1-62-67","http://dx.doi.org/10.30525/2256-0742/2018-4-1-62-67")</f>
        <v>http://dx.doi.org/10.30525/2256-0742/2018-4-1-62-67</v>
      </c>
      <c r="BN769" t="s">
        <v>69</v>
      </c>
      <c r="BO769" t="s">
        <v>69</v>
      </c>
      <c r="BP769">
        <v>6</v>
      </c>
      <c r="BQ769" t="s">
        <v>9726</v>
      </c>
      <c r="BR769" t="s">
        <v>8573</v>
      </c>
      <c r="BS769" t="s">
        <v>8594</v>
      </c>
      <c r="BT769" t="s">
        <v>19474</v>
      </c>
      <c r="BU769" t="s">
        <v>5051</v>
      </c>
      <c r="BV769" t="s">
        <v>69</v>
      </c>
      <c r="BW769" t="s">
        <v>8931</v>
      </c>
      <c r="BX769" t="s">
        <v>69</v>
      </c>
      <c r="BY769" t="s">
        <v>69</v>
      </c>
      <c r="BZ769" t="s">
        <v>8526</v>
      </c>
      <c r="CA769" t="str">
        <f>HYPERLINK("https%3A%2F%2Fwww.webofscience.com%2Fwos%2Fwoscc%2Ffull-record%2FWOS:000437701000008","View Full Record in Web of Science")</f>
        <v>View Full Record in Web of Science</v>
      </c>
    </row>
    <row r="770" spans="1:79" ht="12.5" x14ac:dyDescent="0.25">
      <c r="B770" t="s">
        <v>8495</v>
      </c>
      <c r="D770" s="7" t="s">
        <v>32933</v>
      </c>
      <c r="E770" s="7"/>
      <c r="F770" s="7"/>
      <c r="G770" s="7"/>
      <c r="H770" t="s">
        <v>67</v>
      </c>
      <c r="I770" t="s">
        <v>1485</v>
      </c>
      <c r="J770" t="s">
        <v>69</v>
      </c>
      <c r="K770" t="s">
        <v>69</v>
      </c>
      <c r="L770" t="s">
        <v>69</v>
      </c>
      <c r="M770" t="s">
        <v>1486</v>
      </c>
      <c r="N770" t="s">
        <v>69</v>
      </c>
      <c r="O770" t="s">
        <v>69</v>
      </c>
      <c r="P770" t="s">
        <v>1487</v>
      </c>
      <c r="Q770" t="s">
        <v>790</v>
      </c>
      <c r="R770" t="s">
        <v>69</v>
      </c>
      <c r="S770" t="s">
        <v>69</v>
      </c>
      <c r="T770" t="s">
        <v>8505</v>
      </c>
      <c r="U770" t="s">
        <v>8506</v>
      </c>
      <c r="V770" t="s">
        <v>69</v>
      </c>
      <c r="W770" t="s">
        <v>69</v>
      </c>
      <c r="X770" t="s">
        <v>69</v>
      </c>
      <c r="Y770" t="s">
        <v>69</v>
      </c>
      <c r="Z770" t="s">
        <v>69</v>
      </c>
      <c r="AA770" t="s">
        <v>26948</v>
      </c>
      <c r="AB770" t="s">
        <v>26949</v>
      </c>
      <c r="AC770" t="s">
        <v>1488</v>
      </c>
      <c r="AD770" t="s">
        <v>26950</v>
      </c>
      <c r="AE770" t="s">
        <v>69</v>
      </c>
      <c r="AF770" t="s">
        <v>26951</v>
      </c>
      <c r="AG770" t="s">
        <v>26952</v>
      </c>
      <c r="AH770" t="s">
        <v>69</v>
      </c>
      <c r="AI770" t="s">
        <v>1489</v>
      </c>
      <c r="AJ770" t="s">
        <v>69</v>
      </c>
      <c r="AK770" t="s">
        <v>69</v>
      </c>
      <c r="AL770" t="s">
        <v>69</v>
      </c>
      <c r="AM770" t="s">
        <v>69</v>
      </c>
      <c r="AN770">
        <v>90</v>
      </c>
      <c r="AO770">
        <v>12</v>
      </c>
      <c r="AP770">
        <v>12</v>
      </c>
      <c r="AQ770">
        <v>1</v>
      </c>
      <c r="AR770">
        <v>29</v>
      </c>
      <c r="AS770" t="s">
        <v>8846</v>
      </c>
      <c r="AT770" t="s">
        <v>8847</v>
      </c>
      <c r="AU770" t="s">
        <v>8848</v>
      </c>
      <c r="AV770" t="s">
        <v>792</v>
      </c>
      <c r="AW770" t="s">
        <v>793</v>
      </c>
      <c r="AX770" t="s">
        <v>69</v>
      </c>
      <c r="AY770" t="s">
        <v>15534</v>
      </c>
      <c r="AZ770" t="s">
        <v>15535</v>
      </c>
      <c r="BA770" t="s">
        <v>84</v>
      </c>
      <c r="BB770">
        <v>2011</v>
      </c>
      <c r="BC770">
        <v>11</v>
      </c>
      <c r="BD770">
        <v>3</v>
      </c>
      <c r="BE770" t="s">
        <v>69</v>
      </c>
      <c r="BF770" t="s">
        <v>69</v>
      </c>
      <c r="BG770" t="s">
        <v>114</v>
      </c>
      <c r="BH770" t="s">
        <v>69</v>
      </c>
      <c r="BI770">
        <v>315</v>
      </c>
      <c r="BJ770">
        <v>333</v>
      </c>
      <c r="BK770" t="s">
        <v>69</v>
      </c>
      <c r="BL770" t="s">
        <v>1490</v>
      </c>
      <c r="BM770" t="str">
        <f>HYPERLINK("http://dx.doi.org/10.1111/j.1471-0374.2011.00328.x","http://dx.doi.org/10.1111/j.1471-0374.2011.00328.x")</f>
        <v>http://dx.doi.org/10.1111/j.1471-0374.2011.00328.x</v>
      </c>
      <c r="BN770" t="s">
        <v>69</v>
      </c>
      <c r="BO770" t="s">
        <v>69</v>
      </c>
      <c r="BP770">
        <v>19</v>
      </c>
      <c r="BQ770" t="s">
        <v>15536</v>
      </c>
      <c r="BR770" t="s">
        <v>8661</v>
      </c>
      <c r="BS770" t="s">
        <v>15536</v>
      </c>
      <c r="BT770" t="s">
        <v>26953</v>
      </c>
      <c r="BU770" t="s">
        <v>1491</v>
      </c>
      <c r="BV770" t="s">
        <v>69</v>
      </c>
      <c r="BW770" t="s">
        <v>69</v>
      </c>
      <c r="BX770" t="s">
        <v>69</v>
      </c>
      <c r="BY770" t="s">
        <v>69</v>
      </c>
      <c r="BZ770" t="s">
        <v>8526</v>
      </c>
      <c r="CA770" t="str">
        <f>HYPERLINK("https%3A%2F%2Fwww.webofscience.com%2Fwos%2Fwoscc%2Ffull-record%2FWOS:000291221400003","View Full Record in Web of Science")</f>
        <v>View Full Record in Web of Science</v>
      </c>
    </row>
    <row r="771" spans="1:79" x14ac:dyDescent="0.3">
      <c r="A771" t="s">
        <v>8408</v>
      </c>
      <c r="B771" t="s">
        <v>8495</v>
      </c>
      <c r="D771" s="10" t="s">
        <v>33180</v>
      </c>
      <c r="F771" s="10" t="s">
        <v>8490</v>
      </c>
      <c r="H771" t="s">
        <v>67</v>
      </c>
      <c r="I771" t="s">
        <v>2355</v>
      </c>
      <c r="J771" t="s">
        <v>69</v>
      </c>
      <c r="K771" t="s">
        <v>69</v>
      </c>
      <c r="L771" t="s">
        <v>69</v>
      </c>
      <c r="M771" s="2" t="s">
        <v>2356</v>
      </c>
      <c r="N771" t="s">
        <v>69</v>
      </c>
      <c r="O771" t="s">
        <v>69</v>
      </c>
      <c r="P771" s="2" t="s">
        <v>2357</v>
      </c>
      <c r="Q771" t="s">
        <v>582</v>
      </c>
      <c r="R771" t="s">
        <v>69</v>
      </c>
      <c r="S771" t="s">
        <v>69</v>
      </c>
      <c r="T771" t="s">
        <v>8505</v>
      </c>
      <c r="U771" t="s">
        <v>8506</v>
      </c>
      <c r="V771" t="s">
        <v>69</v>
      </c>
      <c r="W771" t="s">
        <v>69</v>
      </c>
      <c r="X771" t="s">
        <v>69</v>
      </c>
      <c r="Y771" t="s">
        <v>69</v>
      </c>
      <c r="Z771" t="s">
        <v>69</v>
      </c>
      <c r="AA771" t="s">
        <v>18242</v>
      </c>
      <c r="AB771" t="s">
        <v>18243</v>
      </c>
      <c r="AC771" t="s">
        <v>2358</v>
      </c>
      <c r="AD771" t="s">
        <v>18244</v>
      </c>
      <c r="AE771" t="s">
        <v>69</v>
      </c>
      <c r="AF771" t="s">
        <v>18245</v>
      </c>
      <c r="AG771" t="s">
        <v>12162</v>
      </c>
      <c r="AH771" t="s">
        <v>806</v>
      </c>
      <c r="AI771" t="s">
        <v>69</v>
      </c>
      <c r="AJ771" t="s">
        <v>69</v>
      </c>
      <c r="AK771" t="s">
        <v>69</v>
      </c>
      <c r="AL771" t="s">
        <v>69</v>
      </c>
      <c r="AM771" t="s">
        <v>69</v>
      </c>
      <c r="AN771">
        <v>59</v>
      </c>
      <c r="AO771">
        <v>6</v>
      </c>
      <c r="AP771">
        <v>6</v>
      </c>
      <c r="AQ771">
        <v>0</v>
      </c>
      <c r="AR771">
        <v>4</v>
      </c>
      <c r="AS771" t="s">
        <v>8692</v>
      </c>
      <c r="AT771" t="s">
        <v>8693</v>
      </c>
      <c r="AU771" t="s">
        <v>18139</v>
      </c>
      <c r="AV771" t="s">
        <v>584</v>
      </c>
      <c r="AW771" t="s">
        <v>585</v>
      </c>
      <c r="AX771" t="s">
        <v>69</v>
      </c>
      <c r="AY771" t="s">
        <v>8695</v>
      </c>
      <c r="AZ771" t="s">
        <v>8696</v>
      </c>
      <c r="BA771" t="s">
        <v>274</v>
      </c>
      <c r="BB771">
        <v>2018</v>
      </c>
      <c r="BC771">
        <v>73</v>
      </c>
      <c r="BD771" t="s">
        <v>69</v>
      </c>
      <c r="BE771" t="s">
        <v>69</v>
      </c>
      <c r="BF771" t="s">
        <v>69</v>
      </c>
      <c r="BG771" t="s">
        <v>69</v>
      </c>
      <c r="BH771" t="s">
        <v>69</v>
      </c>
      <c r="BI771">
        <v>201</v>
      </c>
      <c r="BJ771">
        <v>209</v>
      </c>
      <c r="BK771" t="s">
        <v>69</v>
      </c>
      <c r="BL771" t="s">
        <v>2360</v>
      </c>
      <c r="BM771" t="str">
        <f>HYPERLINK("http://dx.doi.org/10.1016/j.eiar.2018.09.001","http://dx.doi.org/10.1016/j.eiar.2018.09.001")</f>
        <v>http://dx.doi.org/10.1016/j.eiar.2018.09.001</v>
      </c>
      <c r="BN771" t="s">
        <v>69</v>
      </c>
      <c r="BO771" t="s">
        <v>69</v>
      </c>
      <c r="BP771">
        <v>9</v>
      </c>
      <c r="BQ771" t="s">
        <v>8660</v>
      </c>
      <c r="BR771" t="s">
        <v>8661</v>
      </c>
      <c r="BS771" t="s">
        <v>8662</v>
      </c>
      <c r="BT771" t="s">
        <v>18140</v>
      </c>
      <c r="BU771" t="s">
        <v>2361</v>
      </c>
      <c r="BV771" t="s">
        <v>69</v>
      </c>
      <c r="BW771" t="s">
        <v>69</v>
      </c>
      <c r="BX771" t="s">
        <v>69</v>
      </c>
      <c r="BY771" t="s">
        <v>69</v>
      </c>
      <c r="BZ771" t="s">
        <v>8526</v>
      </c>
      <c r="CA771" t="str">
        <f>HYPERLINK("https%3A%2F%2Fwww.webofscience.com%2Fwos%2Fwoscc%2Ffull-record%2FWOS:000447480100018","View Full Record in Web of Science")</f>
        <v>View Full Record in Web of Science</v>
      </c>
    </row>
    <row r="772" spans="1:79" ht="12.5" x14ac:dyDescent="0.25">
      <c r="B772" t="s">
        <v>8495</v>
      </c>
      <c r="D772" s="22" t="s">
        <v>32931</v>
      </c>
      <c r="E772" s="7"/>
      <c r="F772" s="7"/>
      <c r="G772" s="7"/>
      <c r="H772" t="s">
        <v>67</v>
      </c>
      <c r="I772" t="s">
        <v>29085</v>
      </c>
      <c r="J772" t="s">
        <v>69</v>
      </c>
      <c r="K772" t="s">
        <v>69</v>
      </c>
      <c r="L772" t="s">
        <v>69</v>
      </c>
      <c r="M772" t="s">
        <v>29086</v>
      </c>
      <c r="N772" t="s">
        <v>69</v>
      </c>
      <c r="O772" t="s">
        <v>69</v>
      </c>
      <c r="P772" t="s">
        <v>29087</v>
      </c>
      <c r="Q772" t="s">
        <v>29088</v>
      </c>
      <c r="R772" t="s">
        <v>69</v>
      </c>
      <c r="S772" t="s">
        <v>69</v>
      </c>
      <c r="T772" t="s">
        <v>8505</v>
      </c>
      <c r="U772" t="s">
        <v>8506</v>
      </c>
      <c r="V772" t="s">
        <v>69</v>
      </c>
      <c r="W772" t="s">
        <v>69</v>
      </c>
      <c r="X772" t="s">
        <v>69</v>
      </c>
      <c r="Y772" t="s">
        <v>69</v>
      </c>
      <c r="Z772" t="s">
        <v>69</v>
      </c>
      <c r="AA772" t="s">
        <v>29089</v>
      </c>
      <c r="AB772" t="s">
        <v>69</v>
      </c>
      <c r="AC772" t="s">
        <v>29090</v>
      </c>
      <c r="AD772" t="s">
        <v>29091</v>
      </c>
      <c r="AE772" t="s">
        <v>69</v>
      </c>
      <c r="AF772" t="s">
        <v>29092</v>
      </c>
      <c r="AG772" t="s">
        <v>29093</v>
      </c>
      <c r="AH772" t="s">
        <v>69</v>
      </c>
      <c r="AI772" t="s">
        <v>69</v>
      </c>
      <c r="AJ772" t="s">
        <v>69</v>
      </c>
      <c r="AK772" t="s">
        <v>69</v>
      </c>
      <c r="AL772" t="s">
        <v>69</v>
      </c>
      <c r="AM772" t="s">
        <v>69</v>
      </c>
      <c r="AN772">
        <v>14</v>
      </c>
      <c r="AO772">
        <v>1</v>
      </c>
      <c r="AP772">
        <v>1</v>
      </c>
      <c r="AQ772">
        <v>0</v>
      </c>
      <c r="AR772">
        <v>1</v>
      </c>
      <c r="AS772" t="s">
        <v>8846</v>
      </c>
      <c r="AT772" t="s">
        <v>8847</v>
      </c>
      <c r="AU772" t="s">
        <v>8848</v>
      </c>
      <c r="AV772" t="s">
        <v>29094</v>
      </c>
      <c r="AW772" t="s">
        <v>29095</v>
      </c>
      <c r="AX772" t="s">
        <v>69</v>
      </c>
      <c r="AY772" t="s">
        <v>29096</v>
      </c>
      <c r="AZ772" t="s">
        <v>29097</v>
      </c>
      <c r="BA772" t="s">
        <v>381</v>
      </c>
      <c r="BB772">
        <v>2008</v>
      </c>
      <c r="BC772">
        <v>43</v>
      </c>
      <c r="BD772">
        <v>4</v>
      </c>
      <c r="BE772" t="s">
        <v>69</v>
      </c>
      <c r="BF772" t="s">
        <v>69</v>
      </c>
      <c r="BG772" t="s">
        <v>69</v>
      </c>
      <c r="BH772" t="s">
        <v>69</v>
      </c>
      <c r="BI772">
        <v>171</v>
      </c>
      <c r="BJ772">
        <v>176</v>
      </c>
      <c r="BK772" t="s">
        <v>69</v>
      </c>
      <c r="BL772" t="s">
        <v>29098</v>
      </c>
      <c r="BM772" t="str">
        <f>HYPERLINK("http://dx.doi.org/10.1111/j.1744-6198.2008.00111.x","http://dx.doi.org/10.1111/j.1744-6198.2008.00111.x")</f>
        <v>http://dx.doi.org/10.1111/j.1744-6198.2008.00111.x</v>
      </c>
      <c r="BN772" t="s">
        <v>69</v>
      </c>
      <c r="BO772" t="s">
        <v>69</v>
      </c>
      <c r="BP772">
        <v>6</v>
      </c>
      <c r="BQ772" t="s">
        <v>16902</v>
      </c>
      <c r="BR772" t="s">
        <v>8573</v>
      </c>
      <c r="BS772" t="s">
        <v>16902</v>
      </c>
      <c r="BT772" t="s">
        <v>29099</v>
      </c>
      <c r="BU772" t="s">
        <v>29100</v>
      </c>
      <c r="BV772">
        <v>19076461</v>
      </c>
      <c r="BW772" t="s">
        <v>69</v>
      </c>
      <c r="BX772" t="s">
        <v>69</v>
      </c>
      <c r="BY772" t="s">
        <v>69</v>
      </c>
      <c r="BZ772" t="s">
        <v>8526</v>
      </c>
      <c r="CA772" t="str">
        <f>HYPERLINK("https%3A%2F%2Fwww.webofscience.com%2Fwos%2Fwoscc%2Ffull-record%2FWOS:000212123600002","View Full Record in Web of Science")</f>
        <v>View Full Record in Web of Science</v>
      </c>
    </row>
    <row r="773" spans="1:79" ht="12.5" x14ac:dyDescent="0.25">
      <c r="B773" t="s">
        <v>8495</v>
      </c>
      <c r="D773" s="7" t="s">
        <v>32933</v>
      </c>
      <c r="E773" s="7"/>
      <c r="F773" s="7"/>
      <c r="G773" s="7"/>
      <c r="H773" t="s">
        <v>67</v>
      </c>
      <c r="I773" t="s">
        <v>349</v>
      </c>
      <c r="J773" t="s">
        <v>69</v>
      </c>
      <c r="K773" t="s">
        <v>69</v>
      </c>
      <c r="L773" t="s">
        <v>69</v>
      </c>
      <c r="M773" t="s">
        <v>350</v>
      </c>
      <c r="N773" t="s">
        <v>69</v>
      </c>
      <c r="O773" t="s">
        <v>69</v>
      </c>
      <c r="P773" t="s">
        <v>351</v>
      </c>
      <c r="Q773" t="s">
        <v>352</v>
      </c>
      <c r="R773" t="s">
        <v>69</v>
      </c>
      <c r="S773" t="s">
        <v>69</v>
      </c>
      <c r="T773" t="s">
        <v>8505</v>
      </c>
      <c r="U773" t="s">
        <v>8506</v>
      </c>
      <c r="V773" t="s">
        <v>69</v>
      </c>
      <c r="W773" t="s">
        <v>69</v>
      </c>
      <c r="X773" t="s">
        <v>69</v>
      </c>
      <c r="Y773" t="s">
        <v>69</v>
      </c>
      <c r="Z773" t="s">
        <v>69</v>
      </c>
      <c r="AA773" t="s">
        <v>16967</v>
      </c>
      <c r="AB773" t="s">
        <v>16968</v>
      </c>
      <c r="AC773" t="s">
        <v>353</v>
      </c>
      <c r="AD773" t="s">
        <v>16969</v>
      </c>
      <c r="AE773" t="s">
        <v>69</v>
      </c>
      <c r="AF773" t="s">
        <v>16970</v>
      </c>
      <c r="AG773" t="s">
        <v>16971</v>
      </c>
      <c r="AH773" t="s">
        <v>69</v>
      </c>
      <c r="AI773" t="s">
        <v>16972</v>
      </c>
      <c r="AJ773" t="s">
        <v>16973</v>
      </c>
      <c r="AK773" t="s">
        <v>16974</v>
      </c>
      <c r="AL773" t="s">
        <v>16975</v>
      </c>
      <c r="AM773" t="s">
        <v>69</v>
      </c>
      <c r="AN773">
        <v>74</v>
      </c>
      <c r="AO773">
        <v>1</v>
      </c>
      <c r="AP773">
        <v>1</v>
      </c>
      <c r="AQ773">
        <v>2</v>
      </c>
      <c r="AR773">
        <v>13</v>
      </c>
      <c r="AS773" t="s">
        <v>8924</v>
      </c>
      <c r="AT773" t="s">
        <v>8925</v>
      </c>
      <c r="AU773" t="s">
        <v>8926</v>
      </c>
      <c r="AV773" t="s">
        <v>69</v>
      </c>
      <c r="AW773" t="s">
        <v>354</v>
      </c>
      <c r="AX773" t="s">
        <v>69</v>
      </c>
      <c r="AY773" t="s">
        <v>8958</v>
      </c>
      <c r="AZ773" t="s">
        <v>8434</v>
      </c>
      <c r="BA773" t="s">
        <v>201</v>
      </c>
      <c r="BB773">
        <v>2019</v>
      </c>
      <c r="BC773">
        <v>11</v>
      </c>
      <c r="BD773">
        <v>16</v>
      </c>
      <c r="BE773" t="s">
        <v>69</v>
      </c>
      <c r="BF773" t="s">
        <v>69</v>
      </c>
      <c r="BG773" t="s">
        <v>69</v>
      </c>
      <c r="BH773" t="s">
        <v>69</v>
      </c>
      <c r="BI773" t="s">
        <v>69</v>
      </c>
      <c r="BJ773" t="s">
        <v>69</v>
      </c>
      <c r="BK773">
        <v>4303</v>
      </c>
      <c r="BL773" t="s">
        <v>355</v>
      </c>
      <c r="BM773" t="str">
        <f>HYPERLINK("http://dx.doi.org/10.3390/su11164303","http://dx.doi.org/10.3390/su11164303")</f>
        <v>http://dx.doi.org/10.3390/su11164303</v>
      </c>
      <c r="BN773" t="s">
        <v>69</v>
      </c>
      <c r="BO773" t="s">
        <v>69</v>
      </c>
      <c r="BP773">
        <v>20</v>
      </c>
      <c r="BQ773" t="s">
        <v>8960</v>
      </c>
      <c r="BR773" t="s">
        <v>8523</v>
      </c>
      <c r="BS773" t="s">
        <v>8961</v>
      </c>
      <c r="BT773" t="s">
        <v>16976</v>
      </c>
      <c r="BU773" t="s">
        <v>356</v>
      </c>
      <c r="BV773" t="s">
        <v>69</v>
      </c>
      <c r="BW773" t="s">
        <v>10482</v>
      </c>
      <c r="BX773" t="s">
        <v>69</v>
      </c>
      <c r="BY773" t="s">
        <v>69</v>
      </c>
      <c r="BZ773" t="s">
        <v>8526</v>
      </c>
      <c r="CA773" t="str">
        <f>HYPERLINK("https%3A%2F%2Fwww.webofscience.com%2Fwos%2Fwoscc%2Ffull-record%2FWOS:000484472500048","View Full Record in Web of Science")</f>
        <v>View Full Record in Web of Science</v>
      </c>
    </row>
    <row r="774" spans="1:79" ht="12.5" x14ac:dyDescent="0.25">
      <c r="B774" t="s">
        <v>8495</v>
      </c>
      <c r="D774" s="22" t="s">
        <v>32931</v>
      </c>
      <c r="E774" s="7"/>
      <c r="F774" s="7"/>
      <c r="G774" s="7"/>
      <c r="H774" t="s">
        <v>67</v>
      </c>
      <c r="I774" t="s">
        <v>25804</v>
      </c>
      <c r="J774" t="s">
        <v>69</v>
      </c>
      <c r="K774" t="s">
        <v>69</v>
      </c>
      <c r="L774" t="s">
        <v>69</v>
      </c>
      <c r="M774" t="s">
        <v>25805</v>
      </c>
      <c r="N774" t="s">
        <v>69</v>
      </c>
      <c r="O774" t="s">
        <v>69</v>
      </c>
      <c r="P774" t="s">
        <v>25806</v>
      </c>
      <c r="Q774" t="s">
        <v>25807</v>
      </c>
      <c r="R774" t="s">
        <v>69</v>
      </c>
      <c r="S774" t="s">
        <v>69</v>
      </c>
      <c r="T774" t="s">
        <v>8505</v>
      </c>
      <c r="U774" t="s">
        <v>8506</v>
      </c>
      <c r="V774" t="s">
        <v>69</v>
      </c>
      <c r="W774" t="s">
        <v>69</v>
      </c>
      <c r="X774" t="s">
        <v>69</v>
      </c>
      <c r="Y774" t="s">
        <v>69</v>
      </c>
      <c r="Z774" t="s">
        <v>69</v>
      </c>
      <c r="AA774" t="s">
        <v>25808</v>
      </c>
      <c r="AB774" t="s">
        <v>69</v>
      </c>
      <c r="AC774" t="s">
        <v>25809</v>
      </c>
      <c r="AD774" t="s">
        <v>25810</v>
      </c>
      <c r="AE774" t="s">
        <v>69</v>
      </c>
      <c r="AF774" t="s">
        <v>25811</v>
      </c>
      <c r="AG774" t="s">
        <v>25812</v>
      </c>
      <c r="AH774" t="s">
        <v>69</v>
      </c>
      <c r="AI774" t="s">
        <v>69</v>
      </c>
      <c r="AJ774" t="s">
        <v>69</v>
      </c>
      <c r="AK774" t="s">
        <v>69</v>
      </c>
      <c r="AL774" t="s">
        <v>69</v>
      </c>
      <c r="AM774" t="s">
        <v>69</v>
      </c>
      <c r="AN774">
        <v>24</v>
      </c>
      <c r="AO774">
        <v>8</v>
      </c>
      <c r="AP774">
        <v>8</v>
      </c>
      <c r="AQ774">
        <v>1</v>
      </c>
      <c r="AR774">
        <v>37</v>
      </c>
      <c r="AS774" t="s">
        <v>8762</v>
      </c>
      <c r="AT774" t="s">
        <v>8763</v>
      </c>
      <c r="AU774" t="s">
        <v>8764</v>
      </c>
      <c r="AV774" t="s">
        <v>25813</v>
      </c>
      <c r="AW774" t="s">
        <v>69</v>
      </c>
      <c r="AX774" t="s">
        <v>69</v>
      </c>
      <c r="AY774" t="s">
        <v>25814</v>
      </c>
      <c r="AZ774" t="s">
        <v>25815</v>
      </c>
      <c r="BA774" t="s">
        <v>255</v>
      </c>
      <c r="BB774">
        <v>2012</v>
      </c>
      <c r="BC774">
        <v>12</v>
      </c>
      <c r="BD774">
        <v>4</v>
      </c>
      <c r="BE774" t="s">
        <v>69</v>
      </c>
      <c r="BF774" t="s">
        <v>69</v>
      </c>
      <c r="BG774" t="s">
        <v>114</v>
      </c>
      <c r="BH774" t="s">
        <v>69</v>
      </c>
      <c r="BI774">
        <v>377</v>
      </c>
      <c r="BJ774">
        <v>396</v>
      </c>
      <c r="BK774" t="s">
        <v>69</v>
      </c>
      <c r="BL774" t="s">
        <v>25816</v>
      </c>
      <c r="BM774" t="str">
        <f>HYPERLINK("http://dx.doi.org/10.1177/1748895812452280","http://dx.doi.org/10.1177/1748895812452280")</f>
        <v>http://dx.doi.org/10.1177/1748895812452280</v>
      </c>
      <c r="BN774" t="s">
        <v>69</v>
      </c>
      <c r="BO774" t="s">
        <v>69</v>
      </c>
      <c r="BP774">
        <v>20</v>
      </c>
      <c r="BQ774" t="s">
        <v>19122</v>
      </c>
      <c r="BR774" t="s">
        <v>8661</v>
      </c>
      <c r="BS774" t="s">
        <v>19122</v>
      </c>
      <c r="BT774" t="s">
        <v>25817</v>
      </c>
      <c r="BU774" t="s">
        <v>25818</v>
      </c>
      <c r="BV774" t="s">
        <v>69</v>
      </c>
      <c r="BW774" t="s">
        <v>69</v>
      </c>
      <c r="BX774" t="s">
        <v>69</v>
      </c>
      <c r="BY774" t="s">
        <v>69</v>
      </c>
      <c r="BZ774" t="s">
        <v>8526</v>
      </c>
      <c r="CA774" t="str">
        <f>HYPERLINK("https%3A%2F%2Fwww.webofscience.com%2Fwos%2Fwoscc%2Ffull-record%2FWOS:000308410800003","View Full Record in Web of Science")</f>
        <v>View Full Record in Web of Science</v>
      </c>
    </row>
    <row r="775" spans="1:79" x14ac:dyDescent="0.3">
      <c r="B775" t="s">
        <v>8495</v>
      </c>
      <c r="D775" s="9" t="s">
        <v>32972</v>
      </c>
      <c r="G775" s="9" t="s">
        <v>33056</v>
      </c>
      <c r="H775" t="s">
        <v>67</v>
      </c>
      <c r="I775" t="s">
        <v>32912</v>
      </c>
      <c r="J775" t="s">
        <v>69</v>
      </c>
      <c r="K775" t="s">
        <v>69</v>
      </c>
      <c r="L775" t="s">
        <v>69</v>
      </c>
      <c r="M775" t="s">
        <v>32912</v>
      </c>
      <c r="N775" t="s">
        <v>69</v>
      </c>
      <c r="O775" t="s">
        <v>69</v>
      </c>
      <c r="P775" t="s">
        <v>32913</v>
      </c>
      <c r="Q775" t="s">
        <v>32914</v>
      </c>
      <c r="R775" t="s">
        <v>69</v>
      </c>
      <c r="S775" t="s">
        <v>69</v>
      </c>
      <c r="T775" t="s">
        <v>8505</v>
      </c>
      <c r="U775" t="s">
        <v>50</v>
      </c>
      <c r="V775" t="s">
        <v>69</v>
      </c>
      <c r="W775" t="s">
        <v>69</v>
      </c>
      <c r="X775" t="s">
        <v>69</v>
      </c>
      <c r="Y775" t="s">
        <v>69</v>
      </c>
      <c r="Z775" t="s">
        <v>69</v>
      </c>
      <c r="AA775" t="s">
        <v>69</v>
      </c>
      <c r="AB775" t="s">
        <v>69</v>
      </c>
      <c r="AC775" t="s">
        <v>69</v>
      </c>
      <c r="AD775" t="s">
        <v>32915</v>
      </c>
      <c r="AE775" t="s">
        <v>69</v>
      </c>
      <c r="AF775" t="s">
        <v>69</v>
      </c>
      <c r="AG775" t="s">
        <v>69</v>
      </c>
      <c r="AH775" t="s">
        <v>69</v>
      </c>
      <c r="AI775" t="s">
        <v>69</v>
      </c>
      <c r="AJ775" t="s">
        <v>69</v>
      </c>
      <c r="AK775" t="s">
        <v>69</v>
      </c>
      <c r="AL775" t="s">
        <v>69</v>
      </c>
      <c r="AM775" t="s">
        <v>69</v>
      </c>
      <c r="AN775">
        <v>0</v>
      </c>
      <c r="AO775">
        <v>0</v>
      </c>
      <c r="AP775">
        <v>0</v>
      </c>
      <c r="AQ775">
        <v>0</v>
      </c>
      <c r="AR775">
        <v>0</v>
      </c>
      <c r="AS775" t="s">
        <v>8734</v>
      </c>
      <c r="AT775" t="s">
        <v>8735</v>
      </c>
      <c r="AU775" t="s">
        <v>32916</v>
      </c>
      <c r="AV775" t="s">
        <v>32917</v>
      </c>
      <c r="AW775" t="s">
        <v>69</v>
      </c>
      <c r="AX775" t="s">
        <v>69</v>
      </c>
      <c r="AY775" t="s">
        <v>32918</v>
      </c>
      <c r="AZ775" t="s">
        <v>32919</v>
      </c>
      <c r="BA775" t="s">
        <v>32920</v>
      </c>
      <c r="BB775">
        <v>1988</v>
      </c>
      <c r="BC775">
        <v>196</v>
      </c>
      <c r="BD775" t="s">
        <v>69</v>
      </c>
      <c r="BE775" t="s">
        <v>69</v>
      </c>
      <c r="BF775" t="s">
        <v>69</v>
      </c>
      <c r="BG775" t="s">
        <v>69</v>
      </c>
      <c r="BH775" t="s">
        <v>69</v>
      </c>
      <c r="BI775">
        <v>14</v>
      </c>
      <c r="BJ775" t="s">
        <v>32921</v>
      </c>
      <c r="BK775" t="s">
        <v>69</v>
      </c>
      <c r="BL775" t="s">
        <v>69</v>
      </c>
      <c r="BM775" t="s">
        <v>69</v>
      </c>
      <c r="BN775" t="s">
        <v>69</v>
      </c>
      <c r="BO775" t="s">
        <v>69</v>
      </c>
      <c r="BP775">
        <v>0</v>
      </c>
      <c r="BQ775" t="s">
        <v>29452</v>
      </c>
      <c r="BR775" t="s">
        <v>8523</v>
      </c>
      <c r="BS775" t="s">
        <v>29453</v>
      </c>
      <c r="BT775" t="s">
        <v>32922</v>
      </c>
      <c r="BU775" t="s">
        <v>32923</v>
      </c>
      <c r="BV775" t="s">
        <v>69</v>
      </c>
      <c r="BW775" t="s">
        <v>69</v>
      </c>
      <c r="BX775" t="s">
        <v>69</v>
      </c>
      <c r="BY775" t="s">
        <v>69</v>
      </c>
      <c r="BZ775" t="s">
        <v>8526</v>
      </c>
      <c r="CA775" t="str">
        <f>HYPERLINK("https%3A%2F%2Fwww.webofscience.com%2Fwos%2Fwoscc%2Ffull-record%2FWOS:A1988P814201745","View Full Record in Web of Science")</f>
        <v>View Full Record in Web of Science</v>
      </c>
    </row>
    <row r="776" spans="1:79" x14ac:dyDescent="0.3">
      <c r="B776" t="s">
        <v>8495</v>
      </c>
      <c r="D776" s="9" t="s">
        <v>32948</v>
      </c>
      <c r="E776" s="9" t="s">
        <v>33064</v>
      </c>
      <c r="G776" s="9" t="s">
        <v>8490</v>
      </c>
      <c r="H776" t="s">
        <v>67</v>
      </c>
      <c r="I776" t="s">
        <v>15752</v>
      </c>
      <c r="J776" t="s">
        <v>69</v>
      </c>
      <c r="K776" t="s">
        <v>69</v>
      </c>
      <c r="L776" t="s">
        <v>69</v>
      </c>
      <c r="M776" t="s">
        <v>15753</v>
      </c>
      <c r="N776" t="s">
        <v>69</v>
      </c>
      <c r="O776" t="s">
        <v>69</v>
      </c>
      <c r="P776" t="s">
        <v>15754</v>
      </c>
      <c r="Q776" t="s">
        <v>2475</v>
      </c>
      <c r="R776" t="s">
        <v>69</v>
      </c>
      <c r="S776" t="s">
        <v>69</v>
      </c>
      <c r="T776" t="s">
        <v>8505</v>
      </c>
      <c r="U776" t="s">
        <v>8506</v>
      </c>
      <c r="V776" t="s">
        <v>69</v>
      </c>
      <c r="W776" t="s">
        <v>69</v>
      </c>
      <c r="X776" t="s">
        <v>69</v>
      </c>
      <c r="Y776" t="s">
        <v>69</v>
      </c>
      <c r="Z776" t="s">
        <v>69</v>
      </c>
      <c r="AA776" t="s">
        <v>15755</v>
      </c>
      <c r="AB776" t="s">
        <v>15756</v>
      </c>
      <c r="AC776" t="s">
        <v>15757</v>
      </c>
      <c r="AD776" t="s">
        <v>15758</v>
      </c>
      <c r="AE776" t="s">
        <v>69</v>
      </c>
      <c r="AF776" t="s">
        <v>15759</v>
      </c>
      <c r="AG776" t="s">
        <v>15760</v>
      </c>
      <c r="AH776" t="s">
        <v>15761</v>
      </c>
      <c r="AI776" t="s">
        <v>15762</v>
      </c>
      <c r="AJ776" t="s">
        <v>69</v>
      </c>
      <c r="AK776" t="s">
        <v>69</v>
      </c>
      <c r="AL776" t="s">
        <v>69</v>
      </c>
      <c r="AM776" t="s">
        <v>69</v>
      </c>
      <c r="AN776">
        <v>67</v>
      </c>
      <c r="AO776">
        <v>7</v>
      </c>
      <c r="AP776">
        <v>7</v>
      </c>
      <c r="AQ776">
        <v>5</v>
      </c>
      <c r="AR776">
        <v>19</v>
      </c>
      <c r="AS776" t="s">
        <v>8586</v>
      </c>
      <c r="AT776" t="s">
        <v>8587</v>
      </c>
      <c r="AU776" t="s">
        <v>8588</v>
      </c>
      <c r="AV776" t="s">
        <v>2479</v>
      </c>
      <c r="AW776" t="s">
        <v>69</v>
      </c>
      <c r="AX776" t="s">
        <v>69</v>
      </c>
      <c r="AY776" t="s">
        <v>9888</v>
      </c>
      <c r="AZ776" t="s">
        <v>9889</v>
      </c>
      <c r="BA776" t="s">
        <v>10973</v>
      </c>
      <c r="BB776">
        <v>2020</v>
      </c>
      <c r="BC776">
        <v>18</v>
      </c>
      <c r="BD776">
        <v>6</v>
      </c>
      <c r="BE776" t="s">
        <v>69</v>
      </c>
      <c r="BF776" t="s">
        <v>69</v>
      </c>
      <c r="BG776" t="s">
        <v>69</v>
      </c>
      <c r="BH776" t="s">
        <v>69</v>
      </c>
      <c r="BI776">
        <v>1543</v>
      </c>
      <c r="BJ776">
        <v>1569</v>
      </c>
      <c r="BK776" t="s">
        <v>69</v>
      </c>
      <c r="BL776" t="s">
        <v>15763</v>
      </c>
      <c r="BM776" t="str">
        <f>HYPERLINK("http://dx.doi.org/10.1108/JEDT-08-2019-0192","http://dx.doi.org/10.1108/JEDT-08-2019-0192")</f>
        <v>http://dx.doi.org/10.1108/JEDT-08-2019-0192</v>
      </c>
      <c r="BN776" t="s">
        <v>69</v>
      </c>
      <c r="BO776" t="s">
        <v>7867</v>
      </c>
      <c r="BP776">
        <v>27</v>
      </c>
      <c r="BQ776" t="s">
        <v>9891</v>
      </c>
      <c r="BR776" t="s">
        <v>8573</v>
      </c>
      <c r="BS776" t="s">
        <v>8445</v>
      </c>
      <c r="BT776" t="s">
        <v>15764</v>
      </c>
      <c r="BU776" t="s">
        <v>15765</v>
      </c>
      <c r="BV776" t="s">
        <v>69</v>
      </c>
      <c r="BW776" t="s">
        <v>69</v>
      </c>
      <c r="BX776" t="s">
        <v>69</v>
      </c>
      <c r="BY776" t="s">
        <v>69</v>
      </c>
      <c r="BZ776" t="s">
        <v>8526</v>
      </c>
      <c r="CA776" t="str">
        <f>HYPERLINK("https%3A%2F%2Fwww.webofscience.com%2Fwos%2Fwoscc%2Ffull-record%2FWOS:000513582500001","View Full Record in Web of Science")</f>
        <v>View Full Record in Web of Science</v>
      </c>
    </row>
    <row r="777" spans="1:79" ht="12.5" x14ac:dyDescent="0.25">
      <c r="B777" t="s">
        <v>8495</v>
      </c>
      <c r="D777" s="7" t="s">
        <v>32933</v>
      </c>
      <c r="E777" s="7"/>
      <c r="F777" s="7"/>
      <c r="G777" s="7"/>
      <c r="H777" t="s">
        <v>67</v>
      </c>
      <c r="I777" t="s">
        <v>6843</v>
      </c>
      <c r="J777" t="s">
        <v>69</v>
      </c>
      <c r="K777" t="s">
        <v>69</v>
      </c>
      <c r="L777" t="s">
        <v>69</v>
      </c>
      <c r="M777" t="s">
        <v>6843</v>
      </c>
      <c r="N777" t="s">
        <v>69</v>
      </c>
      <c r="O777" t="s">
        <v>69</v>
      </c>
      <c r="P777" t="s">
        <v>6844</v>
      </c>
      <c r="Q777" t="s">
        <v>6845</v>
      </c>
      <c r="R777" t="s">
        <v>69</v>
      </c>
      <c r="S777" t="s">
        <v>69</v>
      </c>
      <c r="T777" t="s">
        <v>8505</v>
      </c>
      <c r="U777" t="s">
        <v>15797</v>
      </c>
      <c r="V777" t="s">
        <v>6846</v>
      </c>
      <c r="W777" t="s">
        <v>6847</v>
      </c>
      <c r="X777" t="s">
        <v>6848</v>
      </c>
      <c r="Y777" t="s">
        <v>69</v>
      </c>
      <c r="Z777" t="s">
        <v>69</v>
      </c>
      <c r="AA777" t="s">
        <v>31131</v>
      </c>
      <c r="AB777" t="s">
        <v>69</v>
      </c>
      <c r="AC777" t="s">
        <v>6849</v>
      </c>
      <c r="AD777" t="s">
        <v>31132</v>
      </c>
      <c r="AE777" t="s">
        <v>69</v>
      </c>
      <c r="AF777" t="s">
        <v>31133</v>
      </c>
      <c r="AG777" t="s">
        <v>69</v>
      </c>
      <c r="AH777" t="s">
        <v>6850</v>
      </c>
      <c r="AI777" t="s">
        <v>6851</v>
      </c>
      <c r="AJ777" t="s">
        <v>69</v>
      </c>
      <c r="AK777" t="s">
        <v>69</v>
      </c>
      <c r="AL777" t="s">
        <v>69</v>
      </c>
      <c r="AM777" t="s">
        <v>69</v>
      </c>
      <c r="AN777">
        <v>0</v>
      </c>
      <c r="AO777">
        <v>3</v>
      </c>
      <c r="AP777">
        <v>3</v>
      </c>
      <c r="AQ777">
        <v>0</v>
      </c>
      <c r="AR777">
        <v>3</v>
      </c>
      <c r="AS777" t="s">
        <v>31134</v>
      </c>
      <c r="AT777" t="s">
        <v>8847</v>
      </c>
      <c r="AU777" t="s">
        <v>31135</v>
      </c>
      <c r="AV777" t="s">
        <v>6852</v>
      </c>
      <c r="AW777" t="s">
        <v>69</v>
      </c>
      <c r="AX777" t="s">
        <v>69</v>
      </c>
      <c r="AY777" t="s">
        <v>6845</v>
      </c>
      <c r="AZ777" t="s">
        <v>31136</v>
      </c>
      <c r="BA777" t="s">
        <v>1206</v>
      </c>
      <c r="BB777">
        <v>2003</v>
      </c>
      <c r="BC777">
        <v>98</v>
      </c>
      <c r="BD777">
        <v>9</v>
      </c>
      <c r="BE777" t="s">
        <v>69</v>
      </c>
      <c r="BF777" t="s">
        <v>627</v>
      </c>
      <c r="BG777" t="s">
        <v>69</v>
      </c>
      <c r="BH777" t="s">
        <v>69</v>
      </c>
      <c r="BI777">
        <v>2075</v>
      </c>
      <c r="BJ777">
        <v>2081</v>
      </c>
      <c r="BK777" t="s">
        <v>69</v>
      </c>
      <c r="BL777" t="s">
        <v>6853</v>
      </c>
      <c r="BM777" t="str">
        <f>HYPERLINK("http://dx.doi.org/10.1002/cncr.11683","http://dx.doi.org/10.1002/cncr.11683")</f>
        <v>http://dx.doi.org/10.1002/cncr.11683</v>
      </c>
      <c r="BN777" t="s">
        <v>69</v>
      </c>
      <c r="BO777" t="s">
        <v>69</v>
      </c>
      <c r="BP777">
        <v>7</v>
      </c>
      <c r="BQ777" t="s">
        <v>17844</v>
      </c>
      <c r="BR777" t="s">
        <v>29550</v>
      </c>
      <c r="BS777" t="s">
        <v>17844</v>
      </c>
      <c r="BT777" t="s">
        <v>31137</v>
      </c>
      <c r="BU777" t="s">
        <v>6854</v>
      </c>
      <c r="BV777">
        <v>14603545</v>
      </c>
      <c r="BW777" t="s">
        <v>69</v>
      </c>
      <c r="BX777" t="s">
        <v>69</v>
      </c>
      <c r="BY777" t="s">
        <v>69</v>
      </c>
      <c r="BZ777" t="s">
        <v>8526</v>
      </c>
      <c r="CA777" t="str">
        <f>HYPERLINK("https%3A%2F%2Fwww.webofscience.com%2Fwos%2Fwoscc%2Ffull-record%2FWOS:000186236300011","View Full Record in Web of Science")</f>
        <v>View Full Record in Web of Science</v>
      </c>
    </row>
    <row r="778" spans="1:79" ht="12.5" x14ac:dyDescent="0.25">
      <c r="B778" t="s">
        <v>8495</v>
      </c>
      <c r="D778" s="7" t="s">
        <v>32933</v>
      </c>
      <c r="E778" s="7"/>
      <c r="F778" s="7"/>
      <c r="G778" s="7"/>
      <c r="H778" t="s">
        <v>67</v>
      </c>
      <c r="I778" t="s">
        <v>2137</v>
      </c>
      <c r="J778" t="s">
        <v>69</v>
      </c>
      <c r="K778" t="s">
        <v>69</v>
      </c>
      <c r="L778" t="s">
        <v>69</v>
      </c>
      <c r="M778" t="s">
        <v>2138</v>
      </c>
      <c r="N778" t="s">
        <v>69</v>
      </c>
      <c r="O778" t="s">
        <v>69</v>
      </c>
      <c r="P778" t="s">
        <v>2139</v>
      </c>
      <c r="Q778" t="s">
        <v>2140</v>
      </c>
      <c r="R778" t="s">
        <v>69</v>
      </c>
      <c r="S778" t="s">
        <v>69</v>
      </c>
      <c r="T778" t="s">
        <v>8505</v>
      </c>
      <c r="U778" t="s">
        <v>8506</v>
      </c>
      <c r="V778" t="s">
        <v>69</v>
      </c>
      <c r="W778" t="s">
        <v>69</v>
      </c>
      <c r="X778" t="s">
        <v>69</v>
      </c>
      <c r="Y778" t="s">
        <v>69</v>
      </c>
      <c r="Z778" t="s">
        <v>69</v>
      </c>
      <c r="AA778" t="s">
        <v>16707</v>
      </c>
      <c r="AB778" t="s">
        <v>16708</v>
      </c>
      <c r="AC778" t="s">
        <v>2141</v>
      </c>
      <c r="AD778" t="s">
        <v>16709</v>
      </c>
      <c r="AE778" t="s">
        <v>69</v>
      </c>
      <c r="AF778" t="s">
        <v>16710</v>
      </c>
      <c r="AG778" t="s">
        <v>16711</v>
      </c>
      <c r="AH778" t="s">
        <v>69</v>
      </c>
      <c r="AI778" t="s">
        <v>69</v>
      </c>
      <c r="AJ778" t="s">
        <v>69</v>
      </c>
      <c r="AK778" t="s">
        <v>69</v>
      </c>
      <c r="AL778" t="s">
        <v>69</v>
      </c>
      <c r="AM778" t="s">
        <v>69</v>
      </c>
      <c r="AN778">
        <v>65</v>
      </c>
      <c r="AO778">
        <v>9</v>
      </c>
      <c r="AP778">
        <v>9</v>
      </c>
      <c r="AQ778">
        <v>0</v>
      </c>
      <c r="AR778">
        <v>1</v>
      </c>
      <c r="AS778" t="s">
        <v>8865</v>
      </c>
      <c r="AT778" t="s">
        <v>8612</v>
      </c>
      <c r="AU778" t="s">
        <v>8866</v>
      </c>
      <c r="AV778" t="s">
        <v>2142</v>
      </c>
      <c r="AW778" t="s">
        <v>2143</v>
      </c>
      <c r="AX778" t="s">
        <v>69</v>
      </c>
      <c r="AY778" t="s">
        <v>16712</v>
      </c>
      <c r="AZ778" t="s">
        <v>16713</v>
      </c>
      <c r="BA778" t="s">
        <v>891</v>
      </c>
      <c r="BB778">
        <v>2019</v>
      </c>
      <c r="BC778">
        <v>24</v>
      </c>
      <c r="BD778" t="s">
        <v>145</v>
      </c>
      <c r="BE778" t="s">
        <v>69</v>
      </c>
      <c r="BF778" t="s">
        <v>69</v>
      </c>
      <c r="BG778" t="s">
        <v>114</v>
      </c>
      <c r="BH778" t="s">
        <v>69</v>
      </c>
      <c r="BI778">
        <v>325</v>
      </c>
      <c r="BJ778">
        <v>340</v>
      </c>
      <c r="BK778" t="s">
        <v>69</v>
      </c>
      <c r="BL778" t="s">
        <v>2144</v>
      </c>
      <c r="BM778" t="str">
        <f>HYPERLINK("http://dx.doi.org/10.1080/13563475.2019.1664896","http://dx.doi.org/10.1080/13563475.2019.1664896")</f>
        <v>http://dx.doi.org/10.1080/13563475.2019.1664896</v>
      </c>
      <c r="BN778" t="s">
        <v>69</v>
      </c>
      <c r="BO778" t="s">
        <v>2145</v>
      </c>
      <c r="BP778">
        <v>16</v>
      </c>
      <c r="BQ778" t="s">
        <v>14187</v>
      </c>
      <c r="BR778" t="s">
        <v>8573</v>
      </c>
      <c r="BS778" t="s">
        <v>12182</v>
      </c>
      <c r="BT778" t="s">
        <v>16714</v>
      </c>
      <c r="BU778" t="s">
        <v>2146</v>
      </c>
      <c r="BV778" t="s">
        <v>69</v>
      </c>
      <c r="BW778" t="s">
        <v>69</v>
      </c>
      <c r="BX778" t="s">
        <v>69</v>
      </c>
      <c r="BY778" t="s">
        <v>69</v>
      </c>
      <c r="BZ778" t="s">
        <v>8526</v>
      </c>
      <c r="CA778" t="str">
        <f>HYPERLINK("https%3A%2F%2Fwww.webofscience.com%2Fwos%2Fwoscc%2Ffull-record%2FWOS:000490554600001","View Full Record in Web of Science")</f>
        <v>View Full Record in Web of Science</v>
      </c>
    </row>
    <row r="779" spans="1:79" ht="12.5" x14ac:dyDescent="0.25">
      <c r="B779" t="s">
        <v>8495</v>
      </c>
      <c r="D779" s="7" t="s">
        <v>32933</v>
      </c>
      <c r="E779" s="7"/>
      <c r="F779" s="7"/>
      <c r="G779" s="7"/>
      <c r="H779" t="s">
        <v>67</v>
      </c>
      <c r="I779" t="s">
        <v>1035</v>
      </c>
      <c r="J779" t="s">
        <v>69</v>
      </c>
      <c r="K779" t="s">
        <v>69</v>
      </c>
      <c r="L779" t="s">
        <v>69</v>
      </c>
      <c r="M779" t="s">
        <v>1036</v>
      </c>
      <c r="N779" t="s">
        <v>69</v>
      </c>
      <c r="O779" t="s">
        <v>69</v>
      </c>
      <c r="P779" t="s">
        <v>1037</v>
      </c>
      <c r="Q779" t="s">
        <v>582</v>
      </c>
      <c r="R779" t="s">
        <v>69</v>
      </c>
      <c r="S779" t="s">
        <v>69</v>
      </c>
      <c r="T779" t="s">
        <v>8505</v>
      </c>
      <c r="U779" t="s">
        <v>8506</v>
      </c>
      <c r="V779" t="s">
        <v>69</v>
      </c>
      <c r="W779" t="s">
        <v>69</v>
      </c>
      <c r="X779" t="s">
        <v>69</v>
      </c>
      <c r="Y779" t="s">
        <v>69</v>
      </c>
      <c r="Z779" t="s">
        <v>69</v>
      </c>
      <c r="AA779" t="s">
        <v>18132</v>
      </c>
      <c r="AB779" t="s">
        <v>18133</v>
      </c>
      <c r="AC779" t="s">
        <v>1038</v>
      </c>
      <c r="AD779" t="s">
        <v>18134</v>
      </c>
      <c r="AE779" t="s">
        <v>69</v>
      </c>
      <c r="AF779" t="s">
        <v>18135</v>
      </c>
      <c r="AG779" t="s">
        <v>18136</v>
      </c>
      <c r="AH779" t="s">
        <v>18137</v>
      </c>
      <c r="AI779" t="s">
        <v>18138</v>
      </c>
      <c r="AJ779" t="s">
        <v>69</v>
      </c>
      <c r="AK779" t="s">
        <v>69</v>
      </c>
      <c r="AL779" t="s">
        <v>69</v>
      </c>
      <c r="AM779" t="s">
        <v>69</v>
      </c>
      <c r="AN779">
        <v>44</v>
      </c>
      <c r="AO779">
        <v>6</v>
      </c>
      <c r="AP779">
        <v>6</v>
      </c>
      <c r="AQ779">
        <v>0</v>
      </c>
      <c r="AR779">
        <v>12</v>
      </c>
      <c r="AS779" t="s">
        <v>8692</v>
      </c>
      <c r="AT779" t="s">
        <v>8693</v>
      </c>
      <c r="AU779" t="s">
        <v>18139</v>
      </c>
      <c r="AV779" t="s">
        <v>584</v>
      </c>
      <c r="AW779" t="s">
        <v>585</v>
      </c>
      <c r="AX779" t="s">
        <v>69</v>
      </c>
      <c r="AY779" t="s">
        <v>8695</v>
      </c>
      <c r="AZ779" t="s">
        <v>8696</v>
      </c>
      <c r="BA779" t="s">
        <v>274</v>
      </c>
      <c r="BB779">
        <v>2018</v>
      </c>
      <c r="BC779">
        <v>73</v>
      </c>
      <c r="BD779" t="s">
        <v>69</v>
      </c>
      <c r="BE779" t="s">
        <v>69</v>
      </c>
      <c r="BF779" t="s">
        <v>69</v>
      </c>
      <c r="BG779" t="s">
        <v>69</v>
      </c>
      <c r="BH779" t="s">
        <v>69</v>
      </c>
      <c r="BI779">
        <v>90</v>
      </c>
      <c r="BJ779">
        <v>103</v>
      </c>
      <c r="BK779" t="s">
        <v>69</v>
      </c>
      <c r="BL779" t="s">
        <v>1039</v>
      </c>
      <c r="BM779" t="str">
        <f>HYPERLINK("http://dx.doi.org/10.1016/j.eiar.2018.07.007","http://dx.doi.org/10.1016/j.eiar.2018.07.007")</f>
        <v>http://dx.doi.org/10.1016/j.eiar.2018.07.007</v>
      </c>
      <c r="BN779" t="s">
        <v>69</v>
      </c>
      <c r="BO779" t="s">
        <v>69</v>
      </c>
      <c r="BP779">
        <v>14</v>
      </c>
      <c r="BQ779" t="s">
        <v>8660</v>
      </c>
      <c r="BR779" t="s">
        <v>8661</v>
      </c>
      <c r="BS779" t="s">
        <v>8662</v>
      </c>
      <c r="BT779" t="s">
        <v>18140</v>
      </c>
      <c r="BU779" t="s">
        <v>1040</v>
      </c>
      <c r="BV779" t="s">
        <v>69</v>
      </c>
      <c r="BW779" t="s">
        <v>69</v>
      </c>
      <c r="BX779" t="s">
        <v>69</v>
      </c>
      <c r="BY779" t="s">
        <v>69</v>
      </c>
      <c r="BZ779" t="s">
        <v>8526</v>
      </c>
      <c r="CA779" t="str">
        <f>HYPERLINK("https%3A%2F%2Fwww.webofscience.com%2Fwos%2Fwoscc%2Ffull-record%2FWOS:000447480100009","View Full Record in Web of Science")</f>
        <v>View Full Record in Web of Science</v>
      </c>
    </row>
    <row r="780" spans="1:79" ht="12.5" x14ac:dyDescent="0.25">
      <c r="B780" t="s">
        <v>8495</v>
      </c>
      <c r="D780" s="7" t="s">
        <v>32933</v>
      </c>
      <c r="E780" s="7"/>
      <c r="F780" s="7"/>
      <c r="G780" s="7"/>
      <c r="H780" t="s">
        <v>67</v>
      </c>
      <c r="I780" t="s">
        <v>6144</v>
      </c>
      <c r="J780" t="s">
        <v>69</v>
      </c>
      <c r="K780" t="s">
        <v>69</v>
      </c>
      <c r="L780" t="s">
        <v>69</v>
      </c>
      <c r="M780" t="s">
        <v>6145</v>
      </c>
      <c r="N780" t="s">
        <v>69</v>
      </c>
      <c r="O780" t="s">
        <v>69</v>
      </c>
      <c r="P780" t="s">
        <v>6146</v>
      </c>
      <c r="Q780" t="s">
        <v>1495</v>
      </c>
      <c r="R780" t="s">
        <v>69</v>
      </c>
      <c r="S780" t="s">
        <v>69</v>
      </c>
      <c r="T780" t="s">
        <v>8505</v>
      </c>
      <c r="U780" t="s">
        <v>8506</v>
      </c>
      <c r="V780" t="s">
        <v>69</v>
      </c>
      <c r="W780" t="s">
        <v>69</v>
      </c>
      <c r="X780" t="s">
        <v>69</v>
      </c>
      <c r="Y780" t="s">
        <v>69</v>
      </c>
      <c r="Z780" t="s">
        <v>69</v>
      </c>
      <c r="AA780" t="s">
        <v>13945</v>
      </c>
      <c r="AB780" t="s">
        <v>13946</v>
      </c>
      <c r="AC780" t="s">
        <v>6147</v>
      </c>
      <c r="AD780" t="s">
        <v>13947</v>
      </c>
      <c r="AE780" t="s">
        <v>69</v>
      </c>
      <c r="AF780" t="s">
        <v>13948</v>
      </c>
      <c r="AG780" t="s">
        <v>13949</v>
      </c>
      <c r="AH780" t="s">
        <v>69</v>
      </c>
      <c r="AI780" t="s">
        <v>13950</v>
      </c>
      <c r="AJ780" t="s">
        <v>13951</v>
      </c>
      <c r="AK780" t="s">
        <v>13952</v>
      </c>
      <c r="AL780" t="s">
        <v>13953</v>
      </c>
      <c r="AM780" t="s">
        <v>69</v>
      </c>
      <c r="AN780">
        <v>82</v>
      </c>
      <c r="AO780">
        <v>1</v>
      </c>
      <c r="AP780">
        <v>1</v>
      </c>
      <c r="AQ780">
        <v>1</v>
      </c>
      <c r="AR780">
        <v>12</v>
      </c>
      <c r="AS780" t="s">
        <v>9554</v>
      </c>
      <c r="AT780" t="s">
        <v>9555</v>
      </c>
      <c r="AU780" t="s">
        <v>9556</v>
      </c>
      <c r="AV780" t="s">
        <v>1499</v>
      </c>
      <c r="AW780" t="s">
        <v>1500</v>
      </c>
      <c r="AX780" t="s">
        <v>69</v>
      </c>
      <c r="AY780" t="s">
        <v>13954</v>
      </c>
      <c r="AZ780" t="s">
        <v>13955</v>
      </c>
      <c r="BA780" t="s">
        <v>274</v>
      </c>
      <c r="BB780">
        <v>2021</v>
      </c>
      <c r="BC780">
        <v>46</v>
      </c>
      <c r="BD780">
        <v>6</v>
      </c>
      <c r="BE780" t="s">
        <v>69</v>
      </c>
      <c r="BF780" t="s">
        <v>69</v>
      </c>
      <c r="BG780" t="s">
        <v>69</v>
      </c>
      <c r="BH780" t="s">
        <v>69</v>
      </c>
      <c r="BI780">
        <v>1139</v>
      </c>
      <c r="BJ780">
        <v>1171</v>
      </c>
      <c r="BK780">
        <v>162243920976840</v>
      </c>
      <c r="BL780" t="s">
        <v>6148</v>
      </c>
      <c r="BM780" t="str">
        <f>HYPERLINK("http://dx.doi.org/10.1177/0162243920976840","http://dx.doi.org/10.1177/0162243920976840")</f>
        <v>http://dx.doi.org/10.1177/0162243920976840</v>
      </c>
      <c r="BN780" t="s">
        <v>69</v>
      </c>
      <c r="BO780" t="s">
        <v>1852</v>
      </c>
      <c r="BP780">
        <v>33</v>
      </c>
      <c r="BQ780" t="s">
        <v>13650</v>
      </c>
      <c r="BR780" t="s">
        <v>8661</v>
      </c>
      <c r="BS780" t="s">
        <v>13650</v>
      </c>
      <c r="BT780" t="s">
        <v>13956</v>
      </c>
      <c r="BU780" t="s">
        <v>6149</v>
      </c>
      <c r="BV780" t="s">
        <v>69</v>
      </c>
      <c r="BW780" t="s">
        <v>69</v>
      </c>
      <c r="BX780" t="s">
        <v>69</v>
      </c>
      <c r="BY780" t="s">
        <v>69</v>
      </c>
      <c r="BZ780" t="s">
        <v>8526</v>
      </c>
      <c r="CA780" t="str">
        <f>HYPERLINK("https%3A%2F%2Fwww.webofscience.com%2Fwos%2Fwoscc%2Ffull-record%2FWOS:000599569400001","View Full Record in Web of Science")</f>
        <v>View Full Record in Web of Science</v>
      </c>
    </row>
    <row r="781" spans="1:79" ht="12.5" x14ac:dyDescent="0.25">
      <c r="B781" t="s">
        <v>8495</v>
      </c>
      <c r="D781" s="7" t="s">
        <v>32933</v>
      </c>
      <c r="E781" s="7"/>
      <c r="F781" s="7"/>
      <c r="G781" s="7"/>
      <c r="H781" t="s">
        <v>67</v>
      </c>
      <c r="I781" t="s">
        <v>3399</v>
      </c>
      <c r="J781" t="s">
        <v>69</v>
      </c>
      <c r="K781" t="s">
        <v>69</v>
      </c>
      <c r="L781" t="s">
        <v>69</v>
      </c>
      <c r="M781" t="s">
        <v>3400</v>
      </c>
      <c r="N781" t="s">
        <v>69</v>
      </c>
      <c r="O781" t="s">
        <v>69</v>
      </c>
      <c r="P781" t="s">
        <v>3401</v>
      </c>
      <c r="Q781" t="s">
        <v>3402</v>
      </c>
      <c r="R781" t="s">
        <v>69</v>
      </c>
      <c r="S781" t="s">
        <v>69</v>
      </c>
      <c r="T781" t="s">
        <v>8505</v>
      </c>
      <c r="U781" t="s">
        <v>8506</v>
      </c>
      <c r="V781" t="s">
        <v>69</v>
      </c>
      <c r="W781" t="s">
        <v>69</v>
      </c>
      <c r="X781" t="s">
        <v>69</v>
      </c>
      <c r="Y781" t="s">
        <v>69</v>
      </c>
      <c r="Z781" t="s">
        <v>69</v>
      </c>
      <c r="AA781" t="s">
        <v>26531</v>
      </c>
      <c r="AB781" t="s">
        <v>26532</v>
      </c>
      <c r="AC781" t="s">
        <v>3403</v>
      </c>
      <c r="AD781" t="s">
        <v>26533</v>
      </c>
      <c r="AE781" t="s">
        <v>69</v>
      </c>
      <c r="AF781" t="s">
        <v>26534</v>
      </c>
      <c r="AG781" t="s">
        <v>26535</v>
      </c>
      <c r="AH781" t="s">
        <v>69</v>
      </c>
      <c r="AI781" t="s">
        <v>69</v>
      </c>
      <c r="AJ781" t="s">
        <v>26536</v>
      </c>
      <c r="AK781" t="s">
        <v>23997</v>
      </c>
      <c r="AL781" t="s">
        <v>69</v>
      </c>
      <c r="AM781" t="s">
        <v>69</v>
      </c>
      <c r="AN781">
        <v>144</v>
      </c>
      <c r="AO781">
        <v>714</v>
      </c>
      <c r="AP781">
        <v>720</v>
      </c>
      <c r="AQ781">
        <v>21</v>
      </c>
      <c r="AR781">
        <v>556</v>
      </c>
      <c r="AS781" t="s">
        <v>8865</v>
      </c>
      <c r="AT781" t="s">
        <v>8612</v>
      </c>
      <c r="AU781" t="s">
        <v>8866</v>
      </c>
      <c r="AV781" t="s">
        <v>3404</v>
      </c>
      <c r="AW781" t="s">
        <v>3405</v>
      </c>
      <c r="AX781" t="s">
        <v>69</v>
      </c>
      <c r="AY781" t="s">
        <v>26537</v>
      </c>
      <c r="AZ781" t="s">
        <v>26538</v>
      </c>
      <c r="BA781" t="s">
        <v>69</v>
      </c>
      <c r="BB781">
        <v>2012</v>
      </c>
      <c r="BC781">
        <v>39</v>
      </c>
      <c r="BD781">
        <v>2</v>
      </c>
      <c r="BE781" t="s">
        <v>69</v>
      </c>
      <c r="BF781" t="s">
        <v>69</v>
      </c>
      <c r="BG781" t="s">
        <v>69</v>
      </c>
      <c r="BH781" t="s">
        <v>69</v>
      </c>
      <c r="BI781">
        <v>237</v>
      </c>
      <c r="BJ781">
        <v>261</v>
      </c>
      <c r="BK781" t="s">
        <v>69</v>
      </c>
      <c r="BL781" t="s">
        <v>3406</v>
      </c>
      <c r="BM781" t="str">
        <f>HYPERLINK("http://dx.doi.org/10.1080/03066150.2012.671770","http://dx.doi.org/10.1080/03066150.2012.671770")</f>
        <v>http://dx.doi.org/10.1080/03066150.2012.671770</v>
      </c>
      <c r="BN781" t="s">
        <v>69</v>
      </c>
      <c r="BO781" t="s">
        <v>69</v>
      </c>
      <c r="BP781">
        <v>25</v>
      </c>
      <c r="BQ781" t="s">
        <v>26539</v>
      </c>
      <c r="BR781" t="s">
        <v>8661</v>
      </c>
      <c r="BS781" t="s">
        <v>26539</v>
      </c>
      <c r="BT781" t="s">
        <v>26540</v>
      </c>
      <c r="BU781" t="s">
        <v>3407</v>
      </c>
      <c r="BV781" t="s">
        <v>69</v>
      </c>
      <c r="BW781" t="s">
        <v>20264</v>
      </c>
      <c r="BX781" t="s">
        <v>15211</v>
      </c>
      <c r="BY781" t="s">
        <v>15212</v>
      </c>
      <c r="BZ781" t="s">
        <v>8526</v>
      </c>
      <c r="CA781" t="str">
        <f>HYPERLINK("https%3A%2F%2Fwww.webofscience.com%2Fwos%2Fwoscc%2Ffull-record%2FWOS:000303232300001","View Full Record in Web of Science")</f>
        <v>View Full Record in Web of Science</v>
      </c>
    </row>
    <row r="782" spans="1:79" ht="12.5" x14ac:dyDescent="0.25">
      <c r="B782" t="s">
        <v>8495</v>
      </c>
      <c r="D782" s="7" t="s">
        <v>32933</v>
      </c>
      <c r="E782" s="7"/>
      <c r="F782" s="7"/>
      <c r="G782" s="7"/>
      <c r="H782" t="s">
        <v>67</v>
      </c>
      <c r="I782" t="s">
        <v>5134</v>
      </c>
      <c r="J782" t="s">
        <v>69</v>
      </c>
      <c r="K782" t="s">
        <v>69</v>
      </c>
      <c r="L782" t="s">
        <v>69</v>
      </c>
      <c r="M782" t="s">
        <v>5135</v>
      </c>
      <c r="N782" t="s">
        <v>69</v>
      </c>
      <c r="O782" t="s">
        <v>69</v>
      </c>
      <c r="P782" t="s">
        <v>5136</v>
      </c>
      <c r="Q782" t="s">
        <v>4970</v>
      </c>
      <c r="R782" t="s">
        <v>69</v>
      </c>
      <c r="S782" t="s">
        <v>69</v>
      </c>
      <c r="T782" t="s">
        <v>8505</v>
      </c>
      <c r="U782" t="s">
        <v>8506</v>
      </c>
      <c r="V782" t="s">
        <v>69</v>
      </c>
      <c r="W782" t="s">
        <v>69</v>
      </c>
      <c r="X782" t="s">
        <v>69</v>
      </c>
      <c r="Y782" t="s">
        <v>69</v>
      </c>
      <c r="Z782" t="s">
        <v>69</v>
      </c>
      <c r="AA782" t="s">
        <v>69</v>
      </c>
      <c r="AB782" t="s">
        <v>26694</v>
      </c>
      <c r="AC782" t="s">
        <v>5137</v>
      </c>
      <c r="AD782" t="s">
        <v>26695</v>
      </c>
      <c r="AE782" t="s">
        <v>69</v>
      </c>
      <c r="AF782" t="s">
        <v>26696</v>
      </c>
      <c r="AG782" t="s">
        <v>69</v>
      </c>
      <c r="AH782" t="s">
        <v>69</v>
      </c>
      <c r="AI782" t="s">
        <v>69</v>
      </c>
      <c r="AJ782" t="s">
        <v>69</v>
      </c>
      <c r="AK782" t="s">
        <v>69</v>
      </c>
      <c r="AL782" t="s">
        <v>69</v>
      </c>
      <c r="AM782" t="s">
        <v>69</v>
      </c>
      <c r="AN782">
        <v>54</v>
      </c>
      <c r="AO782">
        <v>34</v>
      </c>
      <c r="AP782">
        <v>34</v>
      </c>
      <c r="AQ782">
        <v>1</v>
      </c>
      <c r="AR782">
        <v>30</v>
      </c>
      <c r="AS782" t="s">
        <v>9978</v>
      </c>
      <c r="AT782" t="s">
        <v>8693</v>
      </c>
      <c r="AU782" t="s">
        <v>17938</v>
      </c>
      <c r="AV782" t="s">
        <v>4976</v>
      </c>
      <c r="AW782" t="s">
        <v>5138</v>
      </c>
      <c r="AX782" t="s">
        <v>69</v>
      </c>
      <c r="AY782" t="s">
        <v>26697</v>
      </c>
      <c r="AZ782" t="s">
        <v>26698</v>
      </c>
      <c r="BA782" t="s">
        <v>1710</v>
      </c>
      <c r="BB782">
        <v>2011</v>
      </c>
      <c r="BC782">
        <v>85</v>
      </c>
      <c r="BD782">
        <v>4</v>
      </c>
      <c r="BE782" t="s">
        <v>69</v>
      </c>
      <c r="BF782" t="s">
        <v>69</v>
      </c>
      <c r="BG782" t="s">
        <v>69</v>
      </c>
      <c r="BH782" t="s">
        <v>69</v>
      </c>
      <c r="BI782">
        <v>677</v>
      </c>
      <c r="BJ782">
        <v>698</v>
      </c>
      <c r="BK782" t="s">
        <v>69</v>
      </c>
      <c r="BL782" t="s">
        <v>5139</v>
      </c>
      <c r="BM782" t="str">
        <f>HYPERLINK("http://dx.doi.org/10.1017/S0007680511001152","http://dx.doi.org/10.1017/S0007680511001152")</f>
        <v>http://dx.doi.org/10.1017/S0007680511001152</v>
      </c>
      <c r="BN782" t="s">
        <v>69</v>
      </c>
      <c r="BO782" t="s">
        <v>69</v>
      </c>
      <c r="BP782">
        <v>22</v>
      </c>
      <c r="BQ782" t="s">
        <v>26699</v>
      </c>
      <c r="BR782" t="s">
        <v>8661</v>
      </c>
      <c r="BS782" t="s">
        <v>15524</v>
      </c>
      <c r="BT782" t="s">
        <v>26700</v>
      </c>
      <c r="BU782" t="s">
        <v>5140</v>
      </c>
      <c r="BV782" t="s">
        <v>69</v>
      </c>
      <c r="BW782" t="s">
        <v>69</v>
      </c>
      <c r="BX782" t="s">
        <v>69</v>
      </c>
      <c r="BY782" t="s">
        <v>69</v>
      </c>
      <c r="BZ782" t="s">
        <v>8526</v>
      </c>
      <c r="CA782" t="str">
        <f>HYPERLINK("https%3A%2F%2Fwww.webofscience.com%2Fwos%2Fwoscc%2Ffull-record%2FWOS:000299666700002","View Full Record in Web of Science")</f>
        <v>View Full Record in Web of Science</v>
      </c>
    </row>
    <row r="783" spans="1:79" x14ac:dyDescent="0.3">
      <c r="B783" t="s">
        <v>8495</v>
      </c>
      <c r="D783" s="9" t="s">
        <v>32972</v>
      </c>
      <c r="E783" s="9" t="s">
        <v>33063</v>
      </c>
      <c r="G783" s="9" t="s">
        <v>8490</v>
      </c>
      <c r="H783" t="s">
        <v>67</v>
      </c>
      <c r="I783" t="s">
        <v>25857</v>
      </c>
      <c r="J783" t="s">
        <v>69</v>
      </c>
      <c r="K783" t="s">
        <v>69</v>
      </c>
      <c r="L783" t="s">
        <v>69</v>
      </c>
      <c r="M783" t="s">
        <v>25858</v>
      </c>
      <c r="N783" t="s">
        <v>69</v>
      </c>
      <c r="O783" t="s">
        <v>69</v>
      </c>
      <c r="P783" t="s">
        <v>25859</v>
      </c>
      <c r="Q783" t="s">
        <v>2868</v>
      </c>
      <c r="R783" t="s">
        <v>69</v>
      </c>
      <c r="S783" t="s">
        <v>69</v>
      </c>
      <c r="T783" t="s">
        <v>8505</v>
      </c>
      <c r="U783" t="s">
        <v>8506</v>
      </c>
      <c r="V783" t="s">
        <v>69</v>
      </c>
      <c r="W783" t="s">
        <v>69</v>
      </c>
      <c r="X783" t="s">
        <v>69</v>
      </c>
      <c r="Y783" t="s">
        <v>69</v>
      </c>
      <c r="Z783" t="s">
        <v>69</v>
      </c>
      <c r="AA783" t="s">
        <v>69</v>
      </c>
      <c r="AB783" t="s">
        <v>69</v>
      </c>
      <c r="AC783" t="s">
        <v>25860</v>
      </c>
      <c r="AD783" t="s">
        <v>25861</v>
      </c>
      <c r="AE783" t="s">
        <v>69</v>
      </c>
      <c r="AF783" t="s">
        <v>25862</v>
      </c>
      <c r="AG783" t="s">
        <v>25863</v>
      </c>
      <c r="AH783" t="s">
        <v>69</v>
      </c>
      <c r="AI783" t="s">
        <v>69</v>
      </c>
      <c r="AJ783" t="s">
        <v>69</v>
      </c>
      <c r="AK783" t="s">
        <v>69</v>
      </c>
      <c r="AL783" t="s">
        <v>69</v>
      </c>
      <c r="AM783" t="s">
        <v>69</v>
      </c>
      <c r="AN783">
        <v>0</v>
      </c>
      <c r="AO783">
        <v>1</v>
      </c>
      <c r="AP783">
        <v>1</v>
      </c>
      <c r="AQ783">
        <v>0</v>
      </c>
      <c r="AR783">
        <v>0</v>
      </c>
      <c r="AS783" t="s">
        <v>8846</v>
      </c>
      <c r="AT783" t="s">
        <v>8847</v>
      </c>
      <c r="AU783" t="s">
        <v>8848</v>
      </c>
      <c r="AV783" t="s">
        <v>2870</v>
      </c>
      <c r="AW783" t="s">
        <v>2871</v>
      </c>
      <c r="AX783" t="s">
        <v>69</v>
      </c>
      <c r="AY783" t="s">
        <v>21705</v>
      </c>
      <c r="AZ783" t="s">
        <v>21706</v>
      </c>
      <c r="BA783" t="s">
        <v>201</v>
      </c>
      <c r="BB783">
        <v>2012</v>
      </c>
      <c r="BC783">
        <v>12</v>
      </c>
      <c r="BD783">
        <v>3</v>
      </c>
      <c r="BE783" t="s">
        <v>69</v>
      </c>
      <c r="BF783" t="s">
        <v>69</v>
      </c>
      <c r="BG783" t="s">
        <v>114</v>
      </c>
      <c r="BH783" t="s">
        <v>69</v>
      </c>
      <c r="BI783">
        <v>177</v>
      </c>
      <c r="BJ783">
        <v>180</v>
      </c>
      <c r="BK783" t="s">
        <v>69</v>
      </c>
      <c r="BL783" t="s">
        <v>25864</v>
      </c>
      <c r="BM783" t="str">
        <f>HYPERLINK("http://dx.doi.org/10.1002/pa.1431","http://dx.doi.org/10.1002/pa.1431")</f>
        <v>http://dx.doi.org/10.1002/pa.1431</v>
      </c>
      <c r="BN783" t="s">
        <v>69</v>
      </c>
      <c r="BO783" t="s">
        <v>69</v>
      </c>
      <c r="BP783">
        <v>4</v>
      </c>
      <c r="BQ783" t="s">
        <v>12182</v>
      </c>
      <c r="BR783" t="s">
        <v>8573</v>
      </c>
      <c r="BS783" t="s">
        <v>12182</v>
      </c>
      <c r="BT783" t="s">
        <v>25865</v>
      </c>
      <c r="BU783" t="s">
        <v>25866</v>
      </c>
      <c r="BV783" t="s">
        <v>69</v>
      </c>
      <c r="BW783" t="s">
        <v>69</v>
      </c>
      <c r="BX783" t="s">
        <v>69</v>
      </c>
      <c r="BY783" t="s">
        <v>69</v>
      </c>
      <c r="BZ783" t="s">
        <v>8526</v>
      </c>
      <c r="CA783" t="str">
        <f>HYPERLINK("https%3A%2F%2Fwww.webofscience.com%2Fwos%2Fwoscc%2Ffull-record%2FWOS:000212268500002","View Full Record in Web of Science")</f>
        <v>View Full Record in Web of Science</v>
      </c>
    </row>
    <row r="784" spans="1:79" ht="12.5" x14ac:dyDescent="0.25">
      <c r="B784" t="s">
        <v>8495</v>
      </c>
      <c r="D784" s="7" t="s">
        <v>32933</v>
      </c>
      <c r="E784" s="7"/>
      <c r="F784" s="7"/>
      <c r="G784" s="7"/>
      <c r="H784" t="s">
        <v>67</v>
      </c>
      <c r="I784" t="s">
        <v>8389</v>
      </c>
      <c r="J784" t="s">
        <v>69</v>
      </c>
      <c r="K784" t="s">
        <v>69</v>
      </c>
      <c r="L784" t="s">
        <v>69</v>
      </c>
      <c r="M784" t="s">
        <v>8389</v>
      </c>
      <c r="N784" t="s">
        <v>69</v>
      </c>
      <c r="O784" t="s">
        <v>69</v>
      </c>
      <c r="P784" t="s">
        <v>8390</v>
      </c>
      <c r="Q784" t="s">
        <v>100</v>
      </c>
      <c r="R784" t="s">
        <v>69</v>
      </c>
      <c r="S784" t="s">
        <v>69</v>
      </c>
      <c r="T784" t="s">
        <v>8505</v>
      </c>
      <c r="U784" t="s">
        <v>15797</v>
      </c>
      <c r="V784" t="s">
        <v>8391</v>
      </c>
      <c r="W784" t="s">
        <v>8392</v>
      </c>
      <c r="X784" t="s">
        <v>8393</v>
      </c>
      <c r="Y784" t="s">
        <v>8394</v>
      </c>
      <c r="Z784" t="s">
        <v>69</v>
      </c>
      <c r="AA784" t="s">
        <v>32894</v>
      </c>
      <c r="AB784" t="s">
        <v>69</v>
      </c>
      <c r="AC784" t="s">
        <v>8395</v>
      </c>
      <c r="AD784" t="s">
        <v>32895</v>
      </c>
      <c r="AE784" t="s">
        <v>69</v>
      </c>
      <c r="AF784" t="s">
        <v>32896</v>
      </c>
      <c r="AG784" t="s">
        <v>69</v>
      </c>
      <c r="AH784" t="s">
        <v>69</v>
      </c>
      <c r="AI784" t="s">
        <v>69</v>
      </c>
      <c r="AJ784" t="s">
        <v>69</v>
      </c>
      <c r="AK784" t="s">
        <v>69</v>
      </c>
      <c r="AL784" t="s">
        <v>69</v>
      </c>
      <c r="AM784" t="s">
        <v>69</v>
      </c>
      <c r="AN784">
        <v>0</v>
      </c>
      <c r="AO784">
        <v>4</v>
      </c>
      <c r="AP784">
        <v>4</v>
      </c>
      <c r="AQ784">
        <v>0</v>
      </c>
      <c r="AR784">
        <v>0</v>
      </c>
      <c r="AS784" t="s">
        <v>9145</v>
      </c>
      <c r="AT784" t="s">
        <v>8637</v>
      </c>
      <c r="AU784" t="s">
        <v>32470</v>
      </c>
      <c r="AV784" t="s">
        <v>102</v>
      </c>
      <c r="AW784" t="s">
        <v>69</v>
      </c>
      <c r="AX784" t="s">
        <v>69</v>
      </c>
      <c r="AY784" t="s">
        <v>15469</v>
      </c>
      <c r="AZ784" t="s">
        <v>15470</v>
      </c>
      <c r="BA784" t="s">
        <v>69</v>
      </c>
      <c r="BB784">
        <v>1992</v>
      </c>
      <c r="BC784">
        <v>25</v>
      </c>
      <c r="BD784">
        <v>9</v>
      </c>
      <c r="BE784" t="s">
        <v>69</v>
      </c>
      <c r="BF784" t="s">
        <v>69</v>
      </c>
      <c r="BG784" t="s">
        <v>69</v>
      </c>
      <c r="BH784" t="s">
        <v>69</v>
      </c>
      <c r="BI784">
        <v>133</v>
      </c>
      <c r="BJ784">
        <v>142</v>
      </c>
      <c r="BK784" t="s">
        <v>69</v>
      </c>
      <c r="BL784" t="s">
        <v>69</v>
      </c>
      <c r="BM784" t="s">
        <v>69</v>
      </c>
      <c r="BN784" t="s">
        <v>69</v>
      </c>
      <c r="BO784" t="s">
        <v>69</v>
      </c>
      <c r="BP784">
        <v>10</v>
      </c>
      <c r="BQ784" t="s">
        <v>10687</v>
      </c>
      <c r="BR784" t="s">
        <v>29550</v>
      </c>
      <c r="BS784" t="s">
        <v>10688</v>
      </c>
      <c r="BT784" t="s">
        <v>32897</v>
      </c>
      <c r="BU784" t="s">
        <v>8396</v>
      </c>
      <c r="BV784" t="s">
        <v>69</v>
      </c>
      <c r="BW784" t="s">
        <v>69</v>
      </c>
      <c r="BX784" t="s">
        <v>69</v>
      </c>
      <c r="BY784" t="s">
        <v>69</v>
      </c>
      <c r="BZ784" t="s">
        <v>8526</v>
      </c>
      <c r="CA784" t="str">
        <f>HYPERLINK("https%3A%2F%2Fwww.webofscience.com%2Fwos%2Fwoscc%2Ffull-record%2FWOS:A1992KA78900015","View Full Record in Web of Science")</f>
        <v>View Full Record in Web of Science</v>
      </c>
    </row>
    <row r="785" spans="2:79" ht="12.5" x14ac:dyDescent="0.25">
      <c r="B785" t="s">
        <v>8495</v>
      </c>
      <c r="D785" s="22" t="s">
        <v>32931</v>
      </c>
      <c r="E785" s="7"/>
      <c r="F785" s="7"/>
      <c r="G785" s="7"/>
      <c r="H785" t="s">
        <v>67</v>
      </c>
      <c r="I785" t="s">
        <v>13707</v>
      </c>
      <c r="J785" t="s">
        <v>69</v>
      </c>
      <c r="K785" t="s">
        <v>69</v>
      </c>
      <c r="L785" t="s">
        <v>69</v>
      </c>
      <c r="M785" t="s">
        <v>13708</v>
      </c>
      <c r="N785" t="s">
        <v>69</v>
      </c>
      <c r="O785" t="s">
        <v>69</v>
      </c>
      <c r="P785" t="s">
        <v>13709</v>
      </c>
      <c r="Q785" t="s">
        <v>13710</v>
      </c>
      <c r="R785" t="s">
        <v>69</v>
      </c>
      <c r="S785" t="s">
        <v>69</v>
      </c>
      <c r="T785" t="s">
        <v>8505</v>
      </c>
      <c r="U785" t="s">
        <v>8506</v>
      </c>
      <c r="V785" t="s">
        <v>69</v>
      </c>
      <c r="W785" t="s">
        <v>69</v>
      </c>
      <c r="X785" t="s">
        <v>69</v>
      </c>
      <c r="Y785" t="s">
        <v>69</v>
      </c>
      <c r="Z785" t="s">
        <v>69</v>
      </c>
      <c r="AA785" t="s">
        <v>13711</v>
      </c>
      <c r="AB785" t="s">
        <v>13712</v>
      </c>
      <c r="AC785" t="s">
        <v>13713</v>
      </c>
      <c r="AD785" t="s">
        <v>13714</v>
      </c>
      <c r="AE785" t="s">
        <v>69</v>
      </c>
      <c r="AF785" t="s">
        <v>13715</v>
      </c>
      <c r="AG785" t="s">
        <v>13716</v>
      </c>
      <c r="AH785" t="s">
        <v>69</v>
      </c>
      <c r="AI785" t="s">
        <v>69</v>
      </c>
      <c r="AJ785" t="s">
        <v>69</v>
      </c>
      <c r="AK785" t="s">
        <v>69</v>
      </c>
      <c r="AL785" t="s">
        <v>69</v>
      </c>
      <c r="AM785" t="s">
        <v>69</v>
      </c>
      <c r="AN785">
        <v>35</v>
      </c>
      <c r="AO785">
        <v>1</v>
      </c>
      <c r="AP785">
        <v>1</v>
      </c>
      <c r="AQ785">
        <v>0</v>
      </c>
      <c r="AR785">
        <v>2</v>
      </c>
      <c r="AS785" t="s">
        <v>13717</v>
      </c>
      <c r="AT785" t="s">
        <v>13718</v>
      </c>
      <c r="AU785" t="s">
        <v>13719</v>
      </c>
      <c r="AV785" t="s">
        <v>13720</v>
      </c>
      <c r="AW785" t="s">
        <v>69</v>
      </c>
      <c r="AX785" t="s">
        <v>69</v>
      </c>
      <c r="AY785" t="s">
        <v>13721</v>
      </c>
      <c r="AZ785" t="s">
        <v>13722</v>
      </c>
      <c r="BA785" t="s">
        <v>69</v>
      </c>
      <c r="BB785">
        <v>2021</v>
      </c>
      <c r="BC785">
        <v>12</v>
      </c>
      <c r="BD785">
        <v>1</v>
      </c>
      <c r="BE785" t="s">
        <v>69</v>
      </c>
      <c r="BF785" t="s">
        <v>69</v>
      </c>
      <c r="BG785" t="s">
        <v>69</v>
      </c>
      <c r="BH785" t="s">
        <v>69</v>
      </c>
      <c r="BI785">
        <v>1</v>
      </c>
      <c r="BJ785">
        <v>11</v>
      </c>
      <c r="BK785" t="s">
        <v>69</v>
      </c>
      <c r="BL785" t="s">
        <v>13723</v>
      </c>
      <c r="BM785" t="str">
        <f>HYPERLINK("http://dx.doi.org/10.30880/ijscet.2021.12.01.001","http://dx.doi.org/10.30880/ijscet.2021.12.01.001")</f>
        <v>http://dx.doi.org/10.30880/ijscet.2021.12.01.001</v>
      </c>
      <c r="BN785" t="s">
        <v>69</v>
      </c>
      <c r="BO785" t="s">
        <v>69</v>
      </c>
      <c r="BP785">
        <v>11</v>
      </c>
      <c r="BQ785" t="s">
        <v>10105</v>
      </c>
      <c r="BR785" t="s">
        <v>8573</v>
      </c>
      <c r="BS785" t="s">
        <v>10105</v>
      </c>
      <c r="BT785" t="s">
        <v>13724</v>
      </c>
      <c r="BU785" t="s">
        <v>13725</v>
      </c>
      <c r="BV785" t="s">
        <v>69</v>
      </c>
      <c r="BW785" t="s">
        <v>10423</v>
      </c>
      <c r="BX785" t="s">
        <v>69</v>
      </c>
      <c r="BY785" t="s">
        <v>69</v>
      </c>
      <c r="BZ785" t="s">
        <v>8526</v>
      </c>
      <c r="CA785" t="str">
        <f>HYPERLINK("https%3A%2F%2Fwww.webofscience.com%2Fwos%2Fwoscc%2Ffull-record%2FWOS:000658861900001","View Full Record in Web of Science")</f>
        <v>View Full Record in Web of Science</v>
      </c>
    </row>
    <row r="786" spans="2:79" ht="12.5" x14ac:dyDescent="0.25">
      <c r="B786" t="s">
        <v>8495</v>
      </c>
      <c r="D786" s="7" t="s">
        <v>32933</v>
      </c>
      <c r="E786" s="7"/>
      <c r="F786" s="7"/>
      <c r="G786" s="7"/>
      <c r="H786" t="s">
        <v>67</v>
      </c>
      <c r="I786" t="s">
        <v>6374</v>
      </c>
      <c r="J786" t="s">
        <v>69</v>
      </c>
      <c r="K786" t="s">
        <v>69</v>
      </c>
      <c r="L786" t="s">
        <v>69</v>
      </c>
      <c r="M786" t="s">
        <v>6375</v>
      </c>
      <c r="N786" t="s">
        <v>69</v>
      </c>
      <c r="O786" t="s">
        <v>69</v>
      </c>
      <c r="P786" t="s">
        <v>6376</v>
      </c>
      <c r="Q786" t="s">
        <v>436</v>
      </c>
      <c r="R786" t="s">
        <v>69</v>
      </c>
      <c r="S786" t="s">
        <v>69</v>
      </c>
      <c r="T786" t="s">
        <v>8505</v>
      </c>
      <c r="U786" t="s">
        <v>8442</v>
      </c>
      <c r="V786" t="s">
        <v>69</v>
      </c>
      <c r="W786" t="s">
        <v>69</v>
      </c>
      <c r="X786" t="s">
        <v>69</v>
      </c>
      <c r="Y786" t="s">
        <v>69</v>
      </c>
      <c r="Z786" t="s">
        <v>69</v>
      </c>
      <c r="AA786" t="s">
        <v>20603</v>
      </c>
      <c r="AB786" t="s">
        <v>69</v>
      </c>
      <c r="AC786" t="s">
        <v>6377</v>
      </c>
      <c r="AD786" t="s">
        <v>20604</v>
      </c>
      <c r="AE786" t="s">
        <v>69</v>
      </c>
      <c r="AF786" t="s">
        <v>20605</v>
      </c>
      <c r="AG786" t="s">
        <v>20606</v>
      </c>
      <c r="AH786" t="s">
        <v>20607</v>
      </c>
      <c r="AI786" t="s">
        <v>6378</v>
      </c>
      <c r="AJ786" t="s">
        <v>69</v>
      </c>
      <c r="AK786" t="s">
        <v>69</v>
      </c>
      <c r="AL786" t="s">
        <v>69</v>
      </c>
      <c r="AM786" t="s">
        <v>69</v>
      </c>
      <c r="AN786">
        <v>26</v>
      </c>
      <c r="AO786">
        <v>119</v>
      </c>
      <c r="AP786">
        <v>119</v>
      </c>
      <c r="AQ786">
        <v>7</v>
      </c>
      <c r="AR786">
        <v>178</v>
      </c>
      <c r="AS786" t="s">
        <v>8636</v>
      </c>
      <c r="AT786" t="s">
        <v>8637</v>
      </c>
      <c r="AU786" t="s">
        <v>8638</v>
      </c>
      <c r="AV786" t="s">
        <v>440</v>
      </c>
      <c r="AW786" t="s">
        <v>441</v>
      </c>
      <c r="AX786" t="s">
        <v>69</v>
      </c>
      <c r="AY786" t="s">
        <v>8639</v>
      </c>
      <c r="AZ786" t="s">
        <v>8640</v>
      </c>
      <c r="BA786" t="s">
        <v>6297</v>
      </c>
      <c r="BB786">
        <v>2017</v>
      </c>
      <c r="BC786">
        <v>141</v>
      </c>
      <c r="BD786" t="s">
        <v>69</v>
      </c>
      <c r="BE786" t="s">
        <v>69</v>
      </c>
      <c r="BF786" t="s">
        <v>69</v>
      </c>
      <c r="BG786" t="s">
        <v>69</v>
      </c>
      <c r="BH786" t="s">
        <v>69</v>
      </c>
      <c r="BI786">
        <v>1194</v>
      </c>
      <c r="BJ786">
        <v>1208</v>
      </c>
      <c r="BK786" t="s">
        <v>69</v>
      </c>
      <c r="BL786" t="s">
        <v>6379</v>
      </c>
      <c r="BM786" t="str">
        <f>HYPERLINK("http://dx.doi.org/10.1016/j.jclepro.2016.09.103","http://dx.doi.org/10.1016/j.jclepro.2016.09.103")</f>
        <v>http://dx.doi.org/10.1016/j.jclepro.2016.09.103</v>
      </c>
      <c r="BN786" t="s">
        <v>69</v>
      </c>
      <c r="BO786" t="s">
        <v>69</v>
      </c>
      <c r="BP786">
        <v>15</v>
      </c>
      <c r="BQ786" t="s">
        <v>8643</v>
      </c>
      <c r="BR786" t="s">
        <v>8548</v>
      </c>
      <c r="BS786" t="s">
        <v>8644</v>
      </c>
      <c r="BT786" t="s">
        <v>20608</v>
      </c>
      <c r="BU786" t="s">
        <v>6380</v>
      </c>
      <c r="BV786" t="s">
        <v>69</v>
      </c>
      <c r="BW786" t="s">
        <v>69</v>
      </c>
      <c r="BX786" t="s">
        <v>69</v>
      </c>
      <c r="BY786" t="s">
        <v>69</v>
      </c>
      <c r="BZ786" t="s">
        <v>8526</v>
      </c>
      <c r="CA786" t="str">
        <f>HYPERLINK("https%3A%2F%2Fwww.webofscience.com%2Fwos%2Fwoscc%2Ffull-record%2FWOS:000389090300109","View Full Record in Web of Science")</f>
        <v>View Full Record in Web of Science</v>
      </c>
    </row>
    <row r="787" spans="2:79" ht="12.5" x14ac:dyDescent="0.25">
      <c r="B787" t="s">
        <v>8495</v>
      </c>
      <c r="D787" s="7" t="s">
        <v>32933</v>
      </c>
      <c r="E787" s="7"/>
      <c r="F787" s="7"/>
      <c r="G787" s="7"/>
      <c r="H787" t="s">
        <v>67</v>
      </c>
      <c r="I787" t="s">
        <v>1713</v>
      </c>
      <c r="J787" t="s">
        <v>69</v>
      </c>
      <c r="K787" t="s">
        <v>69</v>
      </c>
      <c r="L787" t="s">
        <v>69</v>
      </c>
      <c r="M787" t="s">
        <v>1713</v>
      </c>
      <c r="N787" t="s">
        <v>69</v>
      </c>
      <c r="O787" t="s">
        <v>69</v>
      </c>
      <c r="P787" t="s">
        <v>1714</v>
      </c>
      <c r="Q787" t="s">
        <v>1715</v>
      </c>
      <c r="R787" t="s">
        <v>69</v>
      </c>
      <c r="S787" t="s">
        <v>69</v>
      </c>
      <c r="T787" t="s">
        <v>8505</v>
      </c>
      <c r="U787" t="s">
        <v>8506</v>
      </c>
      <c r="V787" t="s">
        <v>69</v>
      </c>
      <c r="W787" t="s">
        <v>69</v>
      </c>
      <c r="X787" t="s">
        <v>69</v>
      </c>
      <c r="Y787" t="s">
        <v>69</v>
      </c>
      <c r="Z787" t="s">
        <v>69</v>
      </c>
      <c r="AA787" t="s">
        <v>69</v>
      </c>
      <c r="AB787" t="s">
        <v>69</v>
      </c>
      <c r="AC787" t="s">
        <v>1716</v>
      </c>
      <c r="AD787" t="s">
        <v>31623</v>
      </c>
      <c r="AE787" t="s">
        <v>69</v>
      </c>
      <c r="AF787" t="s">
        <v>31624</v>
      </c>
      <c r="AG787" t="s">
        <v>69</v>
      </c>
      <c r="AH787" t="s">
        <v>69</v>
      </c>
      <c r="AI787" t="s">
        <v>69</v>
      </c>
      <c r="AJ787" t="s">
        <v>69</v>
      </c>
      <c r="AK787" t="s">
        <v>69</v>
      </c>
      <c r="AL787" t="s">
        <v>69</v>
      </c>
      <c r="AM787" t="s">
        <v>69</v>
      </c>
      <c r="AN787">
        <v>26</v>
      </c>
      <c r="AO787">
        <v>23</v>
      </c>
      <c r="AP787">
        <v>23</v>
      </c>
      <c r="AQ787">
        <v>0</v>
      </c>
      <c r="AR787">
        <v>5</v>
      </c>
      <c r="AS787" t="s">
        <v>31568</v>
      </c>
      <c r="AT787" t="s">
        <v>16417</v>
      </c>
      <c r="AU787" t="s">
        <v>31569</v>
      </c>
      <c r="AV787" t="s">
        <v>1717</v>
      </c>
      <c r="AW787" t="s">
        <v>69</v>
      </c>
      <c r="AX787" t="s">
        <v>69</v>
      </c>
      <c r="AY787" t="s">
        <v>31625</v>
      </c>
      <c r="AZ787" t="s">
        <v>31626</v>
      </c>
      <c r="BA787" t="s">
        <v>94</v>
      </c>
      <c r="BB787">
        <v>2001</v>
      </c>
      <c r="BC787">
        <v>13</v>
      </c>
      <c r="BD787">
        <v>1</v>
      </c>
      <c r="BE787" t="s">
        <v>69</v>
      </c>
      <c r="BF787" t="s">
        <v>69</v>
      </c>
      <c r="BG787" t="s">
        <v>69</v>
      </c>
      <c r="BH787" t="s">
        <v>69</v>
      </c>
      <c r="BI787">
        <v>53</v>
      </c>
      <c r="BJ787">
        <v>69</v>
      </c>
      <c r="BK787" t="s">
        <v>69</v>
      </c>
      <c r="BL787" t="s">
        <v>1718</v>
      </c>
      <c r="BM787" t="str">
        <f>HYPERLINK("http://dx.doi.org/10.1080/09537320120040446","http://dx.doi.org/10.1080/09537320120040446")</f>
        <v>http://dx.doi.org/10.1080/09537320120040446</v>
      </c>
      <c r="BN787" t="s">
        <v>69</v>
      </c>
      <c r="BO787" t="s">
        <v>69</v>
      </c>
      <c r="BP787">
        <v>17</v>
      </c>
      <c r="BQ787" t="s">
        <v>31627</v>
      </c>
      <c r="BR787" t="s">
        <v>8523</v>
      </c>
      <c r="BS787" t="s">
        <v>31628</v>
      </c>
      <c r="BT787" t="s">
        <v>31629</v>
      </c>
      <c r="BU787" t="s">
        <v>1719</v>
      </c>
      <c r="BV787" t="s">
        <v>69</v>
      </c>
      <c r="BW787" t="s">
        <v>69</v>
      </c>
      <c r="BX787" t="s">
        <v>69</v>
      </c>
      <c r="BY787" t="s">
        <v>69</v>
      </c>
      <c r="BZ787" t="s">
        <v>8526</v>
      </c>
      <c r="CA787" t="str">
        <f>HYPERLINK("https%3A%2F%2Fwww.webofscience.com%2Fwos%2Fwoscc%2Ffull-record%2FWOS:000167708600005","View Full Record in Web of Science")</f>
        <v>View Full Record in Web of Science</v>
      </c>
    </row>
    <row r="788" spans="2:79" x14ac:dyDescent="0.3">
      <c r="B788" t="s">
        <v>8495</v>
      </c>
      <c r="D788" s="9" t="s">
        <v>32972</v>
      </c>
      <c r="E788" s="9" t="s">
        <v>33062</v>
      </c>
      <c r="G788" s="9" t="s">
        <v>8490</v>
      </c>
      <c r="H788" t="s">
        <v>67</v>
      </c>
      <c r="I788" t="s">
        <v>11904</v>
      </c>
      <c r="J788" t="s">
        <v>69</v>
      </c>
      <c r="K788" t="s">
        <v>69</v>
      </c>
      <c r="L788" t="s">
        <v>69</v>
      </c>
      <c r="M788" t="s">
        <v>11905</v>
      </c>
      <c r="N788" t="s">
        <v>69</v>
      </c>
      <c r="O788" t="s">
        <v>69</v>
      </c>
      <c r="P788" t="s">
        <v>11906</v>
      </c>
      <c r="Q788" t="s">
        <v>11907</v>
      </c>
      <c r="R788" t="s">
        <v>69</v>
      </c>
      <c r="S788" t="s">
        <v>69</v>
      </c>
      <c r="T788" t="s">
        <v>8505</v>
      </c>
      <c r="U788" t="s">
        <v>8506</v>
      </c>
      <c r="V788" t="s">
        <v>69</v>
      </c>
      <c r="W788" t="s">
        <v>69</v>
      </c>
      <c r="X788" t="s">
        <v>69</v>
      </c>
      <c r="Y788" t="s">
        <v>69</v>
      </c>
      <c r="Z788" t="s">
        <v>69</v>
      </c>
      <c r="AA788" t="s">
        <v>11908</v>
      </c>
      <c r="AB788" t="s">
        <v>11909</v>
      </c>
      <c r="AC788" t="s">
        <v>11910</v>
      </c>
      <c r="AD788" t="s">
        <v>11911</v>
      </c>
      <c r="AE788" t="s">
        <v>69</v>
      </c>
      <c r="AF788" t="s">
        <v>11912</v>
      </c>
      <c r="AG788" t="s">
        <v>11913</v>
      </c>
      <c r="AH788" t="s">
        <v>11914</v>
      </c>
      <c r="AI788" t="s">
        <v>11915</v>
      </c>
      <c r="AJ788" t="s">
        <v>69</v>
      </c>
      <c r="AK788" t="s">
        <v>69</v>
      </c>
      <c r="AL788" t="s">
        <v>69</v>
      </c>
      <c r="AM788" t="s">
        <v>69</v>
      </c>
      <c r="AN788">
        <v>71</v>
      </c>
      <c r="AO788">
        <v>14</v>
      </c>
      <c r="AP788">
        <v>14</v>
      </c>
      <c r="AQ788">
        <v>4</v>
      </c>
      <c r="AR788">
        <v>7</v>
      </c>
      <c r="AS788" t="s">
        <v>8516</v>
      </c>
      <c r="AT788" t="s">
        <v>8517</v>
      </c>
      <c r="AU788" t="s">
        <v>8518</v>
      </c>
      <c r="AV788" t="s">
        <v>11916</v>
      </c>
      <c r="AW788" t="s">
        <v>69</v>
      </c>
      <c r="AX788" t="s">
        <v>69</v>
      </c>
      <c r="AY788" t="s">
        <v>11917</v>
      </c>
      <c r="AZ788" t="s">
        <v>11918</v>
      </c>
      <c r="BA788" t="s">
        <v>201</v>
      </c>
      <c r="BB788">
        <v>2021</v>
      </c>
      <c r="BC788">
        <v>23</v>
      </c>
      <c r="BD788" t="s">
        <v>69</v>
      </c>
      <c r="BE788" t="s">
        <v>69</v>
      </c>
      <c r="BF788" t="s">
        <v>69</v>
      </c>
      <c r="BG788" t="s">
        <v>69</v>
      </c>
      <c r="BH788" t="s">
        <v>69</v>
      </c>
      <c r="BI788" t="s">
        <v>69</v>
      </c>
      <c r="BJ788" t="s">
        <v>69</v>
      </c>
      <c r="BK788">
        <v>101716</v>
      </c>
      <c r="BL788" t="s">
        <v>11919</v>
      </c>
      <c r="BM788" t="str">
        <f>HYPERLINK("http://dx.doi.org/10.1016/j.eti.2021.101716","http://dx.doi.org/10.1016/j.eti.2021.101716")</f>
        <v>http://dx.doi.org/10.1016/j.eti.2021.101716</v>
      </c>
      <c r="BN788" t="s">
        <v>69</v>
      </c>
      <c r="BO788" t="s">
        <v>11920</v>
      </c>
      <c r="BP788">
        <v>14</v>
      </c>
      <c r="BQ788" t="s">
        <v>11921</v>
      </c>
      <c r="BR788" t="s">
        <v>8523</v>
      </c>
      <c r="BS788" t="s">
        <v>11922</v>
      </c>
      <c r="BT788" t="s">
        <v>11923</v>
      </c>
      <c r="BU788" t="s">
        <v>11924</v>
      </c>
      <c r="BV788" t="s">
        <v>69</v>
      </c>
      <c r="BW788" t="s">
        <v>69</v>
      </c>
      <c r="BX788" t="s">
        <v>69</v>
      </c>
      <c r="BY788" t="s">
        <v>69</v>
      </c>
      <c r="BZ788" t="s">
        <v>8526</v>
      </c>
      <c r="CA788" t="str">
        <f>HYPERLINK("https%3A%2F%2Fwww.webofscience.com%2Fwos%2Fwoscc%2Ffull-record%2FWOS:000685019500017","View Full Record in Web of Science")</f>
        <v>View Full Record in Web of Science</v>
      </c>
    </row>
    <row r="789" spans="2:79" ht="12.5" x14ac:dyDescent="0.25">
      <c r="B789" t="s">
        <v>8495</v>
      </c>
      <c r="D789" s="7" t="s">
        <v>32933</v>
      </c>
      <c r="E789" s="7"/>
      <c r="F789" s="7"/>
      <c r="G789" s="7"/>
      <c r="H789" t="s">
        <v>67</v>
      </c>
      <c r="I789" t="s">
        <v>2894</v>
      </c>
      <c r="J789" t="s">
        <v>69</v>
      </c>
      <c r="K789" t="s">
        <v>69</v>
      </c>
      <c r="L789" t="s">
        <v>69</v>
      </c>
      <c r="M789" t="s">
        <v>2895</v>
      </c>
      <c r="N789" t="s">
        <v>69</v>
      </c>
      <c r="O789" t="s">
        <v>69</v>
      </c>
      <c r="P789" t="s">
        <v>2896</v>
      </c>
      <c r="Q789" t="s">
        <v>1023</v>
      </c>
      <c r="R789" t="s">
        <v>69</v>
      </c>
      <c r="S789" t="s">
        <v>69</v>
      </c>
      <c r="T789" t="s">
        <v>8505</v>
      </c>
      <c r="U789" t="s">
        <v>8506</v>
      </c>
      <c r="V789" t="s">
        <v>69</v>
      </c>
      <c r="W789" t="s">
        <v>69</v>
      </c>
      <c r="X789" t="s">
        <v>69</v>
      </c>
      <c r="Y789" t="s">
        <v>69</v>
      </c>
      <c r="Z789" t="s">
        <v>69</v>
      </c>
      <c r="AA789" t="s">
        <v>21761</v>
      </c>
      <c r="AB789" t="s">
        <v>21762</v>
      </c>
      <c r="AC789" t="s">
        <v>2897</v>
      </c>
      <c r="AD789" t="s">
        <v>21763</v>
      </c>
      <c r="AE789" t="s">
        <v>69</v>
      </c>
      <c r="AF789" t="s">
        <v>21764</v>
      </c>
      <c r="AG789" t="s">
        <v>21765</v>
      </c>
      <c r="AH789" t="s">
        <v>69</v>
      </c>
      <c r="AI789" t="s">
        <v>69</v>
      </c>
      <c r="AJ789" t="s">
        <v>21766</v>
      </c>
      <c r="AK789" t="s">
        <v>21767</v>
      </c>
      <c r="AL789" t="s">
        <v>21768</v>
      </c>
      <c r="AM789" t="s">
        <v>69</v>
      </c>
      <c r="AN789">
        <v>65</v>
      </c>
      <c r="AO789">
        <v>13</v>
      </c>
      <c r="AP789">
        <v>13</v>
      </c>
      <c r="AQ789">
        <v>0</v>
      </c>
      <c r="AR789">
        <v>29</v>
      </c>
      <c r="AS789" t="s">
        <v>9145</v>
      </c>
      <c r="AT789" t="s">
        <v>8637</v>
      </c>
      <c r="AU789" t="s">
        <v>9146</v>
      </c>
      <c r="AV789" t="s">
        <v>1026</v>
      </c>
      <c r="AW789" t="s">
        <v>69</v>
      </c>
      <c r="AX789" t="s">
        <v>69</v>
      </c>
      <c r="AY789" t="s">
        <v>18074</v>
      </c>
      <c r="AZ789" t="s">
        <v>18075</v>
      </c>
      <c r="BA789" t="s">
        <v>94</v>
      </c>
      <c r="BB789">
        <v>2016</v>
      </c>
      <c r="BC789">
        <v>85</v>
      </c>
      <c r="BD789" t="s">
        <v>69</v>
      </c>
      <c r="BE789" t="s">
        <v>69</v>
      </c>
      <c r="BF789" t="s">
        <v>69</v>
      </c>
      <c r="BG789" t="s">
        <v>69</v>
      </c>
      <c r="BH789" t="s">
        <v>69</v>
      </c>
      <c r="BI789">
        <v>76</v>
      </c>
      <c r="BJ789">
        <v>88</v>
      </c>
      <c r="BK789" t="s">
        <v>69</v>
      </c>
      <c r="BL789" t="s">
        <v>2898</v>
      </c>
      <c r="BM789" t="str">
        <f>HYPERLINK("http://dx.doi.org/10.1016/j.tra.2016.01.004","http://dx.doi.org/10.1016/j.tra.2016.01.004")</f>
        <v>http://dx.doi.org/10.1016/j.tra.2016.01.004</v>
      </c>
      <c r="BN789" t="s">
        <v>69</v>
      </c>
      <c r="BO789" t="s">
        <v>69</v>
      </c>
      <c r="BP789">
        <v>13</v>
      </c>
      <c r="BQ789" t="s">
        <v>18076</v>
      </c>
      <c r="BR789" t="s">
        <v>8523</v>
      </c>
      <c r="BS789" t="s">
        <v>15301</v>
      </c>
      <c r="BT789" t="s">
        <v>21769</v>
      </c>
      <c r="BU789" t="s">
        <v>2899</v>
      </c>
      <c r="BV789" t="s">
        <v>69</v>
      </c>
      <c r="BW789" t="s">
        <v>69</v>
      </c>
      <c r="BX789" t="s">
        <v>69</v>
      </c>
      <c r="BY789" t="s">
        <v>69</v>
      </c>
      <c r="BZ789" t="s">
        <v>8526</v>
      </c>
      <c r="CA789" t="str">
        <f>HYPERLINK("https%3A%2F%2Fwww.webofscience.com%2Fwos%2Fwoscc%2Ffull-record%2FWOS:000372942100006","View Full Record in Web of Science")</f>
        <v>View Full Record in Web of Science</v>
      </c>
    </row>
    <row r="790" spans="2:79" ht="12.5" x14ac:dyDescent="0.25">
      <c r="B790" t="s">
        <v>8495</v>
      </c>
      <c r="D790" s="22" t="s">
        <v>32931</v>
      </c>
      <c r="E790" s="7"/>
      <c r="F790" s="7"/>
      <c r="G790" s="7"/>
      <c r="H790" t="s">
        <v>67</v>
      </c>
      <c r="I790" t="s">
        <v>23974</v>
      </c>
      <c r="J790" t="s">
        <v>69</v>
      </c>
      <c r="K790" t="s">
        <v>69</v>
      </c>
      <c r="L790" t="s">
        <v>69</v>
      </c>
      <c r="M790" t="s">
        <v>23975</v>
      </c>
      <c r="N790" t="s">
        <v>69</v>
      </c>
      <c r="O790" t="s">
        <v>69</v>
      </c>
      <c r="P790" t="s">
        <v>23976</v>
      </c>
      <c r="Q790" t="s">
        <v>5503</v>
      </c>
      <c r="R790" t="s">
        <v>69</v>
      </c>
      <c r="S790" t="s">
        <v>69</v>
      </c>
      <c r="T790" t="s">
        <v>8505</v>
      </c>
      <c r="U790" t="s">
        <v>8506</v>
      </c>
      <c r="V790" t="s">
        <v>69</v>
      </c>
      <c r="W790" t="s">
        <v>69</v>
      </c>
      <c r="X790" t="s">
        <v>69</v>
      </c>
      <c r="Y790" t="s">
        <v>69</v>
      </c>
      <c r="Z790" t="s">
        <v>69</v>
      </c>
      <c r="AA790" t="s">
        <v>23977</v>
      </c>
      <c r="AB790" t="s">
        <v>23978</v>
      </c>
      <c r="AC790" t="s">
        <v>23979</v>
      </c>
      <c r="AD790" t="s">
        <v>23980</v>
      </c>
      <c r="AE790" t="s">
        <v>69</v>
      </c>
      <c r="AF790" t="s">
        <v>23981</v>
      </c>
      <c r="AG790" t="s">
        <v>23982</v>
      </c>
      <c r="AH790" t="s">
        <v>69</v>
      </c>
      <c r="AI790" t="s">
        <v>69</v>
      </c>
      <c r="AJ790" t="s">
        <v>23983</v>
      </c>
      <c r="AK790" t="s">
        <v>23983</v>
      </c>
      <c r="AL790" t="s">
        <v>23984</v>
      </c>
      <c r="AM790" t="s">
        <v>69</v>
      </c>
      <c r="AN790">
        <v>57</v>
      </c>
      <c r="AO790">
        <v>19</v>
      </c>
      <c r="AP790">
        <v>19</v>
      </c>
      <c r="AQ790">
        <v>1</v>
      </c>
      <c r="AR790">
        <v>79</v>
      </c>
      <c r="AS790" t="s">
        <v>8846</v>
      </c>
      <c r="AT790" t="s">
        <v>8847</v>
      </c>
      <c r="AU790" t="s">
        <v>8848</v>
      </c>
      <c r="AV790" t="s">
        <v>5505</v>
      </c>
      <c r="AW790" t="s">
        <v>23985</v>
      </c>
      <c r="AX790" t="s">
        <v>69</v>
      </c>
      <c r="AY790" t="s">
        <v>23986</v>
      </c>
      <c r="AZ790" t="s">
        <v>23987</v>
      </c>
      <c r="BA790" t="s">
        <v>191</v>
      </c>
      <c r="BB790">
        <v>2014</v>
      </c>
      <c r="BC790">
        <v>28</v>
      </c>
      <c r="BD790">
        <v>1</v>
      </c>
      <c r="BE790" t="s">
        <v>69</v>
      </c>
      <c r="BF790" t="s">
        <v>69</v>
      </c>
      <c r="BG790" t="s">
        <v>69</v>
      </c>
      <c r="BH790" t="s">
        <v>69</v>
      </c>
      <c r="BI790">
        <v>258</v>
      </c>
      <c r="BJ790">
        <v>268</v>
      </c>
      <c r="BK790" t="s">
        <v>69</v>
      </c>
      <c r="BL790" t="s">
        <v>23988</v>
      </c>
      <c r="BM790" t="str">
        <f>HYPERLINK("http://dx.doi.org/10.1111/cobi.12136","http://dx.doi.org/10.1111/cobi.12136")</f>
        <v>http://dx.doi.org/10.1111/cobi.12136</v>
      </c>
      <c r="BN790" t="s">
        <v>69</v>
      </c>
      <c r="BO790" t="s">
        <v>69</v>
      </c>
      <c r="BP790">
        <v>11</v>
      </c>
      <c r="BQ790" t="s">
        <v>16747</v>
      </c>
      <c r="BR790" t="s">
        <v>8523</v>
      </c>
      <c r="BS790" t="s">
        <v>15452</v>
      </c>
      <c r="BT790" t="s">
        <v>23989</v>
      </c>
      <c r="BU790" t="s">
        <v>23990</v>
      </c>
      <c r="BV790">
        <v>24001140</v>
      </c>
      <c r="BW790" t="s">
        <v>69</v>
      </c>
      <c r="BX790" t="s">
        <v>69</v>
      </c>
      <c r="BY790" t="s">
        <v>69</v>
      </c>
      <c r="BZ790" t="s">
        <v>8526</v>
      </c>
      <c r="CA790" t="str">
        <f>HYPERLINK("https%3A%2F%2Fwww.webofscience.com%2Fwos%2Fwoscc%2Ffull-record%2FWOS:000330265900026","View Full Record in Web of Science")</f>
        <v>View Full Record in Web of Science</v>
      </c>
    </row>
    <row r="791" spans="2:79" ht="12.5" x14ac:dyDescent="0.25">
      <c r="B791" t="s">
        <v>8495</v>
      </c>
      <c r="D791" s="22" t="s">
        <v>32931</v>
      </c>
      <c r="E791" s="7"/>
      <c r="F791" s="7"/>
      <c r="G791" s="7"/>
      <c r="H791" t="s">
        <v>67</v>
      </c>
      <c r="I791" t="s">
        <v>12987</v>
      </c>
      <c r="J791" t="s">
        <v>69</v>
      </c>
      <c r="K791" t="s">
        <v>69</v>
      </c>
      <c r="L791" t="s">
        <v>69</v>
      </c>
      <c r="M791" t="s">
        <v>12988</v>
      </c>
      <c r="N791" t="s">
        <v>69</v>
      </c>
      <c r="O791" t="s">
        <v>69</v>
      </c>
      <c r="P791" t="s">
        <v>12989</v>
      </c>
      <c r="Q791" t="s">
        <v>582</v>
      </c>
      <c r="R791" t="s">
        <v>69</v>
      </c>
      <c r="S791" t="s">
        <v>69</v>
      </c>
      <c r="T791" t="s">
        <v>8505</v>
      </c>
      <c r="U791" t="s">
        <v>8506</v>
      </c>
      <c r="V791" t="s">
        <v>69</v>
      </c>
      <c r="W791" t="s">
        <v>69</v>
      </c>
      <c r="X791" t="s">
        <v>69</v>
      </c>
      <c r="Y791" t="s">
        <v>69</v>
      </c>
      <c r="Z791" t="s">
        <v>69</v>
      </c>
      <c r="AA791" t="s">
        <v>12990</v>
      </c>
      <c r="AB791" t="s">
        <v>69</v>
      </c>
      <c r="AC791" t="s">
        <v>12991</v>
      </c>
      <c r="AD791" t="s">
        <v>12992</v>
      </c>
      <c r="AE791" t="s">
        <v>69</v>
      </c>
      <c r="AF791" t="s">
        <v>12993</v>
      </c>
      <c r="AG791" t="s">
        <v>12994</v>
      </c>
      <c r="AH791" t="s">
        <v>12995</v>
      </c>
      <c r="AI791" t="s">
        <v>12996</v>
      </c>
      <c r="AJ791" t="s">
        <v>12997</v>
      </c>
      <c r="AK791" t="s">
        <v>12998</v>
      </c>
      <c r="AL791" t="s">
        <v>12999</v>
      </c>
      <c r="AM791" t="s">
        <v>69</v>
      </c>
      <c r="AN791">
        <v>50</v>
      </c>
      <c r="AO791">
        <v>1</v>
      </c>
      <c r="AP791">
        <v>1</v>
      </c>
      <c r="AQ791">
        <v>4</v>
      </c>
      <c r="AR791">
        <v>17</v>
      </c>
      <c r="AS791" t="s">
        <v>8692</v>
      </c>
      <c r="AT791" t="s">
        <v>8693</v>
      </c>
      <c r="AU791" t="s">
        <v>8694</v>
      </c>
      <c r="AV791" t="s">
        <v>584</v>
      </c>
      <c r="AW791" t="s">
        <v>585</v>
      </c>
      <c r="AX791" t="s">
        <v>69</v>
      </c>
      <c r="AY791" t="s">
        <v>8695</v>
      </c>
      <c r="AZ791" t="s">
        <v>8696</v>
      </c>
      <c r="BA791" t="s">
        <v>94</v>
      </c>
      <c r="BB791">
        <v>2021</v>
      </c>
      <c r="BC791">
        <v>87</v>
      </c>
      <c r="BD791" t="s">
        <v>69</v>
      </c>
      <c r="BE791" t="s">
        <v>69</v>
      </c>
      <c r="BF791" t="s">
        <v>69</v>
      </c>
      <c r="BG791" t="s">
        <v>69</v>
      </c>
      <c r="BH791" t="s">
        <v>69</v>
      </c>
      <c r="BI791" t="s">
        <v>69</v>
      </c>
      <c r="BJ791" t="s">
        <v>69</v>
      </c>
      <c r="BK791">
        <v>106523</v>
      </c>
      <c r="BL791" t="s">
        <v>13000</v>
      </c>
      <c r="BM791" t="str">
        <f>HYPERLINK("http://dx.doi.org/10.1016/j.eiar.2020.106523","http://dx.doi.org/10.1016/j.eiar.2020.106523")</f>
        <v>http://dx.doi.org/10.1016/j.eiar.2020.106523</v>
      </c>
      <c r="BN791" t="s">
        <v>69</v>
      </c>
      <c r="BO791" t="s">
        <v>69</v>
      </c>
      <c r="BP791">
        <v>17</v>
      </c>
      <c r="BQ791" t="s">
        <v>8660</v>
      </c>
      <c r="BR791" t="s">
        <v>8661</v>
      </c>
      <c r="BS791" t="s">
        <v>8662</v>
      </c>
      <c r="BT791" t="s">
        <v>13001</v>
      </c>
      <c r="BU791" t="s">
        <v>13002</v>
      </c>
      <c r="BV791" t="s">
        <v>69</v>
      </c>
      <c r="BW791" t="s">
        <v>69</v>
      </c>
      <c r="BX791" t="s">
        <v>69</v>
      </c>
      <c r="BY791" t="s">
        <v>69</v>
      </c>
      <c r="BZ791" t="s">
        <v>8526</v>
      </c>
      <c r="CA791" t="str">
        <f>HYPERLINK("https%3A%2F%2Fwww.webofscience.com%2Fwos%2Fwoscc%2Ffull-record%2FWOS:000614713900007","View Full Record in Web of Science")</f>
        <v>View Full Record in Web of Science</v>
      </c>
    </row>
    <row r="792" spans="2:79" ht="12.5" x14ac:dyDescent="0.25">
      <c r="B792" t="s">
        <v>8495</v>
      </c>
      <c r="D792" s="7" t="s">
        <v>32933</v>
      </c>
      <c r="E792" s="7"/>
      <c r="F792" s="7"/>
      <c r="G792" s="7"/>
      <c r="H792" t="s">
        <v>67</v>
      </c>
      <c r="I792" t="s">
        <v>3631</v>
      </c>
      <c r="J792" t="s">
        <v>69</v>
      </c>
      <c r="K792" t="s">
        <v>69</v>
      </c>
      <c r="L792" t="s">
        <v>69</v>
      </c>
      <c r="M792" t="s">
        <v>3632</v>
      </c>
      <c r="N792" t="s">
        <v>69</v>
      </c>
      <c r="O792" t="s">
        <v>69</v>
      </c>
      <c r="P792" t="s">
        <v>3633</v>
      </c>
      <c r="Q792" t="s">
        <v>3634</v>
      </c>
      <c r="R792" t="s">
        <v>69</v>
      </c>
      <c r="S792" t="s">
        <v>69</v>
      </c>
      <c r="T792" t="s">
        <v>8505</v>
      </c>
      <c r="U792" t="s">
        <v>8506</v>
      </c>
      <c r="V792" t="s">
        <v>69</v>
      </c>
      <c r="W792" t="s">
        <v>69</v>
      </c>
      <c r="X792" t="s">
        <v>69</v>
      </c>
      <c r="Y792" t="s">
        <v>69</v>
      </c>
      <c r="Z792" t="s">
        <v>69</v>
      </c>
      <c r="AA792" t="s">
        <v>28835</v>
      </c>
      <c r="AB792" t="s">
        <v>28836</v>
      </c>
      <c r="AC792" t="s">
        <v>3635</v>
      </c>
      <c r="AD792" t="s">
        <v>28837</v>
      </c>
      <c r="AE792" t="s">
        <v>69</v>
      </c>
      <c r="AF792" t="s">
        <v>28838</v>
      </c>
      <c r="AG792" t="s">
        <v>28839</v>
      </c>
      <c r="AH792" t="s">
        <v>69</v>
      </c>
      <c r="AI792" t="s">
        <v>69</v>
      </c>
      <c r="AJ792" t="s">
        <v>69</v>
      </c>
      <c r="AK792" t="s">
        <v>69</v>
      </c>
      <c r="AL792" t="s">
        <v>69</v>
      </c>
      <c r="AM792" t="s">
        <v>69</v>
      </c>
      <c r="AN792">
        <v>63</v>
      </c>
      <c r="AO792">
        <v>20</v>
      </c>
      <c r="AP792">
        <v>20</v>
      </c>
      <c r="AQ792">
        <v>1</v>
      </c>
      <c r="AR792">
        <v>69</v>
      </c>
      <c r="AS792" t="s">
        <v>28840</v>
      </c>
      <c r="AT792" t="s">
        <v>28841</v>
      </c>
      <c r="AU792" t="s">
        <v>28842</v>
      </c>
      <c r="AV792" t="s">
        <v>3636</v>
      </c>
      <c r="AW792" t="s">
        <v>69</v>
      </c>
      <c r="AX792" t="s">
        <v>69</v>
      </c>
      <c r="AY792" t="s">
        <v>28843</v>
      </c>
      <c r="AZ792" t="s">
        <v>28844</v>
      </c>
      <c r="BA792" t="s">
        <v>69</v>
      </c>
      <c r="BB792">
        <v>2009</v>
      </c>
      <c r="BC792">
        <v>17</v>
      </c>
      <c r="BD792">
        <v>2</v>
      </c>
      <c r="BE792" t="s">
        <v>69</v>
      </c>
      <c r="BF792" t="s">
        <v>69</v>
      </c>
      <c r="BG792" t="s">
        <v>69</v>
      </c>
      <c r="BH792" t="s">
        <v>69</v>
      </c>
      <c r="BI792">
        <v>112</v>
      </c>
      <c r="BJ792">
        <v>122</v>
      </c>
      <c r="BK792" t="s">
        <v>69</v>
      </c>
      <c r="BL792" t="s">
        <v>3637</v>
      </c>
      <c r="BM792" t="str">
        <f>HYPERLINK("http://dx.doi.org/10.1016/j.jnc.2008.12.006","http://dx.doi.org/10.1016/j.jnc.2008.12.006")</f>
        <v>http://dx.doi.org/10.1016/j.jnc.2008.12.006</v>
      </c>
      <c r="BN792" t="s">
        <v>69</v>
      </c>
      <c r="BO792" t="s">
        <v>69</v>
      </c>
      <c r="BP792">
        <v>11</v>
      </c>
      <c r="BQ792" t="s">
        <v>15451</v>
      </c>
      <c r="BR792" t="s">
        <v>8548</v>
      </c>
      <c r="BS792" t="s">
        <v>15452</v>
      </c>
      <c r="BT792" t="s">
        <v>28845</v>
      </c>
      <c r="BU792" t="s">
        <v>3638</v>
      </c>
      <c r="BV792" t="s">
        <v>69</v>
      </c>
      <c r="BW792" t="s">
        <v>69</v>
      </c>
      <c r="BX792" t="s">
        <v>69</v>
      </c>
      <c r="BY792" t="s">
        <v>69</v>
      </c>
      <c r="BZ792" t="s">
        <v>8526</v>
      </c>
      <c r="CA792" t="str">
        <f>HYPERLINK("https%3A%2F%2Fwww.webofscience.com%2Fwos%2Fwoscc%2Ffull-record%2FWOS:000266683900005","View Full Record in Web of Science")</f>
        <v>View Full Record in Web of Science</v>
      </c>
    </row>
    <row r="793" spans="2:79" ht="12.5" x14ac:dyDescent="0.25">
      <c r="B793" t="s">
        <v>8495</v>
      </c>
      <c r="D793" s="7" t="s">
        <v>32933</v>
      </c>
      <c r="E793" s="7"/>
      <c r="F793" s="7"/>
      <c r="G793" s="7"/>
      <c r="H793" t="s">
        <v>67</v>
      </c>
      <c r="I793" t="s">
        <v>664</v>
      </c>
      <c r="J793" t="s">
        <v>69</v>
      </c>
      <c r="K793" t="s">
        <v>69</v>
      </c>
      <c r="L793" t="s">
        <v>69</v>
      </c>
      <c r="M793" t="s">
        <v>664</v>
      </c>
      <c r="N793" t="s">
        <v>69</v>
      </c>
      <c r="O793" t="s">
        <v>69</v>
      </c>
      <c r="P793" t="s">
        <v>665</v>
      </c>
      <c r="Q793" t="s">
        <v>666</v>
      </c>
      <c r="R793" t="s">
        <v>69</v>
      </c>
      <c r="S793" t="s">
        <v>69</v>
      </c>
      <c r="T793" t="s">
        <v>8505</v>
      </c>
      <c r="U793" t="s">
        <v>15797</v>
      </c>
      <c r="V793" t="s">
        <v>667</v>
      </c>
      <c r="W793" t="s">
        <v>668</v>
      </c>
      <c r="X793" t="s">
        <v>669</v>
      </c>
      <c r="Y793" t="s">
        <v>670</v>
      </c>
      <c r="Z793" t="s">
        <v>69</v>
      </c>
      <c r="AA793" t="s">
        <v>32886</v>
      </c>
      <c r="AB793" t="s">
        <v>69</v>
      </c>
      <c r="AC793" t="s">
        <v>671</v>
      </c>
      <c r="AD793" t="s">
        <v>69</v>
      </c>
      <c r="AE793" t="s">
        <v>69</v>
      </c>
      <c r="AF793" t="s">
        <v>32887</v>
      </c>
      <c r="AG793" t="s">
        <v>69</v>
      </c>
      <c r="AH793" t="s">
        <v>69</v>
      </c>
      <c r="AI793" t="s">
        <v>69</v>
      </c>
      <c r="AJ793" t="s">
        <v>69</v>
      </c>
      <c r="AK793" t="s">
        <v>69</v>
      </c>
      <c r="AL793" t="s">
        <v>69</v>
      </c>
      <c r="AM793" t="s">
        <v>69</v>
      </c>
      <c r="AN793">
        <v>0</v>
      </c>
      <c r="AO793">
        <v>2</v>
      </c>
      <c r="AP793">
        <v>2</v>
      </c>
      <c r="AQ793">
        <v>0</v>
      </c>
      <c r="AR793">
        <v>0</v>
      </c>
      <c r="AS793" t="s">
        <v>32888</v>
      </c>
      <c r="AT793" t="s">
        <v>19947</v>
      </c>
      <c r="AU793" t="s">
        <v>32889</v>
      </c>
      <c r="AV793" t="s">
        <v>672</v>
      </c>
      <c r="AW793" t="s">
        <v>69</v>
      </c>
      <c r="AX793" t="s">
        <v>69</v>
      </c>
      <c r="AY793" t="s">
        <v>32890</v>
      </c>
      <c r="AZ793" t="s">
        <v>32891</v>
      </c>
      <c r="BA793" t="s">
        <v>69</v>
      </c>
      <c r="BB793">
        <v>1992</v>
      </c>
      <c r="BC793">
        <v>87</v>
      </c>
      <c r="BD793" t="s">
        <v>69</v>
      </c>
      <c r="BE793" t="s">
        <v>69</v>
      </c>
      <c r="BF793">
        <v>4</v>
      </c>
      <c r="BG793" t="s">
        <v>69</v>
      </c>
      <c r="BH793" t="s">
        <v>69</v>
      </c>
      <c r="BI793">
        <v>45</v>
      </c>
      <c r="BJ793">
        <v>53</v>
      </c>
      <c r="BK793" t="s">
        <v>69</v>
      </c>
      <c r="BL793" t="s">
        <v>673</v>
      </c>
      <c r="BM793" t="str">
        <f>HYPERLINK("http://dx.doi.org/10.1590/S0074-02761992000800006","http://dx.doi.org/10.1590/S0074-02761992000800006")</f>
        <v>http://dx.doi.org/10.1590/S0074-02761992000800006</v>
      </c>
      <c r="BN793" t="s">
        <v>69</v>
      </c>
      <c r="BO793" t="s">
        <v>69</v>
      </c>
      <c r="BP793">
        <v>9</v>
      </c>
      <c r="BQ793" t="s">
        <v>32892</v>
      </c>
      <c r="BR793" t="s">
        <v>29550</v>
      </c>
      <c r="BS793" t="s">
        <v>32892</v>
      </c>
      <c r="BT793" t="s">
        <v>32893</v>
      </c>
      <c r="BU793" t="s">
        <v>674</v>
      </c>
      <c r="BV793">
        <v>1343925</v>
      </c>
      <c r="BW793" t="s">
        <v>10301</v>
      </c>
      <c r="BX793" t="s">
        <v>69</v>
      </c>
      <c r="BY793" t="s">
        <v>69</v>
      </c>
      <c r="BZ793" t="s">
        <v>8526</v>
      </c>
      <c r="CA793" t="str">
        <f>HYPERLINK("https%3A%2F%2Fwww.webofscience.com%2Fwos%2Fwoscc%2Ffull-record%2FWOS:A1992LB15000007","View Full Record in Web of Science")</f>
        <v>View Full Record in Web of Science</v>
      </c>
    </row>
    <row r="794" spans="2:79" ht="12.5" x14ac:dyDescent="0.25">
      <c r="B794" t="s">
        <v>8495</v>
      </c>
      <c r="D794" s="7" t="s">
        <v>32933</v>
      </c>
      <c r="E794" s="7"/>
      <c r="F794" s="7"/>
      <c r="G794" s="7"/>
      <c r="H794" t="s">
        <v>67</v>
      </c>
      <c r="I794" t="s">
        <v>7843</v>
      </c>
      <c r="J794" t="s">
        <v>69</v>
      </c>
      <c r="K794" t="s">
        <v>69</v>
      </c>
      <c r="L794" t="s">
        <v>69</v>
      </c>
      <c r="M794" t="s">
        <v>7844</v>
      </c>
      <c r="N794" t="s">
        <v>69</v>
      </c>
      <c r="O794" t="s">
        <v>69</v>
      </c>
      <c r="P794" t="s">
        <v>7845</v>
      </c>
      <c r="Q794" t="s">
        <v>7846</v>
      </c>
      <c r="R794" t="s">
        <v>69</v>
      </c>
      <c r="S794" t="s">
        <v>69</v>
      </c>
      <c r="T794" t="s">
        <v>8505</v>
      </c>
      <c r="U794" t="s">
        <v>8506</v>
      </c>
      <c r="V794" t="s">
        <v>69</v>
      </c>
      <c r="W794" t="s">
        <v>69</v>
      </c>
      <c r="X794" t="s">
        <v>69</v>
      </c>
      <c r="Y794" t="s">
        <v>69</v>
      </c>
      <c r="Z794" t="s">
        <v>69</v>
      </c>
      <c r="AA794" t="s">
        <v>29022</v>
      </c>
      <c r="AB794" t="s">
        <v>29023</v>
      </c>
      <c r="AC794" t="s">
        <v>7847</v>
      </c>
      <c r="AD794" t="s">
        <v>29024</v>
      </c>
      <c r="AE794" t="s">
        <v>69</v>
      </c>
      <c r="AF794" t="s">
        <v>29025</v>
      </c>
      <c r="AG794" t="s">
        <v>29026</v>
      </c>
      <c r="AH794" t="s">
        <v>7848</v>
      </c>
      <c r="AI794" t="s">
        <v>7849</v>
      </c>
      <c r="AJ794" t="s">
        <v>69</v>
      </c>
      <c r="AK794" t="s">
        <v>69</v>
      </c>
      <c r="AL794" t="s">
        <v>69</v>
      </c>
      <c r="AM794" t="s">
        <v>69</v>
      </c>
      <c r="AN794">
        <v>70</v>
      </c>
      <c r="AO794">
        <v>20</v>
      </c>
      <c r="AP794">
        <v>22</v>
      </c>
      <c r="AQ794">
        <v>0</v>
      </c>
      <c r="AR794">
        <v>40</v>
      </c>
      <c r="AS794" t="s">
        <v>8516</v>
      </c>
      <c r="AT794" t="s">
        <v>8517</v>
      </c>
      <c r="AU794" t="s">
        <v>8518</v>
      </c>
      <c r="AV794" t="s">
        <v>7850</v>
      </c>
      <c r="AW794" t="s">
        <v>7851</v>
      </c>
      <c r="AX794" t="s">
        <v>69</v>
      </c>
      <c r="AY794" t="s">
        <v>17536</v>
      </c>
      <c r="AZ794" t="s">
        <v>17537</v>
      </c>
      <c r="BA794" t="s">
        <v>6976</v>
      </c>
      <c r="BB794">
        <v>2008</v>
      </c>
      <c r="BC794">
        <v>256</v>
      </c>
      <c r="BD794">
        <v>10</v>
      </c>
      <c r="BE794" t="s">
        <v>69</v>
      </c>
      <c r="BF794" t="s">
        <v>69</v>
      </c>
      <c r="BG794" t="s">
        <v>114</v>
      </c>
      <c r="BH794" t="s">
        <v>69</v>
      </c>
      <c r="BI794">
        <v>1636</v>
      </c>
      <c r="BJ794">
        <v>1645</v>
      </c>
      <c r="BK794" t="s">
        <v>69</v>
      </c>
      <c r="BL794" t="s">
        <v>7852</v>
      </c>
      <c r="BM794" t="str">
        <f>HYPERLINK("http://dx.doi.org/10.1016/j.foreco.2008.07.024","http://dx.doi.org/10.1016/j.foreco.2008.07.024")</f>
        <v>http://dx.doi.org/10.1016/j.foreco.2008.07.024</v>
      </c>
      <c r="BN794" t="s">
        <v>69</v>
      </c>
      <c r="BO794" t="s">
        <v>69</v>
      </c>
      <c r="BP794">
        <v>10</v>
      </c>
      <c r="BQ794" t="s">
        <v>8453</v>
      </c>
      <c r="BR794" t="s">
        <v>8548</v>
      </c>
      <c r="BS794" t="s">
        <v>8453</v>
      </c>
      <c r="BT794" t="s">
        <v>29027</v>
      </c>
      <c r="BU794" t="s">
        <v>7853</v>
      </c>
      <c r="BV794" t="s">
        <v>69</v>
      </c>
      <c r="BW794" t="s">
        <v>69</v>
      </c>
      <c r="BX794" t="s">
        <v>69</v>
      </c>
      <c r="BY794" t="s">
        <v>69</v>
      </c>
      <c r="BZ794" t="s">
        <v>8526</v>
      </c>
      <c r="CA794" t="str">
        <f>HYPERLINK("https%3A%2F%2Fwww.webofscience.com%2Fwos%2Fwoscc%2Ffull-record%2FWOS:000261118900002","View Full Record in Web of Science")</f>
        <v>View Full Record in Web of Science</v>
      </c>
    </row>
    <row r="795" spans="2:79" x14ac:dyDescent="0.3">
      <c r="B795" t="s">
        <v>8495</v>
      </c>
      <c r="D795" s="9" t="s">
        <v>32972</v>
      </c>
      <c r="E795" s="9" t="s">
        <v>33061</v>
      </c>
      <c r="G795" s="9" t="s">
        <v>8490</v>
      </c>
      <c r="H795" t="s">
        <v>67</v>
      </c>
      <c r="I795" t="s">
        <v>32357</v>
      </c>
      <c r="J795" t="s">
        <v>69</v>
      </c>
      <c r="K795" t="s">
        <v>69</v>
      </c>
      <c r="L795" t="s">
        <v>69</v>
      </c>
      <c r="M795" t="s">
        <v>32357</v>
      </c>
      <c r="N795" t="s">
        <v>69</v>
      </c>
      <c r="O795" t="s">
        <v>69</v>
      </c>
      <c r="P795" t="s">
        <v>32358</v>
      </c>
      <c r="Q795" t="s">
        <v>31165</v>
      </c>
      <c r="R795" t="s">
        <v>69</v>
      </c>
      <c r="S795" t="s">
        <v>69</v>
      </c>
      <c r="T795" t="s">
        <v>8505</v>
      </c>
      <c r="U795" t="s">
        <v>15797</v>
      </c>
      <c r="V795" t="s">
        <v>32359</v>
      </c>
      <c r="W795" t="s">
        <v>32360</v>
      </c>
      <c r="X795" t="s">
        <v>32361</v>
      </c>
      <c r="Y795" t="s">
        <v>69</v>
      </c>
      <c r="Z795" t="s">
        <v>69</v>
      </c>
      <c r="AA795" t="s">
        <v>69</v>
      </c>
      <c r="AB795" t="s">
        <v>69</v>
      </c>
      <c r="AC795" t="s">
        <v>32362</v>
      </c>
      <c r="AD795" t="s">
        <v>69</v>
      </c>
      <c r="AE795" t="s">
        <v>69</v>
      </c>
      <c r="AF795" t="s">
        <v>32363</v>
      </c>
      <c r="AG795" t="s">
        <v>69</v>
      </c>
      <c r="AH795" t="s">
        <v>69</v>
      </c>
      <c r="AI795" t="s">
        <v>69</v>
      </c>
      <c r="AJ795" t="s">
        <v>69</v>
      </c>
      <c r="AK795" t="s">
        <v>69</v>
      </c>
      <c r="AL795" t="s">
        <v>69</v>
      </c>
      <c r="AM795" t="s">
        <v>69</v>
      </c>
      <c r="AN795">
        <v>17</v>
      </c>
      <c r="AO795">
        <v>2</v>
      </c>
      <c r="AP795">
        <v>2</v>
      </c>
      <c r="AQ795">
        <v>0</v>
      </c>
      <c r="AR795">
        <v>4</v>
      </c>
      <c r="AS795" t="s">
        <v>17140</v>
      </c>
      <c r="AT795" t="s">
        <v>8517</v>
      </c>
      <c r="AU795" t="s">
        <v>17141</v>
      </c>
      <c r="AV795" t="s">
        <v>31169</v>
      </c>
      <c r="AW795" t="s">
        <v>69</v>
      </c>
      <c r="AX795" t="s">
        <v>69</v>
      </c>
      <c r="AY795" t="s">
        <v>31170</v>
      </c>
      <c r="AZ795" t="s">
        <v>31171</v>
      </c>
      <c r="BA795" t="s">
        <v>32364</v>
      </c>
      <c r="BB795">
        <v>1996</v>
      </c>
      <c r="BC795">
        <v>45</v>
      </c>
      <c r="BD795" t="s">
        <v>1812</v>
      </c>
      <c r="BE795" t="s">
        <v>69</v>
      </c>
      <c r="BF795" t="s">
        <v>69</v>
      </c>
      <c r="BG795" t="s">
        <v>69</v>
      </c>
      <c r="BH795" t="s">
        <v>69</v>
      </c>
      <c r="BI795">
        <v>15</v>
      </c>
      <c r="BJ795">
        <v>36</v>
      </c>
      <c r="BK795" t="s">
        <v>69</v>
      </c>
      <c r="BL795" t="s">
        <v>32365</v>
      </c>
      <c r="BM795" t="str">
        <f>HYPERLINK("http://dx.doi.org/10.1016/S0013-7952(97)81955-2","http://dx.doi.org/10.1016/S0013-7952(97)81955-2")</f>
        <v>http://dx.doi.org/10.1016/S0013-7952(97)81955-2</v>
      </c>
      <c r="BN795" t="s">
        <v>69</v>
      </c>
      <c r="BO795" t="s">
        <v>69</v>
      </c>
      <c r="BP795">
        <v>22</v>
      </c>
      <c r="BQ795" t="s">
        <v>31173</v>
      </c>
      <c r="BR795" t="s">
        <v>29550</v>
      </c>
      <c r="BS795" t="s">
        <v>29172</v>
      </c>
      <c r="BT795" t="s">
        <v>32366</v>
      </c>
      <c r="BU795" t="s">
        <v>32367</v>
      </c>
      <c r="BV795" t="s">
        <v>69</v>
      </c>
      <c r="BW795" t="s">
        <v>69</v>
      </c>
      <c r="BX795" t="s">
        <v>69</v>
      </c>
      <c r="BY795" t="s">
        <v>69</v>
      </c>
      <c r="BZ795" t="s">
        <v>8526</v>
      </c>
      <c r="CA795" t="str">
        <f>HYPERLINK("https%3A%2F%2Fwww.webofscience.com%2Fwos%2Fwoscc%2Ffull-record%2FWOS:A1996WE89100002","View Full Record in Web of Science")</f>
        <v>View Full Record in Web of Science</v>
      </c>
    </row>
    <row r="796" spans="2:79" x14ac:dyDescent="0.3">
      <c r="B796" t="s">
        <v>8495</v>
      </c>
      <c r="D796" s="9" t="s">
        <v>32954</v>
      </c>
      <c r="E796" s="9" t="s">
        <v>33060</v>
      </c>
      <c r="G796" s="9" t="s">
        <v>8490</v>
      </c>
      <c r="H796" t="s">
        <v>67</v>
      </c>
      <c r="I796" t="s">
        <v>6491</v>
      </c>
      <c r="J796" t="s">
        <v>69</v>
      </c>
      <c r="K796" t="s">
        <v>69</v>
      </c>
      <c r="L796" t="s">
        <v>69</v>
      </c>
      <c r="M796" t="s">
        <v>6492</v>
      </c>
      <c r="N796" t="s">
        <v>69</v>
      </c>
      <c r="O796" t="s">
        <v>69</v>
      </c>
      <c r="P796" t="s">
        <v>22908</v>
      </c>
      <c r="Q796" t="s">
        <v>22909</v>
      </c>
      <c r="R796" t="s">
        <v>69</v>
      </c>
      <c r="S796" t="s">
        <v>69</v>
      </c>
      <c r="T796" t="s">
        <v>8505</v>
      </c>
      <c r="U796" t="s">
        <v>8506</v>
      </c>
      <c r="V796" t="s">
        <v>69</v>
      </c>
      <c r="W796" t="s">
        <v>69</v>
      </c>
      <c r="X796" t="s">
        <v>69</v>
      </c>
      <c r="Y796" t="s">
        <v>69</v>
      </c>
      <c r="Z796" t="s">
        <v>69</v>
      </c>
      <c r="AA796" t="s">
        <v>22910</v>
      </c>
      <c r="AB796" t="s">
        <v>22911</v>
      </c>
      <c r="AC796" t="s">
        <v>22912</v>
      </c>
      <c r="AD796" t="s">
        <v>22913</v>
      </c>
      <c r="AE796" t="s">
        <v>69</v>
      </c>
      <c r="AF796" t="s">
        <v>22914</v>
      </c>
      <c r="AG796" t="s">
        <v>22915</v>
      </c>
      <c r="AH796" t="s">
        <v>69</v>
      </c>
      <c r="AI796" t="s">
        <v>69</v>
      </c>
      <c r="AJ796" t="s">
        <v>69</v>
      </c>
      <c r="AK796" t="s">
        <v>69</v>
      </c>
      <c r="AL796" t="s">
        <v>69</v>
      </c>
      <c r="AM796" t="s">
        <v>69</v>
      </c>
      <c r="AN796">
        <v>94</v>
      </c>
      <c r="AO796">
        <v>11</v>
      </c>
      <c r="AP796">
        <v>11</v>
      </c>
      <c r="AQ796">
        <v>0</v>
      </c>
      <c r="AR796">
        <v>5</v>
      </c>
      <c r="AS796" t="s">
        <v>9554</v>
      </c>
      <c r="AT796" t="s">
        <v>9555</v>
      </c>
      <c r="AU796" t="s">
        <v>9556</v>
      </c>
      <c r="AV796" t="s">
        <v>22916</v>
      </c>
      <c r="AW796" t="s">
        <v>22917</v>
      </c>
      <c r="AX796" t="s">
        <v>69</v>
      </c>
      <c r="AY796" t="s">
        <v>22918</v>
      </c>
      <c r="AZ796" t="s">
        <v>22919</v>
      </c>
      <c r="BA796" t="s">
        <v>191</v>
      </c>
      <c r="BB796">
        <v>2015</v>
      </c>
      <c r="BC796">
        <v>25</v>
      </c>
      <c r="BD796">
        <v>4</v>
      </c>
      <c r="BE796" t="s">
        <v>69</v>
      </c>
      <c r="BF796" t="s">
        <v>69</v>
      </c>
      <c r="BG796" t="s">
        <v>114</v>
      </c>
      <c r="BH796" t="s">
        <v>69</v>
      </c>
      <c r="BI796">
        <v>480</v>
      </c>
      <c r="BJ796">
        <v>512</v>
      </c>
      <c r="BK796" t="s">
        <v>69</v>
      </c>
      <c r="BL796" t="s">
        <v>22920</v>
      </c>
      <c r="BM796" t="str">
        <f>HYPERLINK("http://dx.doi.org/10.1177/1048291115615074","http://dx.doi.org/10.1177/1048291115615074")</f>
        <v>http://dx.doi.org/10.1177/1048291115615074</v>
      </c>
      <c r="BN796" t="s">
        <v>69</v>
      </c>
      <c r="BO796" t="s">
        <v>69</v>
      </c>
      <c r="BP796">
        <v>33</v>
      </c>
      <c r="BQ796" t="s">
        <v>8810</v>
      </c>
      <c r="BR796" t="s">
        <v>8573</v>
      </c>
      <c r="BS796" t="s">
        <v>8810</v>
      </c>
      <c r="BT796" t="s">
        <v>22921</v>
      </c>
      <c r="BU796" t="s">
        <v>22922</v>
      </c>
      <c r="BV796">
        <v>26531123</v>
      </c>
      <c r="BW796" t="s">
        <v>10648</v>
      </c>
      <c r="BX796" t="s">
        <v>69</v>
      </c>
      <c r="BY796" t="s">
        <v>69</v>
      </c>
      <c r="BZ796" t="s">
        <v>8526</v>
      </c>
      <c r="CA796" t="str">
        <f>HYPERLINK("https%3A%2F%2Fwww.webofscience.com%2Fwos%2Fwoscc%2Ffull-record%2FWOS:000439921100007","View Full Record in Web of Science")</f>
        <v>View Full Record in Web of Science</v>
      </c>
    </row>
    <row r="797" spans="2:79" ht="12.5" x14ac:dyDescent="0.25">
      <c r="B797" t="s">
        <v>8495</v>
      </c>
      <c r="D797" s="22" t="s">
        <v>32931</v>
      </c>
      <c r="E797" s="7"/>
      <c r="F797" s="7"/>
      <c r="G797" s="7"/>
      <c r="H797" t="s">
        <v>67</v>
      </c>
      <c r="I797" t="s">
        <v>12933</v>
      </c>
      <c r="J797" t="s">
        <v>69</v>
      </c>
      <c r="K797" t="s">
        <v>69</v>
      </c>
      <c r="L797" t="s">
        <v>69</v>
      </c>
      <c r="M797" t="s">
        <v>12934</v>
      </c>
      <c r="N797" t="s">
        <v>69</v>
      </c>
      <c r="O797" t="s">
        <v>69</v>
      </c>
      <c r="P797" t="s">
        <v>12935</v>
      </c>
      <c r="Q797" t="s">
        <v>12936</v>
      </c>
      <c r="R797" t="s">
        <v>69</v>
      </c>
      <c r="S797" t="s">
        <v>69</v>
      </c>
      <c r="T797" t="s">
        <v>12937</v>
      </c>
      <c r="U797" t="s">
        <v>8506</v>
      </c>
      <c r="V797" t="s">
        <v>69</v>
      </c>
      <c r="W797" t="s">
        <v>69</v>
      </c>
      <c r="X797" t="s">
        <v>69</v>
      </c>
      <c r="Y797" t="s">
        <v>69</v>
      </c>
      <c r="Z797" t="s">
        <v>69</v>
      </c>
      <c r="AA797" t="s">
        <v>12938</v>
      </c>
      <c r="AB797" t="s">
        <v>69</v>
      </c>
      <c r="AC797" t="s">
        <v>12939</v>
      </c>
      <c r="AD797" t="s">
        <v>12940</v>
      </c>
      <c r="AE797" t="s">
        <v>69</v>
      </c>
      <c r="AF797" t="s">
        <v>12941</v>
      </c>
      <c r="AG797" t="s">
        <v>12942</v>
      </c>
      <c r="AH797" t="s">
        <v>69</v>
      </c>
      <c r="AI797" t="s">
        <v>69</v>
      </c>
      <c r="AJ797" t="s">
        <v>69</v>
      </c>
      <c r="AK797" t="s">
        <v>69</v>
      </c>
      <c r="AL797" t="s">
        <v>69</v>
      </c>
      <c r="AM797" t="s">
        <v>69</v>
      </c>
      <c r="AN797">
        <v>20</v>
      </c>
      <c r="AO797">
        <v>1</v>
      </c>
      <c r="AP797">
        <v>1</v>
      </c>
      <c r="AQ797">
        <v>0</v>
      </c>
      <c r="AR797">
        <v>2</v>
      </c>
      <c r="AS797" t="s">
        <v>12943</v>
      </c>
      <c r="AT797" t="s">
        <v>10968</v>
      </c>
      <c r="AU797" t="s">
        <v>12944</v>
      </c>
      <c r="AV797" t="s">
        <v>12945</v>
      </c>
      <c r="AW797" t="s">
        <v>12946</v>
      </c>
      <c r="AX797" t="s">
        <v>69</v>
      </c>
      <c r="AY797" t="s">
        <v>12947</v>
      </c>
      <c r="AZ797" t="s">
        <v>12948</v>
      </c>
      <c r="BA797" t="s">
        <v>94</v>
      </c>
      <c r="BB797">
        <v>2021</v>
      </c>
      <c r="BC797">
        <v>64</v>
      </c>
      <c r="BD797">
        <v>3</v>
      </c>
      <c r="BE797" t="s">
        <v>69</v>
      </c>
      <c r="BF797" t="s">
        <v>69</v>
      </c>
      <c r="BG797" t="s">
        <v>69</v>
      </c>
      <c r="BH797" t="s">
        <v>69</v>
      </c>
      <c r="BI797">
        <v>172</v>
      </c>
      <c r="BJ797">
        <v>176</v>
      </c>
      <c r="BK797" t="s">
        <v>69</v>
      </c>
      <c r="BL797" t="s">
        <v>12949</v>
      </c>
      <c r="BM797" t="str">
        <f>HYPERLINK("http://dx.doi.org/10.5124/jkma.2021.64.3.172","http://dx.doi.org/10.5124/jkma.2021.64.3.172")</f>
        <v>http://dx.doi.org/10.5124/jkma.2021.64.3.172</v>
      </c>
      <c r="BN797" t="s">
        <v>69</v>
      </c>
      <c r="BO797" t="s">
        <v>69</v>
      </c>
      <c r="BP797">
        <v>5</v>
      </c>
      <c r="BQ797" t="s">
        <v>9450</v>
      </c>
      <c r="BR797" t="s">
        <v>8573</v>
      </c>
      <c r="BS797" t="s">
        <v>9451</v>
      </c>
      <c r="BT797" t="s">
        <v>12950</v>
      </c>
      <c r="BU797" t="s">
        <v>12951</v>
      </c>
      <c r="BV797" t="s">
        <v>69</v>
      </c>
      <c r="BW797" t="s">
        <v>8931</v>
      </c>
      <c r="BX797" t="s">
        <v>69</v>
      </c>
      <c r="BY797" t="s">
        <v>69</v>
      </c>
      <c r="BZ797" t="s">
        <v>8526</v>
      </c>
      <c r="CA797" t="str">
        <f>HYPERLINK("https%3A%2F%2Fwww.webofscience.com%2Fwos%2Fwoscc%2Ffull-record%2FWOS:000631379100001","View Full Record in Web of Science")</f>
        <v>View Full Record in Web of Science</v>
      </c>
    </row>
    <row r="798" spans="2:79" ht="12.5" x14ac:dyDescent="0.25">
      <c r="B798" t="s">
        <v>8495</v>
      </c>
      <c r="D798" s="22" t="s">
        <v>32931</v>
      </c>
      <c r="E798" s="7"/>
      <c r="F798" s="7"/>
      <c r="G798" s="7"/>
      <c r="H798" t="s">
        <v>67</v>
      </c>
      <c r="I798" t="s">
        <v>23543</v>
      </c>
      <c r="J798" t="s">
        <v>69</v>
      </c>
      <c r="K798" t="s">
        <v>69</v>
      </c>
      <c r="L798" t="s">
        <v>69</v>
      </c>
      <c r="M798" t="s">
        <v>23544</v>
      </c>
      <c r="N798" t="s">
        <v>69</v>
      </c>
      <c r="O798" t="s">
        <v>23545</v>
      </c>
      <c r="P798" t="s">
        <v>23546</v>
      </c>
      <c r="Q798" t="s">
        <v>23547</v>
      </c>
      <c r="R798" t="s">
        <v>69</v>
      </c>
      <c r="S798" t="s">
        <v>69</v>
      </c>
      <c r="T798" t="s">
        <v>8505</v>
      </c>
      <c r="U798" t="s">
        <v>8506</v>
      </c>
      <c r="V798" t="s">
        <v>69</v>
      </c>
      <c r="W798" t="s">
        <v>69</v>
      </c>
      <c r="X798" t="s">
        <v>69</v>
      </c>
      <c r="Y798" t="s">
        <v>69</v>
      </c>
      <c r="Z798" t="s">
        <v>69</v>
      </c>
      <c r="AA798" t="s">
        <v>23548</v>
      </c>
      <c r="AB798" t="s">
        <v>23549</v>
      </c>
      <c r="AC798" t="s">
        <v>23550</v>
      </c>
      <c r="AD798" t="s">
        <v>23551</v>
      </c>
      <c r="AE798" t="s">
        <v>69</v>
      </c>
      <c r="AF798" t="s">
        <v>23552</v>
      </c>
      <c r="AG798" t="s">
        <v>23553</v>
      </c>
      <c r="AH798" t="s">
        <v>69</v>
      </c>
      <c r="AI798" t="s">
        <v>69</v>
      </c>
      <c r="AJ798" t="s">
        <v>69</v>
      </c>
      <c r="AK798" t="s">
        <v>69</v>
      </c>
      <c r="AL798" t="s">
        <v>69</v>
      </c>
      <c r="AM798" t="s">
        <v>69</v>
      </c>
      <c r="AN798">
        <v>73</v>
      </c>
      <c r="AO798">
        <v>59</v>
      </c>
      <c r="AP798">
        <v>59</v>
      </c>
      <c r="AQ798">
        <v>0</v>
      </c>
      <c r="AR798">
        <v>13</v>
      </c>
      <c r="AS798" t="s">
        <v>23554</v>
      </c>
      <c r="AT798" t="s">
        <v>23555</v>
      </c>
      <c r="AU798" t="s">
        <v>23556</v>
      </c>
      <c r="AV798" t="s">
        <v>23557</v>
      </c>
      <c r="AW798" t="s">
        <v>23558</v>
      </c>
      <c r="AX798" t="s">
        <v>69</v>
      </c>
      <c r="AY798" t="s">
        <v>23559</v>
      </c>
      <c r="AZ798" t="s">
        <v>23560</v>
      </c>
      <c r="BA798" t="s">
        <v>381</v>
      </c>
      <c r="BB798">
        <v>2014</v>
      </c>
      <c r="BC798">
        <v>12</v>
      </c>
      <c r="BD798" t="s">
        <v>69</v>
      </c>
      <c r="BE798" t="s">
        <v>69</v>
      </c>
      <c r="BF798">
        <v>1</v>
      </c>
      <c r="BG798" t="s">
        <v>69</v>
      </c>
      <c r="BH798" t="s">
        <v>69</v>
      </c>
      <c r="BI798" t="s">
        <v>23561</v>
      </c>
      <c r="BJ798" t="s">
        <v>23562</v>
      </c>
      <c r="BK798" t="s">
        <v>69</v>
      </c>
      <c r="BL798" t="s">
        <v>23563</v>
      </c>
      <c r="BM798" t="str">
        <f>HYPERLINK("http://dx.doi.org/10.1370/afm.1699","http://dx.doi.org/10.1370/afm.1699")</f>
        <v>http://dx.doi.org/10.1370/afm.1699</v>
      </c>
      <c r="BN798" t="s">
        <v>69</v>
      </c>
      <c r="BO798" t="s">
        <v>69</v>
      </c>
      <c r="BP798">
        <v>12</v>
      </c>
      <c r="BQ798" t="s">
        <v>14051</v>
      </c>
      <c r="BR798" t="s">
        <v>8523</v>
      </c>
      <c r="BS798" t="s">
        <v>9451</v>
      </c>
      <c r="BT798" t="s">
        <v>23564</v>
      </c>
      <c r="BU798" t="s">
        <v>23565</v>
      </c>
      <c r="BV798">
        <v>25352575</v>
      </c>
      <c r="BW798" t="s">
        <v>8812</v>
      </c>
      <c r="BX798" t="s">
        <v>69</v>
      </c>
      <c r="BY798" t="s">
        <v>69</v>
      </c>
      <c r="BZ798" t="s">
        <v>8526</v>
      </c>
      <c r="CA798" t="str">
        <f>HYPERLINK("https%3A%2F%2Fwww.webofscience.com%2Fwos%2Fwoscc%2Ffull-record%2FWOS:000364832600001","View Full Record in Web of Science")</f>
        <v>View Full Record in Web of Science</v>
      </c>
    </row>
    <row r="799" spans="2:79" ht="12.5" x14ac:dyDescent="0.25">
      <c r="B799" t="s">
        <v>8495</v>
      </c>
      <c r="D799" s="7" t="s">
        <v>32933</v>
      </c>
      <c r="E799" s="7"/>
      <c r="F799" s="7"/>
      <c r="G799" s="7"/>
      <c r="H799" t="s">
        <v>67</v>
      </c>
      <c r="I799" t="s">
        <v>6498</v>
      </c>
      <c r="J799" t="s">
        <v>69</v>
      </c>
      <c r="K799" t="s">
        <v>69</v>
      </c>
      <c r="L799" t="s">
        <v>69</v>
      </c>
      <c r="M799" t="s">
        <v>6499</v>
      </c>
      <c r="N799" t="s">
        <v>69</v>
      </c>
      <c r="O799" t="s">
        <v>69</v>
      </c>
      <c r="P799" t="s">
        <v>6500</v>
      </c>
      <c r="Q799" t="s">
        <v>6501</v>
      </c>
      <c r="R799" t="s">
        <v>69</v>
      </c>
      <c r="S799" t="s">
        <v>69</v>
      </c>
      <c r="T799" t="s">
        <v>8505</v>
      </c>
      <c r="U799" t="s">
        <v>8506</v>
      </c>
      <c r="V799" t="s">
        <v>69</v>
      </c>
      <c r="W799" t="s">
        <v>69</v>
      </c>
      <c r="X799" t="s">
        <v>69</v>
      </c>
      <c r="Y799" t="s">
        <v>69</v>
      </c>
      <c r="Z799" t="s">
        <v>69</v>
      </c>
      <c r="AA799" t="s">
        <v>25880</v>
      </c>
      <c r="AB799" t="s">
        <v>25881</v>
      </c>
      <c r="AC799" t="s">
        <v>6502</v>
      </c>
      <c r="AD799" t="s">
        <v>25882</v>
      </c>
      <c r="AE799" t="s">
        <v>69</v>
      </c>
      <c r="AF799" t="s">
        <v>25883</v>
      </c>
      <c r="AG799" t="s">
        <v>25884</v>
      </c>
      <c r="AH799" t="s">
        <v>25885</v>
      </c>
      <c r="AI799" t="s">
        <v>25886</v>
      </c>
      <c r="AJ799" t="s">
        <v>69</v>
      </c>
      <c r="AK799" t="s">
        <v>69</v>
      </c>
      <c r="AL799" t="s">
        <v>69</v>
      </c>
      <c r="AM799" t="s">
        <v>69</v>
      </c>
      <c r="AN799">
        <v>31</v>
      </c>
      <c r="AO799">
        <v>25</v>
      </c>
      <c r="AP799">
        <v>26</v>
      </c>
      <c r="AQ799">
        <v>2</v>
      </c>
      <c r="AR799">
        <v>61</v>
      </c>
      <c r="AS799" t="s">
        <v>18749</v>
      </c>
      <c r="AT799" t="s">
        <v>8763</v>
      </c>
      <c r="AU799" t="s">
        <v>18750</v>
      </c>
      <c r="AV799" t="s">
        <v>6503</v>
      </c>
      <c r="AW799" t="s">
        <v>69</v>
      </c>
      <c r="AX799" t="s">
        <v>69</v>
      </c>
      <c r="AY799" t="s">
        <v>25887</v>
      </c>
      <c r="AZ799" t="s">
        <v>25888</v>
      </c>
      <c r="BA799" t="s">
        <v>6504</v>
      </c>
      <c r="BB799">
        <v>2012</v>
      </c>
      <c r="BC799">
        <v>12</v>
      </c>
      <c r="BD799" t="s">
        <v>69</v>
      </c>
      <c r="BE799" t="s">
        <v>69</v>
      </c>
      <c r="BF799" t="s">
        <v>69</v>
      </c>
      <c r="BG799" t="s">
        <v>69</v>
      </c>
      <c r="BH799" t="s">
        <v>69</v>
      </c>
      <c r="BI799" t="s">
        <v>69</v>
      </c>
      <c r="BJ799" t="s">
        <v>69</v>
      </c>
      <c r="BK799">
        <v>102</v>
      </c>
      <c r="BL799" t="s">
        <v>6505</v>
      </c>
      <c r="BM799" t="str">
        <f>HYPERLINK("http://dx.doi.org/10.1186/1471-2431-12-102","http://dx.doi.org/10.1186/1471-2431-12-102")</f>
        <v>http://dx.doi.org/10.1186/1471-2431-12-102</v>
      </c>
      <c r="BN799" t="s">
        <v>69</v>
      </c>
      <c r="BO799" t="s">
        <v>69</v>
      </c>
      <c r="BP799">
        <v>10</v>
      </c>
      <c r="BQ799" t="s">
        <v>12687</v>
      </c>
      <c r="BR799" t="s">
        <v>8523</v>
      </c>
      <c r="BS799" t="s">
        <v>12687</v>
      </c>
      <c r="BT799" t="s">
        <v>25889</v>
      </c>
      <c r="BU799" t="s">
        <v>6506</v>
      </c>
      <c r="BV799">
        <v>22809332</v>
      </c>
      <c r="BW799" t="s">
        <v>8812</v>
      </c>
      <c r="BX799" t="s">
        <v>69</v>
      </c>
      <c r="BY799" t="s">
        <v>69</v>
      </c>
      <c r="BZ799" t="s">
        <v>8526</v>
      </c>
      <c r="CA799" t="str">
        <f>HYPERLINK("https%3A%2F%2Fwww.webofscience.com%2Fwos%2Fwoscc%2Ffull-record%2FWOS:000308253600001","View Full Record in Web of Science")</f>
        <v>View Full Record in Web of Science</v>
      </c>
    </row>
    <row r="800" spans="2:79" ht="12.5" x14ac:dyDescent="0.25">
      <c r="B800" t="s">
        <v>8495</v>
      </c>
      <c r="D800" s="7" t="s">
        <v>32933</v>
      </c>
      <c r="E800" s="7"/>
      <c r="F800" s="7"/>
      <c r="G800" s="7"/>
      <c r="H800" t="s">
        <v>67</v>
      </c>
      <c r="I800" t="s">
        <v>2382</v>
      </c>
      <c r="J800" t="s">
        <v>69</v>
      </c>
      <c r="K800" t="s">
        <v>69</v>
      </c>
      <c r="L800" t="s">
        <v>69</v>
      </c>
      <c r="M800" t="s">
        <v>2383</v>
      </c>
      <c r="N800" t="s">
        <v>69</v>
      </c>
      <c r="O800" t="s">
        <v>69</v>
      </c>
      <c r="P800" t="s">
        <v>2384</v>
      </c>
      <c r="Q800" t="s">
        <v>1405</v>
      </c>
      <c r="R800" t="s">
        <v>69</v>
      </c>
      <c r="S800" t="s">
        <v>69</v>
      </c>
      <c r="T800" t="s">
        <v>8505</v>
      </c>
      <c r="U800" t="s">
        <v>8506</v>
      </c>
      <c r="V800" t="s">
        <v>69</v>
      </c>
      <c r="W800" t="s">
        <v>69</v>
      </c>
      <c r="X800" t="s">
        <v>69</v>
      </c>
      <c r="Y800" t="s">
        <v>69</v>
      </c>
      <c r="Z800" t="s">
        <v>69</v>
      </c>
      <c r="AA800" t="s">
        <v>18433</v>
      </c>
      <c r="AB800" t="s">
        <v>18434</v>
      </c>
      <c r="AC800" t="s">
        <v>2385</v>
      </c>
      <c r="AD800" t="s">
        <v>18435</v>
      </c>
      <c r="AE800" t="s">
        <v>69</v>
      </c>
      <c r="AF800" t="s">
        <v>18436</v>
      </c>
      <c r="AG800" t="s">
        <v>18437</v>
      </c>
      <c r="AH800" t="s">
        <v>2386</v>
      </c>
      <c r="AI800" t="s">
        <v>2387</v>
      </c>
      <c r="AJ800" t="s">
        <v>18438</v>
      </c>
      <c r="AK800" t="s">
        <v>18439</v>
      </c>
      <c r="AL800" t="s">
        <v>18440</v>
      </c>
      <c r="AM800" t="s">
        <v>69</v>
      </c>
      <c r="AN800">
        <v>62</v>
      </c>
      <c r="AO800">
        <v>12</v>
      </c>
      <c r="AP800">
        <v>12</v>
      </c>
      <c r="AQ800">
        <v>4</v>
      </c>
      <c r="AR800">
        <v>15</v>
      </c>
      <c r="AS800" t="s">
        <v>8636</v>
      </c>
      <c r="AT800" t="s">
        <v>8637</v>
      </c>
      <c r="AU800" t="s">
        <v>8638</v>
      </c>
      <c r="AV800" t="s">
        <v>1407</v>
      </c>
      <c r="AW800" t="s">
        <v>1408</v>
      </c>
      <c r="AX800" t="s">
        <v>69</v>
      </c>
      <c r="AY800" t="s">
        <v>14240</v>
      </c>
      <c r="AZ800" t="s">
        <v>8486</v>
      </c>
      <c r="BA800" t="s">
        <v>255</v>
      </c>
      <c r="BB800">
        <v>2018</v>
      </c>
      <c r="BC800">
        <v>120</v>
      </c>
      <c r="BD800" t="s">
        <v>69</v>
      </c>
      <c r="BE800" t="s">
        <v>69</v>
      </c>
      <c r="BF800" t="s">
        <v>69</v>
      </c>
      <c r="BG800" t="s">
        <v>69</v>
      </c>
      <c r="BH800" t="s">
        <v>69</v>
      </c>
      <c r="BI800">
        <v>183</v>
      </c>
      <c r="BJ800">
        <v>196</v>
      </c>
      <c r="BK800" t="s">
        <v>69</v>
      </c>
      <c r="BL800" t="s">
        <v>2388</v>
      </c>
      <c r="BM800" t="str">
        <f>HYPERLINK("http://dx.doi.org/10.1016/j.enpol.2018.05.036","http://dx.doi.org/10.1016/j.enpol.2018.05.036")</f>
        <v>http://dx.doi.org/10.1016/j.enpol.2018.05.036</v>
      </c>
      <c r="BN800" t="s">
        <v>69</v>
      </c>
      <c r="BO800" t="s">
        <v>69</v>
      </c>
      <c r="BP800">
        <v>14</v>
      </c>
      <c r="BQ800" t="s">
        <v>14242</v>
      </c>
      <c r="BR800" t="s">
        <v>8523</v>
      </c>
      <c r="BS800" t="s">
        <v>14243</v>
      </c>
      <c r="BT800" t="s">
        <v>18441</v>
      </c>
      <c r="BU800" t="s">
        <v>2389</v>
      </c>
      <c r="BV800" t="s">
        <v>69</v>
      </c>
      <c r="BW800" t="s">
        <v>18442</v>
      </c>
      <c r="BX800" t="s">
        <v>69</v>
      </c>
      <c r="BY800" t="s">
        <v>69</v>
      </c>
      <c r="BZ800" t="s">
        <v>8526</v>
      </c>
      <c r="CA800" t="str">
        <f>HYPERLINK("https%3A%2F%2Fwww.webofscience.com%2Fwos%2Fwoscc%2Ffull-record%2FWOS:000440123300018","View Full Record in Web of Science")</f>
        <v>View Full Record in Web of Science</v>
      </c>
    </row>
    <row r="801" spans="2:79" ht="12.5" x14ac:dyDescent="0.25">
      <c r="B801" t="s">
        <v>8495</v>
      </c>
      <c r="D801" s="22" t="s">
        <v>32931</v>
      </c>
      <c r="E801" s="7"/>
      <c r="F801" s="7"/>
      <c r="G801" s="7"/>
      <c r="H801" t="s">
        <v>67</v>
      </c>
      <c r="I801" t="s">
        <v>11547</v>
      </c>
      <c r="J801" t="s">
        <v>69</v>
      </c>
      <c r="K801" t="s">
        <v>69</v>
      </c>
      <c r="L801" t="s">
        <v>69</v>
      </c>
      <c r="M801" t="s">
        <v>11548</v>
      </c>
      <c r="N801" t="s">
        <v>69</v>
      </c>
      <c r="O801" t="s">
        <v>69</v>
      </c>
      <c r="P801" t="s">
        <v>11549</v>
      </c>
      <c r="Q801" t="s">
        <v>11550</v>
      </c>
      <c r="R801" t="s">
        <v>69</v>
      </c>
      <c r="S801" t="s">
        <v>69</v>
      </c>
      <c r="T801" t="s">
        <v>10071</v>
      </c>
      <c r="U801" t="s">
        <v>8506</v>
      </c>
      <c r="V801" t="s">
        <v>69</v>
      </c>
      <c r="W801" t="s">
        <v>69</v>
      </c>
      <c r="X801" t="s">
        <v>69</v>
      </c>
      <c r="Y801" t="s">
        <v>69</v>
      </c>
      <c r="Z801" t="s">
        <v>69</v>
      </c>
      <c r="AA801" t="s">
        <v>11551</v>
      </c>
      <c r="AB801" t="s">
        <v>69</v>
      </c>
      <c r="AC801" t="s">
        <v>11552</v>
      </c>
      <c r="AD801" t="s">
        <v>11553</v>
      </c>
      <c r="AE801" t="s">
        <v>69</v>
      </c>
      <c r="AF801" t="s">
        <v>11554</v>
      </c>
      <c r="AG801" t="s">
        <v>11555</v>
      </c>
      <c r="AH801" t="s">
        <v>69</v>
      </c>
      <c r="AI801" t="s">
        <v>11556</v>
      </c>
      <c r="AJ801" t="s">
        <v>69</v>
      </c>
      <c r="AK801" t="s">
        <v>69</v>
      </c>
      <c r="AL801" t="s">
        <v>69</v>
      </c>
      <c r="AM801" t="s">
        <v>69</v>
      </c>
      <c r="AN801">
        <v>17</v>
      </c>
      <c r="AO801">
        <v>0</v>
      </c>
      <c r="AP801">
        <v>0</v>
      </c>
      <c r="AQ801">
        <v>0</v>
      </c>
      <c r="AR801">
        <v>0</v>
      </c>
      <c r="AS801" t="s">
        <v>8516</v>
      </c>
      <c r="AT801" t="s">
        <v>11557</v>
      </c>
      <c r="AU801" t="s">
        <v>11558</v>
      </c>
      <c r="AV801" t="s">
        <v>11559</v>
      </c>
      <c r="AW801" t="s">
        <v>11560</v>
      </c>
      <c r="AX801" t="s">
        <v>69</v>
      </c>
      <c r="AY801" t="s">
        <v>11561</v>
      </c>
      <c r="AZ801" t="s">
        <v>11562</v>
      </c>
      <c r="BA801" t="s">
        <v>1774</v>
      </c>
      <c r="BB801">
        <v>2021</v>
      </c>
      <c r="BC801">
        <v>35</v>
      </c>
      <c r="BD801">
        <v>5</v>
      </c>
      <c r="BE801" t="s">
        <v>69</v>
      </c>
      <c r="BF801" t="s">
        <v>69</v>
      </c>
      <c r="BG801" t="s">
        <v>69</v>
      </c>
      <c r="BH801" t="s">
        <v>69</v>
      </c>
      <c r="BI801">
        <v>495</v>
      </c>
      <c r="BJ801">
        <v>498</v>
      </c>
      <c r="BK801" t="s">
        <v>69</v>
      </c>
      <c r="BL801" t="s">
        <v>11563</v>
      </c>
      <c r="BM801" t="str">
        <f>HYPERLINK("http://dx.doi.org/10.1016/j.gaceta.2020.02.003","http://dx.doi.org/10.1016/j.gaceta.2020.02.003")</f>
        <v>http://dx.doi.org/10.1016/j.gaceta.2020.02.003</v>
      </c>
      <c r="BN801" t="s">
        <v>69</v>
      </c>
      <c r="BO801" t="s">
        <v>11486</v>
      </c>
      <c r="BP801">
        <v>4</v>
      </c>
      <c r="BQ801" t="s">
        <v>11564</v>
      </c>
      <c r="BR801" t="s">
        <v>8523</v>
      </c>
      <c r="BS801" t="s">
        <v>11565</v>
      </c>
      <c r="BT801" t="s">
        <v>11566</v>
      </c>
      <c r="BU801" t="s">
        <v>11567</v>
      </c>
      <c r="BV801">
        <v>32349913</v>
      </c>
      <c r="BW801" t="s">
        <v>8931</v>
      </c>
      <c r="BX801" t="s">
        <v>69</v>
      </c>
      <c r="BY801" t="s">
        <v>69</v>
      </c>
      <c r="BZ801" t="s">
        <v>8526</v>
      </c>
      <c r="CA801" t="str">
        <f>HYPERLINK("https%3A%2F%2Fwww.webofscience.com%2Fwos%2Fwoscc%2Ffull-record%2FWOS:000700785000014","View Full Record in Web of Science")</f>
        <v>View Full Record in Web of Science</v>
      </c>
    </row>
    <row r="802" spans="2:79" ht="12.5" x14ac:dyDescent="0.25">
      <c r="B802" t="s">
        <v>8495</v>
      </c>
      <c r="D802" s="7" t="s">
        <v>32933</v>
      </c>
      <c r="E802" s="7"/>
      <c r="F802" s="7"/>
      <c r="G802" s="7"/>
      <c r="H802" t="s">
        <v>67</v>
      </c>
      <c r="I802" t="s">
        <v>2532</v>
      </c>
      <c r="J802" t="s">
        <v>69</v>
      </c>
      <c r="K802" t="s">
        <v>69</v>
      </c>
      <c r="L802" t="s">
        <v>69</v>
      </c>
      <c r="M802" t="s">
        <v>2533</v>
      </c>
      <c r="N802" t="s">
        <v>69</v>
      </c>
      <c r="O802" t="s">
        <v>69</v>
      </c>
      <c r="P802" t="s">
        <v>2534</v>
      </c>
      <c r="Q802" t="s">
        <v>2535</v>
      </c>
      <c r="R802" t="s">
        <v>69</v>
      </c>
      <c r="S802" t="s">
        <v>69</v>
      </c>
      <c r="T802" t="s">
        <v>8505</v>
      </c>
      <c r="U802" t="s">
        <v>8506</v>
      </c>
      <c r="V802" t="s">
        <v>69</v>
      </c>
      <c r="W802" t="s">
        <v>69</v>
      </c>
      <c r="X802" t="s">
        <v>69</v>
      </c>
      <c r="Y802" t="s">
        <v>69</v>
      </c>
      <c r="Z802" t="s">
        <v>69</v>
      </c>
      <c r="AA802" t="s">
        <v>19686</v>
      </c>
      <c r="AB802" t="s">
        <v>19687</v>
      </c>
      <c r="AC802" t="s">
        <v>2536</v>
      </c>
      <c r="AD802" t="s">
        <v>19688</v>
      </c>
      <c r="AE802" t="s">
        <v>69</v>
      </c>
      <c r="AF802" t="s">
        <v>19689</v>
      </c>
      <c r="AG802" t="s">
        <v>19690</v>
      </c>
      <c r="AH802" t="s">
        <v>69</v>
      </c>
      <c r="AI802" t="s">
        <v>19691</v>
      </c>
      <c r="AJ802" t="s">
        <v>19692</v>
      </c>
      <c r="AK802" t="s">
        <v>19693</v>
      </c>
      <c r="AL802" t="s">
        <v>19694</v>
      </c>
      <c r="AM802" t="s">
        <v>69</v>
      </c>
      <c r="AN802">
        <v>36</v>
      </c>
      <c r="AO802">
        <v>6</v>
      </c>
      <c r="AP802">
        <v>6</v>
      </c>
      <c r="AQ802">
        <v>0</v>
      </c>
      <c r="AR802">
        <v>5</v>
      </c>
      <c r="AS802" t="s">
        <v>19695</v>
      </c>
      <c r="AT802" t="s">
        <v>19696</v>
      </c>
      <c r="AU802" t="s">
        <v>19697</v>
      </c>
      <c r="AV802" t="s">
        <v>2537</v>
      </c>
      <c r="AW802" t="s">
        <v>2538</v>
      </c>
      <c r="AX802" t="s">
        <v>69</v>
      </c>
      <c r="AY802" t="s">
        <v>19698</v>
      </c>
      <c r="AZ802" t="s">
        <v>19699</v>
      </c>
      <c r="BA802" t="s">
        <v>75</v>
      </c>
      <c r="BB802">
        <v>2017</v>
      </c>
      <c r="BC802">
        <v>83</v>
      </c>
      <c r="BD802" t="s">
        <v>69</v>
      </c>
      <c r="BE802" t="s">
        <v>69</v>
      </c>
      <c r="BF802" t="s">
        <v>69</v>
      </c>
      <c r="BG802" t="s">
        <v>69</v>
      </c>
      <c r="BH802" t="s">
        <v>69</v>
      </c>
      <c r="BI802">
        <v>1</v>
      </c>
      <c r="BJ802">
        <v>11</v>
      </c>
      <c r="BK802" t="s">
        <v>69</v>
      </c>
      <c r="BL802" t="s">
        <v>2539</v>
      </c>
      <c r="BM802" t="str">
        <f>HYPERLINK("http://dx.doi.org/10.1016/j.njas.2017.11.001","http://dx.doi.org/10.1016/j.njas.2017.11.001")</f>
        <v>http://dx.doi.org/10.1016/j.njas.2017.11.001</v>
      </c>
      <c r="BN802" t="s">
        <v>69</v>
      </c>
      <c r="BO802" t="s">
        <v>69</v>
      </c>
      <c r="BP802">
        <v>11</v>
      </c>
      <c r="BQ802" t="s">
        <v>17664</v>
      </c>
      <c r="BR802" t="s">
        <v>8523</v>
      </c>
      <c r="BS802" t="s">
        <v>8450</v>
      </c>
      <c r="BT802" t="s">
        <v>19700</v>
      </c>
      <c r="BU802" t="s">
        <v>2540</v>
      </c>
      <c r="BV802" t="s">
        <v>69</v>
      </c>
      <c r="BW802" t="s">
        <v>9374</v>
      </c>
      <c r="BX802" t="s">
        <v>69</v>
      </c>
      <c r="BY802" t="s">
        <v>69</v>
      </c>
      <c r="BZ802" t="s">
        <v>8526</v>
      </c>
      <c r="CA802" t="str">
        <f>HYPERLINK("https%3A%2F%2Fwww.webofscience.com%2Fwos%2Fwoscc%2Ffull-record%2FWOS:000440877400001","View Full Record in Web of Science")</f>
        <v>View Full Record in Web of Science</v>
      </c>
    </row>
    <row r="803" spans="2:79" ht="12.5" x14ac:dyDescent="0.25">
      <c r="B803" t="s">
        <v>8495</v>
      </c>
      <c r="D803" s="22" t="s">
        <v>32931</v>
      </c>
      <c r="E803" s="7"/>
      <c r="F803" s="7"/>
      <c r="G803" s="7"/>
      <c r="H803" t="s">
        <v>67</v>
      </c>
      <c r="I803" t="s">
        <v>24834</v>
      </c>
      <c r="J803" t="s">
        <v>69</v>
      </c>
      <c r="K803" t="s">
        <v>69</v>
      </c>
      <c r="L803" t="s">
        <v>69</v>
      </c>
      <c r="M803" t="s">
        <v>24835</v>
      </c>
      <c r="N803" t="s">
        <v>69</v>
      </c>
      <c r="O803" t="s">
        <v>69</v>
      </c>
      <c r="P803" t="s">
        <v>24836</v>
      </c>
      <c r="Q803" t="s">
        <v>24837</v>
      </c>
      <c r="R803" t="s">
        <v>69</v>
      </c>
      <c r="S803" t="s">
        <v>69</v>
      </c>
      <c r="T803" t="s">
        <v>8505</v>
      </c>
      <c r="U803" t="s">
        <v>8506</v>
      </c>
      <c r="V803" t="s">
        <v>69</v>
      </c>
      <c r="W803" t="s">
        <v>69</v>
      </c>
      <c r="X803" t="s">
        <v>69</v>
      </c>
      <c r="Y803" t="s">
        <v>69</v>
      </c>
      <c r="Z803" t="s">
        <v>69</v>
      </c>
      <c r="AA803" t="s">
        <v>24838</v>
      </c>
      <c r="AB803" t="s">
        <v>24839</v>
      </c>
      <c r="AC803" t="s">
        <v>24840</v>
      </c>
      <c r="AD803" t="s">
        <v>24841</v>
      </c>
      <c r="AE803" t="s">
        <v>69</v>
      </c>
      <c r="AF803" t="s">
        <v>24842</v>
      </c>
      <c r="AG803" t="s">
        <v>24843</v>
      </c>
      <c r="AH803" t="s">
        <v>69</v>
      </c>
      <c r="AI803" t="s">
        <v>69</v>
      </c>
      <c r="AJ803" t="s">
        <v>69</v>
      </c>
      <c r="AK803" t="s">
        <v>69</v>
      </c>
      <c r="AL803" t="s">
        <v>69</v>
      </c>
      <c r="AM803" t="s">
        <v>69</v>
      </c>
      <c r="AN803">
        <v>14</v>
      </c>
      <c r="AO803">
        <v>21</v>
      </c>
      <c r="AP803">
        <v>21</v>
      </c>
      <c r="AQ803">
        <v>0</v>
      </c>
      <c r="AR803">
        <v>19</v>
      </c>
      <c r="AS803" t="s">
        <v>9047</v>
      </c>
      <c r="AT803" t="s">
        <v>8693</v>
      </c>
      <c r="AU803" t="s">
        <v>16643</v>
      </c>
      <c r="AV803" t="s">
        <v>24844</v>
      </c>
      <c r="AW803" t="s">
        <v>69</v>
      </c>
      <c r="AX803" t="s">
        <v>69</v>
      </c>
      <c r="AY803" t="s">
        <v>24845</v>
      </c>
      <c r="AZ803" t="s">
        <v>24846</v>
      </c>
      <c r="BA803" t="s">
        <v>84</v>
      </c>
      <c r="BB803">
        <v>2013</v>
      </c>
      <c r="BC803">
        <v>55</v>
      </c>
      <c r="BD803">
        <v>3</v>
      </c>
      <c r="BE803" t="s">
        <v>69</v>
      </c>
      <c r="BF803" t="s">
        <v>69</v>
      </c>
      <c r="BG803" t="s">
        <v>69</v>
      </c>
      <c r="BH803" t="s">
        <v>69</v>
      </c>
      <c r="BI803">
        <v>407</v>
      </c>
      <c r="BJ803">
        <v>418</v>
      </c>
      <c r="BK803" t="s">
        <v>69</v>
      </c>
      <c r="BL803" t="s">
        <v>24847</v>
      </c>
      <c r="BM803" t="str">
        <f>HYPERLINK("http://dx.doi.org/10.1007/s10640-013-9632-4","http://dx.doi.org/10.1007/s10640-013-9632-4")</f>
        <v>http://dx.doi.org/10.1007/s10640-013-9632-4</v>
      </c>
      <c r="BN803" t="s">
        <v>69</v>
      </c>
      <c r="BO803" t="s">
        <v>69</v>
      </c>
      <c r="BP803">
        <v>12</v>
      </c>
      <c r="BQ803" t="s">
        <v>24848</v>
      </c>
      <c r="BR803" t="s">
        <v>8661</v>
      </c>
      <c r="BS803" t="s">
        <v>9114</v>
      </c>
      <c r="BT803" t="s">
        <v>24849</v>
      </c>
      <c r="BU803" t="s">
        <v>24850</v>
      </c>
      <c r="BV803" t="s">
        <v>69</v>
      </c>
      <c r="BW803" t="s">
        <v>19717</v>
      </c>
      <c r="BX803" t="s">
        <v>69</v>
      </c>
      <c r="BY803" t="s">
        <v>69</v>
      </c>
      <c r="BZ803" t="s">
        <v>8526</v>
      </c>
      <c r="CA803" t="str">
        <f>HYPERLINK("https%3A%2F%2Fwww.webofscience.com%2Fwos%2Fwoscc%2Ffull-record%2FWOS:000320042400005","View Full Record in Web of Science")</f>
        <v>View Full Record in Web of Science</v>
      </c>
    </row>
    <row r="804" spans="2:79" ht="12.5" x14ac:dyDescent="0.25">
      <c r="B804" t="s">
        <v>8495</v>
      </c>
      <c r="D804" s="22" t="s">
        <v>32931</v>
      </c>
      <c r="E804" s="7"/>
      <c r="F804" s="7"/>
      <c r="G804" s="7"/>
      <c r="H804" t="s">
        <v>67</v>
      </c>
      <c r="I804" t="s">
        <v>16299</v>
      </c>
      <c r="J804" t="s">
        <v>69</v>
      </c>
      <c r="K804" t="s">
        <v>69</v>
      </c>
      <c r="L804" t="s">
        <v>69</v>
      </c>
      <c r="M804" t="s">
        <v>16300</v>
      </c>
      <c r="N804" t="s">
        <v>69</v>
      </c>
      <c r="O804" t="s">
        <v>69</v>
      </c>
      <c r="P804" t="s">
        <v>16301</v>
      </c>
      <c r="Q804" t="s">
        <v>16302</v>
      </c>
      <c r="R804" t="s">
        <v>69</v>
      </c>
      <c r="S804" t="s">
        <v>69</v>
      </c>
      <c r="T804" t="s">
        <v>13609</v>
      </c>
      <c r="U804" t="s">
        <v>8506</v>
      </c>
      <c r="V804" t="s">
        <v>69</v>
      </c>
      <c r="W804" t="s">
        <v>69</v>
      </c>
      <c r="X804" t="s">
        <v>69</v>
      </c>
      <c r="Y804" t="s">
        <v>69</v>
      </c>
      <c r="Z804" t="s">
        <v>69</v>
      </c>
      <c r="AA804" t="s">
        <v>16303</v>
      </c>
      <c r="AB804" t="s">
        <v>69</v>
      </c>
      <c r="AC804" t="s">
        <v>16304</v>
      </c>
      <c r="AD804" t="s">
        <v>16305</v>
      </c>
      <c r="AE804" t="s">
        <v>69</v>
      </c>
      <c r="AF804" t="s">
        <v>16306</v>
      </c>
      <c r="AG804" t="s">
        <v>16307</v>
      </c>
      <c r="AH804" t="s">
        <v>69</v>
      </c>
      <c r="AI804" t="s">
        <v>69</v>
      </c>
      <c r="AJ804" t="s">
        <v>69</v>
      </c>
      <c r="AK804" t="s">
        <v>69</v>
      </c>
      <c r="AL804" t="s">
        <v>69</v>
      </c>
      <c r="AM804" t="s">
        <v>69</v>
      </c>
      <c r="AN804">
        <v>18</v>
      </c>
      <c r="AO804">
        <v>0</v>
      </c>
      <c r="AP804">
        <v>0</v>
      </c>
      <c r="AQ804">
        <v>0</v>
      </c>
      <c r="AR804">
        <v>0</v>
      </c>
      <c r="AS804" t="s">
        <v>16308</v>
      </c>
      <c r="AT804" t="s">
        <v>16309</v>
      </c>
      <c r="AU804" t="s">
        <v>16310</v>
      </c>
      <c r="AV804" t="s">
        <v>16311</v>
      </c>
      <c r="AW804" t="s">
        <v>16312</v>
      </c>
      <c r="AX804" t="s">
        <v>69</v>
      </c>
      <c r="AY804" t="s">
        <v>16313</v>
      </c>
      <c r="AZ804" t="s">
        <v>16314</v>
      </c>
      <c r="BA804" t="s">
        <v>69</v>
      </c>
      <c r="BB804">
        <v>2020</v>
      </c>
      <c r="BC804" t="s">
        <v>69</v>
      </c>
      <c r="BD804">
        <v>1</v>
      </c>
      <c r="BE804" t="s">
        <v>69</v>
      </c>
      <c r="BF804" t="s">
        <v>69</v>
      </c>
      <c r="BG804" t="s">
        <v>69</v>
      </c>
      <c r="BH804" t="s">
        <v>69</v>
      </c>
      <c r="BI804">
        <v>60</v>
      </c>
      <c r="BJ804">
        <v>72</v>
      </c>
      <c r="BK804" t="s">
        <v>69</v>
      </c>
      <c r="BL804" t="s">
        <v>16315</v>
      </c>
      <c r="BM804" t="str">
        <f>HYPERLINK("http://dx.doi.org/10.32342/2074-5354-2020-1-52-6","http://dx.doi.org/10.32342/2074-5354-2020-1-52-6")</f>
        <v>http://dx.doi.org/10.32342/2074-5354-2020-1-52-6</v>
      </c>
      <c r="BN804" t="s">
        <v>69</v>
      </c>
      <c r="BO804" t="s">
        <v>69</v>
      </c>
      <c r="BP804">
        <v>13</v>
      </c>
      <c r="BQ804" t="s">
        <v>16316</v>
      </c>
      <c r="BR804" t="s">
        <v>8573</v>
      </c>
      <c r="BS804" t="s">
        <v>8594</v>
      </c>
      <c r="BT804" t="s">
        <v>16317</v>
      </c>
      <c r="BU804" t="s">
        <v>16318</v>
      </c>
      <c r="BV804" t="s">
        <v>69</v>
      </c>
      <c r="BW804" t="s">
        <v>8931</v>
      </c>
      <c r="BX804" t="s">
        <v>69</v>
      </c>
      <c r="BY804" t="s">
        <v>69</v>
      </c>
      <c r="BZ804" t="s">
        <v>8526</v>
      </c>
      <c r="CA804" t="str">
        <f>HYPERLINK("https%3A%2F%2Fwww.webofscience.com%2Fwos%2Fwoscc%2Ffull-record%2FWOS:000823345800006","View Full Record in Web of Science")</f>
        <v>View Full Record in Web of Science</v>
      </c>
    </row>
    <row r="805" spans="2:79" ht="12.5" x14ac:dyDescent="0.25">
      <c r="B805" t="s">
        <v>8495</v>
      </c>
      <c r="D805" s="7" t="s">
        <v>32933</v>
      </c>
      <c r="E805" s="7"/>
      <c r="F805" s="7"/>
      <c r="G805" s="7"/>
      <c r="H805" t="s">
        <v>67</v>
      </c>
      <c r="I805" t="s">
        <v>3071</v>
      </c>
      <c r="J805" t="s">
        <v>69</v>
      </c>
      <c r="K805" t="s">
        <v>69</v>
      </c>
      <c r="L805" t="s">
        <v>69</v>
      </c>
      <c r="M805" t="s">
        <v>3072</v>
      </c>
      <c r="N805" t="s">
        <v>69</v>
      </c>
      <c r="O805" t="s">
        <v>69</v>
      </c>
      <c r="P805" t="s">
        <v>3073</v>
      </c>
      <c r="Q805" t="s">
        <v>1457</v>
      </c>
      <c r="R805" t="s">
        <v>69</v>
      </c>
      <c r="S805" t="s">
        <v>69</v>
      </c>
      <c r="T805" t="s">
        <v>8505</v>
      </c>
      <c r="U805" t="s">
        <v>8506</v>
      </c>
      <c r="V805" t="s">
        <v>69</v>
      </c>
      <c r="W805" t="s">
        <v>69</v>
      </c>
      <c r="X805" t="s">
        <v>69</v>
      </c>
      <c r="Y805" t="s">
        <v>69</v>
      </c>
      <c r="Z805" t="s">
        <v>69</v>
      </c>
      <c r="AA805" t="s">
        <v>69</v>
      </c>
      <c r="AB805" t="s">
        <v>23011</v>
      </c>
      <c r="AC805" t="s">
        <v>3074</v>
      </c>
      <c r="AD805" t="s">
        <v>23012</v>
      </c>
      <c r="AE805" t="s">
        <v>69</v>
      </c>
      <c r="AF805" t="s">
        <v>23013</v>
      </c>
      <c r="AG805" t="s">
        <v>23014</v>
      </c>
      <c r="AH805" t="s">
        <v>69</v>
      </c>
      <c r="AI805" t="s">
        <v>69</v>
      </c>
      <c r="AJ805" t="s">
        <v>69</v>
      </c>
      <c r="AK805" t="s">
        <v>69</v>
      </c>
      <c r="AL805" t="s">
        <v>69</v>
      </c>
      <c r="AM805" t="s">
        <v>69</v>
      </c>
      <c r="AN805">
        <v>74</v>
      </c>
      <c r="AO805">
        <v>3</v>
      </c>
      <c r="AP805">
        <v>3</v>
      </c>
      <c r="AQ805">
        <v>1</v>
      </c>
      <c r="AR805">
        <v>8</v>
      </c>
      <c r="AS805" t="s">
        <v>9554</v>
      </c>
      <c r="AT805" t="s">
        <v>9555</v>
      </c>
      <c r="AU805" t="s">
        <v>9556</v>
      </c>
      <c r="AV805" t="s">
        <v>1460</v>
      </c>
      <c r="AW805" t="s">
        <v>1461</v>
      </c>
      <c r="AX805" t="s">
        <v>69</v>
      </c>
      <c r="AY805" t="s">
        <v>9557</v>
      </c>
      <c r="AZ805" t="s">
        <v>9558</v>
      </c>
      <c r="BA805" t="s">
        <v>69</v>
      </c>
      <c r="BB805">
        <v>2015</v>
      </c>
      <c r="BC805" t="s">
        <v>69</v>
      </c>
      <c r="BD805">
        <v>2499</v>
      </c>
      <c r="BE805" t="s">
        <v>69</v>
      </c>
      <c r="BF805" t="s">
        <v>69</v>
      </c>
      <c r="BG805" t="s">
        <v>69</v>
      </c>
      <c r="BH805" t="s">
        <v>69</v>
      </c>
      <c r="BI805">
        <v>45</v>
      </c>
      <c r="BJ805">
        <v>53</v>
      </c>
      <c r="BK805" t="s">
        <v>69</v>
      </c>
      <c r="BL805" t="s">
        <v>3075</v>
      </c>
      <c r="BM805" t="str">
        <f>HYPERLINK("http://dx.doi.org/10.3141/2499-07","http://dx.doi.org/10.3141/2499-07")</f>
        <v>http://dx.doi.org/10.3141/2499-07</v>
      </c>
      <c r="BN805" t="s">
        <v>69</v>
      </c>
      <c r="BO805" t="s">
        <v>69</v>
      </c>
      <c r="BP805">
        <v>9</v>
      </c>
      <c r="BQ805" t="s">
        <v>9560</v>
      </c>
      <c r="BR805" t="s">
        <v>8523</v>
      </c>
      <c r="BS805" t="s">
        <v>9561</v>
      </c>
      <c r="BT805" t="s">
        <v>23015</v>
      </c>
      <c r="BU805" t="s">
        <v>3076</v>
      </c>
      <c r="BV805" t="s">
        <v>69</v>
      </c>
      <c r="BW805" t="s">
        <v>69</v>
      </c>
      <c r="BX805" t="s">
        <v>69</v>
      </c>
      <c r="BY805" t="s">
        <v>69</v>
      </c>
      <c r="BZ805" t="s">
        <v>8526</v>
      </c>
      <c r="CA805" t="str">
        <f>HYPERLINK("https%3A%2F%2Fwww.webofscience.com%2Fwos%2Fwoscc%2Ffull-record%2FWOS:000365144400008","View Full Record in Web of Science")</f>
        <v>View Full Record in Web of Science</v>
      </c>
    </row>
    <row r="806" spans="2:79" ht="12.5" x14ac:dyDescent="0.25">
      <c r="B806" t="s">
        <v>8495</v>
      </c>
      <c r="D806" s="7" t="s">
        <v>32933</v>
      </c>
      <c r="E806" s="7"/>
      <c r="F806" s="7"/>
      <c r="G806" s="7"/>
      <c r="H806" t="s">
        <v>67</v>
      </c>
      <c r="I806" t="s">
        <v>6900</v>
      </c>
      <c r="J806" t="s">
        <v>69</v>
      </c>
      <c r="K806" t="s">
        <v>69</v>
      </c>
      <c r="L806" t="s">
        <v>69</v>
      </c>
      <c r="M806" t="s">
        <v>6901</v>
      </c>
      <c r="N806" t="s">
        <v>69</v>
      </c>
      <c r="O806" t="s">
        <v>69</v>
      </c>
      <c r="P806" t="s">
        <v>6902</v>
      </c>
      <c r="Q806" t="s">
        <v>4174</v>
      </c>
      <c r="R806" t="s">
        <v>69</v>
      </c>
      <c r="S806" t="s">
        <v>69</v>
      </c>
      <c r="T806" t="s">
        <v>14800</v>
      </c>
      <c r="U806" t="s">
        <v>8506</v>
      </c>
      <c r="V806" t="s">
        <v>69</v>
      </c>
      <c r="W806" t="s">
        <v>69</v>
      </c>
      <c r="X806" t="s">
        <v>69</v>
      </c>
      <c r="Y806" t="s">
        <v>69</v>
      </c>
      <c r="Z806" t="s">
        <v>69</v>
      </c>
      <c r="AA806" t="s">
        <v>20258</v>
      </c>
      <c r="AB806" t="s">
        <v>69</v>
      </c>
      <c r="AC806" t="s">
        <v>6903</v>
      </c>
      <c r="AD806" t="s">
        <v>20259</v>
      </c>
      <c r="AE806" t="s">
        <v>69</v>
      </c>
      <c r="AF806" t="s">
        <v>20260</v>
      </c>
      <c r="AG806" t="s">
        <v>69</v>
      </c>
      <c r="AH806" t="s">
        <v>69</v>
      </c>
      <c r="AI806" t="s">
        <v>69</v>
      </c>
      <c r="AJ806" t="s">
        <v>69</v>
      </c>
      <c r="AK806" t="s">
        <v>69</v>
      </c>
      <c r="AL806" t="s">
        <v>69</v>
      </c>
      <c r="AM806" t="s">
        <v>69</v>
      </c>
      <c r="AN806">
        <v>1</v>
      </c>
      <c r="AO806">
        <v>0</v>
      </c>
      <c r="AP806">
        <v>0</v>
      </c>
      <c r="AQ806">
        <v>0</v>
      </c>
      <c r="AR806">
        <v>9</v>
      </c>
      <c r="AS806" t="s">
        <v>17244</v>
      </c>
      <c r="AT806" t="s">
        <v>17245</v>
      </c>
      <c r="AU806" t="s">
        <v>17246</v>
      </c>
      <c r="AV806" t="s">
        <v>4176</v>
      </c>
      <c r="AW806" t="s">
        <v>6904</v>
      </c>
      <c r="AX806" t="s">
        <v>69</v>
      </c>
      <c r="AY806" t="s">
        <v>20261</v>
      </c>
      <c r="AZ806" t="s">
        <v>20262</v>
      </c>
      <c r="BA806" t="s">
        <v>155</v>
      </c>
      <c r="BB806">
        <v>2017</v>
      </c>
      <c r="BC806" t="s">
        <v>69</v>
      </c>
      <c r="BD806">
        <v>3</v>
      </c>
      <c r="BE806" t="s">
        <v>69</v>
      </c>
      <c r="BF806" t="s">
        <v>69</v>
      </c>
      <c r="BG806" t="s">
        <v>69</v>
      </c>
      <c r="BH806" t="s">
        <v>69</v>
      </c>
      <c r="BI806">
        <v>64</v>
      </c>
      <c r="BJ806">
        <v>69</v>
      </c>
      <c r="BK806" t="s">
        <v>69</v>
      </c>
      <c r="BL806" t="s">
        <v>6905</v>
      </c>
      <c r="BM806" t="str">
        <f>HYPERLINK("http://dx.doi.org/10.1051/lhb/2017022","http://dx.doi.org/10.1051/lhb/2017022")</f>
        <v>http://dx.doi.org/10.1051/lhb/2017022</v>
      </c>
      <c r="BN806" t="s">
        <v>69</v>
      </c>
      <c r="BO806" t="s">
        <v>69</v>
      </c>
      <c r="BP806">
        <v>6</v>
      </c>
      <c r="BQ806" t="s">
        <v>9096</v>
      </c>
      <c r="BR806" t="s">
        <v>8548</v>
      </c>
      <c r="BS806" t="s">
        <v>9096</v>
      </c>
      <c r="BT806" t="s">
        <v>20263</v>
      </c>
      <c r="BU806" t="s">
        <v>6906</v>
      </c>
      <c r="BV806" t="s">
        <v>69</v>
      </c>
      <c r="BW806" t="s">
        <v>20264</v>
      </c>
      <c r="BX806" t="s">
        <v>69</v>
      </c>
      <c r="BY806" t="s">
        <v>69</v>
      </c>
      <c r="BZ806" t="s">
        <v>8526</v>
      </c>
      <c r="CA806" t="str">
        <f>HYPERLINK("https%3A%2F%2Fwww.webofscience.com%2Fwos%2Fwoscc%2Ffull-record%2FWOS:000408084900007","View Full Record in Web of Science")</f>
        <v>View Full Record in Web of Science</v>
      </c>
    </row>
    <row r="807" spans="2:79" x14ac:dyDescent="0.3">
      <c r="B807" t="s">
        <v>8495</v>
      </c>
      <c r="D807" s="9" t="s">
        <v>32954</v>
      </c>
      <c r="E807" s="9" t="s">
        <v>33161</v>
      </c>
      <c r="F807" s="10" t="s">
        <v>8490</v>
      </c>
      <c r="G807" s="9" t="s">
        <v>8490</v>
      </c>
      <c r="H807" t="s">
        <v>67</v>
      </c>
      <c r="I807" t="s">
        <v>12154</v>
      </c>
      <c r="J807" t="s">
        <v>69</v>
      </c>
      <c r="K807" t="s">
        <v>69</v>
      </c>
      <c r="L807" t="s">
        <v>69</v>
      </c>
      <c r="M807" t="s">
        <v>12155</v>
      </c>
      <c r="N807" t="s">
        <v>69</v>
      </c>
      <c r="O807" t="s">
        <v>69</v>
      </c>
      <c r="P807" t="s">
        <v>12156</v>
      </c>
      <c r="Q807" t="s">
        <v>582</v>
      </c>
      <c r="R807" t="s">
        <v>69</v>
      </c>
      <c r="S807" t="s">
        <v>69</v>
      </c>
      <c r="T807" t="s">
        <v>8505</v>
      </c>
      <c r="U807" t="s">
        <v>8506</v>
      </c>
      <c r="V807" t="s">
        <v>69</v>
      </c>
      <c r="W807" t="s">
        <v>69</v>
      </c>
      <c r="X807" t="s">
        <v>69</v>
      </c>
      <c r="Y807" t="s">
        <v>69</v>
      </c>
      <c r="Z807" t="s">
        <v>69</v>
      </c>
      <c r="AA807" t="s">
        <v>12157</v>
      </c>
      <c r="AB807" t="s">
        <v>12158</v>
      </c>
      <c r="AC807" t="s">
        <v>12159</v>
      </c>
      <c r="AD807" t="s">
        <v>12160</v>
      </c>
      <c r="AE807" t="s">
        <v>69</v>
      </c>
      <c r="AF807" t="s">
        <v>12161</v>
      </c>
      <c r="AG807" t="s">
        <v>12162</v>
      </c>
      <c r="AH807" t="s">
        <v>69</v>
      </c>
      <c r="AI807" t="s">
        <v>69</v>
      </c>
      <c r="AJ807" t="s">
        <v>69</v>
      </c>
      <c r="AK807" t="s">
        <v>69</v>
      </c>
      <c r="AL807" t="s">
        <v>69</v>
      </c>
      <c r="AM807" t="s">
        <v>69</v>
      </c>
      <c r="AN807">
        <v>98</v>
      </c>
      <c r="AO807">
        <v>3</v>
      </c>
      <c r="AP807">
        <v>3</v>
      </c>
      <c r="AQ807">
        <v>7</v>
      </c>
      <c r="AR807">
        <v>27</v>
      </c>
      <c r="AS807" t="s">
        <v>8692</v>
      </c>
      <c r="AT807" t="s">
        <v>8693</v>
      </c>
      <c r="AU807" t="s">
        <v>8694</v>
      </c>
      <c r="AV807" t="s">
        <v>584</v>
      </c>
      <c r="AW807" t="s">
        <v>585</v>
      </c>
      <c r="AX807" t="s">
        <v>69</v>
      </c>
      <c r="AY807" t="s">
        <v>8695</v>
      </c>
      <c r="AZ807" t="s">
        <v>8696</v>
      </c>
      <c r="BA807" t="s">
        <v>255</v>
      </c>
      <c r="BB807">
        <v>2021</v>
      </c>
      <c r="BC807">
        <v>90</v>
      </c>
      <c r="BD807" t="s">
        <v>69</v>
      </c>
      <c r="BE807" t="s">
        <v>69</v>
      </c>
      <c r="BF807" t="s">
        <v>69</v>
      </c>
      <c r="BG807" t="s">
        <v>69</v>
      </c>
      <c r="BH807" t="s">
        <v>69</v>
      </c>
      <c r="BI807" t="s">
        <v>69</v>
      </c>
      <c r="BJ807" t="s">
        <v>69</v>
      </c>
      <c r="BK807">
        <v>106606</v>
      </c>
      <c r="BL807" t="s">
        <v>12163</v>
      </c>
      <c r="BM807" t="str">
        <f>HYPERLINK("http://dx.doi.org/10.1016/j.eiar.2021.106606","http://dx.doi.org/10.1016/j.eiar.2021.106606")</f>
        <v>http://dx.doi.org/10.1016/j.eiar.2021.106606</v>
      </c>
      <c r="BN807" t="s">
        <v>69</v>
      </c>
      <c r="BO807" t="s">
        <v>12111</v>
      </c>
      <c r="BP807">
        <v>12</v>
      </c>
      <c r="BQ807" t="s">
        <v>8660</v>
      </c>
      <c r="BR807" t="s">
        <v>8661</v>
      </c>
      <c r="BS807" t="s">
        <v>8662</v>
      </c>
      <c r="BT807" t="s">
        <v>12164</v>
      </c>
      <c r="BU807" t="s">
        <v>12165</v>
      </c>
      <c r="BV807" t="s">
        <v>69</v>
      </c>
      <c r="BW807" t="s">
        <v>69</v>
      </c>
      <c r="BX807" t="s">
        <v>69</v>
      </c>
      <c r="BY807" t="s">
        <v>69</v>
      </c>
      <c r="BZ807" t="s">
        <v>8526</v>
      </c>
      <c r="CA807" t="str">
        <f>HYPERLINK("https%3A%2F%2Fwww.webofscience.com%2Fwos%2Fwoscc%2Ffull-record%2FWOS:000677502300011","View Full Record in Web of Science")</f>
        <v>View Full Record in Web of Science</v>
      </c>
    </row>
    <row r="808" spans="2:79" ht="12.5" x14ac:dyDescent="0.25">
      <c r="B808" t="s">
        <v>8495</v>
      </c>
      <c r="D808" s="7" t="s">
        <v>32933</v>
      </c>
      <c r="E808" s="7"/>
      <c r="F808" s="7"/>
      <c r="G808" s="7"/>
      <c r="H808" t="s">
        <v>67</v>
      </c>
      <c r="I808" t="s">
        <v>3598</v>
      </c>
      <c r="J808" t="s">
        <v>69</v>
      </c>
      <c r="K808" t="s">
        <v>69</v>
      </c>
      <c r="L808" t="s">
        <v>69</v>
      </c>
      <c r="M808" t="s">
        <v>3599</v>
      </c>
      <c r="N808" t="s">
        <v>69</v>
      </c>
      <c r="O808" t="s">
        <v>69</v>
      </c>
      <c r="P808" t="s">
        <v>3600</v>
      </c>
      <c r="Q808" t="s">
        <v>3601</v>
      </c>
      <c r="R808" t="s">
        <v>69</v>
      </c>
      <c r="S808" t="s">
        <v>69</v>
      </c>
      <c r="T808" t="s">
        <v>8505</v>
      </c>
      <c r="U808" t="s">
        <v>8442</v>
      </c>
      <c r="V808" t="s">
        <v>69</v>
      </c>
      <c r="W808" t="s">
        <v>69</v>
      </c>
      <c r="X808" t="s">
        <v>69</v>
      </c>
      <c r="Y808" t="s">
        <v>69</v>
      </c>
      <c r="Z808" t="s">
        <v>69</v>
      </c>
      <c r="AA808" t="s">
        <v>28348</v>
      </c>
      <c r="AB808" t="s">
        <v>28349</v>
      </c>
      <c r="AC808" t="s">
        <v>3602</v>
      </c>
      <c r="AD808" t="s">
        <v>28350</v>
      </c>
      <c r="AE808" t="s">
        <v>69</v>
      </c>
      <c r="AF808" t="s">
        <v>28351</v>
      </c>
      <c r="AG808" t="s">
        <v>28352</v>
      </c>
      <c r="AH808" t="s">
        <v>69</v>
      </c>
      <c r="AI808" t="s">
        <v>69</v>
      </c>
      <c r="AJ808" t="s">
        <v>69</v>
      </c>
      <c r="AK808" t="s">
        <v>69</v>
      </c>
      <c r="AL808" t="s">
        <v>69</v>
      </c>
      <c r="AM808" t="s">
        <v>69</v>
      </c>
      <c r="AN808">
        <v>17</v>
      </c>
      <c r="AO808">
        <v>42</v>
      </c>
      <c r="AP808">
        <v>42</v>
      </c>
      <c r="AQ808">
        <v>1</v>
      </c>
      <c r="AR808">
        <v>52</v>
      </c>
      <c r="AS808" t="s">
        <v>28353</v>
      </c>
      <c r="AT808" t="s">
        <v>28354</v>
      </c>
      <c r="AU808" t="s">
        <v>28355</v>
      </c>
      <c r="AV808" t="s">
        <v>3603</v>
      </c>
      <c r="AW808" t="s">
        <v>69</v>
      </c>
      <c r="AX808" t="s">
        <v>69</v>
      </c>
      <c r="AY808" t="s">
        <v>28356</v>
      </c>
      <c r="AZ808" t="s">
        <v>28357</v>
      </c>
      <c r="BA808" t="s">
        <v>75</v>
      </c>
      <c r="BB808">
        <v>2009</v>
      </c>
      <c r="BC808">
        <v>65</v>
      </c>
      <c r="BD808">
        <v>12</v>
      </c>
      <c r="BE808" t="s">
        <v>69</v>
      </c>
      <c r="BF808" t="s">
        <v>69</v>
      </c>
      <c r="BG808" t="s">
        <v>69</v>
      </c>
      <c r="BH808" t="s">
        <v>69</v>
      </c>
      <c r="BI808">
        <v>1287</v>
      </c>
      <c r="BJ808">
        <v>1292</v>
      </c>
      <c r="BK808" t="s">
        <v>69</v>
      </c>
      <c r="BL808" t="s">
        <v>3604</v>
      </c>
      <c r="BM808" t="str">
        <f>HYPERLINK("http://dx.doi.org/10.1002/ps.1865","http://dx.doi.org/10.1002/ps.1865")</f>
        <v>http://dx.doi.org/10.1002/ps.1865</v>
      </c>
      <c r="BN808" t="s">
        <v>69</v>
      </c>
      <c r="BO808" t="s">
        <v>69</v>
      </c>
      <c r="BP808">
        <v>6</v>
      </c>
      <c r="BQ808" t="s">
        <v>28358</v>
      </c>
      <c r="BR808" t="s">
        <v>8548</v>
      </c>
      <c r="BS808" t="s">
        <v>28359</v>
      </c>
      <c r="BT808" t="s">
        <v>28360</v>
      </c>
      <c r="BU808" t="s">
        <v>3605</v>
      </c>
      <c r="BV808">
        <v>19856383</v>
      </c>
      <c r="BW808" t="s">
        <v>69</v>
      </c>
      <c r="BX808" t="s">
        <v>69</v>
      </c>
      <c r="BY808" t="s">
        <v>69</v>
      </c>
      <c r="BZ808" t="s">
        <v>8526</v>
      </c>
      <c r="CA808" t="str">
        <f>HYPERLINK("https%3A%2F%2Fwww.webofscience.com%2Fwos%2Fwoscc%2Ffull-record%2FWOS:000271991200004","View Full Record in Web of Science")</f>
        <v>View Full Record in Web of Science</v>
      </c>
    </row>
    <row r="809" spans="2:79" ht="12.5" x14ac:dyDescent="0.25">
      <c r="B809" t="s">
        <v>8495</v>
      </c>
      <c r="D809" s="22" t="s">
        <v>32931</v>
      </c>
      <c r="E809" s="7"/>
      <c r="F809" s="7"/>
      <c r="G809" s="7"/>
      <c r="H809" t="s">
        <v>67</v>
      </c>
      <c r="I809" t="s">
        <v>32500</v>
      </c>
      <c r="J809" t="s">
        <v>69</v>
      </c>
      <c r="K809" t="s">
        <v>69</v>
      </c>
      <c r="L809" t="s">
        <v>69</v>
      </c>
      <c r="M809" t="s">
        <v>32500</v>
      </c>
      <c r="N809" t="s">
        <v>69</v>
      </c>
      <c r="O809" t="s">
        <v>69</v>
      </c>
      <c r="P809" t="s">
        <v>32501</v>
      </c>
      <c r="Q809" t="s">
        <v>32502</v>
      </c>
      <c r="R809" t="s">
        <v>69</v>
      </c>
      <c r="S809" t="s">
        <v>69</v>
      </c>
      <c r="T809" t="s">
        <v>8505</v>
      </c>
      <c r="U809" t="s">
        <v>8506</v>
      </c>
      <c r="V809" t="s">
        <v>69</v>
      </c>
      <c r="W809" t="s">
        <v>69</v>
      </c>
      <c r="X809" t="s">
        <v>69</v>
      </c>
      <c r="Y809" t="s">
        <v>69</v>
      </c>
      <c r="Z809" t="s">
        <v>69</v>
      </c>
      <c r="AA809" t="s">
        <v>32503</v>
      </c>
      <c r="AB809" t="s">
        <v>32504</v>
      </c>
      <c r="AC809" t="s">
        <v>32505</v>
      </c>
      <c r="AD809" t="s">
        <v>32506</v>
      </c>
      <c r="AE809" t="s">
        <v>69</v>
      </c>
      <c r="AF809" t="s">
        <v>32507</v>
      </c>
      <c r="AG809" t="s">
        <v>69</v>
      </c>
      <c r="AH809" t="s">
        <v>32508</v>
      </c>
      <c r="AI809" t="s">
        <v>69</v>
      </c>
      <c r="AJ809" t="s">
        <v>69</v>
      </c>
      <c r="AK809" t="s">
        <v>69</v>
      </c>
      <c r="AL809" t="s">
        <v>69</v>
      </c>
      <c r="AM809" t="s">
        <v>69</v>
      </c>
      <c r="AN809">
        <v>27</v>
      </c>
      <c r="AO809">
        <v>20</v>
      </c>
      <c r="AP809">
        <v>20</v>
      </c>
      <c r="AQ809">
        <v>0</v>
      </c>
      <c r="AR809">
        <v>3</v>
      </c>
      <c r="AS809" t="s">
        <v>32509</v>
      </c>
      <c r="AT809" t="s">
        <v>8735</v>
      </c>
      <c r="AU809" t="s">
        <v>32510</v>
      </c>
      <c r="AV809" t="s">
        <v>32511</v>
      </c>
      <c r="AW809" t="s">
        <v>69</v>
      </c>
      <c r="AX809" t="s">
        <v>69</v>
      </c>
      <c r="AY809" t="s">
        <v>32512</v>
      </c>
      <c r="AZ809" t="s">
        <v>32513</v>
      </c>
      <c r="BA809" t="s">
        <v>69</v>
      </c>
      <c r="BB809">
        <v>1996</v>
      </c>
      <c r="BC809">
        <v>7</v>
      </c>
      <c r="BD809">
        <v>1</v>
      </c>
      <c r="BE809" t="s">
        <v>69</v>
      </c>
      <c r="BF809" t="s">
        <v>69</v>
      </c>
      <c r="BG809" t="s">
        <v>69</v>
      </c>
      <c r="BH809" t="s">
        <v>69</v>
      </c>
      <c r="BI809">
        <v>175</v>
      </c>
      <c r="BJ809">
        <v>200</v>
      </c>
      <c r="BK809" t="s">
        <v>69</v>
      </c>
      <c r="BL809" t="s">
        <v>32514</v>
      </c>
      <c r="BM809" t="str">
        <f>HYPERLINK("http://dx.doi.org/10.1080/10511482.1996.9521217","http://dx.doi.org/10.1080/10511482.1996.9521217")</f>
        <v>http://dx.doi.org/10.1080/10511482.1996.9521217</v>
      </c>
      <c r="BN809" t="s">
        <v>69</v>
      </c>
      <c r="BO809" t="s">
        <v>69</v>
      </c>
      <c r="BP809">
        <v>26</v>
      </c>
      <c r="BQ809" t="s">
        <v>32515</v>
      </c>
      <c r="BR809" t="s">
        <v>8661</v>
      </c>
      <c r="BS809" t="s">
        <v>32515</v>
      </c>
      <c r="BT809" t="s">
        <v>32516</v>
      </c>
      <c r="BU809" t="s">
        <v>32517</v>
      </c>
      <c r="BV809" t="s">
        <v>69</v>
      </c>
      <c r="BW809" t="s">
        <v>69</v>
      </c>
      <c r="BX809" t="s">
        <v>69</v>
      </c>
      <c r="BY809" t="s">
        <v>69</v>
      </c>
      <c r="BZ809" t="s">
        <v>8526</v>
      </c>
      <c r="CA809" t="str">
        <f>HYPERLINK("https%3A%2F%2Fwww.webofscience.com%2Fwos%2Fwoscc%2Ffull-record%2FWOS:A1996UW01200006","View Full Record in Web of Science")</f>
        <v>View Full Record in Web of Science</v>
      </c>
    </row>
    <row r="810" spans="2:79" ht="12.5" x14ac:dyDescent="0.25">
      <c r="B810" t="s">
        <v>8495</v>
      </c>
      <c r="D810" s="22" t="s">
        <v>32931</v>
      </c>
      <c r="E810" s="7"/>
      <c r="F810" s="7"/>
      <c r="G810" s="7"/>
      <c r="H810" t="s">
        <v>67</v>
      </c>
      <c r="I810" t="s">
        <v>13777</v>
      </c>
      <c r="J810" t="s">
        <v>69</v>
      </c>
      <c r="K810" t="s">
        <v>69</v>
      </c>
      <c r="L810" t="s">
        <v>69</v>
      </c>
      <c r="M810" t="s">
        <v>13778</v>
      </c>
      <c r="N810" t="s">
        <v>69</v>
      </c>
      <c r="O810" t="s">
        <v>69</v>
      </c>
      <c r="P810" t="s">
        <v>13779</v>
      </c>
      <c r="Q810" t="s">
        <v>9437</v>
      </c>
      <c r="R810" t="s">
        <v>69</v>
      </c>
      <c r="S810" t="s">
        <v>69</v>
      </c>
      <c r="T810" t="s">
        <v>8505</v>
      </c>
      <c r="U810" t="s">
        <v>8506</v>
      </c>
      <c r="V810" t="s">
        <v>69</v>
      </c>
      <c r="W810" t="s">
        <v>69</v>
      </c>
      <c r="X810" t="s">
        <v>69</v>
      </c>
      <c r="Y810" t="s">
        <v>69</v>
      </c>
      <c r="Z810" t="s">
        <v>69</v>
      </c>
      <c r="AA810" t="s">
        <v>13780</v>
      </c>
      <c r="AB810" t="s">
        <v>69</v>
      </c>
      <c r="AC810" t="s">
        <v>13781</v>
      </c>
      <c r="AD810" t="s">
        <v>13782</v>
      </c>
      <c r="AE810" t="s">
        <v>69</v>
      </c>
      <c r="AF810" t="s">
        <v>13783</v>
      </c>
      <c r="AG810" t="s">
        <v>13784</v>
      </c>
      <c r="AH810" t="s">
        <v>13785</v>
      </c>
      <c r="AI810" t="s">
        <v>13786</v>
      </c>
      <c r="AJ810" t="s">
        <v>13787</v>
      </c>
      <c r="AK810" t="s">
        <v>13788</v>
      </c>
      <c r="AL810" t="s">
        <v>13789</v>
      </c>
      <c r="AM810" t="s">
        <v>69</v>
      </c>
      <c r="AN810">
        <v>14</v>
      </c>
      <c r="AO810">
        <v>11</v>
      </c>
      <c r="AP810">
        <v>11</v>
      </c>
      <c r="AQ810">
        <v>1</v>
      </c>
      <c r="AR810">
        <v>4</v>
      </c>
      <c r="AS810" t="s">
        <v>9178</v>
      </c>
      <c r="AT810" t="s">
        <v>8763</v>
      </c>
      <c r="AU810" t="s">
        <v>9179</v>
      </c>
      <c r="AV810" t="s">
        <v>9446</v>
      </c>
      <c r="AW810" t="s">
        <v>69</v>
      </c>
      <c r="AX810" t="s">
        <v>69</v>
      </c>
      <c r="AY810" t="s">
        <v>9437</v>
      </c>
      <c r="AZ810" t="s">
        <v>9447</v>
      </c>
      <c r="BA810" t="s">
        <v>69</v>
      </c>
      <c r="BB810">
        <v>2021</v>
      </c>
      <c r="BC810">
        <v>11</v>
      </c>
      <c r="BD810">
        <v>1</v>
      </c>
      <c r="BE810" t="s">
        <v>69</v>
      </c>
      <c r="BF810" t="s">
        <v>69</v>
      </c>
      <c r="BG810" t="s">
        <v>69</v>
      </c>
      <c r="BH810" t="s">
        <v>69</v>
      </c>
      <c r="BI810" t="s">
        <v>69</v>
      </c>
      <c r="BJ810" t="s">
        <v>69</v>
      </c>
      <c r="BK810" t="s">
        <v>13790</v>
      </c>
      <c r="BL810" t="s">
        <v>13791</v>
      </c>
      <c r="BM810" t="str">
        <f>HYPERLINK("http://dx.doi.org/10.1136/bmjopen-2020-042945","http://dx.doi.org/10.1136/bmjopen-2020-042945")</f>
        <v>http://dx.doi.org/10.1136/bmjopen-2020-042945</v>
      </c>
      <c r="BN810" t="s">
        <v>69</v>
      </c>
      <c r="BO810" t="s">
        <v>69</v>
      </c>
      <c r="BP810">
        <v>9</v>
      </c>
      <c r="BQ810" t="s">
        <v>9450</v>
      </c>
      <c r="BR810" t="s">
        <v>8548</v>
      </c>
      <c r="BS810" t="s">
        <v>9451</v>
      </c>
      <c r="BT810" t="s">
        <v>13792</v>
      </c>
      <c r="BU810" t="s">
        <v>13793</v>
      </c>
      <c r="BV810">
        <v>33500288</v>
      </c>
      <c r="BW810" t="s">
        <v>9352</v>
      </c>
      <c r="BX810" t="s">
        <v>69</v>
      </c>
      <c r="BY810" t="s">
        <v>69</v>
      </c>
      <c r="BZ810" t="s">
        <v>8526</v>
      </c>
      <c r="CA810" t="str">
        <f>HYPERLINK("https%3A%2F%2Fwww.webofscience.com%2Fwos%2Fwoscc%2Ffull-record%2FWOS:000614461300002","View Full Record in Web of Science")</f>
        <v>View Full Record in Web of Science</v>
      </c>
    </row>
    <row r="811" spans="2:79" ht="12.5" x14ac:dyDescent="0.25">
      <c r="B811" t="s">
        <v>8495</v>
      </c>
      <c r="D811" s="22" t="s">
        <v>32931</v>
      </c>
      <c r="E811" s="7"/>
      <c r="F811" s="7"/>
      <c r="G811" s="7"/>
      <c r="H811" t="s">
        <v>67</v>
      </c>
      <c r="I811" t="s">
        <v>30250</v>
      </c>
      <c r="J811" t="s">
        <v>69</v>
      </c>
      <c r="K811" t="s">
        <v>69</v>
      </c>
      <c r="L811" t="s">
        <v>69</v>
      </c>
      <c r="M811" t="s">
        <v>30251</v>
      </c>
      <c r="N811" t="s">
        <v>69</v>
      </c>
      <c r="O811" t="s">
        <v>69</v>
      </c>
      <c r="P811" t="s">
        <v>30252</v>
      </c>
      <c r="Q811" t="s">
        <v>30253</v>
      </c>
      <c r="R811" t="s">
        <v>69</v>
      </c>
      <c r="S811" t="s">
        <v>69</v>
      </c>
      <c r="T811" t="s">
        <v>8505</v>
      </c>
      <c r="U811" t="s">
        <v>8506</v>
      </c>
      <c r="V811" t="s">
        <v>69</v>
      </c>
      <c r="W811" t="s">
        <v>69</v>
      </c>
      <c r="X811" t="s">
        <v>69</v>
      </c>
      <c r="Y811" t="s">
        <v>69</v>
      </c>
      <c r="Z811" t="s">
        <v>69</v>
      </c>
      <c r="AA811" t="s">
        <v>69</v>
      </c>
      <c r="AB811" t="s">
        <v>30254</v>
      </c>
      <c r="AC811" t="s">
        <v>30255</v>
      </c>
      <c r="AD811" t="s">
        <v>30256</v>
      </c>
      <c r="AE811" t="s">
        <v>69</v>
      </c>
      <c r="AF811" t="s">
        <v>30257</v>
      </c>
      <c r="AG811" t="s">
        <v>30258</v>
      </c>
      <c r="AH811" t="s">
        <v>30259</v>
      </c>
      <c r="AI811" t="s">
        <v>69</v>
      </c>
      <c r="AJ811" t="s">
        <v>69</v>
      </c>
      <c r="AK811" t="s">
        <v>69</v>
      </c>
      <c r="AL811" t="s">
        <v>69</v>
      </c>
      <c r="AM811" t="s">
        <v>69</v>
      </c>
      <c r="AN811">
        <v>20</v>
      </c>
      <c r="AO811">
        <v>6</v>
      </c>
      <c r="AP811">
        <v>6</v>
      </c>
      <c r="AQ811">
        <v>0</v>
      </c>
      <c r="AR811">
        <v>7</v>
      </c>
      <c r="AS811" t="s">
        <v>8611</v>
      </c>
      <c r="AT811" t="s">
        <v>8612</v>
      </c>
      <c r="AU811" t="s">
        <v>21726</v>
      </c>
      <c r="AV811" t="s">
        <v>30260</v>
      </c>
      <c r="AW811" t="s">
        <v>69</v>
      </c>
      <c r="AX811" t="s">
        <v>69</v>
      </c>
      <c r="AY811" t="s">
        <v>30261</v>
      </c>
      <c r="AZ811" t="s">
        <v>30262</v>
      </c>
      <c r="BA811" t="s">
        <v>155</v>
      </c>
      <c r="BB811">
        <v>2006</v>
      </c>
      <c r="BC811">
        <v>28</v>
      </c>
      <c r="BD811">
        <v>4</v>
      </c>
      <c r="BE811" t="s">
        <v>69</v>
      </c>
      <c r="BF811" t="s">
        <v>69</v>
      </c>
      <c r="BG811" t="s">
        <v>69</v>
      </c>
      <c r="BH811" t="s">
        <v>69</v>
      </c>
      <c r="BI811">
        <v>379</v>
      </c>
      <c r="BJ811">
        <v>381</v>
      </c>
      <c r="BK811" t="s">
        <v>69</v>
      </c>
      <c r="BL811" t="s">
        <v>30263</v>
      </c>
      <c r="BM811" t="str">
        <f>HYPERLINK("http://dx.doi.org/10.1080/01421590600603335","http://dx.doi.org/10.1080/01421590600603335")</f>
        <v>http://dx.doi.org/10.1080/01421590600603335</v>
      </c>
      <c r="BN811" t="s">
        <v>69</v>
      </c>
      <c r="BO811" t="s">
        <v>69</v>
      </c>
      <c r="BP811">
        <v>4</v>
      </c>
      <c r="BQ811" t="s">
        <v>13905</v>
      </c>
      <c r="BR811" t="s">
        <v>8548</v>
      </c>
      <c r="BS811" t="s">
        <v>13906</v>
      </c>
      <c r="BT811" t="s">
        <v>30264</v>
      </c>
      <c r="BU811" t="s">
        <v>30265</v>
      </c>
      <c r="BV811">
        <v>16807182</v>
      </c>
      <c r="BW811" t="s">
        <v>69</v>
      </c>
      <c r="BX811" t="s">
        <v>69</v>
      </c>
      <c r="BY811" t="s">
        <v>69</v>
      </c>
      <c r="BZ811" t="s">
        <v>8526</v>
      </c>
      <c r="CA811" t="str">
        <f>HYPERLINK("https%3A%2F%2Fwww.webofscience.com%2Fwos%2Fwoscc%2Ffull-record%2FWOS:000239119500018","View Full Record in Web of Science")</f>
        <v>View Full Record in Web of Science</v>
      </c>
    </row>
    <row r="812" spans="2:79" ht="12.5" x14ac:dyDescent="0.25">
      <c r="B812" t="s">
        <v>8495</v>
      </c>
      <c r="D812" s="22" t="s">
        <v>32931</v>
      </c>
      <c r="E812" s="7"/>
      <c r="F812" s="7"/>
      <c r="G812" s="7"/>
      <c r="H812" t="s">
        <v>67</v>
      </c>
      <c r="I812" t="s">
        <v>25423</v>
      </c>
      <c r="J812" t="s">
        <v>69</v>
      </c>
      <c r="K812" t="s">
        <v>69</v>
      </c>
      <c r="L812" t="s">
        <v>69</v>
      </c>
      <c r="M812" t="s">
        <v>25424</v>
      </c>
      <c r="N812" t="s">
        <v>69</v>
      </c>
      <c r="O812" t="s">
        <v>69</v>
      </c>
      <c r="P812" t="s">
        <v>25425</v>
      </c>
      <c r="Q812" t="s">
        <v>25426</v>
      </c>
      <c r="R812" t="s">
        <v>69</v>
      </c>
      <c r="S812" t="s">
        <v>69</v>
      </c>
      <c r="T812" t="s">
        <v>10071</v>
      </c>
      <c r="U812" t="s">
        <v>8506</v>
      </c>
      <c r="V812" t="s">
        <v>69</v>
      </c>
      <c r="W812" t="s">
        <v>69</v>
      </c>
      <c r="X812" t="s">
        <v>69</v>
      </c>
      <c r="Y812" t="s">
        <v>69</v>
      </c>
      <c r="Z812" t="s">
        <v>69</v>
      </c>
      <c r="AA812" t="s">
        <v>25427</v>
      </c>
      <c r="AB812" t="s">
        <v>25428</v>
      </c>
      <c r="AC812" t="s">
        <v>25429</v>
      </c>
      <c r="AD812" t="s">
        <v>25430</v>
      </c>
      <c r="AE812" t="s">
        <v>69</v>
      </c>
      <c r="AF812" t="s">
        <v>25431</v>
      </c>
      <c r="AG812" t="s">
        <v>25432</v>
      </c>
      <c r="AH812" t="s">
        <v>69</v>
      </c>
      <c r="AI812" t="s">
        <v>69</v>
      </c>
      <c r="AJ812" t="s">
        <v>69</v>
      </c>
      <c r="AK812" t="s">
        <v>69</v>
      </c>
      <c r="AL812" t="s">
        <v>69</v>
      </c>
      <c r="AM812" t="s">
        <v>69</v>
      </c>
      <c r="AN812">
        <v>69</v>
      </c>
      <c r="AO812">
        <v>0</v>
      </c>
      <c r="AP812">
        <v>0</v>
      </c>
      <c r="AQ812">
        <v>1</v>
      </c>
      <c r="AR812">
        <v>3</v>
      </c>
      <c r="AS812" t="s">
        <v>16037</v>
      </c>
      <c r="AT812" t="s">
        <v>16038</v>
      </c>
      <c r="AU812" t="s">
        <v>16039</v>
      </c>
      <c r="AV812" t="s">
        <v>25433</v>
      </c>
      <c r="AW812" t="s">
        <v>69</v>
      </c>
      <c r="AX812" t="s">
        <v>69</v>
      </c>
      <c r="AY812" t="s">
        <v>25434</v>
      </c>
      <c r="AZ812" t="s">
        <v>25435</v>
      </c>
      <c r="BA812" t="s">
        <v>2654</v>
      </c>
      <c r="BB812">
        <v>2013</v>
      </c>
      <c r="BC812" t="s">
        <v>69</v>
      </c>
      <c r="BD812">
        <v>5</v>
      </c>
      <c r="BE812" t="s">
        <v>69</v>
      </c>
      <c r="BF812" t="s">
        <v>69</v>
      </c>
      <c r="BG812" t="s">
        <v>69</v>
      </c>
      <c r="BH812" t="s">
        <v>69</v>
      </c>
      <c r="BI812">
        <v>172</v>
      </c>
      <c r="BJ812">
        <v>187</v>
      </c>
      <c r="BK812" t="s">
        <v>69</v>
      </c>
      <c r="BL812" t="s">
        <v>69</v>
      </c>
      <c r="BM812" t="s">
        <v>69</v>
      </c>
      <c r="BN812" t="s">
        <v>69</v>
      </c>
      <c r="BO812" t="s">
        <v>69</v>
      </c>
      <c r="BP812">
        <v>16</v>
      </c>
      <c r="BQ812" t="s">
        <v>10278</v>
      </c>
      <c r="BR812" t="s">
        <v>8573</v>
      </c>
      <c r="BS812" t="s">
        <v>10279</v>
      </c>
      <c r="BT812" t="s">
        <v>25436</v>
      </c>
      <c r="BU812" t="s">
        <v>25437</v>
      </c>
      <c r="BV812" t="s">
        <v>69</v>
      </c>
      <c r="BW812" t="s">
        <v>69</v>
      </c>
      <c r="BX812" t="s">
        <v>69</v>
      </c>
      <c r="BY812" t="s">
        <v>69</v>
      </c>
      <c r="BZ812" t="s">
        <v>8526</v>
      </c>
      <c r="CA812" t="str">
        <f>HYPERLINK("https%3A%2F%2Fwww.webofscience.com%2Fwos%2Fwoscc%2Ffull-record%2FWOS:000215809200008","View Full Record in Web of Science")</f>
        <v>View Full Record in Web of Science</v>
      </c>
    </row>
    <row r="813" spans="2:79" ht="12.5" x14ac:dyDescent="0.25">
      <c r="B813" t="s">
        <v>8495</v>
      </c>
      <c r="D813" s="22" t="s">
        <v>32931</v>
      </c>
      <c r="E813" s="7"/>
      <c r="F813" s="7"/>
      <c r="G813" s="7"/>
      <c r="H813" t="s">
        <v>67</v>
      </c>
      <c r="I813" t="s">
        <v>23173</v>
      </c>
      <c r="J813" t="s">
        <v>69</v>
      </c>
      <c r="K813" t="s">
        <v>69</v>
      </c>
      <c r="L813" t="s">
        <v>69</v>
      </c>
      <c r="M813" t="s">
        <v>23174</v>
      </c>
      <c r="N813" t="s">
        <v>69</v>
      </c>
      <c r="O813" t="s">
        <v>69</v>
      </c>
      <c r="P813" t="s">
        <v>23175</v>
      </c>
      <c r="Q813" t="s">
        <v>23176</v>
      </c>
      <c r="R813" t="s">
        <v>69</v>
      </c>
      <c r="S813" t="s">
        <v>69</v>
      </c>
      <c r="T813" t="s">
        <v>8505</v>
      </c>
      <c r="U813" t="s">
        <v>8506</v>
      </c>
      <c r="V813" t="s">
        <v>69</v>
      </c>
      <c r="W813" t="s">
        <v>69</v>
      </c>
      <c r="X813" t="s">
        <v>69</v>
      </c>
      <c r="Y813" t="s">
        <v>69</v>
      </c>
      <c r="Z813" t="s">
        <v>69</v>
      </c>
      <c r="AA813" t="s">
        <v>23177</v>
      </c>
      <c r="AB813" t="s">
        <v>23178</v>
      </c>
      <c r="AC813" t="s">
        <v>23179</v>
      </c>
      <c r="AD813" t="s">
        <v>23180</v>
      </c>
      <c r="AE813" t="s">
        <v>69</v>
      </c>
      <c r="AF813" t="s">
        <v>23181</v>
      </c>
      <c r="AG813" t="s">
        <v>23182</v>
      </c>
      <c r="AH813" t="s">
        <v>23183</v>
      </c>
      <c r="AI813" t="s">
        <v>23184</v>
      </c>
      <c r="AJ813" t="s">
        <v>69</v>
      </c>
      <c r="AK813" t="s">
        <v>69</v>
      </c>
      <c r="AL813" t="s">
        <v>69</v>
      </c>
      <c r="AM813" t="s">
        <v>69</v>
      </c>
      <c r="AN813">
        <v>48</v>
      </c>
      <c r="AO813">
        <v>8</v>
      </c>
      <c r="AP813">
        <v>8</v>
      </c>
      <c r="AQ813">
        <v>1</v>
      </c>
      <c r="AR813">
        <v>5</v>
      </c>
      <c r="AS813" t="s">
        <v>8865</v>
      </c>
      <c r="AT813" t="s">
        <v>8612</v>
      </c>
      <c r="AU813" t="s">
        <v>8866</v>
      </c>
      <c r="AV813" t="s">
        <v>23185</v>
      </c>
      <c r="AW813" t="s">
        <v>23186</v>
      </c>
      <c r="AX813" t="s">
        <v>69</v>
      </c>
      <c r="AY813" t="s">
        <v>23187</v>
      </c>
      <c r="AZ813" t="s">
        <v>23188</v>
      </c>
      <c r="BA813" t="s">
        <v>69</v>
      </c>
      <c r="BB813">
        <v>2015</v>
      </c>
      <c r="BC813">
        <v>16</v>
      </c>
      <c r="BD813">
        <v>1</v>
      </c>
      <c r="BE813" t="s">
        <v>69</v>
      </c>
      <c r="BF813" t="s">
        <v>69</v>
      </c>
      <c r="BG813" t="s">
        <v>69</v>
      </c>
      <c r="BH813" t="s">
        <v>69</v>
      </c>
      <c r="BI813">
        <v>78</v>
      </c>
      <c r="BJ813">
        <v>98</v>
      </c>
      <c r="BK813" t="s">
        <v>69</v>
      </c>
      <c r="BL813" t="s">
        <v>23189</v>
      </c>
      <c r="BM813" t="str">
        <f>HYPERLINK("http://dx.doi.org/10.1080/15256480.2015.991991","http://dx.doi.org/10.1080/15256480.2015.991991")</f>
        <v>http://dx.doi.org/10.1080/15256480.2015.991991</v>
      </c>
      <c r="BN813" t="s">
        <v>69</v>
      </c>
      <c r="BO813" t="s">
        <v>69</v>
      </c>
      <c r="BP813">
        <v>21</v>
      </c>
      <c r="BQ813" t="s">
        <v>10278</v>
      </c>
      <c r="BR813" t="s">
        <v>8573</v>
      </c>
      <c r="BS813" t="s">
        <v>10279</v>
      </c>
      <c r="BT813" t="s">
        <v>23190</v>
      </c>
      <c r="BU813" t="s">
        <v>23191</v>
      </c>
      <c r="BV813" t="s">
        <v>69</v>
      </c>
      <c r="BW813" t="s">
        <v>69</v>
      </c>
      <c r="BX813" t="s">
        <v>69</v>
      </c>
      <c r="BY813" t="s">
        <v>69</v>
      </c>
      <c r="BZ813" t="s">
        <v>8526</v>
      </c>
      <c r="CA813" t="str">
        <f>HYPERLINK("https%3A%2F%2Fwww.webofscience.com%2Fwos%2Fwoscc%2Ffull-record%2FWOS:000212745900005","View Full Record in Web of Science")</f>
        <v>View Full Record in Web of Science</v>
      </c>
    </row>
    <row r="814" spans="2:79" ht="12.5" x14ac:dyDescent="0.25">
      <c r="B814" t="s">
        <v>8495</v>
      </c>
      <c r="D814" s="22" t="s">
        <v>32931</v>
      </c>
      <c r="E814" s="7"/>
      <c r="F814" s="7"/>
      <c r="G814" s="7"/>
      <c r="H814" t="s">
        <v>67</v>
      </c>
      <c r="I814" t="s">
        <v>11834</v>
      </c>
      <c r="J814" t="s">
        <v>69</v>
      </c>
      <c r="K814" t="s">
        <v>69</v>
      </c>
      <c r="L814" t="s">
        <v>69</v>
      </c>
      <c r="M814" t="s">
        <v>11835</v>
      </c>
      <c r="N814" t="s">
        <v>69</v>
      </c>
      <c r="O814" t="s">
        <v>69</v>
      </c>
      <c r="P814" t="s">
        <v>11836</v>
      </c>
      <c r="Q814" t="s">
        <v>11837</v>
      </c>
      <c r="R814" t="s">
        <v>69</v>
      </c>
      <c r="S814" t="s">
        <v>69</v>
      </c>
      <c r="T814" t="s">
        <v>10071</v>
      </c>
      <c r="U814" t="s">
        <v>8506</v>
      </c>
      <c r="V814" t="s">
        <v>69</v>
      </c>
      <c r="W814" t="s">
        <v>69</v>
      </c>
      <c r="X814" t="s">
        <v>69</v>
      </c>
      <c r="Y814" t="s">
        <v>69</v>
      </c>
      <c r="Z814" t="s">
        <v>69</v>
      </c>
      <c r="AA814" t="s">
        <v>11838</v>
      </c>
      <c r="AB814" t="s">
        <v>11839</v>
      </c>
      <c r="AC814" t="s">
        <v>11840</v>
      </c>
      <c r="AD814" t="s">
        <v>11841</v>
      </c>
      <c r="AE814" t="s">
        <v>69</v>
      </c>
      <c r="AF814" t="s">
        <v>11842</v>
      </c>
      <c r="AG814" t="s">
        <v>11843</v>
      </c>
      <c r="AH814" t="s">
        <v>69</v>
      </c>
      <c r="AI814" t="s">
        <v>69</v>
      </c>
      <c r="AJ814" t="s">
        <v>69</v>
      </c>
      <c r="AK814" t="s">
        <v>69</v>
      </c>
      <c r="AL814" t="s">
        <v>69</v>
      </c>
      <c r="AM814" t="s">
        <v>69</v>
      </c>
      <c r="AN814">
        <v>47</v>
      </c>
      <c r="AO814">
        <v>0</v>
      </c>
      <c r="AP814">
        <v>0</v>
      </c>
      <c r="AQ814">
        <v>2</v>
      </c>
      <c r="AR814">
        <v>2</v>
      </c>
      <c r="AS814" t="s">
        <v>11844</v>
      </c>
      <c r="AT814" t="s">
        <v>11845</v>
      </c>
      <c r="AU814" t="s">
        <v>11846</v>
      </c>
      <c r="AV814" t="s">
        <v>11847</v>
      </c>
      <c r="AW814" t="s">
        <v>11848</v>
      </c>
      <c r="AX814" t="s">
        <v>69</v>
      </c>
      <c r="AY814" t="s">
        <v>11849</v>
      </c>
      <c r="AZ814" t="s">
        <v>11850</v>
      </c>
      <c r="BA814" t="s">
        <v>6479</v>
      </c>
      <c r="BB814">
        <v>2021</v>
      </c>
      <c r="BC814">
        <v>30</v>
      </c>
      <c r="BD814">
        <v>60</v>
      </c>
      <c r="BE814" t="s">
        <v>69</v>
      </c>
      <c r="BF814" t="s">
        <v>69</v>
      </c>
      <c r="BG814" t="s">
        <v>69</v>
      </c>
      <c r="BH814" t="s">
        <v>69</v>
      </c>
      <c r="BI814">
        <v>251</v>
      </c>
      <c r="BJ814">
        <v>269</v>
      </c>
      <c r="BK814" t="s">
        <v>69</v>
      </c>
      <c r="BL814" t="s">
        <v>11851</v>
      </c>
      <c r="BM814" t="str">
        <f>HYPERLINK("http://dx.doi.org/10.20983/noesis.2021.2.12","http://dx.doi.org/10.20983/noesis.2021.2.12")</f>
        <v>http://dx.doi.org/10.20983/noesis.2021.2.12</v>
      </c>
      <c r="BN814" t="s">
        <v>69</v>
      </c>
      <c r="BO814" t="s">
        <v>69</v>
      </c>
      <c r="BP814">
        <v>19</v>
      </c>
      <c r="BQ814" t="s">
        <v>10299</v>
      </c>
      <c r="BR814" t="s">
        <v>8573</v>
      </c>
      <c r="BS814" t="s">
        <v>10279</v>
      </c>
      <c r="BT814" t="s">
        <v>11852</v>
      </c>
      <c r="BU814" t="s">
        <v>11854</v>
      </c>
      <c r="BV814" t="s">
        <v>69</v>
      </c>
      <c r="BW814" t="s">
        <v>11853</v>
      </c>
      <c r="BX814" t="s">
        <v>69</v>
      </c>
      <c r="BY814" t="s">
        <v>69</v>
      </c>
      <c r="BZ814" t="s">
        <v>8526</v>
      </c>
      <c r="CA814" t="str">
        <f>HYPERLINK("https%3A%2F%2Fwww.webofscience.com%2Fwos%2Fwoscc%2Ffull-record%2FWOS:000768955400012","View Full Record in Web of Science")</f>
        <v>View Full Record in Web of Science</v>
      </c>
    </row>
    <row r="815" spans="2:79" ht="12.5" x14ac:dyDescent="0.25">
      <c r="B815" t="s">
        <v>8495</v>
      </c>
      <c r="D815" s="22" t="s">
        <v>32931</v>
      </c>
      <c r="E815" s="7"/>
      <c r="F815" s="7"/>
      <c r="G815" s="7"/>
      <c r="H815" t="s">
        <v>67</v>
      </c>
      <c r="I815" t="s">
        <v>30275</v>
      </c>
      <c r="J815" t="s">
        <v>69</v>
      </c>
      <c r="K815" t="s">
        <v>69</v>
      </c>
      <c r="L815" t="s">
        <v>69</v>
      </c>
      <c r="M815" t="s">
        <v>30276</v>
      </c>
      <c r="N815" t="s">
        <v>69</v>
      </c>
      <c r="O815" t="s">
        <v>69</v>
      </c>
      <c r="P815" t="s">
        <v>30277</v>
      </c>
      <c r="Q815" t="s">
        <v>30278</v>
      </c>
      <c r="R815" t="s">
        <v>69</v>
      </c>
      <c r="S815" t="s">
        <v>69</v>
      </c>
      <c r="T815" t="s">
        <v>8505</v>
      </c>
      <c r="U815" t="s">
        <v>8506</v>
      </c>
      <c r="V815" t="s">
        <v>69</v>
      </c>
      <c r="W815" t="s">
        <v>69</v>
      </c>
      <c r="X815" t="s">
        <v>69</v>
      </c>
      <c r="Y815" t="s">
        <v>69</v>
      </c>
      <c r="Z815" t="s">
        <v>69</v>
      </c>
      <c r="AA815" t="s">
        <v>30279</v>
      </c>
      <c r="AB815" t="s">
        <v>69</v>
      </c>
      <c r="AC815" t="s">
        <v>30280</v>
      </c>
      <c r="AD815" t="s">
        <v>30281</v>
      </c>
      <c r="AE815" t="s">
        <v>69</v>
      </c>
      <c r="AF815" t="s">
        <v>30282</v>
      </c>
      <c r="AG815" t="s">
        <v>69</v>
      </c>
      <c r="AH815" t="s">
        <v>30283</v>
      </c>
      <c r="AI815" t="s">
        <v>30284</v>
      </c>
      <c r="AJ815" t="s">
        <v>69</v>
      </c>
      <c r="AK815" t="s">
        <v>69</v>
      </c>
      <c r="AL815" t="s">
        <v>69</v>
      </c>
      <c r="AM815" t="s">
        <v>69</v>
      </c>
      <c r="AN815">
        <v>14</v>
      </c>
      <c r="AO815">
        <v>2</v>
      </c>
      <c r="AP815">
        <v>2</v>
      </c>
      <c r="AQ815">
        <v>0</v>
      </c>
      <c r="AR815">
        <v>0</v>
      </c>
      <c r="AS815" t="s">
        <v>11360</v>
      </c>
      <c r="AT815" t="s">
        <v>11361</v>
      </c>
      <c r="AU815" t="s">
        <v>11362</v>
      </c>
      <c r="AV815" t="s">
        <v>30285</v>
      </c>
      <c r="AW815" t="s">
        <v>69</v>
      </c>
      <c r="AX815" t="s">
        <v>69</v>
      </c>
      <c r="AY815" t="s">
        <v>30286</v>
      </c>
      <c r="AZ815" t="s">
        <v>30287</v>
      </c>
      <c r="BA815" t="s">
        <v>586</v>
      </c>
      <c r="BB815">
        <v>2006</v>
      </c>
      <c r="BC815">
        <v>6</v>
      </c>
      <c r="BD815">
        <v>1</v>
      </c>
      <c r="BE815" t="s">
        <v>69</v>
      </c>
      <c r="BF815" t="s">
        <v>69</v>
      </c>
      <c r="BG815" t="s">
        <v>69</v>
      </c>
      <c r="BH815" t="s">
        <v>69</v>
      </c>
      <c r="BI815" t="s">
        <v>69</v>
      </c>
      <c r="BJ815" t="s">
        <v>69</v>
      </c>
      <c r="BK815">
        <v>4</v>
      </c>
      <c r="BL815" t="s">
        <v>30288</v>
      </c>
      <c r="BM815" t="str">
        <f>HYPERLINK("http://dx.doi.org/10.2202/1553-779X.1134","http://dx.doi.org/10.2202/1553-779X.1134")</f>
        <v>http://dx.doi.org/10.2202/1553-779X.1134</v>
      </c>
      <c r="BN815" t="s">
        <v>69</v>
      </c>
      <c r="BO815" t="s">
        <v>69</v>
      </c>
      <c r="BP815">
        <v>14</v>
      </c>
      <c r="BQ815" t="s">
        <v>22702</v>
      </c>
      <c r="BR815" t="s">
        <v>8573</v>
      </c>
      <c r="BS815" t="s">
        <v>8445</v>
      </c>
      <c r="BT815" t="s">
        <v>30289</v>
      </c>
      <c r="BU815" t="s">
        <v>30290</v>
      </c>
      <c r="BV815" t="s">
        <v>69</v>
      </c>
      <c r="BW815" t="s">
        <v>69</v>
      </c>
      <c r="BX815" t="s">
        <v>69</v>
      </c>
      <c r="BY815" t="s">
        <v>69</v>
      </c>
      <c r="BZ815" t="s">
        <v>8526</v>
      </c>
      <c r="CA815" t="str">
        <f>HYPERLINK("https%3A%2F%2Fwww.webofscience.com%2Fwos%2Fwoscc%2Ffull-record%2FWOS:000212961800004","View Full Record in Web of Science")</f>
        <v>View Full Record in Web of Science</v>
      </c>
    </row>
    <row r="816" spans="2:79" ht="12.5" x14ac:dyDescent="0.25">
      <c r="B816" t="s">
        <v>8495</v>
      </c>
      <c r="D816" s="7" t="s">
        <v>32933</v>
      </c>
      <c r="E816" s="7"/>
      <c r="F816" s="7"/>
      <c r="G816" s="7"/>
      <c r="H816" t="s">
        <v>67</v>
      </c>
      <c r="I816" t="s">
        <v>867</v>
      </c>
      <c r="J816" t="s">
        <v>69</v>
      </c>
      <c r="K816" t="s">
        <v>69</v>
      </c>
      <c r="L816" t="s">
        <v>69</v>
      </c>
      <c r="M816" t="s">
        <v>868</v>
      </c>
      <c r="N816" t="s">
        <v>69</v>
      </c>
      <c r="O816" t="s">
        <v>69</v>
      </c>
      <c r="P816" t="s">
        <v>869</v>
      </c>
      <c r="Q816" t="s">
        <v>870</v>
      </c>
      <c r="R816" t="s">
        <v>69</v>
      </c>
      <c r="S816" t="s">
        <v>69</v>
      </c>
      <c r="T816" t="s">
        <v>8505</v>
      </c>
      <c r="U816" t="s">
        <v>8506</v>
      </c>
      <c r="V816" t="s">
        <v>69</v>
      </c>
      <c r="W816" t="s">
        <v>69</v>
      </c>
      <c r="X816" t="s">
        <v>69</v>
      </c>
      <c r="Y816" t="s">
        <v>69</v>
      </c>
      <c r="Z816" t="s">
        <v>69</v>
      </c>
      <c r="AA816" t="s">
        <v>16461</v>
      </c>
      <c r="AB816" t="s">
        <v>16462</v>
      </c>
      <c r="AC816" t="s">
        <v>871</v>
      </c>
      <c r="AD816" t="s">
        <v>16463</v>
      </c>
      <c r="AE816" t="s">
        <v>69</v>
      </c>
      <c r="AF816" t="s">
        <v>16464</v>
      </c>
      <c r="AG816" t="s">
        <v>16465</v>
      </c>
      <c r="AH816" t="s">
        <v>69</v>
      </c>
      <c r="AI816" t="s">
        <v>69</v>
      </c>
      <c r="AJ816" t="s">
        <v>69</v>
      </c>
      <c r="AK816" t="s">
        <v>69</v>
      </c>
      <c r="AL816" t="s">
        <v>69</v>
      </c>
      <c r="AM816" t="s">
        <v>69</v>
      </c>
      <c r="AN816">
        <v>48</v>
      </c>
      <c r="AO816">
        <v>2</v>
      </c>
      <c r="AP816">
        <v>2</v>
      </c>
      <c r="AQ816">
        <v>0</v>
      </c>
      <c r="AR816">
        <v>6</v>
      </c>
      <c r="AS816" t="s">
        <v>8586</v>
      </c>
      <c r="AT816" t="s">
        <v>8587</v>
      </c>
      <c r="AU816" t="s">
        <v>8588</v>
      </c>
      <c r="AV816" t="s">
        <v>872</v>
      </c>
      <c r="AW816" t="s">
        <v>873</v>
      </c>
      <c r="AX816" t="s">
        <v>69</v>
      </c>
      <c r="AY816" t="s">
        <v>16466</v>
      </c>
      <c r="AZ816" t="s">
        <v>16467</v>
      </c>
      <c r="BA816" t="s">
        <v>874</v>
      </c>
      <c r="BB816">
        <v>2019</v>
      </c>
      <c r="BC816">
        <v>13</v>
      </c>
      <c r="BD816">
        <v>4</v>
      </c>
      <c r="BE816" t="s">
        <v>69</v>
      </c>
      <c r="BF816" t="s">
        <v>69</v>
      </c>
      <c r="BG816" t="s">
        <v>69</v>
      </c>
      <c r="BH816" t="s">
        <v>69</v>
      </c>
      <c r="BI816">
        <v>533</v>
      </c>
      <c r="BJ816">
        <v>552</v>
      </c>
      <c r="BK816" t="s">
        <v>69</v>
      </c>
      <c r="BL816" t="s">
        <v>875</v>
      </c>
      <c r="BM816" t="str">
        <f>HYPERLINK("http://dx.doi.org/10.1108/IJHMA-08-2019-0081","http://dx.doi.org/10.1108/IJHMA-08-2019-0081")</f>
        <v>http://dx.doi.org/10.1108/IJHMA-08-2019-0081</v>
      </c>
      <c r="BN816" t="s">
        <v>69</v>
      </c>
      <c r="BO816" t="s">
        <v>876</v>
      </c>
      <c r="BP816">
        <v>20</v>
      </c>
      <c r="BQ816" t="s">
        <v>8475</v>
      </c>
      <c r="BR816" t="s">
        <v>8573</v>
      </c>
      <c r="BS816" t="s">
        <v>8475</v>
      </c>
      <c r="BT816" t="s">
        <v>16468</v>
      </c>
      <c r="BU816" t="s">
        <v>877</v>
      </c>
      <c r="BV816" t="s">
        <v>69</v>
      </c>
      <c r="BW816" t="s">
        <v>69</v>
      </c>
      <c r="BX816" t="s">
        <v>69</v>
      </c>
      <c r="BY816" t="s">
        <v>69</v>
      </c>
      <c r="BZ816" t="s">
        <v>8526</v>
      </c>
      <c r="CA816" t="str">
        <f>HYPERLINK("https%3A%2F%2Fwww.webofscience.com%2Fwos%2Fwoscc%2Ffull-record%2FWOS:000511978800001","View Full Record in Web of Science")</f>
        <v>View Full Record in Web of Science</v>
      </c>
    </row>
    <row r="817" spans="2:79" ht="12.5" x14ac:dyDescent="0.25">
      <c r="B817" t="s">
        <v>8495</v>
      </c>
      <c r="D817" s="7" t="s">
        <v>32933</v>
      </c>
      <c r="E817" s="7"/>
      <c r="F817" s="7"/>
      <c r="G817" s="7"/>
      <c r="H817" t="s">
        <v>67</v>
      </c>
      <c r="I817" t="s">
        <v>2657</v>
      </c>
      <c r="J817" t="s">
        <v>69</v>
      </c>
      <c r="K817" t="s">
        <v>69</v>
      </c>
      <c r="L817" t="s">
        <v>69</v>
      </c>
      <c r="M817" t="s">
        <v>2658</v>
      </c>
      <c r="N817" t="s">
        <v>69</v>
      </c>
      <c r="O817" t="s">
        <v>69</v>
      </c>
      <c r="P817" t="s">
        <v>2659</v>
      </c>
      <c r="Q817" t="s">
        <v>2660</v>
      </c>
      <c r="R817" t="s">
        <v>69</v>
      </c>
      <c r="S817" t="s">
        <v>69</v>
      </c>
      <c r="T817" t="s">
        <v>8505</v>
      </c>
      <c r="U817" t="s">
        <v>8506</v>
      </c>
      <c r="V817" t="s">
        <v>69</v>
      </c>
      <c r="W817" t="s">
        <v>69</v>
      </c>
      <c r="X817" t="s">
        <v>69</v>
      </c>
      <c r="Y817" t="s">
        <v>69</v>
      </c>
      <c r="Z817" t="s">
        <v>69</v>
      </c>
      <c r="AA817" t="s">
        <v>20628</v>
      </c>
      <c r="AB817" t="s">
        <v>20629</v>
      </c>
      <c r="AC817" t="s">
        <v>2661</v>
      </c>
      <c r="AD817" t="s">
        <v>20630</v>
      </c>
      <c r="AE817" t="s">
        <v>69</v>
      </c>
      <c r="AF817" t="s">
        <v>20631</v>
      </c>
      <c r="AG817" t="s">
        <v>20632</v>
      </c>
      <c r="AH817" t="s">
        <v>20633</v>
      </c>
      <c r="AI817" t="s">
        <v>20634</v>
      </c>
      <c r="AJ817" t="s">
        <v>20635</v>
      </c>
      <c r="AK817" t="s">
        <v>20636</v>
      </c>
      <c r="AL817" t="s">
        <v>20637</v>
      </c>
      <c r="AM817" t="s">
        <v>69</v>
      </c>
      <c r="AN817">
        <v>56</v>
      </c>
      <c r="AO817">
        <v>15</v>
      </c>
      <c r="AP817">
        <v>15</v>
      </c>
      <c r="AQ817">
        <v>8</v>
      </c>
      <c r="AR817">
        <v>28</v>
      </c>
      <c r="AS817" t="s">
        <v>9203</v>
      </c>
      <c r="AT817" t="s">
        <v>8763</v>
      </c>
      <c r="AU817" t="s">
        <v>9204</v>
      </c>
      <c r="AV817" t="s">
        <v>69</v>
      </c>
      <c r="AW817" t="s">
        <v>2662</v>
      </c>
      <c r="AX817" t="s">
        <v>69</v>
      </c>
      <c r="AY817" t="s">
        <v>20638</v>
      </c>
      <c r="AZ817" t="s">
        <v>20639</v>
      </c>
      <c r="BA817" t="s">
        <v>69</v>
      </c>
      <c r="BB817">
        <v>2017</v>
      </c>
      <c r="BC817">
        <v>6</v>
      </c>
      <c r="BD817">
        <v>1</v>
      </c>
      <c r="BE817" t="s">
        <v>69</v>
      </c>
      <c r="BF817" t="s">
        <v>69</v>
      </c>
      <c r="BG817" t="s">
        <v>69</v>
      </c>
      <c r="BH817" t="s">
        <v>69</v>
      </c>
      <c r="BI817" t="s">
        <v>69</v>
      </c>
      <c r="BJ817" t="s">
        <v>69</v>
      </c>
      <c r="BK817">
        <v>24</v>
      </c>
      <c r="BL817" t="s">
        <v>2663</v>
      </c>
      <c r="BM817" t="str">
        <f>HYPERLINK("http://dx.doi.org/10.1186/s13750-017-0103-1","http://dx.doi.org/10.1186/s13750-017-0103-1")</f>
        <v>http://dx.doi.org/10.1186/s13750-017-0103-1</v>
      </c>
      <c r="BN817" t="s">
        <v>69</v>
      </c>
      <c r="BO817" t="s">
        <v>69</v>
      </c>
      <c r="BP817">
        <v>16</v>
      </c>
      <c r="BQ817" t="s">
        <v>8717</v>
      </c>
      <c r="BR817" t="s">
        <v>8548</v>
      </c>
      <c r="BS817" t="s">
        <v>8662</v>
      </c>
      <c r="BT817" t="s">
        <v>20640</v>
      </c>
      <c r="BU817" t="s">
        <v>2664</v>
      </c>
      <c r="BV817" t="s">
        <v>69</v>
      </c>
      <c r="BW817" t="s">
        <v>14771</v>
      </c>
      <c r="BX817" t="s">
        <v>69</v>
      </c>
      <c r="BY817" t="s">
        <v>69</v>
      </c>
      <c r="BZ817" t="s">
        <v>8526</v>
      </c>
      <c r="CA817" t="str">
        <f>HYPERLINK("https%3A%2F%2Fwww.webofscience.com%2Fwos%2Fwoscc%2Ffull-record%2FWOS:000449407900024","View Full Record in Web of Science")</f>
        <v>View Full Record in Web of Science</v>
      </c>
    </row>
    <row r="818" spans="2:79" ht="12.5" x14ac:dyDescent="0.25">
      <c r="B818" t="s">
        <v>8495</v>
      </c>
      <c r="D818" s="22" t="s">
        <v>32931</v>
      </c>
      <c r="E818" s="7"/>
      <c r="F818" s="7"/>
      <c r="G818" s="7"/>
      <c r="H818" t="s">
        <v>67</v>
      </c>
      <c r="I818" t="s">
        <v>12420</v>
      </c>
      <c r="J818" t="s">
        <v>69</v>
      </c>
      <c r="K818" t="s">
        <v>69</v>
      </c>
      <c r="L818" t="s">
        <v>69</v>
      </c>
      <c r="M818" t="s">
        <v>12421</v>
      </c>
      <c r="N818" t="s">
        <v>69</v>
      </c>
      <c r="O818" t="s">
        <v>69</v>
      </c>
      <c r="P818" t="s">
        <v>12422</v>
      </c>
      <c r="Q818" t="s">
        <v>12423</v>
      </c>
      <c r="R818" t="s">
        <v>69</v>
      </c>
      <c r="S818" t="s">
        <v>69</v>
      </c>
      <c r="T818" t="s">
        <v>8505</v>
      </c>
      <c r="U818" t="s">
        <v>8506</v>
      </c>
      <c r="V818" t="s">
        <v>69</v>
      </c>
      <c r="W818" t="s">
        <v>69</v>
      </c>
      <c r="X818" t="s">
        <v>69</v>
      </c>
      <c r="Y818" t="s">
        <v>69</v>
      </c>
      <c r="Z818" t="s">
        <v>69</v>
      </c>
      <c r="AA818" t="s">
        <v>12424</v>
      </c>
      <c r="AB818" t="s">
        <v>69</v>
      </c>
      <c r="AC818" t="s">
        <v>12425</v>
      </c>
      <c r="AD818" t="s">
        <v>12426</v>
      </c>
      <c r="AE818" t="s">
        <v>69</v>
      </c>
      <c r="AF818" t="s">
        <v>12427</v>
      </c>
      <c r="AG818" t="s">
        <v>12428</v>
      </c>
      <c r="AH818" t="s">
        <v>69</v>
      </c>
      <c r="AI818" t="s">
        <v>12429</v>
      </c>
      <c r="AJ818" t="s">
        <v>12430</v>
      </c>
      <c r="AK818" t="s">
        <v>12431</v>
      </c>
      <c r="AL818" t="s">
        <v>12432</v>
      </c>
      <c r="AM818" t="s">
        <v>69</v>
      </c>
      <c r="AN818">
        <v>48</v>
      </c>
      <c r="AO818">
        <v>3</v>
      </c>
      <c r="AP818">
        <v>3</v>
      </c>
      <c r="AQ818">
        <v>5</v>
      </c>
      <c r="AR818">
        <v>7</v>
      </c>
      <c r="AS818" t="s">
        <v>8586</v>
      </c>
      <c r="AT818" t="s">
        <v>8587</v>
      </c>
      <c r="AU818" t="s">
        <v>8588</v>
      </c>
      <c r="AV818" t="s">
        <v>12433</v>
      </c>
      <c r="AW818" t="s">
        <v>12434</v>
      </c>
      <c r="AX818" t="s">
        <v>69</v>
      </c>
      <c r="AY818" t="s">
        <v>12435</v>
      </c>
      <c r="AZ818" t="s">
        <v>12436</v>
      </c>
      <c r="BA818" t="s">
        <v>12437</v>
      </c>
      <c r="BB818">
        <v>2021</v>
      </c>
      <c r="BC818">
        <v>15</v>
      </c>
      <c r="BD818">
        <v>3</v>
      </c>
      <c r="BE818" t="s">
        <v>69</v>
      </c>
      <c r="BF818" t="s">
        <v>69</v>
      </c>
      <c r="BG818" t="s">
        <v>69</v>
      </c>
      <c r="BH818" t="s">
        <v>69</v>
      </c>
      <c r="BI818">
        <v>800</v>
      </c>
      <c r="BJ818">
        <v>822</v>
      </c>
      <c r="BK818" t="s">
        <v>69</v>
      </c>
      <c r="BL818" t="s">
        <v>12438</v>
      </c>
      <c r="BM818" t="str">
        <f>HYPERLINK("http://dx.doi.org/10.1108/ARCH-11-2020-0276","http://dx.doi.org/10.1108/ARCH-11-2020-0276")</f>
        <v>http://dx.doi.org/10.1108/ARCH-11-2020-0276</v>
      </c>
      <c r="BN818" t="s">
        <v>69</v>
      </c>
      <c r="BO818" t="s">
        <v>12312</v>
      </c>
      <c r="BP818">
        <v>23</v>
      </c>
      <c r="BQ818" t="s">
        <v>8449</v>
      </c>
      <c r="BR818" t="s">
        <v>11207</v>
      </c>
      <c r="BS818" t="s">
        <v>8449</v>
      </c>
      <c r="BT818" t="s">
        <v>12439</v>
      </c>
      <c r="BU818" t="s">
        <v>12440</v>
      </c>
      <c r="BV818" t="s">
        <v>69</v>
      </c>
      <c r="BW818" t="s">
        <v>9292</v>
      </c>
      <c r="BX818" t="s">
        <v>69</v>
      </c>
      <c r="BY818" t="s">
        <v>69</v>
      </c>
      <c r="BZ818" t="s">
        <v>8526</v>
      </c>
      <c r="CA818" t="str">
        <f>HYPERLINK("https%3A%2F%2Fwww.webofscience.com%2Fwos%2Fwoscc%2Ffull-record%2FWOS:000637673000001","View Full Record in Web of Science")</f>
        <v>View Full Record in Web of Science</v>
      </c>
    </row>
    <row r="819" spans="2:79" ht="12.5" x14ac:dyDescent="0.25">
      <c r="B819" t="s">
        <v>8495</v>
      </c>
      <c r="D819" s="7" t="s">
        <v>32933</v>
      </c>
      <c r="E819" s="7"/>
      <c r="F819" s="7"/>
      <c r="G819" s="7"/>
      <c r="H819" t="s">
        <v>67</v>
      </c>
      <c r="I819" t="s">
        <v>3343</v>
      </c>
      <c r="J819" t="s">
        <v>69</v>
      </c>
      <c r="K819" t="s">
        <v>69</v>
      </c>
      <c r="L819" t="s">
        <v>69</v>
      </c>
      <c r="M819" t="s">
        <v>3344</v>
      </c>
      <c r="N819" t="s">
        <v>69</v>
      </c>
      <c r="O819" t="s">
        <v>69</v>
      </c>
      <c r="P819" t="s">
        <v>3345</v>
      </c>
      <c r="Q819" t="s">
        <v>3346</v>
      </c>
      <c r="R819" t="s">
        <v>69</v>
      </c>
      <c r="S819" t="s">
        <v>69</v>
      </c>
      <c r="T819" t="s">
        <v>8505</v>
      </c>
      <c r="U819" t="s">
        <v>8506</v>
      </c>
      <c r="V819" t="s">
        <v>69</v>
      </c>
      <c r="W819" t="s">
        <v>69</v>
      </c>
      <c r="X819" t="s">
        <v>69</v>
      </c>
      <c r="Y819" t="s">
        <v>69</v>
      </c>
      <c r="Z819" t="s">
        <v>69</v>
      </c>
      <c r="AA819" t="s">
        <v>25237</v>
      </c>
      <c r="AB819" t="s">
        <v>25238</v>
      </c>
      <c r="AC819" t="s">
        <v>3347</v>
      </c>
      <c r="AD819" t="s">
        <v>25239</v>
      </c>
      <c r="AE819" t="s">
        <v>69</v>
      </c>
      <c r="AF819" t="s">
        <v>25240</v>
      </c>
      <c r="AG819" t="s">
        <v>25241</v>
      </c>
      <c r="AH819" t="s">
        <v>3348</v>
      </c>
      <c r="AI819" t="s">
        <v>25242</v>
      </c>
      <c r="AJ819" t="s">
        <v>25243</v>
      </c>
      <c r="AK819" t="s">
        <v>25244</v>
      </c>
      <c r="AL819" t="s">
        <v>25245</v>
      </c>
      <c r="AM819" t="s">
        <v>69</v>
      </c>
      <c r="AN819">
        <v>29</v>
      </c>
      <c r="AO819">
        <v>20</v>
      </c>
      <c r="AP819">
        <v>20</v>
      </c>
      <c r="AQ819">
        <v>4</v>
      </c>
      <c r="AR819">
        <v>25</v>
      </c>
      <c r="AS819" t="s">
        <v>9145</v>
      </c>
      <c r="AT819" t="s">
        <v>8637</v>
      </c>
      <c r="AU819" t="s">
        <v>9146</v>
      </c>
      <c r="AV819" t="s">
        <v>3349</v>
      </c>
      <c r="AW819" t="s">
        <v>69</v>
      </c>
      <c r="AX819" t="s">
        <v>69</v>
      </c>
      <c r="AY819" t="s">
        <v>25246</v>
      </c>
      <c r="AZ819" t="s">
        <v>25247</v>
      </c>
      <c r="BA819" t="s">
        <v>3350</v>
      </c>
      <c r="BB819">
        <v>2013</v>
      </c>
      <c r="BC819">
        <v>38</v>
      </c>
      <c r="BD819">
        <v>1</v>
      </c>
      <c r="BE819" t="s">
        <v>69</v>
      </c>
      <c r="BF819" t="s">
        <v>69</v>
      </c>
      <c r="BG819" t="s">
        <v>69</v>
      </c>
      <c r="BH819" t="s">
        <v>69</v>
      </c>
      <c r="BI819">
        <v>453</v>
      </c>
      <c r="BJ819">
        <v>468</v>
      </c>
      <c r="BK819" t="s">
        <v>69</v>
      </c>
      <c r="BL819" t="s">
        <v>3351</v>
      </c>
      <c r="BM819" t="str">
        <f>HYPERLINK("http://dx.doi.org/10.1016/j.ijhydene.2012.09.066","http://dx.doi.org/10.1016/j.ijhydene.2012.09.066")</f>
        <v>http://dx.doi.org/10.1016/j.ijhydene.2012.09.066</v>
      </c>
      <c r="BN819" t="s">
        <v>69</v>
      </c>
      <c r="BO819" t="s">
        <v>69</v>
      </c>
      <c r="BP819">
        <v>16</v>
      </c>
      <c r="BQ819" t="s">
        <v>25248</v>
      </c>
      <c r="BR819" t="s">
        <v>8548</v>
      </c>
      <c r="BS819" t="s">
        <v>25249</v>
      </c>
      <c r="BT819" t="s">
        <v>25250</v>
      </c>
      <c r="BU819" t="s">
        <v>3352</v>
      </c>
      <c r="BV819" t="s">
        <v>69</v>
      </c>
      <c r="BW819" t="s">
        <v>69</v>
      </c>
      <c r="BX819" t="s">
        <v>69</v>
      </c>
      <c r="BY819" t="s">
        <v>69</v>
      </c>
      <c r="BZ819" t="s">
        <v>8526</v>
      </c>
      <c r="CA819" t="str">
        <f>HYPERLINK("https%3A%2F%2Fwww.webofscience.com%2Fwos%2Fwoscc%2Ffull-record%2FWOS:000315001500052","View Full Record in Web of Science")</f>
        <v>View Full Record in Web of Science</v>
      </c>
    </row>
    <row r="820" spans="2:79" ht="12.5" x14ac:dyDescent="0.25">
      <c r="B820" t="s">
        <v>8495</v>
      </c>
      <c r="D820" s="22" t="s">
        <v>32931</v>
      </c>
      <c r="E820" s="7"/>
      <c r="F820" s="7"/>
      <c r="G820" s="7"/>
      <c r="H820" t="s">
        <v>67</v>
      </c>
      <c r="I820" t="s">
        <v>9233</v>
      </c>
      <c r="J820" t="s">
        <v>69</v>
      </c>
      <c r="K820" t="s">
        <v>69</v>
      </c>
      <c r="L820" t="s">
        <v>69</v>
      </c>
      <c r="M820" t="s">
        <v>9234</v>
      </c>
      <c r="N820" t="s">
        <v>69</v>
      </c>
      <c r="O820" t="s">
        <v>69</v>
      </c>
      <c r="P820" t="s">
        <v>9235</v>
      </c>
      <c r="Q820" t="s">
        <v>436</v>
      </c>
      <c r="R820" t="s">
        <v>69</v>
      </c>
      <c r="S820" t="s">
        <v>69</v>
      </c>
      <c r="T820" t="s">
        <v>8505</v>
      </c>
      <c r="U820" t="s">
        <v>8506</v>
      </c>
      <c r="V820" t="s">
        <v>69</v>
      </c>
      <c r="W820" t="s">
        <v>69</v>
      </c>
      <c r="X820" t="s">
        <v>69</v>
      </c>
      <c r="Y820" t="s">
        <v>69</v>
      </c>
      <c r="Z820" t="s">
        <v>69</v>
      </c>
      <c r="AA820" t="s">
        <v>9236</v>
      </c>
      <c r="AB820" t="s">
        <v>9237</v>
      </c>
      <c r="AC820" t="s">
        <v>9238</v>
      </c>
      <c r="AD820" t="s">
        <v>9239</v>
      </c>
      <c r="AE820" t="s">
        <v>69</v>
      </c>
      <c r="AF820" t="s">
        <v>9240</v>
      </c>
      <c r="AG820" t="s">
        <v>9241</v>
      </c>
      <c r="AH820" t="s">
        <v>69</v>
      </c>
      <c r="AI820" t="s">
        <v>69</v>
      </c>
      <c r="AJ820" t="s">
        <v>9242</v>
      </c>
      <c r="AK820" t="s">
        <v>9243</v>
      </c>
      <c r="AL820" t="s">
        <v>9244</v>
      </c>
      <c r="AM820" t="s">
        <v>69</v>
      </c>
      <c r="AN820">
        <v>36</v>
      </c>
      <c r="AO820">
        <v>0</v>
      </c>
      <c r="AP820">
        <v>0</v>
      </c>
      <c r="AQ820">
        <v>2</v>
      </c>
      <c r="AR820">
        <v>2</v>
      </c>
      <c r="AS820" t="s">
        <v>8636</v>
      </c>
      <c r="AT820" t="s">
        <v>8637</v>
      </c>
      <c r="AU820" t="s">
        <v>8638</v>
      </c>
      <c r="AV820" t="s">
        <v>440</v>
      </c>
      <c r="AW820" t="s">
        <v>441</v>
      </c>
      <c r="AX820" t="s">
        <v>69</v>
      </c>
      <c r="AY820" t="s">
        <v>8639</v>
      </c>
      <c r="AZ820" t="s">
        <v>8640</v>
      </c>
      <c r="BA820" t="s">
        <v>9245</v>
      </c>
      <c r="BB820">
        <v>2022</v>
      </c>
      <c r="BC820">
        <v>346</v>
      </c>
      <c r="BD820" t="s">
        <v>69</v>
      </c>
      <c r="BE820" t="s">
        <v>69</v>
      </c>
      <c r="BF820" t="s">
        <v>69</v>
      </c>
      <c r="BG820" t="s">
        <v>69</v>
      </c>
      <c r="BH820" t="s">
        <v>69</v>
      </c>
      <c r="BI820" t="s">
        <v>69</v>
      </c>
      <c r="BJ820" t="s">
        <v>69</v>
      </c>
      <c r="BK820">
        <v>131014</v>
      </c>
      <c r="BL820" t="s">
        <v>9246</v>
      </c>
      <c r="BM820" t="str">
        <f>HYPERLINK("http://dx.doi.org/10.1016/j.jclepro.2022.131014","http://dx.doi.org/10.1016/j.jclepro.2022.131014")</f>
        <v>http://dx.doi.org/10.1016/j.jclepro.2022.131014</v>
      </c>
      <c r="BN820" t="s">
        <v>69</v>
      </c>
      <c r="BO820" t="s">
        <v>69</v>
      </c>
      <c r="BP820">
        <v>22</v>
      </c>
      <c r="BQ820" t="s">
        <v>8643</v>
      </c>
      <c r="BR820" t="s">
        <v>8523</v>
      </c>
      <c r="BS820" t="s">
        <v>8644</v>
      </c>
      <c r="BT820" t="s">
        <v>9247</v>
      </c>
      <c r="BU820" t="s">
        <v>9248</v>
      </c>
      <c r="BV820" t="s">
        <v>69</v>
      </c>
      <c r="BW820" t="s">
        <v>8746</v>
      </c>
      <c r="BX820" t="s">
        <v>69</v>
      </c>
      <c r="BY820" t="s">
        <v>69</v>
      </c>
      <c r="BZ820" t="s">
        <v>8526</v>
      </c>
      <c r="CA820" t="str">
        <f>HYPERLINK("https%3A%2F%2Fwww.webofscience.com%2Fwos%2Fwoscc%2Ffull-record%2FWOS:000789482500003","View Full Record in Web of Science")</f>
        <v>View Full Record in Web of Science</v>
      </c>
    </row>
    <row r="821" spans="2:79" ht="12.5" x14ac:dyDescent="0.25">
      <c r="B821" t="s">
        <v>8495</v>
      </c>
      <c r="D821" s="22" t="s">
        <v>32931</v>
      </c>
      <c r="E821" s="7"/>
      <c r="F821" s="7"/>
      <c r="G821" s="7"/>
      <c r="H821" t="s">
        <v>67</v>
      </c>
      <c r="I821" t="s">
        <v>23155</v>
      </c>
      <c r="J821" t="s">
        <v>69</v>
      </c>
      <c r="K821" t="s">
        <v>69</v>
      </c>
      <c r="L821" t="s">
        <v>69</v>
      </c>
      <c r="M821" t="s">
        <v>23156</v>
      </c>
      <c r="N821" t="s">
        <v>69</v>
      </c>
      <c r="O821" t="s">
        <v>69</v>
      </c>
      <c r="P821" t="s">
        <v>23157</v>
      </c>
      <c r="Q821" t="s">
        <v>23158</v>
      </c>
      <c r="R821" t="s">
        <v>69</v>
      </c>
      <c r="S821" t="s">
        <v>69</v>
      </c>
      <c r="T821" t="s">
        <v>8505</v>
      </c>
      <c r="U821" t="s">
        <v>8506</v>
      </c>
      <c r="V821" t="s">
        <v>69</v>
      </c>
      <c r="W821" t="s">
        <v>69</v>
      </c>
      <c r="X821" t="s">
        <v>69</v>
      </c>
      <c r="Y821" t="s">
        <v>69</v>
      </c>
      <c r="Z821" t="s">
        <v>69</v>
      </c>
      <c r="AA821" t="s">
        <v>23159</v>
      </c>
      <c r="AB821" t="s">
        <v>69</v>
      </c>
      <c r="AC821" t="s">
        <v>23160</v>
      </c>
      <c r="AD821" t="s">
        <v>23161</v>
      </c>
      <c r="AE821" t="s">
        <v>69</v>
      </c>
      <c r="AF821" t="s">
        <v>23162</v>
      </c>
      <c r="AG821" t="s">
        <v>23163</v>
      </c>
      <c r="AH821" t="s">
        <v>23164</v>
      </c>
      <c r="AI821" t="s">
        <v>23165</v>
      </c>
      <c r="AJ821" t="s">
        <v>69</v>
      </c>
      <c r="AK821" t="s">
        <v>69</v>
      </c>
      <c r="AL821" t="s">
        <v>69</v>
      </c>
      <c r="AM821" t="s">
        <v>69</v>
      </c>
      <c r="AN821">
        <v>30</v>
      </c>
      <c r="AO821">
        <v>8</v>
      </c>
      <c r="AP821">
        <v>8</v>
      </c>
      <c r="AQ821">
        <v>0</v>
      </c>
      <c r="AR821">
        <v>0</v>
      </c>
      <c r="AS821" t="s">
        <v>15611</v>
      </c>
      <c r="AT821" t="s">
        <v>10924</v>
      </c>
      <c r="AU821" t="s">
        <v>15612</v>
      </c>
      <c r="AV821" t="s">
        <v>23166</v>
      </c>
      <c r="AW821" t="s">
        <v>23167</v>
      </c>
      <c r="AX821" t="s">
        <v>69</v>
      </c>
      <c r="AY821" t="s">
        <v>23168</v>
      </c>
      <c r="AZ821" t="s">
        <v>23169</v>
      </c>
      <c r="BA821" t="s">
        <v>69</v>
      </c>
      <c r="BB821">
        <v>2015</v>
      </c>
      <c r="BC821">
        <v>26</v>
      </c>
      <c r="BD821">
        <v>3</v>
      </c>
      <c r="BE821" t="s">
        <v>69</v>
      </c>
      <c r="BF821" t="s">
        <v>69</v>
      </c>
      <c r="BG821" t="s">
        <v>69</v>
      </c>
      <c r="BH821" t="s">
        <v>69</v>
      </c>
      <c r="BI821">
        <v>166</v>
      </c>
      <c r="BJ821">
        <v>175</v>
      </c>
      <c r="BK821" t="s">
        <v>69</v>
      </c>
      <c r="BL821" t="s">
        <v>23170</v>
      </c>
      <c r="BM821" t="str">
        <f>HYPERLINK("http://dx.doi.org/10.1080/14739879.2015.11494336","http://dx.doi.org/10.1080/14739879.2015.11494336")</f>
        <v>http://dx.doi.org/10.1080/14739879.2015.11494336</v>
      </c>
      <c r="BN821" t="s">
        <v>69</v>
      </c>
      <c r="BO821" t="s">
        <v>69</v>
      </c>
      <c r="BP821">
        <v>10</v>
      </c>
      <c r="BQ821" t="s">
        <v>10546</v>
      </c>
      <c r="BR821" t="s">
        <v>8573</v>
      </c>
      <c r="BS821" t="s">
        <v>9451</v>
      </c>
      <c r="BT821" t="s">
        <v>23171</v>
      </c>
      <c r="BU821" t="s">
        <v>23172</v>
      </c>
      <c r="BV821">
        <v>26092145</v>
      </c>
      <c r="BW821" t="s">
        <v>69</v>
      </c>
      <c r="BX821" t="s">
        <v>69</v>
      </c>
      <c r="BY821" t="s">
        <v>69</v>
      </c>
      <c r="BZ821" t="s">
        <v>8526</v>
      </c>
      <c r="CA821" t="str">
        <f>HYPERLINK("https%3A%2F%2Fwww.webofscience.com%2Fwos%2Fwoscc%2Ffull-record%2FWOS:000442607500008","View Full Record in Web of Science")</f>
        <v>View Full Record in Web of Science</v>
      </c>
    </row>
    <row r="822" spans="2:79" ht="12.5" x14ac:dyDescent="0.25">
      <c r="B822" t="s">
        <v>8495</v>
      </c>
      <c r="D822" s="7" t="s">
        <v>32933</v>
      </c>
      <c r="E822" s="7"/>
      <c r="F822" s="7"/>
      <c r="G822" s="7"/>
      <c r="H822" t="s">
        <v>67</v>
      </c>
      <c r="I822" t="s">
        <v>6331</v>
      </c>
      <c r="J822" t="s">
        <v>69</v>
      </c>
      <c r="K822" t="s">
        <v>69</v>
      </c>
      <c r="L822" t="s">
        <v>69</v>
      </c>
      <c r="M822" t="s">
        <v>6332</v>
      </c>
      <c r="N822" t="s">
        <v>69</v>
      </c>
      <c r="O822" t="s">
        <v>69</v>
      </c>
      <c r="P822" t="s">
        <v>6333</v>
      </c>
      <c r="Q822" t="s">
        <v>436</v>
      </c>
      <c r="R822" t="s">
        <v>69</v>
      </c>
      <c r="S822" t="s">
        <v>69</v>
      </c>
      <c r="T822" t="s">
        <v>8505</v>
      </c>
      <c r="U822" t="s">
        <v>8506</v>
      </c>
      <c r="V822" t="s">
        <v>69</v>
      </c>
      <c r="W822" t="s">
        <v>69</v>
      </c>
      <c r="X822" t="s">
        <v>69</v>
      </c>
      <c r="Y822" t="s">
        <v>69</v>
      </c>
      <c r="Z822" t="s">
        <v>69</v>
      </c>
      <c r="AA822" t="s">
        <v>21865</v>
      </c>
      <c r="AB822" t="s">
        <v>21866</v>
      </c>
      <c r="AC822" t="s">
        <v>6334</v>
      </c>
      <c r="AD822" t="s">
        <v>21867</v>
      </c>
      <c r="AE822" t="s">
        <v>69</v>
      </c>
      <c r="AF822" t="s">
        <v>21868</v>
      </c>
      <c r="AG822" t="s">
        <v>21869</v>
      </c>
      <c r="AH822" t="s">
        <v>6335</v>
      </c>
      <c r="AI822" t="s">
        <v>6336</v>
      </c>
      <c r="AJ822" t="s">
        <v>69</v>
      </c>
      <c r="AK822" t="s">
        <v>69</v>
      </c>
      <c r="AL822" t="s">
        <v>69</v>
      </c>
      <c r="AM822" t="s">
        <v>69</v>
      </c>
      <c r="AN822">
        <v>86</v>
      </c>
      <c r="AO822">
        <v>45</v>
      </c>
      <c r="AP822">
        <v>48</v>
      </c>
      <c r="AQ822">
        <v>3</v>
      </c>
      <c r="AR822">
        <v>80</v>
      </c>
      <c r="AS822" t="s">
        <v>8636</v>
      </c>
      <c r="AT822" t="s">
        <v>8637</v>
      </c>
      <c r="AU822" t="s">
        <v>8638</v>
      </c>
      <c r="AV822" t="s">
        <v>440</v>
      </c>
      <c r="AW822" t="s">
        <v>441</v>
      </c>
      <c r="AX822" t="s">
        <v>69</v>
      </c>
      <c r="AY822" t="s">
        <v>8639</v>
      </c>
      <c r="AZ822" t="s">
        <v>8640</v>
      </c>
      <c r="BA822" t="s">
        <v>6337</v>
      </c>
      <c r="BB822">
        <v>2016</v>
      </c>
      <c r="BC822">
        <v>111</v>
      </c>
      <c r="BD822" t="s">
        <v>69</v>
      </c>
      <c r="BE822" t="s">
        <v>514</v>
      </c>
      <c r="BF822" t="s">
        <v>69</v>
      </c>
      <c r="BG822" t="s">
        <v>69</v>
      </c>
      <c r="BH822" t="s">
        <v>69</v>
      </c>
      <c r="BI822">
        <v>409</v>
      </c>
      <c r="BJ822">
        <v>420</v>
      </c>
      <c r="BK822" t="s">
        <v>69</v>
      </c>
      <c r="BL822" t="s">
        <v>6338</v>
      </c>
      <c r="BM822" t="str">
        <f>HYPERLINK("http://dx.doi.org/10.1016/j.jclepro.2015.01.095","http://dx.doi.org/10.1016/j.jclepro.2015.01.095")</f>
        <v>http://dx.doi.org/10.1016/j.jclepro.2015.01.095</v>
      </c>
      <c r="BN822" t="s">
        <v>69</v>
      </c>
      <c r="BO822" t="s">
        <v>69</v>
      </c>
      <c r="BP822">
        <v>12</v>
      </c>
      <c r="BQ822" t="s">
        <v>8643</v>
      </c>
      <c r="BR822" t="s">
        <v>8523</v>
      </c>
      <c r="BS822" t="s">
        <v>8644</v>
      </c>
      <c r="BT822" t="s">
        <v>21870</v>
      </c>
      <c r="BU822" t="s">
        <v>6339</v>
      </c>
      <c r="BV822" t="s">
        <v>69</v>
      </c>
      <c r="BW822" t="s">
        <v>69</v>
      </c>
      <c r="BX822" t="s">
        <v>69</v>
      </c>
      <c r="BY822" t="s">
        <v>69</v>
      </c>
      <c r="BZ822" t="s">
        <v>8526</v>
      </c>
      <c r="CA822" t="str">
        <f>HYPERLINK("https%3A%2F%2Fwww.webofscience.com%2Fwos%2Fwoscc%2Ffull-record%2FWOS:000367862100012","View Full Record in Web of Science")</f>
        <v>View Full Record in Web of Science</v>
      </c>
    </row>
    <row r="823" spans="2:79" ht="12.5" x14ac:dyDescent="0.25">
      <c r="B823" t="s">
        <v>8495</v>
      </c>
      <c r="D823" s="22" t="s">
        <v>32931</v>
      </c>
      <c r="E823" s="7"/>
      <c r="F823" s="7"/>
      <c r="G823" s="7"/>
      <c r="H823" t="s">
        <v>67</v>
      </c>
      <c r="I823" t="s">
        <v>23845</v>
      </c>
      <c r="J823" t="s">
        <v>69</v>
      </c>
      <c r="K823" t="s">
        <v>69</v>
      </c>
      <c r="L823" t="s">
        <v>69</v>
      </c>
      <c r="M823" t="s">
        <v>23846</v>
      </c>
      <c r="N823" t="s">
        <v>69</v>
      </c>
      <c r="O823" t="s">
        <v>69</v>
      </c>
      <c r="P823" t="s">
        <v>23847</v>
      </c>
      <c r="Q823" t="s">
        <v>23848</v>
      </c>
      <c r="R823" t="s">
        <v>69</v>
      </c>
      <c r="S823" t="s">
        <v>69</v>
      </c>
      <c r="T823" t="s">
        <v>8505</v>
      </c>
      <c r="U823" t="s">
        <v>8506</v>
      </c>
      <c r="V823" t="s">
        <v>69</v>
      </c>
      <c r="W823" t="s">
        <v>69</v>
      </c>
      <c r="X823" t="s">
        <v>69</v>
      </c>
      <c r="Y823" t="s">
        <v>69</v>
      </c>
      <c r="Z823" t="s">
        <v>69</v>
      </c>
      <c r="AA823" t="s">
        <v>23849</v>
      </c>
      <c r="AB823" t="s">
        <v>17171</v>
      </c>
      <c r="AC823" t="s">
        <v>23850</v>
      </c>
      <c r="AD823" t="s">
        <v>23851</v>
      </c>
      <c r="AE823" t="s">
        <v>69</v>
      </c>
      <c r="AF823" t="s">
        <v>23852</v>
      </c>
      <c r="AG823" t="s">
        <v>23853</v>
      </c>
      <c r="AH823" t="s">
        <v>69</v>
      </c>
      <c r="AI823" t="s">
        <v>69</v>
      </c>
      <c r="AJ823" t="s">
        <v>69</v>
      </c>
      <c r="AK823" t="s">
        <v>69</v>
      </c>
      <c r="AL823" t="s">
        <v>69</v>
      </c>
      <c r="AM823" t="s">
        <v>69</v>
      </c>
      <c r="AN823">
        <v>70</v>
      </c>
      <c r="AO823">
        <v>4</v>
      </c>
      <c r="AP823">
        <v>4</v>
      </c>
      <c r="AQ823">
        <v>0</v>
      </c>
      <c r="AR823">
        <v>13</v>
      </c>
      <c r="AS823" t="s">
        <v>8865</v>
      </c>
      <c r="AT823" t="s">
        <v>8612</v>
      </c>
      <c r="AU823" t="s">
        <v>22341</v>
      </c>
      <c r="AV823" t="s">
        <v>23854</v>
      </c>
      <c r="AW823" t="s">
        <v>23855</v>
      </c>
      <c r="AX823" t="s">
        <v>69</v>
      </c>
      <c r="AY823" t="s">
        <v>23856</v>
      </c>
      <c r="AZ823" t="s">
        <v>23857</v>
      </c>
      <c r="BA823" t="s">
        <v>4530</v>
      </c>
      <c r="BB823">
        <v>2014</v>
      </c>
      <c r="BC823">
        <v>56</v>
      </c>
      <c r="BD823">
        <v>2</v>
      </c>
      <c r="BE823" t="s">
        <v>69</v>
      </c>
      <c r="BF823" t="s">
        <v>69</v>
      </c>
      <c r="BG823" t="s">
        <v>114</v>
      </c>
      <c r="BH823" t="s">
        <v>69</v>
      </c>
      <c r="BI823">
        <v>155</v>
      </c>
      <c r="BJ823">
        <v>170</v>
      </c>
      <c r="BK823" t="s">
        <v>69</v>
      </c>
      <c r="BL823" t="s">
        <v>23858</v>
      </c>
      <c r="BM823" t="str">
        <f>HYPERLINK("http://dx.doi.org/10.1080/00131881.2014.898912","http://dx.doi.org/10.1080/00131881.2014.898912")</f>
        <v>http://dx.doi.org/10.1080/00131881.2014.898912</v>
      </c>
      <c r="BN823" t="s">
        <v>69</v>
      </c>
      <c r="BO823" t="s">
        <v>69</v>
      </c>
      <c r="BP823">
        <v>16</v>
      </c>
      <c r="BQ823" t="s">
        <v>9290</v>
      </c>
      <c r="BR823" t="s">
        <v>8661</v>
      </c>
      <c r="BS823" t="s">
        <v>9290</v>
      </c>
      <c r="BT823" t="s">
        <v>23859</v>
      </c>
      <c r="BU823" t="s">
        <v>23860</v>
      </c>
      <c r="BV823" t="s">
        <v>69</v>
      </c>
      <c r="BW823" t="s">
        <v>9374</v>
      </c>
      <c r="BX823" t="s">
        <v>69</v>
      </c>
      <c r="BY823" t="s">
        <v>69</v>
      </c>
      <c r="BZ823" t="s">
        <v>8526</v>
      </c>
      <c r="CA823" t="str">
        <f>HYPERLINK("https%3A%2F%2Fwww.webofscience.com%2Fwos%2Fwoscc%2Ffull-record%2FWOS:000335088800004","View Full Record in Web of Science")</f>
        <v>View Full Record in Web of Science</v>
      </c>
    </row>
    <row r="824" spans="2:79" ht="12.5" x14ac:dyDescent="0.25">
      <c r="B824" t="s">
        <v>8495</v>
      </c>
      <c r="D824" s="22" t="s">
        <v>32931</v>
      </c>
      <c r="E824" s="7"/>
      <c r="F824" s="7"/>
      <c r="G824" s="7"/>
      <c r="H824" t="s">
        <v>67</v>
      </c>
      <c r="I824" t="s">
        <v>26557</v>
      </c>
      <c r="J824" t="s">
        <v>69</v>
      </c>
      <c r="K824" t="s">
        <v>69</v>
      </c>
      <c r="L824" t="s">
        <v>69</v>
      </c>
      <c r="M824" t="s">
        <v>26558</v>
      </c>
      <c r="N824" t="s">
        <v>69</v>
      </c>
      <c r="O824" t="s">
        <v>69</v>
      </c>
      <c r="P824" t="s">
        <v>26559</v>
      </c>
      <c r="Q824" t="s">
        <v>26560</v>
      </c>
      <c r="R824" t="s">
        <v>69</v>
      </c>
      <c r="S824" t="s">
        <v>69</v>
      </c>
      <c r="T824" t="s">
        <v>8505</v>
      </c>
      <c r="U824" t="s">
        <v>8506</v>
      </c>
      <c r="V824" t="s">
        <v>69</v>
      </c>
      <c r="W824" t="s">
        <v>69</v>
      </c>
      <c r="X824" t="s">
        <v>69</v>
      </c>
      <c r="Y824" t="s">
        <v>69</v>
      </c>
      <c r="Z824" t="s">
        <v>69</v>
      </c>
      <c r="AA824" t="s">
        <v>26561</v>
      </c>
      <c r="AB824" t="s">
        <v>69</v>
      </c>
      <c r="AC824" t="s">
        <v>26562</v>
      </c>
      <c r="AD824" t="s">
        <v>26563</v>
      </c>
      <c r="AE824" t="s">
        <v>69</v>
      </c>
      <c r="AF824" t="s">
        <v>26564</v>
      </c>
      <c r="AG824" t="s">
        <v>26565</v>
      </c>
      <c r="AH824" t="s">
        <v>69</v>
      </c>
      <c r="AI824" t="s">
        <v>69</v>
      </c>
      <c r="AJ824" t="s">
        <v>69</v>
      </c>
      <c r="AK824" t="s">
        <v>69</v>
      </c>
      <c r="AL824" t="s">
        <v>69</v>
      </c>
      <c r="AM824" t="s">
        <v>69</v>
      </c>
      <c r="AN824">
        <v>72</v>
      </c>
      <c r="AO824">
        <v>4</v>
      </c>
      <c r="AP824">
        <v>4</v>
      </c>
      <c r="AQ824">
        <v>0</v>
      </c>
      <c r="AR824">
        <v>4</v>
      </c>
      <c r="AS824" t="s">
        <v>8586</v>
      </c>
      <c r="AT824" t="s">
        <v>8587</v>
      </c>
      <c r="AU824" t="s">
        <v>8588</v>
      </c>
      <c r="AV824" t="s">
        <v>26566</v>
      </c>
      <c r="AW824" t="s">
        <v>26567</v>
      </c>
      <c r="AX824" t="s">
        <v>69</v>
      </c>
      <c r="AY824" t="s">
        <v>26568</v>
      </c>
      <c r="AZ824" t="s">
        <v>26569</v>
      </c>
      <c r="BA824" t="s">
        <v>69</v>
      </c>
      <c r="BB824">
        <v>2012</v>
      </c>
      <c r="BC824">
        <v>19</v>
      </c>
      <c r="BD824">
        <v>3</v>
      </c>
      <c r="BE824" t="s">
        <v>69</v>
      </c>
      <c r="BF824" t="s">
        <v>69</v>
      </c>
      <c r="BG824" t="s">
        <v>114</v>
      </c>
      <c r="BH824" t="s">
        <v>69</v>
      </c>
      <c r="BI824">
        <v>183</v>
      </c>
      <c r="BJ824" t="s">
        <v>219</v>
      </c>
      <c r="BK824" t="s">
        <v>69</v>
      </c>
      <c r="BL824" t="s">
        <v>26570</v>
      </c>
      <c r="BM824" t="str">
        <f>HYPERLINK("http://dx.doi.org/10.1108/09696471211219877","http://dx.doi.org/10.1108/09696471211219877")</f>
        <v>http://dx.doi.org/10.1108/09696471211219877</v>
      </c>
      <c r="BN824" t="s">
        <v>69</v>
      </c>
      <c r="BO824" t="s">
        <v>69</v>
      </c>
      <c r="BP824">
        <v>25</v>
      </c>
      <c r="BQ824" t="s">
        <v>9410</v>
      </c>
      <c r="BR824" t="s">
        <v>8573</v>
      </c>
      <c r="BS824" t="s">
        <v>8594</v>
      </c>
      <c r="BT824" t="s">
        <v>26571</v>
      </c>
      <c r="BU824" t="s">
        <v>26572</v>
      </c>
      <c r="BV824" t="s">
        <v>69</v>
      </c>
      <c r="BW824" t="s">
        <v>69</v>
      </c>
      <c r="BX824" t="s">
        <v>69</v>
      </c>
      <c r="BY824" t="s">
        <v>69</v>
      </c>
      <c r="BZ824" t="s">
        <v>8526</v>
      </c>
      <c r="CA824" t="str">
        <f>HYPERLINK("https%3A%2F%2Fwww.webofscience.com%2Fwos%2Fwoscc%2Ffull-record%2FWOS:000211583200002","View Full Record in Web of Science")</f>
        <v>View Full Record in Web of Science</v>
      </c>
    </row>
    <row r="825" spans="2:79" x14ac:dyDescent="0.3">
      <c r="B825" t="s">
        <v>8495</v>
      </c>
      <c r="D825" s="9" t="s">
        <v>32992</v>
      </c>
      <c r="E825" s="12" t="s">
        <v>33059</v>
      </c>
      <c r="G825" s="9" t="s">
        <v>8490</v>
      </c>
      <c r="H825" t="s">
        <v>67</v>
      </c>
      <c r="I825" t="s">
        <v>30300</v>
      </c>
      <c r="J825" t="s">
        <v>69</v>
      </c>
      <c r="K825" t="s">
        <v>69</v>
      </c>
      <c r="L825" t="s">
        <v>69</v>
      </c>
      <c r="M825" t="s">
        <v>30301</v>
      </c>
      <c r="N825" t="s">
        <v>69</v>
      </c>
      <c r="O825" t="s">
        <v>69</v>
      </c>
      <c r="P825" t="s">
        <v>30302</v>
      </c>
      <c r="Q825" t="s">
        <v>30303</v>
      </c>
      <c r="R825" t="s">
        <v>69</v>
      </c>
      <c r="S825" t="s">
        <v>69</v>
      </c>
      <c r="T825" t="s">
        <v>8505</v>
      </c>
      <c r="U825" t="s">
        <v>8506</v>
      </c>
      <c r="V825" t="s">
        <v>69</v>
      </c>
      <c r="W825" t="s">
        <v>69</v>
      </c>
      <c r="X825" t="s">
        <v>69</v>
      </c>
      <c r="Y825" t="s">
        <v>69</v>
      </c>
      <c r="Z825" t="s">
        <v>69</v>
      </c>
      <c r="AA825" t="s">
        <v>69</v>
      </c>
      <c r="AB825" t="s">
        <v>69</v>
      </c>
      <c r="AC825" t="s">
        <v>30304</v>
      </c>
      <c r="AD825" t="s">
        <v>30305</v>
      </c>
      <c r="AE825" t="s">
        <v>69</v>
      </c>
      <c r="AF825" t="s">
        <v>30306</v>
      </c>
      <c r="AG825" t="s">
        <v>30307</v>
      </c>
      <c r="AH825" t="s">
        <v>69</v>
      </c>
      <c r="AI825" t="s">
        <v>69</v>
      </c>
      <c r="AJ825" t="s">
        <v>69</v>
      </c>
      <c r="AK825" t="s">
        <v>69</v>
      </c>
      <c r="AL825" t="s">
        <v>69</v>
      </c>
      <c r="AM825" t="s">
        <v>69</v>
      </c>
      <c r="AN825">
        <v>1</v>
      </c>
      <c r="AO825">
        <v>7</v>
      </c>
      <c r="AP825">
        <v>7</v>
      </c>
      <c r="AQ825">
        <v>0</v>
      </c>
      <c r="AR825">
        <v>0</v>
      </c>
      <c r="AS825" t="s">
        <v>8865</v>
      </c>
      <c r="AT825" t="s">
        <v>8612</v>
      </c>
      <c r="AU825" t="s">
        <v>8866</v>
      </c>
      <c r="AV825" t="s">
        <v>30308</v>
      </c>
      <c r="AW825" t="s">
        <v>30309</v>
      </c>
      <c r="AX825" t="s">
        <v>69</v>
      </c>
      <c r="AY825" t="s">
        <v>30310</v>
      </c>
      <c r="AZ825" t="s">
        <v>30311</v>
      </c>
      <c r="BA825" t="s">
        <v>246</v>
      </c>
      <c r="BB825">
        <v>2006</v>
      </c>
      <c r="BC825">
        <v>55</v>
      </c>
      <c r="BD825">
        <v>2</v>
      </c>
      <c r="BE825" t="s">
        <v>69</v>
      </c>
      <c r="BF825" t="s">
        <v>69</v>
      </c>
      <c r="BG825" t="s">
        <v>69</v>
      </c>
      <c r="BH825" t="s">
        <v>69</v>
      </c>
      <c r="BI825">
        <v>242</v>
      </c>
      <c r="BJ825">
        <v>246</v>
      </c>
      <c r="BK825" t="s">
        <v>69</v>
      </c>
      <c r="BL825" t="s">
        <v>30312</v>
      </c>
      <c r="BM825" t="str">
        <f>HYPERLINK("http://dx.doi.org/10.1080/03634520600566256","http://dx.doi.org/10.1080/03634520600566256")</f>
        <v>http://dx.doi.org/10.1080/03634520600566256</v>
      </c>
      <c r="BN825" t="s">
        <v>69</v>
      </c>
      <c r="BO825" t="s">
        <v>69</v>
      </c>
      <c r="BP825">
        <v>5</v>
      </c>
      <c r="BQ825" t="s">
        <v>30313</v>
      </c>
      <c r="BR825" t="s">
        <v>8573</v>
      </c>
      <c r="BS825" t="s">
        <v>30313</v>
      </c>
      <c r="BT825" t="s">
        <v>30314</v>
      </c>
      <c r="BU825" t="s">
        <v>30315</v>
      </c>
      <c r="BV825" t="s">
        <v>69</v>
      </c>
      <c r="BW825" t="s">
        <v>69</v>
      </c>
      <c r="BX825" t="s">
        <v>69</v>
      </c>
      <c r="BY825" t="s">
        <v>69</v>
      </c>
      <c r="BZ825" t="s">
        <v>8526</v>
      </c>
      <c r="CA825" t="str">
        <f>HYPERLINK("https%3A%2F%2Fwww.webofscience.com%2Fwos%2Fwoscc%2Ffull-record%2FWOS:000210685600008","View Full Record in Web of Science")</f>
        <v>View Full Record in Web of Science</v>
      </c>
    </row>
    <row r="826" spans="2:79" ht="12.5" x14ac:dyDescent="0.25">
      <c r="B826" t="s">
        <v>8495</v>
      </c>
      <c r="D826" s="22" t="s">
        <v>32931</v>
      </c>
      <c r="E826" s="7"/>
      <c r="F826" s="7"/>
      <c r="G826" s="7"/>
      <c r="H826" t="s">
        <v>67</v>
      </c>
      <c r="I826" t="s">
        <v>15070</v>
      </c>
      <c r="J826" t="s">
        <v>69</v>
      </c>
      <c r="K826" t="s">
        <v>69</v>
      </c>
      <c r="L826" t="s">
        <v>69</v>
      </c>
      <c r="M826" t="s">
        <v>15071</v>
      </c>
      <c r="N826" t="s">
        <v>69</v>
      </c>
      <c r="O826" t="s">
        <v>69</v>
      </c>
      <c r="P826" t="s">
        <v>15072</v>
      </c>
      <c r="Q826" t="s">
        <v>15073</v>
      </c>
      <c r="R826" t="s">
        <v>69</v>
      </c>
      <c r="S826" t="s">
        <v>69</v>
      </c>
      <c r="T826" t="s">
        <v>8505</v>
      </c>
      <c r="U826" t="s">
        <v>8506</v>
      </c>
      <c r="V826" t="s">
        <v>69</v>
      </c>
      <c r="W826" t="s">
        <v>69</v>
      </c>
      <c r="X826" t="s">
        <v>69</v>
      </c>
      <c r="Y826" t="s">
        <v>69</v>
      </c>
      <c r="Z826" t="s">
        <v>69</v>
      </c>
      <c r="AA826" t="s">
        <v>69</v>
      </c>
      <c r="AB826" t="s">
        <v>15074</v>
      </c>
      <c r="AC826" t="s">
        <v>15075</v>
      </c>
      <c r="AD826" t="s">
        <v>15076</v>
      </c>
      <c r="AE826" t="s">
        <v>69</v>
      </c>
      <c r="AF826" t="s">
        <v>15077</v>
      </c>
      <c r="AG826" t="s">
        <v>15078</v>
      </c>
      <c r="AH826" t="s">
        <v>69</v>
      </c>
      <c r="AI826" t="s">
        <v>69</v>
      </c>
      <c r="AJ826" t="s">
        <v>69</v>
      </c>
      <c r="AK826" t="s">
        <v>69</v>
      </c>
      <c r="AL826" t="s">
        <v>69</v>
      </c>
      <c r="AM826" t="s">
        <v>69</v>
      </c>
      <c r="AN826">
        <v>19</v>
      </c>
      <c r="AO826">
        <v>14</v>
      </c>
      <c r="AP826">
        <v>16</v>
      </c>
      <c r="AQ826">
        <v>1</v>
      </c>
      <c r="AR826">
        <v>13</v>
      </c>
      <c r="AS826" t="s">
        <v>9978</v>
      </c>
      <c r="AT826" t="s">
        <v>9979</v>
      </c>
      <c r="AU826" t="s">
        <v>9980</v>
      </c>
      <c r="AV826" t="s">
        <v>15079</v>
      </c>
      <c r="AW826" t="s">
        <v>15080</v>
      </c>
      <c r="AX826" t="s">
        <v>69</v>
      </c>
      <c r="AY826" t="s">
        <v>15081</v>
      </c>
      <c r="AZ826" t="s">
        <v>15082</v>
      </c>
      <c r="BA826" t="s">
        <v>155</v>
      </c>
      <c r="BB826">
        <v>2020</v>
      </c>
      <c r="BC826">
        <v>11</v>
      </c>
      <c r="BD826">
        <v>2</v>
      </c>
      <c r="BE826" t="s">
        <v>69</v>
      </c>
      <c r="BF826" t="s">
        <v>69</v>
      </c>
      <c r="BG826" t="s">
        <v>114</v>
      </c>
      <c r="BH826" t="s">
        <v>69</v>
      </c>
      <c r="BI826">
        <v>236</v>
      </c>
      <c r="BJ826">
        <v>239</v>
      </c>
      <c r="BK826" t="s">
        <v>69</v>
      </c>
      <c r="BL826" t="s">
        <v>15083</v>
      </c>
      <c r="BM826" t="str">
        <f>HYPERLINK("http://dx.doi.org/10.1017/err.2020.37","http://dx.doi.org/10.1017/err.2020.37")</f>
        <v>http://dx.doi.org/10.1017/err.2020.37</v>
      </c>
      <c r="BN826" t="s">
        <v>69</v>
      </c>
      <c r="BO826" t="s">
        <v>69</v>
      </c>
      <c r="BP826">
        <v>4</v>
      </c>
      <c r="BQ826" t="s">
        <v>8452</v>
      </c>
      <c r="BR826" t="s">
        <v>8573</v>
      </c>
      <c r="BS826" t="s">
        <v>10084</v>
      </c>
      <c r="BT826" t="s">
        <v>15084</v>
      </c>
      <c r="BU826" t="s">
        <v>15085</v>
      </c>
      <c r="BV826" t="s">
        <v>69</v>
      </c>
      <c r="BW826" t="s">
        <v>8746</v>
      </c>
      <c r="BX826" t="s">
        <v>69</v>
      </c>
      <c r="BY826" t="s">
        <v>69</v>
      </c>
      <c r="BZ826" t="s">
        <v>8526</v>
      </c>
      <c r="CA826" t="str">
        <f>HYPERLINK("https%3A%2F%2Fwww.webofscience.com%2Fwos%2Fwoscc%2Ffull-record%2FWOS:000535933100006","View Full Record in Web of Science")</f>
        <v>View Full Record in Web of Science</v>
      </c>
    </row>
    <row r="827" spans="2:79" ht="12.5" x14ac:dyDescent="0.25">
      <c r="B827" t="s">
        <v>8495</v>
      </c>
      <c r="D827" s="7" t="s">
        <v>32933</v>
      </c>
      <c r="E827" s="7"/>
      <c r="F827" s="7"/>
      <c r="G827" s="7"/>
      <c r="H827" t="s">
        <v>67</v>
      </c>
      <c r="I827" t="s">
        <v>1927</v>
      </c>
      <c r="J827" t="s">
        <v>69</v>
      </c>
      <c r="K827" t="s">
        <v>69</v>
      </c>
      <c r="L827" t="s">
        <v>69</v>
      </c>
      <c r="M827" t="s">
        <v>1928</v>
      </c>
      <c r="N827" t="s">
        <v>69</v>
      </c>
      <c r="O827" t="s">
        <v>69</v>
      </c>
      <c r="P827" t="s">
        <v>1929</v>
      </c>
      <c r="Q827" t="s">
        <v>1930</v>
      </c>
      <c r="R827" t="s">
        <v>69</v>
      </c>
      <c r="S827" t="s">
        <v>69</v>
      </c>
      <c r="T827" t="s">
        <v>8505</v>
      </c>
      <c r="U827" t="s">
        <v>8506</v>
      </c>
      <c r="V827" t="s">
        <v>69</v>
      </c>
      <c r="W827" t="s">
        <v>69</v>
      </c>
      <c r="X827" t="s">
        <v>69</v>
      </c>
      <c r="Y827" t="s">
        <v>69</v>
      </c>
      <c r="Z827" t="s">
        <v>69</v>
      </c>
      <c r="AA827" t="s">
        <v>14631</v>
      </c>
      <c r="AB827" t="s">
        <v>14632</v>
      </c>
      <c r="AC827" t="s">
        <v>1931</v>
      </c>
      <c r="AD827" t="s">
        <v>14633</v>
      </c>
      <c r="AE827" t="s">
        <v>69</v>
      </c>
      <c r="AF827" t="s">
        <v>14634</v>
      </c>
      <c r="AG827" t="s">
        <v>14635</v>
      </c>
      <c r="AH827" t="s">
        <v>69</v>
      </c>
      <c r="AI827" t="s">
        <v>1932</v>
      </c>
      <c r="AJ827" t="s">
        <v>14636</v>
      </c>
      <c r="AK827" t="s">
        <v>14637</v>
      </c>
      <c r="AL827" t="s">
        <v>14638</v>
      </c>
      <c r="AM827" t="s">
        <v>69</v>
      </c>
      <c r="AN827">
        <v>70</v>
      </c>
      <c r="AO827">
        <v>7</v>
      </c>
      <c r="AP827">
        <v>7</v>
      </c>
      <c r="AQ827">
        <v>1</v>
      </c>
      <c r="AR827">
        <v>7</v>
      </c>
      <c r="AS827" t="s">
        <v>8636</v>
      </c>
      <c r="AT827" t="s">
        <v>8637</v>
      </c>
      <c r="AU827" t="s">
        <v>8638</v>
      </c>
      <c r="AV827" t="s">
        <v>1933</v>
      </c>
      <c r="AW827" t="s">
        <v>1934</v>
      </c>
      <c r="AX827" t="s">
        <v>69</v>
      </c>
      <c r="AY827" t="s">
        <v>1930</v>
      </c>
      <c r="AZ827" t="s">
        <v>14639</v>
      </c>
      <c r="BA827" t="s">
        <v>201</v>
      </c>
      <c r="BB827">
        <v>2020</v>
      </c>
      <c r="BC827">
        <v>95</v>
      </c>
      <c r="BD827" t="s">
        <v>69</v>
      </c>
      <c r="BE827" t="s">
        <v>69</v>
      </c>
      <c r="BF827" t="s">
        <v>69</v>
      </c>
      <c r="BG827" t="s">
        <v>69</v>
      </c>
      <c r="BH827" t="s">
        <v>69</v>
      </c>
      <c r="BI827" t="s">
        <v>69</v>
      </c>
      <c r="BJ827" t="s">
        <v>69</v>
      </c>
      <c r="BK827">
        <v>101914</v>
      </c>
      <c r="BL827" t="s">
        <v>1935</v>
      </c>
      <c r="BM827" t="str">
        <f>HYPERLINK("http://dx.doi.org/10.1016/j.foodpol.2020.101914","http://dx.doi.org/10.1016/j.foodpol.2020.101914")</f>
        <v>http://dx.doi.org/10.1016/j.foodpol.2020.101914</v>
      </c>
      <c r="BN827" t="s">
        <v>69</v>
      </c>
      <c r="BO827" t="s">
        <v>69</v>
      </c>
      <c r="BP827">
        <v>12</v>
      </c>
      <c r="BQ827" t="s">
        <v>14640</v>
      </c>
      <c r="BR827" t="s">
        <v>8523</v>
      </c>
      <c r="BS827" t="s">
        <v>14641</v>
      </c>
      <c r="BT827" t="s">
        <v>14642</v>
      </c>
      <c r="BU827" t="s">
        <v>1936</v>
      </c>
      <c r="BV827" t="s">
        <v>69</v>
      </c>
      <c r="BW827" t="s">
        <v>9374</v>
      </c>
      <c r="BX827" t="s">
        <v>69</v>
      </c>
      <c r="BY827" t="s">
        <v>69</v>
      </c>
      <c r="BZ827" t="s">
        <v>8526</v>
      </c>
      <c r="CA827" t="str">
        <f>HYPERLINK("https%3A%2F%2Fwww.webofscience.com%2Fwos%2Fwoscc%2Ffull-record%2FWOS:000568776900007","View Full Record in Web of Science")</f>
        <v>View Full Record in Web of Science</v>
      </c>
    </row>
    <row r="828" spans="2:79" ht="12.5" x14ac:dyDescent="0.25">
      <c r="B828" t="s">
        <v>8495</v>
      </c>
      <c r="D828" s="7" t="s">
        <v>32933</v>
      </c>
      <c r="E828" s="7"/>
      <c r="F828" s="7"/>
      <c r="G828" s="7"/>
      <c r="H828" t="s">
        <v>67</v>
      </c>
      <c r="I828" t="s">
        <v>4222</v>
      </c>
      <c r="J828" t="s">
        <v>69</v>
      </c>
      <c r="K828" t="s">
        <v>69</v>
      </c>
      <c r="L828" t="s">
        <v>69</v>
      </c>
      <c r="M828" t="s">
        <v>4222</v>
      </c>
      <c r="N828" t="s">
        <v>69</v>
      </c>
      <c r="O828" t="s">
        <v>69</v>
      </c>
      <c r="P828" t="s">
        <v>4223</v>
      </c>
      <c r="Q828" t="s">
        <v>1823</v>
      </c>
      <c r="R828" t="s">
        <v>69</v>
      </c>
      <c r="S828" t="s">
        <v>69</v>
      </c>
      <c r="T828" t="s">
        <v>8505</v>
      </c>
      <c r="U828" t="s">
        <v>8506</v>
      </c>
      <c r="V828" t="s">
        <v>69</v>
      </c>
      <c r="W828" t="s">
        <v>69</v>
      </c>
      <c r="X828" t="s">
        <v>69</v>
      </c>
      <c r="Y828" t="s">
        <v>69</v>
      </c>
      <c r="Z828" t="s">
        <v>69</v>
      </c>
      <c r="AA828" t="s">
        <v>69</v>
      </c>
      <c r="AB828" t="s">
        <v>69</v>
      </c>
      <c r="AC828" t="s">
        <v>4224</v>
      </c>
      <c r="AD828" t="s">
        <v>69</v>
      </c>
      <c r="AE828" t="s">
        <v>69</v>
      </c>
      <c r="AF828" t="s">
        <v>32437</v>
      </c>
      <c r="AG828" t="s">
        <v>69</v>
      </c>
      <c r="AH828" t="s">
        <v>69</v>
      </c>
      <c r="AI828" t="s">
        <v>69</v>
      </c>
      <c r="AJ828" t="s">
        <v>69</v>
      </c>
      <c r="AK828" t="s">
        <v>69</v>
      </c>
      <c r="AL828" t="s">
        <v>69</v>
      </c>
      <c r="AM828" t="s">
        <v>69</v>
      </c>
      <c r="AN828">
        <v>34</v>
      </c>
      <c r="AO828">
        <v>2</v>
      </c>
      <c r="AP828">
        <v>3</v>
      </c>
      <c r="AQ828">
        <v>0</v>
      </c>
      <c r="AR828">
        <v>4</v>
      </c>
      <c r="AS828" t="s">
        <v>28353</v>
      </c>
      <c r="AT828" t="s">
        <v>31922</v>
      </c>
      <c r="AU828" t="s">
        <v>32438</v>
      </c>
      <c r="AV828" t="s">
        <v>1825</v>
      </c>
      <c r="AW828" t="s">
        <v>69</v>
      </c>
      <c r="AX828" t="s">
        <v>69</v>
      </c>
      <c r="AY828" t="s">
        <v>30296</v>
      </c>
      <c r="AZ828" t="s">
        <v>30297</v>
      </c>
      <c r="BA828" t="s">
        <v>201</v>
      </c>
      <c r="BB828">
        <v>1996</v>
      </c>
      <c r="BC828">
        <v>16</v>
      </c>
      <c r="BD828">
        <v>3</v>
      </c>
      <c r="BE828" t="s">
        <v>69</v>
      </c>
      <c r="BF828" t="s">
        <v>69</v>
      </c>
      <c r="BG828" t="s">
        <v>69</v>
      </c>
      <c r="BH828" t="s">
        <v>69</v>
      </c>
      <c r="BI828">
        <v>215</v>
      </c>
      <c r="BJ828">
        <v>232</v>
      </c>
      <c r="BK828" t="s">
        <v>69</v>
      </c>
      <c r="BL828" t="s">
        <v>4225</v>
      </c>
      <c r="BM828" t="str">
        <f>HYPERLINK("http://dx.doi.org/10.1002/(SICI)1099-162X(199608)16:3&lt;215::AID-PAD877&gt;3.0.CO;2-D","http://dx.doi.org/10.1002/(SICI)1099-162X(199608)16:3&lt;215::AID-PAD877&gt;3.0.CO;2-D")</f>
        <v>http://dx.doi.org/10.1002/(SICI)1099-162X(199608)16:3&lt;215::AID-PAD877&gt;3.0.CO;2-D</v>
      </c>
      <c r="BN828" t="s">
        <v>69</v>
      </c>
      <c r="BO828" t="s">
        <v>69</v>
      </c>
      <c r="BP828">
        <v>18</v>
      </c>
      <c r="BQ828" t="s">
        <v>14687</v>
      </c>
      <c r="BR828" t="s">
        <v>8661</v>
      </c>
      <c r="BS828" t="s">
        <v>14687</v>
      </c>
      <c r="BT828" t="s">
        <v>32439</v>
      </c>
      <c r="BU828" t="s">
        <v>4226</v>
      </c>
      <c r="BV828" t="s">
        <v>69</v>
      </c>
      <c r="BW828" t="s">
        <v>69</v>
      </c>
      <c r="BX828" t="s">
        <v>69</v>
      </c>
      <c r="BY828" t="s">
        <v>69</v>
      </c>
      <c r="BZ828" t="s">
        <v>8526</v>
      </c>
      <c r="CA828" t="str">
        <f>HYPERLINK("https%3A%2F%2Fwww.webofscience.com%2Fwos%2Fwoscc%2Ffull-record%2FWOS:A1996VH17200002","View Full Record in Web of Science")</f>
        <v>View Full Record in Web of Science</v>
      </c>
    </row>
    <row r="829" spans="2:79" ht="12.5" x14ac:dyDescent="0.25">
      <c r="B829" t="s">
        <v>8495</v>
      </c>
      <c r="D829" s="22" t="s">
        <v>32931</v>
      </c>
      <c r="E829" s="7"/>
      <c r="F829" s="7"/>
      <c r="G829" s="7"/>
      <c r="H829" t="s">
        <v>67</v>
      </c>
      <c r="I829" t="s">
        <v>12402</v>
      </c>
      <c r="J829" t="s">
        <v>69</v>
      </c>
      <c r="K829" t="s">
        <v>69</v>
      </c>
      <c r="L829" t="s">
        <v>69</v>
      </c>
      <c r="M829" t="s">
        <v>12403</v>
      </c>
      <c r="N829" t="s">
        <v>69</v>
      </c>
      <c r="O829" t="s">
        <v>69</v>
      </c>
      <c r="P829" t="s">
        <v>12404</v>
      </c>
      <c r="Q829" t="s">
        <v>881</v>
      </c>
      <c r="R829" t="s">
        <v>69</v>
      </c>
      <c r="S829" t="s">
        <v>69</v>
      </c>
      <c r="T829" t="s">
        <v>8505</v>
      </c>
      <c r="U829" t="s">
        <v>8506</v>
      </c>
      <c r="V829" t="s">
        <v>69</v>
      </c>
      <c r="W829" t="s">
        <v>69</v>
      </c>
      <c r="X829" t="s">
        <v>69</v>
      </c>
      <c r="Y829" t="s">
        <v>69</v>
      </c>
      <c r="Z829" t="s">
        <v>69</v>
      </c>
      <c r="AA829" t="s">
        <v>12405</v>
      </c>
      <c r="AB829" t="s">
        <v>12406</v>
      </c>
      <c r="AC829" t="s">
        <v>12407</v>
      </c>
      <c r="AD829" t="s">
        <v>12408</v>
      </c>
      <c r="AE829" t="s">
        <v>69</v>
      </c>
      <c r="AF829" t="s">
        <v>12409</v>
      </c>
      <c r="AG829" t="s">
        <v>12410</v>
      </c>
      <c r="AH829" t="s">
        <v>69</v>
      </c>
      <c r="AI829" t="s">
        <v>12411</v>
      </c>
      <c r="AJ829" t="s">
        <v>12412</v>
      </c>
      <c r="AK829" t="s">
        <v>12413</v>
      </c>
      <c r="AL829" t="s">
        <v>12414</v>
      </c>
      <c r="AM829" t="s">
        <v>69</v>
      </c>
      <c r="AN829">
        <v>86</v>
      </c>
      <c r="AO829">
        <v>9</v>
      </c>
      <c r="AP829">
        <v>9</v>
      </c>
      <c r="AQ829">
        <v>23</v>
      </c>
      <c r="AR829">
        <v>38</v>
      </c>
      <c r="AS829" t="s">
        <v>8516</v>
      </c>
      <c r="AT829" t="s">
        <v>8517</v>
      </c>
      <c r="AU829" t="s">
        <v>8518</v>
      </c>
      <c r="AV829" t="s">
        <v>883</v>
      </c>
      <c r="AW829" t="s">
        <v>884</v>
      </c>
      <c r="AX829" t="s">
        <v>69</v>
      </c>
      <c r="AY829" t="s">
        <v>12415</v>
      </c>
      <c r="AZ829" t="s">
        <v>12416</v>
      </c>
      <c r="BA829" t="s">
        <v>84</v>
      </c>
      <c r="BB829">
        <v>2021</v>
      </c>
      <c r="BC829">
        <v>170</v>
      </c>
      <c r="BD829" t="s">
        <v>69</v>
      </c>
      <c r="BE829" t="s">
        <v>69</v>
      </c>
      <c r="BF829" t="s">
        <v>69</v>
      </c>
      <c r="BG829" t="s">
        <v>69</v>
      </c>
      <c r="BH829" t="s">
        <v>69</v>
      </c>
      <c r="BI829" t="s">
        <v>69</v>
      </c>
      <c r="BJ829" t="s">
        <v>69</v>
      </c>
      <c r="BK829">
        <v>105616</v>
      </c>
      <c r="BL829" t="s">
        <v>12417</v>
      </c>
      <c r="BM829" t="str">
        <f>HYPERLINK("http://dx.doi.org/10.1016/j.resconrec.2021.105616","http://dx.doi.org/10.1016/j.resconrec.2021.105616")</f>
        <v>http://dx.doi.org/10.1016/j.resconrec.2021.105616</v>
      </c>
      <c r="BN829" t="s">
        <v>69</v>
      </c>
      <c r="BO829" t="s">
        <v>12312</v>
      </c>
      <c r="BP829">
        <v>11</v>
      </c>
      <c r="BQ829" t="s">
        <v>8743</v>
      </c>
      <c r="BR829" t="s">
        <v>8523</v>
      </c>
      <c r="BS829" t="s">
        <v>8744</v>
      </c>
      <c r="BT829" t="s">
        <v>12418</v>
      </c>
      <c r="BU829" t="s">
        <v>12419</v>
      </c>
      <c r="BV829" t="s">
        <v>69</v>
      </c>
      <c r="BW829" t="s">
        <v>69</v>
      </c>
      <c r="BX829" t="s">
        <v>69</v>
      </c>
      <c r="BY829" t="s">
        <v>69</v>
      </c>
      <c r="BZ829" t="s">
        <v>8526</v>
      </c>
      <c r="CA829" t="str">
        <f>HYPERLINK("https%3A%2F%2Fwww.webofscience.com%2Fwos%2Fwoscc%2Ffull-record%2FWOS:000667309200049","View Full Record in Web of Science")</f>
        <v>View Full Record in Web of Science</v>
      </c>
    </row>
    <row r="830" spans="2:79" x14ac:dyDescent="0.3">
      <c r="B830" t="s">
        <v>8495</v>
      </c>
      <c r="D830" s="26" t="s">
        <v>32993</v>
      </c>
      <c r="H830" t="s">
        <v>67</v>
      </c>
      <c r="I830" t="s">
        <v>11994</v>
      </c>
      <c r="J830" t="s">
        <v>69</v>
      </c>
      <c r="K830" t="s">
        <v>69</v>
      </c>
      <c r="L830" t="s">
        <v>69</v>
      </c>
      <c r="M830" t="s">
        <v>11995</v>
      </c>
      <c r="N830" t="s">
        <v>69</v>
      </c>
      <c r="O830" t="s">
        <v>69</v>
      </c>
      <c r="P830" t="s">
        <v>11996</v>
      </c>
      <c r="Q830" t="s">
        <v>11997</v>
      </c>
      <c r="R830" t="s">
        <v>69</v>
      </c>
      <c r="S830" t="s">
        <v>69</v>
      </c>
      <c r="T830" t="s">
        <v>8505</v>
      </c>
      <c r="U830" t="s">
        <v>8506</v>
      </c>
      <c r="V830" t="s">
        <v>69</v>
      </c>
      <c r="W830" t="s">
        <v>69</v>
      </c>
      <c r="X830" t="s">
        <v>69</v>
      </c>
      <c r="Y830" t="s">
        <v>69</v>
      </c>
      <c r="Z830" t="s">
        <v>69</v>
      </c>
      <c r="AA830" t="s">
        <v>11998</v>
      </c>
      <c r="AB830" t="s">
        <v>11999</v>
      </c>
      <c r="AC830" t="s">
        <v>12000</v>
      </c>
      <c r="AD830" t="s">
        <v>12001</v>
      </c>
      <c r="AE830" t="s">
        <v>69</v>
      </c>
      <c r="AF830" t="s">
        <v>12002</v>
      </c>
      <c r="AG830" t="s">
        <v>12003</v>
      </c>
      <c r="AH830" t="s">
        <v>69</v>
      </c>
      <c r="AI830" t="s">
        <v>12004</v>
      </c>
      <c r="AJ830" t="s">
        <v>12005</v>
      </c>
      <c r="AK830" t="s">
        <v>12006</v>
      </c>
      <c r="AL830" t="s">
        <v>12007</v>
      </c>
      <c r="AM830" t="s">
        <v>69</v>
      </c>
      <c r="AN830">
        <v>42</v>
      </c>
      <c r="AO830">
        <v>1</v>
      </c>
      <c r="AP830">
        <v>1</v>
      </c>
      <c r="AQ830">
        <v>7</v>
      </c>
      <c r="AR830">
        <v>12</v>
      </c>
      <c r="AS830" t="s">
        <v>12008</v>
      </c>
      <c r="AT830" t="s">
        <v>12009</v>
      </c>
      <c r="AU830" t="s">
        <v>12010</v>
      </c>
      <c r="AV830" t="s">
        <v>12011</v>
      </c>
      <c r="AW830" t="s">
        <v>69</v>
      </c>
      <c r="AX830" t="s">
        <v>69</v>
      </c>
      <c r="AY830" t="s">
        <v>12012</v>
      </c>
      <c r="AZ830" t="s">
        <v>12013</v>
      </c>
      <c r="BA830" t="s">
        <v>155</v>
      </c>
      <c r="BB830">
        <v>2021</v>
      </c>
      <c r="BC830">
        <v>8</v>
      </c>
      <c r="BD830">
        <v>4</v>
      </c>
      <c r="BE830" t="s">
        <v>69</v>
      </c>
      <c r="BF830" t="s">
        <v>69</v>
      </c>
      <c r="BG830" t="s">
        <v>69</v>
      </c>
      <c r="BH830" t="s">
        <v>69</v>
      </c>
      <c r="BI830">
        <v>103</v>
      </c>
      <c r="BJ830">
        <v>121</v>
      </c>
      <c r="BK830" t="s">
        <v>69</v>
      </c>
      <c r="BL830" t="s">
        <v>12014</v>
      </c>
      <c r="BM830" t="str">
        <f>HYPERLINK("http://dx.doi.org/10.9770/jesi.2021.8.4(6)","http://dx.doi.org/10.9770/jesi.2021.8.4(6)")</f>
        <v>http://dx.doi.org/10.9770/jesi.2021.8.4(6)</v>
      </c>
      <c r="BN830" t="s">
        <v>69</v>
      </c>
      <c r="BO830" t="s">
        <v>69</v>
      </c>
      <c r="BP830">
        <v>19</v>
      </c>
      <c r="BQ830" t="s">
        <v>8444</v>
      </c>
      <c r="BR830" t="s">
        <v>8573</v>
      </c>
      <c r="BS830" t="s">
        <v>8594</v>
      </c>
      <c r="BT830" t="s">
        <v>12015</v>
      </c>
      <c r="BU830" t="s">
        <v>12016</v>
      </c>
      <c r="BV830" t="s">
        <v>69</v>
      </c>
      <c r="BW830" t="s">
        <v>8931</v>
      </c>
      <c r="BX830" t="s">
        <v>69</v>
      </c>
      <c r="BY830" t="s">
        <v>69</v>
      </c>
      <c r="BZ830" t="s">
        <v>8526</v>
      </c>
      <c r="CA830" t="str">
        <f>HYPERLINK("https%3A%2F%2Fwww.webofscience.com%2Fwos%2Fwoscc%2Ffull-record%2FWOS:000652476900006","View Full Record in Web of Science")</f>
        <v>View Full Record in Web of Science</v>
      </c>
    </row>
    <row r="831" spans="2:79" ht="12.5" x14ac:dyDescent="0.25">
      <c r="B831" t="s">
        <v>8495</v>
      </c>
      <c r="D831" s="22" t="s">
        <v>32931</v>
      </c>
      <c r="E831" s="7"/>
      <c r="F831" s="7"/>
      <c r="G831" s="7"/>
      <c r="H831" t="s">
        <v>67</v>
      </c>
      <c r="I831" t="s">
        <v>11994</v>
      </c>
      <c r="J831" t="s">
        <v>69</v>
      </c>
      <c r="K831" t="s">
        <v>69</v>
      </c>
      <c r="L831" t="s">
        <v>69</v>
      </c>
      <c r="M831" t="s">
        <v>11995</v>
      </c>
      <c r="N831" t="s">
        <v>69</v>
      </c>
      <c r="O831" t="s">
        <v>69</v>
      </c>
      <c r="P831" t="s">
        <v>11996</v>
      </c>
      <c r="Q831" t="s">
        <v>11997</v>
      </c>
      <c r="R831" t="s">
        <v>69</v>
      </c>
      <c r="S831" t="s">
        <v>69</v>
      </c>
      <c r="T831" t="s">
        <v>8505</v>
      </c>
      <c r="U831" t="s">
        <v>8506</v>
      </c>
      <c r="V831" t="s">
        <v>69</v>
      </c>
      <c r="W831" t="s">
        <v>69</v>
      </c>
      <c r="X831" t="s">
        <v>69</v>
      </c>
      <c r="Y831" t="s">
        <v>69</v>
      </c>
      <c r="Z831" t="s">
        <v>69</v>
      </c>
      <c r="AA831" t="s">
        <v>11998</v>
      </c>
      <c r="AB831" t="s">
        <v>11999</v>
      </c>
      <c r="AC831" t="s">
        <v>12000</v>
      </c>
      <c r="AD831" t="s">
        <v>12981</v>
      </c>
      <c r="AE831" t="s">
        <v>69</v>
      </c>
      <c r="AF831" t="s">
        <v>12982</v>
      </c>
      <c r="AG831" t="s">
        <v>12003</v>
      </c>
      <c r="AH831" t="s">
        <v>12983</v>
      </c>
      <c r="AI831" t="s">
        <v>12004</v>
      </c>
      <c r="AJ831" t="s">
        <v>12005</v>
      </c>
      <c r="AK831" t="s">
        <v>12006</v>
      </c>
      <c r="AL831" t="s">
        <v>12007</v>
      </c>
      <c r="AM831" t="s">
        <v>69</v>
      </c>
      <c r="AN831">
        <v>41</v>
      </c>
      <c r="AO831">
        <v>1</v>
      </c>
      <c r="AP831">
        <v>1</v>
      </c>
      <c r="AQ831">
        <v>4</v>
      </c>
      <c r="AR831">
        <v>11</v>
      </c>
      <c r="AS831" t="s">
        <v>12008</v>
      </c>
      <c r="AT831" t="s">
        <v>12009</v>
      </c>
      <c r="AU831" t="s">
        <v>12010</v>
      </c>
      <c r="AV831" t="s">
        <v>12011</v>
      </c>
      <c r="AW831" t="s">
        <v>69</v>
      </c>
      <c r="AX831" t="s">
        <v>69</v>
      </c>
      <c r="AY831" t="s">
        <v>12012</v>
      </c>
      <c r="AZ831" t="s">
        <v>12013</v>
      </c>
      <c r="BA831" t="s">
        <v>94</v>
      </c>
      <c r="BB831">
        <v>2021</v>
      </c>
      <c r="BC831">
        <v>8</v>
      </c>
      <c r="BD831">
        <v>3</v>
      </c>
      <c r="BE831" t="s">
        <v>69</v>
      </c>
      <c r="BF831" t="s">
        <v>69</v>
      </c>
      <c r="BG831" t="s">
        <v>69</v>
      </c>
      <c r="BH831" t="s">
        <v>69</v>
      </c>
      <c r="BI831">
        <v>681</v>
      </c>
      <c r="BJ831">
        <v>699</v>
      </c>
      <c r="BK831" t="s">
        <v>69</v>
      </c>
      <c r="BL831" t="s">
        <v>12984</v>
      </c>
      <c r="BM831" t="str">
        <f>HYPERLINK("http://dx.doi.org/10.9770/jesi.2021.8.3(42)","http://dx.doi.org/10.9770/jesi.2021.8.3(42)")</f>
        <v>http://dx.doi.org/10.9770/jesi.2021.8.3(42)</v>
      </c>
      <c r="BN831" t="s">
        <v>69</v>
      </c>
      <c r="BO831" t="s">
        <v>69</v>
      </c>
      <c r="BP831">
        <v>19</v>
      </c>
      <c r="BQ831" t="s">
        <v>8444</v>
      </c>
      <c r="BR831" t="s">
        <v>8573</v>
      </c>
      <c r="BS831" t="s">
        <v>8594</v>
      </c>
      <c r="BT831" t="s">
        <v>12985</v>
      </c>
      <c r="BU831" t="s">
        <v>12986</v>
      </c>
      <c r="BV831" t="s">
        <v>69</v>
      </c>
      <c r="BW831" t="s">
        <v>8931</v>
      </c>
      <c r="BX831" t="s">
        <v>69</v>
      </c>
      <c r="BY831" t="s">
        <v>69</v>
      </c>
      <c r="BZ831" t="s">
        <v>8526</v>
      </c>
      <c r="CA831" t="str">
        <f>HYPERLINK("https%3A%2F%2Fwww.webofscience.com%2Fwos%2Fwoscc%2Ffull-record%2FWOS:000620140400041","View Full Record in Web of Science")</f>
        <v>View Full Record in Web of Science</v>
      </c>
    </row>
    <row r="832" spans="2:79" ht="12.5" x14ac:dyDescent="0.25">
      <c r="B832" t="s">
        <v>8495</v>
      </c>
      <c r="D832" s="22" t="s">
        <v>32931</v>
      </c>
      <c r="E832" s="7"/>
      <c r="F832" s="7"/>
      <c r="G832" s="7"/>
      <c r="H832" t="s">
        <v>67</v>
      </c>
      <c r="I832" t="s">
        <v>13187</v>
      </c>
      <c r="J832" t="s">
        <v>69</v>
      </c>
      <c r="K832" t="s">
        <v>69</v>
      </c>
      <c r="L832" t="s">
        <v>69</v>
      </c>
      <c r="M832" t="s">
        <v>13188</v>
      </c>
      <c r="N832" t="s">
        <v>69</v>
      </c>
      <c r="O832" t="s">
        <v>69</v>
      </c>
      <c r="P832" t="s">
        <v>13189</v>
      </c>
      <c r="Q832" t="s">
        <v>4023</v>
      </c>
      <c r="R832" t="s">
        <v>69</v>
      </c>
      <c r="S832" t="s">
        <v>69</v>
      </c>
      <c r="T832" t="s">
        <v>8505</v>
      </c>
      <c r="U832" t="s">
        <v>8506</v>
      </c>
      <c r="V832" t="s">
        <v>69</v>
      </c>
      <c r="W832" t="s">
        <v>69</v>
      </c>
      <c r="X832" t="s">
        <v>69</v>
      </c>
      <c r="Y832" t="s">
        <v>69</v>
      </c>
      <c r="Z832" t="s">
        <v>69</v>
      </c>
      <c r="AA832" t="s">
        <v>13190</v>
      </c>
      <c r="AB832" t="s">
        <v>69</v>
      </c>
      <c r="AC832" t="s">
        <v>13191</v>
      </c>
      <c r="AD832" t="s">
        <v>13192</v>
      </c>
      <c r="AE832" t="s">
        <v>69</v>
      </c>
      <c r="AF832" t="s">
        <v>13193</v>
      </c>
      <c r="AG832" t="s">
        <v>13194</v>
      </c>
      <c r="AH832" t="s">
        <v>69</v>
      </c>
      <c r="AI832" t="s">
        <v>69</v>
      </c>
      <c r="AJ832" t="s">
        <v>69</v>
      </c>
      <c r="AK832" t="s">
        <v>69</v>
      </c>
      <c r="AL832" t="s">
        <v>69</v>
      </c>
      <c r="AM832" t="s">
        <v>69</v>
      </c>
      <c r="AN832">
        <v>16</v>
      </c>
      <c r="AO832">
        <v>2</v>
      </c>
      <c r="AP832">
        <v>2</v>
      </c>
      <c r="AQ832">
        <v>0</v>
      </c>
      <c r="AR832">
        <v>3</v>
      </c>
      <c r="AS832" t="s">
        <v>13195</v>
      </c>
      <c r="AT832" t="s">
        <v>13196</v>
      </c>
      <c r="AU832" t="s">
        <v>13197</v>
      </c>
      <c r="AV832" t="s">
        <v>4025</v>
      </c>
      <c r="AW832" t="s">
        <v>13198</v>
      </c>
      <c r="AX832" t="s">
        <v>69</v>
      </c>
      <c r="AY832" t="s">
        <v>13199</v>
      </c>
      <c r="AZ832" t="s">
        <v>13200</v>
      </c>
      <c r="BA832" t="s">
        <v>191</v>
      </c>
      <c r="BB832">
        <v>2021</v>
      </c>
      <c r="BC832">
        <v>174</v>
      </c>
      <c r="BD832">
        <v>1</v>
      </c>
      <c r="BE832" t="s">
        <v>69</v>
      </c>
      <c r="BF832" t="s">
        <v>69</v>
      </c>
      <c r="BG832" t="s">
        <v>69</v>
      </c>
      <c r="BH832" t="s">
        <v>69</v>
      </c>
      <c r="BI832">
        <v>42</v>
      </c>
      <c r="BJ832">
        <v>51</v>
      </c>
      <c r="BK832" t="s">
        <v>69</v>
      </c>
      <c r="BL832" t="s">
        <v>13201</v>
      </c>
      <c r="BM832" t="str">
        <f>HYPERLINK("http://dx.doi.org/10.1680/jtran.18.00011","http://dx.doi.org/10.1680/jtran.18.00011")</f>
        <v>http://dx.doi.org/10.1680/jtran.18.00011</v>
      </c>
      <c r="BN832" t="s">
        <v>69</v>
      </c>
      <c r="BO832" t="s">
        <v>69</v>
      </c>
      <c r="BP832">
        <v>10</v>
      </c>
      <c r="BQ832" t="s">
        <v>13202</v>
      </c>
      <c r="BR832" t="s">
        <v>8548</v>
      </c>
      <c r="BS832" t="s">
        <v>9561</v>
      </c>
      <c r="BT832" t="s">
        <v>13203</v>
      </c>
      <c r="BU832" t="s">
        <v>13204</v>
      </c>
      <c r="BV832" t="s">
        <v>69</v>
      </c>
      <c r="BW832" t="s">
        <v>69</v>
      </c>
      <c r="BX832" t="s">
        <v>69</v>
      </c>
      <c r="BY832" t="s">
        <v>69</v>
      </c>
      <c r="BZ832" t="s">
        <v>8526</v>
      </c>
      <c r="CA832" t="str">
        <f>HYPERLINK("https%3A%2F%2Fwww.webofscience.com%2Fwos%2Fwoscc%2Ffull-record%2FWOS:000619602400006","View Full Record in Web of Science")</f>
        <v>View Full Record in Web of Science</v>
      </c>
    </row>
    <row r="833" spans="1:79" ht="12.5" x14ac:dyDescent="0.25">
      <c r="B833" t="s">
        <v>8495</v>
      </c>
      <c r="D833" s="22" t="s">
        <v>32931</v>
      </c>
      <c r="E833" s="7"/>
      <c r="F833" s="7"/>
      <c r="G833" s="7"/>
      <c r="H833" t="s">
        <v>67</v>
      </c>
      <c r="I833" t="s">
        <v>14349</v>
      </c>
      <c r="J833" t="s">
        <v>69</v>
      </c>
      <c r="K833" t="s">
        <v>69</v>
      </c>
      <c r="L833" t="s">
        <v>69</v>
      </c>
      <c r="M833" t="s">
        <v>14350</v>
      </c>
      <c r="N833" t="s">
        <v>69</v>
      </c>
      <c r="O833" t="s">
        <v>69</v>
      </c>
      <c r="P833" t="s">
        <v>14351</v>
      </c>
      <c r="Q833" t="s">
        <v>14352</v>
      </c>
      <c r="R833" t="s">
        <v>69</v>
      </c>
      <c r="S833" t="s">
        <v>69</v>
      </c>
      <c r="T833" t="s">
        <v>8505</v>
      </c>
      <c r="U833" t="s">
        <v>8506</v>
      </c>
      <c r="V833" t="s">
        <v>69</v>
      </c>
      <c r="W833" t="s">
        <v>69</v>
      </c>
      <c r="X833" t="s">
        <v>69</v>
      </c>
      <c r="Y833" t="s">
        <v>69</v>
      </c>
      <c r="Z833" t="s">
        <v>69</v>
      </c>
      <c r="AA833" t="s">
        <v>14353</v>
      </c>
      <c r="AB833" t="s">
        <v>14354</v>
      </c>
      <c r="AC833" t="s">
        <v>14355</v>
      </c>
      <c r="AD833" t="s">
        <v>14356</v>
      </c>
      <c r="AE833" t="s">
        <v>69</v>
      </c>
      <c r="AF833" t="s">
        <v>14357</v>
      </c>
      <c r="AG833" t="s">
        <v>14358</v>
      </c>
      <c r="AH833" t="s">
        <v>69</v>
      </c>
      <c r="AI833" t="s">
        <v>14359</v>
      </c>
      <c r="AJ833" t="s">
        <v>14360</v>
      </c>
      <c r="AK833" t="s">
        <v>11825</v>
      </c>
      <c r="AL833" t="s">
        <v>14361</v>
      </c>
      <c r="AM833" t="s">
        <v>69</v>
      </c>
      <c r="AN833">
        <v>48</v>
      </c>
      <c r="AO833">
        <v>28</v>
      </c>
      <c r="AP833">
        <v>28</v>
      </c>
      <c r="AQ833">
        <v>0</v>
      </c>
      <c r="AR833">
        <v>6</v>
      </c>
      <c r="AS833" t="s">
        <v>12736</v>
      </c>
      <c r="AT833" t="s">
        <v>12737</v>
      </c>
      <c r="AU833" t="s">
        <v>12738</v>
      </c>
      <c r="AV833" t="s">
        <v>14362</v>
      </c>
      <c r="AW833" t="s">
        <v>14363</v>
      </c>
      <c r="AX833" t="s">
        <v>69</v>
      </c>
      <c r="AY833" t="s">
        <v>14364</v>
      </c>
      <c r="AZ833" t="s">
        <v>14365</v>
      </c>
      <c r="BA833" t="s">
        <v>255</v>
      </c>
      <c r="BB833">
        <v>2020</v>
      </c>
      <c r="BC833">
        <v>230</v>
      </c>
      <c r="BD833" t="s">
        <v>69</v>
      </c>
      <c r="BE833" t="s">
        <v>69</v>
      </c>
      <c r="BF833" t="s">
        <v>69</v>
      </c>
      <c r="BG833" t="s">
        <v>69</v>
      </c>
      <c r="BH833" t="s">
        <v>69</v>
      </c>
      <c r="BI833" t="s">
        <v>69</v>
      </c>
      <c r="BJ833" t="s">
        <v>69</v>
      </c>
      <c r="BK833">
        <v>113622</v>
      </c>
      <c r="BL833" t="s">
        <v>14366</v>
      </c>
      <c r="BM833" t="str">
        <f>HYPERLINK("http://dx.doi.org/10.1016/j.ijheh.2020.113622","http://dx.doi.org/10.1016/j.ijheh.2020.113622")</f>
        <v>http://dx.doi.org/10.1016/j.ijheh.2020.113622</v>
      </c>
      <c r="BN833" t="s">
        <v>69</v>
      </c>
      <c r="BO833" t="s">
        <v>69</v>
      </c>
      <c r="BP833">
        <v>11</v>
      </c>
      <c r="BQ833" t="s">
        <v>14367</v>
      </c>
      <c r="BR833" t="s">
        <v>8548</v>
      </c>
      <c r="BS833" t="s">
        <v>14367</v>
      </c>
      <c r="BT833" t="s">
        <v>14368</v>
      </c>
      <c r="BU833" t="s">
        <v>14369</v>
      </c>
      <c r="BV833">
        <v>33045523</v>
      </c>
      <c r="BW833" t="s">
        <v>8622</v>
      </c>
      <c r="BX833" t="s">
        <v>69</v>
      </c>
      <c r="BY833" t="s">
        <v>69</v>
      </c>
      <c r="BZ833" t="s">
        <v>8526</v>
      </c>
      <c r="CA833" t="str">
        <f>HYPERLINK("https%3A%2F%2Fwww.webofscience.com%2Fwos%2Fwoscc%2Ffull-record%2FWOS:000584390300022","View Full Record in Web of Science")</f>
        <v>View Full Record in Web of Science</v>
      </c>
    </row>
    <row r="834" spans="1:79" ht="12.5" x14ac:dyDescent="0.25">
      <c r="B834" t="s">
        <v>8495</v>
      </c>
      <c r="D834" s="7" t="s">
        <v>32933</v>
      </c>
      <c r="E834" s="7"/>
      <c r="F834" s="7"/>
      <c r="G834" s="7"/>
      <c r="H834" t="s">
        <v>67</v>
      </c>
      <c r="I834" t="s">
        <v>1306</v>
      </c>
      <c r="J834" t="s">
        <v>69</v>
      </c>
      <c r="K834" t="s">
        <v>69</v>
      </c>
      <c r="L834" t="s">
        <v>69</v>
      </c>
      <c r="M834" t="s">
        <v>1307</v>
      </c>
      <c r="N834" t="s">
        <v>69</v>
      </c>
      <c r="O834" t="s">
        <v>69</v>
      </c>
      <c r="P834" t="s">
        <v>1308</v>
      </c>
      <c r="Q834" t="s">
        <v>1309</v>
      </c>
      <c r="R834" t="s">
        <v>69</v>
      </c>
      <c r="S834" t="s">
        <v>69</v>
      </c>
      <c r="T834" t="s">
        <v>8505</v>
      </c>
      <c r="U834" t="s">
        <v>8506</v>
      </c>
      <c r="V834" t="s">
        <v>69</v>
      </c>
      <c r="W834" t="s">
        <v>69</v>
      </c>
      <c r="X834" t="s">
        <v>69</v>
      </c>
      <c r="Y834" t="s">
        <v>69</v>
      </c>
      <c r="Z834" t="s">
        <v>69</v>
      </c>
      <c r="AA834" t="s">
        <v>23064</v>
      </c>
      <c r="AB834" t="s">
        <v>69</v>
      </c>
      <c r="AC834" t="s">
        <v>1310</v>
      </c>
      <c r="AD834" t="s">
        <v>23065</v>
      </c>
      <c r="AE834" t="s">
        <v>69</v>
      </c>
      <c r="AF834" t="s">
        <v>23066</v>
      </c>
      <c r="AG834" t="s">
        <v>69</v>
      </c>
      <c r="AH834" t="s">
        <v>69</v>
      </c>
      <c r="AI834" t="s">
        <v>69</v>
      </c>
      <c r="AJ834" t="s">
        <v>69</v>
      </c>
      <c r="AK834" t="s">
        <v>69</v>
      </c>
      <c r="AL834" t="s">
        <v>69</v>
      </c>
      <c r="AM834" t="s">
        <v>69</v>
      </c>
      <c r="AN834">
        <v>22</v>
      </c>
      <c r="AO834">
        <v>2</v>
      </c>
      <c r="AP834">
        <v>2</v>
      </c>
      <c r="AQ834">
        <v>0</v>
      </c>
      <c r="AR834">
        <v>9</v>
      </c>
      <c r="AS834" t="s">
        <v>23067</v>
      </c>
      <c r="AT834" t="s">
        <v>16384</v>
      </c>
      <c r="AU834" t="s">
        <v>23068</v>
      </c>
      <c r="AV834" t="s">
        <v>1311</v>
      </c>
      <c r="AW834" t="s">
        <v>69</v>
      </c>
      <c r="AX834" t="s">
        <v>69</v>
      </c>
      <c r="AY834" t="s">
        <v>23069</v>
      </c>
      <c r="AZ834" t="s">
        <v>23070</v>
      </c>
      <c r="BA834" t="s">
        <v>69</v>
      </c>
      <c r="BB834">
        <v>2015</v>
      </c>
      <c r="BC834">
        <v>18</v>
      </c>
      <c r="BD834">
        <v>2</v>
      </c>
      <c r="BE834" t="s">
        <v>69</v>
      </c>
      <c r="BF834" t="s">
        <v>69</v>
      </c>
      <c r="BG834" t="s">
        <v>69</v>
      </c>
      <c r="BH834" t="s">
        <v>69</v>
      </c>
      <c r="BI834">
        <v>206</v>
      </c>
      <c r="BJ834">
        <v>217</v>
      </c>
      <c r="BK834" t="s">
        <v>69</v>
      </c>
      <c r="BL834" t="s">
        <v>69</v>
      </c>
      <c r="BM834" t="s">
        <v>69</v>
      </c>
      <c r="BN834" t="s">
        <v>69</v>
      </c>
      <c r="BO834" t="s">
        <v>69</v>
      </c>
      <c r="BP834">
        <v>12</v>
      </c>
      <c r="BQ834" t="s">
        <v>15461</v>
      </c>
      <c r="BR834" t="s">
        <v>8661</v>
      </c>
      <c r="BS834" t="s">
        <v>8594</v>
      </c>
      <c r="BT834" t="s">
        <v>23071</v>
      </c>
      <c r="BU834" t="s">
        <v>1312</v>
      </c>
      <c r="BV834" t="s">
        <v>69</v>
      </c>
      <c r="BW834" t="s">
        <v>11853</v>
      </c>
      <c r="BX834" t="s">
        <v>69</v>
      </c>
      <c r="BY834" t="s">
        <v>69</v>
      </c>
      <c r="BZ834" t="s">
        <v>8526</v>
      </c>
      <c r="CA834" t="str">
        <f>HYPERLINK("https%3A%2F%2Fwww.webofscience.com%2Fwos%2Fwoscc%2Ffull-record%2FWOS:000356041500005","View Full Record in Web of Science")</f>
        <v>View Full Record in Web of Science</v>
      </c>
    </row>
    <row r="835" spans="1:79" ht="12.5" x14ac:dyDescent="0.25">
      <c r="B835" t="s">
        <v>8495</v>
      </c>
      <c r="D835" s="22" t="s">
        <v>32931</v>
      </c>
      <c r="E835" s="7"/>
      <c r="F835" s="7"/>
      <c r="G835" s="7"/>
      <c r="H835" t="s">
        <v>67</v>
      </c>
      <c r="I835" t="s">
        <v>27364</v>
      </c>
      <c r="J835" t="s">
        <v>69</v>
      </c>
      <c r="K835" t="s">
        <v>69</v>
      </c>
      <c r="L835" t="s">
        <v>69</v>
      </c>
      <c r="M835" t="s">
        <v>27365</v>
      </c>
      <c r="N835" t="s">
        <v>69</v>
      </c>
      <c r="O835" t="s">
        <v>69</v>
      </c>
      <c r="P835" t="s">
        <v>27366</v>
      </c>
      <c r="Q835" t="s">
        <v>24194</v>
      </c>
      <c r="R835" t="s">
        <v>69</v>
      </c>
      <c r="S835" t="s">
        <v>69</v>
      </c>
      <c r="T835" t="s">
        <v>8505</v>
      </c>
      <c r="U835" t="s">
        <v>8506</v>
      </c>
      <c r="V835" t="s">
        <v>69</v>
      </c>
      <c r="W835" t="s">
        <v>69</v>
      </c>
      <c r="X835" t="s">
        <v>69</v>
      </c>
      <c r="Y835" t="s">
        <v>69</v>
      </c>
      <c r="Z835" t="s">
        <v>69</v>
      </c>
      <c r="AA835" t="s">
        <v>27367</v>
      </c>
      <c r="AB835" t="s">
        <v>69</v>
      </c>
      <c r="AC835" t="s">
        <v>27368</v>
      </c>
      <c r="AD835" t="s">
        <v>27369</v>
      </c>
      <c r="AE835" t="s">
        <v>69</v>
      </c>
      <c r="AF835" t="s">
        <v>27370</v>
      </c>
      <c r="AG835" t="s">
        <v>27371</v>
      </c>
      <c r="AH835" t="s">
        <v>27372</v>
      </c>
      <c r="AI835" t="s">
        <v>27373</v>
      </c>
      <c r="AJ835" t="s">
        <v>69</v>
      </c>
      <c r="AK835" t="s">
        <v>69</v>
      </c>
      <c r="AL835" t="s">
        <v>69</v>
      </c>
      <c r="AM835" t="s">
        <v>69</v>
      </c>
      <c r="AN835">
        <v>22</v>
      </c>
      <c r="AO835">
        <v>7</v>
      </c>
      <c r="AP835">
        <v>7</v>
      </c>
      <c r="AQ835">
        <v>0</v>
      </c>
      <c r="AR835">
        <v>1</v>
      </c>
      <c r="AS835" t="s">
        <v>13509</v>
      </c>
      <c r="AT835" t="s">
        <v>13510</v>
      </c>
      <c r="AU835" t="s">
        <v>13511</v>
      </c>
      <c r="AV835" t="s">
        <v>24202</v>
      </c>
      <c r="AW835" t="s">
        <v>24203</v>
      </c>
      <c r="AX835" t="s">
        <v>69</v>
      </c>
      <c r="AY835" t="s">
        <v>24204</v>
      </c>
      <c r="AZ835" t="s">
        <v>24205</v>
      </c>
      <c r="BA835" t="s">
        <v>69</v>
      </c>
      <c r="BB835">
        <v>2011</v>
      </c>
      <c r="BC835">
        <v>9</v>
      </c>
      <c r="BD835">
        <v>4</v>
      </c>
      <c r="BE835" t="s">
        <v>69</v>
      </c>
      <c r="BF835" t="s">
        <v>69</v>
      </c>
      <c r="BG835" t="s">
        <v>69</v>
      </c>
      <c r="BH835" t="s">
        <v>69</v>
      </c>
      <c r="BI835">
        <v>352</v>
      </c>
      <c r="BJ835">
        <v>371</v>
      </c>
      <c r="BK835" t="s">
        <v>69</v>
      </c>
      <c r="BL835" t="s">
        <v>27374</v>
      </c>
      <c r="BM835" t="str">
        <f>HYPERLINK("http://dx.doi.org/10.1504/IJIL.2011.040535","http://dx.doi.org/10.1504/IJIL.2011.040535")</f>
        <v>http://dx.doi.org/10.1504/IJIL.2011.040535</v>
      </c>
      <c r="BN835" t="s">
        <v>69</v>
      </c>
      <c r="BO835" t="s">
        <v>69</v>
      </c>
      <c r="BP835">
        <v>20</v>
      </c>
      <c r="BQ835" t="s">
        <v>9410</v>
      </c>
      <c r="BR835" t="s">
        <v>8573</v>
      </c>
      <c r="BS835" t="s">
        <v>8594</v>
      </c>
      <c r="BT835" t="s">
        <v>27375</v>
      </c>
      <c r="BU835" t="s">
        <v>27376</v>
      </c>
      <c r="BV835" t="s">
        <v>69</v>
      </c>
      <c r="BW835" t="s">
        <v>69</v>
      </c>
      <c r="BX835" t="s">
        <v>69</v>
      </c>
      <c r="BY835" t="s">
        <v>69</v>
      </c>
      <c r="BZ835" t="s">
        <v>8526</v>
      </c>
      <c r="CA835" t="str">
        <f>HYPERLINK("https%3A%2F%2Fwww.webofscience.com%2Fwos%2Fwoscc%2Ffull-record%2FWOS:000436814000002","View Full Record in Web of Science")</f>
        <v>View Full Record in Web of Science</v>
      </c>
    </row>
    <row r="836" spans="1:79" ht="12.5" x14ac:dyDescent="0.25">
      <c r="B836" t="s">
        <v>8495</v>
      </c>
      <c r="D836" s="22" t="s">
        <v>32931</v>
      </c>
      <c r="E836" s="7"/>
      <c r="F836" s="7"/>
      <c r="G836" s="7"/>
      <c r="H836" t="s">
        <v>67</v>
      </c>
      <c r="I836" t="s">
        <v>11046</v>
      </c>
      <c r="J836" t="s">
        <v>69</v>
      </c>
      <c r="K836" t="s">
        <v>69</v>
      </c>
      <c r="L836" t="s">
        <v>69</v>
      </c>
      <c r="M836" t="s">
        <v>11047</v>
      </c>
      <c r="N836" t="s">
        <v>69</v>
      </c>
      <c r="O836" t="s">
        <v>69</v>
      </c>
      <c r="P836" t="s">
        <v>11048</v>
      </c>
      <c r="Q836" t="s">
        <v>11049</v>
      </c>
      <c r="R836" t="s">
        <v>69</v>
      </c>
      <c r="S836" t="s">
        <v>69</v>
      </c>
      <c r="T836" t="s">
        <v>8505</v>
      </c>
      <c r="U836" t="s">
        <v>8556</v>
      </c>
      <c r="V836" t="s">
        <v>69</v>
      </c>
      <c r="W836" t="s">
        <v>69</v>
      </c>
      <c r="X836" t="s">
        <v>69</v>
      </c>
      <c r="Y836" t="s">
        <v>69</v>
      </c>
      <c r="Z836" t="s">
        <v>69</v>
      </c>
      <c r="AA836" t="s">
        <v>11050</v>
      </c>
      <c r="AB836" t="s">
        <v>11051</v>
      </c>
      <c r="AC836" t="s">
        <v>11052</v>
      </c>
      <c r="AD836" t="s">
        <v>11053</v>
      </c>
      <c r="AE836" t="s">
        <v>69</v>
      </c>
      <c r="AF836" t="s">
        <v>11054</v>
      </c>
      <c r="AG836" t="s">
        <v>11055</v>
      </c>
      <c r="AH836" t="s">
        <v>11056</v>
      </c>
      <c r="AI836" t="s">
        <v>11057</v>
      </c>
      <c r="AJ836" t="s">
        <v>69</v>
      </c>
      <c r="AK836" t="s">
        <v>69</v>
      </c>
      <c r="AL836" t="s">
        <v>69</v>
      </c>
      <c r="AM836" t="s">
        <v>69</v>
      </c>
      <c r="AN836">
        <v>78</v>
      </c>
      <c r="AO836">
        <v>0</v>
      </c>
      <c r="AP836">
        <v>0</v>
      </c>
      <c r="AQ836">
        <v>30</v>
      </c>
      <c r="AR836">
        <v>57</v>
      </c>
      <c r="AS836" t="s">
        <v>8586</v>
      </c>
      <c r="AT836" t="s">
        <v>8587</v>
      </c>
      <c r="AU836" t="s">
        <v>8588</v>
      </c>
      <c r="AV836" t="s">
        <v>11058</v>
      </c>
      <c r="AW836" t="s">
        <v>11059</v>
      </c>
      <c r="AX836" t="s">
        <v>69</v>
      </c>
      <c r="AY836" t="s">
        <v>11060</v>
      </c>
      <c r="AZ836" t="s">
        <v>11061</v>
      </c>
      <c r="BA836" t="s">
        <v>69</v>
      </c>
      <c r="BB836" t="s">
        <v>69</v>
      </c>
      <c r="BC836" t="s">
        <v>69</v>
      </c>
      <c r="BD836" t="s">
        <v>69</v>
      </c>
      <c r="BE836" t="s">
        <v>69</v>
      </c>
      <c r="BF836" t="s">
        <v>69</v>
      </c>
      <c r="BG836" t="s">
        <v>69</v>
      </c>
      <c r="BH836" t="s">
        <v>69</v>
      </c>
      <c r="BI836" t="s">
        <v>69</v>
      </c>
      <c r="BJ836" t="s">
        <v>69</v>
      </c>
      <c r="BK836" t="s">
        <v>69</v>
      </c>
      <c r="BL836" t="s">
        <v>11062</v>
      </c>
      <c r="BM836" t="str">
        <f>HYPERLINK("http://dx.doi.org/10.1108/JEIM-03-2021-0126","http://dx.doi.org/10.1108/JEIM-03-2021-0126")</f>
        <v>http://dx.doi.org/10.1108/JEIM-03-2021-0126</v>
      </c>
      <c r="BN836" t="s">
        <v>69</v>
      </c>
      <c r="BO836" t="s">
        <v>10991</v>
      </c>
      <c r="BP836">
        <v>22</v>
      </c>
      <c r="BQ836" t="s">
        <v>11063</v>
      </c>
      <c r="BR836" t="s">
        <v>8661</v>
      </c>
      <c r="BS836" t="s">
        <v>11064</v>
      </c>
      <c r="BT836" t="s">
        <v>11065</v>
      </c>
      <c r="BU836" t="s">
        <v>11066</v>
      </c>
      <c r="BV836" t="s">
        <v>69</v>
      </c>
      <c r="BW836" t="s">
        <v>10423</v>
      </c>
      <c r="BX836" t="s">
        <v>69</v>
      </c>
      <c r="BY836" t="s">
        <v>69</v>
      </c>
      <c r="BZ836" t="s">
        <v>8526</v>
      </c>
      <c r="CA836" t="str">
        <f>HYPERLINK("https%3A%2F%2Fwww.webofscience.com%2Fwos%2Fwoscc%2Ffull-record%2FWOS:000709868000001","View Full Record in Web of Science")</f>
        <v>View Full Record in Web of Science</v>
      </c>
    </row>
    <row r="837" spans="1:79" x14ac:dyDescent="0.3">
      <c r="B837" t="s">
        <v>8495</v>
      </c>
      <c r="D837" s="9" t="s">
        <v>32950</v>
      </c>
      <c r="E837" s="12" t="s">
        <v>33058</v>
      </c>
      <c r="G837" s="9" t="s">
        <v>8490</v>
      </c>
      <c r="H837" t="s">
        <v>67</v>
      </c>
      <c r="I837" t="s">
        <v>12495</v>
      </c>
      <c r="J837" t="s">
        <v>69</v>
      </c>
      <c r="K837" t="s">
        <v>69</v>
      </c>
      <c r="L837" t="s">
        <v>69</v>
      </c>
      <c r="M837" t="s">
        <v>12496</v>
      </c>
      <c r="N837" t="s">
        <v>69</v>
      </c>
      <c r="O837" t="s">
        <v>69</v>
      </c>
      <c r="P837" t="s">
        <v>12497</v>
      </c>
      <c r="Q837" t="s">
        <v>12498</v>
      </c>
      <c r="R837" t="s">
        <v>69</v>
      </c>
      <c r="S837" t="s">
        <v>69</v>
      </c>
      <c r="T837" t="s">
        <v>8505</v>
      </c>
      <c r="U837" t="s">
        <v>8506</v>
      </c>
      <c r="V837" t="s">
        <v>69</v>
      </c>
      <c r="W837" t="s">
        <v>69</v>
      </c>
      <c r="X837" t="s">
        <v>69</v>
      </c>
      <c r="Y837" t="s">
        <v>69</v>
      </c>
      <c r="Z837" t="s">
        <v>69</v>
      </c>
      <c r="AA837" t="s">
        <v>69</v>
      </c>
      <c r="AB837" t="s">
        <v>69</v>
      </c>
      <c r="AC837" t="s">
        <v>12499</v>
      </c>
      <c r="AD837" t="s">
        <v>12500</v>
      </c>
      <c r="AE837" t="s">
        <v>69</v>
      </c>
      <c r="AF837" t="s">
        <v>12501</v>
      </c>
      <c r="AG837" t="s">
        <v>12502</v>
      </c>
      <c r="AH837" t="s">
        <v>69</v>
      </c>
      <c r="AI837" t="s">
        <v>69</v>
      </c>
      <c r="AJ837" t="s">
        <v>69</v>
      </c>
      <c r="AK837" t="s">
        <v>69</v>
      </c>
      <c r="AL837" t="s">
        <v>69</v>
      </c>
      <c r="AM837" t="s">
        <v>69</v>
      </c>
      <c r="AN837">
        <v>25</v>
      </c>
      <c r="AO837">
        <v>0</v>
      </c>
      <c r="AP837">
        <v>0</v>
      </c>
      <c r="AQ837">
        <v>2</v>
      </c>
      <c r="AR837">
        <v>3</v>
      </c>
      <c r="AS837" t="s">
        <v>12503</v>
      </c>
      <c r="AT837" t="s">
        <v>11361</v>
      </c>
      <c r="AU837" t="s">
        <v>12504</v>
      </c>
      <c r="AV837" t="s">
        <v>12505</v>
      </c>
      <c r="AW837" t="s">
        <v>69</v>
      </c>
      <c r="AX837" t="s">
        <v>69</v>
      </c>
      <c r="AY837" t="s">
        <v>12506</v>
      </c>
      <c r="AZ837" t="s">
        <v>12507</v>
      </c>
      <c r="BA837" t="s">
        <v>246</v>
      </c>
      <c r="BB837">
        <v>2021</v>
      </c>
      <c r="BC837">
        <v>66</v>
      </c>
      <c r="BD837">
        <v>4</v>
      </c>
      <c r="BE837" t="s">
        <v>69</v>
      </c>
      <c r="BF837" t="s">
        <v>69</v>
      </c>
      <c r="BG837" t="s">
        <v>69</v>
      </c>
      <c r="BH837" t="s">
        <v>69</v>
      </c>
      <c r="BI837">
        <v>19</v>
      </c>
      <c r="BJ837">
        <v>29</v>
      </c>
      <c r="BK837" t="s">
        <v>69</v>
      </c>
      <c r="BL837" t="s">
        <v>69</v>
      </c>
      <c r="BM837" t="s">
        <v>69</v>
      </c>
      <c r="BN837" t="s">
        <v>69</v>
      </c>
      <c r="BO837" t="s">
        <v>69</v>
      </c>
      <c r="BP837">
        <v>11</v>
      </c>
      <c r="BQ837" t="s">
        <v>12508</v>
      </c>
      <c r="BR837" t="s">
        <v>8548</v>
      </c>
      <c r="BS837" t="s">
        <v>12508</v>
      </c>
      <c r="BT837" t="s">
        <v>12509</v>
      </c>
      <c r="BU837" t="s">
        <v>12510</v>
      </c>
      <c r="BV837" t="s">
        <v>69</v>
      </c>
      <c r="BW837" t="s">
        <v>69</v>
      </c>
      <c r="BX837" t="s">
        <v>69</v>
      </c>
      <c r="BY837" t="s">
        <v>69</v>
      </c>
      <c r="BZ837" t="s">
        <v>8526</v>
      </c>
      <c r="CA837" t="str">
        <f>HYPERLINK("https%3A%2F%2Fwww.webofscience.com%2Fwos%2Fwoscc%2Ffull-record%2FWOS:000683728800006","View Full Record in Web of Science")</f>
        <v>View Full Record in Web of Science</v>
      </c>
    </row>
    <row r="838" spans="1:79" x14ac:dyDescent="0.3">
      <c r="A838" t="s">
        <v>8408</v>
      </c>
      <c r="B838" t="s">
        <v>8495</v>
      </c>
      <c r="D838" s="11" t="s">
        <v>33207</v>
      </c>
      <c r="E838" s="7"/>
      <c r="F838" s="10" t="s">
        <v>8490</v>
      </c>
      <c r="G838" s="7"/>
      <c r="H838" t="s">
        <v>67</v>
      </c>
      <c r="I838" t="s">
        <v>8239</v>
      </c>
      <c r="J838" t="s">
        <v>69</v>
      </c>
      <c r="K838" t="s">
        <v>69</v>
      </c>
      <c r="L838" t="s">
        <v>69</v>
      </c>
      <c r="M838" s="2" t="s">
        <v>8240</v>
      </c>
      <c r="N838" t="s">
        <v>69</v>
      </c>
      <c r="O838" t="s">
        <v>69</v>
      </c>
      <c r="P838" s="11" t="s">
        <v>8241</v>
      </c>
      <c r="Q838" t="s">
        <v>417</v>
      </c>
      <c r="R838" t="s">
        <v>69</v>
      </c>
      <c r="S838" t="s">
        <v>69</v>
      </c>
      <c r="T838" t="s">
        <v>8505</v>
      </c>
      <c r="U838" t="s">
        <v>8506</v>
      </c>
      <c r="V838" t="s">
        <v>69</v>
      </c>
      <c r="W838" t="s">
        <v>69</v>
      </c>
      <c r="X838" t="s">
        <v>69</v>
      </c>
      <c r="Y838" t="s">
        <v>69</v>
      </c>
      <c r="Z838" t="s">
        <v>69</v>
      </c>
      <c r="AA838" t="s">
        <v>24437</v>
      </c>
      <c r="AB838" t="s">
        <v>24438</v>
      </c>
      <c r="AC838" t="s">
        <v>8242</v>
      </c>
      <c r="AD838" t="s">
        <v>24439</v>
      </c>
      <c r="AE838" t="s">
        <v>69</v>
      </c>
      <c r="AF838" t="s">
        <v>24440</v>
      </c>
      <c r="AG838" t="s">
        <v>24441</v>
      </c>
      <c r="AH838" t="s">
        <v>8243</v>
      </c>
      <c r="AI838" t="s">
        <v>8244</v>
      </c>
      <c r="AJ838" t="s">
        <v>69</v>
      </c>
      <c r="AK838" t="s">
        <v>69</v>
      </c>
      <c r="AL838" t="s">
        <v>69</v>
      </c>
      <c r="AM838" t="s">
        <v>69</v>
      </c>
      <c r="AN838">
        <v>84</v>
      </c>
      <c r="AO838">
        <v>11</v>
      </c>
      <c r="AP838">
        <v>11</v>
      </c>
      <c r="AQ838">
        <v>1</v>
      </c>
      <c r="AR838">
        <v>16</v>
      </c>
      <c r="AS838" t="s">
        <v>9145</v>
      </c>
      <c r="AT838" t="s">
        <v>8637</v>
      </c>
      <c r="AU838" t="s">
        <v>9146</v>
      </c>
      <c r="AV838" t="s">
        <v>419</v>
      </c>
      <c r="AW838" t="s">
        <v>420</v>
      </c>
      <c r="AX838" t="s">
        <v>69</v>
      </c>
      <c r="AY838" t="s">
        <v>417</v>
      </c>
      <c r="AZ838" t="s">
        <v>8482</v>
      </c>
      <c r="BA838" t="s">
        <v>75</v>
      </c>
      <c r="BB838">
        <v>2013</v>
      </c>
      <c r="BC838">
        <v>50</v>
      </c>
      <c r="BD838" t="s">
        <v>69</v>
      </c>
      <c r="BE838" t="s">
        <v>69</v>
      </c>
      <c r="BF838" t="s">
        <v>69</v>
      </c>
      <c r="BG838" t="s">
        <v>69</v>
      </c>
      <c r="BH838" t="s">
        <v>69</v>
      </c>
      <c r="BI838">
        <v>1</v>
      </c>
      <c r="BJ838">
        <v>9</v>
      </c>
      <c r="BK838" t="s">
        <v>69</v>
      </c>
      <c r="BL838" t="s">
        <v>8245</v>
      </c>
      <c r="BM838" t="str">
        <f>HYPERLINK("http://dx.doi.org/10.1016/j.geoforum.2013.07.007","http://dx.doi.org/10.1016/j.geoforum.2013.07.007")</f>
        <v>http://dx.doi.org/10.1016/j.geoforum.2013.07.007</v>
      </c>
      <c r="BN838" t="s">
        <v>69</v>
      </c>
      <c r="BO838" t="s">
        <v>69</v>
      </c>
      <c r="BP838">
        <v>9</v>
      </c>
      <c r="BQ838" t="s">
        <v>8446</v>
      </c>
      <c r="BR838" t="s">
        <v>8661</v>
      </c>
      <c r="BS838" t="s">
        <v>8446</v>
      </c>
      <c r="BT838" t="s">
        <v>24442</v>
      </c>
      <c r="BU838" t="s">
        <v>8246</v>
      </c>
      <c r="BV838" t="s">
        <v>69</v>
      </c>
      <c r="BW838" t="s">
        <v>69</v>
      </c>
      <c r="BX838" t="s">
        <v>69</v>
      </c>
      <c r="BY838" t="s">
        <v>69</v>
      </c>
      <c r="BZ838" t="s">
        <v>8526</v>
      </c>
      <c r="CA838" t="str">
        <f>HYPERLINK("https%3A%2F%2Fwww.webofscience.com%2Fwos%2Fwoscc%2Ffull-record%2FWOS:000328660200002","View Full Record in Web of Science")</f>
        <v>View Full Record in Web of Science</v>
      </c>
    </row>
    <row r="839" spans="1:79" ht="12.5" x14ac:dyDescent="0.25">
      <c r="B839" t="s">
        <v>8495</v>
      </c>
      <c r="D839" s="22" t="s">
        <v>32931</v>
      </c>
      <c r="E839" s="7"/>
      <c r="F839" s="7"/>
      <c r="G839" s="7"/>
      <c r="H839" t="s">
        <v>67</v>
      </c>
      <c r="I839" t="s">
        <v>22093</v>
      </c>
      <c r="J839" t="s">
        <v>69</v>
      </c>
      <c r="K839" t="s">
        <v>69</v>
      </c>
      <c r="L839" t="s">
        <v>69</v>
      </c>
      <c r="M839" t="s">
        <v>22094</v>
      </c>
      <c r="N839" t="s">
        <v>69</v>
      </c>
      <c r="O839" t="s">
        <v>69</v>
      </c>
      <c r="P839" t="s">
        <v>22095</v>
      </c>
      <c r="Q839" t="s">
        <v>22096</v>
      </c>
      <c r="R839" t="s">
        <v>69</v>
      </c>
      <c r="S839" t="s">
        <v>69</v>
      </c>
      <c r="T839" t="s">
        <v>10071</v>
      </c>
      <c r="U839" t="s">
        <v>8506</v>
      </c>
      <c r="V839" t="s">
        <v>69</v>
      </c>
      <c r="W839" t="s">
        <v>69</v>
      </c>
      <c r="X839" t="s">
        <v>69</v>
      </c>
      <c r="Y839" t="s">
        <v>69</v>
      </c>
      <c r="Z839" t="s">
        <v>69</v>
      </c>
      <c r="AA839" t="s">
        <v>22097</v>
      </c>
      <c r="AB839" t="s">
        <v>69</v>
      </c>
      <c r="AC839" t="s">
        <v>22098</v>
      </c>
      <c r="AD839" t="s">
        <v>22099</v>
      </c>
      <c r="AE839" t="s">
        <v>69</v>
      </c>
      <c r="AF839" t="s">
        <v>22100</v>
      </c>
      <c r="AG839" t="s">
        <v>22101</v>
      </c>
      <c r="AH839" t="s">
        <v>69</v>
      </c>
      <c r="AI839" t="s">
        <v>69</v>
      </c>
      <c r="AJ839" t="s">
        <v>69</v>
      </c>
      <c r="AK839" t="s">
        <v>69</v>
      </c>
      <c r="AL839" t="s">
        <v>69</v>
      </c>
      <c r="AM839" t="s">
        <v>69</v>
      </c>
      <c r="AN839">
        <v>21</v>
      </c>
      <c r="AO839">
        <v>9</v>
      </c>
      <c r="AP839">
        <v>11</v>
      </c>
      <c r="AQ839">
        <v>0</v>
      </c>
      <c r="AR839">
        <v>5</v>
      </c>
      <c r="AS839" t="s">
        <v>22102</v>
      </c>
      <c r="AT839" t="s">
        <v>22103</v>
      </c>
      <c r="AU839" t="s">
        <v>22104</v>
      </c>
      <c r="AV839" t="s">
        <v>22105</v>
      </c>
      <c r="AW839" t="s">
        <v>22106</v>
      </c>
      <c r="AX839" t="s">
        <v>69</v>
      </c>
      <c r="AY839" t="s">
        <v>22107</v>
      </c>
      <c r="AZ839" t="s">
        <v>22108</v>
      </c>
      <c r="BA839" t="s">
        <v>373</v>
      </c>
      <c r="BB839">
        <v>2016</v>
      </c>
      <c r="BC839">
        <v>144</v>
      </c>
      <c r="BD839">
        <v>1</v>
      </c>
      <c r="BE839" t="s">
        <v>69</v>
      </c>
      <c r="BF839" t="s">
        <v>69</v>
      </c>
      <c r="BG839" t="s">
        <v>69</v>
      </c>
      <c r="BH839" t="s">
        <v>69</v>
      </c>
      <c r="BI839">
        <v>116</v>
      </c>
      <c r="BJ839">
        <v>123</v>
      </c>
      <c r="BK839" t="s">
        <v>69</v>
      </c>
      <c r="BL839" t="s">
        <v>69</v>
      </c>
      <c r="BM839" t="s">
        <v>69</v>
      </c>
      <c r="BN839" t="s">
        <v>69</v>
      </c>
      <c r="BO839" t="s">
        <v>69</v>
      </c>
      <c r="BP839">
        <v>8</v>
      </c>
      <c r="BQ839" t="s">
        <v>9450</v>
      </c>
      <c r="BR839" t="s">
        <v>8548</v>
      </c>
      <c r="BS839" t="s">
        <v>9451</v>
      </c>
      <c r="BT839" t="s">
        <v>22109</v>
      </c>
      <c r="BU839" t="s">
        <v>22110</v>
      </c>
      <c r="BV839">
        <v>26998990</v>
      </c>
      <c r="BW839" t="s">
        <v>9352</v>
      </c>
      <c r="BX839" t="s">
        <v>69</v>
      </c>
      <c r="BY839" t="s">
        <v>69</v>
      </c>
      <c r="BZ839" t="s">
        <v>8526</v>
      </c>
      <c r="CA839" t="str">
        <f>HYPERLINK("https%3A%2F%2Fwww.webofscience.com%2Fwos%2Fwoscc%2Ffull-record%2FWOS:000371280000015","View Full Record in Web of Science")</f>
        <v>View Full Record in Web of Science</v>
      </c>
    </row>
    <row r="840" spans="1:79" ht="12.5" x14ac:dyDescent="0.25">
      <c r="B840" t="s">
        <v>8495</v>
      </c>
      <c r="D840" s="7" t="s">
        <v>32933</v>
      </c>
      <c r="E840" s="7"/>
      <c r="F840" s="7"/>
      <c r="G840" s="7"/>
      <c r="H840" t="s">
        <v>67</v>
      </c>
      <c r="I840" t="s">
        <v>5881</v>
      </c>
      <c r="J840" t="s">
        <v>69</v>
      </c>
      <c r="K840" t="s">
        <v>69</v>
      </c>
      <c r="L840" t="s">
        <v>69</v>
      </c>
      <c r="M840" t="s">
        <v>5882</v>
      </c>
      <c r="N840" t="s">
        <v>69</v>
      </c>
      <c r="O840" t="s">
        <v>69</v>
      </c>
      <c r="P840" t="s">
        <v>5883</v>
      </c>
      <c r="Q840" t="s">
        <v>5884</v>
      </c>
      <c r="R840" t="s">
        <v>69</v>
      </c>
      <c r="S840" t="s">
        <v>69</v>
      </c>
      <c r="T840" t="s">
        <v>8505</v>
      </c>
      <c r="U840" t="s">
        <v>8506</v>
      </c>
      <c r="V840" t="s">
        <v>69</v>
      </c>
      <c r="W840" t="s">
        <v>69</v>
      </c>
      <c r="X840" t="s">
        <v>69</v>
      </c>
      <c r="Y840" t="s">
        <v>69</v>
      </c>
      <c r="Z840" t="s">
        <v>69</v>
      </c>
      <c r="AA840" t="s">
        <v>69</v>
      </c>
      <c r="AB840" t="s">
        <v>29664</v>
      </c>
      <c r="AC840" t="s">
        <v>5885</v>
      </c>
      <c r="AD840" t="s">
        <v>69</v>
      </c>
      <c r="AE840" t="s">
        <v>69</v>
      </c>
      <c r="AF840" t="s">
        <v>69</v>
      </c>
      <c r="AG840" t="s">
        <v>29665</v>
      </c>
      <c r="AH840" t="s">
        <v>69</v>
      </c>
      <c r="AI840" t="s">
        <v>69</v>
      </c>
      <c r="AJ840" t="s">
        <v>69</v>
      </c>
      <c r="AK840" t="s">
        <v>69</v>
      </c>
      <c r="AL840" t="s">
        <v>69</v>
      </c>
      <c r="AM840" t="s">
        <v>69</v>
      </c>
      <c r="AN840">
        <v>41</v>
      </c>
      <c r="AO840">
        <v>3</v>
      </c>
      <c r="AP840">
        <v>3</v>
      </c>
      <c r="AQ840">
        <v>0</v>
      </c>
      <c r="AR840">
        <v>10</v>
      </c>
      <c r="AS840" t="s">
        <v>8611</v>
      </c>
      <c r="AT840" t="s">
        <v>8612</v>
      </c>
      <c r="AU840" t="s">
        <v>8613</v>
      </c>
      <c r="AV840" t="s">
        <v>5886</v>
      </c>
      <c r="AW840" t="s">
        <v>5887</v>
      </c>
      <c r="AX840" t="s">
        <v>69</v>
      </c>
      <c r="AY840" t="s">
        <v>29666</v>
      </c>
      <c r="AZ840" t="s">
        <v>29667</v>
      </c>
      <c r="BA840" t="s">
        <v>5888</v>
      </c>
      <c r="BB840">
        <v>2007</v>
      </c>
      <c r="BC840">
        <v>13</v>
      </c>
      <c r="BD840">
        <v>3</v>
      </c>
      <c r="BE840" t="s">
        <v>69</v>
      </c>
      <c r="BF840" t="s">
        <v>69</v>
      </c>
      <c r="BG840" t="s">
        <v>69</v>
      </c>
      <c r="BH840" t="s">
        <v>69</v>
      </c>
      <c r="BI840">
        <v>312</v>
      </c>
      <c r="BJ840">
        <v>317</v>
      </c>
      <c r="BK840" t="s">
        <v>69</v>
      </c>
      <c r="BL840" t="s">
        <v>5889</v>
      </c>
      <c r="BM840" t="str">
        <f>HYPERLINK("http://dx.doi.org/10.1179/oeh.2007.13.3.312","http://dx.doi.org/10.1179/oeh.2007.13.3.312")</f>
        <v>http://dx.doi.org/10.1179/oeh.2007.13.3.312</v>
      </c>
      <c r="BN840" t="s">
        <v>69</v>
      </c>
      <c r="BO840" t="s">
        <v>69</v>
      </c>
      <c r="BP840">
        <v>6</v>
      </c>
      <c r="BQ840" t="s">
        <v>8810</v>
      </c>
      <c r="BR840" t="s">
        <v>8523</v>
      </c>
      <c r="BS840" t="s">
        <v>8810</v>
      </c>
      <c r="BT840" t="s">
        <v>29668</v>
      </c>
      <c r="BU840" t="s">
        <v>5890</v>
      </c>
      <c r="BV840">
        <v>17915545</v>
      </c>
      <c r="BW840" t="s">
        <v>10995</v>
      </c>
      <c r="BX840" t="s">
        <v>69</v>
      </c>
      <c r="BY840" t="s">
        <v>69</v>
      </c>
      <c r="BZ840" t="s">
        <v>8526</v>
      </c>
      <c r="CA840" t="str">
        <f>HYPERLINK("https%3A%2F%2Fwww.webofscience.com%2Fwos%2Fwoscc%2Ffull-record%2FWOS:000249403200007","View Full Record in Web of Science")</f>
        <v>View Full Record in Web of Science</v>
      </c>
    </row>
    <row r="841" spans="1:79" ht="12.5" x14ac:dyDescent="0.25">
      <c r="B841" t="s">
        <v>8495</v>
      </c>
      <c r="D841" s="7" t="s">
        <v>32933</v>
      </c>
      <c r="E841" s="7"/>
      <c r="F841" s="7"/>
      <c r="G841" s="7"/>
      <c r="H841" t="s">
        <v>67</v>
      </c>
      <c r="I841" t="s">
        <v>2335</v>
      </c>
      <c r="J841" t="s">
        <v>69</v>
      </c>
      <c r="K841" t="s">
        <v>69</v>
      </c>
      <c r="L841" t="s">
        <v>69</v>
      </c>
      <c r="M841" t="s">
        <v>2336</v>
      </c>
      <c r="N841" t="s">
        <v>69</v>
      </c>
      <c r="O841" t="s">
        <v>69</v>
      </c>
      <c r="P841" t="s">
        <v>2337</v>
      </c>
      <c r="Q841" t="s">
        <v>2009</v>
      </c>
      <c r="R841" t="s">
        <v>69</v>
      </c>
      <c r="S841" t="s">
        <v>69</v>
      </c>
      <c r="T841" t="s">
        <v>8505</v>
      </c>
      <c r="U841" t="s">
        <v>8506</v>
      </c>
      <c r="V841" t="s">
        <v>69</v>
      </c>
      <c r="W841" t="s">
        <v>69</v>
      </c>
      <c r="X841" t="s">
        <v>69</v>
      </c>
      <c r="Y841" t="s">
        <v>69</v>
      </c>
      <c r="Z841" t="s">
        <v>69</v>
      </c>
      <c r="AA841" t="s">
        <v>18201</v>
      </c>
      <c r="AB841" t="s">
        <v>18202</v>
      </c>
      <c r="AC841" t="s">
        <v>2338</v>
      </c>
      <c r="AD841" t="s">
        <v>18203</v>
      </c>
      <c r="AE841" t="s">
        <v>69</v>
      </c>
      <c r="AF841" t="s">
        <v>18204</v>
      </c>
      <c r="AG841" t="s">
        <v>18205</v>
      </c>
      <c r="AH841" t="s">
        <v>69</v>
      </c>
      <c r="AI841" t="s">
        <v>69</v>
      </c>
      <c r="AJ841" t="s">
        <v>18206</v>
      </c>
      <c r="AK841" t="s">
        <v>9925</v>
      </c>
      <c r="AL841" t="s">
        <v>18207</v>
      </c>
      <c r="AM841" t="s">
        <v>69</v>
      </c>
      <c r="AN841">
        <v>82</v>
      </c>
      <c r="AO841">
        <v>6</v>
      </c>
      <c r="AP841">
        <v>6</v>
      </c>
      <c r="AQ841">
        <v>13</v>
      </c>
      <c r="AR841">
        <v>18</v>
      </c>
      <c r="AS841" t="s">
        <v>8924</v>
      </c>
      <c r="AT841" t="s">
        <v>8925</v>
      </c>
      <c r="AU841" t="s">
        <v>8926</v>
      </c>
      <c r="AV841" t="s">
        <v>69</v>
      </c>
      <c r="AW841" t="s">
        <v>2011</v>
      </c>
      <c r="AX841" t="s">
        <v>69</v>
      </c>
      <c r="AY841" t="s">
        <v>11240</v>
      </c>
      <c r="AZ841" t="s">
        <v>11240</v>
      </c>
      <c r="BA841" t="s">
        <v>274</v>
      </c>
      <c r="BB841">
        <v>2018</v>
      </c>
      <c r="BC841">
        <v>8</v>
      </c>
      <c r="BD841">
        <v>11</v>
      </c>
      <c r="BE841" t="s">
        <v>69</v>
      </c>
      <c r="BF841" t="s">
        <v>69</v>
      </c>
      <c r="BG841" t="s">
        <v>69</v>
      </c>
      <c r="BH841" t="s">
        <v>69</v>
      </c>
      <c r="BI841" t="s">
        <v>69</v>
      </c>
      <c r="BJ841" t="s">
        <v>69</v>
      </c>
      <c r="BK841">
        <v>157</v>
      </c>
      <c r="BL841" t="s">
        <v>2339</v>
      </c>
      <c r="BM841" t="str">
        <f>HYPERLINK("http://dx.doi.org/10.3390/buildings8110157","http://dx.doi.org/10.3390/buildings8110157")</f>
        <v>http://dx.doi.org/10.3390/buildings8110157</v>
      </c>
      <c r="BN841" t="s">
        <v>69</v>
      </c>
      <c r="BO841" t="s">
        <v>69</v>
      </c>
      <c r="BP841">
        <v>18</v>
      </c>
      <c r="BQ841" t="s">
        <v>11242</v>
      </c>
      <c r="BR841" t="s">
        <v>8548</v>
      </c>
      <c r="BS841" t="s">
        <v>8549</v>
      </c>
      <c r="BT841" t="s">
        <v>18208</v>
      </c>
      <c r="BU841" t="s">
        <v>2340</v>
      </c>
      <c r="BV841" t="s">
        <v>69</v>
      </c>
      <c r="BW841" t="s">
        <v>17361</v>
      </c>
      <c r="BX841" t="s">
        <v>69</v>
      </c>
      <c r="BY841" t="s">
        <v>69</v>
      </c>
      <c r="BZ841" t="s">
        <v>8526</v>
      </c>
      <c r="CA841" t="str">
        <f>HYPERLINK("https%3A%2F%2Fwww.webofscience.com%2Fwos%2Fwoscc%2Ffull-record%2FWOS:000451306700011","View Full Record in Web of Science")</f>
        <v>View Full Record in Web of Science</v>
      </c>
    </row>
    <row r="842" spans="1:79" ht="12.5" x14ac:dyDescent="0.25">
      <c r="B842" t="s">
        <v>8495</v>
      </c>
      <c r="D842" s="7" t="s">
        <v>32933</v>
      </c>
      <c r="E842" s="7"/>
      <c r="F842" s="7"/>
      <c r="G842" s="7"/>
      <c r="H842" t="s">
        <v>67</v>
      </c>
      <c r="I842" t="s">
        <v>7819</v>
      </c>
      <c r="J842" t="s">
        <v>69</v>
      </c>
      <c r="K842" t="s">
        <v>69</v>
      </c>
      <c r="L842" t="s">
        <v>69</v>
      </c>
      <c r="M842" t="s">
        <v>7820</v>
      </c>
      <c r="N842" t="s">
        <v>69</v>
      </c>
      <c r="O842" t="s">
        <v>69</v>
      </c>
      <c r="P842" t="s">
        <v>7821</v>
      </c>
      <c r="Q842" t="s">
        <v>7822</v>
      </c>
      <c r="R842" t="s">
        <v>69</v>
      </c>
      <c r="S842" t="s">
        <v>69</v>
      </c>
      <c r="T842" t="s">
        <v>8505</v>
      </c>
      <c r="U842" t="s">
        <v>8506</v>
      </c>
      <c r="V842" t="s">
        <v>69</v>
      </c>
      <c r="W842" t="s">
        <v>69</v>
      </c>
      <c r="X842" t="s">
        <v>69</v>
      </c>
      <c r="Y842" t="s">
        <v>69</v>
      </c>
      <c r="Z842" t="s">
        <v>69</v>
      </c>
      <c r="AA842" t="s">
        <v>20835</v>
      </c>
      <c r="AB842" t="s">
        <v>69</v>
      </c>
      <c r="AC842" t="s">
        <v>7823</v>
      </c>
      <c r="AD842" t="s">
        <v>20836</v>
      </c>
      <c r="AE842" t="s">
        <v>69</v>
      </c>
      <c r="AF842" t="s">
        <v>20837</v>
      </c>
      <c r="AG842" t="s">
        <v>20838</v>
      </c>
      <c r="AH842" t="s">
        <v>69</v>
      </c>
      <c r="AI842" t="s">
        <v>69</v>
      </c>
      <c r="AJ842" t="s">
        <v>69</v>
      </c>
      <c r="AK842" t="s">
        <v>69</v>
      </c>
      <c r="AL842" t="s">
        <v>69</v>
      </c>
      <c r="AM842" t="s">
        <v>69</v>
      </c>
      <c r="AN842">
        <v>7</v>
      </c>
      <c r="AO842">
        <v>0</v>
      </c>
      <c r="AP842">
        <v>0</v>
      </c>
      <c r="AQ842">
        <v>0</v>
      </c>
      <c r="AR842">
        <v>3</v>
      </c>
      <c r="AS842" t="s">
        <v>20839</v>
      </c>
      <c r="AT842" t="s">
        <v>20840</v>
      </c>
      <c r="AU842" t="s">
        <v>20841</v>
      </c>
      <c r="AV842" t="s">
        <v>7824</v>
      </c>
      <c r="AW842" t="s">
        <v>7825</v>
      </c>
      <c r="AX842" t="s">
        <v>69</v>
      </c>
      <c r="AY842" t="s">
        <v>20842</v>
      </c>
      <c r="AZ842" t="s">
        <v>20843</v>
      </c>
      <c r="BA842" t="s">
        <v>69</v>
      </c>
      <c r="BB842">
        <v>2017</v>
      </c>
      <c r="BC842" t="s">
        <v>69</v>
      </c>
      <c r="BD842">
        <v>1</v>
      </c>
      <c r="BE842" t="s">
        <v>69</v>
      </c>
      <c r="BF842" t="s">
        <v>69</v>
      </c>
      <c r="BG842" t="s">
        <v>69</v>
      </c>
      <c r="BH842" t="s">
        <v>69</v>
      </c>
      <c r="BI842">
        <v>179</v>
      </c>
      <c r="BJ842">
        <v>184</v>
      </c>
      <c r="BK842" t="s">
        <v>69</v>
      </c>
      <c r="BL842" t="s">
        <v>69</v>
      </c>
      <c r="BM842" t="s">
        <v>69</v>
      </c>
      <c r="BN842" t="s">
        <v>69</v>
      </c>
      <c r="BO842" t="s">
        <v>69</v>
      </c>
      <c r="BP842">
        <v>6</v>
      </c>
      <c r="BQ842" t="s">
        <v>9726</v>
      </c>
      <c r="BR842" t="s">
        <v>8573</v>
      </c>
      <c r="BS842" t="s">
        <v>8594</v>
      </c>
      <c r="BT842" t="s">
        <v>20844</v>
      </c>
      <c r="BU842" t="s">
        <v>7826</v>
      </c>
      <c r="BV842" t="s">
        <v>69</v>
      </c>
      <c r="BW842" t="s">
        <v>69</v>
      </c>
      <c r="BX842" t="s">
        <v>69</v>
      </c>
      <c r="BY842" t="s">
        <v>69</v>
      </c>
      <c r="BZ842" t="s">
        <v>8526</v>
      </c>
      <c r="CA842" t="str">
        <f>HYPERLINK("https%3A%2F%2Fwww.webofscience.com%2Fwos%2Fwoscc%2Ffull-record%2FWOS:000409465200028","View Full Record in Web of Science")</f>
        <v>View Full Record in Web of Science</v>
      </c>
    </row>
    <row r="843" spans="1:79" ht="12.5" x14ac:dyDescent="0.25">
      <c r="B843" t="s">
        <v>8495</v>
      </c>
      <c r="D843" s="7" t="s">
        <v>32933</v>
      </c>
      <c r="E843" s="7"/>
      <c r="F843" s="7"/>
      <c r="G843" s="7"/>
      <c r="H843" t="s">
        <v>67</v>
      </c>
      <c r="I843" t="s">
        <v>6692</v>
      </c>
      <c r="J843" t="s">
        <v>69</v>
      </c>
      <c r="K843" t="s">
        <v>69</v>
      </c>
      <c r="L843" t="s">
        <v>69</v>
      </c>
      <c r="M843" t="s">
        <v>6693</v>
      </c>
      <c r="N843" t="s">
        <v>69</v>
      </c>
      <c r="O843" t="s">
        <v>69</v>
      </c>
      <c r="P843" t="s">
        <v>6694</v>
      </c>
      <c r="Q843" t="s">
        <v>436</v>
      </c>
      <c r="R843" t="s">
        <v>69</v>
      </c>
      <c r="S843" t="s">
        <v>69</v>
      </c>
      <c r="T843" t="s">
        <v>8505</v>
      </c>
      <c r="U843" t="s">
        <v>8506</v>
      </c>
      <c r="V843" t="s">
        <v>69</v>
      </c>
      <c r="W843" t="s">
        <v>69</v>
      </c>
      <c r="X843" t="s">
        <v>69</v>
      </c>
      <c r="Y843" t="s">
        <v>69</v>
      </c>
      <c r="Z843" t="s">
        <v>69</v>
      </c>
      <c r="AA843" t="s">
        <v>14990</v>
      </c>
      <c r="AB843" t="s">
        <v>14991</v>
      </c>
      <c r="AC843" t="s">
        <v>6695</v>
      </c>
      <c r="AD843" t="s">
        <v>14992</v>
      </c>
      <c r="AE843" t="s">
        <v>69</v>
      </c>
      <c r="AF843" t="s">
        <v>14993</v>
      </c>
      <c r="AG843" t="s">
        <v>14994</v>
      </c>
      <c r="AH843" t="s">
        <v>6696</v>
      </c>
      <c r="AI843" t="s">
        <v>6697</v>
      </c>
      <c r="AJ843" t="s">
        <v>69</v>
      </c>
      <c r="AK843" t="s">
        <v>69</v>
      </c>
      <c r="AL843" t="s">
        <v>69</v>
      </c>
      <c r="AM843" t="s">
        <v>69</v>
      </c>
      <c r="AN843">
        <v>37</v>
      </c>
      <c r="AO843">
        <v>5</v>
      </c>
      <c r="AP843">
        <v>5</v>
      </c>
      <c r="AQ843">
        <v>0</v>
      </c>
      <c r="AR843">
        <v>18</v>
      </c>
      <c r="AS843" t="s">
        <v>8636</v>
      </c>
      <c r="AT843" t="s">
        <v>8637</v>
      </c>
      <c r="AU843" t="s">
        <v>8638</v>
      </c>
      <c r="AV843" t="s">
        <v>440</v>
      </c>
      <c r="AW843" t="s">
        <v>441</v>
      </c>
      <c r="AX843" t="s">
        <v>69</v>
      </c>
      <c r="AY843" t="s">
        <v>8639</v>
      </c>
      <c r="AZ843" t="s">
        <v>8640</v>
      </c>
      <c r="BA843" t="s">
        <v>6073</v>
      </c>
      <c r="BB843">
        <v>2020</v>
      </c>
      <c r="BC843">
        <v>258</v>
      </c>
      <c r="BD843" t="s">
        <v>69</v>
      </c>
      <c r="BE843" t="s">
        <v>69</v>
      </c>
      <c r="BF843" t="s">
        <v>69</v>
      </c>
      <c r="BG843" t="s">
        <v>69</v>
      </c>
      <c r="BH843" t="s">
        <v>69</v>
      </c>
      <c r="BI843" t="s">
        <v>69</v>
      </c>
      <c r="BJ843" t="s">
        <v>69</v>
      </c>
      <c r="BK843">
        <v>120677</v>
      </c>
      <c r="BL843" t="s">
        <v>6698</v>
      </c>
      <c r="BM843" t="str">
        <f>HYPERLINK("http://dx.doi.org/10.1016/j.jclepro.2020.120677","http://dx.doi.org/10.1016/j.jclepro.2020.120677")</f>
        <v>http://dx.doi.org/10.1016/j.jclepro.2020.120677</v>
      </c>
      <c r="BN843" t="s">
        <v>69</v>
      </c>
      <c r="BO843" t="s">
        <v>69</v>
      </c>
      <c r="BP843">
        <v>11</v>
      </c>
      <c r="BQ843" t="s">
        <v>8643</v>
      </c>
      <c r="BR843" t="s">
        <v>8523</v>
      </c>
      <c r="BS843" t="s">
        <v>8644</v>
      </c>
      <c r="BT843" t="s">
        <v>14995</v>
      </c>
      <c r="BU843" t="s">
        <v>6699</v>
      </c>
      <c r="BV843" t="s">
        <v>69</v>
      </c>
      <c r="BW843" t="s">
        <v>69</v>
      </c>
      <c r="BX843" t="s">
        <v>69</v>
      </c>
      <c r="BY843" t="s">
        <v>69</v>
      </c>
      <c r="BZ843" t="s">
        <v>8526</v>
      </c>
      <c r="CA843" t="str">
        <f>HYPERLINK("https%3A%2F%2Fwww.webofscience.com%2Fwos%2Fwoscc%2Ffull-record%2FWOS:000525323600101","View Full Record in Web of Science")</f>
        <v>View Full Record in Web of Science</v>
      </c>
    </row>
    <row r="844" spans="1:79" ht="12.5" x14ac:dyDescent="0.25">
      <c r="B844" t="s">
        <v>8495</v>
      </c>
      <c r="D844" s="7" t="s">
        <v>32933</v>
      </c>
      <c r="E844" s="7"/>
      <c r="F844" s="7"/>
      <c r="G844" s="7"/>
      <c r="H844" t="s">
        <v>67</v>
      </c>
      <c r="I844" t="s">
        <v>1844</v>
      </c>
      <c r="J844" t="s">
        <v>69</v>
      </c>
      <c r="K844" t="s">
        <v>69</v>
      </c>
      <c r="L844" t="s">
        <v>69</v>
      </c>
      <c r="M844" t="s">
        <v>1845</v>
      </c>
      <c r="N844" t="s">
        <v>69</v>
      </c>
      <c r="O844" t="s">
        <v>69</v>
      </c>
      <c r="P844" t="s">
        <v>1846</v>
      </c>
      <c r="Q844" t="s">
        <v>1847</v>
      </c>
      <c r="R844" t="s">
        <v>69</v>
      </c>
      <c r="S844" t="s">
        <v>69</v>
      </c>
      <c r="T844" t="s">
        <v>8505</v>
      </c>
      <c r="U844" t="s">
        <v>8506</v>
      </c>
      <c r="V844" t="s">
        <v>69</v>
      </c>
      <c r="W844" t="s">
        <v>69</v>
      </c>
      <c r="X844" t="s">
        <v>69</v>
      </c>
      <c r="Y844" t="s">
        <v>69</v>
      </c>
      <c r="Z844" t="s">
        <v>69</v>
      </c>
      <c r="AA844" t="s">
        <v>13927</v>
      </c>
      <c r="AB844" t="s">
        <v>69</v>
      </c>
      <c r="AC844" t="s">
        <v>1848</v>
      </c>
      <c r="AD844" t="s">
        <v>13928</v>
      </c>
      <c r="AE844" t="s">
        <v>69</v>
      </c>
      <c r="AF844" t="s">
        <v>13929</v>
      </c>
      <c r="AG844" t="s">
        <v>13930</v>
      </c>
      <c r="AH844" t="s">
        <v>69</v>
      </c>
      <c r="AI844" t="s">
        <v>69</v>
      </c>
      <c r="AJ844" t="s">
        <v>13931</v>
      </c>
      <c r="AK844" t="s">
        <v>13931</v>
      </c>
      <c r="AL844" t="s">
        <v>13932</v>
      </c>
      <c r="AM844" t="s">
        <v>69</v>
      </c>
      <c r="AN844">
        <v>60</v>
      </c>
      <c r="AO844">
        <v>2</v>
      </c>
      <c r="AP844">
        <v>2</v>
      </c>
      <c r="AQ844">
        <v>4</v>
      </c>
      <c r="AR844">
        <v>10</v>
      </c>
      <c r="AS844" t="s">
        <v>8586</v>
      </c>
      <c r="AT844" t="s">
        <v>8587</v>
      </c>
      <c r="AU844" t="s">
        <v>8588</v>
      </c>
      <c r="AV844" t="s">
        <v>1849</v>
      </c>
      <c r="AW844" t="s">
        <v>1850</v>
      </c>
      <c r="AX844" t="s">
        <v>69</v>
      </c>
      <c r="AY844" t="s">
        <v>13933</v>
      </c>
      <c r="AZ844" t="s">
        <v>13934</v>
      </c>
      <c r="BA844" t="s">
        <v>13885</v>
      </c>
      <c r="BB844">
        <v>2021</v>
      </c>
      <c r="BC844">
        <v>15</v>
      </c>
      <c r="BD844">
        <v>3</v>
      </c>
      <c r="BE844" t="s">
        <v>69</v>
      </c>
      <c r="BF844" t="s">
        <v>69</v>
      </c>
      <c r="BG844" t="s">
        <v>69</v>
      </c>
      <c r="BH844" t="s">
        <v>69</v>
      </c>
      <c r="BI844">
        <v>476</v>
      </c>
      <c r="BJ844">
        <v>495</v>
      </c>
      <c r="BK844" t="s">
        <v>69</v>
      </c>
      <c r="BL844" t="s">
        <v>1851</v>
      </c>
      <c r="BM844" t="str">
        <f>HYPERLINK("http://dx.doi.org/10.1108/IJESM-04-2020-0006","http://dx.doi.org/10.1108/IJESM-04-2020-0006")</f>
        <v>http://dx.doi.org/10.1108/IJESM-04-2020-0006</v>
      </c>
      <c r="BN844" t="s">
        <v>69</v>
      </c>
      <c r="BO844" t="s">
        <v>1852</v>
      </c>
      <c r="BP844">
        <v>20</v>
      </c>
      <c r="BQ844" t="s">
        <v>9410</v>
      </c>
      <c r="BR844" t="s">
        <v>8573</v>
      </c>
      <c r="BS844" t="s">
        <v>8594</v>
      </c>
      <c r="BT844" t="s">
        <v>13935</v>
      </c>
      <c r="BU844" t="s">
        <v>1853</v>
      </c>
      <c r="BV844" t="s">
        <v>69</v>
      </c>
      <c r="BW844" t="s">
        <v>10995</v>
      </c>
      <c r="BX844" t="s">
        <v>69</v>
      </c>
      <c r="BY844" t="s">
        <v>69</v>
      </c>
      <c r="BZ844" t="s">
        <v>8526</v>
      </c>
      <c r="CA844" t="str">
        <f>HYPERLINK("https%3A%2F%2Fwww.webofscience.com%2Fwos%2Fwoscc%2Ffull-record%2FWOS:000596614700001","View Full Record in Web of Science")</f>
        <v>View Full Record in Web of Science</v>
      </c>
    </row>
    <row r="845" spans="1:79" ht="12.5" x14ac:dyDescent="0.25">
      <c r="B845" t="s">
        <v>8495</v>
      </c>
      <c r="D845" s="7" t="s">
        <v>32933</v>
      </c>
      <c r="E845" s="7"/>
      <c r="F845" s="7"/>
      <c r="G845" s="7"/>
      <c r="H845" t="s">
        <v>67</v>
      </c>
      <c r="I845" t="s">
        <v>2569</v>
      </c>
      <c r="J845" t="s">
        <v>69</v>
      </c>
      <c r="K845" t="s">
        <v>69</v>
      </c>
      <c r="L845" t="s">
        <v>69</v>
      </c>
      <c r="M845" t="s">
        <v>2570</v>
      </c>
      <c r="N845" t="s">
        <v>69</v>
      </c>
      <c r="O845" t="s">
        <v>69</v>
      </c>
      <c r="P845" t="s">
        <v>2571</v>
      </c>
      <c r="Q845" t="s">
        <v>2572</v>
      </c>
      <c r="R845" t="s">
        <v>69</v>
      </c>
      <c r="S845" t="s">
        <v>69</v>
      </c>
      <c r="T845" t="s">
        <v>8505</v>
      </c>
      <c r="U845" t="s">
        <v>8506</v>
      </c>
      <c r="V845" t="s">
        <v>69</v>
      </c>
      <c r="W845" t="s">
        <v>69</v>
      </c>
      <c r="X845" t="s">
        <v>69</v>
      </c>
      <c r="Y845" t="s">
        <v>69</v>
      </c>
      <c r="Z845" t="s">
        <v>69</v>
      </c>
      <c r="AA845" t="s">
        <v>20031</v>
      </c>
      <c r="AB845" t="s">
        <v>20032</v>
      </c>
      <c r="AC845" t="s">
        <v>2573</v>
      </c>
      <c r="AD845" t="s">
        <v>20033</v>
      </c>
      <c r="AE845" t="s">
        <v>69</v>
      </c>
      <c r="AF845" t="s">
        <v>20034</v>
      </c>
      <c r="AG845" t="s">
        <v>20035</v>
      </c>
      <c r="AH845" t="s">
        <v>69</v>
      </c>
      <c r="AI845" t="s">
        <v>69</v>
      </c>
      <c r="AJ845" t="s">
        <v>69</v>
      </c>
      <c r="AK845" t="s">
        <v>69</v>
      </c>
      <c r="AL845" t="s">
        <v>69</v>
      </c>
      <c r="AM845" t="s">
        <v>69</v>
      </c>
      <c r="AN845">
        <v>23</v>
      </c>
      <c r="AO845">
        <v>0</v>
      </c>
      <c r="AP845">
        <v>0</v>
      </c>
      <c r="AQ845">
        <v>0</v>
      </c>
      <c r="AR845">
        <v>10</v>
      </c>
      <c r="AS845" t="s">
        <v>20036</v>
      </c>
      <c r="AT845" t="s">
        <v>20037</v>
      </c>
      <c r="AU845" t="s">
        <v>20038</v>
      </c>
      <c r="AV845" t="s">
        <v>2574</v>
      </c>
      <c r="AW845" t="s">
        <v>69</v>
      </c>
      <c r="AX845" t="s">
        <v>69</v>
      </c>
      <c r="AY845" t="s">
        <v>20039</v>
      </c>
      <c r="AZ845" t="s">
        <v>20040</v>
      </c>
      <c r="BA845" t="s">
        <v>255</v>
      </c>
      <c r="BB845">
        <v>2017</v>
      </c>
      <c r="BC845">
        <v>22</v>
      </c>
      <c r="BD845">
        <v>1</v>
      </c>
      <c r="BE845" t="s">
        <v>69</v>
      </c>
      <c r="BF845" t="s">
        <v>69</v>
      </c>
      <c r="BG845" t="s">
        <v>69</v>
      </c>
      <c r="BH845" t="s">
        <v>69</v>
      </c>
      <c r="BI845">
        <v>57</v>
      </c>
      <c r="BJ845">
        <v>71</v>
      </c>
      <c r="BK845" t="s">
        <v>69</v>
      </c>
      <c r="BL845" t="s">
        <v>2575</v>
      </c>
      <c r="BM845" t="str">
        <f>HYPERLINK("http://dx.doi.org/10.6531/JFS.2017.22(1).A57","http://dx.doi.org/10.6531/JFS.2017.22(1).A57")</f>
        <v>http://dx.doi.org/10.6531/JFS.2017.22(1).A57</v>
      </c>
      <c r="BN845" t="s">
        <v>69</v>
      </c>
      <c r="BO845" t="s">
        <v>69</v>
      </c>
      <c r="BP845">
        <v>15</v>
      </c>
      <c r="BQ845" t="s">
        <v>14187</v>
      </c>
      <c r="BR845" t="s">
        <v>8573</v>
      </c>
      <c r="BS845" t="s">
        <v>12182</v>
      </c>
      <c r="BT845" t="s">
        <v>20041</v>
      </c>
      <c r="BU845" t="s">
        <v>2576</v>
      </c>
      <c r="BV845" t="s">
        <v>69</v>
      </c>
      <c r="BW845" t="s">
        <v>69</v>
      </c>
      <c r="BX845" t="s">
        <v>69</v>
      </c>
      <c r="BY845" t="s">
        <v>69</v>
      </c>
      <c r="BZ845" t="s">
        <v>8526</v>
      </c>
      <c r="CA845" t="str">
        <f>HYPERLINK("https%3A%2F%2Fwww.webofscience.com%2Fwos%2Fwoscc%2Ffull-record%2FWOS:000419143900004","View Full Record in Web of Science")</f>
        <v>View Full Record in Web of Science</v>
      </c>
    </row>
    <row r="846" spans="1:79" ht="12.5" x14ac:dyDescent="0.25">
      <c r="B846" t="s">
        <v>8495</v>
      </c>
      <c r="D846" s="7" t="s">
        <v>32933</v>
      </c>
      <c r="E846" s="7"/>
      <c r="F846" s="7"/>
      <c r="G846" s="7"/>
      <c r="H846" t="s">
        <v>67</v>
      </c>
      <c r="I846" t="s">
        <v>3009</v>
      </c>
      <c r="J846" t="s">
        <v>69</v>
      </c>
      <c r="K846" t="s">
        <v>69</v>
      </c>
      <c r="L846" t="s">
        <v>69</v>
      </c>
      <c r="M846" t="s">
        <v>3010</v>
      </c>
      <c r="N846" t="s">
        <v>69</v>
      </c>
      <c r="O846" t="s">
        <v>69</v>
      </c>
      <c r="P846" t="s">
        <v>3011</v>
      </c>
      <c r="Q846" t="s">
        <v>3012</v>
      </c>
      <c r="R846" t="s">
        <v>69</v>
      </c>
      <c r="S846" t="s">
        <v>69</v>
      </c>
      <c r="T846" t="s">
        <v>8505</v>
      </c>
      <c r="U846" t="s">
        <v>8506</v>
      </c>
      <c r="V846" t="s">
        <v>69</v>
      </c>
      <c r="W846" t="s">
        <v>69</v>
      </c>
      <c r="X846" t="s">
        <v>69</v>
      </c>
      <c r="Y846" t="s">
        <v>69</v>
      </c>
      <c r="Z846" t="s">
        <v>69</v>
      </c>
      <c r="AA846" t="s">
        <v>22574</v>
      </c>
      <c r="AB846" t="s">
        <v>22575</v>
      </c>
      <c r="AC846" t="s">
        <v>3013</v>
      </c>
      <c r="AD846" t="s">
        <v>22576</v>
      </c>
      <c r="AE846" t="s">
        <v>69</v>
      </c>
      <c r="AF846" t="s">
        <v>22577</v>
      </c>
      <c r="AG846" t="s">
        <v>22578</v>
      </c>
      <c r="AH846" t="s">
        <v>3014</v>
      </c>
      <c r="AI846" t="s">
        <v>3015</v>
      </c>
      <c r="AJ846" t="s">
        <v>22579</v>
      </c>
      <c r="AK846" t="s">
        <v>22579</v>
      </c>
      <c r="AL846" t="s">
        <v>22580</v>
      </c>
      <c r="AM846" t="s">
        <v>69</v>
      </c>
      <c r="AN846">
        <v>107</v>
      </c>
      <c r="AO846">
        <v>49</v>
      </c>
      <c r="AP846">
        <v>50</v>
      </c>
      <c r="AQ846">
        <v>8</v>
      </c>
      <c r="AR846">
        <v>83</v>
      </c>
      <c r="AS846" t="s">
        <v>9145</v>
      </c>
      <c r="AT846" t="s">
        <v>8637</v>
      </c>
      <c r="AU846" t="s">
        <v>9146</v>
      </c>
      <c r="AV846" t="s">
        <v>3016</v>
      </c>
      <c r="AW846" t="s">
        <v>3017</v>
      </c>
      <c r="AX846" t="s">
        <v>69</v>
      </c>
      <c r="AY846" t="s">
        <v>22581</v>
      </c>
      <c r="AZ846" t="s">
        <v>22582</v>
      </c>
      <c r="BA846" t="s">
        <v>84</v>
      </c>
      <c r="BB846">
        <v>2015</v>
      </c>
      <c r="BC846">
        <v>80</v>
      </c>
      <c r="BD846" t="s">
        <v>69</v>
      </c>
      <c r="BE846" t="s">
        <v>69</v>
      </c>
      <c r="BF846" t="s">
        <v>69</v>
      </c>
      <c r="BG846" t="s">
        <v>69</v>
      </c>
      <c r="BH846" t="s">
        <v>69</v>
      </c>
      <c r="BI846">
        <v>125</v>
      </c>
      <c r="BJ846">
        <v>141</v>
      </c>
      <c r="BK846" t="s">
        <v>69</v>
      </c>
      <c r="BL846" t="s">
        <v>3018</v>
      </c>
      <c r="BM846" t="str">
        <f>HYPERLINK("http://dx.doi.org/10.1016/j.aap.2015.04.008","http://dx.doi.org/10.1016/j.aap.2015.04.008")</f>
        <v>http://dx.doi.org/10.1016/j.aap.2015.04.008</v>
      </c>
      <c r="BN846" t="s">
        <v>69</v>
      </c>
      <c r="BO846" t="s">
        <v>69</v>
      </c>
      <c r="BP846">
        <v>17</v>
      </c>
      <c r="BQ846" t="s">
        <v>22583</v>
      </c>
      <c r="BR846" t="s">
        <v>8661</v>
      </c>
      <c r="BS846" t="s">
        <v>22584</v>
      </c>
      <c r="BT846" t="s">
        <v>22585</v>
      </c>
      <c r="BU846" t="s">
        <v>3019</v>
      </c>
      <c r="BV846">
        <v>25909389</v>
      </c>
      <c r="BW846" t="s">
        <v>69</v>
      </c>
      <c r="BX846" t="s">
        <v>69</v>
      </c>
      <c r="BY846" t="s">
        <v>69</v>
      </c>
      <c r="BZ846" t="s">
        <v>8526</v>
      </c>
      <c r="CA846" t="str">
        <f>HYPERLINK("https%3A%2F%2Fwww.webofscience.com%2Fwos%2Fwoscc%2Ffull-record%2FWOS:000356116200014","View Full Record in Web of Science")</f>
        <v>View Full Record in Web of Science</v>
      </c>
    </row>
    <row r="847" spans="1:79" x14ac:dyDescent="0.3">
      <c r="B847" t="s">
        <v>8495</v>
      </c>
      <c r="D847" s="13" t="s">
        <v>32995</v>
      </c>
      <c r="H847" t="s">
        <v>67</v>
      </c>
      <c r="I847" t="s">
        <v>6231</v>
      </c>
      <c r="J847" t="s">
        <v>69</v>
      </c>
      <c r="K847" t="s">
        <v>69</v>
      </c>
      <c r="L847" t="s">
        <v>69</v>
      </c>
      <c r="M847" s="4" t="s">
        <v>6231</v>
      </c>
      <c r="N847" t="s">
        <v>69</v>
      </c>
      <c r="O847" t="s">
        <v>69</v>
      </c>
      <c r="P847" s="2" t="s">
        <v>6232</v>
      </c>
      <c r="Q847" t="s">
        <v>1351</v>
      </c>
      <c r="R847" t="s">
        <v>69</v>
      </c>
      <c r="S847" t="s">
        <v>69</v>
      </c>
      <c r="T847" t="s">
        <v>8505</v>
      </c>
      <c r="U847" t="s">
        <v>8506</v>
      </c>
      <c r="V847" t="s">
        <v>69</v>
      </c>
      <c r="W847" t="s">
        <v>69</v>
      </c>
      <c r="X847" t="s">
        <v>69</v>
      </c>
      <c r="Y847" t="s">
        <v>69</v>
      </c>
      <c r="Z847" t="s">
        <v>69</v>
      </c>
      <c r="AA847" t="s">
        <v>69</v>
      </c>
      <c r="AB847" t="s">
        <v>69</v>
      </c>
      <c r="AC847" t="s">
        <v>6233</v>
      </c>
      <c r="AD847" t="s">
        <v>69</v>
      </c>
      <c r="AE847" t="s">
        <v>69</v>
      </c>
      <c r="AF847" t="s">
        <v>32679</v>
      </c>
      <c r="AG847" t="s">
        <v>69</v>
      </c>
      <c r="AH847" t="s">
        <v>69</v>
      </c>
      <c r="AI847" t="s">
        <v>69</v>
      </c>
      <c r="AJ847" t="s">
        <v>69</v>
      </c>
      <c r="AK847" t="s">
        <v>69</v>
      </c>
      <c r="AL847" t="s">
        <v>69</v>
      </c>
      <c r="AM847" t="s">
        <v>69</v>
      </c>
      <c r="AN847">
        <v>2</v>
      </c>
      <c r="AO847">
        <v>6</v>
      </c>
      <c r="AP847">
        <v>6</v>
      </c>
      <c r="AQ847">
        <v>0</v>
      </c>
      <c r="AR847">
        <v>3</v>
      </c>
      <c r="AS847" t="s">
        <v>32680</v>
      </c>
      <c r="AT847" t="s">
        <v>8693</v>
      </c>
      <c r="AU847" t="s">
        <v>32681</v>
      </c>
      <c r="AV847" t="s">
        <v>1353</v>
      </c>
      <c r="AW847" t="s">
        <v>69</v>
      </c>
      <c r="AX847" t="s">
        <v>69</v>
      </c>
      <c r="AY847" t="s">
        <v>8677</v>
      </c>
      <c r="AZ847" t="s">
        <v>8678</v>
      </c>
      <c r="BA847" t="s">
        <v>1375</v>
      </c>
      <c r="BB847">
        <v>1994</v>
      </c>
      <c r="BC847">
        <v>10</v>
      </c>
      <c r="BD847">
        <v>3</v>
      </c>
      <c r="BE847" t="s">
        <v>69</v>
      </c>
      <c r="BF847" t="s">
        <v>69</v>
      </c>
      <c r="BG847" t="s">
        <v>69</v>
      </c>
      <c r="BH847" t="s">
        <v>69</v>
      </c>
      <c r="BI847">
        <v>56</v>
      </c>
      <c r="BJ847">
        <v>64</v>
      </c>
      <c r="BK847" t="s">
        <v>69</v>
      </c>
      <c r="BL847" t="s">
        <v>6234</v>
      </c>
      <c r="BM847" t="str">
        <f>HYPERLINK("http://dx.doi.org/10.1061/(ASCE)9742-597X(1994)10:3(56)","http://dx.doi.org/10.1061/(ASCE)9742-597X(1994)10:3(56)")</f>
        <v>http://dx.doi.org/10.1061/(ASCE)9742-597X(1994)10:3(56)</v>
      </c>
      <c r="BN847" t="s">
        <v>69</v>
      </c>
      <c r="BO847" t="s">
        <v>69</v>
      </c>
      <c r="BP847">
        <v>9</v>
      </c>
      <c r="BQ847" t="s">
        <v>8680</v>
      </c>
      <c r="BR847" t="s">
        <v>8548</v>
      </c>
      <c r="BS847" t="s">
        <v>8445</v>
      </c>
      <c r="BT847" t="s">
        <v>32682</v>
      </c>
      <c r="BU847" t="s">
        <v>6235</v>
      </c>
      <c r="BV847" t="s">
        <v>69</v>
      </c>
      <c r="BW847" t="s">
        <v>69</v>
      </c>
      <c r="BX847" t="s">
        <v>69</v>
      </c>
      <c r="BY847" t="s">
        <v>69</v>
      </c>
      <c r="BZ847" t="s">
        <v>8526</v>
      </c>
      <c r="CA847" t="str">
        <f>HYPERLINK("https%3A%2F%2Fwww.webofscience.com%2Fwos%2Fwoscc%2Ffull-record%2FWOS:A1994QB01400017","View Full Record in Web of Science")</f>
        <v>View Full Record in Web of Science</v>
      </c>
    </row>
    <row r="848" spans="1:79" ht="12.5" x14ac:dyDescent="0.25">
      <c r="B848" t="s">
        <v>8495</v>
      </c>
      <c r="D848" s="7" t="s">
        <v>32933</v>
      </c>
      <c r="E848" s="7"/>
      <c r="F848" s="7"/>
      <c r="G848" s="7"/>
      <c r="H848" t="s">
        <v>67</v>
      </c>
      <c r="I848" t="s">
        <v>6683</v>
      </c>
      <c r="J848" t="s">
        <v>69</v>
      </c>
      <c r="K848" t="s">
        <v>69</v>
      </c>
      <c r="L848" t="s">
        <v>69</v>
      </c>
      <c r="M848" t="s">
        <v>6684</v>
      </c>
      <c r="N848" t="s">
        <v>69</v>
      </c>
      <c r="O848" t="s">
        <v>69</v>
      </c>
      <c r="P848" t="s">
        <v>6685</v>
      </c>
      <c r="Q848" t="s">
        <v>6686</v>
      </c>
      <c r="R848" t="s">
        <v>69</v>
      </c>
      <c r="S848" t="s">
        <v>69</v>
      </c>
      <c r="T848" t="s">
        <v>8505</v>
      </c>
      <c r="U848" t="s">
        <v>8506</v>
      </c>
      <c r="V848" t="s">
        <v>69</v>
      </c>
      <c r="W848" t="s">
        <v>69</v>
      </c>
      <c r="X848" t="s">
        <v>69</v>
      </c>
      <c r="Y848" t="s">
        <v>69</v>
      </c>
      <c r="Z848" t="s">
        <v>69</v>
      </c>
      <c r="AA848" t="s">
        <v>21871</v>
      </c>
      <c r="AB848" t="s">
        <v>21872</v>
      </c>
      <c r="AC848" t="s">
        <v>6687</v>
      </c>
      <c r="AD848" t="s">
        <v>21873</v>
      </c>
      <c r="AE848" t="s">
        <v>69</v>
      </c>
      <c r="AF848" t="s">
        <v>21874</v>
      </c>
      <c r="AG848" t="s">
        <v>21875</v>
      </c>
      <c r="AH848" t="s">
        <v>21876</v>
      </c>
      <c r="AI848" t="s">
        <v>21877</v>
      </c>
      <c r="AJ848" t="s">
        <v>69</v>
      </c>
      <c r="AK848" t="s">
        <v>69</v>
      </c>
      <c r="AL848" t="s">
        <v>69</v>
      </c>
      <c r="AM848" t="s">
        <v>69</v>
      </c>
      <c r="AN848">
        <v>46</v>
      </c>
      <c r="AO848">
        <v>18</v>
      </c>
      <c r="AP848">
        <v>19</v>
      </c>
      <c r="AQ848">
        <v>0</v>
      </c>
      <c r="AR848">
        <v>9</v>
      </c>
      <c r="AS848" t="s">
        <v>8586</v>
      </c>
      <c r="AT848" t="s">
        <v>8587</v>
      </c>
      <c r="AU848" t="s">
        <v>8588</v>
      </c>
      <c r="AV848" t="s">
        <v>6688</v>
      </c>
      <c r="AW848" t="s">
        <v>6689</v>
      </c>
      <c r="AX848" t="s">
        <v>69</v>
      </c>
      <c r="AY848" t="s">
        <v>21878</v>
      </c>
      <c r="AZ848" t="s">
        <v>21879</v>
      </c>
      <c r="BA848" t="s">
        <v>69</v>
      </c>
      <c r="BB848">
        <v>2016</v>
      </c>
      <c r="BC848">
        <v>1</v>
      </c>
      <c r="BD848">
        <v>2</v>
      </c>
      <c r="BE848" t="s">
        <v>69</v>
      </c>
      <c r="BF848" t="s">
        <v>69</v>
      </c>
      <c r="BG848" t="s">
        <v>69</v>
      </c>
      <c r="BH848" t="s">
        <v>69</v>
      </c>
      <c r="BI848">
        <v>90</v>
      </c>
      <c r="BJ848">
        <v>106</v>
      </c>
      <c r="BK848" t="s">
        <v>69</v>
      </c>
      <c r="BL848" t="s">
        <v>6690</v>
      </c>
      <c r="BM848" t="str">
        <f>HYPERLINK("http://dx.doi.org/10.1108/MABR-05-2016-0009","http://dx.doi.org/10.1108/MABR-05-2016-0009")</f>
        <v>http://dx.doi.org/10.1108/MABR-05-2016-0009</v>
      </c>
      <c r="BN848" t="s">
        <v>69</v>
      </c>
      <c r="BO848" t="s">
        <v>69</v>
      </c>
      <c r="BP848">
        <v>17</v>
      </c>
      <c r="BQ848" t="s">
        <v>8444</v>
      </c>
      <c r="BR848" t="s">
        <v>8573</v>
      </c>
      <c r="BS848" t="s">
        <v>8594</v>
      </c>
      <c r="BT848" t="s">
        <v>21880</v>
      </c>
      <c r="BU848" t="s">
        <v>6691</v>
      </c>
      <c r="BV848" t="s">
        <v>69</v>
      </c>
      <c r="BW848" t="s">
        <v>9374</v>
      </c>
      <c r="BX848" t="s">
        <v>69</v>
      </c>
      <c r="BY848" t="s">
        <v>69</v>
      </c>
      <c r="BZ848" t="s">
        <v>8526</v>
      </c>
      <c r="CA848" t="str">
        <f>HYPERLINK("https%3A%2F%2Fwww.webofscience.com%2Fwos%2Fwoscc%2Ffull-record%2FWOS:000413205500001","View Full Record in Web of Science")</f>
        <v>View Full Record in Web of Science</v>
      </c>
    </row>
    <row r="849" spans="2:79" ht="12.5" x14ac:dyDescent="0.25">
      <c r="B849" t="s">
        <v>8495</v>
      </c>
      <c r="D849" s="22" t="s">
        <v>32931</v>
      </c>
      <c r="E849" s="7"/>
      <c r="F849" s="7"/>
      <c r="G849" s="7"/>
      <c r="H849" t="s">
        <v>67</v>
      </c>
      <c r="I849" t="s">
        <v>22333</v>
      </c>
      <c r="J849" t="s">
        <v>69</v>
      </c>
      <c r="K849" t="s">
        <v>69</v>
      </c>
      <c r="L849" t="s">
        <v>69</v>
      </c>
      <c r="M849" t="s">
        <v>22334</v>
      </c>
      <c r="N849" t="s">
        <v>69</v>
      </c>
      <c r="O849" t="s">
        <v>69</v>
      </c>
      <c r="P849" t="s">
        <v>22335</v>
      </c>
      <c r="Q849" t="s">
        <v>14711</v>
      </c>
      <c r="R849" t="s">
        <v>69</v>
      </c>
      <c r="S849" t="s">
        <v>69</v>
      </c>
      <c r="T849" t="s">
        <v>8505</v>
      </c>
      <c r="U849" t="s">
        <v>8506</v>
      </c>
      <c r="V849" t="s">
        <v>69</v>
      </c>
      <c r="W849" t="s">
        <v>69</v>
      </c>
      <c r="X849" t="s">
        <v>69</v>
      </c>
      <c r="Y849" t="s">
        <v>69</v>
      </c>
      <c r="Z849" t="s">
        <v>69</v>
      </c>
      <c r="AA849" t="s">
        <v>69</v>
      </c>
      <c r="AB849" t="s">
        <v>22336</v>
      </c>
      <c r="AC849" t="s">
        <v>22337</v>
      </c>
      <c r="AD849" t="s">
        <v>22338</v>
      </c>
      <c r="AE849" t="s">
        <v>69</v>
      </c>
      <c r="AF849" t="s">
        <v>22339</v>
      </c>
      <c r="AG849" t="s">
        <v>22340</v>
      </c>
      <c r="AH849" t="s">
        <v>69</v>
      </c>
      <c r="AI849" t="s">
        <v>69</v>
      </c>
      <c r="AJ849" t="s">
        <v>69</v>
      </c>
      <c r="AK849" t="s">
        <v>69</v>
      </c>
      <c r="AL849" t="s">
        <v>69</v>
      </c>
      <c r="AM849" t="s">
        <v>69</v>
      </c>
      <c r="AN849">
        <v>56</v>
      </c>
      <c r="AO849">
        <v>21</v>
      </c>
      <c r="AP849">
        <v>21</v>
      </c>
      <c r="AQ849">
        <v>0</v>
      </c>
      <c r="AR849">
        <v>43</v>
      </c>
      <c r="AS849" t="s">
        <v>8865</v>
      </c>
      <c r="AT849" t="s">
        <v>8612</v>
      </c>
      <c r="AU849" t="s">
        <v>22341</v>
      </c>
      <c r="AV849" t="s">
        <v>14720</v>
      </c>
      <c r="AW849" t="s">
        <v>14721</v>
      </c>
      <c r="AX849" t="s">
        <v>69</v>
      </c>
      <c r="AY849" t="s">
        <v>14722</v>
      </c>
      <c r="AZ849" t="s">
        <v>14723</v>
      </c>
      <c r="BA849" t="s">
        <v>874</v>
      </c>
      <c r="BB849">
        <v>2015</v>
      </c>
      <c r="BC849">
        <v>26</v>
      </c>
      <c r="BD849">
        <v>8</v>
      </c>
      <c r="BE849" t="s">
        <v>69</v>
      </c>
      <c r="BF849" t="s">
        <v>69</v>
      </c>
      <c r="BG849" t="s">
        <v>69</v>
      </c>
      <c r="BH849" t="s">
        <v>69</v>
      </c>
      <c r="BI849">
        <v>1086</v>
      </c>
      <c r="BJ849">
        <v>1110</v>
      </c>
      <c r="BK849" t="s">
        <v>69</v>
      </c>
      <c r="BL849" t="s">
        <v>22342</v>
      </c>
      <c r="BM849" t="str">
        <f>HYPERLINK("http://dx.doi.org/10.1080/10409289.2015.1036348","http://dx.doi.org/10.1080/10409289.2015.1036348")</f>
        <v>http://dx.doi.org/10.1080/10409289.2015.1036348</v>
      </c>
      <c r="BN849" t="s">
        <v>69</v>
      </c>
      <c r="BO849" t="s">
        <v>69</v>
      </c>
      <c r="BP849">
        <v>25</v>
      </c>
      <c r="BQ849" t="s">
        <v>14725</v>
      </c>
      <c r="BR849" t="s">
        <v>8661</v>
      </c>
      <c r="BS849" t="s">
        <v>14726</v>
      </c>
      <c r="BT849" t="s">
        <v>22343</v>
      </c>
      <c r="BU849" t="s">
        <v>22344</v>
      </c>
      <c r="BV849" t="s">
        <v>69</v>
      </c>
      <c r="BW849" t="s">
        <v>69</v>
      </c>
      <c r="BX849" t="s">
        <v>69</v>
      </c>
      <c r="BY849" t="s">
        <v>69</v>
      </c>
      <c r="BZ849" t="s">
        <v>8526</v>
      </c>
      <c r="CA849" t="str">
        <f>HYPERLINK("https%3A%2F%2Fwww.webofscience.com%2Fwos%2Fwoscc%2Ffull-record%2FWOS:000360455500002","View Full Record in Web of Science")</f>
        <v>View Full Record in Web of Science</v>
      </c>
    </row>
    <row r="850" spans="2:79" ht="12.5" x14ac:dyDescent="0.25">
      <c r="B850" t="s">
        <v>8495</v>
      </c>
      <c r="D850" s="7" t="s">
        <v>32933</v>
      </c>
      <c r="E850" s="7"/>
      <c r="F850" s="7"/>
      <c r="G850" s="7"/>
      <c r="H850" t="s">
        <v>67</v>
      </c>
      <c r="I850" t="s">
        <v>7827</v>
      </c>
      <c r="J850" t="s">
        <v>69</v>
      </c>
      <c r="K850" t="s">
        <v>69</v>
      </c>
      <c r="L850" t="s">
        <v>69</v>
      </c>
      <c r="M850" t="s">
        <v>7828</v>
      </c>
      <c r="N850" t="s">
        <v>69</v>
      </c>
      <c r="O850" t="s">
        <v>69</v>
      </c>
      <c r="P850" t="s">
        <v>7829</v>
      </c>
      <c r="Q850" t="s">
        <v>7830</v>
      </c>
      <c r="R850" t="s">
        <v>69</v>
      </c>
      <c r="S850" t="s">
        <v>69</v>
      </c>
      <c r="T850" t="s">
        <v>8505</v>
      </c>
      <c r="U850" t="s">
        <v>8506</v>
      </c>
      <c r="V850" t="s">
        <v>69</v>
      </c>
      <c r="W850" t="s">
        <v>69</v>
      </c>
      <c r="X850" t="s">
        <v>69</v>
      </c>
      <c r="Y850" t="s">
        <v>69</v>
      </c>
      <c r="Z850" t="s">
        <v>69</v>
      </c>
      <c r="AA850" t="s">
        <v>21904</v>
      </c>
      <c r="AB850" t="s">
        <v>21905</v>
      </c>
      <c r="AC850" t="s">
        <v>7831</v>
      </c>
      <c r="AD850" t="s">
        <v>21906</v>
      </c>
      <c r="AE850" t="s">
        <v>69</v>
      </c>
      <c r="AF850" t="s">
        <v>21907</v>
      </c>
      <c r="AG850" t="s">
        <v>21908</v>
      </c>
      <c r="AH850" t="s">
        <v>69</v>
      </c>
      <c r="AI850" t="s">
        <v>69</v>
      </c>
      <c r="AJ850" t="s">
        <v>69</v>
      </c>
      <c r="AK850" t="s">
        <v>69</v>
      </c>
      <c r="AL850" t="s">
        <v>69</v>
      </c>
      <c r="AM850" t="s">
        <v>69</v>
      </c>
      <c r="AN850">
        <v>16</v>
      </c>
      <c r="AO850">
        <v>3</v>
      </c>
      <c r="AP850">
        <v>3</v>
      </c>
      <c r="AQ850">
        <v>0</v>
      </c>
      <c r="AR850">
        <v>8</v>
      </c>
      <c r="AS850" t="s">
        <v>21909</v>
      </c>
      <c r="AT850" t="s">
        <v>21910</v>
      </c>
      <c r="AU850" t="s">
        <v>21911</v>
      </c>
      <c r="AV850" t="s">
        <v>7832</v>
      </c>
      <c r="AW850" t="s">
        <v>7833</v>
      </c>
      <c r="AX850" t="s">
        <v>69</v>
      </c>
      <c r="AY850" t="s">
        <v>21912</v>
      </c>
      <c r="AZ850" t="s">
        <v>21913</v>
      </c>
      <c r="BA850" t="s">
        <v>69</v>
      </c>
      <c r="BB850">
        <v>2016</v>
      </c>
      <c r="BC850">
        <v>10</v>
      </c>
      <c r="BD850">
        <v>1</v>
      </c>
      <c r="BE850" t="s">
        <v>69</v>
      </c>
      <c r="BF850" t="s">
        <v>69</v>
      </c>
      <c r="BG850" t="s">
        <v>69</v>
      </c>
      <c r="BH850" t="s">
        <v>69</v>
      </c>
      <c r="BI850">
        <v>67</v>
      </c>
      <c r="BJ850">
        <v>81</v>
      </c>
      <c r="BK850" t="s">
        <v>69</v>
      </c>
      <c r="BL850" t="s">
        <v>7834</v>
      </c>
      <c r="BM850" t="str">
        <f>HYPERLINK("http://dx.doi.org/10.14525/JJCE.10.1.3406","http://dx.doi.org/10.14525/JJCE.10.1.3406")</f>
        <v>http://dx.doi.org/10.14525/JJCE.10.1.3406</v>
      </c>
      <c r="BN850" t="s">
        <v>69</v>
      </c>
      <c r="BO850" t="s">
        <v>69</v>
      </c>
      <c r="BP850">
        <v>15</v>
      </c>
      <c r="BQ850" t="s">
        <v>13537</v>
      </c>
      <c r="BR850" t="s">
        <v>8573</v>
      </c>
      <c r="BS850" t="s">
        <v>8445</v>
      </c>
      <c r="BT850" t="s">
        <v>21914</v>
      </c>
      <c r="BU850" t="s">
        <v>7835</v>
      </c>
      <c r="BV850" t="s">
        <v>69</v>
      </c>
      <c r="BW850" t="s">
        <v>69</v>
      </c>
      <c r="BX850" t="s">
        <v>69</v>
      </c>
      <c r="BY850" t="s">
        <v>69</v>
      </c>
      <c r="BZ850" t="s">
        <v>8526</v>
      </c>
      <c r="CA850" t="str">
        <f>HYPERLINK("https%3A%2F%2Fwww.webofscience.com%2Fwos%2Fwoscc%2Ffull-record%2FWOS:000407931500006","View Full Record in Web of Science")</f>
        <v>View Full Record in Web of Science</v>
      </c>
    </row>
    <row r="851" spans="2:79" ht="12.5" x14ac:dyDescent="0.25">
      <c r="B851" t="s">
        <v>8495</v>
      </c>
      <c r="D851" s="7" t="s">
        <v>32933</v>
      </c>
      <c r="E851" s="7"/>
      <c r="F851" s="7"/>
      <c r="G851" s="7"/>
      <c r="H851" t="s">
        <v>67</v>
      </c>
      <c r="I851" t="s">
        <v>194</v>
      </c>
      <c r="J851" t="s">
        <v>69</v>
      </c>
      <c r="K851" t="s">
        <v>69</v>
      </c>
      <c r="L851" t="s">
        <v>69</v>
      </c>
      <c r="M851" t="s">
        <v>195</v>
      </c>
      <c r="N851" t="s">
        <v>69</v>
      </c>
      <c r="O851" t="s">
        <v>69</v>
      </c>
      <c r="P851" t="s">
        <v>196</v>
      </c>
      <c r="Q851" t="s">
        <v>197</v>
      </c>
      <c r="R851" t="s">
        <v>69</v>
      </c>
      <c r="S851" t="s">
        <v>69</v>
      </c>
      <c r="T851" t="s">
        <v>8505</v>
      </c>
      <c r="U851" t="s">
        <v>8506</v>
      </c>
      <c r="V851" t="s">
        <v>69</v>
      </c>
      <c r="W851" t="s">
        <v>69</v>
      </c>
      <c r="X851" t="s">
        <v>69</v>
      </c>
      <c r="Y851" t="s">
        <v>69</v>
      </c>
      <c r="Z851" t="s">
        <v>69</v>
      </c>
      <c r="AA851" t="s">
        <v>21434</v>
      </c>
      <c r="AB851" t="s">
        <v>69</v>
      </c>
      <c r="AC851" t="s">
        <v>198</v>
      </c>
      <c r="AD851" t="s">
        <v>21435</v>
      </c>
      <c r="AE851" t="s">
        <v>69</v>
      </c>
      <c r="AF851" t="s">
        <v>21436</v>
      </c>
      <c r="AG851" t="s">
        <v>21437</v>
      </c>
      <c r="AH851" t="s">
        <v>69</v>
      </c>
      <c r="AI851" t="s">
        <v>69</v>
      </c>
      <c r="AJ851" t="s">
        <v>69</v>
      </c>
      <c r="AK851" t="s">
        <v>69</v>
      </c>
      <c r="AL851" t="s">
        <v>69</v>
      </c>
      <c r="AM851" t="s">
        <v>69</v>
      </c>
      <c r="AN851">
        <v>11</v>
      </c>
      <c r="AO851">
        <v>6</v>
      </c>
      <c r="AP851">
        <v>6</v>
      </c>
      <c r="AQ851">
        <v>0</v>
      </c>
      <c r="AR851">
        <v>2</v>
      </c>
      <c r="AS851" t="s">
        <v>21438</v>
      </c>
      <c r="AT851" t="s">
        <v>21439</v>
      </c>
      <c r="AU851" t="s">
        <v>21440</v>
      </c>
      <c r="AV851" t="s">
        <v>199</v>
      </c>
      <c r="AW851" t="s">
        <v>200</v>
      </c>
      <c r="AX851" t="s">
        <v>69</v>
      </c>
      <c r="AY851" t="s">
        <v>21441</v>
      </c>
      <c r="AZ851" t="s">
        <v>21442</v>
      </c>
      <c r="BA851" t="s">
        <v>201</v>
      </c>
      <c r="BB851">
        <v>2016</v>
      </c>
      <c r="BC851">
        <v>6</v>
      </c>
      <c r="BD851">
        <v>4</v>
      </c>
      <c r="BE851" t="s">
        <v>69</v>
      </c>
      <c r="BF851" t="s">
        <v>69</v>
      </c>
      <c r="BG851" t="s">
        <v>69</v>
      </c>
      <c r="BH851" t="s">
        <v>69</v>
      </c>
      <c r="BI851">
        <v>1062</v>
      </c>
      <c r="BJ851">
        <v>1066</v>
      </c>
      <c r="BK851" t="s">
        <v>69</v>
      </c>
      <c r="BL851" t="s">
        <v>69</v>
      </c>
      <c r="BM851" t="s">
        <v>69</v>
      </c>
      <c r="BN851" t="s">
        <v>69</v>
      </c>
      <c r="BO851" t="s">
        <v>69</v>
      </c>
      <c r="BP851">
        <v>5</v>
      </c>
      <c r="BQ851" t="s">
        <v>9891</v>
      </c>
      <c r="BR851" t="s">
        <v>8573</v>
      </c>
      <c r="BS851" t="s">
        <v>8445</v>
      </c>
      <c r="BT851" t="s">
        <v>21443</v>
      </c>
      <c r="BU851" t="s">
        <v>202</v>
      </c>
      <c r="BV851" t="s">
        <v>69</v>
      </c>
      <c r="BW851" t="s">
        <v>69</v>
      </c>
      <c r="BX851" t="s">
        <v>69</v>
      </c>
      <c r="BY851" t="s">
        <v>69</v>
      </c>
      <c r="BZ851" t="s">
        <v>8526</v>
      </c>
      <c r="CA851" t="str">
        <f>HYPERLINK("https%3A%2F%2Fwww.webofscience.com%2Fwos%2Fwoscc%2Ffull-record%2FWOS:000384881200005","View Full Record in Web of Science")</f>
        <v>View Full Record in Web of Science</v>
      </c>
    </row>
    <row r="852" spans="2:79" ht="12.5" x14ac:dyDescent="0.25">
      <c r="B852" t="s">
        <v>8495</v>
      </c>
      <c r="D852" s="7" t="s">
        <v>32933</v>
      </c>
      <c r="E852" s="7"/>
      <c r="F852" s="7"/>
      <c r="G852" s="7"/>
      <c r="H852" t="s">
        <v>67</v>
      </c>
      <c r="I852" t="s">
        <v>1492</v>
      </c>
      <c r="J852" t="s">
        <v>69</v>
      </c>
      <c r="K852" t="s">
        <v>69</v>
      </c>
      <c r="L852" t="s">
        <v>69</v>
      </c>
      <c r="M852" t="s">
        <v>1493</v>
      </c>
      <c r="N852" t="s">
        <v>69</v>
      </c>
      <c r="O852" t="s">
        <v>69</v>
      </c>
      <c r="P852" t="s">
        <v>1494</v>
      </c>
      <c r="Q852" t="s">
        <v>1495</v>
      </c>
      <c r="R852" t="s">
        <v>69</v>
      </c>
      <c r="S852" t="s">
        <v>69</v>
      </c>
      <c r="T852" t="s">
        <v>8505</v>
      </c>
      <c r="U852" t="s">
        <v>8506</v>
      </c>
      <c r="V852" t="s">
        <v>69</v>
      </c>
      <c r="W852" t="s">
        <v>69</v>
      </c>
      <c r="X852" t="s">
        <v>69</v>
      </c>
      <c r="Y852" t="s">
        <v>69</v>
      </c>
      <c r="Z852" t="s">
        <v>69</v>
      </c>
      <c r="AA852" t="s">
        <v>27009</v>
      </c>
      <c r="AB852" t="s">
        <v>27010</v>
      </c>
      <c r="AC852" t="s">
        <v>1496</v>
      </c>
      <c r="AD852" t="s">
        <v>27011</v>
      </c>
      <c r="AE852" t="s">
        <v>69</v>
      </c>
      <c r="AF852" t="s">
        <v>27012</v>
      </c>
      <c r="AG852" t="s">
        <v>27013</v>
      </c>
      <c r="AH852" t="s">
        <v>1497</v>
      </c>
      <c r="AI852" t="s">
        <v>1498</v>
      </c>
      <c r="AJ852" t="s">
        <v>69</v>
      </c>
      <c r="AK852" t="s">
        <v>69</v>
      </c>
      <c r="AL852" t="s">
        <v>69</v>
      </c>
      <c r="AM852" t="s">
        <v>69</v>
      </c>
      <c r="AN852">
        <v>61</v>
      </c>
      <c r="AO852">
        <v>51</v>
      </c>
      <c r="AP852">
        <v>52</v>
      </c>
      <c r="AQ852">
        <v>1</v>
      </c>
      <c r="AR852">
        <v>28</v>
      </c>
      <c r="AS852" t="s">
        <v>9554</v>
      </c>
      <c r="AT852" t="s">
        <v>9555</v>
      </c>
      <c r="AU852" t="s">
        <v>9556</v>
      </c>
      <c r="AV852" t="s">
        <v>1499</v>
      </c>
      <c r="AW852" t="s">
        <v>1500</v>
      </c>
      <c r="AX852" t="s">
        <v>69</v>
      </c>
      <c r="AY852" t="s">
        <v>13954</v>
      </c>
      <c r="AZ852" t="s">
        <v>13955</v>
      </c>
      <c r="BA852" t="s">
        <v>586</v>
      </c>
      <c r="BB852">
        <v>2011</v>
      </c>
      <c r="BC852">
        <v>36</v>
      </c>
      <c r="BD852">
        <v>3</v>
      </c>
      <c r="BE852" t="s">
        <v>69</v>
      </c>
      <c r="BF852" t="s">
        <v>69</v>
      </c>
      <c r="BG852" t="s">
        <v>69</v>
      </c>
      <c r="BH852" t="s">
        <v>69</v>
      </c>
      <c r="BI852">
        <v>389</v>
      </c>
      <c r="BJ852">
        <v>412</v>
      </c>
      <c r="BK852" t="s">
        <v>69</v>
      </c>
      <c r="BL852" t="s">
        <v>1501</v>
      </c>
      <c r="BM852" t="str">
        <f>HYPERLINK("http://dx.doi.org/10.1177/0162243910385786","http://dx.doi.org/10.1177/0162243910385786")</f>
        <v>http://dx.doi.org/10.1177/0162243910385786</v>
      </c>
      <c r="BN852" t="s">
        <v>69</v>
      </c>
      <c r="BO852" t="s">
        <v>69</v>
      </c>
      <c r="BP852">
        <v>24</v>
      </c>
      <c r="BQ852" t="s">
        <v>13650</v>
      </c>
      <c r="BR852" t="s">
        <v>8661</v>
      </c>
      <c r="BS852" t="s">
        <v>13650</v>
      </c>
      <c r="BT852" t="s">
        <v>27014</v>
      </c>
      <c r="BU852" t="s">
        <v>1502</v>
      </c>
      <c r="BV852" t="s">
        <v>69</v>
      </c>
      <c r="BW852" t="s">
        <v>69</v>
      </c>
      <c r="BX852" t="s">
        <v>69</v>
      </c>
      <c r="BY852" t="s">
        <v>69</v>
      </c>
      <c r="BZ852" t="s">
        <v>8526</v>
      </c>
      <c r="CA852" t="str">
        <f>HYPERLINK("https%3A%2F%2Fwww.webofscience.com%2Fwos%2Fwoscc%2Ffull-record%2FWOS:000289206600005","View Full Record in Web of Science")</f>
        <v>View Full Record in Web of Science</v>
      </c>
    </row>
    <row r="853" spans="2:79" ht="12.5" x14ac:dyDescent="0.25">
      <c r="B853" t="s">
        <v>8495</v>
      </c>
      <c r="D853" s="7" t="s">
        <v>32933</v>
      </c>
      <c r="E853" s="7"/>
      <c r="F853" s="7"/>
      <c r="G853" s="7"/>
      <c r="H853" t="s">
        <v>67</v>
      </c>
      <c r="I853" t="s">
        <v>1519</v>
      </c>
      <c r="J853" t="s">
        <v>69</v>
      </c>
      <c r="K853" t="s">
        <v>69</v>
      </c>
      <c r="L853" t="s">
        <v>69</v>
      </c>
      <c r="M853" t="s">
        <v>1520</v>
      </c>
      <c r="N853" t="s">
        <v>69</v>
      </c>
      <c r="O853" t="s">
        <v>69</v>
      </c>
      <c r="P853" t="s">
        <v>1521</v>
      </c>
      <c r="Q853" t="s">
        <v>1522</v>
      </c>
      <c r="R853" t="s">
        <v>69</v>
      </c>
      <c r="S853" t="s">
        <v>69</v>
      </c>
      <c r="T853" t="s">
        <v>8505</v>
      </c>
      <c r="U853" t="s">
        <v>10174</v>
      </c>
      <c r="V853" t="s">
        <v>69</v>
      </c>
      <c r="W853" t="s">
        <v>69</v>
      </c>
      <c r="X853" t="s">
        <v>69</v>
      </c>
      <c r="Y853" t="s">
        <v>69</v>
      </c>
      <c r="Z853" t="s">
        <v>69</v>
      </c>
      <c r="AA853" t="s">
        <v>27882</v>
      </c>
      <c r="AB853" t="s">
        <v>69</v>
      </c>
      <c r="AC853" t="s">
        <v>1523</v>
      </c>
      <c r="AD853" t="s">
        <v>27883</v>
      </c>
      <c r="AE853" t="s">
        <v>69</v>
      </c>
      <c r="AF853" t="s">
        <v>27884</v>
      </c>
      <c r="AG853" t="s">
        <v>27885</v>
      </c>
      <c r="AH853" t="s">
        <v>27886</v>
      </c>
      <c r="AI853" t="s">
        <v>1524</v>
      </c>
      <c r="AJ853" t="s">
        <v>69</v>
      </c>
      <c r="AK853" t="s">
        <v>69</v>
      </c>
      <c r="AL853" t="s">
        <v>69</v>
      </c>
      <c r="AM853" t="s">
        <v>69</v>
      </c>
      <c r="AN853">
        <v>0</v>
      </c>
      <c r="AO853">
        <v>8</v>
      </c>
      <c r="AP853">
        <v>8</v>
      </c>
      <c r="AQ853">
        <v>3</v>
      </c>
      <c r="AR853">
        <v>16</v>
      </c>
      <c r="AS853" t="s">
        <v>8563</v>
      </c>
      <c r="AT853" t="s">
        <v>8564</v>
      </c>
      <c r="AU853" t="s">
        <v>8565</v>
      </c>
      <c r="AV853" t="s">
        <v>1525</v>
      </c>
      <c r="AW853" t="s">
        <v>1526</v>
      </c>
      <c r="AX853" t="s">
        <v>69</v>
      </c>
      <c r="AY853" t="s">
        <v>14032</v>
      </c>
      <c r="AZ853" t="s">
        <v>14033</v>
      </c>
      <c r="BA853" t="s">
        <v>94</v>
      </c>
      <c r="BB853">
        <v>2010</v>
      </c>
      <c r="BC853">
        <v>15</v>
      </c>
      <c r="BD853">
        <v>3</v>
      </c>
      <c r="BE853" t="s">
        <v>69</v>
      </c>
      <c r="BF853" t="s">
        <v>69</v>
      </c>
      <c r="BG853" t="s">
        <v>69</v>
      </c>
      <c r="BH853" t="s">
        <v>69</v>
      </c>
      <c r="BI853">
        <v>231</v>
      </c>
      <c r="BJ853">
        <v>237</v>
      </c>
      <c r="BK853" t="s">
        <v>69</v>
      </c>
      <c r="BL853" t="s">
        <v>1527</v>
      </c>
      <c r="BM853" t="str">
        <f>HYPERLINK("http://dx.doi.org/10.1007/s11367-009-0149-6","http://dx.doi.org/10.1007/s11367-009-0149-6")</f>
        <v>http://dx.doi.org/10.1007/s11367-009-0149-6</v>
      </c>
      <c r="BN853" t="s">
        <v>69</v>
      </c>
      <c r="BO853" t="s">
        <v>69</v>
      </c>
      <c r="BP853">
        <v>7</v>
      </c>
      <c r="BQ853" t="s">
        <v>8743</v>
      </c>
      <c r="BR853" t="s">
        <v>8548</v>
      </c>
      <c r="BS853" t="s">
        <v>8744</v>
      </c>
      <c r="BT853" t="s">
        <v>27887</v>
      </c>
      <c r="BU853" t="s">
        <v>1528</v>
      </c>
      <c r="BV853" t="s">
        <v>69</v>
      </c>
      <c r="BW853" t="s">
        <v>69</v>
      </c>
      <c r="BX853" t="s">
        <v>69</v>
      </c>
      <c r="BY853" t="s">
        <v>69</v>
      </c>
      <c r="BZ853" t="s">
        <v>8526</v>
      </c>
      <c r="CA853" t="str">
        <f>HYPERLINK("https%3A%2F%2Fwww.webofscience.com%2Fwos%2Fwoscc%2Ffull-record%2FWOS:000275161900001","View Full Record in Web of Science")</f>
        <v>View Full Record in Web of Science</v>
      </c>
    </row>
    <row r="854" spans="2:79" ht="12.5" x14ac:dyDescent="0.25">
      <c r="B854" t="s">
        <v>8495</v>
      </c>
      <c r="D854" s="7" t="s">
        <v>32933</v>
      </c>
      <c r="E854" s="7"/>
      <c r="F854" s="7"/>
      <c r="G854" s="7"/>
      <c r="H854" t="s">
        <v>67</v>
      </c>
      <c r="I854" t="s">
        <v>4227</v>
      </c>
      <c r="J854" t="s">
        <v>69</v>
      </c>
      <c r="K854" t="s">
        <v>69</v>
      </c>
      <c r="L854" t="s">
        <v>69</v>
      </c>
      <c r="M854" t="s">
        <v>4227</v>
      </c>
      <c r="N854" t="s">
        <v>69</v>
      </c>
      <c r="O854" t="s">
        <v>69</v>
      </c>
      <c r="P854" t="s">
        <v>4228</v>
      </c>
      <c r="Q854" t="s">
        <v>4229</v>
      </c>
      <c r="R854" t="s">
        <v>69</v>
      </c>
      <c r="S854" t="s">
        <v>69</v>
      </c>
      <c r="T854" t="s">
        <v>8505</v>
      </c>
      <c r="U854" t="s">
        <v>15797</v>
      </c>
      <c r="V854" t="s">
        <v>4230</v>
      </c>
      <c r="W854">
        <v>1992</v>
      </c>
      <c r="X854" t="s">
        <v>4231</v>
      </c>
      <c r="Y854" t="s">
        <v>69</v>
      </c>
      <c r="Z854" t="s">
        <v>4232</v>
      </c>
      <c r="AA854" t="s">
        <v>69</v>
      </c>
      <c r="AB854" t="s">
        <v>32440</v>
      </c>
      <c r="AC854" t="s">
        <v>4233</v>
      </c>
      <c r="AD854" t="s">
        <v>69</v>
      </c>
      <c r="AE854" t="s">
        <v>69</v>
      </c>
      <c r="AF854" t="s">
        <v>32441</v>
      </c>
      <c r="AG854" t="s">
        <v>69</v>
      </c>
      <c r="AH854" t="s">
        <v>4234</v>
      </c>
      <c r="AI854" t="s">
        <v>4235</v>
      </c>
      <c r="AJ854" t="s">
        <v>69</v>
      </c>
      <c r="AK854" t="s">
        <v>69</v>
      </c>
      <c r="AL854" t="s">
        <v>69</v>
      </c>
      <c r="AM854" t="s">
        <v>69</v>
      </c>
      <c r="AN854">
        <v>98</v>
      </c>
      <c r="AO854">
        <v>186</v>
      </c>
      <c r="AP854">
        <v>190</v>
      </c>
      <c r="AQ854">
        <v>0</v>
      </c>
      <c r="AR854">
        <v>17</v>
      </c>
      <c r="AS854" t="s">
        <v>8846</v>
      </c>
      <c r="AT854" t="s">
        <v>8847</v>
      </c>
      <c r="AU854" t="s">
        <v>8848</v>
      </c>
      <c r="AV854" t="s">
        <v>4236</v>
      </c>
      <c r="AW854" t="s">
        <v>32442</v>
      </c>
      <c r="AX854" t="s">
        <v>69</v>
      </c>
      <c r="AY854" t="s">
        <v>32443</v>
      </c>
      <c r="AZ854" t="s">
        <v>32444</v>
      </c>
      <c r="BA854" t="s">
        <v>84</v>
      </c>
      <c r="BB854">
        <v>1996</v>
      </c>
      <c r="BC854">
        <v>27</v>
      </c>
      <c r="BD854">
        <v>3</v>
      </c>
      <c r="BE854" t="s">
        <v>69</v>
      </c>
      <c r="BF854" t="s">
        <v>69</v>
      </c>
      <c r="BG854" t="s">
        <v>69</v>
      </c>
      <c r="BH854" t="s">
        <v>69</v>
      </c>
      <c r="BI854">
        <v>501</v>
      </c>
      <c r="BJ854">
        <v>527</v>
      </c>
      <c r="BK854" t="s">
        <v>69</v>
      </c>
      <c r="BL854" t="s">
        <v>4237</v>
      </c>
      <c r="BM854" t="str">
        <f>HYPERLINK("http://dx.doi.org/10.1111/j.1467-7660.1996.tb00601.x","http://dx.doi.org/10.1111/j.1467-7660.1996.tb00601.x")</f>
        <v>http://dx.doi.org/10.1111/j.1467-7660.1996.tb00601.x</v>
      </c>
      <c r="BN854" t="s">
        <v>69</v>
      </c>
      <c r="BO854" t="s">
        <v>69</v>
      </c>
      <c r="BP854">
        <v>27</v>
      </c>
      <c r="BQ854" t="s">
        <v>17018</v>
      </c>
      <c r="BR854" t="s">
        <v>18588</v>
      </c>
      <c r="BS854" t="s">
        <v>17018</v>
      </c>
      <c r="BT854" t="s">
        <v>32445</v>
      </c>
      <c r="BU854" t="s">
        <v>4238</v>
      </c>
      <c r="BV854" t="s">
        <v>69</v>
      </c>
      <c r="BW854" t="s">
        <v>9292</v>
      </c>
      <c r="BX854" t="s">
        <v>69</v>
      </c>
      <c r="BY854" t="s">
        <v>69</v>
      </c>
      <c r="BZ854" t="s">
        <v>8526</v>
      </c>
      <c r="CA854" t="str">
        <f>HYPERLINK("https%3A%2F%2Fwww.webofscience.com%2Fwos%2Fwoscc%2Ffull-record%2FWOS:A1996VA07200005","View Full Record in Web of Science")</f>
        <v>View Full Record in Web of Science</v>
      </c>
    </row>
    <row r="855" spans="2:79" ht="12.5" x14ac:dyDescent="0.25">
      <c r="B855" t="s">
        <v>8495</v>
      </c>
      <c r="D855" s="7" t="s">
        <v>32933</v>
      </c>
      <c r="E855" s="7"/>
      <c r="F855" s="7"/>
      <c r="G855" s="7"/>
      <c r="H855" t="s">
        <v>67</v>
      </c>
      <c r="I855" t="s">
        <v>7176</v>
      </c>
      <c r="J855" t="s">
        <v>69</v>
      </c>
      <c r="K855" t="s">
        <v>69</v>
      </c>
      <c r="L855" t="s">
        <v>69</v>
      </c>
      <c r="M855" t="s">
        <v>7177</v>
      </c>
      <c r="N855" t="s">
        <v>69</v>
      </c>
      <c r="O855" t="s">
        <v>69</v>
      </c>
      <c r="P855" t="s">
        <v>7178</v>
      </c>
      <c r="Q855" t="s">
        <v>7179</v>
      </c>
      <c r="R855" t="s">
        <v>69</v>
      </c>
      <c r="S855" t="s">
        <v>69</v>
      </c>
      <c r="T855" t="s">
        <v>8505</v>
      </c>
      <c r="U855" t="s">
        <v>8506</v>
      </c>
      <c r="V855" t="s">
        <v>69</v>
      </c>
      <c r="W855" t="s">
        <v>69</v>
      </c>
      <c r="X855" t="s">
        <v>69</v>
      </c>
      <c r="Y855" t="s">
        <v>69</v>
      </c>
      <c r="Z855" t="s">
        <v>69</v>
      </c>
      <c r="AA855" t="s">
        <v>26989</v>
      </c>
      <c r="AB855" t="s">
        <v>26990</v>
      </c>
      <c r="AC855" t="s">
        <v>7180</v>
      </c>
      <c r="AD855" t="s">
        <v>26991</v>
      </c>
      <c r="AE855" t="s">
        <v>69</v>
      </c>
      <c r="AF855" t="s">
        <v>26992</v>
      </c>
      <c r="AG855" t="s">
        <v>26993</v>
      </c>
      <c r="AH855" t="s">
        <v>7181</v>
      </c>
      <c r="AI855" t="s">
        <v>7182</v>
      </c>
      <c r="AJ855" t="s">
        <v>26994</v>
      </c>
      <c r="AK855" t="s">
        <v>26995</v>
      </c>
      <c r="AL855" t="s">
        <v>26996</v>
      </c>
      <c r="AM855" t="s">
        <v>69</v>
      </c>
      <c r="AN855">
        <v>35</v>
      </c>
      <c r="AO855">
        <v>64</v>
      </c>
      <c r="AP855">
        <v>66</v>
      </c>
      <c r="AQ855">
        <v>4</v>
      </c>
      <c r="AR855">
        <v>30</v>
      </c>
      <c r="AS855" t="s">
        <v>25198</v>
      </c>
      <c r="AT855" t="s">
        <v>8763</v>
      </c>
      <c r="AU855" t="s">
        <v>25199</v>
      </c>
      <c r="AV855" t="s">
        <v>7183</v>
      </c>
      <c r="AW855" t="s">
        <v>69</v>
      </c>
      <c r="AX855" t="s">
        <v>69</v>
      </c>
      <c r="AY855" t="s">
        <v>26997</v>
      </c>
      <c r="AZ855" t="s">
        <v>26998</v>
      </c>
      <c r="BA855" t="s">
        <v>2862</v>
      </c>
      <c r="BB855">
        <v>2011</v>
      </c>
      <c r="BC855">
        <v>369</v>
      </c>
      <c r="BD855">
        <v>1942</v>
      </c>
      <c r="BE855" t="s">
        <v>69</v>
      </c>
      <c r="BF855" t="s">
        <v>69</v>
      </c>
      <c r="BG855" t="s">
        <v>69</v>
      </c>
      <c r="BH855" t="s">
        <v>69</v>
      </c>
      <c r="BI855">
        <v>1784</v>
      </c>
      <c r="BJ855">
        <v>1806</v>
      </c>
      <c r="BK855" t="s">
        <v>69</v>
      </c>
      <c r="BL855" t="s">
        <v>7184</v>
      </c>
      <c r="BM855" t="str">
        <f>HYPERLINK("http://dx.doi.org/10.1098/rsta.2010.0346","http://dx.doi.org/10.1098/rsta.2010.0346")</f>
        <v>http://dx.doi.org/10.1098/rsta.2010.0346</v>
      </c>
      <c r="BN855" t="s">
        <v>69</v>
      </c>
      <c r="BO855" t="s">
        <v>69</v>
      </c>
      <c r="BP855">
        <v>23</v>
      </c>
      <c r="BQ855" t="s">
        <v>8619</v>
      </c>
      <c r="BR855" t="s">
        <v>8523</v>
      </c>
      <c r="BS855" t="s">
        <v>8620</v>
      </c>
      <c r="BT855" t="s">
        <v>26999</v>
      </c>
      <c r="BU855" t="s">
        <v>7185</v>
      </c>
      <c r="BV855">
        <v>21464071</v>
      </c>
      <c r="BW855" t="s">
        <v>69</v>
      </c>
      <c r="BX855" t="s">
        <v>69</v>
      </c>
      <c r="BY855" t="s">
        <v>69</v>
      </c>
      <c r="BZ855" t="s">
        <v>8526</v>
      </c>
      <c r="CA855" t="str">
        <f>HYPERLINK("https%3A%2F%2Fwww.webofscience.com%2Fwos%2Fwoscc%2Ffull-record%2FWOS:000289072700006","View Full Record in Web of Science")</f>
        <v>View Full Record in Web of Science</v>
      </c>
    </row>
    <row r="856" spans="2:79" ht="12.5" x14ac:dyDescent="0.25">
      <c r="B856" t="s">
        <v>8495</v>
      </c>
      <c r="D856" s="22" t="s">
        <v>32931</v>
      </c>
      <c r="E856" s="7"/>
      <c r="F856" s="7"/>
      <c r="G856" s="7"/>
      <c r="H856" t="s">
        <v>67</v>
      </c>
      <c r="I856" t="s">
        <v>30613</v>
      </c>
      <c r="J856" t="s">
        <v>69</v>
      </c>
      <c r="K856" t="s">
        <v>69</v>
      </c>
      <c r="L856" t="s">
        <v>69</v>
      </c>
      <c r="M856" t="s">
        <v>30613</v>
      </c>
      <c r="N856" t="s">
        <v>69</v>
      </c>
      <c r="O856" t="s">
        <v>69</v>
      </c>
      <c r="P856" t="s">
        <v>30614</v>
      </c>
      <c r="Q856" t="s">
        <v>30615</v>
      </c>
      <c r="R856" t="s">
        <v>69</v>
      </c>
      <c r="S856" t="s">
        <v>69</v>
      </c>
      <c r="T856" t="s">
        <v>8505</v>
      </c>
      <c r="U856" t="s">
        <v>8506</v>
      </c>
      <c r="V856" t="s">
        <v>69</v>
      </c>
      <c r="W856" t="s">
        <v>69</v>
      </c>
      <c r="X856" t="s">
        <v>69</v>
      </c>
      <c r="Y856" t="s">
        <v>69</v>
      </c>
      <c r="Z856" t="s">
        <v>69</v>
      </c>
      <c r="AA856" t="s">
        <v>30616</v>
      </c>
      <c r="AB856" t="s">
        <v>30617</v>
      </c>
      <c r="AC856" t="s">
        <v>30618</v>
      </c>
      <c r="AD856" t="s">
        <v>30619</v>
      </c>
      <c r="AE856" t="s">
        <v>69</v>
      </c>
      <c r="AF856" t="s">
        <v>30620</v>
      </c>
      <c r="AG856" t="s">
        <v>30621</v>
      </c>
      <c r="AH856" t="s">
        <v>30622</v>
      </c>
      <c r="AI856" t="s">
        <v>30623</v>
      </c>
      <c r="AJ856" t="s">
        <v>69</v>
      </c>
      <c r="AK856" t="s">
        <v>69</v>
      </c>
      <c r="AL856" t="s">
        <v>69</v>
      </c>
      <c r="AM856" t="s">
        <v>69</v>
      </c>
      <c r="AN856">
        <v>18</v>
      </c>
      <c r="AO856">
        <v>3</v>
      </c>
      <c r="AP856">
        <v>3</v>
      </c>
      <c r="AQ856">
        <v>1</v>
      </c>
      <c r="AR856">
        <v>1</v>
      </c>
      <c r="AS856" t="s">
        <v>30615</v>
      </c>
      <c r="AT856" t="s">
        <v>13701</v>
      </c>
      <c r="AU856" t="s">
        <v>30624</v>
      </c>
      <c r="AV856" t="s">
        <v>30625</v>
      </c>
      <c r="AW856" t="s">
        <v>69</v>
      </c>
      <c r="AX856" t="s">
        <v>69</v>
      </c>
      <c r="AY856" t="s">
        <v>30626</v>
      </c>
      <c r="AZ856" t="s">
        <v>30627</v>
      </c>
      <c r="BA856" t="s">
        <v>155</v>
      </c>
      <c r="BB856">
        <v>2005</v>
      </c>
      <c r="BC856">
        <v>29</v>
      </c>
      <c r="BD856">
        <v>1</v>
      </c>
      <c r="BE856" t="s">
        <v>69</v>
      </c>
      <c r="BF856" t="s">
        <v>69</v>
      </c>
      <c r="BG856" t="s">
        <v>69</v>
      </c>
      <c r="BH856" t="s">
        <v>69</v>
      </c>
      <c r="BI856">
        <v>1</v>
      </c>
      <c r="BJ856">
        <v>7</v>
      </c>
      <c r="BK856" t="s">
        <v>69</v>
      </c>
      <c r="BL856" t="s">
        <v>69</v>
      </c>
      <c r="BM856" t="s">
        <v>69</v>
      </c>
      <c r="BN856" t="s">
        <v>69</v>
      </c>
      <c r="BO856" t="s">
        <v>69</v>
      </c>
      <c r="BP856">
        <v>7</v>
      </c>
      <c r="BQ856" t="s">
        <v>8463</v>
      </c>
      <c r="BR856" t="s">
        <v>8661</v>
      </c>
      <c r="BS856" t="s">
        <v>8463</v>
      </c>
      <c r="BT856" t="s">
        <v>30628</v>
      </c>
      <c r="BU856" t="s">
        <v>30629</v>
      </c>
      <c r="BV856">
        <v>16117292</v>
      </c>
      <c r="BW856" t="s">
        <v>69</v>
      </c>
      <c r="BX856" t="s">
        <v>69</v>
      </c>
      <c r="BY856" t="s">
        <v>69</v>
      </c>
      <c r="BZ856" t="s">
        <v>8526</v>
      </c>
      <c r="CA856" t="str">
        <f>HYPERLINK("https%3A%2F%2Fwww.webofscience.com%2Fwos%2Fwoscc%2Ffull-record%2FWOS:000230673800001","View Full Record in Web of Science")</f>
        <v>View Full Record in Web of Science</v>
      </c>
    </row>
    <row r="857" spans="2:79" ht="12.5" x14ac:dyDescent="0.25">
      <c r="B857" t="s">
        <v>8495</v>
      </c>
      <c r="D857" s="22" t="s">
        <v>32931</v>
      </c>
      <c r="E857" s="7"/>
      <c r="F857" s="7"/>
      <c r="G857" s="7"/>
      <c r="H857" t="s">
        <v>67</v>
      </c>
      <c r="I857" t="s">
        <v>20914</v>
      </c>
      <c r="J857" t="s">
        <v>69</v>
      </c>
      <c r="K857" t="s">
        <v>69</v>
      </c>
      <c r="L857" t="s">
        <v>69</v>
      </c>
      <c r="M857" t="s">
        <v>20915</v>
      </c>
      <c r="N857" t="s">
        <v>69</v>
      </c>
      <c r="O857" t="s">
        <v>69</v>
      </c>
      <c r="P857" t="s">
        <v>20916</v>
      </c>
      <c r="Q857" t="s">
        <v>5470</v>
      </c>
      <c r="R857" t="s">
        <v>69</v>
      </c>
      <c r="S857" t="s">
        <v>69</v>
      </c>
      <c r="T857" t="s">
        <v>8505</v>
      </c>
      <c r="U857" t="s">
        <v>8506</v>
      </c>
      <c r="V857" t="s">
        <v>69</v>
      </c>
      <c r="W857" t="s">
        <v>69</v>
      </c>
      <c r="X857" t="s">
        <v>69</v>
      </c>
      <c r="Y857" t="s">
        <v>69</v>
      </c>
      <c r="Z857" t="s">
        <v>69</v>
      </c>
      <c r="AA857" t="s">
        <v>20917</v>
      </c>
      <c r="AB857" t="s">
        <v>20918</v>
      </c>
      <c r="AC857" t="s">
        <v>20919</v>
      </c>
      <c r="AD857" t="s">
        <v>20920</v>
      </c>
      <c r="AE857" t="s">
        <v>69</v>
      </c>
      <c r="AF857" t="s">
        <v>20921</v>
      </c>
      <c r="AG857" t="s">
        <v>20922</v>
      </c>
      <c r="AH857" t="s">
        <v>69</v>
      </c>
      <c r="AI857" t="s">
        <v>69</v>
      </c>
      <c r="AJ857" t="s">
        <v>69</v>
      </c>
      <c r="AK857" t="s">
        <v>69</v>
      </c>
      <c r="AL857" t="s">
        <v>69</v>
      </c>
      <c r="AM857" t="s">
        <v>69</v>
      </c>
      <c r="AN857">
        <v>53</v>
      </c>
      <c r="AO857">
        <v>0</v>
      </c>
      <c r="AP857">
        <v>0</v>
      </c>
      <c r="AQ857">
        <v>0</v>
      </c>
      <c r="AR857">
        <v>5</v>
      </c>
      <c r="AS857" t="s">
        <v>8865</v>
      </c>
      <c r="AT857" t="s">
        <v>8612</v>
      </c>
      <c r="AU857" t="s">
        <v>8866</v>
      </c>
      <c r="AV857" t="s">
        <v>5472</v>
      </c>
      <c r="AW857" t="s">
        <v>5473</v>
      </c>
      <c r="AX857" t="s">
        <v>69</v>
      </c>
      <c r="AY857" t="s">
        <v>20923</v>
      </c>
      <c r="AZ857" t="s">
        <v>20924</v>
      </c>
      <c r="BA857" t="s">
        <v>69</v>
      </c>
      <c r="BB857">
        <v>2017</v>
      </c>
      <c r="BC857">
        <v>16</v>
      </c>
      <c r="BD857">
        <v>1</v>
      </c>
      <c r="BE857" t="s">
        <v>69</v>
      </c>
      <c r="BF857" t="s">
        <v>69</v>
      </c>
      <c r="BG857" t="s">
        <v>69</v>
      </c>
      <c r="BH857" t="s">
        <v>69</v>
      </c>
      <c r="BI857">
        <v>23</v>
      </c>
      <c r="BJ857">
        <v>49</v>
      </c>
      <c r="BK857" t="s">
        <v>69</v>
      </c>
      <c r="BL857" t="s">
        <v>20925</v>
      </c>
      <c r="BM857" t="str">
        <f>HYPERLINK("http://dx.doi.org/10.1080/15377857.2016.1262223","http://dx.doi.org/10.1080/15377857.2016.1262223")</f>
        <v>http://dx.doi.org/10.1080/15377857.2016.1262223</v>
      </c>
      <c r="BN857" t="s">
        <v>69</v>
      </c>
      <c r="BO857" t="s">
        <v>69</v>
      </c>
      <c r="BP857">
        <v>27</v>
      </c>
      <c r="BQ857" t="s">
        <v>13241</v>
      </c>
      <c r="BR857" t="s">
        <v>8573</v>
      </c>
      <c r="BS857" t="s">
        <v>10084</v>
      </c>
      <c r="BT857" t="s">
        <v>20926</v>
      </c>
      <c r="BU857" t="s">
        <v>20927</v>
      </c>
      <c r="BV857" t="s">
        <v>69</v>
      </c>
      <c r="BW857" t="s">
        <v>69</v>
      </c>
      <c r="BX857" t="s">
        <v>69</v>
      </c>
      <c r="BY857" t="s">
        <v>69</v>
      </c>
      <c r="BZ857" t="s">
        <v>8526</v>
      </c>
      <c r="CA857" t="str">
        <f>HYPERLINK("https%3A%2F%2Fwww.webofscience.com%2Fwos%2Fwoscc%2Ffull-record%2FWOS:000399120700004","View Full Record in Web of Science")</f>
        <v>View Full Record in Web of Science</v>
      </c>
    </row>
    <row r="858" spans="2:79" ht="12.5" x14ac:dyDescent="0.25">
      <c r="B858" t="s">
        <v>8495</v>
      </c>
      <c r="D858" s="22" t="s">
        <v>32931</v>
      </c>
      <c r="E858" s="7"/>
      <c r="F858" s="7"/>
      <c r="G858" s="7"/>
      <c r="H858" t="s">
        <v>67</v>
      </c>
      <c r="I858" t="s">
        <v>10325</v>
      </c>
      <c r="J858" t="s">
        <v>69</v>
      </c>
      <c r="K858" t="s">
        <v>69</v>
      </c>
      <c r="L858" t="s">
        <v>69</v>
      </c>
      <c r="M858" t="s">
        <v>10326</v>
      </c>
      <c r="N858" t="s">
        <v>69</v>
      </c>
      <c r="O858" t="s">
        <v>69</v>
      </c>
      <c r="P858" t="s">
        <v>10327</v>
      </c>
      <c r="Q858" t="s">
        <v>352</v>
      </c>
      <c r="R858" t="s">
        <v>69</v>
      </c>
      <c r="S858" t="s">
        <v>69</v>
      </c>
      <c r="T858" t="s">
        <v>8505</v>
      </c>
      <c r="U858" t="s">
        <v>8506</v>
      </c>
      <c r="V858" t="s">
        <v>69</v>
      </c>
      <c r="W858" t="s">
        <v>69</v>
      </c>
      <c r="X858" t="s">
        <v>69</v>
      </c>
      <c r="Y858" t="s">
        <v>69</v>
      </c>
      <c r="Z858" t="s">
        <v>69</v>
      </c>
      <c r="AA858" t="s">
        <v>10328</v>
      </c>
      <c r="AB858" t="s">
        <v>10329</v>
      </c>
      <c r="AC858" t="s">
        <v>10330</v>
      </c>
      <c r="AD858" t="s">
        <v>10331</v>
      </c>
      <c r="AE858" t="s">
        <v>69</v>
      </c>
      <c r="AF858" t="s">
        <v>10332</v>
      </c>
      <c r="AG858" t="s">
        <v>10333</v>
      </c>
      <c r="AH858" t="s">
        <v>10334</v>
      </c>
      <c r="AI858" t="s">
        <v>10335</v>
      </c>
      <c r="AJ858" t="s">
        <v>69</v>
      </c>
      <c r="AK858" t="s">
        <v>69</v>
      </c>
      <c r="AL858" t="s">
        <v>69</v>
      </c>
      <c r="AM858" t="s">
        <v>69</v>
      </c>
      <c r="AN858">
        <v>111</v>
      </c>
      <c r="AO858">
        <v>0</v>
      </c>
      <c r="AP858">
        <v>0</v>
      </c>
      <c r="AQ858">
        <v>15</v>
      </c>
      <c r="AR858">
        <v>15</v>
      </c>
      <c r="AS858" t="s">
        <v>8924</v>
      </c>
      <c r="AT858" t="s">
        <v>8925</v>
      </c>
      <c r="AU858" t="s">
        <v>8926</v>
      </c>
      <c r="AV858" t="s">
        <v>69</v>
      </c>
      <c r="AW858" t="s">
        <v>354</v>
      </c>
      <c r="AX858" t="s">
        <v>69</v>
      </c>
      <c r="AY858" t="s">
        <v>8958</v>
      </c>
      <c r="AZ858" t="s">
        <v>8434</v>
      </c>
      <c r="BA858" t="s">
        <v>373</v>
      </c>
      <c r="BB858">
        <v>2022</v>
      </c>
      <c r="BC858">
        <v>14</v>
      </c>
      <c r="BD858">
        <v>1</v>
      </c>
      <c r="BE858" t="s">
        <v>69</v>
      </c>
      <c r="BF858" t="s">
        <v>69</v>
      </c>
      <c r="BG858" t="s">
        <v>69</v>
      </c>
      <c r="BH858" t="s">
        <v>69</v>
      </c>
      <c r="BI858" t="s">
        <v>69</v>
      </c>
      <c r="BJ858" t="s">
        <v>69</v>
      </c>
      <c r="BK858">
        <v>420</v>
      </c>
      <c r="BL858" t="s">
        <v>10336</v>
      </c>
      <c r="BM858" t="str">
        <f>HYPERLINK("http://dx.doi.org/10.3390/su14010420","http://dx.doi.org/10.3390/su14010420")</f>
        <v>http://dx.doi.org/10.3390/su14010420</v>
      </c>
      <c r="BN858" t="s">
        <v>69</v>
      </c>
      <c r="BO858" t="s">
        <v>69</v>
      </c>
      <c r="BP858">
        <v>22</v>
      </c>
      <c r="BQ858" t="s">
        <v>8960</v>
      </c>
      <c r="BR858" t="s">
        <v>8523</v>
      </c>
      <c r="BS858" t="s">
        <v>8961</v>
      </c>
      <c r="BT858" t="s">
        <v>10337</v>
      </c>
      <c r="BU858" t="s">
        <v>10338</v>
      </c>
      <c r="BV858" t="s">
        <v>69</v>
      </c>
      <c r="BW858" t="s">
        <v>8812</v>
      </c>
      <c r="BX858" t="s">
        <v>69</v>
      </c>
      <c r="BY858" t="s">
        <v>69</v>
      </c>
      <c r="BZ858" t="s">
        <v>8526</v>
      </c>
      <c r="CA858" t="str">
        <f>HYPERLINK("https%3A%2F%2Fwww.webofscience.com%2Fwos%2Fwoscc%2Ffull-record%2FWOS:000758545600001","View Full Record in Web of Science")</f>
        <v>View Full Record in Web of Science</v>
      </c>
    </row>
    <row r="859" spans="2:79" ht="12.5" x14ac:dyDescent="0.25">
      <c r="B859" t="s">
        <v>8495</v>
      </c>
      <c r="D859" s="7" t="s">
        <v>32933</v>
      </c>
      <c r="E859" s="7"/>
      <c r="F859" s="7"/>
      <c r="G859" s="7"/>
      <c r="H859" t="s">
        <v>67</v>
      </c>
      <c r="I859" t="s">
        <v>1272</v>
      </c>
      <c r="J859" t="s">
        <v>69</v>
      </c>
      <c r="K859" t="s">
        <v>69</v>
      </c>
      <c r="L859" t="s">
        <v>69</v>
      </c>
      <c r="M859" t="s">
        <v>1273</v>
      </c>
      <c r="N859" t="s">
        <v>69</v>
      </c>
      <c r="O859" t="s">
        <v>69</v>
      </c>
      <c r="P859" t="s">
        <v>1274</v>
      </c>
      <c r="Q859" t="s">
        <v>1275</v>
      </c>
      <c r="R859" t="s">
        <v>69</v>
      </c>
      <c r="S859" t="s">
        <v>69</v>
      </c>
      <c r="T859" t="s">
        <v>8505</v>
      </c>
      <c r="U859" t="s">
        <v>8506</v>
      </c>
      <c r="V859" t="s">
        <v>69</v>
      </c>
      <c r="W859" t="s">
        <v>69</v>
      </c>
      <c r="X859" t="s">
        <v>69</v>
      </c>
      <c r="Y859" t="s">
        <v>69</v>
      </c>
      <c r="Z859" t="s">
        <v>69</v>
      </c>
      <c r="AA859" t="s">
        <v>69</v>
      </c>
      <c r="AB859" t="s">
        <v>22653</v>
      </c>
      <c r="AC859" t="s">
        <v>1276</v>
      </c>
      <c r="AD859" t="s">
        <v>22654</v>
      </c>
      <c r="AE859" t="s">
        <v>69</v>
      </c>
      <c r="AF859" t="s">
        <v>22655</v>
      </c>
      <c r="AG859" t="s">
        <v>22656</v>
      </c>
      <c r="AH859" t="s">
        <v>69</v>
      </c>
      <c r="AI859" t="s">
        <v>69</v>
      </c>
      <c r="AJ859" t="s">
        <v>69</v>
      </c>
      <c r="AK859" t="s">
        <v>69</v>
      </c>
      <c r="AL859" t="s">
        <v>69</v>
      </c>
      <c r="AM859" t="s">
        <v>69</v>
      </c>
      <c r="AN859">
        <v>36</v>
      </c>
      <c r="AO859">
        <v>15</v>
      </c>
      <c r="AP859">
        <v>15</v>
      </c>
      <c r="AQ859">
        <v>2</v>
      </c>
      <c r="AR859">
        <v>26</v>
      </c>
      <c r="AS859" t="s">
        <v>22657</v>
      </c>
      <c r="AT859" t="s">
        <v>9424</v>
      </c>
      <c r="AU859" t="s">
        <v>22658</v>
      </c>
      <c r="AV859" t="s">
        <v>1277</v>
      </c>
      <c r="AW859" t="s">
        <v>1278</v>
      </c>
      <c r="AX859" t="s">
        <v>69</v>
      </c>
      <c r="AY859" t="s">
        <v>22659</v>
      </c>
      <c r="AZ859" t="s">
        <v>22660</v>
      </c>
      <c r="BA859" t="s">
        <v>155</v>
      </c>
      <c r="BB859">
        <v>2015</v>
      </c>
      <c r="BC859">
        <v>5</v>
      </c>
      <c r="BD859">
        <v>1</v>
      </c>
      <c r="BE859" t="s">
        <v>69</v>
      </c>
      <c r="BF859" t="s">
        <v>69</v>
      </c>
      <c r="BG859" t="s">
        <v>69</v>
      </c>
      <c r="BH859" t="s">
        <v>69</v>
      </c>
      <c r="BI859">
        <v>109</v>
      </c>
      <c r="BJ859">
        <v>121</v>
      </c>
      <c r="BK859">
        <v>10407</v>
      </c>
      <c r="BL859" t="s">
        <v>1279</v>
      </c>
      <c r="BM859" t="str">
        <f>HYPERLINK("http://dx.doi.org/10.7189/jogh.05.010407","http://dx.doi.org/10.7189/jogh.05.010407")</f>
        <v>http://dx.doi.org/10.7189/jogh.05.010407</v>
      </c>
      <c r="BN859" t="s">
        <v>69</v>
      </c>
      <c r="BO859" t="s">
        <v>69</v>
      </c>
      <c r="BP859">
        <v>13</v>
      </c>
      <c r="BQ859" t="s">
        <v>8810</v>
      </c>
      <c r="BR859" t="s">
        <v>8523</v>
      </c>
      <c r="BS859" t="s">
        <v>8810</v>
      </c>
      <c r="BT859" t="s">
        <v>22661</v>
      </c>
      <c r="BU859" t="s">
        <v>1280</v>
      </c>
      <c r="BV859">
        <v>25969731</v>
      </c>
      <c r="BW859" t="s">
        <v>69</v>
      </c>
      <c r="BX859" t="s">
        <v>69</v>
      </c>
      <c r="BY859" t="s">
        <v>69</v>
      </c>
      <c r="BZ859" t="s">
        <v>8526</v>
      </c>
      <c r="CA859" t="str">
        <f>HYPERLINK("https%3A%2F%2Fwww.webofscience.com%2Fwos%2Fwoscc%2Ffull-record%2FWOS:000370619100012","View Full Record in Web of Science")</f>
        <v>View Full Record in Web of Science</v>
      </c>
    </row>
    <row r="860" spans="2:79" ht="12.5" x14ac:dyDescent="0.25">
      <c r="B860" t="s">
        <v>8495</v>
      </c>
      <c r="D860" s="7" t="s">
        <v>32933</v>
      </c>
      <c r="E860" s="7"/>
      <c r="F860" s="7"/>
      <c r="G860" s="7"/>
      <c r="H860" t="s">
        <v>67</v>
      </c>
      <c r="I860" t="s">
        <v>2122</v>
      </c>
      <c r="J860" t="s">
        <v>69</v>
      </c>
      <c r="K860" t="s">
        <v>69</v>
      </c>
      <c r="L860" t="s">
        <v>69</v>
      </c>
      <c r="M860" t="s">
        <v>2123</v>
      </c>
      <c r="N860" t="s">
        <v>69</v>
      </c>
      <c r="O860" t="s">
        <v>69</v>
      </c>
      <c r="P860" t="s">
        <v>2124</v>
      </c>
      <c r="Q860" t="s">
        <v>352</v>
      </c>
      <c r="R860" t="s">
        <v>69</v>
      </c>
      <c r="S860" t="s">
        <v>69</v>
      </c>
      <c r="T860" t="s">
        <v>8505</v>
      </c>
      <c r="U860" t="s">
        <v>8506</v>
      </c>
      <c r="V860" t="s">
        <v>69</v>
      </c>
      <c r="W860" t="s">
        <v>69</v>
      </c>
      <c r="X860" t="s">
        <v>69</v>
      </c>
      <c r="Y860" t="s">
        <v>69</v>
      </c>
      <c r="Z860" t="s">
        <v>69</v>
      </c>
      <c r="AA860" t="s">
        <v>16619</v>
      </c>
      <c r="AB860" t="s">
        <v>16620</v>
      </c>
      <c r="AC860" t="s">
        <v>2125</v>
      </c>
      <c r="AD860" t="s">
        <v>16621</v>
      </c>
      <c r="AE860" t="s">
        <v>69</v>
      </c>
      <c r="AF860" t="s">
        <v>16622</v>
      </c>
      <c r="AG860" t="s">
        <v>16623</v>
      </c>
      <c r="AH860" t="s">
        <v>16624</v>
      </c>
      <c r="AI860" t="s">
        <v>2126</v>
      </c>
      <c r="AJ860" t="s">
        <v>16625</v>
      </c>
      <c r="AK860" t="s">
        <v>16626</v>
      </c>
      <c r="AL860" t="s">
        <v>16627</v>
      </c>
      <c r="AM860" t="s">
        <v>69</v>
      </c>
      <c r="AN860">
        <v>69</v>
      </c>
      <c r="AO860">
        <v>4</v>
      </c>
      <c r="AP860">
        <v>4</v>
      </c>
      <c r="AQ860">
        <v>8</v>
      </c>
      <c r="AR860">
        <v>20</v>
      </c>
      <c r="AS860" t="s">
        <v>8924</v>
      </c>
      <c r="AT860" t="s">
        <v>8925</v>
      </c>
      <c r="AU860" t="s">
        <v>8926</v>
      </c>
      <c r="AV860" t="s">
        <v>69</v>
      </c>
      <c r="AW860" t="s">
        <v>354</v>
      </c>
      <c r="AX860" t="s">
        <v>69</v>
      </c>
      <c r="AY860" t="s">
        <v>8958</v>
      </c>
      <c r="AZ860" t="s">
        <v>8434</v>
      </c>
      <c r="BA860" t="s">
        <v>891</v>
      </c>
      <c r="BB860">
        <v>2019</v>
      </c>
      <c r="BC860">
        <v>11</v>
      </c>
      <c r="BD860">
        <v>20</v>
      </c>
      <c r="BE860" t="s">
        <v>69</v>
      </c>
      <c r="BF860" t="s">
        <v>69</v>
      </c>
      <c r="BG860" t="s">
        <v>69</v>
      </c>
      <c r="BH860" t="s">
        <v>69</v>
      </c>
      <c r="BI860" t="s">
        <v>69</v>
      </c>
      <c r="BJ860" t="s">
        <v>69</v>
      </c>
      <c r="BK860">
        <v>5551</v>
      </c>
      <c r="BL860" t="s">
        <v>2127</v>
      </c>
      <c r="BM860" t="str">
        <f>HYPERLINK("http://dx.doi.org/10.3390/su11205551","http://dx.doi.org/10.3390/su11205551")</f>
        <v>http://dx.doi.org/10.3390/su11205551</v>
      </c>
      <c r="BN860" t="s">
        <v>69</v>
      </c>
      <c r="BO860" t="s">
        <v>69</v>
      </c>
      <c r="BP860">
        <v>21</v>
      </c>
      <c r="BQ860" t="s">
        <v>8960</v>
      </c>
      <c r="BR860" t="s">
        <v>8523</v>
      </c>
      <c r="BS860" t="s">
        <v>8961</v>
      </c>
      <c r="BT860" t="s">
        <v>16608</v>
      </c>
      <c r="BU860" t="s">
        <v>2128</v>
      </c>
      <c r="BV860" t="s">
        <v>69</v>
      </c>
      <c r="BW860" t="s">
        <v>9352</v>
      </c>
      <c r="BX860" t="s">
        <v>69</v>
      </c>
      <c r="BY860" t="s">
        <v>69</v>
      </c>
      <c r="BZ860" t="s">
        <v>8526</v>
      </c>
      <c r="CA860" t="str">
        <f>HYPERLINK("https%3A%2F%2Fwww.webofscience.com%2Fwos%2Fwoscc%2Ffull-record%2FWOS:000498398900008","View Full Record in Web of Science")</f>
        <v>View Full Record in Web of Science</v>
      </c>
    </row>
    <row r="861" spans="2:79" ht="12.5" x14ac:dyDescent="0.25">
      <c r="B861" t="s">
        <v>8495</v>
      </c>
      <c r="D861" s="22" t="s">
        <v>32931</v>
      </c>
      <c r="E861" s="7"/>
      <c r="F861" s="7"/>
      <c r="G861" s="7"/>
      <c r="H861" t="s">
        <v>67</v>
      </c>
      <c r="I861" t="s">
        <v>14954</v>
      </c>
      <c r="J861" t="s">
        <v>69</v>
      </c>
      <c r="K861" t="s">
        <v>69</v>
      </c>
      <c r="L861" t="s">
        <v>69</v>
      </c>
      <c r="M861" t="s">
        <v>14955</v>
      </c>
      <c r="N861" t="s">
        <v>69</v>
      </c>
      <c r="O861" t="s">
        <v>69</v>
      </c>
      <c r="P861" t="s">
        <v>14956</v>
      </c>
      <c r="Q861" t="s">
        <v>14957</v>
      </c>
      <c r="R861" t="s">
        <v>69</v>
      </c>
      <c r="S861" t="s">
        <v>69</v>
      </c>
      <c r="T861" t="s">
        <v>8505</v>
      </c>
      <c r="U861" t="s">
        <v>8506</v>
      </c>
      <c r="V861" t="s">
        <v>69</v>
      </c>
      <c r="W861" t="s">
        <v>69</v>
      </c>
      <c r="X861" t="s">
        <v>69</v>
      </c>
      <c r="Y861" t="s">
        <v>69</v>
      </c>
      <c r="Z861" t="s">
        <v>69</v>
      </c>
      <c r="AA861" t="s">
        <v>14958</v>
      </c>
      <c r="AB861" t="s">
        <v>14959</v>
      </c>
      <c r="AC861" t="s">
        <v>14960</v>
      </c>
      <c r="AD861" t="s">
        <v>14961</v>
      </c>
      <c r="AE861" t="s">
        <v>69</v>
      </c>
      <c r="AF861" t="s">
        <v>14962</v>
      </c>
      <c r="AG861" t="s">
        <v>14963</v>
      </c>
      <c r="AH861" t="s">
        <v>69</v>
      </c>
      <c r="AI861" t="s">
        <v>14964</v>
      </c>
      <c r="AJ861" t="s">
        <v>69</v>
      </c>
      <c r="AK861" t="s">
        <v>69</v>
      </c>
      <c r="AL861" t="s">
        <v>69</v>
      </c>
      <c r="AM861" t="s">
        <v>69</v>
      </c>
      <c r="AN861">
        <v>71</v>
      </c>
      <c r="AO861">
        <v>2</v>
      </c>
      <c r="AP861">
        <v>2</v>
      </c>
      <c r="AQ861">
        <v>2</v>
      </c>
      <c r="AR861">
        <v>13</v>
      </c>
      <c r="AS861" t="s">
        <v>8586</v>
      </c>
      <c r="AT861" t="s">
        <v>8587</v>
      </c>
      <c r="AU861" t="s">
        <v>8588</v>
      </c>
      <c r="AV861" t="s">
        <v>14965</v>
      </c>
      <c r="AW861" t="s">
        <v>14966</v>
      </c>
      <c r="AX861" t="s">
        <v>69</v>
      </c>
      <c r="AY861" t="s">
        <v>14967</v>
      </c>
      <c r="AZ861" t="s">
        <v>14968</v>
      </c>
      <c r="BA861" t="s">
        <v>12835</v>
      </c>
      <c r="BB861">
        <v>2022</v>
      </c>
      <c r="BC861">
        <v>16</v>
      </c>
      <c r="BD861">
        <v>2</v>
      </c>
      <c r="BE861" t="s">
        <v>69</v>
      </c>
      <c r="BF861" t="s">
        <v>69</v>
      </c>
      <c r="BG861" t="s">
        <v>69</v>
      </c>
      <c r="BH861" t="s">
        <v>69</v>
      </c>
      <c r="BI861">
        <v>218</v>
      </c>
      <c r="BJ861">
        <v>237</v>
      </c>
      <c r="BK861" t="s">
        <v>69</v>
      </c>
      <c r="BL861" t="s">
        <v>14969</v>
      </c>
      <c r="BM861" t="str">
        <f>HYPERLINK("http://dx.doi.org/10.1108/JEC-10-2019-0111","http://dx.doi.org/10.1108/JEC-10-2019-0111")</f>
        <v>http://dx.doi.org/10.1108/JEC-10-2019-0111</v>
      </c>
      <c r="BN861" t="s">
        <v>69</v>
      </c>
      <c r="BO861" t="s">
        <v>4582</v>
      </c>
      <c r="BP861">
        <v>20</v>
      </c>
      <c r="BQ861" t="s">
        <v>8444</v>
      </c>
      <c r="BR861" t="s">
        <v>8573</v>
      </c>
      <c r="BS861" t="s">
        <v>8594</v>
      </c>
      <c r="BT861" t="s">
        <v>14970</v>
      </c>
      <c r="BU861" t="s">
        <v>14971</v>
      </c>
      <c r="BV861" t="s">
        <v>69</v>
      </c>
      <c r="BW861" t="s">
        <v>69</v>
      </c>
      <c r="BX861" t="s">
        <v>69</v>
      </c>
      <c r="BY861" t="s">
        <v>69</v>
      </c>
      <c r="BZ861" t="s">
        <v>8526</v>
      </c>
      <c r="CA861" t="str">
        <f>HYPERLINK("https%3A%2F%2Fwww.webofscience.com%2Fwos%2Fwoscc%2Ffull-record%2FWOS:000541895900001","View Full Record in Web of Science")</f>
        <v>View Full Record in Web of Science</v>
      </c>
    </row>
    <row r="862" spans="2:79" ht="12.5" x14ac:dyDescent="0.25">
      <c r="B862" t="s">
        <v>8495</v>
      </c>
      <c r="D862" s="22" t="s">
        <v>32931</v>
      </c>
      <c r="E862" s="7"/>
      <c r="F862" s="7"/>
      <c r="G862" s="7"/>
      <c r="H862" t="s">
        <v>67</v>
      </c>
      <c r="I862" t="s">
        <v>13034</v>
      </c>
      <c r="J862" t="s">
        <v>69</v>
      </c>
      <c r="K862" t="s">
        <v>69</v>
      </c>
      <c r="L862" t="s">
        <v>69</v>
      </c>
      <c r="M862" t="s">
        <v>13035</v>
      </c>
      <c r="N862" t="s">
        <v>69</v>
      </c>
      <c r="O862" t="s">
        <v>69</v>
      </c>
      <c r="P862" t="s">
        <v>13036</v>
      </c>
      <c r="Q862" t="s">
        <v>10506</v>
      </c>
      <c r="R862" t="s">
        <v>69</v>
      </c>
      <c r="S862" t="s">
        <v>69</v>
      </c>
      <c r="T862" t="s">
        <v>8505</v>
      </c>
      <c r="U862" t="s">
        <v>8506</v>
      </c>
      <c r="V862" t="s">
        <v>69</v>
      </c>
      <c r="W862" t="s">
        <v>69</v>
      </c>
      <c r="X862" t="s">
        <v>69</v>
      </c>
      <c r="Y862" t="s">
        <v>69</v>
      </c>
      <c r="Z862" t="s">
        <v>69</v>
      </c>
      <c r="AA862" t="s">
        <v>13037</v>
      </c>
      <c r="AB862" t="s">
        <v>69</v>
      </c>
      <c r="AC862" t="s">
        <v>13038</v>
      </c>
      <c r="AD862" t="s">
        <v>13039</v>
      </c>
      <c r="AE862" t="s">
        <v>69</v>
      </c>
      <c r="AF862" t="s">
        <v>13040</v>
      </c>
      <c r="AG862" t="s">
        <v>13041</v>
      </c>
      <c r="AH862" t="s">
        <v>69</v>
      </c>
      <c r="AI862" t="s">
        <v>13042</v>
      </c>
      <c r="AJ862" t="s">
        <v>69</v>
      </c>
      <c r="AK862" t="s">
        <v>69</v>
      </c>
      <c r="AL862" t="s">
        <v>69</v>
      </c>
      <c r="AM862" t="s">
        <v>69</v>
      </c>
      <c r="AN862">
        <v>16</v>
      </c>
      <c r="AO862">
        <v>0</v>
      </c>
      <c r="AP862">
        <v>0</v>
      </c>
      <c r="AQ862">
        <v>0</v>
      </c>
      <c r="AR862">
        <v>4</v>
      </c>
      <c r="AS862" t="s">
        <v>10517</v>
      </c>
      <c r="AT862" t="s">
        <v>10518</v>
      </c>
      <c r="AU862" t="s">
        <v>10519</v>
      </c>
      <c r="AV862" t="s">
        <v>10520</v>
      </c>
      <c r="AW862" t="s">
        <v>69</v>
      </c>
      <c r="AX862" t="s">
        <v>69</v>
      </c>
      <c r="AY862" t="s">
        <v>10521</v>
      </c>
      <c r="AZ862" t="s">
        <v>10522</v>
      </c>
      <c r="BA862" t="s">
        <v>13043</v>
      </c>
      <c r="BB862">
        <v>2021</v>
      </c>
      <c r="BC862">
        <v>23</v>
      </c>
      <c r="BD862">
        <v>2</v>
      </c>
      <c r="BE862" t="s">
        <v>69</v>
      </c>
      <c r="BF862" t="s">
        <v>69</v>
      </c>
      <c r="BG862" t="s">
        <v>69</v>
      </c>
      <c r="BH862" t="s">
        <v>69</v>
      </c>
      <c r="BI862" t="s">
        <v>69</v>
      </c>
      <c r="BJ862" t="s">
        <v>69</v>
      </c>
      <c r="BK862" t="s">
        <v>13044</v>
      </c>
      <c r="BL862" t="s">
        <v>13045</v>
      </c>
      <c r="BM862" t="str">
        <f>HYPERLINK("http://dx.doi.org/10.2196/23658","http://dx.doi.org/10.2196/23658")</f>
        <v>http://dx.doi.org/10.2196/23658</v>
      </c>
      <c r="BN862" t="s">
        <v>69</v>
      </c>
      <c r="BO862" t="s">
        <v>69</v>
      </c>
      <c r="BP862">
        <v>9</v>
      </c>
      <c r="BQ862" t="s">
        <v>10525</v>
      </c>
      <c r="BR862" t="s">
        <v>8548</v>
      </c>
      <c r="BS862" t="s">
        <v>10525</v>
      </c>
      <c r="BT862" t="s">
        <v>13046</v>
      </c>
      <c r="BU862" t="s">
        <v>13047</v>
      </c>
      <c r="BV862">
        <v>33539306</v>
      </c>
      <c r="BW862" t="s">
        <v>8812</v>
      </c>
      <c r="BX862" t="s">
        <v>69</v>
      </c>
      <c r="BY862" t="s">
        <v>69</v>
      </c>
      <c r="BZ862" t="s">
        <v>8526</v>
      </c>
      <c r="CA862" t="str">
        <f>HYPERLINK("https%3A%2F%2Fwww.webofscience.com%2Fwos%2Fwoscc%2Ffull-record%2FWOS:000621590700012","View Full Record in Web of Science")</f>
        <v>View Full Record in Web of Science</v>
      </c>
    </row>
    <row r="863" spans="2:79" x14ac:dyDescent="0.3">
      <c r="B863" t="s">
        <v>8495</v>
      </c>
      <c r="D863" s="9" t="s">
        <v>32996</v>
      </c>
      <c r="E863" s="9" t="s">
        <v>33057</v>
      </c>
      <c r="F863" s="9" t="s">
        <v>8491</v>
      </c>
      <c r="G863" s="9" t="s">
        <v>8490</v>
      </c>
      <c r="H863" t="s">
        <v>67</v>
      </c>
      <c r="I863" t="s">
        <v>31123</v>
      </c>
      <c r="J863" t="s">
        <v>69</v>
      </c>
      <c r="K863" t="s">
        <v>69</v>
      </c>
      <c r="L863" t="s">
        <v>69</v>
      </c>
      <c r="M863" t="s">
        <v>31123</v>
      </c>
      <c r="N863" t="s">
        <v>69</v>
      </c>
      <c r="O863" t="s">
        <v>69</v>
      </c>
      <c r="P863" t="s">
        <v>31124</v>
      </c>
      <c r="Q863" t="s">
        <v>436</v>
      </c>
      <c r="R863" t="s">
        <v>69</v>
      </c>
      <c r="S863" t="s">
        <v>69</v>
      </c>
      <c r="T863" t="s">
        <v>8505</v>
      </c>
      <c r="U863" t="s">
        <v>8506</v>
      </c>
      <c r="V863" t="s">
        <v>69</v>
      </c>
      <c r="W863" t="s">
        <v>69</v>
      </c>
      <c r="X863" t="s">
        <v>69</v>
      </c>
      <c r="Y863" t="s">
        <v>69</v>
      </c>
      <c r="Z863" t="s">
        <v>69</v>
      </c>
      <c r="AA863" t="s">
        <v>31125</v>
      </c>
      <c r="AB863" t="s">
        <v>69</v>
      </c>
      <c r="AC863" t="s">
        <v>31126</v>
      </c>
      <c r="AD863" t="s">
        <v>31127</v>
      </c>
      <c r="AE863" t="s">
        <v>69</v>
      </c>
      <c r="AF863" t="s">
        <v>31128</v>
      </c>
      <c r="AG863" t="s">
        <v>69</v>
      </c>
      <c r="AH863" t="s">
        <v>69</v>
      </c>
      <c r="AI863" t="s">
        <v>69</v>
      </c>
      <c r="AJ863" t="s">
        <v>69</v>
      </c>
      <c r="AK863" t="s">
        <v>69</v>
      </c>
      <c r="AL863" t="s">
        <v>69</v>
      </c>
      <c r="AM863" t="s">
        <v>69</v>
      </c>
      <c r="AN863">
        <v>0</v>
      </c>
      <c r="AO863">
        <v>4</v>
      </c>
      <c r="AP863">
        <v>4</v>
      </c>
      <c r="AQ863">
        <v>0</v>
      </c>
      <c r="AR863">
        <v>4</v>
      </c>
      <c r="AS863" t="s">
        <v>8636</v>
      </c>
      <c r="AT863" t="s">
        <v>8637</v>
      </c>
      <c r="AU863" t="s">
        <v>8638</v>
      </c>
      <c r="AV863" t="s">
        <v>440</v>
      </c>
      <c r="AW863" t="s">
        <v>69</v>
      </c>
      <c r="AX863" t="s">
        <v>69</v>
      </c>
      <c r="AY863" t="s">
        <v>8639</v>
      </c>
      <c r="AZ863" t="s">
        <v>8640</v>
      </c>
      <c r="BA863" t="s">
        <v>69</v>
      </c>
      <c r="BB863">
        <v>2004</v>
      </c>
      <c r="BC863">
        <v>12</v>
      </c>
      <c r="BD863">
        <v>3</v>
      </c>
      <c r="BE863" t="s">
        <v>69</v>
      </c>
      <c r="BF863" t="s">
        <v>69</v>
      </c>
      <c r="BG863" t="s">
        <v>69</v>
      </c>
      <c r="BH863" t="s">
        <v>69</v>
      </c>
      <c r="BI863">
        <v>297</v>
      </c>
      <c r="BJ863">
        <v>303</v>
      </c>
      <c r="BK863" t="s">
        <v>69</v>
      </c>
      <c r="BL863" t="s">
        <v>31129</v>
      </c>
      <c r="BM863" t="str">
        <f>HYPERLINK("http://dx.doi.org/10.1016/S0959-6526(03)00100-8","http://dx.doi.org/10.1016/S0959-6526(03)00100-8")</f>
        <v>http://dx.doi.org/10.1016/S0959-6526(03)00100-8</v>
      </c>
      <c r="BN863" t="s">
        <v>69</v>
      </c>
      <c r="BO863" t="s">
        <v>69</v>
      </c>
      <c r="BP863">
        <v>7</v>
      </c>
      <c r="BQ863" t="s">
        <v>8643</v>
      </c>
      <c r="BR863" t="s">
        <v>8548</v>
      </c>
      <c r="BS863" t="s">
        <v>8644</v>
      </c>
      <c r="BT863" t="s">
        <v>31122</v>
      </c>
      <c r="BU863" t="s">
        <v>31130</v>
      </c>
      <c r="BV863" t="s">
        <v>69</v>
      </c>
      <c r="BW863" t="s">
        <v>69</v>
      </c>
      <c r="BX863" t="s">
        <v>69</v>
      </c>
      <c r="BY863" t="s">
        <v>69</v>
      </c>
      <c r="BZ863" t="s">
        <v>8526</v>
      </c>
      <c r="CA863" t="str">
        <f>HYPERLINK("https%3A%2F%2Fwww.webofscience.com%2Fwos%2Fwoscc%2Ffull-record%2FWOS:000186789700012","View Full Record in Web of Science")</f>
        <v>View Full Record in Web of Science</v>
      </c>
    </row>
    <row r="864" spans="2:79" ht="12.5" x14ac:dyDescent="0.25">
      <c r="B864" t="s">
        <v>8495</v>
      </c>
      <c r="D864" s="7" t="s">
        <v>32933</v>
      </c>
      <c r="E864" s="7"/>
      <c r="F864" s="7"/>
      <c r="G864" s="7"/>
      <c r="H864" t="s">
        <v>67</v>
      </c>
      <c r="I864" t="s">
        <v>1047</v>
      </c>
      <c r="J864" t="s">
        <v>69</v>
      </c>
      <c r="K864" t="s">
        <v>69</v>
      </c>
      <c r="L864" t="s">
        <v>69</v>
      </c>
      <c r="M864" t="s">
        <v>1048</v>
      </c>
      <c r="N864" t="s">
        <v>69</v>
      </c>
      <c r="O864" t="s">
        <v>69</v>
      </c>
      <c r="P864" t="s">
        <v>1049</v>
      </c>
      <c r="Q864" t="s">
        <v>1050</v>
      </c>
      <c r="R864" t="s">
        <v>69</v>
      </c>
      <c r="S864" t="s">
        <v>69</v>
      </c>
      <c r="T864" t="s">
        <v>10071</v>
      </c>
      <c r="U864" t="s">
        <v>8506</v>
      </c>
      <c r="V864" t="s">
        <v>69</v>
      </c>
      <c r="W864" t="s">
        <v>69</v>
      </c>
      <c r="X864" t="s">
        <v>69</v>
      </c>
      <c r="Y864" t="s">
        <v>69</v>
      </c>
      <c r="Z864" t="s">
        <v>69</v>
      </c>
      <c r="AA864" t="s">
        <v>18423</v>
      </c>
      <c r="AB864" t="s">
        <v>18424</v>
      </c>
      <c r="AC864" t="s">
        <v>1051</v>
      </c>
      <c r="AD864" t="s">
        <v>18425</v>
      </c>
      <c r="AE864" t="s">
        <v>69</v>
      </c>
      <c r="AF864" t="s">
        <v>18426</v>
      </c>
      <c r="AG864" t="s">
        <v>69</v>
      </c>
      <c r="AH864" t="s">
        <v>69</v>
      </c>
      <c r="AI864" t="s">
        <v>69</v>
      </c>
      <c r="AJ864" t="s">
        <v>69</v>
      </c>
      <c r="AK864" t="s">
        <v>69</v>
      </c>
      <c r="AL864" t="s">
        <v>69</v>
      </c>
      <c r="AM864" t="s">
        <v>69</v>
      </c>
      <c r="AN864">
        <v>73</v>
      </c>
      <c r="AO864">
        <v>1</v>
      </c>
      <c r="AP864">
        <v>1</v>
      </c>
      <c r="AQ864">
        <v>2</v>
      </c>
      <c r="AR864">
        <v>11</v>
      </c>
      <c r="AS864" t="s">
        <v>18427</v>
      </c>
      <c r="AT864" t="s">
        <v>18428</v>
      </c>
      <c r="AU864" t="s">
        <v>18429</v>
      </c>
      <c r="AV864" t="s">
        <v>1052</v>
      </c>
      <c r="AW864" t="s">
        <v>69</v>
      </c>
      <c r="AX864" t="s">
        <v>69</v>
      </c>
      <c r="AY864" t="s">
        <v>18430</v>
      </c>
      <c r="AZ864" t="s">
        <v>18431</v>
      </c>
      <c r="BA864" t="s">
        <v>1053</v>
      </c>
      <c r="BB864">
        <v>2018</v>
      </c>
      <c r="BC864" t="s">
        <v>69</v>
      </c>
      <c r="BD864">
        <v>113</v>
      </c>
      <c r="BE864" t="s">
        <v>69</v>
      </c>
      <c r="BF864" t="s">
        <v>69</v>
      </c>
      <c r="BG864" t="s">
        <v>69</v>
      </c>
      <c r="BH864" t="s">
        <v>69</v>
      </c>
      <c r="BI864">
        <v>165</v>
      </c>
      <c r="BJ864">
        <v>192</v>
      </c>
      <c r="BK864" t="s">
        <v>69</v>
      </c>
      <c r="BL864" t="s">
        <v>69</v>
      </c>
      <c r="BM864" t="s">
        <v>69</v>
      </c>
      <c r="BN864" t="s">
        <v>69</v>
      </c>
      <c r="BO864" t="s">
        <v>69</v>
      </c>
      <c r="BP864">
        <v>28</v>
      </c>
      <c r="BQ864" t="s">
        <v>8660</v>
      </c>
      <c r="BR864" t="s">
        <v>8573</v>
      </c>
      <c r="BS864" t="s">
        <v>8662</v>
      </c>
      <c r="BT864" t="s">
        <v>18432</v>
      </c>
      <c r="BU864" t="s">
        <v>1054</v>
      </c>
      <c r="BV864" t="s">
        <v>69</v>
      </c>
      <c r="BW864" t="s">
        <v>69</v>
      </c>
      <c r="BX864" t="s">
        <v>69</v>
      </c>
      <c r="BY864" t="s">
        <v>69</v>
      </c>
      <c r="BZ864" t="s">
        <v>8526</v>
      </c>
      <c r="CA864" t="str">
        <f>HYPERLINK("https%3A%2F%2Fwww.webofscience.com%2Fwos%2Fwoscc%2Ffull-record%2FWOS:000483175100008","View Full Record in Web of Science")</f>
        <v>View Full Record in Web of Science</v>
      </c>
    </row>
    <row r="865" spans="2:79" ht="12.5" x14ac:dyDescent="0.25">
      <c r="B865" t="s">
        <v>8495</v>
      </c>
      <c r="D865" s="7" t="s">
        <v>32933</v>
      </c>
      <c r="E865" s="7"/>
      <c r="F865" s="7"/>
      <c r="G865" s="7"/>
      <c r="H865" t="s">
        <v>67</v>
      </c>
      <c r="I865" t="s">
        <v>8083</v>
      </c>
      <c r="J865" t="s">
        <v>69</v>
      </c>
      <c r="K865" t="s">
        <v>69</v>
      </c>
      <c r="L865" t="s">
        <v>69</v>
      </c>
      <c r="M865" t="s">
        <v>8084</v>
      </c>
      <c r="N865" t="s">
        <v>69</v>
      </c>
      <c r="O865" t="s">
        <v>69</v>
      </c>
      <c r="P865" t="s">
        <v>8085</v>
      </c>
      <c r="Q865" t="s">
        <v>473</v>
      </c>
      <c r="R865" t="s">
        <v>69</v>
      </c>
      <c r="S865" t="s">
        <v>69</v>
      </c>
      <c r="T865" t="s">
        <v>8505</v>
      </c>
      <c r="U865" t="s">
        <v>8506</v>
      </c>
      <c r="V865" t="s">
        <v>69</v>
      </c>
      <c r="W865" t="s">
        <v>69</v>
      </c>
      <c r="X865" t="s">
        <v>69</v>
      </c>
      <c r="Y865" t="s">
        <v>69</v>
      </c>
      <c r="Z865" t="s">
        <v>69</v>
      </c>
      <c r="AA865" t="s">
        <v>18277</v>
      </c>
      <c r="AB865" t="s">
        <v>18278</v>
      </c>
      <c r="AC865" t="s">
        <v>8086</v>
      </c>
      <c r="AD865" t="s">
        <v>18279</v>
      </c>
      <c r="AE865" t="s">
        <v>69</v>
      </c>
      <c r="AF865" t="s">
        <v>18280</v>
      </c>
      <c r="AG865" t="s">
        <v>18281</v>
      </c>
      <c r="AH865" t="s">
        <v>18282</v>
      </c>
      <c r="AI865" t="s">
        <v>18283</v>
      </c>
      <c r="AJ865" t="s">
        <v>18284</v>
      </c>
      <c r="AK865" t="s">
        <v>18285</v>
      </c>
      <c r="AL865" t="s">
        <v>18286</v>
      </c>
      <c r="AM865" t="s">
        <v>69</v>
      </c>
      <c r="AN865">
        <v>94</v>
      </c>
      <c r="AO865">
        <v>7</v>
      </c>
      <c r="AP865">
        <v>7</v>
      </c>
      <c r="AQ865">
        <v>1</v>
      </c>
      <c r="AR865">
        <v>13</v>
      </c>
      <c r="AS865" t="s">
        <v>18272</v>
      </c>
      <c r="AT865" t="s">
        <v>8763</v>
      </c>
      <c r="AU865" t="s">
        <v>18273</v>
      </c>
      <c r="AV865" t="s">
        <v>475</v>
      </c>
      <c r="AW865" t="s">
        <v>476</v>
      </c>
      <c r="AX865" t="s">
        <v>69</v>
      </c>
      <c r="AY865" t="s">
        <v>18274</v>
      </c>
      <c r="AZ865" t="s">
        <v>18275</v>
      </c>
      <c r="BA865" t="s">
        <v>904</v>
      </c>
      <c r="BB865">
        <v>2018</v>
      </c>
      <c r="BC865">
        <v>223</v>
      </c>
      <c r="BD865" t="s">
        <v>69</v>
      </c>
      <c r="BE865" t="s">
        <v>69</v>
      </c>
      <c r="BF865" t="s">
        <v>69</v>
      </c>
      <c r="BG865" t="s">
        <v>69</v>
      </c>
      <c r="BH865" t="s">
        <v>69</v>
      </c>
      <c r="BI865">
        <v>731</v>
      </c>
      <c r="BJ865">
        <v>742</v>
      </c>
      <c r="BK865" t="s">
        <v>69</v>
      </c>
      <c r="BL865" t="s">
        <v>8087</v>
      </c>
      <c r="BM865" t="str">
        <f>HYPERLINK("http://dx.doi.org/10.1016/j.jenvman.2018.06.054","http://dx.doi.org/10.1016/j.jenvman.2018.06.054")</f>
        <v>http://dx.doi.org/10.1016/j.jenvman.2018.06.054</v>
      </c>
      <c r="BN865" t="s">
        <v>69</v>
      </c>
      <c r="BO865" t="s">
        <v>69</v>
      </c>
      <c r="BP865">
        <v>12</v>
      </c>
      <c r="BQ865" t="s">
        <v>8717</v>
      </c>
      <c r="BR865" t="s">
        <v>8523</v>
      </c>
      <c r="BS865" t="s">
        <v>8662</v>
      </c>
      <c r="BT865" t="s">
        <v>18276</v>
      </c>
      <c r="BU865" t="s">
        <v>8088</v>
      </c>
      <c r="BV865">
        <v>29986320</v>
      </c>
      <c r="BW865" t="s">
        <v>69</v>
      </c>
      <c r="BX865" t="s">
        <v>69</v>
      </c>
      <c r="BY865" t="s">
        <v>69</v>
      </c>
      <c r="BZ865" t="s">
        <v>8526</v>
      </c>
      <c r="CA865" t="str">
        <f>HYPERLINK("https%3A%2F%2Fwww.webofscience.com%2Fwos%2Fwoscc%2Ffull-record%2FWOS:000442057500073","View Full Record in Web of Science")</f>
        <v>View Full Record in Web of Science</v>
      </c>
    </row>
    <row r="866" spans="2:79" ht="12.5" x14ac:dyDescent="0.25">
      <c r="B866" t="s">
        <v>8495</v>
      </c>
      <c r="D866" s="7" t="s">
        <v>32933</v>
      </c>
      <c r="E866" s="7"/>
      <c r="F866" s="7"/>
      <c r="G866" s="7"/>
      <c r="H866" t="s">
        <v>67</v>
      </c>
      <c r="I866" t="s">
        <v>758</v>
      </c>
      <c r="J866" t="s">
        <v>69</v>
      </c>
      <c r="K866" t="s">
        <v>69</v>
      </c>
      <c r="L866" t="s">
        <v>69</v>
      </c>
      <c r="M866" t="s">
        <v>759</v>
      </c>
      <c r="N866" t="s">
        <v>69</v>
      </c>
      <c r="O866" t="s">
        <v>69</v>
      </c>
      <c r="P866" t="s">
        <v>760</v>
      </c>
      <c r="Q866" t="s">
        <v>761</v>
      </c>
      <c r="R866" t="s">
        <v>69</v>
      </c>
      <c r="S866" t="s">
        <v>69</v>
      </c>
      <c r="T866" t="s">
        <v>8505</v>
      </c>
      <c r="U866" t="s">
        <v>8506</v>
      </c>
      <c r="V866" t="s">
        <v>69</v>
      </c>
      <c r="W866" t="s">
        <v>69</v>
      </c>
      <c r="X866" t="s">
        <v>69</v>
      </c>
      <c r="Y866" t="s">
        <v>69</v>
      </c>
      <c r="Z866" t="s">
        <v>69</v>
      </c>
      <c r="AA866" t="s">
        <v>15356</v>
      </c>
      <c r="AB866" t="s">
        <v>15357</v>
      </c>
      <c r="AC866" t="s">
        <v>762</v>
      </c>
      <c r="AD866" t="s">
        <v>15358</v>
      </c>
      <c r="AE866" t="s">
        <v>69</v>
      </c>
      <c r="AF866" t="s">
        <v>15359</v>
      </c>
      <c r="AG866" t="s">
        <v>15360</v>
      </c>
      <c r="AH866" t="s">
        <v>15361</v>
      </c>
      <c r="AI866" t="s">
        <v>763</v>
      </c>
      <c r="AJ866" t="s">
        <v>69</v>
      </c>
      <c r="AK866" t="s">
        <v>69</v>
      </c>
      <c r="AL866" t="s">
        <v>69</v>
      </c>
      <c r="AM866" t="s">
        <v>69</v>
      </c>
      <c r="AN866">
        <v>72</v>
      </c>
      <c r="AO866">
        <v>11</v>
      </c>
      <c r="AP866">
        <v>11</v>
      </c>
      <c r="AQ866">
        <v>0</v>
      </c>
      <c r="AR866">
        <v>5</v>
      </c>
      <c r="AS866" t="s">
        <v>8586</v>
      </c>
      <c r="AT866" t="s">
        <v>8587</v>
      </c>
      <c r="AU866" t="s">
        <v>8588</v>
      </c>
      <c r="AV866" t="s">
        <v>764</v>
      </c>
      <c r="AW866" t="s">
        <v>765</v>
      </c>
      <c r="AX866" t="s">
        <v>69</v>
      </c>
      <c r="AY866" t="s">
        <v>15362</v>
      </c>
      <c r="AZ866" t="s">
        <v>15363</v>
      </c>
      <c r="BA866" t="s">
        <v>4402</v>
      </c>
      <c r="BB866">
        <v>2021</v>
      </c>
      <c r="BC866">
        <v>10</v>
      </c>
      <c r="BD866">
        <v>2</v>
      </c>
      <c r="BE866" t="s">
        <v>69</v>
      </c>
      <c r="BF866" t="s">
        <v>69</v>
      </c>
      <c r="BG866" t="s">
        <v>69</v>
      </c>
      <c r="BH866" t="s">
        <v>69</v>
      </c>
      <c r="BI866">
        <v>193</v>
      </c>
      <c r="BJ866">
        <v>207</v>
      </c>
      <c r="BK866" t="s">
        <v>69</v>
      </c>
      <c r="BL866" t="s">
        <v>766</v>
      </c>
      <c r="BM866" t="str">
        <f>HYPERLINK("http://dx.doi.org/10.1108/SASBE-12-2019-0170","http://dx.doi.org/10.1108/SASBE-12-2019-0170")</f>
        <v>http://dx.doi.org/10.1108/SASBE-12-2019-0170</v>
      </c>
      <c r="BN866" t="s">
        <v>69</v>
      </c>
      <c r="BO866" t="s">
        <v>767</v>
      </c>
      <c r="BP866">
        <v>15</v>
      </c>
      <c r="BQ866" t="s">
        <v>10126</v>
      </c>
      <c r="BR866" t="s">
        <v>8573</v>
      </c>
      <c r="BS866" t="s">
        <v>8620</v>
      </c>
      <c r="BT866" t="s">
        <v>15364</v>
      </c>
      <c r="BU866" t="s">
        <v>768</v>
      </c>
      <c r="BV866" t="s">
        <v>69</v>
      </c>
      <c r="BW866" t="s">
        <v>69</v>
      </c>
      <c r="BX866" t="s">
        <v>69</v>
      </c>
      <c r="BY866" t="s">
        <v>69</v>
      </c>
      <c r="BZ866" t="s">
        <v>8526</v>
      </c>
      <c r="CA866" t="str">
        <f>HYPERLINK("https%3A%2F%2Fwww.webofscience.com%2Fwos%2Fwoscc%2Ffull-record%2FWOS:000529551500001","View Full Record in Web of Science")</f>
        <v>View Full Record in Web of Science</v>
      </c>
    </row>
    <row r="867" spans="2:79" ht="12.5" x14ac:dyDescent="0.25">
      <c r="B867" t="s">
        <v>8495</v>
      </c>
      <c r="D867" s="7" t="s">
        <v>32933</v>
      </c>
      <c r="E867" s="7"/>
      <c r="F867" s="7"/>
      <c r="G867" s="7"/>
      <c r="H867" t="s">
        <v>67</v>
      </c>
      <c r="I867" t="s">
        <v>6797</v>
      </c>
      <c r="J867" t="s">
        <v>69</v>
      </c>
      <c r="K867" t="s">
        <v>69</v>
      </c>
      <c r="L867" t="s">
        <v>69</v>
      </c>
      <c r="M867" t="s">
        <v>6798</v>
      </c>
      <c r="N867" t="s">
        <v>69</v>
      </c>
      <c r="O867" t="s">
        <v>69</v>
      </c>
      <c r="P867" t="s">
        <v>6799</v>
      </c>
      <c r="Q867" t="s">
        <v>6800</v>
      </c>
      <c r="R867" t="s">
        <v>69</v>
      </c>
      <c r="S867" t="s">
        <v>69</v>
      </c>
      <c r="T867" t="s">
        <v>8505</v>
      </c>
      <c r="U867" t="s">
        <v>8506</v>
      </c>
      <c r="V867" t="s">
        <v>69</v>
      </c>
      <c r="W867" t="s">
        <v>69</v>
      </c>
      <c r="X867" t="s">
        <v>69</v>
      </c>
      <c r="Y867" t="s">
        <v>69</v>
      </c>
      <c r="Z867" t="s">
        <v>69</v>
      </c>
      <c r="AA867" t="s">
        <v>19407</v>
      </c>
      <c r="AB867" t="s">
        <v>19408</v>
      </c>
      <c r="AC867" t="s">
        <v>6801</v>
      </c>
      <c r="AD867" t="s">
        <v>19409</v>
      </c>
      <c r="AE867" t="s">
        <v>69</v>
      </c>
      <c r="AF867" t="s">
        <v>19410</v>
      </c>
      <c r="AG867" t="s">
        <v>19411</v>
      </c>
      <c r="AH867" t="s">
        <v>19412</v>
      </c>
      <c r="AI867" t="s">
        <v>19413</v>
      </c>
      <c r="AJ867" t="s">
        <v>19414</v>
      </c>
      <c r="AK867" t="s">
        <v>19415</v>
      </c>
      <c r="AL867" t="s">
        <v>19416</v>
      </c>
      <c r="AM867" t="s">
        <v>69</v>
      </c>
      <c r="AN867">
        <v>12</v>
      </c>
      <c r="AO867">
        <v>0</v>
      </c>
      <c r="AP867">
        <v>0</v>
      </c>
      <c r="AQ867">
        <v>0</v>
      </c>
      <c r="AR867">
        <v>3</v>
      </c>
      <c r="AS867" t="s">
        <v>8865</v>
      </c>
      <c r="AT867" t="s">
        <v>8612</v>
      </c>
      <c r="AU867" t="s">
        <v>8866</v>
      </c>
      <c r="AV867" t="s">
        <v>6802</v>
      </c>
      <c r="AW867" t="s">
        <v>6803</v>
      </c>
      <c r="AX867" t="s">
        <v>69</v>
      </c>
      <c r="AY867" t="s">
        <v>19417</v>
      </c>
      <c r="AZ867" t="s">
        <v>19418</v>
      </c>
      <c r="BA867" t="s">
        <v>69</v>
      </c>
      <c r="BB867">
        <v>2018</v>
      </c>
      <c r="BC867">
        <v>39</v>
      </c>
      <c r="BD867">
        <v>2</v>
      </c>
      <c r="BE867" t="s">
        <v>69</v>
      </c>
      <c r="BF867" t="s">
        <v>69</v>
      </c>
      <c r="BG867" t="s">
        <v>114</v>
      </c>
      <c r="BH867" t="s">
        <v>69</v>
      </c>
      <c r="BI867">
        <v>185</v>
      </c>
      <c r="BJ867">
        <v>189</v>
      </c>
      <c r="BK867" t="s">
        <v>69</v>
      </c>
      <c r="BL867" t="s">
        <v>6804</v>
      </c>
      <c r="BM867" t="str">
        <f>HYPERLINK("http://dx.doi.org/10.1080/08897077.2018.1449173","http://dx.doi.org/10.1080/08897077.2018.1449173")</f>
        <v>http://dx.doi.org/10.1080/08897077.2018.1449173</v>
      </c>
      <c r="BN867" t="s">
        <v>69</v>
      </c>
      <c r="BO867" t="s">
        <v>69</v>
      </c>
      <c r="BP867">
        <v>5</v>
      </c>
      <c r="BQ867" t="s">
        <v>19419</v>
      </c>
      <c r="BR867" t="s">
        <v>8523</v>
      </c>
      <c r="BS867" t="s">
        <v>19419</v>
      </c>
      <c r="BT867" t="s">
        <v>19420</v>
      </c>
      <c r="BU867" t="s">
        <v>6805</v>
      </c>
      <c r="BV867">
        <v>29558284</v>
      </c>
      <c r="BW867" t="s">
        <v>19421</v>
      </c>
      <c r="BX867" t="s">
        <v>69</v>
      </c>
      <c r="BY867" t="s">
        <v>69</v>
      </c>
      <c r="BZ867" t="s">
        <v>8526</v>
      </c>
      <c r="CA867" t="str">
        <f>HYPERLINK("https%3A%2F%2Fwww.webofscience.com%2Fwos%2Fwoscc%2Ffull-record%2FWOS:000452287000011","View Full Record in Web of Science")</f>
        <v>View Full Record in Web of Science</v>
      </c>
    </row>
    <row r="868" spans="2:79" x14ac:dyDescent="0.3">
      <c r="B868" t="s">
        <v>8495</v>
      </c>
      <c r="D868" s="26" t="s">
        <v>32993</v>
      </c>
      <c r="H868" t="s">
        <v>67</v>
      </c>
      <c r="I868" t="s">
        <v>25982</v>
      </c>
      <c r="J868" t="s">
        <v>69</v>
      </c>
      <c r="K868" t="s">
        <v>69</v>
      </c>
      <c r="L868" t="s">
        <v>69</v>
      </c>
      <c r="M868" t="s">
        <v>25983</v>
      </c>
      <c r="N868" t="s">
        <v>69</v>
      </c>
      <c r="O868" t="s">
        <v>69</v>
      </c>
      <c r="P868" t="s">
        <v>25984</v>
      </c>
      <c r="Q868" t="s">
        <v>25985</v>
      </c>
      <c r="R868" t="s">
        <v>69</v>
      </c>
      <c r="S868" t="s">
        <v>69</v>
      </c>
      <c r="T868" t="s">
        <v>8505</v>
      </c>
      <c r="U868" t="s">
        <v>8506</v>
      </c>
      <c r="V868" t="s">
        <v>69</v>
      </c>
      <c r="W868" t="s">
        <v>69</v>
      </c>
      <c r="X868" t="s">
        <v>69</v>
      </c>
      <c r="Y868" t="s">
        <v>69</v>
      </c>
      <c r="Z868" t="s">
        <v>69</v>
      </c>
      <c r="AA868" t="s">
        <v>69</v>
      </c>
      <c r="AB868" t="s">
        <v>69</v>
      </c>
      <c r="AC868" t="s">
        <v>25986</v>
      </c>
      <c r="AD868" t="s">
        <v>25987</v>
      </c>
      <c r="AE868" t="s">
        <v>69</v>
      </c>
      <c r="AF868" t="s">
        <v>25988</v>
      </c>
      <c r="AG868" t="s">
        <v>25989</v>
      </c>
      <c r="AH868" t="s">
        <v>25990</v>
      </c>
      <c r="AI868" t="s">
        <v>25991</v>
      </c>
      <c r="AJ868" t="s">
        <v>69</v>
      </c>
      <c r="AK868" t="s">
        <v>69</v>
      </c>
      <c r="AL868" t="s">
        <v>69</v>
      </c>
      <c r="AM868" t="s">
        <v>69</v>
      </c>
      <c r="AN868">
        <v>19</v>
      </c>
      <c r="AO868">
        <v>9</v>
      </c>
      <c r="AP868">
        <v>9</v>
      </c>
      <c r="AQ868">
        <v>0</v>
      </c>
      <c r="AR868">
        <v>9</v>
      </c>
      <c r="AS868" t="s">
        <v>25992</v>
      </c>
      <c r="AT868" t="s">
        <v>25993</v>
      </c>
      <c r="AU868" t="s">
        <v>25994</v>
      </c>
      <c r="AV868" t="s">
        <v>25995</v>
      </c>
      <c r="AW868" t="s">
        <v>69</v>
      </c>
      <c r="AX868" t="s">
        <v>69</v>
      </c>
      <c r="AY868" t="s">
        <v>25996</v>
      </c>
      <c r="AZ868" t="s">
        <v>25997</v>
      </c>
      <c r="BA868" t="s">
        <v>586</v>
      </c>
      <c r="BB868">
        <v>2012</v>
      </c>
      <c r="BC868">
        <v>18</v>
      </c>
      <c r="BD868">
        <v>5</v>
      </c>
      <c r="BE868" t="s">
        <v>69</v>
      </c>
      <c r="BF868" t="s">
        <v>69</v>
      </c>
      <c r="BG868" t="s">
        <v>69</v>
      </c>
      <c r="BH868" t="s">
        <v>69</v>
      </c>
      <c r="BI868" t="s">
        <v>25998</v>
      </c>
      <c r="BJ868" t="s">
        <v>25999</v>
      </c>
      <c r="BK868" t="s">
        <v>69</v>
      </c>
      <c r="BL868" t="s">
        <v>69</v>
      </c>
      <c r="BM868" t="s">
        <v>69</v>
      </c>
      <c r="BN868" t="s">
        <v>69</v>
      </c>
      <c r="BO868" t="s">
        <v>69</v>
      </c>
      <c r="BP868">
        <v>6</v>
      </c>
      <c r="BQ868" t="s">
        <v>26000</v>
      </c>
      <c r="BR868" t="s">
        <v>8523</v>
      </c>
      <c r="BS868" t="s">
        <v>9187</v>
      </c>
      <c r="BT868" t="s">
        <v>26001</v>
      </c>
      <c r="BU868" t="s">
        <v>26002</v>
      </c>
      <c r="BV868">
        <v>22694114</v>
      </c>
      <c r="BW868" t="s">
        <v>69</v>
      </c>
      <c r="BX868" t="s">
        <v>69</v>
      </c>
      <c r="BY868" t="s">
        <v>69</v>
      </c>
      <c r="BZ868" t="s">
        <v>8526</v>
      </c>
      <c r="CA868" t="str">
        <f>HYPERLINK("https%3A%2F%2Fwww.webofscience.com%2Fwos%2Fwoscc%2Ffull-record%2FWOS:000308443400010","View Full Record in Web of Science")</f>
        <v>View Full Record in Web of Science</v>
      </c>
    </row>
    <row r="869" spans="2:79" ht="12.5" x14ac:dyDescent="0.25">
      <c r="B869" t="s">
        <v>8495</v>
      </c>
      <c r="D869" s="22" t="s">
        <v>32931</v>
      </c>
      <c r="E869" s="7"/>
      <c r="F869" s="7"/>
      <c r="G869" s="7"/>
      <c r="H869" t="s">
        <v>67</v>
      </c>
      <c r="I869" t="s">
        <v>25982</v>
      </c>
      <c r="J869" t="s">
        <v>69</v>
      </c>
      <c r="K869" t="s">
        <v>69</v>
      </c>
      <c r="L869" t="s">
        <v>69</v>
      </c>
      <c r="M869" t="s">
        <v>25983</v>
      </c>
      <c r="N869" t="s">
        <v>69</v>
      </c>
      <c r="O869" t="s">
        <v>69</v>
      </c>
      <c r="P869" t="s">
        <v>25984</v>
      </c>
      <c r="Q869" t="s">
        <v>26035</v>
      </c>
      <c r="R869" t="s">
        <v>69</v>
      </c>
      <c r="S869" t="s">
        <v>69</v>
      </c>
      <c r="T869" t="s">
        <v>8505</v>
      </c>
      <c r="U869" t="s">
        <v>8506</v>
      </c>
      <c r="V869" t="s">
        <v>69</v>
      </c>
      <c r="W869" t="s">
        <v>69</v>
      </c>
      <c r="X869" t="s">
        <v>69</v>
      </c>
      <c r="Y869" t="s">
        <v>69</v>
      </c>
      <c r="Z869" t="s">
        <v>69</v>
      </c>
      <c r="AA869" t="s">
        <v>69</v>
      </c>
      <c r="AB869" t="s">
        <v>69</v>
      </c>
      <c r="AC869" t="s">
        <v>26036</v>
      </c>
      <c r="AD869" t="s">
        <v>26037</v>
      </c>
      <c r="AE869" t="s">
        <v>69</v>
      </c>
      <c r="AF869" t="s">
        <v>25988</v>
      </c>
      <c r="AG869" t="s">
        <v>25989</v>
      </c>
      <c r="AH869" t="s">
        <v>25990</v>
      </c>
      <c r="AI869" t="s">
        <v>25991</v>
      </c>
      <c r="AJ869" t="s">
        <v>69</v>
      </c>
      <c r="AK869" t="s">
        <v>69</v>
      </c>
      <c r="AL869" t="s">
        <v>69</v>
      </c>
      <c r="AM869" t="s">
        <v>69</v>
      </c>
      <c r="AN869">
        <v>18</v>
      </c>
      <c r="AO869">
        <v>14</v>
      </c>
      <c r="AP869">
        <v>14</v>
      </c>
      <c r="AQ869">
        <v>0</v>
      </c>
      <c r="AR869">
        <v>1</v>
      </c>
      <c r="AS869" t="s">
        <v>26038</v>
      </c>
      <c r="AT869" t="s">
        <v>26039</v>
      </c>
      <c r="AU869" t="s">
        <v>26040</v>
      </c>
      <c r="AV869" t="s">
        <v>26041</v>
      </c>
      <c r="AW869" t="s">
        <v>26042</v>
      </c>
      <c r="AX869" t="s">
        <v>69</v>
      </c>
      <c r="AY869" t="s">
        <v>26043</v>
      </c>
      <c r="AZ869" t="s">
        <v>26044</v>
      </c>
      <c r="BA869" t="s">
        <v>636</v>
      </c>
      <c r="BB869">
        <v>2012</v>
      </c>
      <c r="BC869">
        <v>8</v>
      </c>
      <c r="BD869">
        <v>3</v>
      </c>
      <c r="BE869" t="s">
        <v>69</v>
      </c>
      <c r="BF869" t="s">
        <v>627</v>
      </c>
      <c r="BG869" t="s">
        <v>69</v>
      </c>
      <c r="BH869" t="s">
        <v>69</v>
      </c>
      <c r="BI869" t="s">
        <v>69</v>
      </c>
      <c r="BJ869" t="s">
        <v>69</v>
      </c>
      <c r="BK869" t="s">
        <v>69</v>
      </c>
      <c r="BL869" t="s">
        <v>26045</v>
      </c>
      <c r="BM869" t="str">
        <f>HYPERLINK("http://dx.doi.org/10.1200/JOP.2012.000564","http://dx.doi.org/10.1200/JOP.2012.000564")</f>
        <v>http://dx.doi.org/10.1200/JOP.2012.000564</v>
      </c>
      <c r="BN869" t="s">
        <v>69</v>
      </c>
      <c r="BO869" t="s">
        <v>69</v>
      </c>
      <c r="BP869">
        <v>6</v>
      </c>
      <c r="BQ869" t="s">
        <v>17844</v>
      </c>
      <c r="BR869" t="s">
        <v>8573</v>
      </c>
      <c r="BS869" t="s">
        <v>17844</v>
      </c>
      <c r="BT869" t="s">
        <v>26046</v>
      </c>
      <c r="BU869" t="s">
        <v>26047</v>
      </c>
      <c r="BV869">
        <v>22942833</v>
      </c>
      <c r="BW869" t="s">
        <v>10423</v>
      </c>
      <c r="BX869" t="s">
        <v>69</v>
      </c>
      <c r="BY869" t="s">
        <v>69</v>
      </c>
      <c r="BZ869" t="s">
        <v>8526</v>
      </c>
      <c r="CA869" t="str">
        <f>HYPERLINK("https%3A%2F%2Fwww.webofscience.com%2Fwos%2Fwoscc%2Ffull-record%2FWOS:000214541300007","View Full Record in Web of Science")</f>
        <v>View Full Record in Web of Science</v>
      </c>
    </row>
    <row r="870" spans="2:79" ht="12.5" x14ac:dyDescent="0.25">
      <c r="B870" t="s">
        <v>8495</v>
      </c>
      <c r="D870" s="7" t="s">
        <v>32933</v>
      </c>
      <c r="E870" s="7"/>
      <c r="F870" s="7"/>
      <c r="G870" s="7"/>
      <c r="H870" t="s">
        <v>67</v>
      </c>
      <c r="I870" t="s">
        <v>3489</v>
      </c>
      <c r="J870" t="s">
        <v>69</v>
      </c>
      <c r="K870" t="s">
        <v>69</v>
      </c>
      <c r="L870" t="s">
        <v>69</v>
      </c>
      <c r="M870" t="s">
        <v>3490</v>
      </c>
      <c r="N870" t="s">
        <v>69</v>
      </c>
      <c r="O870" t="s">
        <v>69</v>
      </c>
      <c r="P870" t="s">
        <v>3491</v>
      </c>
      <c r="Q870" t="s">
        <v>3492</v>
      </c>
      <c r="R870" t="s">
        <v>69</v>
      </c>
      <c r="S870" t="s">
        <v>69</v>
      </c>
      <c r="T870" t="s">
        <v>8505</v>
      </c>
      <c r="U870" t="s">
        <v>8506</v>
      </c>
      <c r="V870" t="s">
        <v>69</v>
      </c>
      <c r="W870" t="s">
        <v>69</v>
      </c>
      <c r="X870" t="s">
        <v>69</v>
      </c>
      <c r="Y870" t="s">
        <v>69</v>
      </c>
      <c r="Z870" t="s">
        <v>69</v>
      </c>
      <c r="AA870" t="s">
        <v>27247</v>
      </c>
      <c r="AB870" t="s">
        <v>27248</v>
      </c>
      <c r="AC870" t="s">
        <v>3493</v>
      </c>
      <c r="AD870" t="s">
        <v>27249</v>
      </c>
      <c r="AE870" t="s">
        <v>69</v>
      </c>
      <c r="AF870" t="s">
        <v>27250</v>
      </c>
      <c r="AG870" t="s">
        <v>27251</v>
      </c>
      <c r="AH870" t="s">
        <v>3494</v>
      </c>
      <c r="AI870" t="s">
        <v>3495</v>
      </c>
      <c r="AJ870" t="s">
        <v>27252</v>
      </c>
      <c r="AK870" t="s">
        <v>27253</v>
      </c>
      <c r="AL870" t="s">
        <v>27254</v>
      </c>
      <c r="AM870" t="s">
        <v>69</v>
      </c>
      <c r="AN870">
        <v>37</v>
      </c>
      <c r="AO870">
        <v>27</v>
      </c>
      <c r="AP870">
        <v>28</v>
      </c>
      <c r="AQ870">
        <v>0</v>
      </c>
      <c r="AR870">
        <v>31</v>
      </c>
      <c r="AS870" t="s">
        <v>8586</v>
      </c>
      <c r="AT870" t="s">
        <v>8587</v>
      </c>
      <c r="AU870" t="s">
        <v>8588</v>
      </c>
      <c r="AV870" t="s">
        <v>3496</v>
      </c>
      <c r="AW870" t="s">
        <v>3497</v>
      </c>
      <c r="AX870" t="s">
        <v>69</v>
      </c>
      <c r="AY870" t="s">
        <v>27255</v>
      </c>
      <c r="AZ870" t="s">
        <v>27256</v>
      </c>
      <c r="BA870" t="s">
        <v>69</v>
      </c>
      <c r="BB870">
        <v>2011</v>
      </c>
      <c r="BC870">
        <v>113</v>
      </c>
      <c r="BD870">
        <v>1</v>
      </c>
      <c r="BE870" t="s">
        <v>69</v>
      </c>
      <c r="BF870" t="s">
        <v>69</v>
      </c>
      <c r="BG870" t="s">
        <v>69</v>
      </c>
      <c r="BH870" t="s">
        <v>69</v>
      </c>
      <c r="BI870">
        <v>50</v>
      </c>
      <c r="BJ870">
        <v>65</v>
      </c>
      <c r="BK870" t="s">
        <v>69</v>
      </c>
      <c r="BL870" t="s">
        <v>3498</v>
      </c>
      <c r="BM870" t="str">
        <f>HYPERLINK("http://dx.doi.org/10.1108/00070701111097330","http://dx.doi.org/10.1108/00070701111097330")</f>
        <v>http://dx.doi.org/10.1108/00070701111097330</v>
      </c>
      <c r="BN870" t="s">
        <v>69</v>
      </c>
      <c r="BO870" t="s">
        <v>69</v>
      </c>
      <c r="BP870">
        <v>16</v>
      </c>
      <c r="BQ870" t="s">
        <v>27257</v>
      </c>
      <c r="BR870" t="s">
        <v>8548</v>
      </c>
      <c r="BS870" t="s">
        <v>27258</v>
      </c>
      <c r="BT870" t="s">
        <v>27259</v>
      </c>
      <c r="BU870" t="s">
        <v>3499</v>
      </c>
      <c r="BV870" t="s">
        <v>69</v>
      </c>
      <c r="BW870" t="s">
        <v>69</v>
      </c>
      <c r="BX870" t="s">
        <v>69</v>
      </c>
      <c r="BY870" t="s">
        <v>69</v>
      </c>
      <c r="BZ870" t="s">
        <v>8526</v>
      </c>
      <c r="CA870" t="str">
        <f>HYPERLINK("https%3A%2F%2Fwww.webofscience.com%2Fwos%2Fwoscc%2Ffull-record%2FWOS:000288614900004","View Full Record in Web of Science")</f>
        <v>View Full Record in Web of Science</v>
      </c>
    </row>
    <row r="871" spans="2:79" ht="12.5" x14ac:dyDescent="0.25">
      <c r="B871" t="s">
        <v>8495</v>
      </c>
      <c r="D871" s="7" t="s">
        <v>32933</v>
      </c>
      <c r="E871" s="7"/>
      <c r="F871" s="7"/>
      <c r="G871" s="7"/>
      <c r="H871" t="s">
        <v>67</v>
      </c>
      <c r="I871" t="s">
        <v>4677</v>
      </c>
      <c r="J871" t="s">
        <v>69</v>
      </c>
      <c r="K871" t="s">
        <v>69</v>
      </c>
      <c r="L871" t="s">
        <v>69</v>
      </c>
      <c r="M871" t="s">
        <v>4677</v>
      </c>
      <c r="N871" t="s">
        <v>69</v>
      </c>
      <c r="O871" t="s">
        <v>69</v>
      </c>
      <c r="P871" t="s">
        <v>4678</v>
      </c>
      <c r="Q871" t="s">
        <v>4679</v>
      </c>
      <c r="R871" t="s">
        <v>69</v>
      </c>
      <c r="S871" t="s">
        <v>69</v>
      </c>
      <c r="T871" t="s">
        <v>8505</v>
      </c>
      <c r="U871" t="s">
        <v>8506</v>
      </c>
      <c r="V871" t="s">
        <v>69</v>
      </c>
      <c r="W871" t="s">
        <v>69</v>
      </c>
      <c r="X871" t="s">
        <v>69</v>
      </c>
      <c r="Y871" t="s">
        <v>69</v>
      </c>
      <c r="Z871" t="s">
        <v>69</v>
      </c>
      <c r="AA871" t="s">
        <v>32060</v>
      </c>
      <c r="AB871" t="s">
        <v>69</v>
      </c>
      <c r="AC871" t="s">
        <v>4680</v>
      </c>
      <c r="AD871" t="s">
        <v>32061</v>
      </c>
      <c r="AE871" t="s">
        <v>69</v>
      </c>
      <c r="AF871" t="s">
        <v>32062</v>
      </c>
      <c r="AG871" t="s">
        <v>69</v>
      </c>
      <c r="AH871" t="s">
        <v>69</v>
      </c>
      <c r="AI871" t="s">
        <v>69</v>
      </c>
      <c r="AJ871" t="s">
        <v>69</v>
      </c>
      <c r="AK871" t="s">
        <v>69</v>
      </c>
      <c r="AL871" t="s">
        <v>69</v>
      </c>
      <c r="AM871" t="s">
        <v>69</v>
      </c>
      <c r="AN871">
        <v>3</v>
      </c>
      <c r="AO871">
        <v>36</v>
      </c>
      <c r="AP871">
        <v>36</v>
      </c>
      <c r="AQ871">
        <v>0</v>
      </c>
      <c r="AR871">
        <v>9</v>
      </c>
      <c r="AS871" t="s">
        <v>31265</v>
      </c>
      <c r="AT871" t="s">
        <v>31266</v>
      </c>
      <c r="AU871" t="s">
        <v>31267</v>
      </c>
      <c r="AV871" t="s">
        <v>4681</v>
      </c>
      <c r="AW871" t="s">
        <v>69</v>
      </c>
      <c r="AX871" t="s">
        <v>69</v>
      </c>
      <c r="AY871" t="s">
        <v>31268</v>
      </c>
      <c r="AZ871" t="s">
        <v>31269</v>
      </c>
      <c r="BA871" t="s">
        <v>255</v>
      </c>
      <c r="BB871">
        <v>1998</v>
      </c>
      <c r="BC871">
        <v>23</v>
      </c>
      <c r="BD871">
        <v>3</v>
      </c>
      <c r="BE871" t="s">
        <v>69</v>
      </c>
      <c r="BF871" t="s">
        <v>69</v>
      </c>
      <c r="BG871" t="s">
        <v>69</v>
      </c>
      <c r="BH871" t="s">
        <v>69</v>
      </c>
      <c r="BI871">
        <v>134</v>
      </c>
      <c r="BJ871">
        <v>145</v>
      </c>
      <c r="BK871" t="s">
        <v>69</v>
      </c>
      <c r="BL871" t="s">
        <v>4682</v>
      </c>
      <c r="BM871" t="str">
        <f>HYPERLINK("http://dx.doi.org/10.1080/02508069808686760","http://dx.doi.org/10.1080/02508069808686760")</f>
        <v>http://dx.doi.org/10.1080/02508069808686760</v>
      </c>
      <c r="BN871" t="s">
        <v>69</v>
      </c>
      <c r="BO871" t="s">
        <v>69</v>
      </c>
      <c r="BP871">
        <v>12</v>
      </c>
      <c r="BQ871" t="s">
        <v>9229</v>
      </c>
      <c r="BR871" t="s">
        <v>8523</v>
      </c>
      <c r="BS871" t="s">
        <v>9230</v>
      </c>
      <c r="BT871" t="s">
        <v>32063</v>
      </c>
      <c r="BU871" t="s">
        <v>4683</v>
      </c>
      <c r="BV871" t="s">
        <v>69</v>
      </c>
      <c r="BW871" t="s">
        <v>69</v>
      </c>
      <c r="BX871" t="s">
        <v>69</v>
      </c>
      <c r="BY871" t="s">
        <v>69</v>
      </c>
      <c r="BZ871" t="s">
        <v>8526</v>
      </c>
      <c r="CA871" t="str">
        <f>HYPERLINK("https%3A%2F%2Fwww.webofscience.com%2Fwos%2Fwoscc%2Ffull-record%2FWOS:000081523800004","View Full Record in Web of Science")</f>
        <v>View Full Record in Web of Science</v>
      </c>
    </row>
    <row r="872" spans="2:79" ht="12.5" x14ac:dyDescent="0.25">
      <c r="B872" t="s">
        <v>8495</v>
      </c>
      <c r="D872" s="22" t="s">
        <v>32931</v>
      </c>
      <c r="E872" s="7"/>
      <c r="F872" s="7"/>
      <c r="G872" s="7"/>
      <c r="H872" t="s">
        <v>67</v>
      </c>
      <c r="I872" t="s">
        <v>12562</v>
      </c>
      <c r="J872" t="s">
        <v>69</v>
      </c>
      <c r="K872" t="s">
        <v>69</v>
      </c>
      <c r="L872" t="s">
        <v>69</v>
      </c>
      <c r="M872" t="s">
        <v>12563</v>
      </c>
      <c r="N872" t="s">
        <v>69</v>
      </c>
      <c r="O872" t="s">
        <v>69</v>
      </c>
      <c r="P872" t="s">
        <v>27152</v>
      </c>
      <c r="Q872" t="s">
        <v>27153</v>
      </c>
      <c r="R872" t="s">
        <v>69</v>
      </c>
      <c r="S872" t="s">
        <v>69</v>
      </c>
      <c r="T872" t="s">
        <v>8505</v>
      </c>
      <c r="U872" t="s">
        <v>8506</v>
      </c>
      <c r="V872" t="s">
        <v>69</v>
      </c>
      <c r="W872" t="s">
        <v>69</v>
      </c>
      <c r="X872" t="s">
        <v>69</v>
      </c>
      <c r="Y872" t="s">
        <v>69</v>
      </c>
      <c r="Z872" t="s">
        <v>69</v>
      </c>
      <c r="AA872" t="s">
        <v>27154</v>
      </c>
      <c r="AB872" t="s">
        <v>27155</v>
      </c>
      <c r="AC872" t="s">
        <v>27156</v>
      </c>
      <c r="AD872" t="s">
        <v>27157</v>
      </c>
      <c r="AE872" t="s">
        <v>69</v>
      </c>
      <c r="AF872" t="s">
        <v>27158</v>
      </c>
      <c r="AG872" t="s">
        <v>25978</v>
      </c>
      <c r="AH872" t="s">
        <v>12571</v>
      </c>
      <c r="AI872" t="s">
        <v>12572</v>
      </c>
      <c r="AJ872" t="s">
        <v>69</v>
      </c>
      <c r="AK872" t="s">
        <v>69</v>
      </c>
      <c r="AL872" t="s">
        <v>69</v>
      </c>
      <c r="AM872" t="s">
        <v>69</v>
      </c>
      <c r="AN872">
        <v>79</v>
      </c>
      <c r="AO872">
        <v>123</v>
      </c>
      <c r="AP872">
        <v>125</v>
      </c>
      <c r="AQ872">
        <v>0</v>
      </c>
      <c r="AR872">
        <v>46</v>
      </c>
      <c r="AS872" t="s">
        <v>9554</v>
      </c>
      <c r="AT872" t="s">
        <v>9555</v>
      </c>
      <c r="AU872" t="s">
        <v>9556</v>
      </c>
      <c r="AV872" t="s">
        <v>27159</v>
      </c>
      <c r="AW872" t="s">
        <v>27160</v>
      </c>
      <c r="AX872" t="s">
        <v>69</v>
      </c>
      <c r="AY872" t="s">
        <v>27161</v>
      </c>
      <c r="AZ872" t="s">
        <v>27162</v>
      </c>
      <c r="BA872" t="s">
        <v>191</v>
      </c>
      <c r="BB872">
        <v>2011</v>
      </c>
      <c r="BC872">
        <v>35</v>
      </c>
      <c r="BD872">
        <v>1</v>
      </c>
      <c r="BE872" t="s">
        <v>69</v>
      </c>
      <c r="BF872" t="s">
        <v>69</v>
      </c>
      <c r="BG872" t="s">
        <v>69</v>
      </c>
      <c r="BH872" t="s">
        <v>69</v>
      </c>
      <c r="BI872">
        <v>3</v>
      </c>
      <c r="BJ872">
        <v>23</v>
      </c>
      <c r="BK872" t="s">
        <v>69</v>
      </c>
      <c r="BL872" t="s">
        <v>27163</v>
      </c>
      <c r="BM872" t="str">
        <f>HYPERLINK("http://dx.doi.org/10.1177/1096348010370857","http://dx.doi.org/10.1177/1096348010370857")</f>
        <v>http://dx.doi.org/10.1177/1096348010370857</v>
      </c>
      <c r="BN872" t="s">
        <v>69</v>
      </c>
      <c r="BO872" t="s">
        <v>69</v>
      </c>
      <c r="BP872">
        <v>21</v>
      </c>
      <c r="BQ872" t="s">
        <v>10278</v>
      </c>
      <c r="BR872" t="s">
        <v>8661</v>
      </c>
      <c r="BS872" t="s">
        <v>10279</v>
      </c>
      <c r="BT872" t="s">
        <v>27164</v>
      </c>
      <c r="BU872" t="s">
        <v>27165</v>
      </c>
      <c r="BV872" t="s">
        <v>69</v>
      </c>
      <c r="BW872" t="s">
        <v>69</v>
      </c>
      <c r="BX872" t="s">
        <v>69</v>
      </c>
      <c r="BY872" t="s">
        <v>69</v>
      </c>
      <c r="BZ872" t="s">
        <v>8526</v>
      </c>
      <c r="CA872" t="str">
        <f>HYPERLINK("https%3A%2F%2Fwww.webofscience.com%2Fwos%2Fwoscc%2Ffull-record%2FWOS:000286205300001","View Full Record in Web of Science")</f>
        <v>View Full Record in Web of Science</v>
      </c>
    </row>
    <row r="873" spans="2:79" ht="12.5" x14ac:dyDescent="0.25">
      <c r="B873" t="s">
        <v>8495</v>
      </c>
      <c r="D873" s="7" t="s">
        <v>32933</v>
      </c>
      <c r="E873" s="7"/>
      <c r="F873" s="7"/>
      <c r="G873" s="7"/>
      <c r="H873" t="s">
        <v>67</v>
      </c>
      <c r="I873" t="s">
        <v>1141</v>
      </c>
      <c r="J873" t="s">
        <v>69</v>
      </c>
      <c r="K873" t="s">
        <v>69</v>
      </c>
      <c r="L873" t="s">
        <v>69</v>
      </c>
      <c r="M873" t="s">
        <v>1142</v>
      </c>
      <c r="N873" t="s">
        <v>69</v>
      </c>
      <c r="O873" t="s">
        <v>69</v>
      </c>
      <c r="P873" t="s">
        <v>1143</v>
      </c>
      <c r="Q873" t="s">
        <v>1144</v>
      </c>
      <c r="R873" t="s">
        <v>69</v>
      </c>
      <c r="S873" t="s">
        <v>69</v>
      </c>
      <c r="T873" t="s">
        <v>8505</v>
      </c>
      <c r="U873" t="s">
        <v>8506</v>
      </c>
      <c r="V873" t="s">
        <v>69</v>
      </c>
      <c r="W873" t="s">
        <v>69</v>
      </c>
      <c r="X873" t="s">
        <v>69</v>
      </c>
      <c r="Y873" t="s">
        <v>69</v>
      </c>
      <c r="Z873" t="s">
        <v>69</v>
      </c>
      <c r="AA873" t="s">
        <v>69</v>
      </c>
      <c r="AB873" t="s">
        <v>69</v>
      </c>
      <c r="AC873" t="s">
        <v>1145</v>
      </c>
      <c r="AD873" t="s">
        <v>20042</v>
      </c>
      <c r="AE873" t="s">
        <v>69</v>
      </c>
      <c r="AF873" t="s">
        <v>20043</v>
      </c>
      <c r="AG873" t="s">
        <v>69</v>
      </c>
      <c r="AH873" t="s">
        <v>69</v>
      </c>
      <c r="AI873" t="s">
        <v>69</v>
      </c>
      <c r="AJ873" t="s">
        <v>69</v>
      </c>
      <c r="AK873" t="s">
        <v>69</v>
      </c>
      <c r="AL873" t="s">
        <v>69</v>
      </c>
      <c r="AM873" t="s">
        <v>69</v>
      </c>
      <c r="AN873">
        <v>3</v>
      </c>
      <c r="AO873">
        <v>1</v>
      </c>
      <c r="AP873">
        <v>1</v>
      </c>
      <c r="AQ873">
        <v>0</v>
      </c>
      <c r="AR873">
        <v>1</v>
      </c>
      <c r="AS873" t="s">
        <v>20044</v>
      </c>
      <c r="AT873" t="s">
        <v>20045</v>
      </c>
      <c r="AU873" t="s">
        <v>20046</v>
      </c>
      <c r="AV873" t="s">
        <v>1146</v>
      </c>
      <c r="AW873" t="s">
        <v>69</v>
      </c>
      <c r="AX873" t="s">
        <v>69</v>
      </c>
      <c r="AY873" t="s">
        <v>20047</v>
      </c>
      <c r="AZ873" t="s">
        <v>20048</v>
      </c>
      <c r="BA873" t="s">
        <v>255</v>
      </c>
      <c r="BB873">
        <v>2017</v>
      </c>
      <c r="BC873">
        <v>31</v>
      </c>
      <c r="BD873">
        <v>9</v>
      </c>
      <c r="BE873" t="s">
        <v>69</v>
      </c>
      <c r="BF873" t="s">
        <v>69</v>
      </c>
      <c r="BG873" t="s">
        <v>69</v>
      </c>
      <c r="BH873" t="s">
        <v>69</v>
      </c>
      <c r="BI873">
        <v>22</v>
      </c>
      <c r="BJ873">
        <v>25</v>
      </c>
      <c r="BK873" t="s">
        <v>69</v>
      </c>
      <c r="BL873" t="s">
        <v>69</v>
      </c>
      <c r="BM873" t="s">
        <v>69</v>
      </c>
      <c r="BN873" t="s">
        <v>69</v>
      </c>
      <c r="BO873" t="s">
        <v>69</v>
      </c>
      <c r="BP873">
        <v>4</v>
      </c>
      <c r="BQ873" t="s">
        <v>15615</v>
      </c>
      <c r="BR873" t="s">
        <v>8573</v>
      </c>
      <c r="BS873" t="s">
        <v>15615</v>
      </c>
      <c r="BT873" t="s">
        <v>20049</v>
      </c>
      <c r="BU873" t="s">
        <v>1147</v>
      </c>
      <c r="BV873" t="s">
        <v>69</v>
      </c>
      <c r="BW873" t="s">
        <v>69</v>
      </c>
      <c r="BX873" t="s">
        <v>69</v>
      </c>
      <c r="BY873" t="s">
        <v>69</v>
      </c>
      <c r="BZ873" t="s">
        <v>8526</v>
      </c>
      <c r="CA873" t="str">
        <f>HYPERLINK("https%3A%2F%2Fwww.webofscience.com%2Fwos%2Fwoscc%2Ffull-record%2FWOS:000416483400006","View Full Record in Web of Science")</f>
        <v>View Full Record in Web of Science</v>
      </c>
    </row>
    <row r="874" spans="2:79" ht="12.5" x14ac:dyDescent="0.25">
      <c r="B874" t="s">
        <v>8495</v>
      </c>
      <c r="D874" s="7" t="s">
        <v>32933</v>
      </c>
      <c r="E874" s="7"/>
      <c r="F874" s="7"/>
      <c r="G874" s="7"/>
      <c r="H874" t="s">
        <v>67</v>
      </c>
      <c r="I874" t="s">
        <v>4070</v>
      </c>
      <c r="J874" t="s">
        <v>69</v>
      </c>
      <c r="K874" t="s">
        <v>69</v>
      </c>
      <c r="L874" t="s">
        <v>69</v>
      </c>
      <c r="M874" t="s">
        <v>4070</v>
      </c>
      <c r="N874" t="s">
        <v>69</v>
      </c>
      <c r="O874" t="s">
        <v>69</v>
      </c>
      <c r="P874" t="s">
        <v>4071</v>
      </c>
      <c r="Q874" t="s">
        <v>4072</v>
      </c>
      <c r="R874" t="s">
        <v>69</v>
      </c>
      <c r="S874" t="s">
        <v>69</v>
      </c>
      <c r="T874" t="s">
        <v>8505</v>
      </c>
      <c r="U874" t="s">
        <v>8506</v>
      </c>
      <c r="V874" t="s">
        <v>69</v>
      </c>
      <c r="W874" t="s">
        <v>69</v>
      </c>
      <c r="X874" t="s">
        <v>69</v>
      </c>
      <c r="Y874" t="s">
        <v>69</v>
      </c>
      <c r="Z874" t="s">
        <v>69</v>
      </c>
      <c r="AA874" t="s">
        <v>69</v>
      </c>
      <c r="AB874" t="s">
        <v>31594</v>
      </c>
      <c r="AC874" t="s">
        <v>4073</v>
      </c>
      <c r="AD874" t="s">
        <v>31595</v>
      </c>
      <c r="AE874" t="s">
        <v>69</v>
      </c>
      <c r="AF874" t="s">
        <v>31596</v>
      </c>
      <c r="AG874" t="s">
        <v>69</v>
      </c>
      <c r="AH874" t="s">
        <v>69</v>
      </c>
      <c r="AI874" t="s">
        <v>69</v>
      </c>
      <c r="AJ874" t="s">
        <v>69</v>
      </c>
      <c r="AK874" t="s">
        <v>69</v>
      </c>
      <c r="AL874" t="s">
        <v>69</v>
      </c>
      <c r="AM874" t="s">
        <v>69</v>
      </c>
      <c r="AN874">
        <v>34</v>
      </c>
      <c r="AO874">
        <v>26</v>
      </c>
      <c r="AP874">
        <v>26</v>
      </c>
      <c r="AQ874">
        <v>0</v>
      </c>
      <c r="AR874">
        <v>6</v>
      </c>
      <c r="AS874" t="s">
        <v>31597</v>
      </c>
      <c r="AT874" t="s">
        <v>31598</v>
      </c>
      <c r="AU874" t="s">
        <v>31599</v>
      </c>
      <c r="AV874" t="s">
        <v>4074</v>
      </c>
      <c r="AW874" t="s">
        <v>69</v>
      </c>
      <c r="AX874" t="s">
        <v>69</v>
      </c>
      <c r="AY874" t="s">
        <v>31600</v>
      </c>
      <c r="AZ874" t="s">
        <v>31601</v>
      </c>
      <c r="BA874" t="s">
        <v>1375</v>
      </c>
      <c r="BB874">
        <v>2001</v>
      </c>
      <c r="BC874">
        <v>22</v>
      </c>
      <c r="BD874">
        <v>3</v>
      </c>
      <c r="BE874" t="s">
        <v>69</v>
      </c>
      <c r="BF874" t="s">
        <v>69</v>
      </c>
      <c r="BG874" t="s">
        <v>69</v>
      </c>
      <c r="BH874" t="s">
        <v>69</v>
      </c>
      <c r="BI874">
        <v>138</v>
      </c>
      <c r="BJ874">
        <v>147</v>
      </c>
      <c r="BK874" t="s">
        <v>69</v>
      </c>
      <c r="BL874" t="s">
        <v>4075</v>
      </c>
      <c r="BM874" t="str">
        <f>HYPERLINK("http://dx.doi.org/10.1177/074193250102200302","http://dx.doi.org/10.1177/074193250102200302")</f>
        <v>http://dx.doi.org/10.1177/074193250102200302</v>
      </c>
      <c r="BN874" t="s">
        <v>69</v>
      </c>
      <c r="BO874" t="s">
        <v>69</v>
      </c>
      <c r="BP874">
        <v>10</v>
      </c>
      <c r="BQ874" t="s">
        <v>13837</v>
      </c>
      <c r="BR874" t="s">
        <v>8661</v>
      </c>
      <c r="BS874" t="s">
        <v>9290</v>
      </c>
      <c r="BT874" t="s">
        <v>31602</v>
      </c>
      <c r="BU874" t="s">
        <v>4076</v>
      </c>
      <c r="BV874" t="s">
        <v>69</v>
      </c>
      <c r="BW874" t="s">
        <v>69</v>
      </c>
      <c r="BX874" t="s">
        <v>69</v>
      </c>
      <c r="BY874" t="s">
        <v>69</v>
      </c>
      <c r="BZ874" t="s">
        <v>8526</v>
      </c>
      <c r="CA874" t="str">
        <f>HYPERLINK("https%3A%2F%2Fwww.webofscience.com%2Fwos%2Fwoscc%2Ffull-record%2FWOS:000168870000002","View Full Record in Web of Science")</f>
        <v>View Full Record in Web of Science</v>
      </c>
    </row>
    <row r="875" spans="2:79" ht="12.5" x14ac:dyDescent="0.25">
      <c r="B875" t="s">
        <v>8495</v>
      </c>
      <c r="D875" s="7" t="s">
        <v>32933</v>
      </c>
      <c r="E875" s="7"/>
      <c r="F875" s="7"/>
      <c r="G875" s="7"/>
      <c r="H875" t="s">
        <v>67</v>
      </c>
      <c r="I875" t="s">
        <v>2212</v>
      </c>
      <c r="J875" t="s">
        <v>69</v>
      </c>
      <c r="K875" t="s">
        <v>69</v>
      </c>
      <c r="L875" t="s">
        <v>69</v>
      </c>
      <c r="M875" t="s">
        <v>2213</v>
      </c>
      <c r="N875" t="s">
        <v>69</v>
      </c>
      <c r="O875" t="s">
        <v>69</v>
      </c>
      <c r="P875" t="s">
        <v>2214</v>
      </c>
      <c r="Q875" t="s">
        <v>332</v>
      </c>
      <c r="R875" t="s">
        <v>69</v>
      </c>
      <c r="S875" t="s">
        <v>69</v>
      </c>
      <c r="T875" t="s">
        <v>8505</v>
      </c>
      <c r="U875" t="s">
        <v>8506</v>
      </c>
      <c r="V875" t="s">
        <v>69</v>
      </c>
      <c r="W875" t="s">
        <v>69</v>
      </c>
      <c r="X875" t="s">
        <v>69</v>
      </c>
      <c r="Y875" t="s">
        <v>69</v>
      </c>
      <c r="Z875" t="s">
        <v>69</v>
      </c>
      <c r="AA875" t="s">
        <v>17081</v>
      </c>
      <c r="AB875" t="s">
        <v>17082</v>
      </c>
      <c r="AC875" t="s">
        <v>2215</v>
      </c>
      <c r="AD875" t="s">
        <v>17083</v>
      </c>
      <c r="AE875" t="s">
        <v>69</v>
      </c>
      <c r="AF875" t="s">
        <v>17084</v>
      </c>
      <c r="AG875" t="s">
        <v>17085</v>
      </c>
      <c r="AH875" t="s">
        <v>69</v>
      </c>
      <c r="AI875" t="s">
        <v>69</v>
      </c>
      <c r="AJ875" t="s">
        <v>69</v>
      </c>
      <c r="AK875" t="s">
        <v>69</v>
      </c>
      <c r="AL875" t="s">
        <v>69</v>
      </c>
      <c r="AM875" t="s">
        <v>69</v>
      </c>
      <c r="AN875">
        <v>68</v>
      </c>
      <c r="AO875">
        <v>8</v>
      </c>
      <c r="AP875">
        <v>8</v>
      </c>
      <c r="AQ875">
        <v>6</v>
      </c>
      <c r="AR875">
        <v>17</v>
      </c>
      <c r="AS875" t="s">
        <v>8586</v>
      </c>
      <c r="AT875" t="s">
        <v>8587</v>
      </c>
      <c r="AU875" t="s">
        <v>8588</v>
      </c>
      <c r="AV875" t="s">
        <v>334</v>
      </c>
      <c r="AW875" t="s">
        <v>335</v>
      </c>
      <c r="AX875" t="s">
        <v>69</v>
      </c>
      <c r="AY875" t="s">
        <v>332</v>
      </c>
      <c r="AZ875" t="s">
        <v>16285</v>
      </c>
      <c r="BA875" t="s">
        <v>2216</v>
      </c>
      <c r="BB875">
        <v>2019</v>
      </c>
      <c r="BC875">
        <v>37</v>
      </c>
      <c r="BD875" t="s">
        <v>2217</v>
      </c>
      <c r="BE875" t="s">
        <v>69</v>
      </c>
      <c r="BF875" t="s">
        <v>69</v>
      </c>
      <c r="BG875" t="s">
        <v>114</v>
      </c>
      <c r="BH875" t="s">
        <v>69</v>
      </c>
      <c r="BI875">
        <v>550</v>
      </c>
      <c r="BJ875">
        <v>570</v>
      </c>
      <c r="BK875" t="s">
        <v>69</v>
      </c>
      <c r="BL875" t="s">
        <v>2218</v>
      </c>
      <c r="BM875" t="str">
        <f>HYPERLINK("http://dx.doi.org/10.1108/F-01-2018-0013","http://dx.doi.org/10.1108/F-01-2018-0013")</f>
        <v>http://dx.doi.org/10.1108/F-01-2018-0013</v>
      </c>
      <c r="BN875" t="s">
        <v>69</v>
      </c>
      <c r="BO875" t="s">
        <v>69</v>
      </c>
      <c r="BP875">
        <v>21</v>
      </c>
      <c r="BQ875" t="s">
        <v>9410</v>
      </c>
      <c r="BR875" t="s">
        <v>8573</v>
      </c>
      <c r="BS875" t="s">
        <v>8594</v>
      </c>
      <c r="BT875" t="s">
        <v>17086</v>
      </c>
      <c r="BU875" t="s">
        <v>2219</v>
      </c>
      <c r="BV875" t="s">
        <v>69</v>
      </c>
      <c r="BW875" t="s">
        <v>69</v>
      </c>
      <c r="BX875" t="s">
        <v>69</v>
      </c>
      <c r="BY875" t="s">
        <v>69</v>
      </c>
      <c r="BZ875" t="s">
        <v>8526</v>
      </c>
      <c r="CA875" t="str">
        <f>HYPERLINK("https%3A%2F%2Fwww.webofscience.com%2Fwos%2Fwoscc%2Ffull-record%2FWOS:000479217200003","View Full Record in Web of Science")</f>
        <v>View Full Record in Web of Science</v>
      </c>
    </row>
    <row r="876" spans="2:79" x14ac:dyDescent="0.3">
      <c r="B876" t="s">
        <v>8495</v>
      </c>
      <c r="D876" s="9" t="s">
        <v>32973</v>
      </c>
      <c r="E876" s="9" t="s">
        <v>33134</v>
      </c>
      <c r="F876" s="10" t="s">
        <v>8490</v>
      </c>
      <c r="G876" s="9" t="s">
        <v>8490</v>
      </c>
      <c r="H876" t="s">
        <v>67</v>
      </c>
      <c r="I876" t="s">
        <v>15580</v>
      </c>
      <c r="J876" t="s">
        <v>69</v>
      </c>
      <c r="K876" t="s">
        <v>69</v>
      </c>
      <c r="L876" t="s">
        <v>69</v>
      </c>
      <c r="M876" t="s">
        <v>15581</v>
      </c>
      <c r="N876" t="s">
        <v>69</v>
      </c>
      <c r="O876" t="s">
        <v>69</v>
      </c>
      <c r="P876" t="s">
        <v>15582</v>
      </c>
      <c r="Q876" t="s">
        <v>15583</v>
      </c>
      <c r="R876" t="s">
        <v>69</v>
      </c>
      <c r="S876" t="s">
        <v>69</v>
      </c>
      <c r="T876" t="s">
        <v>8505</v>
      </c>
      <c r="U876" t="s">
        <v>8506</v>
      </c>
      <c r="V876" t="s">
        <v>69</v>
      </c>
      <c r="W876" t="s">
        <v>69</v>
      </c>
      <c r="X876" t="s">
        <v>69</v>
      </c>
      <c r="Y876" t="s">
        <v>69</v>
      </c>
      <c r="Z876" t="s">
        <v>69</v>
      </c>
      <c r="AA876" t="s">
        <v>15584</v>
      </c>
      <c r="AB876" t="s">
        <v>15585</v>
      </c>
      <c r="AC876" t="s">
        <v>15586</v>
      </c>
      <c r="AD876" t="s">
        <v>15587</v>
      </c>
      <c r="AE876" t="s">
        <v>69</v>
      </c>
      <c r="AF876" t="s">
        <v>15588</v>
      </c>
      <c r="AG876" t="s">
        <v>15589</v>
      </c>
      <c r="AH876" t="s">
        <v>69</v>
      </c>
      <c r="AI876" t="s">
        <v>15590</v>
      </c>
      <c r="AJ876" t="s">
        <v>15591</v>
      </c>
      <c r="AK876" t="s">
        <v>15592</v>
      </c>
      <c r="AL876" t="s">
        <v>15593</v>
      </c>
      <c r="AM876" t="s">
        <v>69</v>
      </c>
      <c r="AN876">
        <v>58</v>
      </c>
      <c r="AO876">
        <v>3</v>
      </c>
      <c r="AP876">
        <v>3</v>
      </c>
      <c r="AQ876">
        <v>1</v>
      </c>
      <c r="AR876">
        <v>3</v>
      </c>
      <c r="AS876" t="s">
        <v>8865</v>
      </c>
      <c r="AT876" t="s">
        <v>8612</v>
      </c>
      <c r="AU876" t="s">
        <v>8866</v>
      </c>
      <c r="AV876" t="s">
        <v>15594</v>
      </c>
      <c r="AW876" t="s">
        <v>15595</v>
      </c>
      <c r="AX876" t="s">
        <v>69</v>
      </c>
      <c r="AY876" t="s">
        <v>15596</v>
      </c>
      <c r="AZ876" t="s">
        <v>15597</v>
      </c>
      <c r="BA876" t="s">
        <v>11404</v>
      </c>
      <c r="BB876">
        <v>2020</v>
      </c>
      <c r="BC876">
        <v>34</v>
      </c>
      <c r="BD876">
        <v>5</v>
      </c>
      <c r="BE876" t="s">
        <v>69</v>
      </c>
      <c r="BF876" t="s">
        <v>69</v>
      </c>
      <c r="BG876" t="s">
        <v>69</v>
      </c>
      <c r="BH876" t="s">
        <v>69</v>
      </c>
      <c r="BI876">
        <v>478</v>
      </c>
      <c r="BJ876">
        <v>489</v>
      </c>
      <c r="BK876" t="s">
        <v>69</v>
      </c>
      <c r="BL876" t="s">
        <v>15598</v>
      </c>
      <c r="BM876" t="str">
        <f>HYPERLINK("http://dx.doi.org/10.1080/02691728.2020.1737749","http://dx.doi.org/10.1080/02691728.2020.1737749")</f>
        <v>http://dx.doi.org/10.1080/02691728.2020.1737749</v>
      </c>
      <c r="BN876" t="s">
        <v>69</v>
      </c>
      <c r="BO876" t="s">
        <v>4822</v>
      </c>
      <c r="BP876">
        <v>12</v>
      </c>
      <c r="BQ876" t="s">
        <v>15599</v>
      </c>
      <c r="BR876" t="s">
        <v>12201</v>
      </c>
      <c r="BS876" t="s">
        <v>15600</v>
      </c>
      <c r="BT876" t="s">
        <v>15601</v>
      </c>
      <c r="BU876" t="s">
        <v>15602</v>
      </c>
      <c r="BV876" t="s">
        <v>69</v>
      </c>
      <c r="BW876" t="s">
        <v>69</v>
      </c>
      <c r="BX876" t="s">
        <v>69</v>
      </c>
      <c r="BY876" t="s">
        <v>69</v>
      </c>
      <c r="BZ876" t="s">
        <v>8526</v>
      </c>
      <c r="CA876" t="str">
        <f>HYPERLINK("https%3A%2F%2Fwww.webofscience.com%2Fwos%2Fwoscc%2Ffull-record%2FWOS:000519915500001","View Full Record in Web of Science")</f>
        <v>View Full Record in Web of Science</v>
      </c>
    </row>
    <row r="877" spans="2:79" ht="12.5" x14ac:dyDescent="0.25">
      <c r="B877" t="s">
        <v>8495</v>
      </c>
      <c r="D877" s="7" t="s">
        <v>32933</v>
      </c>
      <c r="E877" s="7"/>
      <c r="F877" s="7"/>
      <c r="G877" s="7"/>
      <c r="H877" t="s">
        <v>67</v>
      </c>
      <c r="I877" t="s">
        <v>7026</v>
      </c>
      <c r="J877" t="s">
        <v>69</v>
      </c>
      <c r="K877" t="s">
        <v>69</v>
      </c>
      <c r="L877" t="s">
        <v>69</v>
      </c>
      <c r="M877" t="s">
        <v>7027</v>
      </c>
      <c r="N877" t="s">
        <v>69</v>
      </c>
      <c r="O877" t="s">
        <v>69</v>
      </c>
      <c r="P877" t="s">
        <v>7028</v>
      </c>
      <c r="Q877" t="s">
        <v>7029</v>
      </c>
      <c r="R877" t="s">
        <v>69</v>
      </c>
      <c r="S877" t="s">
        <v>69</v>
      </c>
      <c r="T877" t="s">
        <v>8505</v>
      </c>
      <c r="U877" t="s">
        <v>8506</v>
      </c>
      <c r="V877" t="s">
        <v>69</v>
      </c>
      <c r="W877" t="s">
        <v>69</v>
      </c>
      <c r="X877" t="s">
        <v>69</v>
      </c>
      <c r="Y877" t="s">
        <v>69</v>
      </c>
      <c r="Z877" t="s">
        <v>69</v>
      </c>
      <c r="AA877" t="s">
        <v>16905</v>
      </c>
      <c r="AB877" t="s">
        <v>69</v>
      </c>
      <c r="AC877" t="s">
        <v>7030</v>
      </c>
      <c r="AD877" t="s">
        <v>16906</v>
      </c>
      <c r="AE877" t="s">
        <v>69</v>
      </c>
      <c r="AF877" t="s">
        <v>16907</v>
      </c>
      <c r="AG877" t="s">
        <v>16908</v>
      </c>
      <c r="AH877" t="s">
        <v>69</v>
      </c>
      <c r="AI877" t="s">
        <v>16909</v>
      </c>
      <c r="AJ877" t="s">
        <v>16910</v>
      </c>
      <c r="AK877" t="s">
        <v>16911</v>
      </c>
      <c r="AL877" t="s">
        <v>16912</v>
      </c>
      <c r="AM877" t="s">
        <v>69</v>
      </c>
      <c r="AN877">
        <v>21</v>
      </c>
      <c r="AO877">
        <v>4</v>
      </c>
      <c r="AP877">
        <v>4</v>
      </c>
      <c r="AQ877">
        <v>1</v>
      </c>
      <c r="AR877">
        <v>10</v>
      </c>
      <c r="AS877" t="s">
        <v>8992</v>
      </c>
      <c r="AT877" t="s">
        <v>8993</v>
      </c>
      <c r="AU877" t="s">
        <v>8994</v>
      </c>
      <c r="AV877" t="s">
        <v>69</v>
      </c>
      <c r="AW877" t="s">
        <v>7031</v>
      </c>
      <c r="AX877" t="s">
        <v>69</v>
      </c>
      <c r="AY877" t="s">
        <v>16913</v>
      </c>
      <c r="AZ877" t="s">
        <v>16914</v>
      </c>
      <c r="BA877" t="s">
        <v>7032</v>
      </c>
      <c r="BB877">
        <v>2019</v>
      </c>
      <c r="BC877">
        <v>2</v>
      </c>
      <c r="BD877" t="s">
        <v>69</v>
      </c>
      <c r="BE877" t="s">
        <v>69</v>
      </c>
      <c r="BF877" t="s">
        <v>69</v>
      </c>
      <c r="BG877" t="s">
        <v>69</v>
      </c>
      <c r="BH877" t="s">
        <v>69</v>
      </c>
      <c r="BI877" t="s">
        <v>69</v>
      </c>
      <c r="BJ877" t="s">
        <v>69</v>
      </c>
      <c r="BK877">
        <v>46</v>
      </c>
      <c r="BL877" t="s">
        <v>7033</v>
      </c>
      <c r="BM877" t="str">
        <f>HYPERLINK("http://dx.doi.org/10.3389/ffgc.2019.00046","http://dx.doi.org/10.3389/ffgc.2019.00046")</f>
        <v>http://dx.doi.org/10.3389/ffgc.2019.00046</v>
      </c>
      <c r="BN877" t="s">
        <v>69</v>
      </c>
      <c r="BO877" t="s">
        <v>69</v>
      </c>
      <c r="BP877">
        <v>7</v>
      </c>
      <c r="BQ877" t="s">
        <v>16915</v>
      </c>
      <c r="BR877" t="s">
        <v>8548</v>
      </c>
      <c r="BS877" t="s">
        <v>16916</v>
      </c>
      <c r="BT877" t="s">
        <v>16917</v>
      </c>
      <c r="BU877" t="s">
        <v>7034</v>
      </c>
      <c r="BV877" t="s">
        <v>69</v>
      </c>
      <c r="BW877" t="s">
        <v>8931</v>
      </c>
      <c r="BX877" t="s">
        <v>69</v>
      </c>
      <c r="BY877" t="s">
        <v>69</v>
      </c>
      <c r="BZ877" t="s">
        <v>8526</v>
      </c>
      <c r="CA877" t="str">
        <f>HYPERLINK("https%3A%2F%2Fwww.webofscience.com%2Fwos%2Fwoscc%2Ffull-record%2FWOS:000516824800001","View Full Record in Web of Science")</f>
        <v>View Full Record in Web of Science</v>
      </c>
    </row>
    <row r="878" spans="2:79" ht="12.5" x14ac:dyDescent="0.25">
      <c r="B878" t="s">
        <v>8495</v>
      </c>
      <c r="D878" s="22" t="s">
        <v>32931</v>
      </c>
      <c r="E878" s="7"/>
      <c r="F878" s="7"/>
      <c r="G878" s="7"/>
      <c r="H878" t="s">
        <v>67</v>
      </c>
      <c r="I878" t="s">
        <v>22252</v>
      </c>
      <c r="J878" t="s">
        <v>69</v>
      </c>
      <c r="K878" t="s">
        <v>69</v>
      </c>
      <c r="L878" t="s">
        <v>69</v>
      </c>
      <c r="M878" t="s">
        <v>22253</v>
      </c>
      <c r="N878" t="s">
        <v>69</v>
      </c>
      <c r="O878" t="s">
        <v>69</v>
      </c>
      <c r="P878" t="s">
        <v>22254</v>
      </c>
      <c r="Q878" t="s">
        <v>15276</v>
      </c>
      <c r="R878" t="s">
        <v>69</v>
      </c>
      <c r="S878" t="s">
        <v>69</v>
      </c>
      <c r="T878" t="s">
        <v>8505</v>
      </c>
      <c r="U878" t="s">
        <v>8506</v>
      </c>
      <c r="V878" t="s">
        <v>69</v>
      </c>
      <c r="W878" t="s">
        <v>69</v>
      </c>
      <c r="X878" t="s">
        <v>69</v>
      </c>
      <c r="Y878" t="s">
        <v>69</v>
      </c>
      <c r="Z878" t="s">
        <v>69</v>
      </c>
      <c r="AA878" t="s">
        <v>22255</v>
      </c>
      <c r="AB878" t="s">
        <v>22256</v>
      </c>
      <c r="AC878" t="s">
        <v>22257</v>
      </c>
      <c r="AD878" t="s">
        <v>22258</v>
      </c>
      <c r="AE878" t="s">
        <v>69</v>
      </c>
      <c r="AF878" t="s">
        <v>22259</v>
      </c>
      <c r="AG878" t="s">
        <v>22260</v>
      </c>
      <c r="AH878" t="s">
        <v>22261</v>
      </c>
      <c r="AI878" t="s">
        <v>22262</v>
      </c>
      <c r="AJ878" t="s">
        <v>22263</v>
      </c>
      <c r="AK878" t="s">
        <v>22264</v>
      </c>
      <c r="AL878" t="s">
        <v>22265</v>
      </c>
      <c r="AM878" t="s">
        <v>69</v>
      </c>
      <c r="AN878">
        <v>31</v>
      </c>
      <c r="AO878">
        <v>2</v>
      </c>
      <c r="AP878">
        <v>2</v>
      </c>
      <c r="AQ878">
        <v>0</v>
      </c>
      <c r="AR878">
        <v>6</v>
      </c>
      <c r="AS878" t="s">
        <v>8692</v>
      </c>
      <c r="AT878" t="s">
        <v>8693</v>
      </c>
      <c r="AU878" t="s">
        <v>18139</v>
      </c>
      <c r="AV878" t="s">
        <v>15286</v>
      </c>
      <c r="AW878" t="s">
        <v>15287</v>
      </c>
      <c r="AX878" t="s">
        <v>69</v>
      </c>
      <c r="AY878" t="s">
        <v>15288</v>
      </c>
      <c r="AZ878" t="s">
        <v>15289</v>
      </c>
      <c r="BA878" t="s">
        <v>22266</v>
      </c>
      <c r="BB878">
        <v>2016</v>
      </c>
      <c r="BC878">
        <v>12</v>
      </c>
      <c r="BD878">
        <v>1</v>
      </c>
      <c r="BE878" t="s">
        <v>69</v>
      </c>
      <c r="BF878" t="s">
        <v>69</v>
      </c>
      <c r="BG878" t="s">
        <v>69</v>
      </c>
      <c r="BH878" t="s">
        <v>69</v>
      </c>
      <c r="BI878">
        <v>91</v>
      </c>
      <c r="BJ878">
        <v>103</v>
      </c>
      <c r="BK878" t="s">
        <v>69</v>
      </c>
      <c r="BL878" t="s">
        <v>22267</v>
      </c>
      <c r="BM878" t="str">
        <f>HYPERLINK("http://dx.doi.org/10.1016/j.sapharm.2015.04.006","http://dx.doi.org/10.1016/j.sapharm.2015.04.006")</f>
        <v>http://dx.doi.org/10.1016/j.sapharm.2015.04.006</v>
      </c>
      <c r="BN878" t="s">
        <v>69</v>
      </c>
      <c r="BO878" t="s">
        <v>69</v>
      </c>
      <c r="BP878">
        <v>13</v>
      </c>
      <c r="BQ878" t="s">
        <v>15291</v>
      </c>
      <c r="BR878" t="s">
        <v>8661</v>
      </c>
      <c r="BS878" t="s">
        <v>15291</v>
      </c>
      <c r="BT878" t="s">
        <v>22268</v>
      </c>
      <c r="BU878" t="s">
        <v>22269</v>
      </c>
      <c r="BV878">
        <v>25990258</v>
      </c>
      <c r="BW878" t="s">
        <v>69</v>
      </c>
      <c r="BX878" t="s">
        <v>69</v>
      </c>
      <c r="BY878" t="s">
        <v>69</v>
      </c>
      <c r="BZ878" t="s">
        <v>8526</v>
      </c>
      <c r="CA878" t="str">
        <f>HYPERLINK("https%3A%2F%2Fwww.webofscience.com%2Fwos%2Fwoscc%2Ffull-record%2FWOS:000366299500008","View Full Record in Web of Science")</f>
        <v>View Full Record in Web of Science</v>
      </c>
    </row>
    <row r="879" spans="2:79" ht="12.5" x14ac:dyDescent="0.25">
      <c r="B879" t="s">
        <v>8495</v>
      </c>
      <c r="D879" s="22" t="s">
        <v>32931</v>
      </c>
      <c r="E879" s="7"/>
      <c r="F879" s="7"/>
      <c r="G879" s="7"/>
      <c r="H879" t="s">
        <v>67</v>
      </c>
      <c r="I879" t="s">
        <v>16469</v>
      </c>
      <c r="J879" t="s">
        <v>69</v>
      </c>
      <c r="K879" t="s">
        <v>69</v>
      </c>
      <c r="L879" t="s">
        <v>69</v>
      </c>
      <c r="M879" t="s">
        <v>16470</v>
      </c>
      <c r="N879" t="s">
        <v>69</v>
      </c>
      <c r="O879" t="s">
        <v>69</v>
      </c>
      <c r="P879" t="s">
        <v>16471</v>
      </c>
      <c r="Q879" t="s">
        <v>16472</v>
      </c>
      <c r="R879" t="s">
        <v>69</v>
      </c>
      <c r="S879" t="s">
        <v>69</v>
      </c>
      <c r="T879" t="s">
        <v>8505</v>
      </c>
      <c r="U879" t="s">
        <v>8506</v>
      </c>
      <c r="V879" t="s">
        <v>69</v>
      </c>
      <c r="W879" t="s">
        <v>69</v>
      </c>
      <c r="X879" t="s">
        <v>69</v>
      </c>
      <c r="Y879" t="s">
        <v>69</v>
      </c>
      <c r="Z879" t="s">
        <v>69</v>
      </c>
      <c r="AA879" t="s">
        <v>16473</v>
      </c>
      <c r="AB879" t="s">
        <v>16474</v>
      </c>
      <c r="AC879" t="s">
        <v>16475</v>
      </c>
      <c r="AD879" t="s">
        <v>16476</v>
      </c>
      <c r="AE879" t="s">
        <v>69</v>
      </c>
      <c r="AF879" t="s">
        <v>16477</v>
      </c>
      <c r="AG879" t="s">
        <v>16478</v>
      </c>
      <c r="AH879" t="s">
        <v>16479</v>
      </c>
      <c r="AI879" t="s">
        <v>16480</v>
      </c>
      <c r="AJ879" t="s">
        <v>69</v>
      </c>
      <c r="AK879" t="s">
        <v>69</v>
      </c>
      <c r="AL879" t="s">
        <v>69</v>
      </c>
      <c r="AM879" t="s">
        <v>69</v>
      </c>
      <c r="AN879">
        <v>70</v>
      </c>
      <c r="AO879">
        <v>4</v>
      </c>
      <c r="AP879">
        <v>4</v>
      </c>
      <c r="AQ879">
        <v>17</v>
      </c>
      <c r="AR879">
        <v>59</v>
      </c>
      <c r="AS879" t="s">
        <v>8865</v>
      </c>
      <c r="AT879" t="s">
        <v>8612</v>
      </c>
      <c r="AU879" t="s">
        <v>8866</v>
      </c>
      <c r="AV879" t="s">
        <v>16481</v>
      </c>
      <c r="AW879" t="s">
        <v>16482</v>
      </c>
      <c r="AX879" t="s">
        <v>69</v>
      </c>
      <c r="AY879" t="s">
        <v>16483</v>
      </c>
      <c r="AZ879" t="s">
        <v>16484</v>
      </c>
      <c r="BA879" t="s">
        <v>8033</v>
      </c>
      <c r="BB879">
        <v>2020</v>
      </c>
      <c r="BC879">
        <v>47</v>
      </c>
      <c r="BD879">
        <v>2</v>
      </c>
      <c r="BE879" t="s">
        <v>69</v>
      </c>
      <c r="BF879" t="s">
        <v>69</v>
      </c>
      <c r="BG879" t="s">
        <v>69</v>
      </c>
      <c r="BH879" t="s">
        <v>69</v>
      </c>
      <c r="BI879">
        <v>203</v>
      </c>
      <c r="BJ879">
        <v>220</v>
      </c>
      <c r="BK879" t="s">
        <v>69</v>
      </c>
      <c r="BL879" t="s">
        <v>16485</v>
      </c>
      <c r="BM879" t="str">
        <f>HYPERLINK("http://dx.doi.org/10.1080/03088839.2019.1688876","http://dx.doi.org/10.1080/03088839.2019.1688876")</f>
        <v>http://dx.doi.org/10.1080/03088839.2019.1688876</v>
      </c>
      <c r="BN879" t="s">
        <v>69</v>
      </c>
      <c r="BO879" t="s">
        <v>876</v>
      </c>
      <c r="BP879">
        <v>18</v>
      </c>
      <c r="BQ879" t="s">
        <v>16486</v>
      </c>
      <c r="BR879" t="s">
        <v>8661</v>
      </c>
      <c r="BS879" t="s">
        <v>16486</v>
      </c>
      <c r="BT879" t="s">
        <v>16487</v>
      </c>
      <c r="BU879" t="s">
        <v>16488</v>
      </c>
      <c r="BV879" t="s">
        <v>69</v>
      </c>
      <c r="BW879" t="s">
        <v>69</v>
      </c>
      <c r="BX879" t="s">
        <v>69</v>
      </c>
      <c r="BY879" t="s">
        <v>69</v>
      </c>
      <c r="BZ879" t="s">
        <v>8526</v>
      </c>
      <c r="CA879" t="str">
        <f>HYPERLINK("https%3A%2F%2Fwww.webofscience.com%2Fwos%2Fwoscc%2Ffull-record%2FWOS:000495813400001","View Full Record in Web of Science")</f>
        <v>View Full Record in Web of Science</v>
      </c>
    </row>
    <row r="880" spans="2:79" ht="12.5" x14ac:dyDescent="0.25">
      <c r="B880" t="s">
        <v>8495</v>
      </c>
      <c r="D880" s="7" t="s">
        <v>32933</v>
      </c>
      <c r="E880" s="7"/>
      <c r="F880" s="7"/>
      <c r="G880" s="7"/>
      <c r="H880" t="s">
        <v>67</v>
      </c>
      <c r="I880" t="s">
        <v>6979</v>
      </c>
      <c r="J880" t="s">
        <v>69</v>
      </c>
      <c r="K880" t="s">
        <v>69</v>
      </c>
      <c r="L880" t="s">
        <v>69</v>
      </c>
      <c r="M880" t="s">
        <v>6980</v>
      </c>
      <c r="N880" t="s">
        <v>69</v>
      </c>
      <c r="O880" t="s">
        <v>69</v>
      </c>
      <c r="P880" t="s">
        <v>6981</v>
      </c>
      <c r="Q880" t="s">
        <v>4552</v>
      </c>
      <c r="R880" t="s">
        <v>69</v>
      </c>
      <c r="S880" t="s">
        <v>69</v>
      </c>
      <c r="T880" t="s">
        <v>8505</v>
      </c>
      <c r="U880" t="s">
        <v>8506</v>
      </c>
      <c r="V880" t="s">
        <v>69</v>
      </c>
      <c r="W880" t="s">
        <v>69</v>
      </c>
      <c r="X880" t="s">
        <v>69</v>
      </c>
      <c r="Y880" t="s">
        <v>69</v>
      </c>
      <c r="Z880" t="s">
        <v>69</v>
      </c>
      <c r="AA880" t="s">
        <v>28291</v>
      </c>
      <c r="AB880" t="s">
        <v>28292</v>
      </c>
      <c r="AC880" t="s">
        <v>6982</v>
      </c>
      <c r="AD880" t="s">
        <v>28293</v>
      </c>
      <c r="AE880" t="s">
        <v>69</v>
      </c>
      <c r="AF880" t="s">
        <v>28294</v>
      </c>
      <c r="AG880" t="s">
        <v>28295</v>
      </c>
      <c r="AH880" t="s">
        <v>6983</v>
      </c>
      <c r="AI880" t="s">
        <v>28296</v>
      </c>
      <c r="AJ880" t="s">
        <v>69</v>
      </c>
      <c r="AK880" t="s">
        <v>69</v>
      </c>
      <c r="AL880" t="s">
        <v>69</v>
      </c>
      <c r="AM880" t="s">
        <v>69</v>
      </c>
      <c r="AN880">
        <v>14</v>
      </c>
      <c r="AO880">
        <v>10</v>
      </c>
      <c r="AP880">
        <v>11</v>
      </c>
      <c r="AQ880">
        <v>0</v>
      </c>
      <c r="AR880">
        <v>20</v>
      </c>
      <c r="AS880" t="s">
        <v>9091</v>
      </c>
      <c r="AT880" t="s">
        <v>8763</v>
      </c>
      <c r="AU880" t="s">
        <v>15468</v>
      </c>
      <c r="AV880" t="s">
        <v>4556</v>
      </c>
      <c r="AW880" t="s">
        <v>69</v>
      </c>
      <c r="AX880" t="s">
        <v>69</v>
      </c>
      <c r="AY880" t="s">
        <v>4552</v>
      </c>
      <c r="AZ880" t="s">
        <v>9094</v>
      </c>
      <c r="BA880" t="s">
        <v>69</v>
      </c>
      <c r="BB880">
        <v>2010</v>
      </c>
      <c r="BC880">
        <v>12</v>
      </c>
      <c r="BD880" t="s">
        <v>69</v>
      </c>
      <c r="BE880" t="s">
        <v>69</v>
      </c>
      <c r="BF880">
        <v>1</v>
      </c>
      <c r="BG880" t="s">
        <v>69</v>
      </c>
      <c r="BH880" t="s">
        <v>69</v>
      </c>
      <c r="BI880">
        <v>1</v>
      </c>
      <c r="BJ880">
        <v>7</v>
      </c>
      <c r="BK880" t="s">
        <v>69</v>
      </c>
      <c r="BL880" t="s">
        <v>6984</v>
      </c>
      <c r="BM880" t="str">
        <f>HYPERLINK("http://dx.doi.org/10.2166/wp.2010.010","http://dx.doi.org/10.2166/wp.2010.010")</f>
        <v>http://dx.doi.org/10.2166/wp.2010.010</v>
      </c>
      <c r="BN880" t="s">
        <v>69</v>
      </c>
      <c r="BO880" t="s">
        <v>69</v>
      </c>
      <c r="BP880">
        <v>7</v>
      </c>
      <c r="BQ880" t="s">
        <v>9096</v>
      </c>
      <c r="BR880" t="s">
        <v>8548</v>
      </c>
      <c r="BS880" t="s">
        <v>9096</v>
      </c>
      <c r="BT880" t="s">
        <v>28297</v>
      </c>
      <c r="BU880" t="s">
        <v>6985</v>
      </c>
      <c r="BV880" t="s">
        <v>69</v>
      </c>
      <c r="BW880" t="s">
        <v>69</v>
      </c>
      <c r="BX880" t="s">
        <v>69</v>
      </c>
      <c r="BY880" t="s">
        <v>69</v>
      </c>
      <c r="BZ880" t="s">
        <v>8526</v>
      </c>
      <c r="CA880" t="str">
        <f>HYPERLINK("https%3A%2F%2Fwww.webofscience.com%2Fwos%2Fwoscc%2Ffull-record%2FWOS:000276019500001","View Full Record in Web of Science")</f>
        <v>View Full Record in Web of Science</v>
      </c>
    </row>
    <row r="881" spans="1:79" ht="12.5" x14ac:dyDescent="0.25">
      <c r="B881" t="s">
        <v>8495</v>
      </c>
      <c r="D881" s="7" t="s">
        <v>32933</v>
      </c>
      <c r="E881" s="7"/>
      <c r="F881" s="7"/>
      <c r="G881" s="7"/>
      <c r="H881" t="s">
        <v>67</v>
      </c>
      <c r="I881" t="s">
        <v>3427</v>
      </c>
      <c r="J881" t="s">
        <v>69</v>
      </c>
      <c r="K881" t="s">
        <v>69</v>
      </c>
      <c r="L881" t="s">
        <v>69</v>
      </c>
      <c r="M881" t="s">
        <v>3428</v>
      </c>
      <c r="N881" t="s">
        <v>69</v>
      </c>
      <c r="O881" t="s">
        <v>69</v>
      </c>
      <c r="P881" t="s">
        <v>3429</v>
      </c>
      <c r="Q881" t="s">
        <v>537</v>
      </c>
      <c r="R881" t="s">
        <v>69</v>
      </c>
      <c r="S881" t="s">
        <v>69</v>
      </c>
      <c r="T881" t="s">
        <v>8505</v>
      </c>
      <c r="U881" t="s">
        <v>8442</v>
      </c>
      <c r="V881" t="s">
        <v>69</v>
      </c>
      <c r="W881" t="s">
        <v>69</v>
      </c>
      <c r="X881" t="s">
        <v>69</v>
      </c>
      <c r="Y881" t="s">
        <v>69</v>
      </c>
      <c r="Z881" t="s">
        <v>69</v>
      </c>
      <c r="AA881" t="s">
        <v>26701</v>
      </c>
      <c r="AB881" t="s">
        <v>26702</v>
      </c>
      <c r="AC881" t="s">
        <v>3430</v>
      </c>
      <c r="AD881" t="s">
        <v>26703</v>
      </c>
      <c r="AE881" t="s">
        <v>69</v>
      </c>
      <c r="AF881" t="s">
        <v>26704</v>
      </c>
      <c r="AG881" t="s">
        <v>26705</v>
      </c>
      <c r="AH881" t="s">
        <v>26706</v>
      </c>
      <c r="AI881" t="s">
        <v>26707</v>
      </c>
      <c r="AJ881" t="s">
        <v>69</v>
      </c>
      <c r="AK881" t="s">
        <v>69</v>
      </c>
      <c r="AL881" t="s">
        <v>69</v>
      </c>
      <c r="AM881" t="s">
        <v>69</v>
      </c>
      <c r="AN881">
        <v>41</v>
      </c>
      <c r="AO881">
        <v>54</v>
      </c>
      <c r="AP881">
        <v>58</v>
      </c>
      <c r="AQ881">
        <v>1</v>
      </c>
      <c r="AR881">
        <v>24</v>
      </c>
      <c r="AS881" t="s">
        <v>8516</v>
      </c>
      <c r="AT881" t="s">
        <v>8517</v>
      </c>
      <c r="AU881" t="s">
        <v>8518</v>
      </c>
      <c r="AV881" t="s">
        <v>541</v>
      </c>
      <c r="AW881" t="s">
        <v>542</v>
      </c>
      <c r="AX881" t="s">
        <v>69</v>
      </c>
      <c r="AY881" t="s">
        <v>25707</v>
      </c>
      <c r="AZ881" t="s">
        <v>25708</v>
      </c>
      <c r="BA881" t="s">
        <v>75</v>
      </c>
      <c r="BB881">
        <v>2011</v>
      </c>
      <c r="BC881">
        <v>1</v>
      </c>
      <c r="BD881">
        <v>4</v>
      </c>
      <c r="BE881" t="s">
        <v>69</v>
      </c>
      <c r="BF881" t="s">
        <v>69</v>
      </c>
      <c r="BG881" t="s">
        <v>69</v>
      </c>
      <c r="BH881" t="s">
        <v>69</v>
      </c>
      <c r="BI881">
        <v>211</v>
      </c>
      <c r="BJ881">
        <v>218</v>
      </c>
      <c r="BK881" t="s">
        <v>69</v>
      </c>
      <c r="BL881" t="s">
        <v>3431</v>
      </c>
      <c r="BM881" t="str">
        <f>HYPERLINK("http://dx.doi.org/10.1016/j.scs.2011.07.007","http://dx.doi.org/10.1016/j.scs.2011.07.007")</f>
        <v>http://dx.doi.org/10.1016/j.scs.2011.07.007</v>
      </c>
      <c r="BN881" t="s">
        <v>69</v>
      </c>
      <c r="BO881" t="s">
        <v>69</v>
      </c>
      <c r="BP881">
        <v>8</v>
      </c>
      <c r="BQ881" t="s">
        <v>25709</v>
      </c>
      <c r="BR881" t="s">
        <v>8548</v>
      </c>
      <c r="BS881" t="s">
        <v>25710</v>
      </c>
      <c r="BT881" t="s">
        <v>26708</v>
      </c>
      <c r="BU881" t="s">
        <v>3432</v>
      </c>
      <c r="BV881" t="s">
        <v>69</v>
      </c>
      <c r="BW881" t="s">
        <v>69</v>
      </c>
      <c r="BX881" t="s">
        <v>69</v>
      </c>
      <c r="BY881" t="s">
        <v>69</v>
      </c>
      <c r="BZ881" t="s">
        <v>8526</v>
      </c>
      <c r="CA881" t="str">
        <f>HYPERLINK("https%3A%2F%2Fwww.webofscience.com%2Fwos%2Fwoscc%2Ffull-record%2FWOS:000209553500003","View Full Record in Web of Science")</f>
        <v>View Full Record in Web of Science</v>
      </c>
    </row>
    <row r="882" spans="1:79" ht="12.5" x14ac:dyDescent="0.25">
      <c r="B882" t="s">
        <v>8495</v>
      </c>
      <c r="D882" s="22" t="s">
        <v>32931</v>
      </c>
      <c r="E882" s="7"/>
      <c r="F882" s="7"/>
      <c r="G882" s="7"/>
      <c r="H882" t="s">
        <v>67</v>
      </c>
      <c r="I882" t="s">
        <v>30985</v>
      </c>
      <c r="J882" t="s">
        <v>69</v>
      </c>
      <c r="K882" t="s">
        <v>69</v>
      </c>
      <c r="L882" t="s">
        <v>69</v>
      </c>
      <c r="M882" t="s">
        <v>30985</v>
      </c>
      <c r="N882" t="s">
        <v>69</v>
      </c>
      <c r="O882" t="s">
        <v>30986</v>
      </c>
      <c r="P882" t="s">
        <v>30987</v>
      </c>
      <c r="Q882" t="s">
        <v>30988</v>
      </c>
      <c r="R882" t="s">
        <v>69</v>
      </c>
      <c r="S882" t="s">
        <v>69</v>
      </c>
      <c r="T882" t="s">
        <v>8505</v>
      </c>
      <c r="U882" t="s">
        <v>8506</v>
      </c>
      <c r="V882" t="s">
        <v>69</v>
      </c>
      <c r="W882" t="s">
        <v>69</v>
      </c>
      <c r="X882" t="s">
        <v>69</v>
      </c>
      <c r="Y882" t="s">
        <v>69</v>
      </c>
      <c r="Z882" t="s">
        <v>69</v>
      </c>
      <c r="AA882" t="s">
        <v>69</v>
      </c>
      <c r="AB882" t="s">
        <v>69</v>
      </c>
      <c r="AC882" t="s">
        <v>30989</v>
      </c>
      <c r="AD882" t="s">
        <v>30990</v>
      </c>
      <c r="AE882" t="s">
        <v>69</v>
      </c>
      <c r="AF882" t="s">
        <v>30991</v>
      </c>
      <c r="AG882" t="s">
        <v>30992</v>
      </c>
      <c r="AH882" t="s">
        <v>69</v>
      </c>
      <c r="AI882" t="s">
        <v>69</v>
      </c>
      <c r="AJ882" t="s">
        <v>69</v>
      </c>
      <c r="AK882" t="s">
        <v>69</v>
      </c>
      <c r="AL882" t="s">
        <v>69</v>
      </c>
      <c r="AM882" t="s">
        <v>69</v>
      </c>
      <c r="AN882">
        <v>17</v>
      </c>
      <c r="AO882">
        <v>10</v>
      </c>
      <c r="AP882">
        <v>10</v>
      </c>
      <c r="AQ882">
        <v>0</v>
      </c>
      <c r="AR882">
        <v>2</v>
      </c>
      <c r="AS882" t="s">
        <v>9178</v>
      </c>
      <c r="AT882" t="s">
        <v>8763</v>
      </c>
      <c r="AU882" t="s">
        <v>9179</v>
      </c>
      <c r="AV882" t="s">
        <v>30993</v>
      </c>
      <c r="AW882" t="s">
        <v>30994</v>
      </c>
      <c r="AX882" t="s">
        <v>69</v>
      </c>
      <c r="AY882" t="s">
        <v>30995</v>
      </c>
      <c r="AZ882" t="s">
        <v>30996</v>
      </c>
      <c r="BA882" t="s">
        <v>373</v>
      </c>
      <c r="BB882">
        <v>2005</v>
      </c>
      <c r="BC882">
        <v>81</v>
      </c>
      <c r="BD882">
        <v>951</v>
      </c>
      <c r="BE882" t="s">
        <v>69</v>
      </c>
      <c r="BF882" t="s">
        <v>69</v>
      </c>
      <c r="BG882" t="s">
        <v>69</v>
      </c>
      <c r="BH882" t="s">
        <v>69</v>
      </c>
      <c r="BI882">
        <v>49</v>
      </c>
      <c r="BJ882">
        <v>54</v>
      </c>
      <c r="BK882" t="s">
        <v>69</v>
      </c>
      <c r="BL882" t="s">
        <v>30997</v>
      </c>
      <c r="BM882" t="str">
        <f>HYPERLINK("http://dx.doi.org/10.1136/pgmj.2004.029512","http://dx.doi.org/10.1136/pgmj.2004.029512")</f>
        <v>http://dx.doi.org/10.1136/pgmj.2004.029512</v>
      </c>
      <c r="BN882" t="s">
        <v>69</v>
      </c>
      <c r="BO882" t="s">
        <v>69</v>
      </c>
      <c r="BP882">
        <v>6</v>
      </c>
      <c r="BQ882" t="s">
        <v>9450</v>
      </c>
      <c r="BR882" t="s">
        <v>8548</v>
      </c>
      <c r="BS882" t="s">
        <v>9451</v>
      </c>
      <c r="BT882" t="s">
        <v>30998</v>
      </c>
      <c r="BU882" t="s">
        <v>30999</v>
      </c>
      <c r="BV882">
        <v>15640429</v>
      </c>
      <c r="BW882" t="s">
        <v>9029</v>
      </c>
      <c r="BX882" t="s">
        <v>69</v>
      </c>
      <c r="BY882" t="s">
        <v>69</v>
      </c>
      <c r="BZ882" t="s">
        <v>8526</v>
      </c>
      <c r="CA882" t="str">
        <f>HYPERLINK("https%3A%2F%2Fwww.webofscience.com%2Fwos%2Fwoscc%2Ffull-record%2FWOS:000226185800008","View Full Record in Web of Science")</f>
        <v>View Full Record in Web of Science</v>
      </c>
    </row>
    <row r="883" spans="1:79" ht="12.5" x14ac:dyDescent="0.25">
      <c r="B883" t="s">
        <v>8495</v>
      </c>
      <c r="D883" s="7" t="s">
        <v>32933</v>
      </c>
      <c r="E883" s="7"/>
      <c r="F883" s="7"/>
      <c r="G883" s="7"/>
      <c r="H883" t="s">
        <v>67</v>
      </c>
      <c r="I883" t="s">
        <v>7394</v>
      </c>
      <c r="J883" t="s">
        <v>69</v>
      </c>
      <c r="K883" t="s">
        <v>69</v>
      </c>
      <c r="L883" t="s">
        <v>69</v>
      </c>
      <c r="M883" t="s">
        <v>7395</v>
      </c>
      <c r="N883" t="s">
        <v>69</v>
      </c>
      <c r="O883" t="s">
        <v>69</v>
      </c>
      <c r="P883" t="s">
        <v>7396</v>
      </c>
      <c r="Q883" t="s">
        <v>7397</v>
      </c>
      <c r="R883" t="s">
        <v>69</v>
      </c>
      <c r="S883" t="s">
        <v>69</v>
      </c>
      <c r="T883" t="s">
        <v>8505</v>
      </c>
      <c r="U883" t="s">
        <v>8506</v>
      </c>
      <c r="V883" t="s">
        <v>69</v>
      </c>
      <c r="W883" t="s">
        <v>69</v>
      </c>
      <c r="X883" t="s">
        <v>69</v>
      </c>
      <c r="Y883" t="s">
        <v>69</v>
      </c>
      <c r="Z883" t="s">
        <v>69</v>
      </c>
      <c r="AA883" t="s">
        <v>69</v>
      </c>
      <c r="AB883" t="s">
        <v>16270</v>
      </c>
      <c r="AC883" t="s">
        <v>7398</v>
      </c>
      <c r="AD883" t="s">
        <v>16271</v>
      </c>
      <c r="AE883" t="s">
        <v>69</v>
      </c>
      <c r="AF883" t="s">
        <v>16272</v>
      </c>
      <c r="AG883" t="s">
        <v>69</v>
      </c>
      <c r="AH883" t="s">
        <v>69</v>
      </c>
      <c r="AI883" t="s">
        <v>69</v>
      </c>
      <c r="AJ883" t="s">
        <v>69</v>
      </c>
      <c r="AK883" t="s">
        <v>69</v>
      </c>
      <c r="AL883" t="s">
        <v>69</v>
      </c>
      <c r="AM883" t="s">
        <v>69</v>
      </c>
      <c r="AN883">
        <v>192</v>
      </c>
      <c r="AO883">
        <v>5</v>
      </c>
      <c r="AP883">
        <v>5</v>
      </c>
      <c r="AQ883">
        <v>1</v>
      </c>
      <c r="AR883">
        <v>7</v>
      </c>
      <c r="AS883" t="s">
        <v>16273</v>
      </c>
      <c r="AT883" t="s">
        <v>16274</v>
      </c>
      <c r="AU883" t="s">
        <v>16275</v>
      </c>
      <c r="AV883" t="s">
        <v>7399</v>
      </c>
      <c r="AW883" t="s">
        <v>69</v>
      </c>
      <c r="AX883" t="s">
        <v>69</v>
      </c>
      <c r="AY883" t="s">
        <v>16276</v>
      </c>
      <c r="AZ883" t="s">
        <v>16277</v>
      </c>
      <c r="BA883" t="s">
        <v>69</v>
      </c>
      <c r="BB883">
        <v>2020</v>
      </c>
      <c r="BC883">
        <v>95</v>
      </c>
      <c r="BD883">
        <v>2</v>
      </c>
      <c r="BE883" t="s">
        <v>69</v>
      </c>
      <c r="BF883" t="s">
        <v>69</v>
      </c>
      <c r="BG883" t="s">
        <v>69</v>
      </c>
      <c r="BH883" t="s">
        <v>69</v>
      </c>
      <c r="BI883">
        <v>727</v>
      </c>
      <c r="BJ883">
        <v>793</v>
      </c>
      <c r="BK883" t="s">
        <v>69</v>
      </c>
      <c r="BL883" t="s">
        <v>69</v>
      </c>
      <c r="BM883" t="s">
        <v>69</v>
      </c>
      <c r="BN883" t="s">
        <v>69</v>
      </c>
      <c r="BO883" t="s">
        <v>69</v>
      </c>
      <c r="BP883">
        <v>67</v>
      </c>
      <c r="BQ883" t="s">
        <v>8452</v>
      </c>
      <c r="BR883" t="s">
        <v>8661</v>
      </c>
      <c r="BS883" t="s">
        <v>10084</v>
      </c>
      <c r="BT883" t="s">
        <v>16278</v>
      </c>
      <c r="BU883" t="s">
        <v>7400</v>
      </c>
      <c r="BV883" t="s">
        <v>69</v>
      </c>
      <c r="BW883" t="s">
        <v>69</v>
      </c>
      <c r="BX883" t="s">
        <v>69</v>
      </c>
      <c r="BY883" t="s">
        <v>69</v>
      </c>
      <c r="BZ883" t="s">
        <v>8526</v>
      </c>
      <c r="CA883" t="str">
        <f>HYPERLINK("https%3A%2F%2Fwww.webofscience.com%2Fwos%2Fwoscc%2Ffull-record%2FWOS:000509749400005","View Full Record in Web of Science")</f>
        <v>View Full Record in Web of Science</v>
      </c>
    </row>
    <row r="884" spans="1:79" ht="12.5" x14ac:dyDescent="0.25">
      <c r="B884" t="s">
        <v>8495</v>
      </c>
      <c r="D884" s="7" t="s">
        <v>32933</v>
      </c>
      <c r="E884" s="7"/>
      <c r="F884" s="7"/>
      <c r="G884" s="7"/>
      <c r="H884" t="s">
        <v>67</v>
      </c>
      <c r="I884" t="s">
        <v>3384</v>
      </c>
      <c r="J884" t="s">
        <v>69</v>
      </c>
      <c r="K884" t="s">
        <v>69</v>
      </c>
      <c r="L884" t="s">
        <v>69</v>
      </c>
      <c r="M884" t="s">
        <v>3385</v>
      </c>
      <c r="N884" t="s">
        <v>69</v>
      </c>
      <c r="O884" t="s">
        <v>69</v>
      </c>
      <c r="P884" t="s">
        <v>3386</v>
      </c>
      <c r="Q884" t="s">
        <v>3387</v>
      </c>
      <c r="R884" t="s">
        <v>69</v>
      </c>
      <c r="S884" t="s">
        <v>69</v>
      </c>
      <c r="T884" t="s">
        <v>8505</v>
      </c>
      <c r="U884" t="s">
        <v>8506</v>
      </c>
      <c r="V884" t="s">
        <v>69</v>
      </c>
      <c r="W884" t="s">
        <v>69</v>
      </c>
      <c r="X884" t="s">
        <v>69</v>
      </c>
      <c r="Y884" t="s">
        <v>69</v>
      </c>
      <c r="Z884" t="s">
        <v>69</v>
      </c>
      <c r="AA884" t="s">
        <v>69</v>
      </c>
      <c r="AB884" t="s">
        <v>26072</v>
      </c>
      <c r="AC884" t="s">
        <v>3388</v>
      </c>
      <c r="AD884" t="s">
        <v>26073</v>
      </c>
      <c r="AE884" t="s">
        <v>69</v>
      </c>
      <c r="AF884" t="s">
        <v>26074</v>
      </c>
      <c r="AG884" t="s">
        <v>26075</v>
      </c>
      <c r="AH884" t="s">
        <v>69</v>
      </c>
      <c r="AI884" t="s">
        <v>26076</v>
      </c>
      <c r="AJ884" t="s">
        <v>26077</v>
      </c>
      <c r="AK884" t="s">
        <v>26078</v>
      </c>
      <c r="AL884" t="s">
        <v>26079</v>
      </c>
      <c r="AM884" t="s">
        <v>69</v>
      </c>
      <c r="AN884">
        <v>8</v>
      </c>
      <c r="AO884">
        <v>22</v>
      </c>
      <c r="AP884">
        <v>22</v>
      </c>
      <c r="AQ884">
        <v>0</v>
      </c>
      <c r="AR884">
        <v>2</v>
      </c>
      <c r="AS884" t="s">
        <v>26080</v>
      </c>
      <c r="AT884" t="s">
        <v>26081</v>
      </c>
      <c r="AU884" t="s">
        <v>26082</v>
      </c>
      <c r="AV884" t="s">
        <v>3389</v>
      </c>
      <c r="AW884" t="s">
        <v>3390</v>
      </c>
      <c r="AX884" t="s">
        <v>69</v>
      </c>
      <c r="AY884" t="s">
        <v>26083</v>
      </c>
      <c r="AZ884" t="s">
        <v>26084</v>
      </c>
      <c r="BA884" t="s">
        <v>246</v>
      </c>
      <c r="BB884">
        <v>2012</v>
      </c>
      <c r="BC884">
        <v>90</v>
      </c>
      <c r="BD884">
        <v>4</v>
      </c>
      <c r="BE884" t="s">
        <v>69</v>
      </c>
      <c r="BF884" t="s">
        <v>69</v>
      </c>
      <c r="BG884" t="s">
        <v>69</v>
      </c>
      <c r="BH884" t="s">
        <v>69</v>
      </c>
      <c r="BI884">
        <v>301</v>
      </c>
      <c r="BJ884">
        <v>305</v>
      </c>
      <c r="BK884" t="s">
        <v>69</v>
      </c>
      <c r="BL884" t="s">
        <v>3391</v>
      </c>
      <c r="BM884" t="str">
        <f>HYPERLINK("http://dx.doi.org/10.2471/BLT.11.098244","http://dx.doi.org/10.2471/BLT.11.098244")</f>
        <v>http://dx.doi.org/10.2471/BLT.11.098244</v>
      </c>
      <c r="BN884" t="s">
        <v>69</v>
      </c>
      <c r="BO884" t="s">
        <v>69</v>
      </c>
      <c r="BP884">
        <v>5</v>
      </c>
      <c r="BQ884" t="s">
        <v>8810</v>
      </c>
      <c r="BR884" t="s">
        <v>8548</v>
      </c>
      <c r="BS884" t="s">
        <v>8810</v>
      </c>
      <c r="BT884" t="s">
        <v>26085</v>
      </c>
      <c r="BU884" t="s">
        <v>3392</v>
      </c>
      <c r="BV884">
        <v>22511827</v>
      </c>
      <c r="BW884" t="s">
        <v>10423</v>
      </c>
      <c r="BX884" t="s">
        <v>69</v>
      </c>
      <c r="BY884" t="s">
        <v>69</v>
      </c>
      <c r="BZ884" t="s">
        <v>8526</v>
      </c>
      <c r="CA884" t="str">
        <f>HYPERLINK("https%3A%2F%2Fwww.webofscience.com%2Fwos%2Fwoscc%2Ffull-record%2FWOS:000303273100021","View Full Record in Web of Science")</f>
        <v>View Full Record in Web of Science</v>
      </c>
    </row>
    <row r="885" spans="1:79" ht="12.5" x14ac:dyDescent="0.25">
      <c r="B885" t="s">
        <v>8495</v>
      </c>
      <c r="D885" s="22" t="s">
        <v>32931</v>
      </c>
      <c r="E885" s="7"/>
      <c r="F885" s="7"/>
      <c r="G885" s="7"/>
      <c r="H885" t="s">
        <v>67</v>
      </c>
      <c r="I885" t="s">
        <v>16835</v>
      </c>
      <c r="J885" t="s">
        <v>69</v>
      </c>
      <c r="K885" t="s">
        <v>69</v>
      </c>
      <c r="L885" t="s">
        <v>69</v>
      </c>
      <c r="M885" t="s">
        <v>16836</v>
      </c>
      <c r="N885" t="s">
        <v>69</v>
      </c>
      <c r="O885" t="s">
        <v>69</v>
      </c>
      <c r="P885" t="s">
        <v>16837</v>
      </c>
      <c r="Q885" t="s">
        <v>9170</v>
      </c>
      <c r="R885" t="s">
        <v>69</v>
      </c>
      <c r="S885" t="s">
        <v>69</v>
      </c>
      <c r="T885" t="s">
        <v>8505</v>
      </c>
      <c r="U885" t="s">
        <v>8506</v>
      </c>
      <c r="V885" t="s">
        <v>69</v>
      </c>
      <c r="W885" t="s">
        <v>69</v>
      </c>
      <c r="X885" t="s">
        <v>69</v>
      </c>
      <c r="Y885" t="s">
        <v>69</v>
      </c>
      <c r="Z885" t="s">
        <v>69</v>
      </c>
      <c r="AA885" t="s">
        <v>16838</v>
      </c>
      <c r="AB885" t="s">
        <v>69</v>
      </c>
      <c r="AC885" t="s">
        <v>16839</v>
      </c>
      <c r="AD885" t="s">
        <v>16840</v>
      </c>
      <c r="AE885" t="s">
        <v>69</v>
      </c>
      <c r="AF885" t="s">
        <v>16841</v>
      </c>
      <c r="AG885" t="s">
        <v>16842</v>
      </c>
      <c r="AH885" t="s">
        <v>69</v>
      </c>
      <c r="AI885" t="s">
        <v>69</v>
      </c>
      <c r="AJ885" t="s">
        <v>16843</v>
      </c>
      <c r="AK885" t="s">
        <v>16843</v>
      </c>
      <c r="AL885" t="s">
        <v>16844</v>
      </c>
      <c r="AM885" t="s">
        <v>69</v>
      </c>
      <c r="AN885">
        <v>39</v>
      </c>
      <c r="AO885">
        <v>7</v>
      </c>
      <c r="AP885">
        <v>7</v>
      </c>
      <c r="AQ885">
        <v>0</v>
      </c>
      <c r="AR885">
        <v>1</v>
      </c>
      <c r="AS885" t="s">
        <v>9178</v>
      </c>
      <c r="AT885" t="s">
        <v>8763</v>
      </c>
      <c r="AU885" t="s">
        <v>9179</v>
      </c>
      <c r="AV885" t="s">
        <v>69</v>
      </c>
      <c r="AW885" t="s">
        <v>9180</v>
      </c>
      <c r="AX885" t="s">
        <v>69</v>
      </c>
      <c r="AY885" t="s">
        <v>9181</v>
      </c>
      <c r="AZ885" t="s">
        <v>9182</v>
      </c>
      <c r="BA885" t="s">
        <v>255</v>
      </c>
      <c r="BB885">
        <v>2019</v>
      </c>
      <c r="BC885">
        <v>8</v>
      </c>
      <c r="BD885">
        <v>3</v>
      </c>
      <c r="BE885" t="s">
        <v>69</v>
      </c>
      <c r="BF885" t="s">
        <v>69</v>
      </c>
      <c r="BG885" t="s">
        <v>69</v>
      </c>
      <c r="BH885" t="s">
        <v>69</v>
      </c>
      <c r="BI885" t="s">
        <v>69</v>
      </c>
      <c r="BJ885" t="s">
        <v>69</v>
      </c>
      <c r="BK885" t="s">
        <v>16845</v>
      </c>
      <c r="BL885" t="s">
        <v>16846</v>
      </c>
      <c r="BM885" t="str">
        <f>HYPERLINK("http://dx.doi.org/10.1136/bmjoq-2019-000676","http://dx.doi.org/10.1136/bmjoq-2019-000676")</f>
        <v>http://dx.doi.org/10.1136/bmjoq-2019-000676</v>
      </c>
      <c r="BN885" t="s">
        <v>69</v>
      </c>
      <c r="BO885" t="s">
        <v>69</v>
      </c>
      <c r="BP885">
        <v>10</v>
      </c>
      <c r="BQ885" t="s">
        <v>9186</v>
      </c>
      <c r="BR885" t="s">
        <v>8573</v>
      </c>
      <c r="BS885" t="s">
        <v>9187</v>
      </c>
      <c r="BT885" t="s">
        <v>16847</v>
      </c>
      <c r="BU885" t="s">
        <v>16848</v>
      </c>
      <c r="BV885">
        <v>31544164</v>
      </c>
      <c r="BW885" t="s">
        <v>9352</v>
      </c>
      <c r="BX885" t="s">
        <v>69</v>
      </c>
      <c r="BY885" t="s">
        <v>69</v>
      </c>
      <c r="BZ885" t="s">
        <v>8526</v>
      </c>
      <c r="CA885" t="str">
        <f>HYPERLINK("https%3A%2F%2Fwww.webofscience.com%2Fwos%2Fwoscc%2Ffull-record%2FWOS:000672549200045","View Full Record in Web of Science")</f>
        <v>View Full Record in Web of Science</v>
      </c>
    </row>
    <row r="886" spans="1:79" ht="12.5" x14ac:dyDescent="0.25">
      <c r="B886" t="s">
        <v>8495</v>
      </c>
      <c r="D886" s="22" t="s">
        <v>32931</v>
      </c>
      <c r="E886" s="7"/>
      <c r="F886" s="7"/>
      <c r="G886" s="7"/>
      <c r="H886" t="s">
        <v>67</v>
      </c>
      <c r="I886" t="s">
        <v>29333</v>
      </c>
      <c r="J886" t="s">
        <v>69</v>
      </c>
      <c r="K886" t="s">
        <v>69</v>
      </c>
      <c r="L886" t="s">
        <v>69</v>
      </c>
      <c r="M886" t="s">
        <v>29334</v>
      </c>
      <c r="N886" t="s">
        <v>69</v>
      </c>
      <c r="O886" t="s">
        <v>69</v>
      </c>
      <c r="P886" t="s">
        <v>29335</v>
      </c>
      <c r="Q886" t="s">
        <v>29336</v>
      </c>
      <c r="R886" t="s">
        <v>69</v>
      </c>
      <c r="S886" t="s">
        <v>69</v>
      </c>
      <c r="T886" t="s">
        <v>8505</v>
      </c>
      <c r="U886" t="s">
        <v>8506</v>
      </c>
      <c r="V886" t="s">
        <v>69</v>
      </c>
      <c r="W886" t="s">
        <v>69</v>
      </c>
      <c r="X886" t="s">
        <v>69</v>
      </c>
      <c r="Y886" t="s">
        <v>69</v>
      </c>
      <c r="Z886" t="s">
        <v>69</v>
      </c>
      <c r="AA886" t="s">
        <v>29337</v>
      </c>
      <c r="AB886" t="s">
        <v>29338</v>
      </c>
      <c r="AC886" t="s">
        <v>29339</v>
      </c>
      <c r="AD886" t="s">
        <v>29340</v>
      </c>
      <c r="AE886" t="s">
        <v>69</v>
      </c>
      <c r="AF886" t="s">
        <v>29341</v>
      </c>
      <c r="AG886" t="s">
        <v>29342</v>
      </c>
      <c r="AH886" t="s">
        <v>69</v>
      </c>
      <c r="AI886" t="s">
        <v>69</v>
      </c>
      <c r="AJ886" t="s">
        <v>29343</v>
      </c>
      <c r="AK886" t="s">
        <v>29344</v>
      </c>
      <c r="AL886" t="s">
        <v>69</v>
      </c>
      <c r="AM886" t="s">
        <v>69</v>
      </c>
      <c r="AN886">
        <v>71</v>
      </c>
      <c r="AO886">
        <v>261</v>
      </c>
      <c r="AP886">
        <v>262</v>
      </c>
      <c r="AQ886">
        <v>0</v>
      </c>
      <c r="AR886">
        <v>65</v>
      </c>
      <c r="AS886" t="s">
        <v>8692</v>
      </c>
      <c r="AT886" t="s">
        <v>8693</v>
      </c>
      <c r="AU886" t="s">
        <v>8694</v>
      </c>
      <c r="AV886" t="s">
        <v>29345</v>
      </c>
      <c r="AW886" t="s">
        <v>29346</v>
      </c>
      <c r="AX886" t="s">
        <v>69</v>
      </c>
      <c r="AY886" t="s">
        <v>29347</v>
      </c>
      <c r="AZ886" t="s">
        <v>29348</v>
      </c>
      <c r="BA886" t="s">
        <v>69</v>
      </c>
      <c r="BB886">
        <v>2008</v>
      </c>
      <c r="BC886">
        <v>23</v>
      </c>
      <c r="BD886">
        <v>1</v>
      </c>
      <c r="BE886" t="s">
        <v>69</v>
      </c>
      <c r="BF886" t="s">
        <v>69</v>
      </c>
      <c r="BG886" t="s">
        <v>69</v>
      </c>
      <c r="BH886" t="s">
        <v>69</v>
      </c>
      <c r="BI886">
        <v>10</v>
      </c>
      <c r="BJ886">
        <v>26</v>
      </c>
      <c r="BK886" t="s">
        <v>69</v>
      </c>
      <c r="BL886" t="s">
        <v>29349</v>
      </c>
      <c r="BM886" t="str">
        <f>HYPERLINK("http://dx.doi.org/10.1016/j.ecresq.2007.09.001","http://dx.doi.org/10.1016/j.ecresq.2007.09.001")</f>
        <v>http://dx.doi.org/10.1016/j.ecresq.2007.09.001</v>
      </c>
      <c r="BN886" t="s">
        <v>69</v>
      </c>
      <c r="BO886" t="s">
        <v>69</v>
      </c>
      <c r="BP886">
        <v>17</v>
      </c>
      <c r="BQ886" t="s">
        <v>29350</v>
      </c>
      <c r="BR886" t="s">
        <v>8661</v>
      </c>
      <c r="BS886" t="s">
        <v>14726</v>
      </c>
      <c r="BT886" t="s">
        <v>29351</v>
      </c>
      <c r="BU886" t="s">
        <v>29352</v>
      </c>
      <c r="BV886">
        <v>18364994</v>
      </c>
      <c r="BW886" t="s">
        <v>9292</v>
      </c>
      <c r="BX886" t="s">
        <v>69</v>
      </c>
      <c r="BY886" t="s">
        <v>69</v>
      </c>
      <c r="BZ886" t="s">
        <v>8526</v>
      </c>
      <c r="CA886" t="str">
        <f>HYPERLINK("https%3A%2F%2Fwww.webofscience.com%2Fwos%2Fwoscc%2Ffull-record%2FWOS:000253182900003","View Full Record in Web of Science")</f>
        <v>View Full Record in Web of Science</v>
      </c>
    </row>
    <row r="887" spans="1:79" ht="12.5" x14ac:dyDescent="0.25">
      <c r="B887" t="s">
        <v>8495</v>
      </c>
      <c r="D887" s="22" t="s">
        <v>32931</v>
      </c>
      <c r="E887" s="7"/>
      <c r="F887" s="7"/>
      <c r="G887" s="7"/>
      <c r="H887" t="s">
        <v>67</v>
      </c>
      <c r="I887" t="s">
        <v>9335</v>
      </c>
      <c r="J887" t="s">
        <v>69</v>
      </c>
      <c r="K887" t="s">
        <v>69</v>
      </c>
      <c r="L887" t="s">
        <v>69</v>
      </c>
      <c r="M887" t="s">
        <v>9336</v>
      </c>
      <c r="N887" t="s">
        <v>69</v>
      </c>
      <c r="O887" t="s">
        <v>69</v>
      </c>
      <c r="P887" t="s">
        <v>9337</v>
      </c>
      <c r="Q887" t="s">
        <v>7200</v>
      </c>
      <c r="R887" t="s">
        <v>69</v>
      </c>
      <c r="S887" t="s">
        <v>69</v>
      </c>
      <c r="T887" t="s">
        <v>8505</v>
      </c>
      <c r="U887" t="s">
        <v>8506</v>
      </c>
      <c r="V887" t="s">
        <v>69</v>
      </c>
      <c r="W887" t="s">
        <v>69</v>
      </c>
      <c r="X887" t="s">
        <v>69</v>
      </c>
      <c r="Y887" t="s">
        <v>69</v>
      </c>
      <c r="Z887" t="s">
        <v>69</v>
      </c>
      <c r="AA887" t="s">
        <v>9338</v>
      </c>
      <c r="AB887" t="s">
        <v>9339</v>
      </c>
      <c r="AC887" t="s">
        <v>9340</v>
      </c>
      <c r="AD887" t="s">
        <v>9341</v>
      </c>
      <c r="AE887" t="s">
        <v>69</v>
      </c>
      <c r="AF887" t="s">
        <v>9342</v>
      </c>
      <c r="AG887" t="s">
        <v>9343</v>
      </c>
      <c r="AH887" t="s">
        <v>69</v>
      </c>
      <c r="AI887" t="s">
        <v>9344</v>
      </c>
      <c r="AJ887" t="s">
        <v>9345</v>
      </c>
      <c r="AK887" t="s">
        <v>9346</v>
      </c>
      <c r="AL887" t="s">
        <v>9347</v>
      </c>
      <c r="AM887" t="s">
        <v>69</v>
      </c>
      <c r="AN887">
        <v>42</v>
      </c>
      <c r="AO887">
        <v>0</v>
      </c>
      <c r="AP887">
        <v>0</v>
      </c>
      <c r="AQ887">
        <v>2</v>
      </c>
      <c r="AR887">
        <v>2</v>
      </c>
      <c r="AS887" t="s">
        <v>9203</v>
      </c>
      <c r="AT887" t="s">
        <v>8763</v>
      </c>
      <c r="AU887" t="s">
        <v>9204</v>
      </c>
      <c r="AV887" t="s">
        <v>7202</v>
      </c>
      <c r="AW887" t="s">
        <v>7203</v>
      </c>
      <c r="AX887" t="s">
        <v>69</v>
      </c>
      <c r="AY887" t="s">
        <v>9348</v>
      </c>
      <c r="AZ887" t="s">
        <v>9349</v>
      </c>
      <c r="BA887" t="s">
        <v>9330</v>
      </c>
      <c r="BB887">
        <v>2022</v>
      </c>
      <c r="BC887">
        <v>80</v>
      </c>
      <c r="BD887">
        <v>1</v>
      </c>
      <c r="BE887" t="s">
        <v>69</v>
      </c>
      <c r="BF887" t="s">
        <v>69</v>
      </c>
      <c r="BG887" t="s">
        <v>69</v>
      </c>
      <c r="BH887" t="s">
        <v>69</v>
      </c>
      <c r="BI887" t="s">
        <v>69</v>
      </c>
      <c r="BJ887" t="s">
        <v>69</v>
      </c>
      <c r="BK887">
        <v>112</v>
      </c>
      <c r="BL887" t="s">
        <v>9350</v>
      </c>
      <c r="BM887" t="str">
        <f>HYPERLINK("http://dx.doi.org/10.1186/s13690-022-00872-9","http://dx.doi.org/10.1186/s13690-022-00872-9")</f>
        <v>http://dx.doi.org/10.1186/s13690-022-00872-9</v>
      </c>
      <c r="BN887" t="s">
        <v>69</v>
      </c>
      <c r="BO887" t="s">
        <v>69</v>
      </c>
      <c r="BP887">
        <v>10</v>
      </c>
      <c r="BQ887" t="s">
        <v>8810</v>
      </c>
      <c r="BR887" t="s">
        <v>8523</v>
      </c>
      <c r="BS887" t="s">
        <v>8810</v>
      </c>
      <c r="BT887" t="s">
        <v>9351</v>
      </c>
      <c r="BU887" t="s">
        <v>9353</v>
      </c>
      <c r="BV887">
        <v>35392975</v>
      </c>
      <c r="BW887" t="s">
        <v>9352</v>
      </c>
      <c r="BX887" t="s">
        <v>69</v>
      </c>
      <c r="BY887" t="s">
        <v>69</v>
      </c>
      <c r="BZ887" t="s">
        <v>8526</v>
      </c>
      <c r="CA887" t="str">
        <f>HYPERLINK("https%3A%2F%2Fwww.webofscience.com%2Fwos%2Fwoscc%2Ffull-record%2FWOS:000781358200001","View Full Record in Web of Science")</f>
        <v>View Full Record in Web of Science</v>
      </c>
    </row>
    <row r="888" spans="1:79" ht="12.5" x14ac:dyDescent="0.25">
      <c r="B888" t="s">
        <v>8495</v>
      </c>
      <c r="D888" s="7" t="s">
        <v>32933</v>
      </c>
      <c r="E888" s="7"/>
      <c r="F888" s="7"/>
      <c r="G888" s="7"/>
      <c r="H888" t="s">
        <v>67</v>
      </c>
      <c r="I888" t="s">
        <v>5755</v>
      </c>
      <c r="J888" t="s">
        <v>69</v>
      </c>
      <c r="K888" t="s">
        <v>69</v>
      </c>
      <c r="L888" t="s">
        <v>69</v>
      </c>
      <c r="M888" t="s">
        <v>5755</v>
      </c>
      <c r="N888" t="s">
        <v>69</v>
      </c>
      <c r="O888" t="s">
        <v>69</v>
      </c>
      <c r="P888" t="s">
        <v>5756</v>
      </c>
      <c r="Q888" t="s">
        <v>881</v>
      </c>
      <c r="R888" t="s">
        <v>69</v>
      </c>
      <c r="S888" t="s">
        <v>69</v>
      </c>
      <c r="T888" t="s">
        <v>8505</v>
      </c>
      <c r="U888" t="s">
        <v>8506</v>
      </c>
      <c r="V888" t="s">
        <v>69</v>
      </c>
      <c r="W888" t="s">
        <v>69</v>
      </c>
      <c r="X888" t="s">
        <v>69</v>
      </c>
      <c r="Y888" t="s">
        <v>69</v>
      </c>
      <c r="Z888" t="s">
        <v>69</v>
      </c>
      <c r="AA888" t="s">
        <v>31864</v>
      </c>
      <c r="AB888" t="s">
        <v>69</v>
      </c>
      <c r="AC888" t="s">
        <v>5757</v>
      </c>
      <c r="AD888" t="s">
        <v>31865</v>
      </c>
      <c r="AE888" t="s">
        <v>69</v>
      </c>
      <c r="AF888" t="s">
        <v>31866</v>
      </c>
      <c r="AG888" t="s">
        <v>69</v>
      </c>
      <c r="AH888" t="s">
        <v>5758</v>
      </c>
      <c r="AI888" t="s">
        <v>5759</v>
      </c>
      <c r="AJ888" t="s">
        <v>69</v>
      </c>
      <c r="AK888" t="s">
        <v>69</v>
      </c>
      <c r="AL888" t="s">
        <v>69</v>
      </c>
      <c r="AM888" t="s">
        <v>69</v>
      </c>
      <c r="AN888">
        <v>12</v>
      </c>
      <c r="AO888">
        <v>13</v>
      </c>
      <c r="AP888">
        <v>15</v>
      </c>
      <c r="AQ888">
        <v>1</v>
      </c>
      <c r="AR888">
        <v>27</v>
      </c>
      <c r="AS888" t="s">
        <v>17140</v>
      </c>
      <c r="AT888" t="s">
        <v>8517</v>
      </c>
      <c r="AU888" t="s">
        <v>17141</v>
      </c>
      <c r="AV888" t="s">
        <v>883</v>
      </c>
      <c r="AW888" t="s">
        <v>69</v>
      </c>
      <c r="AX888" t="s">
        <v>69</v>
      </c>
      <c r="AY888" t="s">
        <v>12415</v>
      </c>
      <c r="AZ888" t="s">
        <v>12416</v>
      </c>
      <c r="BA888" t="s">
        <v>246</v>
      </c>
      <c r="BB888">
        <v>2000</v>
      </c>
      <c r="BC888">
        <v>29</v>
      </c>
      <c r="BD888" t="s">
        <v>336</v>
      </c>
      <c r="BE888" t="s">
        <v>69</v>
      </c>
      <c r="BF888" t="s">
        <v>69</v>
      </c>
      <c r="BG888" t="s">
        <v>69</v>
      </c>
      <c r="BH888" t="s">
        <v>69</v>
      </c>
      <c r="BI888">
        <v>19</v>
      </c>
      <c r="BJ888">
        <v>31</v>
      </c>
      <c r="BK888" t="s">
        <v>69</v>
      </c>
      <c r="BL888" t="s">
        <v>5760</v>
      </c>
      <c r="BM888" t="str">
        <f>HYPERLINK("http://dx.doi.org/10.1016/S0921-3449(99)00051-8","http://dx.doi.org/10.1016/S0921-3449(99)00051-8")</f>
        <v>http://dx.doi.org/10.1016/S0921-3449(99)00051-8</v>
      </c>
      <c r="BN888" t="s">
        <v>69</v>
      </c>
      <c r="BO888" t="s">
        <v>69</v>
      </c>
      <c r="BP888">
        <v>13</v>
      </c>
      <c r="BQ888" t="s">
        <v>8743</v>
      </c>
      <c r="BR888" t="s">
        <v>8548</v>
      </c>
      <c r="BS888" t="s">
        <v>8744</v>
      </c>
      <c r="BT888" t="s">
        <v>31867</v>
      </c>
      <c r="BU888" t="s">
        <v>5761</v>
      </c>
      <c r="BV888" t="s">
        <v>69</v>
      </c>
      <c r="BW888" t="s">
        <v>69</v>
      </c>
      <c r="BX888" t="s">
        <v>69</v>
      </c>
      <c r="BY888" t="s">
        <v>69</v>
      </c>
      <c r="BZ888" t="s">
        <v>8526</v>
      </c>
      <c r="CA888" t="str">
        <f>HYPERLINK("https%3A%2F%2Fwww.webofscience.com%2Fwos%2Fwoscc%2Ffull-record%2FWOS:000087525800002","View Full Record in Web of Science")</f>
        <v>View Full Record in Web of Science</v>
      </c>
    </row>
    <row r="889" spans="1:79" ht="12.5" x14ac:dyDescent="0.25">
      <c r="B889" t="s">
        <v>8495</v>
      </c>
      <c r="D889" s="7" t="s">
        <v>32933</v>
      </c>
      <c r="E889" s="7"/>
      <c r="F889" s="7"/>
      <c r="G889" s="7"/>
      <c r="H889" t="s">
        <v>67</v>
      </c>
      <c r="I889" t="s">
        <v>6259</v>
      </c>
      <c r="J889" t="s">
        <v>69</v>
      </c>
      <c r="K889" t="s">
        <v>69</v>
      </c>
      <c r="L889" t="s">
        <v>69</v>
      </c>
      <c r="M889" t="s">
        <v>6260</v>
      </c>
      <c r="N889" t="s">
        <v>69</v>
      </c>
      <c r="O889" t="s">
        <v>69</v>
      </c>
      <c r="P889" t="s">
        <v>6261</v>
      </c>
      <c r="Q889" t="s">
        <v>6262</v>
      </c>
      <c r="R889" t="s">
        <v>69</v>
      </c>
      <c r="S889" t="s">
        <v>69</v>
      </c>
      <c r="T889" t="s">
        <v>8505</v>
      </c>
      <c r="U889" t="s">
        <v>10174</v>
      </c>
      <c r="V889" t="s">
        <v>69</v>
      </c>
      <c r="W889" t="s">
        <v>69</v>
      </c>
      <c r="X889" t="s">
        <v>69</v>
      </c>
      <c r="Y889" t="s">
        <v>69</v>
      </c>
      <c r="Z889" t="s">
        <v>69</v>
      </c>
      <c r="AA889" t="s">
        <v>22193</v>
      </c>
      <c r="AB889" t="s">
        <v>69</v>
      </c>
      <c r="AC889" t="s">
        <v>6263</v>
      </c>
      <c r="AD889" t="s">
        <v>22194</v>
      </c>
      <c r="AE889" t="s">
        <v>69</v>
      </c>
      <c r="AF889" t="s">
        <v>22195</v>
      </c>
      <c r="AG889" t="s">
        <v>22196</v>
      </c>
      <c r="AH889" t="s">
        <v>69</v>
      </c>
      <c r="AI889" t="s">
        <v>69</v>
      </c>
      <c r="AJ889" t="s">
        <v>69</v>
      </c>
      <c r="AK889" t="s">
        <v>69</v>
      </c>
      <c r="AL889" t="s">
        <v>69</v>
      </c>
      <c r="AM889" t="s">
        <v>69</v>
      </c>
      <c r="AN889">
        <v>10</v>
      </c>
      <c r="AO889">
        <v>0</v>
      </c>
      <c r="AP889">
        <v>0</v>
      </c>
      <c r="AQ889">
        <v>1</v>
      </c>
      <c r="AR889">
        <v>22</v>
      </c>
      <c r="AS889" t="s">
        <v>8586</v>
      </c>
      <c r="AT889" t="s">
        <v>8587</v>
      </c>
      <c r="AU889" t="s">
        <v>8588</v>
      </c>
      <c r="AV889" t="s">
        <v>6264</v>
      </c>
      <c r="AW889" t="s">
        <v>6265</v>
      </c>
      <c r="AX889" t="s">
        <v>69</v>
      </c>
      <c r="AY889" t="s">
        <v>22197</v>
      </c>
      <c r="AZ889" t="s">
        <v>22198</v>
      </c>
      <c r="BA889" t="s">
        <v>69</v>
      </c>
      <c r="BB889">
        <v>2016</v>
      </c>
      <c r="BC889">
        <v>10</v>
      </c>
      <c r="BD889">
        <v>2</v>
      </c>
      <c r="BE889" t="s">
        <v>69</v>
      </c>
      <c r="BF889" t="s">
        <v>69</v>
      </c>
      <c r="BG889" t="s">
        <v>69</v>
      </c>
      <c r="BH889" t="s">
        <v>69</v>
      </c>
      <c r="BI889">
        <v>206</v>
      </c>
      <c r="BJ889">
        <v>216</v>
      </c>
      <c r="BK889" t="s">
        <v>69</v>
      </c>
      <c r="BL889" t="s">
        <v>6266</v>
      </c>
      <c r="BM889" t="str">
        <f>HYPERLINK("http://dx.doi.org/10.1108/CMS-03-2016-0046","http://dx.doi.org/10.1108/CMS-03-2016-0046")</f>
        <v>http://dx.doi.org/10.1108/CMS-03-2016-0046</v>
      </c>
      <c r="BN889" t="s">
        <v>69</v>
      </c>
      <c r="BO889" t="s">
        <v>69</v>
      </c>
      <c r="BP889">
        <v>11</v>
      </c>
      <c r="BQ889" t="s">
        <v>9410</v>
      </c>
      <c r="BR889" t="s">
        <v>8661</v>
      </c>
      <c r="BS889" t="s">
        <v>8594</v>
      </c>
      <c r="BT889" t="s">
        <v>22199</v>
      </c>
      <c r="BU889" t="s">
        <v>6267</v>
      </c>
      <c r="BV889" t="s">
        <v>69</v>
      </c>
      <c r="BW889" t="s">
        <v>69</v>
      </c>
      <c r="BX889" t="s">
        <v>69</v>
      </c>
      <c r="BY889" t="s">
        <v>69</v>
      </c>
      <c r="BZ889" t="s">
        <v>8526</v>
      </c>
      <c r="CA889" t="str">
        <f>HYPERLINK("https%3A%2F%2Fwww.webofscience.com%2Fwos%2Fwoscc%2Ffull-record%2FWOS:000379770900001","View Full Record in Web of Science")</f>
        <v>View Full Record in Web of Science</v>
      </c>
    </row>
    <row r="890" spans="1:79" x14ac:dyDescent="0.3">
      <c r="A890" t="s">
        <v>8408</v>
      </c>
      <c r="B890" t="s">
        <v>8495</v>
      </c>
      <c r="D890" s="10" t="s">
        <v>33201</v>
      </c>
      <c r="F890" s="10" t="s">
        <v>8490</v>
      </c>
      <c r="H890" t="s">
        <v>67</v>
      </c>
      <c r="I890" t="s">
        <v>7583</v>
      </c>
      <c r="J890" t="s">
        <v>69</v>
      </c>
      <c r="K890" t="s">
        <v>69</v>
      </c>
      <c r="L890" t="s">
        <v>69</v>
      </c>
      <c r="M890" s="2" t="s">
        <v>7584</v>
      </c>
      <c r="N890" t="s">
        <v>69</v>
      </c>
      <c r="O890" t="s">
        <v>69</v>
      </c>
      <c r="P890" s="2" t="s">
        <v>7585</v>
      </c>
      <c r="Q890" t="s">
        <v>7586</v>
      </c>
      <c r="R890" t="s">
        <v>69</v>
      </c>
      <c r="S890" t="s">
        <v>69</v>
      </c>
      <c r="T890" t="s">
        <v>8505</v>
      </c>
      <c r="U890" t="s">
        <v>8506</v>
      </c>
      <c r="V890" t="s">
        <v>69</v>
      </c>
      <c r="W890" t="s">
        <v>69</v>
      </c>
      <c r="X890" t="s">
        <v>69</v>
      </c>
      <c r="Y890" t="s">
        <v>69</v>
      </c>
      <c r="Z890" t="s">
        <v>69</v>
      </c>
      <c r="AA890" t="s">
        <v>26800</v>
      </c>
      <c r="AB890" t="s">
        <v>26801</v>
      </c>
      <c r="AC890" t="s">
        <v>7587</v>
      </c>
      <c r="AD890" t="s">
        <v>26802</v>
      </c>
      <c r="AE890" t="s">
        <v>69</v>
      </c>
      <c r="AF890" t="s">
        <v>26803</v>
      </c>
      <c r="AG890" t="s">
        <v>26804</v>
      </c>
      <c r="AH890" t="s">
        <v>7588</v>
      </c>
      <c r="AI890" t="s">
        <v>7589</v>
      </c>
      <c r="AJ890" t="s">
        <v>69</v>
      </c>
      <c r="AK890" t="s">
        <v>69</v>
      </c>
      <c r="AL890" t="s">
        <v>69</v>
      </c>
      <c r="AM890" t="s">
        <v>69</v>
      </c>
      <c r="AN890">
        <v>31</v>
      </c>
      <c r="AO890">
        <v>19</v>
      </c>
      <c r="AP890">
        <v>19</v>
      </c>
      <c r="AQ890">
        <v>3</v>
      </c>
      <c r="AR890">
        <v>29</v>
      </c>
      <c r="AS890" t="s">
        <v>9554</v>
      </c>
      <c r="AT890" t="s">
        <v>9555</v>
      </c>
      <c r="AU890" t="s">
        <v>9556</v>
      </c>
      <c r="AV890" t="s">
        <v>7590</v>
      </c>
      <c r="AW890" t="s">
        <v>7591</v>
      </c>
      <c r="AX890" t="s">
        <v>69</v>
      </c>
      <c r="AY890" t="s">
        <v>26805</v>
      </c>
      <c r="AZ890" t="s">
        <v>26806</v>
      </c>
      <c r="BA890" t="s">
        <v>263</v>
      </c>
      <c r="BB890">
        <v>2011</v>
      </c>
      <c r="BC890">
        <v>54</v>
      </c>
      <c r="BD890">
        <v>1</v>
      </c>
      <c r="BE890" t="s">
        <v>69</v>
      </c>
      <c r="BF890" t="s">
        <v>69</v>
      </c>
      <c r="BG890" t="s">
        <v>69</v>
      </c>
      <c r="BH890" t="s">
        <v>69</v>
      </c>
      <c r="BI890">
        <v>88</v>
      </c>
      <c r="BJ890" t="s">
        <v>219</v>
      </c>
      <c r="BK890" t="s">
        <v>69</v>
      </c>
      <c r="BL890" t="s">
        <v>7592</v>
      </c>
      <c r="BM890" t="str">
        <f>HYPERLINK("http://dx.doi.org/10.1525/cmr.2011.54.1.88","http://dx.doi.org/10.1525/cmr.2011.54.1.88")</f>
        <v>http://dx.doi.org/10.1525/cmr.2011.54.1.88</v>
      </c>
      <c r="BN890" t="s">
        <v>69</v>
      </c>
      <c r="BO890" t="s">
        <v>69</v>
      </c>
      <c r="BP890">
        <v>20</v>
      </c>
      <c r="BQ890" t="s">
        <v>8791</v>
      </c>
      <c r="BR890" t="s">
        <v>8661</v>
      </c>
      <c r="BS890" t="s">
        <v>8594</v>
      </c>
      <c r="BT890" t="s">
        <v>26807</v>
      </c>
      <c r="BU890" t="s">
        <v>7593</v>
      </c>
      <c r="BV890" t="s">
        <v>69</v>
      </c>
      <c r="BW890" t="s">
        <v>26808</v>
      </c>
      <c r="BX890" t="s">
        <v>69</v>
      </c>
      <c r="BY890" t="s">
        <v>69</v>
      </c>
      <c r="BZ890" t="s">
        <v>8526</v>
      </c>
      <c r="CA890" t="str">
        <f>HYPERLINK("https%3A%2F%2Fwww.webofscience.com%2Fwos%2Fwoscc%2Ffull-record%2FWOS:000297389500005","View Full Record in Web of Science")</f>
        <v>View Full Record in Web of Science</v>
      </c>
    </row>
    <row r="891" spans="1:79" x14ac:dyDescent="0.3">
      <c r="B891" t="s">
        <v>8495</v>
      </c>
      <c r="D891" s="9" t="s">
        <v>32948</v>
      </c>
      <c r="E891" s="9" t="s">
        <v>33137</v>
      </c>
      <c r="F891" s="9" t="s">
        <v>8491</v>
      </c>
      <c r="G891" s="9" t="s">
        <v>8490</v>
      </c>
      <c r="H891" t="s">
        <v>67</v>
      </c>
      <c r="I891" t="s">
        <v>30809</v>
      </c>
      <c r="J891" t="s">
        <v>69</v>
      </c>
      <c r="K891" t="s">
        <v>69</v>
      </c>
      <c r="L891" t="s">
        <v>69</v>
      </c>
      <c r="M891" t="s">
        <v>30810</v>
      </c>
      <c r="N891" t="s">
        <v>69</v>
      </c>
      <c r="O891" t="s">
        <v>69</v>
      </c>
      <c r="P891" t="s">
        <v>30811</v>
      </c>
      <c r="Q891" t="s">
        <v>30812</v>
      </c>
      <c r="R891" t="s">
        <v>69</v>
      </c>
      <c r="S891" t="s">
        <v>69</v>
      </c>
      <c r="T891" t="s">
        <v>8505</v>
      </c>
      <c r="U891" t="s">
        <v>8506</v>
      </c>
      <c r="V891" t="s">
        <v>69</v>
      </c>
      <c r="W891" t="s">
        <v>69</v>
      </c>
      <c r="X891" t="s">
        <v>69</v>
      </c>
      <c r="Y891" t="s">
        <v>69</v>
      </c>
      <c r="Z891" t="s">
        <v>69</v>
      </c>
      <c r="AA891" t="s">
        <v>69</v>
      </c>
      <c r="AB891" t="s">
        <v>69</v>
      </c>
      <c r="AC891" t="s">
        <v>30813</v>
      </c>
      <c r="AD891" t="s">
        <v>30814</v>
      </c>
      <c r="AE891" t="s">
        <v>69</v>
      </c>
      <c r="AF891" t="s">
        <v>30815</v>
      </c>
      <c r="AG891" t="s">
        <v>30816</v>
      </c>
      <c r="AH891" t="s">
        <v>69</v>
      </c>
      <c r="AI891" t="s">
        <v>69</v>
      </c>
      <c r="AJ891" t="s">
        <v>30817</v>
      </c>
      <c r="AK891" t="s">
        <v>30817</v>
      </c>
      <c r="AL891" t="s">
        <v>30818</v>
      </c>
      <c r="AM891" t="s">
        <v>69</v>
      </c>
      <c r="AN891">
        <v>27</v>
      </c>
      <c r="AO891">
        <v>69</v>
      </c>
      <c r="AP891">
        <v>69</v>
      </c>
      <c r="AQ891">
        <v>0</v>
      </c>
      <c r="AR891">
        <v>2</v>
      </c>
      <c r="AS891" t="s">
        <v>8865</v>
      </c>
      <c r="AT891" t="s">
        <v>8612</v>
      </c>
      <c r="AU891" t="s">
        <v>8866</v>
      </c>
      <c r="AV891" t="s">
        <v>30819</v>
      </c>
      <c r="AW891" t="s">
        <v>30820</v>
      </c>
      <c r="AX891" t="s">
        <v>69</v>
      </c>
      <c r="AY891" t="s">
        <v>30821</v>
      </c>
      <c r="AZ891" t="s">
        <v>30822</v>
      </c>
      <c r="BA891" t="s">
        <v>69</v>
      </c>
      <c r="BB891">
        <v>2005</v>
      </c>
      <c r="BC891">
        <v>15</v>
      </c>
      <c r="BD891" t="s">
        <v>145</v>
      </c>
      <c r="BE891" t="s">
        <v>69</v>
      </c>
      <c r="BF891" t="s">
        <v>69</v>
      </c>
      <c r="BG891" t="s">
        <v>69</v>
      </c>
      <c r="BH891" t="s">
        <v>69</v>
      </c>
      <c r="BI891">
        <v>362</v>
      </c>
      <c r="BJ891">
        <v>374</v>
      </c>
      <c r="BK891" t="s">
        <v>69</v>
      </c>
      <c r="BL891" t="s">
        <v>30823</v>
      </c>
      <c r="BM891" t="str">
        <f>HYPERLINK("http://dx.doi.org/10.1080/09614520500075813","http://dx.doi.org/10.1080/09614520500075813")</f>
        <v>http://dx.doi.org/10.1080/09614520500075813</v>
      </c>
      <c r="BN891" t="s">
        <v>69</v>
      </c>
      <c r="BO891" t="s">
        <v>69</v>
      </c>
      <c r="BP891">
        <v>13</v>
      </c>
      <c r="BQ891" t="s">
        <v>17018</v>
      </c>
      <c r="BR891" t="s">
        <v>8573</v>
      </c>
      <c r="BS891" t="s">
        <v>17018</v>
      </c>
      <c r="BT891" t="s">
        <v>30824</v>
      </c>
      <c r="BU891" t="s">
        <v>30825</v>
      </c>
      <c r="BV891" t="s">
        <v>69</v>
      </c>
      <c r="BW891" t="s">
        <v>69</v>
      </c>
      <c r="BX891" t="s">
        <v>69</v>
      </c>
      <c r="BY891" t="s">
        <v>69</v>
      </c>
      <c r="BZ891" t="s">
        <v>8526</v>
      </c>
      <c r="CA891" t="str">
        <f>HYPERLINK("https%3A%2F%2Fwww.webofscience.com%2Fwos%2Fwoscc%2Ffull-record%2FWOS:000211031500010","View Full Record in Web of Science")</f>
        <v>View Full Record in Web of Science</v>
      </c>
    </row>
    <row r="892" spans="1:79" ht="12.5" x14ac:dyDescent="0.25">
      <c r="B892" t="s">
        <v>8495</v>
      </c>
      <c r="D892" s="7" t="s">
        <v>32933</v>
      </c>
      <c r="E892" s="7"/>
      <c r="F892" s="7"/>
      <c r="G892" s="7"/>
      <c r="H892" t="s">
        <v>67</v>
      </c>
      <c r="I892" t="s">
        <v>4856</v>
      </c>
      <c r="J892" t="s">
        <v>69</v>
      </c>
      <c r="K892" t="s">
        <v>69</v>
      </c>
      <c r="L892" t="s">
        <v>69</v>
      </c>
      <c r="M892" t="s">
        <v>4857</v>
      </c>
      <c r="N892" t="s">
        <v>69</v>
      </c>
      <c r="O892" t="s">
        <v>69</v>
      </c>
      <c r="P892" t="s">
        <v>4858</v>
      </c>
      <c r="Q892" t="s">
        <v>436</v>
      </c>
      <c r="R892" t="s">
        <v>69</v>
      </c>
      <c r="S892" t="s">
        <v>69</v>
      </c>
      <c r="T892" t="s">
        <v>8505</v>
      </c>
      <c r="U892" t="s">
        <v>8442</v>
      </c>
      <c r="V892" t="s">
        <v>69</v>
      </c>
      <c r="W892" t="s">
        <v>69</v>
      </c>
      <c r="X892" t="s">
        <v>69</v>
      </c>
      <c r="Y892" t="s">
        <v>69</v>
      </c>
      <c r="Z892" t="s">
        <v>69</v>
      </c>
      <c r="AA892" t="s">
        <v>16451</v>
      </c>
      <c r="AB892" t="s">
        <v>16452</v>
      </c>
      <c r="AC892" t="s">
        <v>4859</v>
      </c>
      <c r="AD892" t="s">
        <v>16453</v>
      </c>
      <c r="AE892" t="s">
        <v>69</v>
      </c>
      <c r="AF892" t="s">
        <v>16454</v>
      </c>
      <c r="AG892" t="s">
        <v>16455</v>
      </c>
      <c r="AH892" t="s">
        <v>4860</v>
      </c>
      <c r="AI892" t="s">
        <v>16456</v>
      </c>
      <c r="AJ892" t="s">
        <v>16457</v>
      </c>
      <c r="AK892" t="s">
        <v>16458</v>
      </c>
      <c r="AL892" t="s">
        <v>16459</v>
      </c>
      <c r="AM892" t="s">
        <v>69</v>
      </c>
      <c r="AN892">
        <v>58</v>
      </c>
      <c r="AO892">
        <v>13</v>
      </c>
      <c r="AP892">
        <v>14</v>
      </c>
      <c r="AQ892">
        <v>4</v>
      </c>
      <c r="AR892">
        <v>31</v>
      </c>
      <c r="AS892" t="s">
        <v>8636</v>
      </c>
      <c r="AT892" t="s">
        <v>8637</v>
      </c>
      <c r="AU892" t="s">
        <v>8638</v>
      </c>
      <c r="AV892" t="s">
        <v>440</v>
      </c>
      <c r="AW892" t="s">
        <v>441</v>
      </c>
      <c r="AX892" t="s">
        <v>69</v>
      </c>
      <c r="AY892" t="s">
        <v>8639</v>
      </c>
      <c r="AZ892" t="s">
        <v>8640</v>
      </c>
      <c r="BA892" t="s">
        <v>4861</v>
      </c>
      <c r="BB892">
        <v>2019</v>
      </c>
      <c r="BC892">
        <v>238</v>
      </c>
      <c r="BD892" t="s">
        <v>69</v>
      </c>
      <c r="BE892" t="s">
        <v>69</v>
      </c>
      <c r="BF892" t="s">
        <v>69</v>
      </c>
      <c r="BG892" t="s">
        <v>69</v>
      </c>
      <c r="BH892" t="s">
        <v>69</v>
      </c>
      <c r="BI892" t="s">
        <v>69</v>
      </c>
      <c r="BJ892" t="s">
        <v>69</v>
      </c>
      <c r="BK892">
        <v>117954</v>
      </c>
      <c r="BL892" t="s">
        <v>4862</v>
      </c>
      <c r="BM892" t="str">
        <f>HYPERLINK("http://dx.doi.org/10.1016/j.jclepro.2019.117954","http://dx.doi.org/10.1016/j.jclepro.2019.117954")</f>
        <v>http://dx.doi.org/10.1016/j.jclepro.2019.117954</v>
      </c>
      <c r="BN892" t="s">
        <v>69</v>
      </c>
      <c r="BO892" t="s">
        <v>69</v>
      </c>
      <c r="BP892">
        <v>8</v>
      </c>
      <c r="BQ892" t="s">
        <v>8643</v>
      </c>
      <c r="BR892" t="s">
        <v>8523</v>
      </c>
      <c r="BS892" t="s">
        <v>8644</v>
      </c>
      <c r="BT892" t="s">
        <v>16460</v>
      </c>
      <c r="BU892" t="s">
        <v>4863</v>
      </c>
      <c r="BV892" t="s">
        <v>69</v>
      </c>
      <c r="BW892" t="s">
        <v>69</v>
      </c>
      <c r="BX892" t="s">
        <v>69</v>
      </c>
      <c r="BY892" t="s">
        <v>69</v>
      </c>
      <c r="BZ892" t="s">
        <v>8526</v>
      </c>
      <c r="CA892" t="str">
        <f>HYPERLINK("https%3A%2F%2Fwww.webofscience.com%2Fwos%2Fwoscc%2Ffull-record%2FWOS:000487231200068","View Full Record in Web of Science")</f>
        <v>View Full Record in Web of Science</v>
      </c>
    </row>
    <row r="893" spans="1:79" ht="12.5" x14ac:dyDescent="0.25">
      <c r="B893" t="s">
        <v>8495</v>
      </c>
      <c r="D893" s="22" t="s">
        <v>32931</v>
      </c>
      <c r="E893" s="7"/>
      <c r="F893" s="7"/>
      <c r="G893" s="7"/>
      <c r="H893" t="s">
        <v>67</v>
      </c>
      <c r="I893" t="s">
        <v>15673</v>
      </c>
      <c r="J893" t="s">
        <v>69</v>
      </c>
      <c r="K893" t="s">
        <v>69</v>
      </c>
      <c r="L893" t="s">
        <v>69</v>
      </c>
      <c r="M893" t="s">
        <v>15674</v>
      </c>
      <c r="N893" t="s">
        <v>69</v>
      </c>
      <c r="O893" t="s">
        <v>69</v>
      </c>
      <c r="P893" t="s">
        <v>15675</v>
      </c>
      <c r="Q893" t="s">
        <v>15676</v>
      </c>
      <c r="R893" t="s">
        <v>69</v>
      </c>
      <c r="S893" t="s">
        <v>69</v>
      </c>
      <c r="T893" t="s">
        <v>8505</v>
      </c>
      <c r="U893" t="s">
        <v>8506</v>
      </c>
      <c r="V893" t="s">
        <v>69</v>
      </c>
      <c r="W893" t="s">
        <v>69</v>
      </c>
      <c r="X893" t="s">
        <v>69</v>
      </c>
      <c r="Y893" t="s">
        <v>69</v>
      </c>
      <c r="Z893" t="s">
        <v>69</v>
      </c>
      <c r="AA893" t="s">
        <v>15677</v>
      </c>
      <c r="AB893" t="s">
        <v>15678</v>
      </c>
      <c r="AC893" t="s">
        <v>15679</v>
      </c>
      <c r="AD893" t="s">
        <v>15680</v>
      </c>
      <c r="AE893" t="s">
        <v>69</v>
      </c>
      <c r="AF893" t="s">
        <v>15681</v>
      </c>
      <c r="AG893" t="s">
        <v>15682</v>
      </c>
      <c r="AH893" t="s">
        <v>69</v>
      </c>
      <c r="AI893" t="s">
        <v>15683</v>
      </c>
      <c r="AJ893" t="s">
        <v>15684</v>
      </c>
      <c r="AK893" t="s">
        <v>15684</v>
      </c>
      <c r="AL893" t="s">
        <v>15685</v>
      </c>
      <c r="AM893" t="s">
        <v>69</v>
      </c>
      <c r="AN893">
        <v>43</v>
      </c>
      <c r="AO893">
        <v>3</v>
      </c>
      <c r="AP893">
        <v>3</v>
      </c>
      <c r="AQ893">
        <v>1</v>
      </c>
      <c r="AR893">
        <v>4</v>
      </c>
      <c r="AS893" t="s">
        <v>8924</v>
      </c>
      <c r="AT893" t="s">
        <v>8925</v>
      </c>
      <c r="AU893" t="s">
        <v>8926</v>
      </c>
      <c r="AV893" t="s">
        <v>69</v>
      </c>
      <c r="AW893" t="s">
        <v>15686</v>
      </c>
      <c r="AX893" t="s">
        <v>69</v>
      </c>
      <c r="AY893" t="s">
        <v>15687</v>
      </c>
      <c r="AZ893" t="s">
        <v>15688</v>
      </c>
      <c r="BA893" t="s">
        <v>94</v>
      </c>
      <c r="BB893">
        <v>2020</v>
      </c>
      <c r="BC893">
        <v>4</v>
      </c>
      <c r="BD893">
        <v>1</v>
      </c>
      <c r="BE893" t="s">
        <v>69</v>
      </c>
      <c r="BF893" t="s">
        <v>69</v>
      </c>
      <c r="BG893" t="s">
        <v>69</v>
      </c>
      <c r="BH893" t="s">
        <v>69</v>
      </c>
      <c r="BI893" t="s">
        <v>69</v>
      </c>
      <c r="BJ893" t="s">
        <v>69</v>
      </c>
      <c r="BK893">
        <v>13</v>
      </c>
      <c r="BL893" t="s">
        <v>15689</v>
      </c>
      <c r="BM893" t="str">
        <f>HYPERLINK("http://dx.doi.org/10.3390/urbansci4010013","http://dx.doi.org/10.3390/urbansci4010013")</f>
        <v>http://dx.doi.org/10.3390/urbansci4010013</v>
      </c>
      <c r="BN893" t="s">
        <v>69</v>
      </c>
      <c r="BO893" t="s">
        <v>69</v>
      </c>
      <c r="BP893">
        <v>19</v>
      </c>
      <c r="BQ893" t="s">
        <v>15690</v>
      </c>
      <c r="BR893" t="s">
        <v>8573</v>
      </c>
      <c r="BS893" t="s">
        <v>9607</v>
      </c>
      <c r="BT893" t="s">
        <v>15691</v>
      </c>
      <c r="BU893" t="s">
        <v>15692</v>
      </c>
      <c r="BV893" t="s">
        <v>69</v>
      </c>
      <c r="BW893" t="s">
        <v>11853</v>
      </c>
      <c r="BX893" t="s">
        <v>69</v>
      </c>
      <c r="BY893" t="s">
        <v>69</v>
      </c>
      <c r="BZ893" t="s">
        <v>8526</v>
      </c>
      <c r="CA893" t="str">
        <f>HYPERLINK("https%3A%2F%2Fwww.webofscience.com%2Fwos%2Fwoscc%2Ffull-record%2FWOS:000620927300012","View Full Record in Web of Science")</f>
        <v>View Full Record in Web of Science</v>
      </c>
    </row>
    <row r="894" spans="1:79" ht="12.5" x14ac:dyDescent="0.25">
      <c r="B894" t="s">
        <v>8495</v>
      </c>
      <c r="D894" s="7" t="s">
        <v>32933</v>
      </c>
      <c r="E894" s="7"/>
      <c r="F894" s="7"/>
      <c r="G894" s="7"/>
      <c r="H894" t="s">
        <v>67</v>
      </c>
      <c r="I894" t="s">
        <v>6206</v>
      </c>
      <c r="J894" t="s">
        <v>69</v>
      </c>
      <c r="K894" t="s">
        <v>69</v>
      </c>
      <c r="L894" t="s">
        <v>69</v>
      </c>
      <c r="M894" t="s">
        <v>6207</v>
      </c>
      <c r="N894" t="s">
        <v>69</v>
      </c>
      <c r="O894" t="s">
        <v>69</v>
      </c>
      <c r="P894" t="s">
        <v>6208</v>
      </c>
      <c r="Q894" t="s">
        <v>6209</v>
      </c>
      <c r="R894" t="s">
        <v>69</v>
      </c>
      <c r="S894" t="s">
        <v>69</v>
      </c>
      <c r="T894" t="s">
        <v>9357</v>
      </c>
      <c r="U894" t="s">
        <v>8506</v>
      </c>
      <c r="V894" t="s">
        <v>69</v>
      </c>
      <c r="W894" t="s">
        <v>69</v>
      </c>
      <c r="X894" t="s">
        <v>69</v>
      </c>
      <c r="Y894" t="s">
        <v>69</v>
      </c>
      <c r="Z894" t="s">
        <v>69</v>
      </c>
      <c r="AA894" t="s">
        <v>20845</v>
      </c>
      <c r="AB894" t="s">
        <v>69</v>
      </c>
      <c r="AC894" t="s">
        <v>6210</v>
      </c>
      <c r="AD894" t="s">
        <v>20846</v>
      </c>
      <c r="AE894" t="s">
        <v>69</v>
      </c>
      <c r="AF894" t="s">
        <v>20847</v>
      </c>
      <c r="AG894" t="s">
        <v>20848</v>
      </c>
      <c r="AH894" t="s">
        <v>69</v>
      </c>
      <c r="AI894" t="s">
        <v>69</v>
      </c>
      <c r="AJ894" t="s">
        <v>69</v>
      </c>
      <c r="AK894" t="s">
        <v>69</v>
      </c>
      <c r="AL894" t="s">
        <v>69</v>
      </c>
      <c r="AM894" t="s">
        <v>69</v>
      </c>
      <c r="AN894">
        <v>11</v>
      </c>
      <c r="AO894">
        <v>1</v>
      </c>
      <c r="AP894">
        <v>2</v>
      </c>
      <c r="AQ894">
        <v>1</v>
      </c>
      <c r="AR894">
        <v>5</v>
      </c>
      <c r="AS894" t="s">
        <v>20849</v>
      </c>
      <c r="AT894" t="s">
        <v>9367</v>
      </c>
      <c r="AU894" t="s">
        <v>20850</v>
      </c>
      <c r="AV894" t="s">
        <v>6211</v>
      </c>
      <c r="AW894" t="s">
        <v>6212</v>
      </c>
      <c r="AX894" t="s">
        <v>69</v>
      </c>
      <c r="AY894" t="s">
        <v>20851</v>
      </c>
      <c r="AZ894" t="s">
        <v>20852</v>
      </c>
      <c r="BA894" t="s">
        <v>69</v>
      </c>
      <c r="BB894">
        <v>2017</v>
      </c>
      <c r="BC894">
        <v>22</v>
      </c>
      <c r="BD894">
        <v>1</v>
      </c>
      <c r="BE894" t="s">
        <v>69</v>
      </c>
      <c r="BF894" t="s">
        <v>69</v>
      </c>
      <c r="BG894" t="s">
        <v>69</v>
      </c>
      <c r="BH894" t="s">
        <v>69</v>
      </c>
      <c r="BI894">
        <v>119</v>
      </c>
      <c r="BJ894">
        <v>129</v>
      </c>
      <c r="BK894" t="s">
        <v>69</v>
      </c>
      <c r="BL894" t="s">
        <v>6213</v>
      </c>
      <c r="BM894" t="str">
        <f>HYPERLINK("http://dx.doi.org/10.17759/pse.2017220114","http://dx.doi.org/10.17759/pse.2017220114")</f>
        <v>http://dx.doi.org/10.17759/pse.2017220114</v>
      </c>
      <c r="BN894" t="s">
        <v>69</v>
      </c>
      <c r="BO894" t="s">
        <v>69</v>
      </c>
      <c r="BP894">
        <v>11</v>
      </c>
      <c r="BQ894" t="s">
        <v>20853</v>
      </c>
      <c r="BR894" t="s">
        <v>8573</v>
      </c>
      <c r="BS894" t="s">
        <v>14726</v>
      </c>
      <c r="BT894" t="s">
        <v>20854</v>
      </c>
      <c r="BU894" t="s">
        <v>6214</v>
      </c>
      <c r="BV894" t="s">
        <v>69</v>
      </c>
      <c r="BW894" t="s">
        <v>8931</v>
      </c>
      <c r="BX894" t="s">
        <v>69</v>
      </c>
      <c r="BY894" t="s">
        <v>69</v>
      </c>
      <c r="BZ894" t="s">
        <v>8526</v>
      </c>
      <c r="CA894" t="str">
        <f>HYPERLINK("https%3A%2F%2Fwww.webofscience.com%2Fwos%2Fwoscc%2Ffull-record%2FWOS:000408438300014","View Full Record in Web of Science")</f>
        <v>View Full Record in Web of Science</v>
      </c>
    </row>
    <row r="895" spans="1:79" ht="12.5" x14ac:dyDescent="0.25">
      <c r="B895" t="s">
        <v>8495</v>
      </c>
      <c r="D895" s="22" t="s">
        <v>32931</v>
      </c>
      <c r="E895" s="7"/>
      <c r="F895" s="7"/>
      <c r="G895" s="7"/>
      <c r="H895" t="s">
        <v>67</v>
      </c>
      <c r="I895" t="s">
        <v>28070</v>
      </c>
      <c r="J895" t="s">
        <v>69</v>
      </c>
      <c r="K895" t="s">
        <v>69</v>
      </c>
      <c r="L895" t="s">
        <v>69</v>
      </c>
      <c r="M895" t="s">
        <v>28071</v>
      </c>
      <c r="N895" t="s">
        <v>69</v>
      </c>
      <c r="O895" t="s">
        <v>69</v>
      </c>
      <c r="P895" t="s">
        <v>28072</v>
      </c>
      <c r="Q895" t="s">
        <v>28073</v>
      </c>
      <c r="R895" t="s">
        <v>69</v>
      </c>
      <c r="S895" t="s">
        <v>69</v>
      </c>
      <c r="T895" t="s">
        <v>8505</v>
      </c>
      <c r="U895" t="s">
        <v>8506</v>
      </c>
      <c r="V895" t="s">
        <v>69</v>
      </c>
      <c r="W895" t="s">
        <v>69</v>
      </c>
      <c r="X895" t="s">
        <v>69</v>
      </c>
      <c r="Y895" t="s">
        <v>69</v>
      </c>
      <c r="Z895" t="s">
        <v>69</v>
      </c>
      <c r="AA895" t="s">
        <v>69</v>
      </c>
      <c r="AB895" t="s">
        <v>69</v>
      </c>
      <c r="AC895" t="s">
        <v>28074</v>
      </c>
      <c r="AD895" t="s">
        <v>28075</v>
      </c>
      <c r="AE895" t="s">
        <v>69</v>
      </c>
      <c r="AF895" t="s">
        <v>28076</v>
      </c>
      <c r="AG895" t="s">
        <v>69</v>
      </c>
      <c r="AH895" t="s">
        <v>69</v>
      </c>
      <c r="AI895" t="s">
        <v>28077</v>
      </c>
      <c r="AJ895" t="s">
        <v>69</v>
      </c>
      <c r="AK895" t="s">
        <v>69</v>
      </c>
      <c r="AL895" t="s">
        <v>69</v>
      </c>
      <c r="AM895" t="s">
        <v>69</v>
      </c>
      <c r="AN895">
        <v>38</v>
      </c>
      <c r="AO895">
        <v>3</v>
      </c>
      <c r="AP895">
        <v>3</v>
      </c>
      <c r="AQ895">
        <v>0</v>
      </c>
      <c r="AR895">
        <v>0</v>
      </c>
      <c r="AS895" t="s">
        <v>28078</v>
      </c>
      <c r="AT895" t="s">
        <v>28079</v>
      </c>
      <c r="AU895" t="s">
        <v>28080</v>
      </c>
      <c r="AV895" t="s">
        <v>28081</v>
      </c>
      <c r="AW895" t="s">
        <v>69</v>
      </c>
      <c r="AX895" t="s">
        <v>69</v>
      </c>
      <c r="AY895" t="s">
        <v>28082</v>
      </c>
      <c r="AZ895" t="s">
        <v>28083</v>
      </c>
      <c r="BA895" t="s">
        <v>69</v>
      </c>
      <c r="BB895">
        <v>2010</v>
      </c>
      <c r="BC895">
        <v>25</v>
      </c>
      <c r="BD895">
        <v>3</v>
      </c>
      <c r="BE895" t="s">
        <v>69</v>
      </c>
      <c r="BF895" t="s">
        <v>69</v>
      </c>
      <c r="BG895" t="s">
        <v>69</v>
      </c>
      <c r="BH895" t="s">
        <v>69</v>
      </c>
      <c r="BI895">
        <v>33</v>
      </c>
      <c r="BJ895">
        <v>42</v>
      </c>
      <c r="BK895" t="s">
        <v>69</v>
      </c>
      <c r="BL895" t="s">
        <v>69</v>
      </c>
      <c r="BM895" t="s">
        <v>69</v>
      </c>
      <c r="BN895" t="s">
        <v>69</v>
      </c>
      <c r="BO895" t="s">
        <v>69</v>
      </c>
      <c r="BP895">
        <v>10</v>
      </c>
      <c r="BQ895" t="s">
        <v>13837</v>
      </c>
      <c r="BR895" t="s">
        <v>8573</v>
      </c>
      <c r="BS895" t="s">
        <v>9290</v>
      </c>
      <c r="BT895" t="s">
        <v>28084</v>
      </c>
      <c r="BU895" t="s">
        <v>28085</v>
      </c>
      <c r="BV895" t="s">
        <v>69</v>
      </c>
      <c r="BW895" t="s">
        <v>69</v>
      </c>
      <c r="BX895" t="s">
        <v>69</v>
      </c>
      <c r="BY895" t="s">
        <v>69</v>
      </c>
      <c r="BZ895" t="s">
        <v>8526</v>
      </c>
      <c r="CA895" t="str">
        <f>HYPERLINK("https%3A%2F%2Fwww.webofscience.com%2Fwos%2Fwoscc%2Ffull-record%2FWOS:000215054300005","View Full Record in Web of Science")</f>
        <v>View Full Record in Web of Science</v>
      </c>
    </row>
    <row r="896" spans="1:79" ht="12.5" x14ac:dyDescent="0.25">
      <c r="B896" t="s">
        <v>8495</v>
      </c>
      <c r="D896" s="7" t="s">
        <v>32933</v>
      </c>
      <c r="E896" s="7"/>
      <c r="F896" s="7"/>
      <c r="G896" s="7"/>
      <c r="H896" t="s">
        <v>67</v>
      </c>
      <c r="I896" t="s">
        <v>2977</v>
      </c>
      <c r="J896" t="s">
        <v>69</v>
      </c>
      <c r="K896" t="s">
        <v>69</v>
      </c>
      <c r="L896" t="s">
        <v>69</v>
      </c>
      <c r="M896" t="s">
        <v>2978</v>
      </c>
      <c r="N896" t="s">
        <v>69</v>
      </c>
      <c r="O896" t="s">
        <v>69</v>
      </c>
      <c r="P896" t="s">
        <v>2979</v>
      </c>
      <c r="Q896" t="s">
        <v>436</v>
      </c>
      <c r="R896" t="s">
        <v>69</v>
      </c>
      <c r="S896" t="s">
        <v>69</v>
      </c>
      <c r="T896" t="s">
        <v>8505</v>
      </c>
      <c r="U896" t="s">
        <v>8506</v>
      </c>
      <c r="V896" t="s">
        <v>69</v>
      </c>
      <c r="W896" t="s">
        <v>69</v>
      </c>
      <c r="X896" t="s">
        <v>69</v>
      </c>
      <c r="Y896" t="s">
        <v>69</v>
      </c>
      <c r="Z896" t="s">
        <v>69</v>
      </c>
      <c r="AA896" t="s">
        <v>22400</v>
      </c>
      <c r="AB896" t="s">
        <v>22401</v>
      </c>
      <c r="AC896" t="s">
        <v>2980</v>
      </c>
      <c r="AD896" t="s">
        <v>22402</v>
      </c>
      <c r="AE896" t="s">
        <v>69</v>
      </c>
      <c r="AF896" t="s">
        <v>22403</v>
      </c>
      <c r="AG896" t="s">
        <v>22404</v>
      </c>
      <c r="AH896" t="s">
        <v>69</v>
      </c>
      <c r="AI896" t="s">
        <v>2981</v>
      </c>
      <c r="AJ896" t="s">
        <v>69</v>
      </c>
      <c r="AK896" t="s">
        <v>69</v>
      </c>
      <c r="AL896" t="s">
        <v>69</v>
      </c>
      <c r="AM896" t="s">
        <v>69</v>
      </c>
      <c r="AN896">
        <v>70</v>
      </c>
      <c r="AO896">
        <v>24</v>
      </c>
      <c r="AP896">
        <v>25</v>
      </c>
      <c r="AQ896">
        <v>1</v>
      </c>
      <c r="AR896">
        <v>45</v>
      </c>
      <c r="AS896" t="s">
        <v>8636</v>
      </c>
      <c r="AT896" t="s">
        <v>8637</v>
      </c>
      <c r="AU896" t="s">
        <v>8638</v>
      </c>
      <c r="AV896" t="s">
        <v>440</v>
      </c>
      <c r="AW896" t="s">
        <v>441</v>
      </c>
      <c r="AX896" t="s">
        <v>69</v>
      </c>
      <c r="AY896" t="s">
        <v>8639</v>
      </c>
      <c r="AZ896" t="s">
        <v>8640</v>
      </c>
      <c r="BA896" t="s">
        <v>2982</v>
      </c>
      <c r="BB896">
        <v>2015</v>
      </c>
      <c r="BC896">
        <v>105</v>
      </c>
      <c r="BD896" t="s">
        <v>69</v>
      </c>
      <c r="BE896" t="s">
        <v>69</v>
      </c>
      <c r="BF896" t="s">
        <v>69</v>
      </c>
      <c r="BG896" t="s">
        <v>69</v>
      </c>
      <c r="BH896" t="s">
        <v>69</v>
      </c>
      <c r="BI896">
        <v>146</v>
      </c>
      <c r="BJ896">
        <v>156</v>
      </c>
      <c r="BK896" t="s">
        <v>69</v>
      </c>
      <c r="BL896" t="s">
        <v>2983</v>
      </c>
      <c r="BM896" t="str">
        <f>HYPERLINK("http://dx.doi.org/10.1016/j.jclepro.2015.04.014","http://dx.doi.org/10.1016/j.jclepro.2015.04.014")</f>
        <v>http://dx.doi.org/10.1016/j.jclepro.2015.04.014</v>
      </c>
      <c r="BN896" t="s">
        <v>69</v>
      </c>
      <c r="BO896" t="s">
        <v>69</v>
      </c>
      <c r="BP896">
        <v>11</v>
      </c>
      <c r="BQ896" t="s">
        <v>8643</v>
      </c>
      <c r="BR896" t="s">
        <v>8523</v>
      </c>
      <c r="BS896" t="s">
        <v>8644</v>
      </c>
      <c r="BT896" t="s">
        <v>22405</v>
      </c>
      <c r="BU896" t="s">
        <v>2984</v>
      </c>
      <c r="BV896" t="s">
        <v>69</v>
      </c>
      <c r="BW896" t="s">
        <v>69</v>
      </c>
      <c r="BX896" t="s">
        <v>69</v>
      </c>
      <c r="BY896" t="s">
        <v>69</v>
      </c>
      <c r="BZ896" t="s">
        <v>8526</v>
      </c>
      <c r="CA896" t="str">
        <f>HYPERLINK("https%3A%2F%2Fwww.webofscience.com%2Fwos%2Fwoscc%2Ffull-record%2FWOS:000359959200012","View Full Record in Web of Science")</f>
        <v>View Full Record in Web of Science</v>
      </c>
    </row>
    <row r="897" spans="2:79" ht="12.5" x14ac:dyDescent="0.25">
      <c r="B897" t="s">
        <v>8495</v>
      </c>
      <c r="D897" s="22" t="s">
        <v>32931</v>
      </c>
      <c r="E897" s="7"/>
      <c r="F897" s="7"/>
      <c r="G897" s="7"/>
      <c r="H897" t="s">
        <v>67</v>
      </c>
      <c r="I897" t="s">
        <v>32300</v>
      </c>
      <c r="J897" t="s">
        <v>69</v>
      </c>
      <c r="K897" t="s">
        <v>69</v>
      </c>
      <c r="L897" t="s">
        <v>69</v>
      </c>
      <c r="M897" t="s">
        <v>32300</v>
      </c>
      <c r="N897" t="s">
        <v>69</v>
      </c>
      <c r="O897" t="s">
        <v>69</v>
      </c>
      <c r="P897" t="s">
        <v>32301</v>
      </c>
      <c r="Q897" t="s">
        <v>32302</v>
      </c>
      <c r="R897" t="s">
        <v>69</v>
      </c>
      <c r="S897" t="s">
        <v>69</v>
      </c>
      <c r="T897" t="s">
        <v>8505</v>
      </c>
      <c r="U897" t="s">
        <v>8506</v>
      </c>
      <c r="V897" t="s">
        <v>69</v>
      </c>
      <c r="W897" t="s">
        <v>69</v>
      </c>
      <c r="X897" t="s">
        <v>69</v>
      </c>
      <c r="Y897" t="s">
        <v>69</v>
      </c>
      <c r="Z897" t="s">
        <v>69</v>
      </c>
      <c r="AA897" t="s">
        <v>32303</v>
      </c>
      <c r="AB897" t="s">
        <v>32304</v>
      </c>
      <c r="AC897" t="s">
        <v>32305</v>
      </c>
      <c r="AD897" t="s">
        <v>32306</v>
      </c>
      <c r="AE897" t="s">
        <v>69</v>
      </c>
      <c r="AF897" t="s">
        <v>32307</v>
      </c>
      <c r="AG897" t="s">
        <v>69</v>
      </c>
      <c r="AH897" t="s">
        <v>69</v>
      </c>
      <c r="AI897" t="s">
        <v>32308</v>
      </c>
      <c r="AJ897" t="s">
        <v>69</v>
      </c>
      <c r="AK897" t="s">
        <v>69</v>
      </c>
      <c r="AL897" t="s">
        <v>69</v>
      </c>
      <c r="AM897" t="s">
        <v>69</v>
      </c>
      <c r="AN897">
        <v>63</v>
      </c>
      <c r="AO897">
        <v>9</v>
      </c>
      <c r="AP897">
        <v>9</v>
      </c>
      <c r="AQ897">
        <v>0</v>
      </c>
      <c r="AR897">
        <v>1</v>
      </c>
      <c r="AS897" t="s">
        <v>32309</v>
      </c>
      <c r="AT897" t="s">
        <v>26039</v>
      </c>
      <c r="AU897" t="s">
        <v>32310</v>
      </c>
      <c r="AV897" t="s">
        <v>32311</v>
      </c>
      <c r="AW897" t="s">
        <v>69</v>
      </c>
      <c r="AX897" t="s">
        <v>69</v>
      </c>
      <c r="AY897" t="s">
        <v>32312</v>
      </c>
      <c r="AZ897" t="s">
        <v>32313</v>
      </c>
      <c r="BA897" t="s">
        <v>1425</v>
      </c>
      <c r="BB897">
        <v>1997</v>
      </c>
      <c r="BC897">
        <v>69</v>
      </c>
      <c r="BD897">
        <v>2</v>
      </c>
      <c r="BE897" t="s">
        <v>69</v>
      </c>
      <c r="BF897" t="s">
        <v>69</v>
      </c>
      <c r="BG897" t="s">
        <v>69</v>
      </c>
      <c r="BH897" t="s">
        <v>69</v>
      </c>
      <c r="BI897">
        <v>196</v>
      </c>
      <c r="BJ897">
        <v>205</v>
      </c>
      <c r="BK897" t="s">
        <v>69</v>
      </c>
      <c r="BL897" t="s">
        <v>32314</v>
      </c>
      <c r="BM897" t="str">
        <f>HYPERLINK("http://dx.doi.org/10.2175/106143097X125353","http://dx.doi.org/10.2175/106143097X125353")</f>
        <v>http://dx.doi.org/10.2175/106143097X125353</v>
      </c>
      <c r="BN897" t="s">
        <v>69</v>
      </c>
      <c r="BO897" t="s">
        <v>69</v>
      </c>
      <c r="BP897">
        <v>10</v>
      </c>
      <c r="BQ897" t="s">
        <v>32315</v>
      </c>
      <c r="BR897" t="s">
        <v>8548</v>
      </c>
      <c r="BS897" t="s">
        <v>32316</v>
      </c>
      <c r="BT897" t="s">
        <v>32317</v>
      </c>
      <c r="BU897" t="s">
        <v>32318</v>
      </c>
      <c r="BV897" t="s">
        <v>69</v>
      </c>
      <c r="BW897" t="s">
        <v>69</v>
      </c>
      <c r="BX897" t="s">
        <v>69</v>
      </c>
      <c r="BY897" t="s">
        <v>69</v>
      </c>
      <c r="BZ897" t="s">
        <v>8526</v>
      </c>
      <c r="CA897" t="str">
        <f>HYPERLINK("https%3A%2F%2Fwww.webofscience.com%2Fwos%2Fwoscc%2Ffull-record%2FWOS:A1997WL72500011","View Full Record in Web of Science")</f>
        <v>View Full Record in Web of Science</v>
      </c>
    </row>
    <row r="898" spans="2:79" ht="12.5" x14ac:dyDescent="0.25">
      <c r="B898" t="s">
        <v>8495</v>
      </c>
      <c r="D898" s="7" t="s">
        <v>32933</v>
      </c>
      <c r="E898" s="7"/>
      <c r="F898" s="7"/>
      <c r="G898" s="7"/>
      <c r="H898" t="s">
        <v>67</v>
      </c>
      <c r="I898" t="s">
        <v>5508</v>
      </c>
      <c r="J898" t="s">
        <v>69</v>
      </c>
      <c r="K898" t="s">
        <v>69</v>
      </c>
      <c r="L898" t="s">
        <v>69</v>
      </c>
      <c r="M898" t="s">
        <v>5508</v>
      </c>
      <c r="N898" t="s">
        <v>69</v>
      </c>
      <c r="O898" t="s">
        <v>69</v>
      </c>
      <c r="P898" t="s">
        <v>5509</v>
      </c>
      <c r="Q898" t="s">
        <v>5510</v>
      </c>
      <c r="R898" t="s">
        <v>69</v>
      </c>
      <c r="S898" t="s">
        <v>69</v>
      </c>
      <c r="T898" t="s">
        <v>8505</v>
      </c>
      <c r="U898" t="s">
        <v>8442</v>
      </c>
      <c r="V898" t="s">
        <v>69</v>
      </c>
      <c r="W898" t="s">
        <v>69</v>
      </c>
      <c r="X898" t="s">
        <v>69</v>
      </c>
      <c r="Y898" t="s">
        <v>69</v>
      </c>
      <c r="Z898" t="s">
        <v>69</v>
      </c>
      <c r="AA898" t="s">
        <v>32905</v>
      </c>
      <c r="AB898" t="s">
        <v>32906</v>
      </c>
      <c r="AC898" t="s">
        <v>5511</v>
      </c>
      <c r="AD898" t="s">
        <v>69</v>
      </c>
      <c r="AE898" t="s">
        <v>69</v>
      </c>
      <c r="AF898" t="s">
        <v>32907</v>
      </c>
      <c r="AG898" t="s">
        <v>69</v>
      </c>
      <c r="AH898" t="s">
        <v>69</v>
      </c>
      <c r="AI898" t="s">
        <v>69</v>
      </c>
      <c r="AJ898" t="s">
        <v>69</v>
      </c>
      <c r="AK898" t="s">
        <v>69</v>
      </c>
      <c r="AL898" t="s">
        <v>69</v>
      </c>
      <c r="AM898" t="s">
        <v>69</v>
      </c>
      <c r="AN898">
        <v>233</v>
      </c>
      <c r="AO898">
        <v>31</v>
      </c>
      <c r="AP898">
        <v>33</v>
      </c>
      <c r="AQ898">
        <v>0</v>
      </c>
      <c r="AR898">
        <v>15</v>
      </c>
      <c r="AS898" t="s">
        <v>32882</v>
      </c>
      <c r="AT898" t="s">
        <v>8693</v>
      </c>
      <c r="AU898" t="s">
        <v>32908</v>
      </c>
      <c r="AV898" t="s">
        <v>5512</v>
      </c>
      <c r="AW898" t="s">
        <v>69</v>
      </c>
      <c r="AX898" t="s">
        <v>69</v>
      </c>
      <c r="AY898" t="s">
        <v>32909</v>
      </c>
      <c r="AZ898" t="s">
        <v>32910</v>
      </c>
      <c r="BA898" t="s">
        <v>69</v>
      </c>
      <c r="BB898">
        <v>1991</v>
      </c>
      <c r="BC898">
        <v>29</v>
      </c>
      <c r="BD898">
        <v>3</v>
      </c>
      <c r="BE898" t="s">
        <v>69</v>
      </c>
      <c r="BF898" t="s">
        <v>69</v>
      </c>
      <c r="BG898" t="s">
        <v>69</v>
      </c>
      <c r="BH898" t="s">
        <v>69</v>
      </c>
      <c r="BI898">
        <v>315</v>
      </c>
      <c r="BJ898">
        <v>374</v>
      </c>
      <c r="BK898" t="s">
        <v>69</v>
      </c>
      <c r="BL898" t="s">
        <v>5513</v>
      </c>
      <c r="BM898" t="str">
        <f>HYPERLINK("http://dx.doi.org/10.3109/15563659109000363","http://dx.doi.org/10.3109/15563659109000363")</f>
        <v>http://dx.doi.org/10.3109/15563659109000363</v>
      </c>
      <c r="BN898" t="s">
        <v>69</v>
      </c>
      <c r="BO898" t="s">
        <v>69</v>
      </c>
      <c r="BP898">
        <v>60</v>
      </c>
      <c r="BQ898" t="s">
        <v>31242</v>
      </c>
      <c r="BR898" t="s">
        <v>8548</v>
      </c>
      <c r="BS898" t="s">
        <v>31242</v>
      </c>
      <c r="BT898" t="s">
        <v>32911</v>
      </c>
      <c r="BU898" t="s">
        <v>5514</v>
      </c>
      <c r="BV898">
        <v>1920571</v>
      </c>
      <c r="BW898" t="s">
        <v>69</v>
      </c>
      <c r="BX898" t="s">
        <v>69</v>
      </c>
      <c r="BY898" t="s">
        <v>69</v>
      </c>
      <c r="BZ898" t="s">
        <v>8526</v>
      </c>
      <c r="CA898" t="str">
        <f>HYPERLINK("https%3A%2F%2Fwww.webofscience.com%2Fwos%2Fwoscc%2Ffull-record%2FWOS:A1991GH53900002","View Full Record in Web of Science")</f>
        <v>View Full Record in Web of Science</v>
      </c>
    </row>
    <row r="899" spans="2:79" ht="12.5" x14ac:dyDescent="0.25">
      <c r="B899" t="s">
        <v>8495</v>
      </c>
      <c r="D899" s="7" t="s">
        <v>32933</v>
      </c>
      <c r="E899" s="7"/>
      <c r="F899" s="7"/>
      <c r="G899" s="7"/>
      <c r="H899" t="s">
        <v>67</v>
      </c>
      <c r="I899" t="s">
        <v>4262</v>
      </c>
      <c r="J899" t="s">
        <v>69</v>
      </c>
      <c r="K899" t="s">
        <v>69</v>
      </c>
      <c r="L899" t="s">
        <v>69</v>
      </c>
      <c r="M899" t="s">
        <v>4262</v>
      </c>
      <c r="N899" t="s">
        <v>69</v>
      </c>
      <c r="O899" t="s">
        <v>69</v>
      </c>
      <c r="P899" t="s">
        <v>4263</v>
      </c>
      <c r="Q899" t="s">
        <v>4264</v>
      </c>
      <c r="R899" t="s">
        <v>69</v>
      </c>
      <c r="S899" t="s">
        <v>69</v>
      </c>
      <c r="T899" t="s">
        <v>8505</v>
      </c>
      <c r="U899" t="s">
        <v>8442</v>
      </c>
      <c r="V899" t="s">
        <v>69</v>
      </c>
      <c r="W899" t="s">
        <v>69</v>
      </c>
      <c r="X899" t="s">
        <v>69</v>
      </c>
      <c r="Y899" t="s">
        <v>69</v>
      </c>
      <c r="Z899" t="s">
        <v>69</v>
      </c>
      <c r="AA899" t="s">
        <v>32527</v>
      </c>
      <c r="AB899" t="s">
        <v>69</v>
      </c>
      <c r="AC899" t="s">
        <v>4265</v>
      </c>
      <c r="AD899" t="s">
        <v>32528</v>
      </c>
      <c r="AE899" t="s">
        <v>69</v>
      </c>
      <c r="AF899" t="s">
        <v>32529</v>
      </c>
      <c r="AG899" t="s">
        <v>69</v>
      </c>
      <c r="AH899" t="s">
        <v>69</v>
      </c>
      <c r="AI899" t="s">
        <v>69</v>
      </c>
      <c r="AJ899" t="s">
        <v>69</v>
      </c>
      <c r="AK899" t="s">
        <v>69</v>
      </c>
      <c r="AL899" t="s">
        <v>69</v>
      </c>
      <c r="AM899" t="s">
        <v>69</v>
      </c>
      <c r="AN899">
        <v>54</v>
      </c>
      <c r="AO899">
        <v>91</v>
      </c>
      <c r="AP899">
        <v>91</v>
      </c>
      <c r="AQ899">
        <v>1</v>
      </c>
      <c r="AR899">
        <v>19</v>
      </c>
      <c r="AS899" t="s">
        <v>13509</v>
      </c>
      <c r="AT899" t="s">
        <v>31871</v>
      </c>
      <c r="AU899" t="s">
        <v>32530</v>
      </c>
      <c r="AV899" t="s">
        <v>4266</v>
      </c>
      <c r="AW899" t="s">
        <v>69</v>
      </c>
      <c r="AX899" t="s">
        <v>69</v>
      </c>
      <c r="AY899" t="s">
        <v>32531</v>
      </c>
      <c r="AZ899" t="s">
        <v>32532</v>
      </c>
      <c r="BA899" t="s">
        <v>69</v>
      </c>
      <c r="BB899">
        <v>1996</v>
      </c>
      <c r="BC899">
        <v>6</v>
      </c>
      <c r="BD899" t="s">
        <v>4267</v>
      </c>
      <c r="BE899" t="s">
        <v>69</v>
      </c>
      <c r="BF899" t="s">
        <v>69</v>
      </c>
      <c r="BG899" t="s">
        <v>69</v>
      </c>
      <c r="BH899" t="s">
        <v>69</v>
      </c>
      <c r="BI899">
        <v>89</v>
      </c>
      <c r="BJ899">
        <v>112</v>
      </c>
      <c r="BK899" t="s">
        <v>69</v>
      </c>
      <c r="BL899" t="s">
        <v>69</v>
      </c>
      <c r="BM899" t="s">
        <v>69</v>
      </c>
      <c r="BN899" t="s">
        <v>69</v>
      </c>
      <c r="BO899" t="s">
        <v>69</v>
      </c>
      <c r="BP899">
        <v>24</v>
      </c>
      <c r="BQ899" t="s">
        <v>8717</v>
      </c>
      <c r="BR899" t="s">
        <v>8548</v>
      </c>
      <c r="BS899" t="s">
        <v>8662</v>
      </c>
      <c r="BT899" t="s">
        <v>32533</v>
      </c>
      <c r="BU899" t="s">
        <v>4268</v>
      </c>
      <c r="BV899" t="s">
        <v>69</v>
      </c>
      <c r="BW899" t="s">
        <v>69</v>
      </c>
      <c r="BX899" t="s">
        <v>69</v>
      </c>
      <c r="BY899" t="s">
        <v>69</v>
      </c>
      <c r="BZ899" t="s">
        <v>8526</v>
      </c>
      <c r="CA899" t="str">
        <f>HYPERLINK("https%3A%2F%2Fwww.webofscience.com%2Fwos%2Fwoscc%2Ffull-record%2FWOS:A1996UR96000001","View Full Record in Web of Science")</f>
        <v>View Full Record in Web of Science</v>
      </c>
    </row>
    <row r="900" spans="2:79" ht="12.5" x14ac:dyDescent="0.25">
      <c r="B900" t="s">
        <v>8495</v>
      </c>
      <c r="D900" s="22" t="s">
        <v>32931</v>
      </c>
      <c r="E900" s="7"/>
      <c r="F900" s="7"/>
      <c r="G900" s="7"/>
      <c r="H900" t="s">
        <v>67</v>
      </c>
      <c r="I900" t="s">
        <v>14411</v>
      </c>
      <c r="J900" t="s">
        <v>69</v>
      </c>
      <c r="K900" t="s">
        <v>69</v>
      </c>
      <c r="L900" t="s">
        <v>69</v>
      </c>
      <c r="M900" t="s">
        <v>14412</v>
      </c>
      <c r="N900" t="s">
        <v>69</v>
      </c>
      <c r="O900" t="s">
        <v>69</v>
      </c>
      <c r="P900" t="s">
        <v>14413</v>
      </c>
      <c r="Q900" t="s">
        <v>8071</v>
      </c>
      <c r="R900" t="s">
        <v>69</v>
      </c>
      <c r="S900" t="s">
        <v>69</v>
      </c>
      <c r="T900" t="s">
        <v>8505</v>
      </c>
      <c r="U900" t="s">
        <v>8506</v>
      </c>
      <c r="V900" t="s">
        <v>69</v>
      </c>
      <c r="W900" t="s">
        <v>69</v>
      </c>
      <c r="X900" t="s">
        <v>69</v>
      </c>
      <c r="Y900" t="s">
        <v>69</v>
      </c>
      <c r="Z900" t="s">
        <v>69</v>
      </c>
      <c r="AA900" t="s">
        <v>14414</v>
      </c>
      <c r="AB900" t="s">
        <v>14415</v>
      </c>
      <c r="AC900" t="s">
        <v>14416</v>
      </c>
      <c r="AD900" t="s">
        <v>14417</v>
      </c>
      <c r="AE900" t="s">
        <v>69</v>
      </c>
      <c r="AF900" t="s">
        <v>14418</v>
      </c>
      <c r="AG900" t="s">
        <v>14419</v>
      </c>
      <c r="AH900" t="s">
        <v>69</v>
      </c>
      <c r="AI900" t="s">
        <v>14420</v>
      </c>
      <c r="AJ900" t="s">
        <v>14421</v>
      </c>
      <c r="AK900" t="s">
        <v>14422</v>
      </c>
      <c r="AL900" t="s">
        <v>14423</v>
      </c>
      <c r="AM900" t="s">
        <v>69</v>
      </c>
      <c r="AN900">
        <v>114</v>
      </c>
      <c r="AO900">
        <v>1</v>
      </c>
      <c r="AP900">
        <v>1</v>
      </c>
      <c r="AQ900">
        <v>1</v>
      </c>
      <c r="AR900">
        <v>5</v>
      </c>
      <c r="AS900" t="s">
        <v>8924</v>
      </c>
      <c r="AT900" t="s">
        <v>8925</v>
      </c>
      <c r="AU900" t="s">
        <v>8926</v>
      </c>
      <c r="AV900" t="s">
        <v>69</v>
      </c>
      <c r="AW900" t="s">
        <v>8073</v>
      </c>
      <c r="AX900" t="s">
        <v>69</v>
      </c>
      <c r="AY900" t="s">
        <v>8071</v>
      </c>
      <c r="AZ900" t="s">
        <v>13979</v>
      </c>
      <c r="BA900" t="s">
        <v>255</v>
      </c>
      <c r="BB900">
        <v>2020</v>
      </c>
      <c r="BC900">
        <v>7</v>
      </c>
      <c r="BD900">
        <v>9</v>
      </c>
      <c r="BE900" t="s">
        <v>69</v>
      </c>
      <c r="BF900" t="s">
        <v>69</v>
      </c>
      <c r="BG900" t="s">
        <v>69</v>
      </c>
      <c r="BH900" t="s">
        <v>69</v>
      </c>
      <c r="BI900" t="s">
        <v>69</v>
      </c>
      <c r="BJ900" t="s">
        <v>69</v>
      </c>
      <c r="BK900">
        <v>70</v>
      </c>
      <c r="BL900" t="s">
        <v>14424</v>
      </c>
      <c r="BM900" t="str">
        <f>HYPERLINK("http://dx.doi.org/10.3390/environments7090070","http://dx.doi.org/10.3390/environments7090070")</f>
        <v>http://dx.doi.org/10.3390/environments7090070</v>
      </c>
      <c r="BN900" t="s">
        <v>69</v>
      </c>
      <c r="BO900" t="s">
        <v>69</v>
      </c>
      <c r="BP900">
        <v>18</v>
      </c>
      <c r="BQ900" t="s">
        <v>8717</v>
      </c>
      <c r="BR900" t="s">
        <v>8573</v>
      </c>
      <c r="BS900" t="s">
        <v>8662</v>
      </c>
      <c r="BT900" t="s">
        <v>14425</v>
      </c>
      <c r="BU900" t="s">
        <v>14426</v>
      </c>
      <c r="BV900" t="s">
        <v>69</v>
      </c>
      <c r="BW900" t="s">
        <v>9352</v>
      </c>
      <c r="BX900" t="s">
        <v>69</v>
      </c>
      <c r="BY900" t="s">
        <v>69</v>
      </c>
      <c r="BZ900" t="s">
        <v>8526</v>
      </c>
      <c r="CA900" t="str">
        <f>HYPERLINK("https%3A%2F%2Fwww.webofscience.com%2Fwos%2Fwoscc%2Ffull-record%2FWOS:000578128100001","View Full Record in Web of Science")</f>
        <v>View Full Record in Web of Science</v>
      </c>
    </row>
    <row r="901" spans="2:79" ht="12.5" x14ac:dyDescent="0.25">
      <c r="B901" t="s">
        <v>8495</v>
      </c>
      <c r="D901" s="22" t="s">
        <v>32931</v>
      </c>
      <c r="E901" s="7"/>
      <c r="F901" s="7"/>
      <c r="G901" s="7"/>
      <c r="H901" t="s">
        <v>67</v>
      </c>
      <c r="I901" t="s">
        <v>19985</v>
      </c>
      <c r="J901" t="s">
        <v>69</v>
      </c>
      <c r="K901" t="s">
        <v>69</v>
      </c>
      <c r="L901" t="s">
        <v>69</v>
      </c>
      <c r="M901" t="s">
        <v>19986</v>
      </c>
      <c r="N901" t="s">
        <v>69</v>
      </c>
      <c r="O901" t="s">
        <v>69</v>
      </c>
      <c r="P901" t="s">
        <v>19987</v>
      </c>
      <c r="Q901" t="s">
        <v>473</v>
      </c>
      <c r="R901" t="s">
        <v>69</v>
      </c>
      <c r="S901" t="s">
        <v>69</v>
      </c>
      <c r="T901" t="s">
        <v>8505</v>
      </c>
      <c r="U901" t="s">
        <v>8506</v>
      </c>
      <c r="V901" t="s">
        <v>69</v>
      </c>
      <c r="W901" t="s">
        <v>69</v>
      </c>
      <c r="X901" t="s">
        <v>69</v>
      </c>
      <c r="Y901" t="s">
        <v>69</v>
      </c>
      <c r="Z901" t="s">
        <v>69</v>
      </c>
      <c r="AA901" t="s">
        <v>19988</v>
      </c>
      <c r="AB901" t="s">
        <v>19989</v>
      </c>
      <c r="AC901" t="s">
        <v>19990</v>
      </c>
      <c r="AD901" t="s">
        <v>19991</v>
      </c>
      <c r="AE901" t="s">
        <v>69</v>
      </c>
      <c r="AF901" t="s">
        <v>19992</v>
      </c>
      <c r="AG901" t="s">
        <v>19993</v>
      </c>
      <c r="AH901" t="s">
        <v>19994</v>
      </c>
      <c r="AI901" t="s">
        <v>19995</v>
      </c>
      <c r="AJ901" t="s">
        <v>69</v>
      </c>
      <c r="AK901" t="s">
        <v>69</v>
      </c>
      <c r="AL901" t="s">
        <v>69</v>
      </c>
      <c r="AM901" t="s">
        <v>69</v>
      </c>
      <c r="AN901">
        <v>44</v>
      </c>
      <c r="AO901">
        <v>6</v>
      </c>
      <c r="AP901">
        <v>7</v>
      </c>
      <c r="AQ901">
        <v>0</v>
      </c>
      <c r="AR901">
        <v>81</v>
      </c>
      <c r="AS901" t="s">
        <v>18272</v>
      </c>
      <c r="AT901" t="s">
        <v>8763</v>
      </c>
      <c r="AU901" t="s">
        <v>18273</v>
      </c>
      <c r="AV901" t="s">
        <v>475</v>
      </c>
      <c r="AW901" t="s">
        <v>476</v>
      </c>
      <c r="AX901" t="s">
        <v>69</v>
      </c>
      <c r="AY901" t="s">
        <v>18274</v>
      </c>
      <c r="AZ901" t="s">
        <v>18275</v>
      </c>
      <c r="BA901" t="s">
        <v>904</v>
      </c>
      <c r="BB901">
        <v>2017</v>
      </c>
      <c r="BC901">
        <v>201</v>
      </c>
      <c r="BD901" t="s">
        <v>69</v>
      </c>
      <c r="BE901" t="s">
        <v>69</v>
      </c>
      <c r="BF901" t="s">
        <v>69</v>
      </c>
      <c r="BG901" t="s">
        <v>69</v>
      </c>
      <c r="BH901" t="s">
        <v>69</v>
      </c>
      <c r="BI901">
        <v>252</v>
      </c>
      <c r="BJ901">
        <v>259</v>
      </c>
      <c r="BK901" t="s">
        <v>69</v>
      </c>
      <c r="BL901" t="s">
        <v>19996</v>
      </c>
      <c r="BM901" t="str">
        <f>HYPERLINK("http://dx.doi.org/10.1016/j.jenvman.2017.06.052","http://dx.doi.org/10.1016/j.jenvman.2017.06.052")</f>
        <v>http://dx.doi.org/10.1016/j.jenvman.2017.06.052</v>
      </c>
      <c r="BN901" t="s">
        <v>69</v>
      </c>
      <c r="BO901" t="s">
        <v>69</v>
      </c>
      <c r="BP901">
        <v>8</v>
      </c>
      <c r="BQ901" t="s">
        <v>8717</v>
      </c>
      <c r="BR901" t="s">
        <v>8548</v>
      </c>
      <c r="BS901" t="s">
        <v>8662</v>
      </c>
      <c r="BT901" t="s">
        <v>19997</v>
      </c>
      <c r="BU901" t="s">
        <v>19998</v>
      </c>
      <c r="BV901">
        <v>28672197</v>
      </c>
      <c r="BW901" t="s">
        <v>69</v>
      </c>
      <c r="BX901" t="s">
        <v>69</v>
      </c>
      <c r="BY901" t="s">
        <v>69</v>
      </c>
      <c r="BZ901" t="s">
        <v>8526</v>
      </c>
      <c r="CA901" t="str">
        <f>HYPERLINK("https%3A%2F%2Fwww.webofscience.com%2Fwos%2Fwoscc%2Ffull-record%2FWOS:000407662000027","View Full Record in Web of Science")</f>
        <v>View Full Record in Web of Science</v>
      </c>
    </row>
    <row r="902" spans="2:79" ht="12.5" x14ac:dyDescent="0.25">
      <c r="B902" t="s">
        <v>8495</v>
      </c>
      <c r="D902" s="7" t="s">
        <v>32933</v>
      </c>
      <c r="E902" s="7"/>
      <c r="F902" s="7"/>
      <c r="G902" s="7"/>
      <c r="H902" t="s">
        <v>67</v>
      </c>
      <c r="I902" t="s">
        <v>5960</v>
      </c>
      <c r="J902" t="s">
        <v>69</v>
      </c>
      <c r="K902" t="s">
        <v>69</v>
      </c>
      <c r="L902" t="s">
        <v>69</v>
      </c>
      <c r="M902" t="s">
        <v>5961</v>
      </c>
      <c r="N902" t="s">
        <v>69</v>
      </c>
      <c r="O902" t="s">
        <v>69</v>
      </c>
      <c r="P902" t="s">
        <v>5962</v>
      </c>
      <c r="Q902" t="s">
        <v>582</v>
      </c>
      <c r="R902" t="s">
        <v>69</v>
      </c>
      <c r="S902" t="s">
        <v>69</v>
      </c>
      <c r="T902" t="s">
        <v>8505</v>
      </c>
      <c r="U902" t="s">
        <v>8506</v>
      </c>
      <c r="V902" t="s">
        <v>69</v>
      </c>
      <c r="W902" t="s">
        <v>69</v>
      </c>
      <c r="X902" t="s">
        <v>69</v>
      </c>
      <c r="Y902" t="s">
        <v>69</v>
      </c>
      <c r="Z902" t="s">
        <v>69</v>
      </c>
      <c r="AA902" t="s">
        <v>27030</v>
      </c>
      <c r="AB902" t="s">
        <v>19521</v>
      </c>
      <c r="AC902" t="s">
        <v>5963</v>
      </c>
      <c r="AD902" t="s">
        <v>27031</v>
      </c>
      <c r="AE902" t="s">
        <v>69</v>
      </c>
      <c r="AF902" t="s">
        <v>27032</v>
      </c>
      <c r="AG902" t="s">
        <v>27033</v>
      </c>
      <c r="AH902" t="s">
        <v>69</v>
      </c>
      <c r="AI902" t="s">
        <v>69</v>
      </c>
      <c r="AJ902" t="s">
        <v>69</v>
      </c>
      <c r="AK902" t="s">
        <v>69</v>
      </c>
      <c r="AL902" t="s">
        <v>69</v>
      </c>
      <c r="AM902" t="s">
        <v>69</v>
      </c>
      <c r="AN902">
        <v>29</v>
      </c>
      <c r="AO902">
        <v>16</v>
      </c>
      <c r="AP902">
        <v>19</v>
      </c>
      <c r="AQ902">
        <v>0</v>
      </c>
      <c r="AR902">
        <v>18</v>
      </c>
      <c r="AS902" t="s">
        <v>8692</v>
      </c>
      <c r="AT902" t="s">
        <v>8693</v>
      </c>
      <c r="AU902" t="s">
        <v>8694</v>
      </c>
      <c r="AV902" t="s">
        <v>584</v>
      </c>
      <c r="AW902" t="s">
        <v>585</v>
      </c>
      <c r="AX902" t="s">
        <v>69</v>
      </c>
      <c r="AY902" t="s">
        <v>8695</v>
      </c>
      <c r="AZ902" t="s">
        <v>8696</v>
      </c>
      <c r="BA902" t="s">
        <v>246</v>
      </c>
      <c r="BB902">
        <v>2011</v>
      </c>
      <c r="BC902">
        <v>31</v>
      </c>
      <c r="BD902">
        <v>3</v>
      </c>
      <c r="BE902" t="s">
        <v>69</v>
      </c>
      <c r="BF902" t="s">
        <v>69</v>
      </c>
      <c r="BG902" t="s">
        <v>69</v>
      </c>
      <c r="BH902" t="s">
        <v>69</v>
      </c>
      <c r="BI902">
        <v>216</v>
      </c>
      <c r="BJ902">
        <v>225</v>
      </c>
      <c r="BK902" t="s">
        <v>69</v>
      </c>
      <c r="BL902" t="s">
        <v>5964</v>
      </c>
      <c r="BM902" t="str">
        <f>HYPERLINK("http://dx.doi.org/10.1016/j.eiar.2010.11.002","http://dx.doi.org/10.1016/j.eiar.2010.11.002")</f>
        <v>http://dx.doi.org/10.1016/j.eiar.2010.11.002</v>
      </c>
      <c r="BN902" t="s">
        <v>69</v>
      </c>
      <c r="BO902" t="s">
        <v>69</v>
      </c>
      <c r="BP902">
        <v>10</v>
      </c>
      <c r="BQ902" t="s">
        <v>8660</v>
      </c>
      <c r="BR902" t="s">
        <v>8661</v>
      </c>
      <c r="BS902" t="s">
        <v>8662</v>
      </c>
      <c r="BT902" t="s">
        <v>27034</v>
      </c>
      <c r="BU902" t="s">
        <v>5965</v>
      </c>
      <c r="BV902" t="s">
        <v>69</v>
      </c>
      <c r="BW902" t="s">
        <v>69</v>
      </c>
      <c r="BX902" t="s">
        <v>69</v>
      </c>
      <c r="BY902" t="s">
        <v>69</v>
      </c>
      <c r="BZ902" t="s">
        <v>8526</v>
      </c>
      <c r="CA902" t="str">
        <f>HYPERLINK("https%3A%2F%2Fwww.webofscience.com%2Fwos%2Fwoscc%2Ffull-record%2FWOS:000290056400007","View Full Record in Web of Science")</f>
        <v>View Full Record in Web of Science</v>
      </c>
    </row>
    <row r="903" spans="2:79" ht="12.5" x14ac:dyDescent="0.25">
      <c r="B903" t="s">
        <v>8495</v>
      </c>
      <c r="D903" s="22" t="s">
        <v>32931</v>
      </c>
      <c r="E903" s="7"/>
      <c r="F903" s="7"/>
      <c r="G903" s="7"/>
      <c r="H903" t="s">
        <v>67</v>
      </c>
      <c r="I903" t="s">
        <v>10282</v>
      </c>
      <c r="J903" t="s">
        <v>69</v>
      </c>
      <c r="K903" t="s">
        <v>69</v>
      </c>
      <c r="L903" t="s">
        <v>69</v>
      </c>
      <c r="M903" t="s">
        <v>10283</v>
      </c>
      <c r="N903" t="s">
        <v>69</v>
      </c>
      <c r="O903" t="s">
        <v>69</v>
      </c>
      <c r="P903" t="s">
        <v>10284</v>
      </c>
      <c r="Q903" t="s">
        <v>10285</v>
      </c>
      <c r="R903" t="s">
        <v>69</v>
      </c>
      <c r="S903" t="s">
        <v>69</v>
      </c>
      <c r="T903" t="s">
        <v>8505</v>
      </c>
      <c r="U903" t="s">
        <v>8506</v>
      </c>
      <c r="V903" t="s">
        <v>69</v>
      </c>
      <c r="W903" t="s">
        <v>69</v>
      </c>
      <c r="X903" t="s">
        <v>69</v>
      </c>
      <c r="Y903" t="s">
        <v>69</v>
      </c>
      <c r="Z903" t="s">
        <v>69</v>
      </c>
      <c r="AA903" t="s">
        <v>10286</v>
      </c>
      <c r="AB903" t="s">
        <v>10287</v>
      </c>
      <c r="AC903" t="s">
        <v>10288</v>
      </c>
      <c r="AD903" t="s">
        <v>10289</v>
      </c>
      <c r="AE903" t="s">
        <v>69</v>
      </c>
      <c r="AF903" t="s">
        <v>10290</v>
      </c>
      <c r="AG903" t="s">
        <v>10291</v>
      </c>
      <c r="AH903" t="s">
        <v>69</v>
      </c>
      <c r="AI903" t="s">
        <v>10292</v>
      </c>
      <c r="AJ903" t="s">
        <v>10293</v>
      </c>
      <c r="AK903" t="s">
        <v>10293</v>
      </c>
      <c r="AL903" t="s">
        <v>10294</v>
      </c>
      <c r="AM903" t="s">
        <v>69</v>
      </c>
      <c r="AN903">
        <v>49</v>
      </c>
      <c r="AO903">
        <v>1</v>
      </c>
      <c r="AP903">
        <v>1</v>
      </c>
      <c r="AQ903">
        <v>2</v>
      </c>
      <c r="AR903">
        <v>2</v>
      </c>
      <c r="AS903" t="s">
        <v>9554</v>
      </c>
      <c r="AT903" t="s">
        <v>9555</v>
      </c>
      <c r="AU903" t="s">
        <v>9556</v>
      </c>
      <c r="AV903" t="s">
        <v>10295</v>
      </c>
      <c r="AW903" t="s">
        <v>69</v>
      </c>
      <c r="AX903" t="s">
        <v>69</v>
      </c>
      <c r="AY903" t="s">
        <v>10296</v>
      </c>
      <c r="AZ903" t="s">
        <v>10297</v>
      </c>
      <c r="BA903" t="s">
        <v>373</v>
      </c>
      <c r="BB903">
        <v>2022</v>
      </c>
      <c r="BC903">
        <v>9</v>
      </c>
      <c r="BD903">
        <v>1</v>
      </c>
      <c r="BE903" t="s">
        <v>69</v>
      </c>
      <c r="BF903" t="s">
        <v>69</v>
      </c>
      <c r="BG903" t="s">
        <v>69</v>
      </c>
      <c r="BH903" t="s">
        <v>69</v>
      </c>
      <c r="BI903" t="s">
        <v>69</v>
      </c>
      <c r="BJ903" t="s">
        <v>69</v>
      </c>
      <c r="BK903">
        <v>2.0539517221078756E+16</v>
      </c>
      <c r="BL903" t="s">
        <v>10298</v>
      </c>
      <c r="BM903" t="str">
        <f>HYPERLINK("http://dx.doi.org/10.1177/20539517221078756","http://dx.doi.org/10.1177/20539517221078756")</f>
        <v>http://dx.doi.org/10.1177/20539517221078756</v>
      </c>
      <c r="BN903" t="s">
        <v>69</v>
      </c>
      <c r="BO903" t="s">
        <v>69</v>
      </c>
      <c r="BP903">
        <v>13</v>
      </c>
      <c r="BQ903" t="s">
        <v>10299</v>
      </c>
      <c r="BR903" t="s">
        <v>8661</v>
      </c>
      <c r="BS903" t="s">
        <v>10279</v>
      </c>
      <c r="BT903" t="s">
        <v>10300</v>
      </c>
      <c r="BU903" t="s">
        <v>10302</v>
      </c>
      <c r="BV903" t="s">
        <v>69</v>
      </c>
      <c r="BW903" t="s">
        <v>10301</v>
      </c>
      <c r="BX903" t="s">
        <v>69</v>
      </c>
      <c r="BY903" t="s">
        <v>69</v>
      </c>
      <c r="BZ903" t="s">
        <v>8526</v>
      </c>
      <c r="CA903" t="str">
        <f>HYPERLINK("https%3A%2F%2Fwww.webofscience.com%2Fwos%2Fwoscc%2Ffull-record%2FWOS:000772268000001","View Full Record in Web of Science")</f>
        <v>View Full Record in Web of Science</v>
      </c>
    </row>
    <row r="904" spans="2:79" ht="12.5" x14ac:dyDescent="0.25">
      <c r="B904" t="s">
        <v>8495</v>
      </c>
      <c r="D904" s="7" t="s">
        <v>32933</v>
      </c>
      <c r="E904" s="7"/>
      <c r="F904" s="7"/>
      <c r="G904" s="7"/>
      <c r="H904" t="s">
        <v>67</v>
      </c>
      <c r="I904" t="s">
        <v>3112</v>
      </c>
      <c r="J904" t="s">
        <v>69</v>
      </c>
      <c r="K904" t="s">
        <v>69</v>
      </c>
      <c r="L904" t="s">
        <v>69</v>
      </c>
      <c r="M904" t="s">
        <v>3113</v>
      </c>
      <c r="N904" t="s">
        <v>69</v>
      </c>
      <c r="O904" t="s">
        <v>69</v>
      </c>
      <c r="P904" t="s">
        <v>3114</v>
      </c>
      <c r="Q904" t="s">
        <v>688</v>
      </c>
      <c r="R904" t="s">
        <v>69</v>
      </c>
      <c r="S904" t="s">
        <v>69</v>
      </c>
      <c r="T904" t="s">
        <v>8505</v>
      </c>
      <c r="U904" t="s">
        <v>8506</v>
      </c>
      <c r="V904" t="s">
        <v>69</v>
      </c>
      <c r="W904" t="s">
        <v>69</v>
      </c>
      <c r="X904" t="s">
        <v>69</v>
      </c>
      <c r="Y904" t="s">
        <v>69</v>
      </c>
      <c r="Z904" t="s">
        <v>69</v>
      </c>
      <c r="AA904" t="s">
        <v>23149</v>
      </c>
      <c r="AB904" t="s">
        <v>23150</v>
      </c>
      <c r="AC904" t="s">
        <v>3115</v>
      </c>
      <c r="AD904" t="s">
        <v>23151</v>
      </c>
      <c r="AE904" t="s">
        <v>69</v>
      </c>
      <c r="AF904" t="s">
        <v>23152</v>
      </c>
      <c r="AG904" t="s">
        <v>23153</v>
      </c>
      <c r="AH904" t="s">
        <v>69</v>
      </c>
      <c r="AI904" t="s">
        <v>69</v>
      </c>
      <c r="AJ904" t="s">
        <v>69</v>
      </c>
      <c r="AK904" t="s">
        <v>69</v>
      </c>
      <c r="AL904" t="s">
        <v>69</v>
      </c>
      <c r="AM904" t="s">
        <v>69</v>
      </c>
      <c r="AN904">
        <v>46</v>
      </c>
      <c r="AO904">
        <v>16</v>
      </c>
      <c r="AP904">
        <v>16</v>
      </c>
      <c r="AQ904">
        <v>1</v>
      </c>
      <c r="AR904">
        <v>9</v>
      </c>
      <c r="AS904" t="s">
        <v>14471</v>
      </c>
      <c r="AT904" t="s">
        <v>14472</v>
      </c>
      <c r="AU904" t="s">
        <v>14473</v>
      </c>
      <c r="AV904" t="s">
        <v>690</v>
      </c>
      <c r="AW904" t="s">
        <v>691</v>
      </c>
      <c r="AX904" t="s">
        <v>69</v>
      </c>
      <c r="AY904" t="s">
        <v>14474</v>
      </c>
      <c r="AZ904" t="s">
        <v>14475</v>
      </c>
      <c r="BA904" t="s">
        <v>69</v>
      </c>
      <c r="BB904">
        <v>2015</v>
      </c>
      <c r="BC904">
        <v>15</v>
      </c>
      <c r="BD904">
        <v>4</v>
      </c>
      <c r="BE904" t="s">
        <v>69</v>
      </c>
      <c r="BF904" t="s">
        <v>69</v>
      </c>
      <c r="BG904" t="s">
        <v>69</v>
      </c>
      <c r="BH904" t="s">
        <v>69</v>
      </c>
      <c r="BI904">
        <v>30</v>
      </c>
      <c r="BJ904">
        <v>44</v>
      </c>
      <c r="BK904" t="s">
        <v>69</v>
      </c>
      <c r="BL904" t="s">
        <v>3116</v>
      </c>
      <c r="BM904" t="str">
        <f>HYPERLINK("http://dx.doi.org/10.5130/AJCEB.v15i4.4514","http://dx.doi.org/10.5130/AJCEB.v15i4.4514")</f>
        <v>http://dx.doi.org/10.5130/AJCEB.v15i4.4514</v>
      </c>
      <c r="BN904" t="s">
        <v>69</v>
      </c>
      <c r="BO904" t="s">
        <v>69</v>
      </c>
      <c r="BP904">
        <v>15</v>
      </c>
      <c r="BQ904" t="s">
        <v>9410</v>
      </c>
      <c r="BR904" t="s">
        <v>8573</v>
      </c>
      <c r="BS904" t="s">
        <v>8594</v>
      </c>
      <c r="BT904" t="s">
        <v>23154</v>
      </c>
      <c r="BU904" t="s">
        <v>3117</v>
      </c>
      <c r="BV904" t="s">
        <v>69</v>
      </c>
      <c r="BW904" t="s">
        <v>8931</v>
      </c>
      <c r="BX904" t="s">
        <v>69</v>
      </c>
      <c r="BY904" t="s">
        <v>69</v>
      </c>
      <c r="BZ904" t="s">
        <v>8526</v>
      </c>
      <c r="CA904" t="str">
        <f>HYPERLINK("https%3A%2F%2Fwww.webofscience.com%2Fwos%2Fwoscc%2Ffull-record%2FWOS:000369176800003","View Full Record in Web of Science")</f>
        <v>View Full Record in Web of Science</v>
      </c>
    </row>
    <row r="905" spans="2:79" ht="12.5" x14ac:dyDescent="0.25">
      <c r="B905" t="s">
        <v>8495</v>
      </c>
      <c r="D905" s="22" t="s">
        <v>32931</v>
      </c>
      <c r="E905" s="7"/>
      <c r="F905" s="7"/>
      <c r="G905" s="7"/>
      <c r="H905" t="s">
        <v>67</v>
      </c>
      <c r="I905" t="s">
        <v>9729</v>
      </c>
      <c r="J905" t="s">
        <v>69</v>
      </c>
      <c r="K905" t="s">
        <v>69</v>
      </c>
      <c r="L905" t="s">
        <v>69</v>
      </c>
      <c r="M905" t="s">
        <v>9730</v>
      </c>
      <c r="N905" t="s">
        <v>69</v>
      </c>
      <c r="O905" t="s">
        <v>69</v>
      </c>
      <c r="P905" t="s">
        <v>9731</v>
      </c>
      <c r="Q905" t="s">
        <v>9732</v>
      </c>
      <c r="R905" t="s">
        <v>69</v>
      </c>
      <c r="S905" t="s">
        <v>69</v>
      </c>
      <c r="T905" t="s">
        <v>8505</v>
      </c>
      <c r="U905" t="s">
        <v>8506</v>
      </c>
      <c r="V905" t="s">
        <v>69</v>
      </c>
      <c r="W905" t="s">
        <v>69</v>
      </c>
      <c r="X905" t="s">
        <v>69</v>
      </c>
      <c r="Y905" t="s">
        <v>69</v>
      </c>
      <c r="Z905" t="s">
        <v>69</v>
      </c>
      <c r="AA905" t="s">
        <v>9733</v>
      </c>
      <c r="AB905" t="s">
        <v>9734</v>
      </c>
      <c r="AC905" t="s">
        <v>9735</v>
      </c>
      <c r="AD905" t="s">
        <v>9736</v>
      </c>
      <c r="AE905" t="s">
        <v>69</v>
      </c>
      <c r="AF905" t="s">
        <v>9737</v>
      </c>
      <c r="AG905" t="s">
        <v>9738</v>
      </c>
      <c r="AH905" t="s">
        <v>9739</v>
      </c>
      <c r="AI905" t="s">
        <v>9740</v>
      </c>
      <c r="AJ905" t="s">
        <v>9741</v>
      </c>
      <c r="AK905" t="s">
        <v>9742</v>
      </c>
      <c r="AL905" t="s">
        <v>9743</v>
      </c>
      <c r="AM905" t="s">
        <v>69</v>
      </c>
      <c r="AN905">
        <v>100</v>
      </c>
      <c r="AO905">
        <v>0</v>
      </c>
      <c r="AP905">
        <v>0</v>
      </c>
      <c r="AQ905">
        <v>9</v>
      </c>
      <c r="AR905">
        <v>9</v>
      </c>
      <c r="AS905" t="s">
        <v>8924</v>
      </c>
      <c r="AT905" t="s">
        <v>8925</v>
      </c>
      <c r="AU905" t="s">
        <v>8926</v>
      </c>
      <c r="AV905" t="s">
        <v>9744</v>
      </c>
      <c r="AW905" t="s">
        <v>9745</v>
      </c>
      <c r="AX905" t="s">
        <v>69</v>
      </c>
      <c r="AY905" t="s">
        <v>9746</v>
      </c>
      <c r="AZ905" t="s">
        <v>9747</v>
      </c>
      <c r="BA905" t="s">
        <v>94</v>
      </c>
      <c r="BB905">
        <v>2022</v>
      </c>
      <c r="BC905">
        <v>15</v>
      </c>
      <c r="BD905">
        <v>3</v>
      </c>
      <c r="BE905" t="s">
        <v>69</v>
      </c>
      <c r="BF905" t="s">
        <v>69</v>
      </c>
      <c r="BG905" t="s">
        <v>69</v>
      </c>
      <c r="BH905" t="s">
        <v>69</v>
      </c>
      <c r="BI905" t="s">
        <v>69</v>
      </c>
      <c r="BJ905" t="s">
        <v>69</v>
      </c>
      <c r="BK905">
        <v>136</v>
      </c>
      <c r="BL905" t="s">
        <v>9748</v>
      </c>
      <c r="BM905" t="str">
        <f>HYPERLINK("http://dx.doi.org/10.3390/jrfm15030136","http://dx.doi.org/10.3390/jrfm15030136")</f>
        <v>http://dx.doi.org/10.3390/jrfm15030136</v>
      </c>
      <c r="BN905" t="s">
        <v>69</v>
      </c>
      <c r="BO905" t="s">
        <v>69</v>
      </c>
      <c r="BP905">
        <v>21</v>
      </c>
      <c r="BQ905" t="s">
        <v>9749</v>
      </c>
      <c r="BR905" t="s">
        <v>8573</v>
      </c>
      <c r="BS905" t="s">
        <v>8594</v>
      </c>
      <c r="BT905" t="s">
        <v>9750</v>
      </c>
      <c r="BU905" t="s">
        <v>9751</v>
      </c>
      <c r="BV905" t="s">
        <v>69</v>
      </c>
      <c r="BW905" t="s">
        <v>8812</v>
      </c>
      <c r="BX905" t="s">
        <v>69</v>
      </c>
      <c r="BY905" t="s">
        <v>69</v>
      </c>
      <c r="BZ905" t="s">
        <v>8526</v>
      </c>
      <c r="CA905" t="str">
        <f>HYPERLINK("https%3A%2F%2Fwww.webofscience.com%2Fwos%2Fwoscc%2Ffull-record%2FWOS:000776400900001","View Full Record in Web of Science")</f>
        <v>View Full Record in Web of Science</v>
      </c>
    </row>
    <row r="906" spans="2:79" ht="12.5" x14ac:dyDescent="0.25">
      <c r="B906" t="s">
        <v>8495</v>
      </c>
      <c r="D906" s="7" t="s">
        <v>32933</v>
      </c>
      <c r="E906" s="7"/>
      <c r="F906" s="7"/>
      <c r="G906" s="7"/>
      <c r="H906" t="s">
        <v>67</v>
      </c>
      <c r="I906" t="s">
        <v>2347</v>
      </c>
      <c r="J906" t="s">
        <v>69</v>
      </c>
      <c r="K906" t="s">
        <v>69</v>
      </c>
      <c r="L906" t="s">
        <v>69</v>
      </c>
      <c r="M906" t="s">
        <v>2348</v>
      </c>
      <c r="N906" t="s">
        <v>69</v>
      </c>
      <c r="O906" t="s">
        <v>69</v>
      </c>
      <c r="P906" t="s">
        <v>2349</v>
      </c>
      <c r="Q906" t="s">
        <v>1351</v>
      </c>
      <c r="R906" t="s">
        <v>69</v>
      </c>
      <c r="S906" t="s">
        <v>69</v>
      </c>
      <c r="T906" t="s">
        <v>8505</v>
      </c>
      <c r="U906" t="s">
        <v>8506</v>
      </c>
      <c r="V906" t="s">
        <v>69</v>
      </c>
      <c r="W906" t="s">
        <v>69</v>
      </c>
      <c r="X906" t="s">
        <v>69</v>
      </c>
      <c r="Y906" t="s">
        <v>69</v>
      </c>
      <c r="Z906" t="s">
        <v>69</v>
      </c>
      <c r="AA906" t="s">
        <v>18246</v>
      </c>
      <c r="AB906" t="s">
        <v>18247</v>
      </c>
      <c r="AC906" t="s">
        <v>2350</v>
      </c>
      <c r="AD906" t="s">
        <v>18248</v>
      </c>
      <c r="AE906" t="s">
        <v>69</v>
      </c>
      <c r="AF906" t="s">
        <v>18249</v>
      </c>
      <c r="AG906" t="s">
        <v>18250</v>
      </c>
      <c r="AH906" t="s">
        <v>2351</v>
      </c>
      <c r="AI906" t="s">
        <v>2352</v>
      </c>
      <c r="AJ906" t="s">
        <v>18251</v>
      </c>
      <c r="AK906" t="s">
        <v>18252</v>
      </c>
      <c r="AL906" t="s">
        <v>18253</v>
      </c>
      <c r="AM906" t="s">
        <v>69</v>
      </c>
      <c r="AN906">
        <v>36</v>
      </c>
      <c r="AO906">
        <v>13</v>
      </c>
      <c r="AP906">
        <v>13</v>
      </c>
      <c r="AQ906">
        <v>4</v>
      </c>
      <c r="AR906">
        <v>24</v>
      </c>
      <c r="AS906" t="s">
        <v>8539</v>
      </c>
      <c r="AT906" t="s">
        <v>8540</v>
      </c>
      <c r="AU906" t="s">
        <v>8541</v>
      </c>
      <c r="AV906" t="s">
        <v>1353</v>
      </c>
      <c r="AW906" t="s">
        <v>1354</v>
      </c>
      <c r="AX906" t="s">
        <v>69</v>
      </c>
      <c r="AY906" t="s">
        <v>8677</v>
      </c>
      <c r="AZ906" t="s">
        <v>8678</v>
      </c>
      <c r="BA906" t="s">
        <v>274</v>
      </c>
      <c r="BB906">
        <v>2018</v>
      </c>
      <c r="BC906">
        <v>34</v>
      </c>
      <c r="BD906">
        <v>6</v>
      </c>
      <c r="BE906" t="s">
        <v>69</v>
      </c>
      <c r="BF906" t="s">
        <v>69</v>
      </c>
      <c r="BG906" t="s">
        <v>69</v>
      </c>
      <c r="BH906" t="s">
        <v>69</v>
      </c>
      <c r="BI906" t="s">
        <v>69</v>
      </c>
      <c r="BJ906" t="s">
        <v>69</v>
      </c>
      <c r="BK906">
        <v>4018043</v>
      </c>
      <c r="BL906" t="s">
        <v>2353</v>
      </c>
      <c r="BM906" t="str">
        <f>HYPERLINK("http://dx.doi.org/10.1061/(ASCE)ME.1943-5479.0000649","http://dx.doi.org/10.1061/(ASCE)ME.1943-5479.0000649")</f>
        <v>http://dx.doi.org/10.1061/(ASCE)ME.1943-5479.0000649</v>
      </c>
      <c r="BN906" t="s">
        <v>69</v>
      </c>
      <c r="BO906" t="s">
        <v>69</v>
      </c>
      <c r="BP906">
        <v>13</v>
      </c>
      <c r="BQ906" t="s">
        <v>8680</v>
      </c>
      <c r="BR906" t="s">
        <v>8523</v>
      </c>
      <c r="BS906" t="s">
        <v>8445</v>
      </c>
      <c r="BT906" t="s">
        <v>18254</v>
      </c>
      <c r="BU906" t="s">
        <v>2354</v>
      </c>
      <c r="BV906" t="s">
        <v>69</v>
      </c>
      <c r="BW906" t="s">
        <v>69</v>
      </c>
      <c r="BX906" t="s">
        <v>69</v>
      </c>
      <c r="BY906" t="s">
        <v>69</v>
      </c>
      <c r="BZ906" t="s">
        <v>8526</v>
      </c>
      <c r="CA906" t="str">
        <f>HYPERLINK("https%3A%2F%2Fwww.webofscience.com%2Fwos%2Fwoscc%2Ffull-record%2FWOS:000444385500016","View Full Record in Web of Science")</f>
        <v>View Full Record in Web of Science</v>
      </c>
    </row>
    <row r="907" spans="2:79" ht="12.5" x14ac:dyDescent="0.25">
      <c r="B907" t="s">
        <v>8495</v>
      </c>
      <c r="D907" s="22" t="s">
        <v>32931</v>
      </c>
      <c r="E907" s="7"/>
      <c r="F907" s="7"/>
      <c r="G907" s="7"/>
      <c r="H907" t="s">
        <v>67</v>
      </c>
      <c r="I907" t="s">
        <v>12562</v>
      </c>
      <c r="J907" t="s">
        <v>69</v>
      </c>
      <c r="K907" t="s">
        <v>69</v>
      </c>
      <c r="L907" t="s">
        <v>69</v>
      </c>
      <c r="M907" t="s">
        <v>12563</v>
      </c>
      <c r="N907" t="s">
        <v>69</v>
      </c>
      <c r="O907" t="s">
        <v>69</v>
      </c>
      <c r="P907" t="s">
        <v>12564</v>
      </c>
      <c r="Q907" t="s">
        <v>12565</v>
      </c>
      <c r="R907" t="s">
        <v>69</v>
      </c>
      <c r="S907" t="s">
        <v>69</v>
      </c>
      <c r="T907" t="s">
        <v>8505</v>
      </c>
      <c r="U907" t="s">
        <v>8506</v>
      </c>
      <c r="V907" t="s">
        <v>69</v>
      </c>
      <c r="W907" t="s">
        <v>69</v>
      </c>
      <c r="X907" t="s">
        <v>69</v>
      </c>
      <c r="Y907" t="s">
        <v>69</v>
      </c>
      <c r="Z907" t="s">
        <v>69</v>
      </c>
      <c r="AA907" t="s">
        <v>12566</v>
      </c>
      <c r="AB907" t="s">
        <v>69</v>
      </c>
      <c r="AC907" t="s">
        <v>12567</v>
      </c>
      <c r="AD907" t="s">
        <v>12568</v>
      </c>
      <c r="AE907" t="s">
        <v>69</v>
      </c>
      <c r="AF907" t="s">
        <v>12569</v>
      </c>
      <c r="AG907" t="s">
        <v>12570</v>
      </c>
      <c r="AH907" t="s">
        <v>12571</v>
      </c>
      <c r="AI907" t="s">
        <v>12572</v>
      </c>
      <c r="AJ907" t="s">
        <v>12573</v>
      </c>
      <c r="AK907" t="s">
        <v>12574</v>
      </c>
      <c r="AL907" t="s">
        <v>12575</v>
      </c>
      <c r="AM907" t="s">
        <v>69</v>
      </c>
      <c r="AN907">
        <v>84</v>
      </c>
      <c r="AO907">
        <v>4</v>
      </c>
      <c r="AP907">
        <v>4</v>
      </c>
      <c r="AQ907">
        <v>7</v>
      </c>
      <c r="AR907">
        <v>14</v>
      </c>
      <c r="AS907" t="s">
        <v>8636</v>
      </c>
      <c r="AT907" t="s">
        <v>8637</v>
      </c>
      <c r="AU907" t="s">
        <v>8638</v>
      </c>
      <c r="AV907" t="s">
        <v>12576</v>
      </c>
      <c r="AW907" t="s">
        <v>12577</v>
      </c>
      <c r="AX907" t="s">
        <v>69</v>
      </c>
      <c r="AY907" t="s">
        <v>12578</v>
      </c>
      <c r="AZ907" t="s">
        <v>12579</v>
      </c>
      <c r="BA907" t="s">
        <v>246</v>
      </c>
      <c r="BB907">
        <v>2021</v>
      </c>
      <c r="BC907">
        <v>94</v>
      </c>
      <c r="BD907" t="s">
        <v>69</v>
      </c>
      <c r="BE907" t="s">
        <v>69</v>
      </c>
      <c r="BF907" t="s">
        <v>69</v>
      </c>
      <c r="BG907" t="s">
        <v>69</v>
      </c>
      <c r="BH907" t="s">
        <v>69</v>
      </c>
      <c r="BI907" t="s">
        <v>69</v>
      </c>
      <c r="BJ907" t="s">
        <v>69</v>
      </c>
      <c r="BK907">
        <v>102807</v>
      </c>
      <c r="BL907" t="s">
        <v>12580</v>
      </c>
      <c r="BM907" t="str">
        <f>HYPERLINK("http://dx.doi.org/10.1016/j.ijhm.2020.102807","http://dx.doi.org/10.1016/j.ijhm.2020.102807")</f>
        <v>http://dx.doi.org/10.1016/j.ijhm.2020.102807</v>
      </c>
      <c r="BN907" t="s">
        <v>69</v>
      </c>
      <c r="BO907" t="s">
        <v>69</v>
      </c>
      <c r="BP907">
        <v>11</v>
      </c>
      <c r="BQ907" t="s">
        <v>10278</v>
      </c>
      <c r="BR907" t="s">
        <v>8661</v>
      </c>
      <c r="BS907" t="s">
        <v>10279</v>
      </c>
      <c r="BT907" t="s">
        <v>12581</v>
      </c>
      <c r="BU907" t="s">
        <v>12582</v>
      </c>
      <c r="BV907" t="s">
        <v>69</v>
      </c>
      <c r="BW907" t="s">
        <v>69</v>
      </c>
      <c r="BX907" t="s">
        <v>69</v>
      </c>
      <c r="BY907" t="s">
        <v>69</v>
      </c>
      <c r="BZ907" t="s">
        <v>8526</v>
      </c>
      <c r="CA907" t="str">
        <f>HYPERLINK("https%3A%2F%2Fwww.webofscience.com%2Fwos%2Fwoscc%2Ffull-record%2FWOS:000631257900011","View Full Record in Web of Science")</f>
        <v>View Full Record in Web of Science</v>
      </c>
    </row>
    <row r="908" spans="2:79" x14ac:dyDescent="0.3">
      <c r="B908" t="s">
        <v>8495</v>
      </c>
      <c r="D908" s="9" t="s">
        <v>32964</v>
      </c>
      <c r="E908" s="9" t="s">
        <v>33109</v>
      </c>
      <c r="F908" s="10" t="s">
        <v>8490</v>
      </c>
      <c r="G908" s="9" t="s">
        <v>8490</v>
      </c>
      <c r="H908" t="s">
        <v>67</v>
      </c>
      <c r="I908" t="s">
        <v>12896</v>
      </c>
      <c r="J908" t="s">
        <v>69</v>
      </c>
      <c r="K908" t="s">
        <v>69</v>
      </c>
      <c r="L908" t="s">
        <v>69</v>
      </c>
      <c r="M908" t="s">
        <v>12897</v>
      </c>
      <c r="N908" t="s">
        <v>69</v>
      </c>
      <c r="O908" t="s">
        <v>69</v>
      </c>
      <c r="P908" t="s">
        <v>12898</v>
      </c>
      <c r="Q908" t="s">
        <v>352</v>
      </c>
      <c r="R908" t="s">
        <v>69</v>
      </c>
      <c r="S908" t="s">
        <v>69</v>
      </c>
      <c r="T908" t="s">
        <v>8505</v>
      </c>
      <c r="U908" t="s">
        <v>8506</v>
      </c>
      <c r="V908" t="s">
        <v>69</v>
      </c>
      <c r="W908" t="s">
        <v>69</v>
      </c>
      <c r="X908" t="s">
        <v>69</v>
      </c>
      <c r="Y908" t="s">
        <v>69</v>
      </c>
      <c r="Z908" t="s">
        <v>69</v>
      </c>
      <c r="AA908" t="s">
        <v>12899</v>
      </c>
      <c r="AB908" t="s">
        <v>69</v>
      </c>
      <c r="AC908" t="s">
        <v>12900</v>
      </c>
      <c r="AD908" t="s">
        <v>12901</v>
      </c>
      <c r="AE908" t="s">
        <v>69</v>
      </c>
      <c r="AF908" t="s">
        <v>12902</v>
      </c>
      <c r="AG908" t="s">
        <v>12903</v>
      </c>
      <c r="AH908" t="s">
        <v>12904</v>
      </c>
      <c r="AI908" t="s">
        <v>12905</v>
      </c>
      <c r="AJ908" t="s">
        <v>12906</v>
      </c>
      <c r="AK908" t="s">
        <v>12907</v>
      </c>
      <c r="AL908" t="s">
        <v>12908</v>
      </c>
      <c r="AM908" t="s">
        <v>69</v>
      </c>
      <c r="AN908">
        <v>33</v>
      </c>
      <c r="AO908">
        <v>8</v>
      </c>
      <c r="AP908">
        <v>8</v>
      </c>
      <c r="AQ908">
        <v>3</v>
      </c>
      <c r="AR908">
        <v>12</v>
      </c>
      <c r="AS908" t="s">
        <v>8924</v>
      </c>
      <c r="AT908" t="s">
        <v>8925</v>
      </c>
      <c r="AU908" t="s">
        <v>8926</v>
      </c>
      <c r="AV908" t="s">
        <v>69</v>
      </c>
      <c r="AW908" t="s">
        <v>354</v>
      </c>
      <c r="AX908" t="s">
        <v>69</v>
      </c>
      <c r="AY908" t="s">
        <v>8958</v>
      </c>
      <c r="AZ908" t="s">
        <v>8434</v>
      </c>
      <c r="BA908" t="s">
        <v>94</v>
      </c>
      <c r="BB908">
        <v>2021</v>
      </c>
      <c r="BC908">
        <v>13</v>
      </c>
      <c r="BD908">
        <v>6</v>
      </c>
      <c r="BE908" t="s">
        <v>69</v>
      </c>
      <c r="BF908" t="s">
        <v>69</v>
      </c>
      <c r="BG908" t="s">
        <v>69</v>
      </c>
      <c r="BH908" t="s">
        <v>69</v>
      </c>
      <c r="BI908" t="s">
        <v>69</v>
      </c>
      <c r="BJ908" t="s">
        <v>69</v>
      </c>
      <c r="BK908">
        <v>3120</v>
      </c>
      <c r="BL908" t="s">
        <v>12909</v>
      </c>
      <c r="BM908" t="str">
        <f>HYPERLINK("http://dx.doi.org/10.3390/su13063120","http://dx.doi.org/10.3390/su13063120")</f>
        <v>http://dx.doi.org/10.3390/su13063120</v>
      </c>
      <c r="BN908" t="s">
        <v>69</v>
      </c>
      <c r="BO908" t="s">
        <v>69</v>
      </c>
      <c r="BP908">
        <v>15</v>
      </c>
      <c r="BQ908" t="s">
        <v>8960</v>
      </c>
      <c r="BR908" t="s">
        <v>8523</v>
      </c>
      <c r="BS908" t="s">
        <v>8961</v>
      </c>
      <c r="BT908" t="s">
        <v>12910</v>
      </c>
      <c r="BU908" t="s">
        <v>12911</v>
      </c>
      <c r="BV908" t="s">
        <v>69</v>
      </c>
      <c r="BW908" t="s">
        <v>8812</v>
      </c>
      <c r="BX908" t="s">
        <v>69</v>
      </c>
      <c r="BY908" t="s">
        <v>69</v>
      </c>
      <c r="BZ908" t="s">
        <v>8526</v>
      </c>
      <c r="CA908" t="str">
        <f>HYPERLINK("https%3A%2F%2Fwww.webofscience.com%2Fwos%2Fwoscc%2Ffull-record%2FWOS:000645709700001","View Full Record in Web of Science")</f>
        <v>View Full Record in Web of Science</v>
      </c>
    </row>
    <row r="909" spans="2:79" ht="12.5" x14ac:dyDescent="0.25">
      <c r="B909" t="s">
        <v>8495</v>
      </c>
      <c r="D909" s="22" t="s">
        <v>32931</v>
      </c>
      <c r="E909" s="7"/>
      <c r="F909" s="7"/>
      <c r="G909" s="7"/>
      <c r="H909" t="s">
        <v>67</v>
      </c>
      <c r="I909" t="s">
        <v>27509</v>
      </c>
      <c r="J909" t="s">
        <v>69</v>
      </c>
      <c r="K909" t="s">
        <v>69</v>
      </c>
      <c r="L909" t="s">
        <v>69</v>
      </c>
      <c r="M909" t="s">
        <v>27510</v>
      </c>
      <c r="N909" t="s">
        <v>69</v>
      </c>
      <c r="O909" t="s">
        <v>69</v>
      </c>
      <c r="P909" t="s">
        <v>27511</v>
      </c>
      <c r="Q909" t="s">
        <v>27512</v>
      </c>
      <c r="R909" t="s">
        <v>69</v>
      </c>
      <c r="S909" t="s">
        <v>69</v>
      </c>
      <c r="T909" t="s">
        <v>8505</v>
      </c>
      <c r="U909" t="s">
        <v>8506</v>
      </c>
      <c r="V909" t="s">
        <v>69</v>
      </c>
      <c r="W909" t="s">
        <v>69</v>
      </c>
      <c r="X909" t="s">
        <v>69</v>
      </c>
      <c r="Y909" t="s">
        <v>69</v>
      </c>
      <c r="Z909" t="s">
        <v>69</v>
      </c>
      <c r="AA909" t="s">
        <v>69</v>
      </c>
      <c r="AB909" t="s">
        <v>69</v>
      </c>
      <c r="AC909" t="s">
        <v>27513</v>
      </c>
      <c r="AD909" t="s">
        <v>27514</v>
      </c>
      <c r="AE909" t="s">
        <v>69</v>
      </c>
      <c r="AF909" t="s">
        <v>27515</v>
      </c>
      <c r="AG909" t="s">
        <v>27516</v>
      </c>
      <c r="AH909" t="s">
        <v>69</v>
      </c>
      <c r="AI909" t="s">
        <v>69</v>
      </c>
      <c r="AJ909" t="s">
        <v>69</v>
      </c>
      <c r="AK909" t="s">
        <v>69</v>
      </c>
      <c r="AL909" t="s">
        <v>69</v>
      </c>
      <c r="AM909" t="s">
        <v>69</v>
      </c>
      <c r="AN909">
        <v>18</v>
      </c>
      <c r="AO909">
        <v>3</v>
      </c>
      <c r="AP909">
        <v>3</v>
      </c>
      <c r="AQ909">
        <v>0</v>
      </c>
      <c r="AR909">
        <v>0</v>
      </c>
      <c r="AS909" t="s">
        <v>18730</v>
      </c>
      <c r="AT909" t="s">
        <v>18731</v>
      </c>
      <c r="AU909" t="s">
        <v>18732</v>
      </c>
      <c r="AV909" t="s">
        <v>27517</v>
      </c>
      <c r="AW909" t="s">
        <v>27518</v>
      </c>
      <c r="AX909" t="s">
        <v>69</v>
      </c>
      <c r="AY909" t="s">
        <v>27519</v>
      </c>
      <c r="AZ909" t="s">
        <v>27520</v>
      </c>
      <c r="BA909" t="s">
        <v>69</v>
      </c>
      <c r="BB909">
        <v>2011</v>
      </c>
      <c r="BC909">
        <v>13</v>
      </c>
      <c r="BD909">
        <v>1</v>
      </c>
      <c r="BE909" t="s">
        <v>69</v>
      </c>
      <c r="BF909" t="s">
        <v>69</v>
      </c>
      <c r="BG909" t="s">
        <v>69</v>
      </c>
      <c r="BH909" t="s">
        <v>69</v>
      </c>
      <c r="BI909" t="s">
        <v>69</v>
      </c>
      <c r="BJ909" t="s">
        <v>69</v>
      </c>
      <c r="BK909">
        <v>462</v>
      </c>
      <c r="BL909" t="s">
        <v>27521</v>
      </c>
      <c r="BM909" t="str">
        <f>HYPERLINK("http://dx.doi.org/10.4102/sajim.v13i1.462","http://dx.doi.org/10.4102/sajim.v13i1.462")</f>
        <v>http://dx.doi.org/10.4102/sajim.v13i1.462</v>
      </c>
      <c r="BN909" t="s">
        <v>69</v>
      </c>
      <c r="BO909" t="s">
        <v>69</v>
      </c>
      <c r="BP909">
        <v>10</v>
      </c>
      <c r="BQ909" t="s">
        <v>11010</v>
      </c>
      <c r="BR909" t="s">
        <v>8573</v>
      </c>
      <c r="BS909" t="s">
        <v>11010</v>
      </c>
      <c r="BT909" t="s">
        <v>27522</v>
      </c>
      <c r="BU909" t="s">
        <v>27523</v>
      </c>
      <c r="BV909" t="s">
        <v>69</v>
      </c>
      <c r="BW909" t="s">
        <v>12220</v>
      </c>
      <c r="BX909" t="s">
        <v>69</v>
      </c>
      <c r="BY909" t="s">
        <v>69</v>
      </c>
      <c r="BZ909" t="s">
        <v>8526</v>
      </c>
      <c r="CA909" t="str">
        <f>HYPERLINK("https%3A%2F%2Fwww.webofscience.com%2Fwos%2Fwoscc%2Ffull-record%2FWOS:000217239300015","View Full Record in Web of Science")</f>
        <v>View Full Record in Web of Science</v>
      </c>
    </row>
    <row r="910" spans="2:79" ht="12.5" x14ac:dyDescent="0.25">
      <c r="B910" t="s">
        <v>8495</v>
      </c>
      <c r="D910" s="22" t="s">
        <v>32931</v>
      </c>
      <c r="E910" s="7"/>
      <c r="F910" s="7"/>
      <c r="G910" s="7"/>
      <c r="H910" t="s">
        <v>67</v>
      </c>
      <c r="I910" t="s">
        <v>9004</v>
      </c>
      <c r="J910" t="s">
        <v>69</v>
      </c>
      <c r="K910" t="s">
        <v>69</v>
      </c>
      <c r="L910" t="s">
        <v>69</v>
      </c>
      <c r="M910" t="s">
        <v>9005</v>
      </c>
      <c r="N910" t="s">
        <v>69</v>
      </c>
      <c r="O910" t="s">
        <v>9006</v>
      </c>
      <c r="P910" t="s">
        <v>9007</v>
      </c>
      <c r="Q910" t="s">
        <v>9008</v>
      </c>
      <c r="R910" t="s">
        <v>69</v>
      </c>
      <c r="S910" t="s">
        <v>69</v>
      </c>
      <c r="T910" t="s">
        <v>8505</v>
      </c>
      <c r="U910" t="s">
        <v>8556</v>
      </c>
      <c r="V910" t="s">
        <v>69</v>
      </c>
      <c r="W910" t="s">
        <v>69</v>
      </c>
      <c r="X910" t="s">
        <v>69</v>
      </c>
      <c r="Y910" t="s">
        <v>69</v>
      </c>
      <c r="Z910" t="s">
        <v>69</v>
      </c>
      <c r="AA910" t="s">
        <v>69</v>
      </c>
      <c r="AB910" t="s">
        <v>9009</v>
      </c>
      <c r="AC910" t="s">
        <v>9010</v>
      </c>
      <c r="AD910" t="s">
        <v>9011</v>
      </c>
      <c r="AE910" t="s">
        <v>69</v>
      </c>
      <c r="AF910" t="s">
        <v>9012</v>
      </c>
      <c r="AG910" t="s">
        <v>9013</v>
      </c>
      <c r="AH910" t="s">
        <v>69</v>
      </c>
      <c r="AI910" t="s">
        <v>9014</v>
      </c>
      <c r="AJ910" t="s">
        <v>9015</v>
      </c>
      <c r="AK910" t="s">
        <v>9015</v>
      </c>
      <c r="AL910" t="s">
        <v>9016</v>
      </c>
      <c r="AM910" t="s">
        <v>69</v>
      </c>
      <c r="AN910">
        <v>32</v>
      </c>
      <c r="AO910">
        <v>0</v>
      </c>
      <c r="AP910">
        <v>0</v>
      </c>
      <c r="AQ910">
        <v>0</v>
      </c>
      <c r="AR910">
        <v>0</v>
      </c>
      <c r="AS910" t="s">
        <v>9017</v>
      </c>
      <c r="AT910" t="s">
        <v>9018</v>
      </c>
      <c r="AU910" t="s">
        <v>9019</v>
      </c>
      <c r="AV910" t="s">
        <v>9020</v>
      </c>
      <c r="AW910" t="s">
        <v>9021</v>
      </c>
      <c r="AX910" t="s">
        <v>69</v>
      </c>
      <c r="AY910" t="s">
        <v>9022</v>
      </c>
      <c r="AZ910" t="s">
        <v>9023</v>
      </c>
      <c r="BA910" t="s">
        <v>69</v>
      </c>
      <c r="BB910" t="s">
        <v>69</v>
      </c>
      <c r="BC910" t="s">
        <v>69</v>
      </c>
      <c r="BD910" t="s">
        <v>69</v>
      </c>
      <c r="BE910" t="s">
        <v>69</v>
      </c>
      <c r="BF910" t="s">
        <v>69</v>
      </c>
      <c r="BG910" t="s">
        <v>69</v>
      </c>
      <c r="BH910" t="s">
        <v>69</v>
      </c>
      <c r="BI910" t="s">
        <v>69</v>
      </c>
      <c r="BJ910" t="s">
        <v>69</v>
      </c>
      <c r="BK910" t="s">
        <v>69</v>
      </c>
      <c r="BL910" t="s">
        <v>9024</v>
      </c>
      <c r="BM910" t="str">
        <f>HYPERLINK("http://dx.doi.org/10.1007/s40258-022-00736-x","http://dx.doi.org/10.1007/s40258-022-00736-x")</f>
        <v>http://dx.doi.org/10.1007/s40258-022-00736-x</v>
      </c>
      <c r="BN910" t="s">
        <v>69</v>
      </c>
      <c r="BO910" t="s">
        <v>9025</v>
      </c>
      <c r="BP910">
        <v>14</v>
      </c>
      <c r="BQ910" t="s">
        <v>9026</v>
      </c>
      <c r="BR910" t="s">
        <v>8523</v>
      </c>
      <c r="BS910" t="s">
        <v>9027</v>
      </c>
      <c r="BT910" t="s">
        <v>9028</v>
      </c>
      <c r="BU910" t="s">
        <v>9030</v>
      </c>
      <c r="BV910">
        <v>35606636</v>
      </c>
      <c r="BW910" t="s">
        <v>9029</v>
      </c>
      <c r="BX910" t="s">
        <v>69</v>
      </c>
      <c r="BY910" t="s">
        <v>69</v>
      </c>
      <c r="BZ910" t="s">
        <v>8526</v>
      </c>
      <c r="CA910" t="str">
        <f>HYPERLINK("https%3A%2F%2Fwww.webofscience.com%2Fwos%2Fwoscc%2Ffull-record%2FWOS:000800960800001","View Full Record in Web of Science")</f>
        <v>View Full Record in Web of Science</v>
      </c>
    </row>
    <row r="911" spans="2:79" ht="12.5" x14ac:dyDescent="0.25">
      <c r="B911" t="s">
        <v>8495</v>
      </c>
      <c r="D911" s="22" t="s">
        <v>32931</v>
      </c>
      <c r="E911" s="7"/>
      <c r="F911" s="7"/>
      <c r="G911" s="7"/>
      <c r="H911" t="s">
        <v>67</v>
      </c>
      <c r="I911" t="s">
        <v>32142</v>
      </c>
      <c r="J911" t="s">
        <v>69</v>
      </c>
      <c r="K911" t="s">
        <v>69</v>
      </c>
      <c r="L911" t="s">
        <v>69</v>
      </c>
      <c r="M911" t="s">
        <v>32142</v>
      </c>
      <c r="N911" t="s">
        <v>69</v>
      </c>
      <c r="O911" t="s">
        <v>69</v>
      </c>
      <c r="P911" t="s">
        <v>32143</v>
      </c>
      <c r="Q911" t="s">
        <v>32144</v>
      </c>
      <c r="R911" t="s">
        <v>69</v>
      </c>
      <c r="S911" t="s">
        <v>69</v>
      </c>
      <c r="T911" t="s">
        <v>8505</v>
      </c>
      <c r="U911" t="s">
        <v>8506</v>
      </c>
      <c r="V911" t="s">
        <v>69</v>
      </c>
      <c r="W911" t="s">
        <v>69</v>
      </c>
      <c r="X911" t="s">
        <v>69</v>
      </c>
      <c r="Y911" t="s">
        <v>69</v>
      </c>
      <c r="Z911" t="s">
        <v>69</v>
      </c>
      <c r="AA911" t="s">
        <v>69</v>
      </c>
      <c r="AB911" t="s">
        <v>69</v>
      </c>
      <c r="AC911" t="s">
        <v>32145</v>
      </c>
      <c r="AD911" t="s">
        <v>32146</v>
      </c>
      <c r="AE911" t="s">
        <v>69</v>
      </c>
      <c r="AF911" t="s">
        <v>32147</v>
      </c>
      <c r="AG911" t="s">
        <v>69</v>
      </c>
      <c r="AH911" t="s">
        <v>69</v>
      </c>
      <c r="AI911" t="s">
        <v>32148</v>
      </c>
      <c r="AJ911" t="s">
        <v>69</v>
      </c>
      <c r="AK911" t="s">
        <v>69</v>
      </c>
      <c r="AL911" t="s">
        <v>69</v>
      </c>
      <c r="AM911" t="s">
        <v>69</v>
      </c>
      <c r="AN911">
        <v>14</v>
      </c>
      <c r="AO911">
        <v>5</v>
      </c>
      <c r="AP911">
        <v>5</v>
      </c>
      <c r="AQ911">
        <v>0</v>
      </c>
      <c r="AR911">
        <v>5</v>
      </c>
      <c r="AS911" t="s">
        <v>32149</v>
      </c>
      <c r="AT911" t="s">
        <v>32150</v>
      </c>
      <c r="AU911" t="s">
        <v>32151</v>
      </c>
      <c r="AV911" t="s">
        <v>32152</v>
      </c>
      <c r="AW911" t="s">
        <v>69</v>
      </c>
      <c r="AX911" t="s">
        <v>69</v>
      </c>
      <c r="AY911" t="s">
        <v>32153</v>
      </c>
      <c r="AZ911" t="s">
        <v>32154</v>
      </c>
      <c r="BA911" t="s">
        <v>69</v>
      </c>
      <c r="BB911">
        <v>1998</v>
      </c>
      <c r="BC911">
        <v>24</v>
      </c>
      <c r="BD911">
        <v>2</v>
      </c>
      <c r="BE911" t="s">
        <v>69</v>
      </c>
      <c r="BF911" t="s">
        <v>69</v>
      </c>
      <c r="BG911" t="s">
        <v>69</v>
      </c>
      <c r="BH911" t="s">
        <v>69</v>
      </c>
      <c r="BI911">
        <v>83</v>
      </c>
      <c r="BJ911">
        <v>95</v>
      </c>
      <c r="BK911" t="s">
        <v>69</v>
      </c>
      <c r="BL911" t="s">
        <v>32155</v>
      </c>
      <c r="BM911" t="str">
        <f>HYPERLINK("http://dx.doi.org/10.1177/016555159802400203","http://dx.doi.org/10.1177/016555159802400203")</f>
        <v>http://dx.doi.org/10.1177/016555159802400203</v>
      </c>
      <c r="BN911" t="s">
        <v>69</v>
      </c>
      <c r="BO911" t="s">
        <v>69</v>
      </c>
      <c r="BP911">
        <v>13</v>
      </c>
      <c r="BQ911" t="s">
        <v>13389</v>
      </c>
      <c r="BR911" t="s">
        <v>8523</v>
      </c>
      <c r="BS911" t="s">
        <v>10632</v>
      </c>
      <c r="BT911" t="s">
        <v>32156</v>
      </c>
      <c r="BU911" t="s">
        <v>32157</v>
      </c>
      <c r="BV911" t="s">
        <v>69</v>
      </c>
      <c r="BW911" t="s">
        <v>69</v>
      </c>
      <c r="BX911" t="s">
        <v>69</v>
      </c>
      <c r="BY911" t="s">
        <v>69</v>
      </c>
      <c r="BZ911" t="s">
        <v>8526</v>
      </c>
      <c r="CA911" t="str">
        <f>HYPERLINK("https%3A%2F%2Fwww.webofscience.com%2Fwos%2Fwoscc%2Ffull-record%2FWOS:000072747800003","View Full Record in Web of Science")</f>
        <v>View Full Record in Web of Science</v>
      </c>
    </row>
    <row r="912" spans="2:79" ht="12.5" x14ac:dyDescent="0.25">
      <c r="B912" t="s">
        <v>8495</v>
      </c>
      <c r="D912" s="7" t="s">
        <v>32933</v>
      </c>
      <c r="E912" s="7"/>
      <c r="F912" s="7"/>
      <c r="G912" s="7"/>
      <c r="H912" t="s">
        <v>67</v>
      </c>
      <c r="I912" t="s">
        <v>5226</v>
      </c>
      <c r="J912" t="s">
        <v>69</v>
      </c>
      <c r="K912" t="s">
        <v>69</v>
      </c>
      <c r="L912" t="s">
        <v>69</v>
      </c>
      <c r="M912" t="s">
        <v>5227</v>
      </c>
      <c r="N912" t="s">
        <v>69</v>
      </c>
      <c r="O912" t="s">
        <v>69</v>
      </c>
      <c r="P912" t="s">
        <v>5228</v>
      </c>
      <c r="Q912" t="s">
        <v>5229</v>
      </c>
      <c r="R912" t="s">
        <v>69</v>
      </c>
      <c r="S912" t="s">
        <v>69</v>
      </c>
      <c r="T912" t="s">
        <v>10071</v>
      </c>
      <c r="U912" t="s">
        <v>8506</v>
      </c>
      <c r="V912" t="s">
        <v>69</v>
      </c>
      <c r="W912" t="s">
        <v>69</v>
      </c>
      <c r="X912" t="s">
        <v>69</v>
      </c>
      <c r="Y912" t="s">
        <v>69</v>
      </c>
      <c r="Z912" t="s">
        <v>69</v>
      </c>
      <c r="AA912" t="s">
        <v>19482</v>
      </c>
      <c r="AB912" t="s">
        <v>69</v>
      </c>
      <c r="AC912" t="s">
        <v>5230</v>
      </c>
      <c r="AD912" t="s">
        <v>19483</v>
      </c>
      <c r="AE912" t="s">
        <v>69</v>
      </c>
      <c r="AF912" t="s">
        <v>19484</v>
      </c>
      <c r="AG912" t="s">
        <v>19485</v>
      </c>
      <c r="AH912" t="s">
        <v>69</v>
      </c>
      <c r="AI912" t="s">
        <v>69</v>
      </c>
      <c r="AJ912" t="s">
        <v>69</v>
      </c>
      <c r="AK912" t="s">
        <v>69</v>
      </c>
      <c r="AL912" t="s">
        <v>69</v>
      </c>
      <c r="AM912" t="s">
        <v>69</v>
      </c>
      <c r="AN912">
        <v>32</v>
      </c>
      <c r="AO912">
        <v>1</v>
      </c>
      <c r="AP912">
        <v>1</v>
      </c>
      <c r="AQ912">
        <v>0</v>
      </c>
      <c r="AR912">
        <v>9</v>
      </c>
      <c r="AS912" t="s">
        <v>19486</v>
      </c>
      <c r="AT912" t="s">
        <v>19487</v>
      </c>
      <c r="AU912" t="s">
        <v>19488</v>
      </c>
      <c r="AV912" t="s">
        <v>5231</v>
      </c>
      <c r="AW912" t="s">
        <v>5232</v>
      </c>
      <c r="AX912" t="s">
        <v>69</v>
      </c>
      <c r="AY912" t="s">
        <v>19489</v>
      </c>
      <c r="AZ912" t="s">
        <v>19490</v>
      </c>
      <c r="BA912" t="s">
        <v>602</v>
      </c>
      <c r="BB912">
        <v>2018</v>
      </c>
      <c r="BC912">
        <v>31</v>
      </c>
      <c r="BD912">
        <v>1</v>
      </c>
      <c r="BE912" t="s">
        <v>69</v>
      </c>
      <c r="BF912" t="s">
        <v>69</v>
      </c>
      <c r="BG912" t="s">
        <v>69</v>
      </c>
      <c r="BH912" t="s">
        <v>69</v>
      </c>
      <c r="BI912">
        <v>178</v>
      </c>
      <c r="BJ912">
        <v>189</v>
      </c>
      <c r="BK912" t="s">
        <v>69</v>
      </c>
      <c r="BL912" t="s">
        <v>5233</v>
      </c>
      <c r="BM912" t="str">
        <f>HYPERLINK("http://dx.doi.org/10.18845/tm.v31i1.3507","http://dx.doi.org/10.18845/tm.v31i1.3507")</f>
        <v>http://dx.doi.org/10.18845/tm.v31i1.3507</v>
      </c>
      <c r="BN912" t="s">
        <v>69</v>
      </c>
      <c r="BO912" t="s">
        <v>69</v>
      </c>
      <c r="BP912">
        <v>12</v>
      </c>
      <c r="BQ912" t="s">
        <v>8619</v>
      </c>
      <c r="BR912" t="s">
        <v>8573</v>
      </c>
      <c r="BS912" t="s">
        <v>8620</v>
      </c>
      <c r="BT912" t="s">
        <v>19491</v>
      </c>
      <c r="BU912" t="s">
        <v>5234</v>
      </c>
      <c r="BV912" t="s">
        <v>69</v>
      </c>
      <c r="BW912" t="s">
        <v>17361</v>
      </c>
      <c r="BX912" t="s">
        <v>69</v>
      </c>
      <c r="BY912" t="s">
        <v>69</v>
      </c>
      <c r="BZ912" t="s">
        <v>8526</v>
      </c>
      <c r="CA912" t="str">
        <f>HYPERLINK("https%3A%2F%2Fwww.webofscience.com%2Fwos%2Fwoscc%2Ffull-record%2FWOS:000437041100015","View Full Record in Web of Science")</f>
        <v>View Full Record in Web of Science</v>
      </c>
    </row>
    <row r="913" spans="1:79" x14ac:dyDescent="0.3">
      <c r="A913" t="s">
        <v>8408</v>
      </c>
      <c r="B913" t="s">
        <v>8495</v>
      </c>
      <c r="D913" s="10" t="s">
        <v>33190</v>
      </c>
      <c r="F913" s="10" t="s">
        <v>8490</v>
      </c>
      <c r="H913" t="s">
        <v>67</v>
      </c>
      <c r="I913" t="s">
        <v>4448</v>
      </c>
      <c r="J913" t="s">
        <v>69</v>
      </c>
      <c r="K913" t="s">
        <v>69</v>
      </c>
      <c r="L913" t="s">
        <v>69</v>
      </c>
      <c r="M913" s="2" t="s">
        <v>4449</v>
      </c>
      <c r="N913" t="s">
        <v>69</v>
      </c>
      <c r="O913" t="s">
        <v>69</v>
      </c>
      <c r="P913" s="2" t="s">
        <v>4450</v>
      </c>
      <c r="Q913" t="s">
        <v>4337</v>
      </c>
      <c r="R913" t="s">
        <v>69</v>
      </c>
      <c r="S913" t="s">
        <v>69</v>
      </c>
      <c r="T913" t="s">
        <v>8505</v>
      </c>
      <c r="U913" t="s">
        <v>8506</v>
      </c>
      <c r="V913" t="s">
        <v>69</v>
      </c>
      <c r="W913" t="s">
        <v>69</v>
      </c>
      <c r="X913" t="s">
        <v>69</v>
      </c>
      <c r="Y913" t="s">
        <v>69</v>
      </c>
      <c r="Z913" t="s">
        <v>69</v>
      </c>
      <c r="AA913" t="s">
        <v>17096</v>
      </c>
      <c r="AB913" t="s">
        <v>17097</v>
      </c>
      <c r="AC913" t="s">
        <v>4451</v>
      </c>
      <c r="AD913" t="s">
        <v>17098</v>
      </c>
      <c r="AE913" t="s">
        <v>69</v>
      </c>
      <c r="AF913" t="s">
        <v>17099</v>
      </c>
      <c r="AG913" t="s">
        <v>17100</v>
      </c>
      <c r="AH913" t="s">
        <v>69</v>
      </c>
      <c r="AI913" t="s">
        <v>4452</v>
      </c>
      <c r="AJ913" t="s">
        <v>69</v>
      </c>
      <c r="AK913" t="s">
        <v>69</v>
      </c>
      <c r="AL913" t="s">
        <v>69</v>
      </c>
      <c r="AM913" t="s">
        <v>69</v>
      </c>
      <c r="AN913">
        <v>70</v>
      </c>
      <c r="AO913">
        <v>17</v>
      </c>
      <c r="AP913">
        <v>17</v>
      </c>
      <c r="AQ913">
        <v>13</v>
      </c>
      <c r="AR913">
        <v>56</v>
      </c>
      <c r="AS913" t="s">
        <v>8636</v>
      </c>
      <c r="AT913" t="s">
        <v>8637</v>
      </c>
      <c r="AU913" t="s">
        <v>8638</v>
      </c>
      <c r="AV913" t="s">
        <v>4341</v>
      </c>
      <c r="AW913" t="s">
        <v>4342</v>
      </c>
      <c r="AX913" t="s">
        <v>69</v>
      </c>
      <c r="AY913" t="s">
        <v>4337</v>
      </c>
      <c r="AZ913" t="s">
        <v>8447</v>
      </c>
      <c r="BA913" t="s">
        <v>84</v>
      </c>
      <c r="BB913">
        <v>2019</v>
      </c>
      <c r="BC913">
        <v>90</v>
      </c>
      <c r="BD913" t="s">
        <v>69</v>
      </c>
      <c r="BE913" t="s">
        <v>69</v>
      </c>
      <c r="BF913" t="s">
        <v>69</v>
      </c>
      <c r="BG913" t="s">
        <v>69</v>
      </c>
      <c r="BH913" t="s">
        <v>69</v>
      </c>
      <c r="BI913">
        <v>157</v>
      </c>
      <c r="BJ913">
        <v>167</v>
      </c>
      <c r="BK913" t="s">
        <v>69</v>
      </c>
      <c r="BL913" t="s">
        <v>4453</v>
      </c>
      <c r="BM913" t="str">
        <f>HYPERLINK("http://dx.doi.org/10.1016/j.cities.2019.02.002","http://dx.doi.org/10.1016/j.cities.2019.02.002")</f>
        <v>http://dx.doi.org/10.1016/j.cities.2019.02.002</v>
      </c>
      <c r="BN913" t="s">
        <v>69</v>
      </c>
      <c r="BO913" t="s">
        <v>69</v>
      </c>
      <c r="BP913">
        <v>11</v>
      </c>
      <c r="BQ913" t="s">
        <v>8475</v>
      </c>
      <c r="BR913" t="s">
        <v>8661</v>
      </c>
      <c r="BS913" t="s">
        <v>8475</v>
      </c>
      <c r="BT913" t="s">
        <v>17101</v>
      </c>
      <c r="BU913" t="s">
        <v>4454</v>
      </c>
      <c r="BV913" t="s">
        <v>69</v>
      </c>
      <c r="BW913" t="s">
        <v>10423</v>
      </c>
      <c r="BX913" t="s">
        <v>69</v>
      </c>
      <c r="BY913" t="s">
        <v>69</v>
      </c>
      <c r="BZ913" t="s">
        <v>8526</v>
      </c>
      <c r="CA913" t="str">
        <f>HYPERLINK("https%3A%2F%2Fwww.webofscience.com%2Fwos%2Fwoscc%2Ffull-record%2FWOS:000471737900015","View Full Record in Web of Science")</f>
        <v>View Full Record in Web of Science</v>
      </c>
    </row>
    <row r="914" spans="1:79" x14ac:dyDescent="0.3">
      <c r="B914" t="s">
        <v>8495</v>
      </c>
      <c r="D914" s="9" t="s">
        <v>32996</v>
      </c>
      <c r="E914" s="9" t="s">
        <v>33145</v>
      </c>
      <c r="F914" s="9" t="s">
        <v>8491</v>
      </c>
      <c r="G914" s="9" t="s">
        <v>8490</v>
      </c>
      <c r="H914" t="s">
        <v>67</v>
      </c>
      <c r="I914" t="s">
        <v>19552</v>
      </c>
      <c r="J914" t="s">
        <v>69</v>
      </c>
      <c r="K914" t="s">
        <v>69</v>
      </c>
      <c r="L914" t="s">
        <v>69</v>
      </c>
      <c r="M914" t="s">
        <v>19553</v>
      </c>
      <c r="N914" t="s">
        <v>69</v>
      </c>
      <c r="O914" t="s">
        <v>69</v>
      </c>
      <c r="P914" t="s">
        <v>19554</v>
      </c>
      <c r="Q914" t="s">
        <v>19555</v>
      </c>
      <c r="R914" t="s">
        <v>69</v>
      </c>
      <c r="S914" t="s">
        <v>69</v>
      </c>
      <c r="T914" t="s">
        <v>8505</v>
      </c>
      <c r="U914" t="s">
        <v>8506</v>
      </c>
      <c r="V914" t="s">
        <v>69</v>
      </c>
      <c r="W914" t="s">
        <v>69</v>
      </c>
      <c r="X914" t="s">
        <v>69</v>
      </c>
      <c r="Y914" t="s">
        <v>69</v>
      </c>
      <c r="Z914" t="s">
        <v>69</v>
      </c>
      <c r="AA914" t="s">
        <v>19556</v>
      </c>
      <c r="AB914" t="s">
        <v>19557</v>
      </c>
      <c r="AC914" t="s">
        <v>19558</v>
      </c>
      <c r="AD914" t="s">
        <v>19559</v>
      </c>
      <c r="AE914" t="s">
        <v>69</v>
      </c>
      <c r="AF914" t="s">
        <v>19560</v>
      </c>
      <c r="AG914" t="s">
        <v>19561</v>
      </c>
      <c r="AH914" t="s">
        <v>19562</v>
      </c>
      <c r="AI914" t="s">
        <v>19563</v>
      </c>
      <c r="AJ914" t="s">
        <v>69</v>
      </c>
      <c r="AK914" t="s">
        <v>69</v>
      </c>
      <c r="AL914" t="s">
        <v>69</v>
      </c>
      <c r="AM914" t="s">
        <v>69</v>
      </c>
      <c r="AN914">
        <v>102</v>
      </c>
      <c r="AO914">
        <v>3</v>
      </c>
      <c r="AP914">
        <v>3</v>
      </c>
      <c r="AQ914">
        <v>0</v>
      </c>
      <c r="AR914">
        <v>13</v>
      </c>
      <c r="AS914" t="s">
        <v>8586</v>
      </c>
      <c r="AT914" t="s">
        <v>8587</v>
      </c>
      <c r="AU914" t="s">
        <v>8588</v>
      </c>
      <c r="AV914" t="s">
        <v>19564</v>
      </c>
      <c r="AW914" t="s">
        <v>19565</v>
      </c>
      <c r="AX914" t="s">
        <v>69</v>
      </c>
      <c r="AY914" t="s">
        <v>19566</v>
      </c>
      <c r="AZ914" t="s">
        <v>19567</v>
      </c>
      <c r="BA914" t="s">
        <v>69</v>
      </c>
      <c r="BB914">
        <v>2018</v>
      </c>
      <c r="BC914">
        <v>41</v>
      </c>
      <c r="BD914">
        <v>3</v>
      </c>
      <c r="BE914" t="s">
        <v>69</v>
      </c>
      <c r="BF914" t="s">
        <v>69</v>
      </c>
      <c r="BG914" t="s">
        <v>69</v>
      </c>
      <c r="BH914" t="s">
        <v>69</v>
      </c>
      <c r="BI914">
        <v>278</v>
      </c>
      <c r="BJ914">
        <v>295</v>
      </c>
      <c r="BK914" t="s">
        <v>69</v>
      </c>
      <c r="BL914" t="s">
        <v>19568</v>
      </c>
      <c r="BM914" t="str">
        <f>HYPERLINK("http://dx.doi.org/10.1108/MRR-02-2017-0028","http://dx.doi.org/10.1108/MRR-02-2017-0028")</f>
        <v>http://dx.doi.org/10.1108/MRR-02-2017-0028</v>
      </c>
      <c r="BN914" t="s">
        <v>69</v>
      </c>
      <c r="BO914" t="s">
        <v>69</v>
      </c>
      <c r="BP914">
        <v>18</v>
      </c>
      <c r="BQ914" t="s">
        <v>9410</v>
      </c>
      <c r="BR914" t="s">
        <v>8573</v>
      </c>
      <c r="BS914" t="s">
        <v>8594</v>
      </c>
      <c r="BT914" t="s">
        <v>19569</v>
      </c>
      <c r="BU914" t="s">
        <v>19570</v>
      </c>
      <c r="BV914" t="s">
        <v>69</v>
      </c>
      <c r="BW914" t="s">
        <v>69</v>
      </c>
      <c r="BX914" t="s">
        <v>69</v>
      </c>
      <c r="BY914" t="s">
        <v>69</v>
      </c>
      <c r="BZ914" t="s">
        <v>8526</v>
      </c>
      <c r="CA914" t="str">
        <f>HYPERLINK("https%3A%2F%2Fwww.webofscience.com%2Fwos%2Fwoscc%2Ffull-record%2FWOS:000430014800001","View Full Record in Web of Science")</f>
        <v>View Full Record in Web of Science</v>
      </c>
    </row>
    <row r="915" spans="1:79" ht="12.5" x14ac:dyDescent="0.25">
      <c r="B915" t="s">
        <v>8495</v>
      </c>
      <c r="D915" s="7" t="s">
        <v>32933</v>
      </c>
      <c r="E915" s="7"/>
      <c r="F915" s="7"/>
      <c r="G915" s="7"/>
      <c r="H915" t="s">
        <v>67</v>
      </c>
      <c r="I915" t="s">
        <v>2795</v>
      </c>
      <c r="J915" t="s">
        <v>69</v>
      </c>
      <c r="K915" t="s">
        <v>69</v>
      </c>
      <c r="L915" t="s">
        <v>69</v>
      </c>
      <c r="M915" t="s">
        <v>2796</v>
      </c>
      <c r="N915" t="s">
        <v>69</v>
      </c>
      <c r="O915" t="s">
        <v>69</v>
      </c>
      <c r="P915" t="s">
        <v>2797</v>
      </c>
      <c r="Q915" t="s">
        <v>2798</v>
      </c>
      <c r="R915" t="s">
        <v>69</v>
      </c>
      <c r="S915" t="s">
        <v>69</v>
      </c>
      <c r="T915" t="s">
        <v>8505</v>
      </c>
      <c r="U915" t="s">
        <v>8506</v>
      </c>
      <c r="V915" t="s">
        <v>69</v>
      </c>
      <c r="W915" t="s">
        <v>69</v>
      </c>
      <c r="X915" t="s">
        <v>69</v>
      </c>
      <c r="Y915" t="s">
        <v>69</v>
      </c>
      <c r="Z915" t="s">
        <v>69</v>
      </c>
      <c r="AA915" t="s">
        <v>69</v>
      </c>
      <c r="AB915" t="s">
        <v>69</v>
      </c>
      <c r="AC915" t="s">
        <v>2799</v>
      </c>
      <c r="AD915" t="s">
        <v>21391</v>
      </c>
      <c r="AE915" t="s">
        <v>69</v>
      </c>
      <c r="AF915" t="s">
        <v>21392</v>
      </c>
      <c r="AG915" t="s">
        <v>21393</v>
      </c>
      <c r="AH915" t="s">
        <v>2800</v>
      </c>
      <c r="AI915" t="s">
        <v>2801</v>
      </c>
      <c r="AJ915" t="s">
        <v>69</v>
      </c>
      <c r="AK915" t="s">
        <v>69</v>
      </c>
      <c r="AL915" t="s">
        <v>69</v>
      </c>
      <c r="AM915" t="s">
        <v>69</v>
      </c>
      <c r="AN915">
        <v>11</v>
      </c>
      <c r="AO915">
        <v>18</v>
      </c>
      <c r="AP915">
        <v>18</v>
      </c>
      <c r="AQ915">
        <v>1</v>
      </c>
      <c r="AR915">
        <v>30</v>
      </c>
      <c r="AS915" t="s">
        <v>9047</v>
      </c>
      <c r="AT915" t="s">
        <v>9048</v>
      </c>
      <c r="AU915" t="s">
        <v>9049</v>
      </c>
      <c r="AV915" t="s">
        <v>2802</v>
      </c>
      <c r="AW915" t="s">
        <v>2803</v>
      </c>
      <c r="AX915" t="s">
        <v>69</v>
      </c>
      <c r="AY915" t="s">
        <v>21394</v>
      </c>
      <c r="AZ915" t="s">
        <v>21395</v>
      </c>
      <c r="BA915" t="s">
        <v>255</v>
      </c>
      <c r="BB915">
        <v>2016</v>
      </c>
      <c r="BC915">
        <v>27</v>
      </c>
      <c r="BD915">
        <v>9</v>
      </c>
      <c r="BE915" t="s">
        <v>69</v>
      </c>
      <c r="BF915" t="s">
        <v>69</v>
      </c>
      <c r="BG915" t="s">
        <v>69</v>
      </c>
      <c r="BH915" t="s">
        <v>69</v>
      </c>
      <c r="BI915" t="s">
        <v>69</v>
      </c>
      <c r="BJ915" t="s">
        <v>69</v>
      </c>
      <c r="BK915">
        <v>144</v>
      </c>
      <c r="BL915" t="s">
        <v>2804</v>
      </c>
      <c r="BM915" t="str">
        <f>HYPERLINK("http://dx.doi.org/10.1007/s10856-016-5759-5","http://dx.doi.org/10.1007/s10856-016-5759-5")</f>
        <v>http://dx.doi.org/10.1007/s10856-016-5759-5</v>
      </c>
      <c r="BN915" t="s">
        <v>69</v>
      </c>
      <c r="BO915" t="s">
        <v>69</v>
      </c>
      <c r="BP915">
        <v>7</v>
      </c>
      <c r="BQ915" t="s">
        <v>21396</v>
      </c>
      <c r="BR915" t="s">
        <v>8548</v>
      </c>
      <c r="BS915" t="s">
        <v>21397</v>
      </c>
      <c r="BT915" t="s">
        <v>21398</v>
      </c>
      <c r="BU915" t="s">
        <v>2805</v>
      </c>
      <c r="BV915">
        <v>27552808</v>
      </c>
      <c r="BW915" t="s">
        <v>9374</v>
      </c>
      <c r="BX915" t="s">
        <v>69</v>
      </c>
      <c r="BY915" t="s">
        <v>69</v>
      </c>
      <c r="BZ915" t="s">
        <v>8526</v>
      </c>
      <c r="CA915" t="str">
        <f>HYPERLINK("https%3A%2F%2Fwww.webofscience.com%2Fwos%2Fwoscc%2Ffull-record%2FWOS:000382694800009","View Full Record in Web of Science")</f>
        <v>View Full Record in Web of Science</v>
      </c>
    </row>
    <row r="916" spans="1:79" ht="12.5" x14ac:dyDescent="0.25">
      <c r="B916" t="s">
        <v>8495</v>
      </c>
      <c r="D916" s="22" t="s">
        <v>32931</v>
      </c>
      <c r="E916" s="7"/>
      <c r="F916" s="7"/>
      <c r="G916" s="7"/>
      <c r="H916" t="s">
        <v>67</v>
      </c>
      <c r="I916" t="s">
        <v>9031</v>
      </c>
      <c r="J916" t="s">
        <v>69</v>
      </c>
      <c r="K916" t="s">
        <v>69</v>
      </c>
      <c r="L916" t="s">
        <v>69</v>
      </c>
      <c r="M916" t="s">
        <v>9032</v>
      </c>
      <c r="N916" t="s">
        <v>69</v>
      </c>
      <c r="O916" t="s">
        <v>69</v>
      </c>
      <c r="P916" t="s">
        <v>9033</v>
      </c>
      <c r="Q916" t="s">
        <v>9034</v>
      </c>
      <c r="R916" t="s">
        <v>69</v>
      </c>
      <c r="S916" t="s">
        <v>69</v>
      </c>
      <c r="T916" t="s">
        <v>8505</v>
      </c>
      <c r="U916" t="s">
        <v>9035</v>
      </c>
      <c r="V916" t="s">
        <v>69</v>
      </c>
      <c r="W916" t="s">
        <v>69</v>
      </c>
      <c r="X916" t="s">
        <v>69</v>
      </c>
      <c r="Y916" t="s">
        <v>69</v>
      </c>
      <c r="Z916" t="s">
        <v>69</v>
      </c>
      <c r="AA916" t="s">
        <v>9036</v>
      </c>
      <c r="AB916" t="s">
        <v>9037</v>
      </c>
      <c r="AC916" t="s">
        <v>9038</v>
      </c>
      <c r="AD916" t="s">
        <v>9039</v>
      </c>
      <c r="AE916" t="s">
        <v>69</v>
      </c>
      <c r="AF916" t="s">
        <v>9040</v>
      </c>
      <c r="AG916" t="s">
        <v>9041</v>
      </c>
      <c r="AH916" t="s">
        <v>9042</v>
      </c>
      <c r="AI916" t="s">
        <v>9043</v>
      </c>
      <c r="AJ916" t="s">
        <v>9044</v>
      </c>
      <c r="AK916" t="s">
        <v>9045</v>
      </c>
      <c r="AL916" t="s">
        <v>9046</v>
      </c>
      <c r="AM916" t="s">
        <v>69</v>
      </c>
      <c r="AN916">
        <v>128</v>
      </c>
      <c r="AO916">
        <v>0</v>
      </c>
      <c r="AP916">
        <v>0</v>
      </c>
      <c r="AQ916">
        <v>3</v>
      </c>
      <c r="AR916">
        <v>3</v>
      </c>
      <c r="AS916" t="s">
        <v>9047</v>
      </c>
      <c r="AT916" t="s">
        <v>9048</v>
      </c>
      <c r="AU916" t="s">
        <v>9049</v>
      </c>
      <c r="AV916" t="s">
        <v>9050</v>
      </c>
      <c r="AW916" t="s">
        <v>9051</v>
      </c>
      <c r="AX916" t="s">
        <v>69</v>
      </c>
      <c r="AY916" t="s">
        <v>9052</v>
      </c>
      <c r="AZ916" t="s">
        <v>9053</v>
      </c>
      <c r="BA916" t="s">
        <v>69</v>
      </c>
      <c r="BB916" t="s">
        <v>69</v>
      </c>
      <c r="BC916" t="s">
        <v>69</v>
      </c>
      <c r="BD916" t="s">
        <v>69</v>
      </c>
      <c r="BE916" t="s">
        <v>69</v>
      </c>
      <c r="BF916" t="s">
        <v>69</v>
      </c>
      <c r="BG916" t="s">
        <v>69</v>
      </c>
      <c r="BH916" t="s">
        <v>69</v>
      </c>
      <c r="BI916" t="s">
        <v>69</v>
      </c>
      <c r="BJ916" t="s">
        <v>69</v>
      </c>
      <c r="BK916" t="s">
        <v>69</v>
      </c>
      <c r="BL916" t="s">
        <v>9054</v>
      </c>
      <c r="BM916" t="str">
        <f>HYPERLINK("http://dx.doi.org/10.1007/s11160-022-09715-w","http://dx.doi.org/10.1007/s11160-022-09715-w")</f>
        <v>http://dx.doi.org/10.1007/s11160-022-09715-w</v>
      </c>
      <c r="BN916" t="s">
        <v>69</v>
      </c>
      <c r="BO916" t="s">
        <v>9025</v>
      </c>
      <c r="BP916">
        <v>19</v>
      </c>
      <c r="BQ916" t="s">
        <v>9055</v>
      </c>
      <c r="BR916" t="s">
        <v>8548</v>
      </c>
      <c r="BS916" t="s">
        <v>9055</v>
      </c>
      <c r="BT916" t="s">
        <v>9056</v>
      </c>
      <c r="BU916" t="s">
        <v>9057</v>
      </c>
      <c r="BV916" t="s">
        <v>69</v>
      </c>
      <c r="BW916" t="s">
        <v>69</v>
      </c>
      <c r="BX916" t="s">
        <v>69</v>
      </c>
      <c r="BY916" t="s">
        <v>69</v>
      </c>
      <c r="BZ916" t="s">
        <v>8526</v>
      </c>
      <c r="CA916" t="str">
        <f>HYPERLINK("https%3A%2F%2Fwww.webofscience.com%2Fwos%2Fwoscc%2Ffull-record%2FWOS:000795511700001","View Full Record in Web of Science")</f>
        <v>View Full Record in Web of Science</v>
      </c>
    </row>
    <row r="917" spans="1:79" ht="12.5" x14ac:dyDescent="0.25">
      <c r="B917" t="s">
        <v>8495</v>
      </c>
      <c r="D917" s="22" t="s">
        <v>32931</v>
      </c>
      <c r="E917" s="7"/>
      <c r="F917" s="7"/>
      <c r="G917" s="7"/>
      <c r="H917" t="s">
        <v>67</v>
      </c>
      <c r="I917" t="s">
        <v>12624</v>
      </c>
      <c r="J917" t="s">
        <v>69</v>
      </c>
      <c r="K917" t="s">
        <v>69</v>
      </c>
      <c r="L917" t="s">
        <v>69</v>
      </c>
      <c r="M917" t="s">
        <v>12625</v>
      </c>
      <c r="N917" t="s">
        <v>69</v>
      </c>
      <c r="O917" t="s">
        <v>69</v>
      </c>
      <c r="P917" t="s">
        <v>12626</v>
      </c>
      <c r="Q917" t="s">
        <v>352</v>
      </c>
      <c r="R917" t="s">
        <v>69</v>
      </c>
      <c r="S917" t="s">
        <v>69</v>
      </c>
      <c r="T917" t="s">
        <v>8505</v>
      </c>
      <c r="U917" t="s">
        <v>8506</v>
      </c>
      <c r="V917" t="s">
        <v>69</v>
      </c>
      <c r="W917" t="s">
        <v>69</v>
      </c>
      <c r="X917" t="s">
        <v>69</v>
      </c>
      <c r="Y917" t="s">
        <v>69</v>
      </c>
      <c r="Z917" t="s">
        <v>69</v>
      </c>
      <c r="AA917" t="s">
        <v>12627</v>
      </c>
      <c r="AB917" t="s">
        <v>69</v>
      </c>
      <c r="AC917" t="s">
        <v>12628</v>
      </c>
      <c r="AD917" t="s">
        <v>12629</v>
      </c>
      <c r="AE917" t="s">
        <v>69</v>
      </c>
      <c r="AF917" t="s">
        <v>12630</v>
      </c>
      <c r="AG917" t="s">
        <v>12631</v>
      </c>
      <c r="AH917" t="s">
        <v>12632</v>
      </c>
      <c r="AI917" t="s">
        <v>12633</v>
      </c>
      <c r="AJ917" t="s">
        <v>12634</v>
      </c>
      <c r="AK917" t="s">
        <v>12634</v>
      </c>
      <c r="AL917" t="s">
        <v>12635</v>
      </c>
      <c r="AM917" t="s">
        <v>69</v>
      </c>
      <c r="AN917">
        <v>47</v>
      </c>
      <c r="AO917">
        <v>0</v>
      </c>
      <c r="AP917">
        <v>0</v>
      </c>
      <c r="AQ917">
        <v>7</v>
      </c>
      <c r="AR917">
        <v>17</v>
      </c>
      <c r="AS917" t="s">
        <v>8924</v>
      </c>
      <c r="AT917" t="s">
        <v>8925</v>
      </c>
      <c r="AU917" t="s">
        <v>8926</v>
      </c>
      <c r="AV917" t="s">
        <v>69</v>
      </c>
      <c r="AW917" t="s">
        <v>354</v>
      </c>
      <c r="AX917" t="s">
        <v>69</v>
      </c>
      <c r="AY917" t="s">
        <v>8958</v>
      </c>
      <c r="AZ917" t="s">
        <v>8434</v>
      </c>
      <c r="BA917" t="s">
        <v>246</v>
      </c>
      <c r="BB917">
        <v>2021</v>
      </c>
      <c r="BC917">
        <v>13</v>
      </c>
      <c r="BD917">
        <v>7</v>
      </c>
      <c r="BE917" t="s">
        <v>69</v>
      </c>
      <c r="BF917" t="s">
        <v>69</v>
      </c>
      <c r="BG917" t="s">
        <v>69</v>
      </c>
      <c r="BH917" t="s">
        <v>69</v>
      </c>
      <c r="BI917" t="s">
        <v>69</v>
      </c>
      <c r="BJ917" t="s">
        <v>69</v>
      </c>
      <c r="BK917">
        <v>3976</v>
      </c>
      <c r="BL917" t="s">
        <v>12636</v>
      </c>
      <c r="BM917" t="str">
        <f>HYPERLINK("http://dx.doi.org/10.3390/su13073976","http://dx.doi.org/10.3390/su13073976")</f>
        <v>http://dx.doi.org/10.3390/su13073976</v>
      </c>
      <c r="BN917" t="s">
        <v>69</v>
      </c>
      <c r="BO917" t="s">
        <v>69</v>
      </c>
      <c r="BP917">
        <v>12</v>
      </c>
      <c r="BQ917" t="s">
        <v>8960</v>
      </c>
      <c r="BR917" t="s">
        <v>8523</v>
      </c>
      <c r="BS917" t="s">
        <v>8961</v>
      </c>
      <c r="BT917" t="s">
        <v>12637</v>
      </c>
      <c r="BU917" t="s">
        <v>12638</v>
      </c>
      <c r="BV917" t="s">
        <v>69</v>
      </c>
      <c r="BW917" t="s">
        <v>8812</v>
      </c>
      <c r="BX917" t="s">
        <v>69</v>
      </c>
      <c r="BY917" t="s">
        <v>69</v>
      </c>
      <c r="BZ917" t="s">
        <v>8526</v>
      </c>
      <c r="CA917" t="str">
        <f>HYPERLINK("https%3A%2F%2Fwww.webofscience.com%2Fwos%2Fwoscc%2Ffull-record%2FWOS:000638908500001","View Full Record in Web of Science")</f>
        <v>View Full Record in Web of Science</v>
      </c>
    </row>
    <row r="918" spans="1:79" ht="12.5" x14ac:dyDescent="0.25">
      <c r="B918" t="s">
        <v>8495</v>
      </c>
      <c r="D918" s="22" t="s">
        <v>32931</v>
      </c>
      <c r="E918" s="7"/>
      <c r="F918" s="7"/>
      <c r="G918" s="7"/>
      <c r="H918" t="s">
        <v>67</v>
      </c>
      <c r="I918" t="s">
        <v>20732</v>
      </c>
      <c r="J918" t="s">
        <v>69</v>
      </c>
      <c r="K918" t="s">
        <v>69</v>
      </c>
      <c r="L918" t="s">
        <v>69</v>
      </c>
      <c r="M918" t="s">
        <v>20733</v>
      </c>
      <c r="N918" t="s">
        <v>69</v>
      </c>
      <c r="O918" t="s">
        <v>69</v>
      </c>
      <c r="P918" t="s">
        <v>20734</v>
      </c>
      <c r="Q918" t="s">
        <v>316</v>
      </c>
      <c r="R918" t="s">
        <v>69</v>
      </c>
      <c r="S918" t="s">
        <v>69</v>
      </c>
      <c r="T918" t="s">
        <v>8505</v>
      </c>
      <c r="U918" t="s">
        <v>8506</v>
      </c>
      <c r="V918" t="s">
        <v>69</v>
      </c>
      <c r="W918" t="s">
        <v>69</v>
      </c>
      <c r="X918" t="s">
        <v>69</v>
      </c>
      <c r="Y918" t="s">
        <v>69</v>
      </c>
      <c r="Z918" t="s">
        <v>69</v>
      </c>
      <c r="AA918" t="s">
        <v>20735</v>
      </c>
      <c r="AB918" t="s">
        <v>20736</v>
      </c>
      <c r="AC918" t="s">
        <v>20737</v>
      </c>
      <c r="AD918" t="s">
        <v>20738</v>
      </c>
      <c r="AE918" t="s">
        <v>69</v>
      </c>
      <c r="AF918" t="s">
        <v>20739</v>
      </c>
      <c r="AG918" t="s">
        <v>20740</v>
      </c>
      <c r="AH918" t="s">
        <v>20741</v>
      </c>
      <c r="AI918" t="s">
        <v>20742</v>
      </c>
      <c r="AJ918" t="s">
        <v>69</v>
      </c>
      <c r="AK918" t="s">
        <v>69</v>
      </c>
      <c r="AL918" t="s">
        <v>69</v>
      </c>
      <c r="AM918" t="s">
        <v>69</v>
      </c>
      <c r="AN918">
        <v>94</v>
      </c>
      <c r="AO918">
        <v>12</v>
      </c>
      <c r="AP918">
        <v>12</v>
      </c>
      <c r="AQ918">
        <v>0</v>
      </c>
      <c r="AR918">
        <v>9</v>
      </c>
      <c r="AS918" t="s">
        <v>8586</v>
      </c>
      <c r="AT918" t="s">
        <v>8587</v>
      </c>
      <c r="AU918" t="s">
        <v>8588</v>
      </c>
      <c r="AV918" t="s">
        <v>318</v>
      </c>
      <c r="AW918" t="s">
        <v>319</v>
      </c>
      <c r="AX918" t="s">
        <v>69</v>
      </c>
      <c r="AY918" t="s">
        <v>11313</v>
      </c>
      <c r="AZ918" t="s">
        <v>11314</v>
      </c>
      <c r="BA918" t="s">
        <v>69</v>
      </c>
      <c r="BB918">
        <v>2017</v>
      </c>
      <c r="BC918">
        <v>17</v>
      </c>
      <c r="BD918">
        <v>4</v>
      </c>
      <c r="BE918" t="s">
        <v>69</v>
      </c>
      <c r="BF918" t="s">
        <v>69</v>
      </c>
      <c r="BG918" t="s">
        <v>69</v>
      </c>
      <c r="BH918" t="s">
        <v>69</v>
      </c>
      <c r="BI918">
        <v>511</v>
      </c>
      <c r="BJ918">
        <v>535</v>
      </c>
      <c r="BK918" t="s">
        <v>69</v>
      </c>
      <c r="BL918" t="s">
        <v>20743</v>
      </c>
      <c r="BM918" t="str">
        <f>HYPERLINK("http://dx.doi.org/10.1108/CI-07-2016-0040","http://dx.doi.org/10.1108/CI-07-2016-0040")</f>
        <v>http://dx.doi.org/10.1108/CI-07-2016-0040</v>
      </c>
      <c r="BN918" t="s">
        <v>69</v>
      </c>
      <c r="BO918" t="s">
        <v>69</v>
      </c>
      <c r="BP918">
        <v>25</v>
      </c>
      <c r="BQ918" t="s">
        <v>10105</v>
      </c>
      <c r="BR918" t="s">
        <v>8573</v>
      </c>
      <c r="BS918" t="s">
        <v>10105</v>
      </c>
      <c r="BT918" t="s">
        <v>20744</v>
      </c>
      <c r="BU918" t="s">
        <v>20745</v>
      </c>
      <c r="BV918" t="s">
        <v>69</v>
      </c>
      <c r="BW918" t="s">
        <v>69</v>
      </c>
      <c r="BX918" t="s">
        <v>69</v>
      </c>
      <c r="BY918" t="s">
        <v>69</v>
      </c>
      <c r="BZ918" t="s">
        <v>8526</v>
      </c>
      <c r="CA918" t="str">
        <f>HYPERLINK("https%3A%2F%2Fwww.webofscience.com%2Fwos%2Fwoscc%2Ffull-record%2FWOS:000415630600006","View Full Record in Web of Science")</f>
        <v>View Full Record in Web of Science</v>
      </c>
    </row>
    <row r="919" spans="1:79" x14ac:dyDescent="0.3">
      <c r="B919" t="s">
        <v>8495</v>
      </c>
      <c r="D919" s="9" t="s">
        <v>32999</v>
      </c>
      <c r="E919" s="9" t="s">
        <v>33074</v>
      </c>
      <c r="F919" s="9" t="s">
        <v>8491</v>
      </c>
      <c r="G919" s="9" t="s">
        <v>8490</v>
      </c>
      <c r="H919" t="s">
        <v>67</v>
      </c>
      <c r="I919" t="s">
        <v>23410</v>
      </c>
      <c r="J919" t="s">
        <v>69</v>
      </c>
      <c r="K919" t="s">
        <v>69</v>
      </c>
      <c r="L919" t="s">
        <v>69</v>
      </c>
      <c r="M919" t="s">
        <v>23411</v>
      </c>
      <c r="N919" t="s">
        <v>69</v>
      </c>
      <c r="O919" t="s">
        <v>69</v>
      </c>
      <c r="P919" t="s">
        <v>23412</v>
      </c>
      <c r="Q919" t="s">
        <v>23413</v>
      </c>
      <c r="R919" t="s">
        <v>69</v>
      </c>
      <c r="S919" t="s">
        <v>69</v>
      </c>
      <c r="T919" t="s">
        <v>8505</v>
      </c>
      <c r="U919" t="s">
        <v>8506</v>
      </c>
      <c r="V919" t="s">
        <v>69</v>
      </c>
      <c r="W919" t="s">
        <v>69</v>
      </c>
      <c r="X919" t="s">
        <v>69</v>
      </c>
      <c r="Y919" t="s">
        <v>69</v>
      </c>
      <c r="Z919" t="s">
        <v>69</v>
      </c>
      <c r="AA919" t="s">
        <v>23414</v>
      </c>
      <c r="AB919" t="s">
        <v>23415</v>
      </c>
      <c r="AC919" t="s">
        <v>23416</v>
      </c>
      <c r="AD919" t="s">
        <v>23417</v>
      </c>
      <c r="AE919" t="s">
        <v>69</v>
      </c>
      <c r="AF919" t="s">
        <v>23418</v>
      </c>
      <c r="AG919" t="s">
        <v>23419</v>
      </c>
      <c r="AH919" t="s">
        <v>23420</v>
      </c>
      <c r="AI919" t="s">
        <v>69</v>
      </c>
      <c r="AJ919" t="s">
        <v>69</v>
      </c>
      <c r="AK919" t="s">
        <v>69</v>
      </c>
      <c r="AL919" t="s">
        <v>69</v>
      </c>
      <c r="AM919" t="s">
        <v>69</v>
      </c>
      <c r="AN919">
        <v>135</v>
      </c>
      <c r="AO919">
        <v>36</v>
      </c>
      <c r="AP919">
        <v>39</v>
      </c>
      <c r="AQ919">
        <v>4</v>
      </c>
      <c r="AR919">
        <v>112</v>
      </c>
      <c r="AS919" t="s">
        <v>8516</v>
      </c>
      <c r="AT919" t="s">
        <v>8517</v>
      </c>
      <c r="AU919" t="s">
        <v>8518</v>
      </c>
      <c r="AV919" t="s">
        <v>23421</v>
      </c>
      <c r="AW919" t="s">
        <v>23422</v>
      </c>
      <c r="AX919" t="s">
        <v>69</v>
      </c>
      <c r="AY919" t="s">
        <v>23423</v>
      </c>
      <c r="AZ919" t="s">
        <v>23424</v>
      </c>
      <c r="BA919" t="s">
        <v>75</v>
      </c>
      <c r="BB919">
        <v>2014</v>
      </c>
      <c r="BC919">
        <v>20</v>
      </c>
      <c r="BD919">
        <v>4</v>
      </c>
      <c r="BE919" t="s">
        <v>69</v>
      </c>
      <c r="BF919" t="s">
        <v>69</v>
      </c>
      <c r="BG919" t="s">
        <v>69</v>
      </c>
      <c r="BH919" t="s">
        <v>69</v>
      </c>
      <c r="BI919">
        <v>390</v>
      </c>
      <c r="BJ919">
        <v>405</v>
      </c>
      <c r="BK919" t="s">
        <v>69</v>
      </c>
      <c r="BL919" t="s">
        <v>23425</v>
      </c>
      <c r="BM919" t="str">
        <f>HYPERLINK("http://dx.doi.org/10.1016/j.intman.2014.07.001","http://dx.doi.org/10.1016/j.intman.2014.07.001")</f>
        <v>http://dx.doi.org/10.1016/j.intman.2014.07.001</v>
      </c>
      <c r="BN919" t="s">
        <v>69</v>
      </c>
      <c r="BO919" t="s">
        <v>69</v>
      </c>
      <c r="BP919">
        <v>16</v>
      </c>
      <c r="BQ919" t="s">
        <v>9410</v>
      </c>
      <c r="BR919" t="s">
        <v>8661</v>
      </c>
      <c r="BS919" t="s">
        <v>8594</v>
      </c>
      <c r="BT919" t="s">
        <v>23426</v>
      </c>
      <c r="BU919" t="s">
        <v>23427</v>
      </c>
      <c r="BV919" t="s">
        <v>69</v>
      </c>
      <c r="BW919" t="s">
        <v>69</v>
      </c>
      <c r="BX919" t="s">
        <v>69</v>
      </c>
      <c r="BY919" t="s">
        <v>69</v>
      </c>
      <c r="BZ919" t="s">
        <v>8526</v>
      </c>
      <c r="CA919" t="str">
        <f>HYPERLINK("https%3A%2F%2Fwww.webofscience.com%2Fwos%2Fwoscc%2Ffull-record%2FWOS:000345506500002","View Full Record in Web of Science")</f>
        <v>View Full Record in Web of Science</v>
      </c>
    </row>
    <row r="920" spans="1:79" ht="12.5" x14ac:dyDescent="0.25">
      <c r="B920" t="s">
        <v>8495</v>
      </c>
      <c r="D920" s="7" t="s">
        <v>32933</v>
      </c>
      <c r="E920" s="7"/>
      <c r="F920" s="7"/>
      <c r="G920" s="7"/>
      <c r="H920" t="s">
        <v>67</v>
      </c>
      <c r="I920" t="s">
        <v>6756</v>
      </c>
      <c r="J920" t="s">
        <v>69</v>
      </c>
      <c r="K920" t="s">
        <v>69</v>
      </c>
      <c r="L920" t="s">
        <v>69</v>
      </c>
      <c r="M920" t="s">
        <v>6757</v>
      </c>
      <c r="N920" t="s">
        <v>69</v>
      </c>
      <c r="O920" t="s">
        <v>69</v>
      </c>
      <c r="P920" t="s">
        <v>6758</v>
      </c>
      <c r="Q920" t="s">
        <v>6759</v>
      </c>
      <c r="R920" t="s">
        <v>69</v>
      </c>
      <c r="S920" t="s">
        <v>69</v>
      </c>
      <c r="T920" t="s">
        <v>9357</v>
      </c>
      <c r="U920" t="s">
        <v>8506</v>
      </c>
      <c r="V920" t="s">
        <v>69</v>
      </c>
      <c r="W920" t="s">
        <v>69</v>
      </c>
      <c r="X920" t="s">
        <v>69</v>
      </c>
      <c r="Y920" t="s">
        <v>69</v>
      </c>
      <c r="Z920" t="s">
        <v>69</v>
      </c>
      <c r="AA920" t="s">
        <v>17041</v>
      </c>
      <c r="AB920" t="s">
        <v>69</v>
      </c>
      <c r="AC920" t="s">
        <v>6760</v>
      </c>
      <c r="AD920" t="s">
        <v>17042</v>
      </c>
      <c r="AE920" t="s">
        <v>69</v>
      </c>
      <c r="AF920" t="s">
        <v>17043</v>
      </c>
      <c r="AG920" t="s">
        <v>17044</v>
      </c>
      <c r="AH920" t="s">
        <v>6761</v>
      </c>
      <c r="AI920" t="s">
        <v>6762</v>
      </c>
      <c r="AJ920" t="s">
        <v>69</v>
      </c>
      <c r="AK920" t="s">
        <v>69</v>
      </c>
      <c r="AL920" t="s">
        <v>69</v>
      </c>
      <c r="AM920" t="s">
        <v>69</v>
      </c>
      <c r="AN920">
        <v>15</v>
      </c>
      <c r="AO920">
        <v>1</v>
      </c>
      <c r="AP920">
        <v>1</v>
      </c>
      <c r="AQ920">
        <v>3</v>
      </c>
      <c r="AR920">
        <v>4</v>
      </c>
      <c r="AS920" t="s">
        <v>17045</v>
      </c>
      <c r="AT920" t="s">
        <v>9367</v>
      </c>
      <c r="AU920" t="s">
        <v>17046</v>
      </c>
      <c r="AV920" t="s">
        <v>6763</v>
      </c>
      <c r="AW920" t="s">
        <v>69</v>
      </c>
      <c r="AX920" t="s">
        <v>69</v>
      </c>
      <c r="AY920" t="s">
        <v>17047</v>
      </c>
      <c r="AZ920" t="s">
        <v>17048</v>
      </c>
      <c r="BA920" t="s">
        <v>1226</v>
      </c>
      <c r="BB920">
        <v>2019</v>
      </c>
      <c r="BC920" t="s">
        <v>69</v>
      </c>
      <c r="BD920">
        <v>4</v>
      </c>
      <c r="BE920" t="s">
        <v>69</v>
      </c>
      <c r="BF920" t="s">
        <v>69</v>
      </c>
      <c r="BG920" t="s">
        <v>69</v>
      </c>
      <c r="BH920" t="s">
        <v>69</v>
      </c>
      <c r="BI920">
        <v>60</v>
      </c>
      <c r="BJ920">
        <v>72</v>
      </c>
      <c r="BK920" t="s">
        <v>69</v>
      </c>
      <c r="BL920" t="s">
        <v>6764</v>
      </c>
      <c r="BM920" t="str">
        <f>HYPERLINK("http://dx.doi.org/10.15211/soveurope420196072","http://dx.doi.org/10.15211/soveurope420196072")</f>
        <v>http://dx.doi.org/10.15211/soveurope420196072</v>
      </c>
      <c r="BN920" t="s">
        <v>69</v>
      </c>
      <c r="BO920" t="s">
        <v>69</v>
      </c>
      <c r="BP920">
        <v>13</v>
      </c>
      <c r="BQ920" t="s">
        <v>17049</v>
      </c>
      <c r="BR920" t="s">
        <v>8573</v>
      </c>
      <c r="BS920" t="s">
        <v>17049</v>
      </c>
      <c r="BT920" t="s">
        <v>17050</v>
      </c>
      <c r="BU920" t="s">
        <v>6765</v>
      </c>
      <c r="BV920" t="s">
        <v>69</v>
      </c>
      <c r="BW920" t="s">
        <v>8931</v>
      </c>
      <c r="BX920" t="s">
        <v>69</v>
      </c>
      <c r="BY920" t="s">
        <v>69</v>
      </c>
      <c r="BZ920" t="s">
        <v>8526</v>
      </c>
      <c r="CA920" t="str">
        <f>HYPERLINK("https%3A%2F%2Fwww.webofscience.com%2Fwos%2Fwoscc%2Ffull-record%2FWOS:000496446200006","View Full Record in Web of Science")</f>
        <v>View Full Record in Web of Science</v>
      </c>
    </row>
    <row r="921" spans="1:79" ht="12.5" x14ac:dyDescent="0.25">
      <c r="B921" t="s">
        <v>8495</v>
      </c>
      <c r="D921" s="22" t="s">
        <v>32931</v>
      </c>
      <c r="E921" s="7"/>
      <c r="F921" s="7"/>
      <c r="G921" s="7"/>
      <c r="H921" t="s">
        <v>67</v>
      </c>
      <c r="I921" t="s">
        <v>23610</v>
      </c>
      <c r="J921" t="s">
        <v>69</v>
      </c>
      <c r="K921" t="s">
        <v>69</v>
      </c>
      <c r="L921" t="s">
        <v>69</v>
      </c>
      <c r="M921" t="s">
        <v>23611</v>
      </c>
      <c r="N921" t="s">
        <v>69</v>
      </c>
      <c r="O921" t="s">
        <v>69</v>
      </c>
      <c r="P921" t="s">
        <v>23612</v>
      </c>
      <c r="Q921" t="s">
        <v>23613</v>
      </c>
      <c r="R921" t="s">
        <v>69</v>
      </c>
      <c r="S921" t="s">
        <v>69</v>
      </c>
      <c r="T921" t="s">
        <v>8505</v>
      </c>
      <c r="U921" t="s">
        <v>10174</v>
      </c>
      <c r="V921" t="s">
        <v>69</v>
      </c>
      <c r="W921" t="s">
        <v>69</v>
      </c>
      <c r="X921" t="s">
        <v>69</v>
      </c>
      <c r="Y921" t="s">
        <v>69</v>
      </c>
      <c r="Z921" t="s">
        <v>69</v>
      </c>
      <c r="AA921" t="s">
        <v>69</v>
      </c>
      <c r="AB921" t="s">
        <v>69</v>
      </c>
      <c r="AC921" t="s">
        <v>23614</v>
      </c>
      <c r="AD921" t="s">
        <v>23615</v>
      </c>
      <c r="AE921" t="s">
        <v>69</v>
      </c>
      <c r="AF921" t="s">
        <v>23616</v>
      </c>
      <c r="AG921" t="s">
        <v>23617</v>
      </c>
      <c r="AH921" t="s">
        <v>69</v>
      </c>
      <c r="AI921" t="s">
        <v>69</v>
      </c>
      <c r="AJ921" t="s">
        <v>69</v>
      </c>
      <c r="AK921" t="s">
        <v>69</v>
      </c>
      <c r="AL921" t="s">
        <v>69</v>
      </c>
      <c r="AM921" t="s">
        <v>69</v>
      </c>
      <c r="AN921">
        <v>0</v>
      </c>
      <c r="AO921">
        <v>1</v>
      </c>
      <c r="AP921">
        <v>1</v>
      </c>
      <c r="AQ921">
        <v>0</v>
      </c>
      <c r="AR921">
        <v>0</v>
      </c>
      <c r="AS921" t="s">
        <v>8762</v>
      </c>
      <c r="AT921" t="s">
        <v>8763</v>
      </c>
      <c r="AU921" t="s">
        <v>8764</v>
      </c>
      <c r="AV921" t="s">
        <v>23618</v>
      </c>
      <c r="AW921" t="s">
        <v>23619</v>
      </c>
      <c r="AX921" t="s">
        <v>69</v>
      </c>
      <c r="AY921" t="s">
        <v>23620</v>
      </c>
      <c r="AZ921" t="s">
        <v>23621</v>
      </c>
      <c r="BA921" t="s">
        <v>255</v>
      </c>
      <c r="BB921">
        <v>2014</v>
      </c>
      <c r="BC921">
        <v>40</v>
      </c>
      <c r="BD921">
        <v>1</v>
      </c>
      <c r="BE921" t="s">
        <v>69</v>
      </c>
      <c r="BF921" t="s">
        <v>69</v>
      </c>
      <c r="BG921" t="s">
        <v>69</v>
      </c>
      <c r="BH921" t="s">
        <v>69</v>
      </c>
      <c r="BI921">
        <v>107</v>
      </c>
      <c r="BJ921">
        <v>111</v>
      </c>
      <c r="BK921" t="s">
        <v>69</v>
      </c>
      <c r="BL921" t="s">
        <v>23622</v>
      </c>
      <c r="BM921" t="str">
        <f>HYPERLINK("http://dx.doi.org/10.1177/030630701404000107","http://dx.doi.org/10.1177/030630701404000107")</f>
        <v>http://dx.doi.org/10.1177/030630701404000107</v>
      </c>
      <c r="BN921" t="s">
        <v>69</v>
      </c>
      <c r="BO921" t="s">
        <v>69</v>
      </c>
      <c r="BP921">
        <v>5</v>
      </c>
      <c r="BQ921" t="s">
        <v>9410</v>
      </c>
      <c r="BR921" t="s">
        <v>8573</v>
      </c>
      <c r="BS921" t="s">
        <v>8594</v>
      </c>
      <c r="BT921" t="s">
        <v>23623</v>
      </c>
      <c r="BU921" t="s">
        <v>23624</v>
      </c>
      <c r="BV921" t="s">
        <v>69</v>
      </c>
      <c r="BW921" t="s">
        <v>69</v>
      </c>
      <c r="BX921" t="s">
        <v>69</v>
      </c>
      <c r="BY921" t="s">
        <v>69</v>
      </c>
      <c r="BZ921" t="s">
        <v>8526</v>
      </c>
      <c r="CA921" t="str">
        <f>HYPERLINK("https%3A%2F%2Fwww.webofscience.com%2Fwos%2Fwoscc%2Ffull-record%2FWOS:000447250000007","View Full Record in Web of Science")</f>
        <v>View Full Record in Web of Science</v>
      </c>
    </row>
    <row r="922" spans="1:79" ht="12.5" x14ac:dyDescent="0.25">
      <c r="B922" t="s">
        <v>8495</v>
      </c>
      <c r="D922" s="7" t="s">
        <v>32933</v>
      </c>
      <c r="E922" s="7"/>
      <c r="F922" s="7"/>
      <c r="G922" s="7"/>
      <c r="H922" t="s">
        <v>67</v>
      </c>
      <c r="I922" t="s">
        <v>4160</v>
      </c>
      <c r="J922" t="s">
        <v>69</v>
      </c>
      <c r="K922" t="s">
        <v>69</v>
      </c>
      <c r="L922" t="s">
        <v>69</v>
      </c>
      <c r="M922" t="s">
        <v>4160</v>
      </c>
      <c r="N922" t="s">
        <v>69</v>
      </c>
      <c r="O922" t="s">
        <v>69</v>
      </c>
      <c r="P922" t="s">
        <v>4161</v>
      </c>
      <c r="Q922" t="s">
        <v>260</v>
      </c>
      <c r="R922" t="s">
        <v>69</v>
      </c>
      <c r="S922" t="s">
        <v>69</v>
      </c>
      <c r="T922" t="s">
        <v>8505</v>
      </c>
      <c r="U922" t="s">
        <v>8506</v>
      </c>
      <c r="V922" t="s">
        <v>69</v>
      </c>
      <c r="W922" t="s">
        <v>69</v>
      </c>
      <c r="X922" t="s">
        <v>69</v>
      </c>
      <c r="Y922" t="s">
        <v>69</v>
      </c>
      <c r="Z922" t="s">
        <v>69</v>
      </c>
      <c r="AA922" t="s">
        <v>69</v>
      </c>
      <c r="AB922" t="s">
        <v>69</v>
      </c>
      <c r="AC922" t="s">
        <v>4162</v>
      </c>
      <c r="AD922" t="s">
        <v>32039</v>
      </c>
      <c r="AE922" t="s">
        <v>69</v>
      </c>
      <c r="AF922" t="s">
        <v>32040</v>
      </c>
      <c r="AG922" t="s">
        <v>69</v>
      </c>
      <c r="AH922" t="s">
        <v>69</v>
      </c>
      <c r="AI922" t="s">
        <v>69</v>
      </c>
      <c r="AJ922" t="s">
        <v>69</v>
      </c>
      <c r="AK922" t="s">
        <v>69</v>
      </c>
      <c r="AL922" t="s">
        <v>69</v>
      </c>
      <c r="AM922" t="s">
        <v>69</v>
      </c>
      <c r="AN922">
        <v>39</v>
      </c>
      <c r="AO922">
        <v>48</v>
      </c>
      <c r="AP922">
        <v>48</v>
      </c>
      <c r="AQ922">
        <v>0</v>
      </c>
      <c r="AR922">
        <v>14</v>
      </c>
      <c r="AS922" t="s">
        <v>32041</v>
      </c>
      <c r="AT922" t="s">
        <v>9979</v>
      </c>
      <c r="AU922" t="s">
        <v>32042</v>
      </c>
      <c r="AV922" t="s">
        <v>262</v>
      </c>
      <c r="AW922" t="s">
        <v>69</v>
      </c>
      <c r="AX922" t="s">
        <v>69</v>
      </c>
      <c r="AY922" t="s">
        <v>31916</v>
      </c>
      <c r="AZ922" t="s">
        <v>31917</v>
      </c>
      <c r="BA922" t="s">
        <v>1710</v>
      </c>
      <c r="BB922">
        <v>1998</v>
      </c>
      <c r="BC922">
        <v>39</v>
      </c>
      <c r="BD922">
        <v>2</v>
      </c>
      <c r="BE922" t="s">
        <v>69</v>
      </c>
      <c r="BF922" t="s">
        <v>69</v>
      </c>
      <c r="BG922" t="s">
        <v>69</v>
      </c>
      <c r="BH922" t="s">
        <v>69</v>
      </c>
      <c r="BI922">
        <v>73</v>
      </c>
      <c r="BJ922" t="s">
        <v>219</v>
      </c>
      <c r="BK922" t="s">
        <v>69</v>
      </c>
      <c r="BL922" t="s">
        <v>69</v>
      </c>
      <c r="BM922" t="s">
        <v>69</v>
      </c>
      <c r="BN922" t="s">
        <v>69</v>
      </c>
      <c r="BO922" t="s">
        <v>69</v>
      </c>
      <c r="BP922">
        <v>11</v>
      </c>
      <c r="BQ922" t="s">
        <v>8791</v>
      </c>
      <c r="BR922" t="s">
        <v>8661</v>
      </c>
      <c r="BS922" t="s">
        <v>8594</v>
      </c>
      <c r="BT922" t="s">
        <v>32043</v>
      </c>
      <c r="BU922" t="s">
        <v>4163</v>
      </c>
      <c r="BV922" t="s">
        <v>69</v>
      </c>
      <c r="BW922" t="s">
        <v>69</v>
      </c>
      <c r="BX922" t="s">
        <v>69</v>
      </c>
      <c r="BY922" t="s">
        <v>69</v>
      </c>
      <c r="BZ922" t="s">
        <v>8526</v>
      </c>
      <c r="CA922" t="str">
        <f>HYPERLINK("https%3A%2F%2Fwww.webofscience.com%2Fwos%2Fwoscc%2Ffull-record%2FWOS:000071510000010","View Full Record in Web of Science")</f>
        <v>View Full Record in Web of Science</v>
      </c>
    </row>
    <row r="923" spans="1:79" ht="12.5" x14ac:dyDescent="0.25">
      <c r="B923" t="s">
        <v>8495</v>
      </c>
      <c r="D923" s="7" t="s">
        <v>32933</v>
      </c>
      <c r="E923" s="7"/>
      <c r="F923" s="7"/>
      <c r="G923" s="7"/>
      <c r="H923" t="s">
        <v>67</v>
      </c>
      <c r="I923" t="s">
        <v>1148</v>
      </c>
      <c r="J923" t="s">
        <v>69</v>
      </c>
      <c r="K923" t="s">
        <v>69</v>
      </c>
      <c r="L923" t="s">
        <v>69</v>
      </c>
      <c r="M923" t="s">
        <v>1149</v>
      </c>
      <c r="N923" t="s">
        <v>69</v>
      </c>
      <c r="O923" t="s">
        <v>69</v>
      </c>
      <c r="P923" t="s">
        <v>1150</v>
      </c>
      <c r="Q923" t="s">
        <v>1151</v>
      </c>
      <c r="R923" t="s">
        <v>69</v>
      </c>
      <c r="S923" t="s">
        <v>69</v>
      </c>
      <c r="T923" t="s">
        <v>8505</v>
      </c>
      <c r="U923" t="s">
        <v>8506</v>
      </c>
      <c r="V923" t="s">
        <v>69</v>
      </c>
      <c r="W923" t="s">
        <v>69</v>
      </c>
      <c r="X923" t="s">
        <v>69</v>
      </c>
      <c r="Y923" t="s">
        <v>69</v>
      </c>
      <c r="Z923" t="s">
        <v>69</v>
      </c>
      <c r="AA923" t="s">
        <v>20191</v>
      </c>
      <c r="AB923" t="s">
        <v>20192</v>
      </c>
      <c r="AC923" t="s">
        <v>1152</v>
      </c>
      <c r="AD923" t="s">
        <v>20193</v>
      </c>
      <c r="AE923" t="s">
        <v>69</v>
      </c>
      <c r="AF923" t="s">
        <v>20194</v>
      </c>
      <c r="AG923" t="s">
        <v>20195</v>
      </c>
      <c r="AH923" t="s">
        <v>1153</v>
      </c>
      <c r="AI923" t="s">
        <v>1154</v>
      </c>
      <c r="AJ923" t="s">
        <v>69</v>
      </c>
      <c r="AK923" t="s">
        <v>69</v>
      </c>
      <c r="AL923" t="s">
        <v>69</v>
      </c>
      <c r="AM923" t="s">
        <v>69</v>
      </c>
      <c r="AN923">
        <v>71</v>
      </c>
      <c r="AO923">
        <v>3</v>
      </c>
      <c r="AP923">
        <v>3</v>
      </c>
      <c r="AQ923">
        <v>1</v>
      </c>
      <c r="AR923">
        <v>8</v>
      </c>
      <c r="AS923" t="s">
        <v>20196</v>
      </c>
      <c r="AT923" t="s">
        <v>9018</v>
      </c>
      <c r="AU923" t="s">
        <v>9019</v>
      </c>
      <c r="AV923" t="s">
        <v>1155</v>
      </c>
      <c r="AW923" t="s">
        <v>1156</v>
      </c>
      <c r="AX923" t="s">
        <v>69</v>
      </c>
      <c r="AY923" t="s">
        <v>20197</v>
      </c>
      <c r="AZ923" t="s">
        <v>20198</v>
      </c>
      <c r="BA923" t="s">
        <v>84</v>
      </c>
      <c r="BB923">
        <v>2017</v>
      </c>
      <c r="BC923">
        <v>15</v>
      </c>
      <c r="BD923" t="s">
        <v>1157</v>
      </c>
      <c r="BE923" t="s">
        <v>69</v>
      </c>
      <c r="BF923" t="s">
        <v>69</v>
      </c>
      <c r="BG923" t="s">
        <v>69</v>
      </c>
      <c r="BH923" t="s">
        <v>69</v>
      </c>
      <c r="BI923">
        <v>747</v>
      </c>
      <c r="BJ923">
        <v>761</v>
      </c>
      <c r="BK923" t="s">
        <v>69</v>
      </c>
      <c r="BL923" t="s">
        <v>1158</v>
      </c>
      <c r="BM923" t="str">
        <f>HYPERLINK("http://dx.doi.org/10.1007/s40999-017-0172-0","http://dx.doi.org/10.1007/s40999-017-0172-0")</f>
        <v>http://dx.doi.org/10.1007/s40999-017-0172-0</v>
      </c>
      <c r="BN923" t="s">
        <v>69</v>
      </c>
      <c r="BO923" t="s">
        <v>69</v>
      </c>
      <c r="BP923">
        <v>15</v>
      </c>
      <c r="BQ923" t="s">
        <v>13537</v>
      </c>
      <c r="BR923" t="s">
        <v>8548</v>
      </c>
      <c r="BS923" t="s">
        <v>8445</v>
      </c>
      <c r="BT923" t="s">
        <v>20199</v>
      </c>
      <c r="BU923" t="s">
        <v>1159</v>
      </c>
      <c r="BV923" t="s">
        <v>69</v>
      </c>
      <c r="BW923" t="s">
        <v>69</v>
      </c>
      <c r="BX923" t="s">
        <v>69</v>
      </c>
      <c r="BY923" t="s">
        <v>69</v>
      </c>
      <c r="BZ923" t="s">
        <v>8526</v>
      </c>
      <c r="CA923" t="str">
        <f>HYPERLINK("https%3A%2F%2Fwww.webofscience.com%2Fwos%2Fwoscc%2Ffull-record%2FWOS:000405549800004","View Full Record in Web of Science")</f>
        <v>View Full Record in Web of Science</v>
      </c>
    </row>
    <row r="924" spans="1:79" ht="12.5" x14ac:dyDescent="0.25">
      <c r="B924" t="s">
        <v>8495</v>
      </c>
      <c r="D924" s="7" t="s">
        <v>32933</v>
      </c>
      <c r="E924" s="7"/>
      <c r="F924" s="7"/>
      <c r="G924" s="7"/>
      <c r="H924" t="s">
        <v>67</v>
      </c>
      <c r="I924" t="s">
        <v>3606</v>
      </c>
      <c r="J924" t="s">
        <v>69</v>
      </c>
      <c r="K924" t="s">
        <v>69</v>
      </c>
      <c r="L924" t="s">
        <v>69</v>
      </c>
      <c r="M924" t="s">
        <v>3607</v>
      </c>
      <c r="N924" t="s">
        <v>69</v>
      </c>
      <c r="O924" t="s">
        <v>69</v>
      </c>
      <c r="P924" t="s">
        <v>3608</v>
      </c>
      <c r="Q924" t="s">
        <v>3609</v>
      </c>
      <c r="R924" t="s">
        <v>69</v>
      </c>
      <c r="S924" t="s">
        <v>69</v>
      </c>
      <c r="T924" t="s">
        <v>12534</v>
      </c>
      <c r="U924" t="s">
        <v>8506</v>
      </c>
      <c r="V924" t="s">
        <v>69</v>
      </c>
      <c r="W924" t="s">
        <v>69</v>
      </c>
      <c r="X924" t="s">
        <v>69</v>
      </c>
      <c r="Y924" t="s">
        <v>69</v>
      </c>
      <c r="Z924" t="s">
        <v>69</v>
      </c>
      <c r="AA924" t="s">
        <v>28585</v>
      </c>
      <c r="AB924" t="s">
        <v>69</v>
      </c>
      <c r="AC924" t="s">
        <v>3610</v>
      </c>
      <c r="AD924" t="s">
        <v>28586</v>
      </c>
      <c r="AE924" t="s">
        <v>69</v>
      </c>
      <c r="AF924" t="s">
        <v>28587</v>
      </c>
      <c r="AG924" t="s">
        <v>28588</v>
      </c>
      <c r="AH924" t="s">
        <v>69</v>
      </c>
      <c r="AI924" t="s">
        <v>69</v>
      </c>
      <c r="AJ924" t="s">
        <v>69</v>
      </c>
      <c r="AK924" t="s">
        <v>69</v>
      </c>
      <c r="AL924" t="s">
        <v>69</v>
      </c>
      <c r="AM924" t="s">
        <v>69</v>
      </c>
      <c r="AN924">
        <v>66</v>
      </c>
      <c r="AO924">
        <v>8</v>
      </c>
      <c r="AP924">
        <v>8</v>
      </c>
      <c r="AQ924">
        <v>1</v>
      </c>
      <c r="AR924">
        <v>15</v>
      </c>
      <c r="AS924" t="s">
        <v>28589</v>
      </c>
      <c r="AT924" t="s">
        <v>28287</v>
      </c>
      <c r="AU924" t="s">
        <v>28590</v>
      </c>
      <c r="AV924" t="s">
        <v>3611</v>
      </c>
      <c r="AW924" t="s">
        <v>3612</v>
      </c>
      <c r="AX924" t="s">
        <v>69</v>
      </c>
      <c r="AY924" t="s">
        <v>28591</v>
      </c>
      <c r="AZ924" t="s">
        <v>28592</v>
      </c>
      <c r="BA924" t="s">
        <v>94</v>
      </c>
      <c r="BB924">
        <v>2009</v>
      </c>
      <c r="BC924">
        <v>61</v>
      </c>
      <c r="BD924">
        <v>1</v>
      </c>
      <c r="BE924" t="s">
        <v>69</v>
      </c>
      <c r="BF924" t="s">
        <v>69</v>
      </c>
      <c r="BG924" t="s">
        <v>69</v>
      </c>
      <c r="BH924" t="s">
        <v>69</v>
      </c>
      <c r="BI924">
        <v>56</v>
      </c>
      <c r="BJ924">
        <v>89</v>
      </c>
      <c r="BK924" t="s">
        <v>69</v>
      </c>
      <c r="BL924" t="s">
        <v>3613</v>
      </c>
      <c r="BM924" t="str">
        <f>HYPERLINK("http://dx.doi.org/10.1007/s11577-009-0042-0","http://dx.doi.org/10.1007/s11577-009-0042-0")</f>
        <v>http://dx.doi.org/10.1007/s11577-009-0042-0</v>
      </c>
      <c r="BN924" t="s">
        <v>69</v>
      </c>
      <c r="BO924" t="s">
        <v>69</v>
      </c>
      <c r="BP924">
        <v>34</v>
      </c>
      <c r="BQ924" t="s">
        <v>28593</v>
      </c>
      <c r="BR924" t="s">
        <v>8661</v>
      </c>
      <c r="BS924" t="s">
        <v>28594</v>
      </c>
      <c r="BT924" t="s">
        <v>28595</v>
      </c>
      <c r="BU924" t="s">
        <v>3614</v>
      </c>
      <c r="BV924" t="s">
        <v>69</v>
      </c>
      <c r="BW924" t="s">
        <v>69</v>
      </c>
      <c r="BX924" t="s">
        <v>69</v>
      </c>
      <c r="BY924" t="s">
        <v>69</v>
      </c>
      <c r="BZ924" t="s">
        <v>8526</v>
      </c>
      <c r="CA924" t="str">
        <f>HYPERLINK("https%3A%2F%2Fwww.webofscience.com%2Fwos%2Fwoscc%2Ffull-record%2FWOS:000265834300003","View Full Record in Web of Science")</f>
        <v>View Full Record in Web of Science</v>
      </c>
    </row>
    <row r="925" spans="1:79" x14ac:dyDescent="0.3">
      <c r="B925" t="s">
        <v>8495</v>
      </c>
      <c r="D925" s="9" t="s">
        <v>32948</v>
      </c>
      <c r="E925" s="9" t="s">
        <v>33166</v>
      </c>
      <c r="F925" s="10" t="s">
        <v>8490</v>
      </c>
      <c r="G925" s="9" t="s">
        <v>8490</v>
      </c>
      <c r="H925" t="s">
        <v>67</v>
      </c>
      <c r="I925" t="s">
        <v>12952</v>
      </c>
      <c r="J925" t="s">
        <v>69</v>
      </c>
      <c r="K925" t="s">
        <v>69</v>
      </c>
      <c r="L925" t="s">
        <v>69</v>
      </c>
      <c r="M925" t="s">
        <v>12953</v>
      </c>
      <c r="N925" t="s">
        <v>69</v>
      </c>
      <c r="O925" t="s">
        <v>69</v>
      </c>
      <c r="P925" t="s">
        <v>12954</v>
      </c>
      <c r="Q925" t="s">
        <v>1128</v>
      </c>
      <c r="R925" t="s">
        <v>69</v>
      </c>
      <c r="S925" t="s">
        <v>69</v>
      </c>
      <c r="T925" t="s">
        <v>8505</v>
      </c>
      <c r="U925" t="s">
        <v>8506</v>
      </c>
      <c r="V925" t="s">
        <v>69</v>
      </c>
      <c r="W925" t="s">
        <v>69</v>
      </c>
      <c r="X925" t="s">
        <v>69</v>
      </c>
      <c r="Y925" t="s">
        <v>69</v>
      </c>
      <c r="Z925" t="s">
        <v>69</v>
      </c>
      <c r="AA925" t="s">
        <v>12955</v>
      </c>
      <c r="AB925" t="s">
        <v>69</v>
      </c>
      <c r="AC925" t="s">
        <v>12956</v>
      </c>
      <c r="AD925" t="s">
        <v>12957</v>
      </c>
      <c r="AE925" t="s">
        <v>69</v>
      </c>
      <c r="AF925" t="s">
        <v>12958</v>
      </c>
      <c r="AG925" t="s">
        <v>12959</v>
      </c>
      <c r="AH925" t="s">
        <v>12960</v>
      </c>
      <c r="AI925" t="s">
        <v>12961</v>
      </c>
      <c r="AJ925" t="s">
        <v>12962</v>
      </c>
      <c r="AK925" t="s">
        <v>12962</v>
      </c>
      <c r="AL925" t="s">
        <v>12963</v>
      </c>
      <c r="AM925" t="s">
        <v>69</v>
      </c>
      <c r="AN925">
        <v>78</v>
      </c>
      <c r="AO925">
        <v>2</v>
      </c>
      <c r="AP925">
        <v>2</v>
      </c>
      <c r="AQ925">
        <v>1</v>
      </c>
      <c r="AR925">
        <v>2</v>
      </c>
      <c r="AS925" t="s">
        <v>8636</v>
      </c>
      <c r="AT925" t="s">
        <v>8637</v>
      </c>
      <c r="AU925" t="s">
        <v>8638</v>
      </c>
      <c r="AV925" t="s">
        <v>1130</v>
      </c>
      <c r="AW925" t="s">
        <v>1131</v>
      </c>
      <c r="AX925" t="s">
        <v>69</v>
      </c>
      <c r="AY925" t="s">
        <v>1128</v>
      </c>
      <c r="AZ925" t="s">
        <v>8658</v>
      </c>
      <c r="BA925" t="s">
        <v>94</v>
      </c>
      <c r="BB925">
        <v>2021</v>
      </c>
      <c r="BC925">
        <v>102</v>
      </c>
      <c r="BD925" t="s">
        <v>69</v>
      </c>
      <c r="BE925" t="s">
        <v>69</v>
      </c>
      <c r="BF925" t="s">
        <v>69</v>
      </c>
      <c r="BG925" t="s">
        <v>69</v>
      </c>
      <c r="BH925" t="s">
        <v>69</v>
      </c>
      <c r="BI925" t="s">
        <v>69</v>
      </c>
      <c r="BJ925" t="s">
        <v>69</v>
      </c>
      <c r="BK925" t="s">
        <v>69</v>
      </c>
      <c r="BL925" t="s">
        <v>12964</v>
      </c>
      <c r="BM925" t="str">
        <f>HYPERLINK("http://dx.doi.org/10.1016/j.landusepol.2020.105234","http://dx.doi.org/10.1016/j.landusepol.2020.105234")</f>
        <v>http://dx.doi.org/10.1016/j.landusepol.2020.105234</v>
      </c>
      <c r="BN925" t="s">
        <v>69</v>
      </c>
      <c r="BO925" t="s">
        <v>69</v>
      </c>
      <c r="BP925">
        <v>12</v>
      </c>
      <c r="BQ925" t="s">
        <v>8660</v>
      </c>
      <c r="BR925" t="s">
        <v>8661</v>
      </c>
      <c r="BS925" t="s">
        <v>8662</v>
      </c>
      <c r="BT925" t="s">
        <v>12965</v>
      </c>
      <c r="BU925" t="s">
        <v>12966</v>
      </c>
      <c r="BV925" t="s">
        <v>69</v>
      </c>
      <c r="BW925" t="s">
        <v>69</v>
      </c>
      <c r="BX925" t="s">
        <v>69</v>
      </c>
      <c r="BY925" t="s">
        <v>69</v>
      </c>
      <c r="BZ925" t="s">
        <v>8526</v>
      </c>
      <c r="CA925" t="str">
        <f>HYPERLINK("https%3A%2F%2Fwww.webofscience.com%2Fwos%2Fwoscc%2Ffull-record%2FWOS:000626147500007","View Full Record in Web of Science")</f>
        <v>View Full Record in Web of Science</v>
      </c>
    </row>
    <row r="926" spans="1:79" ht="12.5" x14ac:dyDescent="0.25">
      <c r="B926" t="s">
        <v>8495</v>
      </c>
      <c r="D926" s="22" t="s">
        <v>32931</v>
      </c>
      <c r="E926" s="7"/>
      <c r="F926" s="7"/>
      <c r="G926" s="7"/>
      <c r="H926" t="s">
        <v>67</v>
      </c>
      <c r="I926" t="s">
        <v>9787</v>
      </c>
      <c r="J926" t="s">
        <v>69</v>
      </c>
      <c r="K926" t="s">
        <v>69</v>
      </c>
      <c r="L926" t="s">
        <v>69</v>
      </c>
      <c r="M926" t="s">
        <v>9788</v>
      </c>
      <c r="N926" t="s">
        <v>69</v>
      </c>
      <c r="O926" t="s">
        <v>69</v>
      </c>
      <c r="P926" t="s">
        <v>9789</v>
      </c>
      <c r="Q926" t="s">
        <v>9790</v>
      </c>
      <c r="R926" t="s">
        <v>69</v>
      </c>
      <c r="S926" t="s">
        <v>69</v>
      </c>
      <c r="T926" t="s">
        <v>8505</v>
      </c>
      <c r="U926" t="s">
        <v>8556</v>
      </c>
      <c r="V926" t="s">
        <v>69</v>
      </c>
      <c r="W926" t="s">
        <v>69</v>
      </c>
      <c r="X926" t="s">
        <v>69</v>
      </c>
      <c r="Y926" t="s">
        <v>69</v>
      </c>
      <c r="Z926" t="s">
        <v>69</v>
      </c>
      <c r="AA926" t="s">
        <v>9791</v>
      </c>
      <c r="AB926" t="s">
        <v>9792</v>
      </c>
      <c r="AC926" t="s">
        <v>9793</v>
      </c>
      <c r="AD926" t="s">
        <v>9794</v>
      </c>
      <c r="AE926" t="s">
        <v>69</v>
      </c>
      <c r="AF926" t="s">
        <v>9795</v>
      </c>
      <c r="AG926" t="s">
        <v>9796</v>
      </c>
      <c r="AH926" t="s">
        <v>69</v>
      </c>
      <c r="AI926" t="s">
        <v>9797</v>
      </c>
      <c r="AJ926" t="s">
        <v>9798</v>
      </c>
      <c r="AK926" t="s">
        <v>9799</v>
      </c>
      <c r="AL926" t="s">
        <v>9800</v>
      </c>
      <c r="AM926" t="s">
        <v>69</v>
      </c>
      <c r="AN926">
        <v>49</v>
      </c>
      <c r="AO926">
        <v>0</v>
      </c>
      <c r="AP926">
        <v>0</v>
      </c>
      <c r="AQ926">
        <v>10</v>
      </c>
      <c r="AR926">
        <v>10</v>
      </c>
      <c r="AS926" t="s">
        <v>9801</v>
      </c>
      <c r="AT926" t="s">
        <v>9802</v>
      </c>
      <c r="AU926" t="s">
        <v>9803</v>
      </c>
      <c r="AV926" t="s">
        <v>69</v>
      </c>
      <c r="AW926" t="s">
        <v>9804</v>
      </c>
      <c r="AX926" t="s">
        <v>69</v>
      </c>
      <c r="AY926" t="s">
        <v>9805</v>
      </c>
      <c r="AZ926" t="s">
        <v>9806</v>
      </c>
      <c r="BA926" t="s">
        <v>69</v>
      </c>
      <c r="BB926" t="s">
        <v>69</v>
      </c>
      <c r="BC926" t="s">
        <v>69</v>
      </c>
      <c r="BD926" t="s">
        <v>69</v>
      </c>
      <c r="BE926" t="s">
        <v>69</v>
      </c>
      <c r="BF926" t="s">
        <v>69</v>
      </c>
      <c r="BG926" t="s">
        <v>69</v>
      </c>
      <c r="BH926" t="s">
        <v>69</v>
      </c>
      <c r="BI926" t="s">
        <v>69</v>
      </c>
      <c r="BJ926" t="s">
        <v>69</v>
      </c>
      <c r="BK926" t="s">
        <v>69</v>
      </c>
      <c r="BL926" t="s">
        <v>9807</v>
      </c>
      <c r="BM926" t="str">
        <f>HYPERLINK("http://dx.doi.org/10.34172/ijhpm.2022.5693","http://dx.doi.org/10.34172/ijhpm.2022.5693")</f>
        <v>http://dx.doi.org/10.34172/ijhpm.2022.5693</v>
      </c>
      <c r="BN926" t="s">
        <v>69</v>
      </c>
      <c r="BO926" t="s">
        <v>9808</v>
      </c>
      <c r="BP926">
        <v>12</v>
      </c>
      <c r="BQ926" t="s">
        <v>9809</v>
      </c>
      <c r="BR926" t="s">
        <v>8523</v>
      </c>
      <c r="BS926" t="s">
        <v>9209</v>
      </c>
      <c r="BT926" t="s">
        <v>9810</v>
      </c>
      <c r="BU926" t="s">
        <v>9811</v>
      </c>
      <c r="BV926">
        <v>35247937</v>
      </c>
      <c r="BW926" t="s">
        <v>8931</v>
      </c>
      <c r="BX926" t="s">
        <v>69</v>
      </c>
      <c r="BY926" t="s">
        <v>69</v>
      </c>
      <c r="BZ926" t="s">
        <v>8526</v>
      </c>
      <c r="CA926" t="str">
        <f>HYPERLINK("https%3A%2F%2Fwww.webofscience.com%2Fwos%2Fwoscc%2Ffull-record%2FWOS:000778082600001","View Full Record in Web of Science")</f>
        <v>View Full Record in Web of Science</v>
      </c>
    </row>
    <row r="927" spans="1:79" ht="12.5" x14ac:dyDescent="0.25">
      <c r="B927" t="s">
        <v>8495</v>
      </c>
      <c r="D927" s="7" t="s">
        <v>32933</v>
      </c>
      <c r="E927" s="7"/>
      <c r="F927" s="7"/>
      <c r="G927" s="7"/>
      <c r="H927" t="s">
        <v>67</v>
      </c>
      <c r="I927" t="s">
        <v>5974</v>
      </c>
      <c r="J927" t="s">
        <v>69</v>
      </c>
      <c r="K927" t="s">
        <v>69</v>
      </c>
      <c r="L927" t="s">
        <v>69</v>
      </c>
      <c r="M927" t="s">
        <v>5975</v>
      </c>
      <c r="N927" t="s">
        <v>69</v>
      </c>
      <c r="O927" t="s">
        <v>69</v>
      </c>
      <c r="P927" t="s">
        <v>5976</v>
      </c>
      <c r="Q927" t="s">
        <v>5977</v>
      </c>
      <c r="R927" t="s">
        <v>69</v>
      </c>
      <c r="S927" t="s">
        <v>69</v>
      </c>
      <c r="T927" t="s">
        <v>8505</v>
      </c>
      <c r="U927" t="s">
        <v>8506</v>
      </c>
      <c r="V927" t="s">
        <v>69</v>
      </c>
      <c r="W927" t="s">
        <v>69</v>
      </c>
      <c r="X927" t="s">
        <v>69</v>
      </c>
      <c r="Y927" t="s">
        <v>69</v>
      </c>
      <c r="Z927" t="s">
        <v>69</v>
      </c>
      <c r="AA927" t="s">
        <v>69</v>
      </c>
      <c r="AB927" t="s">
        <v>20808</v>
      </c>
      <c r="AC927" t="s">
        <v>5978</v>
      </c>
      <c r="AD927" t="s">
        <v>20809</v>
      </c>
      <c r="AE927" t="s">
        <v>69</v>
      </c>
      <c r="AF927" t="s">
        <v>20810</v>
      </c>
      <c r="AG927" t="s">
        <v>20811</v>
      </c>
      <c r="AH927" t="s">
        <v>69</v>
      </c>
      <c r="AI927" t="s">
        <v>69</v>
      </c>
      <c r="AJ927" t="s">
        <v>20812</v>
      </c>
      <c r="AK927" t="s">
        <v>20813</v>
      </c>
      <c r="AL927" t="s">
        <v>20814</v>
      </c>
      <c r="AM927" t="s">
        <v>69</v>
      </c>
      <c r="AN927">
        <v>69</v>
      </c>
      <c r="AO927">
        <v>10</v>
      </c>
      <c r="AP927">
        <v>10</v>
      </c>
      <c r="AQ927">
        <v>0</v>
      </c>
      <c r="AR927">
        <v>9</v>
      </c>
      <c r="AS927" t="s">
        <v>15611</v>
      </c>
      <c r="AT927" t="s">
        <v>10924</v>
      </c>
      <c r="AU927" t="s">
        <v>15612</v>
      </c>
      <c r="AV927" t="s">
        <v>5979</v>
      </c>
      <c r="AW927" t="s">
        <v>5980</v>
      </c>
      <c r="AX927" t="s">
        <v>69</v>
      </c>
      <c r="AY927" t="s">
        <v>20815</v>
      </c>
      <c r="AZ927" t="s">
        <v>20816</v>
      </c>
      <c r="BA927" t="s">
        <v>69</v>
      </c>
      <c r="BB927">
        <v>2017</v>
      </c>
      <c r="BC927">
        <v>42</v>
      </c>
      <c r="BD927">
        <v>3</v>
      </c>
      <c r="BE927" t="s">
        <v>69</v>
      </c>
      <c r="BF927" t="s">
        <v>69</v>
      </c>
      <c r="BG927" t="s">
        <v>69</v>
      </c>
      <c r="BH927" t="s">
        <v>69</v>
      </c>
      <c r="BI927">
        <v>223</v>
      </c>
      <c r="BJ927">
        <v>236</v>
      </c>
      <c r="BK927" t="s">
        <v>69</v>
      </c>
      <c r="BL927" t="s">
        <v>5981</v>
      </c>
      <c r="BM927" t="str">
        <f>HYPERLINK("http://dx.doi.org/10.1080/07011784.2017.1292151","http://dx.doi.org/10.1080/07011784.2017.1292151")</f>
        <v>http://dx.doi.org/10.1080/07011784.2017.1292151</v>
      </c>
      <c r="BN927" t="s">
        <v>69</v>
      </c>
      <c r="BO927" t="s">
        <v>69</v>
      </c>
      <c r="BP927">
        <v>14</v>
      </c>
      <c r="BQ927" t="s">
        <v>9096</v>
      </c>
      <c r="BR927" t="s">
        <v>8548</v>
      </c>
      <c r="BS927" t="s">
        <v>9096</v>
      </c>
      <c r="BT927" t="s">
        <v>20817</v>
      </c>
      <c r="BU927" t="s">
        <v>5982</v>
      </c>
      <c r="BV927" t="s">
        <v>69</v>
      </c>
      <c r="BW927" t="s">
        <v>69</v>
      </c>
      <c r="BX927" t="s">
        <v>69</v>
      </c>
      <c r="BY927" t="s">
        <v>69</v>
      </c>
      <c r="BZ927" t="s">
        <v>8526</v>
      </c>
      <c r="CA927" t="str">
        <f>HYPERLINK("https%3A%2F%2Fwww.webofscience.com%2Fwos%2Fwoscc%2Ffull-record%2FWOS:000410917200002","View Full Record in Web of Science")</f>
        <v>View Full Record in Web of Science</v>
      </c>
    </row>
    <row r="928" spans="1:79" ht="12.5" x14ac:dyDescent="0.25">
      <c r="B928" t="s">
        <v>8495</v>
      </c>
      <c r="D928" s="7" t="s">
        <v>32933</v>
      </c>
      <c r="E928" s="7"/>
      <c r="F928" s="7"/>
      <c r="G928" s="7"/>
      <c r="H928" t="s">
        <v>67</v>
      </c>
      <c r="I928" t="s">
        <v>1209</v>
      </c>
      <c r="J928" t="s">
        <v>69</v>
      </c>
      <c r="K928" t="s">
        <v>69</v>
      </c>
      <c r="L928" t="s">
        <v>69</v>
      </c>
      <c r="M928" t="s">
        <v>1210</v>
      </c>
      <c r="N928" t="s">
        <v>69</v>
      </c>
      <c r="O928" t="s">
        <v>69</v>
      </c>
      <c r="P928" t="s">
        <v>1211</v>
      </c>
      <c r="Q928" t="s">
        <v>1212</v>
      </c>
      <c r="R928" t="s">
        <v>69</v>
      </c>
      <c r="S928" t="s">
        <v>69</v>
      </c>
      <c r="T928" t="s">
        <v>8505</v>
      </c>
      <c r="U928" t="s">
        <v>8506</v>
      </c>
      <c r="V928" t="s">
        <v>69</v>
      </c>
      <c r="W928" t="s">
        <v>69</v>
      </c>
      <c r="X928" t="s">
        <v>69</v>
      </c>
      <c r="Y928" t="s">
        <v>69</v>
      </c>
      <c r="Z928" t="s">
        <v>69</v>
      </c>
      <c r="AA928" t="s">
        <v>21304</v>
      </c>
      <c r="AB928" t="s">
        <v>21305</v>
      </c>
      <c r="AC928" t="s">
        <v>1213</v>
      </c>
      <c r="AD928" t="s">
        <v>21306</v>
      </c>
      <c r="AE928" t="s">
        <v>69</v>
      </c>
      <c r="AF928" t="s">
        <v>21307</v>
      </c>
      <c r="AG928" t="s">
        <v>21308</v>
      </c>
      <c r="AH928" t="s">
        <v>1214</v>
      </c>
      <c r="AI928" t="s">
        <v>21309</v>
      </c>
      <c r="AJ928" t="s">
        <v>69</v>
      </c>
      <c r="AK928" t="s">
        <v>69</v>
      </c>
      <c r="AL928" t="s">
        <v>69</v>
      </c>
      <c r="AM928" t="s">
        <v>69</v>
      </c>
      <c r="AN928">
        <v>136</v>
      </c>
      <c r="AO928">
        <v>18</v>
      </c>
      <c r="AP928">
        <v>18</v>
      </c>
      <c r="AQ928">
        <v>5</v>
      </c>
      <c r="AR928">
        <v>30</v>
      </c>
      <c r="AS928" t="s">
        <v>8846</v>
      </c>
      <c r="AT928" t="s">
        <v>8847</v>
      </c>
      <c r="AU928" t="s">
        <v>8848</v>
      </c>
      <c r="AV928" t="s">
        <v>1215</v>
      </c>
      <c r="AW928" t="s">
        <v>1216</v>
      </c>
      <c r="AX928" t="s">
        <v>69</v>
      </c>
      <c r="AY928" t="s">
        <v>21310</v>
      </c>
      <c r="AZ928" t="s">
        <v>21311</v>
      </c>
      <c r="BA928" t="s">
        <v>255</v>
      </c>
      <c r="BB928">
        <v>2016</v>
      </c>
      <c r="BC928">
        <v>24</v>
      </c>
      <c r="BD928">
        <v>5</v>
      </c>
      <c r="BE928" t="s">
        <v>69</v>
      </c>
      <c r="BF928" t="s">
        <v>69</v>
      </c>
      <c r="BG928" t="s">
        <v>69</v>
      </c>
      <c r="BH928" t="s">
        <v>69</v>
      </c>
      <c r="BI928">
        <v>509</v>
      </c>
      <c r="BJ928">
        <v>527</v>
      </c>
      <c r="BK928" t="s">
        <v>69</v>
      </c>
      <c r="BL928" t="s">
        <v>1217</v>
      </c>
      <c r="BM928" t="str">
        <f>HYPERLINK("http://dx.doi.org/10.1111/corg.12166","http://dx.doi.org/10.1111/corg.12166")</f>
        <v>http://dx.doi.org/10.1111/corg.12166</v>
      </c>
      <c r="BN928" t="s">
        <v>69</v>
      </c>
      <c r="BO928" t="s">
        <v>69</v>
      </c>
      <c r="BP928">
        <v>19</v>
      </c>
      <c r="BQ928" t="s">
        <v>21312</v>
      </c>
      <c r="BR928" t="s">
        <v>8661</v>
      </c>
      <c r="BS928" t="s">
        <v>8594</v>
      </c>
      <c r="BT928" t="s">
        <v>21313</v>
      </c>
      <c r="BU928" t="s">
        <v>1218</v>
      </c>
      <c r="BV928" t="s">
        <v>69</v>
      </c>
      <c r="BW928" t="s">
        <v>10363</v>
      </c>
      <c r="BX928" t="s">
        <v>69</v>
      </c>
      <c r="BY928" t="s">
        <v>69</v>
      </c>
      <c r="BZ928" t="s">
        <v>8526</v>
      </c>
      <c r="CA928" t="str">
        <f>HYPERLINK("https%3A%2F%2Fwww.webofscience.com%2Fwos%2Fwoscc%2Ffull-record%2FWOS:000388441700004","View Full Record in Web of Science")</f>
        <v>View Full Record in Web of Science</v>
      </c>
    </row>
    <row r="929" spans="2:79" ht="12.5" x14ac:dyDescent="0.25">
      <c r="B929" t="s">
        <v>8495</v>
      </c>
      <c r="D929" s="22" t="s">
        <v>32931</v>
      </c>
      <c r="E929" s="7"/>
      <c r="F929" s="7"/>
      <c r="G929" s="7"/>
      <c r="H929" t="s">
        <v>67</v>
      </c>
      <c r="I929" t="s">
        <v>14085</v>
      </c>
      <c r="J929" t="s">
        <v>69</v>
      </c>
      <c r="K929" t="s">
        <v>69</v>
      </c>
      <c r="L929" t="s">
        <v>69</v>
      </c>
      <c r="M929" t="s">
        <v>14086</v>
      </c>
      <c r="N929" t="s">
        <v>69</v>
      </c>
      <c r="O929" t="s">
        <v>69</v>
      </c>
      <c r="P929" t="s">
        <v>14087</v>
      </c>
      <c r="Q929" t="s">
        <v>14088</v>
      </c>
      <c r="R929" t="s">
        <v>69</v>
      </c>
      <c r="S929" t="s">
        <v>69</v>
      </c>
      <c r="T929" t="s">
        <v>10153</v>
      </c>
      <c r="U929" t="s">
        <v>8506</v>
      </c>
      <c r="V929" t="s">
        <v>69</v>
      </c>
      <c r="W929" t="s">
        <v>69</v>
      </c>
      <c r="X929" t="s">
        <v>69</v>
      </c>
      <c r="Y929" t="s">
        <v>69</v>
      </c>
      <c r="Z929" t="s">
        <v>69</v>
      </c>
      <c r="AA929" t="s">
        <v>14089</v>
      </c>
      <c r="AB929" t="s">
        <v>14090</v>
      </c>
      <c r="AC929" t="s">
        <v>14091</v>
      </c>
      <c r="AD929" t="s">
        <v>14092</v>
      </c>
      <c r="AE929" t="s">
        <v>69</v>
      </c>
      <c r="AF929" t="s">
        <v>14093</v>
      </c>
      <c r="AG929" t="s">
        <v>14094</v>
      </c>
      <c r="AH929" t="s">
        <v>69</v>
      </c>
      <c r="AI929" t="s">
        <v>69</v>
      </c>
      <c r="AJ929" t="s">
        <v>69</v>
      </c>
      <c r="AK929" t="s">
        <v>69</v>
      </c>
      <c r="AL929" t="s">
        <v>69</v>
      </c>
      <c r="AM929" t="s">
        <v>69</v>
      </c>
      <c r="AN929">
        <v>36</v>
      </c>
      <c r="AO929">
        <v>1</v>
      </c>
      <c r="AP929">
        <v>1</v>
      </c>
      <c r="AQ929">
        <v>0</v>
      </c>
      <c r="AR929">
        <v>0</v>
      </c>
      <c r="AS929" t="s">
        <v>14095</v>
      </c>
      <c r="AT929" t="s">
        <v>14096</v>
      </c>
      <c r="AU929" t="s">
        <v>14097</v>
      </c>
      <c r="AV929" t="s">
        <v>14098</v>
      </c>
      <c r="AW929" t="s">
        <v>69</v>
      </c>
      <c r="AX929" t="s">
        <v>69</v>
      </c>
      <c r="AY929" t="s">
        <v>14099</v>
      </c>
      <c r="AZ929" t="s">
        <v>14100</v>
      </c>
      <c r="BA929" t="s">
        <v>274</v>
      </c>
      <c r="BB929">
        <v>2020</v>
      </c>
      <c r="BC929">
        <v>8</v>
      </c>
      <c r="BD929">
        <v>4</v>
      </c>
      <c r="BE929" t="s">
        <v>69</v>
      </c>
      <c r="BF929" t="s">
        <v>69</v>
      </c>
      <c r="BG929" t="s">
        <v>69</v>
      </c>
      <c r="BH929" t="s">
        <v>69</v>
      </c>
      <c r="BI929">
        <v>27</v>
      </c>
      <c r="BJ929">
        <v>36</v>
      </c>
      <c r="BK929" t="s">
        <v>69</v>
      </c>
      <c r="BL929" t="s">
        <v>14101</v>
      </c>
      <c r="BM929" t="str">
        <f>HYPERLINK("http://dx.doi.org/10.22239/2317-269x.01698","http://dx.doi.org/10.22239/2317-269x.01698")</f>
        <v>http://dx.doi.org/10.22239/2317-269x.01698</v>
      </c>
      <c r="BN929" t="s">
        <v>69</v>
      </c>
      <c r="BO929" t="s">
        <v>69</v>
      </c>
      <c r="BP929">
        <v>10</v>
      </c>
      <c r="BQ929" t="s">
        <v>9209</v>
      </c>
      <c r="BR929" t="s">
        <v>8573</v>
      </c>
      <c r="BS929" t="s">
        <v>9209</v>
      </c>
      <c r="BT929" t="s">
        <v>14102</v>
      </c>
      <c r="BU929" t="s">
        <v>14103</v>
      </c>
      <c r="BV929" t="s">
        <v>69</v>
      </c>
      <c r="BW929" t="s">
        <v>8931</v>
      </c>
      <c r="BX929" t="s">
        <v>69</v>
      </c>
      <c r="BY929" t="s">
        <v>69</v>
      </c>
      <c r="BZ929" t="s">
        <v>8526</v>
      </c>
      <c r="CA929" t="str">
        <f>HYPERLINK("https%3A%2F%2Fwww.webofscience.com%2Fwos%2Fwoscc%2Ffull-record%2FWOS:000595548700004","View Full Record in Web of Science")</f>
        <v>View Full Record in Web of Science</v>
      </c>
    </row>
    <row r="930" spans="2:79" x14ac:dyDescent="0.3">
      <c r="B930" t="s">
        <v>8495</v>
      </c>
      <c r="D930" s="9" t="s">
        <v>32954</v>
      </c>
      <c r="E930" s="9" t="s">
        <v>33147</v>
      </c>
      <c r="F930" s="9" t="s">
        <v>8491</v>
      </c>
      <c r="G930" s="9" t="s">
        <v>8490</v>
      </c>
      <c r="H930" t="s">
        <v>67</v>
      </c>
      <c r="I930" t="s">
        <v>15506</v>
      </c>
      <c r="J930" t="s">
        <v>69</v>
      </c>
      <c r="K930" t="s">
        <v>69</v>
      </c>
      <c r="L930" t="s">
        <v>69</v>
      </c>
      <c r="M930" t="s">
        <v>15507</v>
      </c>
      <c r="N930" t="s">
        <v>69</v>
      </c>
      <c r="O930" t="s">
        <v>69</v>
      </c>
      <c r="P930" t="s">
        <v>15508</v>
      </c>
      <c r="Q930" t="s">
        <v>1506</v>
      </c>
      <c r="R930" t="s">
        <v>69</v>
      </c>
      <c r="S930" t="s">
        <v>69</v>
      </c>
      <c r="T930" t="s">
        <v>8505</v>
      </c>
      <c r="U930" t="s">
        <v>8506</v>
      </c>
      <c r="V930" t="s">
        <v>69</v>
      </c>
      <c r="W930" t="s">
        <v>69</v>
      </c>
      <c r="X930" t="s">
        <v>69</v>
      </c>
      <c r="Y930" t="s">
        <v>69</v>
      </c>
      <c r="Z930" t="s">
        <v>69</v>
      </c>
      <c r="AA930" t="s">
        <v>15509</v>
      </c>
      <c r="AB930" t="s">
        <v>15510</v>
      </c>
      <c r="AC930" t="s">
        <v>15511</v>
      </c>
      <c r="AD930" t="s">
        <v>15512</v>
      </c>
      <c r="AE930" t="s">
        <v>69</v>
      </c>
      <c r="AF930" t="s">
        <v>15513</v>
      </c>
      <c r="AG930" t="s">
        <v>15514</v>
      </c>
      <c r="AH930" t="s">
        <v>15515</v>
      </c>
      <c r="AI930" t="s">
        <v>15516</v>
      </c>
      <c r="AJ930" t="s">
        <v>15517</v>
      </c>
      <c r="AK930" t="s">
        <v>15518</v>
      </c>
      <c r="AL930" t="s">
        <v>15519</v>
      </c>
      <c r="AM930" t="s">
        <v>69</v>
      </c>
      <c r="AN930">
        <v>74</v>
      </c>
      <c r="AO930">
        <v>20</v>
      </c>
      <c r="AP930">
        <v>20</v>
      </c>
      <c r="AQ930">
        <v>1</v>
      </c>
      <c r="AR930">
        <v>8</v>
      </c>
      <c r="AS930" t="s">
        <v>9047</v>
      </c>
      <c r="AT930" t="s">
        <v>9048</v>
      </c>
      <c r="AU930" t="s">
        <v>9049</v>
      </c>
      <c r="AV930" t="s">
        <v>1508</v>
      </c>
      <c r="AW930" t="s">
        <v>1509</v>
      </c>
      <c r="AX930" t="s">
        <v>69</v>
      </c>
      <c r="AY930" t="s">
        <v>15520</v>
      </c>
      <c r="AZ930" t="s">
        <v>15521</v>
      </c>
      <c r="BA930" t="s">
        <v>246</v>
      </c>
      <c r="BB930">
        <v>2020</v>
      </c>
      <c r="BC930">
        <v>163</v>
      </c>
      <c r="BD930">
        <v>1</v>
      </c>
      <c r="BE930" t="s">
        <v>69</v>
      </c>
      <c r="BF930" t="s">
        <v>69</v>
      </c>
      <c r="BG930" t="s">
        <v>69</v>
      </c>
      <c r="BH930" t="s">
        <v>69</v>
      </c>
      <c r="BI930">
        <v>67</v>
      </c>
      <c r="BJ930">
        <v>83</v>
      </c>
      <c r="BK930" t="s">
        <v>69</v>
      </c>
      <c r="BL930" t="s">
        <v>15522</v>
      </c>
      <c r="BM930" t="str">
        <f>HYPERLINK("http://dx.doi.org/10.1007/s10551-018-4014-z","http://dx.doi.org/10.1007/s10551-018-4014-z")</f>
        <v>http://dx.doi.org/10.1007/s10551-018-4014-z</v>
      </c>
      <c r="BN930" t="s">
        <v>69</v>
      </c>
      <c r="BO930" t="s">
        <v>69</v>
      </c>
      <c r="BP930">
        <v>17</v>
      </c>
      <c r="BQ930" t="s">
        <v>15523</v>
      </c>
      <c r="BR930" t="s">
        <v>8661</v>
      </c>
      <c r="BS930" t="s">
        <v>15524</v>
      </c>
      <c r="BT930" t="s">
        <v>15525</v>
      </c>
      <c r="BU930" t="s">
        <v>15526</v>
      </c>
      <c r="BV930" t="s">
        <v>69</v>
      </c>
      <c r="BW930" t="s">
        <v>8622</v>
      </c>
      <c r="BX930" t="s">
        <v>69</v>
      </c>
      <c r="BY930" t="s">
        <v>69</v>
      </c>
      <c r="BZ930" t="s">
        <v>8526</v>
      </c>
      <c r="CA930" t="str">
        <f>HYPERLINK("https%3A%2F%2Fwww.webofscience.com%2Fwos%2Fwoscc%2Ffull-record%2FWOS:000521547000007","View Full Record in Web of Science")</f>
        <v>View Full Record in Web of Science</v>
      </c>
    </row>
    <row r="931" spans="2:79" ht="12.5" x14ac:dyDescent="0.25">
      <c r="B931" t="s">
        <v>8495</v>
      </c>
      <c r="D931" s="7" t="s">
        <v>32933</v>
      </c>
      <c r="E931" s="7"/>
      <c r="F931" s="7"/>
      <c r="G931" s="7"/>
      <c r="H931" t="s">
        <v>67</v>
      </c>
      <c r="I931" t="s">
        <v>3702</v>
      </c>
      <c r="J931" t="s">
        <v>69</v>
      </c>
      <c r="K931" t="s">
        <v>69</v>
      </c>
      <c r="L931" t="s">
        <v>69</v>
      </c>
      <c r="M931" t="s">
        <v>3703</v>
      </c>
      <c r="N931" t="s">
        <v>69</v>
      </c>
      <c r="O931" t="s">
        <v>69</v>
      </c>
      <c r="P931" t="s">
        <v>3704</v>
      </c>
      <c r="Q931" t="s">
        <v>3705</v>
      </c>
      <c r="R931" t="s">
        <v>69</v>
      </c>
      <c r="S931" t="s">
        <v>69</v>
      </c>
      <c r="T931" t="s">
        <v>8505</v>
      </c>
      <c r="U931" t="s">
        <v>15797</v>
      </c>
      <c r="V931" t="s">
        <v>3706</v>
      </c>
      <c r="W931" t="s">
        <v>3707</v>
      </c>
      <c r="X931" t="s">
        <v>3708</v>
      </c>
      <c r="Y931" t="s">
        <v>69</v>
      </c>
      <c r="Z931" t="s">
        <v>69</v>
      </c>
      <c r="AA931" t="s">
        <v>29558</v>
      </c>
      <c r="AB931" t="s">
        <v>69</v>
      </c>
      <c r="AC931" t="s">
        <v>3709</v>
      </c>
      <c r="AD931" t="s">
        <v>29559</v>
      </c>
      <c r="AE931" t="s">
        <v>69</v>
      </c>
      <c r="AF931" t="s">
        <v>29560</v>
      </c>
      <c r="AG931" t="s">
        <v>29561</v>
      </c>
      <c r="AH931" t="s">
        <v>69</v>
      </c>
      <c r="AI931" t="s">
        <v>69</v>
      </c>
      <c r="AJ931" t="s">
        <v>69</v>
      </c>
      <c r="AK931" t="s">
        <v>69</v>
      </c>
      <c r="AL931" t="s">
        <v>69</v>
      </c>
      <c r="AM931" t="s">
        <v>69</v>
      </c>
      <c r="AN931">
        <v>9</v>
      </c>
      <c r="AO931">
        <v>14</v>
      </c>
      <c r="AP931">
        <v>14</v>
      </c>
      <c r="AQ931">
        <v>0</v>
      </c>
      <c r="AR931">
        <v>9</v>
      </c>
      <c r="AS931" t="s">
        <v>9145</v>
      </c>
      <c r="AT931" t="s">
        <v>8637</v>
      </c>
      <c r="AU931" t="s">
        <v>9146</v>
      </c>
      <c r="AV931" t="s">
        <v>3710</v>
      </c>
      <c r="AW931" t="s">
        <v>69</v>
      </c>
      <c r="AX931" t="s">
        <v>69</v>
      </c>
      <c r="AY931" t="s">
        <v>29562</v>
      </c>
      <c r="AZ931" t="s">
        <v>29563</v>
      </c>
      <c r="BA931" t="s">
        <v>255</v>
      </c>
      <c r="BB931">
        <v>2007</v>
      </c>
      <c r="BC931">
        <v>27</v>
      </c>
      <c r="BD931">
        <v>13</v>
      </c>
      <c r="BE931" t="s">
        <v>69</v>
      </c>
      <c r="BF931" t="s">
        <v>69</v>
      </c>
      <c r="BG931" t="s">
        <v>69</v>
      </c>
      <c r="BH931" t="s">
        <v>69</v>
      </c>
      <c r="BI931">
        <v>2161</v>
      </c>
      <c r="BJ931">
        <v>2165</v>
      </c>
      <c r="BK931" t="s">
        <v>69</v>
      </c>
      <c r="BL931" t="s">
        <v>3711</v>
      </c>
      <c r="BM931" t="str">
        <f>HYPERLINK("http://dx.doi.org/10.1016/j.applthermaleng.2005.07.019","http://dx.doi.org/10.1016/j.applthermaleng.2005.07.019")</f>
        <v>http://dx.doi.org/10.1016/j.applthermaleng.2005.07.019</v>
      </c>
      <c r="BN931" t="s">
        <v>69</v>
      </c>
      <c r="BO931" t="s">
        <v>69</v>
      </c>
      <c r="BP931">
        <v>5</v>
      </c>
      <c r="BQ931" t="s">
        <v>29564</v>
      </c>
      <c r="BR931" t="s">
        <v>29550</v>
      </c>
      <c r="BS931" t="s">
        <v>29565</v>
      </c>
      <c r="BT931" t="s">
        <v>29566</v>
      </c>
      <c r="BU931" t="s">
        <v>3712</v>
      </c>
      <c r="BV931" t="s">
        <v>69</v>
      </c>
      <c r="BW931" t="s">
        <v>69</v>
      </c>
      <c r="BX931" t="s">
        <v>69</v>
      </c>
      <c r="BY931" t="s">
        <v>69</v>
      </c>
      <c r="BZ931" t="s">
        <v>8526</v>
      </c>
      <c r="CA931" t="str">
        <f>HYPERLINK("https%3A%2F%2Fwww.webofscience.com%2Fwos%2Fwoscc%2Ffull-record%2FWOS:000247862800002","View Full Record in Web of Science")</f>
        <v>View Full Record in Web of Science</v>
      </c>
    </row>
    <row r="932" spans="2:79" ht="12.5" x14ac:dyDescent="0.25">
      <c r="B932" t="s">
        <v>8495</v>
      </c>
      <c r="D932" s="22" t="s">
        <v>32931</v>
      </c>
      <c r="E932" s="7"/>
      <c r="F932" s="7"/>
      <c r="G932" s="7"/>
      <c r="H932" t="s">
        <v>67</v>
      </c>
      <c r="I932" t="s">
        <v>13519</v>
      </c>
      <c r="J932" t="s">
        <v>69</v>
      </c>
      <c r="K932" t="s">
        <v>69</v>
      </c>
      <c r="L932" t="s">
        <v>69</v>
      </c>
      <c r="M932" t="s">
        <v>13520</v>
      </c>
      <c r="N932" t="s">
        <v>69</v>
      </c>
      <c r="O932" t="s">
        <v>69</v>
      </c>
      <c r="P932" t="s">
        <v>13521</v>
      </c>
      <c r="Q932" t="s">
        <v>13522</v>
      </c>
      <c r="R932" t="s">
        <v>69</v>
      </c>
      <c r="S932" t="s">
        <v>69</v>
      </c>
      <c r="T932" t="s">
        <v>8505</v>
      </c>
      <c r="U932" t="s">
        <v>8506</v>
      </c>
      <c r="V932" t="s">
        <v>69</v>
      </c>
      <c r="W932" t="s">
        <v>69</v>
      </c>
      <c r="X932" t="s">
        <v>69</v>
      </c>
      <c r="Y932" t="s">
        <v>69</v>
      </c>
      <c r="Z932" t="s">
        <v>69</v>
      </c>
      <c r="AA932" t="s">
        <v>13523</v>
      </c>
      <c r="AB932" t="s">
        <v>13524</v>
      </c>
      <c r="AC932" t="s">
        <v>13525</v>
      </c>
      <c r="AD932" t="s">
        <v>13526</v>
      </c>
      <c r="AE932" t="s">
        <v>69</v>
      </c>
      <c r="AF932" t="s">
        <v>13527</v>
      </c>
      <c r="AG932" t="s">
        <v>13528</v>
      </c>
      <c r="AH932" t="s">
        <v>69</v>
      </c>
      <c r="AI932" t="s">
        <v>13529</v>
      </c>
      <c r="AJ932" t="s">
        <v>69</v>
      </c>
      <c r="AK932" t="s">
        <v>69</v>
      </c>
      <c r="AL932" t="s">
        <v>69</v>
      </c>
      <c r="AM932" t="s">
        <v>69</v>
      </c>
      <c r="AN932">
        <v>48</v>
      </c>
      <c r="AO932">
        <v>1</v>
      </c>
      <c r="AP932">
        <v>1</v>
      </c>
      <c r="AQ932">
        <v>5</v>
      </c>
      <c r="AR932">
        <v>5</v>
      </c>
      <c r="AS932" t="s">
        <v>13530</v>
      </c>
      <c r="AT932" t="s">
        <v>13531</v>
      </c>
      <c r="AU932" t="s">
        <v>13532</v>
      </c>
      <c r="AV932" t="s">
        <v>13533</v>
      </c>
      <c r="AW932" t="s">
        <v>69</v>
      </c>
      <c r="AX932" t="s">
        <v>69</v>
      </c>
      <c r="AY932" t="s">
        <v>13534</v>
      </c>
      <c r="AZ932" t="s">
        <v>13535</v>
      </c>
      <c r="BA932" t="s">
        <v>69</v>
      </c>
      <c r="BB932">
        <v>2021</v>
      </c>
      <c r="BC932">
        <v>26</v>
      </c>
      <c r="BD932" t="s">
        <v>69</v>
      </c>
      <c r="BE932" t="s">
        <v>69</v>
      </c>
      <c r="BF932" t="s">
        <v>69</v>
      </c>
      <c r="BG932" t="s">
        <v>69</v>
      </c>
      <c r="BH932" t="s">
        <v>69</v>
      </c>
      <c r="BI932">
        <v>922</v>
      </c>
      <c r="BJ932">
        <v>935</v>
      </c>
      <c r="BK932" t="s">
        <v>69</v>
      </c>
      <c r="BL932" t="s">
        <v>13536</v>
      </c>
      <c r="BM932" t="str">
        <f>HYPERLINK("http://dx.doi.org/10.36680/j.itcon.2021.049","http://dx.doi.org/10.36680/j.itcon.2021.049")</f>
        <v>http://dx.doi.org/10.36680/j.itcon.2021.049</v>
      </c>
      <c r="BN932" t="s">
        <v>69</v>
      </c>
      <c r="BO932" t="s">
        <v>69</v>
      </c>
      <c r="BP932">
        <v>14</v>
      </c>
      <c r="BQ932" t="s">
        <v>13537</v>
      </c>
      <c r="BR932" t="s">
        <v>8573</v>
      </c>
      <c r="BS932" t="s">
        <v>8445</v>
      </c>
      <c r="BT932" t="s">
        <v>13538</v>
      </c>
      <c r="BU932" t="s">
        <v>13539</v>
      </c>
      <c r="BV932" t="s">
        <v>69</v>
      </c>
      <c r="BW932" t="s">
        <v>9352</v>
      </c>
      <c r="BX932" t="s">
        <v>69</v>
      </c>
      <c r="BY932" t="s">
        <v>69</v>
      </c>
      <c r="BZ932" t="s">
        <v>8526</v>
      </c>
      <c r="CA932" t="str">
        <f>HYPERLINK("https%3A%2F%2Fwww.webofscience.com%2Fwos%2Fwoscc%2Ffull-record%2FWOS:000717039000001","View Full Record in Web of Science")</f>
        <v>View Full Record in Web of Science</v>
      </c>
    </row>
    <row r="933" spans="2:79" ht="12.5" x14ac:dyDescent="0.25">
      <c r="B933" t="s">
        <v>8495</v>
      </c>
      <c r="D933" s="22" t="s">
        <v>32931</v>
      </c>
      <c r="E933" s="7"/>
      <c r="F933" s="7"/>
      <c r="G933" s="7"/>
      <c r="H933" t="s">
        <v>67</v>
      </c>
      <c r="I933" t="s">
        <v>9894</v>
      </c>
      <c r="J933" t="s">
        <v>69</v>
      </c>
      <c r="K933" t="s">
        <v>69</v>
      </c>
      <c r="L933" t="s">
        <v>69</v>
      </c>
      <c r="M933" t="s">
        <v>9895</v>
      </c>
      <c r="N933" t="s">
        <v>69</v>
      </c>
      <c r="O933" t="s">
        <v>69</v>
      </c>
      <c r="P933" t="s">
        <v>9896</v>
      </c>
      <c r="Q933" t="s">
        <v>9897</v>
      </c>
      <c r="R933" t="s">
        <v>69</v>
      </c>
      <c r="S933" t="s">
        <v>69</v>
      </c>
      <c r="T933" t="s">
        <v>8505</v>
      </c>
      <c r="U933" t="s">
        <v>8506</v>
      </c>
      <c r="V933" t="s">
        <v>69</v>
      </c>
      <c r="W933" t="s">
        <v>69</v>
      </c>
      <c r="X933" t="s">
        <v>69</v>
      </c>
      <c r="Y933" t="s">
        <v>69</v>
      </c>
      <c r="Z933" t="s">
        <v>69</v>
      </c>
      <c r="AA933" t="s">
        <v>9898</v>
      </c>
      <c r="AB933" t="s">
        <v>9899</v>
      </c>
      <c r="AC933" t="s">
        <v>9900</v>
      </c>
      <c r="AD933" t="s">
        <v>9901</v>
      </c>
      <c r="AE933" t="s">
        <v>69</v>
      </c>
      <c r="AF933" t="s">
        <v>9902</v>
      </c>
      <c r="AG933" t="s">
        <v>9903</v>
      </c>
      <c r="AH933" t="s">
        <v>69</v>
      </c>
      <c r="AI933" t="s">
        <v>69</v>
      </c>
      <c r="AJ933" t="s">
        <v>69</v>
      </c>
      <c r="AK933" t="s">
        <v>69</v>
      </c>
      <c r="AL933" t="s">
        <v>69</v>
      </c>
      <c r="AM933" t="s">
        <v>69</v>
      </c>
      <c r="AN933">
        <v>78</v>
      </c>
      <c r="AO933">
        <v>0</v>
      </c>
      <c r="AP933">
        <v>0</v>
      </c>
      <c r="AQ933">
        <v>3</v>
      </c>
      <c r="AR933">
        <v>3</v>
      </c>
      <c r="AS933" t="s">
        <v>8636</v>
      </c>
      <c r="AT933" t="s">
        <v>8637</v>
      </c>
      <c r="AU933" t="s">
        <v>8638</v>
      </c>
      <c r="AV933" t="s">
        <v>9904</v>
      </c>
      <c r="AW933" t="s">
        <v>9905</v>
      </c>
      <c r="AX933" t="s">
        <v>69</v>
      </c>
      <c r="AY933" t="s">
        <v>9906</v>
      </c>
      <c r="AZ933" t="s">
        <v>9907</v>
      </c>
      <c r="BA933" t="s">
        <v>191</v>
      </c>
      <c r="BB933">
        <v>2022</v>
      </c>
      <c r="BC933">
        <v>99</v>
      </c>
      <c r="BD933" t="s">
        <v>69</v>
      </c>
      <c r="BE933" t="s">
        <v>69</v>
      </c>
      <c r="BF933" t="s">
        <v>69</v>
      </c>
      <c r="BG933" t="s">
        <v>69</v>
      </c>
      <c r="BH933" t="s">
        <v>69</v>
      </c>
      <c r="BI933" t="s">
        <v>69</v>
      </c>
      <c r="BJ933" t="s">
        <v>69</v>
      </c>
      <c r="BK933">
        <v>103280</v>
      </c>
      <c r="BL933" t="s">
        <v>9908</v>
      </c>
      <c r="BM933" t="str">
        <f>HYPERLINK("http://dx.doi.org/10.1016/j.jtrangeo.2022.103280","http://dx.doi.org/10.1016/j.jtrangeo.2022.103280")</f>
        <v>http://dx.doi.org/10.1016/j.jtrangeo.2022.103280</v>
      </c>
      <c r="BN933" t="s">
        <v>69</v>
      </c>
      <c r="BO933" t="s">
        <v>69</v>
      </c>
      <c r="BP933">
        <v>9</v>
      </c>
      <c r="BQ933" t="s">
        <v>9909</v>
      </c>
      <c r="BR933" t="s">
        <v>8661</v>
      </c>
      <c r="BS933" t="s">
        <v>9910</v>
      </c>
      <c r="BT933" t="s">
        <v>9911</v>
      </c>
      <c r="BU933" t="s">
        <v>9912</v>
      </c>
      <c r="BV933" t="s">
        <v>69</v>
      </c>
      <c r="BW933" t="s">
        <v>69</v>
      </c>
      <c r="BX933" t="s">
        <v>69</v>
      </c>
      <c r="BY933" t="s">
        <v>69</v>
      </c>
      <c r="BZ933" t="s">
        <v>8526</v>
      </c>
      <c r="CA933" t="str">
        <f>HYPERLINK("https%3A%2F%2Fwww.webofscience.com%2Fwos%2Fwoscc%2Ffull-record%2FWOS:000787886500008","View Full Record in Web of Science")</f>
        <v>View Full Record in Web of Science</v>
      </c>
    </row>
    <row r="934" spans="2:79" ht="12.5" x14ac:dyDescent="0.25">
      <c r="B934" t="s">
        <v>8495</v>
      </c>
      <c r="D934" s="7" t="s">
        <v>32933</v>
      </c>
      <c r="E934" s="7"/>
      <c r="F934" s="7"/>
      <c r="G934" s="7"/>
      <c r="H934" t="s">
        <v>67</v>
      </c>
      <c r="I934" t="s">
        <v>4486</v>
      </c>
      <c r="J934" t="s">
        <v>69</v>
      </c>
      <c r="K934" t="s">
        <v>69</v>
      </c>
      <c r="L934" t="s">
        <v>69</v>
      </c>
      <c r="M934" t="s">
        <v>4487</v>
      </c>
      <c r="N934" t="s">
        <v>69</v>
      </c>
      <c r="O934" t="s">
        <v>69</v>
      </c>
      <c r="P934" t="s">
        <v>4488</v>
      </c>
      <c r="Q934" t="s">
        <v>3162</v>
      </c>
      <c r="R934" t="s">
        <v>69</v>
      </c>
      <c r="S934" t="s">
        <v>69</v>
      </c>
      <c r="T934" t="s">
        <v>8505</v>
      </c>
      <c r="U934" t="s">
        <v>8506</v>
      </c>
      <c r="V934" t="s">
        <v>69</v>
      </c>
      <c r="W934" t="s">
        <v>69</v>
      </c>
      <c r="X934" t="s">
        <v>69</v>
      </c>
      <c r="Y934" t="s">
        <v>69</v>
      </c>
      <c r="Z934" t="s">
        <v>69</v>
      </c>
      <c r="AA934" t="s">
        <v>23372</v>
      </c>
      <c r="AB934" t="s">
        <v>23373</v>
      </c>
      <c r="AC934" t="s">
        <v>4489</v>
      </c>
      <c r="AD934" t="s">
        <v>23374</v>
      </c>
      <c r="AE934" t="s">
        <v>69</v>
      </c>
      <c r="AF934" t="s">
        <v>23375</v>
      </c>
      <c r="AG934" t="s">
        <v>23376</v>
      </c>
      <c r="AH934" t="s">
        <v>23377</v>
      </c>
      <c r="AI934" t="s">
        <v>23378</v>
      </c>
      <c r="AJ934" t="s">
        <v>23379</v>
      </c>
      <c r="AK934" t="s">
        <v>23380</v>
      </c>
      <c r="AL934" t="s">
        <v>23381</v>
      </c>
      <c r="AM934" t="s">
        <v>69</v>
      </c>
      <c r="AN934">
        <v>67</v>
      </c>
      <c r="AO934">
        <v>7</v>
      </c>
      <c r="AP934">
        <v>8</v>
      </c>
      <c r="AQ934">
        <v>1</v>
      </c>
      <c r="AR934">
        <v>102</v>
      </c>
      <c r="AS934" t="s">
        <v>9047</v>
      </c>
      <c r="AT934" t="s">
        <v>8693</v>
      </c>
      <c r="AU934" t="s">
        <v>16643</v>
      </c>
      <c r="AV934" t="s">
        <v>3164</v>
      </c>
      <c r="AW934" t="s">
        <v>3165</v>
      </c>
      <c r="AX934" t="s">
        <v>69</v>
      </c>
      <c r="AY934" t="s">
        <v>23382</v>
      </c>
      <c r="AZ934" t="s">
        <v>23383</v>
      </c>
      <c r="BA934" t="s">
        <v>75</v>
      </c>
      <c r="BB934">
        <v>2014</v>
      </c>
      <c r="BC934">
        <v>72</v>
      </c>
      <c r="BD934">
        <v>12</v>
      </c>
      <c r="BE934" t="s">
        <v>69</v>
      </c>
      <c r="BF934" t="s">
        <v>69</v>
      </c>
      <c r="BG934" t="s">
        <v>114</v>
      </c>
      <c r="BH934" t="s">
        <v>69</v>
      </c>
      <c r="BI934">
        <v>4677</v>
      </c>
      <c r="BJ934">
        <v>4687</v>
      </c>
      <c r="BK934" t="s">
        <v>69</v>
      </c>
      <c r="BL934" t="s">
        <v>4490</v>
      </c>
      <c r="BM934" t="str">
        <f>HYPERLINK("http://dx.doi.org/10.1007/s12665-014-3877-2","http://dx.doi.org/10.1007/s12665-014-3877-2")</f>
        <v>http://dx.doi.org/10.1007/s12665-014-3877-2</v>
      </c>
      <c r="BN934" t="s">
        <v>69</v>
      </c>
      <c r="BO934" t="s">
        <v>69</v>
      </c>
      <c r="BP934">
        <v>11</v>
      </c>
      <c r="BQ934" t="s">
        <v>23384</v>
      </c>
      <c r="BR934" t="s">
        <v>8548</v>
      </c>
      <c r="BS934" t="s">
        <v>23385</v>
      </c>
      <c r="BT934" t="s">
        <v>23386</v>
      </c>
      <c r="BU934" t="s">
        <v>4491</v>
      </c>
      <c r="BV934" t="s">
        <v>69</v>
      </c>
      <c r="BW934" t="s">
        <v>69</v>
      </c>
      <c r="BX934" t="s">
        <v>69</v>
      </c>
      <c r="BY934" t="s">
        <v>69</v>
      </c>
      <c r="BZ934" t="s">
        <v>8526</v>
      </c>
      <c r="CA934" t="str">
        <f>HYPERLINK("https%3A%2F%2Fwww.webofscience.com%2Fwos%2Fwoscc%2Ffull-record%2FWOS:000345407000002","View Full Record in Web of Science")</f>
        <v>View Full Record in Web of Science</v>
      </c>
    </row>
    <row r="935" spans="2:79" x14ac:dyDescent="0.3">
      <c r="B935" t="s">
        <v>8495</v>
      </c>
      <c r="D935" s="13" t="s">
        <v>32933</v>
      </c>
      <c r="H935" t="s">
        <v>67</v>
      </c>
      <c r="I935" t="s">
        <v>7541</v>
      </c>
      <c r="J935" t="s">
        <v>69</v>
      </c>
      <c r="K935" t="s">
        <v>69</v>
      </c>
      <c r="L935" t="s">
        <v>69</v>
      </c>
      <c r="M935" s="4" t="s">
        <v>7542</v>
      </c>
      <c r="N935" t="s">
        <v>69</v>
      </c>
      <c r="O935" t="s">
        <v>69</v>
      </c>
      <c r="P935" s="4" t="s">
        <v>7543</v>
      </c>
      <c r="Q935" t="s">
        <v>7544</v>
      </c>
      <c r="R935" t="s">
        <v>69</v>
      </c>
      <c r="S935" t="s">
        <v>69</v>
      </c>
      <c r="T935" t="s">
        <v>8505</v>
      </c>
      <c r="U935" t="s">
        <v>8506</v>
      </c>
      <c r="V935" t="s">
        <v>69</v>
      </c>
      <c r="W935" t="s">
        <v>69</v>
      </c>
      <c r="X935" t="s">
        <v>69</v>
      </c>
      <c r="Y935" t="s">
        <v>69</v>
      </c>
      <c r="Z935" t="s">
        <v>69</v>
      </c>
      <c r="AA935" t="s">
        <v>18555</v>
      </c>
      <c r="AB935" t="s">
        <v>18556</v>
      </c>
      <c r="AC935" t="s">
        <v>7545</v>
      </c>
      <c r="AD935" t="s">
        <v>18557</v>
      </c>
      <c r="AE935" t="s">
        <v>69</v>
      </c>
      <c r="AF935" t="s">
        <v>18558</v>
      </c>
      <c r="AG935" t="s">
        <v>18559</v>
      </c>
      <c r="AH935" t="s">
        <v>18560</v>
      </c>
      <c r="AI935" t="s">
        <v>18561</v>
      </c>
      <c r="AJ935" t="s">
        <v>18562</v>
      </c>
      <c r="AK935" t="s">
        <v>18563</v>
      </c>
      <c r="AL935" t="s">
        <v>18564</v>
      </c>
      <c r="AM935" t="s">
        <v>69</v>
      </c>
      <c r="AN935">
        <v>55</v>
      </c>
      <c r="AO935">
        <v>12</v>
      </c>
      <c r="AP935">
        <v>12</v>
      </c>
      <c r="AQ935">
        <v>3</v>
      </c>
      <c r="AR935">
        <v>45</v>
      </c>
      <c r="AS935" t="s">
        <v>8516</v>
      </c>
      <c r="AT935" t="s">
        <v>8517</v>
      </c>
      <c r="AU935" t="s">
        <v>8518</v>
      </c>
      <c r="AV935" t="s">
        <v>7546</v>
      </c>
      <c r="AW935" t="s">
        <v>69</v>
      </c>
      <c r="AX935" t="s">
        <v>69</v>
      </c>
      <c r="AY935" t="s">
        <v>18565</v>
      </c>
      <c r="AZ935" t="s">
        <v>18566</v>
      </c>
      <c r="BA935" t="s">
        <v>84</v>
      </c>
      <c r="BB935">
        <v>2018</v>
      </c>
      <c r="BC935">
        <v>35</v>
      </c>
      <c r="BD935">
        <v>4</v>
      </c>
      <c r="BE935" t="s">
        <v>69</v>
      </c>
      <c r="BF935" t="s">
        <v>69</v>
      </c>
      <c r="BG935" t="s">
        <v>69</v>
      </c>
      <c r="BH935" t="s">
        <v>69</v>
      </c>
      <c r="BI935">
        <v>815</v>
      </c>
      <c r="BJ935">
        <v>825</v>
      </c>
      <c r="BK935" t="s">
        <v>69</v>
      </c>
      <c r="BL935" t="s">
        <v>7547</v>
      </c>
      <c r="BM935" t="str">
        <f>HYPERLINK("http://dx.doi.org/10.1016/j.tele.2017.12.011","http://dx.doi.org/10.1016/j.tele.2017.12.011")</f>
        <v>http://dx.doi.org/10.1016/j.tele.2017.12.011</v>
      </c>
      <c r="BN935" t="s">
        <v>69</v>
      </c>
      <c r="BO935" t="s">
        <v>69</v>
      </c>
      <c r="BP935">
        <v>11</v>
      </c>
      <c r="BQ935" t="s">
        <v>11010</v>
      </c>
      <c r="BR935" t="s">
        <v>8661</v>
      </c>
      <c r="BS935" t="s">
        <v>11010</v>
      </c>
      <c r="BT935" t="s">
        <v>18567</v>
      </c>
      <c r="BU935" t="s">
        <v>7548</v>
      </c>
      <c r="BV935" t="s">
        <v>69</v>
      </c>
      <c r="BW935" t="s">
        <v>69</v>
      </c>
      <c r="BX935" t="s">
        <v>69</v>
      </c>
      <c r="BY935" t="s">
        <v>69</v>
      </c>
      <c r="BZ935" t="s">
        <v>8526</v>
      </c>
      <c r="CA935" t="str">
        <f>HYPERLINK("https%3A%2F%2Fwww.webofscience.com%2Fwos%2Fwoscc%2Ffull-record%2FWOS:000434744100013","View Full Record in Web of Science")</f>
        <v>View Full Record in Web of Science</v>
      </c>
    </row>
    <row r="936" spans="2:79" ht="12.5" x14ac:dyDescent="0.25">
      <c r="B936" t="s">
        <v>8495</v>
      </c>
      <c r="D936" s="22" t="s">
        <v>32931</v>
      </c>
      <c r="E936" s="7"/>
      <c r="F936" s="7"/>
      <c r="G936" s="7"/>
      <c r="H936" t="s">
        <v>67</v>
      </c>
      <c r="I936" t="s">
        <v>28461</v>
      </c>
      <c r="J936" t="s">
        <v>69</v>
      </c>
      <c r="K936" t="s">
        <v>69</v>
      </c>
      <c r="L936" t="s">
        <v>69</v>
      </c>
      <c r="M936" t="s">
        <v>28462</v>
      </c>
      <c r="N936" t="s">
        <v>69</v>
      </c>
      <c r="O936" t="s">
        <v>69</v>
      </c>
      <c r="P936" t="s">
        <v>28463</v>
      </c>
      <c r="Q936" t="s">
        <v>28464</v>
      </c>
      <c r="R936" t="s">
        <v>69</v>
      </c>
      <c r="S936" t="s">
        <v>69</v>
      </c>
      <c r="T936" t="s">
        <v>8505</v>
      </c>
      <c r="U936" t="s">
        <v>8506</v>
      </c>
      <c r="V936" t="s">
        <v>69</v>
      </c>
      <c r="W936" t="s">
        <v>69</v>
      </c>
      <c r="X936" t="s">
        <v>69</v>
      </c>
      <c r="Y936" t="s">
        <v>69</v>
      </c>
      <c r="Z936" t="s">
        <v>69</v>
      </c>
      <c r="AA936" t="s">
        <v>28465</v>
      </c>
      <c r="AB936" t="s">
        <v>28466</v>
      </c>
      <c r="AC936" t="s">
        <v>28467</v>
      </c>
      <c r="AD936" t="s">
        <v>28468</v>
      </c>
      <c r="AE936" t="s">
        <v>69</v>
      </c>
      <c r="AF936" t="s">
        <v>28469</v>
      </c>
      <c r="AG936" t="s">
        <v>28470</v>
      </c>
      <c r="AH936" t="s">
        <v>69</v>
      </c>
      <c r="AI936" t="s">
        <v>28471</v>
      </c>
      <c r="AJ936" t="s">
        <v>28472</v>
      </c>
      <c r="AK936" t="s">
        <v>28473</v>
      </c>
      <c r="AL936" t="s">
        <v>28474</v>
      </c>
      <c r="AM936" t="s">
        <v>69</v>
      </c>
      <c r="AN936">
        <v>100</v>
      </c>
      <c r="AO936">
        <v>35</v>
      </c>
      <c r="AP936">
        <v>36</v>
      </c>
      <c r="AQ936">
        <v>1</v>
      </c>
      <c r="AR936">
        <v>35</v>
      </c>
      <c r="AS936" t="s">
        <v>8636</v>
      </c>
      <c r="AT936" t="s">
        <v>8637</v>
      </c>
      <c r="AU936" t="s">
        <v>8638</v>
      </c>
      <c r="AV936" t="s">
        <v>28475</v>
      </c>
      <c r="AW936" t="s">
        <v>28476</v>
      </c>
      <c r="AX936" t="s">
        <v>69</v>
      </c>
      <c r="AY936" t="s">
        <v>28477</v>
      </c>
      <c r="AZ936" t="s">
        <v>28478</v>
      </c>
      <c r="BA936" t="s">
        <v>586</v>
      </c>
      <c r="BB936">
        <v>2009</v>
      </c>
      <c r="BC936">
        <v>40</v>
      </c>
      <c r="BD936">
        <v>3</v>
      </c>
      <c r="BE936" t="s">
        <v>69</v>
      </c>
      <c r="BF936" t="s">
        <v>69</v>
      </c>
      <c r="BG936" t="s">
        <v>69</v>
      </c>
      <c r="BH936" t="s">
        <v>69</v>
      </c>
      <c r="BI936">
        <v>527</v>
      </c>
      <c r="BJ936">
        <v>537</v>
      </c>
      <c r="BK936" t="s">
        <v>69</v>
      </c>
      <c r="BL936" t="s">
        <v>28479</v>
      </c>
      <c r="BM936" t="str">
        <f>HYPERLINK("http://dx.doi.org/10.1016/j.apergo.2008.09.010","http://dx.doi.org/10.1016/j.apergo.2008.09.010")</f>
        <v>http://dx.doi.org/10.1016/j.apergo.2008.09.010</v>
      </c>
      <c r="BN936" t="s">
        <v>69</v>
      </c>
      <c r="BO936" t="s">
        <v>69</v>
      </c>
      <c r="BP936">
        <v>11</v>
      </c>
      <c r="BQ936" t="s">
        <v>28480</v>
      </c>
      <c r="BR936" t="s">
        <v>8523</v>
      </c>
      <c r="BS936" t="s">
        <v>28481</v>
      </c>
      <c r="BT936" t="s">
        <v>28482</v>
      </c>
      <c r="BU936" t="s">
        <v>28483</v>
      </c>
      <c r="BV936">
        <v>19019347</v>
      </c>
      <c r="BW936" t="s">
        <v>69</v>
      </c>
      <c r="BX936" t="s">
        <v>69</v>
      </c>
      <c r="BY936" t="s">
        <v>69</v>
      </c>
      <c r="BZ936" t="s">
        <v>8526</v>
      </c>
      <c r="CA936" t="str">
        <f>HYPERLINK("https%3A%2F%2Fwww.webofscience.com%2Fwos%2Fwoscc%2Ffull-record%2FWOS:000264453900028","View Full Record in Web of Science")</f>
        <v>View Full Record in Web of Science</v>
      </c>
    </row>
    <row r="937" spans="2:79" ht="12.5" x14ac:dyDescent="0.25">
      <c r="B937" t="s">
        <v>8495</v>
      </c>
      <c r="D937" s="22" t="s">
        <v>32931</v>
      </c>
      <c r="E937" s="7"/>
      <c r="F937" s="7"/>
      <c r="G937" s="7"/>
      <c r="H937" t="s">
        <v>67</v>
      </c>
      <c r="I937" t="s">
        <v>8837</v>
      </c>
      <c r="J937" t="s">
        <v>69</v>
      </c>
      <c r="K937" t="s">
        <v>69</v>
      </c>
      <c r="L937" t="s">
        <v>69</v>
      </c>
      <c r="M937" t="s">
        <v>8838</v>
      </c>
      <c r="N937" t="s">
        <v>69</v>
      </c>
      <c r="O937" t="s">
        <v>69</v>
      </c>
      <c r="P937" t="s">
        <v>8839</v>
      </c>
      <c r="Q937" t="s">
        <v>4599</v>
      </c>
      <c r="R937" t="s">
        <v>69</v>
      </c>
      <c r="S937" t="s">
        <v>69</v>
      </c>
      <c r="T937" t="s">
        <v>8505</v>
      </c>
      <c r="U937" t="s">
        <v>8442</v>
      </c>
      <c r="V937" t="s">
        <v>69</v>
      </c>
      <c r="W937" t="s">
        <v>69</v>
      </c>
      <c r="X937" t="s">
        <v>69</v>
      </c>
      <c r="Y937" t="s">
        <v>69</v>
      </c>
      <c r="Z937" t="s">
        <v>69</v>
      </c>
      <c r="AA937" t="s">
        <v>8840</v>
      </c>
      <c r="AB937" t="s">
        <v>8841</v>
      </c>
      <c r="AC937" t="s">
        <v>8842</v>
      </c>
      <c r="AD937" t="s">
        <v>8843</v>
      </c>
      <c r="AE937" t="s">
        <v>69</v>
      </c>
      <c r="AF937" t="s">
        <v>8844</v>
      </c>
      <c r="AG937" t="s">
        <v>8845</v>
      </c>
      <c r="AH937" t="s">
        <v>69</v>
      </c>
      <c r="AI937" t="s">
        <v>69</v>
      </c>
      <c r="AJ937" t="s">
        <v>69</v>
      </c>
      <c r="AK937" t="s">
        <v>69</v>
      </c>
      <c r="AL937" t="s">
        <v>69</v>
      </c>
      <c r="AM937" t="s">
        <v>69</v>
      </c>
      <c r="AN937">
        <v>103</v>
      </c>
      <c r="AO937">
        <v>1</v>
      </c>
      <c r="AP937">
        <v>1</v>
      </c>
      <c r="AQ937">
        <v>2</v>
      </c>
      <c r="AR937">
        <v>2</v>
      </c>
      <c r="AS937" t="s">
        <v>8846</v>
      </c>
      <c r="AT937" t="s">
        <v>8847</v>
      </c>
      <c r="AU937" t="s">
        <v>8848</v>
      </c>
      <c r="AV937" t="s">
        <v>4601</v>
      </c>
      <c r="AW937" t="s">
        <v>4602</v>
      </c>
      <c r="AX937" t="s">
        <v>69</v>
      </c>
      <c r="AY937" t="s">
        <v>8849</v>
      </c>
      <c r="AZ937" t="s">
        <v>8850</v>
      </c>
      <c r="BA937" t="s">
        <v>155</v>
      </c>
      <c r="BB937">
        <v>2022</v>
      </c>
      <c r="BC937">
        <v>58</v>
      </c>
      <c r="BD937">
        <v>3</v>
      </c>
      <c r="BE937" t="s">
        <v>69</v>
      </c>
      <c r="BF937" t="s">
        <v>69</v>
      </c>
      <c r="BG937" t="s">
        <v>69</v>
      </c>
      <c r="BH937" t="s">
        <v>69</v>
      </c>
      <c r="BI937">
        <v>321</v>
      </c>
      <c r="BJ937">
        <v>335</v>
      </c>
      <c r="BK937" t="s">
        <v>69</v>
      </c>
      <c r="BL937" t="s">
        <v>8851</v>
      </c>
      <c r="BM937" t="str">
        <f>HYPERLINK("http://dx.doi.org/10.1111/1752-1688.13022","http://dx.doi.org/10.1111/1752-1688.13022")</f>
        <v>http://dx.doi.org/10.1111/1752-1688.13022</v>
      </c>
      <c r="BN937" t="s">
        <v>69</v>
      </c>
      <c r="BO937" t="s">
        <v>8742</v>
      </c>
      <c r="BP937">
        <v>15</v>
      </c>
      <c r="BQ937" t="s">
        <v>8852</v>
      </c>
      <c r="BR937" t="s">
        <v>8548</v>
      </c>
      <c r="BS937" t="s">
        <v>8853</v>
      </c>
      <c r="BT937" t="s">
        <v>8854</v>
      </c>
      <c r="BU937" t="s">
        <v>8855</v>
      </c>
      <c r="BV937" t="s">
        <v>69</v>
      </c>
      <c r="BW937" t="s">
        <v>69</v>
      </c>
      <c r="BX937" t="s">
        <v>69</v>
      </c>
      <c r="BY937" t="s">
        <v>69</v>
      </c>
      <c r="BZ937" t="s">
        <v>8526</v>
      </c>
      <c r="CA937" t="str">
        <f>HYPERLINK("https%3A%2F%2Fwww.webofscience.com%2Fwos%2Fwoscc%2Ffull-record%2FWOS:000807251600001","View Full Record in Web of Science")</f>
        <v>View Full Record in Web of Science</v>
      </c>
    </row>
    <row r="938" spans="2:79" ht="12.5" x14ac:dyDescent="0.25">
      <c r="B938" t="s">
        <v>8495</v>
      </c>
      <c r="D938" s="7" t="s">
        <v>32933</v>
      </c>
      <c r="E938" s="7"/>
      <c r="F938" s="7"/>
      <c r="G938" s="7"/>
      <c r="H938" t="s">
        <v>67</v>
      </c>
      <c r="I938" t="s">
        <v>3834</v>
      </c>
      <c r="J938" t="s">
        <v>69</v>
      </c>
      <c r="K938" t="s">
        <v>69</v>
      </c>
      <c r="L938" t="s">
        <v>69</v>
      </c>
      <c r="M938" t="s">
        <v>3834</v>
      </c>
      <c r="N938" t="s">
        <v>69</v>
      </c>
      <c r="O938" t="s">
        <v>69</v>
      </c>
      <c r="P938" t="s">
        <v>3835</v>
      </c>
      <c r="Q938" t="s">
        <v>3836</v>
      </c>
      <c r="R938" t="s">
        <v>69</v>
      </c>
      <c r="S938" t="s">
        <v>69</v>
      </c>
      <c r="T938" t="s">
        <v>8505</v>
      </c>
      <c r="U938" t="s">
        <v>8442</v>
      </c>
      <c r="V938" t="s">
        <v>69</v>
      </c>
      <c r="W938" t="s">
        <v>69</v>
      </c>
      <c r="X938" t="s">
        <v>69</v>
      </c>
      <c r="Y938" t="s">
        <v>69</v>
      </c>
      <c r="Z938" t="s">
        <v>69</v>
      </c>
      <c r="AA938" t="s">
        <v>30337</v>
      </c>
      <c r="AB938" t="s">
        <v>30338</v>
      </c>
      <c r="AC938" t="s">
        <v>3837</v>
      </c>
      <c r="AD938" t="s">
        <v>30339</v>
      </c>
      <c r="AE938" t="s">
        <v>69</v>
      </c>
      <c r="AF938" t="s">
        <v>30340</v>
      </c>
      <c r="AG938" t="s">
        <v>30341</v>
      </c>
      <c r="AH938" t="s">
        <v>69</v>
      </c>
      <c r="AI938" t="s">
        <v>69</v>
      </c>
      <c r="AJ938" t="s">
        <v>69</v>
      </c>
      <c r="AK938" t="s">
        <v>69</v>
      </c>
      <c r="AL938" t="s">
        <v>69</v>
      </c>
      <c r="AM938" t="s">
        <v>69</v>
      </c>
      <c r="AN938">
        <v>104</v>
      </c>
      <c r="AO938">
        <v>77</v>
      </c>
      <c r="AP938">
        <v>80</v>
      </c>
      <c r="AQ938">
        <v>3</v>
      </c>
      <c r="AR938">
        <v>39</v>
      </c>
      <c r="AS938" t="s">
        <v>8762</v>
      </c>
      <c r="AT938" t="s">
        <v>8763</v>
      </c>
      <c r="AU938" t="s">
        <v>8764</v>
      </c>
      <c r="AV938" t="s">
        <v>3838</v>
      </c>
      <c r="AW938" t="s">
        <v>3839</v>
      </c>
      <c r="AX938" t="s">
        <v>69</v>
      </c>
      <c r="AY938" t="s">
        <v>25600</v>
      </c>
      <c r="AZ938" t="s">
        <v>25601</v>
      </c>
      <c r="BA938" t="s">
        <v>246</v>
      </c>
      <c r="BB938">
        <v>2006</v>
      </c>
      <c r="BC938">
        <v>24</v>
      </c>
      <c r="BD938">
        <v>2</v>
      </c>
      <c r="BE938" t="s">
        <v>69</v>
      </c>
      <c r="BF938" t="s">
        <v>69</v>
      </c>
      <c r="BG938" t="s">
        <v>69</v>
      </c>
      <c r="BH938" t="s">
        <v>69</v>
      </c>
      <c r="BI938">
        <v>105</v>
      </c>
      <c r="BJ938">
        <v>117</v>
      </c>
      <c r="BK938" t="s">
        <v>69</v>
      </c>
      <c r="BL938" t="s">
        <v>3840</v>
      </c>
      <c r="BM938" t="str">
        <f>HYPERLINK("http://dx.doi.org/10.1177/0734242X06063817","http://dx.doi.org/10.1177/0734242X06063817")</f>
        <v>http://dx.doi.org/10.1177/0734242X06063817</v>
      </c>
      <c r="BN938" t="s">
        <v>69</v>
      </c>
      <c r="BO938" t="s">
        <v>69</v>
      </c>
      <c r="BP938">
        <v>13</v>
      </c>
      <c r="BQ938" t="s">
        <v>8743</v>
      </c>
      <c r="BR938" t="s">
        <v>8523</v>
      </c>
      <c r="BS938" t="s">
        <v>8744</v>
      </c>
      <c r="BT938" t="s">
        <v>30342</v>
      </c>
      <c r="BU938" t="s">
        <v>3841</v>
      </c>
      <c r="BV938">
        <v>16634225</v>
      </c>
      <c r="BW938" t="s">
        <v>69</v>
      </c>
      <c r="BX938" t="s">
        <v>69</v>
      </c>
      <c r="BY938" t="s">
        <v>69</v>
      </c>
      <c r="BZ938" t="s">
        <v>8526</v>
      </c>
      <c r="CA938" t="str">
        <f>HYPERLINK("https%3A%2F%2Fwww.webofscience.com%2Fwos%2Fwoscc%2Ffull-record%2FWOS:000237023000002","View Full Record in Web of Science")</f>
        <v>View Full Record in Web of Science</v>
      </c>
    </row>
    <row r="939" spans="2:79" ht="12.5" x14ac:dyDescent="0.25">
      <c r="B939" t="s">
        <v>8495</v>
      </c>
      <c r="D939" s="7" t="s">
        <v>32933</v>
      </c>
      <c r="E939" s="7"/>
      <c r="F939" s="7"/>
      <c r="G939" s="7"/>
      <c r="H939" t="s">
        <v>67</v>
      </c>
      <c r="I939" t="s">
        <v>8329</v>
      </c>
      <c r="J939" t="s">
        <v>69</v>
      </c>
      <c r="K939" t="s">
        <v>69</v>
      </c>
      <c r="L939" t="s">
        <v>69</v>
      </c>
      <c r="M939" t="s">
        <v>8329</v>
      </c>
      <c r="N939" t="s">
        <v>69</v>
      </c>
      <c r="O939" t="s">
        <v>69</v>
      </c>
      <c r="P939" t="s">
        <v>8330</v>
      </c>
      <c r="Q939" t="s">
        <v>8331</v>
      </c>
      <c r="R939" t="s">
        <v>69</v>
      </c>
      <c r="S939" t="s">
        <v>69</v>
      </c>
      <c r="T939" t="s">
        <v>8505</v>
      </c>
      <c r="U939" t="s">
        <v>32688</v>
      </c>
      <c r="V939" t="s">
        <v>69</v>
      </c>
      <c r="W939" t="s">
        <v>69</v>
      </c>
      <c r="X939" t="s">
        <v>69</v>
      </c>
      <c r="Y939" t="s">
        <v>69</v>
      </c>
      <c r="Z939" t="s">
        <v>69</v>
      </c>
      <c r="AA939" t="s">
        <v>69</v>
      </c>
      <c r="AB939" t="s">
        <v>69</v>
      </c>
      <c r="AC939" t="s">
        <v>8332</v>
      </c>
      <c r="AD939" t="s">
        <v>32689</v>
      </c>
      <c r="AE939" t="s">
        <v>69</v>
      </c>
      <c r="AF939" t="s">
        <v>32690</v>
      </c>
      <c r="AG939" t="s">
        <v>69</v>
      </c>
      <c r="AH939" t="s">
        <v>8333</v>
      </c>
      <c r="AI939" t="s">
        <v>8334</v>
      </c>
      <c r="AJ939" t="s">
        <v>69</v>
      </c>
      <c r="AK939" t="s">
        <v>69</v>
      </c>
      <c r="AL939" t="s">
        <v>69</v>
      </c>
      <c r="AM939" t="s">
        <v>69</v>
      </c>
      <c r="AN939">
        <v>9</v>
      </c>
      <c r="AO939">
        <v>27</v>
      </c>
      <c r="AP939">
        <v>28</v>
      </c>
      <c r="AQ939">
        <v>0</v>
      </c>
      <c r="AR939">
        <v>6</v>
      </c>
      <c r="AS939" t="s">
        <v>31134</v>
      </c>
      <c r="AT939" t="s">
        <v>8693</v>
      </c>
      <c r="AU939" t="s">
        <v>32691</v>
      </c>
      <c r="AV939" t="s">
        <v>8335</v>
      </c>
      <c r="AW939" t="s">
        <v>69</v>
      </c>
      <c r="AX939" t="s">
        <v>69</v>
      </c>
      <c r="AY939" t="s">
        <v>32692</v>
      </c>
      <c r="AZ939" t="s">
        <v>32693</v>
      </c>
      <c r="BA939" t="s">
        <v>373</v>
      </c>
      <c r="BB939">
        <v>1994</v>
      </c>
      <c r="BC939">
        <v>4</v>
      </c>
      <c r="BD939">
        <v>1</v>
      </c>
      <c r="BE939" t="s">
        <v>69</v>
      </c>
      <c r="BF939" t="s">
        <v>69</v>
      </c>
      <c r="BG939" t="s">
        <v>69</v>
      </c>
      <c r="BH939" t="s">
        <v>69</v>
      </c>
      <c r="BI939">
        <v>1</v>
      </c>
      <c r="BJ939">
        <v>19</v>
      </c>
      <c r="BK939" t="s">
        <v>69</v>
      </c>
      <c r="BL939" t="s">
        <v>8336</v>
      </c>
      <c r="BM939" t="str">
        <f>HYPERLINK("http://dx.doi.org/10.1002/hfm.4530040102","http://dx.doi.org/10.1002/hfm.4530040102")</f>
        <v>http://dx.doi.org/10.1002/hfm.4530040102</v>
      </c>
      <c r="BN939" t="s">
        <v>69</v>
      </c>
      <c r="BO939" t="s">
        <v>69</v>
      </c>
      <c r="BP939">
        <v>19</v>
      </c>
      <c r="BQ939" t="s">
        <v>32694</v>
      </c>
      <c r="BR939" t="s">
        <v>8548</v>
      </c>
      <c r="BS939" t="s">
        <v>8445</v>
      </c>
      <c r="BT939" t="s">
        <v>32695</v>
      </c>
      <c r="BU939" t="s">
        <v>8337</v>
      </c>
      <c r="BV939" t="s">
        <v>69</v>
      </c>
      <c r="BW939" t="s">
        <v>69</v>
      </c>
      <c r="BX939" t="s">
        <v>69</v>
      </c>
      <c r="BY939" t="s">
        <v>69</v>
      </c>
      <c r="BZ939" t="s">
        <v>8526</v>
      </c>
      <c r="CA939" t="str">
        <f>HYPERLINK("https%3A%2F%2Fwww.webofscience.com%2Fwos%2Fwoscc%2Ffull-record%2FWOS:A1994MZ77800001","View Full Record in Web of Science")</f>
        <v>View Full Record in Web of Science</v>
      </c>
    </row>
    <row r="940" spans="2:79" ht="12.5" x14ac:dyDescent="0.25">
      <c r="B940" t="s">
        <v>8495</v>
      </c>
      <c r="D940" s="22" t="s">
        <v>32931</v>
      </c>
      <c r="E940" s="7"/>
      <c r="F940" s="7"/>
      <c r="G940" s="7"/>
      <c r="H940" t="s">
        <v>67</v>
      </c>
      <c r="I940" t="s">
        <v>26162</v>
      </c>
      <c r="J940" t="s">
        <v>69</v>
      </c>
      <c r="K940" t="s">
        <v>69</v>
      </c>
      <c r="L940" t="s">
        <v>69</v>
      </c>
      <c r="M940" t="s">
        <v>26163</v>
      </c>
      <c r="N940" t="s">
        <v>69</v>
      </c>
      <c r="O940" t="s">
        <v>69</v>
      </c>
      <c r="P940" t="s">
        <v>26164</v>
      </c>
      <c r="Q940" t="s">
        <v>26165</v>
      </c>
      <c r="R940" t="s">
        <v>69</v>
      </c>
      <c r="S940" t="s">
        <v>69</v>
      </c>
      <c r="T940" t="s">
        <v>8505</v>
      </c>
      <c r="U940" t="s">
        <v>8506</v>
      </c>
      <c r="V940" t="s">
        <v>69</v>
      </c>
      <c r="W940" t="s">
        <v>69</v>
      </c>
      <c r="X940" t="s">
        <v>69</v>
      </c>
      <c r="Y940" t="s">
        <v>69</v>
      </c>
      <c r="Z940" t="s">
        <v>69</v>
      </c>
      <c r="AA940" t="s">
        <v>69</v>
      </c>
      <c r="AB940" t="s">
        <v>26166</v>
      </c>
      <c r="AC940" t="s">
        <v>26167</v>
      </c>
      <c r="AD940" t="s">
        <v>26168</v>
      </c>
      <c r="AE940" t="s">
        <v>69</v>
      </c>
      <c r="AF940" t="s">
        <v>26169</v>
      </c>
      <c r="AG940" t="s">
        <v>26170</v>
      </c>
      <c r="AH940" t="s">
        <v>69</v>
      </c>
      <c r="AI940" t="s">
        <v>69</v>
      </c>
      <c r="AJ940" t="s">
        <v>26171</v>
      </c>
      <c r="AK940" t="s">
        <v>26172</v>
      </c>
      <c r="AL940" t="s">
        <v>26173</v>
      </c>
      <c r="AM940" t="s">
        <v>69</v>
      </c>
      <c r="AN940">
        <v>23</v>
      </c>
      <c r="AO940">
        <v>32</v>
      </c>
      <c r="AP940">
        <v>33</v>
      </c>
      <c r="AQ940">
        <v>0</v>
      </c>
      <c r="AR940">
        <v>7</v>
      </c>
      <c r="AS940" t="s">
        <v>14489</v>
      </c>
      <c r="AT940" t="s">
        <v>14490</v>
      </c>
      <c r="AU940" t="s">
        <v>14491</v>
      </c>
      <c r="AV940" t="s">
        <v>26174</v>
      </c>
      <c r="AW940" t="s">
        <v>26175</v>
      </c>
      <c r="AX940" t="s">
        <v>69</v>
      </c>
      <c r="AY940" t="s">
        <v>26176</v>
      </c>
      <c r="AZ940" t="s">
        <v>26177</v>
      </c>
      <c r="BA940" t="s">
        <v>191</v>
      </c>
      <c r="BB940">
        <v>2012</v>
      </c>
      <c r="BC940">
        <v>7</v>
      </c>
      <c r="BD940">
        <v>1</v>
      </c>
      <c r="BE940" t="s">
        <v>69</v>
      </c>
      <c r="BF940" t="s">
        <v>69</v>
      </c>
      <c r="BG940" t="s">
        <v>69</v>
      </c>
      <c r="BH940" t="s">
        <v>69</v>
      </c>
      <c r="BI940">
        <v>38</v>
      </c>
      <c r="BJ940">
        <v>42</v>
      </c>
      <c r="BK940" t="s">
        <v>69</v>
      </c>
      <c r="BL940" t="s">
        <v>26178</v>
      </c>
      <c r="BM940" t="str">
        <f>HYPERLINK("http://dx.doi.org/10.1089/bfm.2011.0003","http://dx.doi.org/10.1089/bfm.2011.0003")</f>
        <v>http://dx.doi.org/10.1089/bfm.2011.0003</v>
      </c>
      <c r="BN940" t="s">
        <v>69</v>
      </c>
      <c r="BO940" t="s">
        <v>69</v>
      </c>
      <c r="BP940">
        <v>5</v>
      </c>
      <c r="BQ940" t="s">
        <v>26179</v>
      </c>
      <c r="BR940" t="s">
        <v>8548</v>
      </c>
      <c r="BS940" t="s">
        <v>26179</v>
      </c>
      <c r="BT940" t="s">
        <v>26180</v>
      </c>
      <c r="BU940" t="s">
        <v>26181</v>
      </c>
      <c r="BV940">
        <v>21657890</v>
      </c>
      <c r="BW940" t="s">
        <v>10423</v>
      </c>
      <c r="BX940" t="s">
        <v>69</v>
      </c>
      <c r="BY940" t="s">
        <v>69</v>
      </c>
      <c r="BZ940" t="s">
        <v>8526</v>
      </c>
      <c r="CA940" t="str">
        <f>HYPERLINK("https%3A%2F%2Fwww.webofscience.com%2Fwos%2Fwoscc%2Ffull-record%2FWOS:000300391800007","View Full Record in Web of Science")</f>
        <v>View Full Record in Web of Science</v>
      </c>
    </row>
    <row r="941" spans="2:79" ht="12.5" x14ac:dyDescent="0.25">
      <c r="B941" t="s">
        <v>8495</v>
      </c>
      <c r="D941" s="7" t="s">
        <v>32933</v>
      </c>
      <c r="E941" s="7"/>
      <c r="F941" s="7"/>
      <c r="G941" s="7"/>
      <c r="H941" t="s">
        <v>67</v>
      </c>
      <c r="I941" t="s">
        <v>4308</v>
      </c>
      <c r="J941" t="s">
        <v>69</v>
      </c>
      <c r="K941" t="s">
        <v>69</v>
      </c>
      <c r="L941" t="s">
        <v>69</v>
      </c>
      <c r="M941" t="s">
        <v>4308</v>
      </c>
      <c r="N941" t="s">
        <v>69</v>
      </c>
      <c r="O941" t="s">
        <v>69</v>
      </c>
      <c r="P941" t="s">
        <v>4309</v>
      </c>
      <c r="Q941" t="s">
        <v>1806</v>
      </c>
      <c r="R941" t="s">
        <v>69</v>
      </c>
      <c r="S941" t="s">
        <v>69</v>
      </c>
      <c r="T941" t="s">
        <v>8505</v>
      </c>
      <c r="U941" t="s">
        <v>15797</v>
      </c>
      <c r="V941" t="s">
        <v>4310</v>
      </c>
      <c r="W941" t="s">
        <v>4311</v>
      </c>
      <c r="X941" t="s">
        <v>4312</v>
      </c>
      <c r="Y941" t="s">
        <v>69</v>
      </c>
      <c r="Z941" t="s">
        <v>69</v>
      </c>
      <c r="AA941" t="s">
        <v>69</v>
      </c>
      <c r="AB941" t="s">
        <v>32661</v>
      </c>
      <c r="AC941" t="s">
        <v>4313</v>
      </c>
      <c r="AD941" t="s">
        <v>69</v>
      </c>
      <c r="AE941" t="s">
        <v>69</v>
      </c>
      <c r="AF941" t="s">
        <v>32662</v>
      </c>
      <c r="AG941" t="s">
        <v>69</v>
      </c>
      <c r="AH941" t="s">
        <v>69</v>
      </c>
      <c r="AI941" t="s">
        <v>69</v>
      </c>
      <c r="AJ941" t="s">
        <v>69</v>
      </c>
      <c r="AK941" t="s">
        <v>69</v>
      </c>
      <c r="AL941" t="s">
        <v>69</v>
      </c>
      <c r="AM941" t="s">
        <v>69</v>
      </c>
      <c r="AN941">
        <v>61</v>
      </c>
      <c r="AO941">
        <v>36</v>
      </c>
      <c r="AP941">
        <v>38</v>
      </c>
      <c r="AQ941">
        <v>0</v>
      </c>
      <c r="AR941">
        <v>18</v>
      </c>
      <c r="AS941" t="s">
        <v>17140</v>
      </c>
      <c r="AT941" t="s">
        <v>8517</v>
      </c>
      <c r="AU941" t="s">
        <v>17141</v>
      </c>
      <c r="AV941" t="s">
        <v>1811</v>
      </c>
      <c r="AW941" t="s">
        <v>69</v>
      </c>
      <c r="AX941" t="s">
        <v>69</v>
      </c>
      <c r="AY941" t="s">
        <v>32663</v>
      </c>
      <c r="AZ941" t="s">
        <v>32664</v>
      </c>
      <c r="BA941" t="s">
        <v>201</v>
      </c>
      <c r="BB941">
        <v>1994</v>
      </c>
      <c r="BC941">
        <v>50</v>
      </c>
      <c r="BD941">
        <v>1</v>
      </c>
      <c r="BE941" t="s">
        <v>69</v>
      </c>
      <c r="BF941" t="s">
        <v>69</v>
      </c>
      <c r="BG941" t="s">
        <v>69</v>
      </c>
      <c r="BH941" t="s">
        <v>69</v>
      </c>
      <c r="BI941">
        <v>1</v>
      </c>
      <c r="BJ941">
        <v>10</v>
      </c>
      <c r="BK941" t="s">
        <v>69</v>
      </c>
      <c r="BL941" t="s">
        <v>4314</v>
      </c>
      <c r="BM941" t="str">
        <f>HYPERLINK("http://dx.doi.org/10.1016/0167-8809(94)90120-1","http://dx.doi.org/10.1016/0167-8809(94)90120-1")</f>
        <v>http://dx.doi.org/10.1016/0167-8809(94)90120-1</v>
      </c>
      <c r="BN941" t="s">
        <v>69</v>
      </c>
      <c r="BO941" t="s">
        <v>69</v>
      </c>
      <c r="BP941">
        <v>10</v>
      </c>
      <c r="BQ941" t="s">
        <v>32665</v>
      </c>
      <c r="BR941" t="s">
        <v>29550</v>
      </c>
      <c r="BS941" t="s">
        <v>32666</v>
      </c>
      <c r="BT941" t="s">
        <v>32667</v>
      </c>
      <c r="BU941" t="s">
        <v>4315</v>
      </c>
      <c r="BV941" t="s">
        <v>69</v>
      </c>
      <c r="BW941" t="s">
        <v>69</v>
      </c>
      <c r="BX941" t="s">
        <v>69</v>
      </c>
      <c r="BY941" t="s">
        <v>69</v>
      </c>
      <c r="BZ941" t="s">
        <v>8526</v>
      </c>
      <c r="CA941" t="str">
        <f>HYPERLINK("https%3A%2F%2Fwww.webofscience.com%2Fwos%2Fwoscc%2Ffull-record%2FWOS:A1994PE88300002","View Full Record in Web of Science")</f>
        <v>View Full Record in Web of Science</v>
      </c>
    </row>
    <row r="942" spans="2:79" ht="12.5" x14ac:dyDescent="0.25">
      <c r="B942" t="s">
        <v>8495</v>
      </c>
      <c r="D942" s="22" t="s">
        <v>32931</v>
      </c>
      <c r="E942" s="7"/>
      <c r="F942" s="7"/>
      <c r="G942" s="7"/>
      <c r="H942" t="s">
        <v>67</v>
      </c>
      <c r="I942" t="s">
        <v>11190</v>
      </c>
      <c r="J942" t="s">
        <v>69</v>
      </c>
      <c r="K942" t="s">
        <v>69</v>
      </c>
      <c r="L942" t="s">
        <v>69</v>
      </c>
      <c r="M942" t="s">
        <v>11191</v>
      </c>
      <c r="N942" t="s">
        <v>69</v>
      </c>
      <c r="O942" t="s">
        <v>69</v>
      </c>
      <c r="P942" t="s">
        <v>11192</v>
      </c>
      <c r="Q942" t="s">
        <v>11193</v>
      </c>
      <c r="R942" t="s">
        <v>69</v>
      </c>
      <c r="S942" t="s">
        <v>69</v>
      </c>
      <c r="T942" t="s">
        <v>8505</v>
      </c>
      <c r="U942" t="s">
        <v>8506</v>
      </c>
      <c r="V942" t="s">
        <v>69</v>
      </c>
      <c r="W942" t="s">
        <v>69</v>
      </c>
      <c r="X942" t="s">
        <v>69</v>
      </c>
      <c r="Y942" t="s">
        <v>69</v>
      </c>
      <c r="Z942" t="s">
        <v>69</v>
      </c>
      <c r="AA942" t="s">
        <v>11194</v>
      </c>
      <c r="AB942" t="s">
        <v>11195</v>
      </c>
      <c r="AC942" t="s">
        <v>11196</v>
      </c>
      <c r="AD942" t="s">
        <v>11197</v>
      </c>
      <c r="AE942" t="s">
        <v>69</v>
      </c>
      <c r="AF942" t="s">
        <v>11198</v>
      </c>
      <c r="AG942" t="s">
        <v>11199</v>
      </c>
      <c r="AH942" t="s">
        <v>69</v>
      </c>
      <c r="AI942" t="s">
        <v>11200</v>
      </c>
      <c r="AJ942" t="s">
        <v>69</v>
      </c>
      <c r="AK942" t="s">
        <v>69</v>
      </c>
      <c r="AL942" t="s">
        <v>69</v>
      </c>
      <c r="AM942" t="s">
        <v>69</v>
      </c>
      <c r="AN942">
        <v>52</v>
      </c>
      <c r="AO942">
        <v>1</v>
      </c>
      <c r="AP942">
        <v>1</v>
      </c>
      <c r="AQ942">
        <v>4</v>
      </c>
      <c r="AR942">
        <v>4</v>
      </c>
      <c r="AS942" t="s">
        <v>8865</v>
      </c>
      <c r="AT942" t="s">
        <v>8612</v>
      </c>
      <c r="AU942" t="s">
        <v>8866</v>
      </c>
      <c r="AV942" t="s">
        <v>11201</v>
      </c>
      <c r="AW942" t="s">
        <v>11202</v>
      </c>
      <c r="AX942" t="s">
        <v>69</v>
      </c>
      <c r="AY942" t="s">
        <v>11203</v>
      </c>
      <c r="AZ942" t="s">
        <v>11204</v>
      </c>
      <c r="BA942" t="s">
        <v>837</v>
      </c>
      <c r="BB942">
        <v>2022</v>
      </c>
      <c r="BC942">
        <v>13</v>
      </c>
      <c r="BD942">
        <v>1</v>
      </c>
      <c r="BE942" t="s">
        <v>69</v>
      </c>
      <c r="BF942" t="s">
        <v>69</v>
      </c>
      <c r="BG942" t="s">
        <v>69</v>
      </c>
      <c r="BH942" t="s">
        <v>69</v>
      </c>
      <c r="BI942">
        <v>5</v>
      </c>
      <c r="BJ942">
        <v>27</v>
      </c>
      <c r="BK942" t="s">
        <v>69</v>
      </c>
      <c r="BL942" t="s">
        <v>11205</v>
      </c>
      <c r="BM942" t="str">
        <f>HYPERLINK("http://dx.doi.org/10.1080/17567505.2021.1981670","http://dx.doi.org/10.1080/17567505.2021.1981670")</f>
        <v>http://dx.doi.org/10.1080/17567505.2021.1981670</v>
      </c>
      <c r="BN942" t="s">
        <v>69</v>
      </c>
      <c r="BO942" t="s">
        <v>10991</v>
      </c>
      <c r="BP942">
        <v>23</v>
      </c>
      <c r="BQ942" t="s">
        <v>11206</v>
      </c>
      <c r="BR942" t="s">
        <v>11207</v>
      </c>
      <c r="BS942" t="s">
        <v>11208</v>
      </c>
      <c r="BT942" t="s">
        <v>11209</v>
      </c>
      <c r="BU942" t="s">
        <v>11210</v>
      </c>
      <c r="BV942" t="s">
        <v>69</v>
      </c>
      <c r="BW942" t="s">
        <v>69</v>
      </c>
      <c r="BX942" t="s">
        <v>69</v>
      </c>
      <c r="BY942" t="s">
        <v>69</v>
      </c>
      <c r="BZ942" t="s">
        <v>8526</v>
      </c>
      <c r="CA942" t="str">
        <f>HYPERLINK("https%3A%2F%2Fwww.webofscience.com%2Fwos%2Fwoscc%2Ffull-record%2FWOS:000706656000001","View Full Record in Web of Science")</f>
        <v>View Full Record in Web of Science</v>
      </c>
    </row>
    <row r="943" spans="2:79" ht="12.5" x14ac:dyDescent="0.25">
      <c r="B943" t="s">
        <v>8495</v>
      </c>
      <c r="D943" s="22" t="s">
        <v>32931</v>
      </c>
      <c r="E943" s="7"/>
      <c r="F943" s="7"/>
      <c r="G943" s="7"/>
      <c r="H943" t="s">
        <v>67</v>
      </c>
      <c r="I943" t="s">
        <v>31147</v>
      </c>
      <c r="J943" t="s">
        <v>69</v>
      </c>
      <c r="K943" t="s">
        <v>69</v>
      </c>
      <c r="L943" t="s">
        <v>69</v>
      </c>
      <c r="M943" t="s">
        <v>31147</v>
      </c>
      <c r="N943" t="s">
        <v>69</v>
      </c>
      <c r="O943" t="s">
        <v>69</v>
      </c>
      <c r="P943" t="s">
        <v>31148</v>
      </c>
      <c r="Q943" t="s">
        <v>31149</v>
      </c>
      <c r="R943" t="s">
        <v>69</v>
      </c>
      <c r="S943" t="s">
        <v>69</v>
      </c>
      <c r="T943" t="s">
        <v>12534</v>
      </c>
      <c r="U943" t="s">
        <v>15797</v>
      </c>
      <c r="V943" t="s">
        <v>31150</v>
      </c>
      <c r="W943" t="s">
        <v>31151</v>
      </c>
      <c r="X943" t="s">
        <v>31152</v>
      </c>
      <c r="Y943" t="s">
        <v>31153</v>
      </c>
      <c r="Z943" t="s">
        <v>69</v>
      </c>
      <c r="AA943" t="s">
        <v>69</v>
      </c>
      <c r="AB943" t="s">
        <v>69</v>
      </c>
      <c r="AC943" t="s">
        <v>31154</v>
      </c>
      <c r="AD943" t="s">
        <v>31155</v>
      </c>
      <c r="AE943" t="s">
        <v>69</v>
      </c>
      <c r="AF943" t="s">
        <v>31156</v>
      </c>
      <c r="AG943" t="s">
        <v>69</v>
      </c>
      <c r="AH943" t="s">
        <v>69</v>
      </c>
      <c r="AI943" t="s">
        <v>69</v>
      </c>
      <c r="AJ943" t="s">
        <v>69</v>
      </c>
      <c r="AK943" t="s">
        <v>69</v>
      </c>
      <c r="AL943" t="s">
        <v>69</v>
      </c>
      <c r="AM943" t="s">
        <v>69</v>
      </c>
      <c r="AN943">
        <v>8</v>
      </c>
      <c r="AO943">
        <v>0</v>
      </c>
      <c r="AP943">
        <v>0</v>
      </c>
      <c r="AQ943">
        <v>1</v>
      </c>
      <c r="AR943">
        <v>8</v>
      </c>
      <c r="AS943" t="s">
        <v>31157</v>
      </c>
      <c r="AT943" t="s">
        <v>19533</v>
      </c>
      <c r="AU943" t="s">
        <v>31158</v>
      </c>
      <c r="AV943" t="s">
        <v>31159</v>
      </c>
      <c r="AW943" t="s">
        <v>69</v>
      </c>
      <c r="AX943" t="s">
        <v>69</v>
      </c>
      <c r="AY943" t="s">
        <v>31149</v>
      </c>
      <c r="AZ943" t="s">
        <v>31160</v>
      </c>
      <c r="BA943" t="s">
        <v>619</v>
      </c>
      <c r="BB943">
        <v>2003</v>
      </c>
      <c r="BC943">
        <v>75</v>
      </c>
      <c r="BD943">
        <v>6</v>
      </c>
      <c r="BE943" t="s">
        <v>69</v>
      </c>
      <c r="BF943" t="s">
        <v>69</v>
      </c>
      <c r="BG943" t="s">
        <v>69</v>
      </c>
      <c r="BH943" t="s">
        <v>69</v>
      </c>
      <c r="BI943">
        <v>452</v>
      </c>
      <c r="BJ943">
        <v>458</v>
      </c>
      <c r="BK943" t="s">
        <v>69</v>
      </c>
      <c r="BL943" t="s">
        <v>69</v>
      </c>
      <c r="BM943" t="s">
        <v>69</v>
      </c>
      <c r="BN943" t="s">
        <v>69</v>
      </c>
      <c r="BO943" t="s">
        <v>69</v>
      </c>
      <c r="BP943">
        <v>7</v>
      </c>
      <c r="BQ943" t="s">
        <v>9683</v>
      </c>
      <c r="BR943" t="s">
        <v>29550</v>
      </c>
      <c r="BS943" t="s">
        <v>8450</v>
      </c>
      <c r="BT943" t="s">
        <v>31161</v>
      </c>
      <c r="BU943" t="s">
        <v>31162</v>
      </c>
      <c r="BV943" t="s">
        <v>69</v>
      </c>
      <c r="BW943" t="s">
        <v>69</v>
      </c>
      <c r="BX943" t="s">
        <v>69</v>
      </c>
      <c r="BY943" t="s">
        <v>69</v>
      </c>
      <c r="BZ943" t="s">
        <v>8526</v>
      </c>
      <c r="CA943" t="str">
        <f>HYPERLINK("https%3A%2F%2Fwww.webofscience.com%2Fwos%2Fwoscc%2Ffull-record%2FWOS:000220159000004","View Full Record in Web of Science")</f>
        <v>View Full Record in Web of Science</v>
      </c>
    </row>
    <row r="944" spans="2:79" ht="12.5" x14ac:dyDescent="0.25">
      <c r="B944" t="s">
        <v>8495</v>
      </c>
      <c r="D944" s="22" t="s">
        <v>32931</v>
      </c>
      <c r="E944" s="7"/>
      <c r="F944" s="7"/>
      <c r="G944" s="7"/>
      <c r="H944" t="s">
        <v>67</v>
      </c>
      <c r="I944" t="s">
        <v>9610</v>
      </c>
      <c r="J944" t="s">
        <v>69</v>
      </c>
      <c r="K944" t="s">
        <v>69</v>
      </c>
      <c r="L944" t="s">
        <v>69</v>
      </c>
      <c r="M944" t="s">
        <v>9611</v>
      </c>
      <c r="N944" t="s">
        <v>69</v>
      </c>
      <c r="O944" t="s">
        <v>69</v>
      </c>
      <c r="P944" t="s">
        <v>9612</v>
      </c>
      <c r="Q944" t="s">
        <v>9613</v>
      </c>
      <c r="R944" t="s">
        <v>69</v>
      </c>
      <c r="S944" t="s">
        <v>69</v>
      </c>
      <c r="T944" t="s">
        <v>8505</v>
      </c>
      <c r="U944" t="s">
        <v>8556</v>
      </c>
      <c r="V944" t="s">
        <v>69</v>
      </c>
      <c r="W944" t="s">
        <v>69</v>
      </c>
      <c r="X944" t="s">
        <v>69</v>
      </c>
      <c r="Y944" t="s">
        <v>69</v>
      </c>
      <c r="Z944" t="s">
        <v>69</v>
      </c>
      <c r="AA944" t="s">
        <v>9614</v>
      </c>
      <c r="AB944" t="s">
        <v>9615</v>
      </c>
      <c r="AC944" t="s">
        <v>9616</v>
      </c>
      <c r="AD944" t="s">
        <v>9617</v>
      </c>
      <c r="AE944" t="s">
        <v>69</v>
      </c>
      <c r="AF944" t="s">
        <v>9618</v>
      </c>
      <c r="AG944" t="s">
        <v>9619</v>
      </c>
      <c r="AH944" t="s">
        <v>9620</v>
      </c>
      <c r="AI944" t="s">
        <v>69</v>
      </c>
      <c r="AJ944" t="s">
        <v>69</v>
      </c>
      <c r="AK944" t="s">
        <v>69</v>
      </c>
      <c r="AL944" t="s">
        <v>69</v>
      </c>
      <c r="AM944" t="s">
        <v>69</v>
      </c>
      <c r="AN944">
        <v>65</v>
      </c>
      <c r="AO944">
        <v>5</v>
      </c>
      <c r="AP944">
        <v>5</v>
      </c>
      <c r="AQ944">
        <v>9</v>
      </c>
      <c r="AR944">
        <v>9</v>
      </c>
      <c r="AS944" t="s">
        <v>8762</v>
      </c>
      <c r="AT944" t="s">
        <v>8763</v>
      </c>
      <c r="AU944" t="s">
        <v>8764</v>
      </c>
      <c r="AV944" t="s">
        <v>9621</v>
      </c>
      <c r="AW944" t="s">
        <v>9622</v>
      </c>
      <c r="AX944" t="s">
        <v>69</v>
      </c>
      <c r="AY944" t="s">
        <v>9623</v>
      </c>
      <c r="AZ944" t="s">
        <v>9624</v>
      </c>
      <c r="BA944" t="s">
        <v>69</v>
      </c>
      <c r="BB944" t="s">
        <v>69</v>
      </c>
      <c r="BC944" t="s">
        <v>69</v>
      </c>
      <c r="BD944" t="s">
        <v>69</v>
      </c>
      <c r="BE944" t="s">
        <v>69</v>
      </c>
      <c r="BF944" t="s">
        <v>69</v>
      </c>
      <c r="BG944" t="s">
        <v>69</v>
      </c>
      <c r="BH944" t="s">
        <v>69</v>
      </c>
      <c r="BI944" t="s">
        <v>69</v>
      </c>
      <c r="BJ944" t="s">
        <v>69</v>
      </c>
      <c r="BK944" t="s">
        <v>9625</v>
      </c>
      <c r="BL944" t="s">
        <v>9626</v>
      </c>
      <c r="BM944" t="str">
        <f>HYPERLINK("http://dx.doi.org/10.1177/0958305X221083236","http://dx.doi.org/10.1177/0958305X221083236")</f>
        <v>http://dx.doi.org/10.1177/0958305X221083236</v>
      </c>
      <c r="BN944" t="s">
        <v>69</v>
      </c>
      <c r="BO944" t="s">
        <v>9485</v>
      </c>
      <c r="BP944">
        <v>22</v>
      </c>
      <c r="BQ944" t="s">
        <v>8660</v>
      </c>
      <c r="BR944" t="s">
        <v>8661</v>
      </c>
      <c r="BS944" t="s">
        <v>8662</v>
      </c>
      <c r="BT944" t="s">
        <v>9627</v>
      </c>
      <c r="BU944" t="s">
        <v>9628</v>
      </c>
      <c r="BV944" t="s">
        <v>69</v>
      </c>
      <c r="BW944" t="s">
        <v>69</v>
      </c>
      <c r="BX944" t="s">
        <v>69</v>
      </c>
      <c r="BY944" t="s">
        <v>69</v>
      </c>
      <c r="BZ944" t="s">
        <v>8526</v>
      </c>
      <c r="CA944" t="str">
        <f>HYPERLINK("https%3A%2F%2Fwww.webofscience.com%2Fwos%2Fwoscc%2Ffull-record%2FWOS:000769396300001","View Full Record in Web of Science")</f>
        <v>View Full Record in Web of Science</v>
      </c>
    </row>
    <row r="945" spans="2:79" ht="12.5" x14ac:dyDescent="0.25">
      <c r="B945" t="s">
        <v>8495</v>
      </c>
      <c r="D945" s="7" t="s">
        <v>32933</v>
      </c>
      <c r="E945" s="7"/>
      <c r="F945" s="7"/>
      <c r="G945" s="7"/>
      <c r="H945" t="s">
        <v>67</v>
      </c>
      <c r="I945" t="s">
        <v>1411</v>
      </c>
      <c r="J945" t="s">
        <v>69</v>
      </c>
      <c r="K945" t="s">
        <v>69</v>
      </c>
      <c r="L945" t="s">
        <v>69</v>
      </c>
      <c r="M945" t="s">
        <v>1412</v>
      </c>
      <c r="N945" t="s">
        <v>69</v>
      </c>
      <c r="O945" t="s">
        <v>69</v>
      </c>
      <c r="P945" t="s">
        <v>1413</v>
      </c>
      <c r="Q945" t="s">
        <v>1414</v>
      </c>
      <c r="R945" t="s">
        <v>69</v>
      </c>
      <c r="S945" t="s">
        <v>69</v>
      </c>
      <c r="T945" t="s">
        <v>10071</v>
      </c>
      <c r="U945" t="s">
        <v>8506</v>
      </c>
      <c r="V945" t="s">
        <v>69</v>
      </c>
      <c r="W945" t="s">
        <v>69</v>
      </c>
      <c r="X945" t="s">
        <v>69</v>
      </c>
      <c r="Y945" t="s">
        <v>69</v>
      </c>
      <c r="Z945" t="s">
        <v>69</v>
      </c>
      <c r="AA945" t="s">
        <v>24664</v>
      </c>
      <c r="AB945" t="s">
        <v>69</v>
      </c>
      <c r="AC945" t="s">
        <v>1415</v>
      </c>
      <c r="AD945" t="s">
        <v>24665</v>
      </c>
      <c r="AE945" t="s">
        <v>69</v>
      </c>
      <c r="AF945" t="s">
        <v>24666</v>
      </c>
      <c r="AG945" t="s">
        <v>24667</v>
      </c>
      <c r="AH945" t="s">
        <v>69</v>
      </c>
      <c r="AI945" t="s">
        <v>69</v>
      </c>
      <c r="AJ945" t="s">
        <v>69</v>
      </c>
      <c r="AK945" t="s">
        <v>69</v>
      </c>
      <c r="AL945" t="s">
        <v>69</v>
      </c>
      <c r="AM945" t="s">
        <v>69</v>
      </c>
      <c r="AN945">
        <v>23</v>
      </c>
      <c r="AO945">
        <v>0</v>
      </c>
      <c r="AP945">
        <v>0</v>
      </c>
      <c r="AQ945">
        <v>1</v>
      </c>
      <c r="AR945">
        <v>16</v>
      </c>
      <c r="AS945" t="s">
        <v>19151</v>
      </c>
      <c r="AT945" t="s">
        <v>19152</v>
      </c>
      <c r="AU945" t="s">
        <v>19153</v>
      </c>
      <c r="AV945" t="s">
        <v>1416</v>
      </c>
      <c r="AW945" t="s">
        <v>69</v>
      </c>
      <c r="AX945" t="s">
        <v>69</v>
      </c>
      <c r="AY945" t="s">
        <v>19154</v>
      </c>
      <c r="AZ945" t="s">
        <v>19155</v>
      </c>
      <c r="BA945" t="s">
        <v>381</v>
      </c>
      <c r="BB945">
        <v>2013</v>
      </c>
      <c r="BC945" t="s">
        <v>69</v>
      </c>
      <c r="BD945">
        <v>57</v>
      </c>
      <c r="BE945" t="s">
        <v>69</v>
      </c>
      <c r="BF945" t="s">
        <v>69</v>
      </c>
      <c r="BG945" t="s">
        <v>69</v>
      </c>
      <c r="BH945" t="s">
        <v>69</v>
      </c>
      <c r="BI945">
        <v>123</v>
      </c>
      <c r="BJ945" t="s">
        <v>219</v>
      </c>
      <c r="BK945" t="s">
        <v>69</v>
      </c>
      <c r="BL945" t="s">
        <v>69</v>
      </c>
      <c r="BM945" t="s">
        <v>69</v>
      </c>
      <c r="BN945" t="s">
        <v>69</v>
      </c>
      <c r="BO945" t="s">
        <v>69</v>
      </c>
      <c r="BP945">
        <v>35</v>
      </c>
      <c r="BQ945" t="s">
        <v>10439</v>
      </c>
      <c r="BR945" t="s">
        <v>8661</v>
      </c>
      <c r="BS945" t="s">
        <v>10440</v>
      </c>
      <c r="BT945" t="s">
        <v>24668</v>
      </c>
      <c r="BU945" t="s">
        <v>1417</v>
      </c>
      <c r="BV945" t="s">
        <v>69</v>
      </c>
      <c r="BW945" t="s">
        <v>69</v>
      </c>
      <c r="BX945" t="s">
        <v>69</v>
      </c>
      <c r="BY945" t="s">
        <v>69</v>
      </c>
      <c r="BZ945" t="s">
        <v>8526</v>
      </c>
      <c r="CA945" t="str">
        <f>HYPERLINK("https%3A%2F%2Fwww.webofscience.com%2Fwos%2Fwoscc%2Ffull-record%2FWOS:000331339400005","View Full Record in Web of Science")</f>
        <v>View Full Record in Web of Science</v>
      </c>
    </row>
    <row r="946" spans="2:79" ht="12.5" x14ac:dyDescent="0.25">
      <c r="B946" t="s">
        <v>8495</v>
      </c>
      <c r="D946" s="7" t="s">
        <v>32933</v>
      </c>
      <c r="E946" s="7"/>
      <c r="F946" s="7"/>
      <c r="G946" s="7"/>
      <c r="H946" t="s">
        <v>67</v>
      </c>
      <c r="I946" t="s">
        <v>7290</v>
      </c>
      <c r="J946" t="s">
        <v>69</v>
      </c>
      <c r="K946" t="s">
        <v>69</v>
      </c>
      <c r="L946" t="s">
        <v>69</v>
      </c>
      <c r="M946" t="s">
        <v>7291</v>
      </c>
      <c r="N946" t="s">
        <v>69</v>
      </c>
      <c r="O946" t="s">
        <v>69</v>
      </c>
      <c r="P946" s="3" t="s">
        <v>7292</v>
      </c>
      <c r="Q946" t="s">
        <v>7293</v>
      </c>
      <c r="R946" t="s">
        <v>69</v>
      </c>
      <c r="S946" t="s">
        <v>69</v>
      </c>
      <c r="T946" t="s">
        <v>8505</v>
      </c>
      <c r="U946" t="s">
        <v>8506</v>
      </c>
      <c r="V946" t="s">
        <v>69</v>
      </c>
      <c r="W946" t="s">
        <v>69</v>
      </c>
      <c r="X946" t="s">
        <v>69</v>
      </c>
      <c r="Y946" t="s">
        <v>69</v>
      </c>
      <c r="Z946" t="s">
        <v>69</v>
      </c>
      <c r="AA946" t="s">
        <v>17156</v>
      </c>
      <c r="AB946" t="s">
        <v>69</v>
      </c>
      <c r="AC946" t="s">
        <v>7294</v>
      </c>
      <c r="AD946" t="s">
        <v>17157</v>
      </c>
      <c r="AE946" t="s">
        <v>69</v>
      </c>
      <c r="AF946" t="s">
        <v>17158</v>
      </c>
      <c r="AG946" t="s">
        <v>17159</v>
      </c>
      <c r="AH946" t="s">
        <v>17160</v>
      </c>
      <c r="AI946" t="s">
        <v>17161</v>
      </c>
      <c r="AJ946" t="s">
        <v>10209</v>
      </c>
      <c r="AK946" t="s">
        <v>10210</v>
      </c>
      <c r="AL946" t="s">
        <v>10211</v>
      </c>
      <c r="AM946" t="s">
        <v>69</v>
      </c>
      <c r="AN946">
        <v>20</v>
      </c>
      <c r="AO946">
        <v>3</v>
      </c>
      <c r="AP946">
        <v>3</v>
      </c>
      <c r="AQ946">
        <v>0</v>
      </c>
      <c r="AR946">
        <v>8</v>
      </c>
      <c r="AS946" t="s">
        <v>17162</v>
      </c>
      <c r="AT946" t="s">
        <v>13739</v>
      </c>
      <c r="AU946" t="s">
        <v>17163</v>
      </c>
      <c r="AV946" t="s">
        <v>7295</v>
      </c>
      <c r="AW946" t="s">
        <v>69</v>
      </c>
      <c r="AX946" t="s">
        <v>69</v>
      </c>
      <c r="AY946" t="s">
        <v>17164</v>
      </c>
      <c r="AZ946" t="s">
        <v>17164</v>
      </c>
      <c r="BA946" t="s">
        <v>7296</v>
      </c>
      <c r="BB946">
        <v>2019</v>
      </c>
      <c r="BC946">
        <v>10</v>
      </c>
      <c r="BD946">
        <v>2</v>
      </c>
      <c r="BE946" t="s">
        <v>69</v>
      </c>
      <c r="BF946" t="s">
        <v>69</v>
      </c>
      <c r="BG946" t="s">
        <v>69</v>
      </c>
      <c r="BH946" t="s">
        <v>69</v>
      </c>
      <c r="BI946">
        <v>86</v>
      </c>
      <c r="BJ946">
        <v>97</v>
      </c>
      <c r="BK946" t="s">
        <v>69</v>
      </c>
      <c r="BL946" t="s">
        <v>7297</v>
      </c>
      <c r="BM946" t="str">
        <f>HYPERLINK("http://dx.doi.org/10.23925/2179-3565.2019v10i2p86-97","http://dx.doi.org/10.23925/2179-3565.2019v10i2p86-97")</f>
        <v>http://dx.doi.org/10.23925/2179-3565.2019v10i2p86-97</v>
      </c>
      <c r="BN946" t="s">
        <v>69</v>
      </c>
      <c r="BO946" t="s">
        <v>69</v>
      </c>
      <c r="BP946">
        <v>12</v>
      </c>
      <c r="BQ946" t="s">
        <v>9410</v>
      </c>
      <c r="BR946" t="s">
        <v>8573</v>
      </c>
      <c r="BS946" t="s">
        <v>8594</v>
      </c>
      <c r="BT946" t="s">
        <v>17165</v>
      </c>
      <c r="BU946" t="s">
        <v>7298</v>
      </c>
      <c r="BV946" t="s">
        <v>69</v>
      </c>
      <c r="BW946" t="s">
        <v>8931</v>
      </c>
      <c r="BX946" t="s">
        <v>69</v>
      </c>
      <c r="BY946" t="s">
        <v>69</v>
      </c>
      <c r="BZ946" t="s">
        <v>8526</v>
      </c>
      <c r="CA946" t="str">
        <f>HYPERLINK("https%3A%2F%2Fwww.webofscience.com%2Fwos%2Fwoscc%2Ffull-record%2FWOS:000486592800008","View Full Record in Web of Science")</f>
        <v>View Full Record in Web of Science</v>
      </c>
    </row>
    <row r="947" spans="2:79" ht="12.5" x14ac:dyDescent="0.25">
      <c r="B947" t="s">
        <v>8495</v>
      </c>
      <c r="D947" s="7" t="s">
        <v>32933</v>
      </c>
      <c r="E947" s="7"/>
      <c r="F947" s="7"/>
      <c r="G947" s="7"/>
      <c r="H947" t="s">
        <v>67</v>
      </c>
      <c r="I947" t="s">
        <v>5873</v>
      </c>
      <c r="J947" t="s">
        <v>69</v>
      </c>
      <c r="K947" t="s">
        <v>69</v>
      </c>
      <c r="L947" t="s">
        <v>69</v>
      </c>
      <c r="M947" t="s">
        <v>5873</v>
      </c>
      <c r="N947" t="s">
        <v>69</v>
      </c>
      <c r="O947" t="s">
        <v>69</v>
      </c>
      <c r="P947" t="s">
        <v>5874</v>
      </c>
      <c r="Q947" t="s">
        <v>5875</v>
      </c>
      <c r="R947" t="s">
        <v>69</v>
      </c>
      <c r="S947" t="s">
        <v>69</v>
      </c>
      <c r="T947" t="s">
        <v>8505</v>
      </c>
      <c r="U947" t="s">
        <v>8506</v>
      </c>
      <c r="V947" t="s">
        <v>69</v>
      </c>
      <c r="W947" t="s">
        <v>69</v>
      </c>
      <c r="X947" t="s">
        <v>69</v>
      </c>
      <c r="Y947" t="s">
        <v>69</v>
      </c>
      <c r="Z947" t="s">
        <v>69</v>
      </c>
      <c r="AA947" t="s">
        <v>32430</v>
      </c>
      <c r="AB947" t="s">
        <v>32431</v>
      </c>
      <c r="AC947" t="s">
        <v>5876</v>
      </c>
      <c r="AD947" t="s">
        <v>32432</v>
      </c>
      <c r="AE947" t="s">
        <v>69</v>
      </c>
      <c r="AF947" t="s">
        <v>32433</v>
      </c>
      <c r="AG947" t="s">
        <v>69</v>
      </c>
      <c r="AH947" t="s">
        <v>32434</v>
      </c>
      <c r="AI947" t="s">
        <v>32435</v>
      </c>
      <c r="AJ947" t="s">
        <v>69</v>
      </c>
      <c r="AK947" t="s">
        <v>69</v>
      </c>
      <c r="AL947" t="s">
        <v>69</v>
      </c>
      <c r="AM947" t="s">
        <v>69</v>
      </c>
      <c r="AN947">
        <v>14</v>
      </c>
      <c r="AO947">
        <v>41</v>
      </c>
      <c r="AP947">
        <v>42</v>
      </c>
      <c r="AQ947">
        <v>0</v>
      </c>
      <c r="AR947">
        <v>15</v>
      </c>
      <c r="AS947" t="s">
        <v>8846</v>
      </c>
      <c r="AT947" t="s">
        <v>8847</v>
      </c>
      <c r="AU947" t="s">
        <v>8848</v>
      </c>
      <c r="AV947" t="s">
        <v>5877</v>
      </c>
      <c r="AW947" t="s">
        <v>5878</v>
      </c>
      <c r="AX947" t="s">
        <v>69</v>
      </c>
      <c r="AY947" t="s">
        <v>12794</v>
      </c>
      <c r="AZ947" t="s">
        <v>12795</v>
      </c>
      <c r="BA947" t="s">
        <v>201</v>
      </c>
      <c r="BB947">
        <v>1996</v>
      </c>
      <c r="BC947">
        <v>15</v>
      </c>
      <c r="BD947">
        <v>8</v>
      </c>
      <c r="BE947" t="s">
        <v>69</v>
      </c>
      <c r="BF947" t="s">
        <v>69</v>
      </c>
      <c r="BG947" t="s">
        <v>69</v>
      </c>
      <c r="BH947" t="s">
        <v>69</v>
      </c>
      <c r="BI947">
        <v>1335</v>
      </c>
      <c r="BJ947">
        <v>1343</v>
      </c>
      <c r="BK947" t="s">
        <v>69</v>
      </c>
      <c r="BL947" t="s">
        <v>5879</v>
      </c>
      <c r="BM947" t="str">
        <f>HYPERLINK("http://dx.doi.org/10.1002/etc.5620150812","http://dx.doi.org/10.1002/etc.5620150812")</f>
        <v>http://dx.doi.org/10.1002/etc.5620150812</v>
      </c>
      <c r="BN947" t="s">
        <v>69</v>
      </c>
      <c r="BO947" t="s">
        <v>69</v>
      </c>
      <c r="BP947">
        <v>9</v>
      </c>
      <c r="BQ947" t="s">
        <v>12797</v>
      </c>
      <c r="BR947" t="s">
        <v>8548</v>
      </c>
      <c r="BS947" t="s">
        <v>12798</v>
      </c>
      <c r="BT947" t="s">
        <v>32436</v>
      </c>
      <c r="BU947" t="s">
        <v>5880</v>
      </c>
      <c r="BV947" t="s">
        <v>69</v>
      </c>
      <c r="BW947" t="s">
        <v>69</v>
      </c>
      <c r="BX947" t="s">
        <v>69</v>
      </c>
      <c r="BY947" t="s">
        <v>69</v>
      </c>
      <c r="BZ947" t="s">
        <v>8526</v>
      </c>
      <c r="CA947" t="str">
        <f>HYPERLINK("https%3A%2F%2Fwww.webofscience.com%2Fwos%2Fwoscc%2Ffull-record%2FWOS:A1996VF37100012","View Full Record in Web of Science")</f>
        <v>View Full Record in Web of Science</v>
      </c>
    </row>
    <row r="948" spans="2:79" ht="12.5" x14ac:dyDescent="0.25">
      <c r="B948" t="s">
        <v>8495</v>
      </c>
      <c r="D948" s="22" t="s">
        <v>32931</v>
      </c>
      <c r="E948" s="7"/>
      <c r="F948" s="7"/>
      <c r="G948" s="7"/>
      <c r="H948" t="s">
        <v>67</v>
      </c>
      <c r="I948" t="s">
        <v>28981</v>
      </c>
      <c r="J948" t="s">
        <v>69</v>
      </c>
      <c r="K948" t="s">
        <v>69</v>
      </c>
      <c r="L948" t="s">
        <v>69</v>
      </c>
      <c r="M948" t="s">
        <v>28982</v>
      </c>
      <c r="N948" t="s">
        <v>69</v>
      </c>
      <c r="O948" t="s">
        <v>69</v>
      </c>
      <c r="P948" t="s">
        <v>28983</v>
      </c>
      <c r="Q948" t="s">
        <v>28984</v>
      </c>
      <c r="R948" t="s">
        <v>69</v>
      </c>
      <c r="S948" t="s">
        <v>69</v>
      </c>
      <c r="T948" t="s">
        <v>12534</v>
      </c>
      <c r="U948" t="s">
        <v>8506</v>
      </c>
      <c r="V948" t="s">
        <v>69</v>
      </c>
      <c r="W948" t="s">
        <v>69</v>
      </c>
      <c r="X948" t="s">
        <v>69</v>
      </c>
      <c r="Y948" t="s">
        <v>69</v>
      </c>
      <c r="Z948" t="s">
        <v>69</v>
      </c>
      <c r="AA948" t="s">
        <v>69</v>
      </c>
      <c r="AB948" t="s">
        <v>28985</v>
      </c>
      <c r="AC948" t="s">
        <v>28986</v>
      </c>
      <c r="AD948" t="s">
        <v>28987</v>
      </c>
      <c r="AE948" t="s">
        <v>69</v>
      </c>
      <c r="AF948" t="s">
        <v>28988</v>
      </c>
      <c r="AG948" t="s">
        <v>28989</v>
      </c>
      <c r="AH948" t="s">
        <v>69</v>
      </c>
      <c r="AI948" t="s">
        <v>69</v>
      </c>
      <c r="AJ948" t="s">
        <v>69</v>
      </c>
      <c r="AK948" t="s">
        <v>69</v>
      </c>
      <c r="AL948" t="s">
        <v>69</v>
      </c>
      <c r="AM948" t="s">
        <v>69</v>
      </c>
      <c r="AN948">
        <v>73</v>
      </c>
      <c r="AO948">
        <v>5</v>
      </c>
      <c r="AP948">
        <v>5</v>
      </c>
      <c r="AQ948">
        <v>0</v>
      </c>
      <c r="AR948">
        <v>8</v>
      </c>
      <c r="AS948" t="s">
        <v>28589</v>
      </c>
      <c r="AT948" t="s">
        <v>28287</v>
      </c>
      <c r="AU948" t="s">
        <v>28590</v>
      </c>
      <c r="AV948" t="s">
        <v>28990</v>
      </c>
      <c r="AW948" t="s">
        <v>69</v>
      </c>
      <c r="AX948" t="s">
        <v>69</v>
      </c>
      <c r="AY948" t="s">
        <v>28991</v>
      </c>
      <c r="AZ948" t="s">
        <v>28992</v>
      </c>
      <c r="BA948" t="s">
        <v>69</v>
      </c>
      <c r="BB948">
        <v>2009</v>
      </c>
      <c r="BC948" t="s">
        <v>69</v>
      </c>
      <c r="BD948" t="s">
        <v>69</v>
      </c>
      <c r="BE948" t="s">
        <v>69</v>
      </c>
      <c r="BF948" t="s">
        <v>69</v>
      </c>
      <c r="BG948" t="s">
        <v>69</v>
      </c>
      <c r="BH948" t="s">
        <v>69</v>
      </c>
      <c r="BI948">
        <v>251</v>
      </c>
      <c r="BJ948" t="s">
        <v>219</v>
      </c>
      <c r="BK948" t="s">
        <v>69</v>
      </c>
      <c r="BL948" t="s">
        <v>28993</v>
      </c>
      <c r="BM948" t="str">
        <f>HYPERLINK("http://dx.doi.org/10.1007/978-3-531-91728-3_11","http://dx.doi.org/10.1007/978-3-531-91728-3_11")</f>
        <v>http://dx.doi.org/10.1007/978-3-531-91728-3_11</v>
      </c>
      <c r="BN948" t="s">
        <v>69</v>
      </c>
      <c r="BO948" t="s">
        <v>69</v>
      </c>
      <c r="BP948">
        <v>20</v>
      </c>
      <c r="BQ948" t="s">
        <v>13241</v>
      </c>
      <c r="BR948" t="s">
        <v>8661</v>
      </c>
      <c r="BS948" t="s">
        <v>10084</v>
      </c>
      <c r="BT948" t="s">
        <v>28994</v>
      </c>
      <c r="BU948" t="s">
        <v>28995</v>
      </c>
      <c r="BV948" t="s">
        <v>69</v>
      </c>
      <c r="BW948" t="s">
        <v>69</v>
      </c>
      <c r="BX948" t="s">
        <v>69</v>
      </c>
      <c r="BY948" t="s">
        <v>69</v>
      </c>
      <c r="BZ948" t="s">
        <v>8526</v>
      </c>
      <c r="CA948" t="str">
        <f>HYPERLINK("https%3A%2F%2Fwww.webofscience.com%2Fwos%2Fwoscc%2Ffull-record%2FWOS:000268582900011","View Full Record in Web of Science")</f>
        <v>View Full Record in Web of Science</v>
      </c>
    </row>
    <row r="949" spans="2:79" ht="12.5" x14ac:dyDescent="0.25">
      <c r="B949" t="s">
        <v>8495</v>
      </c>
      <c r="D949" s="7" t="s">
        <v>32933</v>
      </c>
      <c r="E949" s="7"/>
      <c r="F949" s="7"/>
      <c r="G949" s="7"/>
      <c r="H949" t="s">
        <v>67</v>
      </c>
      <c r="I949" t="s">
        <v>8045</v>
      </c>
      <c r="J949" t="s">
        <v>69</v>
      </c>
      <c r="K949" t="s">
        <v>69</v>
      </c>
      <c r="L949" t="s">
        <v>69</v>
      </c>
      <c r="M949" t="s">
        <v>8046</v>
      </c>
      <c r="N949" t="s">
        <v>69</v>
      </c>
      <c r="O949" t="s">
        <v>69</v>
      </c>
      <c r="P949" t="s">
        <v>8047</v>
      </c>
      <c r="Q949" t="s">
        <v>8048</v>
      </c>
      <c r="R949" t="s">
        <v>69</v>
      </c>
      <c r="S949" t="s">
        <v>69</v>
      </c>
      <c r="T949" t="s">
        <v>8505</v>
      </c>
      <c r="U949" t="s">
        <v>8506</v>
      </c>
      <c r="V949" t="s">
        <v>69</v>
      </c>
      <c r="W949" t="s">
        <v>69</v>
      </c>
      <c r="X949" t="s">
        <v>69</v>
      </c>
      <c r="Y949" t="s">
        <v>69</v>
      </c>
      <c r="Z949" t="s">
        <v>69</v>
      </c>
      <c r="AA949" t="s">
        <v>29962</v>
      </c>
      <c r="AB949" t="s">
        <v>69</v>
      </c>
      <c r="AC949" t="s">
        <v>8049</v>
      </c>
      <c r="AD949" t="s">
        <v>27189</v>
      </c>
      <c r="AE949" t="s">
        <v>69</v>
      </c>
      <c r="AF949" t="s">
        <v>29963</v>
      </c>
      <c r="AG949" t="s">
        <v>29964</v>
      </c>
      <c r="AH949" t="s">
        <v>69</v>
      </c>
      <c r="AI949" t="s">
        <v>69</v>
      </c>
      <c r="AJ949" t="s">
        <v>69</v>
      </c>
      <c r="AK949" t="s">
        <v>69</v>
      </c>
      <c r="AL949" t="s">
        <v>69</v>
      </c>
      <c r="AM949" t="s">
        <v>69</v>
      </c>
      <c r="AN949">
        <v>12</v>
      </c>
      <c r="AO949">
        <v>15</v>
      </c>
      <c r="AP949">
        <v>15</v>
      </c>
      <c r="AQ949">
        <v>3</v>
      </c>
      <c r="AR949">
        <v>55</v>
      </c>
      <c r="AS949" t="s">
        <v>16220</v>
      </c>
      <c r="AT949" t="s">
        <v>16221</v>
      </c>
      <c r="AU949" t="s">
        <v>16222</v>
      </c>
      <c r="AV949" t="s">
        <v>8050</v>
      </c>
      <c r="AW949" t="s">
        <v>69</v>
      </c>
      <c r="AX949" t="s">
        <v>69</v>
      </c>
      <c r="AY949" t="s">
        <v>29965</v>
      </c>
      <c r="AZ949" t="s">
        <v>29966</v>
      </c>
      <c r="BA949" t="s">
        <v>69</v>
      </c>
      <c r="BB949">
        <v>2007</v>
      </c>
      <c r="BC949">
        <v>7</v>
      </c>
      <c r="BD949">
        <v>4</v>
      </c>
      <c r="BE949" t="s">
        <v>69</v>
      </c>
      <c r="BF949" t="s">
        <v>69</v>
      </c>
      <c r="BG949" t="s">
        <v>69</v>
      </c>
      <c r="BH949" t="s">
        <v>69</v>
      </c>
      <c r="BI949">
        <v>275</v>
      </c>
      <c r="BJ949">
        <v>284</v>
      </c>
      <c r="BK949" t="s">
        <v>69</v>
      </c>
      <c r="BL949" t="s">
        <v>8051</v>
      </c>
      <c r="BM949" t="str">
        <f>HYPERLINK("http://dx.doi.org/10.3846/16111699.2007.9636180","http://dx.doi.org/10.3846/16111699.2007.9636180")</f>
        <v>http://dx.doi.org/10.3846/16111699.2007.9636180</v>
      </c>
      <c r="BN949" t="s">
        <v>69</v>
      </c>
      <c r="BO949" t="s">
        <v>69</v>
      </c>
      <c r="BP949">
        <v>10</v>
      </c>
      <c r="BQ949" t="s">
        <v>26730</v>
      </c>
      <c r="BR949" t="s">
        <v>8661</v>
      </c>
      <c r="BS949" t="s">
        <v>8594</v>
      </c>
      <c r="BT949" t="s">
        <v>29967</v>
      </c>
      <c r="BU949" t="s">
        <v>8052</v>
      </c>
      <c r="BV949" t="s">
        <v>69</v>
      </c>
      <c r="BW949" t="s">
        <v>8622</v>
      </c>
      <c r="BX949" t="s">
        <v>69</v>
      </c>
      <c r="BY949" t="s">
        <v>69</v>
      </c>
      <c r="BZ949" t="s">
        <v>8526</v>
      </c>
      <c r="CA949" t="str">
        <f>HYPERLINK("https%3A%2F%2Fwww.webofscience.com%2Fwos%2Fwoscc%2Ffull-record%2FWOS:000257537300006","View Full Record in Web of Science")</f>
        <v>View Full Record in Web of Science</v>
      </c>
    </row>
    <row r="950" spans="2:79" ht="12.5" x14ac:dyDescent="0.25">
      <c r="B950" t="s">
        <v>8495</v>
      </c>
      <c r="D950" s="22" t="s">
        <v>32931</v>
      </c>
      <c r="E950" s="7"/>
      <c r="F950" s="7"/>
      <c r="G950" s="7"/>
      <c r="H950" t="s">
        <v>67</v>
      </c>
      <c r="I950" t="s">
        <v>17102</v>
      </c>
      <c r="J950" t="s">
        <v>69</v>
      </c>
      <c r="K950" t="s">
        <v>69</v>
      </c>
      <c r="L950" t="s">
        <v>69</v>
      </c>
      <c r="M950" t="s">
        <v>17103</v>
      </c>
      <c r="N950" t="s">
        <v>69</v>
      </c>
      <c r="O950" t="s">
        <v>69</v>
      </c>
      <c r="P950" t="s">
        <v>17104</v>
      </c>
      <c r="Q950" t="s">
        <v>4880</v>
      </c>
      <c r="R950" t="s">
        <v>69</v>
      </c>
      <c r="S950" t="s">
        <v>69</v>
      </c>
      <c r="T950" t="s">
        <v>8505</v>
      </c>
      <c r="U950" t="s">
        <v>8506</v>
      </c>
      <c r="V950" t="s">
        <v>69</v>
      </c>
      <c r="W950" t="s">
        <v>69</v>
      </c>
      <c r="X950" t="s">
        <v>69</v>
      </c>
      <c r="Y950" t="s">
        <v>69</v>
      </c>
      <c r="Z950" t="s">
        <v>69</v>
      </c>
      <c r="AA950" t="s">
        <v>17105</v>
      </c>
      <c r="AB950" t="s">
        <v>17106</v>
      </c>
      <c r="AC950" t="s">
        <v>17107</v>
      </c>
      <c r="AD950" t="s">
        <v>17108</v>
      </c>
      <c r="AE950" t="s">
        <v>69</v>
      </c>
      <c r="AF950" t="s">
        <v>17109</v>
      </c>
      <c r="AG950" t="s">
        <v>17110</v>
      </c>
      <c r="AH950" t="s">
        <v>17111</v>
      </c>
      <c r="AI950" t="s">
        <v>17112</v>
      </c>
      <c r="AJ950" t="s">
        <v>69</v>
      </c>
      <c r="AK950" t="s">
        <v>69</v>
      </c>
      <c r="AL950" t="s">
        <v>69</v>
      </c>
      <c r="AM950" t="s">
        <v>69</v>
      </c>
      <c r="AN950">
        <v>51</v>
      </c>
      <c r="AO950">
        <v>3</v>
      </c>
      <c r="AP950">
        <v>5</v>
      </c>
      <c r="AQ950">
        <v>2</v>
      </c>
      <c r="AR950">
        <v>10</v>
      </c>
      <c r="AS950" t="s">
        <v>8846</v>
      </c>
      <c r="AT950" t="s">
        <v>8847</v>
      </c>
      <c r="AU950" t="s">
        <v>8848</v>
      </c>
      <c r="AV950" t="s">
        <v>4882</v>
      </c>
      <c r="AW950" t="s">
        <v>4883</v>
      </c>
      <c r="AX950" t="s">
        <v>69</v>
      </c>
      <c r="AY950" t="s">
        <v>15931</v>
      </c>
      <c r="AZ950" t="s">
        <v>15932</v>
      </c>
      <c r="BA950" t="s">
        <v>84</v>
      </c>
      <c r="BB950">
        <v>2019</v>
      </c>
      <c r="BC950">
        <v>23</v>
      </c>
      <c r="BD950">
        <v>2</v>
      </c>
      <c r="BE950" t="s">
        <v>69</v>
      </c>
      <c r="BF950" t="s">
        <v>69</v>
      </c>
      <c r="BG950" t="s">
        <v>69</v>
      </c>
      <c r="BH950" t="s">
        <v>69</v>
      </c>
      <c r="BI950">
        <v>292</v>
      </c>
      <c r="BJ950">
        <v>307</v>
      </c>
      <c r="BK950" t="s">
        <v>69</v>
      </c>
      <c r="BL950" t="s">
        <v>17113</v>
      </c>
      <c r="BM950" t="str">
        <f>HYPERLINK("http://dx.doi.org/10.1111/ijau.12162","http://dx.doi.org/10.1111/ijau.12162")</f>
        <v>http://dx.doi.org/10.1111/ijau.12162</v>
      </c>
      <c r="BN950" t="s">
        <v>69</v>
      </c>
      <c r="BO950" t="s">
        <v>69</v>
      </c>
      <c r="BP950">
        <v>16</v>
      </c>
      <c r="BQ950" t="s">
        <v>9749</v>
      </c>
      <c r="BR950" t="s">
        <v>8661</v>
      </c>
      <c r="BS950" t="s">
        <v>8594</v>
      </c>
      <c r="BT950" t="s">
        <v>17114</v>
      </c>
      <c r="BU950" t="s">
        <v>17115</v>
      </c>
      <c r="BV950" t="s">
        <v>69</v>
      </c>
      <c r="BW950" t="s">
        <v>9292</v>
      </c>
      <c r="BX950" t="s">
        <v>69</v>
      </c>
      <c r="BY950" t="s">
        <v>69</v>
      </c>
      <c r="BZ950" t="s">
        <v>8526</v>
      </c>
      <c r="CA950" t="str">
        <f>HYPERLINK("https%3A%2F%2Fwww.webofscience.com%2Fwos%2Fwoscc%2Ffull-record%2FWOS:000476551300009","View Full Record in Web of Science")</f>
        <v>View Full Record in Web of Science</v>
      </c>
    </row>
    <row r="951" spans="2:79" ht="12.5" x14ac:dyDescent="0.25">
      <c r="B951" t="s">
        <v>8495</v>
      </c>
      <c r="D951" s="7" t="s">
        <v>32933</v>
      </c>
      <c r="E951" s="7"/>
      <c r="F951" s="7"/>
      <c r="G951" s="7"/>
      <c r="H951" t="s">
        <v>67</v>
      </c>
      <c r="I951" t="s">
        <v>7990</v>
      </c>
      <c r="J951" t="s">
        <v>69</v>
      </c>
      <c r="K951" t="s">
        <v>69</v>
      </c>
      <c r="L951" t="s">
        <v>69</v>
      </c>
      <c r="M951" t="s">
        <v>7991</v>
      </c>
      <c r="N951" t="s">
        <v>69</v>
      </c>
      <c r="O951" t="s">
        <v>69</v>
      </c>
      <c r="P951" t="s">
        <v>7992</v>
      </c>
      <c r="Q951" t="s">
        <v>3088</v>
      </c>
      <c r="R951" t="s">
        <v>69</v>
      </c>
      <c r="S951" t="s">
        <v>69</v>
      </c>
      <c r="T951" t="s">
        <v>8505</v>
      </c>
      <c r="U951" t="s">
        <v>8506</v>
      </c>
      <c r="V951" t="s">
        <v>69</v>
      </c>
      <c r="W951" t="s">
        <v>69</v>
      </c>
      <c r="X951" t="s">
        <v>69</v>
      </c>
      <c r="Y951" t="s">
        <v>69</v>
      </c>
      <c r="Z951" t="s">
        <v>69</v>
      </c>
      <c r="AA951" t="s">
        <v>29958</v>
      </c>
      <c r="AB951" t="s">
        <v>69</v>
      </c>
      <c r="AC951" t="s">
        <v>7993</v>
      </c>
      <c r="AD951" t="s">
        <v>29959</v>
      </c>
      <c r="AE951" t="s">
        <v>69</v>
      </c>
      <c r="AF951" t="s">
        <v>29960</v>
      </c>
      <c r="AG951" t="s">
        <v>69</v>
      </c>
      <c r="AH951" t="s">
        <v>69</v>
      </c>
      <c r="AI951" t="s">
        <v>69</v>
      </c>
      <c r="AJ951" t="s">
        <v>69</v>
      </c>
      <c r="AK951" t="s">
        <v>69</v>
      </c>
      <c r="AL951" t="s">
        <v>69</v>
      </c>
      <c r="AM951" t="s">
        <v>69</v>
      </c>
      <c r="AN951">
        <v>23</v>
      </c>
      <c r="AO951">
        <v>1</v>
      </c>
      <c r="AP951">
        <v>1</v>
      </c>
      <c r="AQ951">
        <v>0</v>
      </c>
      <c r="AR951">
        <v>15</v>
      </c>
      <c r="AS951" t="s">
        <v>22996</v>
      </c>
      <c r="AT951" t="s">
        <v>22997</v>
      </c>
      <c r="AU951" t="s">
        <v>22998</v>
      </c>
      <c r="AV951" t="s">
        <v>3090</v>
      </c>
      <c r="AW951" t="s">
        <v>69</v>
      </c>
      <c r="AX951" t="s">
        <v>69</v>
      </c>
      <c r="AY951" t="s">
        <v>22999</v>
      </c>
      <c r="AZ951" t="s">
        <v>23000</v>
      </c>
      <c r="BA951" t="s">
        <v>69</v>
      </c>
      <c r="BB951">
        <v>2007</v>
      </c>
      <c r="BC951" t="s">
        <v>69</v>
      </c>
      <c r="BD951">
        <v>5</v>
      </c>
      <c r="BE951" t="s">
        <v>69</v>
      </c>
      <c r="BF951" t="s">
        <v>69</v>
      </c>
      <c r="BG951" t="s">
        <v>69</v>
      </c>
      <c r="BH951" t="s">
        <v>69</v>
      </c>
      <c r="BI951">
        <v>37</v>
      </c>
      <c r="BJ951">
        <v>43</v>
      </c>
      <c r="BK951" t="s">
        <v>69</v>
      </c>
      <c r="BL951" t="s">
        <v>69</v>
      </c>
      <c r="BM951" t="s">
        <v>69</v>
      </c>
      <c r="BN951" t="s">
        <v>69</v>
      </c>
      <c r="BO951" t="s">
        <v>69</v>
      </c>
      <c r="BP951">
        <v>7</v>
      </c>
      <c r="BQ951" t="s">
        <v>9726</v>
      </c>
      <c r="BR951" t="s">
        <v>8661</v>
      </c>
      <c r="BS951" t="s">
        <v>8594</v>
      </c>
      <c r="BT951" t="s">
        <v>29961</v>
      </c>
      <c r="BU951" t="s">
        <v>7994</v>
      </c>
      <c r="BV951" t="s">
        <v>69</v>
      </c>
      <c r="BW951" t="s">
        <v>69</v>
      </c>
      <c r="BX951" t="s">
        <v>69</v>
      </c>
      <c r="BY951" t="s">
        <v>69</v>
      </c>
      <c r="BZ951" t="s">
        <v>8526</v>
      </c>
      <c r="CA951" t="str">
        <f>HYPERLINK("https%3A%2F%2Fwww.webofscience.com%2Fwos%2Fwoscc%2Ffull-record%2FWOS:000207550500006","View Full Record in Web of Science")</f>
        <v>View Full Record in Web of Science</v>
      </c>
    </row>
    <row r="952" spans="2:79" ht="12.5" x14ac:dyDescent="0.25">
      <c r="B952" t="s">
        <v>8495</v>
      </c>
      <c r="D952" s="22" t="s">
        <v>32931</v>
      </c>
      <c r="E952" s="7"/>
      <c r="F952" s="7"/>
      <c r="G952" s="7"/>
      <c r="H952" t="s">
        <v>67</v>
      </c>
      <c r="I952" t="s">
        <v>23923</v>
      </c>
      <c r="J952" t="s">
        <v>69</v>
      </c>
      <c r="K952" t="s">
        <v>69</v>
      </c>
      <c r="L952" t="s">
        <v>69</v>
      </c>
      <c r="M952" t="s">
        <v>23924</v>
      </c>
      <c r="N952" t="s">
        <v>69</v>
      </c>
      <c r="O952" t="s">
        <v>69</v>
      </c>
      <c r="P952" t="s">
        <v>23925</v>
      </c>
      <c r="Q952" t="s">
        <v>23926</v>
      </c>
      <c r="R952" t="s">
        <v>69</v>
      </c>
      <c r="S952" t="s">
        <v>69</v>
      </c>
      <c r="T952" t="s">
        <v>8505</v>
      </c>
      <c r="U952" t="s">
        <v>8506</v>
      </c>
      <c r="V952" t="s">
        <v>69</v>
      </c>
      <c r="W952" t="s">
        <v>69</v>
      </c>
      <c r="X952" t="s">
        <v>69</v>
      </c>
      <c r="Y952" t="s">
        <v>69</v>
      </c>
      <c r="Z952" t="s">
        <v>69</v>
      </c>
      <c r="AA952" t="s">
        <v>23927</v>
      </c>
      <c r="AB952" t="s">
        <v>23928</v>
      </c>
      <c r="AC952" t="s">
        <v>23929</v>
      </c>
      <c r="AD952" t="s">
        <v>23930</v>
      </c>
      <c r="AE952" t="s">
        <v>69</v>
      </c>
      <c r="AF952" t="s">
        <v>23931</v>
      </c>
      <c r="AG952" t="s">
        <v>69</v>
      </c>
      <c r="AH952" t="s">
        <v>69</v>
      </c>
      <c r="AI952" t="s">
        <v>69</v>
      </c>
      <c r="AJ952" t="s">
        <v>23932</v>
      </c>
      <c r="AK952" t="s">
        <v>23932</v>
      </c>
      <c r="AL952" t="s">
        <v>23933</v>
      </c>
      <c r="AM952" t="s">
        <v>69</v>
      </c>
      <c r="AN952">
        <v>45</v>
      </c>
      <c r="AO952">
        <v>10</v>
      </c>
      <c r="AP952">
        <v>11</v>
      </c>
      <c r="AQ952">
        <v>0</v>
      </c>
      <c r="AR952">
        <v>1</v>
      </c>
      <c r="AS952" t="s">
        <v>22887</v>
      </c>
      <c r="AT952" t="s">
        <v>22888</v>
      </c>
      <c r="AU952" t="s">
        <v>22889</v>
      </c>
      <c r="AV952" t="s">
        <v>23934</v>
      </c>
      <c r="AW952" t="s">
        <v>23935</v>
      </c>
      <c r="AX952" t="s">
        <v>69</v>
      </c>
      <c r="AY952" t="s">
        <v>23936</v>
      </c>
      <c r="AZ952" t="s">
        <v>23937</v>
      </c>
      <c r="BA952" t="s">
        <v>4092</v>
      </c>
      <c r="BB952">
        <v>2014</v>
      </c>
      <c r="BC952">
        <v>28</v>
      </c>
      <c r="BD952">
        <v>1</v>
      </c>
      <c r="BE952" t="s">
        <v>69</v>
      </c>
      <c r="BF952" t="s">
        <v>69</v>
      </c>
      <c r="BG952" t="s">
        <v>69</v>
      </c>
      <c r="BH952" t="s">
        <v>69</v>
      </c>
      <c r="BI952">
        <v>75</v>
      </c>
      <c r="BJ952">
        <v>109</v>
      </c>
      <c r="BK952" t="s">
        <v>69</v>
      </c>
      <c r="BL952" t="s">
        <v>23938</v>
      </c>
      <c r="BM952" t="str">
        <f>HYPERLINK("http://dx.doi.org/10.2308/isys-50694","http://dx.doi.org/10.2308/isys-50694")</f>
        <v>http://dx.doi.org/10.2308/isys-50694</v>
      </c>
      <c r="BN952" t="s">
        <v>69</v>
      </c>
      <c r="BO952" t="s">
        <v>69</v>
      </c>
      <c r="BP952">
        <v>35</v>
      </c>
      <c r="BQ952" t="s">
        <v>9749</v>
      </c>
      <c r="BR952" t="s">
        <v>8573</v>
      </c>
      <c r="BS952" t="s">
        <v>8594</v>
      </c>
      <c r="BT952" t="s">
        <v>23939</v>
      </c>
      <c r="BU952" t="s">
        <v>23940</v>
      </c>
      <c r="BV952" t="s">
        <v>69</v>
      </c>
      <c r="BW952" t="s">
        <v>69</v>
      </c>
      <c r="BX952" t="s">
        <v>69</v>
      </c>
      <c r="BY952" t="s">
        <v>69</v>
      </c>
      <c r="BZ952" t="s">
        <v>8526</v>
      </c>
      <c r="CA952" t="str">
        <f>HYPERLINK("https%3A%2F%2Fwww.webofscience.com%2Fwos%2Fwoscc%2Ffull-record%2FWOS:000213752500004","View Full Record in Web of Science")</f>
        <v>View Full Record in Web of Science</v>
      </c>
    </row>
    <row r="953" spans="2:79" x14ac:dyDescent="0.3">
      <c r="B953" t="s">
        <v>8495</v>
      </c>
      <c r="D953" s="12" t="s">
        <v>33000</v>
      </c>
      <c r="H953" t="s">
        <v>67</v>
      </c>
      <c r="I953" t="s">
        <v>4404</v>
      </c>
      <c r="J953" t="s">
        <v>69</v>
      </c>
      <c r="K953" t="s">
        <v>69</v>
      </c>
      <c r="L953" t="s">
        <v>69</v>
      </c>
      <c r="M953" s="3" t="s">
        <v>4405</v>
      </c>
      <c r="N953" t="s">
        <v>69</v>
      </c>
      <c r="O953" t="s">
        <v>69</v>
      </c>
      <c r="P953" s="2" t="s">
        <v>4406</v>
      </c>
      <c r="Q953" t="s">
        <v>4407</v>
      </c>
      <c r="R953" t="s">
        <v>69</v>
      </c>
      <c r="S953" t="s">
        <v>69</v>
      </c>
      <c r="T953" t="s">
        <v>8505</v>
      </c>
      <c r="U953" t="s">
        <v>8506</v>
      </c>
      <c r="V953" t="s">
        <v>69</v>
      </c>
      <c r="W953" t="s">
        <v>69</v>
      </c>
      <c r="X953" t="s">
        <v>69</v>
      </c>
      <c r="Y953" t="s">
        <v>69</v>
      </c>
      <c r="Z953" t="s">
        <v>69</v>
      </c>
      <c r="AA953" t="s">
        <v>23056</v>
      </c>
      <c r="AB953" t="s">
        <v>23057</v>
      </c>
      <c r="AC953" t="s">
        <v>4408</v>
      </c>
      <c r="AD953" t="s">
        <v>23058</v>
      </c>
      <c r="AE953" t="s">
        <v>69</v>
      </c>
      <c r="AF953" t="s">
        <v>23059</v>
      </c>
      <c r="AG953" t="s">
        <v>18225</v>
      </c>
      <c r="AH953" t="s">
        <v>4409</v>
      </c>
      <c r="AI953" t="s">
        <v>4410</v>
      </c>
      <c r="AJ953" t="s">
        <v>69</v>
      </c>
      <c r="AK953" t="s">
        <v>69</v>
      </c>
      <c r="AL953" t="s">
        <v>69</v>
      </c>
      <c r="AM953" t="s">
        <v>69</v>
      </c>
      <c r="AN953">
        <v>113</v>
      </c>
      <c r="AO953">
        <v>27</v>
      </c>
      <c r="AP953">
        <v>30</v>
      </c>
      <c r="AQ953">
        <v>6</v>
      </c>
      <c r="AR953">
        <v>36</v>
      </c>
      <c r="AS953" t="s">
        <v>8586</v>
      </c>
      <c r="AT953" t="s">
        <v>8587</v>
      </c>
      <c r="AU953" t="s">
        <v>8588</v>
      </c>
      <c r="AV953" t="s">
        <v>4411</v>
      </c>
      <c r="AW953" t="s">
        <v>4412</v>
      </c>
      <c r="AX953" t="s">
        <v>69</v>
      </c>
      <c r="AY953" t="s">
        <v>23060</v>
      </c>
      <c r="AZ953" t="s">
        <v>23061</v>
      </c>
      <c r="BA953" t="s">
        <v>69</v>
      </c>
      <c r="BB953">
        <v>2015</v>
      </c>
      <c r="BC953">
        <v>30</v>
      </c>
      <c r="BD953">
        <v>1</v>
      </c>
      <c r="BE953" t="s">
        <v>69</v>
      </c>
      <c r="BF953" t="s">
        <v>69</v>
      </c>
      <c r="BG953" t="s">
        <v>69</v>
      </c>
      <c r="BH953" t="s">
        <v>69</v>
      </c>
      <c r="BI953">
        <v>80</v>
      </c>
      <c r="BJ953">
        <v>111</v>
      </c>
      <c r="BK953" t="s">
        <v>69</v>
      </c>
      <c r="BL953" t="s">
        <v>4413</v>
      </c>
      <c r="BM953" t="str">
        <f>HYPERLINK("http://dx.doi.org/10.1108/MAJ-08-2014-1075","http://dx.doi.org/10.1108/MAJ-08-2014-1075")</f>
        <v>http://dx.doi.org/10.1108/MAJ-08-2014-1075</v>
      </c>
      <c r="BN953" t="s">
        <v>69</v>
      </c>
      <c r="BO953" t="s">
        <v>69</v>
      </c>
      <c r="BP953">
        <v>32</v>
      </c>
      <c r="BQ953" t="s">
        <v>23062</v>
      </c>
      <c r="BR953" t="s">
        <v>8661</v>
      </c>
      <c r="BS953" t="s">
        <v>8594</v>
      </c>
      <c r="BT953" t="s">
        <v>23063</v>
      </c>
      <c r="BU953" t="s">
        <v>4414</v>
      </c>
      <c r="BV953" t="s">
        <v>69</v>
      </c>
      <c r="BW953" t="s">
        <v>69</v>
      </c>
      <c r="BX953" t="s">
        <v>69</v>
      </c>
      <c r="BY953" t="s">
        <v>69</v>
      </c>
      <c r="BZ953" t="s">
        <v>8526</v>
      </c>
      <c r="CA953" t="str">
        <f>HYPERLINK("https%3A%2F%2Fwww.webofscience.com%2Fwos%2Fwoscc%2Ffull-record%2FWOS:000355702100005","View Full Record in Web of Science")</f>
        <v>View Full Record in Web of Science</v>
      </c>
    </row>
    <row r="954" spans="2:79" ht="12.5" x14ac:dyDescent="0.25">
      <c r="B954" t="s">
        <v>8495</v>
      </c>
      <c r="D954" s="7" t="s">
        <v>32933</v>
      </c>
      <c r="E954" s="7"/>
      <c r="F954" s="7"/>
      <c r="G954" s="7"/>
      <c r="H954" t="s">
        <v>67</v>
      </c>
      <c r="I954" t="s">
        <v>8004</v>
      </c>
      <c r="J954" t="s">
        <v>69</v>
      </c>
      <c r="K954" t="s">
        <v>69</v>
      </c>
      <c r="L954" t="s">
        <v>69</v>
      </c>
      <c r="M954" t="s">
        <v>8004</v>
      </c>
      <c r="N954" t="s">
        <v>69</v>
      </c>
      <c r="O954" t="s">
        <v>69</v>
      </c>
      <c r="P954" t="s">
        <v>8005</v>
      </c>
      <c r="Q954" t="s">
        <v>2720</v>
      </c>
      <c r="R954" t="s">
        <v>69</v>
      </c>
      <c r="S954" t="s">
        <v>69</v>
      </c>
      <c r="T954" t="s">
        <v>8505</v>
      </c>
      <c r="U954" t="s">
        <v>8506</v>
      </c>
      <c r="V954" t="s">
        <v>69</v>
      </c>
      <c r="W954" t="s">
        <v>69</v>
      </c>
      <c r="X954" t="s">
        <v>69</v>
      </c>
      <c r="Y954" t="s">
        <v>69</v>
      </c>
      <c r="Z954" t="s">
        <v>69</v>
      </c>
      <c r="AA954" t="s">
        <v>31290</v>
      </c>
      <c r="AB954" t="s">
        <v>69</v>
      </c>
      <c r="AC954" t="s">
        <v>8006</v>
      </c>
      <c r="AD954" t="s">
        <v>31291</v>
      </c>
      <c r="AE954" t="s">
        <v>69</v>
      </c>
      <c r="AF954" t="s">
        <v>31292</v>
      </c>
      <c r="AG954" t="s">
        <v>69</v>
      </c>
      <c r="AH954" t="s">
        <v>69</v>
      </c>
      <c r="AI954" t="s">
        <v>69</v>
      </c>
      <c r="AJ954" t="s">
        <v>69</v>
      </c>
      <c r="AK954" t="s">
        <v>69</v>
      </c>
      <c r="AL954" t="s">
        <v>69</v>
      </c>
      <c r="AM954" t="s">
        <v>69</v>
      </c>
      <c r="AN954">
        <v>39</v>
      </c>
      <c r="AO954">
        <v>33</v>
      </c>
      <c r="AP954">
        <v>33</v>
      </c>
      <c r="AQ954">
        <v>4</v>
      </c>
      <c r="AR954">
        <v>24</v>
      </c>
      <c r="AS954" t="s">
        <v>8586</v>
      </c>
      <c r="AT954" t="s">
        <v>31293</v>
      </c>
      <c r="AU954" t="s">
        <v>31294</v>
      </c>
      <c r="AV954" t="s">
        <v>2724</v>
      </c>
      <c r="AW954" t="s">
        <v>69</v>
      </c>
      <c r="AX954" t="s">
        <v>69</v>
      </c>
      <c r="AY954" t="s">
        <v>20625</v>
      </c>
      <c r="AZ954" t="s">
        <v>20626</v>
      </c>
      <c r="BA954" t="s">
        <v>69</v>
      </c>
      <c r="BB954">
        <v>2003</v>
      </c>
      <c r="BC954">
        <v>16</v>
      </c>
      <c r="BD954">
        <v>5</v>
      </c>
      <c r="BE954" t="s">
        <v>69</v>
      </c>
      <c r="BF954" t="s">
        <v>69</v>
      </c>
      <c r="BG954" t="s">
        <v>69</v>
      </c>
      <c r="BH954" t="s">
        <v>69</v>
      </c>
      <c r="BI954">
        <v>480</v>
      </c>
      <c r="BJ954">
        <v>496</v>
      </c>
      <c r="BK954" t="s">
        <v>69</v>
      </c>
      <c r="BL954" t="s">
        <v>8007</v>
      </c>
      <c r="BM954" t="str">
        <f>HYPERLINK("http://dx.doi.org/10.1108/09534810310494892","http://dx.doi.org/10.1108/09534810310494892")</f>
        <v>http://dx.doi.org/10.1108/09534810310494892</v>
      </c>
      <c r="BN954" t="s">
        <v>69</v>
      </c>
      <c r="BO954" t="s">
        <v>69</v>
      </c>
      <c r="BP954">
        <v>17</v>
      </c>
      <c r="BQ954" t="s">
        <v>9410</v>
      </c>
      <c r="BR954" t="s">
        <v>8661</v>
      </c>
      <c r="BS954" t="s">
        <v>8594</v>
      </c>
      <c r="BT954" t="s">
        <v>31295</v>
      </c>
      <c r="BU954" t="s">
        <v>8008</v>
      </c>
      <c r="BV954" t="s">
        <v>69</v>
      </c>
      <c r="BW954" t="s">
        <v>10995</v>
      </c>
      <c r="BX954" t="s">
        <v>69</v>
      </c>
      <c r="BY954" t="s">
        <v>69</v>
      </c>
      <c r="BZ954" t="s">
        <v>8526</v>
      </c>
      <c r="CA954" t="str">
        <f>HYPERLINK("https%3A%2F%2Fwww.webofscience.com%2Fwos%2Fwoscc%2Ffull-record%2FWOS:000186291600001","View Full Record in Web of Science")</f>
        <v>View Full Record in Web of Science</v>
      </c>
    </row>
    <row r="955" spans="2:79" ht="12.5" x14ac:dyDescent="0.25">
      <c r="B955" t="s">
        <v>8495</v>
      </c>
      <c r="D955" s="22" t="s">
        <v>32931</v>
      </c>
      <c r="E955" s="7"/>
      <c r="F955" s="7"/>
      <c r="G955" s="7"/>
      <c r="H955" t="s">
        <v>67</v>
      </c>
      <c r="I955" t="s">
        <v>22111</v>
      </c>
      <c r="J955" t="s">
        <v>69</v>
      </c>
      <c r="K955" t="s">
        <v>69</v>
      </c>
      <c r="L955" t="s">
        <v>69</v>
      </c>
      <c r="M955" t="s">
        <v>22112</v>
      </c>
      <c r="N955" t="s">
        <v>69</v>
      </c>
      <c r="O955" t="s">
        <v>69</v>
      </c>
      <c r="P955" t="s">
        <v>22113</v>
      </c>
      <c r="Q955" t="s">
        <v>13858</v>
      </c>
      <c r="R955" t="s">
        <v>69</v>
      </c>
      <c r="S955" t="s">
        <v>69</v>
      </c>
      <c r="T955" t="s">
        <v>8505</v>
      </c>
      <c r="U955" t="s">
        <v>8506</v>
      </c>
      <c r="V955" t="s">
        <v>69</v>
      </c>
      <c r="W955" t="s">
        <v>69</v>
      </c>
      <c r="X955" t="s">
        <v>69</v>
      </c>
      <c r="Y955" t="s">
        <v>69</v>
      </c>
      <c r="Z955" t="s">
        <v>69</v>
      </c>
      <c r="AA955" t="s">
        <v>22114</v>
      </c>
      <c r="AB955" t="s">
        <v>22115</v>
      </c>
      <c r="AC955" t="s">
        <v>22116</v>
      </c>
      <c r="AD955" t="s">
        <v>22117</v>
      </c>
      <c r="AE955" t="s">
        <v>69</v>
      </c>
      <c r="AF955" t="s">
        <v>22118</v>
      </c>
      <c r="AG955" t="s">
        <v>22119</v>
      </c>
      <c r="AH955" t="s">
        <v>69</v>
      </c>
      <c r="AI955" t="s">
        <v>69</v>
      </c>
      <c r="AJ955" t="s">
        <v>69</v>
      </c>
      <c r="AK955" t="s">
        <v>69</v>
      </c>
      <c r="AL955" t="s">
        <v>69</v>
      </c>
      <c r="AM955" t="s">
        <v>69</v>
      </c>
      <c r="AN955">
        <v>43</v>
      </c>
      <c r="AO955">
        <v>17</v>
      </c>
      <c r="AP955">
        <v>17</v>
      </c>
      <c r="AQ955">
        <v>0</v>
      </c>
      <c r="AR955">
        <v>18</v>
      </c>
      <c r="AS955" t="s">
        <v>8586</v>
      </c>
      <c r="AT955" t="s">
        <v>8587</v>
      </c>
      <c r="AU955" t="s">
        <v>8588</v>
      </c>
      <c r="AV955" t="s">
        <v>13869</v>
      </c>
      <c r="AW955" t="s">
        <v>13870</v>
      </c>
      <c r="AX955" t="s">
        <v>69</v>
      </c>
      <c r="AY955" t="s">
        <v>13871</v>
      </c>
      <c r="AZ955" t="s">
        <v>13872</v>
      </c>
      <c r="BA955" t="s">
        <v>69</v>
      </c>
      <c r="BB955">
        <v>2016</v>
      </c>
      <c r="BC955">
        <v>17</v>
      </c>
      <c r="BD955">
        <v>1</v>
      </c>
      <c r="BE955" t="s">
        <v>69</v>
      </c>
      <c r="BF955" t="s">
        <v>69</v>
      </c>
      <c r="BG955" t="s">
        <v>69</v>
      </c>
      <c r="BH955" t="s">
        <v>69</v>
      </c>
      <c r="BI955">
        <v>86</v>
      </c>
      <c r="BJ955">
        <v>104</v>
      </c>
      <c r="BK955" t="s">
        <v>69</v>
      </c>
      <c r="BL955" t="s">
        <v>22120</v>
      </c>
      <c r="BM955" t="str">
        <f>HYPERLINK("http://dx.doi.org/10.1108/IJSHE-07-2014-0105","http://dx.doi.org/10.1108/IJSHE-07-2014-0105")</f>
        <v>http://dx.doi.org/10.1108/IJSHE-07-2014-0105</v>
      </c>
      <c r="BN955" t="s">
        <v>69</v>
      </c>
      <c r="BO955" t="s">
        <v>69</v>
      </c>
      <c r="BP955">
        <v>19</v>
      </c>
      <c r="BQ955" t="s">
        <v>13875</v>
      </c>
      <c r="BR955" t="s">
        <v>8661</v>
      </c>
      <c r="BS955" t="s">
        <v>13876</v>
      </c>
      <c r="BT955" t="s">
        <v>22121</v>
      </c>
      <c r="BU955" t="s">
        <v>22122</v>
      </c>
      <c r="BV955" t="s">
        <v>69</v>
      </c>
      <c r="BW955" t="s">
        <v>69</v>
      </c>
      <c r="BX955" t="s">
        <v>69</v>
      </c>
      <c r="BY955" t="s">
        <v>69</v>
      </c>
      <c r="BZ955" t="s">
        <v>8526</v>
      </c>
      <c r="CA955" t="str">
        <f>HYPERLINK("https%3A%2F%2Fwww.webofscience.com%2Fwos%2Fwoscc%2Ffull-record%2FWOS:000369999000006","View Full Record in Web of Science")</f>
        <v>View Full Record in Web of Science</v>
      </c>
    </row>
    <row r="956" spans="2:79" x14ac:dyDescent="0.3">
      <c r="B956" t="s">
        <v>8495</v>
      </c>
      <c r="D956" s="9" t="s">
        <v>32954</v>
      </c>
      <c r="E956" s="9" t="s">
        <v>33148</v>
      </c>
      <c r="F956" s="9" t="s">
        <v>8491</v>
      </c>
      <c r="G956" s="9" t="s">
        <v>8490</v>
      </c>
      <c r="H956" t="s">
        <v>67</v>
      </c>
      <c r="I956" t="s">
        <v>18853</v>
      </c>
      <c r="J956" t="s">
        <v>69</v>
      </c>
      <c r="K956" t="s">
        <v>69</v>
      </c>
      <c r="L956" t="s">
        <v>69</v>
      </c>
      <c r="M956" t="s">
        <v>18854</v>
      </c>
      <c r="N956" t="s">
        <v>69</v>
      </c>
      <c r="O956" t="s">
        <v>69</v>
      </c>
      <c r="P956" t="s">
        <v>18855</v>
      </c>
      <c r="Q956" t="s">
        <v>18856</v>
      </c>
      <c r="R956" t="s">
        <v>69</v>
      </c>
      <c r="S956" t="s">
        <v>69</v>
      </c>
      <c r="T956" t="s">
        <v>8505</v>
      </c>
      <c r="U956" t="s">
        <v>8506</v>
      </c>
      <c r="V956" t="s">
        <v>69</v>
      </c>
      <c r="W956" t="s">
        <v>69</v>
      </c>
      <c r="X956" t="s">
        <v>69</v>
      </c>
      <c r="Y956" t="s">
        <v>69</v>
      </c>
      <c r="Z956" t="s">
        <v>69</v>
      </c>
      <c r="AA956" t="s">
        <v>69</v>
      </c>
      <c r="AB956" t="s">
        <v>18857</v>
      </c>
      <c r="AC956" t="s">
        <v>18858</v>
      </c>
      <c r="AD956" t="s">
        <v>18859</v>
      </c>
      <c r="AE956" t="s">
        <v>69</v>
      </c>
      <c r="AF956" t="s">
        <v>18860</v>
      </c>
      <c r="AG956" t="s">
        <v>69</v>
      </c>
      <c r="AH956" t="s">
        <v>69</v>
      </c>
      <c r="AI956" t="s">
        <v>69</v>
      </c>
      <c r="AJ956" t="s">
        <v>69</v>
      </c>
      <c r="AK956" t="s">
        <v>69</v>
      </c>
      <c r="AL956" t="s">
        <v>69</v>
      </c>
      <c r="AM956" t="s">
        <v>69</v>
      </c>
      <c r="AN956">
        <v>159</v>
      </c>
      <c r="AO956">
        <v>7</v>
      </c>
      <c r="AP956">
        <v>7</v>
      </c>
      <c r="AQ956">
        <v>1</v>
      </c>
      <c r="AR956">
        <v>5</v>
      </c>
      <c r="AS956" t="s">
        <v>18861</v>
      </c>
      <c r="AT956" t="s">
        <v>18862</v>
      </c>
      <c r="AU956" t="s">
        <v>18863</v>
      </c>
      <c r="AV956" t="s">
        <v>18864</v>
      </c>
      <c r="AW956" t="s">
        <v>18865</v>
      </c>
      <c r="AX956" t="s">
        <v>69</v>
      </c>
      <c r="AY956" t="s">
        <v>18866</v>
      </c>
      <c r="AZ956" t="s">
        <v>18867</v>
      </c>
      <c r="BA956" t="s">
        <v>586</v>
      </c>
      <c r="BB956">
        <v>2018</v>
      </c>
      <c r="BC956">
        <v>127</v>
      </c>
      <c r="BD956">
        <v>7</v>
      </c>
      <c r="BE956" t="s">
        <v>69</v>
      </c>
      <c r="BF956" t="s">
        <v>69</v>
      </c>
      <c r="BG956" t="s">
        <v>69</v>
      </c>
      <c r="BH956" t="s">
        <v>69</v>
      </c>
      <c r="BI956">
        <v>1742</v>
      </c>
      <c r="BJ956">
        <v>1826</v>
      </c>
      <c r="BK956" t="s">
        <v>69</v>
      </c>
      <c r="BL956" t="s">
        <v>69</v>
      </c>
      <c r="BM956" t="s">
        <v>69</v>
      </c>
      <c r="BN956" t="s">
        <v>69</v>
      </c>
      <c r="BO956" t="s">
        <v>69</v>
      </c>
      <c r="BP956">
        <v>85</v>
      </c>
      <c r="BQ956" t="s">
        <v>8452</v>
      </c>
      <c r="BR956" t="s">
        <v>8661</v>
      </c>
      <c r="BS956" t="s">
        <v>10084</v>
      </c>
      <c r="BT956" t="s">
        <v>18868</v>
      </c>
      <c r="BU956" t="s">
        <v>18869</v>
      </c>
      <c r="BV956" t="s">
        <v>69</v>
      </c>
      <c r="BW956" t="s">
        <v>69</v>
      </c>
      <c r="BX956" t="s">
        <v>69</v>
      </c>
      <c r="BY956" t="s">
        <v>69</v>
      </c>
      <c r="BZ956" t="s">
        <v>8526</v>
      </c>
      <c r="CA956" t="str">
        <f>HYPERLINK("https%3A%2F%2Fwww.webofscience.com%2Fwos%2Fwoscc%2Ffull-record%2FWOS:000438068500001","View Full Record in Web of Science")</f>
        <v>View Full Record in Web of Science</v>
      </c>
    </row>
    <row r="957" spans="2:79" ht="12.5" x14ac:dyDescent="0.25">
      <c r="B957" t="s">
        <v>8495</v>
      </c>
      <c r="D957" s="7" t="s">
        <v>32933</v>
      </c>
      <c r="E957" s="7"/>
      <c r="F957" s="7"/>
      <c r="G957" s="7"/>
      <c r="H957" t="s">
        <v>67</v>
      </c>
      <c r="I957" t="s">
        <v>5819</v>
      </c>
      <c r="J957" t="s">
        <v>69</v>
      </c>
      <c r="K957" t="s">
        <v>69</v>
      </c>
      <c r="L957" t="s">
        <v>69</v>
      </c>
      <c r="M957" t="s">
        <v>5820</v>
      </c>
      <c r="N957" t="s">
        <v>69</v>
      </c>
      <c r="O957" t="s">
        <v>69</v>
      </c>
      <c r="P957" t="s">
        <v>5821</v>
      </c>
      <c r="Q957" t="s">
        <v>5822</v>
      </c>
      <c r="R957" t="s">
        <v>69</v>
      </c>
      <c r="S957" t="s">
        <v>69</v>
      </c>
      <c r="T957" t="s">
        <v>8505</v>
      </c>
      <c r="U957" t="s">
        <v>8506</v>
      </c>
      <c r="V957" t="s">
        <v>69</v>
      </c>
      <c r="W957" t="s">
        <v>69</v>
      </c>
      <c r="X957" t="s">
        <v>69</v>
      </c>
      <c r="Y957" t="s">
        <v>69</v>
      </c>
      <c r="Z957" t="s">
        <v>69</v>
      </c>
      <c r="AA957" t="s">
        <v>14013</v>
      </c>
      <c r="AB957" t="s">
        <v>14014</v>
      </c>
      <c r="AC957" t="s">
        <v>5823</v>
      </c>
      <c r="AD957" t="s">
        <v>14015</v>
      </c>
      <c r="AE957" t="s">
        <v>69</v>
      </c>
      <c r="AF957" t="s">
        <v>14016</v>
      </c>
      <c r="AG957" t="s">
        <v>14017</v>
      </c>
      <c r="AH957" t="s">
        <v>69</v>
      </c>
      <c r="AI957" t="s">
        <v>14018</v>
      </c>
      <c r="AJ957" t="s">
        <v>14019</v>
      </c>
      <c r="AK957" t="s">
        <v>14020</v>
      </c>
      <c r="AL957" t="s">
        <v>14021</v>
      </c>
      <c r="AM957" t="s">
        <v>69</v>
      </c>
      <c r="AN957">
        <v>60</v>
      </c>
      <c r="AO957">
        <v>1</v>
      </c>
      <c r="AP957">
        <v>1</v>
      </c>
      <c r="AQ957">
        <v>3</v>
      </c>
      <c r="AR957">
        <v>9</v>
      </c>
      <c r="AS957" t="s">
        <v>8762</v>
      </c>
      <c r="AT957" t="s">
        <v>8763</v>
      </c>
      <c r="AU957" t="s">
        <v>8764</v>
      </c>
      <c r="AV957" t="s">
        <v>5824</v>
      </c>
      <c r="AW957" t="s">
        <v>5825</v>
      </c>
      <c r="AX957" t="s">
        <v>69</v>
      </c>
      <c r="AY957" t="s">
        <v>14022</v>
      </c>
      <c r="AZ957" t="s">
        <v>14023</v>
      </c>
      <c r="BA957" t="s">
        <v>373</v>
      </c>
      <c r="BB957">
        <v>2021</v>
      </c>
      <c r="BC957">
        <v>36</v>
      </c>
      <c r="BD957">
        <v>1</v>
      </c>
      <c r="BE957" t="s">
        <v>69</v>
      </c>
      <c r="BF957" t="s">
        <v>69</v>
      </c>
      <c r="BG957" t="s">
        <v>69</v>
      </c>
      <c r="BH957" t="s">
        <v>69</v>
      </c>
      <c r="BI957">
        <v>3</v>
      </c>
      <c r="BJ957">
        <v>24</v>
      </c>
      <c r="BK957">
        <v>268580920947871</v>
      </c>
      <c r="BL957" t="s">
        <v>5826</v>
      </c>
      <c r="BM957" t="str">
        <f>HYPERLINK("http://dx.doi.org/10.1177/0268580920947871","http://dx.doi.org/10.1177/0268580920947871")</f>
        <v>http://dx.doi.org/10.1177/0268580920947871</v>
      </c>
      <c r="BN957" t="s">
        <v>69</v>
      </c>
      <c r="BO957" t="s">
        <v>1867</v>
      </c>
      <c r="BP957">
        <v>22</v>
      </c>
      <c r="BQ957" t="s">
        <v>12930</v>
      </c>
      <c r="BR957" t="s">
        <v>8661</v>
      </c>
      <c r="BS957" t="s">
        <v>12930</v>
      </c>
      <c r="BT957" t="s">
        <v>14024</v>
      </c>
      <c r="BU957" t="s">
        <v>5827</v>
      </c>
      <c r="BV957" t="s">
        <v>69</v>
      </c>
      <c r="BW957" t="s">
        <v>8622</v>
      </c>
      <c r="BX957" t="s">
        <v>69</v>
      </c>
      <c r="BY957" t="s">
        <v>69</v>
      </c>
      <c r="BZ957" t="s">
        <v>8526</v>
      </c>
      <c r="CA957" t="str">
        <f>HYPERLINK("https%3A%2F%2Fwww.webofscience.com%2Fwos%2Fwoscc%2Ffull-record%2FWOS:000599625300001","View Full Record in Web of Science")</f>
        <v>View Full Record in Web of Science</v>
      </c>
    </row>
    <row r="958" spans="2:79" ht="12.5" x14ac:dyDescent="0.25">
      <c r="B958" t="s">
        <v>8495</v>
      </c>
      <c r="D958" s="7" t="s">
        <v>32933</v>
      </c>
      <c r="E958" s="7"/>
      <c r="F958" s="7"/>
      <c r="G958" s="7"/>
      <c r="H958" t="s">
        <v>67</v>
      </c>
      <c r="I958" t="s">
        <v>3537</v>
      </c>
      <c r="J958" t="s">
        <v>69</v>
      </c>
      <c r="K958" t="s">
        <v>69</v>
      </c>
      <c r="L958" t="s">
        <v>69</v>
      </c>
      <c r="M958" t="s">
        <v>3538</v>
      </c>
      <c r="N958" t="s">
        <v>69</v>
      </c>
      <c r="O958" t="s">
        <v>69</v>
      </c>
      <c r="P958" t="s">
        <v>3539</v>
      </c>
      <c r="Q958" t="s">
        <v>1522</v>
      </c>
      <c r="R958" t="s">
        <v>69</v>
      </c>
      <c r="S958" t="s">
        <v>69</v>
      </c>
      <c r="T958" t="s">
        <v>8505</v>
      </c>
      <c r="U958" t="s">
        <v>8506</v>
      </c>
      <c r="V958" t="s">
        <v>69</v>
      </c>
      <c r="W958" t="s">
        <v>69</v>
      </c>
      <c r="X958" t="s">
        <v>69</v>
      </c>
      <c r="Y958" t="s">
        <v>69</v>
      </c>
      <c r="Z958" t="s">
        <v>69</v>
      </c>
      <c r="AA958" t="s">
        <v>27763</v>
      </c>
      <c r="AB958" t="s">
        <v>69</v>
      </c>
      <c r="AC958" t="s">
        <v>3540</v>
      </c>
      <c r="AD958" t="s">
        <v>69</v>
      </c>
      <c r="AE958" t="s">
        <v>69</v>
      </c>
      <c r="AF958" t="s">
        <v>27764</v>
      </c>
      <c r="AG958" t="s">
        <v>27765</v>
      </c>
      <c r="AH958" t="s">
        <v>69</v>
      </c>
      <c r="AI958" t="s">
        <v>69</v>
      </c>
      <c r="AJ958" t="s">
        <v>69</v>
      </c>
      <c r="AK958" t="s">
        <v>69</v>
      </c>
      <c r="AL958" t="s">
        <v>69</v>
      </c>
      <c r="AM958" t="s">
        <v>69</v>
      </c>
      <c r="AN958">
        <v>1</v>
      </c>
      <c r="AO958">
        <v>8</v>
      </c>
      <c r="AP958">
        <v>8</v>
      </c>
      <c r="AQ958">
        <v>2</v>
      </c>
      <c r="AR958">
        <v>15</v>
      </c>
      <c r="AS958" t="s">
        <v>8563</v>
      </c>
      <c r="AT958" t="s">
        <v>8564</v>
      </c>
      <c r="AU958" t="s">
        <v>8565</v>
      </c>
      <c r="AV958" t="s">
        <v>1525</v>
      </c>
      <c r="AW958" t="s">
        <v>69</v>
      </c>
      <c r="AX958" t="s">
        <v>69</v>
      </c>
      <c r="AY958" t="s">
        <v>14032</v>
      </c>
      <c r="AZ958" t="s">
        <v>14033</v>
      </c>
      <c r="BA958" t="s">
        <v>155</v>
      </c>
      <c r="BB958">
        <v>2010</v>
      </c>
      <c r="BC958">
        <v>15</v>
      </c>
      <c r="BD958">
        <v>5</v>
      </c>
      <c r="BE958" t="s">
        <v>69</v>
      </c>
      <c r="BF958" t="s">
        <v>69</v>
      </c>
      <c r="BG958" t="s">
        <v>69</v>
      </c>
      <c r="BH958" t="s">
        <v>69</v>
      </c>
      <c r="BI958">
        <v>524</v>
      </c>
      <c r="BJ958">
        <v>525</v>
      </c>
      <c r="BK958" t="s">
        <v>69</v>
      </c>
      <c r="BL958" t="s">
        <v>3541</v>
      </c>
      <c r="BM958" t="str">
        <f>HYPERLINK("http://dx.doi.org/10.1007/s11367-010-0183-4","http://dx.doi.org/10.1007/s11367-010-0183-4")</f>
        <v>http://dx.doi.org/10.1007/s11367-010-0183-4</v>
      </c>
      <c r="BN958" t="s">
        <v>69</v>
      </c>
      <c r="BO958" t="s">
        <v>69</v>
      </c>
      <c r="BP958">
        <v>2</v>
      </c>
      <c r="BQ958" t="s">
        <v>8743</v>
      </c>
      <c r="BR958" t="s">
        <v>8548</v>
      </c>
      <c r="BS958" t="s">
        <v>8744</v>
      </c>
      <c r="BT958" t="s">
        <v>27766</v>
      </c>
      <c r="BU958" t="s">
        <v>3542</v>
      </c>
      <c r="BV958" t="s">
        <v>69</v>
      </c>
      <c r="BW958" t="s">
        <v>69</v>
      </c>
      <c r="BX958" t="s">
        <v>69</v>
      </c>
      <c r="BY958" t="s">
        <v>69</v>
      </c>
      <c r="BZ958" t="s">
        <v>8526</v>
      </c>
      <c r="CA958" t="str">
        <f>HYPERLINK("https%3A%2F%2Fwww.webofscience.com%2Fwos%2Fwoscc%2Ffull-record%2FWOS:000278898800010","View Full Record in Web of Science")</f>
        <v>View Full Record in Web of Science</v>
      </c>
    </row>
    <row r="959" spans="2:79" ht="12.5" x14ac:dyDescent="0.25">
      <c r="B959" t="s">
        <v>8495</v>
      </c>
      <c r="D959" s="22" t="s">
        <v>32931</v>
      </c>
      <c r="E959" s="7"/>
      <c r="F959" s="7"/>
      <c r="G959" s="7"/>
      <c r="H959" t="s">
        <v>67</v>
      </c>
      <c r="I959" t="s">
        <v>15849</v>
      </c>
      <c r="J959" t="s">
        <v>69</v>
      </c>
      <c r="K959" t="s">
        <v>69</v>
      </c>
      <c r="L959" t="s">
        <v>69</v>
      </c>
      <c r="M959" t="s">
        <v>15850</v>
      </c>
      <c r="N959" t="s">
        <v>69</v>
      </c>
      <c r="O959" t="s">
        <v>69</v>
      </c>
      <c r="P959" t="s">
        <v>15851</v>
      </c>
      <c r="Q959" t="s">
        <v>15852</v>
      </c>
      <c r="R959" t="s">
        <v>69</v>
      </c>
      <c r="S959" t="s">
        <v>69</v>
      </c>
      <c r="T959" t="s">
        <v>8505</v>
      </c>
      <c r="U959" t="s">
        <v>8506</v>
      </c>
      <c r="V959" t="s">
        <v>69</v>
      </c>
      <c r="W959" t="s">
        <v>69</v>
      </c>
      <c r="X959" t="s">
        <v>69</v>
      </c>
      <c r="Y959" t="s">
        <v>69</v>
      </c>
      <c r="Z959" t="s">
        <v>69</v>
      </c>
      <c r="AA959" t="s">
        <v>15853</v>
      </c>
      <c r="AB959" t="s">
        <v>15854</v>
      </c>
      <c r="AC959" t="s">
        <v>15855</v>
      </c>
      <c r="AD959" t="s">
        <v>69</v>
      </c>
      <c r="AE959" t="s">
        <v>69</v>
      </c>
      <c r="AF959" t="s">
        <v>69</v>
      </c>
      <c r="AG959" t="s">
        <v>15856</v>
      </c>
      <c r="AH959" t="s">
        <v>15857</v>
      </c>
      <c r="AI959" t="s">
        <v>15858</v>
      </c>
      <c r="AJ959" t="s">
        <v>15859</v>
      </c>
      <c r="AK959" t="s">
        <v>15860</v>
      </c>
      <c r="AL959" t="s">
        <v>15861</v>
      </c>
      <c r="AM959" t="s">
        <v>69</v>
      </c>
      <c r="AN959">
        <v>123</v>
      </c>
      <c r="AO959">
        <v>14</v>
      </c>
      <c r="AP959">
        <v>14</v>
      </c>
      <c r="AQ959">
        <v>2</v>
      </c>
      <c r="AR959">
        <v>9</v>
      </c>
      <c r="AS959" t="s">
        <v>8924</v>
      </c>
      <c r="AT959" t="s">
        <v>8925</v>
      </c>
      <c r="AU959" t="s">
        <v>8926</v>
      </c>
      <c r="AV959" t="s">
        <v>69</v>
      </c>
      <c r="AW959" t="s">
        <v>15862</v>
      </c>
      <c r="AX959" t="s">
        <v>69</v>
      </c>
      <c r="AY959" t="s">
        <v>15863</v>
      </c>
      <c r="AZ959" t="s">
        <v>15864</v>
      </c>
      <c r="BA959" t="s">
        <v>191</v>
      </c>
      <c r="BB959">
        <v>2020</v>
      </c>
      <c r="BC959">
        <v>20</v>
      </c>
      <c r="BD959">
        <v>3</v>
      </c>
      <c r="BE959" t="s">
        <v>69</v>
      </c>
      <c r="BF959" t="s">
        <v>69</v>
      </c>
      <c r="BG959" t="s">
        <v>69</v>
      </c>
      <c r="BH959" t="s">
        <v>69</v>
      </c>
      <c r="BI959" t="s">
        <v>69</v>
      </c>
      <c r="BJ959" t="s">
        <v>69</v>
      </c>
      <c r="BK959">
        <v>720</v>
      </c>
      <c r="BL959" t="s">
        <v>15865</v>
      </c>
      <c r="BM959" t="str">
        <f>HYPERLINK("http://dx.doi.org/10.3390/s20030720","http://dx.doi.org/10.3390/s20030720")</f>
        <v>http://dx.doi.org/10.3390/s20030720</v>
      </c>
      <c r="BN959" t="s">
        <v>69</v>
      </c>
      <c r="BO959" t="s">
        <v>69</v>
      </c>
      <c r="BP959">
        <v>20</v>
      </c>
      <c r="BQ959" t="s">
        <v>15866</v>
      </c>
      <c r="BR959" t="s">
        <v>8523</v>
      </c>
      <c r="BS959" t="s">
        <v>15867</v>
      </c>
      <c r="BT959" t="s">
        <v>15868</v>
      </c>
      <c r="BU959" t="s">
        <v>15869</v>
      </c>
      <c r="BV959">
        <v>32012932</v>
      </c>
      <c r="BW959" t="s">
        <v>8812</v>
      </c>
      <c r="BX959" t="s">
        <v>69</v>
      </c>
      <c r="BY959" t="s">
        <v>69</v>
      </c>
      <c r="BZ959" t="s">
        <v>8526</v>
      </c>
      <c r="CA959" t="str">
        <f>HYPERLINK("https%3A%2F%2Fwww.webofscience.com%2Fwos%2Fwoscc%2Ffull-record%2FWOS:000517786200144","View Full Record in Web of Science")</f>
        <v>View Full Record in Web of Science</v>
      </c>
    </row>
    <row r="960" spans="2:79" ht="12.5" x14ac:dyDescent="0.25">
      <c r="B960" t="s">
        <v>8495</v>
      </c>
      <c r="D960" s="22" t="s">
        <v>32931</v>
      </c>
      <c r="E960" s="7"/>
      <c r="F960" s="7"/>
      <c r="G960" s="7"/>
      <c r="H960" t="s">
        <v>67</v>
      </c>
      <c r="I960" t="s">
        <v>24669</v>
      </c>
      <c r="J960" t="s">
        <v>69</v>
      </c>
      <c r="K960" t="s">
        <v>69</v>
      </c>
      <c r="L960" t="s">
        <v>69</v>
      </c>
      <c r="M960" t="s">
        <v>24670</v>
      </c>
      <c r="N960" t="s">
        <v>69</v>
      </c>
      <c r="O960" t="s">
        <v>69</v>
      </c>
      <c r="P960" t="s">
        <v>24671</v>
      </c>
      <c r="Q960" t="s">
        <v>10506</v>
      </c>
      <c r="R960" t="s">
        <v>69</v>
      </c>
      <c r="S960" t="s">
        <v>69</v>
      </c>
      <c r="T960" t="s">
        <v>8505</v>
      </c>
      <c r="U960" t="s">
        <v>8506</v>
      </c>
      <c r="V960" t="s">
        <v>69</v>
      </c>
      <c r="W960" t="s">
        <v>69</v>
      </c>
      <c r="X960" t="s">
        <v>69</v>
      </c>
      <c r="Y960" t="s">
        <v>69</v>
      </c>
      <c r="Z960" t="s">
        <v>69</v>
      </c>
      <c r="AA960" t="s">
        <v>24672</v>
      </c>
      <c r="AB960" t="s">
        <v>24673</v>
      </c>
      <c r="AC960" t="s">
        <v>24674</v>
      </c>
      <c r="AD960" t="s">
        <v>24675</v>
      </c>
      <c r="AE960" t="s">
        <v>69</v>
      </c>
      <c r="AF960" t="s">
        <v>24676</v>
      </c>
      <c r="AG960" t="s">
        <v>24677</v>
      </c>
      <c r="AH960" t="s">
        <v>24678</v>
      </c>
      <c r="AI960" t="s">
        <v>24679</v>
      </c>
      <c r="AJ960" t="s">
        <v>69</v>
      </c>
      <c r="AK960" t="s">
        <v>69</v>
      </c>
      <c r="AL960" t="s">
        <v>69</v>
      </c>
      <c r="AM960" t="s">
        <v>69</v>
      </c>
      <c r="AN960">
        <v>66</v>
      </c>
      <c r="AO960">
        <v>9</v>
      </c>
      <c r="AP960">
        <v>9</v>
      </c>
      <c r="AQ960">
        <v>0</v>
      </c>
      <c r="AR960">
        <v>33</v>
      </c>
      <c r="AS960" t="s">
        <v>10517</v>
      </c>
      <c r="AT960" t="s">
        <v>10518</v>
      </c>
      <c r="AU960" t="s">
        <v>10519</v>
      </c>
      <c r="AV960" t="s">
        <v>10520</v>
      </c>
      <c r="AW960" t="s">
        <v>69</v>
      </c>
      <c r="AX960" t="s">
        <v>69</v>
      </c>
      <c r="AY960" t="s">
        <v>10521</v>
      </c>
      <c r="AZ960" t="s">
        <v>10522</v>
      </c>
      <c r="BA960" t="s">
        <v>381</v>
      </c>
      <c r="BB960">
        <v>2013</v>
      </c>
      <c r="BC960">
        <v>15</v>
      </c>
      <c r="BD960">
        <v>10</v>
      </c>
      <c r="BE960" t="s">
        <v>69</v>
      </c>
      <c r="BF960" t="s">
        <v>69</v>
      </c>
      <c r="BG960" t="s">
        <v>69</v>
      </c>
      <c r="BH960" t="s">
        <v>69</v>
      </c>
      <c r="BI960">
        <v>120</v>
      </c>
      <c r="BJ960">
        <v>130</v>
      </c>
      <c r="BK960" t="s">
        <v>24680</v>
      </c>
      <c r="BL960" t="s">
        <v>24681</v>
      </c>
      <c r="BM960" t="str">
        <f>HYPERLINK("http://dx.doi.org/10.2196/jmir.2816","http://dx.doi.org/10.2196/jmir.2816")</f>
        <v>http://dx.doi.org/10.2196/jmir.2816</v>
      </c>
      <c r="BN960" t="s">
        <v>69</v>
      </c>
      <c r="BO960" t="s">
        <v>69</v>
      </c>
      <c r="BP960">
        <v>11</v>
      </c>
      <c r="BQ960" t="s">
        <v>10525</v>
      </c>
      <c r="BR960" t="s">
        <v>8523</v>
      </c>
      <c r="BS960" t="s">
        <v>10525</v>
      </c>
      <c r="BT960" t="s">
        <v>24682</v>
      </c>
      <c r="BU960" t="s">
        <v>24683</v>
      </c>
      <c r="BV960">
        <v>24172852</v>
      </c>
      <c r="BW960" t="s">
        <v>10765</v>
      </c>
      <c r="BX960" t="s">
        <v>69</v>
      </c>
      <c r="BY960" t="s">
        <v>69</v>
      </c>
      <c r="BZ960" t="s">
        <v>8526</v>
      </c>
      <c r="CA960" t="str">
        <f>HYPERLINK("https%3A%2F%2Fwww.webofscience.com%2Fwos%2Fwoscc%2Ffull-record%2FWOS:000326501500008","View Full Record in Web of Science")</f>
        <v>View Full Record in Web of Science</v>
      </c>
    </row>
    <row r="961" spans="2:79" ht="12.5" x14ac:dyDescent="0.25">
      <c r="B961" t="s">
        <v>8495</v>
      </c>
      <c r="D961" s="7" t="s">
        <v>32933</v>
      </c>
      <c r="E961" s="7"/>
      <c r="F961" s="7"/>
      <c r="G961" s="7"/>
      <c r="H961" t="s">
        <v>67</v>
      </c>
      <c r="I961" t="s">
        <v>7535</v>
      </c>
      <c r="J961" t="s">
        <v>69</v>
      </c>
      <c r="K961" t="s">
        <v>69</v>
      </c>
      <c r="L961" t="s">
        <v>69</v>
      </c>
      <c r="M961" t="s">
        <v>7535</v>
      </c>
      <c r="N961" t="s">
        <v>69</v>
      </c>
      <c r="O961" t="s">
        <v>69</v>
      </c>
      <c r="P961" t="s">
        <v>7536</v>
      </c>
      <c r="Q961" t="s">
        <v>7537</v>
      </c>
      <c r="R961" t="s">
        <v>69</v>
      </c>
      <c r="S961" t="s">
        <v>69</v>
      </c>
      <c r="T961" t="s">
        <v>32873</v>
      </c>
      <c r="U961" t="s">
        <v>8506</v>
      </c>
      <c r="V961" t="s">
        <v>69</v>
      </c>
      <c r="W961" t="s">
        <v>69</v>
      </c>
      <c r="X961" t="s">
        <v>69</v>
      </c>
      <c r="Y961" t="s">
        <v>69</v>
      </c>
      <c r="Z961" t="s">
        <v>69</v>
      </c>
      <c r="AA961" t="s">
        <v>69</v>
      </c>
      <c r="AB961" t="s">
        <v>69</v>
      </c>
      <c r="AC961" t="s">
        <v>7538</v>
      </c>
      <c r="AD961" t="s">
        <v>32874</v>
      </c>
      <c r="AE961" t="s">
        <v>69</v>
      </c>
      <c r="AF961" t="s">
        <v>32875</v>
      </c>
      <c r="AG961" t="s">
        <v>69</v>
      </c>
      <c r="AH961" t="s">
        <v>69</v>
      </c>
      <c r="AI961" t="s">
        <v>69</v>
      </c>
      <c r="AJ961" t="s">
        <v>69</v>
      </c>
      <c r="AK961" t="s">
        <v>69</v>
      </c>
      <c r="AL961" t="s">
        <v>69</v>
      </c>
      <c r="AM961" t="s">
        <v>69</v>
      </c>
      <c r="AN961">
        <v>12</v>
      </c>
      <c r="AO961">
        <v>2</v>
      </c>
      <c r="AP961">
        <v>2</v>
      </c>
      <c r="AQ961">
        <v>0</v>
      </c>
      <c r="AR961">
        <v>5</v>
      </c>
      <c r="AS961" t="s">
        <v>32876</v>
      </c>
      <c r="AT961" t="s">
        <v>32877</v>
      </c>
      <c r="AU961" t="s">
        <v>32878</v>
      </c>
      <c r="AV961" t="s">
        <v>7539</v>
      </c>
      <c r="AW961" t="s">
        <v>69</v>
      </c>
      <c r="AX961" t="s">
        <v>69</v>
      </c>
      <c r="AY961" t="s">
        <v>32879</v>
      </c>
      <c r="AZ961" t="s">
        <v>32880</v>
      </c>
      <c r="BA961" t="s">
        <v>69</v>
      </c>
      <c r="BB961">
        <v>1992</v>
      </c>
      <c r="BC961">
        <v>40</v>
      </c>
      <c r="BD961">
        <v>11</v>
      </c>
      <c r="BE961" t="s">
        <v>69</v>
      </c>
      <c r="BF961" t="s">
        <v>69</v>
      </c>
      <c r="BG961" t="s">
        <v>69</v>
      </c>
      <c r="BH961" t="s">
        <v>69</v>
      </c>
      <c r="BI961">
        <v>818</v>
      </c>
      <c r="BJ961">
        <v>830</v>
      </c>
      <c r="BK961" t="s">
        <v>69</v>
      </c>
      <c r="BL961" t="s">
        <v>69</v>
      </c>
      <c r="BM961" t="s">
        <v>69</v>
      </c>
      <c r="BN961" t="s">
        <v>69</v>
      </c>
      <c r="BO961" t="s">
        <v>69</v>
      </c>
      <c r="BP961">
        <v>13</v>
      </c>
      <c r="BQ961" t="s">
        <v>9726</v>
      </c>
      <c r="BR961" t="s">
        <v>8661</v>
      </c>
      <c r="BS961" t="s">
        <v>8594</v>
      </c>
      <c r="BT961" t="s">
        <v>32881</v>
      </c>
      <c r="BU961" t="s">
        <v>7540</v>
      </c>
      <c r="BV961" t="s">
        <v>69</v>
      </c>
      <c r="BW961" t="s">
        <v>69</v>
      </c>
      <c r="BX961" t="s">
        <v>69</v>
      </c>
      <c r="BY961" t="s">
        <v>69</v>
      </c>
      <c r="BZ961" t="s">
        <v>8526</v>
      </c>
      <c r="CA961" t="str">
        <f>HYPERLINK("https%3A%2F%2Fwww.webofscience.com%2Fwos%2Fwoscc%2Ffull-record%2FWOS:A1992KN10200002","View Full Record in Web of Science")</f>
        <v>View Full Record in Web of Science</v>
      </c>
    </row>
    <row r="962" spans="2:79" ht="12.5" x14ac:dyDescent="0.25">
      <c r="B962" t="s">
        <v>8495</v>
      </c>
      <c r="D962" s="22" t="s">
        <v>32931</v>
      </c>
      <c r="E962" s="7"/>
      <c r="F962" s="7"/>
      <c r="G962" s="7"/>
      <c r="H962" t="s">
        <v>67</v>
      </c>
      <c r="I962" t="s">
        <v>26902</v>
      </c>
      <c r="J962" t="s">
        <v>69</v>
      </c>
      <c r="K962" t="s">
        <v>69</v>
      </c>
      <c r="L962" t="s">
        <v>69</v>
      </c>
      <c r="M962" t="s">
        <v>26903</v>
      </c>
      <c r="N962" t="s">
        <v>69</v>
      </c>
      <c r="O962" t="s">
        <v>69</v>
      </c>
      <c r="P962" t="s">
        <v>26904</v>
      </c>
      <c r="Q962" t="s">
        <v>26905</v>
      </c>
      <c r="R962" t="s">
        <v>69</v>
      </c>
      <c r="S962" t="s">
        <v>69</v>
      </c>
      <c r="T962" t="s">
        <v>8505</v>
      </c>
      <c r="U962" t="s">
        <v>8506</v>
      </c>
      <c r="V962" t="s">
        <v>69</v>
      </c>
      <c r="W962" t="s">
        <v>69</v>
      </c>
      <c r="X962" t="s">
        <v>69</v>
      </c>
      <c r="Y962" t="s">
        <v>69</v>
      </c>
      <c r="Z962" t="s">
        <v>69</v>
      </c>
      <c r="AA962" t="s">
        <v>26906</v>
      </c>
      <c r="AB962" t="s">
        <v>69</v>
      </c>
      <c r="AC962" t="s">
        <v>26907</v>
      </c>
      <c r="AD962" t="s">
        <v>26908</v>
      </c>
      <c r="AE962" t="s">
        <v>69</v>
      </c>
      <c r="AF962" t="s">
        <v>26909</v>
      </c>
      <c r="AG962" t="s">
        <v>69</v>
      </c>
      <c r="AH962" t="s">
        <v>26910</v>
      </c>
      <c r="AI962" t="s">
        <v>26911</v>
      </c>
      <c r="AJ962" t="s">
        <v>69</v>
      </c>
      <c r="AK962" t="s">
        <v>69</v>
      </c>
      <c r="AL962" t="s">
        <v>69</v>
      </c>
      <c r="AM962" t="s">
        <v>69</v>
      </c>
      <c r="AN962">
        <v>61</v>
      </c>
      <c r="AO962">
        <v>4</v>
      </c>
      <c r="AP962">
        <v>4</v>
      </c>
      <c r="AQ962">
        <v>0</v>
      </c>
      <c r="AR962">
        <v>12</v>
      </c>
      <c r="AS962" t="s">
        <v>8586</v>
      </c>
      <c r="AT962" t="s">
        <v>8587</v>
      </c>
      <c r="AU962" t="s">
        <v>8588</v>
      </c>
      <c r="AV962" t="s">
        <v>26912</v>
      </c>
      <c r="AW962" t="s">
        <v>69</v>
      </c>
      <c r="AX962" t="s">
        <v>69</v>
      </c>
      <c r="AY962" t="s">
        <v>26913</v>
      </c>
      <c r="AZ962" t="s">
        <v>26914</v>
      </c>
      <c r="BA962" t="s">
        <v>84</v>
      </c>
      <c r="BB962">
        <v>2011</v>
      </c>
      <c r="BC962">
        <v>10</v>
      </c>
      <c r="BD962">
        <v>2</v>
      </c>
      <c r="BE962" t="s">
        <v>69</v>
      </c>
      <c r="BF962" t="s">
        <v>69</v>
      </c>
      <c r="BG962" t="s">
        <v>69</v>
      </c>
      <c r="BH962" t="s">
        <v>69</v>
      </c>
      <c r="BI962">
        <v>24</v>
      </c>
      <c r="BJ962">
        <v>38</v>
      </c>
      <c r="BK962" t="s">
        <v>69</v>
      </c>
      <c r="BL962" t="s">
        <v>69</v>
      </c>
      <c r="BM962" t="s">
        <v>69</v>
      </c>
      <c r="BN962" t="s">
        <v>69</v>
      </c>
      <c r="BO962" t="s">
        <v>69</v>
      </c>
      <c r="BP962">
        <v>15</v>
      </c>
      <c r="BQ962" t="s">
        <v>12200</v>
      </c>
      <c r="BR962" t="s">
        <v>12201</v>
      </c>
      <c r="BS962" t="s">
        <v>12202</v>
      </c>
      <c r="BT962" t="s">
        <v>26915</v>
      </c>
      <c r="BU962" t="s">
        <v>26916</v>
      </c>
      <c r="BV962" t="s">
        <v>69</v>
      </c>
      <c r="BW962" t="s">
        <v>69</v>
      </c>
      <c r="BX962" t="s">
        <v>69</v>
      </c>
      <c r="BY962" t="s">
        <v>69</v>
      </c>
      <c r="BZ962" t="s">
        <v>8526</v>
      </c>
      <c r="CA962" t="str">
        <f>HYPERLINK("https%3A%2F%2Fwww.webofscience.com%2Fwos%2Fwoscc%2Ffull-record%2FWOS:000295869800003","View Full Record in Web of Science")</f>
        <v>View Full Record in Web of Science</v>
      </c>
    </row>
    <row r="963" spans="2:79" ht="12.5" x14ac:dyDescent="0.25">
      <c r="B963" t="s">
        <v>8495</v>
      </c>
      <c r="D963" s="7" t="s">
        <v>32933</v>
      </c>
      <c r="E963" s="7"/>
      <c r="F963" s="7"/>
      <c r="G963" s="7"/>
      <c r="H963" t="s">
        <v>67</v>
      </c>
      <c r="I963" t="s">
        <v>7207</v>
      </c>
      <c r="J963" t="s">
        <v>69</v>
      </c>
      <c r="K963" t="s">
        <v>69</v>
      </c>
      <c r="L963" t="s">
        <v>69</v>
      </c>
      <c r="M963" t="s">
        <v>7208</v>
      </c>
      <c r="N963" t="s">
        <v>69</v>
      </c>
      <c r="O963" t="s">
        <v>69</v>
      </c>
      <c r="P963" t="s">
        <v>7209</v>
      </c>
      <c r="Q963" t="s">
        <v>7210</v>
      </c>
      <c r="R963" t="s">
        <v>69</v>
      </c>
      <c r="S963" t="s">
        <v>69</v>
      </c>
      <c r="T963" t="s">
        <v>8505</v>
      </c>
      <c r="U963" t="s">
        <v>8506</v>
      </c>
      <c r="V963" t="s">
        <v>69</v>
      </c>
      <c r="W963" t="s">
        <v>69</v>
      </c>
      <c r="X963" t="s">
        <v>69</v>
      </c>
      <c r="Y963" t="s">
        <v>69</v>
      </c>
      <c r="Z963" t="s">
        <v>69</v>
      </c>
      <c r="AA963" t="s">
        <v>21770</v>
      </c>
      <c r="AB963" t="s">
        <v>69</v>
      </c>
      <c r="AC963" t="s">
        <v>7211</v>
      </c>
      <c r="AD963" t="s">
        <v>21771</v>
      </c>
      <c r="AE963" t="s">
        <v>69</v>
      </c>
      <c r="AF963" t="s">
        <v>21772</v>
      </c>
      <c r="AG963" t="s">
        <v>21773</v>
      </c>
      <c r="AH963" t="s">
        <v>69</v>
      </c>
      <c r="AI963" t="s">
        <v>69</v>
      </c>
      <c r="AJ963" t="s">
        <v>69</v>
      </c>
      <c r="AK963" t="s">
        <v>69</v>
      </c>
      <c r="AL963" t="s">
        <v>69</v>
      </c>
      <c r="AM963" t="s">
        <v>69</v>
      </c>
      <c r="AN963">
        <v>15</v>
      </c>
      <c r="AO963">
        <v>3</v>
      </c>
      <c r="AP963">
        <v>3</v>
      </c>
      <c r="AQ963">
        <v>1</v>
      </c>
      <c r="AR963">
        <v>5</v>
      </c>
      <c r="AS963" t="s">
        <v>21774</v>
      </c>
      <c r="AT963" t="s">
        <v>12851</v>
      </c>
      <c r="AU963" t="s">
        <v>21775</v>
      </c>
      <c r="AV963" t="s">
        <v>7212</v>
      </c>
      <c r="AW963" t="s">
        <v>7213</v>
      </c>
      <c r="AX963" t="s">
        <v>69</v>
      </c>
      <c r="AY963" t="s">
        <v>21776</v>
      </c>
      <c r="AZ963" t="s">
        <v>21777</v>
      </c>
      <c r="BA963" t="s">
        <v>94</v>
      </c>
      <c r="BB963">
        <v>2016</v>
      </c>
      <c r="BC963">
        <v>75</v>
      </c>
      <c r="BD963">
        <v>3</v>
      </c>
      <c r="BE963" t="s">
        <v>69</v>
      </c>
      <c r="BF963" t="s">
        <v>69</v>
      </c>
      <c r="BG963" t="s">
        <v>69</v>
      </c>
      <c r="BH963" t="s">
        <v>69</v>
      </c>
      <c r="BI963">
        <v>150</v>
      </c>
      <c r="BJ963">
        <v>155</v>
      </c>
      <c r="BK963" t="s">
        <v>69</v>
      </c>
      <c r="BL963" t="s">
        <v>69</v>
      </c>
      <c r="BM963" t="s">
        <v>69</v>
      </c>
      <c r="BN963" t="s">
        <v>69</v>
      </c>
      <c r="BO963" t="s">
        <v>69</v>
      </c>
      <c r="BP963">
        <v>6</v>
      </c>
      <c r="BQ963" t="s">
        <v>9891</v>
      </c>
      <c r="BR963" t="s">
        <v>8548</v>
      </c>
      <c r="BS963" t="s">
        <v>8445</v>
      </c>
      <c r="BT963" t="s">
        <v>21778</v>
      </c>
      <c r="BU963" t="s">
        <v>7214</v>
      </c>
      <c r="BV963" t="s">
        <v>69</v>
      </c>
      <c r="BW963" t="s">
        <v>69</v>
      </c>
      <c r="BX963" t="s">
        <v>69</v>
      </c>
      <c r="BY963" t="s">
        <v>69</v>
      </c>
      <c r="BZ963" t="s">
        <v>8526</v>
      </c>
      <c r="CA963" t="str">
        <f>HYPERLINK("https%3A%2F%2Fwww.webofscience.com%2Fwos%2Fwoscc%2Ffull-record%2FWOS:000371952300002","View Full Record in Web of Science")</f>
        <v>View Full Record in Web of Science</v>
      </c>
    </row>
    <row r="964" spans="2:79" x14ac:dyDescent="0.3">
      <c r="B964" t="s">
        <v>8495</v>
      </c>
      <c r="D964" s="9" t="s">
        <v>32954</v>
      </c>
      <c r="E964" s="9" t="s">
        <v>33133</v>
      </c>
      <c r="F964" s="9" t="s">
        <v>8491</v>
      </c>
      <c r="G964" s="9" t="s">
        <v>8490</v>
      </c>
      <c r="H964" t="s">
        <v>67</v>
      </c>
      <c r="I964" t="s">
        <v>31891</v>
      </c>
      <c r="J964" t="s">
        <v>69</v>
      </c>
      <c r="K964" t="s">
        <v>69</v>
      </c>
      <c r="L964" t="s">
        <v>69</v>
      </c>
      <c r="M964" t="s">
        <v>31891</v>
      </c>
      <c r="N964" t="s">
        <v>69</v>
      </c>
      <c r="O964" t="s">
        <v>69</v>
      </c>
      <c r="P964" t="s">
        <v>31892</v>
      </c>
      <c r="Q964" t="s">
        <v>23637</v>
      </c>
      <c r="R964" t="s">
        <v>69</v>
      </c>
      <c r="S964" t="s">
        <v>69</v>
      </c>
      <c r="T964" t="s">
        <v>8505</v>
      </c>
      <c r="U964" t="s">
        <v>15797</v>
      </c>
      <c r="V964" t="s">
        <v>31893</v>
      </c>
      <c r="W964" t="s">
        <v>31894</v>
      </c>
      <c r="X964" t="s">
        <v>31895</v>
      </c>
      <c r="Y964" t="s">
        <v>69</v>
      </c>
      <c r="Z964" t="s">
        <v>69</v>
      </c>
      <c r="AA964" t="s">
        <v>31896</v>
      </c>
      <c r="AB964" t="s">
        <v>69</v>
      </c>
      <c r="AC964" t="s">
        <v>31897</v>
      </c>
      <c r="AD964" t="s">
        <v>31898</v>
      </c>
      <c r="AE964" t="s">
        <v>69</v>
      </c>
      <c r="AF964" t="s">
        <v>31899</v>
      </c>
      <c r="AG964" t="s">
        <v>69</v>
      </c>
      <c r="AH964" t="s">
        <v>69</v>
      </c>
      <c r="AI964" t="s">
        <v>69</v>
      </c>
      <c r="AJ964" t="s">
        <v>69</v>
      </c>
      <c r="AK964" t="s">
        <v>69</v>
      </c>
      <c r="AL964" t="s">
        <v>69</v>
      </c>
      <c r="AM964" t="s">
        <v>69</v>
      </c>
      <c r="AN964">
        <v>0</v>
      </c>
      <c r="AO964">
        <v>4</v>
      </c>
      <c r="AP964">
        <v>4</v>
      </c>
      <c r="AQ964">
        <v>0</v>
      </c>
      <c r="AR964">
        <v>7</v>
      </c>
      <c r="AS964" t="s">
        <v>17140</v>
      </c>
      <c r="AT964" t="s">
        <v>8517</v>
      </c>
      <c r="AU964" t="s">
        <v>17141</v>
      </c>
      <c r="AV964" t="s">
        <v>23645</v>
      </c>
      <c r="AW964" t="s">
        <v>69</v>
      </c>
      <c r="AX964" t="s">
        <v>69</v>
      </c>
      <c r="AY964" t="s">
        <v>23637</v>
      </c>
      <c r="AZ964" t="s">
        <v>23647</v>
      </c>
      <c r="BA964" t="s">
        <v>7048</v>
      </c>
      <c r="BB964">
        <v>1999</v>
      </c>
      <c r="BC964">
        <v>123</v>
      </c>
      <c r="BD964" t="s">
        <v>4267</v>
      </c>
      <c r="BE964" t="s">
        <v>69</v>
      </c>
      <c r="BF964" t="s">
        <v>69</v>
      </c>
      <c r="BG964" t="s">
        <v>69</v>
      </c>
      <c r="BH964" t="s">
        <v>69</v>
      </c>
      <c r="BI964">
        <v>109</v>
      </c>
      <c r="BJ964">
        <v>114</v>
      </c>
      <c r="BK964" t="s">
        <v>69</v>
      </c>
      <c r="BL964" t="s">
        <v>31900</v>
      </c>
      <c r="BM964" t="str">
        <f>HYPERLINK("http://dx.doi.org/10.1016/S0011-9164(99)00064-8","http://dx.doi.org/10.1016/S0011-9164(99)00064-8")</f>
        <v>http://dx.doi.org/10.1016/S0011-9164(99)00064-8</v>
      </c>
      <c r="BN964" t="s">
        <v>69</v>
      </c>
      <c r="BO964" t="s">
        <v>69</v>
      </c>
      <c r="BP964">
        <v>6</v>
      </c>
      <c r="BQ964" t="s">
        <v>10870</v>
      </c>
      <c r="BR964" t="s">
        <v>29550</v>
      </c>
      <c r="BS964" t="s">
        <v>9230</v>
      </c>
      <c r="BT964" t="s">
        <v>31901</v>
      </c>
      <c r="BU964" t="s">
        <v>31902</v>
      </c>
      <c r="BV964" t="s">
        <v>69</v>
      </c>
      <c r="BW964" t="s">
        <v>69</v>
      </c>
      <c r="BX964" t="s">
        <v>69</v>
      </c>
      <c r="BY964" t="s">
        <v>69</v>
      </c>
      <c r="BZ964" t="s">
        <v>8526</v>
      </c>
      <c r="CA964" t="str">
        <f>HYPERLINK("https%3A%2F%2Fwww.webofscience.com%2Fwos%2Fwoscc%2Ffull-record%2FWOS:000083081600002","View Full Record in Web of Science")</f>
        <v>View Full Record in Web of Science</v>
      </c>
    </row>
    <row r="965" spans="2:79" ht="12.5" x14ac:dyDescent="0.25">
      <c r="B965" t="s">
        <v>8495</v>
      </c>
      <c r="D965" s="7" t="s">
        <v>32933</v>
      </c>
      <c r="E965" s="7"/>
      <c r="F965" s="7"/>
      <c r="G965" s="7"/>
      <c r="H965" t="s">
        <v>67</v>
      </c>
      <c r="I965" t="s">
        <v>7557</v>
      </c>
      <c r="J965" t="s">
        <v>69</v>
      </c>
      <c r="K965" t="s">
        <v>69</v>
      </c>
      <c r="L965" t="s">
        <v>69</v>
      </c>
      <c r="M965" t="s">
        <v>7558</v>
      </c>
      <c r="N965" t="s">
        <v>69</v>
      </c>
      <c r="O965" t="s">
        <v>69</v>
      </c>
      <c r="P965" t="s">
        <v>7559</v>
      </c>
      <c r="Q965" t="s">
        <v>7560</v>
      </c>
      <c r="R965" t="s">
        <v>69</v>
      </c>
      <c r="S965" t="s">
        <v>69</v>
      </c>
      <c r="T965" t="s">
        <v>14610</v>
      </c>
      <c r="U965" t="s">
        <v>8506</v>
      </c>
      <c r="V965" t="s">
        <v>69</v>
      </c>
      <c r="W965" t="s">
        <v>69</v>
      </c>
      <c r="X965" t="s">
        <v>69</v>
      </c>
      <c r="Y965" t="s">
        <v>69</v>
      </c>
      <c r="Z965" t="s">
        <v>69</v>
      </c>
      <c r="AA965" t="s">
        <v>14611</v>
      </c>
      <c r="AB965" t="s">
        <v>69</v>
      </c>
      <c r="AC965" t="s">
        <v>7561</v>
      </c>
      <c r="AD965" t="s">
        <v>14612</v>
      </c>
      <c r="AE965" t="s">
        <v>69</v>
      </c>
      <c r="AF965" t="s">
        <v>14613</v>
      </c>
      <c r="AG965" t="s">
        <v>14614</v>
      </c>
      <c r="AH965" t="s">
        <v>69</v>
      </c>
      <c r="AI965" t="s">
        <v>69</v>
      </c>
      <c r="AJ965" t="s">
        <v>69</v>
      </c>
      <c r="AK965" t="s">
        <v>69</v>
      </c>
      <c r="AL965" t="s">
        <v>69</v>
      </c>
      <c r="AM965" t="s">
        <v>69</v>
      </c>
      <c r="AN965">
        <v>18</v>
      </c>
      <c r="AO965">
        <v>1</v>
      </c>
      <c r="AP965">
        <v>1</v>
      </c>
      <c r="AQ965">
        <v>2</v>
      </c>
      <c r="AR965">
        <v>2</v>
      </c>
      <c r="AS965" t="s">
        <v>14615</v>
      </c>
      <c r="AT965" t="s">
        <v>14616</v>
      </c>
      <c r="AU965" t="s">
        <v>14617</v>
      </c>
      <c r="AV965" t="s">
        <v>7562</v>
      </c>
      <c r="AW965" t="s">
        <v>69</v>
      </c>
      <c r="AX965" t="s">
        <v>69</v>
      </c>
      <c r="AY965" t="s">
        <v>14618</v>
      </c>
      <c r="AZ965" t="s">
        <v>14619</v>
      </c>
      <c r="BA965" t="s">
        <v>201</v>
      </c>
      <c r="BB965">
        <v>2020</v>
      </c>
      <c r="BC965" t="s">
        <v>69</v>
      </c>
      <c r="BD965">
        <v>8</v>
      </c>
      <c r="BE965" t="s">
        <v>69</v>
      </c>
      <c r="BF965" t="s">
        <v>69</v>
      </c>
      <c r="BG965" t="s">
        <v>69</v>
      </c>
      <c r="BH965" t="s">
        <v>69</v>
      </c>
      <c r="BI965">
        <v>527</v>
      </c>
      <c r="BJ965">
        <v>532</v>
      </c>
      <c r="BK965" t="s">
        <v>69</v>
      </c>
      <c r="BL965" t="s">
        <v>7563</v>
      </c>
      <c r="BM965" t="str">
        <f>HYPERLINK("http://dx.doi.org/10.18668/NG.2020.08.05","http://dx.doi.org/10.18668/NG.2020.08.05")</f>
        <v>http://dx.doi.org/10.18668/NG.2020.08.05</v>
      </c>
      <c r="BN965" t="s">
        <v>69</v>
      </c>
      <c r="BO965" t="s">
        <v>69</v>
      </c>
      <c r="BP965">
        <v>6</v>
      </c>
      <c r="BQ965" t="s">
        <v>14620</v>
      </c>
      <c r="BR965" t="s">
        <v>8573</v>
      </c>
      <c r="BS965" t="s">
        <v>8445</v>
      </c>
      <c r="BT965" t="s">
        <v>14621</v>
      </c>
      <c r="BU965" t="s">
        <v>7564</v>
      </c>
      <c r="BV965" t="s">
        <v>69</v>
      </c>
      <c r="BW965" t="s">
        <v>9374</v>
      </c>
      <c r="BX965" t="s">
        <v>69</v>
      </c>
      <c r="BY965" t="s">
        <v>69</v>
      </c>
      <c r="BZ965" t="s">
        <v>8526</v>
      </c>
      <c r="CA965" t="str">
        <f>HYPERLINK("https%3A%2F%2Fwww.webofscience.com%2Fwos%2Fwoscc%2Ffull-record%2FWOS:000596734000005","View Full Record in Web of Science")</f>
        <v>View Full Record in Web of Science</v>
      </c>
    </row>
    <row r="966" spans="2:79" ht="12.5" x14ac:dyDescent="0.25">
      <c r="B966" t="s">
        <v>8495</v>
      </c>
      <c r="D966" s="7" t="s">
        <v>32933</v>
      </c>
      <c r="E966" s="7"/>
      <c r="F966" s="7"/>
      <c r="G966" s="7"/>
      <c r="H966" t="s">
        <v>67</v>
      </c>
      <c r="I966" t="s">
        <v>4369</v>
      </c>
      <c r="J966" t="s">
        <v>69</v>
      </c>
      <c r="K966" t="s">
        <v>69</v>
      </c>
      <c r="L966" t="s">
        <v>69</v>
      </c>
      <c r="M966" t="s">
        <v>4370</v>
      </c>
      <c r="N966" t="s">
        <v>69</v>
      </c>
      <c r="O966" t="s">
        <v>69</v>
      </c>
      <c r="P966" t="s">
        <v>4371</v>
      </c>
      <c r="Q966" t="s">
        <v>4372</v>
      </c>
      <c r="R966" t="s">
        <v>69</v>
      </c>
      <c r="S966" t="s">
        <v>69</v>
      </c>
      <c r="T966" t="s">
        <v>8505</v>
      </c>
      <c r="U966" t="s">
        <v>10174</v>
      </c>
      <c r="V966" t="s">
        <v>69</v>
      </c>
      <c r="W966" t="s">
        <v>69</v>
      </c>
      <c r="X966" t="s">
        <v>69</v>
      </c>
      <c r="Y966" t="s">
        <v>69</v>
      </c>
      <c r="Z966" t="s">
        <v>69</v>
      </c>
      <c r="AA966" t="s">
        <v>15055</v>
      </c>
      <c r="AB966" t="s">
        <v>15056</v>
      </c>
      <c r="AC966" t="s">
        <v>4373</v>
      </c>
      <c r="AD966" t="s">
        <v>15057</v>
      </c>
      <c r="AE966" t="s">
        <v>69</v>
      </c>
      <c r="AF966" t="s">
        <v>15058</v>
      </c>
      <c r="AG966" t="s">
        <v>15059</v>
      </c>
      <c r="AH966" t="s">
        <v>69</v>
      </c>
      <c r="AI966" t="s">
        <v>69</v>
      </c>
      <c r="AJ966" t="s">
        <v>69</v>
      </c>
      <c r="AK966" t="s">
        <v>69</v>
      </c>
      <c r="AL966" t="s">
        <v>69</v>
      </c>
      <c r="AM966" t="s">
        <v>69</v>
      </c>
      <c r="AN966">
        <v>20</v>
      </c>
      <c r="AO966">
        <v>3</v>
      </c>
      <c r="AP966">
        <v>3</v>
      </c>
      <c r="AQ966">
        <v>0</v>
      </c>
      <c r="AR966">
        <v>3</v>
      </c>
      <c r="AS966" t="s">
        <v>9047</v>
      </c>
      <c r="AT966" t="s">
        <v>8693</v>
      </c>
      <c r="AU966" t="s">
        <v>11784</v>
      </c>
      <c r="AV966" t="s">
        <v>4374</v>
      </c>
      <c r="AW966" t="s">
        <v>4375</v>
      </c>
      <c r="AX966" t="s">
        <v>69</v>
      </c>
      <c r="AY966" t="s">
        <v>15060</v>
      </c>
      <c r="AZ966" t="s">
        <v>15061</v>
      </c>
      <c r="BA966" t="s">
        <v>155</v>
      </c>
      <c r="BB966">
        <v>2020</v>
      </c>
      <c r="BC966">
        <v>41</v>
      </c>
      <c r="BD966">
        <v>2</v>
      </c>
      <c r="BE966" t="s">
        <v>69</v>
      </c>
      <c r="BF966" t="s">
        <v>69</v>
      </c>
      <c r="BG966" t="s">
        <v>69</v>
      </c>
      <c r="BH966" t="s">
        <v>69</v>
      </c>
      <c r="BI966">
        <v>89</v>
      </c>
      <c r="BJ966">
        <v>94</v>
      </c>
      <c r="BK966" t="s">
        <v>69</v>
      </c>
      <c r="BL966" t="s">
        <v>4376</v>
      </c>
      <c r="BM966" t="str">
        <f>HYPERLINK("http://dx.doi.org/10.1007/s10912-017-9443-7","http://dx.doi.org/10.1007/s10912-017-9443-7")</f>
        <v>http://dx.doi.org/10.1007/s10912-017-9443-7</v>
      </c>
      <c r="BN966" t="s">
        <v>69</v>
      </c>
      <c r="BO966" t="s">
        <v>69</v>
      </c>
      <c r="BP966">
        <v>6</v>
      </c>
      <c r="BQ966" t="s">
        <v>11206</v>
      </c>
      <c r="BR966" t="s">
        <v>8573</v>
      </c>
      <c r="BS966" t="s">
        <v>11208</v>
      </c>
      <c r="BT966" t="s">
        <v>15062</v>
      </c>
      <c r="BU966" t="s">
        <v>4377</v>
      </c>
      <c r="BV966">
        <v>28523394</v>
      </c>
      <c r="BW966" t="s">
        <v>9374</v>
      </c>
      <c r="BX966" t="s">
        <v>69</v>
      </c>
      <c r="BY966" t="s">
        <v>69</v>
      </c>
      <c r="BZ966" t="s">
        <v>8526</v>
      </c>
      <c r="CA966" t="str">
        <f>HYPERLINK("https%3A%2F%2Fwww.webofscience.com%2Fwos%2Fwoscc%2Ffull-record%2FWOS:000534793800001","View Full Record in Web of Science")</f>
        <v>View Full Record in Web of Science</v>
      </c>
    </row>
    <row r="967" spans="2:79" ht="12.5" x14ac:dyDescent="0.25">
      <c r="B967" t="s">
        <v>8495</v>
      </c>
      <c r="D967" s="22" t="s">
        <v>32931</v>
      </c>
      <c r="E967" s="7"/>
      <c r="F967" s="7"/>
      <c r="G967" s="7"/>
      <c r="H967" t="s">
        <v>67</v>
      </c>
      <c r="I967" t="s">
        <v>23673</v>
      </c>
      <c r="J967" t="s">
        <v>69</v>
      </c>
      <c r="K967" t="s">
        <v>69</v>
      </c>
      <c r="L967" t="s">
        <v>69</v>
      </c>
      <c r="M967" t="s">
        <v>23674</v>
      </c>
      <c r="N967" t="s">
        <v>69</v>
      </c>
      <c r="O967" t="s">
        <v>69</v>
      </c>
      <c r="P967" t="s">
        <v>23675</v>
      </c>
      <c r="Q967" t="s">
        <v>23676</v>
      </c>
      <c r="R967" t="s">
        <v>69</v>
      </c>
      <c r="S967" t="s">
        <v>69</v>
      </c>
      <c r="T967" t="s">
        <v>8505</v>
      </c>
      <c r="U967" t="s">
        <v>8506</v>
      </c>
      <c r="V967" t="s">
        <v>69</v>
      </c>
      <c r="W967" t="s">
        <v>69</v>
      </c>
      <c r="X967" t="s">
        <v>69</v>
      </c>
      <c r="Y967" t="s">
        <v>69</v>
      </c>
      <c r="Z967" t="s">
        <v>69</v>
      </c>
      <c r="AA967" t="s">
        <v>23677</v>
      </c>
      <c r="AB967" t="s">
        <v>69</v>
      </c>
      <c r="AC967" t="s">
        <v>23678</v>
      </c>
      <c r="AD967" t="s">
        <v>23679</v>
      </c>
      <c r="AE967" t="s">
        <v>69</v>
      </c>
      <c r="AF967" t="s">
        <v>23680</v>
      </c>
      <c r="AG967" t="s">
        <v>23681</v>
      </c>
      <c r="AH967" t="s">
        <v>69</v>
      </c>
      <c r="AI967" t="s">
        <v>69</v>
      </c>
      <c r="AJ967" t="s">
        <v>69</v>
      </c>
      <c r="AK967" t="s">
        <v>69</v>
      </c>
      <c r="AL967" t="s">
        <v>69</v>
      </c>
      <c r="AM967" t="s">
        <v>69</v>
      </c>
      <c r="AN967">
        <v>21</v>
      </c>
      <c r="AO967">
        <v>6</v>
      </c>
      <c r="AP967">
        <v>6</v>
      </c>
      <c r="AQ967">
        <v>0</v>
      </c>
      <c r="AR967">
        <v>2</v>
      </c>
      <c r="AS967" t="s">
        <v>23682</v>
      </c>
      <c r="AT967" t="s">
        <v>23683</v>
      </c>
      <c r="AU967" t="s">
        <v>23684</v>
      </c>
      <c r="AV967" t="s">
        <v>23685</v>
      </c>
      <c r="AW967" t="s">
        <v>23686</v>
      </c>
      <c r="AX967" t="s">
        <v>69</v>
      </c>
      <c r="AY967" t="s">
        <v>23687</v>
      </c>
      <c r="AZ967" t="s">
        <v>23688</v>
      </c>
      <c r="BA967" t="s">
        <v>201</v>
      </c>
      <c r="BB967">
        <v>2014</v>
      </c>
      <c r="BC967">
        <v>31</v>
      </c>
      <c r="BD967">
        <v>2</v>
      </c>
      <c r="BE967" t="s">
        <v>69</v>
      </c>
      <c r="BF967" t="s">
        <v>69</v>
      </c>
      <c r="BG967" t="s">
        <v>69</v>
      </c>
      <c r="BH967" t="s">
        <v>69</v>
      </c>
      <c r="BI967">
        <v>165</v>
      </c>
      <c r="BJ967">
        <v>172</v>
      </c>
      <c r="BK967" t="s">
        <v>69</v>
      </c>
      <c r="BL967" t="s">
        <v>23689</v>
      </c>
      <c r="BM967" t="str">
        <f>HYPERLINK("http://dx.doi.org/10.1355/ae31-2a","http://dx.doi.org/10.1355/ae31-2a")</f>
        <v>http://dx.doi.org/10.1355/ae31-2a</v>
      </c>
      <c r="BN967" t="s">
        <v>69</v>
      </c>
      <c r="BO967" t="s">
        <v>69</v>
      </c>
      <c r="BP967">
        <v>8</v>
      </c>
      <c r="BQ967" t="s">
        <v>9726</v>
      </c>
      <c r="BR967" t="s">
        <v>8573</v>
      </c>
      <c r="BS967" t="s">
        <v>8594</v>
      </c>
      <c r="BT967" t="s">
        <v>23690</v>
      </c>
      <c r="BU967" t="s">
        <v>23691</v>
      </c>
      <c r="BV967" t="s">
        <v>69</v>
      </c>
      <c r="BW967" t="s">
        <v>69</v>
      </c>
      <c r="BX967" t="s">
        <v>69</v>
      </c>
      <c r="BY967" t="s">
        <v>69</v>
      </c>
      <c r="BZ967" t="s">
        <v>8526</v>
      </c>
      <c r="CA967" t="str">
        <f>HYPERLINK("https%3A%2F%2Fwww.webofscience.com%2Fwos%2Fwoscc%2Ffull-record%2FWOS:000436714600001","View Full Record in Web of Science")</f>
        <v>View Full Record in Web of Science</v>
      </c>
    </row>
    <row r="968" spans="2:79" ht="12.5" x14ac:dyDescent="0.25">
      <c r="B968" t="s">
        <v>8495</v>
      </c>
      <c r="D968" s="7" t="s">
        <v>32933</v>
      </c>
      <c r="E968" s="7"/>
      <c r="F968" s="7"/>
      <c r="G968" s="7"/>
      <c r="H968" t="s">
        <v>67</v>
      </c>
      <c r="I968" t="s">
        <v>5652</v>
      </c>
      <c r="J968" t="s">
        <v>69</v>
      </c>
      <c r="K968" t="s">
        <v>69</v>
      </c>
      <c r="L968" t="s">
        <v>69</v>
      </c>
      <c r="M968" t="s">
        <v>5652</v>
      </c>
      <c r="N968" t="s">
        <v>69</v>
      </c>
      <c r="O968" t="s">
        <v>69</v>
      </c>
      <c r="P968" t="s">
        <v>5653</v>
      </c>
      <c r="Q968" t="s">
        <v>179</v>
      </c>
      <c r="R968" t="s">
        <v>69</v>
      </c>
      <c r="S968" t="s">
        <v>69</v>
      </c>
      <c r="T968" t="s">
        <v>8505</v>
      </c>
      <c r="U968" t="s">
        <v>8506</v>
      </c>
      <c r="V968" t="s">
        <v>69</v>
      </c>
      <c r="W968" t="s">
        <v>69</v>
      </c>
      <c r="X968" t="s">
        <v>69</v>
      </c>
      <c r="Y968" t="s">
        <v>69</v>
      </c>
      <c r="Z968" t="s">
        <v>69</v>
      </c>
      <c r="AA968" t="s">
        <v>31436</v>
      </c>
      <c r="AB968" t="s">
        <v>69</v>
      </c>
      <c r="AC968" t="s">
        <v>5654</v>
      </c>
      <c r="AD968" t="s">
        <v>31437</v>
      </c>
      <c r="AE968" t="s">
        <v>69</v>
      </c>
      <c r="AF968" t="s">
        <v>31438</v>
      </c>
      <c r="AG968" t="s">
        <v>31439</v>
      </c>
      <c r="AH968" t="s">
        <v>5655</v>
      </c>
      <c r="AI968" t="s">
        <v>5656</v>
      </c>
      <c r="AJ968" t="s">
        <v>69</v>
      </c>
      <c r="AK968" t="s">
        <v>69</v>
      </c>
      <c r="AL968" t="s">
        <v>69</v>
      </c>
      <c r="AM968" t="s">
        <v>69</v>
      </c>
      <c r="AN968">
        <v>18</v>
      </c>
      <c r="AO968">
        <v>22</v>
      </c>
      <c r="AP968">
        <v>22</v>
      </c>
      <c r="AQ968">
        <v>0</v>
      </c>
      <c r="AR968">
        <v>6</v>
      </c>
      <c r="AS968" t="s">
        <v>9047</v>
      </c>
      <c r="AT968" t="s">
        <v>8693</v>
      </c>
      <c r="AU968" t="s">
        <v>16643</v>
      </c>
      <c r="AV968" t="s">
        <v>181</v>
      </c>
      <c r="AW968" t="s">
        <v>182</v>
      </c>
      <c r="AX968" t="s">
        <v>69</v>
      </c>
      <c r="AY968" t="s">
        <v>17432</v>
      </c>
      <c r="AZ968" t="s">
        <v>17433</v>
      </c>
      <c r="BA968" t="s">
        <v>155</v>
      </c>
      <c r="BB968">
        <v>2002</v>
      </c>
      <c r="BC968">
        <v>29</v>
      </c>
      <c r="BD968">
        <v>6</v>
      </c>
      <c r="BE968" t="s">
        <v>69</v>
      </c>
      <c r="BF968" t="s">
        <v>69</v>
      </c>
      <c r="BG968" t="s">
        <v>69</v>
      </c>
      <c r="BH968" t="s">
        <v>69</v>
      </c>
      <c r="BI968">
        <v>871</v>
      </c>
      <c r="BJ968">
        <v>876</v>
      </c>
      <c r="BK968" t="s">
        <v>69</v>
      </c>
      <c r="BL968" t="s">
        <v>5657</v>
      </c>
      <c r="BM968" t="str">
        <f>HYPERLINK("http://dx.doi.org/10.1007/s00267-001-2628-9","http://dx.doi.org/10.1007/s00267-001-2628-9")</f>
        <v>http://dx.doi.org/10.1007/s00267-001-2628-9</v>
      </c>
      <c r="BN968" t="s">
        <v>69</v>
      </c>
      <c r="BO968" t="s">
        <v>69</v>
      </c>
      <c r="BP968">
        <v>6</v>
      </c>
      <c r="BQ968" t="s">
        <v>8717</v>
      </c>
      <c r="BR968" t="s">
        <v>8548</v>
      </c>
      <c r="BS968" t="s">
        <v>8662</v>
      </c>
      <c r="BT968" t="s">
        <v>31440</v>
      </c>
      <c r="BU968" t="s">
        <v>5658</v>
      </c>
      <c r="BV968">
        <v>11992177</v>
      </c>
      <c r="BW968" t="s">
        <v>69</v>
      </c>
      <c r="BX968" t="s">
        <v>69</v>
      </c>
      <c r="BY968" t="s">
        <v>69</v>
      </c>
      <c r="BZ968" t="s">
        <v>8526</v>
      </c>
      <c r="CA968" t="str">
        <f>HYPERLINK("https%3A%2F%2Fwww.webofscience.com%2Fwos%2Fwoscc%2Ffull-record%2FWOS:000175552200011","View Full Record in Web of Science")</f>
        <v>View Full Record in Web of Science</v>
      </c>
    </row>
    <row r="969" spans="2:79" ht="12.5" x14ac:dyDescent="0.25">
      <c r="B969" t="s">
        <v>8495</v>
      </c>
      <c r="D969" s="7" t="s">
        <v>32933</v>
      </c>
      <c r="E969" s="7"/>
      <c r="F969" s="7"/>
      <c r="G969" s="7"/>
      <c r="H969" t="s">
        <v>67</v>
      </c>
      <c r="I969" t="s">
        <v>2463</v>
      </c>
      <c r="J969" t="s">
        <v>69</v>
      </c>
      <c r="K969" t="s">
        <v>69</v>
      </c>
      <c r="L969" t="s">
        <v>69</v>
      </c>
      <c r="M969" t="s">
        <v>2464</v>
      </c>
      <c r="N969" t="s">
        <v>69</v>
      </c>
      <c r="O969" t="s">
        <v>69</v>
      </c>
      <c r="P969" t="s">
        <v>2465</v>
      </c>
      <c r="Q969" t="s">
        <v>2466</v>
      </c>
      <c r="R969" t="s">
        <v>69</v>
      </c>
      <c r="S969" t="s">
        <v>69</v>
      </c>
      <c r="T969" t="s">
        <v>8505</v>
      </c>
      <c r="U969" t="s">
        <v>8506</v>
      </c>
      <c r="V969" t="s">
        <v>69</v>
      </c>
      <c r="W969" t="s">
        <v>69</v>
      </c>
      <c r="X969" t="s">
        <v>69</v>
      </c>
      <c r="Y969" t="s">
        <v>69</v>
      </c>
      <c r="Z969" t="s">
        <v>69</v>
      </c>
      <c r="AA969" t="s">
        <v>19358</v>
      </c>
      <c r="AB969" t="s">
        <v>16227</v>
      </c>
      <c r="AC969" t="s">
        <v>2467</v>
      </c>
      <c r="AD969" t="s">
        <v>19359</v>
      </c>
      <c r="AE969" t="s">
        <v>69</v>
      </c>
      <c r="AF969" t="s">
        <v>19360</v>
      </c>
      <c r="AG969" t="s">
        <v>19361</v>
      </c>
      <c r="AH969" t="s">
        <v>69</v>
      </c>
      <c r="AI969" t="s">
        <v>69</v>
      </c>
      <c r="AJ969" t="s">
        <v>69</v>
      </c>
      <c r="AK969" t="s">
        <v>69</v>
      </c>
      <c r="AL969" t="s">
        <v>69</v>
      </c>
      <c r="AM969" t="s">
        <v>69</v>
      </c>
      <c r="AN969">
        <v>30</v>
      </c>
      <c r="AO969">
        <v>10</v>
      </c>
      <c r="AP969">
        <v>10</v>
      </c>
      <c r="AQ969">
        <v>3</v>
      </c>
      <c r="AR969">
        <v>27</v>
      </c>
      <c r="AS969" t="s">
        <v>8611</v>
      </c>
      <c r="AT969" t="s">
        <v>8612</v>
      </c>
      <c r="AU969" t="s">
        <v>8613</v>
      </c>
      <c r="AV969" t="s">
        <v>2468</v>
      </c>
      <c r="AW969" t="s">
        <v>2469</v>
      </c>
      <c r="AX969" t="s">
        <v>69</v>
      </c>
      <c r="AY969" t="s">
        <v>19362</v>
      </c>
      <c r="AZ969" t="s">
        <v>19363</v>
      </c>
      <c r="BA969" t="s">
        <v>69</v>
      </c>
      <c r="BB969">
        <v>2018</v>
      </c>
      <c r="BC969">
        <v>13</v>
      </c>
      <c r="BD969">
        <v>3</v>
      </c>
      <c r="BE969" t="s">
        <v>69</v>
      </c>
      <c r="BF969" t="s">
        <v>69</v>
      </c>
      <c r="BG969" t="s">
        <v>69</v>
      </c>
      <c r="BH969" t="s">
        <v>69</v>
      </c>
      <c r="BI969">
        <v>215</v>
      </c>
      <c r="BJ969">
        <v>224</v>
      </c>
      <c r="BK969" t="s">
        <v>69</v>
      </c>
      <c r="BL969" t="s">
        <v>2470</v>
      </c>
      <c r="BM969" t="str">
        <f>HYPERLINK("http://dx.doi.org/10.1080/17509653.2017.1387821","http://dx.doi.org/10.1080/17509653.2017.1387821")</f>
        <v>http://dx.doi.org/10.1080/17509653.2017.1387821</v>
      </c>
      <c r="BN969" t="s">
        <v>69</v>
      </c>
      <c r="BO969" t="s">
        <v>69</v>
      </c>
      <c r="BP969">
        <v>10</v>
      </c>
      <c r="BQ969" t="s">
        <v>19364</v>
      </c>
      <c r="BR969" t="s">
        <v>8573</v>
      </c>
      <c r="BS969" t="s">
        <v>19364</v>
      </c>
      <c r="BT969" t="s">
        <v>19365</v>
      </c>
      <c r="BU969" t="s">
        <v>2471</v>
      </c>
      <c r="BV969" t="s">
        <v>69</v>
      </c>
      <c r="BW969" t="s">
        <v>69</v>
      </c>
      <c r="BX969" t="s">
        <v>69</v>
      </c>
      <c r="BY969" t="s">
        <v>69</v>
      </c>
      <c r="BZ969" t="s">
        <v>8526</v>
      </c>
      <c r="CA969" t="str">
        <f>HYPERLINK("https%3A%2F%2Fwww.webofscience.com%2Fwos%2Fwoscc%2Ffull-record%2FWOS:000435610900007","View Full Record in Web of Science")</f>
        <v>View Full Record in Web of Science</v>
      </c>
    </row>
    <row r="970" spans="2:79" ht="12.5" x14ac:dyDescent="0.25">
      <c r="B970" t="s">
        <v>8495</v>
      </c>
      <c r="D970" s="7" t="s">
        <v>32933</v>
      </c>
      <c r="E970" s="7"/>
      <c r="F970" s="7"/>
      <c r="G970" s="7"/>
      <c r="H970" t="s">
        <v>67</v>
      </c>
      <c r="I970" t="s">
        <v>5437</v>
      </c>
      <c r="J970" t="s">
        <v>69</v>
      </c>
      <c r="K970" t="s">
        <v>69</v>
      </c>
      <c r="L970" t="s">
        <v>69</v>
      </c>
      <c r="M970" t="s">
        <v>5438</v>
      </c>
      <c r="N970" t="s">
        <v>69</v>
      </c>
      <c r="O970" t="s">
        <v>69</v>
      </c>
      <c r="P970" t="s">
        <v>5439</v>
      </c>
      <c r="Q970" t="s">
        <v>80</v>
      </c>
      <c r="R970" t="s">
        <v>69</v>
      </c>
      <c r="S970" t="s">
        <v>69</v>
      </c>
      <c r="T970" t="s">
        <v>8505</v>
      </c>
      <c r="U970" t="s">
        <v>8506</v>
      </c>
      <c r="V970" t="s">
        <v>69</v>
      </c>
      <c r="W970" t="s">
        <v>69</v>
      </c>
      <c r="X970" t="s">
        <v>69</v>
      </c>
      <c r="Y970" t="s">
        <v>69</v>
      </c>
      <c r="Z970" t="s">
        <v>69</v>
      </c>
      <c r="AA970" t="s">
        <v>19701</v>
      </c>
      <c r="AB970" t="s">
        <v>69</v>
      </c>
      <c r="AC970" t="s">
        <v>5440</v>
      </c>
      <c r="AD970" t="s">
        <v>19702</v>
      </c>
      <c r="AE970" t="s">
        <v>69</v>
      </c>
      <c r="AF970" t="s">
        <v>19703</v>
      </c>
      <c r="AG970" t="s">
        <v>19704</v>
      </c>
      <c r="AH970" t="s">
        <v>69</v>
      </c>
      <c r="AI970" t="s">
        <v>69</v>
      </c>
      <c r="AJ970" t="s">
        <v>69</v>
      </c>
      <c r="AK970" t="s">
        <v>69</v>
      </c>
      <c r="AL970" t="s">
        <v>69</v>
      </c>
      <c r="AM970" t="s">
        <v>69</v>
      </c>
      <c r="AN970">
        <v>11</v>
      </c>
      <c r="AO970">
        <v>2</v>
      </c>
      <c r="AP970">
        <v>2</v>
      </c>
      <c r="AQ970">
        <v>1</v>
      </c>
      <c r="AR970">
        <v>4</v>
      </c>
      <c r="AS970" t="s">
        <v>14819</v>
      </c>
      <c r="AT970" t="s">
        <v>14820</v>
      </c>
      <c r="AU970" t="s">
        <v>14821</v>
      </c>
      <c r="AV970" t="s">
        <v>82</v>
      </c>
      <c r="AW970" t="s">
        <v>83</v>
      </c>
      <c r="AX970" t="s">
        <v>69</v>
      </c>
      <c r="AY970" t="s">
        <v>14822</v>
      </c>
      <c r="AZ970" t="s">
        <v>14823</v>
      </c>
      <c r="BA970" t="s">
        <v>75</v>
      </c>
      <c r="BB970">
        <v>2017</v>
      </c>
      <c r="BC970">
        <v>3</v>
      </c>
      <c r="BD970">
        <v>12</v>
      </c>
      <c r="BE970" t="s">
        <v>69</v>
      </c>
      <c r="BF970" t="s">
        <v>69</v>
      </c>
      <c r="BG970" t="s">
        <v>69</v>
      </c>
      <c r="BH970" t="s">
        <v>69</v>
      </c>
      <c r="BI970">
        <v>1288</v>
      </c>
      <c r="BJ970">
        <v>1300</v>
      </c>
      <c r="BK970" t="s">
        <v>69</v>
      </c>
      <c r="BL970" t="s">
        <v>5441</v>
      </c>
      <c r="BM970" t="str">
        <f>HYPERLINK("http://dx.doi.org/10.28991/cej-030958","http://dx.doi.org/10.28991/cej-030958")</f>
        <v>http://dx.doi.org/10.28991/cej-030958</v>
      </c>
      <c r="BN970" t="s">
        <v>69</v>
      </c>
      <c r="BO970" t="s">
        <v>69</v>
      </c>
      <c r="BP970">
        <v>13</v>
      </c>
      <c r="BQ970" t="s">
        <v>13537</v>
      </c>
      <c r="BR970" t="s">
        <v>8573</v>
      </c>
      <c r="BS970" t="s">
        <v>8445</v>
      </c>
      <c r="BT970" t="s">
        <v>19705</v>
      </c>
      <c r="BU970" t="s">
        <v>5442</v>
      </c>
      <c r="BV970" t="s">
        <v>69</v>
      </c>
      <c r="BW970" t="s">
        <v>8931</v>
      </c>
      <c r="BX970" t="s">
        <v>69</v>
      </c>
      <c r="BY970" t="s">
        <v>69</v>
      </c>
      <c r="BZ970" t="s">
        <v>8526</v>
      </c>
      <c r="CA970" t="str">
        <f>HYPERLINK("https%3A%2F%2Fwww.webofscience.com%2Fwos%2Fwoscc%2Ffull-record%2FWOS:000424521400010","View Full Record in Web of Science")</f>
        <v>View Full Record in Web of Science</v>
      </c>
    </row>
    <row r="971" spans="2:79" ht="12.5" x14ac:dyDescent="0.25">
      <c r="B971" t="s">
        <v>8495</v>
      </c>
      <c r="D971" s="22" t="s">
        <v>32931</v>
      </c>
      <c r="E971" s="7"/>
      <c r="F971" s="7"/>
      <c r="G971" s="7"/>
      <c r="H971" t="s">
        <v>67</v>
      </c>
      <c r="I971" t="s">
        <v>17051</v>
      </c>
      <c r="J971" t="s">
        <v>69</v>
      </c>
      <c r="K971" t="s">
        <v>69</v>
      </c>
      <c r="L971" t="s">
        <v>69</v>
      </c>
      <c r="M971" t="s">
        <v>17052</v>
      </c>
      <c r="N971" t="s">
        <v>69</v>
      </c>
      <c r="O971" t="s">
        <v>69</v>
      </c>
      <c r="P971" t="s">
        <v>17053</v>
      </c>
      <c r="Q971" t="s">
        <v>17054</v>
      </c>
      <c r="R971" t="s">
        <v>69</v>
      </c>
      <c r="S971" t="s">
        <v>69</v>
      </c>
      <c r="T971" t="s">
        <v>8505</v>
      </c>
      <c r="U971" t="s">
        <v>8506</v>
      </c>
      <c r="V971" t="s">
        <v>69</v>
      </c>
      <c r="W971" t="s">
        <v>69</v>
      </c>
      <c r="X971" t="s">
        <v>69</v>
      </c>
      <c r="Y971" t="s">
        <v>69</v>
      </c>
      <c r="Z971" t="s">
        <v>69</v>
      </c>
      <c r="AA971" t="s">
        <v>17055</v>
      </c>
      <c r="AB971" t="s">
        <v>17056</v>
      </c>
      <c r="AC971" t="s">
        <v>17057</v>
      </c>
      <c r="AD971" t="s">
        <v>17058</v>
      </c>
      <c r="AE971" t="s">
        <v>69</v>
      </c>
      <c r="AF971" t="s">
        <v>17059</v>
      </c>
      <c r="AG971" t="s">
        <v>17060</v>
      </c>
      <c r="AH971" t="s">
        <v>17061</v>
      </c>
      <c r="AI971" t="s">
        <v>17062</v>
      </c>
      <c r="AJ971" t="s">
        <v>17063</v>
      </c>
      <c r="AK971" t="s">
        <v>17063</v>
      </c>
      <c r="AL971" t="s">
        <v>17064</v>
      </c>
      <c r="AM971" t="s">
        <v>69</v>
      </c>
      <c r="AN971">
        <v>48</v>
      </c>
      <c r="AO971">
        <v>3</v>
      </c>
      <c r="AP971">
        <v>3</v>
      </c>
      <c r="AQ971">
        <v>2</v>
      </c>
      <c r="AR971">
        <v>4</v>
      </c>
      <c r="AS971" t="s">
        <v>10352</v>
      </c>
      <c r="AT971" t="s">
        <v>8637</v>
      </c>
      <c r="AU971" t="s">
        <v>10353</v>
      </c>
      <c r="AV971" t="s">
        <v>17065</v>
      </c>
      <c r="AW971" t="s">
        <v>17066</v>
      </c>
      <c r="AX971" t="s">
        <v>69</v>
      </c>
      <c r="AY971" t="s">
        <v>17067</v>
      </c>
      <c r="AZ971" t="s">
        <v>17068</v>
      </c>
      <c r="BA971" t="s">
        <v>84</v>
      </c>
      <c r="BB971">
        <v>2019</v>
      </c>
      <c r="BC971">
        <v>34</v>
      </c>
      <c r="BD971">
        <v>6</v>
      </c>
      <c r="BE971" t="s">
        <v>69</v>
      </c>
      <c r="BF971" t="s">
        <v>69</v>
      </c>
      <c r="BG971" t="s">
        <v>69</v>
      </c>
      <c r="BH971" t="s">
        <v>69</v>
      </c>
      <c r="BI971">
        <v>450</v>
      </c>
      <c r="BJ971">
        <v>460</v>
      </c>
      <c r="BK971" t="s">
        <v>69</v>
      </c>
      <c r="BL971" t="s">
        <v>17069</v>
      </c>
      <c r="BM971" t="str">
        <f>HYPERLINK("http://dx.doi.org/10.1093/heapol/czz056","http://dx.doi.org/10.1093/heapol/czz056")</f>
        <v>http://dx.doi.org/10.1093/heapol/czz056</v>
      </c>
      <c r="BN971" t="s">
        <v>69</v>
      </c>
      <c r="BO971" t="s">
        <v>69</v>
      </c>
      <c r="BP971">
        <v>11</v>
      </c>
      <c r="BQ971" t="s">
        <v>9809</v>
      </c>
      <c r="BR971" t="s">
        <v>8523</v>
      </c>
      <c r="BS971" t="s">
        <v>9209</v>
      </c>
      <c r="BT971" t="s">
        <v>17070</v>
      </c>
      <c r="BU971" t="s">
        <v>17072</v>
      </c>
      <c r="BV971">
        <v>31302699</v>
      </c>
      <c r="BW971" t="s">
        <v>17071</v>
      </c>
      <c r="BX971" t="s">
        <v>69</v>
      </c>
      <c r="BY971" t="s">
        <v>69</v>
      </c>
      <c r="BZ971" t="s">
        <v>8526</v>
      </c>
      <c r="CA971" t="str">
        <f>HYPERLINK("https%3A%2F%2Fwww.webofscience.com%2Fwos%2Fwoscc%2Ffull-record%2FWOS:000493041300006","View Full Record in Web of Science")</f>
        <v>View Full Record in Web of Science</v>
      </c>
    </row>
    <row r="972" spans="2:79" ht="12.5" x14ac:dyDescent="0.25">
      <c r="B972" t="s">
        <v>8495</v>
      </c>
      <c r="D972" s="22" t="s">
        <v>32931</v>
      </c>
      <c r="E972" s="7"/>
      <c r="F972" s="7"/>
      <c r="G972" s="7"/>
      <c r="H972" t="s">
        <v>67</v>
      </c>
      <c r="I972" t="s">
        <v>10303</v>
      </c>
      <c r="J972" t="s">
        <v>69</v>
      </c>
      <c r="K972" t="s">
        <v>69</v>
      </c>
      <c r="L972" t="s">
        <v>69</v>
      </c>
      <c r="M972" t="s">
        <v>10304</v>
      </c>
      <c r="N972" t="s">
        <v>69</v>
      </c>
      <c r="O972" t="s">
        <v>69</v>
      </c>
      <c r="P972" t="s">
        <v>10305</v>
      </c>
      <c r="Q972" t="s">
        <v>10306</v>
      </c>
      <c r="R972" t="s">
        <v>69</v>
      </c>
      <c r="S972" t="s">
        <v>69</v>
      </c>
      <c r="T972" t="s">
        <v>8505</v>
      </c>
      <c r="U972" t="s">
        <v>8506</v>
      </c>
      <c r="V972" t="s">
        <v>69</v>
      </c>
      <c r="W972" t="s">
        <v>69</v>
      </c>
      <c r="X972" t="s">
        <v>69</v>
      </c>
      <c r="Y972" t="s">
        <v>69</v>
      </c>
      <c r="Z972" t="s">
        <v>69</v>
      </c>
      <c r="AA972" t="s">
        <v>10307</v>
      </c>
      <c r="AB972" t="s">
        <v>10308</v>
      </c>
      <c r="AC972" t="s">
        <v>10309</v>
      </c>
      <c r="AD972" t="s">
        <v>10310</v>
      </c>
      <c r="AE972" t="s">
        <v>69</v>
      </c>
      <c r="AF972" t="s">
        <v>10311</v>
      </c>
      <c r="AG972" t="s">
        <v>10312</v>
      </c>
      <c r="AH972" t="s">
        <v>10313</v>
      </c>
      <c r="AI972" t="s">
        <v>10314</v>
      </c>
      <c r="AJ972" t="s">
        <v>69</v>
      </c>
      <c r="AK972" t="s">
        <v>69</v>
      </c>
      <c r="AL972" t="s">
        <v>69</v>
      </c>
      <c r="AM972" t="s">
        <v>69</v>
      </c>
      <c r="AN972">
        <v>68</v>
      </c>
      <c r="AO972">
        <v>1</v>
      </c>
      <c r="AP972">
        <v>1</v>
      </c>
      <c r="AQ972">
        <v>12</v>
      </c>
      <c r="AR972">
        <v>12</v>
      </c>
      <c r="AS972" t="s">
        <v>10315</v>
      </c>
      <c r="AT972" t="s">
        <v>10316</v>
      </c>
      <c r="AU972" t="s">
        <v>10317</v>
      </c>
      <c r="AV972" t="s">
        <v>10318</v>
      </c>
      <c r="AW972" t="s">
        <v>69</v>
      </c>
      <c r="AX972" t="s">
        <v>69</v>
      </c>
      <c r="AY972" t="s">
        <v>10306</v>
      </c>
      <c r="AZ972" t="s">
        <v>10319</v>
      </c>
      <c r="BA972" t="s">
        <v>69</v>
      </c>
      <c r="BB972">
        <v>2022</v>
      </c>
      <c r="BC972">
        <v>10</v>
      </c>
      <c r="BD972" t="s">
        <v>69</v>
      </c>
      <c r="BE972" t="s">
        <v>69</v>
      </c>
      <c r="BF972" t="s">
        <v>69</v>
      </c>
      <c r="BG972" t="s">
        <v>69</v>
      </c>
      <c r="BH972" t="s">
        <v>69</v>
      </c>
      <c r="BI972">
        <v>16028</v>
      </c>
      <c r="BJ972">
        <v>16036</v>
      </c>
      <c r="BK972" t="s">
        <v>69</v>
      </c>
      <c r="BL972" t="s">
        <v>10320</v>
      </c>
      <c r="BM972" t="str">
        <f>HYPERLINK("http://dx.doi.org/10.1109/ACCESS.2021.3115987","http://dx.doi.org/10.1109/ACCESS.2021.3115987")</f>
        <v>http://dx.doi.org/10.1109/ACCESS.2021.3115987</v>
      </c>
      <c r="BN972" t="s">
        <v>69</v>
      </c>
      <c r="BO972" t="s">
        <v>69</v>
      </c>
      <c r="BP972">
        <v>9</v>
      </c>
      <c r="BQ972" t="s">
        <v>10321</v>
      </c>
      <c r="BR972" t="s">
        <v>8523</v>
      </c>
      <c r="BS972" t="s">
        <v>10322</v>
      </c>
      <c r="BT972" t="s">
        <v>10323</v>
      </c>
      <c r="BU972" t="s">
        <v>10324</v>
      </c>
      <c r="BV972" t="s">
        <v>69</v>
      </c>
      <c r="BW972" t="s">
        <v>8931</v>
      </c>
      <c r="BX972" t="s">
        <v>69</v>
      </c>
      <c r="BY972" t="s">
        <v>69</v>
      </c>
      <c r="BZ972" t="s">
        <v>8526</v>
      </c>
      <c r="CA972" t="str">
        <f>HYPERLINK("https%3A%2F%2Fwww.webofscience.com%2Fwos%2Fwoscc%2Ffull-record%2FWOS:000756537200001","View Full Record in Web of Science")</f>
        <v>View Full Record in Web of Science</v>
      </c>
    </row>
    <row r="973" spans="2:79" ht="12.5" x14ac:dyDescent="0.25">
      <c r="B973" t="s">
        <v>8495</v>
      </c>
      <c r="D973" s="22" t="s">
        <v>32931</v>
      </c>
      <c r="E973" s="7"/>
      <c r="F973" s="7"/>
      <c r="G973" s="7"/>
      <c r="H973" t="s">
        <v>67</v>
      </c>
      <c r="I973" t="s">
        <v>26769</v>
      </c>
      <c r="J973" t="s">
        <v>69</v>
      </c>
      <c r="K973" t="s">
        <v>69</v>
      </c>
      <c r="L973" t="s">
        <v>69</v>
      </c>
      <c r="M973" t="s">
        <v>26770</v>
      </c>
      <c r="N973" t="s">
        <v>69</v>
      </c>
      <c r="O973" t="s">
        <v>69</v>
      </c>
      <c r="P973" t="s">
        <v>26771</v>
      </c>
      <c r="Q973" t="s">
        <v>26772</v>
      </c>
      <c r="R973" t="s">
        <v>69</v>
      </c>
      <c r="S973" t="s">
        <v>69</v>
      </c>
      <c r="T973" t="s">
        <v>8505</v>
      </c>
      <c r="U973" t="s">
        <v>8506</v>
      </c>
      <c r="V973" t="s">
        <v>69</v>
      </c>
      <c r="W973" t="s">
        <v>69</v>
      </c>
      <c r="X973" t="s">
        <v>69</v>
      </c>
      <c r="Y973" t="s">
        <v>69</v>
      </c>
      <c r="Z973" t="s">
        <v>69</v>
      </c>
      <c r="AA973" t="s">
        <v>26773</v>
      </c>
      <c r="AB973" t="s">
        <v>26774</v>
      </c>
      <c r="AC973" t="s">
        <v>26775</v>
      </c>
      <c r="AD973" t="s">
        <v>26776</v>
      </c>
      <c r="AE973" t="s">
        <v>69</v>
      </c>
      <c r="AF973" t="s">
        <v>26777</v>
      </c>
      <c r="AG973" t="s">
        <v>26778</v>
      </c>
      <c r="AH973" t="s">
        <v>26779</v>
      </c>
      <c r="AI973" t="s">
        <v>26780</v>
      </c>
      <c r="AJ973" t="s">
        <v>69</v>
      </c>
      <c r="AK973" t="s">
        <v>69</v>
      </c>
      <c r="AL973" t="s">
        <v>69</v>
      </c>
      <c r="AM973" t="s">
        <v>69</v>
      </c>
      <c r="AN973">
        <v>21</v>
      </c>
      <c r="AO973">
        <v>3</v>
      </c>
      <c r="AP973">
        <v>3</v>
      </c>
      <c r="AQ973">
        <v>0</v>
      </c>
      <c r="AR973">
        <v>8</v>
      </c>
      <c r="AS973" t="s">
        <v>26781</v>
      </c>
      <c r="AT973" t="s">
        <v>26782</v>
      </c>
      <c r="AU973" t="s">
        <v>26783</v>
      </c>
      <c r="AV973" t="s">
        <v>26784</v>
      </c>
      <c r="AW973" t="s">
        <v>69</v>
      </c>
      <c r="AX973" t="s">
        <v>69</v>
      </c>
      <c r="AY973" t="s">
        <v>26785</v>
      </c>
      <c r="AZ973" t="s">
        <v>26786</v>
      </c>
      <c r="BA973" t="s">
        <v>255</v>
      </c>
      <c r="BB973">
        <v>2011</v>
      </c>
      <c r="BC973">
        <v>28</v>
      </c>
      <c r="BD973">
        <v>3</v>
      </c>
      <c r="BE973" t="s">
        <v>69</v>
      </c>
      <c r="BF973" t="s">
        <v>69</v>
      </c>
      <c r="BG973" t="s">
        <v>69</v>
      </c>
      <c r="BH973" t="s">
        <v>69</v>
      </c>
      <c r="BI973">
        <v>243</v>
      </c>
      <c r="BJ973">
        <v>247</v>
      </c>
      <c r="BK973" t="s">
        <v>69</v>
      </c>
      <c r="BL973" t="s">
        <v>26787</v>
      </c>
      <c r="BM973" t="str">
        <f>HYPERLINK("http://dx.doi.org/10.1922/CDH_2555Sivaneswaran05","http://dx.doi.org/10.1922/CDH_2555Sivaneswaran05")</f>
        <v>http://dx.doi.org/10.1922/CDH_2555Sivaneswaran05</v>
      </c>
      <c r="BN973" t="s">
        <v>69</v>
      </c>
      <c r="BO973" t="s">
        <v>69</v>
      </c>
      <c r="BP973">
        <v>5</v>
      </c>
      <c r="BQ973" t="s">
        <v>17390</v>
      </c>
      <c r="BR973" t="s">
        <v>8523</v>
      </c>
      <c r="BS973" t="s">
        <v>17390</v>
      </c>
      <c r="BT973" t="s">
        <v>26788</v>
      </c>
      <c r="BU973" t="s">
        <v>26789</v>
      </c>
      <c r="BV973">
        <v>21916362</v>
      </c>
      <c r="BW973" t="s">
        <v>69</v>
      </c>
      <c r="BX973" t="s">
        <v>69</v>
      </c>
      <c r="BY973" t="s">
        <v>69</v>
      </c>
      <c r="BZ973" t="s">
        <v>8526</v>
      </c>
      <c r="CA973" t="str">
        <f>HYPERLINK("https%3A%2F%2Fwww.webofscience.com%2Fwos%2Fwoscc%2Ffull-record%2FWOS:000297933700012","View Full Record in Web of Science")</f>
        <v>View Full Record in Web of Science</v>
      </c>
    </row>
    <row r="974" spans="2:79" x14ac:dyDescent="0.3">
      <c r="B974" t="s">
        <v>8495</v>
      </c>
      <c r="D974" s="9" t="s">
        <v>32954</v>
      </c>
      <c r="E974" s="9" t="s">
        <v>33137</v>
      </c>
      <c r="F974" s="9" t="s">
        <v>8491</v>
      </c>
      <c r="G974" s="9" t="s">
        <v>8490</v>
      </c>
      <c r="H974" t="s">
        <v>67</v>
      </c>
      <c r="I974" t="s">
        <v>9564</v>
      </c>
      <c r="J974" t="s">
        <v>69</v>
      </c>
      <c r="K974" t="s">
        <v>69</v>
      </c>
      <c r="L974" t="s">
        <v>69</v>
      </c>
      <c r="M974" t="s">
        <v>9565</v>
      </c>
      <c r="N974" t="s">
        <v>69</v>
      </c>
      <c r="O974" t="s">
        <v>69</v>
      </c>
      <c r="P974" t="s">
        <v>9566</v>
      </c>
      <c r="Q974" t="s">
        <v>9567</v>
      </c>
      <c r="R974" t="s">
        <v>69</v>
      </c>
      <c r="S974" t="s">
        <v>69</v>
      </c>
      <c r="T974" t="s">
        <v>8505</v>
      </c>
      <c r="U974" t="s">
        <v>8506</v>
      </c>
      <c r="V974" t="s">
        <v>69</v>
      </c>
      <c r="W974" t="s">
        <v>69</v>
      </c>
      <c r="X974" t="s">
        <v>69</v>
      </c>
      <c r="Y974" t="s">
        <v>69</v>
      </c>
      <c r="Z974" t="s">
        <v>69</v>
      </c>
      <c r="AA974" t="s">
        <v>69</v>
      </c>
      <c r="AB974" t="s">
        <v>9568</v>
      </c>
      <c r="AC974" t="s">
        <v>9569</v>
      </c>
      <c r="AD974" t="s">
        <v>9570</v>
      </c>
      <c r="AE974" t="s">
        <v>69</v>
      </c>
      <c r="AF974" t="s">
        <v>9571</v>
      </c>
      <c r="AG974" t="s">
        <v>9572</v>
      </c>
      <c r="AH974" t="s">
        <v>9573</v>
      </c>
      <c r="AI974" t="s">
        <v>9574</v>
      </c>
      <c r="AJ974" t="s">
        <v>9575</v>
      </c>
      <c r="AK974" t="s">
        <v>9575</v>
      </c>
      <c r="AL974" t="s">
        <v>9576</v>
      </c>
      <c r="AM974" t="s">
        <v>69</v>
      </c>
      <c r="AN974">
        <v>123</v>
      </c>
      <c r="AO974">
        <v>1</v>
      </c>
      <c r="AP974">
        <v>1</v>
      </c>
      <c r="AQ974">
        <v>4</v>
      </c>
      <c r="AR974">
        <v>4</v>
      </c>
      <c r="AS974" t="s">
        <v>9577</v>
      </c>
      <c r="AT974" t="s">
        <v>9578</v>
      </c>
      <c r="AU974" t="s">
        <v>9579</v>
      </c>
      <c r="AV974" t="s">
        <v>9580</v>
      </c>
      <c r="AW974" t="s">
        <v>9581</v>
      </c>
      <c r="AX974" t="s">
        <v>69</v>
      </c>
      <c r="AY974" t="s">
        <v>9582</v>
      </c>
      <c r="AZ974" t="s">
        <v>9583</v>
      </c>
      <c r="BA974" t="s">
        <v>9584</v>
      </c>
      <c r="BB974">
        <v>2022</v>
      </c>
      <c r="BC974">
        <v>22</v>
      </c>
      <c r="BD974">
        <v>3</v>
      </c>
      <c r="BE974" t="s">
        <v>69</v>
      </c>
      <c r="BF974" t="s">
        <v>69</v>
      </c>
      <c r="BG974" t="s">
        <v>69</v>
      </c>
      <c r="BH974" t="s">
        <v>69</v>
      </c>
      <c r="BI974">
        <v>795</v>
      </c>
      <c r="BJ974">
        <v>812</v>
      </c>
      <c r="BK974" t="s">
        <v>69</v>
      </c>
      <c r="BL974" t="s">
        <v>9585</v>
      </c>
      <c r="BM974" t="str">
        <f>HYPERLINK("http://dx.doi.org/10.5194/nhess-22-795-2022","http://dx.doi.org/10.5194/nhess-22-795-2022")</f>
        <v>http://dx.doi.org/10.5194/nhess-22-795-2022</v>
      </c>
      <c r="BN974" t="s">
        <v>69</v>
      </c>
      <c r="BO974" t="s">
        <v>69</v>
      </c>
      <c r="BP974">
        <v>18</v>
      </c>
      <c r="BQ974" t="s">
        <v>9586</v>
      </c>
      <c r="BR974" t="s">
        <v>8548</v>
      </c>
      <c r="BS974" t="s">
        <v>9587</v>
      </c>
      <c r="BT974" t="s">
        <v>9588</v>
      </c>
      <c r="BU974" t="s">
        <v>9590</v>
      </c>
      <c r="BV974" t="s">
        <v>69</v>
      </c>
      <c r="BW974" t="s">
        <v>9589</v>
      </c>
      <c r="BX974" t="s">
        <v>69</v>
      </c>
      <c r="BY974" t="s">
        <v>69</v>
      </c>
      <c r="BZ974" t="s">
        <v>8526</v>
      </c>
      <c r="CA974" t="str">
        <f>HYPERLINK("https%3A%2F%2Fwww.webofscience.com%2Fwos%2Fwoscc%2Ffull-record%2FWOS:000768718100001","View Full Record in Web of Science")</f>
        <v>View Full Record in Web of Science</v>
      </c>
    </row>
    <row r="975" spans="2:79" ht="12.5" x14ac:dyDescent="0.25">
      <c r="B975" t="s">
        <v>8495</v>
      </c>
      <c r="D975" s="7" t="s">
        <v>32933</v>
      </c>
      <c r="E975" s="7"/>
      <c r="F975" s="7"/>
      <c r="G975" s="7"/>
      <c r="H975" t="s">
        <v>67</v>
      </c>
      <c r="I975" t="s">
        <v>265</v>
      </c>
      <c r="J975" t="s">
        <v>69</v>
      </c>
      <c r="K975" t="s">
        <v>69</v>
      </c>
      <c r="L975" t="s">
        <v>69</v>
      </c>
      <c r="M975" t="s">
        <v>266</v>
      </c>
      <c r="N975" t="s">
        <v>69</v>
      </c>
      <c r="O975" t="s">
        <v>69</v>
      </c>
      <c r="P975" t="s">
        <v>267</v>
      </c>
      <c r="Q975" t="s">
        <v>268</v>
      </c>
      <c r="R975" t="s">
        <v>69</v>
      </c>
      <c r="S975" t="s">
        <v>69</v>
      </c>
      <c r="T975" t="s">
        <v>8505</v>
      </c>
      <c r="U975" t="s">
        <v>8506</v>
      </c>
      <c r="V975" t="s">
        <v>69</v>
      </c>
      <c r="W975" t="s">
        <v>69</v>
      </c>
      <c r="X975" t="s">
        <v>69</v>
      </c>
      <c r="Y975" t="s">
        <v>69</v>
      </c>
      <c r="Z975" t="s">
        <v>69</v>
      </c>
      <c r="AA975" t="s">
        <v>24549</v>
      </c>
      <c r="AB975" t="s">
        <v>24550</v>
      </c>
      <c r="AC975" t="s">
        <v>269</v>
      </c>
      <c r="AD975" t="s">
        <v>24551</v>
      </c>
      <c r="AE975" t="s">
        <v>69</v>
      </c>
      <c r="AF975" t="s">
        <v>24552</v>
      </c>
      <c r="AG975" t="s">
        <v>24553</v>
      </c>
      <c r="AH975" t="s">
        <v>270</v>
      </c>
      <c r="AI975" t="s">
        <v>271</v>
      </c>
      <c r="AJ975" t="s">
        <v>69</v>
      </c>
      <c r="AK975" t="s">
        <v>69</v>
      </c>
      <c r="AL975" t="s">
        <v>69</v>
      </c>
      <c r="AM975" t="s">
        <v>69</v>
      </c>
      <c r="AN975">
        <v>40</v>
      </c>
      <c r="AO975">
        <v>29</v>
      </c>
      <c r="AP975">
        <v>31</v>
      </c>
      <c r="AQ975">
        <v>3</v>
      </c>
      <c r="AR975">
        <v>87</v>
      </c>
      <c r="AS975" t="s">
        <v>10352</v>
      </c>
      <c r="AT975" t="s">
        <v>8637</v>
      </c>
      <c r="AU975" t="s">
        <v>10353</v>
      </c>
      <c r="AV975" t="s">
        <v>272</v>
      </c>
      <c r="AW975" t="s">
        <v>273</v>
      </c>
      <c r="AX975" t="s">
        <v>69</v>
      </c>
      <c r="AY975" t="s">
        <v>268</v>
      </c>
      <c r="AZ975" t="s">
        <v>24554</v>
      </c>
      <c r="BA975" t="s">
        <v>274</v>
      </c>
      <c r="BB975">
        <v>2013</v>
      </c>
      <c r="BC975">
        <v>63</v>
      </c>
      <c r="BD975">
        <v>11</v>
      </c>
      <c r="BE975" t="s">
        <v>69</v>
      </c>
      <c r="BF975" t="s">
        <v>69</v>
      </c>
      <c r="BG975" t="s">
        <v>69</v>
      </c>
      <c r="BH975" t="s">
        <v>69</v>
      </c>
      <c r="BI975">
        <v>882</v>
      </c>
      <c r="BJ975">
        <v>890</v>
      </c>
      <c r="BK975" t="s">
        <v>69</v>
      </c>
      <c r="BL975" t="s">
        <v>275</v>
      </c>
      <c r="BM975" t="str">
        <f>HYPERLINK("http://dx.doi.org/10.1525/bio.2013.63.11.7","http://dx.doi.org/10.1525/bio.2013.63.11.7")</f>
        <v>http://dx.doi.org/10.1525/bio.2013.63.11.7</v>
      </c>
      <c r="BN975" t="s">
        <v>69</v>
      </c>
      <c r="BO975" t="s">
        <v>69</v>
      </c>
      <c r="BP975">
        <v>9</v>
      </c>
      <c r="BQ975" t="s">
        <v>24555</v>
      </c>
      <c r="BR975" t="s">
        <v>8548</v>
      </c>
      <c r="BS975" t="s">
        <v>24556</v>
      </c>
      <c r="BT975" t="s">
        <v>24557</v>
      </c>
      <c r="BU975" t="s">
        <v>276</v>
      </c>
      <c r="BV975" t="s">
        <v>69</v>
      </c>
      <c r="BW975" t="s">
        <v>9374</v>
      </c>
      <c r="BX975" t="s">
        <v>69</v>
      </c>
      <c r="BY975" t="s">
        <v>69</v>
      </c>
      <c r="BZ975" t="s">
        <v>8526</v>
      </c>
      <c r="CA975" t="str">
        <f>HYPERLINK("https%3A%2F%2Fwww.webofscience.com%2Fwos%2Fwoscc%2Ffull-record%2FWOS:000327417700007","View Full Record in Web of Science")</f>
        <v>View Full Record in Web of Science</v>
      </c>
    </row>
    <row r="976" spans="2:79" ht="12.5" x14ac:dyDescent="0.25">
      <c r="B976" t="s">
        <v>8495</v>
      </c>
      <c r="D976" s="7" t="s">
        <v>32933</v>
      </c>
      <c r="E976" s="7"/>
      <c r="F976" s="7"/>
      <c r="G976" s="7"/>
      <c r="H976" t="s">
        <v>67</v>
      </c>
      <c r="I976" t="s">
        <v>158</v>
      </c>
      <c r="J976" t="s">
        <v>69</v>
      </c>
      <c r="K976" t="s">
        <v>69</v>
      </c>
      <c r="L976" t="s">
        <v>69</v>
      </c>
      <c r="M976" t="s">
        <v>158</v>
      </c>
      <c r="N976" t="s">
        <v>69</v>
      </c>
      <c r="O976" t="s">
        <v>69</v>
      </c>
      <c r="P976" s="3" t="s">
        <v>159</v>
      </c>
      <c r="Q976" t="s">
        <v>160</v>
      </c>
      <c r="R976" t="s">
        <v>69</v>
      </c>
      <c r="S976" t="s">
        <v>69</v>
      </c>
      <c r="T976" t="s">
        <v>8505</v>
      </c>
      <c r="U976" t="s">
        <v>8506</v>
      </c>
      <c r="V976" t="s">
        <v>69</v>
      </c>
      <c r="W976" t="s">
        <v>69</v>
      </c>
      <c r="X976" t="s">
        <v>69</v>
      </c>
      <c r="Y976" t="s">
        <v>69</v>
      </c>
      <c r="Z976" t="s">
        <v>69</v>
      </c>
      <c r="AA976" t="s">
        <v>69</v>
      </c>
      <c r="AB976" t="s">
        <v>69</v>
      </c>
      <c r="AC976" t="s">
        <v>161</v>
      </c>
      <c r="AD976" t="s">
        <v>69</v>
      </c>
      <c r="AE976" t="s">
        <v>69</v>
      </c>
      <c r="AF976" t="s">
        <v>69</v>
      </c>
      <c r="AG976" t="s">
        <v>69</v>
      </c>
      <c r="AH976" t="s">
        <v>69</v>
      </c>
      <c r="AI976" t="s">
        <v>69</v>
      </c>
      <c r="AJ976" t="s">
        <v>69</v>
      </c>
      <c r="AK976" t="s">
        <v>69</v>
      </c>
      <c r="AL976" t="s">
        <v>69</v>
      </c>
      <c r="AM976" t="s">
        <v>69</v>
      </c>
      <c r="AN976">
        <v>11</v>
      </c>
      <c r="AO976">
        <v>1</v>
      </c>
      <c r="AP976">
        <v>1</v>
      </c>
      <c r="AQ976">
        <v>0</v>
      </c>
      <c r="AR976">
        <v>0</v>
      </c>
      <c r="AS976" t="s">
        <v>31953</v>
      </c>
      <c r="AT976" t="s">
        <v>31954</v>
      </c>
      <c r="AU976" t="s">
        <v>31955</v>
      </c>
      <c r="AV976" t="s">
        <v>162</v>
      </c>
      <c r="AW976" t="s">
        <v>163</v>
      </c>
      <c r="AX976" t="s">
        <v>69</v>
      </c>
      <c r="AY976" t="s">
        <v>31956</v>
      </c>
      <c r="AZ976" t="s">
        <v>31957</v>
      </c>
      <c r="BA976" t="s">
        <v>164</v>
      </c>
      <c r="BB976">
        <v>1999</v>
      </c>
      <c r="BC976">
        <v>34</v>
      </c>
      <c r="BD976">
        <v>26</v>
      </c>
      <c r="BE976" t="s">
        <v>69</v>
      </c>
      <c r="BF976" t="s">
        <v>69</v>
      </c>
      <c r="BG976" t="s">
        <v>69</v>
      </c>
      <c r="BH976" t="s">
        <v>69</v>
      </c>
      <c r="BI976" t="s">
        <v>165</v>
      </c>
      <c r="BJ976" t="s">
        <v>166</v>
      </c>
      <c r="BK976" t="s">
        <v>69</v>
      </c>
      <c r="BL976" t="s">
        <v>69</v>
      </c>
      <c r="BM976" t="s">
        <v>69</v>
      </c>
      <c r="BN976" t="s">
        <v>69</v>
      </c>
      <c r="BO976" t="s">
        <v>69</v>
      </c>
      <c r="BP976">
        <v>7</v>
      </c>
      <c r="BQ976" t="s">
        <v>31958</v>
      </c>
      <c r="BR976" t="s">
        <v>8661</v>
      </c>
      <c r="BS976" t="s">
        <v>31959</v>
      </c>
      <c r="BT976" t="s">
        <v>31960</v>
      </c>
      <c r="BU976" t="s">
        <v>167</v>
      </c>
      <c r="BV976" t="s">
        <v>69</v>
      </c>
      <c r="BW976" t="s">
        <v>69</v>
      </c>
      <c r="BX976" t="s">
        <v>69</v>
      </c>
      <c r="BY976" t="s">
        <v>69</v>
      </c>
      <c r="BZ976" t="s">
        <v>8526</v>
      </c>
      <c r="CA976" t="str">
        <f>HYPERLINK("https%3A%2F%2Fwww.webofscience.com%2Fwos%2Fwoscc%2Ffull-record%2FWOS:000081660100016","View Full Record in Web of Science")</f>
        <v>View Full Record in Web of Science</v>
      </c>
    </row>
    <row r="977" spans="1:79" x14ac:dyDescent="0.3">
      <c r="A977" t="s">
        <v>8408</v>
      </c>
      <c r="B977" t="s">
        <v>8495</v>
      </c>
      <c r="D977" s="10" t="s">
        <v>33182</v>
      </c>
      <c r="F977" s="10" t="s">
        <v>8490</v>
      </c>
      <c r="H977" t="s">
        <v>67</v>
      </c>
      <c r="I977" t="s">
        <v>3196</v>
      </c>
      <c r="J977" t="s">
        <v>69</v>
      </c>
      <c r="K977" t="s">
        <v>69</v>
      </c>
      <c r="L977" t="s">
        <v>69</v>
      </c>
      <c r="M977" t="s">
        <v>3197</v>
      </c>
      <c r="N977" t="s">
        <v>69</v>
      </c>
      <c r="O977" t="s">
        <v>69</v>
      </c>
      <c r="P977" s="6" t="s">
        <v>3198</v>
      </c>
      <c r="Q977" t="s">
        <v>3199</v>
      </c>
      <c r="R977" t="s">
        <v>69</v>
      </c>
      <c r="S977" t="s">
        <v>69</v>
      </c>
      <c r="T977" t="s">
        <v>8505</v>
      </c>
      <c r="U977" t="s">
        <v>8506</v>
      </c>
      <c r="V977" t="s">
        <v>69</v>
      </c>
      <c r="W977" t="s">
        <v>69</v>
      </c>
      <c r="X977" t="s">
        <v>69</v>
      </c>
      <c r="Y977" t="s">
        <v>69</v>
      </c>
      <c r="Z977" t="s">
        <v>69</v>
      </c>
      <c r="AA977" t="s">
        <v>23837</v>
      </c>
      <c r="AB977" t="s">
        <v>23838</v>
      </c>
      <c r="AC977" t="s">
        <v>3200</v>
      </c>
      <c r="AD977" t="s">
        <v>23839</v>
      </c>
      <c r="AE977" t="s">
        <v>69</v>
      </c>
      <c r="AF977" t="s">
        <v>23840</v>
      </c>
      <c r="AG977" t="s">
        <v>23841</v>
      </c>
      <c r="AH977" t="s">
        <v>23842</v>
      </c>
      <c r="AI977" t="s">
        <v>23843</v>
      </c>
      <c r="AJ977" t="s">
        <v>69</v>
      </c>
      <c r="AK977" t="s">
        <v>69</v>
      </c>
      <c r="AL977" t="s">
        <v>69</v>
      </c>
      <c r="AM977" t="s">
        <v>69</v>
      </c>
      <c r="AN977">
        <v>106</v>
      </c>
      <c r="AO977">
        <v>39</v>
      </c>
      <c r="AP977">
        <v>41</v>
      </c>
      <c r="AQ977">
        <v>0</v>
      </c>
      <c r="AR977">
        <v>10</v>
      </c>
      <c r="AS977" t="s">
        <v>8636</v>
      </c>
      <c r="AT977" t="s">
        <v>8637</v>
      </c>
      <c r="AU977" t="s">
        <v>8638</v>
      </c>
      <c r="AV977" t="s">
        <v>3201</v>
      </c>
      <c r="AW977" t="s">
        <v>3202</v>
      </c>
      <c r="AX977" t="s">
        <v>69</v>
      </c>
      <c r="AY977" t="s">
        <v>14078</v>
      </c>
      <c r="AZ977" t="s">
        <v>14079</v>
      </c>
      <c r="BA977" t="s">
        <v>586</v>
      </c>
      <c r="BB977">
        <v>2014</v>
      </c>
      <c r="BC977">
        <v>40</v>
      </c>
      <c r="BD977" t="s">
        <v>69</v>
      </c>
      <c r="BE977" t="s">
        <v>69</v>
      </c>
      <c r="BF977" t="s">
        <v>69</v>
      </c>
      <c r="BG977" t="s">
        <v>69</v>
      </c>
      <c r="BH977" t="s">
        <v>69</v>
      </c>
      <c r="BI977">
        <v>1</v>
      </c>
      <c r="BJ977">
        <v>12</v>
      </c>
      <c r="BK977" t="s">
        <v>69</v>
      </c>
      <c r="BL977" t="s">
        <v>3203</v>
      </c>
      <c r="BM977" t="str">
        <f>HYPERLINK("http://dx.doi.org/10.1016/j.polgeo.2014.02.001","http://dx.doi.org/10.1016/j.polgeo.2014.02.001")</f>
        <v>http://dx.doi.org/10.1016/j.polgeo.2014.02.001</v>
      </c>
      <c r="BN977" t="s">
        <v>69</v>
      </c>
      <c r="BO977" t="s">
        <v>69</v>
      </c>
      <c r="BP977">
        <v>12</v>
      </c>
      <c r="BQ977" t="s">
        <v>14081</v>
      </c>
      <c r="BR977" t="s">
        <v>8661</v>
      </c>
      <c r="BS977" t="s">
        <v>14082</v>
      </c>
      <c r="BT977" t="s">
        <v>23844</v>
      </c>
      <c r="BU977" t="s">
        <v>3204</v>
      </c>
      <c r="BV977" t="s">
        <v>69</v>
      </c>
      <c r="BW977" t="s">
        <v>10423</v>
      </c>
      <c r="BX977" t="s">
        <v>69</v>
      </c>
      <c r="BY977" t="s">
        <v>69</v>
      </c>
      <c r="BZ977" t="s">
        <v>8526</v>
      </c>
      <c r="CA977" t="str">
        <f>HYPERLINK("https%3A%2F%2Fwww.webofscience.com%2Fwos%2Fwoscc%2Ffull-record%2FWOS:000335806000001","View Full Record in Web of Science")</f>
        <v>View Full Record in Web of Science</v>
      </c>
    </row>
    <row r="978" spans="1:79" ht="12.5" x14ac:dyDescent="0.25">
      <c r="B978" t="s">
        <v>8495</v>
      </c>
      <c r="D978" s="7" t="s">
        <v>32933</v>
      </c>
      <c r="E978" s="7"/>
      <c r="F978" s="7"/>
      <c r="G978" s="7"/>
      <c r="H978" t="s">
        <v>67</v>
      </c>
      <c r="I978" t="s">
        <v>6434</v>
      </c>
      <c r="J978" t="s">
        <v>69</v>
      </c>
      <c r="K978" t="s">
        <v>69</v>
      </c>
      <c r="L978" t="s">
        <v>69</v>
      </c>
      <c r="M978" t="s">
        <v>6435</v>
      </c>
      <c r="N978" t="s">
        <v>69</v>
      </c>
      <c r="O978" t="s">
        <v>69</v>
      </c>
      <c r="P978" t="s">
        <v>6436</v>
      </c>
      <c r="Q978" t="s">
        <v>6437</v>
      </c>
      <c r="R978" t="s">
        <v>69</v>
      </c>
      <c r="S978" t="s">
        <v>69</v>
      </c>
      <c r="T978" t="s">
        <v>8505</v>
      </c>
      <c r="U978" t="s">
        <v>8442</v>
      </c>
      <c r="V978" t="s">
        <v>69</v>
      </c>
      <c r="W978" t="s">
        <v>69</v>
      </c>
      <c r="X978" t="s">
        <v>69</v>
      </c>
      <c r="Y978" t="s">
        <v>69</v>
      </c>
      <c r="Z978" t="s">
        <v>69</v>
      </c>
      <c r="AA978" t="s">
        <v>24653</v>
      </c>
      <c r="AB978" t="s">
        <v>24654</v>
      </c>
      <c r="AC978" t="s">
        <v>6438</v>
      </c>
      <c r="AD978" t="s">
        <v>24655</v>
      </c>
      <c r="AE978" t="s">
        <v>69</v>
      </c>
      <c r="AF978" t="s">
        <v>24656</v>
      </c>
      <c r="AG978" t="s">
        <v>24657</v>
      </c>
      <c r="AH978" t="s">
        <v>24658</v>
      </c>
      <c r="AI978" t="s">
        <v>24659</v>
      </c>
      <c r="AJ978" t="s">
        <v>24660</v>
      </c>
      <c r="AK978" t="s">
        <v>24661</v>
      </c>
      <c r="AL978" t="s">
        <v>24662</v>
      </c>
      <c r="AM978" t="s">
        <v>69</v>
      </c>
      <c r="AN978">
        <v>144</v>
      </c>
      <c r="AO978">
        <v>204</v>
      </c>
      <c r="AP978">
        <v>206</v>
      </c>
      <c r="AQ978">
        <v>18</v>
      </c>
      <c r="AR978">
        <v>491</v>
      </c>
      <c r="AS978" t="s">
        <v>9145</v>
      </c>
      <c r="AT978" t="s">
        <v>8637</v>
      </c>
      <c r="AU978" t="s">
        <v>9146</v>
      </c>
      <c r="AV978" t="s">
        <v>6439</v>
      </c>
      <c r="AW978" t="s">
        <v>10683</v>
      </c>
      <c r="AX978" t="s">
        <v>69</v>
      </c>
      <c r="AY978" t="s">
        <v>10684</v>
      </c>
      <c r="AZ978" t="s">
        <v>10685</v>
      </c>
      <c r="BA978" t="s">
        <v>2982</v>
      </c>
      <c r="BB978">
        <v>2013</v>
      </c>
      <c r="BC978">
        <v>47</v>
      </c>
      <c r="BD978">
        <v>16</v>
      </c>
      <c r="BE978" t="s">
        <v>69</v>
      </c>
      <c r="BF978" t="s">
        <v>69</v>
      </c>
      <c r="BG978" t="s">
        <v>69</v>
      </c>
      <c r="BH978" t="s">
        <v>69</v>
      </c>
      <c r="BI978">
        <v>5955</v>
      </c>
      <c r="BJ978">
        <v>5976</v>
      </c>
      <c r="BK978" t="s">
        <v>69</v>
      </c>
      <c r="BL978" t="s">
        <v>6440</v>
      </c>
      <c r="BM978" t="str">
        <f>HYPERLINK("http://dx.doi.org/10.1016/j.watres.2013.07.015","http://dx.doi.org/10.1016/j.watres.2013.07.015")</f>
        <v>http://dx.doi.org/10.1016/j.watres.2013.07.015</v>
      </c>
      <c r="BN978" t="s">
        <v>69</v>
      </c>
      <c r="BO978" t="s">
        <v>69</v>
      </c>
      <c r="BP978">
        <v>22</v>
      </c>
      <c r="BQ978" t="s">
        <v>10687</v>
      </c>
      <c r="BR978" t="s">
        <v>8548</v>
      </c>
      <c r="BS978" t="s">
        <v>10688</v>
      </c>
      <c r="BT978" t="s">
        <v>24663</v>
      </c>
      <c r="BU978" t="s">
        <v>6441</v>
      </c>
      <c r="BV978">
        <v>24053940</v>
      </c>
      <c r="BW978" t="s">
        <v>69</v>
      </c>
      <c r="BX978" t="s">
        <v>69</v>
      </c>
      <c r="BY978" t="s">
        <v>69</v>
      </c>
      <c r="BZ978" t="s">
        <v>8526</v>
      </c>
      <c r="CA978" t="str">
        <f>HYPERLINK("https%3A%2F%2Fwww.webofscience.com%2Fwos%2Fwoscc%2Ffull-record%2FWOS:000326910000001","View Full Record in Web of Science")</f>
        <v>View Full Record in Web of Science</v>
      </c>
    </row>
    <row r="979" spans="1:79" ht="12.5" x14ac:dyDescent="0.25">
      <c r="B979" t="s">
        <v>8495</v>
      </c>
      <c r="D979" s="22" t="s">
        <v>32931</v>
      </c>
      <c r="E979" s="7"/>
      <c r="F979" s="7"/>
      <c r="G979" s="7"/>
      <c r="H979" t="s">
        <v>67</v>
      </c>
      <c r="I979" t="s">
        <v>11421</v>
      </c>
      <c r="J979" t="s">
        <v>69</v>
      </c>
      <c r="K979" t="s">
        <v>69</v>
      </c>
      <c r="L979" t="s">
        <v>69</v>
      </c>
      <c r="M979" t="s">
        <v>11422</v>
      </c>
      <c r="N979" t="s">
        <v>69</v>
      </c>
      <c r="O979" t="s">
        <v>69</v>
      </c>
      <c r="P979" t="s">
        <v>11423</v>
      </c>
      <c r="Q979" t="s">
        <v>4739</v>
      </c>
      <c r="R979" t="s">
        <v>69</v>
      </c>
      <c r="S979" t="s">
        <v>69</v>
      </c>
      <c r="T979" t="s">
        <v>8505</v>
      </c>
      <c r="U979" t="s">
        <v>8506</v>
      </c>
      <c r="V979" t="s">
        <v>69</v>
      </c>
      <c r="W979" t="s">
        <v>69</v>
      </c>
      <c r="X979" t="s">
        <v>69</v>
      </c>
      <c r="Y979" t="s">
        <v>69</v>
      </c>
      <c r="Z979" t="s">
        <v>69</v>
      </c>
      <c r="AA979" t="s">
        <v>11424</v>
      </c>
      <c r="AB979" t="s">
        <v>11425</v>
      </c>
      <c r="AC979" t="s">
        <v>11426</v>
      </c>
      <c r="AD979" t="s">
        <v>11427</v>
      </c>
      <c r="AE979" t="s">
        <v>69</v>
      </c>
      <c r="AF979" t="s">
        <v>11428</v>
      </c>
      <c r="AG979" t="s">
        <v>11429</v>
      </c>
      <c r="AH979" t="s">
        <v>11430</v>
      </c>
      <c r="AI979" t="s">
        <v>11431</v>
      </c>
      <c r="AJ979" t="s">
        <v>11432</v>
      </c>
      <c r="AK979" t="s">
        <v>11433</v>
      </c>
      <c r="AL979" t="s">
        <v>11434</v>
      </c>
      <c r="AM979" t="s">
        <v>69</v>
      </c>
      <c r="AN979">
        <v>80</v>
      </c>
      <c r="AO979">
        <v>1</v>
      </c>
      <c r="AP979">
        <v>1</v>
      </c>
      <c r="AQ979">
        <v>4</v>
      </c>
      <c r="AR979">
        <v>5</v>
      </c>
      <c r="AS979" t="s">
        <v>8924</v>
      </c>
      <c r="AT979" t="s">
        <v>8925</v>
      </c>
      <c r="AU979" t="s">
        <v>8926</v>
      </c>
      <c r="AV979" t="s">
        <v>69</v>
      </c>
      <c r="AW979" t="s">
        <v>4741</v>
      </c>
      <c r="AX979" t="s">
        <v>69</v>
      </c>
      <c r="AY979" t="s">
        <v>11435</v>
      </c>
      <c r="AZ979" t="s">
        <v>8426</v>
      </c>
      <c r="BA979" t="s">
        <v>255</v>
      </c>
      <c r="BB979">
        <v>2021</v>
      </c>
      <c r="BC979">
        <v>13</v>
      </c>
      <c r="BD979">
        <v>18</v>
      </c>
      <c r="BE979" t="s">
        <v>69</v>
      </c>
      <c r="BF979" t="s">
        <v>69</v>
      </c>
      <c r="BG979" t="s">
        <v>69</v>
      </c>
      <c r="BH979" t="s">
        <v>69</v>
      </c>
      <c r="BI979" t="s">
        <v>69</v>
      </c>
      <c r="BJ979" t="s">
        <v>69</v>
      </c>
      <c r="BK979">
        <v>2519</v>
      </c>
      <c r="BL979" t="s">
        <v>11436</v>
      </c>
      <c r="BM979" t="str">
        <f>HYPERLINK("http://dx.doi.org/10.3390/w13182519","http://dx.doi.org/10.3390/w13182519")</f>
        <v>http://dx.doi.org/10.3390/w13182519</v>
      </c>
      <c r="BN979" t="s">
        <v>69</v>
      </c>
      <c r="BO979" t="s">
        <v>69</v>
      </c>
      <c r="BP979">
        <v>14</v>
      </c>
      <c r="BQ979" t="s">
        <v>11437</v>
      </c>
      <c r="BR979" t="s">
        <v>8523</v>
      </c>
      <c r="BS979" t="s">
        <v>11438</v>
      </c>
      <c r="BT979" t="s">
        <v>11439</v>
      </c>
      <c r="BU979" t="s">
        <v>11440</v>
      </c>
      <c r="BV979" t="s">
        <v>69</v>
      </c>
      <c r="BW979" t="s">
        <v>8931</v>
      </c>
      <c r="BX979" t="s">
        <v>69</v>
      </c>
      <c r="BY979" t="s">
        <v>69</v>
      </c>
      <c r="BZ979" t="s">
        <v>8526</v>
      </c>
      <c r="CA979" t="str">
        <f>HYPERLINK("https%3A%2F%2Fwww.webofscience.com%2Fwos%2Fwoscc%2Ffull-record%2FWOS:000700136700001","View Full Record in Web of Science")</f>
        <v>View Full Record in Web of Science</v>
      </c>
    </row>
    <row r="980" spans="1:79" ht="12.5" x14ac:dyDescent="0.25">
      <c r="B980" t="s">
        <v>8495</v>
      </c>
      <c r="D980" s="7" t="s">
        <v>32933</v>
      </c>
      <c r="E980" s="7"/>
      <c r="F980" s="7"/>
      <c r="G980" s="7"/>
      <c r="H980" t="s">
        <v>67</v>
      </c>
      <c r="I980" t="s">
        <v>7441</v>
      </c>
      <c r="J980" t="s">
        <v>69</v>
      </c>
      <c r="K980" t="s">
        <v>69</v>
      </c>
      <c r="L980" t="s">
        <v>69</v>
      </c>
      <c r="M980" t="s">
        <v>7442</v>
      </c>
      <c r="N980" t="s">
        <v>69</v>
      </c>
      <c r="O980" t="s">
        <v>69</v>
      </c>
      <c r="P980" t="s">
        <v>7443</v>
      </c>
      <c r="Q980" t="s">
        <v>7444</v>
      </c>
      <c r="R980" t="s">
        <v>69</v>
      </c>
      <c r="S980" t="s">
        <v>69</v>
      </c>
      <c r="T980" t="s">
        <v>8505</v>
      </c>
      <c r="U980" t="s">
        <v>8506</v>
      </c>
      <c r="V980" t="s">
        <v>69</v>
      </c>
      <c r="W980" t="s">
        <v>69</v>
      </c>
      <c r="X980" t="s">
        <v>69</v>
      </c>
      <c r="Y980" t="s">
        <v>69</v>
      </c>
      <c r="Z980" t="s">
        <v>69</v>
      </c>
      <c r="AA980" t="s">
        <v>23566</v>
      </c>
      <c r="AB980" t="s">
        <v>23567</v>
      </c>
      <c r="AC980" t="s">
        <v>7445</v>
      </c>
      <c r="AD980" t="s">
        <v>23568</v>
      </c>
      <c r="AE980" t="s">
        <v>69</v>
      </c>
      <c r="AF980" t="s">
        <v>23569</v>
      </c>
      <c r="AG980" t="s">
        <v>23570</v>
      </c>
      <c r="AH980" t="s">
        <v>7446</v>
      </c>
      <c r="AI980" t="s">
        <v>23571</v>
      </c>
      <c r="AJ980" t="s">
        <v>23572</v>
      </c>
      <c r="AK980" t="s">
        <v>23572</v>
      </c>
      <c r="AL980" t="s">
        <v>23573</v>
      </c>
      <c r="AM980" t="s">
        <v>69</v>
      </c>
      <c r="AN980">
        <v>63</v>
      </c>
      <c r="AO980">
        <v>20</v>
      </c>
      <c r="AP980">
        <v>22</v>
      </c>
      <c r="AQ980">
        <v>1</v>
      </c>
      <c r="AR980">
        <v>85</v>
      </c>
      <c r="AS980" t="s">
        <v>9047</v>
      </c>
      <c r="AT980" t="s">
        <v>9048</v>
      </c>
      <c r="AU980" t="s">
        <v>9049</v>
      </c>
      <c r="AV980" t="s">
        <v>7447</v>
      </c>
      <c r="AW980" t="s">
        <v>7448</v>
      </c>
      <c r="AX980" t="s">
        <v>69</v>
      </c>
      <c r="AY980" t="s">
        <v>23574</v>
      </c>
      <c r="AZ980" t="s">
        <v>23575</v>
      </c>
      <c r="BA980" t="s">
        <v>381</v>
      </c>
      <c r="BB980">
        <v>2014</v>
      </c>
      <c r="BC980">
        <v>29</v>
      </c>
      <c r="BD980">
        <v>8</v>
      </c>
      <c r="BE980" t="s">
        <v>69</v>
      </c>
      <c r="BF980" t="s">
        <v>69</v>
      </c>
      <c r="BG980" t="s">
        <v>69</v>
      </c>
      <c r="BH980" t="s">
        <v>69</v>
      </c>
      <c r="BI980">
        <v>1447</v>
      </c>
      <c r="BJ980">
        <v>1460</v>
      </c>
      <c r="BK980" t="s">
        <v>69</v>
      </c>
      <c r="BL980" t="s">
        <v>7449</v>
      </c>
      <c r="BM980" t="str">
        <f>HYPERLINK("http://dx.doi.org/10.1007/s10980-014-0021-3","http://dx.doi.org/10.1007/s10980-014-0021-3")</f>
        <v>http://dx.doi.org/10.1007/s10980-014-0021-3</v>
      </c>
      <c r="BN980" t="s">
        <v>69</v>
      </c>
      <c r="BO980" t="s">
        <v>69</v>
      </c>
      <c r="BP980">
        <v>14</v>
      </c>
      <c r="BQ980" t="s">
        <v>23576</v>
      </c>
      <c r="BR980" t="s">
        <v>8523</v>
      </c>
      <c r="BS980" t="s">
        <v>18851</v>
      </c>
      <c r="BT980" t="s">
        <v>23577</v>
      </c>
      <c r="BU980" t="s">
        <v>7450</v>
      </c>
      <c r="BV980" t="s">
        <v>69</v>
      </c>
      <c r="BW980" t="s">
        <v>69</v>
      </c>
      <c r="BX980" t="s">
        <v>69</v>
      </c>
      <c r="BY980" t="s">
        <v>69</v>
      </c>
      <c r="BZ980" t="s">
        <v>8526</v>
      </c>
      <c r="CA980" t="str">
        <f>HYPERLINK("https%3A%2F%2Fwww.webofscience.com%2Fwos%2Fwoscc%2Ffull-record%2FWOS:000342078600014","View Full Record in Web of Science")</f>
        <v>View Full Record in Web of Science</v>
      </c>
    </row>
    <row r="981" spans="1:79" ht="12.5" x14ac:dyDescent="0.25">
      <c r="B981" t="s">
        <v>8495</v>
      </c>
      <c r="D981" s="22" t="s">
        <v>32931</v>
      </c>
      <c r="E981" s="7"/>
      <c r="F981" s="7"/>
      <c r="G981" s="7"/>
      <c r="H981" t="s">
        <v>67</v>
      </c>
      <c r="I981" t="s">
        <v>9768</v>
      </c>
      <c r="J981" t="s">
        <v>69</v>
      </c>
      <c r="K981" t="s">
        <v>69</v>
      </c>
      <c r="L981" t="s">
        <v>69</v>
      </c>
      <c r="M981" t="s">
        <v>9769</v>
      </c>
      <c r="N981" t="s">
        <v>69</v>
      </c>
      <c r="O981" t="s">
        <v>69</v>
      </c>
      <c r="P981" t="s">
        <v>9770</v>
      </c>
      <c r="Q981" t="s">
        <v>9771</v>
      </c>
      <c r="R981" t="s">
        <v>69</v>
      </c>
      <c r="S981" t="s">
        <v>69</v>
      </c>
      <c r="T981" t="s">
        <v>8505</v>
      </c>
      <c r="U981" t="s">
        <v>8506</v>
      </c>
      <c r="V981" t="s">
        <v>69</v>
      </c>
      <c r="W981" t="s">
        <v>69</v>
      </c>
      <c r="X981" t="s">
        <v>69</v>
      </c>
      <c r="Y981" t="s">
        <v>69</v>
      </c>
      <c r="Z981" t="s">
        <v>69</v>
      </c>
      <c r="AA981" t="s">
        <v>9772</v>
      </c>
      <c r="AB981" t="s">
        <v>9773</v>
      </c>
      <c r="AC981" t="s">
        <v>9774</v>
      </c>
      <c r="AD981" t="s">
        <v>9775</v>
      </c>
      <c r="AE981" t="s">
        <v>69</v>
      </c>
      <c r="AF981" t="s">
        <v>9776</v>
      </c>
      <c r="AG981" t="s">
        <v>9777</v>
      </c>
      <c r="AH981" t="s">
        <v>69</v>
      </c>
      <c r="AI981" t="s">
        <v>69</v>
      </c>
      <c r="AJ981" t="s">
        <v>9778</v>
      </c>
      <c r="AK981" t="s">
        <v>9779</v>
      </c>
      <c r="AL981" t="s">
        <v>9780</v>
      </c>
      <c r="AM981" t="s">
        <v>69</v>
      </c>
      <c r="AN981">
        <v>80</v>
      </c>
      <c r="AO981">
        <v>0</v>
      </c>
      <c r="AP981">
        <v>0</v>
      </c>
      <c r="AQ981">
        <v>0</v>
      </c>
      <c r="AR981">
        <v>0</v>
      </c>
      <c r="AS981" t="s">
        <v>8516</v>
      </c>
      <c r="AT981" t="s">
        <v>8517</v>
      </c>
      <c r="AU981" t="s">
        <v>8518</v>
      </c>
      <c r="AV981" t="s">
        <v>69</v>
      </c>
      <c r="AW981" t="s">
        <v>9781</v>
      </c>
      <c r="AX981" t="s">
        <v>69</v>
      </c>
      <c r="AY981" t="s">
        <v>9782</v>
      </c>
      <c r="AZ981" t="s">
        <v>9783</v>
      </c>
      <c r="BA981" t="s">
        <v>94</v>
      </c>
      <c r="BB981">
        <v>2022</v>
      </c>
      <c r="BC981">
        <v>7</v>
      </c>
      <c r="BD981" t="s">
        <v>69</v>
      </c>
      <c r="BE981" t="s">
        <v>69</v>
      </c>
      <c r="BF981" t="s">
        <v>69</v>
      </c>
      <c r="BG981" t="s">
        <v>69</v>
      </c>
      <c r="BH981" t="s">
        <v>69</v>
      </c>
      <c r="BI981" t="s">
        <v>69</v>
      </c>
      <c r="BJ981" t="s">
        <v>69</v>
      </c>
      <c r="BK981">
        <v>100197</v>
      </c>
      <c r="BL981" t="s">
        <v>9784</v>
      </c>
      <c r="BM981" t="str">
        <f>HYPERLINK("http://dx.doi.org/10.1016/j.tfp.2022.100197","http://dx.doi.org/10.1016/j.tfp.2022.100197")</f>
        <v>http://dx.doi.org/10.1016/j.tfp.2022.100197</v>
      </c>
      <c r="BN981" t="s">
        <v>69</v>
      </c>
      <c r="BO981" t="s">
        <v>69</v>
      </c>
      <c r="BP981">
        <v>12</v>
      </c>
      <c r="BQ981" t="s">
        <v>8453</v>
      </c>
      <c r="BR981" t="s">
        <v>8573</v>
      </c>
      <c r="BS981" t="s">
        <v>8453</v>
      </c>
      <c r="BT981" t="s">
        <v>9785</v>
      </c>
      <c r="BU981" t="s">
        <v>9786</v>
      </c>
      <c r="BV981" t="s">
        <v>69</v>
      </c>
      <c r="BW981" t="s">
        <v>8931</v>
      </c>
      <c r="BX981" t="s">
        <v>69</v>
      </c>
      <c r="BY981" t="s">
        <v>69</v>
      </c>
      <c r="BZ981" t="s">
        <v>8526</v>
      </c>
      <c r="CA981" t="str">
        <f>HYPERLINK("https%3A%2F%2Fwww.webofscience.com%2Fwos%2Fwoscc%2Ffull-record%2FWOS:000762160500005","View Full Record in Web of Science")</f>
        <v>View Full Record in Web of Science</v>
      </c>
    </row>
    <row r="982" spans="1:79" ht="12.5" x14ac:dyDescent="0.25">
      <c r="B982" t="s">
        <v>8495</v>
      </c>
      <c r="D982" s="7" t="s">
        <v>32933</v>
      </c>
      <c r="E982" s="7"/>
      <c r="F982" s="7"/>
      <c r="G982" s="7"/>
      <c r="H982" t="s">
        <v>67</v>
      </c>
      <c r="I982" t="s">
        <v>125</v>
      </c>
      <c r="J982" t="s">
        <v>69</v>
      </c>
      <c r="K982" t="s">
        <v>69</v>
      </c>
      <c r="L982" t="s">
        <v>69</v>
      </c>
      <c r="M982" t="s">
        <v>126</v>
      </c>
      <c r="N982" t="s">
        <v>69</v>
      </c>
      <c r="O982" t="s">
        <v>69</v>
      </c>
      <c r="P982" t="s">
        <v>127</v>
      </c>
      <c r="Q982" t="s">
        <v>128</v>
      </c>
      <c r="R982" t="s">
        <v>69</v>
      </c>
      <c r="S982" t="s">
        <v>69</v>
      </c>
      <c r="T982" t="s">
        <v>8505</v>
      </c>
      <c r="U982" t="s">
        <v>8506</v>
      </c>
      <c r="V982" t="s">
        <v>69</v>
      </c>
      <c r="W982" t="s">
        <v>69</v>
      </c>
      <c r="X982" t="s">
        <v>69</v>
      </c>
      <c r="Y982" t="s">
        <v>69</v>
      </c>
      <c r="Z982" t="s">
        <v>69</v>
      </c>
      <c r="AA982" t="s">
        <v>20575</v>
      </c>
      <c r="AB982" t="s">
        <v>20576</v>
      </c>
      <c r="AC982" t="s">
        <v>129</v>
      </c>
      <c r="AD982" t="s">
        <v>20577</v>
      </c>
      <c r="AE982" t="s">
        <v>69</v>
      </c>
      <c r="AF982" t="s">
        <v>20578</v>
      </c>
      <c r="AG982" t="s">
        <v>20579</v>
      </c>
      <c r="AH982" t="s">
        <v>130</v>
      </c>
      <c r="AI982" t="s">
        <v>20580</v>
      </c>
      <c r="AJ982" t="s">
        <v>20581</v>
      </c>
      <c r="AK982" t="s">
        <v>20582</v>
      </c>
      <c r="AL982" t="s">
        <v>20583</v>
      </c>
      <c r="AM982" t="s">
        <v>69</v>
      </c>
      <c r="AN982">
        <v>65</v>
      </c>
      <c r="AO982">
        <v>27</v>
      </c>
      <c r="AP982">
        <v>28</v>
      </c>
      <c r="AQ982">
        <v>1</v>
      </c>
      <c r="AR982">
        <v>31</v>
      </c>
      <c r="AS982" t="s">
        <v>8516</v>
      </c>
      <c r="AT982" t="s">
        <v>8517</v>
      </c>
      <c r="AU982" t="s">
        <v>8518</v>
      </c>
      <c r="AV982" t="s">
        <v>131</v>
      </c>
      <c r="AW982" t="s">
        <v>132</v>
      </c>
      <c r="AX982" t="s">
        <v>69</v>
      </c>
      <c r="AY982" t="s">
        <v>128</v>
      </c>
      <c r="AZ982" t="s">
        <v>20584</v>
      </c>
      <c r="BA982" t="s">
        <v>133</v>
      </c>
      <c r="BB982">
        <v>2017</v>
      </c>
      <c r="BC982">
        <v>468</v>
      </c>
      <c r="BD982" t="s">
        <v>69</v>
      </c>
      <c r="BE982">
        <v>1</v>
      </c>
      <c r="BF982" t="s">
        <v>69</v>
      </c>
      <c r="BG982" t="s">
        <v>69</v>
      </c>
      <c r="BH982" t="s">
        <v>69</v>
      </c>
      <c r="BI982">
        <v>262</v>
      </c>
      <c r="BJ982">
        <v>270</v>
      </c>
      <c r="BK982" t="s">
        <v>69</v>
      </c>
      <c r="BL982" t="s">
        <v>134</v>
      </c>
      <c r="BM982" t="str">
        <f>HYPERLINK("http://dx.doi.org/10.1016/j.aquaculture.2016.10.019","http://dx.doi.org/10.1016/j.aquaculture.2016.10.019")</f>
        <v>http://dx.doi.org/10.1016/j.aquaculture.2016.10.019</v>
      </c>
      <c r="BN982" t="s">
        <v>69</v>
      </c>
      <c r="BO982" t="s">
        <v>69</v>
      </c>
      <c r="BP982">
        <v>9</v>
      </c>
      <c r="BQ982" t="s">
        <v>9055</v>
      </c>
      <c r="BR982" t="s">
        <v>8523</v>
      </c>
      <c r="BS982" t="s">
        <v>9055</v>
      </c>
      <c r="BT982" t="s">
        <v>20585</v>
      </c>
      <c r="BU982" t="s">
        <v>135</v>
      </c>
      <c r="BV982" t="s">
        <v>69</v>
      </c>
      <c r="BW982" t="s">
        <v>69</v>
      </c>
      <c r="BX982" t="s">
        <v>69</v>
      </c>
      <c r="BY982" t="s">
        <v>69</v>
      </c>
      <c r="BZ982" t="s">
        <v>8526</v>
      </c>
      <c r="CA982" t="str">
        <f>HYPERLINK("https%3A%2F%2Fwww.webofscience.com%2Fwos%2Fwoscc%2Ffull-record%2FWOS:000390735200035","View Full Record in Web of Science")</f>
        <v>View Full Record in Web of Science</v>
      </c>
    </row>
    <row r="983" spans="1:79" ht="12.5" x14ac:dyDescent="0.25">
      <c r="B983" t="s">
        <v>8495</v>
      </c>
      <c r="D983" s="22" t="s">
        <v>32931</v>
      </c>
      <c r="E983" s="7"/>
      <c r="F983" s="7"/>
      <c r="G983" s="7"/>
      <c r="H983" t="s">
        <v>67</v>
      </c>
      <c r="I983" t="s">
        <v>24898</v>
      </c>
      <c r="J983" t="s">
        <v>69</v>
      </c>
      <c r="K983" t="s">
        <v>69</v>
      </c>
      <c r="L983" t="s">
        <v>69</v>
      </c>
      <c r="M983" t="s">
        <v>24899</v>
      </c>
      <c r="N983" t="s">
        <v>69</v>
      </c>
      <c r="O983" t="s">
        <v>69</v>
      </c>
      <c r="P983" t="s">
        <v>24900</v>
      </c>
      <c r="Q983" t="s">
        <v>24901</v>
      </c>
      <c r="R983" t="s">
        <v>69</v>
      </c>
      <c r="S983" t="s">
        <v>69</v>
      </c>
      <c r="T983" t="s">
        <v>8505</v>
      </c>
      <c r="U983" t="s">
        <v>8506</v>
      </c>
      <c r="V983" t="s">
        <v>69</v>
      </c>
      <c r="W983" t="s">
        <v>69</v>
      </c>
      <c r="X983" t="s">
        <v>69</v>
      </c>
      <c r="Y983" t="s">
        <v>69</v>
      </c>
      <c r="Z983" t="s">
        <v>69</v>
      </c>
      <c r="AA983" t="s">
        <v>24902</v>
      </c>
      <c r="AB983" t="s">
        <v>69</v>
      </c>
      <c r="AC983" t="s">
        <v>24903</v>
      </c>
      <c r="AD983" t="s">
        <v>24904</v>
      </c>
      <c r="AE983" t="s">
        <v>69</v>
      </c>
      <c r="AF983" t="s">
        <v>24905</v>
      </c>
      <c r="AG983" t="s">
        <v>24906</v>
      </c>
      <c r="AH983" t="s">
        <v>69</v>
      </c>
      <c r="AI983" t="s">
        <v>69</v>
      </c>
      <c r="AJ983" t="s">
        <v>69</v>
      </c>
      <c r="AK983" t="s">
        <v>69</v>
      </c>
      <c r="AL983" t="s">
        <v>69</v>
      </c>
      <c r="AM983" t="s">
        <v>69</v>
      </c>
      <c r="AN983">
        <v>15</v>
      </c>
      <c r="AO983">
        <v>1</v>
      </c>
      <c r="AP983">
        <v>1</v>
      </c>
      <c r="AQ983">
        <v>0</v>
      </c>
      <c r="AR983">
        <v>0</v>
      </c>
      <c r="AS983" t="s">
        <v>8762</v>
      </c>
      <c r="AT983" t="s">
        <v>8763</v>
      </c>
      <c r="AU983" t="s">
        <v>8764</v>
      </c>
      <c r="AV983" t="s">
        <v>24907</v>
      </c>
      <c r="AW983" t="s">
        <v>24908</v>
      </c>
      <c r="AX983" t="s">
        <v>69</v>
      </c>
      <c r="AY983" t="s">
        <v>24909</v>
      </c>
      <c r="AZ983" t="s">
        <v>24910</v>
      </c>
      <c r="BA983" t="s">
        <v>84</v>
      </c>
      <c r="BB983">
        <v>2013</v>
      </c>
      <c r="BC983">
        <v>6</v>
      </c>
      <c r="BD983">
        <v>4</v>
      </c>
      <c r="BE983" t="s">
        <v>69</v>
      </c>
      <c r="BF983" t="s">
        <v>69</v>
      </c>
      <c r="BG983" t="s">
        <v>69</v>
      </c>
      <c r="BH983" t="s">
        <v>69</v>
      </c>
      <c r="BI983">
        <v>254</v>
      </c>
      <c r="BJ983">
        <v>257</v>
      </c>
      <c r="BK983" t="s">
        <v>69</v>
      </c>
      <c r="BL983" t="s">
        <v>24911</v>
      </c>
      <c r="BM983" t="str">
        <f>HYPERLINK("http://dx.doi.org/10.1177/2051415813476701","http://dx.doi.org/10.1177/2051415813476701")</f>
        <v>http://dx.doi.org/10.1177/2051415813476701</v>
      </c>
      <c r="BN983" t="s">
        <v>69</v>
      </c>
      <c r="BO983" t="s">
        <v>69</v>
      </c>
      <c r="BP983">
        <v>4</v>
      </c>
      <c r="BQ983" t="s">
        <v>8888</v>
      </c>
      <c r="BR983" t="s">
        <v>8573</v>
      </c>
      <c r="BS983" t="s">
        <v>8888</v>
      </c>
      <c r="BT983" t="s">
        <v>24912</v>
      </c>
      <c r="BU983" t="s">
        <v>24913</v>
      </c>
      <c r="BV983" t="s">
        <v>69</v>
      </c>
      <c r="BW983" t="s">
        <v>69</v>
      </c>
      <c r="BX983" t="s">
        <v>69</v>
      </c>
      <c r="BY983" t="s">
        <v>69</v>
      </c>
      <c r="BZ983" t="s">
        <v>8526</v>
      </c>
      <c r="CA983" t="str">
        <f>HYPERLINK("https%3A%2F%2Fwww.webofscience.com%2Fwos%2Fwoscc%2Ffull-record%2FWOS:000219673400011","View Full Record in Web of Science")</f>
        <v>View Full Record in Web of Science</v>
      </c>
    </row>
    <row r="984" spans="1:79" ht="12.5" x14ac:dyDescent="0.25">
      <c r="B984" t="s">
        <v>8495</v>
      </c>
      <c r="D984" s="22" t="s">
        <v>32931</v>
      </c>
      <c r="E984" s="7"/>
      <c r="F984" s="7"/>
      <c r="G984" s="7"/>
      <c r="H984" t="s">
        <v>67</v>
      </c>
      <c r="I984" t="s">
        <v>8748</v>
      </c>
      <c r="J984" t="s">
        <v>69</v>
      </c>
      <c r="K984" t="s">
        <v>69</v>
      </c>
      <c r="L984" t="s">
        <v>69</v>
      </c>
      <c r="M984" t="s">
        <v>8749</v>
      </c>
      <c r="N984" t="s">
        <v>69</v>
      </c>
      <c r="O984" t="s">
        <v>69</v>
      </c>
      <c r="P984" t="s">
        <v>8750</v>
      </c>
      <c r="Q984" t="s">
        <v>8751</v>
      </c>
      <c r="R984" t="s">
        <v>69</v>
      </c>
      <c r="S984" t="s">
        <v>69</v>
      </c>
      <c r="T984" t="s">
        <v>8505</v>
      </c>
      <c r="U984" t="s">
        <v>8556</v>
      </c>
      <c r="V984" t="s">
        <v>69</v>
      </c>
      <c r="W984" t="s">
        <v>69</v>
      </c>
      <c r="X984" t="s">
        <v>69</v>
      </c>
      <c r="Y984" t="s">
        <v>69</v>
      </c>
      <c r="Z984" t="s">
        <v>69</v>
      </c>
      <c r="AA984" t="s">
        <v>8752</v>
      </c>
      <c r="AB984" t="s">
        <v>8753</v>
      </c>
      <c r="AC984" t="s">
        <v>8754</v>
      </c>
      <c r="AD984" t="s">
        <v>8755</v>
      </c>
      <c r="AE984" t="s">
        <v>69</v>
      </c>
      <c r="AF984" t="s">
        <v>8756</v>
      </c>
      <c r="AG984" t="s">
        <v>8757</v>
      </c>
      <c r="AH984" t="s">
        <v>69</v>
      </c>
      <c r="AI984" t="s">
        <v>8758</v>
      </c>
      <c r="AJ984" t="s">
        <v>8759</v>
      </c>
      <c r="AK984" t="s">
        <v>8760</v>
      </c>
      <c r="AL984" t="s">
        <v>8761</v>
      </c>
      <c r="AM984" t="s">
        <v>69</v>
      </c>
      <c r="AN984">
        <v>44</v>
      </c>
      <c r="AO984">
        <v>0</v>
      </c>
      <c r="AP984">
        <v>0</v>
      </c>
      <c r="AQ984">
        <v>0</v>
      </c>
      <c r="AR984">
        <v>0</v>
      </c>
      <c r="AS984" t="s">
        <v>8762</v>
      </c>
      <c r="AT984" t="s">
        <v>8763</v>
      </c>
      <c r="AU984" t="s">
        <v>8764</v>
      </c>
      <c r="AV984" t="s">
        <v>8765</v>
      </c>
      <c r="AW984" t="s">
        <v>8766</v>
      </c>
      <c r="AX984" t="s">
        <v>69</v>
      </c>
      <c r="AY984" t="s">
        <v>8767</v>
      </c>
      <c r="AZ984" t="s">
        <v>8768</v>
      </c>
      <c r="BA984" t="s">
        <v>69</v>
      </c>
      <c r="BB984" t="s">
        <v>69</v>
      </c>
      <c r="BC984" t="s">
        <v>69</v>
      </c>
      <c r="BD984" t="s">
        <v>69</v>
      </c>
      <c r="BE984" t="s">
        <v>69</v>
      </c>
      <c r="BF984" t="s">
        <v>69</v>
      </c>
      <c r="BG984" t="s">
        <v>69</v>
      </c>
      <c r="BH984" t="s">
        <v>69</v>
      </c>
      <c r="BI984" t="s">
        <v>69</v>
      </c>
      <c r="BJ984" t="s">
        <v>69</v>
      </c>
      <c r="BK984" t="s">
        <v>69</v>
      </c>
      <c r="BL984" t="s">
        <v>8769</v>
      </c>
      <c r="BM984" t="str">
        <f>HYPERLINK("http://dx.doi.org/10.1177/09697330221105630","http://dx.doi.org/10.1177/09697330221105630")</f>
        <v>http://dx.doi.org/10.1177/09697330221105630</v>
      </c>
      <c r="BN984" t="s">
        <v>69</v>
      </c>
      <c r="BO984" t="s">
        <v>8742</v>
      </c>
      <c r="BP984">
        <v>10</v>
      </c>
      <c r="BQ984" t="s">
        <v>8770</v>
      </c>
      <c r="BR984" t="s">
        <v>8523</v>
      </c>
      <c r="BS984" t="s">
        <v>8771</v>
      </c>
      <c r="BT984" t="s">
        <v>8772</v>
      </c>
      <c r="BU984" t="s">
        <v>8773</v>
      </c>
      <c r="BV984">
        <v>35724428</v>
      </c>
      <c r="BW984" t="s">
        <v>69</v>
      </c>
      <c r="BX984" t="s">
        <v>69</v>
      </c>
      <c r="BY984" t="s">
        <v>69</v>
      </c>
      <c r="BZ984" t="s">
        <v>8526</v>
      </c>
      <c r="CA984" t="str">
        <f>HYPERLINK("https%3A%2F%2Fwww.webofscience.com%2Fwos%2Fwoscc%2Ffull-record%2FWOS:000813553600001","View Full Record in Web of Science")</f>
        <v>View Full Record in Web of Science</v>
      </c>
    </row>
    <row r="985" spans="1:79" ht="12.5" x14ac:dyDescent="0.25">
      <c r="B985" t="s">
        <v>8495</v>
      </c>
      <c r="D985" s="22" t="s">
        <v>32931</v>
      </c>
      <c r="E985" s="7"/>
      <c r="F985" s="7"/>
      <c r="G985" s="7"/>
      <c r="H985" t="s">
        <v>67</v>
      </c>
      <c r="I985" t="s">
        <v>29259</v>
      </c>
      <c r="J985" t="s">
        <v>69</v>
      </c>
      <c r="K985" t="s">
        <v>69</v>
      </c>
      <c r="L985" t="s">
        <v>69</v>
      </c>
      <c r="M985" t="s">
        <v>29260</v>
      </c>
      <c r="N985" t="s">
        <v>69</v>
      </c>
      <c r="O985" t="s">
        <v>69</v>
      </c>
      <c r="P985" t="s">
        <v>29261</v>
      </c>
      <c r="Q985" t="s">
        <v>29262</v>
      </c>
      <c r="R985" t="s">
        <v>69</v>
      </c>
      <c r="S985" t="s">
        <v>69</v>
      </c>
      <c r="T985" t="s">
        <v>8505</v>
      </c>
      <c r="U985" t="s">
        <v>8506</v>
      </c>
      <c r="V985" t="s">
        <v>69</v>
      </c>
      <c r="W985" t="s">
        <v>69</v>
      </c>
      <c r="X985" t="s">
        <v>69</v>
      </c>
      <c r="Y985" t="s">
        <v>69</v>
      </c>
      <c r="Z985" t="s">
        <v>69</v>
      </c>
      <c r="AA985" t="s">
        <v>69</v>
      </c>
      <c r="AB985" t="s">
        <v>69</v>
      </c>
      <c r="AC985" t="s">
        <v>29263</v>
      </c>
      <c r="AD985" t="s">
        <v>29264</v>
      </c>
      <c r="AE985" t="s">
        <v>69</v>
      </c>
      <c r="AF985" t="s">
        <v>29265</v>
      </c>
      <c r="AG985" t="s">
        <v>69</v>
      </c>
      <c r="AH985" t="s">
        <v>69</v>
      </c>
      <c r="AI985" t="s">
        <v>69</v>
      </c>
      <c r="AJ985" t="s">
        <v>69</v>
      </c>
      <c r="AK985" t="s">
        <v>69</v>
      </c>
      <c r="AL985" t="s">
        <v>69</v>
      </c>
      <c r="AM985" t="s">
        <v>69</v>
      </c>
      <c r="AN985">
        <v>10</v>
      </c>
      <c r="AO985">
        <v>2</v>
      </c>
      <c r="AP985">
        <v>4</v>
      </c>
      <c r="AQ985">
        <v>0</v>
      </c>
      <c r="AR985">
        <v>6</v>
      </c>
      <c r="AS985" t="s">
        <v>10315</v>
      </c>
      <c r="AT985" t="s">
        <v>10316</v>
      </c>
      <c r="AU985" t="s">
        <v>29266</v>
      </c>
      <c r="AV985" t="s">
        <v>29267</v>
      </c>
      <c r="AW985" t="s">
        <v>69</v>
      </c>
      <c r="AX985" t="s">
        <v>69</v>
      </c>
      <c r="AY985" t="s">
        <v>29268</v>
      </c>
      <c r="AZ985" t="s">
        <v>29269</v>
      </c>
      <c r="BA985" t="s">
        <v>246</v>
      </c>
      <c r="BB985">
        <v>2008</v>
      </c>
      <c r="BC985">
        <v>23</v>
      </c>
      <c r="BD985">
        <v>4</v>
      </c>
      <c r="BE985" t="s">
        <v>69</v>
      </c>
      <c r="BF985" t="s">
        <v>69</v>
      </c>
      <c r="BG985" t="s">
        <v>69</v>
      </c>
      <c r="BH985" t="s">
        <v>69</v>
      </c>
      <c r="BI985">
        <v>31</v>
      </c>
      <c r="BJ985">
        <v>44</v>
      </c>
      <c r="BK985" t="s">
        <v>69</v>
      </c>
      <c r="BL985" t="s">
        <v>29270</v>
      </c>
      <c r="BM985" t="str">
        <f>HYPERLINK("http://dx.doi.org/10.1109/MAES.2008.4493440","http://dx.doi.org/10.1109/MAES.2008.4493440")</f>
        <v>http://dx.doi.org/10.1109/MAES.2008.4493440</v>
      </c>
      <c r="BN985" t="s">
        <v>69</v>
      </c>
      <c r="BO985" t="s">
        <v>69</v>
      </c>
      <c r="BP985">
        <v>14</v>
      </c>
      <c r="BQ985" t="s">
        <v>29271</v>
      </c>
      <c r="BR985" t="s">
        <v>8548</v>
      </c>
      <c r="BS985" t="s">
        <v>8445</v>
      </c>
      <c r="BT985" t="s">
        <v>29272</v>
      </c>
      <c r="BU985" t="s">
        <v>29273</v>
      </c>
      <c r="BV985" t="s">
        <v>69</v>
      </c>
      <c r="BW985" t="s">
        <v>69</v>
      </c>
      <c r="BX985" t="s">
        <v>69</v>
      </c>
      <c r="BY985" t="s">
        <v>69</v>
      </c>
      <c r="BZ985" t="s">
        <v>8526</v>
      </c>
      <c r="CA985" t="str">
        <f>HYPERLINK("https%3A%2F%2Fwww.webofscience.com%2Fwos%2Fwoscc%2Ffull-record%2FWOS:000258075200006","View Full Record in Web of Science")</f>
        <v>View Full Record in Web of Science</v>
      </c>
    </row>
    <row r="986" spans="1:79" ht="12.5" x14ac:dyDescent="0.25">
      <c r="B986" t="s">
        <v>8495</v>
      </c>
      <c r="D986" s="22" t="s">
        <v>32931</v>
      </c>
      <c r="E986" s="7"/>
      <c r="F986" s="7"/>
      <c r="G986" s="7"/>
      <c r="H986" t="s">
        <v>67</v>
      </c>
      <c r="I986" t="s">
        <v>25405</v>
      </c>
      <c r="J986" t="s">
        <v>69</v>
      </c>
      <c r="K986" t="s">
        <v>69</v>
      </c>
      <c r="L986" t="s">
        <v>69</v>
      </c>
      <c r="M986" t="s">
        <v>25406</v>
      </c>
      <c r="N986" t="s">
        <v>69</v>
      </c>
      <c r="O986" t="s">
        <v>69</v>
      </c>
      <c r="P986" t="s">
        <v>25407</v>
      </c>
      <c r="Q986" t="s">
        <v>25408</v>
      </c>
      <c r="R986" t="s">
        <v>69</v>
      </c>
      <c r="S986" t="s">
        <v>69</v>
      </c>
      <c r="T986" t="s">
        <v>8505</v>
      </c>
      <c r="U986" t="s">
        <v>8442</v>
      </c>
      <c r="V986" t="s">
        <v>69</v>
      </c>
      <c r="W986" t="s">
        <v>69</v>
      </c>
      <c r="X986" t="s">
        <v>69</v>
      </c>
      <c r="Y986" t="s">
        <v>69</v>
      </c>
      <c r="Z986" t="s">
        <v>69</v>
      </c>
      <c r="AA986" t="s">
        <v>69</v>
      </c>
      <c r="AB986" t="s">
        <v>25409</v>
      </c>
      <c r="AC986" t="s">
        <v>25410</v>
      </c>
      <c r="AD986" t="s">
        <v>25411</v>
      </c>
      <c r="AE986" t="s">
        <v>69</v>
      </c>
      <c r="AF986" t="s">
        <v>25412</v>
      </c>
      <c r="AG986" t="s">
        <v>25413</v>
      </c>
      <c r="AH986" t="s">
        <v>25414</v>
      </c>
      <c r="AI986" t="s">
        <v>25415</v>
      </c>
      <c r="AJ986" t="s">
        <v>69</v>
      </c>
      <c r="AK986" t="s">
        <v>69</v>
      </c>
      <c r="AL986" t="s">
        <v>69</v>
      </c>
      <c r="AM986" t="s">
        <v>69</v>
      </c>
      <c r="AN986">
        <v>147</v>
      </c>
      <c r="AO986">
        <v>255</v>
      </c>
      <c r="AP986">
        <v>258</v>
      </c>
      <c r="AQ986">
        <v>19</v>
      </c>
      <c r="AR986">
        <v>287</v>
      </c>
      <c r="AS986" t="s">
        <v>8846</v>
      </c>
      <c r="AT986" t="s">
        <v>8847</v>
      </c>
      <c r="AU986" t="s">
        <v>8848</v>
      </c>
      <c r="AV986" t="s">
        <v>25416</v>
      </c>
      <c r="AW986" t="s">
        <v>25417</v>
      </c>
      <c r="AX986" t="s">
        <v>69</v>
      </c>
      <c r="AY986" t="s">
        <v>25418</v>
      </c>
      <c r="AZ986" t="s">
        <v>25419</v>
      </c>
      <c r="BA986" t="s">
        <v>373</v>
      </c>
      <c r="BB986">
        <v>2013</v>
      </c>
      <c r="BC986">
        <v>15</v>
      </c>
      <c r="BD986">
        <v>1</v>
      </c>
      <c r="BE986" t="s">
        <v>69</v>
      </c>
      <c r="BF986" t="s">
        <v>69</v>
      </c>
      <c r="BG986" t="s">
        <v>69</v>
      </c>
      <c r="BH986" t="s">
        <v>69</v>
      </c>
      <c r="BI986">
        <v>47</v>
      </c>
      <c r="BJ986">
        <v>65</v>
      </c>
      <c r="BK986" t="s">
        <v>69</v>
      </c>
      <c r="BL986" t="s">
        <v>25420</v>
      </c>
      <c r="BM986" t="str">
        <f>HYPERLINK("http://dx.doi.org/10.1111/j.1468-2370.2012.00334.x","http://dx.doi.org/10.1111/j.1468-2370.2012.00334.x")</f>
        <v>http://dx.doi.org/10.1111/j.1468-2370.2012.00334.x</v>
      </c>
      <c r="BN986" t="s">
        <v>69</v>
      </c>
      <c r="BO986" t="s">
        <v>69</v>
      </c>
      <c r="BP986">
        <v>19</v>
      </c>
      <c r="BQ986" t="s">
        <v>8791</v>
      </c>
      <c r="BR986" t="s">
        <v>8661</v>
      </c>
      <c r="BS986" t="s">
        <v>8594</v>
      </c>
      <c r="BT986" t="s">
        <v>25421</v>
      </c>
      <c r="BU986" t="s">
        <v>25422</v>
      </c>
      <c r="BV986" t="s">
        <v>69</v>
      </c>
      <c r="BW986" t="s">
        <v>69</v>
      </c>
      <c r="BX986" t="s">
        <v>15211</v>
      </c>
      <c r="BY986" t="s">
        <v>15212</v>
      </c>
      <c r="BZ986" t="s">
        <v>8526</v>
      </c>
      <c r="CA986" t="str">
        <f>HYPERLINK("https%3A%2F%2Fwww.webofscience.com%2Fwos%2Fwoscc%2Ffull-record%2FWOS:000312536300004","View Full Record in Web of Science")</f>
        <v>View Full Record in Web of Science</v>
      </c>
    </row>
    <row r="987" spans="1:79" ht="12.5" x14ac:dyDescent="0.25">
      <c r="B987" t="s">
        <v>8495</v>
      </c>
      <c r="D987" s="22" t="s">
        <v>32931</v>
      </c>
      <c r="E987" s="7"/>
      <c r="F987" s="7"/>
      <c r="G987" s="7"/>
      <c r="H987" t="s">
        <v>67</v>
      </c>
      <c r="I987" t="s">
        <v>24086</v>
      </c>
      <c r="J987" t="s">
        <v>69</v>
      </c>
      <c r="K987" t="s">
        <v>69</v>
      </c>
      <c r="L987" t="s">
        <v>69</v>
      </c>
      <c r="M987" t="s">
        <v>24087</v>
      </c>
      <c r="N987" t="s">
        <v>69</v>
      </c>
      <c r="O987" t="s">
        <v>69</v>
      </c>
      <c r="P987" t="s">
        <v>24088</v>
      </c>
      <c r="Q987" t="s">
        <v>24089</v>
      </c>
      <c r="R987" t="s">
        <v>69</v>
      </c>
      <c r="S987" t="s">
        <v>69</v>
      </c>
      <c r="T987" t="s">
        <v>9357</v>
      </c>
      <c r="U987" t="s">
        <v>8506</v>
      </c>
      <c r="V987" t="s">
        <v>69</v>
      </c>
      <c r="W987" t="s">
        <v>69</v>
      </c>
      <c r="X987" t="s">
        <v>69</v>
      </c>
      <c r="Y987" t="s">
        <v>69</v>
      </c>
      <c r="Z987" t="s">
        <v>69</v>
      </c>
      <c r="AA987" t="s">
        <v>24090</v>
      </c>
      <c r="AB987" t="s">
        <v>69</v>
      </c>
      <c r="AC987" t="s">
        <v>24091</v>
      </c>
      <c r="AD987" t="s">
        <v>24092</v>
      </c>
      <c r="AE987" t="s">
        <v>69</v>
      </c>
      <c r="AF987" t="s">
        <v>24093</v>
      </c>
      <c r="AG987" t="s">
        <v>24094</v>
      </c>
      <c r="AH987" t="s">
        <v>69</v>
      </c>
      <c r="AI987" t="s">
        <v>69</v>
      </c>
      <c r="AJ987" t="s">
        <v>69</v>
      </c>
      <c r="AK987" t="s">
        <v>69</v>
      </c>
      <c r="AL987" t="s">
        <v>69</v>
      </c>
      <c r="AM987" t="s">
        <v>69</v>
      </c>
      <c r="AN987">
        <v>8</v>
      </c>
      <c r="AO987">
        <v>1</v>
      </c>
      <c r="AP987">
        <v>1</v>
      </c>
      <c r="AQ987">
        <v>0</v>
      </c>
      <c r="AR987">
        <v>2</v>
      </c>
      <c r="AS987" t="s">
        <v>24095</v>
      </c>
      <c r="AT987" t="s">
        <v>9367</v>
      </c>
      <c r="AU987" t="s">
        <v>24096</v>
      </c>
      <c r="AV987" t="s">
        <v>24097</v>
      </c>
      <c r="AW987" t="s">
        <v>69</v>
      </c>
      <c r="AX987" t="s">
        <v>69</v>
      </c>
      <c r="AY987" t="s">
        <v>24098</v>
      </c>
      <c r="AZ987" t="s">
        <v>24099</v>
      </c>
      <c r="BA987" t="s">
        <v>69</v>
      </c>
      <c r="BB987">
        <v>2014</v>
      </c>
      <c r="BC987">
        <v>28</v>
      </c>
      <c r="BD987">
        <v>2</v>
      </c>
      <c r="BE987" t="s">
        <v>69</v>
      </c>
      <c r="BF987" t="s">
        <v>69</v>
      </c>
      <c r="BG987" t="s">
        <v>69</v>
      </c>
      <c r="BH987" t="s">
        <v>69</v>
      </c>
      <c r="BI987">
        <v>15</v>
      </c>
      <c r="BJ987">
        <v>23</v>
      </c>
      <c r="BK987" t="s">
        <v>69</v>
      </c>
      <c r="BL987" t="s">
        <v>69</v>
      </c>
      <c r="BM987" t="s">
        <v>69</v>
      </c>
      <c r="BN987" t="s">
        <v>69</v>
      </c>
      <c r="BO987" t="s">
        <v>69</v>
      </c>
      <c r="BP987">
        <v>9</v>
      </c>
      <c r="BQ987" t="s">
        <v>8444</v>
      </c>
      <c r="BR987" t="s">
        <v>8573</v>
      </c>
      <c r="BS987" t="s">
        <v>8594</v>
      </c>
      <c r="BT987" t="s">
        <v>24100</v>
      </c>
      <c r="BU987" t="s">
        <v>24101</v>
      </c>
      <c r="BV987" t="s">
        <v>69</v>
      </c>
      <c r="BW987" t="s">
        <v>69</v>
      </c>
      <c r="BX987" t="s">
        <v>69</v>
      </c>
      <c r="BY987" t="s">
        <v>69</v>
      </c>
      <c r="BZ987" t="s">
        <v>8526</v>
      </c>
      <c r="CA987" t="str">
        <f>HYPERLINK("https%3A%2F%2Fwww.webofscience.com%2Fwos%2Fwoscc%2Ffull-record%2FWOS:000421055300002","View Full Record in Web of Science")</f>
        <v>View Full Record in Web of Science</v>
      </c>
    </row>
    <row r="988" spans="1:79" ht="12.5" x14ac:dyDescent="0.25">
      <c r="B988" t="s">
        <v>8495</v>
      </c>
      <c r="D988" s="22" t="s">
        <v>32931</v>
      </c>
      <c r="E988" s="7"/>
      <c r="F988" s="7"/>
      <c r="G988" s="7"/>
      <c r="H988" t="s">
        <v>67</v>
      </c>
      <c r="I988" t="s">
        <v>12530</v>
      </c>
      <c r="J988" t="s">
        <v>69</v>
      </c>
      <c r="K988" t="s">
        <v>69</v>
      </c>
      <c r="L988" t="s">
        <v>69</v>
      </c>
      <c r="M988" t="s">
        <v>12531</v>
      </c>
      <c r="N988" t="s">
        <v>69</v>
      </c>
      <c r="O988" t="s">
        <v>69</v>
      </c>
      <c r="P988" t="s">
        <v>12532</v>
      </c>
      <c r="Q988" t="s">
        <v>12533</v>
      </c>
      <c r="R988" t="s">
        <v>69</v>
      </c>
      <c r="S988" t="s">
        <v>69</v>
      </c>
      <c r="T988" t="s">
        <v>12534</v>
      </c>
      <c r="U988" t="s">
        <v>10174</v>
      </c>
      <c r="V988" t="s">
        <v>69</v>
      </c>
      <c r="W988" t="s">
        <v>69</v>
      </c>
      <c r="X988" t="s">
        <v>69</v>
      </c>
      <c r="Y988" t="s">
        <v>69</v>
      </c>
      <c r="Z988" t="s">
        <v>69</v>
      </c>
      <c r="AA988" t="s">
        <v>12535</v>
      </c>
      <c r="AB988" t="s">
        <v>69</v>
      </c>
      <c r="AC988" t="s">
        <v>12536</v>
      </c>
      <c r="AD988" t="s">
        <v>12537</v>
      </c>
      <c r="AE988" t="s">
        <v>69</v>
      </c>
      <c r="AF988" t="s">
        <v>12538</v>
      </c>
      <c r="AG988" t="s">
        <v>12539</v>
      </c>
      <c r="AH988" t="s">
        <v>69</v>
      </c>
      <c r="AI988" t="s">
        <v>69</v>
      </c>
      <c r="AJ988" t="s">
        <v>69</v>
      </c>
      <c r="AK988" t="s">
        <v>69</v>
      </c>
      <c r="AL988" t="s">
        <v>69</v>
      </c>
      <c r="AM988" t="s">
        <v>69</v>
      </c>
      <c r="AN988">
        <v>24</v>
      </c>
      <c r="AO988">
        <v>0</v>
      </c>
      <c r="AP988">
        <v>0</v>
      </c>
      <c r="AQ988">
        <v>2</v>
      </c>
      <c r="AR988">
        <v>9</v>
      </c>
      <c r="AS988" t="s">
        <v>12540</v>
      </c>
      <c r="AT988" t="s">
        <v>10186</v>
      </c>
      <c r="AU988" t="s">
        <v>12541</v>
      </c>
      <c r="AV988" t="s">
        <v>12542</v>
      </c>
      <c r="AW988" t="s">
        <v>12543</v>
      </c>
      <c r="AX988" t="s">
        <v>69</v>
      </c>
      <c r="AY988" t="s">
        <v>12544</v>
      </c>
      <c r="AZ988" t="s">
        <v>12545</v>
      </c>
      <c r="BA988" t="s">
        <v>246</v>
      </c>
      <c r="BB988">
        <v>2021</v>
      </c>
      <c r="BC988">
        <v>35</v>
      </c>
      <c r="BD988" t="s">
        <v>4267</v>
      </c>
      <c r="BE988" t="s">
        <v>69</v>
      </c>
      <c r="BF988" t="s">
        <v>69</v>
      </c>
      <c r="BG988" t="s">
        <v>69</v>
      </c>
      <c r="BH988" t="s">
        <v>69</v>
      </c>
      <c r="BI988">
        <v>77</v>
      </c>
      <c r="BJ988">
        <v>84</v>
      </c>
      <c r="BK988" t="s">
        <v>69</v>
      </c>
      <c r="BL988" t="s">
        <v>12546</v>
      </c>
      <c r="BM988" t="str">
        <f>HYPERLINK("http://dx.doi.org/10.1024/1010-0652/a000294","http://dx.doi.org/10.1024/1010-0652/a000294")</f>
        <v>http://dx.doi.org/10.1024/1010-0652/a000294</v>
      </c>
      <c r="BN988" t="s">
        <v>69</v>
      </c>
      <c r="BO988" t="s">
        <v>69</v>
      </c>
      <c r="BP988">
        <v>8</v>
      </c>
      <c r="BQ988" t="s">
        <v>11114</v>
      </c>
      <c r="BR988" t="s">
        <v>8661</v>
      </c>
      <c r="BS988" t="s">
        <v>9001</v>
      </c>
      <c r="BT988" t="s">
        <v>12547</v>
      </c>
      <c r="BU988" t="s">
        <v>12548</v>
      </c>
      <c r="BV988" t="s">
        <v>69</v>
      </c>
      <c r="BW988" t="s">
        <v>69</v>
      </c>
      <c r="BX988" t="s">
        <v>69</v>
      </c>
      <c r="BY988" t="s">
        <v>69</v>
      </c>
      <c r="BZ988" t="s">
        <v>8526</v>
      </c>
      <c r="CA988" t="str">
        <f>HYPERLINK("https%3A%2F%2Fwww.webofscience.com%2Fwos%2Fwoscc%2Ffull-record%2FWOS:000644696000001","View Full Record in Web of Science")</f>
        <v>View Full Record in Web of Science</v>
      </c>
    </row>
    <row r="989" spans="1:79" ht="12.5" x14ac:dyDescent="0.25">
      <c r="B989" t="s">
        <v>8495</v>
      </c>
      <c r="D989" s="22" t="s">
        <v>32931</v>
      </c>
      <c r="E989" s="7"/>
      <c r="F989" s="7"/>
      <c r="G989" s="7"/>
      <c r="H989" t="s">
        <v>67</v>
      </c>
      <c r="I989" t="s">
        <v>10614</v>
      </c>
      <c r="J989" t="s">
        <v>69</v>
      </c>
      <c r="K989" t="s">
        <v>69</v>
      </c>
      <c r="L989" t="s">
        <v>69</v>
      </c>
      <c r="M989" t="s">
        <v>10615</v>
      </c>
      <c r="N989" t="s">
        <v>69</v>
      </c>
      <c r="O989" t="s">
        <v>69</v>
      </c>
      <c r="P989" t="s">
        <v>10616</v>
      </c>
      <c r="Q989" t="s">
        <v>10617</v>
      </c>
      <c r="R989" t="s">
        <v>69</v>
      </c>
      <c r="S989" t="s">
        <v>69</v>
      </c>
      <c r="T989" t="s">
        <v>8505</v>
      </c>
      <c r="U989" t="s">
        <v>8556</v>
      </c>
      <c r="V989" t="s">
        <v>69</v>
      </c>
      <c r="W989" t="s">
        <v>69</v>
      </c>
      <c r="X989" t="s">
        <v>69</v>
      </c>
      <c r="Y989" t="s">
        <v>69</v>
      </c>
      <c r="Z989" t="s">
        <v>69</v>
      </c>
      <c r="AA989" t="s">
        <v>10618</v>
      </c>
      <c r="AB989" t="s">
        <v>10619</v>
      </c>
      <c r="AC989" t="s">
        <v>10620</v>
      </c>
      <c r="AD989" t="s">
        <v>10621</v>
      </c>
      <c r="AE989" t="s">
        <v>69</v>
      </c>
      <c r="AF989" t="s">
        <v>10622</v>
      </c>
      <c r="AG989" t="s">
        <v>10623</v>
      </c>
      <c r="AH989" t="s">
        <v>69</v>
      </c>
      <c r="AI989" t="s">
        <v>69</v>
      </c>
      <c r="AJ989" t="s">
        <v>10624</v>
      </c>
      <c r="AK989" t="s">
        <v>10625</v>
      </c>
      <c r="AL989" t="s">
        <v>10626</v>
      </c>
      <c r="AM989" t="s">
        <v>69</v>
      </c>
      <c r="AN989">
        <v>71</v>
      </c>
      <c r="AO989">
        <v>2</v>
      </c>
      <c r="AP989">
        <v>2</v>
      </c>
      <c r="AQ989">
        <v>37</v>
      </c>
      <c r="AR989">
        <v>50</v>
      </c>
      <c r="AS989" t="s">
        <v>9047</v>
      </c>
      <c r="AT989" t="s">
        <v>9048</v>
      </c>
      <c r="AU989" t="s">
        <v>9049</v>
      </c>
      <c r="AV989" t="s">
        <v>10627</v>
      </c>
      <c r="AW989" t="s">
        <v>10628</v>
      </c>
      <c r="AX989" t="s">
        <v>69</v>
      </c>
      <c r="AY989" t="s">
        <v>10617</v>
      </c>
      <c r="AZ989" t="s">
        <v>10629</v>
      </c>
      <c r="BA989" t="s">
        <v>69</v>
      </c>
      <c r="BB989" t="s">
        <v>69</v>
      </c>
      <c r="BC989" t="s">
        <v>69</v>
      </c>
      <c r="BD989" t="s">
        <v>69</v>
      </c>
      <c r="BE989" t="s">
        <v>69</v>
      </c>
      <c r="BF989" t="s">
        <v>69</v>
      </c>
      <c r="BG989" t="s">
        <v>69</v>
      </c>
      <c r="BH989" t="s">
        <v>69</v>
      </c>
      <c r="BI989" t="s">
        <v>69</v>
      </c>
      <c r="BJ989" t="s">
        <v>69</v>
      </c>
      <c r="BK989" t="s">
        <v>69</v>
      </c>
      <c r="BL989" t="s">
        <v>10630</v>
      </c>
      <c r="BM989" t="str">
        <f>HYPERLINK("http://dx.doi.org/10.1007/s11192-021-04190-9","http://dx.doi.org/10.1007/s11192-021-04190-9")</f>
        <v>http://dx.doi.org/10.1007/s11192-021-04190-9</v>
      </c>
      <c r="BN989" t="s">
        <v>69</v>
      </c>
      <c r="BO989" t="s">
        <v>10359</v>
      </c>
      <c r="BP989">
        <v>23</v>
      </c>
      <c r="BQ989" t="s">
        <v>10631</v>
      </c>
      <c r="BR989" t="s">
        <v>8523</v>
      </c>
      <c r="BS989" t="s">
        <v>10632</v>
      </c>
      <c r="BT989" t="s">
        <v>10633</v>
      </c>
      <c r="BU989" t="s">
        <v>10634</v>
      </c>
      <c r="BV989" t="s">
        <v>69</v>
      </c>
      <c r="BW989" t="s">
        <v>69</v>
      </c>
      <c r="BX989" t="s">
        <v>69</v>
      </c>
      <c r="BY989" t="s">
        <v>69</v>
      </c>
      <c r="BZ989" t="s">
        <v>8526</v>
      </c>
      <c r="CA989" t="str">
        <f>HYPERLINK("https%3A%2F%2Fwww.webofscience.com%2Fwos%2Fwoscc%2Ffull-record%2FWOS:000724632400001","View Full Record in Web of Science")</f>
        <v>View Full Record in Web of Science</v>
      </c>
    </row>
    <row r="990" spans="1:79" ht="12.5" x14ac:dyDescent="0.25">
      <c r="B990" t="s">
        <v>8495</v>
      </c>
      <c r="D990" s="22" t="s">
        <v>32931</v>
      </c>
      <c r="E990" s="7"/>
      <c r="F990" s="7"/>
      <c r="G990" s="7"/>
      <c r="H990" t="s">
        <v>67</v>
      </c>
      <c r="I990" t="s">
        <v>27035</v>
      </c>
      <c r="J990" t="s">
        <v>69</v>
      </c>
      <c r="K990" t="s">
        <v>69</v>
      </c>
      <c r="L990" t="s">
        <v>69</v>
      </c>
      <c r="M990" t="s">
        <v>27036</v>
      </c>
      <c r="N990" t="s">
        <v>69</v>
      </c>
      <c r="O990" t="s">
        <v>69</v>
      </c>
      <c r="P990" t="s">
        <v>27037</v>
      </c>
      <c r="Q990" t="s">
        <v>27038</v>
      </c>
      <c r="R990" t="s">
        <v>69</v>
      </c>
      <c r="S990" t="s">
        <v>69</v>
      </c>
      <c r="T990" t="s">
        <v>8505</v>
      </c>
      <c r="U990" t="s">
        <v>8506</v>
      </c>
      <c r="V990" t="s">
        <v>69</v>
      </c>
      <c r="W990" t="s">
        <v>69</v>
      </c>
      <c r="X990" t="s">
        <v>69</v>
      </c>
      <c r="Y990" t="s">
        <v>69</v>
      </c>
      <c r="Z990" t="s">
        <v>69</v>
      </c>
      <c r="AA990" t="s">
        <v>27039</v>
      </c>
      <c r="AB990" t="s">
        <v>27040</v>
      </c>
      <c r="AC990" t="s">
        <v>27041</v>
      </c>
      <c r="AD990" t="s">
        <v>27042</v>
      </c>
      <c r="AE990" t="s">
        <v>69</v>
      </c>
      <c r="AF990" t="s">
        <v>27043</v>
      </c>
      <c r="AG990" t="s">
        <v>27044</v>
      </c>
      <c r="AH990" t="s">
        <v>69</v>
      </c>
      <c r="AI990" t="s">
        <v>69</v>
      </c>
      <c r="AJ990" t="s">
        <v>27045</v>
      </c>
      <c r="AK990" t="s">
        <v>27045</v>
      </c>
      <c r="AL990" t="s">
        <v>27046</v>
      </c>
      <c r="AM990" t="s">
        <v>69</v>
      </c>
      <c r="AN990">
        <v>33</v>
      </c>
      <c r="AO990">
        <v>20</v>
      </c>
      <c r="AP990">
        <v>20</v>
      </c>
      <c r="AQ990">
        <v>0</v>
      </c>
      <c r="AR990">
        <v>20</v>
      </c>
      <c r="AS990" t="s">
        <v>27047</v>
      </c>
      <c r="AT990" t="s">
        <v>8763</v>
      </c>
      <c r="AU990" t="s">
        <v>27048</v>
      </c>
      <c r="AV990" t="s">
        <v>27049</v>
      </c>
      <c r="AW990" t="s">
        <v>27050</v>
      </c>
      <c r="AX990" t="s">
        <v>69</v>
      </c>
      <c r="AY990" t="s">
        <v>27051</v>
      </c>
      <c r="AZ990" t="s">
        <v>27052</v>
      </c>
      <c r="BA990" t="s">
        <v>246</v>
      </c>
      <c r="BB990">
        <v>2011</v>
      </c>
      <c r="BC990">
        <v>61</v>
      </c>
      <c r="BD990">
        <v>585</v>
      </c>
      <c r="BE990" t="s">
        <v>69</v>
      </c>
      <c r="BF990" t="s">
        <v>69</v>
      </c>
      <c r="BG990" t="s">
        <v>69</v>
      </c>
      <c r="BH990" t="s">
        <v>69</v>
      </c>
      <c r="BI990">
        <v>256</v>
      </c>
      <c r="BJ990">
        <v>262</v>
      </c>
      <c r="BK990" t="s">
        <v>69</v>
      </c>
      <c r="BL990" t="s">
        <v>27053</v>
      </c>
      <c r="BM990" t="str">
        <f>HYPERLINK("http://dx.doi.org/10.3399/bjgp11X567063","http://dx.doi.org/10.3399/bjgp11X567063")</f>
        <v>http://dx.doi.org/10.3399/bjgp11X567063</v>
      </c>
      <c r="BN990" t="s">
        <v>69</v>
      </c>
      <c r="BO990" t="s">
        <v>69</v>
      </c>
      <c r="BP990">
        <v>7</v>
      </c>
      <c r="BQ990" t="s">
        <v>14051</v>
      </c>
      <c r="BR990" t="s">
        <v>8523</v>
      </c>
      <c r="BS990" t="s">
        <v>9451</v>
      </c>
      <c r="BT990" t="s">
        <v>27054</v>
      </c>
      <c r="BU990" t="s">
        <v>27055</v>
      </c>
      <c r="BV990">
        <v>21439184</v>
      </c>
      <c r="BW990" t="s">
        <v>9029</v>
      </c>
      <c r="BX990" t="s">
        <v>69</v>
      </c>
      <c r="BY990" t="s">
        <v>69</v>
      </c>
      <c r="BZ990" t="s">
        <v>8526</v>
      </c>
      <c r="CA990" t="str">
        <f>HYPERLINK("https%3A%2F%2Fwww.webofscience.com%2Fwos%2Fwoscc%2Ffull-record%2FWOS:000290197100008","View Full Record in Web of Science")</f>
        <v>View Full Record in Web of Science</v>
      </c>
    </row>
    <row r="991" spans="1:79" ht="12.5" x14ac:dyDescent="0.25">
      <c r="B991" t="s">
        <v>8495</v>
      </c>
      <c r="D991" s="7" t="s">
        <v>32933</v>
      </c>
      <c r="E991" s="7"/>
      <c r="F991" s="7"/>
      <c r="G991" s="7"/>
      <c r="H991" t="s">
        <v>67</v>
      </c>
      <c r="I991" t="s">
        <v>2196</v>
      </c>
      <c r="J991" t="s">
        <v>69</v>
      </c>
      <c r="K991" t="s">
        <v>69</v>
      </c>
      <c r="L991" t="s">
        <v>69</v>
      </c>
      <c r="M991" t="s">
        <v>2197</v>
      </c>
      <c r="N991" t="s">
        <v>69</v>
      </c>
      <c r="O991" t="s">
        <v>69</v>
      </c>
      <c r="P991" t="s">
        <v>2198</v>
      </c>
      <c r="Q991" t="s">
        <v>2199</v>
      </c>
      <c r="R991" t="s">
        <v>69</v>
      </c>
      <c r="S991" t="s">
        <v>69</v>
      </c>
      <c r="T991" t="s">
        <v>8505</v>
      </c>
      <c r="U991" t="s">
        <v>8506</v>
      </c>
      <c r="V991" t="s">
        <v>69</v>
      </c>
      <c r="W991" t="s">
        <v>69</v>
      </c>
      <c r="X991" t="s">
        <v>69</v>
      </c>
      <c r="Y991" t="s">
        <v>69</v>
      </c>
      <c r="Z991" t="s">
        <v>69</v>
      </c>
      <c r="AA991" t="s">
        <v>69</v>
      </c>
      <c r="AB991" t="s">
        <v>69</v>
      </c>
      <c r="AC991" t="s">
        <v>2200</v>
      </c>
      <c r="AD991" t="s">
        <v>17073</v>
      </c>
      <c r="AE991" t="s">
        <v>69</v>
      </c>
      <c r="AF991" t="s">
        <v>17074</v>
      </c>
      <c r="AG991" t="s">
        <v>69</v>
      </c>
      <c r="AH991" t="s">
        <v>69</v>
      </c>
      <c r="AI991" t="s">
        <v>69</v>
      </c>
      <c r="AJ991" t="s">
        <v>69</v>
      </c>
      <c r="AK991" t="s">
        <v>69</v>
      </c>
      <c r="AL991" t="s">
        <v>69</v>
      </c>
      <c r="AM991" t="s">
        <v>69</v>
      </c>
      <c r="AN991">
        <v>16</v>
      </c>
      <c r="AO991">
        <v>0</v>
      </c>
      <c r="AP991">
        <v>0</v>
      </c>
      <c r="AQ991">
        <v>1</v>
      </c>
      <c r="AR991">
        <v>5</v>
      </c>
      <c r="AS991" t="s">
        <v>17075</v>
      </c>
      <c r="AT991" t="s">
        <v>17076</v>
      </c>
      <c r="AU991" t="s">
        <v>17077</v>
      </c>
      <c r="AV991" t="s">
        <v>2201</v>
      </c>
      <c r="AW991" t="s">
        <v>69</v>
      </c>
      <c r="AX991" t="s">
        <v>69</v>
      </c>
      <c r="AY991" t="s">
        <v>17078</v>
      </c>
      <c r="AZ991" t="s">
        <v>17079</v>
      </c>
      <c r="BA991" t="s">
        <v>84</v>
      </c>
      <c r="BB991">
        <v>2019</v>
      </c>
      <c r="BC991">
        <v>36</v>
      </c>
      <c r="BD991">
        <v>4</v>
      </c>
      <c r="BE991" t="s">
        <v>69</v>
      </c>
      <c r="BF991" t="s">
        <v>69</v>
      </c>
      <c r="BG991" t="s">
        <v>69</v>
      </c>
      <c r="BH991" t="s">
        <v>69</v>
      </c>
      <c r="BI991">
        <v>295</v>
      </c>
      <c r="BJ991">
        <v>305</v>
      </c>
      <c r="BK991" t="s">
        <v>69</v>
      </c>
      <c r="BL991" t="s">
        <v>69</v>
      </c>
      <c r="BM991" t="s">
        <v>69</v>
      </c>
      <c r="BN991" t="s">
        <v>69</v>
      </c>
      <c r="BO991" t="s">
        <v>69</v>
      </c>
      <c r="BP991">
        <v>11</v>
      </c>
      <c r="BQ991" t="s">
        <v>8452</v>
      </c>
      <c r="BR991" t="s">
        <v>8573</v>
      </c>
      <c r="BS991" t="s">
        <v>10084</v>
      </c>
      <c r="BT991" t="s">
        <v>17080</v>
      </c>
      <c r="BU991" t="s">
        <v>2202</v>
      </c>
      <c r="BV991" t="s">
        <v>69</v>
      </c>
      <c r="BW991" t="s">
        <v>69</v>
      </c>
      <c r="BX991" t="s">
        <v>69</v>
      </c>
      <c r="BY991" t="s">
        <v>69</v>
      </c>
      <c r="BZ991" t="s">
        <v>8526</v>
      </c>
      <c r="CA991" t="str">
        <f>HYPERLINK("https%3A%2F%2Fwww.webofscience.com%2Fwos%2Fwoscc%2Ffull-record%2FWOS:000483889900001","View Full Record in Web of Science")</f>
        <v>View Full Record in Web of Science</v>
      </c>
    </row>
    <row r="992" spans="1:79" ht="12.5" x14ac:dyDescent="0.25">
      <c r="B992" t="s">
        <v>8495</v>
      </c>
      <c r="D992" s="7" t="s">
        <v>32933</v>
      </c>
      <c r="E992" s="7"/>
      <c r="F992" s="7"/>
      <c r="G992" s="7"/>
      <c r="H992" t="s">
        <v>67</v>
      </c>
      <c r="I992" t="s">
        <v>97</v>
      </c>
      <c r="J992" t="s">
        <v>69</v>
      </c>
      <c r="K992" t="s">
        <v>69</v>
      </c>
      <c r="L992" t="s">
        <v>69</v>
      </c>
      <c r="M992" t="s">
        <v>98</v>
      </c>
      <c r="N992" t="s">
        <v>69</v>
      </c>
      <c r="O992" t="s">
        <v>69</v>
      </c>
      <c r="P992" s="1" t="s">
        <v>99</v>
      </c>
      <c r="Q992" t="s">
        <v>100</v>
      </c>
      <c r="R992" t="s">
        <v>69</v>
      </c>
      <c r="S992" t="s">
        <v>69</v>
      </c>
      <c r="T992" t="s">
        <v>8505</v>
      </c>
      <c r="U992" t="s">
        <v>8506</v>
      </c>
      <c r="V992" t="s">
        <v>69</v>
      </c>
      <c r="W992" t="s">
        <v>69</v>
      </c>
      <c r="X992" t="s">
        <v>69</v>
      </c>
      <c r="Y992" t="s">
        <v>69</v>
      </c>
      <c r="Z992" t="s">
        <v>69</v>
      </c>
      <c r="AA992" t="s">
        <v>30068</v>
      </c>
      <c r="AB992" t="s">
        <v>29975</v>
      </c>
      <c r="AC992" t="s">
        <v>101</v>
      </c>
      <c r="AD992" t="s">
        <v>30069</v>
      </c>
      <c r="AE992" t="s">
        <v>69</v>
      </c>
      <c r="AF992" t="s">
        <v>30070</v>
      </c>
      <c r="AG992" t="s">
        <v>30071</v>
      </c>
      <c r="AH992" t="s">
        <v>30072</v>
      </c>
      <c r="AI992" t="s">
        <v>30073</v>
      </c>
      <c r="AJ992" t="s">
        <v>69</v>
      </c>
      <c r="AK992" t="s">
        <v>69</v>
      </c>
      <c r="AL992" t="s">
        <v>69</v>
      </c>
      <c r="AM992" t="s">
        <v>69</v>
      </c>
      <c r="AN992">
        <v>15</v>
      </c>
      <c r="AO992">
        <v>2</v>
      </c>
      <c r="AP992">
        <v>2</v>
      </c>
      <c r="AQ992">
        <v>0</v>
      </c>
      <c r="AR992">
        <v>5</v>
      </c>
      <c r="AS992" t="s">
        <v>9091</v>
      </c>
      <c r="AT992" t="s">
        <v>8763</v>
      </c>
      <c r="AU992" t="s">
        <v>15468</v>
      </c>
      <c r="AV992" t="s">
        <v>102</v>
      </c>
      <c r="AW992" t="s">
        <v>103</v>
      </c>
      <c r="AX992" t="s">
        <v>69</v>
      </c>
      <c r="AY992" t="s">
        <v>15469</v>
      </c>
      <c r="AZ992" t="s">
        <v>15470</v>
      </c>
      <c r="BA992" t="s">
        <v>69</v>
      </c>
      <c r="BB992">
        <v>2007</v>
      </c>
      <c r="BC992">
        <v>56</v>
      </c>
      <c r="BD992">
        <v>8</v>
      </c>
      <c r="BE992" t="s">
        <v>69</v>
      </c>
      <c r="BF992" t="s">
        <v>69</v>
      </c>
      <c r="BG992" t="s">
        <v>69</v>
      </c>
      <c r="BH992" t="s">
        <v>69</v>
      </c>
      <c r="BI992">
        <v>21</v>
      </c>
      <c r="BJ992">
        <v>29</v>
      </c>
      <c r="BK992" t="s">
        <v>69</v>
      </c>
      <c r="BL992" t="s">
        <v>104</v>
      </c>
      <c r="BM992" t="str">
        <f>HYPERLINK("http://dx.doi.org/10.2166/wst.2007.596","http://dx.doi.org/10.2166/wst.2007.596")</f>
        <v>http://dx.doi.org/10.2166/wst.2007.596</v>
      </c>
      <c r="BN992" t="s">
        <v>69</v>
      </c>
      <c r="BO992" t="s">
        <v>69</v>
      </c>
      <c r="BP992">
        <v>9</v>
      </c>
      <c r="BQ992" t="s">
        <v>10687</v>
      </c>
      <c r="BR992" t="s">
        <v>8548</v>
      </c>
      <c r="BS992" t="s">
        <v>10688</v>
      </c>
      <c r="BT992" t="s">
        <v>30074</v>
      </c>
      <c r="BU992" t="s">
        <v>105</v>
      </c>
      <c r="BV992">
        <v>17978429</v>
      </c>
      <c r="BW992" t="s">
        <v>69</v>
      </c>
      <c r="BX992" t="s">
        <v>69</v>
      </c>
      <c r="BY992" t="s">
        <v>69</v>
      </c>
      <c r="BZ992" t="s">
        <v>8526</v>
      </c>
      <c r="CA992" t="str">
        <f>HYPERLINK("https%3A%2F%2Fwww.webofscience.com%2Fwos%2Fwoscc%2Ffull-record%2FWOS:000253383200003","View Full Record in Web of Science")</f>
        <v>View Full Record in Web of Science</v>
      </c>
    </row>
    <row r="993" spans="2:79" ht="12.5" x14ac:dyDescent="0.25">
      <c r="B993" t="s">
        <v>8495</v>
      </c>
      <c r="D993" s="7" t="s">
        <v>32933</v>
      </c>
      <c r="E993" s="7"/>
      <c r="F993" s="7"/>
      <c r="G993" s="7"/>
      <c r="H993" t="s">
        <v>67</v>
      </c>
      <c r="I993" t="s">
        <v>2050</v>
      </c>
      <c r="J993" t="s">
        <v>69</v>
      </c>
      <c r="K993" t="s">
        <v>69</v>
      </c>
      <c r="L993" t="s">
        <v>69</v>
      </c>
      <c r="M993" t="s">
        <v>2051</v>
      </c>
      <c r="N993" t="s">
        <v>69</v>
      </c>
      <c r="O993" t="s">
        <v>69</v>
      </c>
      <c r="P993" t="s">
        <v>2052</v>
      </c>
      <c r="Q993" t="s">
        <v>2053</v>
      </c>
      <c r="R993" t="s">
        <v>69</v>
      </c>
      <c r="S993" t="s">
        <v>69</v>
      </c>
      <c r="T993" t="s">
        <v>8505</v>
      </c>
      <c r="U993" t="s">
        <v>8506</v>
      </c>
      <c r="V993" t="s">
        <v>69</v>
      </c>
      <c r="W993" t="s">
        <v>69</v>
      </c>
      <c r="X993" t="s">
        <v>69</v>
      </c>
      <c r="Y993" t="s">
        <v>69</v>
      </c>
      <c r="Z993" t="s">
        <v>69</v>
      </c>
      <c r="AA993" t="s">
        <v>16287</v>
      </c>
      <c r="AB993" t="s">
        <v>16288</v>
      </c>
      <c r="AC993" t="s">
        <v>2054</v>
      </c>
      <c r="AD993" t="s">
        <v>16289</v>
      </c>
      <c r="AE993" t="s">
        <v>69</v>
      </c>
      <c r="AF993" t="s">
        <v>16290</v>
      </c>
      <c r="AG993" t="s">
        <v>16291</v>
      </c>
      <c r="AH993" t="s">
        <v>69</v>
      </c>
      <c r="AI993" t="s">
        <v>69</v>
      </c>
      <c r="AJ993" t="s">
        <v>69</v>
      </c>
      <c r="AK993" t="s">
        <v>69</v>
      </c>
      <c r="AL993" t="s">
        <v>69</v>
      </c>
      <c r="AM993" t="s">
        <v>69</v>
      </c>
      <c r="AN993">
        <v>58</v>
      </c>
      <c r="AO993">
        <v>49</v>
      </c>
      <c r="AP993">
        <v>51</v>
      </c>
      <c r="AQ993">
        <v>2</v>
      </c>
      <c r="AR993">
        <v>33</v>
      </c>
      <c r="AS993" t="s">
        <v>9554</v>
      </c>
      <c r="AT993" t="s">
        <v>9555</v>
      </c>
      <c r="AU993" t="s">
        <v>9556</v>
      </c>
      <c r="AV993" t="s">
        <v>2055</v>
      </c>
      <c r="AW993" t="s">
        <v>2056</v>
      </c>
      <c r="AX993" t="s">
        <v>69</v>
      </c>
      <c r="AY993" t="s">
        <v>2053</v>
      </c>
      <c r="AZ993" t="s">
        <v>16292</v>
      </c>
      <c r="BA993" t="s">
        <v>373</v>
      </c>
      <c r="BB993">
        <v>2020</v>
      </c>
      <c r="BC993">
        <v>21</v>
      </c>
      <c r="BD993">
        <v>1</v>
      </c>
      <c r="BE993" t="s">
        <v>69</v>
      </c>
      <c r="BF993" t="s">
        <v>69</v>
      </c>
      <c r="BG993" t="s">
        <v>69</v>
      </c>
      <c r="BH993" t="s">
        <v>69</v>
      </c>
      <c r="BI993">
        <v>95</v>
      </c>
      <c r="BJ993">
        <v>111</v>
      </c>
      <c r="BK993" t="s">
        <v>69</v>
      </c>
      <c r="BL993" t="s">
        <v>2057</v>
      </c>
      <c r="BM993" t="str">
        <f>HYPERLINK("http://dx.doi.org/10.1177/1464884917730217","http://dx.doi.org/10.1177/1464884917730217")</f>
        <v>http://dx.doi.org/10.1177/1464884917730217</v>
      </c>
      <c r="BN993" t="s">
        <v>69</v>
      </c>
      <c r="BO993" t="s">
        <v>69</v>
      </c>
      <c r="BP993">
        <v>17</v>
      </c>
      <c r="BQ993" t="s">
        <v>8443</v>
      </c>
      <c r="BR993" t="s">
        <v>8661</v>
      </c>
      <c r="BS993" t="s">
        <v>8443</v>
      </c>
      <c r="BT993" t="s">
        <v>16293</v>
      </c>
      <c r="BU993" t="s">
        <v>2058</v>
      </c>
      <c r="BV993" t="s">
        <v>69</v>
      </c>
      <c r="BW993" t="s">
        <v>69</v>
      </c>
      <c r="BX993" t="s">
        <v>69</v>
      </c>
      <c r="BY993" t="s">
        <v>69</v>
      </c>
      <c r="BZ993" t="s">
        <v>8526</v>
      </c>
      <c r="CA993" t="str">
        <f>HYPERLINK("https%3A%2F%2Fwww.webofscience.com%2Fwos%2Fwoscc%2Ffull-record%2FWOS:000506236000006","View Full Record in Web of Science")</f>
        <v>View Full Record in Web of Science</v>
      </c>
    </row>
    <row r="994" spans="2:79" ht="12.5" x14ac:dyDescent="0.25">
      <c r="B994" t="s">
        <v>8495</v>
      </c>
      <c r="D994" s="7" t="s">
        <v>32933</v>
      </c>
      <c r="E994" s="7"/>
      <c r="F994" s="7"/>
      <c r="G994" s="7"/>
      <c r="H994" t="s">
        <v>67</v>
      </c>
      <c r="I994" t="s">
        <v>3648</v>
      </c>
      <c r="J994" t="s">
        <v>69</v>
      </c>
      <c r="K994" t="s">
        <v>69</v>
      </c>
      <c r="L994" t="s">
        <v>69</v>
      </c>
      <c r="M994" t="s">
        <v>3649</v>
      </c>
      <c r="N994" t="s">
        <v>69</v>
      </c>
      <c r="O994" t="s">
        <v>69</v>
      </c>
      <c r="P994" t="s">
        <v>3650</v>
      </c>
      <c r="Q994" t="s">
        <v>1722</v>
      </c>
      <c r="R994" t="s">
        <v>69</v>
      </c>
      <c r="S994" t="s">
        <v>69</v>
      </c>
      <c r="T994" t="s">
        <v>8505</v>
      </c>
      <c r="U994" t="s">
        <v>8506</v>
      </c>
      <c r="V994" t="s">
        <v>69</v>
      </c>
      <c r="W994" t="s">
        <v>69</v>
      </c>
      <c r="X994" t="s">
        <v>69</v>
      </c>
      <c r="Y994" t="s">
        <v>69</v>
      </c>
      <c r="Z994" t="s">
        <v>69</v>
      </c>
      <c r="AA994" t="s">
        <v>28846</v>
      </c>
      <c r="AB994" t="s">
        <v>28847</v>
      </c>
      <c r="AC994" t="s">
        <v>3651</v>
      </c>
      <c r="AD994" t="s">
        <v>28848</v>
      </c>
      <c r="AE994" t="s">
        <v>69</v>
      </c>
      <c r="AF994" t="s">
        <v>28849</v>
      </c>
      <c r="AG994" t="s">
        <v>28850</v>
      </c>
      <c r="AH994" t="s">
        <v>28851</v>
      </c>
      <c r="AI994" t="s">
        <v>28852</v>
      </c>
      <c r="AJ994" t="s">
        <v>69</v>
      </c>
      <c r="AK994" t="s">
        <v>69</v>
      </c>
      <c r="AL994" t="s">
        <v>69</v>
      </c>
      <c r="AM994" t="s">
        <v>69</v>
      </c>
      <c r="AN994">
        <v>90</v>
      </c>
      <c r="AO994">
        <v>98</v>
      </c>
      <c r="AP994">
        <v>99</v>
      </c>
      <c r="AQ994">
        <v>2</v>
      </c>
      <c r="AR994">
        <v>116</v>
      </c>
      <c r="AS994" t="s">
        <v>8516</v>
      </c>
      <c r="AT994" t="s">
        <v>8517</v>
      </c>
      <c r="AU994" t="s">
        <v>8518</v>
      </c>
      <c r="AV994" t="s">
        <v>1724</v>
      </c>
      <c r="AW994" t="s">
        <v>3652</v>
      </c>
      <c r="AX994" t="s">
        <v>69</v>
      </c>
      <c r="AY994" t="s">
        <v>28853</v>
      </c>
      <c r="AZ994" t="s">
        <v>28854</v>
      </c>
      <c r="BA994" t="s">
        <v>373</v>
      </c>
      <c r="BB994">
        <v>2009</v>
      </c>
      <c r="BC994">
        <v>24</v>
      </c>
      <c r="BD994">
        <v>1</v>
      </c>
      <c r="BE994" t="s">
        <v>69</v>
      </c>
      <c r="BF994" t="s">
        <v>69</v>
      </c>
      <c r="BG994" t="s">
        <v>69</v>
      </c>
      <c r="BH994" t="s">
        <v>69</v>
      </c>
      <c r="BI994">
        <v>27</v>
      </c>
      <c r="BJ994">
        <v>45</v>
      </c>
      <c r="BK994" t="s">
        <v>69</v>
      </c>
      <c r="BL994" t="s">
        <v>3653</v>
      </c>
      <c r="BM994" t="str">
        <f>HYPERLINK("http://dx.doi.org/10.1016/j.jbusvent.2007.10.003","http://dx.doi.org/10.1016/j.jbusvent.2007.10.003")</f>
        <v>http://dx.doi.org/10.1016/j.jbusvent.2007.10.003</v>
      </c>
      <c r="BN994" t="s">
        <v>69</v>
      </c>
      <c r="BO994" t="s">
        <v>69</v>
      </c>
      <c r="BP994">
        <v>19</v>
      </c>
      <c r="BQ994" t="s">
        <v>8444</v>
      </c>
      <c r="BR994" t="s">
        <v>8661</v>
      </c>
      <c r="BS994" t="s">
        <v>8594</v>
      </c>
      <c r="BT994" t="s">
        <v>28855</v>
      </c>
      <c r="BU994" t="s">
        <v>3654</v>
      </c>
      <c r="BV994" t="s">
        <v>69</v>
      </c>
      <c r="BW994" t="s">
        <v>69</v>
      </c>
      <c r="BX994" t="s">
        <v>69</v>
      </c>
      <c r="BY994" t="s">
        <v>69</v>
      </c>
      <c r="BZ994" t="s">
        <v>8526</v>
      </c>
      <c r="CA994" t="str">
        <f>HYPERLINK("https%3A%2F%2Fwww.webofscience.com%2Fwos%2Fwoscc%2Ffull-record%2FWOS:000263200000003","View Full Record in Web of Science")</f>
        <v>View Full Record in Web of Science</v>
      </c>
    </row>
    <row r="995" spans="2:79" ht="12.5" x14ac:dyDescent="0.25">
      <c r="B995" t="s">
        <v>8495</v>
      </c>
      <c r="D995" s="22" t="s">
        <v>32931</v>
      </c>
      <c r="E995" s="7"/>
      <c r="F995" s="7"/>
      <c r="G995" s="7"/>
      <c r="H995" t="s">
        <v>67</v>
      </c>
      <c r="I995" t="s">
        <v>11726</v>
      </c>
      <c r="J995" t="s">
        <v>69</v>
      </c>
      <c r="K995" t="s">
        <v>69</v>
      </c>
      <c r="L995" t="s">
        <v>69</v>
      </c>
      <c r="M995" t="s">
        <v>11727</v>
      </c>
      <c r="N995" t="s">
        <v>69</v>
      </c>
      <c r="O995" t="s">
        <v>69</v>
      </c>
      <c r="P995" t="s">
        <v>11728</v>
      </c>
      <c r="Q995" t="s">
        <v>352</v>
      </c>
      <c r="R995" t="s">
        <v>69</v>
      </c>
      <c r="S995" t="s">
        <v>69</v>
      </c>
      <c r="T995" t="s">
        <v>8505</v>
      </c>
      <c r="U995" t="s">
        <v>8506</v>
      </c>
      <c r="V995" t="s">
        <v>69</v>
      </c>
      <c r="W995" t="s">
        <v>69</v>
      </c>
      <c r="X995" t="s">
        <v>69</v>
      </c>
      <c r="Y995" t="s">
        <v>69</v>
      </c>
      <c r="Z995" t="s">
        <v>69</v>
      </c>
      <c r="AA995" t="s">
        <v>11729</v>
      </c>
      <c r="AB995" t="s">
        <v>11730</v>
      </c>
      <c r="AC995" t="s">
        <v>11731</v>
      </c>
      <c r="AD995" t="s">
        <v>11732</v>
      </c>
      <c r="AE995" t="s">
        <v>69</v>
      </c>
      <c r="AF995" t="s">
        <v>11733</v>
      </c>
      <c r="AG995" t="s">
        <v>11734</v>
      </c>
      <c r="AH995" t="s">
        <v>11735</v>
      </c>
      <c r="AI995" t="s">
        <v>11736</v>
      </c>
      <c r="AJ995" t="s">
        <v>69</v>
      </c>
      <c r="AK995" t="s">
        <v>69</v>
      </c>
      <c r="AL995" t="s">
        <v>69</v>
      </c>
      <c r="AM995" t="s">
        <v>69</v>
      </c>
      <c r="AN995">
        <v>62</v>
      </c>
      <c r="AO995">
        <v>3</v>
      </c>
      <c r="AP995">
        <v>3</v>
      </c>
      <c r="AQ995">
        <v>3</v>
      </c>
      <c r="AR995">
        <v>8</v>
      </c>
      <c r="AS995" t="s">
        <v>8924</v>
      </c>
      <c r="AT995" t="s">
        <v>8925</v>
      </c>
      <c r="AU995" t="s">
        <v>8926</v>
      </c>
      <c r="AV995" t="s">
        <v>69</v>
      </c>
      <c r="AW995" t="s">
        <v>354</v>
      </c>
      <c r="AX995" t="s">
        <v>69</v>
      </c>
      <c r="AY995" t="s">
        <v>8958</v>
      </c>
      <c r="AZ995" t="s">
        <v>8434</v>
      </c>
      <c r="BA995" t="s">
        <v>201</v>
      </c>
      <c r="BB995">
        <v>2021</v>
      </c>
      <c r="BC995">
        <v>13</v>
      </c>
      <c r="BD995">
        <v>15</v>
      </c>
      <c r="BE995" t="s">
        <v>69</v>
      </c>
      <c r="BF995" t="s">
        <v>69</v>
      </c>
      <c r="BG995" t="s">
        <v>69</v>
      </c>
      <c r="BH995" t="s">
        <v>69</v>
      </c>
      <c r="BI995" t="s">
        <v>69</v>
      </c>
      <c r="BJ995" t="s">
        <v>69</v>
      </c>
      <c r="BK995">
        <v>8454</v>
      </c>
      <c r="BL995" t="s">
        <v>11737</v>
      </c>
      <c r="BM995" t="str">
        <f>HYPERLINK("http://dx.doi.org/10.3390/su13158454","http://dx.doi.org/10.3390/su13158454")</f>
        <v>http://dx.doi.org/10.3390/su13158454</v>
      </c>
      <c r="BN995" t="s">
        <v>69</v>
      </c>
      <c r="BO995" t="s">
        <v>69</v>
      </c>
      <c r="BP995">
        <v>18</v>
      </c>
      <c r="BQ995" t="s">
        <v>8960</v>
      </c>
      <c r="BR995" t="s">
        <v>8523</v>
      </c>
      <c r="BS995" t="s">
        <v>8961</v>
      </c>
      <c r="BT995" t="s">
        <v>11738</v>
      </c>
      <c r="BU995" t="s">
        <v>11739</v>
      </c>
      <c r="BV995" t="s">
        <v>69</v>
      </c>
      <c r="BW995" t="s">
        <v>9352</v>
      </c>
      <c r="BX995" t="s">
        <v>69</v>
      </c>
      <c r="BY995" t="s">
        <v>69</v>
      </c>
      <c r="BZ995" t="s">
        <v>8526</v>
      </c>
      <c r="CA995" t="str">
        <f>HYPERLINK("https%3A%2F%2Fwww.webofscience.com%2Fwos%2Fwoscc%2Ffull-record%2FWOS:000682245300001","View Full Record in Web of Science")</f>
        <v>View Full Record in Web of Science</v>
      </c>
    </row>
    <row r="996" spans="2:79" ht="12.5" x14ac:dyDescent="0.25">
      <c r="B996" t="s">
        <v>8495</v>
      </c>
      <c r="D996" s="22" t="s">
        <v>32931</v>
      </c>
      <c r="E996" s="7"/>
      <c r="F996" s="7"/>
      <c r="G996" s="7"/>
      <c r="H996" t="s">
        <v>67</v>
      </c>
      <c r="I996" t="s">
        <v>10047</v>
      </c>
      <c r="J996" t="s">
        <v>69</v>
      </c>
      <c r="K996" t="s">
        <v>69</v>
      </c>
      <c r="L996" t="s">
        <v>69</v>
      </c>
      <c r="M996" t="s">
        <v>10048</v>
      </c>
      <c r="N996" t="s">
        <v>69</v>
      </c>
      <c r="O996" t="s">
        <v>69</v>
      </c>
      <c r="P996" t="s">
        <v>10049</v>
      </c>
      <c r="Q996" t="s">
        <v>10050</v>
      </c>
      <c r="R996" t="s">
        <v>69</v>
      </c>
      <c r="S996" t="s">
        <v>69</v>
      </c>
      <c r="T996" t="s">
        <v>8505</v>
      </c>
      <c r="U996" t="s">
        <v>8556</v>
      </c>
      <c r="V996" t="s">
        <v>69</v>
      </c>
      <c r="W996" t="s">
        <v>69</v>
      </c>
      <c r="X996" t="s">
        <v>69</v>
      </c>
      <c r="Y996" t="s">
        <v>69</v>
      </c>
      <c r="Z996" t="s">
        <v>69</v>
      </c>
      <c r="AA996" t="s">
        <v>10051</v>
      </c>
      <c r="AB996" t="s">
        <v>10052</v>
      </c>
      <c r="AC996" t="s">
        <v>10053</v>
      </c>
      <c r="AD996" t="s">
        <v>10054</v>
      </c>
      <c r="AE996" t="s">
        <v>69</v>
      </c>
      <c r="AF996" t="s">
        <v>10055</v>
      </c>
      <c r="AG996" t="s">
        <v>10056</v>
      </c>
      <c r="AH996" t="s">
        <v>69</v>
      </c>
      <c r="AI996" t="s">
        <v>69</v>
      </c>
      <c r="AJ996" t="s">
        <v>10057</v>
      </c>
      <c r="AK996" t="s">
        <v>10057</v>
      </c>
      <c r="AL996" t="s">
        <v>10058</v>
      </c>
      <c r="AM996" t="s">
        <v>69</v>
      </c>
      <c r="AN996">
        <v>95</v>
      </c>
      <c r="AO996">
        <v>1</v>
      </c>
      <c r="AP996">
        <v>1</v>
      </c>
      <c r="AQ996">
        <v>0</v>
      </c>
      <c r="AR996">
        <v>0</v>
      </c>
      <c r="AS996" t="s">
        <v>8586</v>
      </c>
      <c r="AT996" t="s">
        <v>8587</v>
      </c>
      <c r="AU996" t="s">
        <v>8588</v>
      </c>
      <c r="AV996" t="s">
        <v>10059</v>
      </c>
      <c r="AW996" t="s">
        <v>10060</v>
      </c>
      <c r="AX996" t="s">
        <v>69</v>
      </c>
      <c r="AY996" t="s">
        <v>10061</v>
      </c>
      <c r="AZ996" t="s">
        <v>10062</v>
      </c>
      <c r="BA996" t="s">
        <v>69</v>
      </c>
      <c r="BB996" t="s">
        <v>69</v>
      </c>
      <c r="BC996" t="s">
        <v>69</v>
      </c>
      <c r="BD996" t="s">
        <v>69</v>
      </c>
      <c r="BE996" t="s">
        <v>69</v>
      </c>
      <c r="BF996" t="s">
        <v>69</v>
      </c>
      <c r="BG996" t="s">
        <v>69</v>
      </c>
      <c r="BH996" t="s">
        <v>69</v>
      </c>
      <c r="BI996" t="s">
        <v>69</v>
      </c>
      <c r="BJ996" t="s">
        <v>69</v>
      </c>
      <c r="BK996" t="s">
        <v>69</v>
      </c>
      <c r="BL996" t="s">
        <v>10063</v>
      </c>
      <c r="BM996" t="str">
        <f>HYPERLINK("http://dx.doi.org/10.1108/JFMPC-01-2021-0004","http://dx.doi.org/10.1108/JFMPC-01-2021-0004")</f>
        <v>http://dx.doi.org/10.1108/JFMPC-01-2021-0004</v>
      </c>
      <c r="BN996" t="s">
        <v>69</v>
      </c>
      <c r="BO996" t="s">
        <v>9987</v>
      </c>
      <c r="BP996">
        <v>25</v>
      </c>
      <c r="BQ996" t="s">
        <v>9749</v>
      </c>
      <c r="BR996" t="s">
        <v>8573</v>
      </c>
      <c r="BS996" t="s">
        <v>8594</v>
      </c>
      <c r="BT996" t="s">
        <v>10064</v>
      </c>
      <c r="BU996" t="s">
        <v>10066</v>
      </c>
      <c r="BV996" t="s">
        <v>69</v>
      </c>
      <c r="BW996" t="s">
        <v>10065</v>
      </c>
      <c r="BX996" t="s">
        <v>69</v>
      </c>
      <c r="BY996" t="s">
        <v>69</v>
      </c>
      <c r="BZ996" t="s">
        <v>8526</v>
      </c>
      <c r="CA996" t="str">
        <f>HYPERLINK("https%3A%2F%2Fwww.webofscience.com%2Fwos%2Fwoscc%2Ffull-record%2FWOS:000740960700001","View Full Record in Web of Science")</f>
        <v>View Full Record in Web of Science</v>
      </c>
    </row>
    <row r="997" spans="2:79" ht="12.5" x14ac:dyDescent="0.25">
      <c r="B997" t="s">
        <v>8495</v>
      </c>
      <c r="D997" s="7" t="s">
        <v>32933</v>
      </c>
      <c r="E997" s="7"/>
      <c r="F997" s="7"/>
      <c r="G997" s="7"/>
      <c r="H997" t="s">
        <v>67</v>
      </c>
      <c r="I997" t="s">
        <v>1177</v>
      </c>
      <c r="J997" t="s">
        <v>69</v>
      </c>
      <c r="K997" t="s">
        <v>69</v>
      </c>
      <c r="L997" t="s">
        <v>69</v>
      </c>
      <c r="M997" t="s">
        <v>1178</v>
      </c>
      <c r="N997" t="s">
        <v>69</v>
      </c>
      <c r="O997" t="s">
        <v>69</v>
      </c>
      <c r="P997" t="s">
        <v>1179</v>
      </c>
      <c r="Q997" t="s">
        <v>1180</v>
      </c>
      <c r="R997" t="s">
        <v>69</v>
      </c>
      <c r="S997" t="s">
        <v>69</v>
      </c>
      <c r="T997" t="s">
        <v>8505</v>
      </c>
      <c r="U997" t="s">
        <v>8506</v>
      </c>
      <c r="V997" t="s">
        <v>69</v>
      </c>
      <c r="W997" t="s">
        <v>69</v>
      </c>
      <c r="X997" t="s">
        <v>69</v>
      </c>
      <c r="Y997" t="s">
        <v>69</v>
      </c>
      <c r="Z997" t="s">
        <v>69</v>
      </c>
      <c r="AA997" t="s">
        <v>20654</v>
      </c>
      <c r="AB997" t="s">
        <v>20655</v>
      </c>
      <c r="AC997" t="s">
        <v>1181</v>
      </c>
      <c r="AD997" t="s">
        <v>20656</v>
      </c>
      <c r="AE997" t="s">
        <v>69</v>
      </c>
      <c r="AF997" t="s">
        <v>20657</v>
      </c>
      <c r="AG997" t="s">
        <v>20658</v>
      </c>
      <c r="AH997" t="s">
        <v>69</v>
      </c>
      <c r="AI997" t="s">
        <v>1182</v>
      </c>
      <c r="AJ997" t="s">
        <v>20659</v>
      </c>
      <c r="AK997" t="s">
        <v>20660</v>
      </c>
      <c r="AL997" t="s">
        <v>20661</v>
      </c>
      <c r="AM997" t="s">
        <v>69</v>
      </c>
      <c r="AN997">
        <v>35</v>
      </c>
      <c r="AO997">
        <v>2</v>
      </c>
      <c r="AP997">
        <v>2</v>
      </c>
      <c r="AQ997">
        <v>0</v>
      </c>
      <c r="AR997">
        <v>5</v>
      </c>
      <c r="AS997" t="s">
        <v>8865</v>
      </c>
      <c r="AT997" t="s">
        <v>8612</v>
      </c>
      <c r="AU997" t="s">
        <v>8866</v>
      </c>
      <c r="AV997" t="s">
        <v>1183</v>
      </c>
      <c r="AW997" t="s">
        <v>1184</v>
      </c>
      <c r="AX997" t="s">
        <v>69</v>
      </c>
      <c r="AY997" t="s">
        <v>20662</v>
      </c>
      <c r="AZ997" t="s">
        <v>20663</v>
      </c>
      <c r="BA997" t="s">
        <v>69</v>
      </c>
      <c r="BB997">
        <v>2017</v>
      </c>
      <c r="BC997">
        <v>5</v>
      </c>
      <c r="BD997" t="s">
        <v>145</v>
      </c>
      <c r="BE997" t="s">
        <v>69</v>
      </c>
      <c r="BF997" t="s">
        <v>69</v>
      </c>
      <c r="BG997" t="s">
        <v>69</v>
      </c>
      <c r="BH997" t="s">
        <v>69</v>
      </c>
      <c r="BI997">
        <v>172</v>
      </c>
      <c r="BJ997">
        <v>184</v>
      </c>
      <c r="BK997" t="s">
        <v>69</v>
      </c>
      <c r="BL997" t="s">
        <v>1185</v>
      </c>
      <c r="BM997" t="str">
        <f>HYPERLINK("http://dx.doi.org/10.1080/24725838.2017.1386142","http://dx.doi.org/10.1080/24725838.2017.1386142")</f>
        <v>http://dx.doi.org/10.1080/24725838.2017.1386142</v>
      </c>
      <c r="BN997" t="s">
        <v>69</v>
      </c>
      <c r="BO997" t="s">
        <v>69</v>
      </c>
      <c r="BP997">
        <v>13</v>
      </c>
      <c r="BQ997" t="s">
        <v>20664</v>
      </c>
      <c r="BR997" t="s">
        <v>8573</v>
      </c>
      <c r="BS997" t="s">
        <v>8445</v>
      </c>
      <c r="BT997" t="s">
        <v>20665</v>
      </c>
      <c r="BU997" t="s">
        <v>1186</v>
      </c>
      <c r="BV997" t="s">
        <v>69</v>
      </c>
      <c r="BW997" t="s">
        <v>69</v>
      </c>
      <c r="BX997" t="s">
        <v>69</v>
      </c>
      <c r="BY997" t="s">
        <v>69</v>
      </c>
      <c r="BZ997" t="s">
        <v>8526</v>
      </c>
      <c r="CA997" t="str">
        <f>HYPERLINK("https%3A%2F%2Fwww.webofscience.com%2Fwos%2Fwoscc%2Ffull-record%2FWOS:000442411900005","View Full Record in Web of Science")</f>
        <v>View Full Record in Web of Science</v>
      </c>
    </row>
    <row r="998" spans="2:79" ht="12.5" x14ac:dyDescent="0.25">
      <c r="B998" t="s">
        <v>8495</v>
      </c>
      <c r="D998" s="7" t="s">
        <v>32933</v>
      </c>
      <c r="E998" s="7"/>
      <c r="F998" s="7"/>
      <c r="G998" s="7"/>
      <c r="H998" t="s">
        <v>67</v>
      </c>
      <c r="I998" t="s">
        <v>2440</v>
      </c>
      <c r="J998" t="s">
        <v>69</v>
      </c>
      <c r="K998" t="s">
        <v>69</v>
      </c>
      <c r="L998" t="s">
        <v>69</v>
      </c>
      <c r="M998" t="s">
        <v>2441</v>
      </c>
      <c r="N998" t="s">
        <v>69</v>
      </c>
      <c r="O998" t="s">
        <v>69</v>
      </c>
      <c r="P998" t="s">
        <v>2442</v>
      </c>
      <c r="Q998" t="s">
        <v>2443</v>
      </c>
      <c r="R998" t="s">
        <v>69</v>
      </c>
      <c r="S998" t="s">
        <v>69</v>
      </c>
      <c r="T998" t="s">
        <v>8505</v>
      </c>
      <c r="U998" t="s">
        <v>8506</v>
      </c>
      <c r="V998" t="s">
        <v>69</v>
      </c>
      <c r="W998" t="s">
        <v>69</v>
      </c>
      <c r="X998" t="s">
        <v>69</v>
      </c>
      <c r="Y998" t="s">
        <v>69</v>
      </c>
      <c r="Z998" t="s">
        <v>69</v>
      </c>
      <c r="AA998" t="s">
        <v>19300</v>
      </c>
      <c r="AB998" t="s">
        <v>69</v>
      </c>
      <c r="AC998" t="s">
        <v>2444</v>
      </c>
      <c r="AD998" t="s">
        <v>19301</v>
      </c>
      <c r="AE998" t="s">
        <v>69</v>
      </c>
      <c r="AF998" t="s">
        <v>19302</v>
      </c>
      <c r="AG998" t="s">
        <v>19303</v>
      </c>
      <c r="AH998" t="s">
        <v>19304</v>
      </c>
      <c r="AI998" t="s">
        <v>69</v>
      </c>
      <c r="AJ998" t="s">
        <v>69</v>
      </c>
      <c r="AK998" t="s">
        <v>69</v>
      </c>
      <c r="AL998" t="s">
        <v>69</v>
      </c>
      <c r="AM998" t="s">
        <v>69</v>
      </c>
      <c r="AN998">
        <v>32</v>
      </c>
      <c r="AO998">
        <v>1</v>
      </c>
      <c r="AP998">
        <v>1</v>
      </c>
      <c r="AQ998">
        <v>4</v>
      </c>
      <c r="AR998">
        <v>12</v>
      </c>
      <c r="AS998" t="s">
        <v>19305</v>
      </c>
      <c r="AT998" t="s">
        <v>19306</v>
      </c>
      <c r="AU998" t="s">
        <v>19307</v>
      </c>
      <c r="AV998" t="s">
        <v>69</v>
      </c>
      <c r="AW998" t="s">
        <v>2445</v>
      </c>
      <c r="AX998" t="s">
        <v>69</v>
      </c>
      <c r="AY998" t="s">
        <v>19308</v>
      </c>
      <c r="AZ998" t="s">
        <v>19309</v>
      </c>
      <c r="BA998" t="s">
        <v>69</v>
      </c>
      <c r="BB998">
        <v>2018</v>
      </c>
      <c r="BC998" t="s">
        <v>69</v>
      </c>
      <c r="BD998">
        <v>55</v>
      </c>
      <c r="BE998" t="s">
        <v>69</v>
      </c>
      <c r="BF998" t="s">
        <v>69</v>
      </c>
      <c r="BG998" t="s">
        <v>69</v>
      </c>
      <c r="BH998" t="s">
        <v>69</v>
      </c>
      <c r="BI998">
        <v>37</v>
      </c>
      <c r="BJ998">
        <v>59</v>
      </c>
      <c r="BK998" t="s">
        <v>69</v>
      </c>
      <c r="BL998" t="s">
        <v>2446</v>
      </c>
      <c r="BM998" t="str">
        <f>HYPERLINK("http://dx.doi.org/10.26650/CONNECTIST2018-0023","http://dx.doi.org/10.26650/CONNECTIST2018-0023")</f>
        <v>http://dx.doi.org/10.26650/CONNECTIST2018-0023</v>
      </c>
      <c r="BN998" t="s">
        <v>69</v>
      </c>
      <c r="BO998" t="s">
        <v>69</v>
      </c>
      <c r="BP998">
        <v>23</v>
      </c>
      <c r="BQ998" t="s">
        <v>8443</v>
      </c>
      <c r="BR998" t="s">
        <v>8573</v>
      </c>
      <c r="BS998" t="s">
        <v>8443</v>
      </c>
      <c r="BT998" t="s">
        <v>19310</v>
      </c>
      <c r="BU998" t="s">
        <v>2447</v>
      </c>
      <c r="BV998" t="s">
        <v>69</v>
      </c>
      <c r="BW998" t="s">
        <v>12220</v>
      </c>
      <c r="BX998" t="s">
        <v>69</v>
      </c>
      <c r="BY998" t="s">
        <v>69</v>
      </c>
      <c r="BZ998" t="s">
        <v>8526</v>
      </c>
      <c r="CA998" t="str">
        <f>HYPERLINK("https%3A%2F%2Fwww.webofscience.com%2Fwos%2Fwoscc%2Ffull-record%2FWOS:000454564200002","View Full Record in Web of Science")</f>
        <v>View Full Record in Web of Science</v>
      </c>
    </row>
    <row r="999" spans="2:79" ht="12.5" x14ac:dyDescent="0.25">
      <c r="B999" t="s">
        <v>8495</v>
      </c>
      <c r="D999" s="7" t="s">
        <v>32933</v>
      </c>
      <c r="E999" s="7"/>
      <c r="F999" s="7"/>
      <c r="G999" s="7"/>
      <c r="H999" t="s">
        <v>67</v>
      </c>
      <c r="I999" t="s">
        <v>820</v>
      </c>
      <c r="J999" t="s">
        <v>69</v>
      </c>
      <c r="K999" t="s">
        <v>69</v>
      </c>
      <c r="L999" t="s">
        <v>69</v>
      </c>
      <c r="M999" t="s">
        <v>821</v>
      </c>
      <c r="N999" t="s">
        <v>69</v>
      </c>
      <c r="O999" t="s">
        <v>69</v>
      </c>
      <c r="P999" t="s">
        <v>822</v>
      </c>
      <c r="Q999" t="s">
        <v>823</v>
      </c>
      <c r="R999" t="s">
        <v>69</v>
      </c>
      <c r="S999" t="s">
        <v>69</v>
      </c>
      <c r="T999" t="s">
        <v>8505</v>
      </c>
      <c r="U999" t="s">
        <v>8506</v>
      </c>
      <c r="V999" t="s">
        <v>69</v>
      </c>
      <c r="W999" t="s">
        <v>69</v>
      </c>
      <c r="X999" t="s">
        <v>69</v>
      </c>
      <c r="Y999" t="s">
        <v>69</v>
      </c>
      <c r="Z999" t="s">
        <v>69</v>
      </c>
      <c r="AA999" t="s">
        <v>15910</v>
      </c>
      <c r="AB999" t="s">
        <v>15911</v>
      </c>
      <c r="AC999" t="s">
        <v>824</v>
      </c>
      <c r="AD999" t="s">
        <v>15912</v>
      </c>
      <c r="AE999" t="s">
        <v>69</v>
      </c>
      <c r="AF999" t="s">
        <v>15913</v>
      </c>
      <c r="AG999" t="s">
        <v>15914</v>
      </c>
      <c r="AH999" t="s">
        <v>15915</v>
      </c>
      <c r="AI999" t="s">
        <v>15916</v>
      </c>
      <c r="AJ999" t="s">
        <v>69</v>
      </c>
      <c r="AK999" t="s">
        <v>69</v>
      </c>
      <c r="AL999" t="s">
        <v>69</v>
      </c>
      <c r="AM999" t="s">
        <v>69</v>
      </c>
      <c r="AN999">
        <v>54</v>
      </c>
      <c r="AO999">
        <v>6</v>
      </c>
      <c r="AP999">
        <v>6</v>
      </c>
      <c r="AQ999">
        <v>3</v>
      </c>
      <c r="AR999">
        <v>13</v>
      </c>
      <c r="AS999" t="s">
        <v>9047</v>
      </c>
      <c r="AT999" t="s">
        <v>9048</v>
      </c>
      <c r="AU999" t="s">
        <v>9049</v>
      </c>
      <c r="AV999" t="s">
        <v>825</v>
      </c>
      <c r="AW999" t="s">
        <v>826</v>
      </c>
      <c r="AX999" t="s">
        <v>69</v>
      </c>
      <c r="AY999" t="s">
        <v>15917</v>
      </c>
      <c r="AZ999" t="s">
        <v>15918</v>
      </c>
      <c r="BA999" t="s">
        <v>827</v>
      </c>
      <c r="BB999">
        <v>2020</v>
      </c>
      <c r="BC999">
        <v>192</v>
      </c>
      <c r="BD999">
        <v>2</v>
      </c>
      <c r="BE999" t="s">
        <v>69</v>
      </c>
      <c r="BF999" t="s">
        <v>69</v>
      </c>
      <c r="BG999" t="s">
        <v>69</v>
      </c>
      <c r="BH999" t="s">
        <v>69</v>
      </c>
      <c r="BI999" t="s">
        <v>69</v>
      </c>
      <c r="BJ999" t="s">
        <v>69</v>
      </c>
      <c r="BK999">
        <v>139</v>
      </c>
      <c r="BL999" t="s">
        <v>828</v>
      </c>
      <c r="BM999" t="str">
        <f>HYPERLINK("http://dx.doi.org/10.1007/s10661-020-8098-4","http://dx.doi.org/10.1007/s10661-020-8098-4")</f>
        <v>http://dx.doi.org/10.1007/s10661-020-8098-4</v>
      </c>
      <c r="BN999" t="s">
        <v>69</v>
      </c>
      <c r="BO999" t="s">
        <v>69</v>
      </c>
      <c r="BP999">
        <v>15</v>
      </c>
      <c r="BQ999" t="s">
        <v>8717</v>
      </c>
      <c r="BR999" t="s">
        <v>8548</v>
      </c>
      <c r="BS999" t="s">
        <v>8662</v>
      </c>
      <c r="BT999" t="s">
        <v>15919</v>
      </c>
      <c r="BU999" t="s">
        <v>829</v>
      </c>
      <c r="BV999">
        <v>31980986</v>
      </c>
      <c r="BW999" t="s">
        <v>69</v>
      </c>
      <c r="BX999" t="s">
        <v>69</v>
      </c>
      <c r="BY999" t="s">
        <v>69</v>
      </c>
      <c r="BZ999" t="s">
        <v>8526</v>
      </c>
      <c r="CA999" t="str">
        <f>HYPERLINK("https%3A%2F%2Fwww.webofscience.com%2Fwos%2Fwoscc%2Ffull-record%2FWOS:000513948000003","View Full Record in Web of Science")</f>
        <v>View Full Record in Web of Science</v>
      </c>
    </row>
    <row r="1000" spans="2:79" ht="12.5" x14ac:dyDescent="0.25">
      <c r="B1000" t="s">
        <v>8495</v>
      </c>
      <c r="D1000" s="22" t="s">
        <v>32931</v>
      </c>
      <c r="E1000" s="7"/>
      <c r="F1000" s="7"/>
      <c r="G1000" s="7"/>
      <c r="H1000" t="s">
        <v>67</v>
      </c>
      <c r="I1000" t="s">
        <v>28226</v>
      </c>
      <c r="J1000" t="s">
        <v>69</v>
      </c>
      <c r="K1000" t="s">
        <v>69</v>
      </c>
      <c r="L1000" t="s">
        <v>69</v>
      </c>
      <c r="M1000" t="s">
        <v>28227</v>
      </c>
      <c r="N1000" t="s">
        <v>69</v>
      </c>
      <c r="O1000" t="s">
        <v>69</v>
      </c>
      <c r="P1000" t="s">
        <v>28228</v>
      </c>
      <c r="Q1000" t="s">
        <v>28229</v>
      </c>
      <c r="R1000" t="s">
        <v>69</v>
      </c>
      <c r="S1000" t="s">
        <v>69</v>
      </c>
      <c r="T1000" t="s">
        <v>8505</v>
      </c>
      <c r="U1000" t="s">
        <v>8506</v>
      </c>
      <c r="V1000" t="s">
        <v>69</v>
      </c>
      <c r="W1000" t="s">
        <v>69</v>
      </c>
      <c r="X1000" t="s">
        <v>69</v>
      </c>
      <c r="Y1000" t="s">
        <v>69</v>
      </c>
      <c r="Z1000" t="s">
        <v>69</v>
      </c>
      <c r="AA1000" t="s">
        <v>69</v>
      </c>
      <c r="AB1000" t="s">
        <v>69</v>
      </c>
      <c r="AC1000" t="s">
        <v>28230</v>
      </c>
      <c r="AD1000" t="s">
        <v>28231</v>
      </c>
      <c r="AE1000" t="s">
        <v>69</v>
      </c>
      <c r="AF1000" t="s">
        <v>28232</v>
      </c>
      <c r="AG1000" t="s">
        <v>69</v>
      </c>
      <c r="AH1000" t="s">
        <v>69</v>
      </c>
      <c r="AI1000" t="s">
        <v>69</v>
      </c>
      <c r="AJ1000" t="s">
        <v>69</v>
      </c>
      <c r="AK1000" t="s">
        <v>69</v>
      </c>
      <c r="AL1000" t="s">
        <v>69</v>
      </c>
      <c r="AM1000" t="s">
        <v>69</v>
      </c>
      <c r="AN1000">
        <v>8</v>
      </c>
      <c r="AO1000">
        <v>1</v>
      </c>
      <c r="AP1000">
        <v>1</v>
      </c>
      <c r="AQ1000">
        <v>0</v>
      </c>
      <c r="AR1000">
        <v>0</v>
      </c>
      <c r="AS1000" t="s">
        <v>28233</v>
      </c>
      <c r="AT1000" t="s">
        <v>8763</v>
      </c>
      <c r="AU1000" t="s">
        <v>28234</v>
      </c>
      <c r="AV1000" t="s">
        <v>28235</v>
      </c>
      <c r="AW1000" t="s">
        <v>69</v>
      </c>
      <c r="AX1000" t="s">
        <v>69</v>
      </c>
      <c r="AY1000" t="s">
        <v>28229</v>
      </c>
      <c r="AZ1000" t="s">
        <v>28236</v>
      </c>
      <c r="BA1000" t="s">
        <v>69</v>
      </c>
      <c r="BB1000">
        <v>2010</v>
      </c>
      <c r="BC1000">
        <v>2</v>
      </c>
      <c r="BD1000">
        <v>1</v>
      </c>
      <c r="BE1000" t="s">
        <v>69</v>
      </c>
      <c r="BF1000" t="s">
        <v>69</v>
      </c>
      <c r="BG1000" t="s">
        <v>69</v>
      </c>
      <c r="BH1000" t="s">
        <v>69</v>
      </c>
      <c r="BI1000">
        <v>113</v>
      </c>
      <c r="BJ1000">
        <v>125</v>
      </c>
      <c r="BK1000" t="s">
        <v>69</v>
      </c>
      <c r="BL1000" t="s">
        <v>28237</v>
      </c>
      <c r="BM1000" t="str">
        <f>HYPERLINK("http://dx.doi.org/10.5334/pp.28","http://dx.doi.org/10.5334/pp.28")</f>
        <v>http://dx.doi.org/10.5334/pp.28</v>
      </c>
      <c r="BN1000" t="s">
        <v>69</v>
      </c>
      <c r="BO1000" t="s">
        <v>69</v>
      </c>
      <c r="BP1000">
        <v>13</v>
      </c>
      <c r="BQ1000" t="s">
        <v>11206</v>
      </c>
      <c r="BR1000" t="s">
        <v>8573</v>
      </c>
      <c r="BS1000" t="s">
        <v>11208</v>
      </c>
      <c r="BT1000" t="s">
        <v>28238</v>
      </c>
      <c r="BU1000" t="s">
        <v>28239</v>
      </c>
      <c r="BV1000" t="s">
        <v>69</v>
      </c>
      <c r="BW1000" t="s">
        <v>8812</v>
      </c>
      <c r="BX1000" t="s">
        <v>69</v>
      </c>
      <c r="BY1000" t="s">
        <v>69</v>
      </c>
      <c r="BZ1000" t="s">
        <v>8526</v>
      </c>
      <c r="CA1000" t="str">
        <f>HYPERLINK("https%3A%2F%2Fwww.webofscience.com%2Fwos%2Fwoscc%2Ffull-record%2FWOS:000421779900013","View Full Record in Web of Science")</f>
        <v>View Full Record in Web of Science</v>
      </c>
    </row>
    <row r="1001" spans="2:79" ht="12.5" x14ac:dyDescent="0.25">
      <c r="B1001" t="s">
        <v>8495</v>
      </c>
      <c r="D1001" s="7" t="s">
        <v>32933</v>
      </c>
      <c r="E1001" s="7"/>
      <c r="F1001" s="7"/>
      <c r="G1001" s="7"/>
      <c r="H1001" t="s">
        <v>67</v>
      </c>
      <c r="I1001" t="s">
        <v>3465</v>
      </c>
      <c r="J1001" t="s">
        <v>69</v>
      </c>
      <c r="K1001" t="s">
        <v>69</v>
      </c>
      <c r="L1001" t="s">
        <v>69</v>
      </c>
      <c r="M1001" t="s">
        <v>3466</v>
      </c>
      <c r="N1001" t="s">
        <v>69</v>
      </c>
      <c r="O1001" t="s">
        <v>69</v>
      </c>
      <c r="P1001" t="s">
        <v>3467</v>
      </c>
      <c r="Q1001" t="s">
        <v>3088</v>
      </c>
      <c r="R1001" t="s">
        <v>69</v>
      </c>
      <c r="S1001" t="s">
        <v>69</v>
      </c>
      <c r="T1001" t="s">
        <v>8505</v>
      </c>
      <c r="U1001" t="s">
        <v>8506</v>
      </c>
      <c r="V1001" t="s">
        <v>69</v>
      </c>
      <c r="W1001" t="s">
        <v>69</v>
      </c>
      <c r="X1001" t="s">
        <v>69</v>
      </c>
      <c r="Y1001" t="s">
        <v>69</v>
      </c>
      <c r="Z1001" t="s">
        <v>69</v>
      </c>
      <c r="AA1001" t="s">
        <v>27187</v>
      </c>
      <c r="AB1001" t="s">
        <v>27188</v>
      </c>
      <c r="AC1001" t="s">
        <v>3468</v>
      </c>
      <c r="AD1001" t="s">
        <v>27189</v>
      </c>
      <c r="AE1001" t="s">
        <v>69</v>
      </c>
      <c r="AF1001" t="s">
        <v>27190</v>
      </c>
      <c r="AG1001" t="s">
        <v>27191</v>
      </c>
      <c r="AH1001" t="s">
        <v>69</v>
      </c>
      <c r="AI1001" t="s">
        <v>69</v>
      </c>
      <c r="AJ1001" t="s">
        <v>69</v>
      </c>
      <c r="AK1001" t="s">
        <v>69</v>
      </c>
      <c r="AL1001" t="s">
        <v>69</v>
      </c>
      <c r="AM1001" t="s">
        <v>69</v>
      </c>
      <c r="AN1001">
        <v>44</v>
      </c>
      <c r="AO1001">
        <v>6</v>
      </c>
      <c r="AP1001">
        <v>7</v>
      </c>
      <c r="AQ1001">
        <v>3</v>
      </c>
      <c r="AR1001">
        <v>28</v>
      </c>
      <c r="AS1001" t="s">
        <v>22996</v>
      </c>
      <c r="AT1001" t="s">
        <v>22997</v>
      </c>
      <c r="AU1001" t="s">
        <v>22998</v>
      </c>
      <c r="AV1001" t="s">
        <v>3090</v>
      </c>
      <c r="AW1001" t="s">
        <v>3091</v>
      </c>
      <c r="AX1001" t="s">
        <v>69</v>
      </c>
      <c r="AY1001" t="s">
        <v>22999</v>
      </c>
      <c r="AZ1001" t="s">
        <v>23000</v>
      </c>
      <c r="BA1001" t="s">
        <v>69</v>
      </c>
      <c r="BB1001">
        <v>2011</v>
      </c>
      <c r="BC1001">
        <v>22</v>
      </c>
      <c r="BD1001">
        <v>4</v>
      </c>
      <c r="BE1001" t="s">
        <v>69</v>
      </c>
      <c r="BF1001" t="s">
        <v>69</v>
      </c>
      <c r="BG1001" t="s">
        <v>69</v>
      </c>
      <c r="BH1001" t="s">
        <v>69</v>
      </c>
      <c r="BI1001">
        <v>367</v>
      </c>
      <c r="BJ1001">
        <v>379</v>
      </c>
      <c r="BK1001" t="s">
        <v>69</v>
      </c>
      <c r="BL1001" t="s">
        <v>3469</v>
      </c>
      <c r="BM1001" t="str">
        <f>HYPERLINK("http://dx.doi.org/10.5755/j01.ee.22.4.712","http://dx.doi.org/10.5755/j01.ee.22.4.712")</f>
        <v>http://dx.doi.org/10.5755/j01.ee.22.4.712</v>
      </c>
      <c r="BN1001" t="s">
        <v>69</v>
      </c>
      <c r="BO1001" t="s">
        <v>69</v>
      </c>
      <c r="BP1001">
        <v>13</v>
      </c>
      <c r="BQ1001" t="s">
        <v>9726</v>
      </c>
      <c r="BR1001" t="s">
        <v>8661</v>
      </c>
      <c r="BS1001" t="s">
        <v>8594</v>
      </c>
      <c r="BT1001" t="s">
        <v>27192</v>
      </c>
      <c r="BU1001" t="s">
        <v>3470</v>
      </c>
      <c r="BV1001" t="s">
        <v>69</v>
      </c>
      <c r="BW1001" t="s">
        <v>69</v>
      </c>
      <c r="BX1001" t="s">
        <v>69</v>
      </c>
      <c r="BY1001" t="s">
        <v>69</v>
      </c>
      <c r="BZ1001" t="s">
        <v>8526</v>
      </c>
      <c r="CA1001" t="str">
        <f>HYPERLINK("https%3A%2F%2Fwww.webofscience.com%2Fwos%2Fwoscc%2Ffull-record%2FWOS:000300570000004","View Full Record in Web of Science")</f>
        <v>View Full Record in Web of Science</v>
      </c>
    </row>
    <row r="1002" spans="2:79" ht="12.5" x14ac:dyDescent="0.25">
      <c r="B1002" t="s">
        <v>8495</v>
      </c>
      <c r="D1002" s="22" t="s">
        <v>32931</v>
      </c>
      <c r="E1002" s="7"/>
      <c r="F1002" s="7"/>
      <c r="G1002" s="7"/>
      <c r="H1002" t="s">
        <v>67</v>
      </c>
      <c r="I1002" t="s">
        <v>18152</v>
      </c>
      <c r="J1002" t="s">
        <v>69</v>
      </c>
      <c r="K1002" t="s">
        <v>69</v>
      </c>
      <c r="L1002" t="s">
        <v>69</v>
      </c>
      <c r="M1002" t="s">
        <v>18153</v>
      </c>
      <c r="N1002" t="s">
        <v>69</v>
      </c>
      <c r="O1002" t="s">
        <v>69</v>
      </c>
      <c r="P1002" t="s">
        <v>18154</v>
      </c>
      <c r="Q1002" t="s">
        <v>2107</v>
      </c>
      <c r="R1002" t="s">
        <v>69</v>
      </c>
      <c r="S1002" t="s">
        <v>69</v>
      </c>
      <c r="T1002" t="s">
        <v>8505</v>
      </c>
      <c r="U1002" t="s">
        <v>8506</v>
      </c>
      <c r="V1002" t="s">
        <v>69</v>
      </c>
      <c r="W1002" t="s">
        <v>69</v>
      </c>
      <c r="X1002" t="s">
        <v>69</v>
      </c>
      <c r="Y1002" t="s">
        <v>69</v>
      </c>
      <c r="Z1002" t="s">
        <v>69</v>
      </c>
      <c r="AA1002" t="s">
        <v>18155</v>
      </c>
      <c r="AB1002" t="s">
        <v>18156</v>
      </c>
      <c r="AC1002" t="s">
        <v>18157</v>
      </c>
      <c r="AD1002" t="s">
        <v>18158</v>
      </c>
      <c r="AE1002" t="s">
        <v>69</v>
      </c>
      <c r="AF1002" t="s">
        <v>18159</v>
      </c>
      <c r="AG1002" t="s">
        <v>18160</v>
      </c>
      <c r="AH1002" t="s">
        <v>69</v>
      </c>
      <c r="AI1002" t="s">
        <v>18161</v>
      </c>
      <c r="AJ1002" t="s">
        <v>18162</v>
      </c>
      <c r="AK1002" t="s">
        <v>18163</v>
      </c>
      <c r="AL1002" t="s">
        <v>18164</v>
      </c>
      <c r="AM1002" t="s">
        <v>69</v>
      </c>
      <c r="AN1002">
        <v>40</v>
      </c>
      <c r="AO1002">
        <v>0</v>
      </c>
      <c r="AP1002">
        <v>0</v>
      </c>
      <c r="AQ1002">
        <v>0</v>
      </c>
      <c r="AR1002">
        <v>3</v>
      </c>
      <c r="AS1002" t="s">
        <v>8924</v>
      </c>
      <c r="AT1002" t="s">
        <v>8925</v>
      </c>
      <c r="AU1002" t="s">
        <v>8926</v>
      </c>
      <c r="AV1002" t="s">
        <v>69</v>
      </c>
      <c r="AW1002" t="s">
        <v>2110</v>
      </c>
      <c r="AX1002" t="s">
        <v>69</v>
      </c>
      <c r="AY1002" t="s">
        <v>10592</v>
      </c>
      <c r="AZ1002" t="s">
        <v>10593</v>
      </c>
      <c r="BA1002" t="s">
        <v>274</v>
      </c>
      <c r="BB1002">
        <v>2018</v>
      </c>
      <c r="BC1002">
        <v>15</v>
      </c>
      <c r="BD1002">
        <v>11</v>
      </c>
      <c r="BE1002" t="s">
        <v>69</v>
      </c>
      <c r="BF1002" t="s">
        <v>69</v>
      </c>
      <c r="BG1002" t="s">
        <v>69</v>
      </c>
      <c r="BH1002" t="s">
        <v>69</v>
      </c>
      <c r="BI1002" t="s">
        <v>69</v>
      </c>
      <c r="BJ1002" t="s">
        <v>69</v>
      </c>
      <c r="BK1002">
        <v>2533</v>
      </c>
      <c r="BL1002" t="s">
        <v>18165</v>
      </c>
      <c r="BM1002" t="str">
        <f>HYPERLINK("http://dx.doi.org/10.3390/ijerph15112533","http://dx.doi.org/10.3390/ijerph15112533")</f>
        <v>http://dx.doi.org/10.3390/ijerph15112533</v>
      </c>
      <c r="BN1002" t="s">
        <v>69</v>
      </c>
      <c r="BO1002" t="s">
        <v>69</v>
      </c>
      <c r="BP1002">
        <v>13</v>
      </c>
      <c r="BQ1002" t="s">
        <v>10595</v>
      </c>
      <c r="BR1002" t="s">
        <v>8523</v>
      </c>
      <c r="BS1002" t="s">
        <v>10596</v>
      </c>
      <c r="BT1002" t="s">
        <v>18166</v>
      </c>
      <c r="BU1002" t="s">
        <v>18167</v>
      </c>
      <c r="BV1002">
        <v>30424550</v>
      </c>
      <c r="BW1002" t="s">
        <v>10765</v>
      </c>
      <c r="BX1002" t="s">
        <v>69</v>
      </c>
      <c r="BY1002" t="s">
        <v>69</v>
      </c>
      <c r="BZ1002" t="s">
        <v>8526</v>
      </c>
      <c r="CA1002" t="str">
        <f>HYPERLINK("https%3A%2F%2Fwww.webofscience.com%2Fwos%2Fwoscc%2Ffull-record%2FWOS:000451640500207","View Full Record in Web of Science")</f>
        <v>View Full Record in Web of Science</v>
      </c>
    </row>
    <row r="1003" spans="2:79" x14ac:dyDescent="0.3">
      <c r="B1003" t="s">
        <v>8495</v>
      </c>
      <c r="D1003" s="12" t="s">
        <v>33002</v>
      </c>
      <c r="H1003" t="s">
        <v>67</v>
      </c>
      <c r="I1003" t="s">
        <v>4698</v>
      </c>
      <c r="J1003" t="s">
        <v>69</v>
      </c>
      <c r="K1003" t="s">
        <v>69</v>
      </c>
      <c r="L1003" t="s">
        <v>69</v>
      </c>
      <c r="M1003" s="3" t="s">
        <v>4699</v>
      </c>
      <c r="N1003" t="s">
        <v>69</v>
      </c>
      <c r="O1003" t="s">
        <v>69</v>
      </c>
      <c r="P1003" s="2" t="s">
        <v>4700</v>
      </c>
      <c r="Q1003" t="s">
        <v>4701</v>
      </c>
      <c r="R1003" t="s">
        <v>69</v>
      </c>
      <c r="S1003" t="s">
        <v>69</v>
      </c>
      <c r="T1003" t="s">
        <v>8505</v>
      </c>
      <c r="U1003" t="s">
        <v>8506</v>
      </c>
      <c r="V1003" t="s">
        <v>69</v>
      </c>
      <c r="W1003" t="s">
        <v>69</v>
      </c>
      <c r="X1003" t="s">
        <v>69</v>
      </c>
      <c r="Y1003" t="s">
        <v>69</v>
      </c>
      <c r="Z1003" t="s">
        <v>69</v>
      </c>
      <c r="AA1003" t="s">
        <v>27639</v>
      </c>
      <c r="AB1003" t="s">
        <v>27640</v>
      </c>
      <c r="AC1003" t="s">
        <v>4702</v>
      </c>
      <c r="AD1003" t="s">
        <v>27641</v>
      </c>
      <c r="AE1003" t="s">
        <v>69</v>
      </c>
      <c r="AF1003" t="s">
        <v>27642</v>
      </c>
      <c r="AG1003" t="s">
        <v>27643</v>
      </c>
      <c r="AH1003" t="s">
        <v>4703</v>
      </c>
      <c r="AI1003" t="s">
        <v>4704</v>
      </c>
      <c r="AJ1003" t="s">
        <v>69</v>
      </c>
      <c r="AK1003" t="s">
        <v>69</v>
      </c>
      <c r="AL1003" t="s">
        <v>69</v>
      </c>
      <c r="AM1003" t="s">
        <v>69</v>
      </c>
      <c r="AN1003">
        <v>110</v>
      </c>
      <c r="AO1003">
        <v>19</v>
      </c>
      <c r="AP1003">
        <v>19</v>
      </c>
      <c r="AQ1003">
        <v>1</v>
      </c>
      <c r="AR1003">
        <v>50</v>
      </c>
      <c r="AS1003" t="s">
        <v>8636</v>
      </c>
      <c r="AT1003" t="s">
        <v>8637</v>
      </c>
      <c r="AU1003" t="s">
        <v>8638</v>
      </c>
      <c r="AV1003" t="s">
        <v>4705</v>
      </c>
      <c r="AW1003" t="s">
        <v>4706</v>
      </c>
      <c r="AX1003" t="s">
        <v>69</v>
      </c>
      <c r="AY1003" t="s">
        <v>27644</v>
      </c>
      <c r="AZ1003" t="s">
        <v>27645</v>
      </c>
      <c r="BA1003" t="s">
        <v>255</v>
      </c>
      <c r="BB1003">
        <v>2010</v>
      </c>
      <c r="BC1003">
        <v>26</v>
      </c>
      <c r="BD1003">
        <v>3</v>
      </c>
      <c r="BE1003" t="s">
        <v>69</v>
      </c>
      <c r="BF1003" t="s">
        <v>69</v>
      </c>
      <c r="BG1003" t="s">
        <v>114</v>
      </c>
      <c r="BH1003" t="s">
        <v>69</v>
      </c>
      <c r="BI1003">
        <v>279</v>
      </c>
      <c r="BJ1003">
        <v>289</v>
      </c>
      <c r="BK1003" t="s">
        <v>69</v>
      </c>
      <c r="BL1003" t="s">
        <v>4707</v>
      </c>
      <c r="BM1003" t="str">
        <f>HYPERLINK("http://dx.doi.org/10.1016/j.scaman.2010.05.004","http://dx.doi.org/10.1016/j.scaman.2010.05.004")</f>
        <v>http://dx.doi.org/10.1016/j.scaman.2010.05.004</v>
      </c>
      <c r="BN1003" t="s">
        <v>69</v>
      </c>
      <c r="BO1003" t="s">
        <v>69</v>
      </c>
      <c r="BP1003">
        <v>11</v>
      </c>
      <c r="BQ1003" t="s">
        <v>9410</v>
      </c>
      <c r="BR1003" t="s">
        <v>8661</v>
      </c>
      <c r="BS1003" t="s">
        <v>8594</v>
      </c>
      <c r="BT1003" t="s">
        <v>27646</v>
      </c>
      <c r="BU1003" t="s">
        <v>4708</v>
      </c>
      <c r="BV1003" t="s">
        <v>69</v>
      </c>
      <c r="BW1003" t="s">
        <v>10995</v>
      </c>
      <c r="BX1003" t="s">
        <v>69</v>
      </c>
      <c r="BY1003" t="s">
        <v>69</v>
      </c>
      <c r="BZ1003" t="s">
        <v>8526</v>
      </c>
      <c r="CA1003" t="str">
        <f>HYPERLINK("https%3A%2F%2Fwww.webofscience.com%2Fwos%2Fwoscc%2Ffull-record%2FWOS:000282032000006","View Full Record in Web of Science")</f>
        <v>View Full Record in Web of Science</v>
      </c>
    </row>
    <row r="1004" spans="2:79" ht="12.5" x14ac:dyDescent="0.25">
      <c r="B1004" t="s">
        <v>8495</v>
      </c>
      <c r="D1004" s="22" t="s">
        <v>32931</v>
      </c>
      <c r="E1004" s="7"/>
      <c r="F1004" s="7"/>
      <c r="G1004" s="7"/>
      <c r="H1004" t="s">
        <v>67</v>
      </c>
      <c r="I1004" t="s">
        <v>13477</v>
      </c>
      <c r="J1004" t="s">
        <v>69</v>
      </c>
      <c r="K1004" t="s">
        <v>69</v>
      </c>
      <c r="L1004" t="s">
        <v>69</v>
      </c>
      <c r="M1004" t="s">
        <v>13478</v>
      </c>
      <c r="N1004" t="s">
        <v>69</v>
      </c>
      <c r="O1004" t="s">
        <v>69</v>
      </c>
      <c r="P1004" t="s">
        <v>13479</v>
      </c>
      <c r="Q1004" t="s">
        <v>13480</v>
      </c>
      <c r="R1004" t="s">
        <v>69</v>
      </c>
      <c r="S1004" t="s">
        <v>69</v>
      </c>
      <c r="T1004" t="s">
        <v>10153</v>
      </c>
      <c r="U1004" t="s">
        <v>8506</v>
      </c>
      <c r="V1004" t="s">
        <v>69</v>
      </c>
      <c r="W1004" t="s">
        <v>69</v>
      </c>
      <c r="X1004" t="s">
        <v>69</v>
      </c>
      <c r="Y1004" t="s">
        <v>69</v>
      </c>
      <c r="Z1004" t="s">
        <v>69</v>
      </c>
      <c r="AA1004" t="s">
        <v>13481</v>
      </c>
      <c r="AB1004" t="s">
        <v>13482</v>
      </c>
      <c r="AC1004" t="s">
        <v>13483</v>
      </c>
      <c r="AD1004" t="s">
        <v>13484</v>
      </c>
      <c r="AE1004" t="s">
        <v>69</v>
      </c>
      <c r="AF1004" t="s">
        <v>13485</v>
      </c>
      <c r="AG1004" t="s">
        <v>13486</v>
      </c>
      <c r="AH1004" t="s">
        <v>69</v>
      </c>
      <c r="AI1004" t="s">
        <v>69</v>
      </c>
      <c r="AJ1004" t="s">
        <v>69</v>
      </c>
      <c r="AK1004" t="s">
        <v>69</v>
      </c>
      <c r="AL1004" t="s">
        <v>69</v>
      </c>
      <c r="AM1004" t="s">
        <v>69</v>
      </c>
      <c r="AN1004">
        <v>63</v>
      </c>
      <c r="AO1004">
        <v>0</v>
      </c>
      <c r="AP1004">
        <v>0</v>
      </c>
      <c r="AQ1004">
        <v>1</v>
      </c>
      <c r="AR1004">
        <v>1</v>
      </c>
      <c r="AS1004" t="s">
        <v>13487</v>
      </c>
      <c r="AT1004" t="s">
        <v>13488</v>
      </c>
      <c r="AU1004" t="s">
        <v>13489</v>
      </c>
      <c r="AV1004" t="s">
        <v>13490</v>
      </c>
      <c r="AW1004" t="s">
        <v>69</v>
      </c>
      <c r="AX1004" t="s">
        <v>69</v>
      </c>
      <c r="AY1004" t="s">
        <v>13491</v>
      </c>
      <c r="AZ1004" t="s">
        <v>13492</v>
      </c>
      <c r="BA1004" t="s">
        <v>13493</v>
      </c>
      <c r="BB1004">
        <v>2021</v>
      </c>
      <c r="BC1004">
        <v>11</v>
      </c>
      <c r="BD1004" t="s">
        <v>69</v>
      </c>
      <c r="BE1004" t="s">
        <v>69</v>
      </c>
      <c r="BF1004" t="s">
        <v>69</v>
      </c>
      <c r="BG1004" t="s">
        <v>69</v>
      </c>
      <c r="BH1004" t="s">
        <v>69</v>
      </c>
      <c r="BI1004" t="s">
        <v>69</v>
      </c>
      <c r="BJ1004" t="s">
        <v>69</v>
      </c>
      <c r="BK1004" t="s">
        <v>69</v>
      </c>
      <c r="BL1004" t="s">
        <v>13494</v>
      </c>
      <c r="BM1004" t="str">
        <f>HYPERLINK("http://dx.doi.org/10.22279/navus.2021.v11.p01-20.1615","http://dx.doi.org/10.22279/navus.2021.v11.p01-20.1615")</f>
        <v>http://dx.doi.org/10.22279/navus.2021.v11.p01-20.1615</v>
      </c>
      <c r="BN1004" t="s">
        <v>69</v>
      </c>
      <c r="BO1004" t="s">
        <v>69</v>
      </c>
      <c r="BP1004">
        <v>20</v>
      </c>
      <c r="BQ1004" t="s">
        <v>9410</v>
      </c>
      <c r="BR1004" t="s">
        <v>8573</v>
      </c>
      <c r="BS1004" t="s">
        <v>8594</v>
      </c>
      <c r="BT1004" t="s">
        <v>13495</v>
      </c>
      <c r="BU1004" t="s">
        <v>13496</v>
      </c>
      <c r="BV1004" t="s">
        <v>69</v>
      </c>
      <c r="BW1004" t="s">
        <v>11853</v>
      </c>
      <c r="BX1004" t="s">
        <v>69</v>
      </c>
      <c r="BY1004" t="s">
        <v>69</v>
      </c>
      <c r="BZ1004" t="s">
        <v>8526</v>
      </c>
      <c r="CA1004" t="str">
        <f>HYPERLINK("https%3A%2F%2Fwww.webofscience.com%2Fwos%2Fwoscc%2Ffull-record%2FWOS:000717553200001","View Full Record in Web of Science")</f>
        <v>View Full Record in Web of Science</v>
      </c>
    </row>
    <row r="1005" spans="2:79" ht="12.5" x14ac:dyDescent="0.25">
      <c r="B1005" t="s">
        <v>8495</v>
      </c>
      <c r="D1005" s="22" t="s">
        <v>32931</v>
      </c>
      <c r="E1005" s="7"/>
      <c r="F1005" s="7"/>
      <c r="G1005" s="7"/>
      <c r="H1005" t="s">
        <v>67</v>
      </c>
      <c r="I1005" t="s">
        <v>15024</v>
      </c>
      <c r="J1005" t="s">
        <v>69</v>
      </c>
      <c r="K1005" t="s">
        <v>69</v>
      </c>
      <c r="L1005" t="s">
        <v>69</v>
      </c>
      <c r="M1005" t="s">
        <v>15025</v>
      </c>
      <c r="N1005" t="s">
        <v>69</v>
      </c>
      <c r="O1005" t="s">
        <v>69</v>
      </c>
      <c r="P1005" t="s">
        <v>15026</v>
      </c>
      <c r="Q1005" t="s">
        <v>15027</v>
      </c>
      <c r="R1005" t="s">
        <v>69</v>
      </c>
      <c r="S1005" t="s">
        <v>69</v>
      </c>
      <c r="T1005" t="s">
        <v>8505</v>
      </c>
      <c r="U1005" t="s">
        <v>8506</v>
      </c>
      <c r="V1005" t="s">
        <v>69</v>
      </c>
      <c r="W1005" t="s">
        <v>69</v>
      </c>
      <c r="X1005" t="s">
        <v>69</v>
      </c>
      <c r="Y1005" t="s">
        <v>69</v>
      </c>
      <c r="Z1005" t="s">
        <v>69</v>
      </c>
      <c r="AA1005" t="s">
        <v>15028</v>
      </c>
      <c r="AB1005" t="s">
        <v>15029</v>
      </c>
      <c r="AC1005" t="s">
        <v>15030</v>
      </c>
      <c r="AD1005" t="s">
        <v>15031</v>
      </c>
      <c r="AE1005" t="s">
        <v>69</v>
      </c>
      <c r="AF1005" t="s">
        <v>15032</v>
      </c>
      <c r="AG1005" t="s">
        <v>15033</v>
      </c>
      <c r="AH1005" t="s">
        <v>15034</v>
      </c>
      <c r="AI1005" t="s">
        <v>15035</v>
      </c>
      <c r="AJ1005" t="s">
        <v>15036</v>
      </c>
      <c r="AK1005" t="s">
        <v>15037</v>
      </c>
      <c r="AL1005" t="s">
        <v>15038</v>
      </c>
      <c r="AM1005" t="s">
        <v>69</v>
      </c>
      <c r="AN1005">
        <v>37</v>
      </c>
      <c r="AO1005">
        <v>7</v>
      </c>
      <c r="AP1005">
        <v>7</v>
      </c>
      <c r="AQ1005">
        <v>0</v>
      </c>
      <c r="AR1005">
        <v>1</v>
      </c>
      <c r="AS1005" t="s">
        <v>14489</v>
      </c>
      <c r="AT1005" t="s">
        <v>14490</v>
      </c>
      <c r="AU1005" t="s">
        <v>14491</v>
      </c>
      <c r="AV1005" t="s">
        <v>15039</v>
      </c>
      <c r="AW1005" t="s">
        <v>15040</v>
      </c>
      <c r="AX1005" t="s">
        <v>69</v>
      </c>
      <c r="AY1005" t="s">
        <v>15041</v>
      </c>
      <c r="AZ1005" t="s">
        <v>15042</v>
      </c>
      <c r="BA1005" t="s">
        <v>155</v>
      </c>
      <c r="BB1005">
        <v>2020</v>
      </c>
      <c r="BC1005">
        <v>5</v>
      </c>
      <c r="BD1005">
        <v>2</v>
      </c>
      <c r="BE1005" t="s">
        <v>69</v>
      </c>
      <c r="BF1005" t="s">
        <v>69</v>
      </c>
      <c r="BG1005" t="s">
        <v>69</v>
      </c>
      <c r="BH1005" t="s">
        <v>69</v>
      </c>
      <c r="BI1005">
        <v>172</v>
      </c>
      <c r="BJ1005">
        <v>182</v>
      </c>
      <c r="BK1005" t="s">
        <v>69</v>
      </c>
      <c r="BL1005" t="s">
        <v>15043</v>
      </c>
      <c r="BM1005" t="str">
        <f>HYPERLINK("http://dx.doi.org/10.1089/can.2019.0051","http://dx.doi.org/10.1089/can.2019.0051")</f>
        <v>http://dx.doi.org/10.1089/can.2019.0051</v>
      </c>
      <c r="BN1005" t="s">
        <v>69</v>
      </c>
      <c r="BO1005" t="s">
        <v>69</v>
      </c>
      <c r="BP1005">
        <v>11</v>
      </c>
      <c r="BQ1005" t="s">
        <v>15044</v>
      </c>
      <c r="BR1005" t="s">
        <v>8523</v>
      </c>
      <c r="BS1005" t="s">
        <v>15044</v>
      </c>
      <c r="BT1005" t="s">
        <v>15045</v>
      </c>
      <c r="BU1005" t="s">
        <v>15046</v>
      </c>
      <c r="BV1005">
        <v>32656349</v>
      </c>
      <c r="BW1005" t="s">
        <v>10423</v>
      </c>
      <c r="BX1005" t="s">
        <v>69</v>
      </c>
      <c r="BY1005" t="s">
        <v>69</v>
      </c>
      <c r="BZ1005" t="s">
        <v>8526</v>
      </c>
      <c r="CA1005" t="str">
        <f>HYPERLINK("https%3A%2F%2Fwww.webofscience.com%2Fwos%2Fwoscc%2Ffull-record%2FWOS:000616148300007","View Full Record in Web of Science")</f>
        <v>View Full Record in Web of Science</v>
      </c>
    </row>
    <row r="1006" spans="2:79" ht="12.5" x14ac:dyDescent="0.25">
      <c r="B1006" t="s">
        <v>8495</v>
      </c>
      <c r="D1006" s="7" t="s">
        <v>32933</v>
      </c>
      <c r="E1006" s="7"/>
      <c r="F1006" s="7"/>
      <c r="G1006" s="7"/>
      <c r="H1006" t="s">
        <v>67</v>
      </c>
      <c r="I1006" t="s">
        <v>4962</v>
      </c>
      <c r="J1006" t="s">
        <v>69</v>
      </c>
      <c r="K1006" t="s">
        <v>69</v>
      </c>
      <c r="L1006" t="s">
        <v>69</v>
      </c>
      <c r="M1006" t="s">
        <v>4963</v>
      </c>
      <c r="N1006" t="s">
        <v>69</v>
      </c>
      <c r="O1006" t="s">
        <v>69</v>
      </c>
      <c r="P1006" t="s">
        <v>4964</v>
      </c>
      <c r="Q1006" t="s">
        <v>352</v>
      </c>
      <c r="R1006" t="s">
        <v>69</v>
      </c>
      <c r="S1006" t="s">
        <v>69</v>
      </c>
      <c r="T1006" t="s">
        <v>8505</v>
      </c>
      <c r="U1006" t="s">
        <v>8506</v>
      </c>
      <c r="V1006" t="s">
        <v>69</v>
      </c>
      <c r="W1006" t="s">
        <v>69</v>
      </c>
      <c r="X1006" t="s">
        <v>69</v>
      </c>
      <c r="Y1006" t="s">
        <v>69</v>
      </c>
      <c r="Z1006" t="s">
        <v>69</v>
      </c>
      <c r="AA1006" t="s">
        <v>18990</v>
      </c>
      <c r="AB1006" t="s">
        <v>18991</v>
      </c>
      <c r="AC1006" t="s">
        <v>4965</v>
      </c>
      <c r="AD1006" t="s">
        <v>18992</v>
      </c>
      <c r="AE1006" t="s">
        <v>69</v>
      </c>
      <c r="AF1006" t="s">
        <v>18993</v>
      </c>
      <c r="AG1006" t="s">
        <v>18994</v>
      </c>
      <c r="AH1006" t="s">
        <v>69</v>
      </c>
      <c r="AI1006" t="s">
        <v>69</v>
      </c>
      <c r="AJ1006" t="s">
        <v>18995</v>
      </c>
      <c r="AK1006" t="s">
        <v>18996</v>
      </c>
      <c r="AL1006" t="s">
        <v>18997</v>
      </c>
      <c r="AM1006" t="s">
        <v>69</v>
      </c>
      <c r="AN1006">
        <v>51</v>
      </c>
      <c r="AO1006">
        <v>2</v>
      </c>
      <c r="AP1006">
        <v>2</v>
      </c>
      <c r="AQ1006">
        <v>3</v>
      </c>
      <c r="AR1006">
        <v>11</v>
      </c>
      <c r="AS1006" t="s">
        <v>8924</v>
      </c>
      <c r="AT1006" t="s">
        <v>8925</v>
      </c>
      <c r="AU1006" t="s">
        <v>8926</v>
      </c>
      <c r="AV1006" t="s">
        <v>69</v>
      </c>
      <c r="AW1006" t="s">
        <v>354</v>
      </c>
      <c r="AX1006" t="s">
        <v>69</v>
      </c>
      <c r="AY1006" t="s">
        <v>8958</v>
      </c>
      <c r="AZ1006" t="s">
        <v>8434</v>
      </c>
      <c r="BA1006" t="s">
        <v>246</v>
      </c>
      <c r="BB1006">
        <v>2018</v>
      </c>
      <c r="BC1006">
        <v>10</v>
      </c>
      <c r="BD1006">
        <v>4</v>
      </c>
      <c r="BE1006" t="s">
        <v>69</v>
      </c>
      <c r="BF1006" t="s">
        <v>69</v>
      </c>
      <c r="BG1006" t="s">
        <v>69</v>
      </c>
      <c r="BH1006" t="s">
        <v>69</v>
      </c>
      <c r="BI1006" t="s">
        <v>69</v>
      </c>
      <c r="BJ1006" t="s">
        <v>69</v>
      </c>
      <c r="BK1006">
        <v>1263</v>
      </c>
      <c r="BL1006" t="s">
        <v>4966</v>
      </c>
      <c r="BM1006" t="str">
        <f>HYPERLINK("http://dx.doi.org/10.3390/su10041263","http://dx.doi.org/10.3390/su10041263")</f>
        <v>http://dx.doi.org/10.3390/su10041263</v>
      </c>
      <c r="BN1006" t="s">
        <v>69</v>
      </c>
      <c r="BO1006" t="s">
        <v>69</v>
      </c>
      <c r="BP1006">
        <v>15</v>
      </c>
      <c r="BQ1006" t="s">
        <v>8960</v>
      </c>
      <c r="BR1006" t="s">
        <v>8523</v>
      </c>
      <c r="BS1006" t="s">
        <v>8961</v>
      </c>
      <c r="BT1006" t="s">
        <v>18998</v>
      </c>
      <c r="BU1006" t="s">
        <v>4967</v>
      </c>
      <c r="BV1006" t="s">
        <v>69</v>
      </c>
      <c r="BW1006" t="s">
        <v>8931</v>
      </c>
      <c r="BX1006" t="s">
        <v>69</v>
      </c>
      <c r="BY1006" t="s">
        <v>69</v>
      </c>
      <c r="BZ1006" t="s">
        <v>8526</v>
      </c>
      <c r="CA1006" t="str">
        <f>HYPERLINK("https%3A%2F%2Fwww.webofscience.com%2Fwos%2Fwoscc%2Ffull-record%2FWOS:000435188000367","View Full Record in Web of Science")</f>
        <v>View Full Record in Web of Science</v>
      </c>
    </row>
    <row r="1007" spans="2:79" ht="12.5" x14ac:dyDescent="0.25">
      <c r="B1007" t="s">
        <v>8495</v>
      </c>
      <c r="D1007" s="7" t="s">
        <v>32933</v>
      </c>
      <c r="E1007" s="7"/>
      <c r="F1007" s="7"/>
      <c r="G1007" s="7"/>
      <c r="H1007" t="s">
        <v>67</v>
      </c>
      <c r="I1007" t="s">
        <v>6491</v>
      </c>
      <c r="J1007" t="s">
        <v>69</v>
      </c>
      <c r="K1007" t="s">
        <v>69</v>
      </c>
      <c r="L1007" t="s">
        <v>69</v>
      </c>
      <c r="M1007" t="s">
        <v>6492</v>
      </c>
      <c r="N1007" t="s">
        <v>69</v>
      </c>
      <c r="O1007" t="s">
        <v>69</v>
      </c>
      <c r="P1007" t="s">
        <v>6493</v>
      </c>
      <c r="Q1007" t="s">
        <v>2107</v>
      </c>
      <c r="R1007" t="s">
        <v>69</v>
      </c>
      <c r="S1007" t="s">
        <v>69</v>
      </c>
      <c r="T1007" t="s">
        <v>8505</v>
      </c>
      <c r="U1007" t="s">
        <v>10174</v>
      </c>
      <c r="V1007" t="s">
        <v>69</v>
      </c>
      <c r="W1007" t="s">
        <v>69</v>
      </c>
      <c r="X1007" t="s">
        <v>69</v>
      </c>
      <c r="Y1007" t="s">
        <v>69</v>
      </c>
      <c r="Z1007" t="s">
        <v>69</v>
      </c>
      <c r="AA1007" t="s">
        <v>15047</v>
      </c>
      <c r="AB1007" t="s">
        <v>15048</v>
      </c>
      <c r="AC1007" t="s">
        <v>6494</v>
      </c>
      <c r="AD1007" t="s">
        <v>15049</v>
      </c>
      <c r="AE1007" t="s">
        <v>69</v>
      </c>
      <c r="AF1007" t="s">
        <v>15050</v>
      </c>
      <c r="AG1007" t="s">
        <v>15051</v>
      </c>
      <c r="AH1007" t="s">
        <v>69</v>
      </c>
      <c r="AI1007" t="s">
        <v>6495</v>
      </c>
      <c r="AJ1007" t="s">
        <v>15052</v>
      </c>
      <c r="AK1007" t="s">
        <v>15052</v>
      </c>
      <c r="AL1007" t="s">
        <v>15053</v>
      </c>
      <c r="AM1007" t="s">
        <v>69</v>
      </c>
      <c r="AN1007">
        <v>182</v>
      </c>
      <c r="AO1007">
        <v>3</v>
      </c>
      <c r="AP1007">
        <v>3</v>
      </c>
      <c r="AQ1007">
        <v>3</v>
      </c>
      <c r="AR1007">
        <v>9</v>
      </c>
      <c r="AS1007" t="s">
        <v>8924</v>
      </c>
      <c r="AT1007" t="s">
        <v>8925</v>
      </c>
      <c r="AU1007" t="s">
        <v>8926</v>
      </c>
      <c r="AV1007" t="s">
        <v>69</v>
      </c>
      <c r="AW1007" t="s">
        <v>2110</v>
      </c>
      <c r="AX1007" t="s">
        <v>69</v>
      </c>
      <c r="AY1007" t="s">
        <v>10592</v>
      </c>
      <c r="AZ1007" t="s">
        <v>10593</v>
      </c>
      <c r="BA1007" t="s">
        <v>155</v>
      </c>
      <c r="BB1007">
        <v>2020</v>
      </c>
      <c r="BC1007">
        <v>17</v>
      </c>
      <c r="BD1007">
        <v>12</v>
      </c>
      <c r="BE1007" t="s">
        <v>69</v>
      </c>
      <c r="BF1007" t="s">
        <v>69</v>
      </c>
      <c r="BG1007" t="s">
        <v>69</v>
      </c>
      <c r="BH1007" t="s">
        <v>69</v>
      </c>
      <c r="BI1007" t="s">
        <v>69</v>
      </c>
      <c r="BJ1007" t="s">
        <v>69</v>
      </c>
      <c r="BK1007">
        <v>4320</v>
      </c>
      <c r="BL1007" t="s">
        <v>6496</v>
      </c>
      <c r="BM1007" t="str">
        <f>HYPERLINK("http://dx.doi.org/10.3390/ijerph17124320","http://dx.doi.org/10.3390/ijerph17124320")</f>
        <v>http://dx.doi.org/10.3390/ijerph17124320</v>
      </c>
      <c r="BN1007" t="s">
        <v>69</v>
      </c>
      <c r="BO1007" t="s">
        <v>69</v>
      </c>
      <c r="BP1007">
        <v>30</v>
      </c>
      <c r="BQ1007" t="s">
        <v>10595</v>
      </c>
      <c r="BR1007" t="s">
        <v>8523</v>
      </c>
      <c r="BS1007" t="s">
        <v>10596</v>
      </c>
      <c r="BT1007" t="s">
        <v>15054</v>
      </c>
      <c r="BU1007" t="s">
        <v>6497</v>
      </c>
      <c r="BV1007">
        <v>32560334</v>
      </c>
      <c r="BW1007" t="s">
        <v>10482</v>
      </c>
      <c r="BX1007" t="s">
        <v>69</v>
      </c>
      <c r="BY1007" t="s">
        <v>69</v>
      </c>
      <c r="BZ1007" t="s">
        <v>8526</v>
      </c>
      <c r="CA1007" t="str">
        <f>HYPERLINK("https%3A%2F%2Fwww.webofscience.com%2Fwos%2Fwoscc%2Ffull-record%2FWOS:000549406100001","View Full Record in Web of Science")</f>
        <v>View Full Record in Web of Science</v>
      </c>
    </row>
    <row r="1008" spans="2:79" ht="12.5" x14ac:dyDescent="0.25">
      <c r="B1008" t="s">
        <v>8495</v>
      </c>
      <c r="D1008" s="7" t="s">
        <v>32933</v>
      </c>
      <c r="E1008" s="7"/>
      <c r="F1008" s="7"/>
      <c r="G1008" s="7"/>
      <c r="H1008" t="s">
        <v>67</v>
      </c>
      <c r="I1008" t="s">
        <v>1125</v>
      </c>
      <c r="J1008" t="s">
        <v>69</v>
      </c>
      <c r="K1008" t="s">
        <v>69</v>
      </c>
      <c r="L1008" t="s">
        <v>69</v>
      </c>
      <c r="M1008" t="s">
        <v>1126</v>
      </c>
      <c r="N1008" t="s">
        <v>69</v>
      </c>
      <c r="O1008" t="s">
        <v>69</v>
      </c>
      <c r="P1008" t="s">
        <v>1127</v>
      </c>
      <c r="Q1008" t="s">
        <v>1128</v>
      </c>
      <c r="R1008" t="s">
        <v>69</v>
      </c>
      <c r="S1008" t="s">
        <v>69</v>
      </c>
      <c r="T1008" t="s">
        <v>8505</v>
      </c>
      <c r="U1008" t="s">
        <v>8506</v>
      </c>
      <c r="V1008" t="s">
        <v>69</v>
      </c>
      <c r="W1008" t="s">
        <v>69</v>
      </c>
      <c r="X1008" t="s">
        <v>69</v>
      </c>
      <c r="Y1008" t="s">
        <v>69</v>
      </c>
      <c r="Z1008" t="s">
        <v>69</v>
      </c>
      <c r="AA1008" t="s">
        <v>19772</v>
      </c>
      <c r="AB1008" t="s">
        <v>19773</v>
      </c>
      <c r="AC1008" t="s">
        <v>1129</v>
      </c>
      <c r="AD1008" t="s">
        <v>19774</v>
      </c>
      <c r="AE1008" t="s">
        <v>69</v>
      </c>
      <c r="AF1008" t="s">
        <v>19775</v>
      </c>
      <c r="AG1008" t="s">
        <v>19776</v>
      </c>
      <c r="AH1008" t="s">
        <v>19777</v>
      </c>
      <c r="AI1008" t="s">
        <v>19778</v>
      </c>
      <c r="AJ1008" t="s">
        <v>19779</v>
      </c>
      <c r="AK1008" t="s">
        <v>19779</v>
      </c>
      <c r="AL1008" t="s">
        <v>19780</v>
      </c>
      <c r="AM1008" t="s">
        <v>69</v>
      </c>
      <c r="AN1008">
        <v>95</v>
      </c>
      <c r="AO1008">
        <v>13</v>
      </c>
      <c r="AP1008">
        <v>13</v>
      </c>
      <c r="AQ1008">
        <v>3</v>
      </c>
      <c r="AR1008">
        <v>14</v>
      </c>
      <c r="AS1008" t="s">
        <v>8636</v>
      </c>
      <c r="AT1008" t="s">
        <v>8637</v>
      </c>
      <c r="AU1008" t="s">
        <v>8638</v>
      </c>
      <c r="AV1008" t="s">
        <v>1130</v>
      </c>
      <c r="AW1008" t="s">
        <v>1131</v>
      </c>
      <c r="AX1008" t="s">
        <v>69</v>
      </c>
      <c r="AY1008" t="s">
        <v>1128</v>
      </c>
      <c r="AZ1008" t="s">
        <v>8658</v>
      </c>
      <c r="BA1008" t="s">
        <v>75</v>
      </c>
      <c r="BB1008">
        <v>2017</v>
      </c>
      <c r="BC1008">
        <v>69</v>
      </c>
      <c r="BD1008" t="s">
        <v>69</v>
      </c>
      <c r="BE1008" t="s">
        <v>69</v>
      </c>
      <c r="BF1008" t="s">
        <v>69</v>
      </c>
      <c r="BG1008" t="s">
        <v>69</v>
      </c>
      <c r="BH1008" t="s">
        <v>69</v>
      </c>
      <c r="BI1008">
        <v>392</v>
      </c>
      <c r="BJ1008">
        <v>407</v>
      </c>
      <c r="BK1008" t="s">
        <v>69</v>
      </c>
      <c r="BL1008" t="s">
        <v>1132</v>
      </c>
      <c r="BM1008" t="str">
        <f>HYPERLINK("http://dx.doi.org/10.1016/j.landusepol.2017.08.015","http://dx.doi.org/10.1016/j.landusepol.2017.08.015")</f>
        <v>http://dx.doi.org/10.1016/j.landusepol.2017.08.015</v>
      </c>
      <c r="BN1008" t="s">
        <v>69</v>
      </c>
      <c r="BO1008" t="s">
        <v>69</v>
      </c>
      <c r="BP1008">
        <v>16</v>
      </c>
      <c r="BQ1008" t="s">
        <v>8660</v>
      </c>
      <c r="BR1008" t="s">
        <v>8661</v>
      </c>
      <c r="BS1008" t="s">
        <v>8662</v>
      </c>
      <c r="BT1008" t="s">
        <v>19781</v>
      </c>
      <c r="BU1008" t="s">
        <v>1133</v>
      </c>
      <c r="BV1008" t="s">
        <v>69</v>
      </c>
      <c r="BW1008" t="s">
        <v>10423</v>
      </c>
      <c r="BX1008" t="s">
        <v>69</v>
      </c>
      <c r="BY1008" t="s">
        <v>69</v>
      </c>
      <c r="BZ1008" t="s">
        <v>8526</v>
      </c>
      <c r="CA1008" t="str">
        <f>HYPERLINK("https%3A%2F%2Fwww.webofscience.com%2Fwos%2Fwoscc%2Ffull-record%2FWOS:000414881200039","View Full Record in Web of Science")</f>
        <v>View Full Record in Web of Science</v>
      </c>
    </row>
    <row r="1009" spans="2:79" ht="12.5" x14ac:dyDescent="0.25">
      <c r="B1009" t="s">
        <v>8495</v>
      </c>
      <c r="D1009" s="7" t="s">
        <v>32933</v>
      </c>
      <c r="E1009" s="7"/>
      <c r="F1009" s="7"/>
      <c r="G1009" s="7"/>
      <c r="H1009" t="s">
        <v>67</v>
      </c>
      <c r="I1009" t="s">
        <v>2113</v>
      </c>
      <c r="J1009" t="s">
        <v>69</v>
      </c>
      <c r="K1009" t="s">
        <v>69</v>
      </c>
      <c r="L1009" t="s">
        <v>69</v>
      </c>
      <c r="M1009" t="s">
        <v>2114</v>
      </c>
      <c r="N1009" t="s">
        <v>69</v>
      </c>
      <c r="O1009" t="s">
        <v>69</v>
      </c>
      <c r="P1009" t="s">
        <v>2115</v>
      </c>
      <c r="Q1009" t="s">
        <v>2116</v>
      </c>
      <c r="R1009" t="s">
        <v>69</v>
      </c>
      <c r="S1009" t="s">
        <v>69</v>
      </c>
      <c r="T1009" t="s">
        <v>8505</v>
      </c>
      <c r="U1009" t="s">
        <v>8506</v>
      </c>
      <c r="V1009" t="s">
        <v>69</v>
      </c>
      <c r="W1009" t="s">
        <v>69</v>
      </c>
      <c r="X1009" t="s">
        <v>69</v>
      </c>
      <c r="Y1009" t="s">
        <v>69</v>
      </c>
      <c r="Z1009" t="s">
        <v>69</v>
      </c>
      <c r="AA1009" t="s">
        <v>16501</v>
      </c>
      <c r="AB1009" t="s">
        <v>16502</v>
      </c>
      <c r="AC1009" t="s">
        <v>2117</v>
      </c>
      <c r="AD1009" t="s">
        <v>16503</v>
      </c>
      <c r="AE1009" t="s">
        <v>69</v>
      </c>
      <c r="AF1009" t="s">
        <v>16504</v>
      </c>
      <c r="AG1009" t="s">
        <v>16505</v>
      </c>
      <c r="AH1009" t="s">
        <v>16506</v>
      </c>
      <c r="AI1009" t="s">
        <v>16507</v>
      </c>
      <c r="AJ1009" t="s">
        <v>16508</v>
      </c>
      <c r="AK1009" t="s">
        <v>16509</v>
      </c>
      <c r="AL1009" t="s">
        <v>16510</v>
      </c>
      <c r="AM1009" t="s">
        <v>69</v>
      </c>
      <c r="AN1009">
        <v>55</v>
      </c>
      <c r="AO1009">
        <v>20</v>
      </c>
      <c r="AP1009">
        <v>21</v>
      </c>
      <c r="AQ1009">
        <v>3</v>
      </c>
      <c r="AR1009">
        <v>7</v>
      </c>
      <c r="AS1009" t="s">
        <v>8992</v>
      </c>
      <c r="AT1009" t="s">
        <v>8993</v>
      </c>
      <c r="AU1009" t="s">
        <v>8994</v>
      </c>
      <c r="AV1009" t="s">
        <v>69</v>
      </c>
      <c r="AW1009" t="s">
        <v>2118</v>
      </c>
      <c r="AX1009" t="s">
        <v>69</v>
      </c>
      <c r="AY1009" t="s">
        <v>15770</v>
      </c>
      <c r="AZ1009" t="s">
        <v>15771</v>
      </c>
      <c r="BA1009" t="s">
        <v>2119</v>
      </c>
      <c r="BB1009">
        <v>2019</v>
      </c>
      <c r="BC1009">
        <v>7</v>
      </c>
      <c r="BD1009" t="s">
        <v>69</v>
      </c>
      <c r="BE1009" t="s">
        <v>69</v>
      </c>
      <c r="BF1009" t="s">
        <v>69</v>
      </c>
      <c r="BG1009" t="s">
        <v>69</v>
      </c>
      <c r="BH1009" t="s">
        <v>69</v>
      </c>
      <c r="BI1009" t="s">
        <v>69</v>
      </c>
      <c r="BJ1009" t="s">
        <v>69</v>
      </c>
      <c r="BK1009">
        <v>150</v>
      </c>
      <c r="BL1009" t="s">
        <v>2120</v>
      </c>
      <c r="BM1009" t="str">
        <f>HYPERLINK("http://dx.doi.org/10.3389/fenvs.2019.00150","http://dx.doi.org/10.3389/fenvs.2019.00150")</f>
        <v>http://dx.doi.org/10.3389/fenvs.2019.00150</v>
      </c>
      <c r="BN1009" t="s">
        <v>69</v>
      </c>
      <c r="BO1009" t="s">
        <v>69</v>
      </c>
      <c r="BP1009">
        <v>11</v>
      </c>
      <c r="BQ1009" t="s">
        <v>8717</v>
      </c>
      <c r="BR1009" t="s">
        <v>8548</v>
      </c>
      <c r="BS1009" t="s">
        <v>8662</v>
      </c>
      <c r="BT1009" t="s">
        <v>16511</v>
      </c>
      <c r="BU1009" t="s">
        <v>2121</v>
      </c>
      <c r="BV1009" t="s">
        <v>69</v>
      </c>
      <c r="BW1009" t="s">
        <v>8931</v>
      </c>
      <c r="BX1009" t="s">
        <v>69</v>
      </c>
      <c r="BY1009" t="s">
        <v>69</v>
      </c>
      <c r="BZ1009" t="s">
        <v>8526</v>
      </c>
      <c r="CA1009" t="str">
        <f>HYPERLINK("https%3A%2F%2Fwww.webofscience.com%2Fwos%2Fwoscc%2Ffull-record%2FWOS:000535832200001","View Full Record in Web of Science")</f>
        <v>View Full Record in Web of Science</v>
      </c>
    </row>
    <row r="1010" spans="2:79" ht="12.5" x14ac:dyDescent="0.25">
      <c r="B1010" t="s">
        <v>8495</v>
      </c>
      <c r="D1010" s="7" t="s">
        <v>32933</v>
      </c>
      <c r="E1010" s="7"/>
      <c r="F1010" s="7"/>
      <c r="G1010" s="7"/>
      <c r="H1010" t="s">
        <v>67</v>
      </c>
      <c r="I1010" t="s">
        <v>3795</v>
      </c>
      <c r="J1010" t="s">
        <v>69</v>
      </c>
      <c r="K1010" t="s">
        <v>69</v>
      </c>
      <c r="L1010" t="s">
        <v>69</v>
      </c>
      <c r="M1010" t="s">
        <v>3796</v>
      </c>
      <c r="N1010" t="s">
        <v>69</v>
      </c>
      <c r="O1010" t="s">
        <v>69</v>
      </c>
      <c r="P1010" t="s">
        <v>3797</v>
      </c>
      <c r="Q1010" t="s">
        <v>3798</v>
      </c>
      <c r="R1010" t="s">
        <v>69</v>
      </c>
      <c r="S1010" t="s">
        <v>69</v>
      </c>
      <c r="T1010" t="s">
        <v>8505</v>
      </c>
      <c r="U1010" t="s">
        <v>8506</v>
      </c>
      <c r="V1010" t="s">
        <v>69</v>
      </c>
      <c r="W1010" t="s">
        <v>69</v>
      </c>
      <c r="X1010" t="s">
        <v>69</v>
      </c>
      <c r="Y1010" t="s">
        <v>69</v>
      </c>
      <c r="Z1010" t="s">
        <v>69</v>
      </c>
      <c r="AA1010" t="s">
        <v>30119</v>
      </c>
      <c r="AB1010" t="s">
        <v>69</v>
      </c>
      <c r="AC1010" t="s">
        <v>3799</v>
      </c>
      <c r="AD1010" t="s">
        <v>30120</v>
      </c>
      <c r="AE1010" t="s">
        <v>69</v>
      </c>
      <c r="AF1010" t="s">
        <v>30121</v>
      </c>
      <c r="AG1010" t="s">
        <v>30122</v>
      </c>
      <c r="AH1010" t="s">
        <v>3800</v>
      </c>
      <c r="AI1010" t="s">
        <v>69</v>
      </c>
      <c r="AJ1010" t="s">
        <v>69</v>
      </c>
      <c r="AK1010" t="s">
        <v>69</v>
      </c>
      <c r="AL1010" t="s">
        <v>69</v>
      </c>
      <c r="AM1010" t="s">
        <v>69</v>
      </c>
      <c r="AN1010">
        <v>17</v>
      </c>
      <c r="AO1010">
        <v>7</v>
      </c>
      <c r="AP1010">
        <v>7</v>
      </c>
      <c r="AQ1010">
        <v>0</v>
      </c>
      <c r="AR1010">
        <v>8</v>
      </c>
      <c r="AS1010" t="s">
        <v>18845</v>
      </c>
      <c r="AT1010" t="s">
        <v>18846</v>
      </c>
      <c r="AU1010" t="s">
        <v>18847</v>
      </c>
      <c r="AV1010" t="s">
        <v>3801</v>
      </c>
      <c r="AW1010" t="s">
        <v>3802</v>
      </c>
      <c r="AX1010" t="s">
        <v>69</v>
      </c>
      <c r="AY1010" t="s">
        <v>18848</v>
      </c>
      <c r="AZ1010" t="s">
        <v>18849</v>
      </c>
      <c r="BA1010" t="s">
        <v>1710</v>
      </c>
      <c r="BB1010">
        <v>2006</v>
      </c>
      <c r="BC1010" t="s">
        <v>69</v>
      </c>
      <c r="BD1010" t="s">
        <v>69</v>
      </c>
      <c r="BE1010" t="s">
        <v>69</v>
      </c>
      <c r="BF1010" t="s">
        <v>69</v>
      </c>
      <c r="BG1010">
        <v>39</v>
      </c>
      <c r="BH1010" t="s">
        <v>69</v>
      </c>
      <c r="BI1010">
        <v>930</v>
      </c>
      <c r="BJ1010">
        <v>934</v>
      </c>
      <c r="BK1010" t="s">
        <v>69</v>
      </c>
      <c r="BL1010" t="s">
        <v>69</v>
      </c>
      <c r="BM1010" t="s">
        <v>69</v>
      </c>
      <c r="BN1010" t="s">
        <v>69</v>
      </c>
      <c r="BO1010" t="s">
        <v>69</v>
      </c>
      <c r="BP1010">
        <v>5</v>
      </c>
      <c r="BQ1010" t="s">
        <v>18850</v>
      </c>
      <c r="BR1010" t="s">
        <v>8548</v>
      </c>
      <c r="BS1010" t="s">
        <v>18851</v>
      </c>
      <c r="BT1010" t="s">
        <v>30123</v>
      </c>
      <c r="BU1010" t="s">
        <v>3803</v>
      </c>
      <c r="BV1010" t="s">
        <v>69</v>
      </c>
      <c r="BW1010" t="s">
        <v>69</v>
      </c>
      <c r="BX1010" t="s">
        <v>69</v>
      </c>
      <c r="BY1010" t="s">
        <v>69</v>
      </c>
      <c r="BZ1010" t="s">
        <v>8526</v>
      </c>
      <c r="CA1010" t="str">
        <f>HYPERLINK("https%3A%2F%2Fwww.webofscience.com%2Fwos%2Fwoscc%2Ffull-record%2FWOS:000202961400063","View Full Record in Web of Science")</f>
        <v>View Full Record in Web of Science</v>
      </c>
    </row>
    <row r="1011" spans="2:79" ht="12.5" x14ac:dyDescent="0.25">
      <c r="B1011" t="s">
        <v>8495</v>
      </c>
      <c r="D1011" s="7" t="s">
        <v>32933</v>
      </c>
      <c r="E1011" s="7"/>
      <c r="F1011" s="7"/>
      <c r="G1011" s="7"/>
      <c r="H1011" t="s">
        <v>67</v>
      </c>
      <c r="I1011" t="s">
        <v>8216</v>
      </c>
      <c r="J1011" t="s">
        <v>69</v>
      </c>
      <c r="K1011" t="s">
        <v>69</v>
      </c>
      <c r="L1011" t="s">
        <v>69</v>
      </c>
      <c r="M1011" t="s">
        <v>8217</v>
      </c>
      <c r="N1011" t="s">
        <v>69</v>
      </c>
      <c r="O1011" t="s">
        <v>69</v>
      </c>
      <c r="P1011" t="s">
        <v>8218</v>
      </c>
      <c r="Q1011" t="s">
        <v>151</v>
      </c>
      <c r="R1011" t="s">
        <v>69</v>
      </c>
      <c r="S1011" t="s">
        <v>69</v>
      </c>
      <c r="T1011" t="s">
        <v>8505</v>
      </c>
      <c r="U1011" t="s">
        <v>8506</v>
      </c>
      <c r="V1011" t="s">
        <v>69</v>
      </c>
      <c r="W1011" t="s">
        <v>69</v>
      </c>
      <c r="X1011" t="s">
        <v>69</v>
      </c>
      <c r="Y1011" t="s">
        <v>69</v>
      </c>
      <c r="Z1011" t="s">
        <v>69</v>
      </c>
      <c r="AA1011" t="s">
        <v>14149</v>
      </c>
      <c r="AB1011" t="s">
        <v>14150</v>
      </c>
      <c r="AC1011" t="s">
        <v>8219</v>
      </c>
      <c r="AD1011" t="s">
        <v>14151</v>
      </c>
      <c r="AE1011" t="s">
        <v>69</v>
      </c>
      <c r="AF1011" t="s">
        <v>14152</v>
      </c>
      <c r="AG1011" t="s">
        <v>14153</v>
      </c>
      <c r="AH1011" t="s">
        <v>14154</v>
      </c>
      <c r="AI1011" t="s">
        <v>14155</v>
      </c>
      <c r="AJ1011" t="s">
        <v>69</v>
      </c>
      <c r="AK1011" t="s">
        <v>69</v>
      </c>
      <c r="AL1011" t="s">
        <v>69</v>
      </c>
      <c r="AM1011" t="s">
        <v>69</v>
      </c>
      <c r="AN1011">
        <v>104</v>
      </c>
      <c r="AO1011">
        <v>21</v>
      </c>
      <c r="AP1011">
        <v>21</v>
      </c>
      <c r="AQ1011">
        <v>3</v>
      </c>
      <c r="AR1011">
        <v>18</v>
      </c>
      <c r="AS1011" t="s">
        <v>9145</v>
      </c>
      <c r="AT1011" t="s">
        <v>8637</v>
      </c>
      <c r="AU1011" t="s">
        <v>9146</v>
      </c>
      <c r="AV1011" t="s">
        <v>154</v>
      </c>
      <c r="AW1011" t="s">
        <v>8220</v>
      </c>
      <c r="AX1011" t="s">
        <v>69</v>
      </c>
      <c r="AY1011" t="s">
        <v>12762</v>
      </c>
      <c r="AZ1011" t="s">
        <v>12763</v>
      </c>
      <c r="BA1011" t="s">
        <v>274</v>
      </c>
      <c r="BB1011">
        <v>2020</v>
      </c>
      <c r="BC1011">
        <v>133</v>
      </c>
      <c r="BD1011" t="s">
        <v>69</v>
      </c>
      <c r="BE1011" t="s">
        <v>69</v>
      </c>
      <c r="BF1011" t="s">
        <v>69</v>
      </c>
      <c r="BG1011" t="s">
        <v>69</v>
      </c>
      <c r="BH1011" t="s">
        <v>69</v>
      </c>
      <c r="BI1011" t="s">
        <v>69</v>
      </c>
      <c r="BJ1011" t="s">
        <v>69</v>
      </c>
      <c r="BK1011">
        <v>110219</v>
      </c>
      <c r="BL1011" t="s">
        <v>8221</v>
      </c>
      <c r="BM1011" t="str">
        <f>HYPERLINK("http://dx.doi.org/10.1016/j.rser.2020.110219","http://dx.doi.org/10.1016/j.rser.2020.110219")</f>
        <v>http://dx.doi.org/10.1016/j.rser.2020.110219</v>
      </c>
      <c r="BN1011" t="s">
        <v>69</v>
      </c>
      <c r="BO1011" t="s">
        <v>69</v>
      </c>
      <c r="BP1011">
        <v>20</v>
      </c>
      <c r="BQ1011" t="s">
        <v>9931</v>
      </c>
      <c r="BR1011" t="s">
        <v>8548</v>
      </c>
      <c r="BS1011" t="s">
        <v>9932</v>
      </c>
      <c r="BT1011" t="s">
        <v>14156</v>
      </c>
      <c r="BU1011" t="s">
        <v>8222</v>
      </c>
      <c r="BV1011" t="s">
        <v>69</v>
      </c>
      <c r="BW1011" t="s">
        <v>69</v>
      </c>
      <c r="BX1011" t="s">
        <v>69</v>
      </c>
      <c r="BY1011" t="s">
        <v>69</v>
      </c>
      <c r="BZ1011" t="s">
        <v>8526</v>
      </c>
      <c r="CA1011" t="str">
        <f>HYPERLINK("https%3A%2F%2Fwww.webofscience.com%2Fwos%2Fwoscc%2Ffull-record%2FWOS:000581605600033","View Full Record in Web of Science")</f>
        <v>View Full Record in Web of Science</v>
      </c>
    </row>
    <row r="1012" spans="2:79" ht="12.5" x14ac:dyDescent="0.25">
      <c r="B1012" t="s">
        <v>8495</v>
      </c>
      <c r="D1012" s="22" t="s">
        <v>32931</v>
      </c>
      <c r="E1012" s="7"/>
      <c r="F1012" s="7"/>
      <c r="G1012" s="7"/>
      <c r="H1012" t="s">
        <v>67</v>
      </c>
      <c r="I1012" t="s">
        <v>18358</v>
      </c>
      <c r="J1012" t="s">
        <v>69</v>
      </c>
      <c r="K1012" t="s">
        <v>69</v>
      </c>
      <c r="L1012" t="s">
        <v>69</v>
      </c>
      <c r="M1012" t="s">
        <v>18359</v>
      </c>
      <c r="N1012" t="s">
        <v>69</v>
      </c>
      <c r="O1012" t="s">
        <v>69</v>
      </c>
      <c r="P1012" t="s">
        <v>18360</v>
      </c>
      <c r="Q1012" t="s">
        <v>18361</v>
      </c>
      <c r="R1012" t="s">
        <v>69</v>
      </c>
      <c r="S1012" t="s">
        <v>69</v>
      </c>
      <c r="T1012" t="s">
        <v>8505</v>
      </c>
      <c r="U1012" t="s">
        <v>8506</v>
      </c>
      <c r="V1012" t="s">
        <v>69</v>
      </c>
      <c r="W1012" t="s">
        <v>69</v>
      </c>
      <c r="X1012" t="s">
        <v>69</v>
      </c>
      <c r="Y1012" t="s">
        <v>69</v>
      </c>
      <c r="Z1012" t="s">
        <v>69</v>
      </c>
      <c r="AA1012" t="s">
        <v>18362</v>
      </c>
      <c r="AB1012" t="s">
        <v>18363</v>
      </c>
      <c r="AC1012" t="s">
        <v>18364</v>
      </c>
      <c r="AD1012" t="s">
        <v>18365</v>
      </c>
      <c r="AE1012" t="s">
        <v>69</v>
      </c>
      <c r="AF1012" t="s">
        <v>18366</v>
      </c>
      <c r="AG1012" t="s">
        <v>18367</v>
      </c>
      <c r="AH1012" t="s">
        <v>18368</v>
      </c>
      <c r="AI1012" t="s">
        <v>18369</v>
      </c>
      <c r="AJ1012" t="s">
        <v>18370</v>
      </c>
      <c r="AK1012" t="s">
        <v>18371</v>
      </c>
      <c r="AL1012" t="s">
        <v>18372</v>
      </c>
      <c r="AM1012" t="s">
        <v>69</v>
      </c>
      <c r="AN1012">
        <v>43</v>
      </c>
      <c r="AO1012">
        <v>11</v>
      </c>
      <c r="AP1012">
        <v>11</v>
      </c>
      <c r="AQ1012">
        <v>1</v>
      </c>
      <c r="AR1012">
        <v>6</v>
      </c>
      <c r="AS1012" t="s">
        <v>18373</v>
      </c>
      <c r="AT1012" t="s">
        <v>18374</v>
      </c>
      <c r="AU1012" t="s">
        <v>18375</v>
      </c>
      <c r="AV1012" t="s">
        <v>18376</v>
      </c>
      <c r="AW1012" t="s">
        <v>18377</v>
      </c>
      <c r="AX1012" t="s">
        <v>69</v>
      </c>
      <c r="AY1012" t="s">
        <v>18378</v>
      </c>
      <c r="AZ1012" t="s">
        <v>18379</v>
      </c>
      <c r="BA1012" t="s">
        <v>1774</v>
      </c>
      <c r="BB1012">
        <v>2018</v>
      </c>
      <c r="BC1012">
        <v>31</v>
      </c>
      <c r="BD1012">
        <v>5</v>
      </c>
      <c r="BE1012" t="s">
        <v>69</v>
      </c>
      <c r="BF1012" t="s">
        <v>69</v>
      </c>
      <c r="BG1012" t="s">
        <v>69</v>
      </c>
      <c r="BH1012" t="s">
        <v>69</v>
      </c>
      <c r="BI1012">
        <v>702</v>
      </c>
      <c r="BJ1012">
        <v>711</v>
      </c>
      <c r="BK1012" t="s">
        <v>69</v>
      </c>
      <c r="BL1012" t="s">
        <v>18380</v>
      </c>
      <c r="BM1012" t="str">
        <f>HYPERLINK("http://dx.doi.org/10.3122/jabfm.2018.05.170102","http://dx.doi.org/10.3122/jabfm.2018.05.170102")</f>
        <v>http://dx.doi.org/10.3122/jabfm.2018.05.170102</v>
      </c>
      <c r="BN1012" t="s">
        <v>69</v>
      </c>
      <c r="BO1012" t="s">
        <v>69</v>
      </c>
      <c r="BP1012">
        <v>10</v>
      </c>
      <c r="BQ1012" t="s">
        <v>14051</v>
      </c>
      <c r="BR1012" t="s">
        <v>8523</v>
      </c>
      <c r="BS1012" t="s">
        <v>9451</v>
      </c>
      <c r="BT1012" t="s">
        <v>18381</v>
      </c>
      <c r="BU1012" t="s">
        <v>18382</v>
      </c>
      <c r="BV1012">
        <v>30201666</v>
      </c>
      <c r="BW1012" t="s">
        <v>9374</v>
      </c>
      <c r="BX1012" t="s">
        <v>69</v>
      </c>
      <c r="BY1012" t="s">
        <v>69</v>
      </c>
      <c r="BZ1012" t="s">
        <v>8526</v>
      </c>
      <c r="CA1012" t="str">
        <f>HYPERLINK("https%3A%2F%2Fwww.webofscience.com%2Fwos%2Fwoscc%2Ffull-record%2FWOS:000444100700007","View Full Record in Web of Science")</f>
        <v>View Full Record in Web of Science</v>
      </c>
    </row>
    <row r="1013" spans="2:79" ht="12.5" x14ac:dyDescent="0.25">
      <c r="B1013" t="s">
        <v>8495</v>
      </c>
      <c r="D1013" s="22" t="s">
        <v>32931</v>
      </c>
      <c r="E1013" s="7"/>
      <c r="F1013" s="7"/>
      <c r="G1013" s="7"/>
      <c r="H1013" t="s">
        <v>67</v>
      </c>
      <c r="I1013" t="s">
        <v>29522</v>
      </c>
      <c r="J1013" t="s">
        <v>69</v>
      </c>
      <c r="K1013" t="s">
        <v>69</v>
      </c>
      <c r="L1013" t="s">
        <v>69</v>
      </c>
      <c r="M1013" t="s">
        <v>29523</v>
      </c>
      <c r="N1013" t="s">
        <v>69</v>
      </c>
      <c r="O1013" t="s">
        <v>69</v>
      </c>
      <c r="P1013" t="s">
        <v>29524</v>
      </c>
      <c r="Q1013" t="s">
        <v>29525</v>
      </c>
      <c r="R1013" t="s">
        <v>69</v>
      </c>
      <c r="S1013" t="s">
        <v>69</v>
      </c>
      <c r="T1013" t="s">
        <v>8505</v>
      </c>
      <c r="U1013" t="s">
        <v>15797</v>
      </c>
      <c r="V1013" t="s">
        <v>29526</v>
      </c>
      <c r="W1013">
        <v>2006</v>
      </c>
      <c r="X1013" t="s">
        <v>29527</v>
      </c>
      <c r="Y1013" t="s">
        <v>29528</v>
      </c>
      <c r="Z1013" t="s">
        <v>69</v>
      </c>
      <c r="AA1013" t="s">
        <v>29529</v>
      </c>
      <c r="AB1013" t="s">
        <v>29530</v>
      </c>
      <c r="AC1013" t="s">
        <v>29531</v>
      </c>
      <c r="AD1013" t="s">
        <v>29532</v>
      </c>
      <c r="AE1013" t="s">
        <v>69</v>
      </c>
      <c r="AF1013" t="s">
        <v>29533</v>
      </c>
      <c r="AG1013" t="s">
        <v>29534</v>
      </c>
      <c r="AH1013" t="s">
        <v>69</v>
      </c>
      <c r="AI1013" t="s">
        <v>69</v>
      </c>
      <c r="AJ1013" t="s">
        <v>69</v>
      </c>
      <c r="AK1013" t="s">
        <v>69</v>
      </c>
      <c r="AL1013" t="s">
        <v>69</v>
      </c>
      <c r="AM1013" t="s">
        <v>69</v>
      </c>
      <c r="AN1013">
        <v>191</v>
      </c>
      <c r="AO1013">
        <v>9</v>
      </c>
      <c r="AP1013">
        <v>9</v>
      </c>
      <c r="AQ1013">
        <v>0</v>
      </c>
      <c r="AR1013">
        <v>5</v>
      </c>
      <c r="AS1013" t="s">
        <v>10923</v>
      </c>
      <c r="AT1013" t="s">
        <v>10924</v>
      </c>
      <c r="AU1013" t="s">
        <v>10925</v>
      </c>
      <c r="AV1013" t="s">
        <v>29535</v>
      </c>
      <c r="AW1013" t="s">
        <v>29536</v>
      </c>
      <c r="AX1013" t="s">
        <v>69</v>
      </c>
      <c r="AY1013" t="s">
        <v>29537</v>
      </c>
      <c r="AZ1013" t="s">
        <v>29538</v>
      </c>
      <c r="BA1013" t="s">
        <v>274</v>
      </c>
      <c r="BB1013">
        <v>2007</v>
      </c>
      <c r="BC1013">
        <v>93</v>
      </c>
      <c r="BD1013">
        <v>5</v>
      </c>
      <c r="BE1013" t="s">
        <v>69</v>
      </c>
      <c r="BF1013" t="s">
        <v>69</v>
      </c>
      <c r="BG1013" t="s">
        <v>69</v>
      </c>
      <c r="BH1013" t="s">
        <v>69</v>
      </c>
      <c r="BI1013">
        <v>348</v>
      </c>
      <c r="BJ1013">
        <v>379</v>
      </c>
      <c r="BK1013" t="s">
        <v>69</v>
      </c>
      <c r="BL1013" t="s">
        <v>29539</v>
      </c>
      <c r="BM1013" t="str">
        <f>HYPERLINK("http://dx.doi.org/10.1097/01.HP.0000282111.66056.c2","http://dx.doi.org/10.1097/01.HP.0000282111.66056.c2")</f>
        <v>http://dx.doi.org/10.1097/01.HP.0000282111.66056.c2</v>
      </c>
      <c r="BN1013" t="s">
        <v>69</v>
      </c>
      <c r="BO1013" t="s">
        <v>69</v>
      </c>
      <c r="BP1013">
        <v>32</v>
      </c>
      <c r="BQ1013" t="s">
        <v>29540</v>
      </c>
      <c r="BR1013" t="s">
        <v>15808</v>
      </c>
      <c r="BS1013" t="s">
        <v>29541</v>
      </c>
      <c r="BT1013" t="s">
        <v>29542</v>
      </c>
      <c r="BU1013" t="s">
        <v>29543</v>
      </c>
      <c r="BV1013">
        <v>18049214</v>
      </c>
      <c r="BW1013" t="s">
        <v>69</v>
      </c>
      <c r="BX1013" t="s">
        <v>69</v>
      </c>
      <c r="BY1013" t="s">
        <v>69</v>
      </c>
      <c r="BZ1013" t="s">
        <v>8526</v>
      </c>
      <c r="CA1013" t="str">
        <f>HYPERLINK("https%3A%2F%2Fwww.webofscience.com%2Fwos%2Fwoscc%2Ffull-record%2FWOS:000250217400003","View Full Record in Web of Science")</f>
        <v>View Full Record in Web of Science</v>
      </c>
    </row>
    <row r="1014" spans="2:79" ht="12.5" x14ac:dyDescent="0.25">
      <c r="B1014" t="s">
        <v>8495</v>
      </c>
      <c r="D1014" s="22" t="s">
        <v>32931</v>
      </c>
      <c r="E1014" s="7"/>
      <c r="F1014" s="7"/>
      <c r="G1014" s="7"/>
      <c r="H1014" t="s">
        <v>67</v>
      </c>
      <c r="I1014" t="s">
        <v>32624</v>
      </c>
      <c r="J1014" t="s">
        <v>69</v>
      </c>
      <c r="K1014" t="s">
        <v>69</v>
      </c>
      <c r="L1014" t="s">
        <v>69</v>
      </c>
      <c r="M1014" t="s">
        <v>32624</v>
      </c>
      <c r="N1014" t="s">
        <v>69</v>
      </c>
      <c r="O1014" t="s">
        <v>69</v>
      </c>
      <c r="P1014" t="s">
        <v>32625</v>
      </c>
      <c r="Q1014" t="s">
        <v>20134</v>
      </c>
      <c r="R1014" t="s">
        <v>69</v>
      </c>
      <c r="S1014" t="s">
        <v>69</v>
      </c>
      <c r="T1014" t="s">
        <v>8505</v>
      </c>
      <c r="U1014" t="s">
        <v>15797</v>
      </c>
      <c r="V1014" t="s">
        <v>32626</v>
      </c>
      <c r="W1014" t="s">
        <v>32627</v>
      </c>
      <c r="X1014" t="s">
        <v>32628</v>
      </c>
      <c r="Y1014" t="s">
        <v>32629</v>
      </c>
      <c r="Z1014" t="s">
        <v>32630</v>
      </c>
      <c r="AA1014" t="s">
        <v>69</v>
      </c>
      <c r="AB1014" t="s">
        <v>69</v>
      </c>
      <c r="AC1014" t="s">
        <v>32631</v>
      </c>
      <c r="AD1014" t="s">
        <v>69</v>
      </c>
      <c r="AE1014" t="s">
        <v>69</v>
      </c>
      <c r="AF1014" t="s">
        <v>69</v>
      </c>
      <c r="AG1014" t="s">
        <v>69</v>
      </c>
      <c r="AH1014" t="s">
        <v>69</v>
      </c>
      <c r="AI1014" t="s">
        <v>69</v>
      </c>
      <c r="AJ1014" t="s">
        <v>69</v>
      </c>
      <c r="AK1014" t="s">
        <v>69</v>
      </c>
      <c r="AL1014" t="s">
        <v>69</v>
      </c>
      <c r="AM1014" t="s">
        <v>69</v>
      </c>
      <c r="AN1014">
        <v>0</v>
      </c>
      <c r="AO1014">
        <v>0</v>
      </c>
      <c r="AP1014">
        <v>0</v>
      </c>
      <c r="AQ1014">
        <v>0</v>
      </c>
      <c r="AR1014">
        <v>5</v>
      </c>
      <c r="AS1014" t="s">
        <v>9145</v>
      </c>
      <c r="AT1014" t="s">
        <v>8637</v>
      </c>
      <c r="AU1014" t="s">
        <v>32470</v>
      </c>
      <c r="AV1014" t="s">
        <v>20142</v>
      </c>
      <c r="AW1014" t="s">
        <v>69</v>
      </c>
      <c r="AX1014" t="s">
        <v>69</v>
      </c>
      <c r="AY1014" t="s">
        <v>20144</v>
      </c>
      <c r="AZ1014" t="s">
        <v>20145</v>
      </c>
      <c r="BA1014" t="s">
        <v>381</v>
      </c>
      <c r="BB1014">
        <v>1994</v>
      </c>
      <c r="BC1014">
        <v>34</v>
      </c>
      <c r="BD1014" t="s">
        <v>69</v>
      </c>
      <c r="BE1014" t="s">
        <v>69</v>
      </c>
      <c r="BF1014" t="s">
        <v>69</v>
      </c>
      <c r="BG1014" t="s">
        <v>69</v>
      </c>
      <c r="BH1014" t="s">
        <v>69</v>
      </c>
      <c r="BI1014">
        <v>397</v>
      </c>
      <c r="BJ1014">
        <v>403</v>
      </c>
      <c r="BK1014" t="s">
        <v>69</v>
      </c>
      <c r="BL1014" t="s">
        <v>32632</v>
      </c>
      <c r="BM1014" t="str">
        <f>HYPERLINK("http://dx.doi.org/10.1016/0094-5765(94)90275-5","http://dx.doi.org/10.1016/0094-5765(94)90275-5")</f>
        <v>http://dx.doi.org/10.1016/0094-5765(94)90275-5</v>
      </c>
      <c r="BN1014" t="s">
        <v>69</v>
      </c>
      <c r="BO1014" t="s">
        <v>69</v>
      </c>
      <c r="BP1014">
        <v>7</v>
      </c>
      <c r="BQ1014" t="s">
        <v>14497</v>
      </c>
      <c r="BR1014" t="s">
        <v>29550</v>
      </c>
      <c r="BS1014" t="s">
        <v>8445</v>
      </c>
      <c r="BT1014" t="s">
        <v>32633</v>
      </c>
      <c r="BU1014" t="s">
        <v>32634</v>
      </c>
      <c r="BV1014" t="s">
        <v>69</v>
      </c>
      <c r="BW1014" t="s">
        <v>69</v>
      </c>
      <c r="BX1014" t="s">
        <v>69</v>
      </c>
      <c r="BY1014" t="s">
        <v>69</v>
      </c>
      <c r="BZ1014" t="s">
        <v>8526</v>
      </c>
      <c r="CA1014" t="str">
        <f>HYPERLINK("https%3A%2F%2Fwww.webofscience.com%2Fwos%2Fwoscc%2Ffull-record%2FWOS:A1994PN20300040","View Full Record in Web of Science")</f>
        <v>View Full Record in Web of Science</v>
      </c>
    </row>
    <row r="1015" spans="2:79" ht="12.5" x14ac:dyDescent="0.25">
      <c r="B1015" t="s">
        <v>8495</v>
      </c>
      <c r="D1015" s="22" t="s">
        <v>32931</v>
      </c>
      <c r="E1015" s="7"/>
      <c r="F1015" s="7"/>
      <c r="G1015" s="7"/>
      <c r="H1015" t="s">
        <v>67</v>
      </c>
      <c r="I1015" t="s">
        <v>12441</v>
      </c>
      <c r="J1015" t="s">
        <v>69</v>
      </c>
      <c r="K1015" t="s">
        <v>69</v>
      </c>
      <c r="L1015" t="s">
        <v>69</v>
      </c>
      <c r="M1015" t="s">
        <v>12442</v>
      </c>
      <c r="N1015" t="s">
        <v>69</v>
      </c>
      <c r="O1015" t="s">
        <v>69</v>
      </c>
      <c r="P1015" t="s">
        <v>12443</v>
      </c>
      <c r="Q1015" t="s">
        <v>12444</v>
      </c>
      <c r="R1015" t="s">
        <v>69</v>
      </c>
      <c r="S1015" t="s">
        <v>69</v>
      </c>
      <c r="T1015" t="s">
        <v>8505</v>
      </c>
      <c r="U1015" t="s">
        <v>8442</v>
      </c>
      <c r="V1015" t="s">
        <v>69</v>
      </c>
      <c r="W1015" t="s">
        <v>69</v>
      </c>
      <c r="X1015" t="s">
        <v>69</v>
      </c>
      <c r="Y1015" t="s">
        <v>69</v>
      </c>
      <c r="Z1015" t="s">
        <v>69</v>
      </c>
      <c r="AA1015" t="s">
        <v>12445</v>
      </c>
      <c r="AB1015" t="s">
        <v>69</v>
      </c>
      <c r="AC1015" t="s">
        <v>12446</v>
      </c>
      <c r="AD1015" t="s">
        <v>12447</v>
      </c>
      <c r="AE1015" t="s">
        <v>69</v>
      </c>
      <c r="AF1015" t="s">
        <v>12448</v>
      </c>
      <c r="AG1015" t="s">
        <v>12449</v>
      </c>
      <c r="AH1015" t="s">
        <v>12450</v>
      </c>
      <c r="AI1015" t="s">
        <v>12451</v>
      </c>
      <c r="AJ1015" t="s">
        <v>69</v>
      </c>
      <c r="AK1015" t="s">
        <v>69</v>
      </c>
      <c r="AL1015" t="s">
        <v>69</v>
      </c>
      <c r="AM1015" t="s">
        <v>69</v>
      </c>
      <c r="AN1015">
        <v>61</v>
      </c>
      <c r="AO1015">
        <v>0</v>
      </c>
      <c r="AP1015">
        <v>0</v>
      </c>
      <c r="AQ1015">
        <v>0</v>
      </c>
      <c r="AR1015">
        <v>0</v>
      </c>
      <c r="AS1015" t="s">
        <v>8846</v>
      </c>
      <c r="AT1015" t="s">
        <v>8847</v>
      </c>
      <c r="AU1015" t="s">
        <v>8848</v>
      </c>
      <c r="AV1015" t="s">
        <v>12452</v>
      </c>
      <c r="AW1015" t="s">
        <v>12453</v>
      </c>
      <c r="AX1015" t="s">
        <v>69</v>
      </c>
      <c r="AY1015" t="s">
        <v>12454</v>
      </c>
      <c r="AZ1015" t="s">
        <v>12455</v>
      </c>
      <c r="BA1015" t="s">
        <v>155</v>
      </c>
      <c r="BB1015">
        <v>2021</v>
      </c>
      <c r="BC1015">
        <v>91</v>
      </c>
      <c r="BD1015">
        <v>6</v>
      </c>
      <c r="BE1015" t="s">
        <v>69</v>
      </c>
      <c r="BF1015" t="s">
        <v>69</v>
      </c>
      <c r="BG1015" t="s">
        <v>69</v>
      </c>
      <c r="BH1015" t="s">
        <v>69</v>
      </c>
      <c r="BI1015">
        <v>1068</v>
      </c>
      <c r="BJ1015">
        <v>1074</v>
      </c>
      <c r="BK1015" t="s">
        <v>69</v>
      </c>
      <c r="BL1015" t="s">
        <v>12456</v>
      </c>
      <c r="BM1015" t="str">
        <f>HYPERLINK("http://dx.doi.org/10.1111/ans.16685","http://dx.doi.org/10.1111/ans.16685")</f>
        <v>http://dx.doi.org/10.1111/ans.16685</v>
      </c>
      <c r="BN1015" t="s">
        <v>69</v>
      </c>
      <c r="BO1015" t="s">
        <v>12312</v>
      </c>
      <c r="BP1015">
        <v>7</v>
      </c>
      <c r="BQ1015" t="s">
        <v>11956</v>
      </c>
      <c r="BR1015" t="s">
        <v>8548</v>
      </c>
      <c r="BS1015" t="s">
        <v>11956</v>
      </c>
      <c r="BT1015" t="s">
        <v>12457</v>
      </c>
      <c r="BU1015" t="s">
        <v>12458</v>
      </c>
      <c r="BV1015">
        <v>33825315</v>
      </c>
      <c r="BW1015" t="s">
        <v>69</v>
      </c>
      <c r="BX1015" t="s">
        <v>69</v>
      </c>
      <c r="BY1015" t="s">
        <v>69</v>
      </c>
      <c r="BZ1015" t="s">
        <v>8526</v>
      </c>
      <c r="CA1015" t="str">
        <f>HYPERLINK("https%3A%2F%2Fwww.webofscience.com%2Fwos%2Fwoscc%2Ffull-record%2FWOS:000637425800001","View Full Record in Web of Science")</f>
        <v>View Full Record in Web of Science</v>
      </c>
    </row>
    <row r="1016" spans="2:79" ht="12.5" x14ac:dyDescent="0.25">
      <c r="B1016" t="s">
        <v>8495</v>
      </c>
      <c r="D1016" s="7" t="s">
        <v>32933</v>
      </c>
      <c r="E1016" s="7"/>
      <c r="F1016" s="7"/>
      <c r="G1016" s="7"/>
      <c r="H1016" t="s">
        <v>67</v>
      </c>
      <c r="I1016" t="s">
        <v>517</v>
      </c>
      <c r="J1016" t="s">
        <v>69</v>
      </c>
      <c r="K1016" t="s">
        <v>69</v>
      </c>
      <c r="L1016" t="s">
        <v>69</v>
      </c>
      <c r="M1016" t="s">
        <v>518</v>
      </c>
      <c r="N1016" t="s">
        <v>69</v>
      </c>
      <c r="O1016" t="s">
        <v>69</v>
      </c>
      <c r="P1016" s="3" t="s">
        <v>519</v>
      </c>
      <c r="Q1016" t="s">
        <v>520</v>
      </c>
      <c r="R1016" t="s">
        <v>69</v>
      </c>
      <c r="S1016" t="s">
        <v>69</v>
      </c>
      <c r="T1016" t="s">
        <v>8505</v>
      </c>
      <c r="U1016" t="s">
        <v>8506</v>
      </c>
      <c r="V1016" t="s">
        <v>69</v>
      </c>
      <c r="W1016" t="s">
        <v>69</v>
      </c>
      <c r="X1016" t="s">
        <v>69</v>
      </c>
      <c r="Y1016" t="s">
        <v>69</v>
      </c>
      <c r="Z1016" t="s">
        <v>69</v>
      </c>
      <c r="AA1016" t="s">
        <v>25222</v>
      </c>
      <c r="AB1016" t="s">
        <v>25223</v>
      </c>
      <c r="AC1016" t="s">
        <v>521</v>
      </c>
      <c r="AD1016" t="s">
        <v>25224</v>
      </c>
      <c r="AE1016" t="s">
        <v>69</v>
      </c>
      <c r="AF1016" t="s">
        <v>25225</v>
      </c>
      <c r="AG1016" t="s">
        <v>25226</v>
      </c>
      <c r="AH1016" t="s">
        <v>69</v>
      </c>
      <c r="AI1016" t="s">
        <v>522</v>
      </c>
      <c r="AJ1016" t="s">
        <v>69</v>
      </c>
      <c r="AK1016" t="s">
        <v>69</v>
      </c>
      <c r="AL1016" t="s">
        <v>69</v>
      </c>
      <c r="AM1016" t="s">
        <v>69</v>
      </c>
      <c r="AN1016">
        <v>55</v>
      </c>
      <c r="AO1016">
        <v>7</v>
      </c>
      <c r="AP1016">
        <v>7</v>
      </c>
      <c r="AQ1016">
        <v>1</v>
      </c>
      <c r="AR1016">
        <v>28</v>
      </c>
      <c r="AS1016" t="s">
        <v>8611</v>
      </c>
      <c r="AT1016" t="s">
        <v>8612</v>
      </c>
      <c r="AU1016" t="s">
        <v>21726</v>
      </c>
      <c r="AV1016" t="s">
        <v>523</v>
      </c>
      <c r="AW1016" t="s">
        <v>69</v>
      </c>
      <c r="AX1016" t="s">
        <v>69</v>
      </c>
      <c r="AY1016" t="s">
        <v>21727</v>
      </c>
      <c r="AZ1016" t="s">
        <v>21728</v>
      </c>
      <c r="BA1016" t="s">
        <v>133</v>
      </c>
      <c r="BB1016">
        <v>2013</v>
      </c>
      <c r="BC1016">
        <v>41</v>
      </c>
      <c r="BD1016">
        <v>1</v>
      </c>
      <c r="BE1016" t="s">
        <v>69</v>
      </c>
      <c r="BF1016" t="s">
        <v>69</v>
      </c>
      <c r="BG1016" t="s">
        <v>114</v>
      </c>
      <c r="BH1016" t="s">
        <v>69</v>
      </c>
      <c r="BI1016">
        <v>77</v>
      </c>
      <c r="BJ1016">
        <v>94</v>
      </c>
      <c r="BK1016" t="s">
        <v>69</v>
      </c>
      <c r="BL1016" t="s">
        <v>524</v>
      </c>
      <c r="BM1016" t="str">
        <f>HYPERLINK("http://dx.doi.org/10.1080/09613218.2013.743251","http://dx.doi.org/10.1080/09613218.2013.743251")</f>
        <v>http://dx.doi.org/10.1080/09613218.2013.743251</v>
      </c>
      <c r="BN1016" t="s">
        <v>69</v>
      </c>
      <c r="BO1016" t="s">
        <v>69</v>
      </c>
      <c r="BP1016">
        <v>18</v>
      </c>
      <c r="BQ1016" t="s">
        <v>10105</v>
      </c>
      <c r="BR1016" t="s">
        <v>8548</v>
      </c>
      <c r="BS1016" t="s">
        <v>10105</v>
      </c>
      <c r="BT1016" t="s">
        <v>25227</v>
      </c>
      <c r="BU1016" t="s">
        <v>525</v>
      </c>
      <c r="BV1016" t="s">
        <v>69</v>
      </c>
      <c r="BW1016" t="s">
        <v>69</v>
      </c>
      <c r="BX1016" t="s">
        <v>69</v>
      </c>
      <c r="BY1016" t="s">
        <v>69</v>
      </c>
      <c r="BZ1016" t="s">
        <v>8526</v>
      </c>
      <c r="CA1016" t="str">
        <f>HYPERLINK("https%3A%2F%2Fwww.webofscience.com%2Fwos%2Fwoscc%2Ffull-record%2FWOS:000312593300007","View Full Record in Web of Science")</f>
        <v>View Full Record in Web of Science</v>
      </c>
    </row>
    <row r="1017" spans="2:79" ht="12.5" x14ac:dyDescent="0.25">
      <c r="B1017" t="s">
        <v>8495</v>
      </c>
      <c r="D1017" s="22" t="s">
        <v>32931</v>
      </c>
      <c r="E1017" s="7"/>
      <c r="F1017" s="7"/>
      <c r="G1017" s="7"/>
      <c r="H1017" t="s">
        <v>67</v>
      </c>
      <c r="I1017" t="s">
        <v>30880</v>
      </c>
      <c r="J1017" t="s">
        <v>69</v>
      </c>
      <c r="K1017" t="s">
        <v>69</v>
      </c>
      <c r="L1017" t="s">
        <v>69</v>
      </c>
      <c r="M1017" t="s">
        <v>30880</v>
      </c>
      <c r="N1017" t="s">
        <v>69</v>
      </c>
      <c r="O1017" t="s">
        <v>69</v>
      </c>
      <c r="P1017" t="s">
        <v>30881</v>
      </c>
      <c r="Q1017" t="s">
        <v>30882</v>
      </c>
      <c r="R1017" t="s">
        <v>69</v>
      </c>
      <c r="S1017" t="s">
        <v>69</v>
      </c>
      <c r="T1017" t="s">
        <v>8505</v>
      </c>
      <c r="U1017" t="s">
        <v>8506</v>
      </c>
      <c r="V1017" t="s">
        <v>69</v>
      </c>
      <c r="W1017" t="s">
        <v>69</v>
      </c>
      <c r="X1017" t="s">
        <v>69</v>
      </c>
      <c r="Y1017" t="s">
        <v>69</v>
      </c>
      <c r="Z1017" t="s">
        <v>69</v>
      </c>
      <c r="AA1017" t="s">
        <v>30883</v>
      </c>
      <c r="AB1017" t="s">
        <v>30884</v>
      </c>
      <c r="AC1017" t="s">
        <v>30885</v>
      </c>
      <c r="AD1017" t="s">
        <v>30886</v>
      </c>
      <c r="AE1017" t="s">
        <v>69</v>
      </c>
      <c r="AF1017" t="s">
        <v>30887</v>
      </c>
      <c r="AG1017" t="s">
        <v>30888</v>
      </c>
      <c r="AH1017" t="s">
        <v>30889</v>
      </c>
      <c r="AI1017" t="s">
        <v>30890</v>
      </c>
      <c r="AJ1017" t="s">
        <v>69</v>
      </c>
      <c r="AK1017" t="s">
        <v>69</v>
      </c>
      <c r="AL1017" t="s">
        <v>69</v>
      </c>
      <c r="AM1017" t="s">
        <v>69</v>
      </c>
      <c r="AN1017">
        <v>55</v>
      </c>
      <c r="AO1017">
        <v>24</v>
      </c>
      <c r="AP1017">
        <v>24</v>
      </c>
      <c r="AQ1017">
        <v>0</v>
      </c>
      <c r="AR1017">
        <v>19</v>
      </c>
      <c r="AS1017" t="s">
        <v>8586</v>
      </c>
      <c r="AT1017" t="s">
        <v>8587</v>
      </c>
      <c r="AU1017" t="s">
        <v>8588</v>
      </c>
      <c r="AV1017" t="s">
        <v>30891</v>
      </c>
      <c r="AW1017" t="s">
        <v>30892</v>
      </c>
      <c r="AX1017" t="s">
        <v>69</v>
      </c>
      <c r="AY1017" t="s">
        <v>30893</v>
      </c>
      <c r="AZ1017" t="s">
        <v>30894</v>
      </c>
      <c r="BA1017" t="s">
        <v>69</v>
      </c>
      <c r="BB1017">
        <v>2005</v>
      </c>
      <c r="BC1017">
        <v>105</v>
      </c>
      <c r="BD1017">
        <v>8</v>
      </c>
      <c r="BE1017" t="s">
        <v>69</v>
      </c>
      <c r="BF1017" t="s">
        <v>69</v>
      </c>
      <c r="BG1017" t="s">
        <v>69</v>
      </c>
      <c r="BH1017" t="s">
        <v>69</v>
      </c>
      <c r="BI1017">
        <v>1001</v>
      </c>
      <c r="BJ1017">
        <v>1021</v>
      </c>
      <c r="BK1017" t="s">
        <v>69</v>
      </c>
      <c r="BL1017" t="s">
        <v>30895</v>
      </c>
      <c r="BM1017" t="str">
        <f>HYPERLINK("http://dx.doi.org/10.1108/02635570510624419","http://dx.doi.org/10.1108/02635570510624419")</f>
        <v>http://dx.doi.org/10.1108/02635570510624419</v>
      </c>
      <c r="BN1017" t="s">
        <v>69</v>
      </c>
      <c r="BO1017" t="s">
        <v>69</v>
      </c>
      <c r="BP1017">
        <v>21</v>
      </c>
      <c r="BQ1017" t="s">
        <v>30896</v>
      </c>
      <c r="BR1017" t="s">
        <v>8523</v>
      </c>
      <c r="BS1017" t="s">
        <v>30897</v>
      </c>
      <c r="BT1017" t="s">
        <v>30898</v>
      </c>
      <c r="BU1017" t="s">
        <v>30899</v>
      </c>
      <c r="BV1017" t="s">
        <v>69</v>
      </c>
      <c r="BW1017" t="s">
        <v>69</v>
      </c>
      <c r="BX1017" t="s">
        <v>69</v>
      </c>
      <c r="BY1017" t="s">
        <v>69</v>
      </c>
      <c r="BZ1017" t="s">
        <v>8526</v>
      </c>
      <c r="CA1017" t="str">
        <f>HYPERLINK("https%3A%2F%2Fwww.webofscience.com%2Fwos%2Fwoscc%2Ffull-record%2FWOS:000234306000001","View Full Record in Web of Science")</f>
        <v>View Full Record in Web of Science</v>
      </c>
    </row>
    <row r="1018" spans="2:79" ht="12.5" x14ac:dyDescent="0.25">
      <c r="B1018" t="s">
        <v>8495</v>
      </c>
      <c r="D1018" s="22" t="s">
        <v>32931</v>
      </c>
      <c r="E1018" s="7"/>
      <c r="F1018" s="7"/>
      <c r="G1018" s="7"/>
      <c r="H1018" t="s">
        <v>67</v>
      </c>
      <c r="I1018" t="s">
        <v>29467</v>
      </c>
      <c r="J1018" t="s">
        <v>69</v>
      </c>
      <c r="K1018" t="s">
        <v>69</v>
      </c>
      <c r="L1018" t="s">
        <v>69</v>
      </c>
      <c r="M1018" t="s">
        <v>29468</v>
      </c>
      <c r="N1018" t="s">
        <v>69</v>
      </c>
      <c r="O1018" t="s">
        <v>69</v>
      </c>
      <c r="P1018" t="s">
        <v>29469</v>
      </c>
      <c r="Q1018" t="s">
        <v>4650</v>
      </c>
      <c r="R1018" t="s">
        <v>69</v>
      </c>
      <c r="S1018" t="s">
        <v>69</v>
      </c>
      <c r="T1018" t="s">
        <v>8505</v>
      </c>
      <c r="U1018" t="s">
        <v>8506</v>
      </c>
      <c r="V1018" t="s">
        <v>69</v>
      </c>
      <c r="W1018" t="s">
        <v>69</v>
      </c>
      <c r="X1018" t="s">
        <v>69</v>
      </c>
      <c r="Y1018" t="s">
        <v>69</v>
      </c>
      <c r="Z1018" t="s">
        <v>69</v>
      </c>
      <c r="AA1018" t="s">
        <v>29470</v>
      </c>
      <c r="AB1018" t="s">
        <v>29471</v>
      </c>
      <c r="AC1018" t="s">
        <v>29472</v>
      </c>
      <c r="AD1018" t="s">
        <v>29473</v>
      </c>
      <c r="AE1018" t="s">
        <v>69</v>
      </c>
      <c r="AF1018" t="s">
        <v>29474</v>
      </c>
      <c r="AG1018" t="s">
        <v>29475</v>
      </c>
      <c r="AH1018" t="s">
        <v>29476</v>
      </c>
      <c r="AI1018" t="s">
        <v>29477</v>
      </c>
      <c r="AJ1018" t="s">
        <v>69</v>
      </c>
      <c r="AK1018" t="s">
        <v>69</v>
      </c>
      <c r="AL1018" t="s">
        <v>69</v>
      </c>
      <c r="AM1018" t="s">
        <v>69</v>
      </c>
      <c r="AN1018">
        <v>59</v>
      </c>
      <c r="AO1018">
        <v>11</v>
      </c>
      <c r="AP1018">
        <v>11</v>
      </c>
      <c r="AQ1018">
        <v>0</v>
      </c>
      <c r="AR1018">
        <v>44</v>
      </c>
      <c r="AS1018" t="s">
        <v>8865</v>
      </c>
      <c r="AT1018" t="s">
        <v>8612</v>
      </c>
      <c r="AU1018" t="s">
        <v>22341</v>
      </c>
      <c r="AV1018" t="s">
        <v>4654</v>
      </c>
      <c r="AW1018" t="s">
        <v>69</v>
      </c>
      <c r="AX1018" t="s">
        <v>69</v>
      </c>
      <c r="AY1018" t="s">
        <v>29478</v>
      </c>
      <c r="AZ1018" t="s">
        <v>29479</v>
      </c>
      <c r="BA1018" t="s">
        <v>69</v>
      </c>
      <c r="BB1018">
        <v>2008</v>
      </c>
      <c r="BC1018">
        <v>28</v>
      </c>
      <c r="BD1018">
        <v>6</v>
      </c>
      <c r="BE1018" t="s">
        <v>69</v>
      </c>
      <c r="BF1018" t="s">
        <v>69</v>
      </c>
      <c r="BG1018" t="s">
        <v>69</v>
      </c>
      <c r="BH1018" t="s">
        <v>69</v>
      </c>
      <c r="BI1018">
        <v>827</v>
      </c>
      <c r="BJ1018">
        <v>844</v>
      </c>
      <c r="BK1018" t="s">
        <v>69</v>
      </c>
      <c r="BL1018" t="s">
        <v>29480</v>
      </c>
      <c r="BM1018" t="str">
        <f>HYPERLINK("http://dx.doi.org/10.1080/02642060801990395","http://dx.doi.org/10.1080/02642060801990395")</f>
        <v>http://dx.doi.org/10.1080/02642060801990395</v>
      </c>
      <c r="BN1018" t="s">
        <v>69</v>
      </c>
      <c r="BO1018" t="s">
        <v>69</v>
      </c>
      <c r="BP1018">
        <v>18</v>
      </c>
      <c r="BQ1018" t="s">
        <v>9410</v>
      </c>
      <c r="BR1018" t="s">
        <v>8661</v>
      </c>
      <c r="BS1018" t="s">
        <v>8594</v>
      </c>
      <c r="BT1018" t="s">
        <v>29481</v>
      </c>
      <c r="BU1018" t="s">
        <v>29482</v>
      </c>
      <c r="BV1018" t="s">
        <v>69</v>
      </c>
      <c r="BW1018" t="s">
        <v>69</v>
      </c>
      <c r="BX1018" t="s">
        <v>69</v>
      </c>
      <c r="BY1018" t="s">
        <v>69</v>
      </c>
      <c r="BZ1018" t="s">
        <v>8526</v>
      </c>
      <c r="CA1018" t="str">
        <f>HYPERLINK("https%3A%2F%2Fwww.webofscience.com%2Fwos%2Fwoscc%2Ffull-record%2FWOS:000259227300007","View Full Record in Web of Science")</f>
        <v>View Full Record in Web of Science</v>
      </c>
    </row>
    <row r="1019" spans="2:79" ht="12.5" x14ac:dyDescent="0.25">
      <c r="B1019" t="s">
        <v>8495</v>
      </c>
      <c r="D1019" s="7" t="s">
        <v>32933</v>
      </c>
      <c r="E1019" s="7"/>
      <c r="F1019" s="7"/>
      <c r="G1019" s="7"/>
      <c r="H1019" t="s">
        <v>67</v>
      </c>
      <c r="I1019" t="s">
        <v>3227</v>
      </c>
      <c r="J1019" t="s">
        <v>69</v>
      </c>
      <c r="K1019" t="s">
        <v>69</v>
      </c>
      <c r="L1019" t="s">
        <v>69</v>
      </c>
      <c r="M1019" t="s">
        <v>3228</v>
      </c>
      <c r="N1019" t="s">
        <v>69</v>
      </c>
      <c r="O1019" t="s">
        <v>69</v>
      </c>
      <c r="P1019" t="s">
        <v>3229</v>
      </c>
      <c r="Q1019" t="s">
        <v>3230</v>
      </c>
      <c r="R1019" t="s">
        <v>69</v>
      </c>
      <c r="S1019" t="s">
        <v>69</v>
      </c>
      <c r="T1019" t="s">
        <v>8505</v>
      </c>
      <c r="U1019" t="s">
        <v>10174</v>
      </c>
      <c r="V1019" t="s">
        <v>69</v>
      </c>
      <c r="W1019" t="s">
        <v>69</v>
      </c>
      <c r="X1019" t="s">
        <v>69</v>
      </c>
      <c r="Y1019" t="s">
        <v>69</v>
      </c>
      <c r="Z1019" t="s">
        <v>69</v>
      </c>
      <c r="AA1019" t="s">
        <v>69</v>
      </c>
      <c r="AB1019" t="s">
        <v>69</v>
      </c>
      <c r="AC1019" t="s">
        <v>3231</v>
      </c>
      <c r="AD1019" t="s">
        <v>24153</v>
      </c>
      <c r="AE1019" t="s">
        <v>69</v>
      </c>
      <c r="AF1019" t="s">
        <v>24154</v>
      </c>
      <c r="AG1019" t="s">
        <v>24155</v>
      </c>
      <c r="AH1019" t="s">
        <v>69</v>
      </c>
      <c r="AI1019" t="s">
        <v>69</v>
      </c>
      <c r="AJ1019" t="s">
        <v>69</v>
      </c>
      <c r="AK1019" t="s">
        <v>69</v>
      </c>
      <c r="AL1019" t="s">
        <v>69</v>
      </c>
      <c r="AM1019" t="s">
        <v>69</v>
      </c>
      <c r="AN1019">
        <v>7</v>
      </c>
      <c r="AO1019">
        <v>0</v>
      </c>
      <c r="AP1019">
        <v>0</v>
      </c>
      <c r="AQ1019">
        <v>0</v>
      </c>
      <c r="AR1019">
        <v>3</v>
      </c>
      <c r="AS1019" t="s">
        <v>24156</v>
      </c>
      <c r="AT1019" t="s">
        <v>24157</v>
      </c>
      <c r="AU1019" t="s">
        <v>24158</v>
      </c>
      <c r="AV1019" t="s">
        <v>3232</v>
      </c>
      <c r="AW1019" t="s">
        <v>69</v>
      </c>
      <c r="AX1019" t="s">
        <v>69</v>
      </c>
      <c r="AY1019" t="s">
        <v>24159</v>
      </c>
      <c r="AZ1019" t="s">
        <v>24160</v>
      </c>
      <c r="BA1019" t="s">
        <v>69</v>
      </c>
      <c r="BB1019">
        <v>2014</v>
      </c>
      <c r="BC1019">
        <v>41</v>
      </c>
      <c r="BD1019" t="s">
        <v>69</v>
      </c>
      <c r="BE1019" t="s">
        <v>69</v>
      </c>
      <c r="BF1019" t="s">
        <v>69</v>
      </c>
      <c r="BG1019" t="s">
        <v>69</v>
      </c>
      <c r="BH1019" t="s">
        <v>69</v>
      </c>
      <c r="BI1019">
        <v>1</v>
      </c>
      <c r="BJ1019">
        <v>4</v>
      </c>
      <c r="BK1019" t="s">
        <v>69</v>
      </c>
      <c r="BL1019" t="s">
        <v>69</v>
      </c>
      <c r="BM1019" t="s">
        <v>69</v>
      </c>
      <c r="BN1019" t="s">
        <v>69</v>
      </c>
      <c r="BO1019" t="s">
        <v>69</v>
      </c>
      <c r="BP1019">
        <v>4</v>
      </c>
      <c r="BQ1019" t="s">
        <v>17732</v>
      </c>
      <c r="BR1019" t="s">
        <v>8548</v>
      </c>
      <c r="BS1019" t="s">
        <v>17733</v>
      </c>
      <c r="BT1019" t="s">
        <v>24161</v>
      </c>
      <c r="BU1019" t="s">
        <v>3233</v>
      </c>
      <c r="BV1019" t="s">
        <v>69</v>
      </c>
      <c r="BW1019" t="s">
        <v>69</v>
      </c>
      <c r="BX1019" t="s">
        <v>69</v>
      </c>
      <c r="BY1019" t="s">
        <v>69</v>
      </c>
      <c r="BZ1019" t="s">
        <v>8526</v>
      </c>
      <c r="CA1019" t="str">
        <f>HYPERLINK("https%3A%2F%2Fwww.webofscience.com%2Fwos%2Fwoscc%2Ffull-record%2FWOS:000333849900001","View Full Record in Web of Science")</f>
        <v>View Full Record in Web of Science</v>
      </c>
    </row>
    <row r="1020" spans="2:79" ht="12.5" x14ac:dyDescent="0.25">
      <c r="B1020" t="s">
        <v>8495</v>
      </c>
      <c r="D1020" s="7" t="s">
        <v>32933</v>
      </c>
      <c r="E1020" s="7"/>
      <c r="F1020" s="7"/>
      <c r="G1020" s="7"/>
      <c r="H1020" t="s">
        <v>67</v>
      </c>
      <c r="I1020" t="s">
        <v>4178</v>
      </c>
      <c r="J1020" t="s">
        <v>69</v>
      </c>
      <c r="K1020" t="s">
        <v>69</v>
      </c>
      <c r="L1020" t="s">
        <v>69</v>
      </c>
      <c r="M1020" t="s">
        <v>4178</v>
      </c>
      <c r="N1020" t="s">
        <v>69</v>
      </c>
      <c r="O1020" t="s">
        <v>69</v>
      </c>
      <c r="P1020" t="s">
        <v>4179</v>
      </c>
      <c r="Q1020" t="s">
        <v>4180</v>
      </c>
      <c r="R1020" t="s">
        <v>69</v>
      </c>
      <c r="S1020" t="s">
        <v>69</v>
      </c>
      <c r="T1020" t="s">
        <v>8505</v>
      </c>
      <c r="U1020" t="s">
        <v>8506</v>
      </c>
      <c r="V1020" t="s">
        <v>69</v>
      </c>
      <c r="W1020" t="s">
        <v>69</v>
      </c>
      <c r="X1020" t="s">
        <v>69</v>
      </c>
      <c r="Y1020" t="s">
        <v>69</v>
      </c>
      <c r="Z1020" t="s">
        <v>69</v>
      </c>
      <c r="AA1020" t="s">
        <v>69</v>
      </c>
      <c r="AB1020" t="s">
        <v>69</v>
      </c>
      <c r="AC1020" t="s">
        <v>4181</v>
      </c>
      <c r="AD1020" t="s">
        <v>32206</v>
      </c>
      <c r="AE1020" t="s">
        <v>69</v>
      </c>
      <c r="AF1020" t="s">
        <v>32207</v>
      </c>
      <c r="AG1020" t="s">
        <v>69</v>
      </c>
      <c r="AH1020" t="s">
        <v>69</v>
      </c>
      <c r="AI1020" t="s">
        <v>69</v>
      </c>
      <c r="AJ1020" t="s">
        <v>69</v>
      </c>
      <c r="AK1020" t="s">
        <v>69</v>
      </c>
      <c r="AL1020" t="s">
        <v>69</v>
      </c>
      <c r="AM1020" t="s">
        <v>69</v>
      </c>
      <c r="AN1020">
        <v>15</v>
      </c>
      <c r="AO1020">
        <v>4</v>
      </c>
      <c r="AP1020">
        <v>4</v>
      </c>
      <c r="AQ1020">
        <v>0</v>
      </c>
      <c r="AR1020">
        <v>0</v>
      </c>
      <c r="AS1020" t="s">
        <v>32208</v>
      </c>
      <c r="AT1020" t="s">
        <v>32209</v>
      </c>
      <c r="AU1020" t="s">
        <v>32210</v>
      </c>
      <c r="AV1020" t="s">
        <v>4182</v>
      </c>
      <c r="AW1020" t="s">
        <v>69</v>
      </c>
      <c r="AX1020" t="s">
        <v>69</v>
      </c>
      <c r="AY1020" t="s">
        <v>32211</v>
      </c>
      <c r="AZ1020" t="s">
        <v>32212</v>
      </c>
      <c r="BA1020" t="s">
        <v>263</v>
      </c>
      <c r="BB1020">
        <v>1997</v>
      </c>
      <c r="BC1020">
        <v>51</v>
      </c>
      <c r="BD1020">
        <v>4</v>
      </c>
      <c r="BE1020" t="s">
        <v>69</v>
      </c>
      <c r="BF1020" t="s">
        <v>69</v>
      </c>
      <c r="BG1020" t="s">
        <v>69</v>
      </c>
      <c r="BH1020" t="s">
        <v>69</v>
      </c>
      <c r="BI1020">
        <v>47</v>
      </c>
      <c r="BJ1020">
        <v>58</v>
      </c>
      <c r="BK1020" t="s">
        <v>69</v>
      </c>
      <c r="BL1020" t="s">
        <v>69</v>
      </c>
      <c r="BM1020" t="s">
        <v>69</v>
      </c>
      <c r="BN1020" t="s">
        <v>69</v>
      </c>
      <c r="BO1020" t="s">
        <v>69</v>
      </c>
      <c r="BP1020">
        <v>12</v>
      </c>
      <c r="BQ1020" t="s">
        <v>16486</v>
      </c>
      <c r="BR1020" t="s">
        <v>8661</v>
      </c>
      <c r="BS1020" t="s">
        <v>16486</v>
      </c>
      <c r="BT1020" t="s">
        <v>32213</v>
      </c>
      <c r="BU1020" t="s">
        <v>4183</v>
      </c>
      <c r="BV1020" t="s">
        <v>69</v>
      </c>
      <c r="BW1020" t="s">
        <v>69</v>
      </c>
      <c r="BX1020" t="s">
        <v>69</v>
      </c>
      <c r="BY1020" t="s">
        <v>69</v>
      </c>
      <c r="BZ1020" t="s">
        <v>8526</v>
      </c>
      <c r="CA1020" t="str">
        <f>HYPERLINK("https%3A%2F%2Fwww.webofscience.com%2Fwos%2Fwoscc%2Ffull-record%2FWOS:000072452800010","View Full Record in Web of Science")</f>
        <v>View Full Record in Web of Science</v>
      </c>
    </row>
    <row r="1021" spans="2:79" ht="12.5" x14ac:dyDescent="0.25">
      <c r="B1021" t="s">
        <v>8495</v>
      </c>
      <c r="D1021" s="7" t="s">
        <v>32933</v>
      </c>
      <c r="E1021" s="7"/>
      <c r="F1021" s="7"/>
      <c r="G1021" s="7"/>
      <c r="H1021" t="s">
        <v>67</v>
      </c>
      <c r="I1021" t="s">
        <v>4736</v>
      </c>
      <c r="J1021" t="s">
        <v>69</v>
      </c>
      <c r="K1021" t="s">
        <v>69</v>
      </c>
      <c r="L1021" t="s">
        <v>69</v>
      </c>
      <c r="M1021" t="s">
        <v>4737</v>
      </c>
      <c r="N1021" t="s">
        <v>69</v>
      </c>
      <c r="O1021" t="s">
        <v>69</v>
      </c>
      <c r="P1021" t="s">
        <v>4738</v>
      </c>
      <c r="Q1021" t="s">
        <v>4739</v>
      </c>
      <c r="R1021" t="s">
        <v>69</v>
      </c>
      <c r="S1021" t="s">
        <v>69</v>
      </c>
      <c r="T1021" t="s">
        <v>8505</v>
      </c>
      <c r="U1021" t="s">
        <v>8506</v>
      </c>
      <c r="V1021" t="s">
        <v>69</v>
      </c>
      <c r="W1021" t="s">
        <v>69</v>
      </c>
      <c r="X1021" t="s">
        <v>69</v>
      </c>
      <c r="Y1021" t="s">
        <v>69</v>
      </c>
      <c r="Z1021" t="s">
        <v>69</v>
      </c>
      <c r="AA1021" t="s">
        <v>15839</v>
      </c>
      <c r="AB1021" t="s">
        <v>15840</v>
      </c>
      <c r="AC1021" t="s">
        <v>4740</v>
      </c>
      <c r="AD1021" t="s">
        <v>15841</v>
      </c>
      <c r="AE1021" t="s">
        <v>69</v>
      </c>
      <c r="AF1021" t="s">
        <v>15842</v>
      </c>
      <c r="AG1021" t="s">
        <v>15843</v>
      </c>
      <c r="AH1021" t="s">
        <v>15844</v>
      </c>
      <c r="AI1021" t="s">
        <v>15845</v>
      </c>
      <c r="AJ1021" t="s">
        <v>15846</v>
      </c>
      <c r="AK1021" t="s">
        <v>15846</v>
      </c>
      <c r="AL1021" t="s">
        <v>15847</v>
      </c>
      <c r="AM1021" t="s">
        <v>69</v>
      </c>
      <c r="AN1021">
        <v>49</v>
      </c>
      <c r="AO1021">
        <v>8</v>
      </c>
      <c r="AP1021">
        <v>8</v>
      </c>
      <c r="AQ1021">
        <v>2</v>
      </c>
      <c r="AR1021">
        <v>15</v>
      </c>
      <c r="AS1021" t="s">
        <v>8924</v>
      </c>
      <c r="AT1021" t="s">
        <v>8925</v>
      </c>
      <c r="AU1021" t="s">
        <v>8926</v>
      </c>
      <c r="AV1021" t="s">
        <v>69</v>
      </c>
      <c r="AW1021" t="s">
        <v>4741</v>
      </c>
      <c r="AX1021" t="s">
        <v>69</v>
      </c>
      <c r="AY1021" t="s">
        <v>11435</v>
      </c>
      <c r="AZ1021" t="s">
        <v>8426</v>
      </c>
      <c r="BA1021" t="s">
        <v>191</v>
      </c>
      <c r="BB1021">
        <v>2020</v>
      </c>
      <c r="BC1021">
        <v>12</v>
      </c>
      <c r="BD1021">
        <v>2</v>
      </c>
      <c r="BE1021" t="s">
        <v>69</v>
      </c>
      <c r="BF1021" t="s">
        <v>69</v>
      </c>
      <c r="BG1021" t="s">
        <v>69</v>
      </c>
      <c r="BH1021" t="s">
        <v>69</v>
      </c>
      <c r="BI1021" t="s">
        <v>69</v>
      </c>
      <c r="BJ1021" t="s">
        <v>69</v>
      </c>
      <c r="BK1021">
        <v>537</v>
      </c>
      <c r="BL1021" t="s">
        <v>4742</v>
      </c>
      <c r="BM1021" t="str">
        <f>HYPERLINK("http://dx.doi.org/10.3390/w12020537","http://dx.doi.org/10.3390/w12020537")</f>
        <v>http://dx.doi.org/10.3390/w12020537</v>
      </c>
      <c r="BN1021" t="s">
        <v>69</v>
      </c>
      <c r="BO1021" t="s">
        <v>69</v>
      </c>
      <c r="BP1021">
        <v>19</v>
      </c>
      <c r="BQ1021" t="s">
        <v>11437</v>
      </c>
      <c r="BR1021" t="s">
        <v>8548</v>
      </c>
      <c r="BS1021" t="s">
        <v>11438</v>
      </c>
      <c r="BT1021" t="s">
        <v>15848</v>
      </c>
      <c r="BU1021" t="s">
        <v>4743</v>
      </c>
      <c r="BV1021" t="s">
        <v>69</v>
      </c>
      <c r="BW1021" t="s">
        <v>9352</v>
      </c>
      <c r="BX1021" t="s">
        <v>69</v>
      </c>
      <c r="BY1021" t="s">
        <v>69</v>
      </c>
      <c r="BZ1021" t="s">
        <v>8526</v>
      </c>
      <c r="CA1021" t="str">
        <f>HYPERLINK("https%3A%2F%2Fwww.webofscience.com%2Fwos%2Fwoscc%2Ffull-record%2FWOS:000519846500228","View Full Record in Web of Science")</f>
        <v>View Full Record in Web of Science</v>
      </c>
    </row>
    <row r="1022" spans="2:79" ht="12.5" x14ac:dyDescent="0.25">
      <c r="B1022" t="s">
        <v>8495</v>
      </c>
      <c r="D1022" s="7" t="s">
        <v>32933</v>
      </c>
      <c r="E1022" s="7"/>
      <c r="F1022" s="7"/>
      <c r="G1022" s="7"/>
      <c r="H1022" t="s">
        <v>67</v>
      </c>
      <c r="I1022" t="s">
        <v>7130</v>
      </c>
      <c r="J1022" t="s">
        <v>69</v>
      </c>
      <c r="K1022" t="s">
        <v>69</v>
      </c>
      <c r="L1022" t="s">
        <v>69</v>
      </c>
      <c r="M1022" t="s">
        <v>7131</v>
      </c>
      <c r="N1022" t="s">
        <v>69</v>
      </c>
      <c r="O1022" t="s">
        <v>69</v>
      </c>
      <c r="P1022" t="s">
        <v>7132</v>
      </c>
      <c r="Q1022" t="s">
        <v>7133</v>
      </c>
      <c r="R1022" t="s">
        <v>69</v>
      </c>
      <c r="S1022" t="s">
        <v>69</v>
      </c>
      <c r="T1022" t="s">
        <v>8505</v>
      </c>
      <c r="U1022" t="s">
        <v>8506</v>
      </c>
      <c r="V1022" t="s">
        <v>69</v>
      </c>
      <c r="W1022" t="s">
        <v>69</v>
      </c>
      <c r="X1022" t="s">
        <v>69</v>
      </c>
      <c r="Y1022" t="s">
        <v>69</v>
      </c>
      <c r="Z1022" t="s">
        <v>69</v>
      </c>
      <c r="AA1022" t="s">
        <v>25538</v>
      </c>
      <c r="AB1022" t="s">
        <v>69</v>
      </c>
      <c r="AC1022" t="s">
        <v>7134</v>
      </c>
      <c r="AD1022" t="s">
        <v>25539</v>
      </c>
      <c r="AE1022" t="s">
        <v>69</v>
      </c>
      <c r="AF1022" t="s">
        <v>25540</v>
      </c>
      <c r="AG1022" t="s">
        <v>25541</v>
      </c>
      <c r="AH1022" t="s">
        <v>69</v>
      </c>
      <c r="AI1022" t="s">
        <v>69</v>
      </c>
      <c r="AJ1022" t="s">
        <v>69</v>
      </c>
      <c r="AK1022" t="s">
        <v>69</v>
      </c>
      <c r="AL1022" t="s">
        <v>69</v>
      </c>
      <c r="AM1022" t="s">
        <v>69</v>
      </c>
      <c r="AN1022">
        <v>3</v>
      </c>
      <c r="AO1022">
        <v>4</v>
      </c>
      <c r="AP1022">
        <v>4</v>
      </c>
      <c r="AQ1022">
        <v>2</v>
      </c>
      <c r="AR1022">
        <v>7</v>
      </c>
      <c r="AS1022" t="s">
        <v>13700</v>
      </c>
      <c r="AT1022" t="s">
        <v>13701</v>
      </c>
      <c r="AU1022" t="s">
        <v>13702</v>
      </c>
      <c r="AV1022" t="s">
        <v>7135</v>
      </c>
      <c r="AW1022" t="s">
        <v>69</v>
      </c>
      <c r="AX1022" t="s">
        <v>69</v>
      </c>
      <c r="AY1022" t="s">
        <v>13703</v>
      </c>
      <c r="AZ1022" t="s">
        <v>13704</v>
      </c>
      <c r="BA1022" t="s">
        <v>69</v>
      </c>
      <c r="BB1022">
        <v>2013</v>
      </c>
      <c r="BC1022">
        <v>25</v>
      </c>
      <c r="BD1022" t="s">
        <v>69</v>
      </c>
      <c r="BE1022" t="s">
        <v>69</v>
      </c>
      <c r="BF1022">
        <v>2</v>
      </c>
      <c r="BG1022" t="s">
        <v>69</v>
      </c>
      <c r="BH1022" t="s">
        <v>69</v>
      </c>
      <c r="BI1022" t="s">
        <v>7136</v>
      </c>
      <c r="BJ1022" t="s">
        <v>7137</v>
      </c>
      <c r="BK1022" t="s">
        <v>69</v>
      </c>
      <c r="BL1022" t="s">
        <v>69</v>
      </c>
      <c r="BM1022" t="s">
        <v>69</v>
      </c>
      <c r="BN1022" t="s">
        <v>69</v>
      </c>
      <c r="BO1022" t="s">
        <v>69</v>
      </c>
      <c r="BP1022">
        <v>5</v>
      </c>
      <c r="BQ1022" t="s">
        <v>9332</v>
      </c>
      <c r="BR1022" t="s">
        <v>8523</v>
      </c>
      <c r="BS1022" t="s">
        <v>9332</v>
      </c>
      <c r="BT1022" t="s">
        <v>25542</v>
      </c>
      <c r="BU1022" t="s">
        <v>7138</v>
      </c>
      <c r="BV1022">
        <v>23995206</v>
      </c>
      <c r="BW1022" t="s">
        <v>69</v>
      </c>
      <c r="BX1022" t="s">
        <v>69</v>
      </c>
      <c r="BY1022" t="s">
        <v>69</v>
      </c>
      <c r="BZ1022" t="s">
        <v>8526</v>
      </c>
      <c r="CA1022" t="str">
        <f>HYPERLINK("https%3A%2F%2Fwww.webofscience.com%2Fwos%2Fwoscc%2Ffull-record%2FWOS:000209814200060","View Full Record in Web of Science")</f>
        <v>View Full Record in Web of Science</v>
      </c>
    </row>
    <row r="1023" spans="2:79" ht="12.5" x14ac:dyDescent="0.25">
      <c r="B1023" t="s">
        <v>8495</v>
      </c>
      <c r="D1023" s="7" t="s">
        <v>32933</v>
      </c>
      <c r="E1023" s="7"/>
      <c r="F1023" s="7"/>
      <c r="G1023" s="7"/>
      <c r="H1023" t="s">
        <v>67</v>
      </c>
      <c r="I1023" t="s">
        <v>6636</v>
      </c>
      <c r="J1023" t="s">
        <v>69</v>
      </c>
      <c r="K1023" t="s">
        <v>69</v>
      </c>
      <c r="L1023" t="s">
        <v>69</v>
      </c>
      <c r="M1023" t="s">
        <v>6637</v>
      </c>
      <c r="N1023" t="s">
        <v>69</v>
      </c>
      <c r="O1023" t="s">
        <v>69</v>
      </c>
      <c r="P1023" t="s">
        <v>6638</v>
      </c>
      <c r="Q1023" t="s">
        <v>6639</v>
      </c>
      <c r="R1023" t="s">
        <v>69</v>
      </c>
      <c r="S1023" t="s">
        <v>69</v>
      </c>
      <c r="T1023" t="s">
        <v>8505</v>
      </c>
      <c r="U1023" t="s">
        <v>8506</v>
      </c>
      <c r="V1023" t="s">
        <v>69</v>
      </c>
      <c r="W1023" t="s">
        <v>69</v>
      </c>
      <c r="X1023" t="s">
        <v>69</v>
      </c>
      <c r="Y1023" t="s">
        <v>69</v>
      </c>
      <c r="Z1023" t="s">
        <v>69</v>
      </c>
      <c r="AA1023" t="s">
        <v>16443</v>
      </c>
      <c r="AB1023" t="s">
        <v>16444</v>
      </c>
      <c r="AC1023" t="s">
        <v>6640</v>
      </c>
      <c r="AD1023" t="s">
        <v>16445</v>
      </c>
      <c r="AE1023" t="s">
        <v>69</v>
      </c>
      <c r="AF1023" t="s">
        <v>16446</v>
      </c>
      <c r="AG1023" t="s">
        <v>16447</v>
      </c>
      <c r="AH1023" t="s">
        <v>69</v>
      </c>
      <c r="AI1023" t="s">
        <v>69</v>
      </c>
      <c r="AJ1023" t="s">
        <v>69</v>
      </c>
      <c r="AK1023" t="s">
        <v>69</v>
      </c>
      <c r="AL1023" t="s">
        <v>69</v>
      </c>
      <c r="AM1023" t="s">
        <v>69</v>
      </c>
      <c r="AN1023">
        <v>13</v>
      </c>
      <c r="AO1023">
        <v>1</v>
      </c>
      <c r="AP1023">
        <v>1</v>
      </c>
      <c r="AQ1023">
        <v>2</v>
      </c>
      <c r="AR1023">
        <v>12</v>
      </c>
      <c r="AS1023" t="s">
        <v>8586</v>
      </c>
      <c r="AT1023" t="s">
        <v>8587</v>
      </c>
      <c r="AU1023" t="s">
        <v>8588</v>
      </c>
      <c r="AV1023" t="s">
        <v>6641</v>
      </c>
      <c r="AW1023" t="s">
        <v>69</v>
      </c>
      <c r="AX1023" t="s">
        <v>69</v>
      </c>
      <c r="AY1023" t="s">
        <v>16448</v>
      </c>
      <c r="AZ1023" t="s">
        <v>16449</v>
      </c>
      <c r="BA1023" t="s">
        <v>6642</v>
      </c>
      <c r="BB1023">
        <v>2019</v>
      </c>
      <c r="BC1023">
        <v>24</v>
      </c>
      <c r="BD1023">
        <v>4</v>
      </c>
      <c r="BE1023" t="s">
        <v>69</v>
      </c>
      <c r="BF1023" t="s">
        <v>69</v>
      </c>
      <c r="BG1023" t="s">
        <v>114</v>
      </c>
      <c r="BH1023" t="s">
        <v>69</v>
      </c>
      <c r="BI1023">
        <v>261</v>
      </c>
      <c r="BJ1023">
        <v>266</v>
      </c>
      <c r="BK1023" t="s">
        <v>69</v>
      </c>
      <c r="BL1023" t="s">
        <v>6643</v>
      </c>
      <c r="BM1023" t="str">
        <f>HYPERLINK("http://dx.doi.org/10.1108/IJHG-05-2019-0030","http://dx.doi.org/10.1108/IJHG-05-2019-0030")</f>
        <v>http://dx.doi.org/10.1108/IJHG-05-2019-0030</v>
      </c>
      <c r="BN1023" t="s">
        <v>69</v>
      </c>
      <c r="BO1023" t="s">
        <v>69</v>
      </c>
      <c r="BP1023">
        <v>6</v>
      </c>
      <c r="BQ1023" t="s">
        <v>9208</v>
      </c>
      <c r="BR1023" t="s">
        <v>8573</v>
      </c>
      <c r="BS1023" t="s">
        <v>9209</v>
      </c>
      <c r="BT1023" t="s">
        <v>16450</v>
      </c>
      <c r="BU1023" t="s">
        <v>6644</v>
      </c>
      <c r="BV1023" t="s">
        <v>69</v>
      </c>
      <c r="BW1023" t="s">
        <v>69</v>
      </c>
      <c r="BX1023" t="s">
        <v>69</v>
      </c>
      <c r="BY1023" t="s">
        <v>69</v>
      </c>
      <c r="BZ1023" t="s">
        <v>8526</v>
      </c>
      <c r="CA1023" t="str">
        <f>HYPERLINK("https%3A%2F%2Fwww.webofscience.com%2Fwos%2Fwoscc%2Ffull-record%2FWOS:000491087800003","View Full Record in Web of Science")</f>
        <v>View Full Record in Web of Science</v>
      </c>
    </row>
    <row r="1024" spans="2:79" ht="12.5" x14ac:dyDescent="0.25">
      <c r="B1024" t="s">
        <v>8495</v>
      </c>
      <c r="D1024" s="22" t="s">
        <v>32931</v>
      </c>
      <c r="E1024" s="7"/>
      <c r="F1024" s="7"/>
      <c r="G1024" s="7"/>
      <c r="H1024" t="s">
        <v>67</v>
      </c>
      <c r="I1024" t="s">
        <v>16664</v>
      </c>
      <c r="J1024" t="s">
        <v>69</v>
      </c>
      <c r="K1024" t="s">
        <v>69</v>
      </c>
      <c r="L1024" t="s">
        <v>69</v>
      </c>
      <c r="M1024" t="s">
        <v>16665</v>
      </c>
      <c r="N1024" t="s">
        <v>69</v>
      </c>
      <c r="O1024" t="s">
        <v>69</v>
      </c>
      <c r="P1024" t="s">
        <v>16666</v>
      </c>
      <c r="Q1024" t="s">
        <v>16667</v>
      </c>
      <c r="R1024" t="s">
        <v>69</v>
      </c>
      <c r="S1024" t="s">
        <v>69</v>
      </c>
      <c r="T1024" t="s">
        <v>8505</v>
      </c>
      <c r="U1024" t="s">
        <v>8506</v>
      </c>
      <c r="V1024" t="s">
        <v>69</v>
      </c>
      <c r="W1024" t="s">
        <v>69</v>
      </c>
      <c r="X1024" t="s">
        <v>69</v>
      </c>
      <c r="Y1024" t="s">
        <v>69</v>
      </c>
      <c r="Z1024" t="s">
        <v>69</v>
      </c>
      <c r="AA1024" t="s">
        <v>16668</v>
      </c>
      <c r="AB1024" t="s">
        <v>16669</v>
      </c>
      <c r="AC1024" t="s">
        <v>16670</v>
      </c>
      <c r="AD1024" t="s">
        <v>16671</v>
      </c>
      <c r="AE1024" t="s">
        <v>69</v>
      </c>
      <c r="AF1024" t="s">
        <v>16672</v>
      </c>
      <c r="AG1024" t="s">
        <v>16673</v>
      </c>
      <c r="AH1024" t="s">
        <v>16674</v>
      </c>
      <c r="AI1024" t="s">
        <v>16675</v>
      </c>
      <c r="AJ1024" t="s">
        <v>16676</v>
      </c>
      <c r="AK1024" t="s">
        <v>16677</v>
      </c>
      <c r="AL1024" t="s">
        <v>16678</v>
      </c>
      <c r="AM1024" t="s">
        <v>69</v>
      </c>
      <c r="AN1024">
        <v>45</v>
      </c>
      <c r="AO1024">
        <v>3</v>
      </c>
      <c r="AP1024">
        <v>3</v>
      </c>
      <c r="AQ1024">
        <v>1</v>
      </c>
      <c r="AR1024">
        <v>9</v>
      </c>
      <c r="AS1024" t="s">
        <v>8636</v>
      </c>
      <c r="AT1024" t="s">
        <v>8637</v>
      </c>
      <c r="AU1024" t="s">
        <v>8638</v>
      </c>
      <c r="AV1024" t="s">
        <v>16679</v>
      </c>
      <c r="AW1024" t="s">
        <v>16680</v>
      </c>
      <c r="AX1024" t="s">
        <v>69</v>
      </c>
      <c r="AY1024" t="s">
        <v>16681</v>
      </c>
      <c r="AZ1024" t="s">
        <v>16682</v>
      </c>
      <c r="BA1024" t="s">
        <v>381</v>
      </c>
      <c r="BB1024">
        <v>2019</v>
      </c>
      <c r="BC1024">
        <v>60</v>
      </c>
      <c r="BD1024" t="s">
        <v>69</v>
      </c>
      <c r="BE1024" t="s">
        <v>69</v>
      </c>
      <c r="BF1024" t="s">
        <v>69</v>
      </c>
      <c r="BG1024" t="s">
        <v>69</v>
      </c>
      <c r="BH1024" t="s">
        <v>69</v>
      </c>
      <c r="BI1024" t="s">
        <v>69</v>
      </c>
      <c r="BJ1024" t="s">
        <v>69</v>
      </c>
      <c r="BK1024">
        <v>100939</v>
      </c>
      <c r="BL1024" t="s">
        <v>16683</v>
      </c>
      <c r="BM1024" t="str">
        <f>HYPERLINK("http://dx.doi.org/10.1016/j.jup.2019.100939","http://dx.doi.org/10.1016/j.jup.2019.100939")</f>
        <v>http://dx.doi.org/10.1016/j.jup.2019.100939</v>
      </c>
      <c r="BN1024" t="s">
        <v>69</v>
      </c>
      <c r="BO1024" t="s">
        <v>69</v>
      </c>
      <c r="BP1024">
        <v>9</v>
      </c>
      <c r="BQ1024" t="s">
        <v>16684</v>
      </c>
      <c r="BR1024" t="s">
        <v>8523</v>
      </c>
      <c r="BS1024" t="s">
        <v>16685</v>
      </c>
      <c r="BT1024" t="s">
        <v>16686</v>
      </c>
      <c r="BU1024" t="s">
        <v>16687</v>
      </c>
      <c r="BV1024" t="s">
        <v>69</v>
      </c>
      <c r="BW1024" t="s">
        <v>69</v>
      </c>
      <c r="BX1024" t="s">
        <v>69</v>
      </c>
      <c r="BY1024" t="s">
        <v>69</v>
      </c>
      <c r="BZ1024" t="s">
        <v>8526</v>
      </c>
      <c r="CA1024" t="str">
        <f>HYPERLINK("https%3A%2F%2Fwww.webofscience.com%2Fwos%2Fwoscc%2Ffull-record%2FWOS:000487565400002","View Full Record in Web of Science")</f>
        <v>View Full Record in Web of Science</v>
      </c>
    </row>
    <row r="1025" spans="2:79" ht="12.5" x14ac:dyDescent="0.25">
      <c r="B1025" t="s">
        <v>8495</v>
      </c>
      <c r="D1025" s="22" t="s">
        <v>32931</v>
      </c>
      <c r="E1025" s="7"/>
      <c r="F1025" s="7"/>
      <c r="G1025" s="7"/>
      <c r="H1025" t="s">
        <v>67</v>
      </c>
      <c r="I1025" t="s">
        <v>30772</v>
      </c>
      <c r="J1025" t="s">
        <v>69</v>
      </c>
      <c r="K1025" t="s">
        <v>69</v>
      </c>
      <c r="L1025" t="s">
        <v>69</v>
      </c>
      <c r="M1025" t="s">
        <v>30773</v>
      </c>
      <c r="N1025" t="s">
        <v>69</v>
      </c>
      <c r="O1025" t="s">
        <v>69</v>
      </c>
      <c r="P1025" t="s">
        <v>30774</v>
      </c>
      <c r="Q1025" t="s">
        <v>1251</v>
      </c>
      <c r="R1025" t="s">
        <v>69</v>
      </c>
      <c r="S1025" t="s">
        <v>69</v>
      </c>
      <c r="T1025" t="s">
        <v>8505</v>
      </c>
      <c r="U1025" t="s">
        <v>8506</v>
      </c>
      <c r="V1025" t="s">
        <v>69</v>
      </c>
      <c r="W1025" t="s">
        <v>69</v>
      </c>
      <c r="X1025" t="s">
        <v>69</v>
      </c>
      <c r="Y1025" t="s">
        <v>69</v>
      </c>
      <c r="Z1025" t="s">
        <v>69</v>
      </c>
      <c r="AA1025" t="s">
        <v>30775</v>
      </c>
      <c r="AB1025" t="s">
        <v>69</v>
      </c>
      <c r="AC1025" t="s">
        <v>30776</v>
      </c>
      <c r="AD1025" t="s">
        <v>30777</v>
      </c>
      <c r="AE1025" t="s">
        <v>69</v>
      </c>
      <c r="AF1025" t="s">
        <v>30778</v>
      </c>
      <c r="AG1025" t="s">
        <v>69</v>
      </c>
      <c r="AH1025" t="s">
        <v>69</v>
      </c>
      <c r="AI1025" t="s">
        <v>69</v>
      </c>
      <c r="AJ1025" t="s">
        <v>69</v>
      </c>
      <c r="AK1025" t="s">
        <v>69</v>
      </c>
      <c r="AL1025" t="s">
        <v>69</v>
      </c>
      <c r="AM1025" t="s">
        <v>69</v>
      </c>
      <c r="AN1025">
        <v>14</v>
      </c>
      <c r="AO1025">
        <v>5</v>
      </c>
      <c r="AP1025">
        <v>5</v>
      </c>
      <c r="AQ1025">
        <v>0</v>
      </c>
      <c r="AR1025">
        <v>0</v>
      </c>
      <c r="AS1025" t="s">
        <v>8586</v>
      </c>
      <c r="AT1025" t="s">
        <v>8587</v>
      </c>
      <c r="AU1025" t="s">
        <v>8588</v>
      </c>
      <c r="AV1025" t="s">
        <v>1254</v>
      </c>
      <c r="AW1025" t="s">
        <v>1255</v>
      </c>
      <c r="AX1025" t="s">
        <v>69</v>
      </c>
      <c r="AY1025" t="s">
        <v>1251</v>
      </c>
      <c r="AZ1025" t="s">
        <v>19328</v>
      </c>
      <c r="BA1025" t="s">
        <v>69</v>
      </c>
      <c r="BB1025">
        <v>2005</v>
      </c>
      <c r="BC1025">
        <v>18</v>
      </c>
      <c r="BD1025">
        <v>2</v>
      </c>
      <c r="BE1025" t="s">
        <v>69</v>
      </c>
      <c r="BF1025" t="s">
        <v>69</v>
      </c>
      <c r="BG1025" t="s">
        <v>69</v>
      </c>
      <c r="BH1025" t="s">
        <v>69</v>
      </c>
      <c r="BI1025">
        <v>63</v>
      </c>
      <c r="BJ1025">
        <v>70</v>
      </c>
      <c r="BK1025" t="s">
        <v>69</v>
      </c>
      <c r="BL1025" t="s">
        <v>30779</v>
      </c>
      <c r="BM1025" t="str">
        <f>HYPERLINK("http://dx.doi.org/10.1108/08880450510597505","http://dx.doi.org/10.1108/08880450510597505")</f>
        <v>http://dx.doi.org/10.1108/08880450510597505</v>
      </c>
      <c r="BN1025" t="s">
        <v>69</v>
      </c>
      <c r="BO1025" t="s">
        <v>69</v>
      </c>
      <c r="BP1025">
        <v>8</v>
      </c>
      <c r="BQ1025" t="s">
        <v>11010</v>
      </c>
      <c r="BR1025" t="s">
        <v>8573</v>
      </c>
      <c r="BS1025" t="s">
        <v>11010</v>
      </c>
      <c r="BT1025" t="s">
        <v>30780</v>
      </c>
      <c r="BU1025" t="s">
        <v>30781</v>
      </c>
      <c r="BV1025" t="s">
        <v>69</v>
      </c>
      <c r="BW1025" t="s">
        <v>69</v>
      </c>
      <c r="BX1025" t="s">
        <v>69</v>
      </c>
      <c r="BY1025" t="s">
        <v>69</v>
      </c>
      <c r="BZ1025" t="s">
        <v>8526</v>
      </c>
      <c r="CA1025" t="str">
        <f>HYPERLINK("https%3A%2F%2Fwww.webofscience.com%2Fwos%2Fwoscc%2Ffull-record%2FWOS:000217489000005","View Full Record in Web of Science")</f>
        <v>View Full Record in Web of Science</v>
      </c>
    </row>
    <row r="1026" spans="2:79" ht="12.5" x14ac:dyDescent="0.25">
      <c r="B1026" t="s">
        <v>8495</v>
      </c>
      <c r="D1026" s="7" t="s">
        <v>32933</v>
      </c>
      <c r="E1026" s="7"/>
      <c r="F1026" s="7"/>
      <c r="G1026" s="7"/>
      <c r="H1026" t="s">
        <v>67</v>
      </c>
      <c r="I1026" t="s">
        <v>7869</v>
      </c>
      <c r="J1026" t="s">
        <v>69</v>
      </c>
      <c r="K1026" t="s">
        <v>69</v>
      </c>
      <c r="L1026" t="s">
        <v>69</v>
      </c>
      <c r="M1026" t="s">
        <v>7870</v>
      </c>
      <c r="N1026" t="s">
        <v>69</v>
      </c>
      <c r="O1026" t="s">
        <v>69</v>
      </c>
      <c r="P1026" t="s">
        <v>7871</v>
      </c>
      <c r="Q1026" t="s">
        <v>1522</v>
      </c>
      <c r="R1026" t="s">
        <v>69</v>
      </c>
      <c r="S1026" t="s">
        <v>69</v>
      </c>
      <c r="T1026" t="s">
        <v>8505</v>
      </c>
      <c r="U1026" t="s">
        <v>8506</v>
      </c>
      <c r="V1026" t="s">
        <v>69</v>
      </c>
      <c r="W1026" t="s">
        <v>69</v>
      </c>
      <c r="X1026" t="s">
        <v>69</v>
      </c>
      <c r="Y1026" t="s">
        <v>69</v>
      </c>
      <c r="Z1026" t="s">
        <v>69</v>
      </c>
      <c r="AA1026" t="s">
        <v>28484</v>
      </c>
      <c r="AB1026" t="s">
        <v>28485</v>
      </c>
      <c r="AC1026" t="s">
        <v>7872</v>
      </c>
      <c r="AD1026" t="s">
        <v>28486</v>
      </c>
      <c r="AE1026" t="s">
        <v>69</v>
      </c>
      <c r="AF1026" t="s">
        <v>28487</v>
      </c>
      <c r="AG1026" t="s">
        <v>28488</v>
      </c>
      <c r="AH1026" t="s">
        <v>28489</v>
      </c>
      <c r="AI1026" t="s">
        <v>28490</v>
      </c>
      <c r="AJ1026" t="s">
        <v>69</v>
      </c>
      <c r="AK1026" t="s">
        <v>69</v>
      </c>
      <c r="AL1026" t="s">
        <v>69</v>
      </c>
      <c r="AM1026" t="s">
        <v>69</v>
      </c>
      <c r="AN1026">
        <v>61</v>
      </c>
      <c r="AO1026">
        <v>41</v>
      </c>
      <c r="AP1026">
        <v>41</v>
      </c>
      <c r="AQ1026">
        <v>2</v>
      </c>
      <c r="AR1026">
        <v>60</v>
      </c>
      <c r="AS1026" t="s">
        <v>8563</v>
      </c>
      <c r="AT1026" t="s">
        <v>8564</v>
      </c>
      <c r="AU1026" t="s">
        <v>8565</v>
      </c>
      <c r="AV1026" t="s">
        <v>1525</v>
      </c>
      <c r="AW1026" t="s">
        <v>1526</v>
      </c>
      <c r="AX1026" t="s">
        <v>69</v>
      </c>
      <c r="AY1026" t="s">
        <v>14032</v>
      </c>
      <c r="AZ1026" t="s">
        <v>14033</v>
      </c>
      <c r="BA1026" t="s">
        <v>586</v>
      </c>
      <c r="BB1026">
        <v>2009</v>
      </c>
      <c r="BC1026">
        <v>14</v>
      </c>
      <c r="BD1026">
        <v>3</v>
      </c>
      <c r="BE1026" t="s">
        <v>69</v>
      </c>
      <c r="BF1026" t="s">
        <v>69</v>
      </c>
      <c r="BG1026" t="s">
        <v>69</v>
      </c>
      <c r="BH1026" t="s">
        <v>69</v>
      </c>
      <c r="BI1026">
        <v>257</v>
      </c>
      <c r="BJ1026">
        <v>267</v>
      </c>
      <c r="BK1026" t="s">
        <v>69</v>
      </c>
      <c r="BL1026" t="s">
        <v>7873</v>
      </c>
      <c r="BM1026" t="str">
        <f>HYPERLINK("http://dx.doi.org/10.1007/s11367-009-0060-1","http://dx.doi.org/10.1007/s11367-009-0060-1")</f>
        <v>http://dx.doi.org/10.1007/s11367-009-0060-1</v>
      </c>
      <c r="BN1026" t="s">
        <v>69</v>
      </c>
      <c r="BO1026" t="s">
        <v>69</v>
      </c>
      <c r="BP1026">
        <v>11</v>
      </c>
      <c r="BQ1026" t="s">
        <v>8743</v>
      </c>
      <c r="BR1026" t="s">
        <v>8548</v>
      </c>
      <c r="BS1026" t="s">
        <v>8744</v>
      </c>
      <c r="BT1026" t="s">
        <v>28491</v>
      </c>
      <c r="BU1026" t="s">
        <v>7874</v>
      </c>
      <c r="BV1026" t="s">
        <v>69</v>
      </c>
      <c r="BW1026" t="s">
        <v>69</v>
      </c>
      <c r="BX1026" t="s">
        <v>69</v>
      </c>
      <c r="BY1026" t="s">
        <v>69</v>
      </c>
      <c r="BZ1026" t="s">
        <v>8526</v>
      </c>
      <c r="CA1026" t="str">
        <f>HYPERLINK("https%3A%2F%2Fwww.webofscience.com%2Fwos%2Fwoscc%2Ffull-record%2FWOS:000266050200007","View Full Record in Web of Science")</f>
        <v>View Full Record in Web of Science</v>
      </c>
    </row>
    <row r="1027" spans="2:79" ht="12.5" x14ac:dyDescent="0.25">
      <c r="B1027" t="s">
        <v>8495</v>
      </c>
      <c r="D1027" s="22" t="s">
        <v>32931</v>
      </c>
      <c r="E1027" s="7"/>
      <c r="F1027" s="7"/>
      <c r="G1027" s="7"/>
      <c r="H1027" t="s">
        <v>67</v>
      </c>
      <c r="I1027" t="s">
        <v>11707</v>
      </c>
      <c r="J1027" t="s">
        <v>69</v>
      </c>
      <c r="K1027" t="s">
        <v>69</v>
      </c>
      <c r="L1027" t="s">
        <v>69</v>
      </c>
      <c r="M1027" t="s">
        <v>11708</v>
      </c>
      <c r="N1027" t="s">
        <v>69</v>
      </c>
      <c r="O1027" t="s">
        <v>69</v>
      </c>
      <c r="P1027" t="s">
        <v>11709</v>
      </c>
      <c r="Q1027" t="s">
        <v>11710</v>
      </c>
      <c r="R1027" t="s">
        <v>69</v>
      </c>
      <c r="S1027" t="s">
        <v>69</v>
      </c>
      <c r="T1027" t="s">
        <v>8505</v>
      </c>
      <c r="U1027" t="s">
        <v>8506</v>
      </c>
      <c r="V1027" t="s">
        <v>69</v>
      </c>
      <c r="W1027" t="s">
        <v>69</v>
      </c>
      <c r="X1027" t="s">
        <v>69</v>
      </c>
      <c r="Y1027" t="s">
        <v>69</v>
      </c>
      <c r="Z1027" t="s">
        <v>69</v>
      </c>
      <c r="AA1027" t="s">
        <v>11711</v>
      </c>
      <c r="AB1027" t="s">
        <v>11712</v>
      </c>
      <c r="AC1027" t="s">
        <v>11713</v>
      </c>
      <c r="AD1027" t="s">
        <v>11714</v>
      </c>
      <c r="AE1027" t="s">
        <v>69</v>
      </c>
      <c r="AF1027" t="s">
        <v>11715</v>
      </c>
      <c r="AG1027" t="s">
        <v>11716</v>
      </c>
      <c r="AH1027" t="s">
        <v>11717</v>
      </c>
      <c r="AI1027" t="s">
        <v>11718</v>
      </c>
      <c r="AJ1027" t="s">
        <v>69</v>
      </c>
      <c r="AK1027" t="s">
        <v>69</v>
      </c>
      <c r="AL1027" t="s">
        <v>69</v>
      </c>
      <c r="AM1027" t="s">
        <v>69</v>
      </c>
      <c r="AN1027">
        <v>40</v>
      </c>
      <c r="AO1027">
        <v>2</v>
      </c>
      <c r="AP1027">
        <v>2</v>
      </c>
      <c r="AQ1027">
        <v>14</v>
      </c>
      <c r="AR1027">
        <v>23</v>
      </c>
      <c r="AS1027" t="s">
        <v>8924</v>
      </c>
      <c r="AT1027" t="s">
        <v>8925</v>
      </c>
      <c r="AU1027" t="s">
        <v>8926</v>
      </c>
      <c r="AV1027" t="s">
        <v>69</v>
      </c>
      <c r="AW1027" t="s">
        <v>11719</v>
      </c>
      <c r="AX1027" t="s">
        <v>69</v>
      </c>
      <c r="AY1027" t="s">
        <v>11710</v>
      </c>
      <c r="AZ1027" t="s">
        <v>11720</v>
      </c>
      <c r="BA1027" t="s">
        <v>201</v>
      </c>
      <c r="BB1027">
        <v>2021</v>
      </c>
      <c r="BC1027">
        <v>14</v>
      </c>
      <c r="BD1027">
        <v>16</v>
      </c>
      <c r="BE1027" t="s">
        <v>69</v>
      </c>
      <c r="BF1027" t="s">
        <v>69</v>
      </c>
      <c r="BG1027" t="s">
        <v>69</v>
      </c>
      <c r="BH1027" t="s">
        <v>69</v>
      </c>
      <c r="BI1027" t="s">
        <v>69</v>
      </c>
      <c r="BJ1027" t="s">
        <v>69</v>
      </c>
      <c r="BK1027">
        <v>4552</v>
      </c>
      <c r="BL1027" t="s">
        <v>11721</v>
      </c>
      <c r="BM1027" t="str">
        <f>HYPERLINK("http://dx.doi.org/10.3390/ma14164552","http://dx.doi.org/10.3390/ma14164552")</f>
        <v>http://dx.doi.org/10.3390/ma14164552</v>
      </c>
      <c r="BN1027" t="s">
        <v>69</v>
      </c>
      <c r="BO1027" t="s">
        <v>69</v>
      </c>
      <c r="BP1027">
        <v>21</v>
      </c>
      <c r="BQ1027" t="s">
        <v>11722</v>
      </c>
      <c r="BR1027" t="s">
        <v>8548</v>
      </c>
      <c r="BS1027" t="s">
        <v>11723</v>
      </c>
      <c r="BT1027" t="s">
        <v>11724</v>
      </c>
      <c r="BU1027" t="s">
        <v>11725</v>
      </c>
      <c r="BV1027">
        <v>34443076</v>
      </c>
      <c r="BW1027" t="s">
        <v>9352</v>
      </c>
      <c r="BX1027" t="s">
        <v>69</v>
      </c>
      <c r="BY1027" t="s">
        <v>69</v>
      </c>
      <c r="BZ1027" t="s">
        <v>8526</v>
      </c>
      <c r="CA1027" t="str">
        <f>HYPERLINK("https%3A%2F%2Fwww.webofscience.com%2Fwos%2Fwoscc%2Ffull-record%2FWOS:000689419000001","View Full Record in Web of Science")</f>
        <v>View Full Record in Web of Science</v>
      </c>
    </row>
    <row r="1028" spans="2:79" ht="12.5" x14ac:dyDescent="0.25">
      <c r="B1028" t="s">
        <v>8495</v>
      </c>
      <c r="D1028" s="7" t="s">
        <v>32933</v>
      </c>
      <c r="E1028" s="7"/>
      <c r="F1028" s="7"/>
      <c r="G1028" s="7"/>
      <c r="H1028" t="s">
        <v>67</v>
      </c>
      <c r="I1028" t="s">
        <v>5614</v>
      </c>
      <c r="J1028" t="s">
        <v>69</v>
      </c>
      <c r="K1028" t="s">
        <v>69</v>
      </c>
      <c r="L1028" t="s">
        <v>69</v>
      </c>
      <c r="M1028" t="s">
        <v>5615</v>
      </c>
      <c r="N1028" t="s">
        <v>69</v>
      </c>
      <c r="O1028" t="s">
        <v>69</v>
      </c>
      <c r="P1028" t="s">
        <v>5616</v>
      </c>
      <c r="Q1028" t="s">
        <v>436</v>
      </c>
      <c r="R1028" t="s">
        <v>69</v>
      </c>
      <c r="S1028" t="s">
        <v>69</v>
      </c>
      <c r="T1028" t="s">
        <v>8505</v>
      </c>
      <c r="U1028" t="s">
        <v>8506</v>
      </c>
      <c r="V1028" t="s">
        <v>69</v>
      </c>
      <c r="W1028" t="s">
        <v>69</v>
      </c>
      <c r="X1028" t="s">
        <v>69</v>
      </c>
      <c r="Y1028" t="s">
        <v>69</v>
      </c>
      <c r="Z1028" t="s">
        <v>69</v>
      </c>
      <c r="AA1028" t="s">
        <v>30512</v>
      </c>
      <c r="AB1028" t="s">
        <v>69</v>
      </c>
      <c r="AC1028" t="s">
        <v>5617</v>
      </c>
      <c r="AD1028" t="s">
        <v>30513</v>
      </c>
      <c r="AE1028" t="s">
        <v>69</v>
      </c>
      <c r="AF1028" t="s">
        <v>30514</v>
      </c>
      <c r="AG1028" t="s">
        <v>30515</v>
      </c>
      <c r="AH1028" t="s">
        <v>30516</v>
      </c>
      <c r="AI1028" t="s">
        <v>69</v>
      </c>
      <c r="AJ1028" t="s">
        <v>69</v>
      </c>
      <c r="AK1028" t="s">
        <v>69</v>
      </c>
      <c r="AL1028" t="s">
        <v>69</v>
      </c>
      <c r="AM1028" t="s">
        <v>69</v>
      </c>
      <c r="AN1028">
        <v>16</v>
      </c>
      <c r="AO1028">
        <v>58</v>
      </c>
      <c r="AP1028">
        <v>60</v>
      </c>
      <c r="AQ1028">
        <v>2</v>
      </c>
      <c r="AR1028">
        <v>36</v>
      </c>
      <c r="AS1028" t="s">
        <v>8636</v>
      </c>
      <c r="AT1028" t="s">
        <v>8637</v>
      </c>
      <c r="AU1028" t="s">
        <v>8638</v>
      </c>
      <c r="AV1028" t="s">
        <v>440</v>
      </c>
      <c r="AW1028" t="s">
        <v>69</v>
      </c>
      <c r="AX1028" t="s">
        <v>69</v>
      </c>
      <c r="AY1028" t="s">
        <v>8639</v>
      </c>
      <c r="AZ1028" t="s">
        <v>8640</v>
      </c>
      <c r="BA1028" t="s">
        <v>69</v>
      </c>
      <c r="BB1028">
        <v>2006</v>
      </c>
      <c r="BC1028">
        <v>14</v>
      </c>
      <c r="BD1028" t="s">
        <v>5618</v>
      </c>
      <c r="BE1028" t="s">
        <v>69</v>
      </c>
      <c r="BF1028" t="s">
        <v>69</v>
      </c>
      <c r="BG1028" t="s">
        <v>114</v>
      </c>
      <c r="BH1028" t="s">
        <v>69</v>
      </c>
      <c r="BI1028">
        <v>1319</v>
      </c>
      <c r="BJ1028">
        <v>1325</v>
      </c>
      <c r="BK1028" t="s">
        <v>69</v>
      </c>
      <c r="BL1028" t="s">
        <v>5619</v>
      </c>
      <c r="BM1028" t="str">
        <f>HYPERLINK("http://dx.doi.org/10.1016/j.jclepro.2005.11.011","http://dx.doi.org/10.1016/j.jclepro.2005.11.011")</f>
        <v>http://dx.doi.org/10.1016/j.jclepro.2005.11.011</v>
      </c>
      <c r="BN1028" t="s">
        <v>69</v>
      </c>
      <c r="BO1028" t="s">
        <v>69</v>
      </c>
      <c r="BP1028">
        <v>7</v>
      </c>
      <c r="BQ1028" t="s">
        <v>8643</v>
      </c>
      <c r="BR1028" t="s">
        <v>8548</v>
      </c>
      <c r="BS1028" t="s">
        <v>8644</v>
      </c>
      <c r="BT1028" t="s">
        <v>30517</v>
      </c>
      <c r="BU1028" t="s">
        <v>5620</v>
      </c>
      <c r="BV1028" t="s">
        <v>69</v>
      </c>
      <c r="BW1028" t="s">
        <v>69</v>
      </c>
      <c r="BX1028" t="s">
        <v>69</v>
      </c>
      <c r="BY1028" t="s">
        <v>69</v>
      </c>
      <c r="BZ1028" t="s">
        <v>8526</v>
      </c>
      <c r="CA1028" t="str">
        <f>HYPERLINK("https%3A%2F%2Fwww.webofscience.com%2Fwos%2Fwoscc%2Ffull-record%2FWOS:000240298500004","View Full Record in Web of Science")</f>
        <v>View Full Record in Web of Science</v>
      </c>
    </row>
    <row r="1029" spans="2:79" ht="12.5" x14ac:dyDescent="0.25">
      <c r="B1029" t="s">
        <v>8495</v>
      </c>
      <c r="D1029" s="7" t="s">
        <v>32933</v>
      </c>
      <c r="E1029" s="7"/>
      <c r="F1029" s="7"/>
      <c r="G1029" s="7"/>
      <c r="H1029" t="s">
        <v>67</v>
      </c>
      <c r="I1029" t="s">
        <v>7072</v>
      </c>
      <c r="J1029" t="s">
        <v>69</v>
      </c>
      <c r="K1029" t="s">
        <v>69</v>
      </c>
      <c r="L1029" t="s">
        <v>69</v>
      </c>
      <c r="M1029" t="s">
        <v>7073</v>
      </c>
      <c r="N1029" t="s">
        <v>69</v>
      </c>
      <c r="O1029" t="s">
        <v>69</v>
      </c>
      <c r="P1029" t="s">
        <v>7074</v>
      </c>
      <c r="Q1029" t="s">
        <v>5162</v>
      </c>
      <c r="R1029" t="s">
        <v>69</v>
      </c>
      <c r="S1029" t="s">
        <v>69</v>
      </c>
      <c r="T1029" t="s">
        <v>8505</v>
      </c>
      <c r="U1029" t="s">
        <v>8506</v>
      </c>
      <c r="V1029" t="s">
        <v>69</v>
      </c>
      <c r="W1029" t="s">
        <v>69</v>
      </c>
      <c r="X1029" t="s">
        <v>69</v>
      </c>
      <c r="Y1029" t="s">
        <v>69</v>
      </c>
      <c r="Z1029" t="s">
        <v>69</v>
      </c>
      <c r="AA1029" t="s">
        <v>13269</v>
      </c>
      <c r="AB1029" t="s">
        <v>13270</v>
      </c>
      <c r="AC1029" t="s">
        <v>7075</v>
      </c>
      <c r="AD1029" t="s">
        <v>13271</v>
      </c>
      <c r="AE1029" t="s">
        <v>69</v>
      </c>
      <c r="AF1029" t="s">
        <v>13272</v>
      </c>
      <c r="AG1029" t="s">
        <v>13273</v>
      </c>
      <c r="AH1029" t="s">
        <v>13274</v>
      </c>
      <c r="AI1029" t="s">
        <v>13275</v>
      </c>
      <c r="AJ1029" t="s">
        <v>13276</v>
      </c>
      <c r="AK1029" t="s">
        <v>13277</v>
      </c>
      <c r="AL1029" t="s">
        <v>13278</v>
      </c>
      <c r="AM1029" t="s">
        <v>69</v>
      </c>
      <c r="AN1029">
        <v>92</v>
      </c>
      <c r="AO1029">
        <v>11</v>
      </c>
      <c r="AP1029">
        <v>11</v>
      </c>
      <c r="AQ1029">
        <v>8</v>
      </c>
      <c r="AR1029">
        <v>39</v>
      </c>
      <c r="AS1029" t="s">
        <v>8636</v>
      </c>
      <c r="AT1029" t="s">
        <v>8637</v>
      </c>
      <c r="AU1029" t="s">
        <v>8638</v>
      </c>
      <c r="AV1029" t="s">
        <v>5164</v>
      </c>
      <c r="AW1029" t="s">
        <v>5165</v>
      </c>
      <c r="AX1029" t="s">
        <v>69</v>
      </c>
      <c r="AY1029" t="s">
        <v>11987</v>
      </c>
      <c r="AZ1029" t="s">
        <v>11988</v>
      </c>
      <c r="BA1029" t="s">
        <v>191</v>
      </c>
      <c r="BB1029">
        <v>2021</v>
      </c>
      <c r="BC1029">
        <v>124</v>
      </c>
      <c r="BD1029" t="s">
        <v>69</v>
      </c>
      <c r="BE1029" t="s">
        <v>69</v>
      </c>
      <c r="BF1029" t="s">
        <v>69</v>
      </c>
      <c r="BG1029" t="s">
        <v>69</v>
      </c>
      <c r="BH1029" t="s">
        <v>69</v>
      </c>
      <c r="BI1029" t="s">
        <v>69</v>
      </c>
      <c r="BJ1029" t="s">
        <v>69</v>
      </c>
      <c r="BK1029">
        <v>104331</v>
      </c>
      <c r="BL1029" t="s">
        <v>7076</v>
      </c>
      <c r="BM1029" t="str">
        <f>HYPERLINK("http://dx.doi.org/10.1016/j.marpol.2020.104331","http://dx.doi.org/10.1016/j.marpol.2020.104331")</f>
        <v>http://dx.doi.org/10.1016/j.marpol.2020.104331</v>
      </c>
      <c r="BN1029" t="s">
        <v>69</v>
      </c>
      <c r="BO1029" t="s">
        <v>69</v>
      </c>
      <c r="BP1029">
        <v>9</v>
      </c>
      <c r="BQ1029" t="s">
        <v>11990</v>
      </c>
      <c r="BR1029" t="s">
        <v>8661</v>
      </c>
      <c r="BS1029" t="s">
        <v>11991</v>
      </c>
      <c r="BT1029" t="s">
        <v>13279</v>
      </c>
      <c r="BU1029" t="s">
        <v>7077</v>
      </c>
      <c r="BV1029" t="s">
        <v>69</v>
      </c>
      <c r="BW1029" t="s">
        <v>13280</v>
      </c>
      <c r="BX1029" t="s">
        <v>69</v>
      </c>
      <c r="BY1029" t="s">
        <v>69</v>
      </c>
      <c r="BZ1029" t="s">
        <v>8526</v>
      </c>
      <c r="CA1029" t="str">
        <f>HYPERLINK("https%3A%2F%2Fwww.webofscience.com%2Fwos%2Fwoscc%2Ffull-record%2FWOS:000609164100010","View Full Record in Web of Science")</f>
        <v>View Full Record in Web of Science</v>
      </c>
    </row>
    <row r="1030" spans="2:79" ht="12.5" x14ac:dyDescent="0.25">
      <c r="B1030" t="s">
        <v>8495</v>
      </c>
      <c r="D1030" s="7" t="s">
        <v>32933</v>
      </c>
      <c r="E1030" s="7"/>
      <c r="F1030" s="7"/>
      <c r="G1030" s="7"/>
      <c r="H1030" t="s">
        <v>67</v>
      </c>
      <c r="I1030" t="s">
        <v>4115</v>
      </c>
      <c r="J1030" t="s">
        <v>69</v>
      </c>
      <c r="K1030" t="s">
        <v>69</v>
      </c>
      <c r="L1030" t="s">
        <v>69</v>
      </c>
      <c r="M1030" t="s">
        <v>4115</v>
      </c>
      <c r="N1030" t="s">
        <v>69</v>
      </c>
      <c r="O1030" t="s">
        <v>69</v>
      </c>
      <c r="P1030" t="s">
        <v>4116</v>
      </c>
      <c r="Q1030" t="s">
        <v>520</v>
      </c>
      <c r="R1030" t="s">
        <v>69</v>
      </c>
      <c r="S1030" t="s">
        <v>69</v>
      </c>
      <c r="T1030" t="s">
        <v>8505</v>
      </c>
      <c r="U1030" t="s">
        <v>8506</v>
      </c>
      <c r="V1030" t="s">
        <v>69</v>
      </c>
      <c r="W1030" t="s">
        <v>69</v>
      </c>
      <c r="X1030" t="s">
        <v>69</v>
      </c>
      <c r="Y1030" t="s">
        <v>69</v>
      </c>
      <c r="Z1030" t="s">
        <v>69</v>
      </c>
      <c r="AA1030" t="s">
        <v>31753</v>
      </c>
      <c r="AB1030" t="s">
        <v>69</v>
      </c>
      <c r="AC1030" t="s">
        <v>4117</v>
      </c>
      <c r="AD1030" t="s">
        <v>31754</v>
      </c>
      <c r="AE1030" t="s">
        <v>69</v>
      </c>
      <c r="AF1030" t="s">
        <v>31755</v>
      </c>
      <c r="AG1030" t="s">
        <v>69</v>
      </c>
      <c r="AH1030" t="s">
        <v>69</v>
      </c>
      <c r="AI1030" t="s">
        <v>69</v>
      </c>
      <c r="AJ1030" t="s">
        <v>69</v>
      </c>
      <c r="AK1030" t="s">
        <v>69</v>
      </c>
      <c r="AL1030" t="s">
        <v>69</v>
      </c>
      <c r="AM1030" t="s">
        <v>69</v>
      </c>
      <c r="AN1030">
        <v>10</v>
      </c>
      <c r="AO1030">
        <v>51</v>
      </c>
      <c r="AP1030">
        <v>51</v>
      </c>
      <c r="AQ1030">
        <v>3</v>
      </c>
      <c r="AR1030">
        <v>18</v>
      </c>
      <c r="AS1030" t="s">
        <v>31664</v>
      </c>
      <c r="AT1030" t="s">
        <v>8763</v>
      </c>
      <c r="AU1030" t="s">
        <v>31665</v>
      </c>
      <c r="AV1030" t="s">
        <v>523</v>
      </c>
      <c r="AW1030" t="s">
        <v>69</v>
      </c>
      <c r="AX1030" t="s">
        <v>69</v>
      </c>
      <c r="AY1030" t="s">
        <v>21727</v>
      </c>
      <c r="AZ1030" t="s">
        <v>21728</v>
      </c>
      <c r="BA1030" t="s">
        <v>255</v>
      </c>
      <c r="BB1030">
        <v>2000</v>
      </c>
      <c r="BC1030">
        <v>28</v>
      </c>
      <c r="BD1030" t="s">
        <v>1726</v>
      </c>
      <c r="BE1030" t="s">
        <v>69</v>
      </c>
      <c r="BF1030" t="s">
        <v>69</v>
      </c>
      <c r="BG1030" t="s">
        <v>69</v>
      </c>
      <c r="BH1030" t="s">
        <v>69</v>
      </c>
      <c r="BI1030">
        <v>387</v>
      </c>
      <c r="BJ1030">
        <v>393</v>
      </c>
      <c r="BK1030" t="s">
        <v>69</v>
      </c>
      <c r="BL1030" t="s">
        <v>4118</v>
      </c>
      <c r="BM1030" t="str">
        <f>HYPERLINK("http://dx.doi.org/10.1080/096132100418537","http://dx.doi.org/10.1080/096132100418537")</f>
        <v>http://dx.doi.org/10.1080/096132100418537</v>
      </c>
      <c r="BN1030" t="s">
        <v>69</v>
      </c>
      <c r="BO1030" t="s">
        <v>69</v>
      </c>
      <c r="BP1030">
        <v>7</v>
      </c>
      <c r="BQ1030" t="s">
        <v>10105</v>
      </c>
      <c r="BR1030" t="s">
        <v>8548</v>
      </c>
      <c r="BS1030" t="s">
        <v>10105</v>
      </c>
      <c r="BT1030" t="s">
        <v>31756</v>
      </c>
      <c r="BU1030" t="s">
        <v>4119</v>
      </c>
      <c r="BV1030" t="s">
        <v>69</v>
      </c>
      <c r="BW1030" t="s">
        <v>69</v>
      </c>
      <c r="BX1030" t="s">
        <v>69</v>
      </c>
      <c r="BY1030" t="s">
        <v>69</v>
      </c>
      <c r="BZ1030" t="s">
        <v>8526</v>
      </c>
      <c r="CA1030" t="str">
        <f>HYPERLINK("https%3A%2F%2Fwww.webofscience.com%2Fwos%2Fwoscc%2Ffull-record%2FWOS:000089364500009","View Full Record in Web of Science")</f>
        <v>View Full Record in Web of Science</v>
      </c>
    </row>
    <row r="1031" spans="2:79" ht="12.5" x14ac:dyDescent="0.25">
      <c r="B1031" t="s">
        <v>8495</v>
      </c>
      <c r="D1031" s="7" t="s">
        <v>32933</v>
      </c>
      <c r="E1031" s="7"/>
      <c r="F1031" s="7"/>
      <c r="G1031" s="7"/>
      <c r="H1031" t="s">
        <v>67</v>
      </c>
      <c r="I1031" t="s">
        <v>7893</v>
      </c>
      <c r="J1031" t="s">
        <v>69</v>
      </c>
      <c r="K1031" t="s">
        <v>69</v>
      </c>
      <c r="L1031" t="s">
        <v>69</v>
      </c>
      <c r="M1031" t="s">
        <v>7894</v>
      </c>
      <c r="N1031" t="s">
        <v>69</v>
      </c>
      <c r="O1031" t="s">
        <v>69</v>
      </c>
      <c r="P1031" t="s">
        <v>7895</v>
      </c>
      <c r="Q1031" t="s">
        <v>7896</v>
      </c>
      <c r="R1031" t="s">
        <v>69</v>
      </c>
      <c r="S1031" t="s">
        <v>69</v>
      </c>
      <c r="T1031" t="s">
        <v>8505</v>
      </c>
      <c r="U1031" t="s">
        <v>8506</v>
      </c>
      <c r="V1031" t="s">
        <v>69</v>
      </c>
      <c r="W1031" t="s">
        <v>69</v>
      </c>
      <c r="X1031" t="s">
        <v>69</v>
      </c>
      <c r="Y1031" t="s">
        <v>69</v>
      </c>
      <c r="Z1031" t="s">
        <v>69</v>
      </c>
      <c r="AA1031" t="s">
        <v>18920</v>
      </c>
      <c r="AB1031" t="s">
        <v>18921</v>
      </c>
      <c r="AC1031" t="s">
        <v>7897</v>
      </c>
      <c r="AD1031" t="s">
        <v>18922</v>
      </c>
      <c r="AE1031" t="s">
        <v>69</v>
      </c>
      <c r="AF1031" t="s">
        <v>18923</v>
      </c>
      <c r="AG1031" t="s">
        <v>18924</v>
      </c>
      <c r="AH1031" t="s">
        <v>69</v>
      </c>
      <c r="AI1031" t="s">
        <v>69</v>
      </c>
      <c r="AJ1031" t="s">
        <v>18925</v>
      </c>
      <c r="AK1031" t="s">
        <v>18925</v>
      </c>
      <c r="AL1031" t="s">
        <v>18926</v>
      </c>
      <c r="AM1031" t="s">
        <v>69</v>
      </c>
      <c r="AN1031">
        <v>10</v>
      </c>
      <c r="AO1031">
        <v>2</v>
      </c>
      <c r="AP1031">
        <v>2</v>
      </c>
      <c r="AQ1031">
        <v>2</v>
      </c>
      <c r="AR1031">
        <v>16</v>
      </c>
      <c r="AS1031" t="s">
        <v>18927</v>
      </c>
      <c r="AT1031" t="s">
        <v>8540</v>
      </c>
      <c r="AU1031" t="s">
        <v>18928</v>
      </c>
      <c r="AV1031" t="s">
        <v>7898</v>
      </c>
      <c r="AW1031" t="s">
        <v>7899</v>
      </c>
      <c r="AX1031" t="s">
        <v>69</v>
      </c>
      <c r="AY1031" t="s">
        <v>18929</v>
      </c>
      <c r="AZ1031" t="s">
        <v>18930</v>
      </c>
      <c r="BA1031" t="s">
        <v>586</v>
      </c>
      <c r="BB1031">
        <v>2018</v>
      </c>
      <c r="BC1031">
        <v>80</v>
      </c>
      <c r="BD1031">
        <v>5</v>
      </c>
      <c r="BE1031" t="s">
        <v>69</v>
      </c>
      <c r="BF1031" t="s">
        <v>69</v>
      </c>
      <c r="BG1031" t="s">
        <v>69</v>
      </c>
      <c r="BH1031" t="s">
        <v>69</v>
      </c>
      <c r="BI1031">
        <v>353</v>
      </c>
      <c r="BJ1031">
        <v>358</v>
      </c>
      <c r="BK1031" t="s">
        <v>69</v>
      </c>
      <c r="BL1031" t="s">
        <v>7900</v>
      </c>
      <c r="BM1031" t="str">
        <f>HYPERLINK("http://dx.doi.org/10.1525/abt.2018.80.5.353","http://dx.doi.org/10.1525/abt.2018.80.5.353")</f>
        <v>http://dx.doi.org/10.1525/abt.2018.80.5.353</v>
      </c>
      <c r="BN1031" t="s">
        <v>69</v>
      </c>
      <c r="BO1031" t="s">
        <v>69</v>
      </c>
      <c r="BP1031">
        <v>6</v>
      </c>
      <c r="BQ1031" t="s">
        <v>18931</v>
      </c>
      <c r="BR1031" t="s">
        <v>8523</v>
      </c>
      <c r="BS1031" t="s">
        <v>18932</v>
      </c>
      <c r="BT1031" t="s">
        <v>18933</v>
      </c>
      <c r="BU1031" t="s">
        <v>7901</v>
      </c>
      <c r="BV1031" t="s">
        <v>69</v>
      </c>
      <c r="BW1031" t="s">
        <v>69</v>
      </c>
      <c r="BX1031" t="s">
        <v>69</v>
      </c>
      <c r="BY1031" t="s">
        <v>69</v>
      </c>
      <c r="BZ1031" t="s">
        <v>8526</v>
      </c>
      <c r="CA1031" t="str">
        <f>HYPERLINK("https%3A%2F%2Fwww.webofscience.com%2Fwos%2Fwoscc%2Ffull-record%2FWOS:000430802600005","View Full Record in Web of Science")</f>
        <v>View Full Record in Web of Science</v>
      </c>
    </row>
    <row r="1032" spans="2:79" ht="12.5" x14ac:dyDescent="0.25">
      <c r="B1032" t="s">
        <v>8495</v>
      </c>
      <c r="D1032" s="22" t="s">
        <v>32931</v>
      </c>
      <c r="E1032" s="7"/>
      <c r="F1032" s="7"/>
      <c r="G1032" s="7"/>
      <c r="H1032" t="s">
        <v>67</v>
      </c>
      <c r="I1032" t="s">
        <v>28901</v>
      </c>
      <c r="J1032" t="s">
        <v>69</v>
      </c>
      <c r="K1032" t="s">
        <v>69</v>
      </c>
      <c r="L1032" t="s">
        <v>69</v>
      </c>
      <c r="M1032" t="s">
        <v>28902</v>
      </c>
      <c r="N1032" t="s">
        <v>69</v>
      </c>
      <c r="O1032" t="s">
        <v>69</v>
      </c>
      <c r="P1032" t="s">
        <v>28903</v>
      </c>
      <c r="Q1032" t="s">
        <v>28904</v>
      </c>
      <c r="R1032" t="s">
        <v>69</v>
      </c>
      <c r="S1032" t="s">
        <v>69</v>
      </c>
      <c r="T1032" t="s">
        <v>8505</v>
      </c>
      <c r="U1032" t="s">
        <v>8506</v>
      </c>
      <c r="V1032" t="s">
        <v>69</v>
      </c>
      <c r="W1032" t="s">
        <v>69</v>
      </c>
      <c r="X1032" t="s">
        <v>69</v>
      </c>
      <c r="Y1032" t="s">
        <v>69</v>
      </c>
      <c r="Z1032" t="s">
        <v>69</v>
      </c>
      <c r="AA1032" t="s">
        <v>28905</v>
      </c>
      <c r="AB1032" t="s">
        <v>69</v>
      </c>
      <c r="AC1032" t="s">
        <v>28906</v>
      </c>
      <c r="AD1032" t="s">
        <v>28907</v>
      </c>
      <c r="AE1032" t="s">
        <v>69</v>
      </c>
      <c r="AF1032" t="s">
        <v>28908</v>
      </c>
      <c r="AG1032" t="s">
        <v>28909</v>
      </c>
      <c r="AH1032" t="s">
        <v>28910</v>
      </c>
      <c r="AI1032" t="s">
        <v>28911</v>
      </c>
      <c r="AJ1032" t="s">
        <v>69</v>
      </c>
      <c r="AK1032" t="s">
        <v>69</v>
      </c>
      <c r="AL1032" t="s">
        <v>69</v>
      </c>
      <c r="AM1032" t="s">
        <v>69</v>
      </c>
      <c r="AN1032">
        <v>56</v>
      </c>
      <c r="AO1032">
        <v>19</v>
      </c>
      <c r="AP1032">
        <v>20</v>
      </c>
      <c r="AQ1032">
        <v>0</v>
      </c>
      <c r="AR1032">
        <v>0</v>
      </c>
      <c r="AS1032" t="s">
        <v>8586</v>
      </c>
      <c r="AT1032" t="s">
        <v>8587</v>
      </c>
      <c r="AU1032" t="s">
        <v>8588</v>
      </c>
      <c r="AV1032" t="s">
        <v>28912</v>
      </c>
      <c r="AW1032" t="s">
        <v>28913</v>
      </c>
      <c r="AX1032" t="s">
        <v>69</v>
      </c>
      <c r="AY1032" t="s">
        <v>28914</v>
      </c>
      <c r="AZ1032" t="s">
        <v>28915</v>
      </c>
      <c r="BA1032" t="s">
        <v>69</v>
      </c>
      <c r="BB1032">
        <v>2009</v>
      </c>
      <c r="BC1032">
        <v>2</v>
      </c>
      <c r="BD1032">
        <v>2</v>
      </c>
      <c r="BE1032" t="s">
        <v>69</v>
      </c>
      <c r="BF1032" t="s">
        <v>69</v>
      </c>
      <c r="BG1032" t="s">
        <v>69</v>
      </c>
      <c r="BH1032" t="s">
        <v>69</v>
      </c>
      <c r="BI1032">
        <v>154</v>
      </c>
      <c r="BJ1032">
        <v>166</v>
      </c>
      <c r="BK1032" t="s">
        <v>69</v>
      </c>
      <c r="BL1032" t="s">
        <v>28916</v>
      </c>
      <c r="BM1032" t="str">
        <f>HYPERLINK("http://dx.doi.org/10.1108/17538330910975883","http://dx.doi.org/10.1108/17538330910975883")</f>
        <v>http://dx.doi.org/10.1108/17538330910975883</v>
      </c>
      <c r="BN1032" t="s">
        <v>69</v>
      </c>
      <c r="BO1032" t="s">
        <v>69</v>
      </c>
      <c r="BP1032">
        <v>13</v>
      </c>
      <c r="BQ1032" t="s">
        <v>10278</v>
      </c>
      <c r="BR1032" t="s">
        <v>8573</v>
      </c>
      <c r="BS1032" t="s">
        <v>10279</v>
      </c>
      <c r="BT1032" t="s">
        <v>28917</v>
      </c>
      <c r="BU1032" t="s">
        <v>28918</v>
      </c>
      <c r="BV1032" t="s">
        <v>69</v>
      </c>
      <c r="BW1032" t="s">
        <v>69</v>
      </c>
      <c r="BX1032" t="s">
        <v>69</v>
      </c>
      <c r="BY1032" t="s">
        <v>69</v>
      </c>
      <c r="BZ1032" t="s">
        <v>8526</v>
      </c>
      <c r="CA1032" t="str">
        <f>HYPERLINK("https%3A%2F%2Fwww.webofscience.com%2Fwos%2Fwoscc%2Ffull-record%2FWOS:000213916900006","View Full Record in Web of Science")</f>
        <v>View Full Record in Web of Science</v>
      </c>
    </row>
    <row r="1033" spans="2:79" x14ac:dyDescent="0.3">
      <c r="B1033" t="s">
        <v>8495</v>
      </c>
      <c r="D1033" s="12" t="s">
        <v>32966</v>
      </c>
      <c r="H1033" t="s">
        <v>67</v>
      </c>
      <c r="I1033" t="s">
        <v>5990</v>
      </c>
      <c r="J1033" t="s">
        <v>69</v>
      </c>
      <c r="K1033" t="s">
        <v>69</v>
      </c>
      <c r="L1033" t="s">
        <v>69</v>
      </c>
      <c r="M1033" s="3" t="s">
        <v>5991</v>
      </c>
      <c r="N1033" t="s">
        <v>69</v>
      </c>
      <c r="O1033" t="s">
        <v>69</v>
      </c>
      <c r="P1033" s="2" t="s">
        <v>5992</v>
      </c>
      <c r="Q1033" t="s">
        <v>5993</v>
      </c>
      <c r="R1033" t="s">
        <v>69</v>
      </c>
      <c r="S1033" t="s">
        <v>69</v>
      </c>
      <c r="T1033" t="s">
        <v>8505</v>
      </c>
      <c r="U1033" t="s">
        <v>8506</v>
      </c>
      <c r="V1033" t="s">
        <v>69</v>
      </c>
      <c r="W1033" t="s">
        <v>69</v>
      </c>
      <c r="X1033" t="s">
        <v>69</v>
      </c>
      <c r="Y1033" t="s">
        <v>69</v>
      </c>
      <c r="Z1033" t="s">
        <v>69</v>
      </c>
      <c r="AA1033" t="s">
        <v>23200</v>
      </c>
      <c r="AB1033" t="s">
        <v>23201</v>
      </c>
      <c r="AC1033" t="s">
        <v>5994</v>
      </c>
      <c r="AD1033" t="s">
        <v>23202</v>
      </c>
      <c r="AE1033" t="s">
        <v>69</v>
      </c>
      <c r="AF1033" t="s">
        <v>23203</v>
      </c>
      <c r="AG1033" t="s">
        <v>23204</v>
      </c>
      <c r="AH1033" t="s">
        <v>69</v>
      </c>
      <c r="AI1033" t="s">
        <v>5995</v>
      </c>
      <c r="AJ1033" t="s">
        <v>23205</v>
      </c>
      <c r="AK1033" t="s">
        <v>23206</v>
      </c>
      <c r="AL1033" t="s">
        <v>23207</v>
      </c>
      <c r="AM1033" t="s">
        <v>69</v>
      </c>
      <c r="AN1033">
        <v>54</v>
      </c>
      <c r="AO1033">
        <v>34</v>
      </c>
      <c r="AP1033">
        <v>34</v>
      </c>
      <c r="AQ1033">
        <v>0</v>
      </c>
      <c r="AR1033">
        <v>4</v>
      </c>
      <c r="AS1033" t="s">
        <v>8865</v>
      </c>
      <c r="AT1033" t="s">
        <v>8612</v>
      </c>
      <c r="AU1033" t="s">
        <v>8866</v>
      </c>
      <c r="AV1033" t="s">
        <v>5996</v>
      </c>
      <c r="AW1033" t="s">
        <v>5997</v>
      </c>
      <c r="AX1033" t="s">
        <v>69</v>
      </c>
      <c r="AY1033" t="s">
        <v>23208</v>
      </c>
      <c r="AZ1033" t="s">
        <v>23209</v>
      </c>
      <c r="BA1033" t="s">
        <v>69</v>
      </c>
      <c r="BB1033">
        <v>2015</v>
      </c>
      <c r="BC1033">
        <v>7</v>
      </c>
      <c r="BD1033">
        <v>2</v>
      </c>
      <c r="BE1033" t="s">
        <v>69</v>
      </c>
      <c r="BF1033" t="s">
        <v>69</v>
      </c>
      <c r="BG1033" t="s">
        <v>69</v>
      </c>
      <c r="BH1033" t="s">
        <v>69</v>
      </c>
      <c r="BI1033">
        <v>213</v>
      </c>
      <c r="BJ1033">
        <v>231</v>
      </c>
      <c r="BK1033" t="s">
        <v>69</v>
      </c>
      <c r="BL1033" t="s">
        <v>5998</v>
      </c>
      <c r="BM1033" t="str">
        <f>HYPERLINK("http://dx.doi.org/10.1080/19463138.2015.1057144","http://dx.doi.org/10.1080/19463138.2015.1057144")</f>
        <v>http://dx.doi.org/10.1080/19463138.2015.1057144</v>
      </c>
      <c r="BN1033" t="s">
        <v>69</v>
      </c>
      <c r="BO1033" t="s">
        <v>69</v>
      </c>
      <c r="BP1033">
        <v>19</v>
      </c>
      <c r="BQ1033" t="s">
        <v>8660</v>
      </c>
      <c r="BR1033" t="s">
        <v>8573</v>
      </c>
      <c r="BS1033" t="s">
        <v>8662</v>
      </c>
      <c r="BT1033" t="s">
        <v>23210</v>
      </c>
      <c r="BU1033" t="s">
        <v>5999</v>
      </c>
      <c r="BV1033" t="s">
        <v>69</v>
      </c>
      <c r="BW1033" t="s">
        <v>69</v>
      </c>
      <c r="BX1033" t="s">
        <v>69</v>
      </c>
      <c r="BY1033" t="s">
        <v>69</v>
      </c>
      <c r="BZ1033" t="s">
        <v>8526</v>
      </c>
      <c r="CA1033" t="str">
        <f>HYPERLINK("https%3A%2F%2Fwww.webofscience.com%2Fwos%2Fwoscc%2Ffull-record%2FWOS:000436575300006","View Full Record in Web of Science")</f>
        <v>View Full Record in Web of Science</v>
      </c>
    </row>
    <row r="1034" spans="2:79" ht="12.5" x14ac:dyDescent="0.25">
      <c r="B1034" t="s">
        <v>8495</v>
      </c>
      <c r="D1034" s="22" t="s">
        <v>32931</v>
      </c>
      <c r="E1034" s="7"/>
      <c r="F1034" s="7"/>
      <c r="G1034" s="7"/>
      <c r="H1034" t="s">
        <v>67</v>
      </c>
      <c r="I1034" t="s">
        <v>10263</v>
      </c>
      <c r="J1034" t="s">
        <v>69</v>
      </c>
      <c r="K1034" t="s">
        <v>69</v>
      </c>
      <c r="L1034" t="s">
        <v>69</v>
      </c>
      <c r="M1034" t="s">
        <v>10264</v>
      </c>
      <c r="N1034" t="s">
        <v>69</v>
      </c>
      <c r="O1034" t="s">
        <v>69</v>
      </c>
      <c r="P1034" t="s">
        <v>10265</v>
      </c>
      <c r="Q1034" t="s">
        <v>10266</v>
      </c>
      <c r="R1034" t="s">
        <v>69</v>
      </c>
      <c r="S1034" t="s">
        <v>69</v>
      </c>
      <c r="T1034" t="s">
        <v>10153</v>
      </c>
      <c r="U1034" t="s">
        <v>8506</v>
      </c>
      <c r="V1034" t="s">
        <v>69</v>
      </c>
      <c r="W1034" t="s">
        <v>69</v>
      </c>
      <c r="X1034" t="s">
        <v>69</v>
      </c>
      <c r="Y1034" t="s">
        <v>69</v>
      </c>
      <c r="Z1034" t="s">
        <v>69</v>
      </c>
      <c r="AA1034" t="s">
        <v>10267</v>
      </c>
      <c r="AB1034" t="s">
        <v>10268</v>
      </c>
      <c r="AC1034" t="s">
        <v>10269</v>
      </c>
      <c r="AD1034" t="s">
        <v>10270</v>
      </c>
      <c r="AE1034" t="s">
        <v>69</v>
      </c>
      <c r="AF1034" t="s">
        <v>10271</v>
      </c>
      <c r="AG1034" t="s">
        <v>10272</v>
      </c>
      <c r="AH1034" t="s">
        <v>69</v>
      </c>
      <c r="AI1034" t="s">
        <v>69</v>
      </c>
      <c r="AJ1034" t="s">
        <v>69</v>
      </c>
      <c r="AK1034" t="s">
        <v>69</v>
      </c>
      <c r="AL1034" t="s">
        <v>69</v>
      </c>
      <c r="AM1034" t="s">
        <v>69</v>
      </c>
      <c r="AN1034">
        <v>67</v>
      </c>
      <c r="AO1034">
        <v>0</v>
      </c>
      <c r="AP1034">
        <v>0</v>
      </c>
      <c r="AQ1034">
        <v>5</v>
      </c>
      <c r="AR1034">
        <v>5</v>
      </c>
      <c r="AS1034" t="s">
        <v>10273</v>
      </c>
      <c r="AT1034" t="s">
        <v>10274</v>
      </c>
      <c r="AU1034" t="s">
        <v>10275</v>
      </c>
      <c r="AV1034" t="s">
        <v>10276</v>
      </c>
      <c r="AW1034" t="s">
        <v>69</v>
      </c>
      <c r="AX1034" t="s">
        <v>69</v>
      </c>
      <c r="AY1034" t="s">
        <v>10266</v>
      </c>
      <c r="AZ1034" t="s">
        <v>10277</v>
      </c>
      <c r="BA1034" t="s">
        <v>2654</v>
      </c>
      <c r="BB1034">
        <v>2022</v>
      </c>
      <c r="BC1034" t="s">
        <v>69</v>
      </c>
      <c r="BD1034">
        <v>42</v>
      </c>
      <c r="BE1034" t="s">
        <v>69</v>
      </c>
      <c r="BF1034" t="s">
        <v>69</v>
      </c>
      <c r="BG1034" t="s">
        <v>69</v>
      </c>
      <c r="BH1034" t="s">
        <v>69</v>
      </c>
      <c r="BI1034">
        <v>110</v>
      </c>
      <c r="BJ1034">
        <v>137</v>
      </c>
      <c r="BK1034" t="s">
        <v>69</v>
      </c>
      <c r="BL1034" t="s">
        <v>69</v>
      </c>
      <c r="BM1034" t="s">
        <v>69</v>
      </c>
      <c r="BN1034" t="s">
        <v>69</v>
      </c>
      <c r="BO1034" t="s">
        <v>69</v>
      </c>
      <c r="BP1034">
        <v>28</v>
      </c>
      <c r="BQ1034" t="s">
        <v>10278</v>
      </c>
      <c r="BR1034" t="s">
        <v>8573</v>
      </c>
      <c r="BS1034" t="s">
        <v>10279</v>
      </c>
      <c r="BT1034" t="s">
        <v>10280</v>
      </c>
      <c r="BU1034" t="s">
        <v>10281</v>
      </c>
      <c r="BV1034" t="s">
        <v>69</v>
      </c>
      <c r="BW1034" t="s">
        <v>69</v>
      </c>
      <c r="BX1034" t="s">
        <v>69</v>
      </c>
      <c r="BY1034" t="s">
        <v>69</v>
      </c>
      <c r="BZ1034" t="s">
        <v>8526</v>
      </c>
      <c r="CA1034" t="str">
        <f>HYPERLINK("https%3A%2F%2Fwww.webofscience.com%2Fwos%2Fwoscc%2Ffull-record%2FWOS:000773303400004","View Full Record in Web of Science")</f>
        <v>View Full Record in Web of Science</v>
      </c>
    </row>
    <row r="1035" spans="2:79" ht="12.5" x14ac:dyDescent="0.25">
      <c r="B1035" t="s">
        <v>8495</v>
      </c>
      <c r="D1035" s="7" t="s">
        <v>32933</v>
      </c>
      <c r="E1035" s="7"/>
      <c r="F1035" s="7"/>
      <c r="G1035" s="7"/>
      <c r="H1035" t="s">
        <v>67</v>
      </c>
      <c r="I1035" t="s">
        <v>5476</v>
      </c>
      <c r="J1035" t="s">
        <v>69</v>
      </c>
      <c r="K1035" t="s">
        <v>69</v>
      </c>
      <c r="L1035" t="s">
        <v>69</v>
      </c>
      <c r="M1035" t="s">
        <v>5477</v>
      </c>
      <c r="N1035" t="s">
        <v>69</v>
      </c>
      <c r="O1035" t="s">
        <v>69</v>
      </c>
      <c r="P1035" t="s">
        <v>5478</v>
      </c>
      <c r="Q1035" t="s">
        <v>2107</v>
      </c>
      <c r="R1035" t="s">
        <v>69</v>
      </c>
      <c r="S1035" t="s">
        <v>69</v>
      </c>
      <c r="T1035" t="s">
        <v>8505</v>
      </c>
      <c r="U1035" t="s">
        <v>8506</v>
      </c>
      <c r="V1035" t="s">
        <v>69</v>
      </c>
      <c r="W1035" t="s">
        <v>69</v>
      </c>
      <c r="X1035" t="s">
        <v>69</v>
      </c>
      <c r="Y1035" t="s">
        <v>69</v>
      </c>
      <c r="Z1035" t="s">
        <v>69</v>
      </c>
      <c r="AA1035" t="s">
        <v>17186</v>
      </c>
      <c r="AB1035" t="s">
        <v>17187</v>
      </c>
      <c r="AC1035" t="s">
        <v>5479</v>
      </c>
      <c r="AD1035" t="s">
        <v>17188</v>
      </c>
      <c r="AE1035" t="s">
        <v>69</v>
      </c>
      <c r="AF1035" t="s">
        <v>17189</v>
      </c>
      <c r="AG1035" t="s">
        <v>17190</v>
      </c>
      <c r="AH1035" t="s">
        <v>5480</v>
      </c>
      <c r="AI1035" t="s">
        <v>17191</v>
      </c>
      <c r="AJ1035" t="s">
        <v>17192</v>
      </c>
      <c r="AK1035" t="s">
        <v>17192</v>
      </c>
      <c r="AL1035" t="s">
        <v>17193</v>
      </c>
      <c r="AM1035" t="s">
        <v>69</v>
      </c>
      <c r="AN1035">
        <v>46</v>
      </c>
      <c r="AO1035">
        <v>10</v>
      </c>
      <c r="AP1035">
        <v>10</v>
      </c>
      <c r="AQ1035">
        <v>9</v>
      </c>
      <c r="AR1035">
        <v>35</v>
      </c>
      <c r="AS1035" t="s">
        <v>8924</v>
      </c>
      <c r="AT1035" t="s">
        <v>8925</v>
      </c>
      <c r="AU1035" t="s">
        <v>8926</v>
      </c>
      <c r="AV1035" t="s">
        <v>69</v>
      </c>
      <c r="AW1035" t="s">
        <v>2110</v>
      </c>
      <c r="AX1035" t="s">
        <v>69</v>
      </c>
      <c r="AY1035" t="s">
        <v>10592</v>
      </c>
      <c r="AZ1035" t="s">
        <v>10593</v>
      </c>
      <c r="BA1035" t="s">
        <v>4429</v>
      </c>
      <c r="BB1035">
        <v>2019</v>
      </c>
      <c r="BC1035">
        <v>16</v>
      </c>
      <c r="BD1035">
        <v>11</v>
      </c>
      <c r="BE1035" t="s">
        <v>69</v>
      </c>
      <c r="BF1035" t="s">
        <v>69</v>
      </c>
      <c r="BG1035" t="s">
        <v>69</v>
      </c>
      <c r="BH1035" t="s">
        <v>69</v>
      </c>
      <c r="BI1035" t="s">
        <v>69</v>
      </c>
      <c r="BJ1035" t="s">
        <v>69</v>
      </c>
      <c r="BK1035">
        <v>2051</v>
      </c>
      <c r="BL1035" t="s">
        <v>5481</v>
      </c>
      <c r="BM1035" t="str">
        <f>HYPERLINK("http://dx.doi.org/10.3390/ijerph16112051","http://dx.doi.org/10.3390/ijerph16112051")</f>
        <v>http://dx.doi.org/10.3390/ijerph16112051</v>
      </c>
      <c r="BN1035" t="s">
        <v>69</v>
      </c>
      <c r="BO1035" t="s">
        <v>69</v>
      </c>
      <c r="BP1035">
        <v>16</v>
      </c>
      <c r="BQ1035" t="s">
        <v>10595</v>
      </c>
      <c r="BR1035" t="s">
        <v>8523</v>
      </c>
      <c r="BS1035" t="s">
        <v>10596</v>
      </c>
      <c r="BT1035" t="s">
        <v>17194</v>
      </c>
      <c r="BU1035" t="s">
        <v>5482</v>
      </c>
      <c r="BV1035">
        <v>31185621</v>
      </c>
      <c r="BW1035" t="s">
        <v>10482</v>
      </c>
      <c r="BX1035" t="s">
        <v>69</v>
      </c>
      <c r="BY1035" t="s">
        <v>69</v>
      </c>
      <c r="BZ1035" t="s">
        <v>8526</v>
      </c>
      <c r="CA1035" t="str">
        <f>HYPERLINK("https%3A%2F%2Fwww.webofscience.com%2Fwos%2Fwoscc%2Ffull-record%2FWOS:000472132900179","View Full Record in Web of Science")</f>
        <v>View Full Record in Web of Science</v>
      </c>
    </row>
    <row r="1036" spans="2:79" ht="12.5" x14ac:dyDescent="0.25">
      <c r="B1036" t="s">
        <v>8495</v>
      </c>
      <c r="D1036" s="15" t="s">
        <v>33003</v>
      </c>
      <c r="E1036" s="7"/>
      <c r="F1036" s="7"/>
      <c r="G1036" s="7"/>
      <c r="H1036" t="s">
        <v>67</v>
      </c>
      <c r="I1036" t="s">
        <v>8147</v>
      </c>
      <c r="J1036" t="s">
        <v>69</v>
      </c>
      <c r="K1036" t="s">
        <v>69</v>
      </c>
      <c r="L1036" t="s">
        <v>69</v>
      </c>
      <c r="M1036" s="3" t="s">
        <v>8148</v>
      </c>
      <c r="N1036" t="s">
        <v>69</v>
      </c>
      <c r="O1036" t="s">
        <v>69</v>
      </c>
      <c r="P1036" s="11" t="s">
        <v>8149</v>
      </c>
      <c r="Q1036" t="s">
        <v>726</v>
      </c>
      <c r="R1036" t="s">
        <v>69</v>
      </c>
      <c r="S1036" t="s">
        <v>69</v>
      </c>
      <c r="T1036" t="s">
        <v>8505</v>
      </c>
      <c r="U1036" t="s">
        <v>8506</v>
      </c>
      <c r="V1036" t="s">
        <v>69</v>
      </c>
      <c r="W1036" t="s">
        <v>69</v>
      </c>
      <c r="X1036" t="s">
        <v>69</v>
      </c>
      <c r="Y1036" t="s">
        <v>69</v>
      </c>
      <c r="Z1036" t="s">
        <v>69</v>
      </c>
      <c r="AA1036" t="s">
        <v>14677</v>
      </c>
      <c r="AB1036" t="s">
        <v>14678</v>
      </c>
      <c r="AC1036" t="s">
        <v>8150</v>
      </c>
      <c r="AD1036" t="s">
        <v>14679</v>
      </c>
      <c r="AE1036" t="s">
        <v>69</v>
      </c>
      <c r="AF1036" t="s">
        <v>14680</v>
      </c>
      <c r="AG1036" t="s">
        <v>14681</v>
      </c>
      <c r="AH1036" t="s">
        <v>8151</v>
      </c>
      <c r="AI1036" t="s">
        <v>8152</v>
      </c>
      <c r="AJ1036" t="s">
        <v>14682</v>
      </c>
      <c r="AK1036" t="s">
        <v>9925</v>
      </c>
      <c r="AL1036" t="s">
        <v>14683</v>
      </c>
      <c r="AM1036" t="s">
        <v>69</v>
      </c>
      <c r="AN1036">
        <v>54</v>
      </c>
      <c r="AO1036">
        <v>0</v>
      </c>
      <c r="AP1036">
        <v>0</v>
      </c>
      <c r="AQ1036">
        <v>8</v>
      </c>
      <c r="AR1036">
        <v>36</v>
      </c>
      <c r="AS1036" t="s">
        <v>8865</v>
      </c>
      <c r="AT1036" t="s">
        <v>8612</v>
      </c>
      <c r="AU1036" t="s">
        <v>8866</v>
      </c>
      <c r="AV1036" t="s">
        <v>729</v>
      </c>
      <c r="AW1036" t="s">
        <v>730</v>
      </c>
      <c r="AX1036" t="s">
        <v>69</v>
      </c>
      <c r="AY1036" t="s">
        <v>14684</v>
      </c>
      <c r="AZ1036" t="s">
        <v>14685</v>
      </c>
      <c r="BA1036" t="s">
        <v>837</v>
      </c>
      <c r="BB1036">
        <v>2021</v>
      </c>
      <c r="BC1036">
        <v>23</v>
      </c>
      <c r="BD1036">
        <v>1</v>
      </c>
      <c r="BE1036" t="s">
        <v>69</v>
      </c>
      <c r="BF1036" t="s">
        <v>69</v>
      </c>
      <c r="BG1036" t="s">
        <v>69</v>
      </c>
      <c r="BH1036" t="s">
        <v>69</v>
      </c>
      <c r="BI1036">
        <v>48</v>
      </c>
      <c r="BJ1036">
        <v>65</v>
      </c>
      <c r="BK1036" t="s">
        <v>69</v>
      </c>
      <c r="BL1036" t="s">
        <v>8153</v>
      </c>
      <c r="BM1036" t="str">
        <f>HYPERLINK("http://dx.doi.org/10.1080/1523908X.2020.1798748","http://dx.doi.org/10.1080/1523908X.2020.1798748")</f>
        <v>http://dx.doi.org/10.1080/1523908X.2020.1798748</v>
      </c>
      <c r="BN1036" t="s">
        <v>69</v>
      </c>
      <c r="BO1036" t="s">
        <v>702</v>
      </c>
      <c r="BP1036">
        <v>18</v>
      </c>
      <c r="BQ1036" t="s">
        <v>14686</v>
      </c>
      <c r="BR1036" t="s">
        <v>8661</v>
      </c>
      <c r="BS1036" t="s">
        <v>14687</v>
      </c>
      <c r="BT1036" t="s">
        <v>14688</v>
      </c>
      <c r="BU1036" t="s">
        <v>8154</v>
      </c>
      <c r="BV1036" t="s">
        <v>69</v>
      </c>
      <c r="BW1036" t="s">
        <v>69</v>
      </c>
      <c r="BX1036" t="s">
        <v>69</v>
      </c>
      <c r="BY1036" t="s">
        <v>69</v>
      </c>
      <c r="BZ1036" t="s">
        <v>8526</v>
      </c>
      <c r="CA1036" t="str">
        <f>HYPERLINK("https%3A%2F%2Fwww.webofscience.com%2Fwos%2Fwoscc%2Ffull-record%2FWOS:000552561900001","View Full Record in Web of Science")</f>
        <v>View Full Record in Web of Science</v>
      </c>
    </row>
    <row r="1037" spans="2:79" ht="12.5" x14ac:dyDescent="0.25">
      <c r="B1037" t="s">
        <v>8495</v>
      </c>
      <c r="D1037" s="7" t="s">
        <v>32933</v>
      </c>
      <c r="E1037" s="7"/>
      <c r="F1037" s="7"/>
      <c r="G1037" s="7"/>
      <c r="H1037" t="s">
        <v>67</v>
      </c>
      <c r="I1037" t="s">
        <v>4692</v>
      </c>
      <c r="J1037" t="s">
        <v>69</v>
      </c>
      <c r="K1037" t="s">
        <v>69</v>
      </c>
      <c r="L1037" t="s">
        <v>69</v>
      </c>
      <c r="M1037" t="s">
        <v>4693</v>
      </c>
      <c r="N1037" t="s">
        <v>69</v>
      </c>
      <c r="O1037" t="s">
        <v>69</v>
      </c>
      <c r="P1037" t="s">
        <v>4694</v>
      </c>
      <c r="Q1037" t="s">
        <v>4186</v>
      </c>
      <c r="R1037" t="s">
        <v>69</v>
      </c>
      <c r="S1037" t="s">
        <v>69</v>
      </c>
      <c r="T1037" t="s">
        <v>8505</v>
      </c>
      <c r="U1037" t="s">
        <v>8506</v>
      </c>
      <c r="V1037" t="s">
        <v>69</v>
      </c>
      <c r="W1037" t="s">
        <v>69</v>
      </c>
      <c r="X1037" t="s">
        <v>69</v>
      </c>
      <c r="Y1037" t="s">
        <v>69</v>
      </c>
      <c r="Z1037" t="s">
        <v>69</v>
      </c>
      <c r="AA1037" t="s">
        <v>30266</v>
      </c>
      <c r="AB1037" t="s">
        <v>4337</v>
      </c>
      <c r="AC1037" t="s">
        <v>4695</v>
      </c>
      <c r="AD1037" t="s">
        <v>30267</v>
      </c>
      <c r="AE1037" t="s">
        <v>69</v>
      </c>
      <c r="AF1037" t="s">
        <v>30268</v>
      </c>
      <c r="AG1037" t="s">
        <v>30269</v>
      </c>
      <c r="AH1037" t="s">
        <v>69</v>
      </c>
      <c r="AI1037" t="s">
        <v>69</v>
      </c>
      <c r="AJ1037" t="s">
        <v>69</v>
      </c>
      <c r="AK1037" t="s">
        <v>69</v>
      </c>
      <c r="AL1037" t="s">
        <v>69</v>
      </c>
      <c r="AM1037" t="s">
        <v>69</v>
      </c>
      <c r="AN1037">
        <v>41</v>
      </c>
      <c r="AO1037">
        <v>15</v>
      </c>
      <c r="AP1037">
        <v>16</v>
      </c>
      <c r="AQ1037">
        <v>2</v>
      </c>
      <c r="AR1037">
        <v>11</v>
      </c>
      <c r="AS1037" t="s">
        <v>8865</v>
      </c>
      <c r="AT1037" t="s">
        <v>8612</v>
      </c>
      <c r="AU1037" t="s">
        <v>8866</v>
      </c>
      <c r="AV1037" t="s">
        <v>4188</v>
      </c>
      <c r="AW1037" t="s">
        <v>4189</v>
      </c>
      <c r="AX1037" t="s">
        <v>69</v>
      </c>
      <c r="AY1037" t="s">
        <v>30270</v>
      </c>
      <c r="AZ1037" t="s">
        <v>30271</v>
      </c>
      <c r="BA1037" t="s">
        <v>155</v>
      </c>
      <c r="BB1037">
        <v>2006</v>
      </c>
      <c r="BC1037">
        <v>40</v>
      </c>
      <c r="BD1037">
        <v>4</v>
      </c>
      <c r="BE1037" t="s">
        <v>69</v>
      </c>
      <c r="BF1037" t="s">
        <v>69</v>
      </c>
      <c r="BG1037" t="s">
        <v>69</v>
      </c>
      <c r="BH1037" t="s">
        <v>69</v>
      </c>
      <c r="BI1037">
        <v>321</v>
      </c>
      <c r="BJ1037">
        <v>333</v>
      </c>
      <c r="BK1037" t="s">
        <v>69</v>
      </c>
      <c r="BL1037" t="s">
        <v>4696</v>
      </c>
      <c r="BM1037" t="str">
        <f>HYPERLINK("http://dx.doi.org/10.1080/00343400600725178","http://dx.doi.org/10.1080/00343400600725178")</f>
        <v>http://dx.doi.org/10.1080/00343400600725178</v>
      </c>
      <c r="BN1037" t="s">
        <v>69</v>
      </c>
      <c r="BO1037" t="s">
        <v>69</v>
      </c>
      <c r="BP1037">
        <v>13</v>
      </c>
      <c r="BQ1037" t="s">
        <v>30272</v>
      </c>
      <c r="BR1037" t="s">
        <v>8661</v>
      </c>
      <c r="BS1037" t="s">
        <v>30273</v>
      </c>
      <c r="BT1037" t="s">
        <v>30274</v>
      </c>
      <c r="BU1037" t="s">
        <v>4697</v>
      </c>
      <c r="BV1037" t="s">
        <v>69</v>
      </c>
      <c r="BW1037" t="s">
        <v>69</v>
      </c>
      <c r="BX1037" t="s">
        <v>69</v>
      </c>
      <c r="BY1037" t="s">
        <v>69</v>
      </c>
      <c r="BZ1037" t="s">
        <v>8526</v>
      </c>
      <c r="CA1037" t="str">
        <f>HYPERLINK("https%3A%2F%2Fwww.webofscience.com%2Fwos%2Fwoscc%2Ffull-record%2FWOS:000238606800003","View Full Record in Web of Science")</f>
        <v>View Full Record in Web of Science</v>
      </c>
    </row>
    <row r="1038" spans="2:79" ht="12.5" x14ac:dyDescent="0.25">
      <c r="B1038" t="s">
        <v>8495</v>
      </c>
      <c r="D1038" s="7" t="s">
        <v>32933</v>
      </c>
      <c r="E1038" s="7"/>
      <c r="F1038" s="7"/>
      <c r="G1038" s="7"/>
      <c r="H1038" t="s">
        <v>67</v>
      </c>
      <c r="I1038" t="s">
        <v>1418</v>
      </c>
      <c r="J1038" t="s">
        <v>69</v>
      </c>
      <c r="K1038" t="s">
        <v>69</v>
      </c>
      <c r="L1038" t="s">
        <v>69</v>
      </c>
      <c r="M1038" t="s">
        <v>1419</v>
      </c>
      <c r="N1038" t="s">
        <v>69</v>
      </c>
      <c r="O1038" t="s">
        <v>69</v>
      </c>
      <c r="P1038" t="s">
        <v>1420</v>
      </c>
      <c r="Q1038" t="s">
        <v>1421</v>
      </c>
      <c r="R1038" t="s">
        <v>69</v>
      </c>
      <c r="S1038" t="s">
        <v>69</v>
      </c>
      <c r="T1038" t="s">
        <v>8505</v>
      </c>
      <c r="U1038" t="s">
        <v>8506</v>
      </c>
      <c r="V1038" t="s">
        <v>69</v>
      </c>
      <c r="W1038" t="s">
        <v>69</v>
      </c>
      <c r="X1038" t="s">
        <v>69</v>
      </c>
      <c r="Y1038" t="s">
        <v>69</v>
      </c>
      <c r="Z1038" t="s">
        <v>69</v>
      </c>
      <c r="AA1038" t="s">
        <v>25176</v>
      </c>
      <c r="AB1038" t="s">
        <v>25177</v>
      </c>
      <c r="AC1038" t="s">
        <v>1422</v>
      </c>
      <c r="AD1038" t="s">
        <v>25178</v>
      </c>
      <c r="AE1038" t="s">
        <v>69</v>
      </c>
      <c r="AF1038" t="s">
        <v>25179</v>
      </c>
      <c r="AG1038" t="s">
        <v>25180</v>
      </c>
      <c r="AH1038" t="s">
        <v>25181</v>
      </c>
      <c r="AI1038" t="s">
        <v>69</v>
      </c>
      <c r="AJ1038" t="s">
        <v>25182</v>
      </c>
      <c r="AK1038" t="s">
        <v>25182</v>
      </c>
      <c r="AL1038" t="s">
        <v>25183</v>
      </c>
      <c r="AM1038" t="s">
        <v>69</v>
      </c>
      <c r="AN1038">
        <v>39</v>
      </c>
      <c r="AO1038">
        <v>13</v>
      </c>
      <c r="AP1038">
        <v>13</v>
      </c>
      <c r="AQ1038">
        <v>0</v>
      </c>
      <c r="AR1038">
        <v>6</v>
      </c>
      <c r="AS1038" t="s">
        <v>25184</v>
      </c>
      <c r="AT1038" t="s">
        <v>25185</v>
      </c>
      <c r="AU1038" t="s">
        <v>25186</v>
      </c>
      <c r="AV1038" t="s">
        <v>1423</v>
      </c>
      <c r="AW1038" t="s">
        <v>1424</v>
      </c>
      <c r="AX1038" t="s">
        <v>69</v>
      </c>
      <c r="AY1038" t="s">
        <v>25187</v>
      </c>
      <c r="AZ1038" t="s">
        <v>25188</v>
      </c>
      <c r="BA1038" t="s">
        <v>1425</v>
      </c>
      <c r="BB1038">
        <v>2013</v>
      </c>
      <c r="BC1038">
        <v>109</v>
      </c>
      <c r="BD1038" t="s">
        <v>145</v>
      </c>
      <c r="BE1038" t="s">
        <v>69</v>
      </c>
      <c r="BF1038" t="s">
        <v>69</v>
      </c>
      <c r="BG1038" t="s">
        <v>69</v>
      </c>
      <c r="BH1038" t="s">
        <v>69</v>
      </c>
      <c r="BI1038">
        <v>42</v>
      </c>
      <c r="BJ1038">
        <v>47</v>
      </c>
      <c r="BK1038">
        <v>26</v>
      </c>
      <c r="BL1038" t="s">
        <v>1426</v>
      </c>
      <c r="BM1038" t="str">
        <f>HYPERLINK("http://dx.doi.org/10.1590/sajs.2013/20120026","http://dx.doi.org/10.1590/sajs.2013/20120026")</f>
        <v>http://dx.doi.org/10.1590/sajs.2013/20120026</v>
      </c>
      <c r="BN1038" t="s">
        <v>69</v>
      </c>
      <c r="BO1038" t="s">
        <v>69</v>
      </c>
      <c r="BP1038">
        <v>6</v>
      </c>
      <c r="BQ1038" t="s">
        <v>8619</v>
      </c>
      <c r="BR1038" t="s">
        <v>8523</v>
      </c>
      <c r="BS1038" t="s">
        <v>8620</v>
      </c>
      <c r="BT1038" t="s">
        <v>25189</v>
      </c>
      <c r="BU1038" t="s">
        <v>1427</v>
      </c>
      <c r="BV1038" t="s">
        <v>69</v>
      </c>
      <c r="BW1038" t="s">
        <v>12220</v>
      </c>
      <c r="BX1038" t="s">
        <v>69</v>
      </c>
      <c r="BY1038" t="s">
        <v>69</v>
      </c>
      <c r="BZ1038" t="s">
        <v>8526</v>
      </c>
      <c r="CA1038" t="str">
        <f>HYPERLINK("https%3A%2F%2Fwww.webofscience.com%2Fwos%2Fwoscc%2Ffull-record%2FWOS:000323295300010","View Full Record in Web of Science")</f>
        <v>View Full Record in Web of Science</v>
      </c>
    </row>
    <row r="1039" spans="2:79" ht="12.5" x14ac:dyDescent="0.25">
      <c r="B1039" t="s">
        <v>8495</v>
      </c>
      <c r="D1039" s="22" t="s">
        <v>32931</v>
      </c>
      <c r="E1039" s="7"/>
      <c r="F1039" s="7"/>
      <c r="G1039" s="7"/>
      <c r="H1039" t="s">
        <v>67</v>
      </c>
      <c r="I1039" t="s">
        <v>14509</v>
      </c>
      <c r="J1039" t="s">
        <v>69</v>
      </c>
      <c r="K1039" t="s">
        <v>69</v>
      </c>
      <c r="L1039" t="s">
        <v>69</v>
      </c>
      <c r="M1039" t="s">
        <v>14510</v>
      </c>
      <c r="N1039" t="s">
        <v>69</v>
      </c>
      <c r="O1039" t="s">
        <v>69</v>
      </c>
      <c r="P1039" t="s">
        <v>14511</v>
      </c>
      <c r="Q1039" t="s">
        <v>14512</v>
      </c>
      <c r="R1039" t="s">
        <v>69</v>
      </c>
      <c r="S1039" t="s">
        <v>69</v>
      </c>
      <c r="T1039" t="s">
        <v>8505</v>
      </c>
      <c r="U1039" t="s">
        <v>8506</v>
      </c>
      <c r="V1039" t="s">
        <v>69</v>
      </c>
      <c r="W1039" t="s">
        <v>69</v>
      </c>
      <c r="X1039" t="s">
        <v>69</v>
      </c>
      <c r="Y1039" t="s">
        <v>69</v>
      </c>
      <c r="Z1039" t="s">
        <v>69</v>
      </c>
      <c r="AA1039" t="s">
        <v>14513</v>
      </c>
      <c r="AB1039" t="s">
        <v>14514</v>
      </c>
      <c r="AC1039" t="s">
        <v>14515</v>
      </c>
      <c r="AD1039" t="s">
        <v>14516</v>
      </c>
      <c r="AE1039" t="s">
        <v>69</v>
      </c>
      <c r="AF1039" t="s">
        <v>14517</v>
      </c>
      <c r="AG1039" t="s">
        <v>14518</v>
      </c>
      <c r="AH1039" t="s">
        <v>69</v>
      </c>
      <c r="AI1039" t="s">
        <v>14519</v>
      </c>
      <c r="AJ1039" t="s">
        <v>14520</v>
      </c>
      <c r="AK1039" t="s">
        <v>14521</v>
      </c>
      <c r="AL1039" t="s">
        <v>14522</v>
      </c>
      <c r="AM1039" t="s">
        <v>69</v>
      </c>
      <c r="AN1039">
        <v>63</v>
      </c>
      <c r="AO1039">
        <v>5</v>
      </c>
      <c r="AP1039">
        <v>5</v>
      </c>
      <c r="AQ1039">
        <v>0</v>
      </c>
      <c r="AR1039">
        <v>8</v>
      </c>
      <c r="AS1039" t="s">
        <v>9178</v>
      </c>
      <c r="AT1039" t="s">
        <v>8763</v>
      </c>
      <c r="AU1039" t="s">
        <v>9179</v>
      </c>
      <c r="AV1039" t="s">
        <v>14523</v>
      </c>
      <c r="AW1039" t="s">
        <v>14524</v>
      </c>
      <c r="AX1039" t="s">
        <v>69</v>
      </c>
      <c r="AY1039" t="s">
        <v>14525</v>
      </c>
      <c r="AZ1039" t="s">
        <v>14526</v>
      </c>
      <c r="BA1039" t="s">
        <v>255</v>
      </c>
      <c r="BB1039">
        <v>2020</v>
      </c>
      <c r="BC1039">
        <v>29</v>
      </c>
      <c r="BD1039">
        <v>9</v>
      </c>
      <c r="BE1039" t="s">
        <v>69</v>
      </c>
      <c r="BF1039" t="s">
        <v>69</v>
      </c>
      <c r="BG1039" t="s">
        <v>69</v>
      </c>
      <c r="BH1039" t="s">
        <v>69</v>
      </c>
      <c r="BI1039">
        <v>746</v>
      </c>
      <c r="BJ1039">
        <v>755</v>
      </c>
      <c r="BK1039" t="s">
        <v>69</v>
      </c>
      <c r="BL1039" t="s">
        <v>14527</v>
      </c>
      <c r="BM1039" t="str">
        <f>HYPERLINK("http://dx.doi.org/10.1136/bmjqs-2019-010059","http://dx.doi.org/10.1136/bmjqs-2019-010059")</f>
        <v>http://dx.doi.org/10.1136/bmjqs-2019-010059</v>
      </c>
      <c r="BN1039" t="s">
        <v>69</v>
      </c>
      <c r="BO1039" t="s">
        <v>69</v>
      </c>
      <c r="BP1039">
        <v>10</v>
      </c>
      <c r="BQ1039" t="s">
        <v>9809</v>
      </c>
      <c r="BR1039" t="s">
        <v>8523</v>
      </c>
      <c r="BS1039" t="s">
        <v>9209</v>
      </c>
      <c r="BT1039" t="s">
        <v>14528</v>
      </c>
      <c r="BU1039" t="s">
        <v>14529</v>
      </c>
      <c r="BV1039">
        <v>31826921</v>
      </c>
      <c r="BW1039" t="s">
        <v>9292</v>
      </c>
      <c r="BX1039" t="s">
        <v>69</v>
      </c>
      <c r="BY1039" t="s">
        <v>69</v>
      </c>
      <c r="BZ1039" t="s">
        <v>8526</v>
      </c>
      <c r="CA1039" t="str">
        <f>HYPERLINK("https%3A%2F%2Fwww.webofscience.com%2Fwos%2Fwoscc%2Ffull-record%2FWOS:000567032500009","View Full Record in Web of Science")</f>
        <v>View Full Record in Web of Science</v>
      </c>
    </row>
    <row r="1040" spans="2:79" ht="12.5" x14ac:dyDescent="0.25">
      <c r="B1040" t="s">
        <v>8495</v>
      </c>
      <c r="D1040" s="22" t="s">
        <v>32931</v>
      </c>
      <c r="E1040" s="7"/>
      <c r="F1040" s="7"/>
      <c r="G1040" s="7"/>
      <c r="H1040" t="s">
        <v>67</v>
      </c>
      <c r="I1040" t="s">
        <v>10462</v>
      </c>
      <c r="J1040" t="s">
        <v>69</v>
      </c>
      <c r="K1040" t="s">
        <v>69</v>
      </c>
      <c r="L1040" t="s">
        <v>69</v>
      </c>
      <c r="M1040" t="s">
        <v>10463</v>
      </c>
      <c r="N1040" t="s">
        <v>69</v>
      </c>
      <c r="O1040" t="s">
        <v>69</v>
      </c>
      <c r="P1040" t="s">
        <v>10464</v>
      </c>
      <c r="Q1040" t="s">
        <v>10465</v>
      </c>
      <c r="R1040" t="s">
        <v>69</v>
      </c>
      <c r="S1040" t="s">
        <v>69</v>
      </c>
      <c r="T1040" t="s">
        <v>8505</v>
      </c>
      <c r="U1040" t="s">
        <v>8442</v>
      </c>
      <c r="V1040" t="s">
        <v>69</v>
      </c>
      <c r="W1040" t="s">
        <v>69</v>
      </c>
      <c r="X1040" t="s">
        <v>69</v>
      </c>
      <c r="Y1040" t="s">
        <v>69</v>
      </c>
      <c r="Z1040" t="s">
        <v>69</v>
      </c>
      <c r="AA1040" t="s">
        <v>69</v>
      </c>
      <c r="AB1040" t="s">
        <v>10466</v>
      </c>
      <c r="AC1040" t="s">
        <v>10467</v>
      </c>
      <c r="AD1040" t="s">
        <v>10468</v>
      </c>
      <c r="AE1040" t="s">
        <v>69</v>
      </c>
      <c r="AF1040" t="s">
        <v>10469</v>
      </c>
      <c r="AG1040" t="s">
        <v>10470</v>
      </c>
      <c r="AH1040" t="s">
        <v>10471</v>
      </c>
      <c r="AI1040" t="s">
        <v>10472</v>
      </c>
      <c r="AJ1040" t="s">
        <v>10473</v>
      </c>
      <c r="AK1040" t="s">
        <v>10474</v>
      </c>
      <c r="AL1040" t="s">
        <v>10475</v>
      </c>
      <c r="AM1040" t="s">
        <v>69</v>
      </c>
      <c r="AN1040">
        <v>101</v>
      </c>
      <c r="AO1040">
        <v>1</v>
      </c>
      <c r="AP1040">
        <v>1</v>
      </c>
      <c r="AQ1040">
        <v>6</v>
      </c>
      <c r="AR1040">
        <v>8</v>
      </c>
      <c r="AS1040" t="s">
        <v>9305</v>
      </c>
      <c r="AT1040" t="s">
        <v>8763</v>
      </c>
      <c r="AU1040" t="s">
        <v>9306</v>
      </c>
      <c r="AV1040" t="s">
        <v>10476</v>
      </c>
      <c r="AW1040" t="s">
        <v>69</v>
      </c>
      <c r="AX1040" t="s">
        <v>69</v>
      </c>
      <c r="AY1040" t="s">
        <v>10477</v>
      </c>
      <c r="AZ1040" t="s">
        <v>10478</v>
      </c>
      <c r="BA1040" t="s">
        <v>10479</v>
      </c>
      <c r="BB1040">
        <v>2021</v>
      </c>
      <c r="BC1040">
        <v>11</v>
      </c>
      <c r="BD1040">
        <v>1</v>
      </c>
      <c r="BE1040" t="s">
        <v>69</v>
      </c>
      <c r="BF1040" t="s">
        <v>69</v>
      </c>
      <c r="BG1040" t="s">
        <v>69</v>
      </c>
      <c r="BH1040" t="s">
        <v>69</v>
      </c>
      <c r="BI1040" t="s">
        <v>69</v>
      </c>
      <c r="BJ1040" t="s">
        <v>69</v>
      </c>
      <c r="BK1040">
        <v>628</v>
      </c>
      <c r="BL1040" t="s">
        <v>10480</v>
      </c>
      <c r="BM1040" t="str">
        <f>HYPERLINK("http://dx.doi.org/10.1038/s41398-021-01740-w","http://dx.doi.org/10.1038/s41398-021-01740-w")</f>
        <v>http://dx.doi.org/10.1038/s41398-021-01740-w</v>
      </c>
      <c r="BN1040" t="s">
        <v>69</v>
      </c>
      <c r="BO1040" t="s">
        <v>69</v>
      </c>
      <c r="BP1040">
        <v>36</v>
      </c>
      <c r="BQ1040" t="s">
        <v>9332</v>
      </c>
      <c r="BR1040" t="s">
        <v>8523</v>
      </c>
      <c r="BS1040" t="s">
        <v>9332</v>
      </c>
      <c r="BT1040" t="s">
        <v>10481</v>
      </c>
      <c r="BU1040" t="s">
        <v>10483</v>
      </c>
      <c r="BV1040">
        <v>34893578</v>
      </c>
      <c r="BW1040" t="s">
        <v>10482</v>
      </c>
      <c r="BX1040" t="s">
        <v>69</v>
      </c>
      <c r="BY1040" t="s">
        <v>69</v>
      </c>
      <c r="BZ1040" t="s">
        <v>8526</v>
      </c>
      <c r="CA1040" t="str">
        <f>HYPERLINK("https%3A%2F%2Fwww.webofscience.com%2Fwos%2Fwoscc%2Ffull-record%2FWOS:000729079100001","View Full Record in Web of Science")</f>
        <v>View Full Record in Web of Science</v>
      </c>
    </row>
    <row r="1041" spans="2:79" ht="12.5" x14ac:dyDescent="0.25">
      <c r="B1041" t="s">
        <v>8495</v>
      </c>
      <c r="D1041" s="7" t="s">
        <v>32933</v>
      </c>
      <c r="E1041" s="7"/>
      <c r="F1041" s="7"/>
      <c r="G1041" s="7"/>
      <c r="H1041" t="s">
        <v>67</v>
      </c>
      <c r="I1041" t="s">
        <v>6739</v>
      </c>
      <c r="J1041" t="s">
        <v>69</v>
      </c>
      <c r="K1041" t="s">
        <v>69</v>
      </c>
      <c r="L1041" t="s">
        <v>69</v>
      </c>
      <c r="M1041" t="s">
        <v>6740</v>
      </c>
      <c r="N1041" t="s">
        <v>69</v>
      </c>
      <c r="O1041" t="s">
        <v>69</v>
      </c>
      <c r="P1041" t="s">
        <v>6741</v>
      </c>
      <c r="Q1041" t="s">
        <v>6742</v>
      </c>
      <c r="R1041" t="s">
        <v>69</v>
      </c>
      <c r="S1041" t="s">
        <v>69</v>
      </c>
      <c r="T1041" t="s">
        <v>8505</v>
      </c>
      <c r="U1041" t="s">
        <v>8506</v>
      </c>
      <c r="V1041" t="s">
        <v>69</v>
      </c>
      <c r="W1041" t="s">
        <v>69</v>
      </c>
      <c r="X1041" t="s">
        <v>69</v>
      </c>
      <c r="Y1041" t="s">
        <v>69</v>
      </c>
      <c r="Z1041" t="s">
        <v>69</v>
      </c>
      <c r="AA1041" t="s">
        <v>17760</v>
      </c>
      <c r="AB1041" t="s">
        <v>69</v>
      </c>
      <c r="AC1041" t="s">
        <v>6743</v>
      </c>
      <c r="AD1041" t="s">
        <v>17761</v>
      </c>
      <c r="AE1041" t="s">
        <v>69</v>
      </c>
      <c r="AF1041" t="s">
        <v>17762</v>
      </c>
      <c r="AG1041" t="s">
        <v>17763</v>
      </c>
      <c r="AH1041" t="s">
        <v>69</v>
      </c>
      <c r="AI1041" t="s">
        <v>69</v>
      </c>
      <c r="AJ1041" t="s">
        <v>17764</v>
      </c>
      <c r="AK1041" t="s">
        <v>17764</v>
      </c>
      <c r="AL1041" t="s">
        <v>17765</v>
      </c>
      <c r="AM1041" t="s">
        <v>69</v>
      </c>
      <c r="AN1041">
        <v>22</v>
      </c>
      <c r="AO1041">
        <v>14</v>
      </c>
      <c r="AP1041">
        <v>14</v>
      </c>
      <c r="AQ1041">
        <v>1</v>
      </c>
      <c r="AR1041">
        <v>4</v>
      </c>
      <c r="AS1041" t="s">
        <v>8826</v>
      </c>
      <c r="AT1041" t="s">
        <v>8827</v>
      </c>
      <c r="AU1041" t="s">
        <v>8828</v>
      </c>
      <c r="AV1041" t="s">
        <v>6744</v>
      </c>
      <c r="AW1041" t="s">
        <v>6745</v>
      </c>
      <c r="AX1041" t="s">
        <v>69</v>
      </c>
      <c r="AY1041" t="s">
        <v>17766</v>
      </c>
      <c r="AZ1041" t="s">
        <v>17767</v>
      </c>
      <c r="BA1041" t="s">
        <v>69</v>
      </c>
      <c r="BB1041">
        <v>2019</v>
      </c>
      <c r="BC1041">
        <v>41</v>
      </c>
      <c r="BD1041">
        <v>3</v>
      </c>
      <c r="BE1041" t="s">
        <v>69</v>
      </c>
      <c r="BF1041" t="s">
        <v>69</v>
      </c>
      <c r="BG1041" t="s">
        <v>69</v>
      </c>
      <c r="BH1041" t="s">
        <v>69</v>
      </c>
      <c r="BI1041">
        <v>225</v>
      </c>
      <c r="BJ1041">
        <v>232</v>
      </c>
      <c r="BK1041" t="s">
        <v>69</v>
      </c>
      <c r="BL1041" t="s">
        <v>6746</v>
      </c>
      <c r="BM1041" t="str">
        <f>HYPERLINK("http://dx.doi.org/10.1071/RJ18036","http://dx.doi.org/10.1071/RJ18036")</f>
        <v>http://dx.doi.org/10.1071/RJ18036</v>
      </c>
      <c r="BN1041" t="s">
        <v>69</v>
      </c>
      <c r="BO1041" t="s">
        <v>69</v>
      </c>
      <c r="BP1041">
        <v>8</v>
      </c>
      <c r="BQ1041" t="s">
        <v>17768</v>
      </c>
      <c r="BR1041" t="s">
        <v>8548</v>
      </c>
      <c r="BS1041" t="s">
        <v>8662</v>
      </c>
      <c r="BT1041" t="s">
        <v>17769</v>
      </c>
      <c r="BU1041" t="s">
        <v>6747</v>
      </c>
      <c r="BV1041" t="s">
        <v>69</v>
      </c>
      <c r="BW1041" t="s">
        <v>10648</v>
      </c>
      <c r="BX1041" t="s">
        <v>69</v>
      </c>
      <c r="BY1041" t="s">
        <v>69</v>
      </c>
      <c r="BZ1041" t="s">
        <v>8526</v>
      </c>
      <c r="CA1041" t="str">
        <f>HYPERLINK("https%3A%2F%2Fwww.webofscience.com%2Fwos%2Fwoscc%2Ffull-record%2FWOS:000476797500008","View Full Record in Web of Science")</f>
        <v>View Full Record in Web of Science</v>
      </c>
    </row>
    <row r="1042" spans="2:79" x14ac:dyDescent="0.3">
      <c r="B1042" t="s">
        <v>8495</v>
      </c>
      <c r="D1042" s="13" t="s">
        <v>32971</v>
      </c>
      <c r="H1042" t="s">
        <v>67</v>
      </c>
      <c r="I1042" t="s">
        <v>5835</v>
      </c>
      <c r="J1042" t="s">
        <v>69</v>
      </c>
      <c r="K1042" t="s">
        <v>69</v>
      </c>
      <c r="L1042" t="s">
        <v>69</v>
      </c>
      <c r="M1042" s="4" t="s">
        <v>5836</v>
      </c>
      <c r="N1042" t="s">
        <v>69</v>
      </c>
      <c r="O1042" t="s">
        <v>69</v>
      </c>
      <c r="P1042" s="2" t="s">
        <v>5837</v>
      </c>
      <c r="Q1042" t="s">
        <v>5838</v>
      </c>
      <c r="R1042" t="s">
        <v>69</v>
      </c>
      <c r="S1042" t="s">
        <v>69</v>
      </c>
      <c r="T1042" t="s">
        <v>8505</v>
      </c>
      <c r="U1042" t="s">
        <v>8506</v>
      </c>
      <c r="V1042" t="s">
        <v>69</v>
      </c>
      <c r="W1042" t="s">
        <v>69</v>
      </c>
      <c r="X1042" t="s">
        <v>69</v>
      </c>
      <c r="Y1042" t="s">
        <v>69</v>
      </c>
      <c r="Z1042" t="s">
        <v>69</v>
      </c>
      <c r="AA1042" t="s">
        <v>21212</v>
      </c>
      <c r="AB1042" t="s">
        <v>21213</v>
      </c>
      <c r="AC1042" t="s">
        <v>5839</v>
      </c>
      <c r="AD1042" t="s">
        <v>21214</v>
      </c>
      <c r="AE1042" t="s">
        <v>69</v>
      </c>
      <c r="AF1042" t="s">
        <v>21215</v>
      </c>
      <c r="AG1042" t="s">
        <v>21216</v>
      </c>
      <c r="AH1042" t="s">
        <v>5840</v>
      </c>
      <c r="AI1042" t="s">
        <v>21217</v>
      </c>
      <c r="AJ1042" t="s">
        <v>21218</v>
      </c>
      <c r="AK1042" t="s">
        <v>21219</v>
      </c>
      <c r="AL1042" t="s">
        <v>21220</v>
      </c>
      <c r="AM1042" t="s">
        <v>69</v>
      </c>
      <c r="AN1042">
        <v>48</v>
      </c>
      <c r="AO1042">
        <v>4</v>
      </c>
      <c r="AP1042">
        <v>4</v>
      </c>
      <c r="AQ1042">
        <v>1</v>
      </c>
      <c r="AR1042">
        <v>35</v>
      </c>
      <c r="AS1042" t="s">
        <v>8692</v>
      </c>
      <c r="AT1042" t="s">
        <v>8693</v>
      </c>
      <c r="AU1042" t="s">
        <v>8694</v>
      </c>
      <c r="AV1042" t="s">
        <v>5841</v>
      </c>
      <c r="AW1042" t="s">
        <v>5842</v>
      </c>
      <c r="AX1042" t="s">
        <v>69</v>
      </c>
      <c r="AY1042" t="s">
        <v>12379</v>
      </c>
      <c r="AZ1042" t="s">
        <v>12380</v>
      </c>
      <c r="BA1042" t="s">
        <v>274</v>
      </c>
      <c r="BB1042">
        <v>2016</v>
      </c>
      <c r="BC1042">
        <v>69</v>
      </c>
      <c r="BD1042">
        <v>11</v>
      </c>
      <c r="BE1042" t="s">
        <v>69</v>
      </c>
      <c r="BF1042" t="s">
        <v>69</v>
      </c>
      <c r="BG1042" t="s">
        <v>114</v>
      </c>
      <c r="BH1042" t="s">
        <v>69</v>
      </c>
      <c r="BI1042">
        <v>4775</v>
      </c>
      <c r="BJ1042">
        <v>4780</v>
      </c>
      <c r="BK1042" t="s">
        <v>69</v>
      </c>
      <c r="BL1042" t="s">
        <v>5843</v>
      </c>
      <c r="BM1042" t="str">
        <f>HYPERLINK("http://dx.doi.org/10.1016/j.jbusres.2016.04.029","http://dx.doi.org/10.1016/j.jbusres.2016.04.029")</f>
        <v>http://dx.doi.org/10.1016/j.jbusres.2016.04.029</v>
      </c>
      <c r="BN1042" t="s">
        <v>69</v>
      </c>
      <c r="BO1042" t="s">
        <v>69</v>
      </c>
      <c r="BP1042">
        <v>6</v>
      </c>
      <c r="BQ1042" t="s">
        <v>8444</v>
      </c>
      <c r="BR1042" t="s">
        <v>8661</v>
      </c>
      <c r="BS1042" t="s">
        <v>8594</v>
      </c>
      <c r="BT1042" t="s">
        <v>21221</v>
      </c>
      <c r="BU1042" t="s">
        <v>5844</v>
      </c>
      <c r="BV1042" t="s">
        <v>69</v>
      </c>
      <c r="BW1042" t="s">
        <v>69</v>
      </c>
      <c r="BX1042" t="s">
        <v>69</v>
      </c>
      <c r="BY1042" t="s">
        <v>69</v>
      </c>
      <c r="BZ1042" t="s">
        <v>8526</v>
      </c>
      <c r="CA1042" t="str">
        <f>HYPERLINK("https%3A%2F%2Fwww.webofscience.com%2Fwos%2Fwoscc%2Ffull-record%2FWOS:000383936800009","View Full Record in Web of Science")</f>
        <v>View Full Record in Web of Science</v>
      </c>
    </row>
    <row r="1043" spans="2:79" ht="12.5" x14ac:dyDescent="0.25">
      <c r="B1043" t="s">
        <v>8495</v>
      </c>
      <c r="D1043" s="7" t="s">
        <v>32933</v>
      </c>
      <c r="E1043" s="7"/>
      <c r="F1043" s="7"/>
      <c r="G1043" s="7"/>
      <c r="H1043" t="s">
        <v>67</v>
      </c>
      <c r="I1043" t="s">
        <v>7116</v>
      </c>
      <c r="J1043" t="s">
        <v>69</v>
      </c>
      <c r="K1043" t="s">
        <v>69</v>
      </c>
      <c r="L1043" t="s">
        <v>69</v>
      </c>
      <c r="M1043" t="s">
        <v>7116</v>
      </c>
      <c r="N1043" t="s">
        <v>69</v>
      </c>
      <c r="O1043" t="s">
        <v>69</v>
      </c>
      <c r="P1043" t="s">
        <v>7117</v>
      </c>
      <c r="Q1043" t="s">
        <v>7118</v>
      </c>
      <c r="R1043" t="s">
        <v>69</v>
      </c>
      <c r="S1043" t="s">
        <v>69</v>
      </c>
      <c r="T1043" t="s">
        <v>8505</v>
      </c>
      <c r="U1043" t="s">
        <v>8506</v>
      </c>
      <c r="V1043" t="s">
        <v>69</v>
      </c>
      <c r="W1043" t="s">
        <v>69</v>
      </c>
      <c r="X1043" t="s">
        <v>69</v>
      </c>
      <c r="Y1043" t="s">
        <v>69</v>
      </c>
      <c r="Z1043" t="s">
        <v>69</v>
      </c>
      <c r="AA1043" t="s">
        <v>69</v>
      </c>
      <c r="AB1043" t="s">
        <v>69</v>
      </c>
      <c r="AC1043" t="s">
        <v>7119</v>
      </c>
      <c r="AD1043" t="s">
        <v>32466</v>
      </c>
      <c r="AE1043" t="s">
        <v>69</v>
      </c>
      <c r="AF1043" t="s">
        <v>69</v>
      </c>
      <c r="AG1043" t="s">
        <v>69</v>
      </c>
      <c r="AH1043" t="s">
        <v>69</v>
      </c>
      <c r="AI1043" t="s">
        <v>69</v>
      </c>
      <c r="AJ1043" t="s">
        <v>69</v>
      </c>
      <c r="AK1043" t="s">
        <v>69</v>
      </c>
      <c r="AL1043" t="s">
        <v>69</v>
      </c>
      <c r="AM1043" t="s">
        <v>69</v>
      </c>
      <c r="AN1043">
        <v>34</v>
      </c>
      <c r="AO1043">
        <v>0</v>
      </c>
      <c r="AP1043">
        <v>0</v>
      </c>
      <c r="AQ1043">
        <v>0</v>
      </c>
      <c r="AR1043">
        <v>0</v>
      </c>
      <c r="AS1043" t="s">
        <v>8865</v>
      </c>
      <c r="AT1043" t="s">
        <v>8612</v>
      </c>
      <c r="AU1043" t="s">
        <v>8866</v>
      </c>
      <c r="AV1043" t="s">
        <v>7120</v>
      </c>
      <c r="AW1043" t="s">
        <v>7121</v>
      </c>
      <c r="AX1043" t="s">
        <v>69</v>
      </c>
      <c r="AY1043" t="s">
        <v>32467</v>
      </c>
      <c r="AZ1043" t="s">
        <v>32468</v>
      </c>
      <c r="BA1043" t="s">
        <v>586</v>
      </c>
      <c r="BB1043">
        <v>1996</v>
      </c>
      <c r="BC1043">
        <v>10</v>
      </c>
      <c r="BD1043">
        <v>1</v>
      </c>
      <c r="BE1043" t="s">
        <v>69</v>
      </c>
      <c r="BF1043" t="s">
        <v>69</v>
      </c>
      <c r="BG1043" t="s">
        <v>69</v>
      </c>
      <c r="BH1043" t="s">
        <v>69</v>
      </c>
      <c r="BI1043">
        <v>25</v>
      </c>
      <c r="BJ1043">
        <v>40</v>
      </c>
      <c r="BK1043" t="s">
        <v>69</v>
      </c>
      <c r="BL1043" t="s">
        <v>7122</v>
      </c>
      <c r="BM1043" t="str">
        <f>HYPERLINK("http://dx.doi.org/10.1080/02650539608415663","http://dx.doi.org/10.1080/02650539608415663")</f>
        <v>http://dx.doi.org/10.1080/02650539608415663</v>
      </c>
      <c r="BN1043" t="s">
        <v>69</v>
      </c>
      <c r="BO1043" t="s">
        <v>69</v>
      </c>
      <c r="BP1043">
        <v>16</v>
      </c>
      <c r="BQ1043" t="s">
        <v>17741</v>
      </c>
      <c r="BR1043" t="s">
        <v>8661</v>
      </c>
      <c r="BS1043" t="s">
        <v>17741</v>
      </c>
      <c r="BT1043" t="s">
        <v>32469</v>
      </c>
      <c r="BU1043" t="s">
        <v>7123</v>
      </c>
      <c r="BV1043" t="s">
        <v>69</v>
      </c>
      <c r="BW1043" t="s">
        <v>69</v>
      </c>
      <c r="BX1043" t="s">
        <v>69</v>
      </c>
      <c r="BY1043" t="s">
        <v>69</v>
      </c>
      <c r="BZ1043" t="s">
        <v>8526</v>
      </c>
      <c r="CA1043" t="str">
        <f>HYPERLINK("https%3A%2F%2Fwww.webofscience.com%2Fwos%2Fwoscc%2Ffull-record%2FWOS:A1996UP43700003","View Full Record in Web of Science")</f>
        <v>View Full Record in Web of Science</v>
      </c>
    </row>
    <row r="1044" spans="2:79" ht="12.5" x14ac:dyDescent="0.25">
      <c r="B1044" t="s">
        <v>8495</v>
      </c>
      <c r="D1044" s="7" t="s">
        <v>32933</v>
      </c>
      <c r="E1044" s="7"/>
      <c r="F1044" s="7"/>
      <c r="G1044" s="7"/>
      <c r="H1044" t="s">
        <v>67</v>
      </c>
      <c r="I1044" t="s">
        <v>5117</v>
      </c>
      <c r="J1044" t="s">
        <v>69</v>
      </c>
      <c r="K1044" t="s">
        <v>69</v>
      </c>
      <c r="L1044" t="s">
        <v>69</v>
      </c>
      <c r="M1044" t="s">
        <v>5118</v>
      </c>
      <c r="N1044" t="s">
        <v>69</v>
      </c>
      <c r="O1044" t="s">
        <v>69</v>
      </c>
      <c r="P1044" t="s">
        <v>5119</v>
      </c>
      <c r="Q1044" t="s">
        <v>5120</v>
      </c>
      <c r="R1044" t="s">
        <v>69</v>
      </c>
      <c r="S1044" t="s">
        <v>69</v>
      </c>
      <c r="T1044" t="s">
        <v>8505</v>
      </c>
      <c r="U1044" t="s">
        <v>8506</v>
      </c>
      <c r="V1044" t="s">
        <v>69</v>
      </c>
      <c r="W1044" t="s">
        <v>69</v>
      </c>
      <c r="X1044" t="s">
        <v>69</v>
      </c>
      <c r="Y1044" t="s">
        <v>69</v>
      </c>
      <c r="Z1044" t="s">
        <v>69</v>
      </c>
      <c r="AA1044" t="s">
        <v>69</v>
      </c>
      <c r="AB1044" t="s">
        <v>27000</v>
      </c>
      <c r="AC1044" t="s">
        <v>5121</v>
      </c>
      <c r="AD1044" t="s">
        <v>27001</v>
      </c>
      <c r="AE1044" t="s">
        <v>69</v>
      </c>
      <c r="AF1044" t="s">
        <v>27002</v>
      </c>
      <c r="AG1044" t="s">
        <v>27003</v>
      </c>
      <c r="AH1044" t="s">
        <v>69</v>
      </c>
      <c r="AI1044" t="s">
        <v>5122</v>
      </c>
      <c r="AJ1044" t="s">
        <v>69</v>
      </c>
      <c r="AK1044" t="s">
        <v>69</v>
      </c>
      <c r="AL1044" t="s">
        <v>69</v>
      </c>
      <c r="AM1044" t="s">
        <v>69</v>
      </c>
      <c r="AN1044">
        <v>50</v>
      </c>
      <c r="AO1044">
        <v>14</v>
      </c>
      <c r="AP1044">
        <v>14</v>
      </c>
      <c r="AQ1044">
        <v>0</v>
      </c>
      <c r="AR1044">
        <v>23</v>
      </c>
      <c r="AS1044" t="s">
        <v>10352</v>
      </c>
      <c r="AT1044" t="s">
        <v>8637</v>
      </c>
      <c r="AU1044" t="s">
        <v>10353</v>
      </c>
      <c r="AV1044" t="s">
        <v>5123</v>
      </c>
      <c r="AW1044" t="s">
        <v>5124</v>
      </c>
      <c r="AX1044" t="s">
        <v>69</v>
      </c>
      <c r="AY1044" t="s">
        <v>27004</v>
      </c>
      <c r="AZ1044" t="s">
        <v>27005</v>
      </c>
      <c r="BA1044" t="s">
        <v>586</v>
      </c>
      <c r="BB1044">
        <v>2011</v>
      </c>
      <c r="BC1044">
        <v>38</v>
      </c>
      <c r="BD1044">
        <v>4</v>
      </c>
      <c r="BE1044" t="s">
        <v>69</v>
      </c>
      <c r="BF1044" t="s">
        <v>69</v>
      </c>
      <c r="BG1044" t="s">
        <v>69</v>
      </c>
      <c r="BH1044" t="s">
        <v>69</v>
      </c>
      <c r="BI1044">
        <v>279</v>
      </c>
      <c r="BJ1044">
        <v>292</v>
      </c>
      <c r="BK1044" t="s">
        <v>69</v>
      </c>
      <c r="BL1044" t="s">
        <v>5125</v>
      </c>
      <c r="BM1044" t="str">
        <f>HYPERLINK("http://dx.doi.org/10.3152/030234211X12924093660471","http://dx.doi.org/10.3152/030234211X12924093660471")</f>
        <v>http://dx.doi.org/10.3152/030234211X12924093660471</v>
      </c>
      <c r="BN1044" t="s">
        <v>69</v>
      </c>
      <c r="BO1044" t="s">
        <v>69</v>
      </c>
      <c r="BP1044">
        <v>14</v>
      </c>
      <c r="BQ1044" t="s">
        <v>27006</v>
      </c>
      <c r="BR1044" t="s">
        <v>8661</v>
      </c>
      <c r="BS1044" t="s">
        <v>27007</v>
      </c>
      <c r="BT1044" t="s">
        <v>27008</v>
      </c>
      <c r="BU1044" t="s">
        <v>5126</v>
      </c>
      <c r="BV1044" t="s">
        <v>69</v>
      </c>
      <c r="BW1044" t="s">
        <v>69</v>
      </c>
      <c r="BX1044" t="s">
        <v>69</v>
      </c>
      <c r="BY1044" t="s">
        <v>69</v>
      </c>
      <c r="BZ1044" t="s">
        <v>8526</v>
      </c>
      <c r="CA1044" t="str">
        <f>HYPERLINK("https%3A%2F%2Fwww.webofscience.com%2Fwos%2Fwoscc%2Ffull-record%2FWOS:000292125000003","View Full Record in Web of Science")</f>
        <v>View Full Record in Web of Science</v>
      </c>
    </row>
    <row r="1045" spans="2:79" ht="12.5" x14ac:dyDescent="0.25">
      <c r="B1045" t="s">
        <v>8495</v>
      </c>
      <c r="D1045" s="7" t="s">
        <v>32933</v>
      </c>
      <c r="E1045" s="7"/>
      <c r="F1045" s="7"/>
      <c r="G1045" s="7"/>
      <c r="H1045" t="s">
        <v>67</v>
      </c>
      <c r="I1045" t="s">
        <v>2541</v>
      </c>
      <c r="J1045" t="s">
        <v>69</v>
      </c>
      <c r="K1045" t="s">
        <v>69</v>
      </c>
      <c r="L1045" t="s">
        <v>69</v>
      </c>
      <c r="M1045" t="s">
        <v>2542</v>
      </c>
      <c r="N1045" t="s">
        <v>69</v>
      </c>
      <c r="O1045" t="s">
        <v>69</v>
      </c>
      <c r="P1045" t="s">
        <v>2543</v>
      </c>
      <c r="Q1045" t="s">
        <v>2544</v>
      </c>
      <c r="R1045" t="s">
        <v>69</v>
      </c>
      <c r="S1045" t="s">
        <v>69</v>
      </c>
      <c r="T1045" t="s">
        <v>8505</v>
      </c>
      <c r="U1045" t="s">
        <v>8506</v>
      </c>
      <c r="V1045" t="s">
        <v>69</v>
      </c>
      <c r="W1045" t="s">
        <v>69</v>
      </c>
      <c r="X1045" t="s">
        <v>69</v>
      </c>
      <c r="Y1045" t="s">
        <v>69</v>
      </c>
      <c r="Z1045" t="s">
        <v>69</v>
      </c>
      <c r="AA1045" t="s">
        <v>19952</v>
      </c>
      <c r="AB1045" t="s">
        <v>19953</v>
      </c>
      <c r="AC1045" t="s">
        <v>2545</v>
      </c>
      <c r="AD1045" t="s">
        <v>19954</v>
      </c>
      <c r="AE1045" t="s">
        <v>69</v>
      </c>
      <c r="AF1045" t="s">
        <v>19955</v>
      </c>
      <c r="AG1045" t="s">
        <v>19956</v>
      </c>
      <c r="AH1045" t="s">
        <v>69</v>
      </c>
      <c r="AI1045" t="s">
        <v>2546</v>
      </c>
      <c r="AJ1045" t="s">
        <v>69</v>
      </c>
      <c r="AK1045" t="s">
        <v>69</v>
      </c>
      <c r="AL1045" t="s">
        <v>69</v>
      </c>
      <c r="AM1045" t="s">
        <v>69</v>
      </c>
      <c r="AN1045">
        <v>36</v>
      </c>
      <c r="AO1045">
        <v>6</v>
      </c>
      <c r="AP1045">
        <v>7</v>
      </c>
      <c r="AQ1045">
        <v>0</v>
      </c>
      <c r="AR1045">
        <v>5</v>
      </c>
      <c r="AS1045" t="s">
        <v>9554</v>
      </c>
      <c r="AT1045" t="s">
        <v>9555</v>
      </c>
      <c r="AU1045" t="s">
        <v>9556</v>
      </c>
      <c r="AV1045" t="s">
        <v>2547</v>
      </c>
      <c r="AW1045" t="s">
        <v>2548</v>
      </c>
      <c r="AX1045" t="s">
        <v>69</v>
      </c>
      <c r="AY1045" t="s">
        <v>19957</v>
      </c>
      <c r="AZ1045" t="s">
        <v>19958</v>
      </c>
      <c r="BA1045" t="s">
        <v>381</v>
      </c>
      <c r="BB1045">
        <v>2017</v>
      </c>
      <c r="BC1045">
        <v>23</v>
      </c>
      <c r="BD1045">
        <v>4</v>
      </c>
      <c r="BE1045" t="s">
        <v>69</v>
      </c>
      <c r="BF1045" t="s">
        <v>69</v>
      </c>
      <c r="BG1045" t="s">
        <v>69</v>
      </c>
      <c r="BH1045" t="s">
        <v>69</v>
      </c>
      <c r="BI1045">
        <v>370</v>
      </c>
      <c r="BJ1045">
        <v>388</v>
      </c>
      <c r="BK1045" t="s">
        <v>69</v>
      </c>
      <c r="BL1045" t="s">
        <v>2549</v>
      </c>
      <c r="BM1045" t="str">
        <f>HYPERLINK("http://dx.doi.org/10.1177/1356389017733211","http://dx.doi.org/10.1177/1356389017733211")</f>
        <v>http://dx.doi.org/10.1177/1356389017733211</v>
      </c>
      <c r="BN1045" t="s">
        <v>69</v>
      </c>
      <c r="BO1045" t="s">
        <v>69</v>
      </c>
      <c r="BP1045">
        <v>19</v>
      </c>
      <c r="BQ1045" t="s">
        <v>10299</v>
      </c>
      <c r="BR1045" t="s">
        <v>8661</v>
      </c>
      <c r="BS1045" t="s">
        <v>10279</v>
      </c>
      <c r="BT1045" t="s">
        <v>19959</v>
      </c>
      <c r="BU1045" t="s">
        <v>2550</v>
      </c>
      <c r="BV1045" t="s">
        <v>69</v>
      </c>
      <c r="BW1045" t="s">
        <v>69</v>
      </c>
      <c r="BX1045" t="s">
        <v>69</v>
      </c>
      <c r="BY1045" t="s">
        <v>69</v>
      </c>
      <c r="BZ1045" t="s">
        <v>8526</v>
      </c>
      <c r="CA1045" t="str">
        <f>HYPERLINK("https%3A%2F%2Fwww.webofscience.com%2Fwos%2Fwoscc%2Ffull-record%2FWOS:000413156700002","View Full Record in Web of Science")</f>
        <v>View Full Record in Web of Science</v>
      </c>
    </row>
    <row r="1046" spans="2:79" ht="12.5" x14ac:dyDescent="0.25">
      <c r="B1046" t="s">
        <v>8495</v>
      </c>
      <c r="D1046" s="7" t="s">
        <v>32933</v>
      </c>
      <c r="E1046" s="7"/>
      <c r="F1046" s="7"/>
      <c r="G1046" s="7"/>
      <c r="H1046" t="s">
        <v>67</v>
      </c>
      <c r="I1046" t="s">
        <v>6178</v>
      </c>
      <c r="J1046" t="s">
        <v>69</v>
      </c>
      <c r="K1046" t="s">
        <v>69</v>
      </c>
      <c r="L1046" t="s">
        <v>69</v>
      </c>
      <c r="M1046" t="s">
        <v>6179</v>
      </c>
      <c r="N1046" t="s">
        <v>69</v>
      </c>
      <c r="O1046" t="s">
        <v>69</v>
      </c>
      <c r="P1046" t="s">
        <v>6180</v>
      </c>
      <c r="Q1046" t="s">
        <v>352</v>
      </c>
      <c r="R1046" t="s">
        <v>69</v>
      </c>
      <c r="S1046" t="s">
        <v>69</v>
      </c>
      <c r="T1046" t="s">
        <v>8505</v>
      </c>
      <c r="U1046" t="s">
        <v>8506</v>
      </c>
      <c r="V1046" t="s">
        <v>69</v>
      </c>
      <c r="W1046" t="s">
        <v>69</v>
      </c>
      <c r="X1046" t="s">
        <v>69</v>
      </c>
      <c r="Y1046" t="s">
        <v>69</v>
      </c>
      <c r="Z1046" t="s">
        <v>69</v>
      </c>
      <c r="AA1046" t="s">
        <v>13981</v>
      </c>
      <c r="AB1046" t="s">
        <v>13982</v>
      </c>
      <c r="AC1046" t="s">
        <v>6181</v>
      </c>
      <c r="AD1046" t="s">
        <v>13983</v>
      </c>
      <c r="AE1046" t="s">
        <v>69</v>
      </c>
      <c r="AF1046" t="s">
        <v>13984</v>
      </c>
      <c r="AG1046" t="s">
        <v>13985</v>
      </c>
      <c r="AH1046" t="s">
        <v>13986</v>
      </c>
      <c r="AI1046" t="s">
        <v>13987</v>
      </c>
      <c r="AJ1046" t="s">
        <v>13988</v>
      </c>
      <c r="AK1046" t="s">
        <v>13989</v>
      </c>
      <c r="AL1046" t="s">
        <v>13990</v>
      </c>
      <c r="AM1046" t="s">
        <v>69</v>
      </c>
      <c r="AN1046">
        <v>55</v>
      </c>
      <c r="AO1046">
        <v>2</v>
      </c>
      <c r="AP1046">
        <v>2</v>
      </c>
      <c r="AQ1046">
        <v>5</v>
      </c>
      <c r="AR1046">
        <v>15</v>
      </c>
      <c r="AS1046" t="s">
        <v>8924</v>
      </c>
      <c r="AT1046" t="s">
        <v>8925</v>
      </c>
      <c r="AU1046" t="s">
        <v>8926</v>
      </c>
      <c r="AV1046" t="s">
        <v>69</v>
      </c>
      <c r="AW1046" t="s">
        <v>354</v>
      </c>
      <c r="AX1046" t="s">
        <v>69</v>
      </c>
      <c r="AY1046" t="s">
        <v>8958</v>
      </c>
      <c r="AZ1046" t="s">
        <v>8434</v>
      </c>
      <c r="BA1046" t="s">
        <v>75</v>
      </c>
      <c r="BB1046">
        <v>2020</v>
      </c>
      <c r="BC1046">
        <v>12</v>
      </c>
      <c r="BD1046">
        <v>24</v>
      </c>
      <c r="BE1046" t="s">
        <v>69</v>
      </c>
      <c r="BF1046" t="s">
        <v>69</v>
      </c>
      <c r="BG1046" t="s">
        <v>69</v>
      </c>
      <c r="BH1046" t="s">
        <v>69</v>
      </c>
      <c r="BI1046" t="s">
        <v>69</v>
      </c>
      <c r="BJ1046" t="s">
        <v>69</v>
      </c>
      <c r="BK1046">
        <v>10229</v>
      </c>
      <c r="BL1046" t="s">
        <v>6182</v>
      </c>
      <c r="BM1046" t="str">
        <f>HYPERLINK("http://dx.doi.org/10.3390/su122410229","http://dx.doi.org/10.3390/su122410229")</f>
        <v>http://dx.doi.org/10.3390/su122410229</v>
      </c>
      <c r="BN1046" t="s">
        <v>69</v>
      </c>
      <c r="BO1046" t="s">
        <v>69</v>
      </c>
      <c r="BP1046">
        <v>18</v>
      </c>
      <c r="BQ1046" t="s">
        <v>8960</v>
      </c>
      <c r="BR1046" t="s">
        <v>8523</v>
      </c>
      <c r="BS1046" t="s">
        <v>8961</v>
      </c>
      <c r="BT1046" t="s">
        <v>13991</v>
      </c>
      <c r="BU1046" t="s">
        <v>6183</v>
      </c>
      <c r="BV1046" t="s">
        <v>69</v>
      </c>
      <c r="BW1046" t="s">
        <v>9352</v>
      </c>
      <c r="BX1046" t="s">
        <v>69</v>
      </c>
      <c r="BY1046" t="s">
        <v>69</v>
      </c>
      <c r="BZ1046" t="s">
        <v>8526</v>
      </c>
      <c r="CA1046" t="str">
        <f>HYPERLINK("https%3A%2F%2Fwww.webofscience.com%2Fwos%2Fwoscc%2Ffull-record%2FWOS:000603173400001","View Full Record in Web of Science")</f>
        <v>View Full Record in Web of Science</v>
      </c>
    </row>
    <row r="1047" spans="2:79" ht="12.5" x14ac:dyDescent="0.25">
      <c r="B1047" t="s">
        <v>8495</v>
      </c>
      <c r="D1047" s="7" t="s">
        <v>32933</v>
      </c>
      <c r="E1047" s="7"/>
      <c r="F1047" s="7"/>
      <c r="G1047" s="7"/>
      <c r="H1047" t="s">
        <v>67</v>
      </c>
      <c r="I1047" t="s">
        <v>7902</v>
      </c>
      <c r="J1047" t="s">
        <v>69</v>
      </c>
      <c r="K1047" t="s">
        <v>69</v>
      </c>
      <c r="L1047" t="s">
        <v>69</v>
      </c>
      <c r="M1047" t="s">
        <v>7903</v>
      </c>
      <c r="N1047" t="s">
        <v>69</v>
      </c>
      <c r="O1047" t="s">
        <v>69</v>
      </c>
      <c r="P1047" s="4" t="s">
        <v>7904</v>
      </c>
      <c r="Q1047" t="s">
        <v>7905</v>
      </c>
      <c r="R1047" t="s">
        <v>69</v>
      </c>
      <c r="S1047" t="s">
        <v>69</v>
      </c>
      <c r="T1047" t="s">
        <v>8505</v>
      </c>
      <c r="U1047" t="s">
        <v>8506</v>
      </c>
      <c r="V1047" t="s">
        <v>69</v>
      </c>
      <c r="W1047" t="s">
        <v>69</v>
      </c>
      <c r="X1047" t="s">
        <v>69</v>
      </c>
      <c r="Y1047" t="s">
        <v>69</v>
      </c>
      <c r="Z1047" t="s">
        <v>69</v>
      </c>
      <c r="AA1047" t="s">
        <v>69</v>
      </c>
      <c r="AB1047" t="s">
        <v>30175</v>
      </c>
      <c r="AC1047" t="s">
        <v>7906</v>
      </c>
      <c r="AD1047" t="s">
        <v>30176</v>
      </c>
      <c r="AE1047" t="s">
        <v>69</v>
      </c>
      <c r="AF1047" t="s">
        <v>30177</v>
      </c>
      <c r="AG1047" t="s">
        <v>30178</v>
      </c>
      <c r="AH1047" t="s">
        <v>69</v>
      </c>
      <c r="AI1047" t="s">
        <v>69</v>
      </c>
      <c r="AJ1047" t="s">
        <v>69</v>
      </c>
      <c r="AK1047" t="s">
        <v>69</v>
      </c>
      <c r="AL1047" t="s">
        <v>69</v>
      </c>
      <c r="AM1047" t="s">
        <v>69</v>
      </c>
      <c r="AN1047">
        <v>69</v>
      </c>
      <c r="AO1047">
        <v>3</v>
      </c>
      <c r="AP1047">
        <v>3</v>
      </c>
      <c r="AQ1047">
        <v>0</v>
      </c>
      <c r="AR1047">
        <v>8</v>
      </c>
      <c r="AS1047" t="s">
        <v>8846</v>
      </c>
      <c r="AT1047" t="s">
        <v>8847</v>
      </c>
      <c r="AU1047" t="s">
        <v>8848</v>
      </c>
      <c r="AV1047" t="s">
        <v>7907</v>
      </c>
      <c r="AW1047" t="s">
        <v>7908</v>
      </c>
      <c r="AX1047" t="s">
        <v>69</v>
      </c>
      <c r="AY1047" t="s">
        <v>30179</v>
      </c>
      <c r="AZ1047" t="s">
        <v>30180</v>
      </c>
      <c r="BA1047" t="s">
        <v>201</v>
      </c>
      <c r="BB1047">
        <v>2006</v>
      </c>
      <c r="BC1047">
        <v>28</v>
      </c>
      <c r="BD1047">
        <v>3</v>
      </c>
      <c r="BE1047" t="s">
        <v>69</v>
      </c>
      <c r="BF1047" t="s">
        <v>69</v>
      </c>
      <c r="BG1047" t="s">
        <v>69</v>
      </c>
      <c r="BH1047" t="s">
        <v>69</v>
      </c>
      <c r="BI1047">
        <v>246</v>
      </c>
      <c r="BJ1047">
        <v>266</v>
      </c>
      <c r="BK1047" t="s">
        <v>69</v>
      </c>
      <c r="BL1047" t="s">
        <v>7909</v>
      </c>
      <c r="BM1047" t="str">
        <f>HYPERLINK("http://dx.doi.org/10.1111/j.1467-6427.2006.00350.x","http://dx.doi.org/10.1111/j.1467-6427.2006.00350.x")</f>
        <v>http://dx.doi.org/10.1111/j.1467-6427.2006.00350.x</v>
      </c>
      <c r="BN1047" t="s">
        <v>69</v>
      </c>
      <c r="BO1047" t="s">
        <v>69</v>
      </c>
      <c r="BP1047">
        <v>21</v>
      </c>
      <c r="BQ1047" t="s">
        <v>30181</v>
      </c>
      <c r="BR1047" t="s">
        <v>8661</v>
      </c>
      <c r="BS1047" t="s">
        <v>30182</v>
      </c>
      <c r="BT1047" t="s">
        <v>30183</v>
      </c>
      <c r="BU1047" t="s">
        <v>7910</v>
      </c>
      <c r="BV1047" t="s">
        <v>69</v>
      </c>
      <c r="BW1047" t="s">
        <v>69</v>
      </c>
      <c r="BX1047" t="s">
        <v>69</v>
      </c>
      <c r="BY1047" t="s">
        <v>69</v>
      </c>
      <c r="BZ1047" t="s">
        <v>8526</v>
      </c>
      <c r="CA1047" t="str">
        <f>HYPERLINK("https%3A%2F%2Fwww.webofscience.com%2Fwos%2Fwoscc%2Ffull-record%2FWOS:000239008500003","View Full Record in Web of Science")</f>
        <v>View Full Record in Web of Science</v>
      </c>
    </row>
    <row r="1048" spans="2:79" ht="12.5" x14ac:dyDescent="0.25">
      <c r="B1048" t="s">
        <v>8495</v>
      </c>
      <c r="D1048" s="22" t="s">
        <v>32931</v>
      </c>
      <c r="E1048" s="7"/>
      <c r="F1048" s="7"/>
      <c r="G1048" s="7"/>
      <c r="H1048" t="s">
        <v>67</v>
      </c>
      <c r="I1048" t="s">
        <v>19859</v>
      </c>
      <c r="J1048" t="s">
        <v>69</v>
      </c>
      <c r="K1048" t="s">
        <v>69</v>
      </c>
      <c r="L1048" t="s">
        <v>69</v>
      </c>
      <c r="M1048" t="s">
        <v>19860</v>
      </c>
      <c r="N1048" t="s">
        <v>69</v>
      </c>
      <c r="O1048" t="s">
        <v>69</v>
      </c>
      <c r="P1048" t="s">
        <v>19861</v>
      </c>
      <c r="Q1048" t="s">
        <v>19862</v>
      </c>
      <c r="R1048" t="s">
        <v>69</v>
      </c>
      <c r="S1048" t="s">
        <v>69</v>
      </c>
      <c r="T1048" t="s">
        <v>8505</v>
      </c>
      <c r="U1048" t="s">
        <v>15797</v>
      </c>
      <c r="V1048" t="s">
        <v>19863</v>
      </c>
      <c r="W1048" t="s">
        <v>19864</v>
      </c>
      <c r="X1048" t="s">
        <v>19865</v>
      </c>
      <c r="Y1048" t="s">
        <v>69</v>
      </c>
      <c r="Z1048" t="s">
        <v>19866</v>
      </c>
      <c r="AA1048" t="s">
        <v>19867</v>
      </c>
      <c r="AB1048" t="s">
        <v>19868</v>
      </c>
      <c r="AC1048" t="s">
        <v>19869</v>
      </c>
      <c r="AD1048" t="s">
        <v>19870</v>
      </c>
      <c r="AE1048" t="s">
        <v>69</v>
      </c>
      <c r="AF1048" t="s">
        <v>19871</v>
      </c>
      <c r="AG1048" t="s">
        <v>19872</v>
      </c>
      <c r="AH1048" t="s">
        <v>19873</v>
      </c>
      <c r="AI1048" t="s">
        <v>19874</v>
      </c>
      <c r="AJ1048" t="s">
        <v>19875</v>
      </c>
      <c r="AK1048" t="s">
        <v>19876</v>
      </c>
      <c r="AL1048" t="s">
        <v>19877</v>
      </c>
      <c r="AM1048" t="s">
        <v>69</v>
      </c>
      <c r="AN1048">
        <v>39</v>
      </c>
      <c r="AO1048">
        <v>9</v>
      </c>
      <c r="AP1048">
        <v>9</v>
      </c>
      <c r="AQ1048">
        <v>0</v>
      </c>
      <c r="AR1048">
        <v>28</v>
      </c>
      <c r="AS1048" t="s">
        <v>8516</v>
      </c>
      <c r="AT1048" t="s">
        <v>8517</v>
      </c>
      <c r="AU1048" t="s">
        <v>8518</v>
      </c>
      <c r="AV1048" t="s">
        <v>19878</v>
      </c>
      <c r="AW1048" t="s">
        <v>19879</v>
      </c>
      <c r="AX1048" t="s">
        <v>69</v>
      </c>
      <c r="AY1048" t="s">
        <v>19880</v>
      </c>
      <c r="AZ1048" t="s">
        <v>19881</v>
      </c>
      <c r="BA1048" t="s">
        <v>274</v>
      </c>
      <c r="BB1048">
        <v>2017</v>
      </c>
      <c r="BC1048">
        <v>54</v>
      </c>
      <c r="BD1048" t="s">
        <v>69</v>
      </c>
      <c r="BE1048">
        <v>3</v>
      </c>
      <c r="BF1048" t="s">
        <v>69</v>
      </c>
      <c r="BG1048" t="s">
        <v>114</v>
      </c>
      <c r="BH1048" t="s">
        <v>69</v>
      </c>
      <c r="BI1048">
        <v>139</v>
      </c>
      <c r="BJ1048">
        <v>151</v>
      </c>
      <c r="BK1048" t="s">
        <v>69</v>
      </c>
      <c r="BL1048" t="s">
        <v>19882</v>
      </c>
      <c r="BM1048" t="str">
        <f>HYPERLINK("http://dx.doi.org/10.1016/j.csi.2016.11.008","http://dx.doi.org/10.1016/j.csi.2016.11.008")</f>
        <v>http://dx.doi.org/10.1016/j.csi.2016.11.008</v>
      </c>
      <c r="BN1048" t="s">
        <v>69</v>
      </c>
      <c r="BO1048" t="s">
        <v>69</v>
      </c>
      <c r="BP1048">
        <v>13</v>
      </c>
      <c r="BQ1048" t="s">
        <v>19883</v>
      </c>
      <c r="BR1048" t="s">
        <v>15808</v>
      </c>
      <c r="BS1048" t="s">
        <v>10976</v>
      </c>
      <c r="BT1048" t="s">
        <v>19884</v>
      </c>
      <c r="BU1048" t="s">
        <v>19885</v>
      </c>
      <c r="BV1048" t="s">
        <v>69</v>
      </c>
      <c r="BW1048" t="s">
        <v>69</v>
      </c>
      <c r="BX1048" t="s">
        <v>69</v>
      </c>
      <c r="BY1048" t="s">
        <v>69</v>
      </c>
      <c r="BZ1048" t="s">
        <v>8526</v>
      </c>
      <c r="CA1048" t="str">
        <f>HYPERLINK("https%3A%2F%2Fwww.webofscience.com%2Fwos%2Fwoscc%2Ffull-record%2FWOS:000401888500004","View Full Record in Web of Science")</f>
        <v>View Full Record in Web of Science</v>
      </c>
    </row>
    <row r="1049" spans="2:79" ht="12.5" x14ac:dyDescent="0.25">
      <c r="B1049" t="s">
        <v>8495</v>
      </c>
      <c r="D1049" s="7" t="s">
        <v>32933</v>
      </c>
      <c r="E1049" s="7"/>
      <c r="F1049" s="7"/>
      <c r="G1049" s="7"/>
      <c r="H1049" t="s">
        <v>67</v>
      </c>
      <c r="I1049" t="s">
        <v>5141</v>
      </c>
      <c r="J1049" t="s">
        <v>69</v>
      </c>
      <c r="K1049" t="s">
        <v>69</v>
      </c>
      <c r="L1049" t="s">
        <v>69</v>
      </c>
      <c r="M1049" t="s">
        <v>5141</v>
      </c>
      <c r="N1049" t="s">
        <v>69</v>
      </c>
      <c r="O1049" t="s">
        <v>69</v>
      </c>
      <c r="P1049" t="s">
        <v>5142</v>
      </c>
      <c r="Q1049" t="s">
        <v>370</v>
      </c>
      <c r="R1049" t="s">
        <v>69</v>
      </c>
      <c r="S1049" t="s">
        <v>69</v>
      </c>
      <c r="T1049" t="s">
        <v>8505</v>
      </c>
      <c r="U1049" t="s">
        <v>8506</v>
      </c>
      <c r="V1049" t="s">
        <v>69</v>
      </c>
      <c r="W1049" t="s">
        <v>69</v>
      </c>
      <c r="X1049" t="s">
        <v>69</v>
      </c>
      <c r="Y1049" t="s">
        <v>69</v>
      </c>
      <c r="Z1049" t="s">
        <v>69</v>
      </c>
      <c r="AA1049" t="s">
        <v>69</v>
      </c>
      <c r="AB1049" t="s">
        <v>69</v>
      </c>
      <c r="AC1049" t="s">
        <v>5143</v>
      </c>
      <c r="AD1049" t="s">
        <v>30543</v>
      </c>
      <c r="AE1049" t="s">
        <v>69</v>
      </c>
      <c r="AF1049" t="s">
        <v>30544</v>
      </c>
      <c r="AG1049" t="s">
        <v>30545</v>
      </c>
      <c r="AH1049" t="s">
        <v>69</v>
      </c>
      <c r="AI1049" t="s">
        <v>69</v>
      </c>
      <c r="AJ1049" t="s">
        <v>69</v>
      </c>
      <c r="AK1049" t="s">
        <v>69</v>
      </c>
      <c r="AL1049" t="s">
        <v>69</v>
      </c>
      <c r="AM1049" t="s">
        <v>69</v>
      </c>
      <c r="AN1049">
        <v>18</v>
      </c>
      <c r="AO1049">
        <v>47</v>
      </c>
      <c r="AP1049">
        <v>49</v>
      </c>
      <c r="AQ1049">
        <v>0</v>
      </c>
      <c r="AR1049">
        <v>7</v>
      </c>
      <c r="AS1049" t="s">
        <v>9145</v>
      </c>
      <c r="AT1049" t="s">
        <v>8637</v>
      </c>
      <c r="AU1049" t="s">
        <v>9146</v>
      </c>
      <c r="AV1049" t="s">
        <v>372</v>
      </c>
      <c r="AW1049" t="s">
        <v>69</v>
      </c>
      <c r="AX1049" t="s">
        <v>69</v>
      </c>
      <c r="AY1049" t="s">
        <v>17951</v>
      </c>
      <c r="AZ1049" t="s">
        <v>17952</v>
      </c>
      <c r="BA1049" t="s">
        <v>69</v>
      </c>
      <c r="BB1049">
        <v>2006</v>
      </c>
      <c r="BC1049">
        <v>26</v>
      </c>
      <c r="BD1049">
        <v>2</v>
      </c>
      <c r="BE1049" t="s">
        <v>69</v>
      </c>
      <c r="BF1049" t="s">
        <v>69</v>
      </c>
      <c r="BG1049" t="s">
        <v>69</v>
      </c>
      <c r="BH1049" t="s">
        <v>69</v>
      </c>
      <c r="BI1049">
        <v>195</v>
      </c>
      <c r="BJ1049">
        <v>205</v>
      </c>
      <c r="BK1049" t="s">
        <v>69</v>
      </c>
      <c r="BL1049" t="s">
        <v>5144</v>
      </c>
      <c r="BM1049" t="str">
        <f>HYPERLINK("http://dx.doi.org/10.1016/j.wasman.2005.06.008","http://dx.doi.org/10.1016/j.wasman.2005.06.008")</f>
        <v>http://dx.doi.org/10.1016/j.wasman.2005.06.008</v>
      </c>
      <c r="BN1049" t="s">
        <v>69</v>
      </c>
      <c r="BO1049" t="s">
        <v>69</v>
      </c>
      <c r="BP1049">
        <v>11</v>
      </c>
      <c r="BQ1049" t="s">
        <v>8743</v>
      </c>
      <c r="BR1049" t="s">
        <v>8548</v>
      </c>
      <c r="BS1049" t="s">
        <v>8744</v>
      </c>
      <c r="BT1049" t="s">
        <v>30546</v>
      </c>
      <c r="BU1049" t="s">
        <v>5145</v>
      </c>
      <c r="BV1049">
        <v>16112562</v>
      </c>
      <c r="BW1049" t="s">
        <v>69</v>
      </c>
      <c r="BX1049" t="s">
        <v>69</v>
      </c>
      <c r="BY1049" t="s">
        <v>69</v>
      </c>
      <c r="BZ1049" t="s">
        <v>8526</v>
      </c>
      <c r="CA1049" t="str">
        <f>HYPERLINK("https%3A%2F%2Fwww.webofscience.com%2Fwos%2Fwoscc%2Ffull-record%2FWOS:000233962100012","View Full Record in Web of Science")</f>
        <v>View Full Record in Web of Science</v>
      </c>
    </row>
    <row r="1050" spans="2:79" ht="12.5" x14ac:dyDescent="0.25">
      <c r="B1050" t="s">
        <v>8495</v>
      </c>
      <c r="D1050" s="22" t="s">
        <v>32931</v>
      </c>
      <c r="E1050" s="7"/>
      <c r="F1050" s="7"/>
      <c r="G1050" s="7"/>
      <c r="H1050" t="s">
        <v>67</v>
      </c>
      <c r="I1050" t="s">
        <v>25639</v>
      </c>
      <c r="J1050" t="s">
        <v>69</v>
      </c>
      <c r="K1050" t="s">
        <v>69</v>
      </c>
      <c r="L1050" t="s">
        <v>69</v>
      </c>
      <c r="M1050" t="s">
        <v>25640</v>
      </c>
      <c r="N1050" t="s">
        <v>69</v>
      </c>
      <c r="O1050" t="s">
        <v>69</v>
      </c>
      <c r="P1050" t="s">
        <v>25641</v>
      </c>
      <c r="Q1050" t="s">
        <v>25642</v>
      </c>
      <c r="R1050" t="s">
        <v>69</v>
      </c>
      <c r="S1050" t="s">
        <v>69</v>
      </c>
      <c r="T1050" t="s">
        <v>8505</v>
      </c>
      <c r="U1050" t="s">
        <v>8506</v>
      </c>
      <c r="V1050" t="s">
        <v>69</v>
      </c>
      <c r="W1050" t="s">
        <v>69</v>
      </c>
      <c r="X1050" t="s">
        <v>69</v>
      </c>
      <c r="Y1050" t="s">
        <v>69</v>
      </c>
      <c r="Z1050" t="s">
        <v>69</v>
      </c>
      <c r="AA1050" t="s">
        <v>69</v>
      </c>
      <c r="AB1050" t="s">
        <v>25643</v>
      </c>
      <c r="AC1050" t="s">
        <v>25644</v>
      </c>
      <c r="AD1050" t="s">
        <v>25645</v>
      </c>
      <c r="AE1050" t="s">
        <v>69</v>
      </c>
      <c r="AF1050" t="s">
        <v>25646</v>
      </c>
      <c r="AG1050" t="s">
        <v>25647</v>
      </c>
      <c r="AH1050" t="s">
        <v>69</v>
      </c>
      <c r="AI1050" t="s">
        <v>69</v>
      </c>
      <c r="AJ1050" t="s">
        <v>25648</v>
      </c>
      <c r="AK1050" t="s">
        <v>25649</v>
      </c>
      <c r="AL1050" t="s">
        <v>25650</v>
      </c>
      <c r="AM1050" t="s">
        <v>69</v>
      </c>
      <c r="AN1050">
        <v>29</v>
      </c>
      <c r="AO1050">
        <v>19</v>
      </c>
      <c r="AP1050">
        <v>19</v>
      </c>
      <c r="AQ1050">
        <v>0</v>
      </c>
      <c r="AR1050">
        <v>11</v>
      </c>
      <c r="AS1050" t="s">
        <v>25651</v>
      </c>
      <c r="AT1050" t="s">
        <v>25652</v>
      </c>
      <c r="AU1050" t="s">
        <v>25653</v>
      </c>
      <c r="AV1050" t="s">
        <v>25654</v>
      </c>
      <c r="AW1050" t="s">
        <v>25655</v>
      </c>
      <c r="AX1050" t="s">
        <v>69</v>
      </c>
      <c r="AY1050" t="s">
        <v>25656</v>
      </c>
      <c r="AZ1050" t="s">
        <v>25657</v>
      </c>
      <c r="BA1050" t="s">
        <v>75</v>
      </c>
      <c r="BB1050">
        <v>2012</v>
      </c>
      <c r="BC1050">
        <v>58</v>
      </c>
      <c r="BD1050">
        <v>12</v>
      </c>
      <c r="BE1050" t="s">
        <v>69</v>
      </c>
      <c r="BF1050" t="s">
        <v>69</v>
      </c>
      <c r="BG1050" t="s">
        <v>69</v>
      </c>
      <c r="BH1050" t="s">
        <v>69</v>
      </c>
      <c r="BI1050" t="s">
        <v>25658</v>
      </c>
      <c r="BJ1050" t="s">
        <v>25659</v>
      </c>
      <c r="BK1050" t="s">
        <v>69</v>
      </c>
      <c r="BL1050" t="s">
        <v>69</v>
      </c>
      <c r="BM1050" t="s">
        <v>69</v>
      </c>
      <c r="BN1050" t="s">
        <v>69</v>
      </c>
      <c r="BO1050" t="s">
        <v>69</v>
      </c>
      <c r="BP1050">
        <v>7</v>
      </c>
      <c r="BQ1050" t="s">
        <v>14051</v>
      </c>
      <c r="BR1050" t="s">
        <v>8523</v>
      </c>
      <c r="BS1050" t="s">
        <v>9451</v>
      </c>
      <c r="BT1050" t="s">
        <v>25660</v>
      </c>
      <c r="BU1050" t="s">
        <v>25661</v>
      </c>
      <c r="BV1050">
        <v>23242904</v>
      </c>
      <c r="BW1050" t="s">
        <v>69</v>
      </c>
      <c r="BX1050" t="s">
        <v>69</v>
      </c>
      <c r="BY1050" t="s">
        <v>69</v>
      </c>
      <c r="BZ1050" t="s">
        <v>8526</v>
      </c>
      <c r="CA1050" t="str">
        <f>HYPERLINK("https%3A%2F%2Fwww.webofscience.com%2Fwos%2Fwoscc%2Ffull-record%2FWOS:000312952500005","View Full Record in Web of Science")</f>
        <v>View Full Record in Web of Science</v>
      </c>
    </row>
    <row r="1051" spans="2:79" ht="12.5" x14ac:dyDescent="0.25">
      <c r="B1051" t="s">
        <v>8495</v>
      </c>
      <c r="D1051" s="7" t="s">
        <v>32933</v>
      </c>
      <c r="E1051" s="7"/>
      <c r="F1051" s="7"/>
      <c r="G1051" s="7"/>
      <c r="H1051" t="s">
        <v>67</v>
      </c>
      <c r="I1051" t="s">
        <v>117</v>
      </c>
      <c r="J1051" t="s">
        <v>69</v>
      </c>
      <c r="K1051" t="s">
        <v>69</v>
      </c>
      <c r="L1051" t="s">
        <v>69</v>
      </c>
      <c r="M1051" t="s">
        <v>118</v>
      </c>
      <c r="N1051" t="s">
        <v>69</v>
      </c>
      <c r="O1051" t="s">
        <v>69</v>
      </c>
      <c r="P1051" t="s">
        <v>119</v>
      </c>
      <c r="Q1051" t="s">
        <v>120</v>
      </c>
      <c r="R1051" t="s">
        <v>69</v>
      </c>
      <c r="S1051" t="s">
        <v>69</v>
      </c>
      <c r="T1051" t="s">
        <v>8505</v>
      </c>
      <c r="U1051" t="s">
        <v>8506</v>
      </c>
      <c r="V1051" t="s">
        <v>69</v>
      </c>
      <c r="W1051" t="s">
        <v>69</v>
      </c>
      <c r="X1051" t="s">
        <v>69</v>
      </c>
      <c r="Y1051" t="s">
        <v>69</v>
      </c>
      <c r="Z1051" t="s">
        <v>69</v>
      </c>
      <c r="AA1051" t="s">
        <v>23314</v>
      </c>
      <c r="AB1051" t="s">
        <v>69</v>
      </c>
      <c r="AC1051" t="s">
        <v>121</v>
      </c>
      <c r="AD1051" t="s">
        <v>23315</v>
      </c>
      <c r="AE1051" t="s">
        <v>69</v>
      </c>
      <c r="AF1051" t="s">
        <v>23316</v>
      </c>
      <c r="AG1051" t="s">
        <v>23317</v>
      </c>
      <c r="AH1051" t="s">
        <v>69</v>
      </c>
      <c r="AI1051" t="s">
        <v>69</v>
      </c>
      <c r="AJ1051" t="s">
        <v>69</v>
      </c>
      <c r="AK1051" t="s">
        <v>69</v>
      </c>
      <c r="AL1051" t="s">
        <v>69</v>
      </c>
      <c r="AM1051" t="s">
        <v>69</v>
      </c>
      <c r="AN1051">
        <v>10</v>
      </c>
      <c r="AO1051">
        <v>1</v>
      </c>
      <c r="AP1051">
        <v>1</v>
      </c>
      <c r="AQ1051">
        <v>0</v>
      </c>
      <c r="AR1051">
        <v>0</v>
      </c>
      <c r="AS1051" t="s">
        <v>23318</v>
      </c>
      <c r="AT1051" t="s">
        <v>23319</v>
      </c>
      <c r="AU1051" t="s">
        <v>23320</v>
      </c>
      <c r="AV1051" t="s">
        <v>122</v>
      </c>
      <c r="AW1051" t="s">
        <v>123</v>
      </c>
      <c r="AX1051" t="s">
        <v>69</v>
      </c>
      <c r="AY1051" t="s">
        <v>23321</v>
      </c>
      <c r="AZ1051" t="s">
        <v>23322</v>
      </c>
      <c r="BA1051" t="s">
        <v>69</v>
      </c>
      <c r="BB1051">
        <v>2015</v>
      </c>
      <c r="BC1051">
        <v>15</v>
      </c>
      <c r="BD1051">
        <v>2</v>
      </c>
      <c r="BE1051" t="s">
        <v>69</v>
      </c>
      <c r="BF1051" t="s">
        <v>69</v>
      </c>
      <c r="BG1051" t="s">
        <v>69</v>
      </c>
      <c r="BH1051" t="s">
        <v>69</v>
      </c>
      <c r="BI1051">
        <v>203</v>
      </c>
      <c r="BJ1051">
        <v>212</v>
      </c>
      <c r="BK1051" t="s">
        <v>69</v>
      </c>
      <c r="BL1051" t="s">
        <v>69</v>
      </c>
      <c r="BM1051" t="s">
        <v>69</v>
      </c>
      <c r="BN1051" t="s">
        <v>69</v>
      </c>
      <c r="BO1051" t="s">
        <v>69</v>
      </c>
      <c r="BP1051">
        <v>10</v>
      </c>
      <c r="BQ1051" t="s">
        <v>23323</v>
      </c>
      <c r="BR1051" t="s">
        <v>8573</v>
      </c>
      <c r="BS1051" t="s">
        <v>8450</v>
      </c>
      <c r="BT1051" t="s">
        <v>23324</v>
      </c>
      <c r="BU1051" t="s">
        <v>124</v>
      </c>
      <c r="BV1051" t="s">
        <v>69</v>
      </c>
      <c r="BW1051" t="s">
        <v>69</v>
      </c>
      <c r="BX1051" t="s">
        <v>69</v>
      </c>
      <c r="BY1051" t="s">
        <v>69</v>
      </c>
      <c r="BZ1051" t="s">
        <v>8526</v>
      </c>
      <c r="CA1051" t="str">
        <f>HYPERLINK("https%3A%2F%2Fwww.webofscience.com%2Fwos%2Fwoscc%2Ffull-record%2FWOS:000422185000033","View Full Record in Web of Science")</f>
        <v>View Full Record in Web of Science</v>
      </c>
    </row>
    <row r="1052" spans="2:79" ht="12.5" x14ac:dyDescent="0.25">
      <c r="B1052" t="s">
        <v>8495</v>
      </c>
      <c r="D1052" s="7" t="s">
        <v>32933</v>
      </c>
      <c r="E1052" s="7"/>
      <c r="F1052" s="7"/>
      <c r="G1052" s="7"/>
      <c r="H1052" t="s">
        <v>67</v>
      </c>
      <c r="I1052" t="s">
        <v>4998</v>
      </c>
      <c r="J1052" t="s">
        <v>69</v>
      </c>
      <c r="K1052" t="s">
        <v>69</v>
      </c>
      <c r="L1052" t="s">
        <v>69</v>
      </c>
      <c r="M1052" t="s">
        <v>4999</v>
      </c>
      <c r="N1052" t="s">
        <v>69</v>
      </c>
      <c r="O1052" t="s">
        <v>69</v>
      </c>
      <c r="P1052" t="s">
        <v>5000</v>
      </c>
      <c r="Q1052" t="s">
        <v>5001</v>
      </c>
      <c r="R1052" t="s">
        <v>69</v>
      </c>
      <c r="S1052" t="s">
        <v>69</v>
      </c>
      <c r="T1052" t="s">
        <v>8505</v>
      </c>
      <c r="U1052" t="s">
        <v>8506</v>
      </c>
      <c r="V1052" t="s">
        <v>69</v>
      </c>
      <c r="W1052" t="s">
        <v>69</v>
      </c>
      <c r="X1052" t="s">
        <v>69</v>
      </c>
      <c r="Y1052" t="s">
        <v>69</v>
      </c>
      <c r="Z1052" t="s">
        <v>69</v>
      </c>
      <c r="AA1052" t="s">
        <v>29514</v>
      </c>
      <c r="AB1052" t="s">
        <v>69</v>
      </c>
      <c r="AC1052" t="s">
        <v>5002</v>
      </c>
      <c r="AD1052" t="s">
        <v>29515</v>
      </c>
      <c r="AE1052" t="s">
        <v>69</v>
      </c>
      <c r="AF1052" t="s">
        <v>29516</v>
      </c>
      <c r="AG1052" t="s">
        <v>29517</v>
      </c>
      <c r="AH1052" t="s">
        <v>69</v>
      </c>
      <c r="AI1052" t="s">
        <v>69</v>
      </c>
      <c r="AJ1052" t="s">
        <v>69</v>
      </c>
      <c r="AK1052" t="s">
        <v>69</v>
      </c>
      <c r="AL1052" t="s">
        <v>69</v>
      </c>
      <c r="AM1052" t="s">
        <v>69</v>
      </c>
      <c r="AN1052">
        <v>4</v>
      </c>
      <c r="AO1052">
        <v>0</v>
      </c>
      <c r="AP1052">
        <v>0</v>
      </c>
      <c r="AQ1052">
        <v>1</v>
      </c>
      <c r="AR1052">
        <v>3</v>
      </c>
      <c r="AS1052" t="s">
        <v>8846</v>
      </c>
      <c r="AT1052" t="s">
        <v>8847</v>
      </c>
      <c r="AU1052" t="s">
        <v>8848</v>
      </c>
      <c r="AV1052" t="s">
        <v>5003</v>
      </c>
      <c r="AW1052" t="s">
        <v>5004</v>
      </c>
      <c r="AX1052" t="s">
        <v>69</v>
      </c>
      <c r="AY1052" t="s">
        <v>5001</v>
      </c>
      <c r="AZ1052" t="s">
        <v>29518</v>
      </c>
      <c r="BA1052" t="s">
        <v>274</v>
      </c>
      <c r="BB1052">
        <v>2007</v>
      </c>
      <c r="BC1052">
        <v>35</v>
      </c>
      <c r="BD1052">
        <v>5</v>
      </c>
      <c r="BE1052" t="s">
        <v>69</v>
      </c>
      <c r="BF1052" t="s">
        <v>69</v>
      </c>
      <c r="BG1052" t="s">
        <v>69</v>
      </c>
      <c r="BH1052" t="s">
        <v>69</v>
      </c>
      <c r="BI1052">
        <v>508</v>
      </c>
      <c r="BJ1052">
        <v>510</v>
      </c>
      <c r="BK1052" t="s">
        <v>69</v>
      </c>
      <c r="BL1052" t="s">
        <v>5005</v>
      </c>
      <c r="BM1052" t="str">
        <f>HYPERLINK("http://dx.doi.org/10.1002/clen.200720021","http://dx.doi.org/10.1002/clen.200720021")</f>
        <v>http://dx.doi.org/10.1002/clen.200720021</v>
      </c>
      <c r="BN1052" t="s">
        <v>69</v>
      </c>
      <c r="BO1052" t="s">
        <v>69</v>
      </c>
      <c r="BP1052">
        <v>3</v>
      </c>
      <c r="BQ1052" t="s">
        <v>29519</v>
      </c>
      <c r="BR1052" t="s">
        <v>8548</v>
      </c>
      <c r="BS1052" t="s">
        <v>29520</v>
      </c>
      <c r="BT1052" t="s">
        <v>29521</v>
      </c>
      <c r="BU1052" t="s">
        <v>5006</v>
      </c>
      <c r="BV1052" t="s">
        <v>69</v>
      </c>
      <c r="BW1052" t="s">
        <v>69</v>
      </c>
      <c r="BX1052" t="s">
        <v>69</v>
      </c>
      <c r="BY1052" t="s">
        <v>69</v>
      </c>
      <c r="BZ1052" t="s">
        <v>8526</v>
      </c>
      <c r="CA1052" t="str">
        <f>HYPERLINK("https%3A%2F%2Fwww.webofscience.com%2Fwos%2Fwoscc%2Ffull-record%2FWOS:000251007000026","View Full Record in Web of Science")</f>
        <v>View Full Record in Web of Science</v>
      </c>
    </row>
    <row r="1053" spans="2:79" ht="12.5" x14ac:dyDescent="0.25">
      <c r="B1053" t="s">
        <v>8495</v>
      </c>
      <c r="D1053" s="22" t="s">
        <v>32931</v>
      </c>
      <c r="E1053" s="7"/>
      <c r="F1053" s="7"/>
      <c r="G1053" s="7"/>
      <c r="H1053" t="s">
        <v>67</v>
      </c>
      <c r="I1053" t="s">
        <v>10528</v>
      </c>
      <c r="J1053" t="s">
        <v>69</v>
      </c>
      <c r="K1053" t="s">
        <v>69</v>
      </c>
      <c r="L1053" t="s">
        <v>69</v>
      </c>
      <c r="M1053" t="s">
        <v>10529</v>
      </c>
      <c r="N1053" t="s">
        <v>69</v>
      </c>
      <c r="O1053" t="s">
        <v>69</v>
      </c>
      <c r="P1053" t="s">
        <v>10530</v>
      </c>
      <c r="Q1053" t="s">
        <v>10531</v>
      </c>
      <c r="R1053" t="s">
        <v>69</v>
      </c>
      <c r="S1053" t="s">
        <v>69</v>
      </c>
      <c r="T1053" t="s">
        <v>8505</v>
      </c>
      <c r="U1053" t="s">
        <v>8506</v>
      </c>
      <c r="V1053" t="s">
        <v>69</v>
      </c>
      <c r="W1053" t="s">
        <v>69</v>
      </c>
      <c r="X1053" t="s">
        <v>69</v>
      </c>
      <c r="Y1053" t="s">
        <v>69</v>
      </c>
      <c r="Z1053" t="s">
        <v>69</v>
      </c>
      <c r="AA1053" t="s">
        <v>10532</v>
      </c>
      <c r="AB1053" t="s">
        <v>10533</v>
      </c>
      <c r="AC1053" t="s">
        <v>10534</v>
      </c>
      <c r="AD1053" t="s">
        <v>10535</v>
      </c>
      <c r="AE1053" t="s">
        <v>69</v>
      </c>
      <c r="AF1053" t="s">
        <v>10536</v>
      </c>
      <c r="AG1053" t="s">
        <v>10537</v>
      </c>
      <c r="AH1053" t="s">
        <v>69</v>
      </c>
      <c r="AI1053" t="s">
        <v>69</v>
      </c>
      <c r="AJ1053" t="s">
        <v>69</v>
      </c>
      <c r="AK1053" t="s">
        <v>69</v>
      </c>
      <c r="AL1053" t="s">
        <v>69</v>
      </c>
      <c r="AM1053" t="s">
        <v>69</v>
      </c>
      <c r="AN1053">
        <v>26</v>
      </c>
      <c r="AO1053">
        <v>0</v>
      </c>
      <c r="AP1053">
        <v>0</v>
      </c>
      <c r="AQ1053">
        <v>0</v>
      </c>
      <c r="AR1053">
        <v>0</v>
      </c>
      <c r="AS1053" t="s">
        <v>10538</v>
      </c>
      <c r="AT1053" t="s">
        <v>10539</v>
      </c>
      <c r="AU1053" t="s">
        <v>10540</v>
      </c>
      <c r="AV1053" t="s">
        <v>10541</v>
      </c>
      <c r="AW1053" t="s">
        <v>10542</v>
      </c>
      <c r="AX1053" t="s">
        <v>69</v>
      </c>
      <c r="AY1053" t="s">
        <v>10543</v>
      </c>
      <c r="AZ1053" t="s">
        <v>10544</v>
      </c>
      <c r="BA1053" t="s">
        <v>75</v>
      </c>
      <c r="BB1053">
        <v>2021</v>
      </c>
      <c r="BC1053">
        <v>10</v>
      </c>
      <c r="BD1053">
        <v>12</v>
      </c>
      <c r="BE1053" t="s">
        <v>69</v>
      </c>
      <c r="BF1053" t="s">
        <v>69</v>
      </c>
      <c r="BG1053" t="s">
        <v>69</v>
      </c>
      <c r="BH1053" t="s">
        <v>69</v>
      </c>
      <c r="BI1053">
        <v>4525</v>
      </c>
      <c r="BJ1053" t="s">
        <v>219</v>
      </c>
      <c r="BK1053" t="s">
        <v>69</v>
      </c>
      <c r="BL1053" t="s">
        <v>10545</v>
      </c>
      <c r="BM1053" t="str">
        <f>HYPERLINK("http://dx.doi.org/10.4103/jfmpc.jfmpc_1158_21","http://dx.doi.org/10.4103/jfmpc.jfmpc_1158_21")</f>
        <v>http://dx.doi.org/10.4103/jfmpc.jfmpc_1158_21</v>
      </c>
      <c r="BN1053" t="s">
        <v>69</v>
      </c>
      <c r="BO1053" t="s">
        <v>69</v>
      </c>
      <c r="BP1053">
        <v>7</v>
      </c>
      <c r="BQ1053" t="s">
        <v>10546</v>
      </c>
      <c r="BR1053" t="s">
        <v>8573</v>
      </c>
      <c r="BS1053" t="s">
        <v>9451</v>
      </c>
      <c r="BT1053" t="s">
        <v>10547</v>
      </c>
      <c r="BU1053" t="s">
        <v>10548</v>
      </c>
      <c r="BV1053">
        <v>35280640</v>
      </c>
      <c r="BW1053" t="s">
        <v>8812</v>
      </c>
      <c r="BX1053" t="s">
        <v>69</v>
      </c>
      <c r="BY1053" t="s">
        <v>69</v>
      </c>
      <c r="BZ1053" t="s">
        <v>8526</v>
      </c>
      <c r="CA1053" t="str">
        <f>HYPERLINK("https%3A%2F%2Fwww.webofscience.com%2Fwos%2Fwoscc%2Ffull-record%2FWOS:000753692000028","View Full Record in Web of Science")</f>
        <v>View Full Record in Web of Science</v>
      </c>
    </row>
    <row r="1054" spans="2:79" ht="12.5" x14ac:dyDescent="0.25">
      <c r="B1054" t="s">
        <v>8495</v>
      </c>
      <c r="D1054" s="7" t="s">
        <v>32933</v>
      </c>
      <c r="E1054" s="7"/>
      <c r="F1054" s="7"/>
      <c r="G1054" s="7"/>
      <c r="H1054" t="s">
        <v>67</v>
      </c>
      <c r="I1054" t="s">
        <v>3875</v>
      </c>
      <c r="J1054" t="s">
        <v>69</v>
      </c>
      <c r="K1054" t="s">
        <v>69</v>
      </c>
      <c r="L1054" t="s">
        <v>69</v>
      </c>
      <c r="M1054" t="s">
        <v>3875</v>
      </c>
      <c r="N1054" t="s">
        <v>69</v>
      </c>
      <c r="O1054" t="s">
        <v>69</v>
      </c>
      <c r="P1054" t="s">
        <v>3876</v>
      </c>
      <c r="Q1054" t="s">
        <v>3877</v>
      </c>
      <c r="R1054" t="s">
        <v>69</v>
      </c>
      <c r="S1054" t="s">
        <v>69</v>
      </c>
      <c r="T1054" t="s">
        <v>8505</v>
      </c>
      <c r="U1054" t="s">
        <v>8506</v>
      </c>
      <c r="V1054" t="s">
        <v>69</v>
      </c>
      <c r="W1054" t="s">
        <v>69</v>
      </c>
      <c r="X1054" t="s">
        <v>69</v>
      </c>
      <c r="Y1054" t="s">
        <v>69</v>
      </c>
      <c r="Z1054" t="s">
        <v>69</v>
      </c>
      <c r="AA1054" t="s">
        <v>69</v>
      </c>
      <c r="AB1054" t="s">
        <v>30547</v>
      </c>
      <c r="AC1054" t="s">
        <v>3878</v>
      </c>
      <c r="AD1054" t="s">
        <v>30548</v>
      </c>
      <c r="AE1054" t="s">
        <v>69</v>
      </c>
      <c r="AF1054" t="s">
        <v>30549</v>
      </c>
      <c r="AG1054" t="s">
        <v>30550</v>
      </c>
      <c r="AH1054" t="s">
        <v>69</v>
      </c>
      <c r="AI1054" t="s">
        <v>3879</v>
      </c>
      <c r="AJ1054" t="s">
        <v>69</v>
      </c>
      <c r="AK1054" t="s">
        <v>69</v>
      </c>
      <c r="AL1054" t="s">
        <v>69</v>
      </c>
      <c r="AM1054" t="s">
        <v>69</v>
      </c>
      <c r="AN1054">
        <v>61</v>
      </c>
      <c r="AO1054">
        <v>72</v>
      </c>
      <c r="AP1054">
        <v>72</v>
      </c>
      <c r="AQ1054">
        <v>0</v>
      </c>
      <c r="AR1054">
        <v>56</v>
      </c>
      <c r="AS1054" t="s">
        <v>8846</v>
      </c>
      <c r="AT1054" t="s">
        <v>8847</v>
      </c>
      <c r="AU1054" t="s">
        <v>8848</v>
      </c>
      <c r="AV1054" t="s">
        <v>3880</v>
      </c>
      <c r="AW1054" t="s">
        <v>3881</v>
      </c>
      <c r="AX1054" t="s">
        <v>69</v>
      </c>
      <c r="AY1054" t="s">
        <v>25684</v>
      </c>
      <c r="AZ1054" t="s">
        <v>25685</v>
      </c>
      <c r="BA1054" t="s">
        <v>75</v>
      </c>
      <c r="BB1054">
        <v>2005</v>
      </c>
      <c r="BC1054">
        <v>16</v>
      </c>
      <c r="BD1054">
        <v>4</v>
      </c>
      <c r="BE1054" t="s">
        <v>69</v>
      </c>
      <c r="BF1054" t="s">
        <v>69</v>
      </c>
      <c r="BG1054" t="s">
        <v>69</v>
      </c>
      <c r="BH1054" t="s">
        <v>69</v>
      </c>
      <c r="BI1054">
        <v>261</v>
      </c>
      <c r="BJ1054">
        <v>278</v>
      </c>
      <c r="BK1054" t="s">
        <v>69</v>
      </c>
      <c r="BL1054" t="s">
        <v>3882</v>
      </c>
      <c r="BM1054" t="str">
        <f>HYPERLINK("http://dx.doi.org/10.1111/j.1467-8551.2005.00463.x","http://dx.doi.org/10.1111/j.1467-8551.2005.00463.x")</f>
        <v>http://dx.doi.org/10.1111/j.1467-8551.2005.00463.x</v>
      </c>
      <c r="BN1054" t="s">
        <v>69</v>
      </c>
      <c r="BO1054" t="s">
        <v>69</v>
      </c>
      <c r="BP1054">
        <v>18</v>
      </c>
      <c r="BQ1054" t="s">
        <v>8791</v>
      </c>
      <c r="BR1054" t="s">
        <v>8661</v>
      </c>
      <c r="BS1054" t="s">
        <v>8594</v>
      </c>
      <c r="BT1054" t="s">
        <v>30551</v>
      </c>
      <c r="BU1054" t="s">
        <v>3883</v>
      </c>
      <c r="BV1054" t="s">
        <v>69</v>
      </c>
      <c r="BW1054" t="s">
        <v>69</v>
      </c>
      <c r="BX1054" t="s">
        <v>69</v>
      </c>
      <c r="BY1054" t="s">
        <v>69</v>
      </c>
      <c r="BZ1054" t="s">
        <v>8526</v>
      </c>
      <c r="CA1054" t="str">
        <f>HYPERLINK("https%3A%2F%2Fwww.webofscience.com%2Fwos%2Fwoscc%2Ffull-record%2FWOS:000233516500001","View Full Record in Web of Science")</f>
        <v>View Full Record in Web of Science</v>
      </c>
    </row>
    <row r="1055" spans="2:79" ht="12.5" x14ac:dyDescent="0.25">
      <c r="B1055" t="s">
        <v>8495</v>
      </c>
      <c r="D1055" s="22" t="s">
        <v>32931</v>
      </c>
      <c r="E1055" s="7"/>
      <c r="F1055" s="7"/>
      <c r="G1055" s="7"/>
      <c r="H1055" t="s">
        <v>67</v>
      </c>
      <c r="I1055" t="s">
        <v>21851</v>
      </c>
      <c r="J1055" t="s">
        <v>69</v>
      </c>
      <c r="K1055" t="s">
        <v>69</v>
      </c>
      <c r="L1055" t="s">
        <v>69</v>
      </c>
      <c r="M1055" t="s">
        <v>21852</v>
      </c>
      <c r="N1055" t="s">
        <v>69</v>
      </c>
      <c r="O1055" t="s">
        <v>69</v>
      </c>
      <c r="P1055" t="s">
        <v>21853</v>
      </c>
      <c r="Q1055" t="s">
        <v>19826</v>
      </c>
      <c r="R1055" t="s">
        <v>69</v>
      </c>
      <c r="S1055" t="s">
        <v>69</v>
      </c>
      <c r="T1055" t="s">
        <v>8505</v>
      </c>
      <c r="U1055" t="s">
        <v>8506</v>
      </c>
      <c r="V1055" t="s">
        <v>69</v>
      </c>
      <c r="W1055" t="s">
        <v>69</v>
      </c>
      <c r="X1055" t="s">
        <v>69</v>
      </c>
      <c r="Y1055" t="s">
        <v>69</v>
      </c>
      <c r="Z1055" t="s">
        <v>69</v>
      </c>
      <c r="AA1055" t="s">
        <v>21854</v>
      </c>
      <c r="AB1055" t="s">
        <v>21855</v>
      </c>
      <c r="AC1055" t="s">
        <v>21856</v>
      </c>
      <c r="AD1055" t="s">
        <v>21857</v>
      </c>
      <c r="AE1055" t="s">
        <v>69</v>
      </c>
      <c r="AF1055" t="s">
        <v>21858</v>
      </c>
      <c r="AG1055" t="s">
        <v>21859</v>
      </c>
      <c r="AH1055" t="s">
        <v>21860</v>
      </c>
      <c r="AI1055" t="s">
        <v>21861</v>
      </c>
      <c r="AJ1055" t="s">
        <v>69</v>
      </c>
      <c r="AK1055" t="s">
        <v>69</v>
      </c>
      <c r="AL1055" t="s">
        <v>69</v>
      </c>
      <c r="AM1055" t="s">
        <v>69</v>
      </c>
      <c r="AN1055">
        <v>36</v>
      </c>
      <c r="AO1055">
        <v>9</v>
      </c>
      <c r="AP1055">
        <v>9</v>
      </c>
      <c r="AQ1055">
        <v>0</v>
      </c>
      <c r="AR1055">
        <v>5</v>
      </c>
      <c r="AS1055" t="s">
        <v>16416</v>
      </c>
      <c r="AT1055" t="s">
        <v>16417</v>
      </c>
      <c r="AU1055" t="s">
        <v>16418</v>
      </c>
      <c r="AV1055" t="s">
        <v>19835</v>
      </c>
      <c r="AW1055" t="s">
        <v>19836</v>
      </c>
      <c r="AX1055" t="s">
        <v>69</v>
      </c>
      <c r="AY1055" t="s">
        <v>19837</v>
      </c>
      <c r="AZ1055" t="s">
        <v>19838</v>
      </c>
      <c r="BA1055" t="s">
        <v>191</v>
      </c>
      <c r="BB1055">
        <v>2016</v>
      </c>
      <c r="BC1055">
        <v>12</v>
      </c>
      <c r="BD1055">
        <v>1</v>
      </c>
      <c r="BE1055" t="s">
        <v>69</v>
      </c>
      <c r="BF1055" t="s">
        <v>69</v>
      </c>
      <c r="BG1055" t="s">
        <v>114</v>
      </c>
      <c r="BH1055" t="s">
        <v>69</v>
      </c>
      <c r="BI1055">
        <v>78</v>
      </c>
      <c r="BJ1055">
        <v>90</v>
      </c>
      <c r="BK1055" t="s">
        <v>69</v>
      </c>
      <c r="BL1055" t="s">
        <v>21862</v>
      </c>
      <c r="BM1055" t="str">
        <f>HYPERLINK("http://dx.doi.org/10.1057/pb.2015.23","http://dx.doi.org/10.1057/pb.2015.23")</f>
        <v>http://dx.doi.org/10.1057/pb.2015.23</v>
      </c>
      <c r="BN1055" t="s">
        <v>69</v>
      </c>
      <c r="BO1055" t="s">
        <v>69</v>
      </c>
      <c r="BP1055">
        <v>13</v>
      </c>
      <c r="BQ1055" t="s">
        <v>10278</v>
      </c>
      <c r="BR1055" t="s">
        <v>8573</v>
      </c>
      <c r="BS1055" t="s">
        <v>10279</v>
      </c>
      <c r="BT1055" t="s">
        <v>21863</v>
      </c>
      <c r="BU1055" t="s">
        <v>21864</v>
      </c>
      <c r="BV1055" t="s">
        <v>69</v>
      </c>
      <c r="BW1055" t="s">
        <v>69</v>
      </c>
      <c r="BX1055" t="s">
        <v>69</v>
      </c>
      <c r="BY1055" t="s">
        <v>69</v>
      </c>
      <c r="BZ1055" t="s">
        <v>8526</v>
      </c>
      <c r="CA1055" t="str">
        <f>HYPERLINK("https%3A%2F%2Fwww.webofscience.com%2Fwos%2Fwoscc%2Ffull-record%2FWOS:000410350500008","View Full Record in Web of Science")</f>
        <v>View Full Record in Web of Science</v>
      </c>
    </row>
    <row r="1056" spans="2:79" x14ac:dyDescent="0.3">
      <c r="B1056" t="s">
        <v>8495</v>
      </c>
      <c r="D1056" s="9" t="s">
        <v>32996</v>
      </c>
      <c r="E1056" s="9" t="s">
        <v>33129</v>
      </c>
      <c r="F1056" s="9" t="s">
        <v>8491</v>
      </c>
      <c r="G1056" s="9" t="s">
        <v>8490</v>
      </c>
      <c r="H1056" t="s">
        <v>67</v>
      </c>
      <c r="I1056" t="s">
        <v>32606</v>
      </c>
      <c r="J1056" t="s">
        <v>69</v>
      </c>
      <c r="K1056" t="s">
        <v>69</v>
      </c>
      <c r="L1056" t="s">
        <v>69</v>
      </c>
      <c r="M1056" t="s">
        <v>32606</v>
      </c>
      <c r="N1056" t="s">
        <v>69</v>
      </c>
      <c r="O1056" t="s">
        <v>69</v>
      </c>
      <c r="P1056" t="s">
        <v>32607</v>
      </c>
      <c r="Q1056" t="s">
        <v>32608</v>
      </c>
      <c r="R1056" t="s">
        <v>69</v>
      </c>
      <c r="S1056" t="s">
        <v>69</v>
      </c>
      <c r="T1056" t="s">
        <v>8505</v>
      </c>
      <c r="U1056" t="s">
        <v>8506</v>
      </c>
      <c r="V1056" t="s">
        <v>69</v>
      </c>
      <c r="W1056" t="s">
        <v>69</v>
      </c>
      <c r="X1056" t="s">
        <v>69</v>
      </c>
      <c r="Y1056" t="s">
        <v>69</v>
      </c>
      <c r="Z1056" t="s">
        <v>69</v>
      </c>
      <c r="AA1056" t="s">
        <v>69</v>
      </c>
      <c r="AB1056" t="s">
        <v>69</v>
      </c>
      <c r="AC1056" t="s">
        <v>32609</v>
      </c>
      <c r="AD1056" t="s">
        <v>69</v>
      </c>
      <c r="AE1056" t="s">
        <v>69</v>
      </c>
      <c r="AF1056" t="s">
        <v>32610</v>
      </c>
      <c r="AG1056" t="s">
        <v>69</v>
      </c>
      <c r="AH1056" t="s">
        <v>69</v>
      </c>
      <c r="AI1056" t="s">
        <v>69</v>
      </c>
      <c r="AJ1056" t="s">
        <v>69</v>
      </c>
      <c r="AK1056" t="s">
        <v>69</v>
      </c>
      <c r="AL1056" t="s">
        <v>69</v>
      </c>
      <c r="AM1056" t="s">
        <v>69</v>
      </c>
      <c r="AN1056">
        <v>5</v>
      </c>
      <c r="AO1056">
        <v>2</v>
      </c>
      <c r="AP1056">
        <v>2</v>
      </c>
      <c r="AQ1056">
        <v>0</v>
      </c>
      <c r="AR1056">
        <v>1</v>
      </c>
      <c r="AS1056" t="s">
        <v>32611</v>
      </c>
      <c r="AT1056" t="s">
        <v>12925</v>
      </c>
      <c r="AU1056" t="s">
        <v>32612</v>
      </c>
      <c r="AV1056" t="s">
        <v>32613</v>
      </c>
      <c r="AW1056" t="s">
        <v>69</v>
      </c>
      <c r="AX1056" t="s">
        <v>69</v>
      </c>
      <c r="AY1056" t="s">
        <v>32614</v>
      </c>
      <c r="AZ1056" t="s">
        <v>32615</v>
      </c>
      <c r="BA1056" t="s">
        <v>191</v>
      </c>
      <c r="BB1056">
        <v>1995</v>
      </c>
      <c r="BC1056">
        <v>68</v>
      </c>
      <c r="BD1056">
        <v>2</v>
      </c>
      <c r="BE1056" t="s">
        <v>69</v>
      </c>
      <c r="BF1056" t="s">
        <v>69</v>
      </c>
      <c r="BG1056" t="s">
        <v>69</v>
      </c>
      <c r="BH1056" t="s">
        <v>69</v>
      </c>
      <c r="BI1056">
        <v>133</v>
      </c>
      <c r="BJ1056">
        <v>139</v>
      </c>
      <c r="BK1056" t="s">
        <v>69</v>
      </c>
      <c r="BL1056" t="s">
        <v>32616</v>
      </c>
      <c r="BM1056" t="str">
        <f>HYPERLINK("http://dx.doi.org/10.1006/enrs.1995.1017","http://dx.doi.org/10.1006/enrs.1995.1017")</f>
        <v>http://dx.doi.org/10.1006/enrs.1995.1017</v>
      </c>
      <c r="BN1056" t="s">
        <v>69</v>
      </c>
      <c r="BO1056" t="s">
        <v>69</v>
      </c>
      <c r="BP1056">
        <v>7</v>
      </c>
      <c r="BQ1056" t="s">
        <v>10595</v>
      </c>
      <c r="BR1056" t="s">
        <v>8548</v>
      </c>
      <c r="BS1056" t="s">
        <v>10596</v>
      </c>
      <c r="BT1056" t="s">
        <v>32617</v>
      </c>
      <c r="BU1056" t="s">
        <v>32618</v>
      </c>
      <c r="BV1056">
        <v>7601074</v>
      </c>
      <c r="BW1056" t="s">
        <v>69</v>
      </c>
      <c r="BX1056" t="s">
        <v>69</v>
      </c>
      <c r="BY1056" t="s">
        <v>69</v>
      </c>
      <c r="BZ1056" t="s">
        <v>8526</v>
      </c>
      <c r="CA1056" t="str">
        <f>HYPERLINK("https%3A%2F%2Fwww.webofscience.com%2Fwos%2Fwoscc%2Ffull-record%2FWOS:A1995RH50900008","View Full Record in Web of Science")</f>
        <v>View Full Record in Web of Science</v>
      </c>
    </row>
    <row r="1057" spans="1:79" ht="12.5" x14ac:dyDescent="0.25">
      <c r="B1057" t="s">
        <v>8495</v>
      </c>
      <c r="D1057" s="22" t="s">
        <v>32931</v>
      </c>
      <c r="E1057" s="7"/>
      <c r="F1057" s="7"/>
      <c r="G1057" s="7"/>
      <c r="H1057" t="s">
        <v>67</v>
      </c>
      <c r="I1057" t="s">
        <v>12332</v>
      </c>
      <c r="J1057" t="s">
        <v>69</v>
      </c>
      <c r="K1057" t="s">
        <v>69</v>
      </c>
      <c r="L1057" t="s">
        <v>69</v>
      </c>
      <c r="M1057" t="s">
        <v>12333</v>
      </c>
      <c r="N1057" t="s">
        <v>69</v>
      </c>
      <c r="O1057" t="s">
        <v>69</v>
      </c>
      <c r="P1057" t="s">
        <v>12334</v>
      </c>
      <c r="Q1057" t="s">
        <v>12335</v>
      </c>
      <c r="R1057" t="s">
        <v>69</v>
      </c>
      <c r="S1057" t="s">
        <v>69</v>
      </c>
      <c r="T1057" t="s">
        <v>8505</v>
      </c>
      <c r="U1057" t="s">
        <v>8506</v>
      </c>
      <c r="V1057" t="s">
        <v>69</v>
      </c>
      <c r="W1057" t="s">
        <v>69</v>
      </c>
      <c r="X1057" t="s">
        <v>69</v>
      </c>
      <c r="Y1057" t="s">
        <v>69</v>
      </c>
      <c r="Z1057" t="s">
        <v>69</v>
      </c>
      <c r="AA1057" t="s">
        <v>12336</v>
      </c>
      <c r="AB1057" t="s">
        <v>12337</v>
      </c>
      <c r="AC1057" t="s">
        <v>12338</v>
      </c>
      <c r="AD1057" t="s">
        <v>12339</v>
      </c>
      <c r="AE1057" t="s">
        <v>69</v>
      </c>
      <c r="AF1057" t="s">
        <v>12340</v>
      </c>
      <c r="AG1057" t="s">
        <v>12341</v>
      </c>
      <c r="AH1057" t="s">
        <v>69</v>
      </c>
      <c r="AI1057" t="s">
        <v>69</v>
      </c>
      <c r="AJ1057" t="s">
        <v>12342</v>
      </c>
      <c r="AK1057" t="s">
        <v>12343</v>
      </c>
      <c r="AL1057" t="s">
        <v>12344</v>
      </c>
      <c r="AM1057" t="s">
        <v>69</v>
      </c>
      <c r="AN1057">
        <v>66</v>
      </c>
      <c r="AO1057">
        <v>6</v>
      </c>
      <c r="AP1057">
        <v>7</v>
      </c>
      <c r="AQ1057">
        <v>14</v>
      </c>
      <c r="AR1057">
        <v>26</v>
      </c>
      <c r="AS1057" t="s">
        <v>8516</v>
      </c>
      <c r="AT1057" t="s">
        <v>8517</v>
      </c>
      <c r="AU1057" t="s">
        <v>8518</v>
      </c>
      <c r="AV1057" t="s">
        <v>12345</v>
      </c>
      <c r="AW1057" t="s">
        <v>69</v>
      </c>
      <c r="AX1057" t="s">
        <v>69</v>
      </c>
      <c r="AY1057" t="s">
        <v>12346</v>
      </c>
      <c r="AZ1057" t="s">
        <v>12347</v>
      </c>
      <c r="BA1057" t="s">
        <v>69</v>
      </c>
      <c r="BB1057">
        <v>2021</v>
      </c>
      <c r="BC1057">
        <v>32</v>
      </c>
      <c r="BD1057" t="s">
        <v>69</v>
      </c>
      <c r="BE1057" t="s">
        <v>69</v>
      </c>
      <c r="BF1057" t="s">
        <v>69</v>
      </c>
      <c r="BG1057" t="s">
        <v>69</v>
      </c>
      <c r="BH1057" t="s">
        <v>69</v>
      </c>
      <c r="BI1057" t="s">
        <v>69</v>
      </c>
      <c r="BJ1057" t="s">
        <v>69</v>
      </c>
      <c r="BK1057">
        <v>100313</v>
      </c>
      <c r="BL1057" t="s">
        <v>12348</v>
      </c>
      <c r="BM1057" t="str">
        <f>HYPERLINK("http://dx.doi.org/10.1016/j.crm.2021.100313","http://dx.doi.org/10.1016/j.crm.2021.100313")</f>
        <v>http://dx.doi.org/10.1016/j.crm.2021.100313</v>
      </c>
      <c r="BN1057" t="s">
        <v>69</v>
      </c>
      <c r="BO1057" t="s">
        <v>12312</v>
      </c>
      <c r="BP1057">
        <v>14</v>
      </c>
      <c r="BQ1057" t="s">
        <v>12349</v>
      </c>
      <c r="BR1057" t="s">
        <v>8523</v>
      </c>
      <c r="BS1057" t="s">
        <v>11284</v>
      </c>
      <c r="BT1057" t="s">
        <v>12350</v>
      </c>
      <c r="BU1057" t="s">
        <v>12351</v>
      </c>
      <c r="BV1057" t="s">
        <v>69</v>
      </c>
      <c r="BW1057" t="s">
        <v>8931</v>
      </c>
      <c r="BX1057" t="s">
        <v>69</v>
      </c>
      <c r="BY1057" t="s">
        <v>69</v>
      </c>
      <c r="BZ1057" t="s">
        <v>8526</v>
      </c>
      <c r="CA1057" t="str">
        <f>HYPERLINK("https%3A%2F%2Fwww.webofscience.com%2Fwos%2Fwoscc%2Ffull-record%2FWOS:000653205100004","View Full Record in Web of Science")</f>
        <v>View Full Record in Web of Science</v>
      </c>
    </row>
    <row r="1058" spans="1:79" ht="12.5" x14ac:dyDescent="0.25">
      <c r="B1058" t="s">
        <v>8495</v>
      </c>
      <c r="D1058" s="7" t="s">
        <v>32933</v>
      </c>
      <c r="E1058" s="7"/>
      <c r="F1058" s="7"/>
      <c r="G1058" s="7"/>
      <c r="H1058" t="s">
        <v>67</v>
      </c>
      <c r="I1058" t="s">
        <v>507</v>
      </c>
      <c r="J1058" t="s">
        <v>69</v>
      </c>
      <c r="K1058" t="s">
        <v>69</v>
      </c>
      <c r="L1058" t="s">
        <v>69</v>
      </c>
      <c r="M1058" t="s">
        <v>508</v>
      </c>
      <c r="N1058" t="s">
        <v>69</v>
      </c>
      <c r="O1058" t="s">
        <v>69</v>
      </c>
      <c r="P1058" t="s">
        <v>509</v>
      </c>
      <c r="Q1058" t="s">
        <v>510</v>
      </c>
      <c r="R1058" t="s">
        <v>69</v>
      </c>
      <c r="S1058" t="s">
        <v>69</v>
      </c>
      <c r="T1058" t="s">
        <v>8505</v>
      </c>
      <c r="U1058" t="s">
        <v>8506</v>
      </c>
      <c r="V1058" t="s">
        <v>69</v>
      </c>
      <c r="W1058" t="s">
        <v>69</v>
      </c>
      <c r="X1058" t="s">
        <v>69</v>
      </c>
      <c r="Y1058" t="s">
        <v>69</v>
      </c>
      <c r="Z1058" t="s">
        <v>69</v>
      </c>
      <c r="AA1058" t="s">
        <v>69</v>
      </c>
      <c r="AB1058" t="s">
        <v>69</v>
      </c>
      <c r="AC1058" t="s">
        <v>511</v>
      </c>
      <c r="AD1058" t="s">
        <v>24420</v>
      </c>
      <c r="AE1058" t="s">
        <v>69</v>
      </c>
      <c r="AF1058" t="s">
        <v>24421</v>
      </c>
      <c r="AG1058" t="s">
        <v>24422</v>
      </c>
      <c r="AH1058" t="s">
        <v>69</v>
      </c>
      <c r="AI1058" t="s">
        <v>69</v>
      </c>
      <c r="AJ1058" t="s">
        <v>69</v>
      </c>
      <c r="AK1058" t="s">
        <v>69</v>
      </c>
      <c r="AL1058" t="s">
        <v>69</v>
      </c>
      <c r="AM1058" t="s">
        <v>69</v>
      </c>
      <c r="AN1058">
        <v>10</v>
      </c>
      <c r="AO1058">
        <v>8</v>
      </c>
      <c r="AP1058">
        <v>8</v>
      </c>
      <c r="AQ1058">
        <v>0</v>
      </c>
      <c r="AR1058">
        <v>8</v>
      </c>
      <c r="AS1058" t="s">
        <v>8636</v>
      </c>
      <c r="AT1058" t="s">
        <v>8637</v>
      </c>
      <c r="AU1058" t="s">
        <v>8638</v>
      </c>
      <c r="AV1058" t="s">
        <v>512</v>
      </c>
      <c r="AW1058" t="s">
        <v>513</v>
      </c>
      <c r="AX1058" t="s">
        <v>69</v>
      </c>
      <c r="AY1058" t="s">
        <v>18408</v>
      </c>
      <c r="AZ1058" t="s">
        <v>18409</v>
      </c>
      <c r="BA1058" t="s">
        <v>75</v>
      </c>
      <c r="BB1058">
        <v>2013</v>
      </c>
      <c r="BC1058">
        <v>85</v>
      </c>
      <c r="BD1058" t="s">
        <v>69</v>
      </c>
      <c r="BE1058" t="s">
        <v>514</v>
      </c>
      <c r="BF1058" t="s">
        <v>69</v>
      </c>
      <c r="BG1058" t="s">
        <v>114</v>
      </c>
      <c r="BH1058" t="s">
        <v>69</v>
      </c>
      <c r="BI1058">
        <v>141</v>
      </c>
      <c r="BJ1058">
        <v>152</v>
      </c>
      <c r="BK1058" t="s">
        <v>69</v>
      </c>
      <c r="BL1058" t="s">
        <v>515</v>
      </c>
      <c r="BM1058" t="str">
        <f>HYPERLINK("http://dx.doi.org/10.1016/j.ocecoaman.2012.10.012","http://dx.doi.org/10.1016/j.ocecoaman.2012.10.012")</f>
        <v>http://dx.doi.org/10.1016/j.ocecoaman.2012.10.012</v>
      </c>
      <c r="BN1058" t="s">
        <v>69</v>
      </c>
      <c r="BO1058" t="s">
        <v>69</v>
      </c>
      <c r="BP1058">
        <v>12</v>
      </c>
      <c r="BQ1058" t="s">
        <v>18410</v>
      </c>
      <c r="BR1058" t="s">
        <v>8548</v>
      </c>
      <c r="BS1058" t="s">
        <v>18410</v>
      </c>
      <c r="BT1058" t="s">
        <v>24423</v>
      </c>
      <c r="BU1058" t="s">
        <v>516</v>
      </c>
      <c r="BV1058">
        <v>32288367</v>
      </c>
      <c r="BW1058" t="s">
        <v>9029</v>
      </c>
      <c r="BX1058" t="s">
        <v>69</v>
      </c>
      <c r="BY1058" t="s">
        <v>69</v>
      </c>
      <c r="BZ1058" t="s">
        <v>8526</v>
      </c>
      <c r="CA1058" t="str">
        <f>HYPERLINK("https%3A%2F%2Fwww.webofscience.com%2Fwos%2Fwoscc%2Ffull-record%2FWOS:000330080400004","View Full Record in Web of Science")</f>
        <v>View Full Record in Web of Science</v>
      </c>
    </row>
    <row r="1059" spans="1:79" ht="12.5" x14ac:dyDescent="0.25">
      <c r="B1059" t="s">
        <v>8495</v>
      </c>
      <c r="D1059" s="7" t="s">
        <v>32933</v>
      </c>
      <c r="E1059" s="7"/>
      <c r="F1059" s="7"/>
      <c r="G1059" s="7"/>
      <c r="H1059" t="s">
        <v>67</v>
      </c>
      <c r="I1059" t="s">
        <v>2181</v>
      </c>
      <c r="J1059" t="s">
        <v>69</v>
      </c>
      <c r="K1059" t="s">
        <v>69</v>
      </c>
      <c r="L1059" t="s">
        <v>69</v>
      </c>
      <c r="M1059" t="s">
        <v>2182</v>
      </c>
      <c r="N1059" t="s">
        <v>69</v>
      </c>
      <c r="O1059" t="s">
        <v>69</v>
      </c>
      <c r="P1059" t="s">
        <v>2183</v>
      </c>
      <c r="Q1059" t="s">
        <v>387</v>
      </c>
      <c r="R1059" t="s">
        <v>69</v>
      </c>
      <c r="S1059" t="s">
        <v>69</v>
      </c>
      <c r="T1059" t="s">
        <v>8505</v>
      </c>
      <c r="U1059" t="s">
        <v>8506</v>
      </c>
      <c r="V1059" t="s">
        <v>69</v>
      </c>
      <c r="W1059" t="s">
        <v>69</v>
      </c>
      <c r="X1059" t="s">
        <v>69</v>
      </c>
      <c r="Y1059" t="s">
        <v>69</v>
      </c>
      <c r="Z1059" t="s">
        <v>69</v>
      </c>
      <c r="AA1059" t="s">
        <v>16991</v>
      </c>
      <c r="AB1059" t="s">
        <v>16992</v>
      </c>
      <c r="AC1059" t="s">
        <v>2184</v>
      </c>
      <c r="AD1059" t="s">
        <v>16993</v>
      </c>
      <c r="AE1059" t="s">
        <v>69</v>
      </c>
      <c r="AF1059" t="s">
        <v>16994</v>
      </c>
      <c r="AG1059" t="s">
        <v>16995</v>
      </c>
      <c r="AH1059" t="s">
        <v>2185</v>
      </c>
      <c r="AI1059" t="s">
        <v>2186</v>
      </c>
      <c r="AJ1059" t="s">
        <v>69</v>
      </c>
      <c r="AK1059" t="s">
        <v>69</v>
      </c>
      <c r="AL1059" t="s">
        <v>69</v>
      </c>
      <c r="AM1059" t="s">
        <v>69</v>
      </c>
      <c r="AN1059">
        <v>54</v>
      </c>
      <c r="AO1059">
        <v>3</v>
      </c>
      <c r="AP1059">
        <v>3</v>
      </c>
      <c r="AQ1059">
        <v>3</v>
      </c>
      <c r="AR1059">
        <v>25</v>
      </c>
      <c r="AS1059" t="s">
        <v>8586</v>
      </c>
      <c r="AT1059" t="s">
        <v>8587</v>
      </c>
      <c r="AU1059" t="s">
        <v>8588</v>
      </c>
      <c r="AV1059" t="s">
        <v>390</v>
      </c>
      <c r="AW1059" t="s">
        <v>391</v>
      </c>
      <c r="AX1059" t="s">
        <v>69</v>
      </c>
      <c r="AY1059" t="s">
        <v>16996</v>
      </c>
      <c r="AZ1059" t="s">
        <v>16997</v>
      </c>
      <c r="BA1059" t="s">
        <v>2187</v>
      </c>
      <c r="BB1059">
        <v>2019</v>
      </c>
      <c r="BC1059">
        <v>9</v>
      </c>
      <c r="BD1059">
        <v>3</v>
      </c>
      <c r="BE1059" t="s">
        <v>69</v>
      </c>
      <c r="BF1059" t="s">
        <v>69</v>
      </c>
      <c r="BG1059" t="s">
        <v>69</v>
      </c>
      <c r="BH1059" t="s">
        <v>69</v>
      </c>
      <c r="BI1059">
        <v>348</v>
      </c>
      <c r="BJ1059">
        <v>363</v>
      </c>
      <c r="BK1059" t="s">
        <v>69</v>
      </c>
      <c r="BL1059" t="s">
        <v>2188</v>
      </c>
      <c r="BM1059" t="str">
        <f>HYPERLINK("http://dx.doi.org/10.1108/BEPAM-10-2018-0128","http://dx.doi.org/10.1108/BEPAM-10-2018-0128")</f>
        <v>http://dx.doi.org/10.1108/BEPAM-10-2018-0128</v>
      </c>
      <c r="BN1059" t="s">
        <v>69</v>
      </c>
      <c r="BO1059" t="s">
        <v>69</v>
      </c>
      <c r="BP1059">
        <v>16</v>
      </c>
      <c r="BQ1059" t="s">
        <v>13537</v>
      </c>
      <c r="BR1059" t="s">
        <v>8573</v>
      </c>
      <c r="BS1059" t="s">
        <v>8445</v>
      </c>
      <c r="BT1059" t="s">
        <v>16998</v>
      </c>
      <c r="BU1059" t="s">
        <v>2189</v>
      </c>
      <c r="BV1059" t="s">
        <v>69</v>
      </c>
      <c r="BW1059" t="s">
        <v>69</v>
      </c>
      <c r="BX1059" t="s">
        <v>69</v>
      </c>
      <c r="BY1059" t="s">
        <v>69</v>
      </c>
      <c r="BZ1059" t="s">
        <v>8526</v>
      </c>
      <c r="CA1059" t="str">
        <f>HYPERLINK("https%3A%2F%2Fwww.webofscience.com%2Fwos%2Fwoscc%2Ffull-record%2FWOS:000479232000002","View Full Record in Web of Science")</f>
        <v>View Full Record in Web of Science</v>
      </c>
    </row>
    <row r="1060" spans="1:79" ht="12.5" x14ac:dyDescent="0.25">
      <c r="B1060" t="s">
        <v>8495</v>
      </c>
      <c r="D1060" s="7" t="s">
        <v>32933</v>
      </c>
      <c r="E1060" s="7"/>
      <c r="F1060" s="7"/>
      <c r="G1060" s="7"/>
      <c r="H1060" t="s">
        <v>67</v>
      </c>
      <c r="I1060" t="s">
        <v>6051</v>
      </c>
      <c r="J1060" t="s">
        <v>69</v>
      </c>
      <c r="K1060" t="s">
        <v>69</v>
      </c>
      <c r="L1060" t="s">
        <v>69</v>
      </c>
      <c r="M1060" t="s">
        <v>6052</v>
      </c>
      <c r="N1060" t="s">
        <v>69</v>
      </c>
      <c r="O1060" t="s">
        <v>69</v>
      </c>
      <c r="P1060" t="s">
        <v>6053</v>
      </c>
      <c r="Q1060" t="s">
        <v>6054</v>
      </c>
      <c r="R1060" t="s">
        <v>69</v>
      </c>
      <c r="S1060" t="s">
        <v>69</v>
      </c>
      <c r="T1060" t="s">
        <v>8505</v>
      </c>
      <c r="U1060" t="s">
        <v>8506</v>
      </c>
      <c r="V1060" t="s">
        <v>69</v>
      </c>
      <c r="W1060" t="s">
        <v>69</v>
      </c>
      <c r="X1060" t="s">
        <v>69</v>
      </c>
      <c r="Y1060" t="s">
        <v>69</v>
      </c>
      <c r="Z1060" t="s">
        <v>69</v>
      </c>
      <c r="AA1060" t="s">
        <v>21935</v>
      </c>
      <c r="AB1060" t="s">
        <v>69</v>
      </c>
      <c r="AC1060" t="s">
        <v>6055</v>
      </c>
      <c r="AD1060" t="s">
        <v>21936</v>
      </c>
      <c r="AE1060" t="s">
        <v>69</v>
      </c>
      <c r="AF1060" t="s">
        <v>21937</v>
      </c>
      <c r="AG1060" t="s">
        <v>21938</v>
      </c>
      <c r="AH1060" t="s">
        <v>69</v>
      </c>
      <c r="AI1060" t="s">
        <v>69</v>
      </c>
      <c r="AJ1060" t="s">
        <v>69</v>
      </c>
      <c r="AK1060" t="s">
        <v>69</v>
      </c>
      <c r="AL1060" t="s">
        <v>69</v>
      </c>
      <c r="AM1060" t="s">
        <v>69</v>
      </c>
      <c r="AN1060">
        <v>19</v>
      </c>
      <c r="AO1060">
        <v>15</v>
      </c>
      <c r="AP1060">
        <v>15</v>
      </c>
      <c r="AQ1060">
        <v>1</v>
      </c>
      <c r="AR1060">
        <v>22</v>
      </c>
      <c r="AS1060" t="s">
        <v>8586</v>
      </c>
      <c r="AT1060" t="s">
        <v>8587</v>
      </c>
      <c r="AU1060" t="s">
        <v>8588</v>
      </c>
      <c r="AV1060" t="s">
        <v>6056</v>
      </c>
      <c r="AW1060" t="s">
        <v>6057</v>
      </c>
      <c r="AX1060" t="s">
        <v>69</v>
      </c>
      <c r="AY1060" t="s">
        <v>21939</v>
      </c>
      <c r="AZ1060" t="s">
        <v>21940</v>
      </c>
      <c r="BA1060" t="s">
        <v>69</v>
      </c>
      <c r="BB1060">
        <v>2016</v>
      </c>
      <c r="BC1060">
        <v>3</v>
      </c>
      <c r="BD1060">
        <v>3</v>
      </c>
      <c r="BE1060" t="s">
        <v>69</v>
      </c>
      <c r="BF1060" t="s">
        <v>69</v>
      </c>
      <c r="BG1060" t="s">
        <v>69</v>
      </c>
      <c r="BH1060" t="s">
        <v>69</v>
      </c>
      <c r="BI1060">
        <v>323</v>
      </c>
      <c r="BJ1060">
        <v>331</v>
      </c>
      <c r="BK1060" t="s">
        <v>69</v>
      </c>
      <c r="BL1060" t="s">
        <v>6058</v>
      </c>
      <c r="BM1060" t="str">
        <f>HYPERLINK("http://dx.doi.org/10.1108/JOEPP-07-2016-0044","http://dx.doi.org/10.1108/JOEPP-07-2016-0044")</f>
        <v>http://dx.doi.org/10.1108/JOEPP-07-2016-0044</v>
      </c>
      <c r="BN1060" t="s">
        <v>69</v>
      </c>
      <c r="BO1060" t="s">
        <v>69</v>
      </c>
      <c r="BP1060">
        <v>9</v>
      </c>
      <c r="BQ1060" t="s">
        <v>9410</v>
      </c>
      <c r="BR1060" t="s">
        <v>8573</v>
      </c>
      <c r="BS1060" t="s">
        <v>8594</v>
      </c>
      <c r="BT1060" t="s">
        <v>21941</v>
      </c>
      <c r="BU1060" t="s">
        <v>6059</v>
      </c>
      <c r="BV1060" t="s">
        <v>69</v>
      </c>
      <c r="BW1060" t="s">
        <v>69</v>
      </c>
      <c r="BX1060" t="s">
        <v>69</v>
      </c>
      <c r="BY1060" t="s">
        <v>69</v>
      </c>
      <c r="BZ1060" t="s">
        <v>8526</v>
      </c>
      <c r="CA1060" t="str">
        <f>HYPERLINK("https%3A%2F%2Fwww.webofscience.com%2Fwos%2Fwoscc%2Ffull-record%2FWOS:000399106200005","View Full Record in Web of Science")</f>
        <v>View Full Record in Web of Science</v>
      </c>
    </row>
    <row r="1061" spans="1:79" ht="12.5" x14ac:dyDescent="0.25">
      <c r="B1061" t="s">
        <v>8495</v>
      </c>
      <c r="D1061" s="22" t="s">
        <v>32931</v>
      </c>
      <c r="E1061" s="7"/>
      <c r="F1061" s="7"/>
      <c r="G1061" s="7"/>
      <c r="H1061" t="s">
        <v>67</v>
      </c>
      <c r="I1061" t="s">
        <v>18973</v>
      </c>
      <c r="J1061" t="s">
        <v>69</v>
      </c>
      <c r="K1061" t="s">
        <v>69</v>
      </c>
      <c r="L1061" t="s">
        <v>69</v>
      </c>
      <c r="M1061" t="s">
        <v>18974</v>
      </c>
      <c r="N1061" t="s">
        <v>69</v>
      </c>
      <c r="O1061" t="s">
        <v>69</v>
      </c>
      <c r="P1061" t="s">
        <v>18975</v>
      </c>
      <c r="Q1061" t="s">
        <v>6130</v>
      </c>
      <c r="R1061" t="s">
        <v>69</v>
      </c>
      <c r="S1061" t="s">
        <v>69</v>
      </c>
      <c r="T1061" t="s">
        <v>8505</v>
      </c>
      <c r="U1061" t="s">
        <v>8506</v>
      </c>
      <c r="V1061" t="s">
        <v>69</v>
      </c>
      <c r="W1061" t="s">
        <v>69</v>
      </c>
      <c r="X1061" t="s">
        <v>69</v>
      </c>
      <c r="Y1061" t="s">
        <v>69</v>
      </c>
      <c r="Z1061" t="s">
        <v>69</v>
      </c>
      <c r="AA1061" t="s">
        <v>18976</v>
      </c>
      <c r="AB1061" t="s">
        <v>18977</v>
      </c>
      <c r="AC1061" t="s">
        <v>18978</v>
      </c>
      <c r="AD1061" t="s">
        <v>18979</v>
      </c>
      <c r="AE1061" t="s">
        <v>69</v>
      </c>
      <c r="AF1061" t="s">
        <v>18980</v>
      </c>
      <c r="AG1061" t="s">
        <v>18981</v>
      </c>
      <c r="AH1061" t="s">
        <v>69</v>
      </c>
      <c r="AI1061" t="s">
        <v>69</v>
      </c>
      <c r="AJ1061" t="s">
        <v>69</v>
      </c>
      <c r="AK1061" t="s">
        <v>69</v>
      </c>
      <c r="AL1061" t="s">
        <v>69</v>
      </c>
      <c r="AM1061" t="s">
        <v>69</v>
      </c>
      <c r="AN1061">
        <v>71</v>
      </c>
      <c r="AO1061">
        <v>5</v>
      </c>
      <c r="AP1061">
        <v>5</v>
      </c>
      <c r="AQ1061">
        <v>9</v>
      </c>
      <c r="AR1061">
        <v>45</v>
      </c>
      <c r="AS1061" t="s">
        <v>8539</v>
      </c>
      <c r="AT1061" t="s">
        <v>8540</v>
      </c>
      <c r="AU1061" t="s">
        <v>8541</v>
      </c>
      <c r="AV1061" t="s">
        <v>6132</v>
      </c>
      <c r="AW1061" t="s">
        <v>18982</v>
      </c>
      <c r="AX1061" t="s">
        <v>69</v>
      </c>
      <c r="AY1061" t="s">
        <v>18983</v>
      </c>
      <c r="AZ1061" t="s">
        <v>18984</v>
      </c>
      <c r="BA1061" t="s">
        <v>246</v>
      </c>
      <c r="BB1061">
        <v>2018</v>
      </c>
      <c r="BC1061">
        <v>144</v>
      </c>
      <c r="BD1061">
        <v>2</v>
      </c>
      <c r="BE1061" t="s">
        <v>69</v>
      </c>
      <c r="BF1061" t="s">
        <v>69</v>
      </c>
      <c r="BG1061" t="s">
        <v>69</v>
      </c>
      <c r="BH1061" t="s">
        <v>69</v>
      </c>
      <c r="BI1061" t="s">
        <v>69</v>
      </c>
      <c r="BJ1061" t="s">
        <v>69</v>
      </c>
      <c r="BK1061" t="s">
        <v>69</v>
      </c>
      <c r="BL1061" t="s">
        <v>18985</v>
      </c>
      <c r="BM1061" t="str">
        <f>HYPERLINK("http://dx.doi.org/10.1061/(ASCE)EI.1943-5541.0000354","http://dx.doi.org/10.1061/(ASCE)EI.1943-5541.0000354")</f>
        <v>http://dx.doi.org/10.1061/(ASCE)EI.1943-5541.0000354</v>
      </c>
      <c r="BN1061" t="s">
        <v>69</v>
      </c>
      <c r="BO1061" t="s">
        <v>69</v>
      </c>
      <c r="BP1061">
        <v>10</v>
      </c>
      <c r="BQ1061" t="s">
        <v>18986</v>
      </c>
      <c r="BR1061" t="s">
        <v>8523</v>
      </c>
      <c r="BS1061" t="s">
        <v>18987</v>
      </c>
      <c r="BT1061" t="s">
        <v>18988</v>
      </c>
      <c r="BU1061" t="s">
        <v>18989</v>
      </c>
      <c r="BV1061" t="s">
        <v>69</v>
      </c>
      <c r="BW1061" t="s">
        <v>69</v>
      </c>
      <c r="BX1061" t="s">
        <v>69</v>
      </c>
      <c r="BY1061" t="s">
        <v>69</v>
      </c>
      <c r="BZ1061" t="s">
        <v>8526</v>
      </c>
      <c r="CA1061" t="str">
        <f>HYPERLINK("https%3A%2F%2Fwww.webofscience.com%2Fwos%2Fwoscc%2Ffull-record%2FWOS:000425619500004","View Full Record in Web of Science")</f>
        <v>View Full Record in Web of Science</v>
      </c>
    </row>
    <row r="1062" spans="1:79" x14ac:dyDescent="0.3">
      <c r="A1062" s="7" t="s">
        <v>8408</v>
      </c>
      <c r="B1062" t="s">
        <v>8495</v>
      </c>
      <c r="D1062" s="10" t="s">
        <v>8402</v>
      </c>
      <c r="E1062" s="9" t="s">
        <v>33221</v>
      </c>
      <c r="F1062" s="9" t="s">
        <v>8491</v>
      </c>
      <c r="H1062" t="s">
        <v>67</v>
      </c>
      <c r="I1062" t="s">
        <v>5344</v>
      </c>
      <c r="J1062" t="s">
        <v>69</v>
      </c>
      <c r="K1062" t="s">
        <v>69</v>
      </c>
      <c r="L1062" t="s">
        <v>69</v>
      </c>
      <c r="M1062" s="2" t="s">
        <v>5345</v>
      </c>
      <c r="N1062" t="s">
        <v>69</v>
      </c>
      <c r="O1062" t="s">
        <v>69</v>
      </c>
      <c r="P1062" s="2" t="s">
        <v>5346</v>
      </c>
      <c r="Q1062" t="s">
        <v>408</v>
      </c>
      <c r="R1062" t="s">
        <v>69</v>
      </c>
      <c r="S1062" t="s">
        <v>69</v>
      </c>
      <c r="T1062" t="s">
        <v>8505</v>
      </c>
      <c r="U1062" t="s">
        <v>8506</v>
      </c>
      <c r="V1062" t="s">
        <v>69</v>
      </c>
      <c r="W1062" t="s">
        <v>69</v>
      </c>
      <c r="X1062" t="s">
        <v>69</v>
      </c>
      <c r="Y1062" t="s">
        <v>69</v>
      </c>
      <c r="Z1062" t="s">
        <v>69</v>
      </c>
      <c r="AA1062" t="s">
        <v>20709</v>
      </c>
      <c r="AB1062" t="s">
        <v>20710</v>
      </c>
      <c r="AC1062" t="s">
        <v>5347</v>
      </c>
      <c r="AD1062" t="s">
        <v>20711</v>
      </c>
      <c r="AE1062" t="s">
        <v>69</v>
      </c>
      <c r="AF1062" t="s">
        <v>20712</v>
      </c>
      <c r="AG1062" t="s">
        <v>20713</v>
      </c>
      <c r="AH1062" t="s">
        <v>20714</v>
      </c>
      <c r="AI1062" t="s">
        <v>20715</v>
      </c>
      <c r="AJ1062" t="s">
        <v>20716</v>
      </c>
      <c r="AK1062" t="s">
        <v>20717</v>
      </c>
      <c r="AL1062" t="s">
        <v>20718</v>
      </c>
      <c r="AM1062" t="s">
        <v>69</v>
      </c>
      <c r="AN1062">
        <v>24</v>
      </c>
      <c r="AO1062">
        <v>10</v>
      </c>
      <c r="AP1062">
        <v>10</v>
      </c>
      <c r="AQ1062">
        <v>7</v>
      </c>
      <c r="AR1062">
        <v>36</v>
      </c>
      <c r="AS1062" t="s">
        <v>8586</v>
      </c>
      <c r="AT1062" t="s">
        <v>8587</v>
      </c>
      <c r="AU1062" t="s">
        <v>8588</v>
      </c>
      <c r="AV1062" t="s">
        <v>410</v>
      </c>
      <c r="AW1062" t="s">
        <v>411</v>
      </c>
      <c r="AX1062" t="s">
        <v>69</v>
      </c>
      <c r="AY1062" t="s">
        <v>9125</v>
      </c>
      <c r="AZ1062" t="s">
        <v>9126</v>
      </c>
      <c r="BA1062" t="s">
        <v>69</v>
      </c>
      <c r="BB1062">
        <v>2017</v>
      </c>
      <c r="BC1062">
        <v>24</v>
      </c>
      <c r="BD1062">
        <v>6</v>
      </c>
      <c r="BE1062" t="s">
        <v>69</v>
      </c>
      <c r="BF1062" t="s">
        <v>69</v>
      </c>
      <c r="BG1062" t="s">
        <v>69</v>
      </c>
      <c r="BH1062" t="s">
        <v>69</v>
      </c>
      <c r="BI1062">
        <v>1040</v>
      </c>
      <c r="BJ1062">
        <v>1050</v>
      </c>
      <c r="BK1062" t="s">
        <v>69</v>
      </c>
      <c r="BL1062" t="s">
        <v>5348</v>
      </c>
      <c r="BM1062" t="str">
        <f>HYPERLINK("http://dx.doi.org/10.1108/ECAM-07-2016-0165","http://dx.doi.org/10.1108/ECAM-07-2016-0165")</f>
        <v>http://dx.doi.org/10.1108/ECAM-07-2016-0165</v>
      </c>
      <c r="BN1062" t="s">
        <v>69</v>
      </c>
      <c r="BO1062" t="s">
        <v>69</v>
      </c>
      <c r="BP1062">
        <v>11</v>
      </c>
      <c r="BQ1062" t="s">
        <v>9128</v>
      </c>
      <c r="BR1062" t="s">
        <v>8523</v>
      </c>
      <c r="BS1062" t="s">
        <v>9129</v>
      </c>
      <c r="BT1062" t="s">
        <v>20719</v>
      </c>
      <c r="BU1062" t="s">
        <v>5349</v>
      </c>
      <c r="BV1062" t="s">
        <v>69</v>
      </c>
      <c r="BW1062" t="s">
        <v>69</v>
      </c>
      <c r="BX1062" t="s">
        <v>69</v>
      </c>
      <c r="BY1062" t="s">
        <v>69</v>
      </c>
      <c r="BZ1062" t="s">
        <v>8526</v>
      </c>
      <c r="CA1062" t="str">
        <f>HYPERLINK("https%3A%2F%2Fwww.webofscience.com%2Fwos%2Fwoscc%2Ffull-record%2FWOS:000415706200011","View Full Record in Web of Science")</f>
        <v>View Full Record in Web of Science</v>
      </c>
    </row>
    <row r="1063" spans="1:79" ht="12.5" x14ac:dyDescent="0.25">
      <c r="B1063" t="s">
        <v>8495</v>
      </c>
      <c r="D1063" s="7" t="s">
        <v>32933</v>
      </c>
      <c r="E1063" s="7"/>
      <c r="F1063" s="7"/>
      <c r="G1063" s="7"/>
      <c r="H1063" t="s">
        <v>67</v>
      </c>
      <c r="I1063" t="s">
        <v>3142</v>
      </c>
      <c r="J1063" t="s">
        <v>69</v>
      </c>
      <c r="K1063" t="s">
        <v>69</v>
      </c>
      <c r="L1063" t="s">
        <v>69</v>
      </c>
      <c r="M1063" t="s">
        <v>3143</v>
      </c>
      <c r="N1063" t="s">
        <v>69</v>
      </c>
      <c r="O1063" t="s">
        <v>69</v>
      </c>
      <c r="P1063" t="s">
        <v>3144</v>
      </c>
      <c r="Q1063" t="s">
        <v>3145</v>
      </c>
      <c r="R1063" t="s">
        <v>69</v>
      </c>
      <c r="S1063" t="s">
        <v>69</v>
      </c>
      <c r="T1063" t="s">
        <v>8505</v>
      </c>
      <c r="U1063" t="s">
        <v>8506</v>
      </c>
      <c r="V1063" t="s">
        <v>69</v>
      </c>
      <c r="W1063" t="s">
        <v>69</v>
      </c>
      <c r="X1063" t="s">
        <v>69</v>
      </c>
      <c r="Y1063" t="s">
        <v>69</v>
      </c>
      <c r="Z1063" t="s">
        <v>69</v>
      </c>
      <c r="AA1063" t="s">
        <v>23034</v>
      </c>
      <c r="AB1063" t="s">
        <v>23035</v>
      </c>
      <c r="AC1063" t="s">
        <v>3146</v>
      </c>
      <c r="AD1063" t="s">
        <v>23036</v>
      </c>
      <c r="AE1063" t="s">
        <v>69</v>
      </c>
      <c r="AF1063" t="s">
        <v>23037</v>
      </c>
      <c r="AG1063" t="s">
        <v>23038</v>
      </c>
      <c r="AH1063" t="s">
        <v>69</v>
      </c>
      <c r="AI1063" t="s">
        <v>69</v>
      </c>
      <c r="AJ1063" t="s">
        <v>69</v>
      </c>
      <c r="AK1063" t="s">
        <v>69</v>
      </c>
      <c r="AL1063" t="s">
        <v>69</v>
      </c>
      <c r="AM1063" t="s">
        <v>69</v>
      </c>
      <c r="AN1063">
        <v>32</v>
      </c>
      <c r="AO1063">
        <v>13</v>
      </c>
      <c r="AP1063">
        <v>13</v>
      </c>
      <c r="AQ1063">
        <v>0</v>
      </c>
      <c r="AR1063">
        <v>9</v>
      </c>
      <c r="AS1063" t="s">
        <v>23039</v>
      </c>
      <c r="AT1063" t="s">
        <v>23040</v>
      </c>
      <c r="AU1063" t="s">
        <v>23041</v>
      </c>
      <c r="AV1063" t="s">
        <v>3147</v>
      </c>
      <c r="AW1063" t="s">
        <v>69</v>
      </c>
      <c r="AX1063" t="s">
        <v>69</v>
      </c>
      <c r="AY1063" t="s">
        <v>23042</v>
      </c>
      <c r="AZ1063" t="s">
        <v>23043</v>
      </c>
      <c r="BA1063" t="s">
        <v>69</v>
      </c>
      <c r="BB1063">
        <v>2015</v>
      </c>
      <c r="BC1063">
        <v>9</v>
      </c>
      <c r="BD1063" t="s">
        <v>69</v>
      </c>
      <c r="BE1063" t="s">
        <v>69</v>
      </c>
      <c r="BF1063" t="s">
        <v>69</v>
      </c>
      <c r="BG1063" t="s">
        <v>69</v>
      </c>
      <c r="BH1063" t="s">
        <v>69</v>
      </c>
      <c r="BI1063">
        <v>1907</v>
      </c>
      <c r="BJ1063">
        <v>1925</v>
      </c>
      <c r="BK1063" t="s">
        <v>69</v>
      </c>
      <c r="BL1063" t="s">
        <v>69</v>
      </c>
      <c r="BM1063" t="s">
        <v>69</v>
      </c>
      <c r="BN1063" t="s">
        <v>69</v>
      </c>
      <c r="BO1063" t="s">
        <v>69</v>
      </c>
      <c r="BP1063">
        <v>19</v>
      </c>
      <c r="BQ1063" t="s">
        <v>8443</v>
      </c>
      <c r="BR1063" t="s">
        <v>8661</v>
      </c>
      <c r="BS1063" t="s">
        <v>8443</v>
      </c>
      <c r="BT1063" t="s">
        <v>23044</v>
      </c>
      <c r="BU1063" t="s">
        <v>3148</v>
      </c>
      <c r="BV1063" t="s">
        <v>69</v>
      </c>
      <c r="BW1063" t="s">
        <v>69</v>
      </c>
      <c r="BX1063" t="s">
        <v>69</v>
      </c>
      <c r="BY1063" t="s">
        <v>69</v>
      </c>
      <c r="BZ1063" t="s">
        <v>8526</v>
      </c>
      <c r="CA1063" t="str">
        <f>HYPERLINK("https%3A%2F%2Fwww.webofscience.com%2Fwos%2Fwoscc%2Ffull-record%2FWOS:000361977300083","View Full Record in Web of Science")</f>
        <v>View Full Record in Web of Science</v>
      </c>
    </row>
    <row r="1064" spans="1:79" ht="12.5" x14ac:dyDescent="0.25">
      <c r="B1064" t="s">
        <v>8495</v>
      </c>
      <c r="D1064" s="7" t="s">
        <v>32933</v>
      </c>
      <c r="E1064" s="7"/>
      <c r="F1064" s="7"/>
      <c r="G1064" s="7"/>
      <c r="H1064" t="s">
        <v>67</v>
      </c>
      <c r="I1064" t="s">
        <v>7124</v>
      </c>
      <c r="J1064" t="s">
        <v>69</v>
      </c>
      <c r="K1064" t="s">
        <v>69</v>
      </c>
      <c r="L1064" t="s">
        <v>69</v>
      </c>
      <c r="M1064" t="s">
        <v>7125</v>
      </c>
      <c r="N1064" t="s">
        <v>69</v>
      </c>
      <c r="O1064" t="s">
        <v>69</v>
      </c>
      <c r="P1064" t="s">
        <v>7126</v>
      </c>
      <c r="Q1064" t="s">
        <v>1495</v>
      </c>
      <c r="R1064" t="s">
        <v>69</v>
      </c>
      <c r="S1064" t="s">
        <v>69</v>
      </c>
      <c r="T1064" t="s">
        <v>8505</v>
      </c>
      <c r="U1064" t="s">
        <v>8506</v>
      </c>
      <c r="V1064" t="s">
        <v>69</v>
      </c>
      <c r="W1064" t="s">
        <v>69</v>
      </c>
      <c r="X1064" t="s">
        <v>69</v>
      </c>
      <c r="Y1064" t="s">
        <v>69</v>
      </c>
      <c r="Z1064" t="s">
        <v>69</v>
      </c>
      <c r="AA1064" t="s">
        <v>26715</v>
      </c>
      <c r="AB1064" t="s">
        <v>26716</v>
      </c>
      <c r="AC1064" t="s">
        <v>7127</v>
      </c>
      <c r="AD1064" t="s">
        <v>26717</v>
      </c>
      <c r="AE1064" t="s">
        <v>69</v>
      </c>
      <c r="AF1064" t="s">
        <v>26718</v>
      </c>
      <c r="AG1064" t="s">
        <v>26719</v>
      </c>
      <c r="AH1064" t="s">
        <v>69</v>
      </c>
      <c r="AI1064" t="s">
        <v>26720</v>
      </c>
      <c r="AJ1064" t="s">
        <v>26721</v>
      </c>
      <c r="AK1064" t="s">
        <v>23438</v>
      </c>
      <c r="AL1064" t="s">
        <v>69</v>
      </c>
      <c r="AM1064" t="s">
        <v>69</v>
      </c>
      <c r="AN1064">
        <v>43</v>
      </c>
      <c r="AO1064">
        <v>18</v>
      </c>
      <c r="AP1064">
        <v>18</v>
      </c>
      <c r="AQ1064">
        <v>0</v>
      </c>
      <c r="AR1064">
        <v>6</v>
      </c>
      <c r="AS1064" t="s">
        <v>9554</v>
      </c>
      <c r="AT1064" t="s">
        <v>9555</v>
      </c>
      <c r="AU1064" t="s">
        <v>9556</v>
      </c>
      <c r="AV1064" t="s">
        <v>1499</v>
      </c>
      <c r="AW1064" t="s">
        <v>69</v>
      </c>
      <c r="AX1064" t="s">
        <v>69</v>
      </c>
      <c r="AY1064" t="s">
        <v>13954</v>
      </c>
      <c r="AZ1064" t="s">
        <v>13955</v>
      </c>
      <c r="BA1064" t="s">
        <v>274</v>
      </c>
      <c r="BB1064">
        <v>2011</v>
      </c>
      <c r="BC1064">
        <v>36</v>
      </c>
      <c r="BD1064">
        <v>6</v>
      </c>
      <c r="BE1064" t="s">
        <v>69</v>
      </c>
      <c r="BF1064" t="s">
        <v>69</v>
      </c>
      <c r="BG1064" t="s">
        <v>69</v>
      </c>
      <c r="BH1064" t="s">
        <v>69</v>
      </c>
      <c r="BI1064">
        <v>842</v>
      </c>
      <c r="BJ1064">
        <v>863</v>
      </c>
      <c r="BK1064" t="s">
        <v>69</v>
      </c>
      <c r="BL1064" t="s">
        <v>7128</v>
      </c>
      <c r="BM1064" t="str">
        <f>HYPERLINK("http://dx.doi.org/10.1177/0162243910376158","http://dx.doi.org/10.1177/0162243910376158")</f>
        <v>http://dx.doi.org/10.1177/0162243910376158</v>
      </c>
      <c r="BN1064" t="s">
        <v>69</v>
      </c>
      <c r="BO1064" t="s">
        <v>69</v>
      </c>
      <c r="BP1064">
        <v>22</v>
      </c>
      <c r="BQ1064" t="s">
        <v>13650</v>
      </c>
      <c r="BR1064" t="s">
        <v>8661</v>
      </c>
      <c r="BS1064" t="s">
        <v>13650</v>
      </c>
      <c r="BT1064" t="s">
        <v>26722</v>
      </c>
      <c r="BU1064" t="s">
        <v>7129</v>
      </c>
      <c r="BV1064" t="s">
        <v>69</v>
      </c>
      <c r="BW1064" t="s">
        <v>10995</v>
      </c>
      <c r="BX1064" t="s">
        <v>69</v>
      </c>
      <c r="BY1064" t="s">
        <v>69</v>
      </c>
      <c r="BZ1064" t="s">
        <v>8526</v>
      </c>
      <c r="CA1064" t="str">
        <f>HYPERLINK("https%3A%2F%2Fwww.webofscience.com%2Fwos%2Fwoscc%2Ffull-record%2FWOS:000297417100004","View Full Record in Web of Science")</f>
        <v>View Full Record in Web of Science</v>
      </c>
    </row>
    <row r="1065" spans="1:79" x14ac:dyDescent="0.3">
      <c r="C1065" s="7" t="s">
        <v>33209</v>
      </c>
      <c r="F1065" s="10" t="s">
        <v>8490</v>
      </c>
      <c r="I1065" t="s">
        <v>33092</v>
      </c>
      <c r="P1065" t="s">
        <v>33090</v>
      </c>
    </row>
    <row r="1066" spans="1:79" x14ac:dyDescent="0.3">
      <c r="B1066" t="s">
        <v>8495</v>
      </c>
      <c r="D1066" s="9" t="s">
        <v>32954</v>
      </c>
      <c r="E1066" s="9" t="s">
        <v>33150</v>
      </c>
      <c r="F1066" s="9" t="s">
        <v>8491</v>
      </c>
      <c r="G1066" s="9" t="s">
        <v>8490</v>
      </c>
      <c r="H1066" t="s">
        <v>67</v>
      </c>
      <c r="I1066" t="s">
        <v>11676</v>
      </c>
      <c r="J1066" t="s">
        <v>69</v>
      </c>
      <c r="K1066" t="s">
        <v>69</v>
      </c>
      <c r="L1066" t="s">
        <v>69</v>
      </c>
      <c r="M1066" t="s">
        <v>11677</v>
      </c>
      <c r="N1066" t="s">
        <v>69</v>
      </c>
      <c r="O1066" t="s">
        <v>69</v>
      </c>
      <c r="P1066" t="s">
        <v>11678</v>
      </c>
      <c r="Q1066" t="s">
        <v>352</v>
      </c>
      <c r="R1066" t="s">
        <v>69</v>
      </c>
      <c r="S1066" t="s">
        <v>69</v>
      </c>
      <c r="T1066" t="s">
        <v>8505</v>
      </c>
      <c r="U1066" t="s">
        <v>8442</v>
      </c>
      <c r="V1066" t="s">
        <v>69</v>
      </c>
      <c r="W1066" t="s">
        <v>69</v>
      </c>
      <c r="X1066" t="s">
        <v>69</v>
      </c>
      <c r="Y1066" t="s">
        <v>69</v>
      </c>
      <c r="Z1066" t="s">
        <v>69</v>
      </c>
      <c r="AA1066" t="s">
        <v>11679</v>
      </c>
      <c r="AB1066" t="s">
        <v>11680</v>
      </c>
      <c r="AC1066" t="s">
        <v>11681</v>
      </c>
      <c r="AD1066" t="s">
        <v>11682</v>
      </c>
      <c r="AE1066" t="s">
        <v>69</v>
      </c>
      <c r="AF1066" t="s">
        <v>11683</v>
      </c>
      <c r="AG1066" t="s">
        <v>11684</v>
      </c>
      <c r="AH1066" t="s">
        <v>11685</v>
      </c>
      <c r="AI1066" t="s">
        <v>11686</v>
      </c>
      <c r="AJ1066" t="s">
        <v>11687</v>
      </c>
      <c r="AK1066" t="s">
        <v>11688</v>
      </c>
      <c r="AL1066" t="s">
        <v>11689</v>
      </c>
      <c r="AM1066" t="s">
        <v>69</v>
      </c>
      <c r="AN1066">
        <v>75</v>
      </c>
      <c r="AO1066">
        <v>1</v>
      </c>
      <c r="AP1066">
        <v>1</v>
      </c>
      <c r="AQ1066">
        <v>6</v>
      </c>
      <c r="AR1066">
        <v>11</v>
      </c>
      <c r="AS1066" t="s">
        <v>8924</v>
      </c>
      <c r="AT1066" t="s">
        <v>8925</v>
      </c>
      <c r="AU1066" t="s">
        <v>8926</v>
      </c>
      <c r="AV1066" t="s">
        <v>69</v>
      </c>
      <c r="AW1066" t="s">
        <v>354</v>
      </c>
      <c r="AX1066" t="s">
        <v>69</v>
      </c>
      <c r="AY1066" t="s">
        <v>8958</v>
      </c>
      <c r="AZ1066" t="s">
        <v>8434</v>
      </c>
      <c r="BA1066" t="s">
        <v>201</v>
      </c>
      <c r="BB1066">
        <v>2021</v>
      </c>
      <c r="BC1066">
        <v>13</v>
      </c>
      <c r="BD1066">
        <v>16</v>
      </c>
      <c r="BE1066" t="s">
        <v>69</v>
      </c>
      <c r="BF1066" t="s">
        <v>69</v>
      </c>
      <c r="BG1066" t="s">
        <v>69</v>
      </c>
      <c r="BH1066" t="s">
        <v>69</v>
      </c>
      <c r="BI1066" t="s">
        <v>69</v>
      </c>
      <c r="BJ1066" t="s">
        <v>69</v>
      </c>
      <c r="BK1066">
        <v>8992</v>
      </c>
      <c r="BL1066" t="s">
        <v>11690</v>
      </c>
      <c r="BM1066" t="str">
        <f>HYPERLINK("http://dx.doi.org/10.3390/su13168992","http://dx.doi.org/10.3390/su13168992")</f>
        <v>http://dx.doi.org/10.3390/su13168992</v>
      </c>
      <c r="BN1066" t="s">
        <v>69</v>
      </c>
      <c r="BO1066" t="s">
        <v>69</v>
      </c>
      <c r="BP1066">
        <v>28</v>
      </c>
      <c r="BQ1066" t="s">
        <v>8960</v>
      </c>
      <c r="BR1066" t="s">
        <v>8523</v>
      </c>
      <c r="BS1066" t="s">
        <v>8961</v>
      </c>
      <c r="BT1066" t="s">
        <v>11691</v>
      </c>
      <c r="BU1066" t="s">
        <v>11692</v>
      </c>
      <c r="BV1066" t="s">
        <v>69</v>
      </c>
      <c r="BW1066" t="s">
        <v>9352</v>
      </c>
      <c r="BX1066" t="s">
        <v>69</v>
      </c>
      <c r="BY1066" t="s">
        <v>69</v>
      </c>
      <c r="BZ1066" t="s">
        <v>8526</v>
      </c>
      <c r="CA1066" t="str">
        <f>HYPERLINK("https%3A%2F%2Fwww.webofscience.com%2Fwos%2Fwoscc%2Ffull-record%2FWOS:000690064600001","View Full Record in Web of Science")</f>
        <v>View Full Record in Web of Science</v>
      </c>
    </row>
    <row r="1067" spans="1:79" ht="12.5" x14ac:dyDescent="0.25">
      <c r="B1067" t="s">
        <v>8495</v>
      </c>
      <c r="D1067" s="7" t="s">
        <v>32933</v>
      </c>
      <c r="E1067" s="7"/>
      <c r="F1067" s="7"/>
      <c r="G1067" s="7"/>
      <c r="H1067" t="s">
        <v>67</v>
      </c>
      <c r="I1067" t="s">
        <v>7401</v>
      </c>
      <c r="J1067" t="s">
        <v>69</v>
      </c>
      <c r="K1067" t="s">
        <v>69</v>
      </c>
      <c r="L1067" t="s">
        <v>69</v>
      </c>
      <c r="M1067" t="s">
        <v>7402</v>
      </c>
      <c r="N1067" t="s">
        <v>69</v>
      </c>
      <c r="O1067" t="s">
        <v>69</v>
      </c>
      <c r="P1067" t="s">
        <v>7403</v>
      </c>
      <c r="Q1067" t="s">
        <v>7404</v>
      </c>
      <c r="R1067" t="s">
        <v>69</v>
      </c>
      <c r="S1067" t="s">
        <v>69</v>
      </c>
      <c r="T1067" t="s">
        <v>8505</v>
      </c>
      <c r="U1067" t="s">
        <v>8506</v>
      </c>
      <c r="V1067" t="s">
        <v>69</v>
      </c>
      <c r="W1067" t="s">
        <v>69</v>
      </c>
      <c r="X1067" t="s">
        <v>69</v>
      </c>
      <c r="Y1067" t="s">
        <v>69</v>
      </c>
      <c r="Z1067" t="s">
        <v>69</v>
      </c>
      <c r="AA1067" t="s">
        <v>17143</v>
      </c>
      <c r="AB1067" t="s">
        <v>17144</v>
      </c>
      <c r="AC1067" t="s">
        <v>7405</v>
      </c>
      <c r="AD1067" t="s">
        <v>17145</v>
      </c>
      <c r="AE1067" t="s">
        <v>69</v>
      </c>
      <c r="AF1067" t="s">
        <v>17146</v>
      </c>
      <c r="AG1067" t="s">
        <v>17147</v>
      </c>
      <c r="AH1067" t="s">
        <v>7406</v>
      </c>
      <c r="AI1067" t="s">
        <v>17148</v>
      </c>
      <c r="AJ1067" t="s">
        <v>17149</v>
      </c>
      <c r="AK1067" t="s">
        <v>17150</v>
      </c>
      <c r="AL1067" t="s">
        <v>17151</v>
      </c>
      <c r="AM1067" t="s">
        <v>69</v>
      </c>
      <c r="AN1067">
        <v>61</v>
      </c>
      <c r="AO1067">
        <v>10</v>
      </c>
      <c r="AP1067">
        <v>10</v>
      </c>
      <c r="AQ1067">
        <v>9</v>
      </c>
      <c r="AR1067">
        <v>30</v>
      </c>
      <c r="AS1067" t="s">
        <v>8924</v>
      </c>
      <c r="AT1067" t="s">
        <v>8925</v>
      </c>
      <c r="AU1067" t="s">
        <v>8926</v>
      </c>
      <c r="AV1067" t="s">
        <v>69</v>
      </c>
      <c r="AW1067" t="s">
        <v>7407</v>
      </c>
      <c r="AX1067" t="s">
        <v>69</v>
      </c>
      <c r="AY1067" t="s">
        <v>17152</v>
      </c>
      <c r="AZ1067" t="s">
        <v>17153</v>
      </c>
      <c r="BA1067" t="s">
        <v>155</v>
      </c>
      <c r="BB1067">
        <v>2019</v>
      </c>
      <c r="BC1067">
        <v>3</v>
      </c>
      <c r="BD1067">
        <v>2</v>
      </c>
      <c r="BE1067" t="s">
        <v>69</v>
      </c>
      <c r="BF1067" t="s">
        <v>69</v>
      </c>
      <c r="BG1067" t="s">
        <v>69</v>
      </c>
      <c r="BH1067" t="s">
        <v>69</v>
      </c>
      <c r="BI1067" t="s">
        <v>69</v>
      </c>
      <c r="BJ1067" t="s">
        <v>69</v>
      </c>
      <c r="BK1067">
        <v>39</v>
      </c>
      <c r="BL1067" t="s">
        <v>7408</v>
      </c>
      <c r="BM1067" t="str">
        <f>HYPERLINK("http://dx.doi.org/10.3390/soilsystems3020039","http://dx.doi.org/10.3390/soilsystems3020039")</f>
        <v>http://dx.doi.org/10.3390/soilsystems3020039</v>
      </c>
      <c r="BN1067" t="s">
        <v>69</v>
      </c>
      <c r="BO1067" t="s">
        <v>69</v>
      </c>
      <c r="BP1067">
        <v>17</v>
      </c>
      <c r="BQ1067" t="s">
        <v>17154</v>
      </c>
      <c r="BR1067" t="s">
        <v>8573</v>
      </c>
      <c r="BS1067" t="s">
        <v>8450</v>
      </c>
      <c r="BT1067" t="s">
        <v>17155</v>
      </c>
      <c r="BU1067" t="s">
        <v>7409</v>
      </c>
      <c r="BV1067" t="s">
        <v>69</v>
      </c>
      <c r="BW1067" t="s">
        <v>12297</v>
      </c>
      <c r="BX1067" t="s">
        <v>69</v>
      </c>
      <c r="BY1067" t="s">
        <v>69</v>
      </c>
      <c r="BZ1067" t="s">
        <v>8526</v>
      </c>
      <c r="CA1067" t="str">
        <f>HYPERLINK("https%3A%2F%2Fwww.webofscience.com%2Fwos%2Fwoscc%2Ffull-record%2FWOS:000492984600014","View Full Record in Web of Science")</f>
        <v>View Full Record in Web of Science</v>
      </c>
    </row>
    <row r="1068" spans="1:79" ht="12.5" x14ac:dyDescent="0.25">
      <c r="B1068" t="s">
        <v>8495</v>
      </c>
      <c r="D1068" s="22" t="s">
        <v>32931</v>
      </c>
      <c r="E1068" s="7"/>
      <c r="F1068" s="7"/>
      <c r="G1068" s="7"/>
      <c r="H1068" t="s">
        <v>67</v>
      </c>
      <c r="I1068" t="s">
        <v>27406</v>
      </c>
      <c r="J1068" t="s">
        <v>69</v>
      </c>
      <c r="K1068" t="s">
        <v>69</v>
      </c>
      <c r="L1068" t="s">
        <v>69</v>
      </c>
      <c r="M1068" t="s">
        <v>27407</v>
      </c>
      <c r="N1068" t="s">
        <v>69</v>
      </c>
      <c r="O1068" t="s">
        <v>69</v>
      </c>
      <c r="P1068" t="s">
        <v>27408</v>
      </c>
      <c r="Q1068" t="s">
        <v>10446</v>
      </c>
      <c r="R1068" t="s">
        <v>69</v>
      </c>
      <c r="S1068" t="s">
        <v>69</v>
      </c>
      <c r="T1068" t="s">
        <v>8505</v>
      </c>
      <c r="U1068" t="s">
        <v>8506</v>
      </c>
      <c r="V1068" t="s">
        <v>69</v>
      </c>
      <c r="W1068" t="s">
        <v>69</v>
      </c>
      <c r="X1068" t="s">
        <v>69</v>
      </c>
      <c r="Y1068" t="s">
        <v>69</v>
      </c>
      <c r="Z1068" t="s">
        <v>69</v>
      </c>
      <c r="AA1068" t="s">
        <v>27409</v>
      </c>
      <c r="AB1068" t="s">
        <v>69</v>
      </c>
      <c r="AC1068" t="s">
        <v>27410</v>
      </c>
      <c r="AD1068" t="s">
        <v>27411</v>
      </c>
      <c r="AE1068" t="s">
        <v>69</v>
      </c>
      <c r="AF1068" t="s">
        <v>27412</v>
      </c>
      <c r="AG1068" t="s">
        <v>27413</v>
      </c>
      <c r="AH1068" t="s">
        <v>27414</v>
      </c>
      <c r="AI1068" t="s">
        <v>27415</v>
      </c>
      <c r="AJ1068" t="s">
        <v>27416</v>
      </c>
      <c r="AK1068" t="s">
        <v>27417</v>
      </c>
      <c r="AL1068" t="s">
        <v>27418</v>
      </c>
      <c r="AM1068" t="s">
        <v>69</v>
      </c>
      <c r="AN1068">
        <v>24</v>
      </c>
      <c r="AO1068">
        <v>41</v>
      </c>
      <c r="AP1068">
        <v>41</v>
      </c>
      <c r="AQ1068">
        <v>0</v>
      </c>
      <c r="AR1068">
        <v>1</v>
      </c>
      <c r="AS1068" t="s">
        <v>8586</v>
      </c>
      <c r="AT1068" t="s">
        <v>8587</v>
      </c>
      <c r="AU1068" t="s">
        <v>8588</v>
      </c>
      <c r="AV1068" t="s">
        <v>10454</v>
      </c>
      <c r="AW1068" t="s">
        <v>10455</v>
      </c>
      <c r="AX1068" t="s">
        <v>69</v>
      </c>
      <c r="AY1068" t="s">
        <v>10456</v>
      </c>
      <c r="AZ1068" t="s">
        <v>10457</v>
      </c>
      <c r="BA1068" t="s">
        <v>69</v>
      </c>
      <c r="BB1068">
        <v>2011</v>
      </c>
      <c r="BC1068">
        <v>17</v>
      </c>
      <c r="BD1068">
        <v>1</v>
      </c>
      <c r="BE1068" t="s">
        <v>69</v>
      </c>
      <c r="BF1068" t="s">
        <v>69</v>
      </c>
      <c r="BG1068" t="s">
        <v>69</v>
      </c>
      <c r="BH1068" t="s">
        <v>69</v>
      </c>
      <c r="BI1068">
        <v>74</v>
      </c>
      <c r="BJ1068" t="s">
        <v>219</v>
      </c>
      <c r="BK1068" t="s">
        <v>69</v>
      </c>
      <c r="BL1068" t="s">
        <v>27419</v>
      </c>
      <c r="BM1068" t="str">
        <f>HYPERLINK("http://dx.doi.org/10.1108/13552511111116268","http://dx.doi.org/10.1108/13552511111116268")</f>
        <v>http://dx.doi.org/10.1108/13552511111116268</v>
      </c>
      <c r="BN1068" t="s">
        <v>69</v>
      </c>
      <c r="BO1068" t="s">
        <v>69</v>
      </c>
      <c r="BP1068">
        <v>21</v>
      </c>
      <c r="BQ1068" t="s">
        <v>10459</v>
      </c>
      <c r="BR1068" t="s">
        <v>8573</v>
      </c>
      <c r="BS1068" t="s">
        <v>8445</v>
      </c>
      <c r="BT1068" t="s">
        <v>27420</v>
      </c>
      <c r="BU1068" t="s">
        <v>27421</v>
      </c>
      <c r="BV1068" t="s">
        <v>69</v>
      </c>
      <c r="BW1068" t="s">
        <v>69</v>
      </c>
      <c r="BX1068" t="s">
        <v>69</v>
      </c>
      <c r="BY1068" t="s">
        <v>69</v>
      </c>
      <c r="BZ1068" t="s">
        <v>8526</v>
      </c>
      <c r="CA1068" t="str">
        <f>HYPERLINK("https%3A%2F%2Fwww.webofscience.com%2Fwos%2Fwoscc%2Ffull-record%2FWOS:000211475700006","View Full Record in Web of Science")</f>
        <v>View Full Record in Web of Science</v>
      </c>
    </row>
    <row r="1069" spans="1:79" ht="12.5" x14ac:dyDescent="0.25">
      <c r="B1069" t="s">
        <v>8495</v>
      </c>
      <c r="D1069" s="22" t="s">
        <v>32931</v>
      </c>
      <c r="E1069" s="7"/>
      <c r="F1069" s="7"/>
      <c r="G1069" s="7"/>
      <c r="H1069" t="s">
        <v>67</v>
      </c>
      <c r="I1069" t="s">
        <v>29822</v>
      </c>
      <c r="J1069" t="s">
        <v>69</v>
      </c>
      <c r="K1069" t="s">
        <v>69</v>
      </c>
      <c r="L1069" t="s">
        <v>69</v>
      </c>
      <c r="M1069" t="s">
        <v>29823</v>
      </c>
      <c r="N1069" t="s">
        <v>69</v>
      </c>
      <c r="O1069" t="s">
        <v>69</v>
      </c>
      <c r="P1069" t="s">
        <v>29824</v>
      </c>
      <c r="Q1069" t="s">
        <v>29825</v>
      </c>
      <c r="R1069" t="s">
        <v>69</v>
      </c>
      <c r="S1069" t="s">
        <v>69</v>
      </c>
      <c r="T1069" t="s">
        <v>8505</v>
      </c>
      <c r="U1069" t="s">
        <v>8506</v>
      </c>
      <c r="V1069" t="s">
        <v>69</v>
      </c>
      <c r="W1069" t="s">
        <v>69</v>
      </c>
      <c r="X1069" t="s">
        <v>69</v>
      </c>
      <c r="Y1069" t="s">
        <v>69</v>
      </c>
      <c r="Z1069" t="s">
        <v>69</v>
      </c>
      <c r="AA1069" t="s">
        <v>29826</v>
      </c>
      <c r="AB1069" t="s">
        <v>69</v>
      </c>
      <c r="AC1069" t="s">
        <v>29827</v>
      </c>
      <c r="AD1069" t="s">
        <v>29828</v>
      </c>
      <c r="AE1069" t="s">
        <v>69</v>
      </c>
      <c r="AF1069" t="s">
        <v>29829</v>
      </c>
      <c r="AG1069" t="s">
        <v>69</v>
      </c>
      <c r="AH1069" t="s">
        <v>69</v>
      </c>
      <c r="AI1069" t="s">
        <v>69</v>
      </c>
      <c r="AJ1069" t="s">
        <v>69</v>
      </c>
      <c r="AK1069" t="s">
        <v>69</v>
      </c>
      <c r="AL1069" t="s">
        <v>69</v>
      </c>
      <c r="AM1069" t="s">
        <v>69</v>
      </c>
      <c r="AN1069">
        <v>30</v>
      </c>
      <c r="AO1069">
        <v>3</v>
      </c>
      <c r="AP1069">
        <v>3</v>
      </c>
      <c r="AQ1069">
        <v>3</v>
      </c>
      <c r="AR1069">
        <v>4</v>
      </c>
      <c r="AS1069" t="s">
        <v>8586</v>
      </c>
      <c r="AT1069" t="s">
        <v>8587</v>
      </c>
      <c r="AU1069" t="s">
        <v>8588</v>
      </c>
      <c r="AV1069" t="s">
        <v>29830</v>
      </c>
      <c r="AW1069" t="s">
        <v>29831</v>
      </c>
      <c r="AX1069" t="s">
        <v>69</v>
      </c>
      <c r="AY1069" t="s">
        <v>29832</v>
      </c>
      <c r="AZ1069" t="s">
        <v>29833</v>
      </c>
      <c r="BA1069" t="s">
        <v>69</v>
      </c>
      <c r="BB1069">
        <v>2007</v>
      </c>
      <c r="BC1069">
        <v>67</v>
      </c>
      <c r="BD1069">
        <v>2</v>
      </c>
      <c r="BE1069" t="s">
        <v>69</v>
      </c>
      <c r="BF1069" t="s">
        <v>69</v>
      </c>
      <c r="BG1069" t="s">
        <v>69</v>
      </c>
      <c r="BH1069" t="s">
        <v>69</v>
      </c>
      <c r="BI1069">
        <v>295</v>
      </c>
      <c r="BJ1069">
        <v>310</v>
      </c>
      <c r="BK1069" t="s">
        <v>69</v>
      </c>
      <c r="BL1069" t="s">
        <v>29834</v>
      </c>
      <c r="BM1069" t="str">
        <f>HYPERLINK("http://dx.doi.org/10.1108/00214660780001210","http://dx.doi.org/10.1108/00214660780001210")</f>
        <v>http://dx.doi.org/10.1108/00214660780001210</v>
      </c>
      <c r="BN1069" t="s">
        <v>69</v>
      </c>
      <c r="BO1069" t="s">
        <v>69</v>
      </c>
      <c r="BP1069">
        <v>16</v>
      </c>
      <c r="BQ1069" t="s">
        <v>23323</v>
      </c>
      <c r="BR1069" t="s">
        <v>8573</v>
      </c>
      <c r="BS1069" t="s">
        <v>8450</v>
      </c>
      <c r="BT1069" t="s">
        <v>29835</v>
      </c>
      <c r="BU1069" t="s">
        <v>29836</v>
      </c>
      <c r="BV1069" t="s">
        <v>69</v>
      </c>
      <c r="BW1069" t="s">
        <v>69</v>
      </c>
      <c r="BX1069" t="s">
        <v>69</v>
      </c>
      <c r="BY1069" t="s">
        <v>69</v>
      </c>
      <c r="BZ1069" t="s">
        <v>8526</v>
      </c>
      <c r="CA1069" t="str">
        <f>HYPERLINK("https%3A%2F%2Fwww.webofscience.com%2Fwos%2Fwoscc%2Ffull-record%2FWOS:000212367900006","View Full Record in Web of Science")</f>
        <v>View Full Record in Web of Science</v>
      </c>
    </row>
    <row r="1070" spans="1:79" ht="12.5" x14ac:dyDescent="0.25">
      <c r="B1070" t="s">
        <v>8495</v>
      </c>
      <c r="D1070" s="7" t="s">
        <v>32933</v>
      </c>
      <c r="E1070" s="7"/>
      <c r="F1070" s="7"/>
      <c r="G1070" s="7"/>
      <c r="H1070" t="s">
        <v>67</v>
      </c>
      <c r="I1070" t="s">
        <v>1402</v>
      </c>
      <c r="J1070" t="s">
        <v>69</v>
      </c>
      <c r="K1070" t="s">
        <v>69</v>
      </c>
      <c r="L1070" t="s">
        <v>69</v>
      </c>
      <c r="M1070" t="s">
        <v>1403</v>
      </c>
      <c r="N1070" t="s">
        <v>69</v>
      </c>
      <c r="O1070" t="s">
        <v>69</v>
      </c>
      <c r="P1070" t="s">
        <v>1404</v>
      </c>
      <c r="Q1070" t="s">
        <v>1405</v>
      </c>
      <c r="R1070" t="s">
        <v>69</v>
      </c>
      <c r="S1070" t="s">
        <v>69</v>
      </c>
      <c r="T1070" t="s">
        <v>8505</v>
      </c>
      <c r="U1070" t="s">
        <v>8506</v>
      </c>
      <c r="V1070" t="s">
        <v>69</v>
      </c>
      <c r="W1070" t="s">
        <v>69</v>
      </c>
      <c r="X1070" t="s">
        <v>69</v>
      </c>
      <c r="Y1070" t="s">
        <v>69</v>
      </c>
      <c r="Z1070" t="s">
        <v>69</v>
      </c>
      <c r="AA1070" t="s">
        <v>24572</v>
      </c>
      <c r="AB1070" t="s">
        <v>24573</v>
      </c>
      <c r="AC1070" t="s">
        <v>1406</v>
      </c>
      <c r="AD1070" t="s">
        <v>24574</v>
      </c>
      <c r="AE1070" t="s">
        <v>69</v>
      </c>
      <c r="AF1070" t="s">
        <v>24575</v>
      </c>
      <c r="AG1070" t="s">
        <v>24576</v>
      </c>
      <c r="AH1070" t="s">
        <v>69</v>
      </c>
      <c r="AI1070" t="s">
        <v>24577</v>
      </c>
      <c r="AJ1070" t="s">
        <v>24578</v>
      </c>
      <c r="AK1070" t="s">
        <v>24579</v>
      </c>
      <c r="AL1070" t="s">
        <v>24580</v>
      </c>
      <c r="AM1070" t="s">
        <v>69</v>
      </c>
      <c r="AN1070">
        <v>53</v>
      </c>
      <c r="AO1070">
        <v>115</v>
      </c>
      <c r="AP1070">
        <v>117</v>
      </c>
      <c r="AQ1070">
        <v>1</v>
      </c>
      <c r="AR1070">
        <v>70</v>
      </c>
      <c r="AS1070" t="s">
        <v>8636</v>
      </c>
      <c r="AT1070" t="s">
        <v>8637</v>
      </c>
      <c r="AU1070" t="s">
        <v>8638</v>
      </c>
      <c r="AV1070" t="s">
        <v>1407</v>
      </c>
      <c r="AW1070" t="s">
        <v>1408</v>
      </c>
      <c r="AX1070" t="s">
        <v>69</v>
      </c>
      <c r="AY1070" t="s">
        <v>14240</v>
      </c>
      <c r="AZ1070" t="s">
        <v>8486</v>
      </c>
      <c r="BA1070" t="s">
        <v>274</v>
      </c>
      <c r="BB1070">
        <v>2013</v>
      </c>
      <c r="BC1070">
        <v>62</v>
      </c>
      <c r="BD1070" t="s">
        <v>69</v>
      </c>
      <c r="BE1070" t="s">
        <v>69</v>
      </c>
      <c r="BF1070" t="s">
        <v>69</v>
      </c>
      <c r="BG1070" t="s">
        <v>69</v>
      </c>
      <c r="BH1070" t="s">
        <v>69</v>
      </c>
      <c r="BI1070">
        <v>19</v>
      </c>
      <c r="BJ1070">
        <v>27</v>
      </c>
      <c r="BK1070" t="s">
        <v>69</v>
      </c>
      <c r="BL1070" t="s">
        <v>1409</v>
      </c>
      <c r="BM1070" t="str">
        <f>HYPERLINK("http://dx.doi.org/10.1016/j.enpol.2013.07.048","http://dx.doi.org/10.1016/j.enpol.2013.07.048")</f>
        <v>http://dx.doi.org/10.1016/j.enpol.2013.07.048</v>
      </c>
      <c r="BN1070" t="s">
        <v>69</v>
      </c>
      <c r="BO1070" t="s">
        <v>69</v>
      </c>
      <c r="BP1070">
        <v>9</v>
      </c>
      <c r="BQ1070" t="s">
        <v>14242</v>
      </c>
      <c r="BR1070" t="s">
        <v>8523</v>
      </c>
      <c r="BS1070" t="s">
        <v>14243</v>
      </c>
      <c r="BT1070" t="s">
        <v>24581</v>
      </c>
      <c r="BU1070" t="s">
        <v>1410</v>
      </c>
      <c r="BV1070" t="s">
        <v>69</v>
      </c>
      <c r="BW1070" t="s">
        <v>69</v>
      </c>
      <c r="BX1070" t="s">
        <v>69</v>
      </c>
      <c r="BY1070" t="s">
        <v>69</v>
      </c>
      <c r="BZ1070" t="s">
        <v>8526</v>
      </c>
      <c r="CA1070" t="str">
        <f>HYPERLINK("https%3A%2F%2Fwww.webofscience.com%2Fwos%2Fwoscc%2Ffull-record%2FWOS:000326770300004","View Full Record in Web of Science")</f>
        <v>View Full Record in Web of Science</v>
      </c>
    </row>
    <row r="1071" spans="1:79" ht="12.5" x14ac:dyDescent="0.25">
      <c r="B1071" t="s">
        <v>8495</v>
      </c>
      <c r="D1071" s="7" t="s">
        <v>32933</v>
      </c>
      <c r="E1071" s="7"/>
      <c r="F1071" s="7"/>
      <c r="G1071" s="7"/>
      <c r="H1071" t="s">
        <v>67</v>
      </c>
      <c r="I1071" t="s">
        <v>4280</v>
      </c>
      <c r="J1071" t="s">
        <v>69</v>
      </c>
      <c r="K1071" t="s">
        <v>69</v>
      </c>
      <c r="L1071" t="s">
        <v>69</v>
      </c>
      <c r="M1071" t="s">
        <v>4280</v>
      </c>
      <c r="N1071" t="s">
        <v>69</v>
      </c>
      <c r="O1071" t="s">
        <v>69</v>
      </c>
      <c r="P1071" t="s">
        <v>4281</v>
      </c>
      <c r="Q1071" t="s">
        <v>4282</v>
      </c>
      <c r="R1071" t="s">
        <v>69</v>
      </c>
      <c r="S1071" t="s">
        <v>69</v>
      </c>
      <c r="T1071" t="s">
        <v>8505</v>
      </c>
      <c r="U1071" t="s">
        <v>32574</v>
      </c>
      <c r="V1071" t="s">
        <v>4283</v>
      </c>
      <c r="W1071" t="s">
        <v>4284</v>
      </c>
      <c r="X1071" t="s">
        <v>4285</v>
      </c>
      <c r="Y1071" t="s">
        <v>4286</v>
      </c>
      <c r="Z1071" t="s">
        <v>4287</v>
      </c>
      <c r="AA1071" t="s">
        <v>69</v>
      </c>
      <c r="AB1071" t="s">
        <v>69</v>
      </c>
      <c r="AC1071" t="s">
        <v>4288</v>
      </c>
      <c r="AD1071" t="s">
        <v>69</v>
      </c>
      <c r="AE1071" t="s">
        <v>69</v>
      </c>
      <c r="AF1071" t="s">
        <v>32575</v>
      </c>
      <c r="AG1071" t="s">
        <v>69</v>
      </c>
      <c r="AH1071" t="s">
        <v>69</v>
      </c>
      <c r="AI1071" t="s">
        <v>69</v>
      </c>
      <c r="AJ1071" t="s">
        <v>69</v>
      </c>
      <c r="AK1071" t="s">
        <v>69</v>
      </c>
      <c r="AL1071" t="s">
        <v>69</v>
      </c>
      <c r="AM1071" t="s">
        <v>69</v>
      </c>
      <c r="AN1071">
        <v>6</v>
      </c>
      <c r="AO1071">
        <v>2</v>
      </c>
      <c r="AP1071">
        <v>2</v>
      </c>
      <c r="AQ1071">
        <v>0</v>
      </c>
      <c r="AR1071">
        <v>1</v>
      </c>
      <c r="AS1071" t="s">
        <v>32576</v>
      </c>
      <c r="AT1071" t="s">
        <v>8925</v>
      </c>
      <c r="AU1071" t="s">
        <v>32577</v>
      </c>
      <c r="AV1071" t="s">
        <v>4289</v>
      </c>
      <c r="AW1071" t="s">
        <v>69</v>
      </c>
      <c r="AX1071" t="s">
        <v>69</v>
      </c>
      <c r="AY1071" t="s">
        <v>31411</v>
      </c>
      <c r="AZ1071" t="s">
        <v>31412</v>
      </c>
      <c r="BA1071" t="s">
        <v>84</v>
      </c>
      <c r="BB1071">
        <v>1995</v>
      </c>
      <c r="BC1071">
        <v>98</v>
      </c>
      <c r="BD1071" t="s">
        <v>69</v>
      </c>
      <c r="BE1071" t="s">
        <v>69</v>
      </c>
      <c r="BF1071" t="s">
        <v>69</v>
      </c>
      <c r="BG1071" t="s">
        <v>69</v>
      </c>
      <c r="BH1071" t="s">
        <v>69</v>
      </c>
      <c r="BI1071">
        <v>1173</v>
      </c>
      <c r="BJ1071">
        <v>1184</v>
      </c>
      <c r="BK1071" t="s">
        <v>69</v>
      </c>
      <c r="BL1071" t="s">
        <v>4290</v>
      </c>
      <c r="BM1071" t="str">
        <f>HYPERLINK("http://dx.doi.org/10.1002/masy.199509801106","http://dx.doi.org/10.1002/masy.199509801106")</f>
        <v>http://dx.doi.org/10.1002/masy.199509801106</v>
      </c>
      <c r="BN1071" t="s">
        <v>69</v>
      </c>
      <c r="BO1071" t="s">
        <v>69</v>
      </c>
      <c r="BP1071">
        <v>12</v>
      </c>
      <c r="BQ1071" t="s">
        <v>31413</v>
      </c>
      <c r="BR1071" t="s">
        <v>29550</v>
      </c>
      <c r="BS1071" t="s">
        <v>31413</v>
      </c>
      <c r="BT1071" t="s">
        <v>32578</v>
      </c>
      <c r="BU1071" t="s">
        <v>4291</v>
      </c>
      <c r="BV1071" t="s">
        <v>69</v>
      </c>
      <c r="BW1071" t="s">
        <v>69</v>
      </c>
      <c r="BX1071" t="s">
        <v>69</v>
      </c>
      <c r="BY1071" t="s">
        <v>69</v>
      </c>
      <c r="BZ1071" t="s">
        <v>8526</v>
      </c>
      <c r="CA1071" t="str">
        <f>HYPERLINK("https%3A%2F%2Fwww.webofscience.com%2Fwos%2Fwoscc%2Ffull-record%2FWOS:A1995RZ12400080","View Full Record in Web of Science")</f>
        <v>View Full Record in Web of Science</v>
      </c>
    </row>
    <row r="1072" spans="1:79" ht="12.5" x14ac:dyDescent="0.25">
      <c r="B1072" t="s">
        <v>8495</v>
      </c>
      <c r="D1072" s="7" t="s">
        <v>32933</v>
      </c>
      <c r="E1072" s="7"/>
      <c r="F1072" s="7"/>
      <c r="G1072" s="7"/>
      <c r="H1072" t="s">
        <v>67</v>
      </c>
      <c r="I1072" t="s">
        <v>3094</v>
      </c>
      <c r="J1072" t="s">
        <v>69</v>
      </c>
      <c r="K1072" t="s">
        <v>69</v>
      </c>
      <c r="L1072" t="s">
        <v>69</v>
      </c>
      <c r="M1072" t="s">
        <v>3095</v>
      </c>
      <c r="N1072" t="s">
        <v>69</v>
      </c>
      <c r="O1072" t="s">
        <v>69</v>
      </c>
      <c r="P1072" t="s">
        <v>3096</v>
      </c>
      <c r="Q1072" t="s">
        <v>3097</v>
      </c>
      <c r="R1072" t="s">
        <v>69</v>
      </c>
      <c r="S1072" t="s">
        <v>69</v>
      </c>
      <c r="T1072" t="s">
        <v>8505</v>
      </c>
      <c r="U1072" t="s">
        <v>8506</v>
      </c>
      <c r="V1072" t="s">
        <v>69</v>
      </c>
      <c r="W1072" t="s">
        <v>69</v>
      </c>
      <c r="X1072" t="s">
        <v>69</v>
      </c>
      <c r="Y1072" t="s">
        <v>69</v>
      </c>
      <c r="Z1072" t="s">
        <v>69</v>
      </c>
      <c r="AA1072" t="s">
        <v>23273</v>
      </c>
      <c r="AB1072" t="s">
        <v>23274</v>
      </c>
      <c r="AC1072" t="s">
        <v>3098</v>
      </c>
      <c r="AD1072" t="s">
        <v>23275</v>
      </c>
      <c r="AE1072" t="s">
        <v>69</v>
      </c>
      <c r="AF1072" t="s">
        <v>23276</v>
      </c>
      <c r="AG1072" t="s">
        <v>23277</v>
      </c>
      <c r="AH1072" t="s">
        <v>69</v>
      </c>
      <c r="AI1072" t="s">
        <v>69</v>
      </c>
      <c r="AJ1072" t="s">
        <v>69</v>
      </c>
      <c r="AK1072" t="s">
        <v>69</v>
      </c>
      <c r="AL1072" t="s">
        <v>69</v>
      </c>
      <c r="AM1072" t="s">
        <v>69</v>
      </c>
      <c r="AN1072">
        <v>33</v>
      </c>
      <c r="AO1072">
        <v>7</v>
      </c>
      <c r="AP1072">
        <v>7</v>
      </c>
      <c r="AQ1072">
        <v>0</v>
      </c>
      <c r="AR1072">
        <v>9</v>
      </c>
      <c r="AS1072" t="s">
        <v>8586</v>
      </c>
      <c r="AT1072" t="s">
        <v>8587</v>
      </c>
      <c r="AU1072" t="s">
        <v>8588</v>
      </c>
      <c r="AV1072" t="s">
        <v>3099</v>
      </c>
      <c r="AW1072" t="s">
        <v>3100</v>
      </c>
      <c r="AX1072" t="s">
        <v>69</v>
      </c>
      <c r="AY1072" t="s">
        <v>15267</v>
      </c>
      <c r="AZ1072" t="s">
        <v>15268</v>
      </c>
      <c r="BA1072" t="s">
        <v>69</v>
      </c>
      <c r="BB1072">
        <v>2015</v>
      </c>
      <c r="BC1072">
        <v>33</v>
      </c>
      <c r="BD1072">
        <v>1</v>
      </c>
      <c r="BE1072" t="s">
        <v>69</v>
      </c>
      <c r="BF1072" t="s">
        <v>69</v>
      </c>
      <c r="BG1072" t="s">
        <v>69</v>
      </c>
      <c r="BH1072" t="s">
        <v>69</v>
      </c>
      <c r="BI1072">
        <v>4</v>
      </c>
      <c r="BJ1072">
        <v>18</v>
      </c>
      <c r="BK1072" t="s">
        <v>69</v>
      </c>
      <c r="BL1072" t="s">
        <v>3101</v>
      </c>
      <c r="BM1072" t="str">
        <f>HYPERLINK("http://dx.doi.org/10.1108/JPIF-08-2013-0047","http://dx.doi.org/10.1108/JPIF-08-2013-0047")</f>
        <v>http://dx.doi.org/10.1108/JPIF-08-2013-0047</v>
      </c>
      <c r="BN1072" t="s">
        <v>69</v>
      </c>
      <c r="BO1072" t="s">
        <v>69</v>
      </c>
      <c r="BP1072">
        <v>15</v>
      </c>
      <c r="BQ1072" t="s">
        <v>9749</v>
      </c>
      <c r="BR1072" t="s">
        <v>8573</v>
      </c>
      <c r="BS1072" t="s">
        <v>8594</v>
      </c>
      <c r="BT1072" t="s">
        <v>23278</v>
      </c>
      <c r="BU1072" t="s">
        <v>3102</v>
      </c>
      <c r="BV1072" t="s">
        <v>69</v>
      </c>
      <c r="BW1072" t="s">
        <v>10995</v>
      </c>
      <c r="BX1072" t="s">
        <v>69</v>
      </c>
      <c r="BY1072" t="s">
        <v>69</v>
      </c>
      <c r="BZ1072" t="s">
        <v>8526</v>
      </c>
      <c r="CA1072" t="str">
        <f>HYPERLINK("https%3A%2F%2Fwww.webofscience.com%2Fwos%2Fwoscc%2Ffull-record%2FWOS:000373185100002","View Full Record in Web of Science")</f>
        <v>View Full Record in Web of Science</v>
      </c>
    </row>
    <row r="1073" spans="1:79" ht="12.5" x14ac:dyDescent="0.25">
      <c r="B1073" t="s">
        <v>8495</v>
      </c>
      <c r="D1073" s="22" t="s">
        <v>32931</v>
      </c>
      <c r="E1073" s="7"/>
      <c r="F1073" s="7"/>
      <c r="G1073" s="7"/>
      <c r="H1073" t="s">
        <v>67</v>
      </c>
      <c r="I1073" t="s">
        <v>25473</v>
      </c>
      <c r="J1073" t="s">
        <v>69</v>
      </c>
      <c r="K1073" t="s">
        <v>69</v>
      </c>
      <c r="L1073" t="s">
        <v>69</v>
      </c>
      <c r="M1073" t="s">
        <v>25474</v>
      </c>
      <c r="N1073" t="s">
        <v>69</v>
      </c>
      <c r="O1073" t="s">
        <v>69</v>
      </c>
      <c r="P1073" t="s">
        <v>25475</v>
      </c>
      <c r="Q1073" t="s">
        <v>25476</v>
      </c>
      <c r="R1073" t="s">
        <v>69</v>
      </c>
      <c r="S1073" t="s">
        <v>69</v>
      </c>
      <c r="T1073" t="s">
        <v>9357</v>
      </c>
      <c r="U1073" t="s">
        <v>8506</v>
      </c>
      <c r="V1073" t="s">
        <v>69</v>
      </c>
      <c r="W1073" t="s">
        <v>69</v>
      </c>
      <c r="X1073" t="s">
        <v>69</v>
      </c>
      <c r="Y1073" t="s">
        <v>69</v>
      </c>
      <c r="Z1073" t="s">
        <v>69</v>
      </c>
      <c r="AA1073" t="s">
        <v>25477</v>
      </c>
      <c r="AB1073" t="s">
        <v>69</v>
      </c>
      <c r="AC1073" t="s">
        <v>25478</v>
      </c>
      <c r="AD1073" t="s">
        <v>25479</v>
      </c>
      <c r="AE1073" t="s">
        <v>69</v>
      </c>
      <c r="AF1073" t="s">
        <v>25480</v>
      </c>
      <c r="AG1073" t="s">
        <v>69</v>
      </c>
      <c r="AH1073" t="s">
        <v>69</v>
      </c>
      <c r="AI1073" t="s">
        <v>69</v>
      </c>
      <c r="AJ1073" t="s">
        <v>69</v>
      </c>
      <c r="AK1073" t="s">
        <v>69</v>
      </c>
      <c r="AL1073" t="s">
        <v>69</v>
      </c>
      <c r="AM1073" t="s">
        <v>69</v>
      </c>
      <c r="AN1073">
        <v>11</v>
      </c>
      <c r="AO1073">
        <v>0</v>
      </c>
      <c r="AP1073">
        <v>0</v>
      </c>
      <c r="AQ1073">
        <v>0</v>
      </c>
      <c r="AR1073">
        <v>0</v>
      </c>
      <c r="AS1073" t="s">
        <v>25481</v>
      </c>
      <c r="AT1073" t="s">
        <v>25482</v>
      </c>
      <c r="AU1073" t="s">
        <v>25483</v>
      </c>
      <c r="AV1073" t="s">
        <v>25484</v>
      </c>
      <c r="AW1073" t="s">
        <v>69</v>
      </c>
      <c r="AX1073" t="s">
        <v>69</v>
      </c>
      <c r="AY1073" t="s">
        <v>25485</v>
      </c>
      <c r="AZ1073" t="s">
        <v>25486</v>
      </c>
      <c r="BA1073" t="s">
        <v>69</v>
      </c>
      <c r="BB1073">
        <v>2013</v>
      </c>
      <c r="BC1073" t="s">
        <v>69</v>
      </c>
      <c r="BD1073">
        <v>3</v>
      </c>
      <c r="BE1073" t="s">
        <v>69</v>
      </c>
      <c r="BF1073" t="s">
        <v>69</v>
      </c>
      <c r="BG1073" t="s">
        <v>69</v>
      </c>
      <c r="BH1073" t="s">
        <v>69</v>
      </c>
      <c r="BI1073">
        <v>228</v>
      </c>
      <c r="BJ1073">
        <v>235</v>
      </c>
      <c r="BK1073" t="s">
        <v>69</v>
      </c>
      <c r="BL1073" t="s">
        <v>69</v>
      </c>
      <c r="BM1073" t="s">
        <v>69</v>
      </c>
      <c r="BN1073" t="s">
        <v>69</v>
      </c>
      <c r="BO1073" t="s">
        <v>69</v>
      </c>
      <c r="BP1073">
        <v>8</v>
      </c>
      <c r="BQ1073" t="s">
        <v>9410</v>
      </c>
      <c r="BR1073" t="s">
        <v>8573</v>
      </c>
      <c r="BS1073" t="s">
        <v>8594</v>
      </c>
      <c r="BT1073" t="s">
        <v>25487</v>
      </c>
      <c r="BU1073" t="s">
        <v>25488</v>
      </c>
      <c r="BV1073" t="s">
        <v>69</v>
      </c>
      <c r="BW1073" t="s">
        <v>69</v>
      </c>
      <c r="BX1073" t="s">
        <v>69</v>
      </c>
      <c r="BY1073" t="s">
        <v>69</v>
      </c>
      <c r="BZ1073" t="s">
        <v>8526</v>
      </c>
      <c r="CA1073" t="str">
        <f>HYPERLINK("https%3A%2F%2Fwww.webofscience.com%2Fwos%2Fwoscc%2Ffull-record%2FWOS:000422478500020","View Full Record in Web of Science")</f>
        <v>View Full Record in Web of Science</v>
      </c>
    </row>
    <row r="1074" spans="1:79" ht="12.5" x14ac:dyDescent="0.25">
      <c r="B1074" t="s">
        <v>8495</v>
      </c>
      <c r="D1074" s="7" t="s">
        <v>32933</v>
      </c>
      <c r="E1074" s="7"/>
      <c r="F1074" s="7"/>
      <c r="G1074" s="7"/>
      <c r="H1074" t="s">
        <v>67</v>
      </c>
      <c r="I1074" t="s">
        <v>5786</v>
      </c>
      <c r="J1074" t="s">
        <v>69</v>
      </c>
      <c r="K1074" t="s">
        <v>69</v>
      </c>
      <c r="L1074" t="s">
        <v>69</v>
      </c>
      <c r="M1074" t="s">
        <v>5786</v>
      </c>
      <c r="N1074" t="s">
        <v>69</v>
      </c>
      <c r="O1074" t="s">
        <v>69</v>
      </c>
      <c r="P1074" t="s">
        <v>5787</v>
      </c>
      <c r="Q1074" t="s">
        <v>4282</v>
      </c>
      <c r="R1074" t="s">
        <v>69</v>
      </c>
      <c r="S1074" t="s">
        <v>69</v>
      </c>
      <c r="T1074" t="s">
        <v>8505</v>
      </c>
      <c r="U1074" t="s">
        <v>15797</v>
      </c>
      <c r="V1074" t="s">
        <v>5788</v>
      </c>
      <c r="W1074" t="s">
        <v>5789</v>
      </c>
      <c r="X1074" t="s">
        <v>5790</v>
      </c>
      <c r="Y1074" t="s">
        <v>69</v>
      </c>
      <c r="Z1074" t="s">
        <v>69</v>
      </c>
      <c r="AA1074" t="s">
        <v>31404</v>
      </c>
      <c r="AB1074" t="s">
        <v>69</v>
      </c>
      <c r="AC1074" t="s">
        <v>5791</v>
      </c>
      <c r="AD1074" t="s">
        <v>31405</v>
      </c>
      <c r="AE1074" t="s">
        <v>69</v>
      </c>
      <c r="AF1074" t="s">
        <v>31406</v>
      </c>
      <c r="AG1074" t="s">
        <v>31407</v>
      </c>
      <c r="AH1074" t="s">
        <v>69</v>
      </c>
      <c r="AI1074" t="s">
        <v>5792</v>
      </c>
      <c r="AJ1074" t="s">
        <v>69</v>
      </c>
      <c r="AK1074" t="s">
        <v>69</v>
      </c>
      <c r="AL1074" t="s">
        <v>69</v>
      </c>
      <c r="AM1074" t="s">
        <v>69</v>
      </c>
      <c r="AN1074">
        <v>10</v>
      </c>
      <c r="AO1074">
        <v>0</v>
      </c>
      <c r="AP1074">
        <v>0</v>
      </c>
      <c r="AQ1074">
        <v>0</v>
      </c>
      <c r="AR1074">
        <v>5</v>
      </c>
      <c r="AS1074" t="s">
        <v>31408</v>
      </c>
      <c r="AT1074" t="s">
        <v>31409</v>
      </c>
      <c r="AU1074" t="s">
        <v>31410</v>
      </c>
      <c r="AV1074" t="s">
        <v>4289</v>
      </c>
      <c r="AW1074" t="s">
        <v>69</v>
      </c>
      <c r="AX1074" t="s">
        <v>69</v>
      </c>
      <c r="AY1074" t="s">
        <v>31411</v>
      </c>
      <c r="AZ1074" t="s">
        <v>31412</v>
      </c>
      <c r="BA1074" t="s">
        <v>255</v>
      </c>
      <c r="BB1074">
        <v>2002</v>
      </c>
      <c r="BC1074">
        <v>187</v>
      </c>
      <c r="BD1074" t="s">
        <v>69</v>
      </c>
      <c r="BE1074" t="s">
        <v>69</v>
      </c>
      <c r="BF1074" t="s">
        <v>69</v>
      </c>
      <c r="BG1074" t="s">
        <v>69</v>
      </c>
      <c r="BH1074" t="s">
        <v>69</v>
      </c>
      <c r="BI1074">
        <v>801</v>
      </c>
      <c r="BJ1074">
        <v>809</v>
      </c>
      <c r="BK1074" t="s">
        <v>69</v>
      </c>
      <c r="BL1074" t="s">
        <v>5793</v>
      </c>
      <c r="BM1074" t="str">
        <f>HYPERLINK("http://dx.doi.org/10.1002/1521-3900(200209)187:1&lt;801::AID-MASY801&gt;3.0.CO;2-P","http://dx.doi.org/10.1002/1521-3900(200209)187:1&lt;801::AID-MASY801&gt;3.0.CO;2-P")</f>
        <v>http://dx.doi.org/10.1002/1521-3900(200209)187:1&lt;801::AID-MASY801&gt;3.0.CO;2-P</v>
      </c>
      <c r="BN1074" t="s">
        <v>69</v>
      </c>
      <c r="BO1074" t="s">
        <v>69</v>
      </c>
      <c r="BP1074">
        <v>9</v>
      </c>
      <c r="BQ1074" t="s">
        <v>31413</v>
      </c>
      <c r="BR1074" t="s">
        <v>15808</v>
      </c>
      <c r="BS1074" t="s">
        <v>31413</v>
      </c>
      <c r="BT1074" t="s">
        <v>31414</v>
      </c>
      <c r="BU1074" t="s">
        <v>5794</v>
      </c>
      <c r="BV1074" t="s">
        <v>69</v>
      </c>
      <c r="BW1074" t="s">
        <v>69</v>
      </c>
      <c r="BX1074" t="s">
        <v>69</v>
      </c>
      <c r="BY1074" t="s">
        <v>69</v>
      </c>
      <c r="BZ1074" t="s">
        <v>8526</v>
      </c>
      <c r="CA1074" t="str">
        <f>HYPERLINK("https%3A%2F%2Fwww.webofscience.com%2Fwos%2Fwoscc%2Ffull-record%2FWOS:000177886700078","View Full Record in Web of Science")</f>
        <v>View Full Record in Web of Science</v>
      </c>
    </row>
    <row r="1075" spans="1:79" ht="12.5" x14ac:dyDescent="0.25">
      <c r="B1075" t="s">
        <v>8495</v>
      </c>
      <c r="D1075" s="22" t="s">
        <v>32931</v>
      </c>
      <c r="E1075" s="7"/>
      <c r="F1075" s="7"/>
      <c r="G1075" s="7"/>
      <c r="H1075" t="s">
        <v>67</v>
      </c>
      <c r="I1075" t="s">
        <v>31851</v>
      </c>
      <c r="J1075" t="s">
        <v>69</v>
      </c>
      <c r="K1075" t="s">
        <v>69</v>
      </c>
      <c r="L1075" t="s">
        <v>69</v>
      </c>
      <c r="M1075" t="s">
        <v>31851</v>
      </c>
      <c r="N1075" t="s">
        <v>69</v>
      </c>
      <c r="O1075" t="s">
        <v>69</v>
      </c>
      <c r="P1075" t="s">
        <v>31852</v>
      </c>
      <c r="Q1075" t="s">
        <v>31853</v>
      </c>
      <c r="R1075" t="s">
        <v>69</v>
      </c>
      <c r="S1075" t="s">
        <v>69</v>
      </c>
      <c r="T1075" t="s">
        <v>8505</v>
      </c>
      <c r="U1075" t="s">
        <v>8506</v>
      </c>
      <c r="V1075" t="s">
        <v>69</v>
      </c>
      <c r="W1075" t="s">
        <v>69</v>
      </c>
      <c r="X1075" t="s">
        <v>69</v>
      </c>
      <c r="Y1075" t="s">
        <v>69</v>
      </c>
      <c r="Z1075" t="s">
        <v>69</v>
      </c>
      <c r="AA1075" t="s">
        <v>69</v>
      </c>
      <c r="AB1075" t="s">
        <v>31854</v>
      </c>
      <c r="AC1075" t="s">
        <v>31855</v>
      </c>
      <c r="AD1075" t="s">
        <v>31856</v>
      </c>
      <c r="AE1075" t="s">
        <v>69</v>
      </c>
      <c r="AF1075" t="s">
        <v>31857</v>
      </c>
      <c r="AG1075" t="s">
        <v>69</v>
      </c>
      <c r="AH1075" t="s">
        <v>69</v>
      </c>
      <c r="AI1075" t="s">
        <v>69</v>
      </c>
      <c r="AJ1075" t="s">
        <v>69</v>
      </c>
      <c r="AK1075" t="s">
        <v>69</v>
      </c>
      <c r="AL1075" t="s">
        <v>69</v>
      </c>
      <c r="AM1075" t="s">
        <v>69</v>
      </c>
      <c r="AN1075">
        <v>11</v>
      </c>
      <c r="AO1075">
        <v>6</v>
      </c>
      <c r="AP1075">
        <v>6</v>
      </c>
      <c r="AQ1075">
        <v>0</v>
      </c>
      <c r="AR1075">
        <v>0</v>
      </c>
      <c r="AS1075" t="s">
        <v>9423</v>
      </c>
      <c r="AT1075" t="s">
        <v>9424</v>
      </c>
      <c r="AU1075" t="s">
        <v>9425</v>
      </c>
      <c r="AV1075" t="s">
        <v>31858</v>
      </c>
      <c r="AW1075" t="s">
        <v>69</v>
      </c>
      <c r="AX1075" t="s">
        <v>69</v>
      </c>
      <c r="AY1075" t="s">
        <v>31853</v>
      </c>
      <c r="AZ1075" t="s">
        <v>31859</v>
      </c>
      <c r="BA1075" t="s">
        <v>246</v>
      </c>
      <c r="BB1075">
        <v>2000</v>
      </c>
      <c r="BC1075">
        <v>9</v>
      </c>
      <c r="BD1075">
        <v>2</v>
      </c>
      <c r="BE1075" t="s">
        <v>69</v>
      </c>
      <c r="BF1075" t="s">
        <v>69</v>
      </c>
      <c r="BG1075" t="s">
        <v>69</v>
      </c>
      <c r="BH1075" t="s">
        <v>69</v>
      </c>
      <c r="BI1075">
        <v>93</v>
      </c>
      <c r="BJ1075">
        <v>95</v>
      </c>
      <c r="BK1075" t="s">
        <v>69</v>
      </c>
      <c r="BL1075" t="s">
        <v>31860</v>
      </c>
      <c r="BM1075" t="str">
        <f>HYPERLINK("http://dx.doi.org/10.1054/brst.2000.0144","http://dx.doi.org/10.1054/brst.2000.0144")</f>
        <v>http://dx.doi.org/10.1054/brst.2000.0144</v>
      </c>
      <c r="BN1075" t="s">
        <v>69</v>
      </c>
      <c r="BO1075" t="s">
        <v>69</v>
      </c>
      <c r="BP1075">
        <v>3</v>
      </c>
      <c r="BQ1075" t="s">
        <v>31861</v>
      </c>
      <c r="BR1075" t="s">
        <v>8548</v>
      </c>
      <c r="BS1075" t="s">
        <v>31861</v>
      </c>
      <c r="BT1075" t="s">
        <v>31862</v>
      </c>
      <c r="BU1075" t="s">
        <v>31863</v>
      </c>
      <c r="BV1075">
        <v>14731707</v>
      </c>
      <c r="BW1075" t="s">
        <v>69</v>
      </c>
      <c r="BX1075" t="s">
        <v>69</v>
      </c>
      <c r="BY1075" t="s">
        <v>69</v>
      </c>
      <c r="BZ1075" t="s">
        <v>8526</v>
      </c>
      <c r="CA1075" t="str">
        <f>HYPERLINK("https%3A%2F%2Fwww.webofscience.com%2Fwos%2Fwoscc%2Ffull-record%2FWOS:000086906700008","View Full Record in Web of Science")</f>
        <v>View Full Record in Web of Science</v>
      </c>
    </row>
    <row r="1076" spans="1:79" x14ac:dyDescent="0.3">
      <c r="B1076" t="s">
        <v>8495</v>
      </c>
      <c r="D1076" s="12" t="s">
        <v>33005</v>
      </c>
      <c r="H1076" t="s">
        <v>67</v>
      </c>
      <c r="I1076" t="s">
        <v>302</v>
      </c>
      <c r="J1076" t="s">
        <v>69</v>
      </c>
      <c r="K1076" t="s">
        <v>69</v>
      </c>
      <c r="L1076" t="s">
        <v>69</v>
      </c>
      <c r="M1076" t="s">
        <v>303</v>
      </c>
      <c r="N1076" t="s">
        <v>69</v>
      </c>
      <c r="O1076" t="s">
        <v>69</v>
      </c>
      <c r="P1076" s="11" t="s">
        <v>304</v>
      </c>
      <c r="Q1076" t="s">
        <v>305</v>
      </c>
      <c r="R1076" t="s">
        <v>69</v>
      </c>
      <c r="S1076" t="s">
        <v>69</v>
      </c>
      <c r="T1076" t="s">
        <v>8505</v>
      </c>
      <c r="U1076" t="s">
        <v>8506</v>
      </c>
      <c r="V1076" t="s">
        <v>69</v>
      </c>
      <c r="W1076" t="s">
        <v>69</v>
      </c>
      <c r="X1076" t="s">
        <v>69</v>
      </c>
      <c r="Y1076" t="s">
        <v>69</v>
      </c>
      <c r="Z1076" t="s">
        <v>69</v>
      </c>
      <c r="AA1076" t="s">
        <v>14177</v>
      </c>
      <c r="AB1076" t="s">
        <v>14178</v>
      </c>
      <c r="AC1076" t="s">
        <v>306</v>
      </c>
      <c r="AD1076" t="s">
        <v>14179</v>
      </c>
      <c r="AE1076" t="s">
        <v>69</v>
      </c>
      <c r="AF1076" t="s">
        <v>14180</v>
      </c>
      <c r="AG1076" t="s">
        <v>14181</v>
      </c>
      <c r="AH1076" t="s">
        <v>69</v>
      </c>
      <c r="AI1076" t="s">
        <v>307</v>
      </c>
      <c r="AJ1076" t="s">
        <v>14182</v>
      </c>
      <c r="AK1076" t="s">
        <v>14183</v>
      </c>
      <c r="AL1076" t="s">
        <v>14184</v>
      </c>
      <c r="AM1076" t="s">
        <v>69</v>
      </c>
      <c r="AN1076">
        <v>56</v>
      </c>
      <c r="AO1076">
        <v>6</v>
      </c>
      <c r="AP1076">
        <v>6</v>
      </c>
      <c r="AQ1076">
        <v>2</v>
      </c>
      <c r="AR1076">
        <v>6</v>
      </c>
      <c r="AS1076" t="s">
        <v>8865</v>
      </c>
      <c r="AT1076" t="s">
        <v>8612</v>
      </c>
      <c r="AU1076" t="s">
        <v>8866</v>
      </c>
      <c r="AV1076" t="s">
        <v>308</v>
      </c>
      <c r="AW1076" t="s">
        <v>309</v>
      </c>
      <c r="AX1076" t="s">
        <v>69</v>
      </c>
      <c r="AY1076" t="s">
        <v>14185</v>
      </c>
      <c r="AZ1076" t="s">
        <v>14186</v>
      </c>
      <c r="BA1076" t="s">
        <v>8207</v>
      </c>
      <c r="BB1076">
        <v>2021</v>
      </c>
      <c r="BC1076">
        <v>36</v>
      </c>
      <c r="BD1076">
        <v>2</v>
      </c>
      <c r="BE1076" t="s">
        <v>69</v>
      </c>
      <c r="BF1076" t="s">
        <v>69</v>
      </c>
      <c r="BG1076" t="s">
        <v>69</v>
      </c>
      <c r="BH1076" t="s">
        <v>69</v>
      </c>
      <c r="BI1076">
        <v>193</v>
      </c>
      <c r="BJ1076">
        <v>215</v>
      </c>
      <c r="BK1076" t="s">
        <v>69</v>
      </c>
      <c r="BL1076" t="s">
        <v>310</v>
      </c>
      <c r="BM1076" t="str">
        <f>HYPERLINK("http://dx.doi.org/10.1080/02697459.2020.1829278","http://dx.doi.org/10.1080/02697459.2020.1829278")</f>
        <v>http://dx.doi.org/10.1080/02697459.2020.1829278</v>
      </c>
      <c r="BN1076" t="s">
        <v>69</v>
      </c>
      <c r="BO1076" t="s">
        <v>311</v>
      </c>
      <c r="BP1076">
        <v>23</v>
      </c>
      <c r="BQ1076" t="s">
        <v>14187</v>
      </c>
      <c r="BR1076" t="s">
        <v>8573</v>
      </c>
      <c r="BS1076" t="s">
        <v>12182</v>
      </c>
      <c r="BT1076" t="s">
        <v>14188</v>
      </c>
      <c r="BU1076" t="s">
        <v>312</v>
      </c>
      <c r="BV1076" t="s">
        <v>69</v>
      </c>
      <c r="BW1076" t="s">
        <v>8622</v>
      </c>
      <c r="BX1076" t="s">
        <v>69</v>
      </c>
      <c r="BY1076" t="s">
        <v>69</v>
      </c>
      <c r="BZ1076" t="s">
        <v>8526</v>
      </c>
      <c r="CA1076" t="str">
        <f>HYPERLINK("https%3A%2F%2Fwww.webofscience.com%2Fwos%2Fwoscc%2Ffull-record%2FWOS:000581891500001","View Full Record in Web of Science")</f>
        <v>View Full Record in Web of Science</v>
      </c>
    </row>
    <row r="1077" spans="1:79" x14ac:dyDescent="0.3">
      <c r="A1077" s="7" t="s">
        <v>8408</v>
      </c>
      <c r="B1077" t="s">
        <v>8495</v>
      </c>
      <c r="D1077" s="10" t="s">
        <v>33222</v>
      </c>
      <c r="E1077" s="9" t="s">
        <v>33221</v>
      </c>
      <c r="F1077" s="9" t="s">
        <v>8491</v>
      </c>
      <c r="H1077" t="s">
        <v>67</v>
      </c>
      <c r="I1077" t="s">
        <v>7645</v>
      </c>
      <c r="J1077" t="s">
        <v>69</v>
      </c>
      <c r="K1077" t="s">
        <v>69</v>
      </c>
      <c r="L1077" t="s">
        <v>69</v>
      </c>
      <c r="M1077" s="2" t="s">
        <v>7646</v>
      </c>
      <c r="N1077" t="s">
        <v>69</v>
      </c>
      <c r="O1077" t="s">
        <v>69</v>
      </c>
      <c r="P1077" s="2" t="s">
        <v>7647</v>
      </c>
      <c r="Q1077" t="s">
        <v>1360</v>
      </c>
      <c r="R1077" t="s">
        <v>69</v>
      </c>
      <c r="S1077" t="s">
        <v>69</v>
      </c>
      <c r="T1077" t="s">
        <v>8505</v>
      </c>
      <c r="U1077" t="s">
        <v>8442</v>
      </c>
      <c r="V1077" t="s">
        <v>69</v>
      </c>
      <c r="W1077" t="s">
        <v>69</v>
      </c>
      <c r="X1077" t="s">
        <v>69</v>
      </c>
      <c r="Y1077" t="s">
        <v>69</v>
      </c>
      <c r="Z1077" t="s">
        <v>69</v>
      </c>
      <c r="AA1077" t="s">
        <v>28361</v>
      </c>
      <c r="AB1077" t="s">
        <v>28362</v>
      </c>
      <c r="AC1077" t="s">
        <v>7648</v>
      </c>
      <c r="AD1077" t="s">
        <v>28363</v>
      </c>
      <c r="AE1077" t="s">
        <v>69</v>
      </c>
      <c r="AF1077" t="s">
        <v>28364</v>
      </c>
      <c r="AG1077" t="s">
        <v>28365</v>
      </c>
      <c r="AH1077" t="s">
        <v>7649</v>
      </c>
      <c r="AI1077" t="s">
        <v>69</v>
      </c>
      <c r="AJ1077" t="s">
        <v>28366</v>
      </c>
      <c r="AK1077" t="s">
        <v>28367</v>
      </c>
      <c r="AL1077" t="s">
        <v>28368</v>
      </c>
      <c r="AM1077" t="s">
        <v>69</v>
      </c>
      <c r="AN1077">
        <v>110</v>
      </c>
      <c r="AO1077">
        <v>151</v>
      </c>
      <c r="AP1077">
        <v>153</v>
      </c>
      <c r="AQ1077">
        <v>3</v>
      </c>
      <c r="AR1077">
        <v>94</v>
      </c>
      <c r="AS1077" t="s">
        <v>8636</v>
      </c>
      <c r="AT1077" t="s">
        <v>8637</v>
      </c>
      <c r="AU1077" t="s">
        <v>8638</v>
      </c>
      <c r="AV1077" t="s">
        <v>1364</v>
      </c>
      <c r="AW1077" t="s">
        <v>1365</v>
      </c>
      <c r="AX1077" t="s">
        <v>69</v>
      </c>
      <c r="AY1077" t="s">
        <v>9698</v>
      </c>
      <c r="AZ1077" t="s">
        <v>9699</v>
      </c>
      <c r="BA1077" t="s">
        <v>274</v>
      </c>
      <c r="BB1077">
        <v>2009</v>
      </c>
      <c r="BC1077">
        <v>12</v>
      </c>
      <c r="BD1077">
        <v>7</v>
      </c>
      <c r="BE1077" t="s">
        <v>69</v>
      </c>
      <c r="BF1077" t="s">
        <v>69</v>
      </c>
      <c r="BG1077" t="s">
        <v>69</v>
      </c>
      <c r="BH1077" t="s">
        <v>69</v>
      </c>
      <c r="BI1077">
        <v>994</v>
      </c>
      <c r="BJ1077">
        <v>1011</v>
      </c>
      <c r="BK1077" t="s">
        <v>69</v>
      </c>
      <c r="BL1077" t="s">
        <v>7650</v>
      </c>
      <c r="BM1077" t="str">
        <f>HYPERLINK("http://dx.doi.org/10.1016/j.envsci.2009.05.002","http://dx.doi.org/10.1016/j.envsci.2009.05.002")</f>
        <v>http://dx.doi.org/10.1016/j.envsci.2009.05.002</v>
      </c>
      <c r="BN1077" t="s">
        <v>69</v>
      </c>
      <c r="BO1077" t="s">
        <v>69</v>
      </c>
      <c r="BP1077">
        <v>18</v>
      </c>
      <c r="BQ1077" t="s">
        <v>8717</v>
      </c>
      <c r="BR1077" t="s">
        <v>8523</v>
      </c>
      <c r="BS1077" t="s">
        <v>8662</v>
      </c>
      <c r="BT1077" t="s">
        <v>28369</v>
      </c>
      <c r="BU1077" t="s">
        <v>7651</v>
      </c>
      <c r="BV1077" t="s">
        <v>69</v>
      </c>
      <c r="BW1077" t="s">
        <v>69</v>
      </c>
      <c r="BX1077" t="s">
        <v>69</v>
      </c>
      <c r="BY1077" t="s">
        <v>69</v>
      </c>
      <c r="BZ1077" t="s">
        <v>8526</v>
      </c>
      <c r="CA1077" t="str">
        <f>HYPERLINK("https%3A%2F%2Fwww.webofscience.com%2Fwos%2Fwoscc%2Ffull-record%2FWOS:000272287900022","View Full Record in Web of Science")</f>
        <v>View Full Record in Web of Science</v>
      </c>
    </row>
    <row r="1078" spans="1:79" ht="12.5" x14ac:dyDescent="0.25">
      <c r="B1078" t="s">
        <v>8495</v>
      </c>
      <c r="D1078" s="7" t="s">
        <v>32933</v>
      </c>
      <c r="E1078" s="7"/>
      <c r="F1078" s="7"/>
      <c r="G1078" s="7"/>
      <c r="H1078" t="s">
        <v>67</v>
      </c>
      <c r="I1078" t="s">
        <v>5146</v>
      </c>
      <c r="J1078" t="s">
        <v>69</v>
      </c>
      <c r="K1078" t="s">
        <v>69</v>
      </c>
      <c r="L1078" t="s">
        <v>69</v>
      </c>
      <c r="M1078" t="s">
        <v>5147</v>
      </c>
      <c r="N1078" t="s">
        <v>69</v>
      </c>
      <c r="O1078" t="s">
        <v>69</v>
      </c>
      <c r="P1078" t="s">
        <v>5148</v>
      </c>
      <c r="Q1078" t="s">
        <v>3336</v>
      </c>
      <c r="R1078" t="s">
        <v>69</v>
      </c>
      <c r="S1078" t="s">
        <v>69</v>
      </c>
      <c r="T1078" t="s">
        <v>8505</v>
      </c>
      <c r="U1078" t="s">
        <v>8506</v>
      </c>
      <c r="V1078" t="s">
        <v>69</v>
      </c>
      <c r="W1078" t="s">
        <v>69</v>
      </c>
      <c r="X1078" t="s">
        <v>69</v>
      </c>
      <c r="Y1078" t="s">
        <v>69</v>
      </c>
      <c r="Z1078" t="s">
        <v>69</v>
      </c>
      <c r="AA1078" t="s">
        <v>29687</v>
      </c>
      <c r="AB1078" t="s">
        <v>69</v>
      </c>
      <c r="AC1078" t="s">
        <v>5149</v>
      </c>
      <c r="AD1078" t="s">
        <v>29688</v>
      </c>
      <c r="AE1078" t="s">
        <v>69</v>
      </c>
      <c r="AF1078" t="s">
        <v>29689</v>
      </c>
      <c r="AG1078" t="s">
        <v>29690</v>
      </c>
      <c r="AH1078" t="s">
        <v>69</v>
      </c>
      <c r="AI1078" t="s">
        <v>69</v>
      </c>
      <c r="AJ1078" t="s">
        <v>69</v>
      </c>
      <c r="AK1078" t="s">
        <v>69</v>
      </c>
      <c r="AL1078" t="s">
        <v>69</v>
      </c>
      <c r="AM1078" t="s">
        <v>69</v>
      </c>
      <c r="AN1078">
        <v>25</v>
      </c>
      <c r="AO1078">
        <v>20</v>
      </c>
      <c r="AP1078">
        <v>21</v>
      </c>
      <c r="AQ1078">
        <v>0</v>
      </c>
      <c r="AR1078">
        <v>12</v>
      </c>
      <c r="AS1078" t="s">
        <v>8516</v>
      </c>
      <c r="AT1078" t="s">
        <v>8517</v>
      </c>
      <c r="AU1078" t="s">
        <v>8518</v>
      </c>
      <c r="AV1078" t="s">
        <v>3339</v>
      </c>
      <c r="AW1078" t="s">
        <v>3340</v>
      </c>
      <c r="AX1078" t="s">
        <v>69</v>
      </c>
      <c r="AY1078" t="s">
        <v>25086</v>
      </c>
      <c r="AZ1078" t="s">
        <v>25087</v>
      </c>
      <c r="BA1078" t="s">
        <v>5150</v>
      </c>
      <c r="BB1078">
        <v>2007</v>
      </c>
      <c r="BC1078">
        <v>63</v>
      </c>
      <c r="BD1078">
        <v>1</v>
      </c>
      <c r="BE1078" t="s">
        <v>69</v>
      </c>
      <c r="BF1078" t="s">
        <v>69</v>
      </c>
      <c r="BG1078" t="s">
        <v>69</v>
      </c>
      <c r="BH1078" t="s">
        <v>69</v>
      </c>
      <c r="BI1078">
        <v>192</v>
      </c>
      <c r="BJ1078">
        <v>200</v>
      </c>
      <c r="BK1078" t="s">
        <v>69</v>
      </c>
      <c r="BL1078" t="s">
        <v>5151</v>
      </c>
      <c r="BM1078" t="str">
        <f>HYPERLINK("http://dx.doi.org/10.1016/j.ecolecon.2006.10.017","http://dx.doi.org/10.1016/j.ecolecon.2006.10.017")</f>
        <v>http://dx.doi.org/10.1016/j.ecolecon.2006.10.017</v>
      </c>
      <c r="BN1078" t="s">
        <v>69</v>
      </c>
      <c r="BO1078" t="s">
        <v>69</v>
      </c>
      <c r="BP1078">
        <v>9</v>
      </c>
      <c r="BQ1078" t="s">
        <v>25089</v>
      </c>
      <c r="BR1078" t="s">
        <v>8523</v>
      </c>
      <c r="BS1078" t="s">
        <v>25090</v>
      </c>
      <c r="BT1078" t="s">
        <v>29691</v>
      </c>
      <c r="BU1078" t="s">
        <v>5152</v>
      </c>
      <c r="BV1078" t="s">
        <v>69</v>
      </c>
      <c r="BW1078" t="s">
        <v>69</v>
      </c>
      <c r="BX1078" t="s">
        <v>69</v>
      </c>
      <c r="BY1078" t="s">
        <v>69</v>
      </c>
      <c r="BZ1078" t="s">
        <v>8526</v>
      </c>
      <c r="CA1078" t="str">
        <f>HYPERLINK("https%3A%2F%2Fwww.webofscience.com%2Fwos%2Fwoscc%2Ffull-record%2FWOS:000247717200019","View Full Record in Web of Science")</f>
        <v>View Full Record in Web of Science</v>
      </c>
    </row>
    <row r="1079" spans="1:79" ht="12.5" x14ac:dyDescent="0.25">
      <c r="B1079" t="s">
        <v>8495</v>
      </c>
      <c r="D1079" s="22" t="s">
        <v>32931</v>
      </c>
      <c r="E1079" s="7"/>
      <c r="F1079" s="7"/>
      <c r="G1079" s="7"/>
      <c r="H1079" t="s">
        <v>67</v>
      </c>
      <c r="I1079" t="s">
        <v>17280</v>
      </c>
      <c r="J1079" t="s">
        <v>69</v>
      </c>
      <c r="K1079" t="s">
        <v>69</v>
      </c>
      <c r="L1079" t="s">
        <v>69</v>
      </c>
      <c r="M1079" t="s">
        <v>17281</v>
      </c>
      <c r="N1079" t="s">
        <v>69</v>
      </c>
      <c r="O1079" t="s">
        <v>69</v>
      </c>
      <c r="P1079" t="s">
        <v>17282</v>
      </c>
      <c r="Q1079" t="s">
        <v>11160</v>
      </c>
      <c r="R1079" t="s">
        <v>69</v>
      </c>
      <c r="S1079" t="s">
        <v>69</v>
      </c>
      <c r="T1079" t="s">
        <v>8505</v>
      </c>
      <c r="U1079" t="s">
        <v>8506</v>
      </c>
      <c r="V1079" t="s">
        <v>69</v>
      </c>
      <c r="W1079" t="s">
        <v>69</v>
      </c>
      <c r="X1079" t="s">
        <v>69</v>
      </c>
      <c r="Y1079" t="s">
        <v>69</v>
      </c>
      <c r="Z1079" t="s">
        <v>69</v>
      </c>
      <c r="AA1079" t="s">
        <v>69</v>
      </c>
      <c r="AB1079" t="s">
        <v>17283</v>
      </c>
      <c r="AC1079" t="s">
        <v>17284</v>
      </c>
      <c r="AD1079" t="s">
        <v>17285</v>
      </c>
      <c r="AE1079" t="s">
        <v>69</v>
      </c>
      <c r="AF1079" t="s">
        <v>17286</v>
      </c>
      <c r="AG1079" t="s">
        <v>69</v>
      </c>
      <c r="AH1079" t="s">
        <v>69</v>
      </c>
      <c r="AI1079" t="s">
        <v>69</v>
      </c>
      <c r="AJ1079" t="s">
        <v>69</v>
      </c>
      <c r="AK1079" t="s">
        <v>69</v>
      </c>
      <c r="AL1079" t="s">
        <v>69</v>
      </c>
      <c r="AM1079" t="s">
        <v>69</v>
      </c>
      <c r="AN1079">
        <v>36</v>
      </c>
      <c r="AO1079">
        <v>5</v>
      </c>
      <c r="AP1079">
        <v>5</v>
      </c>
      <c r="AQ1079">
        <v>0</v>
      </c>
      <c r="AR1079">
        <v>1</v>
      </c>
      <c r="AS1079" t="s">
        <v>10352</v>
      </c>
      <c r="AT1079" t="s">
        <v>8637</v>
      </c>
      <c r="AU1079" t="s">
        <v>10353</v>
      </c>
      <c r="AV1079" t="s">
        <v>11165</v>
      </c>
      <c r="AW1079" t="s">
        <v>11166</v>
      </c>
      <c r="AX1079" t="s">
        <v>69</v>
      </c>
      <c r="AY1079" t="s">
        <v>11167</v>
      </c>
      <c r="AZ1079" t="s">
        <v>11168</v>
      </c>
      <c r="BA1079" t="s">
        <v>1375</v>
      </c>
      <c r="BB1079">
        <v>2019</v>
      </c>
      <c r="BC1079">
        <v>184</v>
      </c>
      <c r="BD1079" t="s">
        <v>1726</v>
      </c>
      <c r="BE1079" t="s">
        <v>69</v>
      </c>
      <c r="BF1079" t="s">
        <v>69</v>
      </c>
      <c r="BG1079" t="s">
        <v>69</v>
      </c>
      <c r="BH1079" t="s">
        <v>69</v>
      </c>
      <c r="BI1079" t="s">
        <v>17287</v>
      </c>
      <c r="BJ1079" t="s">
        <v>17288</v>
      </c>
      <c r="BK1079" t="s">
        <v>69</v>
      </c>
      <c r="BL1079" t="s">
        <v>17289</v>
      </c>
      <c r="BM1079" t="str">
        <f>HYPERLINK("http://dx.doi.org/10.1093/milmed/usz017","http://dx.doi.org/10.1093/milmed/usz017")</f>
        <v>http://dx.doi.org/10.1093/milmed/usz017</v>
      </c>
      <c r="BN1079" t="s">
        <v>69</v>
      </c>
      <c r="BO1079" t="s">
        <v>69</v>
      </c>
      <c r="BP1079">
        <v>9</v>
      </c>
      <c r="BQ1079" t="s">
        <v>9450</v>
      </c>
      <c r="BR1079" t="s">
        <v>8523</v>
      </c>
      <c r="BS1079" t="s">
        <v>9451</v>
      </c>
      <c r="BT1079" t="s">
        <v>17290</v>
      </c>
      <c r="BU1079" t="s">
        <v>17291</v>
      </c>
      <c r="BV1079">
        <v>30793212</v>
      </c>
      <c r="BW1079" t="s">
        <v>8622</v>
      </c>
      <c r="BX1079" t="s">
        <v>69</v>
      </c>
      <c r="BY1079" t="s">
        <v>69</v>
      </c>
      <c r="BZ1079" t="s">
        <v>8526</v>
      </c>
      <c r="CA1079" t="str">
        <f>HYPERLINK("https%3A%2F%2Fwww.webofscience.com%2Fwos%2Fwoscc%2Ffull-record%2FWOS:000468188900011","View Full Record in Web of Science")</f>
        <v>View Full Record in Web of Science</v>
      </c>
    </row>
    <row r="1080" spans="1:79" ht="12.5" x14ac:dyDescent="0.25">
      <c r="B1080" t="s">
        <v>8495</v>
      </c>
      <c r="D1080" s="7" t="s">
        <v>32933</v>
      </c>
      <c r="E1080" s="7"/>
      <c r="F1080" s="7"/>
      <c r="G1080" s="7"/>
      <c r="H1080" t="s">
        <v>67</v>
      </c>
      <c r="I1080" t="s">
        <v>7341</v>
      </c>
      <c r="J1080" t="s">
        <v>69</v>
      </c>
      <c r="K1080" t="s">
        <v>69</v>
      </c>
      <c r="L1080" t="s">
        <v>69</v>
      </c>
      <c r="M1080" t="s">
        <v>7342</v>
      </c>
      <c r="N1080" t="s">
        <v>69</v>
      </c>
      <c r="O1080" t="s">
        <v>69</v>
      </c>
      <c r="P1080" t="s">
        <v>7343</v>
      </c>
      <c r="Q1080" t="s">
        <v>436</v>
      </c>
      <c r="R1080" t="s">
        <v>69</v>
      </c>
      <c r="S1080" t="s">
        <v>69</v>
      </c>
      <c r="T1080" t="s">
        <v>8505</v>
      </c>
      <c r="U1080" t="s">
        <v>8506</v>
      </c>
      <c r="V1080" t="s">
        <v>69</v>
      </c>
      <c r="W1080" t="s">
        <v>69</v>
      </c>
      <c r="X1080" t="s">
        <v>69</v>
      </c>
      <c r="Y1080" t="s">
        <v>69</v>
      </c>
      <c r="Z1080" t="s">
        <v>69</v>
      </c>
      <c r="AA1080" t="s">
        <v>16489</v>
      </c>
      <c r="AB1080" t="s">
        <v>16490</v>
      </c>
      <c r="AC1080" t="s">
        <v>7344</v>
      </c>
      <c r="AD1080" t="s">
        <v>16491</v>
      </c>
      <c r="AE1080" t="s">
        <v>69</v>
      </c>
      <c r="AF1080" t="s">
        <v>16492</v>
      </c>
      <c r="AG1080" t="s">
        <v>16493</v>
      </c>
      <c r="AH1080" t="s">
        <v>69</v>
      </c>
      <c r="AI1080" t="s">
        <v>16494</v>
      </c>
      <c r="AJ1080" t="s">
        <v>69</v>
      </c>
      <c r="AK1080" t="s">
        <v>69</v>
      </c>
      <c r="AL1080" t="s">
        <v>69</v>
      </c>
      <c r="AM1080" t="s">
        <v>69</v>
      </c>
      <c r="AN1080">
        <v>59</v>
      </c>
      <c r="AO1080">
        <v>12</v>
      </c>
      <c r="AP1080">
        <v>12</v>
      </c>
      <c r="AQ1080">
        <v>2</v>
      </c>
      <c r="AR1080">
        <v>65</v>
      </c>
      <c r="AS1080" t="s">
        <v>8636</v>
      </c>
      <c r="AT1080" t="s">
        <v>8637</v>
      </c>
      <c r="AU1080" t="s">
        <v>8638</v>
      </c>
      <c r="AV1080" t="s">
        <v>440</v>
      </c>
      <c r="AW1080" t="s">
        <v>441</v>
      </c>
      <c r="AX1080" t="s">
        <v>69</v>
      </c>
      <c r="AY1080" t="s">
        <v>8639</v>
      </c>
      <c r="AZ1080" t="s">
        <v>8640</v>
      </c>
      <c r="BA1080" t="s">
        <v>6976</v>
      </c>
      <c r="BB1080">
        <v>2019</v>
      </c>
      <c r="BC1080">
        <v>237</v>
      </c>
      <c r="BD1080" t="s">
        <v>69</v>
      </c>
      <c r="BE1080" t="s">
        <v>69</v>
      </c>
      <c r="BF1080" t="s">
        <v>69</v>
      </c>
      <c r="BG1080" t="s">
        <v>69</v>
      </c>
      <c r="BH1080" t="s">
        <v>69</v>
      </c>
      <c r="BI1080" t="s">
        <v>69</v>
      </c>
      <c r="BJ1080" t="s">
        <v>69</v>
      </c>
      <c r="BK1080">
        <v>117735</v>
      </c>
      <c r="BL1080" t="s">
        <v>7345</v>
      </c>
      <c r="BM1080" t="str">
        <f>HYPERLINK("http://dx.doi.org/10.1016/j.jclepro.2019.117735","http://dx.doi.org/10.1016/j.jclepro.2019.117735")</f>
        <v>http://dx.doi.org/10.1016/j.jclepro.2019.117735</v>
      </c>
      <c r="BN1080" t="s">
        <v>69</v>
      </c>
      <c r="BO1080" t="s">
        <v>69</v>
      </c>
      <c r="BP1080">
        <v>15</v>
      </c>
      <c r="BQ1080" t="s">
        <v>8643</v>
      </c>
      <c r="BR1080" t="s">
        <v>8548</v>
      </c>
      <c r="BS1080" t="s">
        <v>8644</v>
      </c>
      <c r="BT1080" t="s">
        <v>16495</v>
      </c>
      <c r="BU1080" t="s">
        <v>7346</v>
      </c>
      <c r="BV1080" t="s">
        <v>69</v>
      </c>
      <c r="BW1080" t="s">
        <v>69</v>
      </c>
      <c r="BX1080" t="s">
        <v>69</v>
      </c>
      <c r="BY1080" t="s">
        <v>69</v>
      </c>
      <c r="BZ1080" t="s">
        <v>8526</v>
      </c>
      <c r="CA1080" t="str">
        <f>HYPERLINK("https%3A%2F%2Fwww.webofscience.com%2Fwos%2Fwoscc%2Ffull-record%2FWOS:000483462700026","View Full Record in Web of Science")</f>
        <v>View Full Record in Web of Science</v>
      </c>
    </row>
    <row r="1081" spans="1:79" ht="12.5" x14ac:dyDescent="0.25">
      <c r="B1081" t="s">
        <v>8495</v>
      </c>
      <c r="D1081" s="7" t="s">
        <v>32933</v>
      </c>
      <c r="E1081" s="7"/>
      <c r="F1081" s="7"/>
      <c r="G1081" s="7"/>
      <c r="H1081" t="s">
        <v>67</v>
      </c>
      <c r="I1081" t="s">
        <v>4807</v>
      </c>
      <c r="J1081" t="s">
        <v>69</v>
      </c>
      <c r="K1081" t="s">
        <v>69</v>
      </c>
      <c r="L1081" t="s">
        <v>69</v>
      </c>
      <c r="M1081" t="s">
        <v>4808</v>
      </c>
      <c r="N1081" t="s">
        <v>69</v>
      </c>
      <c r="O1081" t="s">
        <v>69</v>
      </c>
      <c r="P1081" t="s">
        <v>4809</v>
      </c>
      <c r="Q1081" t="s">
        <v>632</v>
      </c>
      <c r="R1081" t="s">
        <v>69</v>
      </c>
      <c r="S1081" t="s">
        <v>69</v>
      </c>
      <c r="T1081" t="s">
        <v>8505</v>
      </c>
      <c r="U1081" t="s">
        <v>8506</v>
      </c>
      <c r="V1081" t="s">
        <v>69</v>
      </c>
      <c r="W1081" t="s">
        <v>69</v>
      </c>
      <c r="X1081" t="s">
        <v>69</v>
      </c>
      <c r="Y1081" t="s">
        <v>69</v>
      </c>
      <c r="Z1081" t="s">
        <v>69</v>
      </c>
      <c r="AA1081" t="s">
        <v>13400</v>
      </c>
      <c r="AB1081" t="s">
        <v>13401</v>
      </c>
      <c r="AC1081" t="s">
        <v>4810</v>
      </c>
      <c r="AD1081" t="s">
        <v>13402</v>
      </c>
      <c r="AE1081" t="s">
        <v>69</v>
      </c>
      <c r="AF1081" t="s">
        <v>12974</v>
      </c>
      <c r="AG1081" t="s">
        <v>13403</v>
      </c>
      <c r="AH1081" t="s">
        <v>13404</v>
      </c>
      <c r="AI1081" t="s">
        <v>13405</v>
      </c>
      <c r="AJ1081" t="s">
        <v>69</v>
      </c>
      <c r="AK1081" t="s">
        <v>69</v>
      </c>
      <c r="AL1081" t="s">
        <v>69</v>
      </c>
      <c r="AM1081" t="s">
        <v>69</v>
      </c>
      <c r="AN1081">
        <v>93</v>
      </c>
      <c r="AO1081">
        <v>21</v>
      </c>
      <c r="AP1081">
        <v>21</v>
      </c>
      <c r="AQ1081">
        <v>17</v>
      </c>
      <c r="AR1081">
        <v>85</v>
      </c>
      <c r="AS1081" t="s">
        <v>8516</v>
      </c>
      <c r="AT1081" t="s">
        <v>8517</v>
      </c>
      <c r="AU1081" t="s">
        <v>8518</v>
      </c>
      <c r="AV1081" t="s">
        <v>634</v>
      </c>
      <c r="AW1081" t="s">
        <v>635</v>
      </c>
      <c r="AX1081" t="s">
        <v>69</v>
      </c>
      <c r="AY1081" t="s">
        <v>8714</v>
      </c>
      <c r="AZ1081" t="s">
        <v>8715</v>
      </c>
      <c r="BA1081" t="s">
        <v>442</v>
      </c>
      <c r="BB1081">
        <v>2021</v>
      </c>
      <c r="BC1081">
        <v>753</v>
      </c>
      <c r="BD1081" t="s">
        <v>69</v>
      </c>
      <c r="BE1081" t="s">
        <v>69</v>
      </c>
      <c r="BF1081" t="s">
        <v>69</v>
      </c>
      <c r="BG1081" t="s">
        <v>69</v>
      </c>
      <c r="BH1081" t="s">
        <v>69</v>
      </c>
      <c r="BI1081" t="s">
        <v>69</v>
      </c>
      <c r="BJ1081" t="s">
        <v>69</v>
      </c>
      <c r="BK1081">
        <v>141974</v>
      </c>
      <c r="BL1081" t="s">
        <v>4811</v>
      </c>
      <c r="BM1081" t="str">
        <f>HYPERLINK("http://dx.doi.org/10.1016/j.scitotenv.2020.141974","http://dx.doi.org/10.1016/j.scitotenv.2020.141974")</f>
        <v>http://dx.doi.org/10.1016/j.scitotenv.2020.141974</v>
      </c>
      <c r="BN1081" t="s">
        <v>69</v>
      </c>
      <c r="BO1081" t="s">
        <v>69</v>
      </c>
      <c r="BP1081">
        <v>17</v>
      </c>
      <c r="BQ1081" t="s">
        <v>8717</v>
      </c>
      <c r="BR1081" t="s">
        <v>8523</v>
      </c>
      <c r="BS1081" t="s">
        <v>8662</v>
      </c>
      <c r="BT1081" t="s">
        <v>13406</v>
      </c>
      <c r="BU1081" t="s">
        <v>4812</v>
      </c>
      <c r="BV1081">
        <v>32906046</v>
      </c>
      <c r="BW1081" t="s">
        <v>9292</v>
      </c>
      <c r="BX1081" t="s">
        <v>69</v>
      </c>
      <c r="BY1081" t="s">
        <v>69</v>
      </c>
      <c r="BZ1081" t="s">
        <v>8526</v>
      </c>
      <c r="CA1081" t="str">
        <f>HYPERLINK("https%3A%2F%2Fwww.webofscience.com%2Fwos%2Fwoscc%2Ffull-record%2FWOS:000588616700071","View Full Record in Web of Science")</f>
        <v>View Full Record in Web of Science</v>
      </c>
    </row>
    <row r="1082" spans="1:79" ht="12.5" x14ac:dyDescent="0.25">
      <c r="B1082" t="s">
        <v>8495</v>
      </c>
      <c r="D1082" s="22" t="s">
        <v>32931</v>
      </c>
      <c r="E1082" s="7"/>
      <c r="F1082" s="7"/>
      <c r="G1082" s="7"/>
      <c r="H1082" t="s">
        <v>67</v>
      </c>
      <c r="I1082" t="s">
        <v>12967</v>
      </c>
      <c r="J1082" t="s">
        <v>69</v>
      </c>
      <c r="K1082" t="s">
        <v>69</v>
      </c>
      <c r="L1082" t="s">
        <v>69</v>
      </c>
      <c r="M1082" t="s">
        <v>12968</v>
      </c>
      <c r="N1082" t="s">
        <v>69</v>
      </c>
      <c r="O1082" t="s">
        <v>69</v>
      </c>
      <c r="P1082" t="s">
        <v>12969</v>
      </c>
      <c r="Q1082" t="s">
        <v>352</v>
      </c>
      <c r="R1082" t="s">
        <v>69</v>
      </c>
      <c r="S1082" t="s">
        <v>69</v>
      </c>
      <c r="T1082" t="s">
        <v>8505</v>
      </c>
      <c r="U1082" t="s">
        <v>8506</v>
      </c>
      <c r="V1082" t="s">
        <v>69</v>
      </c>
      <c r="W1082" t="s">
        <v>69</v>
      </c>
      <c r="X1082" t="s">
        <v>69</v>
      </c>
      <c r="Y1082" t="s">
        <v>69</v>
      </c>
      <c r="Z1082" t="s">
        <v>69</v>
      </c>
      <c r="AA1082" t="s">
        <v>12970</v>
      </c>
      <c r="AB1082" t="s">
        <v>12971</v>
      </c>
      <c r="AC1082" t="s">
        <v>12972</v>
      </c>
      <c r="AD1082" t="s">
        <v>12973</v>
      </c>
      <c r="AE1082" t="s">
        <v>69</v>
      </c>
      <c r="AF1082" t="s">
        <v>12974</v>
      </c>
      <c r="AG1082" t="s">
        <v>12975</v>
      </c>
      <c r="AH1082" t="s">
        <v>12976</v>
      </c>
      <c r="AI1082" t="s">
        <v>12977</v>
      </c>
      <c r="AJ1082" t="s">
        <v>69</v>
      </c>
      <c r="AK1082" t="s">
        <v>69</v>
      </c>
      <c r="AL1082" t="s">
        <v>69</v>
      </c>
      <c r="AM1082" t="s">
        <v>69</v>
      </c>
      <c r="AN1082">
        <v>65</v>
      </c>
      <c r="AO1082">
        <v>19</v>
      </c>
      <c r="AP1082">
        <v>19</v>
      </c>
      <c r="AQ1082">
        <v>6</v>
      </c>
      <c r="AR1082">
        <v>15</v>
      </c>
      <c r="AS1082" t="s">
        <v>8924</v>
      </c>
      <c r="AT1082" t="s">
        <v>8925</v>
      </c>
      <c r="AU1082" t="s">
        <v>8926</v>
      </c>
      <c r="AV1082" t="s">
        <v>69</v>
      </c>
      <c r="AW1082" t="s">
        <v>354</v>
      </c>
      <c r="AX1082" t="s">
        <v>69</v>
      </c>
      <c r="AY1082" t="s">
        <v>8958</v>
      </c>
      <c r="AZ1082" t="s">
        <v>8434</v>
      </c>
      <c r="BA1082" t="s">
        <v>94</v>
      </c>
      <c r="BB1082">
        <v>2021</v>
      </c>
      <c r="BC1082">
        <v>13</v>
      </c>
      <c r="BD1082">
        <v>5</v>
      </c>
      <c r="BE1082" t="s">
        <v>69</v>
      </c>
      <c r="BF1082" t="s">
        <v>69</v>
      </c>
      <c r="BG1082" t="s">
        <v>69</v>
      </c>
      <c r="BH1082" t="s">
        <v>69</v>
      </c>
      <c r="BI1082" t="s">
        <v>69</v>
      </c>
      <c r="BJ1082" t="s">
        <v>69</v>
      </c>
      <c r="BK1082">
        <v>2485</v>
      </c>
      <c r="BL1082" t="s">
        <v>12978</v>
      </c>
      <c r="BM1082" t="str">
        <f>HYPERLINK("http://dx.doi.org/10.3390/su13052485","http://dx.doi.org/10.3390/su13052485")</f>
        <v>http://dx.doi.org/10.3390/su13052485</v>
      </c>
      <c r="BN1082" t="s">
        <v>69</v>
      </c>
      <c r="BO1082" t="s">
        <v>69</v>
      </c>
      <c r="BP1082">
        <v>24</v>
      </c>
      <c r="BQ1082" t="s">
        <v>8960</v>
      </c>
      <c r="BR1082" t="s">
        <v>8523</v>
      </c>
      <c r="BS1082" t="s">
        <v>8961</v>
      </c>
      <c r="BT1082" t="s">
        <v>12979</v>
      </c>
      <c r="BU1082" t="s">
        <v>12980</v>
      </c>
      <c r="BV1082" t="s">
        <v>69</v>
      </c>
      <c r="BW1082" t="s">
        <v>8812</v>
      </c>
      <c r="BX1082" t="s">
        <v>69</v>
      </c>
      <c r="BY1082" t="s">
        <v>69</v>
      </c>
      <c r="BZ1082" t="s">
        <v>8526</v>
      </c>
      <c r="CA1082" t="str">
        <f>HYPERLINK("https%3A%2F%2Fwww.webofscience.com%2Fwos%2Fwoscc%2Ffull-record%2FWOS:000628674600001","View Full Record in Web of Science")</f>
        <v>View Full Record in Web of Science</v>
      </c>
    </row>
    <row r="1083" spans="1:79" ht="12.5" x14ac:dyDescent="0.25">
      <c r="B1083" t="s">
        <v>8495</v>
      </c>
      <c r="D1083" s="7" t="s">
        <v>32933</v>
      </c>
      <c r="E1083" s="7"/>
      <c r="F1083" s="7"/>
      <c r="G1083" s="7"/>
      <c r="H1083" t="s">
        <v>67</v>
      </c>
      <c r="I1083" t="s">
        <v>1168</v>
      </c>
      <c r="J1083" t="s">
        <v>69</v>
      </c>
      <c r="K1083" t="s">
        <v>69</v>
      </c>
      <c r="L1083" t="s">
        <v>69</v>
      </c>
      <c r="M1083" t="s">
        <v>1169</v>
      </c>
      <c r="N1083" t="s">
        <v>69</v>
      </c>
      <c r="O1083" t="s">
        <v>69</v>
      </c>
      <c r="P1083" t="s">
        <v>1170</v>
      </c>
      <c r="Q1083" t="s">
        <v>1171</v>
      </c>
      <c r="R1083" t="s">
        <v>69</v>
      </c>
      <c r="S1083" t="s">
        <v>69</v>
      </c>
      <c r="T1083" t="s">
        <v>8505</v>
      </c>
      <c r="U1083" t="s">
        <v>8506</v>
      </c>
      <c r="V1083" t="s">
        <v>69</v>
      </c>
      <c r="W1083" t="s">
        <v>69</v>
      </c>
      <c r="X1083" t="s">
        <v>69</v>
      </c>
      <c r="Y1083" t="s">
        <v>69</v>
      </c>
      <c r="Z1083" t="s">
        <v>69</v>
      </c>
      <c r="AA1083" t="s">
        <v>20779</v>
      </c>
      <c r="AB1083" t="s">
        <v>20780</v>
      </c>
      <c r="AC1083" t="s">
        <v>1172</v>
      </c>
      <c r="AD1083" t="s">
        <v>20781</v>
      </c>
      <c r="AE1083" t="s">
        <v>69</v>
      </c>
      <c r="AF1083" t="s">
        <v>20782</v>
      </c>
      <c r="AG1083" t="s">
        <v>20783</v>
      </c>
      <c r="AH1083" t="s">
        <v>69</v>
      </c>
      <c r="AI1083" t="s">
        <v>69</v>
      </c>
      <c r="AJ1083" t="s">
        <v>69</v>
      </c>
      <c r="AK1083" t="s">
        <v>69</v>
      </c>
      <c r="AL1083" t="s">
        <v>69</v>
      </c>
      <c r="AM1083" t="s">
        <v>69</v>
      </c>
      <c r="AN1083">
        <v>54</v>
      </c>
      <c r="AO1083">
        <v>1</v>
      </c>
      <c r="AP1083">
        <v>1</v>
      </c>
      <c r="AQ1083">
        <v>2</v>
      </c>
      <c r="AR1083">
        <v>22</v>
      </c>
      <c r="AS1083" t="s">
        <v>8586</v>
      </c>
      <c r="AT1083" t="s">
        <v>8587</v>
      </c>
      <c r="AU1083" t="s">
        <v>8588</v>
      </c>
      <c r="AV1083" t="s">
        <v>1173</v>
      </c>
      <c r="AW1083" t="s">
        <v>1174</v>
      </c>
      <c r="AX1083" t="s">
        <v>69</v>
      </c>
      <c r="AY1083" t="s">
        <v>20784</v>
      </c>
      <c r="AZ1083" t="s">
        <v>20785</v>
      </c>
      <c r="BA1083" t="s">
        <v>69</v>
      </c>
      <c r="BB1083">
        <v>2017</v>
      </c>
      <c r="BC1083">
        <v>32</v>
      </c>
      <c r="BD1083">
        <v>8</v>
      </c>
      <c r="BE1083" t="s">
        <v>69</v>
      </c>
      <c r="BF1083" t="s">
        <v>69</v>
      </c>
      <c r="BG1083" t="s">
        <v>69</v>
      </c>
      <c r="BH1083" t="s">
        <v>69</v>
      </c>
      <c r="BI1083">
        <v>1159</v>
      </c>
      <c r="BJ1083">
        <v>1171</v>
      </c>
      <c r="BK1083" t="s">
        <v>69</v>
      </c>
      <c r="BL1083" t="s">
        <v>1175</v>
      </c>
      <c r="BM1083" t="str">
        <f>HYPERLINK("http://dx.doi.org/10.1108/JBIM-11-2016-0263","http://dx.doi.org/10.1108/JBIM-11-2016-0263")</f>
        <v>http://dx.doi.org/10.1108/JBIM-11-2016-0263</v>
      </c>
      <c r="BN1083" t="s">
        <v>69</v>
      </c>
      <c r="BO1083" t="s">
        <v>69</v>
      </c>
      <c r="BP1083">
        <v>13</v>
      </c>
      <c r="BQ1083" t="s">
        <v>8444</v>
      </c>
      <c r="BR1083" t="s">
        <v>8661</v>
      </c>
      <c r="BS1083" t="s">
        <v>8594</v>
      </c>
      <c r="BT1083" t="s">
        <v>20786</v>
      </c>
      <c r="BU1083" t="s">
        <v>1176</v>
      </c>
      <c r="BV1083" t="s">
        <v>69</v>
      </c>
      <c r="BW1083" t="s">
        <v>69</v>
      </c>
      <c r="BX1083" t="s">
        <v>69</v>
      </c>
      <c r="BY1083" t="s">
        <v>69</v>
      </c>
      <c r="BZ1083" t="s">
        <v>8526</v>
      </c>
      <c r="CA1083" t="str">
        <f>HYPERLINK("https%3A%2F%2Fwww.webofscience.com%2Fwos%2Fwoscc%2Ffull-record%2FWOS:000414029700012","View Full Record in Web of Science")</f>
        <v>View Full Record in Web of Science</v>
      </c>
    </row>
    <row r="1084" spans="1:79" ht="12.5" x14ac:dyDescent="0.25">
      <c r="B1084" t="s">
        <v>8495</v>
      </c>
      <c r="D1084" s="7" t="s">
        <v>32933</v>
      </c>
      <c r="E1084" s="7"/>
      <c r="F1084" s="7"/>
      <c r="G1084" s="7"/>
      <c r="H1084" t="s">
        <v>67</v>
      </c>
      <c r="I1084" t="s">
        <v>2059</v>
      </c>
      <c r="J1084" t="s">
        <v>69</v>
      </c>
      <c r="K1084" t="s">
        <v>69</v>
      </c>
      <c r="L1084" t="s">
        <v>69</v>
      </c>
      <c r="M1084" t="s">
        <v>2060</v>
      </c>
      <c r="N1084" t="s">
        <v>69</v>
      </c>
      <c r="O1084" t="s">
        <v>69</v>
      </c>
      <c r="P1084" t="s">
        <v>2061</v>
      </c>
      <c r="Q1084" t="s">
        <v>2062</v>
      </c>
      <c r="R1084" t="s">
        <v>69</v>
      </c>
      <c r="S1084" t="s">
        <v>69</v>
      </c>
      <c r="T1084" t="s">
        <v>9357</v>
      </c>
      <c r="U1084" t="s">
        <v>8506</v>
      </c>
      <c r="V1084" t="s">
        <v>69</v>
      </c>
      <c r="W1084" t="s">
        <v>69</v>
      </c>
      <c r="X1084" t="s">
        <v>69</v>
      </c>
      <c r="Y1084" t="s">
        <v>69</v>
      </c>
      <c r="Z1084" t="s">
        <v>69</v>
      </c>
      <c r="AA1084" t="s">
        <v>16103</v>
      </c>
      <c r="AB1084" t="s">
        <v>16104</v>
      </c>
      <c r="AC1084" t="s">
        <v>2063</v>
      </c>
      <c r="AD1084" t="s">
        <v>16105</v>
      </c>
      <c r="AE1084" t="s">
        <v>69</v>
      </c>
      <c r="AF1084" t="s">
        <v>16106</v>
      </c>
      <c r="AG1084" t="s">
        <v>16107</v>
      </c>
      <c r="AH1084" t="s">
        <v>69</v>
      </c>
      <c r="AI1084" t="s">
        <v>16108</v>
      </c>
      <c r="AJ1084" t="s">
        <v>16109</v>
      </c>
      <c r="AK1084" t="s">
        <v>16110</v>
      </c>
      <c r="AL1084" t="s">
        <v>16111</v>
      </c>
      <c r="AM1084" t="s">
        <v>69</v>
      </c>
      <c r="AN1084">
        <v>34</v>
      </c>
      <c r="AO1084">
        <v>0</v>
      </c>
      <c r="AP1084">
        <v>0</v>
      </c>
      <c r="AQ1084">
        <v>0</v>
      </c>
      <c r="AR1084">
        <v>1</v>
      </c>
      <c r="AS1084" t="s">
        <v>16112</v>
      </c>
      <c r="AT1084" t="s">
        <v>16113</v>
      </c>
      <c r="AU1084" t="s">
        <v>16114</v>
      </c>
      <c r="AV1084" t="s">
        <v>2064</v>
      </c>
      <c r="AW1084" t="s">
        <v>69</v>
      </c>
      <c r="AX1084" t="s">
        <v>69</v>
      </c>
      <c r="AY1084" t="s">
        <v>16115</v>
      </c>
      <c r="AZ1084" t="s">
        <v>16115</v>
      </c>
      <c r="BA1084" t="s">
        <v>69</v>
      </c>
      <c r="BB1084">
        <v>2020</v>
      </c>
      <c r="BC1084">
        <v>11</v>
      </c>
      <c r="BD1084">
        <v>3</v>
      </c>
      <c r="BE1084" t="s">
        <v>69</v>
      </c>
      <c r="BF1084" t="s">
        <v>69</v>
      </c>
      <c r="BG1084" t="s">
        <v>69</v>
      </c>
      <c r="BH1084" t="s">
        <v>69</v>
      </c>
      <c r="BI1084">
        <v>2</v>
      </c>
      <c r="BJ1084">
        <v>17</v>
      </c>
      <c r="BK1084" t="s">
        <v>69</v>
      </c>
      <c r="BL1084" t="s">
        <v>2065</v>
      </c>
      <c r="BM1084" t="str">
        <f>HYPERLINK("http://dx.doi.org/10.29141/2218-5003-2020-11-3-1","http://dx.doi.org/10.29141/2218-5003-2020-11-3-1")</f>
        <v>http://dx.doi.org/10.29141/2218-5003-2020-11-3-1</v>
      </c>
      <c r="BN1084" t="s">
        <v>69</v>
      </c>
      <c r="BO1084" t="s">
        <v>69</v>
      </c>
      <c r="BP1084">
        <v>16</v>
      </c>
      <c r="BQ1084" t="s">
        <v>9410</v>
      </c>
      <c r="BR1084" t="s">
        <v>8573</v>
      </c>
      <c r="BS1084" t="s">
        <v>8594</v>
      </c>
      <c r="BT1084" t="s">
        <v>16116</v>
      </c>
      <c r="BU1084" t="s">
        <v>2066</v>
      </c>
      <c r="BV1084" t="s">
        <v>69</v>
      </c>
      <c r="BW1084" t="s">
        <v>12220</v>
      </c>
      <c r="BX1084" t="s">
        <v>69</v>
      </c>
      <c r="BY1084" t="s">
        <v>69</v>
      </c>
      <c r="BZ1084" t="s">
        <v>8526</v>
      </c>
      <c r="CA1084" t="str">
        <f>HYPERLINK("https%3A%2F%2Fwww.webofscience.com%2Fwos%2Fwoscc%2Ffull-record%2FWOS:000546559400001","View Full Record in Web of Science")</f>
        <v>View Full Record in Web of Science</v>
      </c>
    </row>
    <row r="1085" spans="1:79" ht="12.5" x14ac:dyDescent="0.25">
      <c r="B1085" t="s">
        <v>8495</v>
      </c>
      <c r="D1085" s="22" t="s">
        <v>32931</v>
      </c>
      <c r="E1085" s="7"/>
      <c r="F1085" s="7"/>
      <c r="G1085" s="7"/>
      <c r="H1085" t="s">
        <v>67</v>
      </c>
      <c r="I1085" t="s">
        <v>14773</v>
      </c>
      <c r="J1085" t="s">
        <v>69</v>
      </c>
      <c r="K1085" t="s">
        <v>69</v>
      </c>
      <c r="L1085" t="s">
        <v>69</v>
      </c>
      <c r="M1085" t="s">
        <v>14774</v>
      </c>
      <c r="N1085" t="s">
        <v>69</v>
      </c>
      <c r="O1085" t="s">
        <v>69</v>
      </c>
      <c r="P1085" t="s">
        <v>14775</v>
      </c>
      <c r="Q1085" t="s">
        <v>14776</v>
      </c>
      <c r="R1085" t="s">
        <v>69</v>
      </c>
      <c r="S1085" t="s">
        <v>69</v>
      </c>
      <c r="T1085" t="s">
        <v>8505</v>
      </c>
      <c r="U1085" t="s">
        <v>8506</v>
      </c>
      <c r="V1085" t="s">
        <v>69</v>
      </c>
      <c r="W1085" t="s">
        <v>69</v>
      </c>
      <c r="X1085" t="s">
        <v>69</v>
      </c>
      <c r="Y1085" t="s">
        <v>69</v>
      </c>
      <c r="Z1085" t="s">
        <v>69</v>
      </c>
      <c r="AA1085" t="s">
        <v>14777</v>
      </c>
      <c r="AB1085" t="s">
        <v>14778</v>
      </c>
      <c r="AC1085" t="s">
        <v>14779</v>
      </c>
      <c r="AD1085" t="s">
        <v>14780</v>
      </c>
      <c r="AE1085" t="s">
        <v>69</v>
      </c>
      <c r="AF1085" t="s">
        <v>14781</v>
      </c>
      <c r="AG1085" t="s">
        <v>14782</v>
      </c>
      <c r="AH1085" t="s">
        <v>14783</v>
      </c>
      <c r="AI1085" t="s">
        <v>14784</v>
      </c>
      <c r="AJ1085" t="s">
        <v>14785</v>
      </c>
      <c r="AK1085" t="s">
        <v>14785</v>
      </c>
      <c r="AL1085" t="s">
        <v>14786</v>
      </c>
      <c r="AM1085" t="s">
        <v>69</v>
      </c>
      <c r="AN1085">
        <v>45</v>
      </c>
      <c r="AO1085">
        <v>8</v>
      </c>
      <c r="AP1085">
        <v>8</v>
      </c>
      <c r="AQ1085">
        <v>1</v>
      </c>
      <c r="AR1085">
        <v>4</v>
      </c>
      <c r="AS1085" t="s">
        <v>9203</v>
      </c>
      <c r="AT1085" t="s">
        <v>8763</v>
      </c>
      <c r="AU1085" t="s">
        <v>9204</v>
      </c>
      <c r="AV1085" t="s">
        <v>14787</v>
      </c>
      <c r="AW1085" t="s">
        <v>69</v>
      </c>
      <c r="AX1085" t="s">
        <v>69</v>
      </c>
      <c r="AY1085" t="s">
        <v>14788</v>
      </c>
      <c r="AZ1085" t="s">
        <v>14789</v>
      </c>
      <c r="BA1085" t="s">
        <v>14790</v>
      </c>
      <c r="BB1085">
        <v>2020</v>
      </c>
      <c r="BC1085">
        <v>9</v>
      </c>
      <c r="BD1085">
        <v>1</v>
      </c>
      <c r="BE1085" t="s">
        <v>69</v>
      </c>
      <c r="BF1085" t="s">
        <v>69</v>
      </c>
      <c r="BG1085" t="s">
        <v>69</v>
      </c>
      <c r="BH1085" t="s">
        <v>69</v>
      </c>
      <c r="BI1085" t="s">
        <v>69</v>
      </c>
      <c r="BJ1085" t="s">
        <v>69</v>
      </c>
      <c r="BK1085">
        <v>99</v>
      </c>
      <c r="BL1085" t="s">
        <v>14791</v>
      </c>
      <c r="BM1085" t="str">
        <f>HYPERLINK("http://dx.doi.org/10.1186/s13756-020-00767-w","http://dx.doi.org/10.1186/s13756-020-00767-w")</f>
        <v>http://dx.doi.org/10.1186/s13756-020-00767-w</v>
      </c>
      <c r="BN1085" t="s">
        <v>69</v>
      </c>
      <c r="BO1085" t="s">
        <v>69</v>
      </c>
      <c r="BP1085">
        <v>12</v>
      </c>
      <c r="BQ1085" t="s">
        <v>14792</v>
      </c>
      <c r="BR1085" t="s">
        <v>8523</v>
      </c>
      <c r="BS1085" t="s">
        <v>14792</v>
      </c>
      <c r="BT1085" t="s">
        <v>14793</v>
      </c>
      <c r="BU1085" t="s">
        <v>14795</v>
      </c>
      <c r="BV1085">
        <v>32616015</v>
      </c>
      <c r="BW1085" t="s">
        <v>14794</v>
      </c>
      <c r="BX1085" t="s">
        <v>69</v>
      </c>
      <c r="BY1085" t="s">
        <v>69</v>
      </c>
      <c r="BZ1085" t="s">
        <v>8526</v>
      </c>
      <c r="CA1085" t="str">
        <f>HYPERLINK("https%3A%2F%2Fwww.webofscience.com%2Fwos%2Fwoscc%2Ffull-record%2FWOS:000548377000001","View Full Record in Web of Science")</f>
        <v>View Full Record in Web of Science</v>
      </c>
    </row>
    <row r="1086" spans="1:79" ht="12.5" x14ac:dyDescent="0.25">
      <c r="B1086" t="s">
        <v>8495</v>
      </c>
      <c r="D1086" s="22" t="s">
        <v>32931</v>
      </c>
      <c r="E1086" s="7"/>
      <c r="F1086" s="7"/>
      <c r="G1086" s="7"/>
      <c r="H1086" t="s">
        <v>67</v>
      </c>
      <c r="I1086" t="s">
        <v>9395</v>
      </c>
      <c r="J1086" t="s">
        <v>69</v>
      </c>
      <c r="K1086" t="s">
        <v>69</v>
      </c>
      <c r="L1086" t="s">
        <v>69</v>
      </c>
      <c r="M1086" t="s">
        <v>9396</v>
      </c>
      <c r="N1086" t="s">
        <v>69</v>
      </c>
      <c r="O1086" t="s">
        <v>69</v>
      </c>
      <c r="P1086" t="s">
        <v>9397</v>
      </c>
      <c r="Q1086" t="s">
        <v>9398</v>
      </c>
      <c r="R1086" t="s">
        <v>69</v>
      </c>
      <c r="S1086" t="s">
        <v>69</v>
      </c>
      <c r="T1086" t="s">
        <v>8505</v>
      </c>
      <c r="U1086" t="s">
        <v>8506</v>
      </c>
      <c r="V1086" t="s">
        <v>69</v>
      </c>
      <c r="W1086" t="s">
        <v>69</v>
      </c>
      <c r="X1086" t="s">
        <v>69</v>
      </c>
      <c r="Y1086" t="s">
        <v>69</v>
      </c>
      <c r="Z1086" t="s">
        <v>69</v>
      </c>
      <c r="AA1086" t="s">
        <v>9399</v>
      </c>
      <c r="AB1086" t="s">
        <v>9400</v>
      </c>
      <c r="AC1086" t="s">
        <v>9401</v>
      </c>
      <c r="AD1086" t="s">
        <v>9402</v>
      </c>
      <c r="AE1086" t="s">
        <v>69</v>
      </c>
      <c r="AF1086" t="s">
        <v>9403</v>
      </c>
      <c r="AG1086" t="s">
        <v>9404</v>
      </c>
      <c r="AH1086" t="s">
        <v>69</v>
      </c>
      <c r="AI1086" t="s">
        <v>69</v>
      </c>
      <c r="AJ1086" t="s">
        <v>69</v>
      </c>
      <c r="AK1086" t="s">
        <v>69</v>
      </c>
      <c r="AL1086" t="s">
        <v>69</v>
      </c>
      <c r="AM1086" t="s">
        <v>69</v>
      </c>
      <c r="AN1086">
        <v>83</v>
      </c>
      <c r="AO1086">
        <v>0</v>
      </c>
      <c r="AP1086">
        <v>0</v>
      </c>
      <c r="AQ1086">
        <v>5</v>
      </c>
      <c r="AR1086">
        <v>5</v>
      </c>
      <c r="AS1086" t="s">
        <v>8636</v>
      </c>
      <c r="AT1086" t="s">
        <v>8637</v>
      </c>
      <c r="AU1086" t="s">
        <v>8638</v>
      </c>
      <c r="AV1086" t="s">
        <v>9405</v>
      </c>
      <c r="AW1086" t="s">
        <v>9406</v>
      </c>
      <c r="AX1086" t="s">
        <v>69</v>
      </c>
      <c r="AY1086" t="s">
        <v>9407</v>
      </c>
      <c r="AZ1086" t="s">
        <v>9408</v>
      </c>
      <c r="BA1086" t="s">
        <v>246</v>
      </c>
      <c r="BB1086">
        <v>2022</v>
      </c>
      <c r="BC1086">
        <v>40</v>
      </c>
      <c r="BD1086">
        <v>3</v>
      </c>
      <c r="BE1086" t="s">
        <v>69</v>
      </c>
      <c r="BF1086" t="s">
        <v>69</v>
      </c>
      <c r="BG1086" t="s">
        <v>69</v>
      </c>
      <c r="BH1086" t="s">
        <v>69</v>
      </c>
      <c r="BI1086">
        <v>155</v>
      </c>
      <c r="BJ1086">
        <v>166</v>
      </c>
      <c r="BK1086" t="s">
        <v>69</v>
      </c>
      <c r="BL1086" t="s">
        <v>9409</v>
      </c>
      <c r="BM1086" t="str">
        <f>HYPERLINK("http://dx.doi.org/10.1016/j.ijproman.2021.11.008","http://dx.doi.org/10.1016/j.ijproman.2021.11.008")</f>
        <v>http://dx.doi.org/10.1016/j.ijproman.2021.11.008</v>
      </c>
      <c r="BN1086" t="s">
        <v>69</v>
      </c>
      <c r="BO1086" t="s">
        <v>69</v>
      </c>
      <c r="BP1086">
        <v>12</v>
      </c>
      <c r="BQ1086" t="s">
        <v>9410</v>
      </c>
      <c r="BR1086" t="s">
        <v>8661</v>
      </c>
      <c r="BS1086" t="s">
        <v>8594</v>
      </c>
      <c r="BT1086" t="s">
        <v>9411</v>
      </c>
      <c r="BU1086" t="s">
        <v>9412</v>
      </c>
      <c r="BV1086" t="s">
        <v>69</v>
      </c>
      <c r="BW1086" t="s">
        <v>8746</v>
      </c>
      <c r="BX1086" t="s">
        <v>69</v>
      </c>
      <c r="BY1086" t="s">
        <v>69</v>
      </c>
      <c r="BZ1086" t="s">
        <v>8526</v>
      </c>
      <c r="CA1086" t="str">
        <f>HYPERLINK("https%3A%2F%2Fwww.webofscience.com%2Fwos%2Fwoscc%2Ffull-record%2FWOS:000792886200001","View Full Record in Web of Science")</f>
        <v>View Full Record in Web of Science</v>
      </c>
    </row>
    <row r="1087" spans="1:79" ht="12.5" x14ac:dyDescent="0.25">
      <c r="B1087" t="s">
        <v>8495</v>
      </c>
      <c r="D1087" s="7" t="s">
        <v>32933</v>
      </c>
      <c r="E1087" s="7"/>
      <c r="F1087" s="7"/>
      <c r="G1087" s="7"/>
      <c r="H1087" t="s">
        <v>67</v>
      </c>
      <c r="I1087" t="s">
        <v>8114</v>
      </c>
      <c r="J1087" t="s">
        <v>69</v>
      </c>
      <c r="K1087" t="s">
        <v>69</v>
      </c>
      <c r="L1087" t="s">
        <v>69</v>
      </c>
      <c r="M1087" t="s">
        <v>8115</v>
      </c>
      <c r="N1087" t="s">
        <v>69</v>
      </c>
      <c r="O1087" t="s">
        <v>69</v>
      </c>
      <c r="P1087" t="s">
        <v>8116</v>
      </c>
      <c r="Q1087" t="s">
        <v>5045</v>
      </c>
      <c r="R1087" t="s">
        <v>69</v>
      </c>
      <c r="S1087" t="s">
        <v>69</v>
      </c>
      <c r="T1087" t="s">
        <v>8505</v>
      </c>
      <c r="U1087" t="s">
        <v>8506</v>
      </c>
      <c r="V1087" t="s">
        <v>69</v>
      </c>
      <c r="W1087" t="s">
        <v>69</v>
      </c>
      <c r="X1087" t="s">
        <v>69</v>
      </c>
      <c r="Y1087" t="s">
        <v>69</v>
      </c>
      <c r="Z1087" t="s">
        <v>69</v>
      </c>
      <c r="AA1087" t="s">
        <v>22188</v>
      </c>
      <c r="AB1087" t="s">
        <v>69</v>
      </c>
      <c r="AC1087" t="s">
        <v>8117</v>
      </c>
      <c r="AD1087" t="s">
        <v>22189</v>
      </c>
      <c r="AE1087" t="s">
        <v>69</v>
      </c>
      <c r="AF1087" t="s">
        <v>22190</v>
      </c>
      <c r="AG1087" t="s">
        <v>22191</v>
      </c>
      <c r="AH1087" t="s">
        <v>69</v>
      </c>
      <c r="AI1087" t="s">
        <v>69</v>
      </c>
      <c r="AJ1087" t="s">
        <v>69</v>
      </c>
      <c r="AK1087" t="s">
        <v>69</v>
      </c>
      <c r="AL1087" t="s">
        <v>69</v>
      </c>
      <c r="AM1087" t="s">
        <v>69</v>
      </c>
      <c r="AN1087">
        <v>7</v>
      </c>
      <c r="AO1087">
        <v>1</v>
      </c>
      <c r="AP1087">
        <v>1</v>
      </c>
      <c r="AQ1087">
        <v>1</v>
      </c>
      <c r="AR1087">
        <v>10</v>
      </c>
      <c r="AS1087" t="s">
        <v>19469</v>
      </c>
      <c r="AT1087" t="s">
        <v>19470</v>
      </c>
      <c r="AU1087" t="s">
        <v>19471</v>
      </c>
      <c r="AV1087" t="s">
        <v>5048</v>
      </c>
      <c r="AW1087" t="s">
        <v>5049</v>
      </c>
      <c r="AX1087" t="s">
        <v>69</v>
      </c>
      <c r="AY1087" t="s">
        <v>19472</v>
      </c>
      <c r="AZ1087" t="s">
        <v>19473</v>
      </c>
      <c r="BA1087" t="s">
        <v>69</v>
      </c>
      <c r="BB1087">
        <v>2016</v>
      </c>
      <c r="BC1087">
        <v>2</v>
      </c>
      <c r="BD1087">
        <v>5</v>
      </c>
      <c r="BE1087" t="s">
        <v>69</v>
      </c>
      <c r="BF1087" t="s">
        <v>69</v>
      </c>
      <c r="BG1087" t="s">
        <v>69</v>
      </c>
      <c r="BH1087" t="s">
        <v>69</v>
      </c>
      <c r="BI1087">
        <v>41</v>
      </c>
      <c r="BJ1087">
        <v>47</v>
      </c>
      <c r="BK1087" t="s">
        <v>69</v>
      </c>
      <c r="BL1087" t="s">
        <v>8118</v>
      </c>
      <c r="BM1087" t="str">
        <f>HYPERLINK("http://dx.doi.org/10.30525/2256-0742/2016-2-5-41-47","http://dx.doi.org/10.30525/2256-0742/2016-2-5-41-47")</f>
        <v>http://dx.doi.org/10.30525/2256-0742/2016-2-5-41-47</v>
      </c>
      <c r="BN1087" t="s">
        <v>69</v>
      </c>
      <c r="BO1087" t="s">
        <v>69</v>
      </c>
      <c r="BP1087">
        <v>7</v>
      </c>
      <c r="BQ1087" t="s">
        <v>9726</v>
      </c>
      <c r="BR1087" t="s">
        <v>8573</v>
      </c>
      <c r="BS1087" t="s">
        <v>8594</v>
      </c>
      <c r="BT1087" t="s">
        <v>22192</v>
      </c>
      <c r="BU1087" t="s">
        <v>8119</v>
      </c>
      <c r="BV1087" t="s">
        <v>69</v>
      </c>
      <c r="BW1087" t="s">
        <v>8931</v>
      </c>
      <c r="BX1087" t="s">
        <v>69</v>
      </c>
      <c r="BY1087" t="s">
        <v>69</v>
      </c>
      <c r="BZ1087" t="s">
        <v>8526</v>
      </c>
      <c r="CA1087" t="str">
        <f>HYPERLINK("https%3A%2F%2Fwww.webofscience.com%2Fwos%2Fwoscc%2Ffull-record%2FWOS:000433734400007","View Full Record in Web of Science")</f>
        <v>View Full Record in Web of Science</v>
      </c>
    </row>
    <row r="1088" spans="1:79" ht="12.5" x14ac:dyDescent="0.25">
      <c r="B1088" t="s">
        <v>8495</v>
      </c>
      <c r="D1088" s="22" t="s">
        <v>32931</v>
      </c>
      <c r="E1088" s="7"/>
      <c r="F1088" s="7"/>
      <c r="G1088" s="7"/>
      <c r="H1088" t="s">
        <v>67</v>
      </c>
      <c r="I1088" t="s">
        <v>27969</v>
      </c>
      <c r="J1088" t="s">
        <v>69</v>
      </c>
      <c r="K1088" t="s">
        <v>69</v>
      </c>
      <c r="L1088" t="s">
        <v>69</v>
      </c>
      <c r="M1088" t="s">
        <v>27970</v>
      </c>
      <c r="N1088" t="s">
        <v>69</v>
      </c>
      <c r="O1088" t="s">
        <v>69</v>
      </c>
      <c r="P1088" t="s">
        <v>27971</v>
      </c>
      <c r="Q1088" t="s">
        <v>27972</v>
      </c>
      <c r="R1088" t="s">
        <v>69</v>
      </c>
      <c r="S1088" t="s">
        <v>69</v>
      </c>
      <c r="T1088" t="s">
        <v>10071</v>
      </c>
      <c r="U1088" t="s">
        <v>8506</v>
      </c>
      <c r="V1088" t="s">
        <v>69</v>
      </c>
      <c r="W1088" t="s">
        <v>69</v>
      </c>
      <c r="X1088" t="s">
        <v>69</v>
      </c>
      <c r="Y1088" t="s">
        <v>69</v>
      </c>
      <c r="Z1088" t="s">
        <v>69</v>
      </c>
      <c r="AA1088" t="s">
        <v>27973</v>
      </c>
      <c r="AB1088" t="s">
        <v>69</v>
      </c>
      <c r="AC1088" t="s">
        <v>27974</v>
      </c>
      <c r="AD1088" t="s">
        <v>27975</v>
      </c>
      <c r="AE1088" t="s">
        <v>69</v>
      </c>
      <c r="AF1088" t="s">
        <v>27976</v>
      </c>
      <c r="AG1088" t="s">
        <v>27977</v>
      </c>
      <c r="AH1088" t="s">
        <v>69</v>
      </c>
      <c r="AI1088" t="s">
        <v>69</v>
      </c>
      <c r="AJ1088" t="s">
        <v>69</v>
      </c>
      <c r="AK1088" t="s">
        <v>69</v>
      </c>
      <c r="AL1088" t="s">
        <v>69</v>
      </c>
      <c r="AM1088" t="s">
        <v>69</v>
      </c>
      <c r="AN1088">
        <v>30</v>
      </c>
      <c r="AO1088">
        <v>1</v>
      </c>
      <c r="AP1088">
        <v>2</v>
      </c>
      <c r="AQ1088">
        <v>0</v>
      </c>
      <c r="AR1088">
        <v>0</v>
      </c>
      <c r="AS1088" t="s">
        <v>27978</v>
      </c>
      <c r="AT1088" t="s">
        <v>27979</v>
      </c>
      <c r="AU1088" t="s">
        <v>27980</v>
      </c>
      <c r="AV1088" t="s">
        <v>27981</v>
      </c>
      <c r="AW1088" t="s">
        <v>27982</v>
      </c>
      <c r="AX1088" t="s">
        <v>69</v>
      </c>
      <c r="AY1088" t="s">
        <v>27983</v>
      </c>
      <c r="AZ1088" t="s">
        <v>27984</v>
      </c>
      <c r="BA1088" t="s">
        <v>2654</v>
      </c>
      <c r="BB1088">
        <v>2010</v>
      </c>
      <c r="BC1088" t="s">
        <v>69</v>
      </c>
      <c r="BD1088">
        <v>26</v>
      </c>
      <c r="BE1088" t="s">
        <v>69</v>
      </c>
      <c r="BF1088" t="s">
        <v>69</v>
      </c>
      <c r="BG1088" t="s">
        <v>69</v>
      </c>
      <c r="BH1088" t="s">
        <v>69</v>
      </c>
      <c r="BI1088">
        <v>7</v>
      </c>
      <c r="BJ1088">
        <v>18</v>
      </c>
      <c r="BK1088" t="s">
        <v>69</v>
      </c>
      <c r="BL1088" t="s">
        <v>27985</v>
      </c>
      <c r="BM1088" t="str">
        <f>HYPERLINK("http://dx.doi.org/10.7764/cdi.26.8","http://dx.doi.org/10.7764/cdi.26.8")</f>
        <v>http://dx.doi.org/10.7764/cdi.26.8</v>
      </c>
      <c r="BN1088" t="s">
        <v>69</v>
      </c>
      <c r="BO1088" t="s">
        <v>69</v>
      </c>
      <c r="BP1088">
        <v>12</v>
      </c>
      <c r="BQ1088" t="s">
        <v>8443</v>
      </c>
      <c r="BR1088" t="s">
        <v>8573</v>
      </c>
      <c r="BS1088" t="s">
        <v>8443</v>
      </c>
      <c r="BT1088" t="s">
        <v>27986</v>
      </c>
      <c r="BU1088" t="s">
        <v>27987</v>
      </c>
      <c r="BV1088" t="s">
        <v>69</v>
      </c>
      <c r="BW1088" t="s">
        <v>11853</v>
      </c>
      <c r="BX1088" t="s">
        <v>69</v>
      </c>
      <c r="BY1088" t="s">
        <v>69</v>
      </c>
      <c r="BZ1088" t="s">
        <v>8526</v>
      </c>
      <c r="CA1088" t="str">
        <f>HYPERLINK("https%3A%2F%2Fwww.webofscience.com%2Fwos%2Fwoscc%2Ffull-record%2FWOS:000455370200001","View Full Record in Web of Science")</f>
        <v>View Full Record in Web of Science</v>
      </c>
    </row>
    <row r="1089" spans="2:79" ht="12.5" x14ac:dyDescent="0.25">
      <c r="B1089" t="s">
        <v>8495</v>
      </c>
      <c r="D1089" s="7" t="s">
        <v>32933</v>
      </c>
      <c r="E1089" s="7"/>
      <c r="F1089" s="7"/>
      <c r="G1089" s="7"/>
      <c r="H1089" t="s">
        <v>67</v>
      </c>
      <c r="I1089" t="s">
        <v>5243</v>
      </c>
      <c r="J1089" t="s">
        <v>69</v>
      </c>
      <c r="K1089" t="s">
        <v>69</v>
      </c>
      <c r="L1089" t="s">
        <v>69</v>
      </c>
      <c r="M1089" t="s">
        <v>5244</v>
      </c>
      <c r="N1089" t="s">
        <v>69</v>
      </c>
      <c r="O1089" t="s">
        <v>69</v>
      </c>
      <c r="P1089" t="s">
        <v>5245</v>
      </c>
      <c r="Q1089" t="s">
        <v>5246</v>
      </c>
      <c r="R1089" t="s">
        <v>69</v>
      </c>
      <c r="S1089" t="s">
        <v>69</v>
      </c>
      <c r="T1089" t="s">
        <v>8505</v>
      </c>
      <c r="U1089" t="s">
        <v>8506</v>
      </c>
      <c r="V1089" t="s">
        <v>69</v>
      </c>
      <c r="W1089" t="s">
        <v>69</v>
      </c>
      <c r="X1089" t="s">
        <v>69</v>
      </c>
      <c r="Y1089" t="s">
        <v>69</v>
      </c>
      <c r="Z1089" t="s">
        <v>69</v>
      </c>
      <c r="AA1089" t="s">
        <v>30212</v>
      </c>
      <c r="AB1089" t="s">
        <v>69</v>
      </c>
      <c r="AC1089" t="s">
        <v>5247</v>
      </c>
      <c r="AD1089" t="s">
        <v>30213</v>
      </c>
      <c r="AE1089" t="s">
        <v>69</v>
      </c>
      <c r="AF1089" t="s">
        <v>30214</v>
      </c>
      <c r="AG1089" t="s">
        <v>30215</v>
      </c>
      <c r="AH1089" t="s">
        <v>69</v>
      </c>
      <c r="AI1089" t="s">
        <v>69</v>
      </c>
      <c r="AJ1089" t="s">
        <v>69</v>
      </c>
      <c r="AK1089" t="s">
        <v>69</v>
      </c>
      <c r="AL1089" t="s">
        <v>69</v>
      </c>
      <c r="AM1089" t="s">
        <v>69</v>
      </c>
      <c r="AN1089">
        <v>11</v>
      </c>
      <c r="AO1089">
        <v>10</v>
      </c>
      <c r="AP1089">
        <v>10</v>
      </c>
      <c r="AQ1089">
        <v>1</v>
      </c>
      <c r="AR1089">
        <v>16</v>
      </c>
      <c r="AS1089" t="s">
        <v>16416</v>
      </c>
      <c r="AT1089" t="s">
        <v>16417</v>
      </c>
      <c r="AU1089" t="s">
        <v>16418</v>
      </c>
      <c r="AV1089" t="s">
        <v>5248</v>
      </c>
      <c r="AW1089" t="s">
        <v>69</v>
      </c>
      <c r="AX1089" t="s">
        <v>69</v>
      </c>
      <c r="AY1089" t="s">
        <v>30216</v>
      </c>
      <c r="AZ1089" t="s">
        <v>30217</v>
      </c>
      <c r="BA1089" t="s">
        <v>84</v>
      </c>
      <c r="BB1089">
        <v>2006</v>
      </c>
      <c r="BC1089">
        <v>31</v>
      </c>
      <c r="BD1089">
        <v>3</v>
      </c>
      <c r="BE1089" t="s">
        <v>69</v>
      </c>
      <c r="BF1089" t="s">
        <v>69</v>
      </c>
      <c r="BG1089" t="s">
        <v>69</v>
      </c>
      <c r="BH1089" t="s">
        <v>69</v>
      </c>
      <c r="BI1089">
        <v>395</v>
      </c>
      <c r="BJ1089">
        <v>408</v>
      </c>
      <c r="BK1089" t="s">
        <v>69</v>
      </c>
      <c r="BL1089" t="s">
        <v>5249</v>
      </c>
      <c r="BM1089" t="str">
        <f>HYPERLINK("http://dx.doi.org/10.1057/palgrave.gpp.2510086","http://dx.doi.org/10.1057/palgrave.gpp.2510086")</f>
        <v>http://dx.doi.org/10.1057/palgrave.gpp.2510086</v>
      </c>
      <c r="BN1089" t="s">
        <v>69</v>
      </c>
      <c r="BO1089" t="s">
        <v>69</v>
      </c>
      <c r="BP1089">
        <v>14</v>
      </c>
      <c r="BQ1089" t="s">
        <v>9749</v>
      </c>
      <c r="BR1089" t="s">
        <v>8661</v>
      </c>
      <c r="BS1089" t="s">
        <v>8594</v>
      </c>
      <c r="BT1089" t="s">
        <v>30218</v>
      </c>
      <c r="BU1089" t="s">
        <v>5250</v>
      </c>
      <c r="BV1089" t="s">
        <v>69</v>
      </c>
      <c r="BW1089" t="s">
        <v>9374</v>
      </c>
      <c r="BX1089" t="s">
        <v>69</v>
      </c>
      <c r="BY1089" t="s">
        <v>69</v>
      </c>
      <c r="BZ1089" t="s">
        <v>8526</v>
      </c>
      <c r="CA1089" t="str">
        <f>HYPERLINK("https%3A%2F%2Fwww.webofscience.com%2Fwos%2Fwoscc%2Ffull-record%2FWOS:000241241500003","View Full Record in Web of Science")</f>
        <v>View Full Record in Web of Science</v>
      </c>
    </row>
    <row r="1090" spans="2:79" x14ac:dyDescent="0.3">
      <c r="B1090" t="s">
        <v>8495</v>
      </c>
      <c r="D1090" s="9" t="s">
        <v>32958</v>
      </c>
      <c r="E1090" s="9" t="s">
        <v>33112</v>
      </c>
      <c r="F1090" s="10" t="s">
        <v>8490</v>
      </c>
      <c r="G1090" s="9" t="s">
        <v>8490</v>
      </c>
      <c r="H1090" t="s">
        <v>67</v>
      </c>
      <c r="I1090" t="s">
        <v>8964</v>
      </c>
      <c r="J1090" t="s">
        <v>69</v>
      </c>
      <c r="K1090" t="s">
        <v>69</v>
      </c>
      <c r="L1090" t="s">
        <v>69</v>
      </c>
      <c r="M1090" t="s">
        <v>8965</v>
      </c>
      <c r="N1090" t="s">
        <v>69</v>
      </c>
      <c r="O1090" t="s">
        <v>69</v>
      </c>
      <c r="P1090" t="s">
        <v>8966</v>
      </c>
      <c r="Q1090" t="s">
        <v>5400</v>
      </c>
      <c r="R1090" t="s">
        <v>69</v>
      </c>
      <c r="S1090" t="s">
        <v>69</v>
      </c>
      <c r="T1090" t="s">
        <v>8505</v>
      </c>
      <c r="U1090" t="s">
        <v>8506</v>
      </c>
      <c r="V1090" t="s">
        <v>69</v>
      </c>
      <c r="W1090" t="s">
        <v>69</v>
      </c>
      <c r="X1090" t="s">
        <v>69</v>
      </c>
      <c r="Y1090" t="s">
        <v>69</v>
      </c>
      <c r="Z1090" t="s">
        <v>69</v>
      </c>
      <c r="AA1090" t="s">
        <v>8967</v>
      </c>
      <c r="AB1090" t="s">
        <v>8968</v>
      </c>
      <c r="AC1090" t="s">
        <v>8969</v>
      </c>
      <c r="AD1090" t="s">
        <v>8970</v>
      </c>
      <c r="AE1090" t="s">
        <v>69</v>
      </c>
      <c r="AF1090" t="s">
        <v>8971</v>
      </c>
      <c r="AG1090" t="s">
        <v>8972</v>
      </c>
      <c r="AH1090" t="s">
        <v>69</v>
      </c>
      <c r="AI1090" t="s">
        <v>69</v>
      </c>
      <c r="AJ1090" t="s">
        <v>69</v>
      </c>
      <c r="AK1090" t="s">
        <v>69</v>
      </c>
      <c r="AL1090" t="s">
        <v>69</v>
      </c>
      <c r="AM1090" t="s">
        <v>69</v>
      </c>
      <c r="AN1090">
        <v>114</v>
      </c>
      <c r="AO1090">
        <v>0</v>
      </c>
      <c r="AP1090">
        <v>0</v>
      </c>
      <c r="AQ1090">
        <v>0</v>
      </c>
      <c r="AR1090">
        <v>0</v>
      </c>
      <c r="AS1090" t="s">
        <v>8516</v>
      </c>
      <c r="AT1090" t="s">
        <v>8517</v>
      </c>
      <c r="AU1090" t="s">
        <v>8973</v>
      </c>
      <c r="AV1090" t="s">
        <v>5402</v>
      </c>
      <c r="AW1090" t="s">
        <v>5403</v>
      </c>
      <c r="AX1090" t="s">
        <v>69</v>
      </c>
      <c r="AY1090" t="s">
        <v>8974</v>
      </c>
      <c r="AZ1090" t="s">
        <v>8975</v>
      </c>
      <c r="BA1090" t="s">
        <v>155</v>
      </c>
      <c r="BB1090">
        <v>2022</v>
      </c>
      <c r="BC1090">
        <v>88</v>
      </c>
      <c r="BD1090" t="s">
        <v>69</v>
      </c>
      <c r="BE1090" t="s">
        <v>69</v>
      </c>
      <c r="BF1090" t="s">
        <v>69</v>
      </c>
      <c r="BG1090" t="s">
        <v>69</v>
      </c>
      <c r="BH1090" t="s">
        <v>69</v>
      </c>
      <c r="BI1090" t="s">
        <v>69</v>
      </c>
      <c r="BJ1090" t="s">
        <v>69</v>
      </c>
      <c r="BK1090">
        <v>102635</v>
      </c>
      <c r="BL1090" t="s">
        <v>8976</v>
      </c>
      <c r="BM1090" t="str">
        <f>HYPERLINK("http://dx.doi.org/10.1016/j.erss.2022.102635","http://dx.doi.org/10.1016/j.erss.2022.102635")</f>
        <v>http://dx.doi.org/10.1016/j.erss.2022.102635</v>
      </c>
      <c r="BN1090" t="s">
        <v>69</v>
      </c>
      <c r="BO1090" t="s">
        <v>69</v>
      </c>
      <c r="BP1090">
        <v>9</v>
      </c>
      <c r="BQ1090" t="s">
        <v>8660</v>
      </c>
      <c r="BR1090" t="s">
        <v>8661</v>
      </c>
      <c r="BS1090" t="s">
        <v>8662</v>
      </c>
      <c r="BT1090" t="s">
        <v>8977</v>
      </c>
      <c r="BU1090" t="s">
        <v>8978</v>
      </c>
      <c r="BV1090" t="s">
        <v>69</v>
      </c>
      <c r="BW1090" t="s">
        <v>69</v>
      </c>
      <c r="BX1090" t="s">
        <v>69</v>
      </c>
      <c r="BY1090" t="s">
        <v>69</v>
      </c>
      <c r="BZ1090" t="s">
        <v>8526</v>
      </c>
      <c r="CA1090" t="str">
        <f>HYPERLINK("https%3A%2F%2Fwww.webofscience.com%2Fwos%2Fwoscc%2Ffull-record%2FWOS:000799013100001","View Full Record in Web of Science")</f>
        <v>View Full Record in Web of Science</v>
      </c>
    </row>
    <row r="1091" spans="2:79" x14ac:dyDescent="0.3">
      <c r="B1091" t="s">
        <v>8495</v>
      </c>
      <c r="D1091" s="9" t="s">
        <v>32948</v>
      </c>
      <c r="G1091" s="9" t="s">
        <v>33053</v>
      </c>
      <c r="H1091" t="s">
        <v>67</v>
      </c>
      <c r="I1091" t="s">
        <v>23489</v>
      </c>
      <c r="J1091" t="s">
        <v>69</v>
      </c>
      <c r="K1091" t="s">
        <v>69</v>
      </c>
      <c r="L1091" t="s">
        <v>69</v>
      </c>
      <c r="M1091" t="s">
        <v>23490</v>
      </c>
      <c r="N1091" t="s">
        <v>69</v>
      </c>
      <c r="O1091" t="s">
        <v>69</v>
      </c>
      <c r="P1091" t="s">
        <v>23491</v>
      </c>
      <c r="Q1091" t="s">
        <v>23492</v>
      </c>
      <c r="R1091" t="s">
        <v>69</v>
      </c>
      <c r="S1091" t="s">
        <v>69</v>
      </c>
      <c r="T1091" t="s">
        <v>8505</v>
      </c>
      <c r="U1091" t="s">
        <v>8506</v>
      </c>
      <c r="V1091" t="s">
        <v>69</v>
      </c>
      <c r="W1091" t="s">
        <v>69</v>
      </c>
      <c r="X1091" t="s">
        <v>69</v>
      </c>
      <c r="Y1091" t="s">
        <v>69</v>
      </c>
      <c r="Z1091" t="s">
        <v>69</v>
      </c>
      <c r="AA1091" t="s">
        <v>23493</v>
      </c>
      <c r="AB1091" t="s">
        <v>69</v>
      </c>
      <c r="AC1091" t="s">
        <v>23494</v>
      </c>
      <c r="AD1091" t="s">
        <v>23495</v>
      </c>
      <c r="AE1091" t="s">
        <v>69</v>
      </c>
      <c r="AF1091" t="s">
        <v>23496</v>
      </c>
      <c r="AG1091" t="s">
        <v>23497</v>
      </c>
      <c r="AH1091" t="s">
        <v>69</v>
      </c>
      <c r="AI1091" t="s">
        <v>69</v>
      </c>
      <c r="AJ1091" t="s">
        <v>69</v>
      </c>
      <c r="AK1091" t="s">
        <v>69</v>
      </c>
      <c r="AL1091" t="s">
        <v>69</v>
      </c>
      <c r="AM1091" t="s">
        <v>69</v>
      </c>
      <c r="AN1091">
        <v>17</v>
      </c>
      <c r="AO1091">
        <v>3</v>
      </c>
      <c r="AP1091">
        <v>3</v>
      </c>
      <c r="AQ1091">
        <v>0</v>
      </c>
      <c r="AR1091">
        <v>1</v>
      </c>
      <c r="AS1091" t="s">
        <v>8539</v>
      </c>
      <c r="AT1091" t="s">
        <v>8540</v>
      </c>
      <c r="AU1091" t="s">
        <v>8541</v>
      </c>
      <c r="AV1091" t="s">
        <v>23498</v>
      </c>
      <c r="AW1091" t="s">
        <v>23499</v>
      </c>
      <c r="AX1091" t="s">
        <v>69</v>
      </c>
      <c r="AY1091" t="s">
        <v>23500</v>
      </c>
      <c r="AZ1091" t="s">
        <v>23501</v>
      </c>
      <c r="BA1091" t="s">
        <v>274</v>
      </c>
      <c r="BB1091">
        <v>2014</v>
      </c>
      <c r="BC1091">
        <v>6</v>
      </c>
      <c r="BD1091">
        <v>4</v>
      </c>
      <c r="BE1091" t="s">
        <v>69</v>
      </c>
      <c r="BF1091" t="s">
        <v>69</v>
      </c>
      <c r="BG1091" t="s">
        <v>69</v>
      </c>
      <c r="BH1091" t="s">
        <v>69</v>
      </c>
      <c r="BI1091" t="s">
        <v>69</v>
      </c>
      <c r="BJ1091" t="s">
        <v>69</v>
      </c>
      <c r="BK1091" t="s">
        <v>23502</v>
      </c>
      <c r="BL1091" t="s">
        <v>23503</v>
      </c>
      <c r="BM1091" t="str">
        <f>HYPERLINK("http://dx.doi.org/10.1061/(ASCE)LA.1943-4170.0000144","http://dx.doi.org/10.1061/(ASCE)LA.1943-4170.0000144")</f>
        <v>http://dx.doi.org/10.1061/(ASCE)LA.1943-4170.0000144</v>
      </c>
      <c r="BN1091" t="s">
        <v>69</v>
      </c>
      <c r="BO1091" t="s">
        <v>69</v>
      </c>
      <c r="BP1091">
        <v>5</v>
      </c>
      <c r="BQ1091" t="s">
        <v>8452</v>
      </c>
      <c r="BR1091" t="s">
        <v>8573</v>
      </c>
      <c r="BS1091" t="s">
        <v>10084</v>
      </c>
      <c r="BT1091" t="s">
        <v>23504</v>
      </c>
      <c r="BU1091" t="s">
        <v>23505</v>
      </c>
      <c r="BV1091" t="s">
        <v>69</v>
      </c>
      <c r="BW1091" t="s">
        <v>69</v>
      </c>
      <c r="BX1091" t="s">
        <v>69</v>
      </c>
      <c r="BY1091" t="s">
        <v>69</v>
      </c>
      <c r="BZ1091" t="s">
        <v>8526</v>
      </c>
      <c r="CA1091" t="str">
        <f>HYPERLINK("https%3A%2F%2Fwww.webofscience.com%2Fwos%2Fwoscc%2Ffull-record%2FWOS:000442827400004","View Full Record in Web of Science")</f>
        <v>View Full Record in Web of Science</v>
      </c>
    </row>
    <row r="1092" spans="2:79" ht="12.5" x14ac:dyDescent="0.25">
      <c r="B1092" t="s">
        <v>8495</v>
      </c>
      <c r="D1092" s="22" t="s">
        <v>32931</v>
      </c>
      <c r="E1092" s="7"/>
      <c r="F1092" s="7"/>
      <c r="G1092" s="7"/>
      <c r="H1092" t="s">
        <v>67</v>
      </c>
      <c r="I1092" t="s">
        <v>20990</v>
      </c>
      <c r="J1092" t="s">
        <v>69</v>
      </c>
      <c r="K1092" t="s">
        <v>69</v>
      </c>
      <c r="L1092" t="s">
        <v>69</v>
      </c>
      <c r="M1092" t="s">
        <v>20991</v>
      </c>
      <c r="N1092" t="s">
        <v>69</v>
      </c>
      <c r="O1092" t="s">
        <v>69</v>
      </c>
      <c r="P1092" t="s">
        <v>20992</v>
      </c>
      <c r="Q1092" t="s">
        <v>20993</v>
      </c>
      <c r="R1092" t="s">
        <v>69</v>
      </c>
      <c r="S1092" t="s">
        <v>69</v>
      </c>
      <c r="T1092" t="s">
        <v>8505</v>
      </c>
      <c r="U1092" t="s">
        <v>8506</v>
      </c>
      <c r="V1092" t="s">
        <v>69</v>
      </c>
      <c r="W1092" t="s">
        <v>69</v>
      </c>
      <c r="X1092" t="s">
        <v>69</v>
      </c>
      <c r="Y1092" t="s">
        <v>69</v>
      </c>
      <c r="Z1092" t="s">
        <v>69</v>
      </c>
      <c r="AA1092" t="s">
        <v>20994</v>
      </c>
      <c r="AB1092" t="s">
        <v>20995</v>
      </c>
      <c r="AC1092" t="s">
        <v>20996</v>
      </c>
      <c r="AD1092" t="s">
        <v>20997</v>
      </c>
      <c r="AE1092" t="s">
        <v>69</v>
      </c>
      <c r="AF1092" t="s">
        <v>20998</v>
      </c>
      <c r="AG1092" t="s">
        <v>20999</v>
      </c>
      <c r="AH1092" t="s">
        <v>21000</v>
      </c>
      <c r="AI1092" t="s">
        <v>21001</v>
      </c>
      <c r="AJ1092" t="s">
        <v>21002</v>
      </c>
      <c r="AK1092" t="s">
        <v>21003</v>
      </c>
      <c r="AL1092" t="s">
        <v>21004</v>
      </c>
      <c r="AM1092" t="s">
        <v>69</v>
      </c>
      <c r="AN1092">
        <v>109</v>
      </c>
      <c r="AO1092">
        <v>3</v>
      </c>
      <c r="AP1092">
        <v>3</v>
      </c>
      <c r="AQ1092">
        <v>0</v>
      </c>
      <c r="AR1092">
        <v>5</v>
      </c>
      <c r="AS1092" t="s">
        <v>9978</v>
      </c>
      <c r="AT1092" t="s">
        <v>9979</v>
      </c>
      <c r="AU1092" t="s">
        <v>9980</v>
      </c>
      <c r="AV1092" t="s">
        <v>21005</v>
      </c>
      <c r="AW1092" t="s">
        <v>21006</v>
      </c>
      <c r="AX1092" t="s">
        <v>69</v>
      </c>
      <c r="AY1092" t="s">
        <v>21007</v>
      </c>
      <c r="AZ1092" t="s">
        <v>21008</v>
      </c>
      <c r="BA1092" t="s">
        <v>373</v>
      </c>
      <c r="BB1092">
        <v>2017</v>
      </c>
      <c r="BC1092">
        <v>61</v>
      </c>
      <c r="BD1092">
        <v>1</v>
      </c>
      <c r="BE1092" t="s">
        <v>69</v>
      </c>
      <c r="BF1092" t="s">
        <v>69</v>
      </c>
      <c r="BG1092" t="s">
        <v>69</v>
      </c>
      <c r="BH1092" t="s">
        <v>69</v>
      </c>
      <c r="BI1092">
        <v>1</v>
      </c>
      <c r="BJ1092">
        <v>24</v>
      </c>
      <c r="BK1092" t="s">
        <v>69</v>
      </c>
      <c r="BL1092" t="s">
        <v>21009</v>
      </c>
      <c r="BM1092" t="str">
        <f>HYPERLINK("http://dx.doi.org/10.1017/mdh.2016.98","http://dx.doi.org/10.1017/mdh.2016.98")</f>
        <v>http://dx.doi.org/10.1017/mdh.2016.98</v>
      </c>
      <c r="BN1092" t="s">
        <v>69</v>
      </c>
      <c r="BO1092" t="s">
        <v>69</v>
      </c>
      <c r="BP1092">
        <v>24</v>
      </c>
      <c r="BQ1092" t="s">
        <v>21010</v>
      </c>
      <c r="BR1092" t="s">
        <v>18553</v>
      </c>
      <c r="BS1092" t="s">
        <v>21011</v>
      </c>
      <c r="BT1092" t="s">
        <v>21012</v>
      </c>
      <c r="BU1092" t="s">
        <v>21013</v>
      </c>
      <c r="BV1092">
        <v>27998330</v>
      </c>
      <c r="BW1092" t="s">
        <v>9029</v>
      </c>
      <c r="BX1092" t="s">
        <v>69</v>
      </c>
      <c r="BY1092" t="s">
        <v>69</v>
      </c>
      <c r="BZ1092" t="s">
        <v>8526</v>
      </c>
      <c r="CA1092" t="str">
        <f>HYPERLINK("https%3A%2F%2Fwww.webofscience.com%2Fwos%2Fwoscc%2Ffull-record%2FWOS:000396417900001","View Full Record in Web of Science")</f>
        <v>View Full Record in Web of Science</v>
      </c>
    </row>
    <row r="1093" spans="2:79" ht="12.5" x14ac:dyDescent="0.25">
      <c r="B1093" t="s">
        <v>8495</v>
      </c>
      <c r="D1093" s="7" t="s">
        <v>32933</v>
      </c>
      <c r="E1093" s="7"/>
      <c r="F1093" s="7"/>
      <c r="G1093" s="7"/>
      <c r="H1093" t="s">
        <v>67</v>
      </c>
      <c r="I1093" t="s">
        <v>4549</v>
      </c>
      <c r="J1093" t="s">
        <v>69</v>
      </c>
      <c r="K1093" t="s">
        <v>69</v>
      </c>
      <c r="L1093" t="s">
        <v>69</v>
      </c>
      <c r="M1093" t="s">
        <v>4550</v>
      </c>
      <c r="N1093" t="s">
        <v>69</v>
      </c>
      <c r="O1093" t="s">
        <v>69</v>
      </c>
      <c r="P1093" t="s">
        <v>4551</v>
      </c>
      <c r="Q1093" t="s">
        <v>4552</v>
      </c>
      <c r="R1093" t="s">
        <v>69</v>
      </c>
      <c r="S1093" t="s">
        <v>69</v>
      </c>
      <c r="T1093" t="s">
        <v>8505</v>
      </c>
      <c r="U1093" t="s">
        <v>8506</v>
      </c>
      <c r="V1093" t="s">
        <v>69</v>
      </c>
      <c r="W1093" t="s">
        <v>69</v>
      </c>
      <c r="X1093" t="s">
        <v>69</v>
      </c>
      <c r="Y1093" t="s">
        <v>69</v>
      </c>
      <c r="Z1093" t="s">
        <v>69</v>
      </c>
      <c r="AA1093" t="s">
        <v>25251</v>
      </c>
      <c r="AB1093" t="s">
        <v>69</v>
      </c>
      <c r="AC1093" t="s">
        <v>4553</v>
      </c>
      <c r="AD1093" t="s">
        <v>25252</v>
      </c>
      <c r="AE1093" t="s">
        <v>69</v>
      </c>
      <c r="AF1093" t="s">
        <v>25253</v>
      </c>
      <c r="AG1093" t="s">
        <v>25254</v>
      </c>
      <c r="AH1093" t="s">
        <v>4554</v>
      </c>
      <c r="AI1093" t="s">
        <v>4555</v>
      </c>
      <c r="AJ1093" t="s">
        <v>25255</v>
      </c>
      <c r="AK1093" t="s">
        <v>25256</v>
      </c>
      <c r="AL1093" t="s">
        <v>25257</v>
      </c>
      <c r="AM1093" t="s">
        <v>69</v>
      </c>
      <c r="AN1093">
        <v>3</v>
      </c>
      <c r="AO1093">
        <v>2</v>
      </c>
      <c r="AP1093">
        <v>2</v>
      </c>
      <c r="AQ1093">
        <v>0</v>
      </c>
      <c r="AR1093">
        <v>18</v>
      </c>
      <c r="AS1093" t="s">
        <v>9091</v>
      </c>
      <c r="AT1093" t="s">
        <v>8763</v>
      </c>
      <c r="AU1093" t="s">
        <v>15468</v>
      </c>
      <c r="AV1093" t="s">
        <v>4556</v>
      </c>
      <c r="AW1093" t="s">
        <v>69</v>
      </c>
      <c r="AX1093" t="s">
        <v>69</v>
      </c>
      <c r="AY1093" t="s">
        <v>4552</v>
      </c>
      <c r="AZ1093" t="s">
        <v>9094</v>
      </c>
      <c r="BA1093" t="s">
        <v>69</v>
      </c>
      <c r="BB1093">
        <v>2013</v>
      </c>
      <c r="BC1093">
        <v>15</v>
      </c>
      <c r="BD1093" t="s">
        <v>69</v>
      </c>
      <c r="BE1093" t="s">
        <v>69</v>
      </c>
      <c r="BF1093">
        <v>2</v>
      </c>
      <c r="BG1093" t="s">
        <v>69</v>
      </c>
      <c r="BH1093" t="s">
        <v>69</v>
      </c>
      <c r="BI1093">
        <v>61</v>
      </c>
      <c r="BJ1093">
        <v>78</v>
      </c>
      <c r="BK1093" t="s">
        <v>69</v>
      </c>
      <c r="BL1093" t="s">
        <v>4557</v>
      </c>
      <c r="BM1093" t="str">
        <f>HYPERLINK("http://dx.doi.org/10.2166/wp.2013.012","http://dx.doi.org/10.2166/wp.2013.012")</f>
        <v>http://dx.doi.org/10.2166/wp.2013.012</v>
      </c>
      <c r="BN1093" t="s">
        <v>69</v>
      </c>
      <c r="BO1093" t="s">
        <v>69</v>
      </c>
      <c r="BP1093">
        <v>18</v>
      </c>
      <c r="BQ1093" t="s">
        <v>9096</v>
      </c>
      <c r="BR1093" t="s">
        <v>8548</v>
      </c>
      <c r="BS1093" t="s">
        <v>9096</v>
      </c>
      <c r="BT1093" t="s">
        <v>25258</v>
      </c>
      <c r="BU1093" t="s">
        <v>4558</v>
      </c>
      <c r="BV1093" t="s">
        <v>69</v>
      </c>
      <c r="BW1093" t="s">
        <v>24397</v>
      </c>
      <c r="BX1093" t="s">
        <v>69</v>
      </c>
      <c r="BY1093" t="s">
        <v>69</v>
      </c>
      <c r="BZ1093" t="s">
        <v>8526</v>
      </c>
      <c r="CA1093" t="str">
        <f>HYPERLINK("https%3A%2F%2Fwww.webofscience.com%2Fwos%2Fwoscc%2Ffull-record%2FWOS:000331080900004","View Full Record in Web of Science")</f>
        <v>View Full Record in Web of Science</v>
      </c>
    </row>
    <row r="1094" spans="2:79" ht="12.5" x14ac:dyDescent="0.25">
      <c r="B1094" t="s">
        <v>8495</v>
      </c>
      <c r="D1094" s="7" t="s">
        <v>32933</v>
      </c>
      <c r="E1094" s="7"/>
      <c r="F1094" s="7"/>
      <c r="G1094" s="7"/>
      <c r="H1094" t="s">
        <v>67</v>
      </c>
      <c r="I1094" t="s">
        <v>7139</v>
      </c>
      <c r="J1094" t="s">
        <v>69</v>
      </c>
      <c r="K1094" t="s">
        <v>69</v>
      </c>
      <c r="L1094" t="s">
        <v>69</v>
      </c>
      <c r="M1094" t="s">
        <v>7140</v>
      </c>
      <c r="N1094" t="s">
        <v>69</v>
      </c>
      <c r="O1094" t="s">
        <v>69</v>
      </c>
      <c r="P1094" t="s">
        <v>7141</v>
      </c>
      <c r="Q1094" t="s">
        <v>5400</v>
      </c>
      <c r="R1094" t="s">
        <v>69</v>
      </c>
      <c r="S1094" t="s">
        <v>69</v>
      </c>
      <c r="T1094" t="s">
        <v>8505</v>
      </c>
      <c r="U1094" t="s">
        <v>8506</v>
      </c>
      <c r="V1094" t="s">
        <v>69</v>
      </c>
      <c r="W1094" t="s">
        <v>69</v>
      </c>
      <c r="X1094" t="s">
        <v>69</v>
      </c>
      <c r="Y1094" t="s">
        <v>69</v>
      </c>
      <c r="Z1094" t="s">
        <v>69</v>
      </c>
      <c r="AA1094" t="s">
        <v>16983</v>
      </c>
      <c r="AB1094" t="s">
        <v>16984</v>
      </c>
      <c r="AC1094" t="s">
        <v>7142</v>
      </c>
      <c r="AD1094" t="s">
        <v>16985</v>
      </c>
      <c r="AE1094" t="s">
        <v>69</v>
      </c>
      <c r="AF1094" t="s">
        <v>16986</v>
      </c>
      <c r="AG1094" t="s">
        <v>16987</v>
      </c>
      <c r="AH1094" t="s">
        <v>69</v>
      </c>
      <c r="AI1094" t="s">
        <v>7143</v>
      </c>
      <c r="AJ1094" t="s">
        <v>16988</v>
      </c>
      <c r="AK1094" t="s">
        <v>16988</v>
      </c>
      <c r="AL1094" t="s">
        <v>16989</v>
      </c>
      <c r="AM1094" t="s">
        <v>69</v>
      </c>
      <c r="AN1094">
        <v>88</v>
      </c>
      <c r="AO1094">
        <v>27</v>
      </c>
      <c r="AP1094">
        <v>29</v>
      </c>
      <c r="AQ1094">
        <v>2</v>
      </c>
      <c r="AR1094">
        <v>13</v>
      </c>
      <c r="AS1094" t="s">
        <v>8516</v>
      </c>
      <c r="AT1094" t="s">
        <v>8517</v>
      </c>
      <c r="AU1094" t="s">
        <v>8518</v>
      </c>
      <c r="AV1094" t="s">
        <v>5402</v>
      </c>
      <c r="AW1094" t="s">
        <v>5403</v>
      </c>
      <c r="AX1094" t="s">
        <v>69</v>
      </c>
      <c r="AY1094" t="s">
        <v>8974</v>
      </c>
      <c r="AZ1094" t="s">
        <v>8975</v>
      </c>
      <c r="BA1094" t="s">
        <v>201</v>
      </c>
      <c r="BB1094">
        <v>2019</v>
      </c>
      <c r="BC1094">
        <v>54</v>
      </c>
      <c r="BD1094" t="s">
        <v>69</v>
      </c>
      <c r="BE1094" t="s">
        <v>69</v>
      </c>
      <c r="BF1094" t="s">
        <v>69</v>
      </c>
      <c r="BG1094" t="s">
        <v>69</v>
      </c>
      <c r="BH1094" t="s">
        <v>69</v>
      </c>
      <c r="BI1094">
        <v>224</v>
      </c>
      <c r="BJ1094">
        <v>235</v>
      </c>
      <c r="BK1094" t="s">
        <v>69</v>
      </c>
      <c r="BL1094" t="s">
        <v>7144</v>
      </c>
      <c r="BM1094" t="str">
        <f>HYPERLINK("http://dx.doi.org/10.1016/j.erss.2019.04.014","http://dx.doi.org/10.1016/j.erss.2019.04.014")</f>
        <v>http://dx.doi.org/10.1016/j.erss.2019.04.014</v>
      </c>
      <c r="BN1094" t="s">
        <v>69</v>
      </c>
      <c r="BO1094" t="s">
        <v>69</v>
      </c>
      <c r="BP1094">
        <v>12</v>
      </c>
      <c r="BQ1094" t="s">
        <v>8660</v>
      </c>
      <c r="BR1094" t="s">
        <v>8661</v>
      </c>
      <c r="BS1094" t="s">
        <v>8662</v>
      </c>
      <c r="BT1094" t="s">
        <v>16990</v>
      </c>
      <c r="BU1094" t="s">
        <v>7145</v>
      </c>
      <c r="BV1094" t="s">
        <v>69</v>
      </c>
      <c r="BW1094" t="s">
        <v>69</v>
      </c>
      <c r="BX1094" t="s">
        <v>69</v>
      </c>
      <c r="BY1094" t="s">
        <v>69</v>
      </c>
      <c r="BZ1094" t="s">
        <v>8526</v>
      </c>
      <c r="CA1094" t="str">
        <f>HYPERLINK("https%3A%2F%2Fwww.webofscience.com%2Fwos%2Fwoscc%2Ffull-record%2FWOS:000471789600022","View Full Record in Web of Science")</f>
        <v>View Full Record in Web of Science</v>
      </c>
    </row>
    <row r="1095" spans="2:79" ht="12.5" x14ac:dyDescent="0.25">
      <c r="B1095" t="s">
        <v>8495</v>
      </c>
      <c r="D1095" s="7" t="s">
        <v>32933</v>
      </c>
      <c r="E1095" s="7"/>
      <c r="F1095" s="7"/>
      <c r="G1095" s="7"/>
      <c r="H1095" t="s">
        <v>67</v>
      </c>
      <c r="I1095" t="s">
        <v>2390</v>
      </c>
      <c r="J1095" t="s">
        <v>69</v>
      </c>
      <c r="K1095" t="s">
        <v>69</v>
      </c>
      <c r="L1095" t="s">
        <v>69</v>
      </c>
      <c r="M1095" t="s">
        <v>2391</v>
      </c>
      <c r="N1095" t="s">
        <v>69</v>
      </c>
      <c r="O1095" t="s">
        <v>69</v>
      </c>
      <c r="P1095" t="s">
        <v>2392</v>
      </c>
      <c r="Q1095" t="s">
        <v>2393</v>
      </c>
      <c r="R1095" t="s">
        <v>69</v>
      </c>
      <c r="S1095" t="s">
        <v>69</v>
      </c>
      <c r="T1095" t="s">
        <v>8505</v>
      </c>
      <c r="U1095" t="s">
        <v>8506</v>
      </c>
      <c r="V1095" t="s">
        <v>69</v>
      </c>
      <c r="W1095" t="s">
        <v>69</v>
      </c>
      <c r="X1095" t="s">
        <v>69</v>
      </c>
      <c r="Y1095" t="s">
        <v>69</v>
      </c>
      <c r="Z1095" t="s">
        <v>69</v>
      </c>
      <c r="AA1095" t="s">
        <v>18443</v>
      </c>
      <c r="AB1095" t="s">
        <v>18444</v>
      </c>
      <c r="AC1095" t="s">
        <v>2394</v>
      </c>
      <c r="AD1095" t="s">
        <v>18445</v>
      </c>
      <c r="AE1095" t="s">
        <v>69</v>
      </c>
      <c r="AF1095" t="s">
        <v>18446</v>
      </c>
      <c r="AG1095" t="s">
        <v>18447</v>
      </c>
      <c r="AH1095" t="s">
        <v>2395</v>
      </c>
      <c r="AI1095" t="s">
        <v>2396</v>
      </c>
      <c r="AJ1095" t="s">
        <v>18448</v>
      </c>
      <c r="AK1095" t="s">
        <v>18448</v>
      </c>
      <c r="AL1095" t="s">
        <v>18449</v>
      </c>
      <c r="AM1095" t="s">
        <v>69</v>
      </c>
      <c r="AN1095">
        <v>14</v>
      </c>
      <c r="AO1095">
        <v>21</v>
      </c>
      <c r="AP1095">
        <v>21</v>
      </c>
      <c r="AQ1095">
        <v>0</v>
      </c>
      <c r="AR1095">
        <v>13</v>
      </c>
      <c r="AS1095" t="s">
        <v>9978</v>
      </c>
      <c r="AT1095" t="s">
        <v>9979</v>
      </c>
      <c r="AU1095" t="s">
        <v>9980</v>
      </c>
      <c r="AV1095" t="s">
        <v>2397</v>
      </c>
      <c r="AW1095" t="s">
        <v>69</v>
      </c>
      <c r="AX1095" t="s">
        <v>69</v>
      </c>
      <c r="AY1095" t="s">
        <v>18450</v>
      </c>
      <c r="AZ1095" t="s">
        <v>18451</v>
      </c>
      <c r="BA1095" t="s">
        <v>2398</v>
      </c>
      <c r="BB1095">
        <v>2018</v>
      </c>
      <c r="BC1095">
        <v>5</v>
      </c>
      <c r="BD1095" t="s">
        <v>69</v>
      </c>
      <c r="BE1095" t="s">
        <v>69</v>
      </c>
      <c r="BF1095" t="s">
        <v>69</v>
      </c>
      <c r="BG1095" t="s">
        <v>69</v>
      </c>
      <c r="BH1095" t="s">
        <v>69</v>
      </c>
      <c r="BI1095" t="s">
        <v>69</v>
      </c>
      <c r="BJ1095" t="s">
        <v>69</v>
      </c>
      <c r="BK1095" t="s">
        <v>2399</v>
      </c>
      <c r="BL1095" t="s">
        <v>2400</v>
      </c>
      <c r="BM1095" t="str">
        <f>HYPERLINK("http://dx.doi.org/10.1017/gmh.2018.19","http://dx.doi.org/10.1017/gmh.2018.19")</f>
        <v>http://dx.doi.org/10.1017/gmh.2018.19</v>
      </c>
      <c r="BN1095" t="s">
        <v>69</v>
      </c>
      <c r="BO1095" t="s">
        <v>69</v>
      </c>
      <c r="BP1095">
        <v>10</v>
      </c>
      <c r="BQ1095" t="s">
        <v>9332</v>
      </c>
      <c r="BR1095" t="s">
        <v>8548</v>
      </c>
      <c r="BS1095" t="s">
        <v>9332</v>
      </c>
      <c r="BT1095" t="s">
        <v>18452</v>
      </c>
      <c r="BU1095" t="s">
        <v>2401</v>
      </c>
      <c r="BV1095">
        <v>30202535</v>
      </c>
      <c r="BW1095" t="s">
        <v>8812</v>
      </c>
      <c r="BX1095" t="s">
        <v>69</v>
      </c>
      <c r="BY1095" t="s">
        <v>69</v>
      </c>
      <c r="BZ1095" t="s">
        <v>8526</v>
      </c>
      <c r="CA1095" t="str">
        <f>HYPERLINK("https%3A%2F%2Fwww.webofscience.com%2Fwos%2Fwoscc%2Ffull-record%2FWOS:000442853400001","View Full Record in Web of Science")</f>
        <v>View Full Record in Web of Science</v>
      </c>
    </row>
    <row r="1096" spans="2:79" ht="12.5" x14ac:dyDescent="0.25">
      <c r="B1096" t="s">
        <v>8495</v>
      </c>
      <c r="D1096" s="22" t="s">
        <v>32931</v>
      </c>
      <c r="E1096" s="7"/>
      <c r="F1096" s="7"/>
      <c r="G1096" s="7"/>
      <c r="H1096" t="s">
        <v>67</v>
      </c>
      <c r="I1096" t="s">
        <v>30950</v>
      </c>
      <c r="J1096" t="s">
        <v>69</v>
      </c>
      <c r="K1096" t="s">
        <v>69</v>
      </c>
      <c r="L1096" t="s">
        <v>69</v>
      </c>
      <c r="M1096" t="s">
        <v>30950</v>
      </c>
      <c r="N1096" t="s">
        <v>69</v>
      </c>
      <c r="O1096" t="s">
        <v>69</v>
      </c>
      <c r="P1096" t="s">
        <v>30951</v>
      </c>
      <c r="Q1096" t="s">
        <v>30952</v>
      </c>
      <c r="R1096" t="s">
        <v>69</v>
      </c>
      <c r="S1096" t="s">
        <v>69</v>
      </c>
      <c r="T1096" t="s">
        <v>8505</v>
      </c>
      <c r="U1096" t="s">
        <v>15797</v>
      </c>
      <c r="V1096" t="s">
        <v>30953</v>
      </c>
      <c r="W1096" t="s">
        <v>30954</v>
      </c>
      <c r="X1096" t="s">
        <v>30955</v>
      </c>
      <c r="Y1096" t="s">
        <v>30956</v>
      </c>
      <c r="Z1096" t="s">
        <v>69</v>
      </c>
      <c r="AA1096" t="s">
        <v>30957</v>
      </c>
      <c r="AB1096" t="s">
        <v>30958</v>
      </c>
      <c r="AC1096" t="s">
        <v>30959</v>
      </c>
      <c r="AD1096" t="s">
        <v>30960</v>
      </c>
      <c r="AE1096" t="s">
        <v>69</v>
      </c>
      <c r="AF1096" t="s">
        <v>30961</v>
      </c>
      <c r="AG1096" t="s">
        <v>30962</v>
      </c>
      <c r="AH1096" t="s">
        <v>30963</v>
      </c>
      <c r="AI1096" t="s">
        <v>30964</v>
      </c>
      <c r="AJ1096" t="s">
        <v>69</v>
      </c>
      <c r="AK1096" t="s">
        <v>69</v>
      </c>
      <c r="AL1096" t="s">
        <v>69</v>
      </c>
      <c r="AM1096" t="s">
        <v>69</v>
      </c>
      <c r="AN1096">
        <v>98</v>
      </c>
      <c r="AO1096">
        <v>80</v>
      </c>
      <c r="AP1096">
        <v>80</v>
      </c>
      <c r="AQ1096">
        <v>0</v>
      </c>
      <c r="AR1096">
        <v>44</v>
      </c>
      <c r="AS1096" t="s">
        <v>9145</v>
      </c>
      <c r="AT1096" t="s">
        <v>8637</v>
      </c>
      <c r="AU1096" t="s">
        <v>9146</v>
      </c>
      <c r="AV1096" t="s">
        <v>30965</v>
      </c>
      <c r="AW1096" t="s">
        <v>30966</v>
      </c>
      <c r="AX1096" t="s">
        <v>69</v>
      </c>
      <c r="AY1096" t="s">
        <v>30967</v>
      </c>
      <c r="AZ1096" t="s">
        <v>30968</v>
      </c>
      <c r="BA1096" t="s">
        <v>69</v>
      </c>
      <c r="BB1096">
        <v>2005</v>
      </c>
      <c r="BC1096">
        <v>30</v>
      </c>
      <c r="BD1096" t="s">
        <v>30969</v>
      </c>
      <c r="BE1096" t="s">
        <v>69</v>
      </c>
      <c r="BF1096" t="s">
        <v>69</v>
      </c>
      <c r="BG1096" t="s">
        <v>69</v>
      </c>
      <c r="BH1096" t="s">
        <v>69</v>
      </c>
      <c r="BI1096">
        <v>317</v>
      </c>
      <c r="BJ1096">
        <v>332</v>
      </c>
      <c r="BK1096" t="s">
        <v>69</v>
      </c>
      <c r="BL1096" t="s">
        <v>30970</v>
      </c>
      <c r="BM1096" t="str">
        <f>HYPERLINK("http://dx.doi.org/10.1016/j.pce.2005.01.002","http://dx.doi.org/10.1016/j.pce.2005.01.002")</f>
        <v>http://dx.doi.org/10.1016/j.pce.2005.01.002</v>
      </c>
      <c r="BN1096" t="s">
        <v>69</v>
      </c>
      <c r="BO1096" t="s">
        <v>69</v>
      </c>
      <c r="BP1096">
        <v>16</v>
      </c>
      <c r="BQ1096" t="s">
        <v>9586</v>
      </c>
      <c r="BR1096" t="s">
        <v>15808</v>
      </c>
      <c r="BS1096" t="s">
        <v>9587</v>
      </c>
      <c r="BT1096" t="s">
        <v>30971</v>
      </c>
      <c r="BU1096" t="s">
        <v>30972</v>
      </c>
      <c r="BV1096" t="s">
        <v>69</v>
      </c>
      <c r="BW1096" t="s">
        <v>69</v>
      </c>
      <c r="BX1096" t="s">
        <v>69</v>
      </c>
      <c r="BY1096" t="s">
        <v>69</v>
      </c>
      <c r="BZ1096" t="s">
        <v>8526</v>
      </c>
      <c r="CA1096" t="str">
        <f>HYPERLINK("https%3A%2F%2Fwww.webofscience.com%2Fwos%2Fwoscc%2Ffull-record%2FWOS:000230229300008","View Full Record in Web of Science")</f>
        <v>View Full Record in Web of Science</v>
      </c>
    </row>
    <row r="1097" spans="2:79" ht="12.5" x14ac:dyDescent="0.25">
      <c r="B1097" t="s">
        <v>8495</v>
      </c>
      <c r="D1097" s="22" t="s">
        <v>32931</v>
      </c>
      <c r="E1097" s="7"/>
      <c r="F1097" s="7"/>
      <c r="G1097" s="7"/>
      <c r="H1097" t="s">
        <v>67</v>
      </c>
      <c r="I1097" t="s">
        <v>28525</v>
      </c>
      <c r="J1097" t="s">
        <v>69</v>
      </c>
      <c r="K1097" t="s">
        <v>69</v>
      </c>
      <c r="L1097" t="s">
        <v>69</v>
      </c>
      <c r="M1097" t="s">
        <v>28526</v>
      </c>
      <c r="N1097" t="s">
        <v>69</v>
      </c>
      <c r="O1097" t="s">
        <v>69</v>
      </c>
      <c r="P1097" t="s">
        <v>28527</v>
      </c>
      <c r="Q1097" t="s">
        <v>8875</v>
      </c>
      <c r="R1097" t="s">
        <v>69</v>
      </c>
      <c r="S1097" t="s">
        <v>69</v>
      </c>
      <c r="T1097" t="s">
        <v>8505</v>
      </c>
      <c r="U1097" t="s">
        <v>8506</v>
      </c>
      <c r="V1097" t="s">
        <v>69</v>
      </c>
      <c r="W1097" t="s">
        <v>69</v>
      </c>
      <c r="X1097" t="s">
        <v>69</v>
      </c>
      <c r="Y1097" t="s">
        <v>69</v>
      </c>
      <c r="Z1097" t="s">
        <v>69</v>
      </c>
      <c r="AA1097" t="s">
        <v>28528</v>
      </c>
      <c r="AB1097" t="s">
        <v>28529</v>
      </c>
      <c r="AC1097" t="s">
        <v>28530</v>
      </c>
      <c r="AD1097" t="s">
        <v>28531</v>
      </c>
      <c r="AE1097" t="s">
        <v>69</v>
      </c>
      <c r="AF1097" t="s">
        <v>28532</v>
      </c>
      <c r="AG1097" t="s">
        <v>28533</v>
      </c>
      <c r="AH1097" t="s">
        <v>28534</v>
      </c>
      <c r="AI1097" t="s">
        <v>69</v>
      </c>
      <c r="AJ1097" t="s">
        <v>69</v>
      </c>
      <c r="AK1097" t="s">
        <v>69</v>
      </c>
      <c r="AL1097" t="s">
        <v>69</v>
      </c>
      <c r="AM1097" t="s">
        <v>69</v>
      </c>
      <c r="AN1097">
        <v>8</v>
      </c>
      <c r="AO1097">
        <v>5</v>
      </c>
      <c r="AP1097">
        <v>5</v>
      </c>
      <c r="AQ1097">
        <v>0</v>
      </c>
      <c r="AR1097">
        <v>0</v>
      </c>
      <c r="AS1097" t="s">
        <v>8846</v>
      </c>
      <c r="AT1097" t="s">
        <v>8847</v>
      </c>
      <c r="AU1097" t="s">
        <v>8848</v>
      </c>
      <c r="AV1097" t="s">
        <v>8883</v>
      </c>
      <c r="AW1097" t="s">
        <v>8884</v>
      </c>
      <c r="AX1097" t="s">
        <v>69</v>
      </c>
      <c r="AY1097" t="s">
        <v>8885</v>
      </c>
      <c r="AZ1097" t="s">
        <v>8886</v>
      </c>
      <c r="BA1097" t="s">
        <v>246</v>
      </c>
      <c r="BB1097">
        <v>2009</v>
      </c>
      <c r="BC1097">
        <v>103</v>
      </c>
      <c r="BD1097">
        <v>8</v>
      </c>
      <c r="BE1097" t="s">
        <v>69</v>
      </c>
      <c r="BF1097" t="s">
        <v>69</v>
      </c>
      <c r="BG1097" t="s">
        <v>69</v>
      </c>
      <c r="BH1097" t="s">
        <v>69</v>
      </c>
      <c r="BI1097">
        <v>1111</v>
      </c>
      <c r="BJ1097">
        <v>1113</v>
      </c>
      <c r="BK1097" t="s">
        <v>69</v>
      </c>
      <c r="BL1097" t="s">
        <v>28535</v>
      </c>
      <c r="BM1097" t="str">
        <f>HYPERLINK("http://dx.doi.org/10.1111/j.1464-410X.2008.08172.x","http://dx.doi.org/10.1111/j.1464-410X.2008.08172.x")</f>
        <v>http://dx.doi.org/10.1111/j.1464-410X.2008.08172.x</v>
      </c>
      <c r="BN1097" t="s">
        <v>69</v>
      </c>
      <c r="BO1097" t="s">
        <v>69</v>
      </c>
      <c r="BP1097">
        <v>3</v>
      </c>
      <c r="BQ1097" t="s">
        <v>8888</v>
      </c>
      <c r="BR1097" t="s">
        <v>8548</v>
      </c>
      <c r="BS1097" t="s">
        <v>8888</v>
      </c>
      <c r="BT1097" t="s">
        <v>28536</v>
      </c>
      <c r="BU1097" t="s">
        <v>28537</v>
      </c>
      <c r="BV1097">
        <v>19154465</v>
      </c>
      <c r="BW1097" t="s">
        <v>69</v>
      </c>
      <c r="BX1097" t="s">
        <v>69</v>
      </c>
      <c r="BY1097" t="s">
        <v>69</v>
      </c>
      <c r="BZ1097" t="s">
        <v>8526</v>
      </c>
      <c r="CA1097" t="str">
        <f>HYPERLINK("https%3A%2F%2Fwww.webofscience.com%2Fwos%2Fwoscc%2Ffull-record%2FWOS:000264609100020","View Full Record in Web of Science")</f>
        <v>View Full Record in Web of Science</v>
      </c>
    </row>
    <row r="1098" spans="2:79" ht="12.5" x14ac:dyDescent="0.25">
      <c r="B1098" t="s">
        <v>8495</v>
      </c>
      <c r="D1098" s="7" t="s">
        <v>32933</v>
      </c>
      <c r="E1098" s="7"/>
      <c r="F1098" s="7"/>
      <c r="G1098" s="7"/>
      <c r="H1098" t="s">
        <v>67</v>
      </c>
      <c r="I1098" t="s">
        <v>6630</v>
      </c>
      <c r="J1098" t="s">
        <v>69</v>
      </c>
      <c r="K1098" t="s">
        <v>69</v>
      </c>
      <c r="L1098" t="s">
        <v>69</v>
      </c>
      <c r="M1098" t="s">
        <v>6631</v>
      </c>
      <c r="N1098" t="s">
        <v>69</v>
      </c>
      <c r="O1098" t="s">
        <v>69</v>
      </c>
      <c r="P1098" t="s">
        <v>6632</v>
      </c>
      <c r="Q1098" t="s">
        <v>436</v>
      </c>
      <c r="R1098" t="s">
        <v>69</v>
      </c>
      <c r="S1098" t="s">
        <v>69</v>
      </c>
      <c r="T1098" t="s">
        <v>8505</v>
      </c>
      <c r="U1098" t="s">
        <v>8506</v>
      </c>
      <c r="V1098" t="s">
        <v>69</v>
      </c>
      <c r="W1098" t="s">
        <v>69</v>
      </c>
      <c r="X1098" t="s">
        <v>69</v>
      </c>
      <c r="Y1098" t="s">
        <v>69</v>
      </c>
      <c r="Z1098" t="s">
        <v>69</v>
      </c>
      <c r="AA1098" t="s">
        <v>13259</v>
      </c>
      <c r="AB1098" t="s">
        <v>69</v>
      </c>
      <c r="AC1098" t="s">
        <v>6633</v>
      </c>
      <c r="AD1098" t="s">
        <v>13260</v>
      </c>
      <c r="AE1098" t="s">
        <v>69</v>
      </c>
      <c r="AF1098" t="s">
        <v>13261</v>
      </c>
      <c r="AG1098" t="s">
        <v>13262</v>
      </c>
      <c r="AH1098" t="s">
        <v>13263</v>
      </c>
      <c r="AI1098" t="s">
        <v>13264</v>
      </c>
      <c r="AJ1098" t="s">
        <v>13265</v>
      </c>
      <c r="AK1098" t="s">
        <v>13266</v>
      </c>
      <c r="AL1098" t="s">
        <v>13267</v>
      </c>
      <c r="AM1098" t="s">
        <v>69</v>
      </c>
      <c r="AN1098">
        <v>35</v>
      </c>
      <c r="AO1098">
        <v>1</v>
      </c>
      <c r="AP1098">
        <v>1</v>
      </c>
      <c r="AQ1098">
        <v>0</v>
      </c>
      <c r="AR1098">
        <v>6</v>
      </c>
      <c r="AS1098" t="s">
        <v>8636</v>
      </c>
      <c r="AT1098" t="s">
        <v>8637</v>
      </c>
      <c r="AU1098" t="s">
        <v>8638</v>
      </c>
      <c r="AV1098" t="s">
        <v>440</v>
      </c>
      <c r="AW1098" t="s">
        <v>441</v>
      </c>
      <c r="AX1098" t="s">
        <v>69</v>
      </c>
      <c r="AY1098" t="s">
        <v>8639</v>
      </c>
      <c r="AZ1098" t="s">
        <v>8640</v>
      </c>
      <c r="BA1098" t="s">
        <v>133</v>
      </c>
      <c r="BB1098">
        <v>2021</v>
      </c>
      <c r="BC1098">
        <v>282</v>
      </c>
      <c r="BD1098" t="s">
        <v>69</v>
      </c>
      <c r="BE1098" t="s">
        <v>69</v>
      </c>
      <c r="BF1098" t="s">
        <v>69</v>
      </c>
      <c r="BG1098" t="s">
        <v>69</v>
      </c>
      <c r="BH1098" t="s">
        <v>69</v>
      </c>
      <c r="BI1098" t="s">
        <v>69</v>
      </c>
      <c r="BJ1098" t="s">
        <v>69</v>
      </c>
      <c r="BK1098">
        <v>124453</v>
      </c>
      <c r="BL1098" t="s">
        <v>6634</v>
      </c>
      <c r="BM1098" t="str">
        <f>HYPERLINK("http://dx.doi.org/10.1016/j.jclepro.2020.124453","http://dx.doi.org/10.1016/j.jclepro.2020.124453")</f>
        <v>http://dx.doi.org/10.1016/j.jclepro.2020.124453</v>
      </c>
      <c r="BN1098" t="s">
        <v>69</v>
      </c>
      <c r="BO1098" t="s">
        <v>69</v>
      </c>
      <c r="BP1098">
        <v>16</v>
      </c>
      <c r="BQ1098" t="s">
        <v>8643</v>
      </c>
      <c r="BR1098" t="s">
        <v>8548</v>
      </c>
      <c r="BS1098" t="s">
        <v>8644</v>
      </c>
      <c r="BT1098" t="s">
        <v>13268</v>
      </c>
      <c r="BU1098" t="s">
        <v>6635</v>
      </c>
      <c r="BV1098" t="s">
        <v>69</v>
      </c>
      <c r="BW1098" t="s">
        <v>69</v>
      </c>
      <c r="BX1098" t="s">
        <v>69</v>
      </c>
      <c r="BY1098" t="s">
        <v>69</v>
      </c>
      <c r="BZ1098" t="s">
        <v>8526</v>
      </c>
      <c r="CA1098" t="str">
        <f>HYPERLINK("https%3A%2F%2Fwww.webofscience.com%2Fwos%2Fwoscc%2Ffull-record%2FWOS:000609019900009","View Full Record in Web of Science")</f>
        <v>View Full Record in Web of Science</v>
      </c>
    </row>
    <row r="1099" spans="2:79" x14ac:dyDescent="0.3">
      <c r="B1099" t="s">
        <v>8495</v>
      </c>
      <c r="D1099" s="9" t="s">
        <v>32996</v>
      </c>
      <c r="E1099" s="9" t="s">
        <v>33151</v>
      </c>
      <c r="F1099" s="9" t="s">
        <v>8491</v>
      </c>
      <c r="G1099" s="9" t="s">
        <v>8490</v>
      </c>
      <c r="H1099" t="s">
        <v>67</v>
      </c>
      <c r="I1099" t="s">
        <v>29122</v>
      </c>
      <c r="J1099" t="s">
        <v>69</v>
      </c>
      <c r="K1099" t="s">
        <v>69</v>
      </c>
      <c r="L1099" t="s">
        <v>69</v>
      </c>
      <c r="M1099" t="s">
        <v>29123</v>
      </c>
      <c r="N1099" t="s">
        <v>69</v>
      </c>
      <c r="O1099" t="s">
        <v>69</v>
      </c>
      <c r="P1099" t="s">
        <v>29124</v>
      </c>
      <c r="Q1099" t="s">
        <v>6659</v>
      </c>
      <c r="R1099" t="s">
        <v>69</v>
      </c>
      <c r="S1099" t="s">
        <v>69</v>
      </c>
      <c r="T1099" t="s">
        <v>8505</v>
      </c>
      <c r="U1099" t="s">
        <v>15797</v>
      </c>
      <c r="V1099" t="s">
        <v>29125</v>
      </c>
      <c r="W1099" t="s">
        <v>29126</v>
      </c>
      <c r="X1099" t="s">
        <v>29127</v>
      </c>
      <c r="Y1099" t="s">
        <v>29128</v>
      </c>
      <c r="Z1099" t="s">
        <v>69</v>
      </c>
      <c r="AA1099" t="s">
        <v>29129</v>
      </c>
      <c r="AB1099" t="s">
        <v>29130</v>
      </c>
      <c r="AC1099" t="s">
        <v>29131</v>
      </c>
      <c r="AD1099" t="s">
        <v>29132</v>
      </c>
      <c r="AE1099" t="s">
        <v>69</v>
      </c>
      <c r="AF1099" t="s">
        <v>29133</v>
      </c>
      <c r="AG1099" t="s">
        <v>29134</v>
      </c>
      <c r="AH1099" t="s">
        <v>69</v>
      </c>
      <c r="AI1099" t="s">
        <v>5293</v>
      </c>
      <c r="AJ1099" t="s">
        <v>69</v>
      </c>
      <c r="AK1099" t="s">
        <v>69</v>
      </c>
      <c r="AL1099" t="s">
        <v>69</v>
      </c>
      <c r="AM1099" t="s">
        <v>69</v>
      </c>
      <c r="AN1099">
        <v>38</v>
      </c>
      <c r="AO1099">
        <v>276</v>
      </c>
      <c r="AP1099">
        <v>289</v>
      </c>
      <c r="AQ1099">
        <v>13</v>
      </c>
      <c r="AR1099">
        <v>149</v>
      </c>
      <c r="AS1099" t="s">
        <v>17140</v>
      </c>
      <c r="AT1099" t="s">
        <v>8517</v>
      </c>
      <c r="AU1099" t="s">
        <v>17141</v>
      </c>
      <c r="AV1099" t="s">
        <v>6661</v>
      </c>
      <c r="AW1099" t="s">
        <v>6662</v>
      </c>
      <c r="AX1099" t="s">
        <v>69</v>
      </c>
      <c r="AY1099" t="s">
        <v>19982</v>
      </c>
      <c r="AZ1099" t="s">
        <v>19983</v>
      </c>
      <c r="BA1099" t="s">
        <v>255</v>
      </c>
      <c r="BB1099">
        <v>2008</v>
      </c>
      <c r="BC1099">
        <v>37</v>
      </c>
      <c r="BD1099">
        <v>8</v>
      </c>
      <c r="BE1099" t="s">
        <v>69</v>
      </c>
      <c r="BF1099" t="s">
        <v>69</v>
      </c>
      <c r="BG1099" t="s">
        <v>69</v>
      </c>
      <c r="BH1099" t="s">
        <v>69</v>
      </c>
      <c r="BI1099">
        <v>1205</v>
      </c>
      <c r="BJ1099">
        <v>1223</v>
      </c>
      <c r="BK1099" t="s">
        <v>69</v>
      </c>
      <c r="BL1099" t="s">
        <v>29135</v>
      </c>
      <c r="BM1099" t="str">
        <f>HYPERLINK("http://dx.doi.org/10.1016/j.respol.2008.04.021","http://dx.doi.org/10.1016/j.respol.2008.04.021")</f>
        <v>http://dx.doi.org/10.1016/j.respol.2008.04.021</v>
      </c>
      <c r="BN1099" t="s">
        <v>69</v>
      </c>
      <c r="BO1099" t="s">
        <v>69</v>
      </c>
      <c r="BP1099">
        <v>19</v>
      </c>
      <c r="BQ1099" t="s">
        <v>9410</v>
      </c>
      <c r="BR1099" t="s">
        <v>18588</v>
      </c>
      <c r="BS1099" t="s">
        <v>8594</v>
      </c>
      <c r="BT1099" t="s">
        <v>29136</v>
      </c>
      <c r="BU1099" t="s">
        <v>29137</v>
      </c>
      <c r="BV1099" t="s">
        <v>69</v>
      </c>
      <c r="BW1099" t="s">
        <v>69</v>
      </c>
      <c r="BX1099" t="s">
        <v>69</v>
      </c>
      <c r="BY1099" t="s">
        <v>69</v>
      </c>
      <c r="BZ1099" t="s">
        <v>8526</v>
      </c>
      <c r="CA1099" t="str">
        <f>HYPERLINK("https%3A%2F%2Fwww.webofscience.com%2Fwos%2Fwoscc%2Ffull-record%2FWOS:000259129300005","View Full Record in Web of Science")</f>
        <v>View Full Record in Web of Science</v>
      </c>
    </row>
    <row r="1100" spans="2:79" ht="12.5" x14ac:dyDescent="0.25">
      <c r="B1100" t="s">
        <v>8495</v>
      </c>
      <c r="D1100" s="22" t="s">
        <v>32931</v>
      </c>
      <c r="E1100" s="7"/>
      <c r="F1100" s="7"/>
      <c r="G1100" s="7"/>
      <c r="H1100" t="s">
        <v>67</v>
      </c>
      <c r="I1100" t="s">
        <v>10339</v>
      </c>
      <c r="J1100" t="s">
        <v>69</v>
      </c>
      <c r="K1100" t="s">
        <v>69</v>
      </c>
      <c r="L1100" t="s">
        <v>69</v>
      </c>
      <c r="M1100" t="s">
        <v>10340</v>
      </c>
      <c r="N1100" t="s">
        <v>69</v>
      </c>
      <c r="O1100" t="s">
        <v>69</v>
      </c>
      <c r="P1100" t="s">
        <v>10341</v>
      </c>
      <c r="Q1100" t="s">
        <v>10342</v>
      </c>
      <c r="R1100" t="s">
        <v>69</v>
      </c>
      <c r="S1100" t="s">
        <v>69</v>
      </c>
      <c r="T1100" t="s">
        <v>8505</v>
      </c>
      <c r="U1100" t="s">
        <v>8506</v>
      </c>
      <c r="V1100" t="s">
        <v>69</v>
      </c>
      <c r="W1100" t="s">
        <v>69</v>
      </c>
      <c r="X1100" t="s">
        <v>69</v>
      </c>
      <c r="Y1100" t="s">
        <v>69</v>
      </c>
      <c r="Z1100" t="s">
        <v>69</v>
      </c>
      <c r="AA1100" t="s">
        <v>10343</v>
      </c>
      <c r="AB1100" t="s">
        <v>69</v>
      </c>
      <c r="AC1100" t="s">
        <v>10344</v>
      </c>
      <c r="AD1100" t="s">
        <v>10345</v>
      </c>
      <c r="AE1100" t="s">
        <v>69</v>
      </c>
      <c r="AF1100" t="s">
        <v>10346</v>
      </c>
      <c r="AG1100" t="s">
        <v>10347</v>
      </c>
      <c r="AH1100" t="s">
        <v>69</v>
      </c>
      <c r="AI1100" t="s">
        <v>10348</v>
      </c>
      <c r="AJ1100" t="s">
        <v>10349</v>
      </c>
      <c r="AK1100" t="s">
        <v>10350</v>
      </c>
      <c r="AL1100" t="s">
        <v>10351</v>
      </c>
      <c r="AM1100" t="s">
        <v>69</v>
      </c>
      <c r="AN1100">
        <v>18</v>
      </c>
      <c r="AO1100">
        <v>1</v>
      </c>
      <c r="AP1100">
        <v>1</v>
      </c>
      <c r="AQ1100">
        <v>2</v>
      </c>
      <c r="AR1100">
        <v>2</v>
      </c>
      <c r="AS1100" t="s">
        <v>10352</v>
      </c>
      <c r="AT1100" t="s">
        <v>8637</v>
      </c>
      <c r="AU1100" t="s">
        <v>10353</v>
      </c>
      <c r="AV1100" t="s">
        <v>10354</v>
      </c>
      <c r="AW1100" t="s">
        <v>10355</v>
      </c>
      <c r="AX1100" t="s">
        <v>69</v>
      </c>
      <c r="AY1100" t="s">
        <v>10356</v>
      </c>
      <c r="AZ1100" t="s">
        <v>10357</v>
      </c>
      <c r="BA1100" t="s">
        <v>8207</v>
      </c>
      <c r="BB1100">
        <v>2022</v>
      </c>
      <c r="BC1100">
        <v>29</v>
      </c>
      <c r="BD1100">
        <v>4</v>
      </c>
      <c r="BE1100" t="s">
        <v>69</v>
      </c>
      <c r="BF1100" t="s">
        <v>69</v>
      </c>
      <c r="BG1100" t="s">
        <v>69</v>
      </c>
      <c r="BH1100" t="s">
        <v>69</v>
      </c>
      <c r="BI1100">
        <v>592</v>
      </c>
      <c r="BJ1100">
        <v>600</v>
      </c>
      <c r="BK1100" t="s">
        <v>69</v>
      </c>
      <c r="BL1100" t="s">
        <v>10358</v>
      </c>
      <c r="BM1100" t="str">
        <f>HYPERLINK("http://dx.doi.org/10.1093/jamia/ocab278","http://dx.doi.org/10.1093/jamia/ocab278")</f>
        <v>http://dx.doi.org/10.1093/jamia/ocab278</v>
      </c>
      <c r="BN1100" t="s">
        <v>69</v>
      </c>
      <c r="BO1100" t="s">
        <v>10359</v>
      </c>
      <c r="BP1100">
        <v>9</v>
      </c>
      <c r="BQ1100" t="s">
        <v>10360</v>
      </c>
      <c r="BR1100" t="s">
        <v>8523</v>
      </c>
      <c r="BS1100" t="s">
        <v>10361</v>
      </c>
      <c r="BT1100" t="s">
        <v>10362</v>
      </c>
      <c r="BU1100" t="s">
        <v>10364</v>
      </c>
      <c r="BV1100">
        <v>34919694</v>
      </c>
      <c r="BW1100" t="s">
        <v>10363</v>
      </c>
      <c r="BX1100" t="s">
        <v>69</v>
      </c>
      <c r="BY1100" t="s">
        <v>69</v>
      </c>
      <c r="BZ1100" t="s">
        <v>8526</v>
      </c>
      <c r="CA1100" t="str">
        <f>HYPERLINK("https%3A%2F%2Fwww.webofscience.com%2Fwos%2Fwoscc%2Ffull-record%2FWOS:000769066500003","View Full Record in Web of Science")</f>
        <v>View Full Record in Web of Science</v>
      </c>
    </row>
    <row r="1101" spans="2:79" ht="12.5" x14ac:dyDescent="0.25">
      <c r="B1101" t="s">
        <v>8495</v>
      </c>
      <c r="D1101" s="22" t="s">
        <v>32931</v>
      </c>
      <c r="E1101" s="7"/>
      <c r="F1101" s="7"/>
      <c r="G1101" s="7"/>
      <c r="H1101" t="s">
        <v>67</v>
      </c>
      <c r="I1101" t="s">
        <v>11157</v>
      </c>
      <c r="J1101" t="s">
        <v>69</v>
      </c>
      <c r="K1101" t="s">
        <v>69</v>
      </c>
      <c r="L1101" t="s">
        <v>69</v>
      </c>
      <c r="M1101" t="s">
        <v>11158</v>
      </c>
      <c r="N1101" t="s">
        <v>69</v>
      </c>
      <c r="O1101" t="s">
        <v>69</v>
      </c>
      <c r="P1101" t="s">
        <v>11159</v>
      </c>
      <c r="Q1101" t="s">
        <v>11160</v>
      </c>
      <c r="R1101" t="s">
        <v>69</v>
      </c>
      <c r="S1101" t="s">
        <v>69</v>
      </c>
      <c r="T1101" t="s">
        <v>8505</v>
      </c>
      <c r="U1101" t="s">
        <v>10174</v>
      </c>
      <c r="V1101" t="s">
        <v>69</v>
      </c>
      <c r="W1101" t="s">
        <v>69</v>
      </c>
      <c r="X1101" t="s">
        <v>69</v>
      </c>
      <c r="Y1101" t="s">
        <v>69</v>
      </c>
      <c r="Z1101" t="s">
        <v>69</v>
      </c>
      <c r="AA1101" t="s">
        <v>69</v>
      </c>
      <c r="AB1101" t="s">
        <v>11161</v>
      </c>
      <c r="AC1101" t="s">
        <v>11162</v>
      </c>
      <c r="AD1101" t="s">
        <v>11163</v>
      </c>
      <c r="AE1101" t="s">
        <v>69</v>
      </c>
      <c r="AF1101" t="s">
        <v>11164</v>
      </c>
      <c r="AG1101" t="s">
        <v>69</v>
      </c>
      <c r="AH1101" t="s">
        <v>69</v>
      </c>
      <c r="AI1101" t="s">
        <v>69</v>
      </c>
      <c r="AJ1101" t="s">
        <v>69</v>
      </c>
      <c r="AK1101" t="s">
        <v>69</v>
      </c>
      <c r="AL1101" t="s">
        <v>69</v>
      </c>
      <c r="AM1101" t="s">
        <v>69</v>
      </c>
      <c r="AN1101">
        <v>13</v>
      </c>
      <c r="AO1101">
        <v>0</v>
      </c>
      <c r="AP1101">
        <v>0</v>
      </c>
      <c r="AQ1101">
        <v>1</v>
      </c>
      <c r="AR1101">
        <v>1</v>
      </c>
      <c r="AS1101" t="s">
        <v>10352</v>
      </c>
      <c r="AT1101" t="s">
        <v>8637</v>
      </c>
      <c r="AU1101" t="s">
        <v>10353</v>
      </c>
      <c r="AV1101" t="s">
        <v>11165</v>
      </c>
      <c r="AW1101" t="s">
        <v>11166</v>
      </c>
      <c r="AX1101" t="s">
        <v>69</v>
      </c>
      <c r="AY1101" t="s">
        <v>11167</v>
      </c>
      <c r="AZ1101" t="s">
        <v>11168</v>
      </c>
      <c r="BA1101" t="s">
        <v>11169</v>
      </c>
      <c r="BB1101">
        <v>2022</v>
      </c>
      <c r="BC1101">
        <v>187</v>
      </c>
      <c r="BD1101" t="s">
        <v>145</v>
      </c>
      <c r="BE1101" t="s">
        <v>69</v>
      </c>
      <c r="BF1101" t="s">
        <v>69</v>
      </c>
      <c r="BG1101" t="s">
        <v>69</v>
      </c>
      <c r="BH1101" t="s">
        <v>69</v>
      </c>
      <c r="BI1101">
        <v>84</v>
      </c>
      <c r="BJ1101">
        <v>87</v>
      </c>
      <c r="BK1101" t="s">
        <v>69</v>
      </c>
      <c r="BL1101" t="s">
        <v>11170</v>
      </c>
      <c r="BM1101" t="str">
        <f>HYPERLINK("http://dx.doi.org/10.1093/milmed/usab419","http://dx.doi.org/10.1093/milmed/usab419")</f>
        <v>http://dx.doi.org/10.1093/milmed/usab419</v>
      </c>
      <c r="BN1101" t="s">
        <v>69</v>
      </c>
      <c r="BO1101" t="s">
        <v>10991</v>
      </c>
      <c r="BP1101">
        <v>4</v>
      </c>
      <c r="BQ1101" t="s">
        <v>9450</v>
      </c>
      <c r="BR1101" t="s">
        <v>8548</v>
      </c>
      <c r="BS1101" t="s">
        <v>9451</v>
      </c>
      <c r="BT1101" t="s">
        <v>11171</v>
      </c>
      <c r="BU1101" t="s">
        <v>11172</v>
      </c>
      <c r="BV1101">
        <v>34611703</v>
      </c>
      <c r="BW1101" t="s">
        <v>8622</v>
      </c>
      <c r="BX1101" t="s">
        <v>69</v>
      </c>
      <c r="BY1101" t="s">
        <v>69</v>
      </c>
      <c r="BZ1101" t="s">
        <v>8526</v>
      </c>
      <c r="CA1101" t="str">
        <f>HYPERLINK("https%3A%2F%2Fwww.webofscience.com%2Fwos%2Fwoscc%2Ffull-record%2FWOS:000763919200001","View Full Record in Web of Science")</f>
        <v>View Full Record in Web of Science</v>
      </c>
    </row>
    <row r="1102" spans="2:79" ht="12.5" x14ac:dyDescent="0.25">
      <c r="B1102" t="s">
        <v>8495</v>
      </c>
      <c r="D1102" s="7" t="s">
        <v>32933</v>
      </c>
      <c r="E1102" s="7"/>
      <c r="F1102" s="7"/>
      <c r="G1102" s="7"/>
      <c r="H1102" t="s">
        <v>67</v>
      </c>
      <c r="I1102" t="s">
        <v>7299</v>
      </c>
      <c r="J1102" t="s">
        <v>69</v>
      </c>
      <c r="K1102" t="s">
        <v>69</v>
      </c>
      <c r="L1102" t="s">
        <v>69</v>
      </c>
      <c r="M1102" t="s">
        <v>7300</v>
      </c>
      <c r="N1102" t="s">
        <v>69</v>
      </c>
      <c r="O1102" t="s">
        <v>69</v>
      </c>
      <c r="P1102" s="3" t="s">
        <v>7301</v>
      </c>
      <c r="Q1102" t="s">
        <v>7302</v>
      </c>
      <c r="R1102" t="s">
        <v>69</v>
      </c>
      <c r="S1102" t="s">
        <v>69</v>
      </c>
      <c r="T1102" t="s">
        <v>8505</v>
      </c>
      <c r="U1102" t="s">
        <v>15797</v>
      </c>
      <c r="V1102" t="s">
        <v>7303</v>
      </c>
      <c r="W1102">
        <v>2007</v>
      </c>
      <c r="X1102" t="s">
        <v>7304</v>
      </c>
      <c r="Y1102" t="s">
        <v>7305</v>
      </c>
      <c r="Z1102" t="s">
        <v>69</v>
      </c>
      <c r="AA1102" t="s">
        <v>69</v>
      </c>
      <c r="AB1102" t="s">
        <v>69</v>
      </c>
      <c r="AC1102" t="s">
        <v>7306</v>
      </c>
      <c r="AD1102" t="s">
        <v>29292</v>
      </c>
      <c r="AE1102" t="s">
        <v>69</v>
      </c>
      <c r="AF1102" t="s">
        <v>29293</v>
      </c>
      <c r="AG1102" t="s">
        <v>29294</v>
      </c>
      <c r="AH1102" t="s">
        <v>69</v>
      </c>
      <c r="AI1102" t="s">
        <v>69</v>
      </c>
      <c r="AJ1102" t="s">
        <v>69</v>
      </c>
      <c r="AK1102" t="s">
        <v>69</v>
      </c>
      <c r="AL1102" t="s">
        <v>69</v>
      </c>
      <c r="AM1102" t="s">
        <v>69</v>
      </c>
      <c r="AN1102">
        <v>26</v>
      </c>
      <c r="AO1102">
        <v>11</v>
      </c>
      <c r="AP1102">
        <v>11</v>
      </c>
      <c r="AQ1102">
        <v>4</v>
      </c>
      <c r="AR1102">
        <v>29</v>
      </c>
      <c r="AS1102" t="s">
        <v>8636</v>
      </c>
      <c r="AT1102" t="s">
        <v>8637</v>
      </c>
      <c r="AU1102" t="s">
        <v>8638</v>
      </c>
      <c r="AV1102" t="s">
        <v>7307</v>
      </c>
      <c r="AW1102" t="s">
        <v>7308</v>
      </c>
      <c r="AX1102" t="s">
        <v>69</v>
      </c>
      <c r="AY1102" t="s">
        <v>29295</v>
      </c>
      <c r="AZ1102" t="s">
        <v>29296</v>
      </c>
      <c r="BA1102" t="s">
        <v>94</v>
      </c>
      <c r="BB1102">
        <v>2008</v>
      </c>
      <c r="BC1102">
        <v>33</v>
      </c>
      <c r="BD1102">
        <v>1</v>
      </c>
      <c r="BE1102" t="s">
        <v>69</v>
      </c>
      <c r="BF1102" t="s">
        <v>69</v>
      </c>
      <c r="BG1102" t="s">
        <v>69</v>
      </c>
      <c r="BH1102" t="s">
        <v>69</v>
      </c>
      <c r="BI1102">
        <v>4</v>
      </c>
      <c r="BJ1102">
        <v>11</v>
      </c>
      <c r="BK1102" t="s">
        <v>69</v>
      </c>
      <c r="BL1102" t="s">
        <v>7309</v>
      </c>
      <c r="BM1102" t="str">
        <f>HYPERLINK("http://dx.doi.org/10.1016/j.resourpol.2008.01.003","http://dx.doi.org/10.1016/j.resourpol.2008.01.003")</f>
        <v>http://dx.doi.org/10.1016/j.resourpol.2008.01.003</v>
      </c>
      <c r="BN1102" t="s">
        <v>69</v>
      </c>
      <c r="BO1102" t="s">
        <v>69</v>
      </c>
      <c r="BP1102">
        <v>8</v>
      </c>
      <c r="BQ1102" t="s">
        <v>8660</v>
      </c>
      <c r="BR1102" t="s">
        <v>18588</v>
      </c>
      <c r="BS1102" t="s">
        <v>8662</v>
      </c>
      <c r="BT1102" t="s">
        <v>29297</v>
      </c>
      <c r="BU1102" t="s">
        <v>7310</v>
      </c>
      <c r="BV1102" t="s">
        <v>69</v>
      </c>
      <c r="BW1102" t="s">
        <v>69</v>
      </c>
      <c r="BX1102" t="s">
        <v>69</v>
      </c>
      <c r="BY1102" t="s">
        <v>69</v>
      </c>
      <c r="BZ1102" t="s">
        <v>8526</v>
      </c>
      <c r="CA1102" t="str">
        <f>HYPERLINK("https%3A%2F%2Fwww.webofscience.com%2Fwos%2Fwoscc%2Ffull-record%2FWOS:000255104400002","View Full Record in Web of Science")</f>
        <v>View Full Record in Web of Science</v>
      </c>
    </row>
    <row r="1103" spans="2:79" ht="12.5" x14ac:dyDescent="0.25">
      <c r="B1103" t="s">
        <v>8495</v>
      </c>
      <c r="D1103" s="7" t="s">
        <v>32933</v>
      </c>
      <c r="E1103" s="7"/>
      <c r="F1103" s="7"/>
      <c r="G1103" s="7"/>
      <c r="H1103" t="s">
        <v>67</v>
      </c>
      <c r="I1103" t="s">
        <v>5450</v>
      </c>
      <c r="J1103" t="s">
        <v>69</v>
      </c>
      <c r="K1103" t="s">
        <v>69</v>
      </c>
      <c r="L1103" t="s">
        <v>69</v>
      </c>
      <c r="M1103" t="s">
        <v>5451</v>
      </c>
      <c r="N1103" t="s">
        <v>69</v>
      </c>
      <c r="O1103" t="s">
        <v>69</v>
      </c>
      <c r="P1103" t="s">
        <v>5452</v>
      </c>
      <c r="Q1103" t="s">
        <v>5453</v>
      </c>
      <c r="R1103" t="s">
        <v>69</v>
      </c>
      <c r="S1103" t="s">
        <v>69</v>
      </c>
      <c r="T1103" t="s">
        <v>8505</v>
      </c>
      <c r="U1103" t="s">
        <v>8506</v>
      </c>
      <c r="V1103" t="s">
        <v>69</v>
      </c>
      <c r="W1103" t="s">
        <v>69</v>
      </c>
      <c r="X1103" t="s">
        <v>69</v>
      </c>
      <c r="Y1103" t="s">
        <v>69</v>
      </c>
      <c r="Z1103" t="s">
        <v>69</v>
      </c>
      <c r="AA1103" t="s">
        <v>69</v>
      </c>
      <c r="AB1103" t="s">
        <v>20392</v>
      </c>
      <c r="AC1103" t="s">
        <v>5454</v>
      </c>
      <c r="AD1103" t="s">
        <v>20393</v>
      </c>
      <c r="AE1103" t="s">
        <v>69</v>
      </c>
      <c r="AF1103" t="s">
        <v>20394</v>
      </c>
      <c r="AG1103" t="s">
        <v>20395</v>
      </c>
      <c r="AH1103" t="s">
        <v>69</v>
      </c>
      <c r="AI1103" t="s">
        <v>20396</v>
      </c>
      <c r="AJ1103" t="s">
        <v>69</v>
      </c>
      <c r="AK1103" t="s">
        <v>69</v>
      </c>
      <c r="AL1103" t="s">
        <v>69</v>
      </c>
      <c r="AM1103" t="s">
        <v>69</v>
      </c>
      <c r="AN1103">
        <v>42</v>
      </c>
      <c r="AO1103">
        <v>5</v>
      </c>
      <c r="AP1103">
        <v>5</v>
      </c>
      <c r="AQ1103">
        <v>0</v>
      </c>
      <c r="AR1103">
        <v>1</v>
      </c>
      <c r="AS1103" t="s">
        <v>9978</v>
      </c>
      <c r="AT1103" t="s">
        <v>8693</v>
      </c>
      <c r="AU1103" t="s">
        <v>17938</v>
      </c>
      <c r="AV1103" t="s">
        <v>5455</v>
      </c>
      <c r="AW1103" t="s">
        <v>69</v>
      </c>
      <c r="AX1103" t="s">
        <v>69</v>
      </c>
      <c r="AY1103" t="s">
        <v>20397</v>
      </c>
      <c r="AZ1103" t="s">
        <v>20398</v>
      </c>
      <c r="BA1103" t="s">
        <v>586</v>
      </c>
      <c r="BB1103">
        <v>2017</v>
      </c>
      <c r="BC1103">
        <v>5</v>
      </c>
      <c r="BD1103">
        <v>2</v>
      </c>
      <c r="BE1103" t="s">
        <v>69</v>
      </c>
      <c r="BF1103" t="s">
        <v>69</v>
      </c>
      <c r="BG1103" t="s">
        <v>69</v>
      </c>
      <c r="BH1103" t="s">
        <v>69</v>
      </c>
      <c r="BI1103">
        <v>147</v>
      </c>
      <c r="BJ1103">
        <v>158</v>
      </c>
      <c r="BK1103" t="s">
        <v>69</v>
      </c>
      <c r="BL1103" t="s">
        <v>5456</v>
      </c>
      <c r="BM1103" t="str">
        <f>HYPERLINK("http://dx.doi.org/10.1017/aap.2017.7","http://dx.doi.org/10.1017/aap.2017.7")</f>
        <v>http://dx.doi.org/10.1017/aap.2017.7</v>
      </c>
      <c r="BN1103" t="s">
        <v>69</v>
      </c>
      <c r="BO1103" t="s">
        <v>69</v>
      </c>
      <c r="BP1103">
        <v>12</v>
      </c>
      <c r="BQ1103" t="s">
        <v>20399</v>
      </c>
      <c r="BR1103" t="s">
        <v>11207</v>
      </c>
      <c r="BS1103" t="s">
        <v>20399</v>
      </c>
      <c r="BT1103" t="s">
        <v>20400</v>
      </c>
      <c r="BU1103" t="s">
        <v>5457</v>
      </c>
      <c r="BV1103" t="s">
        <v>69</v>
      </c>
      <c r="BW1103" t="s">
        <v>9374</v>
      </c>
      <c r="BX1103" t="s">
        <v>69</v>
      </c>
      <c r="BY1103" t="s">
        <v>69</v>
      </c>
      <c r="BZ1103" t="s">
        <v>8526</v>
      </c>
      <c r="CA1103" t="str">
        <f>HYPERLINK("https%3A%2F%2Fwww.webofscience.com%2Fwos%2Fwoscc%2Ffull-record%2FWOS:000452848500004","View Full Record in Web of Science")</f>
        <v>View Full Record in Web of Science</v>
      </c>
    </row>
    <row r="1104" spans="2:79" x14ac:dyDescent="0.3">
      <c r="B1104" t="s">
        <v>8495</v>
      </c>
      <c r="D1104" s="9" t="s">
        <v>32996</v>
      </c>
      <c r="E1104" s="9" t="s">
        <v>33137</v>
      </c>
      <c r="F1104" s="9" t="s">
        <v>8491</v>
      </c>
      <c r="G1104" s="9" t="s">
        <v>8490</v>
      </c>
      <c r="H1104" t="s">
        <v>67</v>
      </c>
      <c r="I1104" t="s">
        <v>10549</v>
      </c>
      <c r="J1104" t="s">
        <v>69</v>
      </c>
      <c r="K1104" t="s">
        <v>69</v>
      </c>
      <c r="L1104" t="s">
        <v>69</v>
      </c>
      <c r="M1104" t="s">
        <v>10550</v>
      </c>
      <c r="N1104" t="s">
        <v>69</v>
      </c>
      <c r="O1104" t="s">
        <v>69</v>
      </c>
      <c r="P1104" t="s">
        <v>10551</v>
      </c>
      <c r="Q1104" t="s">
        <v>10552</v>
      </c>
      <c r="R1104" t="s">
        <v>69</v>
      </c>
      <c r="S1104" t="s">
        <v>69</v>
      </c>
      <c r="T1104" t="s">
        <v>8505</v>
      </c>
      <c r="U1104" t="s">
        <v>8506</v>
      </c>
      <c r="V1104" t="s">
        <v>69</v>
      </c>
      <c r="W1104" t="s">
        <v>69</v>
      </c>
      <c r="X1104" t="s">
        <v>69</v>
      </c>
      <c r="Y1104" t="s">
        <v>69</v>
      </c>
      <c r="Z1104" t="s">
        <v>69</v>
      </c>
      <c r="AA1104" t="s">
        <v>10553</v>
      </c>
      <c r="AB1104" t="s">
        <v>69</v>
      </c>
      <c r="AC1104" t="s">
        <v>10554</v>
      </c>
      <c r="AD1104" t="s">
        <v>10555</v>
      </c>
      <c r="AE1104" t="s">
        <v>69</v>
      </c>
      <c r="AF1104" t="s">
        <v>10556</v>
      </c>
      <c r="AG1104" t="s">
        <v>10557</v>
      </c>
      <c r="AH1104" t="s">
        <v>69</v>
      </c>
      <c r="AI1104" t="s">
        <v>69</v>
      </c>
      <c r="AJ1104" t="s">
        <v>10558</v>
      </c>
      <c r="AK1104" t="s">
        <v>10559</v>
      </c>
      <c r="AL1104" t="s">
        <v>10560</v>
      </c>
      <c r="AM1104" t="s">
        <v>69</v>
      </c>
      <c r="AN1104">
        <v>17</v>
      </c>
      <c r="AO1104">
        <v>0</v>
      </c>
      <c r="AP1104">
        <v>0</v>
      </c>
      <c r="AQ1104">
        <v>0</v>
      </c>
      <c r="AR1104">
        <v>0</v>
      </c>
      <c r="AS1104" t="s">
        <v>8846</v>
      </c>
      <c r="AT1104" t="s">
        <v>8847</v>
      </c>
      <c r="AU1104" t="s">
        <v>8848</v>
      </c>
      <c r="AV1104" t="s">
        <v>10561</v>
      </c>
      <c r="AW1104" t="s">
        <v>10562</v>
      </c>
      <c r="AX1104" t="s">
        <v>69</v>
      </c>
      <c r="AY1104" t="s">
        <v>10563</v>
      </c>
      <c r="AZ1104" t="s">
        <v>10564</v>
      </c>
      <c r="BA1104" t="s">
        <v>75</v>
      </c>
      <c r="BB1104">
        <v>2021</v>
      </c>
      <c r="BC1104">
        <v>174</v>
      </c>
      <c r="BD1104">
        <v>1</v>
      </c>
      <c r="BE1104" t="s">
        <v>69</v>
      </c>
      <c r="BF1104" t="s">
        <v>69</v>
      </c>
      <c r="BG1104" t="s">
        <v>69</v>
      </c>
      <c r="BH1104" t="s">
        <v>69</v>
      </c>
      <c r="BI1104">
        <v>155</v>
      </c>
      <c r="BJ1104">
        <v>170</v>
      </c>
      <c r="BK1104" t="s">
        <v>69</v>
      </c>
      <c r="BL1104" t="s">
        <v>69</v>
      </c>
      <c r="BM1104" t="s">
        <v>69</v>
      </c>
      <c r="BN1104" t="s">
        <v>69</v>
      </c>
      <c r="BO1104" t="s">
        <v>69</v>
      </c>
      <c r="BP1104">
        <v>16</v>
      </c>
      <c r="BQ1104" t="s">
        <v>9096</v>
      </c>
      <c r="BR1104" t="s">
        <v>8573</v>
      </c>
      <c r="BS1104" t="s">
        <v>9096</v>
      </c>
      <c r="BT1104" t="s">
        <v>10565</v>
      </c>
      <c r="BU1104" t="s">
        <v>10566</v>
      </c>
      <c r="BV1104" t="s">
        <v>69</v>
      </c>
      <c r="BW1104" t="s">
        <v>9374</v>
      </c>
      <c r="BX1104" t="s">
        <v>69</v>
      </c>
      <c r="BY1104" t="s">
        <v>69</v>
      </c>
      <c r="BZ1104" t="s">
        <v>8526</v>
      </c>
      <c r="CA1104" t="str">
        <f>HYPERLINK("https%3A%2F%2Fwww.webofscience.com%2Fwos%2Fwoscc%2Ffull-record%2FWOS:000736180700011","View Full Record in Web of Science")</f>
        <v>View Full Record in Web of Science</v>
      </c>
    </row>
    <row r="1105" spans="2:79" ht="12.5" x14ac:dyDescent="0.25">
      <c r="B1105" t="s">
        <v>8495</v>
      </c>
      <c r="D1105" s="22" t="s">
        <v>32931</v>
      </c>
      <c r="E1105" s="7"/>
      <c r="F1105" s="7"/>
      <c r="G1105" s="7"/>
      <c r="H1105" t="s">
        <v>67</v>
      </c>
      <c r="I1105" t="s">
        <v>10779</v>
      </c>
      <c r="J1105" t="s">
        <v>69</v>
      </c>
      <c r="K1105" t="s">
        <v>69</v>
      </c>
      <c r="L1105" t="s">
        <v>69</v>
      </c>
      <c r="M1105" t="s">
        <v>10780</v>
      </c>
      <c r="N1105" t="s">
        <v>69</v>
      </c>
      <c r="O1105" t="s">
        <v>69</v>
      </c>
      <c r="P1105" t="s">
        <v>10781</v>
      </c>
      <c r="Q1105" t="s">
        <v>10782</v>
      </c>
      <c r="R1105" t="s">
        <v>69</v>
      </c>
      <c r="S1105" t="s">
        <v>69</v>
      </c>
      <c r="T1105" t="s">
        <v>8505</v>
      </c>
      <c r="U1105" t="s">
        <v>8506</v>
      </c>
      <c r="V1105" t="s">
        <v>69</v>
      </c>
      <c r="W1105" t="s">
        <v>69</v>
      </c>
      <c r="X1105" t="s">
        <v>69</v>
      </c>
      <c r="Y1105" t="s">
        <v>69</v>
      </c>
      <c r="Z1105" t="s">
        <v>69</v>
      </c>
      <c r="AA1105" t="s">
        <v>69</v>
      </c>
      <c r="AB1105" t="s">
        <v>10783</v>
      </c>
      <c r="AC1105" t="s">
        <v>10784</v>
      </c>
      <c r="AD1105" t="s">
        <v>10785</v>
      </c>
      <c r="AE1105" t="s">
        <v>69</v>
      </c>
      <c r="AF1105" t="s">
        <v>10786</v>
      </c>
      <c r="AG1105" t="s">
        <v>10787</v>
      </c>
      <c r="AH1105" t="s">
        <v>69</v>
      </c>
      <c r="AI1105" t="s">
        <v>69</v>
      </c>
      <c r="AJ1105" t="s">
        <v>10788</v>
      </c>
      <c r="AK1105" t="s">
        <v>10789</v>
      </c>
      <c r="AL1105" t="s">
        <v>10790</v>
      </c>
      <c r="AM1105" t="s">
        <v>69</v>
      </c>
      <c r="AN1105">
        <v>29</v>
      </c>
      <c r="AO1105">
        <v>1</v>
      </c>
      <c r="AP1105">
        <v>1</v>
      </c>
      <c r="AQ1105">
        <v>9</v>
      </c>
      <c r="AR1105">
        <v>9</v>
      </c>
      <c r="AS1105" t="s">
        <v>8802</v>
      </c>
      <c r="AT1105" t="s">
        <v>8763</v>
      </c>
      <c r="AU1105" t="s">
        <v>8803</v>
      </c>
      <c r="AV1105" t="s">
        <v>10791</v>
      </c>
      <c r="AW1105" t="s">
        <v>10792</v>
      </c>
      <c r="AX1105" t="s">
        <v>69</v>
      </c>
      <c r="AY1105" t="s">
        <v>10793</v>
      </c>
      <c r="AZ1105" t="s">
        <v>10794</v>
      </c>
      <c r="BA1105" t="s">
        <v>10795</v>
      </c>
      <c r="BB1105">
        <v>2021</v>
      </c>
      <c r="BC1105">
        <v>2021</v>
      </c>
      <c r="BD1105" t="s">
        <v>69</v>
      </c>
      <c r="BE1105" t="s">
        <v>69</v>
      </c>
      <c r="BF1105" t="s">
        <v>69</v>
      </c>
      <c r="BG1105" t="s">
        <v>69</v>
      </c>
      <c r="BH1105" t="s">
        <v>69</v>
      </c>
      <c r="BI1105" t="s">
        <v>69</v>
      </c>
      <c r="BJ1105" t="s">
        <v>69</v>
      </c>
      <c r="BK1105">
        <v>6547186</v>
      </c>
      <c r="BL1105" t="s">
        <v>10796</v>
      </c>
      <c r="BM1105" t="str">
        <f>HYPERLINK("http://dx.doi.org/10.1155/2021/6547186","http://dx.doi.org/10.1155/2021/6547186")</f>
        <v>http://dx.doi.org/10.1155/2021/6547186</v>
      </c>
      <c r="BN1105" t="s">
        <v>69</v>
      </c>
      <c r="BO1105" t="s">
        <v>69</v>
      </c>
      <c r="BP1105">
        <v>14</v>
      </c>
      <c r="BQ1105" t="s">
        <v>10797</v>
      </c>
      <c r="BR1105" t="s">
        <v>8548</v>
      </c>
      <c r="BS1105" t="s">
        <v>10798</v>
      </c>
      <c r="BT1105" t="s">
        <v>10799</v>
      </c>
      <c r="BU1105" t="s">
        <v>10800</v>
      </c>
      <c r="BV1105" t="s">
        <v>69</v>
      </c>
      <c r="BW1105" t="s">
        <v>8931</v>
      </c>
      <c r="BX1105" t="s">
        <v>69</v>
      </c>
      <c r="BY1105" t="s">
        <v>69</v>
      </c>
      <c r="BZ1105" t="s">
        <v>8526</v>
      </c>
      <c r="CA1105" t="str">
        <f>HYPERLINK("https%3A%2F%2Fwww.webofscience.com%2Fwos%2Fwoscc%2Ffull-record%2FWOS:000770885100005","View Full Record in Web of Science")</f>
        <v>View Full Record in Web of Science</v>
      </c>
    </row>
    <row r="1106" spans="2:79" ht="12.5" x14ac:dyDescent="0.25">
      <c r="B1106" t="s">
        <v>8495</v>
      </c>
      <c r="D1106" s="7" t="s">
        <v>32933</v>
      </c>
      <c r="E1106" s="7"/>
      <c r="F1106" s="7"/>
      <c r="G1106" s="7"/>
      <c r="H1106" t="s">
        <v>67</v>
      </c>
      <c r="I1106" t="s">
        <v>2874</v>
      </c>
      <c r="J1106" t="s">
        <v>69</v>
      </c>
      <c r="K1106" t="s">
        <v>69</v>
      </c>
      <c r="L1106" t="s">
        <v>69</v>
      </c>
      <c r="M1106" t="s">
        <v>2875</v>
      </c>
      <c r="N1106" t="s">
        <v>69</v>
      </c>
      <c r="O1106" t="s">
        <v>69</v>
      </c>
      <c r="P1106" t="s">
        <v>2876</v>
      </c>
      <c r="Q1106" t="s">
        <v>2877</v>
      </c>
      <c r="R1106" t="s">
        <v>69</v>
      </c>
      <c r="S1106" t="s">
        <v>69</v>
      </c>
      <c r="T1106" t="s">
        <v>8505</v>
      </c>
      <c r="U1106" t="s">
        <v>21730</v>
      </c>
      <c r="V1106" t="s">
        <v>69</v>
      </c>
      <c r="W1106" t="s">
        <v>69</v>
      </c>
      <c r="X1106" t="s">
        <v>69</v>
      </c>
      <c r="Y1106" t="s">
        <v>69</v>
      </c>
      <c r="Z1106" t="s">
        <v>69</v>
      </c>
      <c r="AA1106" t="s">
        <v>69</v>
      </c>
      <c r="AB1106" t="s">
        <v>69</v>
      </c>
      <c r="AC1106" t="s">
        <v>2878</v>
      </c>
      <c r="AD1106" t="s">
        <v>69</v>
      </c>
      <c r="AE1106" t="s">
        <v>69</v>
      </c>
      <c r="AF1106" t="s">
        <v>69</v>
      </c>
      <c r="AG1106" t="s">
        <v>69</v>
      </c>
      <c r="AH1106" t="s">
        <v>69</v>
      </c>
      <c r="AI1106" t="s">
        <v>69</v>
      </c>
      <c r="AJ1106" t="s">
        <v>69</v>
      </c>
      <c r="AK1106" t="s">
        <v>69</v>
      </c>
      <c r="AL1106" t="s">
        <v>69</v>
      </c>
      <c r="AM1106" t="s">
        <v>69</v>
      </c>
      <c r="AN1106">
        <v>2</v>
      </c>
      <c r="AO1106">
        <v>0</v>
      </c>
      <c r="AP1106">
        <v>0</v>
      </c>
      <c r="AQ1106">
        <v>0</v>
      </c>
      <c r="AR1106">
        <v>1</v>
      </c>
      <c r="AS1106" t="s">
        <v>9978</v>
      </c>
      <c r="AT1106" t="s">
        <v>8693</v>
      </c>
      <c r="AU1106" t="s">
        <v>17938</v>
      </c>
      <c r="AV1106" t="s">
        <v>2879</v>
      </c>
      <c r="AW1106" t="s">
        <v>2880</v>
      </c>
      <c r="AX1106" t="s">
        <v>69</v>
      </c>
      <c r="AY1106" t="s">
        <v>21731</v>
      </c>
      <c r="AZ1106" t="s">
        <v>21732</v>
      </c>
      <c r="BA1106" t="s">
        <v>246</v>
      </c>
      <c r="BB1106">
        <v>2016</v>
      </c>
      <c r="BC1106">
        <v>70</v>
      </c>
      <c r="BD1106">
        <v>276</v>
      </c>
      <c r="BE1106" t="s">
        <v>69</v>
      </c>
      <c r="BF1106" t="s">
        <v>69</v>
      </c>
      <c r="BG1106" t="s">
        <v>69</v>
      </c>
      <c r="BH1106" t="s">
        <v>69</v>
      </c>
      <c r="BI1106">
        <v>75</v>
      </c>
      <c r="BJ1106">
        <v>76</v>
      </c>
      <c r="BK1106" t="s">
        <v>69</v>
      </c>
      <c r="BL1106" t="s">
        <v>2881</v>
      </c>
      <c r="BM1106" t="str">
        <f>HYPERLINK("http://dx.doi.org/10.1017/S0040298215001102","http://dx.doi.org/10.1017/S0040298215001102")</f>
        <v>http://dx.doi.org/10.1017/S0040298215001102</v>
      </c>
      <c r="BN1106" t="s">
        <v>69</v>
      </c>
      <c r="BO1106" t="s">
        <v>69</v>
      </c>
      <c r="BP1106">
        <v>2</v>
      </c>
      <c r="BQ1106" t="s">
        <v>21733</v>
      </c>
      <c r="BR1106" t="s">
        <v>11207</v>
      </c>
      <c r="BS1106" t="s">
        <v>21733</v>
      </c>
      <c r="BT1106" t="s">
        <v>21734</v>
      </c>
      <c r="BU1106" t="s">
        <v>2882</v>
      </c>
      <c r="BV1106" t="s">
        <v>69</v>
      </c>
      <c r="BW1106" t="s">
        <v>69</v>
      </c>
      <c r="BX1106" t="s">
        <v>69</v>
      </c>
      <c r="BY1106" t="s">
        <v>69</v>
      </c>
      <c r="BZ1106" t="s">
        <v>8526</v>
      </c>
      <c r="CA1106" t="str">
        <f>HYPERLINK("https%3A%2F%2Fwww.webofscience.com%2Fwos%2Fwoscc%2Ffull-record%2FWOS:000374242100010","View Full Record in Web of Science")</f>
        <v>View Full Record in Web of Science</v>
      </c>
    </row>
    <row r="1107" spans="2:79" x14ac:dyDescent="0.3">
      <c r="B1107" t="s">
        <v>8495</v>
      </c>
      <c r="D1107" s="13" t="s">
        <v>33008</v>
      </c>
      <c r="H1107" t="s">
        <v>67</v>
      </c>
      <c r="I1107" t="s">
        <v>4945</v>
      </c>
      <c r="J1107" t="s">
        <v>69</v>
      </c>
      <c r="K1107" t="s">
        <v>69</v>
      </c>
      <c r="L1107" t="s">
        <v>69</v>
      </c>
      <c r="M1107" s="4" t="s">
        <v>4946</v>
      </c>
      <c r="N1107" t="s">
        <v>69</v>
      </c>
      <c r="O1107" t="s">
        <v>69</v>
      </c>
      <c r="P1107" s="2" t="s">
        <v>4947</v>
      </c>
      <c r="Q1107" t="s">
        <v>2160</v>
      </c>
      <c r="R1107" t="s">
        <v>69</v>
      </c>
      <c r="S1107" t="s">
        <v>69</v>
      </c>
      <c r="T1107" t="s">
        <v>8505</v>
      </c>
      <c r="U1107" t="s">
        <v>8506</v>
      </c>
      <c r="V1107" t="s">
        <v>69</v>
      </c>
      <c r="W1107" t="s">
        <v>69</v>
      </c>
      <c r="X1107" t="s">
        <v>69</v>
      </c>
      <c r="Y1107" t="s">
        <v>69</v>
      </c>
      <c r="Z1107" t="s">
        <v>69</v>
      </c>
      <c r="AA1107" t="s">
        <v>24408</v>
      </c>
      <c r="AB1107" t="s">
        <v>19521</v>
      </c>
      <c r="AC1107" t="s">
        <v>4948</v>
      </c>
      <c r="AD1107" t="s">
        <v>24409</v>
      </c>
      <c r="AE1107" t="s">
        <v>69</v>
      </c>
      <c r="AF1107" t="s">
        <v>24410</v>
      </c>
      <c r="AG1107" t="s">
        <v>69</v>
      </c>
      <c r="AH1107" t="s">
        <v>69</v>
      </c>
      <c r="AI1107" t="s">
        <v>4949</v>
      </c>
      <c r="AJ1107" t="s">
        <v>69</v>
      </c>
      <c r="AK1107" t="s">
        <v>69</v>
      </c>
      <c r="AL1107" t="s">
        <v>69</v>
      </c>
      <c r="AM1107" t="s">
        <v>69</v>
      </c>
      <c r="AN1107">
        <v>20</v>
      </c>
      <c r="AO1107">
        <v>2</v>
      </c>
      <c r="AP1107">
        <v>2</v>
      </c>
      <c r="AQ1107">
        <v>2</v>
      </c>
      <c r="AR1107">
        <v>7</v>
      </c>
      <c r="AS1107" t="s">
        <v>13195</v>
      </c>
      <c r="AT1107" t="s">
        <v>13196</v>
      </c>
      <c r="AU1107" t="s">
        <v>13197</v>
      </c>
      <c r="AV1107" t="s">
        <v>2163</v>
      </c>
      <c r="AW1107" t="s">
        <v>2164</v>
      </c>
      <c r="AX1107" t="s">
        <v>69</v>
      </c>
      <c r="AY1107" t="s">
        <v>16800</v>
      </c>
      <c r="AZ1107" t="s">
        <v>16801</v>
      </c>
      <c r="BA1107" t="s">
        <v>75</v>
      </c>
      <c r="BB1107">
        <v>2013</v>
      </c>
      <c r="BC1107">
        <v>166</v>
      </c>
      <c r="BD1107">
        <v>6</v>
      </c>
      <c r="BE1107" t="s">
        <v>69</v>
      </c>
      <c r="BF1107" t="s">
        <v>69</v>
      </c>
      <c r="BG1107" t="s">
        <v>69</v>
      </c>
      <c r="BH1107" t="s">
        <v>69</v>
      </c>
      <c r="BI1107">
        <v>330</v>
      </c>
      <c r="BJ1107">
        <v>336</v>
      </c>
      <c r="BK1107" t="s">
        <v>69</v>
      </c>
      <c r="BL1107" t="s">
        <v>4950</v>
      </c>
      <c r="BM1107" t="str">
        <f>HYPERLINK("http://dx.doi.org/10.1680/ensu.12.00006","http://dx.doi.org/10.1680/ensu.12.00006")</f>
        <v>http://dx.doi.org/10.1680/ensu.12.00006</v>
      </c>
      <c r="BN1107" t="s">
        <v>69</v>
      </c>
      <c r="BO1107" t="s">
        <v>69</v>
      </c>
      <c r="BP1107">
        <v>7</v>
      </c>
      <c r="BQ1107" t="s">
        <v>16802</v>
      </c>
      <c r="BR1107" t="s">
        <v>8548</v>
      </c>
      <c r="BS1107" t="s">
        <v>16803</v>
      </c>
      <c r="BT1107" t="s">
        <v>24411</v>
      </c>
      <c r="BU1107" t="s">
        <v>4951</v>
      </c>
      <c r="BV1107" t="s">
        <v>69</v>
      </c>
      <c r="BW1107" t="s">
        <v>69</v>
      </c>
      <c r="BX1107" t="s">
        <v>69</v>
      </c>
      <c r="BY1107" t="s">
        <v>69</v>
      </c>
      <c r="BZ1107" t="s">
        <v>8526</v>
      </c>
      <c r="CA1107" t="str">
        <f>HYPERLINK("https%3A%2F%2Fwww.webofscience.com%2Fwos%2Fwoscc%2Ffull-record%2FWOS:000343385200005","View Full Record in Web of Science")</f>
        <v>View Full Record in Web of Science</v>
      </c>
    </row>
    <row r="1108" spans="2:79" ht="12.5" x14ac:dyDescent="0.25">
      <c r="B1108" t="s">
        <v>8495</v>
      </c>
      <c r="D1108" s="7" t="s">
        <v>32933</v>
      </c>
      <c r="E1108" s="7"/>
      <c r="F1108" s="7"/>
      <c r="G1108" s="7"/>
      <c r="H1108" t="s">
        <v>67</v>
      </c>
      <c r="I1108" t="s">
        <v>6958</v>
      </c>
      <c r="J1108" t="s">
        <v>69</v>
      </c>
      <c r="K1108" t="s">
        <v>69</v>
      </c>
      <c r="L1108" t="s">
        <v>69</v>
      </c>
      <c r="M1108" t="s">
        <v>6959</v>
      </c>
      <c r="N1108" t="s">
        <v>69</v>
      </c>
      <c r="O1108" t="s">
        <v>69</v>
      </c>
      <c r="P1108" t="s">
        <v>6960</v>
      </c>
      <c r="Q1108" t="s">
        <v>1128</v>
      </c>
      <c r="R1108" t="s">
        <v>69</v>
      </c>
      <c r="S1108" t="s">
        <v>69</v>
      </c>
      <c r="T1108" t="s">
        <v>8505</v>
      </c>
      <c r="U1108" t="s">
        <v>8506</v>
      </c>
      <c r="V1108" t="s">
        <v>69</v>
      </c>
      <c r="W1108" t="s">
        <v>69</v>
      </c>
      <c r="X1108" t="s">
        <v>69</v>
      </c>
      <c r="Y1108" t="s">
        <v>69</v>
      </c>
      <c r="Z1108" t="s">
        <v>69</v>
      </c>
      <c r="AA1108" t="s">
        <v>14830</v>
      </c>
      <c r="AB1108" t="s">
        <v>14831</v>
      </c>
      <c r="AC1108" t="s">
        <v>6961</v>
      </c>
      <c r="AD1108" t="s">
        <v>14832</v>
      </c>
      <c r="AE1108" t="s">
        <v>69</v>
      </c>
      <c r="AF1108" t="s">
        <v>14833</v>
      </c>
      <c r="AG1108" t="s">
        <v>14834</v>
      </c>
      <c r="AH1108" t="s">
        <v>69</v>
      </c>
      <c r="AI1108" t="s">
        <v>14835</v>
      </c>
      <c r="AJ1108" t="s">
        <v>14836</v>
      </c>
      <c r="AK1108" t="s">
        <v>14837</v>
      </c>
      <c r="AL1108" t="s">
        <v>14838</v>
      </c>
      <c r="AM1108" t="s">
        <v>69</v>
      </c>
      <c r="AN1108">
        <v>47</v>
      </c>
      <c r="AO1108">
        <v>8</v>
      </c>
      <c r="AP1108">
        <v>8</v>
      </c>
      <c r="AQ1108">
        <v>3</v>
      </c>
      <c r="AR1108">
        <v>15</v>
      </c>
      <c r="AS1108" t="s">
        <v>8636</v>
      </c>
      <c r="AT1108" t="s">
        <v>8637</v>
      </c>
      <c r="AU1108" t="s">
        <v>8638</v>
      </c>
      <c r="AV1108" t="s">
        <v>1130</v>
      </c>
      <c r="AW1108" t="s">
        <v>1131</v>
      </c>
      <c r="AX1108" t="s">
        <v>69</v>
      </c>
      <c r="AY1108" t="s">
        <v>1128</v>
      </c>
      <c r="AZ1108" t="s">
        <v>8658</v>
      </c>
      <c r="BA1108" t="s">
        <v>84</v>
      </c>
      <c r="BB1108">
        <v>2020</v>
      </c>
      <c r="BC1108">
        <v>96</v>
      </c>
      <c r="BD1108" t="s">
        <v>69</v>
      </c>
      <c r="BE1108" t="s">
        <v>69</v>
      </c>
      <c r="BF1108" t="s">
        <v>69</v>
      </c>
      <c r="BG1108" t="s">
        <v>69</v>
      </c>
      <c r="BH1108" t="s">
        <v>69</v>
      </c>
      <c r="BI1108" t="s">
        <v>69</v>
      </c>
      <c r="BJ1108" t="s">
        <v>69</v>
      </c>
      <c r="BK1108">
        <v>103591</v>
      </c>
      <c r="BL1108" t="s">
        <v>6962</v>
      </c>
      <c r="BM1108" t="str">
        <f>HYPERLINK("http://dx.doi.org/10.1016/j.landusepol.2018.08.042","http://dx.doi.org/10.1016/j.landusepol.2018.08.042")</f>
        <v>http://dx.doi.org/10.1016/j.landusepol.2018.08.042</v>
      </c>
      <c r="BN1108" t="s">
        <v>69</v>
      </c>
      <c r="BO1108" t="s">
        <v>69</v>
      </c>
      <c r="BP1108">
        <v>10</v>
      </c>
      <c r="BQ1108" t="s">
        <v>8660</v>
      </c>
      <c r="BR1108" t="s">
        <v>8661</v>
      </c>
      <c r="BS1108" t="s">
        <v>8662</v>
      </c>
      <c r="BT1108" t="s">
        <v>14839</v>
      </c>
      <c r="BU1108" t="s">
        <v>6963</v>
      </c>
      <c r="BV1108" t="s">
        <v>69</v>
      </c>
      <c r="BW1108" t="s">
        <v>9374</v>
      </c>
      <c r="BX1108" t="s">
        <v>69</v>
      </c>
      <c r="BY1108" t="s">
        <v>69</v>
      </c>
      <c r="BZ1108" t="s">
        <v>8526</v>
      </c>
      <c r="CA1108" t="str">
        <f>HYPERLINK("https%3A%2F%2Fwww.webofscience.com%2Fwos%2Fwoscc%2Ffull-record%2FWOS:000541149900003","View Full Record in Web of Science")</f>
        <v>View Full Record in Web of Science</v>
      </c>
    </row>
    <row r="1109" spans="2:79" ht="12.5" x14ac:dyDescent="0.25">
      <c r="B1109" t="s">
        <v>8495</v>
      </c>
      <c r="D1109" s="22" t="s">
        <v>32931</v>
      </c>
      <c r="E1109" s="7"/>
      <c r="F1109" s="7"/>
      <c r="G1109" s="7"/>
      <c r="H1109" t="s">
        <v>67</v>
      </c>
      <c r="I1109" t="s">
        <v>23331</v>
      </c>
      <c r="J1109" t="s">
        <v>69</v>
      </c>
      <c r="K1109" t="s">
        <v>69</v>
      </c>
      <c r="L1109" t="s">
        <v>69</v>
      </c>
      <c r="M1109" t="s">
        <v>23332</v>
      </c>
      <c r="N1109" t="s">
        <v>69</v>
      </c>
      <c r="O1109" t="s">
        <v>69</v>
      </c>
      <c r="P1109" t="s">
        <v>23333</v>
      </c>
      <c r="Q1109" t="s">
        <v>19267</v>
      </c>
      <c r="R1109" t="s">
        <v>69</v>
      </c>
      <c r="S1109" t="s">
        <v>69</v>
      </c>
      <c r="T1109" t="s">
        <v>8505</v>
      </c>
      <c r="U1109" t="s">
        <v>8506</v>
      </c>
      <c r="V1109" t="s">
        <v>69</v>
      </c>
      <c r="W1109" t="s">
        <v>69</v>
      </c>
      <c r="X1109" t="s">
        <v>69</v>
      </c>
      <c r="Y1109" t="s">
        <v>69</v>
      </c>
      <c r="Z1109" t="s">
        <v>69</v>
      </c>
      <c r="AA1109" t="s">
        <v>23334</v>
      </c>
      <c r="AB1109" t="s">
        <v>23335</v>
      </c>
      <c r="AC1109" t="s">
        <v>23336</v>
      </c>
      <c r="AD1109" t="s">
        <v>23337</v>
      </c>
      <c r="AE1109" t="s">
        <v>69</v>
      </c>
      <c r="AF1109" t="s">
        <v>23338</v>
      </c>
      <c r="AG1109" t="s">
        <v>23339</v>
      </c>
      <c r="AH1109" t="s">
        <v>69</v>
      </c>
      <c r="AI1109" t="s">
        <v>69</v>
      </c>
      <c r="AJ1109" t="s">
        <v>23340</v>
      </c>
      <c r="AK1109" t="s">
        <v>23341</v>
      </c>
      <c r="AL1109" t="s">
        <v>23342</v>
      </c>
      <c r="AM1109" t="s">
        <v>69</v>
      </c>
      <c r="AN1109">
        <v>105</v>
      </c>
      <c r="AO1109">
        <v>47</v>
      </c>
      <c r="AP1109">
        <v>48</v>
      </c>
      <c r="AQ1109">
        <v>1</v>
      </c>
      <c r="AR1109">
        <v>40</v>
      </c>
      <c r="AS1109" t="s">
        <v>9203</v>
      </c>
      <c r="AT1109" t="s">
        <v>8763</v>
      </c>
      <c r="AU1109" t="s">
        <v>9204</v>
      </c>
      <c r="AV1109" t="s">
        <v>19277</v>
      </c>
      <c r="AW1109" t="s">
        <v>69</v>
      </c>
      <c r="AX1109" t="s">
        <v>69</v>
      </c>
      <c r="AY1109" t="s">
        <v>19278</v>
      </c>
      <c r="AZ1109" t="s">
        <v>19279</v>
      </c>
      <c r="BA1109" t="s">
        <v>10479</v>
      </c>
      <c r="BB1109">
        <v>2014</v>
      </c>
      <c r="BC1109">
        <v>9</v>
      </c>
      <c r="BD1109" t="s">
        <v>69</v>
      </c>
      <c r="BE1109" t="s">
        <v>69</v>
      </c>
      <c r="BF1109" t="s">
        <v>69</v>
      </c>
      <c r="BG1109" t="s">
        <v>69</v>
      </c>
      <c r="BH1109" t="s">
        <v>69</v>
      </c>
      <c r="BI1109" t="s">
        <v>69</v>
      </c>
      <c r="BJ1109" t="s">
        <v>69</v>
      </c>
      <c r="BK1109">
        <v>183</v>
      </c>
      <c r="BL1109" t="s">
        <v>23343</v>
      </c>
      <c r="BM1109" t="str">
        <f>HYPERLINK("http://dx.doi.org/10.1186/s13012-014-0183-z","http://dx.doi.org/10.1186/s13012-014-0183-z")</f>
        <v>http://dx.doi.org/10.1186/s13012-014-0183-z</v>
      </c>
      <c r="BN1109" t="s">
        <v>69</v>
      </c>
      <c r="BO1109" t="s">
        <v>69</v>
      </c>
      <c r="BP1109">
        <v>12</v>
      </c>
      <c r="BQ1109" t="s">
        <v>9809</v>
      </c>
      <c r="BR1109" t="s">
        <v>8523</v>
      </c>
      <c r="BS1109" t="s">
        <v>9209</v>
      </c>
      <c r="BT1109" t="s">
        <v>23344</v>
      </c>
      <c r="BU1109" t="s">
        <v>23345</v>
      </c>
      <c r="BV1109">
        <v>25490886</v>
      </c>
      <c r="BW1109" t="s">
        <v>9352</v>
      </c>
      <c r="BX1109" t="s">
        <v>69</v>
      </c>
      <c r="BY1109" t="s">
        <v>69</v>
      </c>
      <c r="BZ1109" t="s">
        <v>8526</v>
      </c>
      <c r="CA1109" t="str">
        <f>HYPERLINK("https%3A%2F%2Fwww.webofscience.com%2Fwos%2Fwoscc%2Ffull-record%2FWOS:000347434000001","View Full Record in Web of Science")</f>
        <v>View Full Record in Web of Science</v>
      </c>
    </row>
    <row r="1110" spans="2:79" ht="12.5" x14ac:dyDescent="0.25">
      <c r="B1110" t="s">
        <v>8495</v>
      </c>
      <c r="D1110" s="22" t="s">
        <v>32931</v>
      </c>
      <c r="E1110" s="7"/>
      <c r="F1110" s="7"/>
      <c r="G1110" s="7"/>
      <c r="H1110" t="s">
        <v>67</v>
      </c>
      <c r="I1110" t="s">
        <v>30723</v>
      </c>
      <c r="J1110" t="s">
        <v>69</v>
      </c>
      <c r="K1110" t="s">
        <v>69</v>
      </c>
      <c r="L1110" t="s">
        <v>69</v>
      </c>
      <c r="M1110" t="s">
        <v>30723</v>
      </c>
      <c r="N1110" t="s">
        <v>69</v>
      </c>
      <c r="O1110" t="s">
        <v>69</v>
      </c>
      <c r="P1110" t="s">
        <v>30724</v>
      </c>
      <c r="Q1110" t="s">
        <v>30554</v>
      </c>
      <c r="R1110" t="s">
        <v>69</v>
      </c>
      <c r="S1110" t="s">
        <v>69</v>
      </c>
      <c r="T1110" t="s">
        <v>8505</v>
      </c>
      <c r="U1110" t="s">
        <v>15797</v>
      </c>
      <c r="V1110" t="s">
        <v>30725</v>
      </c>
      <c r="W1110" t="s">
        <v>30726</v>
      </c>
      <c r="X1110" t="s">
        <v>30727</v>
      </c>
      <c r="Y1110" t="s">
        <v>30728</v>
      </c>
      <c r="Z1110" t="s">
        <v>69</v>
      </c>
      <c r="AA1110" t="s">
        <v>30729</v>
      </c>
      <c r="AB1110" t="s">
        <v>69</v>
      </c>
      <c r="AC1110" t="s">
        <v>30730</v>
      </c>
      <c r="AD1110" t="s">
        <v>30731</v>
      </c>
      <c r="AE1110" t="s">
        <v>69</v>
      </c>
      <c r="AF1110" t="s">
        <v>30732</v>
      </c>
      <c r="AG1110" t="s">
        <v>30733</v>
      </c>
      <c r="AH1110" t="s">
        <v>30734</v>
      </c>
      <c r="AI1110" t="s">
        <v>30735</v>
      </c>
      <c r="AJ1110" t="s">
        <v>69</v>
      </c>
      <c r="AK1110" t="s">
        <v>69</v>
      </c>
      <c r="AL1110" t="s">
        <v>69</v>
      </c>
      <c r="AM1110" t="s">
        <v>69</v>
      </c>
      <c r="AN1110">
        <v>13</v>
      </c>
      <c r="AO1110">
        <v>39</v>
      </c>
      <c r="AP1110">
        <v>39</v>
      </c>
      <c r="AQ1110">
        <v>0</v>
      </c>
      <c r="AR1110">
        <v>12</v>
      </c>
      <c r="AS1110" t="s">
        <v>8636</v>
      </c>
      <c r="AT1110" t="s">
        <v>8637</v>
      </c>
      <c r="AU1110" t="s">
        <v>8638</v>
      </c>
      <c r="AV1110" t="s">
        <v>30563</v>
      </c>
      <c r="AW1110" t="s">
        <v>69</v>
      </c>
      <c r="AX1110" t="s">
        <v>69</v>
      </c>
      <c r="AY1110" t="s">
        <v>30564</v>
      </c>
      <c r="AZ1110" t="s">
        <v>30565</v>
      </c>
      <c r="BA1110" t="s">
        <v>191</v>
      </c>
      <c r="BB1110">
        <v>2005</v>
      </c>
      <c r="BC1110">
        <v>20</v>
      </c>
      <c r="BD1110">
        <v>2</v>
      </c>
      <c r="BE1110" t="s">
        <v>69</v>
      </c>
      <c r="BF1110" t="s">
        <v>69</v>
      </c>
      <c r="BG1110" t="s">
        <v>114</v>
      </c>
      <c r="BH1110" t="s">
        <v>69</v>
      </c>
      <c r="BI1110">
        <v>261</v>
      </c>
      <c r="BJ1110">
        <v>271</v>
      </c>
      <c r="BK1110" t="s">
        <v>69</v>
      </c>
      <c r="BL1110" t="s">
        <v>30736</v>
      </c>
      <c r="BM1110" t="str">
        <f>HYPERLINK("http://dx.doi.org/10.1016/j.envsoft.2004.01.004","http://dx.doi.org/10.1016/j.envsoft.2004.01.004")</f>
        <v>http://dx.doi.org/10.1016/j.envsoft.2004.01.004</v>
      </c>
      <c r="BN1110" t="s">
        <v>69</v>
      </c>
      <c r="BO1110" t="s">
        <v>69</v>
      </c>
      <c r="BP1110">
        <v>11</v>
      </c>
      <c r="BQ1110" t="s">
        <v>30567</v>
      </c>
      <c r="BR1110" t="s">
        <v>29550</v>
      </c>
      <c r="BS1110" t="s">
        <v>30568</v>
      </c>
      <c r="BT1110" t="s">
        <v>30737</v>
      </c>
      <c r="BU1110" t="s">
        <v>30738</v>
      </c>
      <c r="BV1110" t="s">
        <v>69</v>
      </c>
      <c r="BW1110" t="s">
        <v>69</v>
      </c>
      <c r="BX1110" t="s">
        <v>69</v>
      </c>
      <c r="BY1110" t="s">
        <v>69</v>
      </c>
      <c r="BZ1110" t="s">
        <v>8526</v>
      </c>
      <c r="CA1110" t="str">
        <f>HYPERLINK("https%3A%2F%2Fwww.webofscience.com%2Fwos%2Fwoscc%2Ffull-record%2FWOS:000225262300015","View Full Record in Web of Science")</f>
        <v>View Full Record in Web of Science</v>
      </c>
    </row>
    <row r="1111" spans="2:79" ht="12.5" x14ac:dyDescent="0.25">
      <c r="B1111" t="s">
        <v>8495</v>
      </c>
      <c r="D1111" s="7" t="s">
        <v>32933</v>
      </c>
      <c r="E1111" s="7"/>
      <c r="F1111" s="7"/>
      <c r="G1111" s="7"/>
      <c r="H1111" t="s">
        <v>67</v>
      </c>
      <c r="I1111" t="s">
        <v>7273</v>
      </c>
      <c r="J1111" t="s">
        <v>69</v>
      </c>
      <c r="K1111" t="s">
        <v>69</v>
      </c>
      <c r="L1111" t="s">
        <v>69</v>
      </c>
      <c r="M1111" t="s">
        <v>7274</v>
      </c>
      <c r="N1111" t="s">
        <v>69</v>
      </c>
      <c r="O1111" t="s">
        <v>69</v>
      </c>
      <c r="P1111" t="s">
        <v>7275</v>
      </c>
      <c r="Q1111" t="s">
        <v>1831</v>
      </c>
      <c r="R1111" t="s">
        <v>69</v>
      </c>
      <c r="S1111" t="s">
        <v>69</v>
      </c>
      <c r="T1111" t="s">
        <v>8505</v>
      </c>
      <c r="U1111" t="s">
        <v>8506</v>
      </c>
      <c r="V1111" t="s">
        <v>69</v>
      </c>
      <c r="W1111" t="s">
        <v>69</v>
      </c>
      <c r="X1111" t="s">
        <v>69</v>
      </c>
      <c r="Y1111" t="s">
        <v>69</v>
      </c>
      <c r="Z1111" t="s">
        <v>69</v>
      </c>
      <c r="AA1111" t="s">
        <v>17435</v>
      </c>
      <c r="AB1111" t="s">
        <v>17436</v>
      </c>
      <c r="AC1111" t="s">
        <v>7276</v>
      </c>
      <c r="AD1111" t="s">
        <v>17437</v>
      </c>
      <c r="AE1111" t="s">
        <v>69</v>
      </c>
      <c r="AF1111" t="s">
        <v>17438</v>
      </c>
      <c r="AG1111" t="s">
        <v>17439</v>
      </c>
      <c r="AH1111" t="s">
        <v>17440</v>
      </c>
      <c r="AI1111" t="s">
        <v>7277</v>
      </c>
      <c r="AJ1111" t="s">
        <v>17441</v>
      </c>
      <c r="AK1111" t="s">
        <v>17442</v>
      </c>
      <c r="AL1111" t="s">
        <v>17443</v>
      </c>
      <c r="AM1111" t="s">
        <v>69</v>
      </c>
      <c r="AN1111">
        <v>137</v>
      </c>
      <c r="AO1111">
        <v>17</v>
      </c>
      <c r="AP1111">
        <v>18</v>
      </c>
      <c r="AQ1111">
        <v>2</v>
      </c>
      <c r="AR1111">
        <v>21</v>
      </c>
      <c r="AS1111" t="s">
        <v>8516</v>
      </c>
      <c r="AT1111" t="s">
        <v>8517</v>
      </c>
      <c r="AU1111" t="s">
        <v>8518</v>
      </c>
      <c r="AV1111" t="s">
        <v>1833</v>
      </c>
      <c r="AW1111" t="s">
        <v>1834</v>
      </c>
      <c r="AX1111" t="s">
        <v>69</v>
      </c>
      <c r="AY1111" t="s">
        <v>13291</v>
      </c>
      <c r="AZ1111" t="s">
        <v>13292</v>
      </c>
      <c r="BA1111" t="s">
        <v>246</v>
      </c>
      <c r="BB1111">
        <v>2019</v>
      </c>
      <c r="BC1111">
        <v>101</v>
      </c>
      <c r="BD1111" t="s">
        <v>69</v>
      </c>
      <c r="BE1111" t="s">
        <v>69</v>
      </c>
      <c r="BF1111" t="s">
        <v>69</v>
      </c>
      <c r="BG1111" t="s">
        <v>69</v>
      </c>
      <c r="BH1111" t="s">
        <v>69</v>
      </c>
      <c r="BI1111">
        <v>96</v>
      </c>
      <c r="BJ1111">
        <v>110</v>
      </c>
      <c r="BK1111" t="s">
        <v>69</v>
      </c>
      <c r="BL1111" t="s">
        <v>7278</v>
      </c>
      <c r="BM1111" t="str">
        <f>HYPERLINK("http://dx.doi.org/10.1016/j.forpol.2019.01.005","http://dx.doi.org/10.1016/j.forpol.2019.01.005")</f>
        <v>http://dx.doi.org/10.1016/j.forpol.2019.01.005</v>
      </c>
      <c r="BN1111" t="s">
        <v>69</v>
      </c>
      <c r="BO1111" t="s">
        <v>69</v>
      </c>
      <c r="BP1111">
        <v>15</v>
      </c>
      <c r="BQ1111" t="s">
        <v>13293</v>
      </c>
      <c r="BR1111" t="s">
        <v>8523</v>
      </c>
      <c r="BS1111" t="s">
        <v>13294</v>
      </c>
      <c r="BT1111" t="s">
        <v>17444</v>
      </c>
      <c r="BU1111" t="s">
        <v>7279</v>
      </c>
      <c r="BV1111" t="s">
        <v>69</v>
      </c>
      <c r="BW1111" t="s">
        <v>8622</v>
      </c>
      <c r="BX1111" t="s">
        <v>69</v>
      </c>
      <c r="BY1111" t="s">
        <v>69</v>
      </c>
      <c r="BZ1111" t="s">
        <v>8526</v>
      </c>
      <c r="CA1111" t="str">
        <f>HYPERLINK("https%3A%2F%2Fwww.webofscience.com%2Fwos%2Fwoscc%2Ffull-record%2FWOS:000458806600010","View Full Record in Web of Science")</f>
        <v>View Full Record in Web of Science</v>
      </c>
    </row>
    <row r="1112" spans="2:79" ht="12.5" x14ac:dyDescent="0.25">
      <c r="B1112" t="s">
        <v>8495</v>
      </c>
      <c r="D1112" s="7" t="s">
        <v>32933</v>
      </c>
      <c r="E1112" s="7"/>
      <c r="F1112" s="7"/>
      <c r="G1112" s="7"/>
      <c r="H1112" t="s">
        <v>67</v>
      </c>
      <c r="I1112" t="s">
        <v>4619</v>
      </c>
      <c r="J1112" t="s">
        <v>69</v>
      </c>
      <c r="K1112" t="s">
        <v>69</v>
      </c>
      <c r="L1112" t="s">
        <v>69</v>
      </c>
      <c r="M1112" t="s">
        <v>4620</v>
      </c>
      <c r="N1112" t="s">
        <v>69</v>
      </c>
      <c r="O1112" t="s">
        <v>69</v>
      </c>
      <c r="P1112" t="s">
        <v>4621</v>
      </c>
      <c r="Q1112" t="s">
        <v>4622</v>
      </c>
      <c r="R1112" t="s">
        <v>69</v>
      </c>
      <c r="S1112" t="s">
        <v>69</v>
      </c>
      <c r="T1112" t="s">
        <v>8505</v>
      </c>
      <c r="U1112" t="s">
        <v>8506</v>
      </c>
      <c r="V1112" t="s">
        <v>69</v>
      </c>
      <c r="W1112" t="s">
        <v>69</v>
      </c>
      <c r="X1112" t="s">
        <v>69</v>
      </c>
      <c r="Y1112" t="s">
        <v>69</v>
      </c>
      <c r="Z1112" t="s">
        <v>69</v>
      </c>
      <c r="AA1112" t="s">
        <v>18023</v>
      </c>
      <c r="AB1112" t="s">
        <v>18024</v>
      </c>
      <c r="AC1112" t="s">
        <v>4623</v>
      </c>
      <c r="AD1112" t="s">
        <v>18025</v>
      </c>
      <c r="AE1112" t="s">
        <v>69</v>
      </c>
      <c r="AF1112" t="s">
        <v>18026</v>
      </c>
      <c r="AG1112" t="s">
        <v>18027</v>
      </c>
      <c r="AH1112" t="s">
        <v>18028</v>
      </c>
      <c r="AI1112" t="s">
        <v>18029</v>
      </c>
      <c r="AJ1112" t="s">
        <v>18030</v>
      </c>
      <c r="AK1112" t="s">
        <v>18030</v>
      </c>
      <c r="AL1112" t="s">
        <v>18031</v>
      </c>
      <c r="AM1112" t="s">
        <v>69</v>
      </c>
      <c r="AN1112">
        <v>298</v>
      </c>
      <c r="AO1112">
        <v>36</v>
      </c>
      <c r="AP1112">
        <v>37</v>
      </c>
      <c r="AQ1112">
        <v>5</v>
      </c>
      <c r="AR1112">
        <v>35</v>
      </c>
      <c r="AS1112" t="s">
        <v>8516</v>
      </c>
      <c r="AT1112" t="s">
        <v>8517</v>
      </c>
      <c r="AU1112" t="s">
        <v>8518</v>
      </c>
      <c r="AV1112" t="s">
        <v>4624</v>
      </c>
      <c r="AW1112" t="s">
        <v>4625</v>
      </c>
      <c r="AX1112" t="s">
        <v>69</v>
      </c>
      <c r="AY1112" t="s">
        <v>18032</v>
      </c>
      <c r="AZ1112" t="s">
        <v>18033</v>
      </c>
      <c r="BA1112" t="s">
        <v>75</v>
      </c>
      <c r="BB1112">
        <v>2018</v>
      </c>
      <c r="BC1112">
        <v>567</v>
      </c>
      <c r="BD1112" t="s">
        <v>69</v>
      </c>
      <c r="BE1112" t="s">
        <v>69</v>
      </c>
      <c r="BF1112" t="s">
        <v>69</v>
      </c>
      <c r="BG1112" t="s">
        <v>69</v>
      </c>
      <c r="BH1112" t="s">
        <v>69</v>
      </c>
      <c r="BI1112">
        <v>457</v>
      </c>
      <c r="BJ1112">
        <v>477</v>
      </c>
      <c r="BK1112" t="s">
        <v>69</v>
      </c>
      <c r="BL1112" t="s">
        <v>4626</v>
      </c>
      <c r="BM1112" t="str">
        <f>HYPERLINK("http://dx.doi.org/10.1016/j.jhydrol.2018.09.053","http://dx.doi.org/10.1016/j.jhydrol.2018.09.053")</f>
        <v>http://dx.doi.org/10.1016/j.jhydrol.2018.09.053</v>
      </c>
      <c r="BN1112" t="s">
        <v>69</v>
      </c>
      <c r="BO1112" t="s">
        <v>69</v>
      </c>
      <c r="BP1112">
        <v>21</v>
      </c>
      <c r="BQ1112" t="s">
        <v>18034</v>
      </c>
      <c r="BR1112" t="s">
        <v>8548</v>
      </c>
      <c r="BS1112" t="s">
        <v>8853</v>
      </c>
      <c r="BT1112" t="s">
        <v>18035</v>
      </c>
      <c r="BU1112" t="s">
        <v>4627</v>
      </c>
      <c r="BV1112" t="s">
        <v>69</v>
      </c>
      <c r="BW1112" t="s">
        <v>69</v>
      </c>
      <c r="BX1112" t="s">
        <v>69</v>
      </c>
      <c r="BY1112" t="s">
        <v>69</v>
      </c>
      <c r="BZ1112" t="s">
        <v>8526</v>
      </c>
      <c r="CA1112" t="str">
        <f>HYPERLINK("https%3A%2F%2Fwww.webofscience.com%2Fwos%2Fwoscc%2Ffull-record%2FWOS:000454753900038","View Full Record in Web of Science")</f>
        <v>View Full Record in Web of Science</v>
      </c>
    </row>
    <row r="1113" spans="2:79" ht="12.5" x14ac:dyDescent="0.25">
      <c r="B1113" t="s">
        <v>8495</v>
      </c>
      <c r="D1113" s="7" t="s">
        <v>32933</v>
      </c>
      <c r="E1113" s="7"/>
      <c r="F1113" s="7"/>
      <c r="G1113" s="7"/>
      <c r="H1113" t="s">
        <v>627</v>
      </c>
      <c r="I1113" t="s">
        <v>5689</v>
      </c>
      <c r="J1113" t="s">
        <v>69</v>
      </c>
      <c r="K1113" t="s">
        <v>5690</v>
      </c>
      <c r="L1113" t="s">
        <v>69</v>
      </c>
      <c r="M1113" t="s">
        <v>5689</v>
      </c>
      <c r="N1113" t="s">
        <v>69</v>
      </c>
      <c r="O1113" t="s">
        <v>69</v>
      </c>
      <c r="P1113" t="s">
        <v>5691</v>
      </c>
      <c r="Q1113" t="s">
        <v>5692</v>
      </c>
      <c r="R1113" t="s">
        <v>5693</v>
      </c>
      <c r="S1113" t="s">
        <v>69</v>
      </c>
      <c r="T1113" t="s">
        <v>8505</v>
      </c>
      <c r="U1113" t="s">
        <v>15797</v>
      </c>
      <c r="V1113" t="s">
        <v>5694</v>
      </c>
      <c r="W1113" t="s">
        <v>5695</v>
      </c>
      <c r="X1113" t="s">
        <v>5696</v>
      </c>
      <c r="Y1113" t="s">
        <v>69</v>
      </c>
      <c r="Z1113" t="s">
        <v>69</v>
      </c>
      <c r="AA1113" t="s">
        <v>69</v>
      </c>
      <c r="AB1113" t="s">
        <v>69</v>
      </c>
      <c r="AC1113" t="s">
        <v>5697</v>
      </c>
      <c r="AD1113" t="s">
        <v>31008</v>
      </c>
      <c r="AE1113" t="s">
        <v>69</v>
      </c>
      <c r="AF1113" t="s">
        <v>31009</v>
      </c>
      <c r="AG1113" t="s">
        <v>31010</v>
      </c>
      <c r="AH1113" t="s">
        <v>69</v>
      </c>
      <c r="AI1113" t="s">
        <v>5698</v>
      </c>
      <c r="AJ1113" t="s">
        <v>69</v>
      </c>
      <c r="AK1113" t="s">
        <v>69</v>
      </c>
      <c r="AL1113" t="s">
        <v>69</v>
      </c>
      <c r="AM1113" t="s">
        <v>69</v>
      </c>
      <c r="AN1113">
        <v>8</v>
      </c>
      <c r="AO1113">
        <v>0</v>
      </c>
      <c r="AP1113">
        <v>0</v>
      </c>
      <c r="AQ1113">
        <v>0</v>
      </c>
      <c r="AR1113">
        <v>0</v>
      </c>
      <c r="AS1113" t="s">
        <v>30409</v>
      </c>
      <c r="AT1113" t="s">
        <v>11361</v>
      </c>
      <c r="AU1113" t="s">
        <v>30410</v>
      </c>
      <c r="AV1113" t="s">
        <v>4011</v>
      </c>
      <c r="AW1113" t="s">
        <v>5699</v>
      </c>
      <c r="AX1113" t="s">
        <v>5700</v>
      </c>
      <c r="AY1113" t="s">
        <v>31011</v>
      </c>
      <c r="AZ1113" t="s">
        <v>69</v>
      </c>
      <c r="BA1113" t="s">
        <v>69</v>
      </c>
      <c r="BB1113">
        <v>2005</v>
      </c>
      <c r="BC1113">
        <v>3538</v>
      </c>
      <c r="BD1113" t="s">
        <v>69</v>
      </c>
      <c r="BE1113" t="s">
        <v>69</v>
      </c>
      <c r="BF1113" t="s">
        <v>69</v>
      </c>
      <c r="BG1113" t="s">
        <v>69</v>
      </c>
      <c r="BH1113" t="s">
        <v>69</v>
      </c>
      <c r="BI1113">
        <v>210</v>
      </c>
      <c r="BJ1113">
        <v>219</v>
      </c>
      <c r="BK1113" t="s">
        <v>69</v>
      </c>
      <c r="BL1113" t="s">
        <v>69</v>
      </c>
      <c r="BM1113" t="s">
        <v>69</v>
      </c>
      <c r="BN1113" t="s">
        <v>69</v>
      </c>
      <c r="BO1113" t="s">
        <v>69</v>
      </c>
      <c r="BP1113">
        <v>10</v>
      </c>
      <c r="BQ1113" t="s">
        <v>31012</v>
      </c>
      <c r="BR1113" t="s">
        <v>29550</v>
      </c>
      <c r="BS1113" t="s">
        <v>10976</v>
      </c>
      <c r="BT1113" t="s">
        <v>31013</v>
      </c>
      <c r="BU1113" t="s">
        <v>5701</v>
      </c>
      <c r="BV1113" t="s">
        <v>69</v>
      </c>
      <c r="BW1113" t="s">
        <v>69</v>
      </c>
      <c r="BX1113" t="s">
        <v>69</v>
      </c>
      <c r="BY1113" t="s">
        <v>69</v>
      </c>
      <c r="BZ1113" t="s">
        <v>8526</v>
      </c>
      <c r="CA1113" t="str">
        <f>HYPERLINK("https%3A%2F%2Fwww.webofscience.com%2Fwos%2Fwoscc%2Ffull-record%2FWOS:000231387200026","View Full Record in Web of Science")</f>
        <v>View Full Record in Web of Science</v>
      </c>
    </row>
    <row r="1114" spans="2:79" ht="12.5" x14ac:dyDescent="0.25">
      <c r="B1114" t="s">
        <v>8495</v>
      </c>
      <c r="D1114" s="7" t="s">
        <v>32933</v>
      </c>
      <c r="E1114" s="7"/>
      <c r="F1114" s="7"/>
      <c r="G1114" s="7"/>
      <c r="H1114" t="s">
        <v>67</v>
      </c>
      <c r="I1114" t="s">
        <v>5251</v>
      </c>
      <c r="J1114" t="s">
        <v>69</v>
      </c>
      <c r="K1114" t="s">
        <v>69</v>
      </c>
      <c r="L1114" t="s">
        <v>69</v>
      </c>
      <c r="M1114" t="s">
        <v>5252</v>
      </c>
      <c r="N1114" t="s">
        <v>69</v>
      </c>
      <c r="O1114" t="s">
        <v>69</v>
      </c>
      <c r="P1114" t="s">
        <v>5253</v>
      </c>
      <c r="Q1114" t="s">
        <v>5254</v>
      </c>
      <c r="R1114" t="s">
        <v>69</v>
      </c>
      <c r="S1114" t="s">
        <v>69</v>
      </c>
      <c r="T1114" t="s">
        <v>8505</v>
      </c>
      <c r="U1114" t="s">
        <v>8506</v>
      </c>
      <c r="V1114" t="s">
        <v>69</v>
      </c>
      <c r="W1114" t="s">
        <v>69</v>
      </c>
      <c r="X1114" t="s">
        <v>69</v>
      </c>
      <c r="Y1114" t="s">
        <v>69</v>
      </c>
      <c r="Z1114" t="s">
        <v>69</v>
      </c>
      <c r="AA1114" t="s">
        <v>69</v>
      </c>
      <c r="AB1114" t="s">
        <v>29353</v>
      </c>
      <c r="AC1114" t="s">
        <v>5255</v>
      </c>
      <c r="AD1114" t="s">
        <v>29354</v>
      </c>
      <c r="AE1114" t="s">
        <v>69</v>
      </c>
      <c r="AF1114" t="s">
        <v>29355</v>
      </c>
      <c r="AG1114" t="s">
        <v>29356</v>
      </c>
      <c r="AH1114" t="s">
        <v>69</v>
      </c>
      <c r="AI1114" t="s">
        <v>69</v>
      </c>
      <c r="AJ1114" t="s">
        <v>69</v>
      </c>
      <c r="AK1114" t="s">
        <v>69</v>
      </c>
      <c r="AL1114" t="s">
        <v>69</v>
      </c>
      <c r="AM1114" t="s">
        <v>69</v>
      </c>
      <c r="AN1114">
        <v>13</v>
      </c>
      <c r="AO1114">
        <v>0</v>
      </c>
      <c r="AP1114">
        <v>0</v>
      </c>
      <c r="AQ1114">
        <v>0</v>
      </c>
      <c r="AR1114">
        <v>0</v>
      </c>
      <c r="AS1114" t="s">
        <v>29357</v>
      </c>
      <c r="AT1114" t="s">
        <v>29358</v>
      </c>
      <c r="AU1114" t="s">
        <v>29359</v>
      </c>
      <c r="AV1114" t="s">
        <v>5256</v>
      </c>
      <c r="AW1114" t="s">
        <v>69</v>
      </c>
      <c r="AX1114" t="s">
        <v>69</v>
      </c>
      <c r="AY1114" t="s">
        <v>29360</v>
      </c>
      <c r="AZ1114" t="s">
        <v>29361</v>
      </c>
      <c r="BA1114" t="s">
        <v>69</v>
      </c>
      <c r="BB1114">
        <v>2008</v>
      </c>
      <c r="BC1114" t="s">
        <v>69</v>
      </c>
      <c r="BD1114" t="s">
        <v>69</v>
      </c>
      <c r="BE1114" t="s">
        <v>69</v>
      </c>
      <c r="BF1114" t="s">
        <v>69</v>
      </c>
      <c r="BG1114" t="s">
        <v>114</v>
      </c>
      <c r="BH1114" t="s">
        <v>69</v>
      </c>
      <c r="BI1114">
        <v>31</v>
      </c>
      <c r="BJ1114">
        <v>41</v>
      </c>
      <c r="BK1114" t="s">
        <v>69</v>
      </c>
      <c r="BL1114" t="s">
        <v>69</v>
      </c>
      <c r="BM1114" t="s">
        <v>69</v>
      </c>
      <c r="BN1114" t="s">
        <v>69</v>
      </c>
      <c r="BO1114" t="s">
        <v>69</v>
      </c>
      <c r="BP1114">
        <v>11</v>
      </c>
      <c r="BQ1114" t="s">
        <v>29362</v>
      </c>
      <c r="BR1114" t="s">
        <v>8523</v>
      </c>
      <c r="BS1114" t="s">
        <v>14243</v>
      </c>
      <c r="BT1114" t="s">
        <v>29363</v>
      </c>
      <c r="BU1114" t="s">
        <v>5257</v>
      </c>
      <c r="BV1114" t="s">
        <v>69</v>
      </c>
      <c r="BW1114" t="s">
        <v>69</v>
      </c>
      <c r="BX1114" t="s">
        <v>69</v>
      </c>
      <c r="BY1114" t="s">
        <v>69</v>
      </c>
      <c r="BZ1114" t="s">
        <v>8526</v>
      </c>
      <c r="CA1114" t="str">
        <f>HYPERLINK("https%3A%2F%2Fwww.webofscience.com%2Fwos%2Fwoscc%2Ffull-record%2FWOS:000271390800004","View Full Record in Web of Science")</f>
        <v>View Full Record in Web of Science</v>
      </c>
    </row>
    <row r="1115" spans="2:79" ht="12.5" x14ac:dyDescent="0.25">
      <c r="B1115" t="s">
        <v>8495</v>
      </c>
      <c r="D1115" s="22" t="s">
        <v>32931</v>
      </c>
      <c r="E1115" s="7"/>
      <c r="F1115" s="7"/>
      <c r="G1115" s="7"/>
      <c r="H1115" t="s">
        <v>67</v>
      </c>
      <c r="I1115" t="s">
        <v>14872</v>
      </c>
      <c r="J1115" t="s">
        <v>69</v>
      </c>
      <c r="K1115" t="s">
        <v>69</v>
      </c>
      <c r="L1115" t="s">
        <v>69</v>
      </c>
      <c r="M1115" t="s">
        <v>14873</v>
      </c>
      <c r="N1115" t="s">
        <v>69</v>
      </c>
      <c r="O1115" t="s">
        <v>69</v>
      </c>
      <c r="P1115" t="s">
        <v>14874</v>
      </c>
      <c r="Q1115" t="s">
        <v>11049</v>
      </c>
      <c r="R1115" t="s">
        <v>69</v>
      </c>
      <c r="S1115" t="s">
        <v>69</v>
      </c>
      <c r="T1115" t="s">
        <v>8505</v>
      </c>
      <c r="U1115" t="s">
        <v>8506</v>
      </c>
      <c r="V1115" t="s">
        <v>69</v>
      </c>
      <c r="W1115" t="s">
        <v>69</v>
      </c>
      <c r="X1115" t="s">
        <v>69</v>
      </c>
      <c r="Y1115" t="s">
        <v>69</v>
      </c>
      <c r="Z1115" t="s">
        <v>69</v>
      </c>
      <c r="AA1115" t="s">
        <v>14875</v>
      </c>
      <c r="AB1115" t="s">
        <v>14876</v>
      </c>
      <c r="AC1115" t="s">
        <v>14877</v>
      </c>
      <c r="AD1115" t="s">
        <v>14878</v>
      </c>
      <c r="AE1115" t="s">
        <v>69</v>
      </c>
      <c r="AF1115" t="s">
        <v>14879</v>
      </c>
      <c r="AG1115" t="s">
        <v>14880</v>
      </c>
      <c r="AH1115" t="s">
        <v>14881</v>
      </c>
      <c r="AI1115" t="s">
        <v>14882</v>
      </c>
      <c r="AJ1115" t="s">
        <v>69</v>
      </c>
      <c r="AK1115" t="s">
        <v>69</v>
      </c>
      <c r="AL1115" t="s">
        <v>69</v>
      </c>
      <c r="AM1115" t="s">
        <v>69</v>
      </c>
      <c r="AN1115">
        <v>96</v>
      </c>
      <c r="AO1115">
        <v>12</v>
      </c>
      <c r="AP1115">
        <v>12</v>
      </c>
      <c r="AQ1115">
        <v>6</v>
      </c>
      <c r="AR1115">
        <v>32</v>
      </c>
      <c r="AS1115" t="s">
        <v>8586</v>
      </c>
      <c r="AT1115" t="s">
        <v>8587</v>
      </c>
      <c r="AU1115" t="s">
        <v>8588</v>
      </c>
      <c r="AV1115" t="s">
        <v>11058</v>
      </c>
      <c r="AW1115" t="s">
        <v>11059</v>
      </c>
      <c r="AX1115" t="s">
        <v>69</v>
      </c>
      <c r="AY1115" t="s">
        <v>11060</v>
      </c>
      <c r="AZ1115" t="s">
        <v>11061</v>
      </c>
      <c r="BA1115" t="s">
        <v>14883</v>
      </c>
      <c r="BB1115">
        <v>2020</v>
      </c>
      <c r="BC1115">
        <v>33</v>
      </c>
      <c r="BD1115">
        <v>5</v>
      </c>
      <c r="BE1115" t="s">
        <v>69</v>
      </c>
      <c r="BF1115" t="s">
        <v>69</v>
      </c>
      <c r="BG1115" t="s">
        <v>114</v>
      </c>
      <c r="BH1115" t="s">
        <v>69</v>
      </c>
      <c r="BI1115">
        <v>1077</v>
      </c>
      <c r="BJ1115">
        <v>1109</v>
      </c>
      <c r="BK1115" t="s">
        <v>69</v>
      </c>
      <c r="BL1115" t="s">
        <v>14884</v>
      </c>
      <c r="BM1115" t="str">
        <f>HYPERLINK("http://dx.doi.org/10.1108/JEIM-09-2019-0271","http://dx.doi.org/10.1108/JEIM-09-2019-0271")</f>
        <v>http://dx.doi.org/10.1108/JEIM-09-2019-0271</v>
      </c>
      <c r="BN1115" t="s">
        <v>69</v>
      </c>
      <c r="BO1115" t="s">
        <v>4582</v>
      </c>
      <c r="BP1115">
        <v>33</v>
      </c>
      <c r="BQ1115" t="s">
        <v>11063</v>
      </c>
      <c r="BR1115" t="s">
        <v>8661</v>
      </c>
      <c r="BS1115" t="s">
        <v>11064</v>
      </c>
      <c r="BT1115" t="s">
        <v>14885</v>
      </c>
      <c r="BU1115" t="s">
        <v>14886</v>
      </c>
      <c r="BV1115" t="s">
        <v>69</v>
      </c>
      <c r="BW1115" t="s">
        <v>69</v>
      </c>
      <c r="BX1115" t="s">
        <v>69</v>
      </c>
      <c r="BY1115" t="s">
        <v>69</v>
      </c>
      <c r="BZ1115" t="s">
        <v>8526</v>
      </c>
      <c r="CA1115" t="str">
        <f>HYPERLINK("https%3A%2F%2Fwww.webofscience.com%2Fwos%2Fwoscc%2Ffull-record%2FWOS:000546078700001","View Full Record in Web of Science")</f>
        <v>View Full Record in Web of Science</v>
      </c>
    </row>
    <row r="1116" spans="2:79" ht="12.5" x14ac:dyDescent="0.25">
      <c r="B1116" t="s">
        <v>8495</v>
      </c>
      <c r="D1116" s="7" t="s">
        <v>32933</v>
      </c>
      <c r="E1116" s="7"/>
      <c r="F1116" s="7"/>
      <c r="G1116" s="7"/>
      <c r="H1116" t="s">
        <v>67</v>
      </c>
      <c r="I1116" t="s">
        <v>7460</v>
      </c>
      <c r="J1116" t="s">
        <v>69</v>
      </c>
      <c r="K1116" t="s">
        <v>69</v>
      </c>
      <c r="L1116" t="s">
        <v>69</v>
      </c>
      <c r="M1116" t="s">
        <v>7461</v>
      </c>
      <c r="N1116" t="s">
        <v>69</v>
      </c>
      <c r="O1116" t="s">
        <v>69</v>
      </c>
      <c r="P1116" t="s">
        <v>7462</v>
      </c>
      <c r="Q1116" t="s">
        <v>1360</v>
      </c>
      <c r="R1116" t="s">
        <v>69</v>
      </c>
      <c r="S1116" t="s">
        <v>69</v>
      </c>
      <c r="T1116" t="s">
        <v>8505</v>
      </c>
      <c r="U1116" t="s">
        <v>8506</v>
      </c>
      <c r="V1116" t="s">
        <v>69</v>
      </c>
      <c r="W1116" t="s">
        <v>69</v>
      </c>
      <c r="X1116" t="s">
        <v>69</v>
      </c>
      <c r="Y1116" t="s">
        <v>69</v>
      </c>
      <c r="Z1116" t="s">
        <v>69</v>
      </c>
      <c r="AA1116" t="s">
        <v>29245</v>
      </c>
      <c r="AB1116" t="s">
        <v>29246</v>
      </c>
      <c r="AC1116" t="s">
        <v>7463</v>
      </c>
      <c r="AD1116" t="s">
        <v>29247</v>
      </c>
      <c r="AE1116" t="s">
        <v>69</v>
      </c>
      <c r="AF1116" t="s">
        <v>29248</v>
      </c>
      <c r="AG1116" t="s">
        <v>29249</v>
      </c>
      <c r="AH1116" t="s">
        <v>29250</v>
      </c>
      <c r="AI1116" t="s">
        <v>7464</v>
      </c>
      <c r="AJ1116" t="s">
        <v>69</v>
      </c>
      <c r="AK1116" t="s">
        <v>69</v>
      </c>
      <c r="AL1116" t="s">
        <v>69</v>
      </c>
      <c r="AM1116" t="s">
        <v>69</v>
      </c>
      <c r="AN1116">
        <v>42</v>
      </c>
      <c r="AO1116">
        <v>70</v>
      </c>
      <c r="AP1116">
        <v>72</v>
      </c>
      <c r="AQ1116">
        <v>1</v>
      </c>
      <c r="AR1116">
        <v>60</v>
      </c>
      <c r="AS1116" t="s">
        <v>8636</v>
      </c>
      <c r="AT1116" t="s">
        <v>8637</v>
      </c>
      <c r="AU1116" t="s">
        <v>8638</v>
      </c>
      <c r="AV1116" t="s">
        <v>1364</v>
      </c>
      <c r="AW1116" t="s">
        <v>69</v>
      </c>
      <c r="AX1116" t="s">
        <v>69</v>
      </c>
      <c r="AY1116" t="s">
        <v>9698</v>
      </c>
      <c r="AZ1116" t="s">
        <v>9699</v>
      </c>
      <c r="BA1116" t="s">
        <v>586</v>
      </c>
      <c r="BB1116">
        <v>2008</v>
      </c>
      <c r="BC1116">
        <v>11</v>
      </c>
      <c r="BD1116">
        <v>3</v>
      </c>
      <c r="BE1116" t="s">
        <v>69</v>
      </c>
      <c r="BF1116" t="s">
        <v>69</v>
      </c>
      <c r="BG1116" t="s">
        <v>69</v>
      </c>
      <c r="BH1116" t="s">
        <v>69</v>
      </c>
      <c r="BI1116">
        <v>204</v>
      </c>
      <c r="BJ1116">
        <v>216</v>
      </c>
      <c r="BK1116" t="s">
        <v>69</v>
      </c>
      <c r="BL1116" t="s">
        <v>7465</v>
      </c>
      <c r="BM1116" t="str">
        <f>HYPERLINK("http://dx.doi.org/10.1016/j.envsci.2007.07.005","http://dx.doi.org/10.1016/j.envsci.2007.07.005")</f>
        <v>http://dx.doi.org/10.1016/j.envsci.2007.07.005</v>
      </c>
      <c r="BN1116" t="s">
        <v>69</v>
      </c>
      <c r="BO1116" t="s">
        <v>69</v>
      </c>
      <c r="BP1116">
        <v>13</v>
      </c>
      <c r="BQ1116" t="s">
        <v>8717</v>
      </c>
      <c r="BR1116" t="s">
        <v>8548</v>
      </c>
      <c r="BS1116" t="s">
        <v>8662</v>
      </c>
      <c r="BT1116" t="s">
        <v>29251</v>
      </c>
      <c r="BU1116" t="s">
        <v>7466</v>
      </c>
      <c r="BV1116" t="s">
        <v>69</v>
      </c>
      <c r="BW1116" t="s">
        <v>69</v>
      </c>
      <c r="BX1116" t="s">
        <v>69</v>
      </c>
      <c r="BY1116" t="s">
        <v>69</v>
      </c>
      <c r="BZ1116" t="s">
        <v>8526</v>
      </c>
      <c r="CA1116" t="str">
        <f>HYPERLINK("https%3A%2F%2Fwww.webofscience.com%2Fwos%2Fwoscc%2Ffull-record%2FWOS:000256172300002","View Full Record in Web of Science")</f>
        <v>View Full Record in Web of Science</v>
      </c>
    </row>
    <row r="1117" spans="2:79" ht="12.5" x14ac:dyDescent="0.25">
      <c r="B1117" t="s">
        <v>8495</v>
      </c>
      <c r="D1117" s="7" t="s">
        <v>32933</v>
      </c>
      <c r="E1117" s="7"/>
      <c r="F1117" s="7"/>
      <c r="G1117" s="7"/>
      <c r="H1117" t="s">
        <v>67</v>
      </c>
      <c r="I1117" t="s">
        <v>384</v>
      </c>
      <c r="J1117" t="s">
        <v>69</v>
      </c>
      <c r="K1117" t="s">
        <v>69</v>
      </c>
      <c r="L1117" t="s">
        <v>69</v>
      </c>
      <c r="M1117" t="s">
        <v>385</v>
      </c>
      <c r="N1117" t="s">
        <v>69</v>
      </c>
      <c r="O1117" t="s">
        <v>69</v>
      </c>
      <c r="P1117" t="s">
        <v>386</v>
      </c>
      <c r="Q1117" t="s">
        <v>387</v>
      </c>
      <c r="R1117" t="s">
        <v>69</v>
      </c>
      <c r="S1117" t="s">
        <v>69</v>
      </c>
      <c r="T1117" t="s">
        <v>8505</v>
      </c>
      <c r="U1117" t="s">
        <v>8506</v>
      </c>
      <c r="V1117" t="s">
        <v>69</v>
      </c>
      <c r="W1117" t="s">
        <v>69</v>
      </c>
      <c r="X1117" t="s">
        <v>69</v>
      </c>
      <c r="Y1117" t="s">
        <v>69</v>
      </c>
      <c r="Z1117" t="s">
        <v>69</v>
      </c>
      <c r="AA1117" t="s">
        <v>19330</v>
      </c>
      <c r="AB1117" t="s">
        <v>19331</v>
      </c>
      <c r="AC1117" t="s">
        <v>388</v>
      </c>
      <c r="AD1117" t="s">
        <v>19332</v>
      </c>
      <c r="AE1117" t="s">
        <v>69</v>
      </c>
      <c r="AF1117" t="s">
        <v>19333</v>
      </c>
      <c r="AG1117" t="s">
        <v>19334</v>
      </c>
      <c r="AH1117" t="s">
        <v>389</v>
      </c>
      <c r="AI1117" t="s">
        <v>69</v>
      </c>
      <c r="AJ1117" t="s">
        <v>69</v>
      </c>
      <c r="AK1117" t="s">
        <v>69</v>
      </c>
      <c r="AL1117" t="s">
        <v>69</v>
      </c>
      <c r="AM1117" t="s">
        <v>69</v>
      </c>
      <c r="AN1117">
        <v>34</v>
      </c>
      <c r="AO1117">
        <v>5</v>
      </c>
      <c r="AP1117">
        <v>5</v>
      </c>
      <c r="AQ1117">
        <v>3</v>
      </c>
      <c r="AR1117">
        <v>16</v>
      </c>
      <c r="AS1117" t="s">
        <v>8586</v>
      </c>
      <c r="AT1117" t="s">
        <v>8587</v>
      </c>
      <c r="AU1117" t="s">
        <v>8588</v>
      </c>
      <c r="AV1117" t="s">
        <v>390</v>
      </c>
      <c r="AW1117" t="s">
        <v>391</v>
      </c>
      <c r="AX1117" t="s">
        <v>69</v>
      </c>
      <c r="AY1117" t="s">
        <v>16996</v>
      </c>
      <c r="AZ1117" t="s">
        <v>16997</v>
      </c>
      <c r="BA1117" t="s">
        <v>69</v>
      </c>
      <c r="BB1117">
        <v>2018</v>
      </c>
      <c r="BC1117">
        <v>8</v>
      </c>
      <c r="BD1117">
        <v>5</v>
      </c>
      <c r="BE1117" t="s">
        <v>69</v>
      </c>
      <c r="BF1117" t="s">
        <v>69</v>
      </c>
      <c r="BG1117" t="s">
        <v>114</v>
      </c>
      <c r="BH1117" t="s">
        <v>69</v>
      </c>
      <c r="BI1117">
        <v>461</v>
      </c>
      <c r="BJ1117">
        <v>476</v>
      </c>
      <c r="BK1117" t="s">
        <v>69</v>
      </c>
      <c r="BL1117" t="s">
        <v>392</v>
      </c>
      <c r="BM1117" t="str">
        <f>HYPERLINK("http://dx.doi.org/10.1108/BEPAM-10-2017-0108","http://dx.doi.org/10.1108/BEPAM-10-2017-0108")</f>
        <v>http://dx.doi.org/10.1108/BEPAM-10-2017-0108</v>
      </c>
      <c r="BN1117" t="s">
        <v>69</v>
      </c>
      <c r="BO1117" t="s">
        <v>69</v>
      </c>
      <c r="BP1117">
        <v>16</v>
      </c>
      <c r="BQ1117" t="s">
        <v>13537</v>
      </c>
      <c r="BR1117" t="s">
        <v>8573</v>
      </c>
      <c r="BS1117" t="s">
        <v>8445</v>
      </c>
      <c r="BT1117" t="s">
        <v>19335</v>
      </c>
      <c r="BU1117" t="s">
        <v>393</v>
      </c>
      <c r="BV1117" t="s">
        <v>69</v>
      </c>
      <c r="BW1117" t="s">
        <v>69</v>
      </c>
      <c r="BX1117" t="s">
        <v>69</v>
      </c>
      <c r="BY1117" t="s">
        <v>69</v>
      </c>
      <c r="BZ1117" t="s">
        <v>8526</v>
      </c>
      <c r="CA1117" t="str">
        <f>HYPERLINK("https%3A%2F%2Fwww.webofscience.com%2Fwos%2Fwoscc%2Ffull-record%2FWOS:000448529600003","View Full Record in Web of Science")</f>
        <v>View Full Record in Web of Science</v>
      </c>
    </row>
    <row r="1118" spans="2:79" ht="12.5" x14ac:dyDescent="0.25">
      <c r="B1118" t="s">
        <v>8495</v>
      </c>
      <c r="D1118" s="7" t="s">
        <v>32933</v>
      </c>
      <c r="E1118" s="7"/>
      <c r="F1118" s="7"/>
      <c r="G1118" s="7"/>
      <c r="H1118" t="s">
        <v>67</v>
      </c>
      <c r="I1118" t="s">
        <v>7146</v>
      </c>
      <c r="J1118" t="s">
        <v>69</v>
      </c>
      <c r="K1118" t="s">
        <v>69</v>
      </c>
      <c r="L1118" t="s">
        <v>69</v>
      </c>
      <c r="M1118" t="s">
        <v>7147</v>
      </c>
      <c r="N1118" t="s">
        <v>69</v>
      </c>
      <c r="O1118" t="s">
        <v>69</v>
      </c>
      <c r="P1118" t="s">
        <v>7148</v>
      </c>
      <c r="Q1118" t="s">
        <v>3274</v>
      </c>
      <c r="R1118" t="s">
        <v>69</v>
      </c>
      <c r="S1118" t="s">
        <v>69</v>
      </c>
      <c r="T1118" t="s">
        <v>8505</v>
      </c>
      <c r="U1118" t="s">
        <v>8506</v>
      </c>
      <c r="V1118" t="s">
        <v>69</v>
      </c>
      <c r="W1118" t="s">
        <v>69</v>
      </c>
      <c r="X1118" t="s">
        <v>69</v>
      </c>
      <c r="Y1118" t="s">
        <v>69</v>
      </c>
      <c r="Z1118" t="s">
        <v>69</v>
      </c>
      <c r="AA1118" t="s">
        <v>29212</v>
      </c>
      <c r="AB1118" t="s">
        <v>29213</v>
      </c>
      <c r="AC1118" t="s">
        <v>7149</v>
      </c>
      <c r="AD1118" t="s">
        <v>29214</v>
      </c>
      <c r="AE1118" t="s">
        <v>69</v>
      </c>
      <c r="AF1118" t="s">
        <v>29215</v>
      </c>
      <c r="AG1118" t="s">
        <v>29216</v>
      </c>
      <c r="AH1118" t="s">
        <v>69</v>
      </c>
      <c r="AI1118" t="s">
        <v>69</v>
      </c>
      <c r="AJ1118" t="s">
        <v>69</v>
      </c>
      <c r="AK1118" t="s">
        <v>69</v>
      </c>
      <c r="AL1118" t="s">
        <v>69</v>
      </c>
      <c r="AM1118" t="s">
        <v>69</v>
      </c>
      <c r="AN1118">
        <v>15</v>
      </c>
      <c r="AO1118">
        <v>38</v>
      </c>
      <c r="AP1118">
        <v>41</v>
      </c>
      <c r="AQ1118">
        <v>2</v>
      </c>
      <c r="AR1118">
        <v>28</v>
      </c>
      <c r="AS1118" t="s">
        <v>8516</v>
      </c>
      <c r="AT1118" t="s">
        <v>8517</v>
      </c>
      <c r="AU1118" t="s">
        <v>8518</v>
      </c>
      <c r="AV1118" t="s">
        <v>3276</v>
      </c>
      <c r="AW1118" t="s">
        <v>3277</v>
      </c>
      <c r="AX1118" t="s">
        <v>69</v>
      </c>
      <c r="AY1118" t="s">
        <v>24546</v>
      </c>
      <c r="AZ1118" t="s">
        <v>24547</v>
      </c>
      <c r="BA1118" t="s">
        <v>5150</v>
      </c>
      <c r="BB1118">
        <v>2008</v>
      </c>
      <c r="BC1118">
        <v>154</v>
      </c>
      <c r="BD1118" t="s">
        <v>4219</v>
      </c>
      <c r="BE1118" t="s">
        <v>69</v>
      </c>
      <c r="BF1118" t="s">
        <v>69</v>
      </c>
      <c r="BG1118" t="s">
        <v>69</v>
      </c>
      <c r="BH1118" t="s">
        <v>69</v>
      </c>
      <c r="BI1118">
        <v>1198</v>
      </c>
      <c r="BJ1118">
        <v>1209</v>
      </c>
      <c r="BK1118" t="s">
        <v>69</v>
      </c>
      <c r="BL1118" t="s">
        <v>7150</v>
      </c>
      <c r="BM1118" t="str">
        <f>HYPERLINK("http://dx.doi.org/10.1016/j.jhazmat.2007.11.053","http://dx.doi.org/10.1016/j.jhazmat.2007.11.053")</f>
        <v>http://dx.doi.org/10.1016/j.jhazmat.2007.11.053</v>
      </c>
      <c r="BN1118" t="s">
        <v>69</v>
      </c>
      <c r="BO1118" t="s">
        <v>69</v>
      </c>
      <c r="BP1118">
        <v>12</v>
      </c>
      <c r="BQ1118" t="s">
        <v>8743</v>
      </c>
      <c r="BR1118" t="s">
        <v>8548</v>
      </c>
      <c r="BS1118" t="s">
        <v>8744</v>
      </c>
      <c r="BT1118" t="s">
        <v>29217</v>
      </c>
      <c r="BU1118" t="s">
        <v>7151</v>
      </c>
      <c r="BV1118">
        <v>18162306</v>
      </c>
      <c r="BW1118" t="s">
        <v>69</v>
      </c>
      <c r="BX1118" t="s">
        <v>69</v>
      </c>
      <c r="BY1118" t="s">
        <v>69</v>
      </c>
      <c r="BZ1118" t="s">
        <v>8526</v>
      </c>
      <c r="CA1118" t="str">
        <f>HYPERLINK("https%3A%2F%2Fwww.webofscience.com%2Fwos%2Fwoscc%2Ffull-record%2FWOS:000256111200151","View Full Record in Web of Science")</f>
        <v>View Full Record in Web of Science</v>
      </c>
    </row>
    <row r="1119" spans="2:79" ht="12.5" x14ac:dyDescent="0.25">
      <c r="B1119" t="s">
        <v>8495</v>
      </c>
      <c r="D1119" s="7" t="s">
        <v>32933</v>
      </c>
      <c r="E1119" s="7"/>
      <c r="F1119" s="7"/>
      <c r="G1119" s="7"/>
      <c r="H1119" t="s">
        <v>67</v>
      </c>
      <c r="I1119" t="s">
        <v>7215</v>
      </c>
      <c r="J1119" t="s">
        <v>69</v>
      </c>
      <c r="K1119" t="s">
        <v>69</v>
      </c>
      <c r="L1119" t="s">
        <v>69</v>
      </c>
      <c r="M1119" t="s">
        <v>7216</v>
      </c>
      <c r="N1119" t="s">
        <v>69</v>
      </c>
      <c r="O1119" t="s">
        <v>69</v>
      </c>
      <c r="P1119" t="s">
        <v>7217</v>
      </c>
      <c r="Q1119" t="s">
        <v>7218</v>
      </c>
      <c r="R1119" t="s">
        <v>69</v>
      </c>
      <c r="S1119" t="s">
        <v>69</v>
      </c>
      <c r="T1119" t="s">
        <v>9357</v>
      </c>
      <c r="U1119" t="s">
        <v>8506</v>
      </c>
      <c r="V1119" t="s">
        <v>69</v>
      </c>
      <c r="W1119" t="s">
        <v>69</v>
      </c>
      <c r="X1119" t="s">
        <v>69</v>
      </c>
      <c r="Y1119" t="s">
        <v>69</v>
      </c>
      <c r="Z1119" t="s">
        <v>69</v>
      </c>
      <c r="AA1119" t="s">
        <v>21014</v>
      </c>
      <c r="AB1119" t="s">
        <v>69</v>
      </c>
      <c r="AC1119" t="s">
        <v>7219</v>
      </c>
      <c r="AD1119" t="s">
        <v>21015</v>
      </c>
      <c r="AE1119" t="s">
        <v>69</v>
      </c>
      <c r="AF1119" t="s">
        <v>21016</v>
      </c>
      <c r="AG1119" t="s">
        <v>21017</v>
      </c>
      <c r="AH1119" t="s">
        <v>69</v>
      </c>
      <c r="AI1119" t="s">
        <v>69</v>
      </c>
      <c r="AJ1119" t="s">
        <v>69</v>
      </c>
      <c r="AK1119" t="s">
        <v>69</v>
      </c>
      <c r="AL1119" t="s">
        <v>69</v>
      </c>
      <c r="AM1119" t="s">
        <v>69</v>
      </c>
      <c r="AN1119">
        <v>5</v>
      </c>
      <c r="AO1119">
        <v>0</v>
      </c>
      <c r="AP1119">
        <v>0</v>
      </c>
      <c r="AQ1119">
        <v>0</v>
      </c>
      <c r="AR1119">
        <v>2</v>
      </c>
      <c r="AS1119" t="s">
        <v>21018</v>
      </c>
      <c r="AT1119" t="s">
        <v>9367</v>
      </c>
      <c r="AU1119" t="s">
        <v>21019</v>
      </c>
      <c r="AV1119" t="s">
        <v>7220</v>
      </c>
      <c r="AW1119" t="s">
        <v>7221</v>
      </c>
      <c r="AX1119" t="s">
        <v>69</v>
      </c>
      <c r="AY1119" t="s">
        <v>21020</v>
      </c>
      <c r="AZ1119" t="s">
        <v>21021</v>
      </c>
      <c r="BA1119" t="s">
        <v>69</v>
      </c>
      <c r="BB1119">
        <v>2017</v>
      </c>
      <c r="BC1119">
        <v>8</v>
      </c>
      <c r="BD1119">
        <v>1</v>
      </c>
      <c r="BE1119" t="s">
        <v>69</v>
      </c>
      <c r="BF1119" t="s">
        <v>69</v>
      </c>
      <c r="BG1119" t="s">
        <v>69</v>
      </c>
      <c r="BH1119" t="s">
        <v>69</v>
      </c>
      <c r="BI1119">
        <v>104</v>
      </c>
      <c r="BJ1119">
        <v>122</v>
      </c>
      <c r="BK1119" t="s">
        <v>69</v>
      </c>
      <c r="BL1119" t="s">
        <v>7222</v>
      </c>
      <c r="BM1119" t="str">
        <f>HYPERLINK("http://dx.doi.org/10.18611/2221-3279-2017-8-1-104-122","http://dx.doi.org/10.18611/2221-3279-2017-8-1-104-122")</f>
        <v>http://dx.doi.org/10.18611/2221-3279-2017-8-1-104-122</v>
      </c>
      <c r="BN1119" t="s">
        <v>69</v>
      </c>
      <c r="BO1119" t="s">
        <v>69</v>
      </c>
      <c r="BP1119">
        <v>19</v>
      </c>
      <c r="BQ1119" t="s">
        <v>13241</v>
      </c>
      <c r="BR1119" t="s">
        <v>8573</v>
      </c>
      <c r="BS1119" t="s">
        <v>10084</v>
      </c>
      <c r="BT1119" t="s">
        <v>21022</v>
      </c>
      <c r="BU1119" t="s">
        <v>7223</v>
      </c>
      <c r="BV1119" t="s">
        <v>69</v>
      </c>
      <c r="BW1119" t="s">
        <v>8931</v>
      </c>
      <c r="BX1119" t="s">
        <v>69</v>
      </c>
      <c r="BY1119" t="s">
        <v>69</v>
      </c>
      <c r="BZ1119" t="s">
        <v>8526</v>
      </c>
      <c r="CA1119" t="str">
        <f>HYPERLINK("https%3A%2F%2Fwww.webofscience.com%2Fwos%2Fwoscc%2Ffull-record%2FWOS:000391287600008","View Full Record in Web of Science")</f>
        <v>View Full Record in Web of Science</v>
      </c>
    </row>
    <row r="1120" spans="2:79" ht="12.5" x14ac:dyDescent="0.25">
      <c r="B1120" t="s">
        <v>8495</v>
      </c>
      <c r="D1120" s="7" t="s">
        <v>32933</v>
      </c>
      <c r="E1120" s="7"/>
      <c r="F1120" s="7"/>
      <c r="G1120" s="7"/>
      <c r="H1120" t="s">
        <v>67</v>
      </c>
      <c r="I1120" t="s">
        <v>656</v>
      </c>
      <c r="J1120" t="s">
        <v>69</v>
      </c>
      <c r="K1120" t="s">
        <v>69</v>
      </c>
      <c r="L1120" t="s">
        <v>69</v>
      </c>
      <c r="M1120" t="s">
        <v>657</v>
      </c>
      <c r="N1120" t="s">
        <v>69</v>
      </c>
      <c r="O1120" t="s">
        <v>69</v>
      </c>
      <c r="P1120" s="3" t="s">
        <v>658</v>
      </c>
      <c r="Q1120" t="s">
        <v>659</v>
      </c>
      <c r="R1120" t="s">
        <v>69</v>
      </c>
      <c r="S1120" t="s">
        <v>69</v>
      </c>
      <c r="T1120" t="s">
        <v>8505</v>
      </c>
      <c r="U1120" t="s">
        <v>8506</v>
      </c>
      <c r="V1120" t="s">
        <v>69</v>
      </c>
      <c r="W1120" t="s">
        <v>69</v>
      </c>
      <c r="X1120" t="s">
        <v>69</v>
      </c>
      <c r="Y1120" t="s">
        <v>69</v>
      </c>
      <c r="Z1120" t="s">
        <v>69</v>
      </c>
      <c r="AA1120" t="s">
        <v>18297</v>
      </c>
      <c r="AB1120" t="s">
        <v>18298</v>
      </c>
      <c r="AC1120" t="s">
        <v>660</v>
      </c>
      <c r="AD1120" t="s">
        <v>18299</v>
      </c>
      <c r="AE1120" t="s">
        <v>69</v>
      </c>
      <c r="AF1120" t="s">
        <v>18300</v>
      </c>
      <c r="AG1120" t="s">
        <v>18301</v>
      </c>
      <c r="AH1120" t="s">
        <v>18302</v>
      </c>
      <c r="AI1120" t="s">
        <v>69</v>
      </c>
      <c r="AJ1120" t="s">
        <v>18303</v>
      </c>
      <c r="AK1120" t="s">
        <v>18303</v>
      </c>
      <c r="AL1120" t="s">
        <v>18304</v>
      </c>
      <c r="AM1120" t="s">
        <v>69</v>
      </c>
      <c r="AN1120">
        <v>88</v>
      </c>
      <c r="AO1120">
        <v>18</v>
      </c>
      <c r="AP1120">
        <v>18</v>
      </c>
      <c r="AQ1120">
        <v>1</v>
      </c>
      <c r="AR1120">
        <v>18</v>
      </c>
      <c r="AS1120" t="s">
        <v>9145</v>
      </c>
      <c r="AT1120" t="s">
        <v>8637</v>
      </c>
      <c r="AU1120" t="s">
        <v>9146</v>
      </c>
      <c r="AV1120" t="s">
        <v>661</v>
      </c>
      <c r="AW1120" t="s">
        <v>18305</v>
      </c>
      <c r="AX1120" t="s">
        <v>69</v>
      </c>
      <c r="AY1120" t="s">
        <v>18306</v>
      </c>
      <c r="AZ1120" t="s">
        <v>18307</v>
      </c>
      <c r="BA1120" t="s">
        <v>381</v>
      </c>
      <c r="BB1120">
        <v>2018</v>
      </c>
      <c r="BC1120">
        <v>63</v>
      </c>
      <c r="BD1120" t="s">
        <v>69</v>
      </c>
      <c r="BE1120" t="s">
        <v>69</v>
      </c>
      <c r="BF1120" t="s">
        <v>69</v>
      </c>
      <c r="BG1120" t="s">
        <v>69</v>
      </c>
      <c r="BH1120" t="s">
        <v>69</v>
      </c>
      <c r="BI1120">
        <v>83</v>
      </c>
      <c r="BJ1120">
        <v>95</v>
      </c>
      <c r="BK1120" t="s">
        <v>69</v>
      </c>
      <c r="BL1120" t="s">
        <v>662</v>
      </c>
      <c r="BM1120" t="str">
        <f>HYPERLINK("http://dx.doi.org/10.1016/j.jrurstud.2018.09.002","http://dx.doi.org/10.1016/j.jrurstud.2018.09.002")</f>
        <v>http://dx.doi.org/10.1016/j.jrurstud.2018.09.002</v>
      </c>
      <c r="BN1120" t="s">
        <v>69</v>
      </c>
      <c r="BO1120" t="s">
        <v>69</v>
      </c>
      <c r="BP1120">
        <v>13</v>
      </c>
      <c r="BQ1120" t="s">
        <v>18308</v>
      </c>
      <c r="BR1120" t="s">
        <v>8661</v>
      </c>
      <c r="BS1120" t="s">
        <v>18309</v>
      </c>
      <c r="BT1120" t="s">
        <v>18310</v>
      </c>
      <c r="BU1120" t="s">
        <v>663</v>
      </c>
      <c r="BV1120" t="s">
        <v>69</v>
      </c>
      <c r="BW1120" t="s">
        <v>8622</v>
      </c>
      <c r="BX1120" t="s">
        <v>69</v>
      </c>
      <c r="BY1120" t="s">
        <v>69</v>
      </c>
      <c r="BZ1120" t="s">
        <v>8526</v>
      </c>
      <c r="CA1120" t="str">
        <f>HYPERLINK("https%3A%2F%2Fwww.webofscience.com%2Fwos%2Fwoscc%2Ffull-record%2FWOS:000448097500009","View Full Record in Web of Science")</f>
        <v>View Full Record in Web of Science</v>
      </c>
    </row>
    <row r="1121" spans="2:79" ht="12.5" x14ac:dyDescent="0.25">
      <c r="B1121" t="s">
        <v>8495</v>
      </c>
      <c r="D1121" s="22" t="s">
        <v>32931</v>
      </c>
      <c r="E1121" s="7"/>
      <c r="F1121" s="7"/>
      <c r="G1121" s="7"/>
      <c r="H1121" t="s">
        <v>67</v>
      </c>
      <c r="I1121" t="s">
        <v>24625</v>
      </c>
      <c r="J1121" t="s">
        <v>69</v>
      </c>
      <c r="K1121" t="s">
        <v>69</v>
      </c>
      <c r="L1121" t="s">
        <v>69</v>
      </c>
      <c r="M1121" t="s">
        <v>24626</v>
      </c>
      <c r="N1121" t="s">
        <v>69</v>
      </c>
      <c r="O1121" t="s">
        <v>69</v>
      </c>
      <c r="P1121" t="s">
        <v>24627</v>
      </c>
      <c r="Q1121" t="s">
        <v>24628</v>
      </c>
      <c r="R1121" t="s">
        <v>69</v>
      </c>
      <c r="S1121" t="s">
        <v>69</v>
      </c>
      <c r="T1121" t="s">
        <v>8505</v>
      </c>
      <c r="U1121" t="s">
        <v>8506</v>
      </c>
      <c r="V1121" t="s">
        <v>69</v>
      </c>
      <c r="W1121" t="s">
        <v>69</v>
      </c>
      <c r="X1121" t="s">
        <v>69</v>
      </c>
      <c r="Y1121" t="s">
        <v>69</v>
      </c>
      <c r="Z1121" t="s">
        <v>69</v>
      </c>
      <c r="AA1121" t="s">
        <v>24629</v>
      </c>
      <c r="AB1121" t="s">
        <v>24630</v>
      </c>
      <c r="AC1121" t="s">
        <v>24631</v>
      </c>
      <c r="AD1121" t="s">
        <v>24632</v>
      </c>
      <c r="AE1121" t="s">
        <v>69</v>
      </c>
      <c r="AF1121" t="s">
        <v>24633</v>
      </c>
      <c r="AG1121" t="s">
        <v>24634</v>
      </c>
      <c r="AH1121" t="s">
        <v>24635</v>
      </c>
      <c r="AI1121" t="s">
        <v>69</v>
      </c>
      <c r="AJ1121" t="s">
        <v>69</v>
      </c>
      <c r="AK1121" t="s">
        <v>69</v>
      </c>
      <c r="AL1121" t="s">
        <v>69</v>
      </c>
      <c r="AM1121" t="s">
        <v>69</v>
      </c>
      <c r="AN1121">
        <v>9</v>
      </c>
      <c r="AO1121">
        <v>0</v>
      </c>
      <c r="AP1121">
        <v>0</v>
      </c>
      <c r="AQ1121">
        <v>0</v>
      </c>
      <c r="AR1121">
        <v>0</v>
      </c>
      <c r="AS1121" t="s">
        <v>24636</v>
      </c>
      <c r="AT1121" t="s">
        <v>24637</v>
      </c>
      <c r="AU1121" t="s">
        <v>24638</v>
      </c>
      <c r="AV1121" t="s">
        <v>24639</v>
      </c>
      <c r="AW1121" t="s">
        <v>24640</v>
      </c>
      <c r="AX1121" t="s">
        <v>69</v>
      </c>
      <c r="AY1121" t="s">
        <v>24641</v>
      </c>
      <c r="AZ1121" t="s">
        <v>24642</v>
      </c>
      <c r="BA1121" t="s">
        <v>24643</v>
      </c>
      <c r="BB1121">
        <v>2013</v>
      </c>
      <c r="BC1121">
        <v>2</v>
      </c>
      <c r="BD1121">
        <v>42</v>
      </c>
      <c r="BE1121" t="s">
        <v>69</v>
      </c>
      <c r="BF1121" t="s">
        <v>69</v>
      </c>
      <c r="BG1121" t="s">
        <v>69</v>
      </c>
      <c r="BH1121" t="s">
        <v>69</v>
      </c>
      <c r="BI1121">
        <v>8079</v>
      </c>
      <c r="BJ1121">
        <v>8084</v>
      </c>
      <c r="BK1121" t="s">
        <v>69</v>
      </c>
      <c r="BL1121" t="s">
        <v>24644</v>
      </c>
      <c r="BM1121" t="str">
        <f>HYPERLINK("http://dx.doi.org/10.14260/jemds/1423","http://dx.doi.org/10.14260/jemds/1423")</f>
        <v>http://dx.doi.org/10.14260/jemds/1423</v>
      </c>
      <c r="BN1121" t="s">
        <v>69</v>
      </c>
      <c r="BO1121" t="s">
        <v>69</v>
      </c>
      <c r="BP1121">
        <v>6</v>
      </c>
      <c r="BQ1121" t="s">
        <v>9450</v>
      </c>
      <c r="BR1121" t="s">
        <v>8573</v>
      </c>
      <c r="BS1121" t="s">
        <v>9451</v>
      </c>
      <c r="BT1121" t="s">
        <v>24645</v>
      </c>
      <c r="BU1121" t="s">
        <v>24646</v>
      </c>
      <c r="BV1121" t="s">
        <v>69</v>
      </c>
      <c r="BW1121" t="s">
        <v>9374</v>
      </c>
      <c r="BX1121" t="s">
        <v>69</v>
      </c>
      <c r="BY1121" t="s">
        <v>69</v>
      </c>
      <c r="BZ1121" t="s">
        <v>8526</v>
      </c>
      <c r="CA1121" t="str">
        <f>HYPERLINK("https%3A%2F%2Fwww.webofscience.com%2Fwos%2Fwoscc%2Ffull-record%2FWOS:000219001000013","View Full Record in Web of Science")</f>
        <v>View Full Record in Web of Science</v>
      </c>
    </row>
    <row r="1122" spans="2:79" ht="12.5" x14ac:dyDescent="0.25">
      <c r="B1122" t="s">
        <v>8495</v>
      </c>
      <c r="D1122" s="22" t="s">
        <v>32931</v>
      </c>
      <c r="E1122" s="7"/>
      <c r="F1122" s="7"/>
      <c r="G1122" s="7"/>
      <c r="H1122" t="s">
        <v>67</v>
      </c>
      <c r="I1122" t="s">
        <v>29907</v>
      </c>
      <c r="J1122" t="s">
        <v>69</v>
      </c>
      <c r="K1122" t="s">
        <v>69</v>
      </c>
      <c r="L1122" t="s">
        <v>69</v>
      </c>
      <c r="M1122" t="s">
        <v>29908</v>
      </c>
      <c r="N1122" t="s">
        <v>69</v>
      </c>
      <c r="O1122" t="s">
        <v>69</v>
      </c>
      <c r="P1122" t="s">
        <v>29909</v>
      </c>
      <c r="Q1122" t="s">
        <v>29910</v>
      </c>
      <c r="R1122" t="s">
        <v>69</v>
      </c>
      <c r="S1122" t="s">
        <v>69</v>
      </c>
      <c r="T1122" t="s">
        <v>8505</v>
      </c>
      <c r="U1122" t="s">
        <v>8506</v>
      </c>
      <c r="V1122" t="s">
        <v>69</v>
      </c>
      <c r="W1122" t="s">
        <v>69</v>
      </c>
      <c r="X1122" t="s">
        <v>69</v>
      </c>
      <c r="Y1122" t="s">
        <v>69</v>
      </c>
      <c r="Z1122" t="s">
        <v>69</v>
      </c>
      <c r="AA1122" t="s">
        <v>69</v>
      </c>
      <c r="AB1122" t="s">
        <v>69</v>
      </c>
      <c r="AC1122" t="s">
        <v>29911</v>
      </c>
      <c r="AD1122" t="s">
        <v>29912</v>
      </c>
      <c r="AE1122" t="s">
        <v>69</v>
      </c>
      <c r="AF1122" t="s">
        <v>29913</v>
      </c>
      <c r="AG1122" t="s">
        <v>29914</v>
      </c>
      <c r="AH1122" t="s">
        <v>69</v>
      </c>
      <c r="AI1122" t="s">
        <v>69</v>
      </c>
      <c r="AJ1122" t="s">
        <v>69</v>
      </c>
      <c r="AK1122" t="s">
        <v>69</v>
      </c>
      <c r="AL1122" t="s">
        <v>69</v>
      </c>
      <c r="AM1122" t="s">
        <v>69</v>
      </c>
      <c r="AN1122">
        <v>18</v>
      </c>
      <c r="AO1122">
        <v>0</v>
      </c>
      <c r="AP1122">
        <v>0</v>
      </c>
      <c r="AQ1122">
        <v>0</v>
      </c>
      <c r="AR1122">
        <v>0</v>
      </c>
      <c r="AS1122" t="s">
        <v>29915</v>
      </c>
      <c r="AT1122" t="s">
        <v>29916</v>
      </c>
      <c r="AU1122" t="s">
        <v>29917</v>
      </c>
      <c r="AV1122" t="s">
        <v>29918</v>
      </c>
      <c r="AW1122" t="s">
        <v>69</v>
      </c>
      <c r="AX1122" t="s">
        <v>69</v>
      </c>
      <c r="AY1122" t="s">
        <v>29919</v>
      </c>
      <c r="AZ1122" t="s">
        <v>29920</v>
      </c>
      <c r="BA1122" t="s">
        <v>69</v>
      </c>
      <c r="BB1122">
        <v>2007</v>
      </c>
      <c r="BC1122">
        <v>2</v>
      </c>
      <c r="BD1122">
        <v>4</v>
      </c>
      <c r="BE1122" t="s">
        <v>69</v>
      </c>
      <c r="BF1122" t="s">
        <v>69</v>
      </c>
      <c r="BG1122" t="s">
        <v>69</v>
      </c>
      <c r="BH1122" t="s">
        <v>69</v>
      </c>
      <c r="BI1122">
        <v>95</v>
      </c>
      <c r="BJ1122">
        <v>103</v>
      </c>
      <c r="BK1122" t="s">
        <v>69</v>
      </c>
      <c r="BL1122" t="s">
        <v>29921</v>
      </c>
      <c r="BM1122" t="str">
        <f>HYPERLINK("http://dx.doi.org/10.18438/B8J59V","http://dx.doi.org/10.18438/B8J59V")</f>
        <v>http://dx.doi.org/10.18438/B8J59V</v>
      </c>
      <c r="BN1122" t="s">
        <v>69</v>
      </c>
      <c r="BO1122" t="s">
        <v>69</v>
      </c>
      <c r="BP1122">
        <v>9</v>
      </c>
      <c r="BQ1122" t="s">
        <v>11010</v>
      </c>
      <c r="BR1122" t="s">
        <v>8573</v>
      </c>
      <c r="BS1122" t="s">
        <v>11010</v>
      </c>
      <c r="BT1122" t="s">
        <v>29922</v>
      </c>
      <c r="BU1122" t="s">
        <v>29923</v>
      </c>
      <c r="BV1122" t="s">
        <v>69</v>
      </c>
      <c r="BW1122" t="s">
        <v>8812</v>
      </c>
      <c r="BX1122" t="s">
        <v>69</v>
      </c>
      <c r="BY1122" t="s">
        <v>69</v>
      </c>
      <c r="BZ1122" t="s">
        <v>8526</v>
      </c>
      <c r="CA1122" t="str">
        <f>HYPERLINK("https%3A%2F%2Fwww.webofscience.com%2Fwos%2Fwoscc%2Ffull-record%2FWOS:000214743500017","View Full Record in Web of Science")</f>
        <v>View Full Record in Web of Science</v>
      </c>
    </row>
    <row r="1123" spans="2:79" ht="12.5" x14ac:dyDescent="0.25">
      <c r="B1123" t="s">
        <v>8495</v>
      </c>
      <c r="D1123" s="7" t="s">
        <v>32933</v>
      </c>
      <c r="E1123" s="7"/>
      <c r="F1123" s="7"/>
      <c r="G1123" s="7"/>
      <c r="H1123" t="s">
        <v>67</v>
      </c>
      <c r="I1123" t="s">
        <v>6162</v>
      </c>
      <c r="J1123" t="s">
        <v>69</v>
      </c>
      <c r="K1123" t="s">
        <v>69</v>
      </c>
      <c r="L1123" t="s">
        <v>69</v>
      </c>
      <c r="M1123" t="s">
        <v>6163</v>
      </c>
      <c r="N1123" t="s">
        <v>69</v>
      </c>
      <c r="O1123" t="s">
        <v>69</v>
      </c>
      <c r="P1123" t="s">
        <v>6164</v>
      </c>
      <c r="Q1123" t="s">
        <v>3208</v>
      </c>
      <c r="R1123" t="s">
        <v>69</v>
      </c>
      <c r="S1123" t="s">
        <v>69</v>
      </c>
      <c r="T1123" t="s">
        <v>12534</v>
      </c>
      <c r="U1123" t="s">
        <v>8506</v>
      </c>
      <c r="V1123" t="s">
        <v>69</v>
      </c>
      <c r="W1123" t="s">
        <v>69</v>
      </c>
      <c r="X1123" t="s">
        <v>69</v>
      </c>
      <c r="Y1123" t="s">
        <v>69</v>
      </c>
      <c r="Z1123" t="s">
        <v>69</v>
      </c>
      <c r="AA1123" t="s">
        <v>26253</v>
      </c>
      <c r="AB1123" t="s">
        <v>69</v>
      </c>
      <c r="AC1123" t="s">
        <v>6165</v>
      </c>
      <c r="AD1123" t="s">
        <v>26254</v>
      </c>
      <c r="AE1123" t="s">
        <v>69</v>
      </c>
      <c r="AF1123" t="s">
        <v>26255</v>
      </c>
      <c r="AG1123" t="s">
        <v>26256</v>
      </c>
      <c r="AH1123" t="s">
        <v>69</v>
      </c>
      <c r="AI1123" t="s">
        <v>69</v>
      </c>
      <c r="AJ1123" t="s">
        <v>69</v>
      </c>
      <c r="AK1123" t="s">
        <v>69</v>
      </c>
      <c r="AL1123" t="s">
        <v>69</v>
      </c>
      <c r="AM1123" t="s">
        <v>69</v>
      </c>
      <c r="AN1123">
        <v>15</v>
      </c>
      <c r="AO1123">
        <v>5</v>
      </c>
      <c r="AP1123">
        <v>5</v>
      </c>
      <c r="AQ1123">
        <v>0</v>
      </c>
      <c r="AR1123">
        <v>1</v>
      </c>
      <c r="AS1123" t="s">
        <v>17695</v>
      </c>
      <c r="AT1123" t="s">
        <v>12737</v>
      </c>
      <c r="AU1123" t="s">
        <v>17696</v>
      </c>
      <c r="AV1123" t="s">
        <v>3210</v>
      </c>
      <c r="AW1123" t="s">
        <v>69</v>
      </c>
      <c r="AX1123" t="s">
        <v>69</v>
      </c>
      <c r="AY1123" t="s">
        <v>17697</v>
      </c>
      <c r="AZ1123" t="s">
        <v>17697</v>
      </c>
      <c r="BA1123" t="s">
        <v>69</v>
      </c>
      <c r="BB1123">
        <v>2012</v>
      </c>
      <c r="BC1123">
        <v>21</v>
      </c>
      <c r="BD1123">
        <v>4</v>
      </c>
      <c r="BE1123" t="s">
        <v>69</v>
      </c>
      <c r="BF1123" t="s">
        <v>69</v>
      </c>
      <c r="BG1123" t="s">
        <v>69</v>
      </c>
      <c r="BH1123" t="s">
        <v>69</v>
      </c>
      <c r="BI1123">
        <v>290</v>
      </c>
      <c r="BJ1123">
        <v>299</v>
      </c>
      <c r="BK1123" t="s">
        <v>69</v>
      </c>
      <c r="BL1123" t="s">
        <v>6166</v>
      </c>
      <c r="BM1123" t="str">
        <f>HYPERLINK("http://dx.doi.org/10.14512/gaia.21.4.14","http://dx.doi.org/10.14512/gaia.21.4.14")</f>
        <v>http://dx.doi.org/10.14512/gaia.21.4.14</v>
      </c>
      <c r="BN1123" t="s">
        <v>69</v>
      </c>
      <c r="BO1123" t="s">
        <v>69</v>
      </c>
      <c r="BP1123">
        <v>10</v>
      </c>
      <c r="BQ1123" t="s">
        <v>11791</v>
      </c>
      <c r="BR1123" t="s">
        <v>8523</v>
      </c>
      <c r="BS1123" t="s">
        <v>8662</v>
      </c>
      <c r="BT1123" t="s">
        <v>26257</v>
      </c>
      <c r="BU1123" t="s">
        <v>6167</v>
      </c>
      <c r="BV1123" t="s">
        <v>69</v>
      </c>
      <c r="BW1123" t="s">
        <v>69</v>
      </c>
      <c r="BX1123" t="s">
        <v>69</v>
      </c>
      <c r="BY1123" t="s">
        <v>69</v>
      </c>
      <c r="BZ1123" t="s">
        <v>8526</v>
      </c>
      <c r="CA1123" t="str">
        <f>HYPERLINK("https%3A%2F%2Fwww.webofscience.com%2Fwos%2Fwoscc%2Ffull-record%2FWOS:000312823400012","View Full Record in Web of Science")</f>
        <v>View Full Record in Web of Science</v>
      </c>
    </row>
    <row r="1124" spans="2:79" x14ac:dyDescent="0.3">
      <c r="B1124" t="s">
        <v>8495</v>
      </c>
      <c r="D1124" s="9" t="s">
        <v>32954</v>
      </c>
      <c r="E1124" s="9" t="s">
        <v>33152</v>
      </c>
      <c r="F1124" s="9" t="s">
        <v>8491</v>
      </c>
      <c r="G1124" s="9" t="s">
        <v>8490</v>
      </c>
      <c r="H1124" t="s">
        <v>67</v>
      </c>
      <c r="I1124" t="s">
        <v>23506</v>
      </c>
      <c r="J1124" t="s">
        <v>69</v>
      </c>
      <c r="K1124" t="s">
        <v>69</v>
      </c>
      <c r="L1124" t="s">
        <v>69</v>
      </c>
      <c r="M1124" t="s">
        <v>23507</v>
      </c>
      <c r="N1124" t="s">
        <v>69</v>
      </c>
      <c r="O1124" t="s">
        <v>69</v>
      </c>
      <c r="P1124" t="s">
        <v>23508</v>
      </c>
      <c r="Q1124" t="s">
        <v>1128</v>
      </c>
      <c r="R1124" t="s">
        <v>69</v>
      </c>
      <c r="S1124" t="s">
        <v>69</v>
      </c>
      <c r="T1124" t="s">
        <v>8505</v>
      </c>
      <c r="U1124" t="s">
        <v>8506</v>
      </c>
      <c r="V1124" t="s">
        <v>69</v>
      </c>
      <c r="W1124" t="s">
        <v>69</v>
      </c>
      <c r="X1124" t="s">
        <v>69</v>
      </c>
      <c r="Y1124" t="s">
        <v>69</v>
      </c>
      <c r="Z1124" t="s">
        <v>69</v>
      </c>
      <c r="AA1124" t="s">
        <v>23509</v>
      </c>
      <c r="AB1124" t="s">
        <v>23510</v>
      </c>
      <c r="AC1124" t="s">
        <v>23511</v>
      </c>
      <c r="AD1124" t="s">
        <v>23512</v>
      </c>
      <c r="AE1124" t="s">
        <v>69</v>
      </c>
      <c r="AF1124" t="s">
        <v>23513</v>
      </c>
      <c r="AG1124" t="s">
        <v>23514</v>
      </c>
      <c r="AH1124" t="s">
        <v>69</v>
      </c>
      <c r="AI1124" t="s">
        <v>69</v>
      </c>
      <c r="AJ1124" t="s">
        <v>69</v>
      </c>
      <c r="AK1124" t="s">
        <v>69</v>
      </c>
      <c r="AL1124" t="s">
        <v>69</v>
      </c>
      <c r="AM1124" t="s">
        <v>69</v>
      </c>
      <c r="AN1124">
        <v>52</v>
      </c>
      <c r="AO1124">
        <v>15</v>
      </c>
      <c r="AP1124">
        <v>16</v>
      </c>
      <c r="AQ1124">
        <v>1</v>
      </c>
      <c r="AR1124">
        <v>38</v>
      </c>
      <c r="AS1124" t="s">
        <v>8636</v>
      </c>
      <c r="AT1124" t="s">
        <v>8637</v>
      </c>
      <c r="AU1124" t="s">
        <v>8638</v>
      </c>
      <c r="AV1124" t="s">
        <v>1130</v>
      </c>
      <c r="AW1124" t="s">
        <v>1131</v>
      </c>
      <c r="AX1124" t="s">
        <v>69</v>
      </c>
      <c r="AY1124" t="s">
        <v>1128</v>
      </c>
      <c r="AZ1124" t="s">
        <v>8658</v>
      </c>
      <c r="BA1124" t="s">
        <v>274</v>
      </c>
      <c r="BB1124">
        <v>2014</v>
      </c>
      <c r="BC1124">
        <v>41</v>
      </c>
      <c r="BD1124" t="s">
        <v>69</v>
      </c>
      <c r="BE1124" t="s">
        <v>69</v>
      </c>
      <c r="BF1124" t="s">
        <v>69</v>
      </c>
      <c r="BG1124" t="s">
        <v>69</v>
      </c>
      <c r="BH1124" t="s">
        <v>69</v>
      </c>
      <c r="BI1124">
        <v>541</v>
      </c>
      <c r="BJ1124">
        <v>549</v>
      </c>
      <c r="BK1124" t="s">
        <v>69</v>
      </c>
      <c r="BL1124" t="s">
        <v>23515</v>
      </c>
      <c r="BM1124" t="str">
        <f>HYPERLINK("http://dx.doi.org/10.1016/j.landusepol.2014.04.011","http://dx.doi.org/10.1016/j.landusepol.2014.04.011")</f>
        <v>http://dx.doi.org/10.1016/j.landusepol.2014.04.011</v>
      </c>
      <c r="BN1124" t="s">
        <v>69</v>
      </c>
      <c r="BO1124" t="s">
        <v>69</v>
      </c>
      <c r="BP1124">
        <v>9</v>
      </c>
      <c r="BQ1124" t="s">
        <v>8660</v>
      </c>
      <c r="BR1124" t="s">
        <v>8661</v>
      </c>
      <c r="BS1124" t="s">
        <v>8662</v>
      </c>
      <c r="BT1124" t="s">
        <v>23516</v>
      </c>
      <c r="BU1124" t="s">
        <v>23517</v>
      </c>
      <c r="BV1124" t="s">
        <v>69</v>
      </c>
      <c r="BW1124" t="s">
        <v>69</v>
      </c>
      <c r="BX1124" t="s">
        <v>69</v>
      </c>
      <c r="BY1124" t="s">
        <v>69</v>
      </c>
      <c r="BZ1124" t="s">
        <v>8526</v>
      </c>
      <c r="CA1124" t="str">
        <f>HYPERLINK("https%3A%2F%2Fwww.webofscience.com%2Fwos%2Fwoscc%2Ffull-record%2FWOS:000341548600050","View Full Record in Web of Science")</f>
        <v>View Full Record in Web of Science</v>
      </c>
    </row>
    <row r="1125" spans="2:79" ht="12.5" x14ac:dyDescent="0.25">
      <c r="B1125" t="s">
        <v>8495</v>
      </c>
      <c r="D1125" s="7" t="s">
        <v>32933</v>
      </c>
      <c r="E1125" s="7"/>
      <c r="F1125" s="7"/>
      <c r="G1125" s="7"/>
      <c r="H1125" t="s">
        <v>67</v>
      </c>
      <c r="I1125" t="s">
        <v>580</v>
      </c>
      <c r="J1125" t="s">
        <v>69</v>
      </c>
      <c r="K1125" t="s">
        <v>69</v>
      </c>
      <c r="L1125" t="s">
        <v>69</v>
      </c>
      <c r="M1125" t="s">
        <v>580</v>
      </c>
      <c r="N1125" t="s">
        <v>69</v>
      </c>
      <c r="O1125" t="s">
        <v>69</v>
      </c>
      <c r="P1125" t="s">
        <v>581</v>
      </c>
      <c r="Q1125" t="s">
        <v>582</v>
      </c>
      <c r="R1125" t="s">
        <v>69</v>
      </c>
      <c r="S1125" t="s">
        <v>69</v>
      </c>
      <c r="T1125" t="s">
        <v>8505</v>
      </c>
      <c r="U1125" t="s">
        <v>8506</v>
      </c>
      <c r="V1125" t="s">
        <v>69</v>
      </c>
      <c r="W1125" t="s">
        <v>69</v>
      </c>
      <c r="X1125" t="s">
        <v>69</v>
      </c>
      <c r="Y1125" t="s">
        <v>69</v>
      </c>
      <c r="Z1125" t="s">
        <v>69</v>
      </c>
      <c r="AA1125" t="s">
        <v>69</v>
      </c>
      <c r="AB1125" t="s">
        <v>69</v>
      </c>
      <c r="AC1125" t="s">
        <v>583</v>
      </c>
      <c r="AD1125" t="s">
        <v>31978</v>
      </c>
      <c r="AE1125" t="s">
        <v>69</v>
      </c>
      <c r="AF1125" t="s">
        <v>31979</v>
      </c>
      <c r="AG1125" t="s">
        <v>31980</v>
      </c>
      <c r="AH1125" t="s">
        <v>69</v>
      </c>
      <c r="AI1125" t="s">
        <v>69</v>
      </c>
      <c r="AJ1125" t="s">
        <v>69</v>
      </c>
      <c r="AK1125" t="s">
        <v>69</v>
      </c>
      <c r="AL1125" t="s">
        <v>69</v>
      </c>
      <c r="AM1125" t="s">
        <v>69</v>
      </c>
      <c r="AN1125">
        <v>5</v>
      </c>
      <c r="AO1125">
        <v>1</v>
      </c>
      <c r="AP1125">
        <v>1</v>
      </c>
      <c r="AQ1125">
        <v>0</v>
      </c>
      <c r="AR1125">
        <v>2</v>
      </c>
      <c r="AS1125" t="s">
        <v>8692</v>
      </c>
      <c r="AT1125" t="s">
        <v>8693</v>
      </c>
      <c r="AU1125" t="s">
        <v>8694</v>
      </c>
      <c r="AV1125" t="s">
        <v>584</v>
      </c>
      <c r="AW1125" t="s">
        <v>585</v>
      </c>
      <c r="AX1125" t="s">
        <v>69</v>
      </c>
      <c r="AY1125" t="s">
        <v>8695</v>
      </c>
      <c r="AZ1125" t="s">
        <v>8696</v>
      </c>
      <c r="BA1125" t="s">
        <v>586</v>
      </c>
      <c r="BB1125">
        <v>1999</v>
      </c>
      <c r="BC1125">
        <v>19</v>
      </c>
      <c r="BD1125">
        <v>3</v>
      </c>
      <c r="BE1125" t="s">
        <v>69</v>
      </c>
      <c r="BF1125" t="s">
        <v>69</v>
      </c>
      <c r="BG1125" t="s">
        <v>69</v>
      </c>
      <c r="BH1125" t="s">
        <v>69</v>
      </c>
      <c r="BI1125">
        <v>319</v>
      </c>
      <c r="BJ1125">
        <v>331</v>
      </c>
      <c r="BK1125" t="s">
        <v>69</v>
      </c>
      <c r="BL1125" t="s">
        <v>587</v>
      </c>
      <c r="BM1125" t="str">
        <f>HYPERLINK("http://dx.doi.org/10.1016/S0195-9255(99)00006-2","http://dx.doi.org/10.1016/S0195-9255(99)00006-2")</f>
        <v>http://dx.doi.org/10.1016/S0195-9255(99)00006-2</v>
      </c>
      <c r="BN1125" t="s">
        <v>69</v>
      </c>
      <c r="BO1125" t="s">
        <v>69</v>
      </c>
      <c r="BP1125">
        <v>13</v>
      </c>
      <c r="BQ1125" t="s">
        <v>8660</v>
      </c>
      <c r="BR1125" t="s">
        <v>8661</v>
      </c>
      <c r="BS1125" t="s">
        <v>8662</v>
      </c>
      <c r="BT1125" t="s">
        <v>31981</v>
      </c>
      <c r="BU1125" t="s">
        <v>588</v>
      </c>
      <c r="BV1125" t="s">
        <v>69</v>
      </c>
      <c r="BW1125" t="s">
        <v>69</v>
      </c>
      <c r="BX1125" t="s">
        <v>69</v>
      </c>
      <c r="BY1125" t="s">
        <v>69</v>
      </c>
      <c r="BZ1125" t="s">
        <v>8526</v>
      </c>
      <c r="CA1125" t="str">
        <f>HYPERLINK("https%3A%2F%2Fwww.webofscience.com%2Fwos%2Fwoscc%2Ffull-record%2FWOS:000080788100007","View Full Record in Web of Science")</f>
        <v>View Full Record in Web of Science</v>
      </c>
    </row>
    <row r="1126" spans="2:79" ht="12.5" x14ac:dyDescent="0.25">
      <c r="B1126" t="s">
        <v>8495</v>
      </c>
      <c r="D1126" s="22" t="s">
        <v>32931</v>
      </c>
      <c r="E1126" s="7"/>
      <c r="F1126" s="7"/>
      <c r="G1126" s="7"/>
      <c r="H1126" t="s">
        <v>67</v>
      </c>
      <c r="I1126" t="s">
        <v>10027</v>
      </c>
      <c r="J1126" t="s">
        <v>69</v>
      </c>
      <c r="K1126" t="s">
        <v>69</v>
      </c>
      <c r="L1126" t="s">
        <v>69</v>
      </c>
      <c r="M1126" t="s">
        <v>10028</v>
      </c>
      <c r="N1126" t="s">
        <v>69</v>
      </c>
      <c r="O1126" t="s">
        <v>69</v>
      </c>
      <c r="P1126" t="s">
        <v>10029</v>
      </c>
      <c r="Q1126" t="s">
        <v>2949</v>
      </c>
      <c r="R1126" t="s">
        <v>69</v>
      </c>
      <c r="S1126" t="s">
        <v>69</v>
      </c>
      <c r="T1126" t="s">
        <v>8505</v>
      </c>
      <c r="U1126" t="s">
        <v>8442</v>
      </c>
      <c r="V1126" t="s">
        <v>69</v>
      </c>
      <c r="W1126" t="s">
        <v>69</v>
      </c>
      <c r="X1126" t="s">
        <v>69</v>
      </c>
      <c r="Y1126" t="s">
        <v>69</v>
      </c>
      <c r="Z1126" t="s">
        <v>69</v>
      </c>
      <c r="AA1126" t="s">
        <v>10030</v>
      </c>
      <c r="AB1126" t="s">
        <v>10031</v>
      </c>
      <c r="AC1126" t="s">
        <v>10032</v>
      </c>
      <c r="AD1126" t="s">
        <v>10033</v>
      </c>
      <c r="AE1126" t="s">
        <v>69</v>
      </c>
      <c r="AF1126" t="s">
        <v>10034</v>
      </c>
      <c r="AG1126" t="s">
        <v>10035</v>
      </c>
      <c r="AH1126" t="s">
        <v>69</v>
      </c>
      <c r="AI1126" t="s">
        <v>10036</v>
      </c>
      <c r="AJ1126" t="s">
        <v>10037</v>
      </c>
      <c r="AK1126" t="s">
        <v>10038</v>
      </c>
      <c r="AL1126" t="s">
        <v>10039</v>
      </c>
      <c r="AM1126" t="s">
        <v>69</v>
      </c>
      <c r="AN1126">
        <v>45</v>
      </c>
      <c r="AO1126">
        <v>0</v>
      </c>
      <c r="AP1126">
        <v>0</v>
      </c>
      <c r="AQ1126">
        <v>8</v>
      </c>
      <c r="AR1126">
        <v>8</v>
      </c>
      <c r="AS1126" t="s">
        <v>8992</v>
      </c>
      <c r="AT1126" t="s">
        <v>8993</v>
      </c>
      <c r="AU1126" t="s">
        <v>8994</v>
      </c>
      <c r="AV1126" t="s">
        <v>69</v>
      </c>
      <c r="AW1126" t="s">
        <v>2951</v>
      </c>
      <c r="AX1126" t="s">
        <v>69</v>
      </c>
      <c r="AY1126" t="s">
        <v>10040</v>
      </c>
      <c r="AZ1126" t="s">
        <v>10041</v>
      </c>
      <c r="BA1126" t="s">
        <v>6488</v>
      </c>
      <c r="BB1126">
        <v>2022</v>
      </c>
      <c r="BC1126">
        <v>8</v>
      </c>
      <c r="BD1126" t="s">
        <v>69</v>
      </c>
      <c r="BE1126" t="s">
        <v>69</v>
      </c>
      <c r="BF1126" t="s">
        <v>69</v>
      </c>
      <c r="BG1126" t="s">
        <v>69</v>
      </c>
      <c r="BH1126" t="s">
        <v>69</v>
      </c>
      <c r="BI1126" t="s">
        <v>69</v>
      </c>
      <c r="BJ1126" t="s">
        <v>69</v>
      </c>
      <c r="BK1126">
        <v>747712</v>
      </c>
      <c r="BL1126" t="s">
        <v>10042</v>
      </c>
      <c r="BM1126" t="str">
        <f>HYPERLINK("http://dx.doi.org/10.3389/fmars.2021.747712","http://dx.doi.org/10.3389/fmars.2021.747712")</f>
        <v>http://dx.doi.org/10.3389/fmars.2021.747712</v>
      </c>
      <c r="BN1126" t="s">
        <v>69</v>
      </c>
      <c r="BO1126" t="s">
        <v>69</v>
      </c>
      <c r="BP1126">
        <v>12</v>
      </c>
      <c r="BQ1126" t="s">
        <v>10043</v>
      </c>
      <c r="BR1126" t="s">
        <v>8548</v>
      </c>
      <c r="BS1126" t="s">
        <v>10044</v>
      </c>
      <c r="BT1126" t="s">
        <v>10045</v>
      </c>
      <c r="BU1126" t="s">
        <v>10046</v>
      </c>
      <c r="BV1126" t="s">
        <v>69</v>
      </c>
      <c r="BW1126" t="s">
        <v>8812</v>
      </c>
      <c r="BX1126" t="s">
        <v>69</v>
      </c>
      <c r="BY1126" t="s">
        <v>69</v>
      </c>
      <c r="BZ1126" t="s">
        <v>8526</v>
      </c>
      <c r="CA1126" t="str">
        <f>HYPERLINK("https%3A%2F%2Fwww.webofscience.com%2Fwos%2Fwoscc%2Ffull-record%2FWOS:000750597400001","View Full Record in Web of Science")</f>
        <v>View Full Record in Web of Science</v>
      </c>
    </row>
    <row r="1127" spans="2:79" ht="12.5" x14ac:dyDescent="0.25">
      <c r="B1127" t="s">
        <v>8495</v>
      </c>
      <c r="D1127" s="7" t="s">
        <v>32933</v>
      </c>
      <c r="E1127" s="7"/>
      <c r="F1127" s="7"/>
      <c r="G1127" s="7"/>
      <c r="H1127" t="s">
        <v>67</v>
      </c>
      <c r="I1127" t="s">
        <v>6244</v>
      </c>
      <c r="J1127" t="s">
        <v>69</v>
      </c>
      <c r="K1127" t="s">
        <v>69</v>
      </c>
      <c r="L1127" t="s">
        <v>69</v>
      </c>
      <c r="M1127" t="s">
        <v>6245</v>
      </c>
      <c r="N1127" t="s">
        <v>69</v>
      </c>
      <c r="O1127" t="s">
        <v>69</v>
      </c>
      <c r="P1127" t="s">
        <v>6246</v>
      </c>
      <c r="Q1127" t="s">
        <v>2107</v>
      </c>
      <c r="R1127" t="s">
        <v>69</v>
      </c>
      <c r="S1127" t="s">
        <v>69</v>
      </c>
      <c r="T1127" t="s">
        <v>8505</v>
      </c>
      <c r="U1127" t="s">
        <v>8506</v>
      </c>
      <c r="V1127" t="s">
        <v>69</v>
      </c>
      <c r="W1127" t="s">
        <v>69</v>
      </c>
      <c r="X1127" t="s">
        <v>69</v>
      </c>
      <c r="Y1127" t="s">
        <v>69</v>
      </c>
      <c r="Z1127" t="s">
        <v>69</v>
      </c>
      <c r="AA1127" t="s">
        <v>15828</v>
      </c>
      <c r="AB1127" t="s">
        <v>15829</v>
      </c>
      <c r="AC1127" t="s">
        <v>6247</v>
      </c>
      <c r="AD1127" t="s">
        <v>15830</v>
      </c>
      <c r="AE1127" t="s">
        <v>69</v>
      </c>
      <c r="AF1127" t="s">
        <v>15831</v>
      </c>
      <c r="AG1127" t="s">
        <v>15832</v>
      </c>
      <c r="AH1127" t="s">
        <v>15833</v>
      </c>
      <c r="AI1127" t="s">
        <v>15834</v>
      </c>
      <c r="AJ1127" t="s">
        <v>15835</v>
      </c>
      <c r="AK1127" t="s">
        <v>15836</v>
      </c>
      <c r="AL1127" t="s">
        <v>15837</v>
      </c>
      <c r="AM1127" t="s">
        <v>69</v>
      </c>
      <c r="AN1127">
        <v>124</v>
      </c>
      <c r="AO1127">
        <v>12</v>
      </c>
      <c r="AP1127">
        <v>12</v>
      </c>
      <c r="AQ1127">
        <v>5</v>
      </c>
      <c r="AR1127">
        <v>18</v>
      </c>
      <c r="AS1127" t="s">
        <v>8924</v>
      </c>
      <c r="AT1127" t="s">
        <v>8925</v>
      </c>
      <c r="AU1127" t="s">
        <v>8926</v>
      </c>
      <c r="AV1127" t="s">
        <v>69</v>
      </c>
      <c r="AW1127" t="s">
        <v>2110</v>
      </c>
      <c r="AX1127" t="s">
        <v>69</v>
      </c>
      <c r="AY1127" t="s">
        <v>10592</v>
      </c>
      <c r="AZ1127" t="s">
        <v>10593</v>
      </c>
      <c r="BA1127" t="s">
        <v>191</v>
      </c>
      <c r="BB1127">
        <v>2020</v>
      </c>
      <c r="BC1127">
        <v>17</v>
      </c>
      <c r="BD1127">
        <v>4</v>
      </c>
      <c r="BE1127" t="s">
        <v>69</v>
      </c>
      <c r="BF1127" t="s">
        <v>69</v>
      </c>
      <c r="BG1127" t="s">
        <v>69</v>
      </c>
      <c r="BH1127" t="s">
        <v>69</v>
      </c>
      <c r="BI1127" t="s">
        <v>69</v>
      </c>
      <c r="BJ1127" t="s">
        <v>69</v>
      </c>
      <c r="BK1127">
        <v>1432</v>
      </c>
      <c r="BL1127" t="s">
        <v>6248</v>
      </c>
      <c r="BM1127" t="str">
        <f>HYPERLINK("http://dx.doi.org/10.3390/ijerph17041432","http://dx.doi.org/10.3390/ijerph17041432")</f>
        <v>http://dx.doi.org/10.3390/ijerph17041432</v>
      </c>
      <c r="BN1127" t="s">
        <v>69</v>
      </c>
      <c r="BO1127" t="s">
        <v>69</v>
      </c>
      <c r="BP1127">
        <v>22</v>
      </c>
      <c r="BQ1127" t="s">
        <v>10595</v>
      </c>
      <c r="BR1127" t="s">
        <v>8523</v>
      </c>
      <c r="BS1127" t="s">
        <v>10596</v>
      </c>
      <c r="BT1127" t="s">
        <v>15838</v>
      </c>
      <c r="BU1127" t="s">
        <v>6249</v>
      </c>
      <c r="BV1127">
        <v>32102209</v>
      </c>
      <c r="BW1127" t="s">
        <v>9352</v>
      </c>
      <c r="BX1127" t="s">
        <v>69</v>
      </c>
      <c r="BY1127" t="s">
        <v>69</v>
      </c>
      <c r="BZ1127" t="s">
        <v>8526</v>
      </c>
      <c r="CA1127" t="str">
        <f>HYPERLINK("https%3A%2F%2Fwww.webofscience.com%2Fwos%2Fwoscc%2Ffull-record%2FWOS:000522388500308","View Full Record in Web of Science")</f>
        <v>View Full Record in Web of Science</v>
      </c>
    </row>
    <row r="1128" spans="2:79" ht="12.5" x14ac:dyDescent="0.25">
      <c r="B1128" t="s">
        <v>8495</v>
      </c>
      <c r="D1128" s="7" t="s">
        <v>32933</v>
      </c>
      <c r="E1128" s="7"/>
      <c r="F1128" s="7"/>
      <c r="G1128" s="7"/>
      <c r="H1128" t="s">
        <v>67</v>
      </c>
      <c r="I1128" t="s">
        <v>1443</v>
      </c>
      <c r="J1128" t="s">
        <v>69</v>
      </c>
      <c r="K1128" t="s">
        <v>69</v>
      </c>
      <c r="L1128" t="s">
        <v>69</v>
      </c>
      <c r="M1128" t="s">
        <v>1444</v>
      </c>
      <c r="N1128" t="s">
        <v>69</v>
      </c>
      <c r="O1128" t="s">
        <v>69</v>
      </c>
      <c r="P1128" t="s">
        <v>1445</v>
      </c>
      <c r="Q1128" t="s">
        <v>1446</v>
      </c>
      <c r="R1128" t="s">
        <v>69</v>
      </c>
      <c r="S1128" t="s">
        <v>69</v>
      </c>
      <c r="T1128" t="s">
        <v>12534</v>
      </c>
      <c r="U1128" t="s">
        <v>8506</v>
      </c>
      <c r="V1128" t="s">
        <v>69</v>
      </c>
      <c r="W1128" t="s">
        <v>69</v>
      </c>
      <c r="X1128" t="s">
        <v>69</v>
      </c>
      <c r="Y1128" t="s">
        <v>69</v>
      </c>
      <c r="Z1128" t="s">
        <v>69</v>
      </c>
      <c r="AA1128" t="s">
        <v>25925</v>
      </c>
      <c r="AB1128" t="s">
        <v>69</v>
      </c>
      <c r="AC1128" t="s">
        <v>1447</v>
      </c>
      <c r="AD1128" t="s">
        <v>25926</v>
      </c>
      <c r="AE1128" t="s">
        <v>69</v>
      </c>
      <c r="AF1128" t="s">
        <v>25927</v>
      </c>
      <c r="AG1128" t="s">
        <v>25928</v>
      </c>
      <c r="AH1128" t="s">
        <v>25929</v>
      </c>
      <c r="AI1128" t="s">
        <v>25930</v>
      </c>
      <c r="AJ1128" t="s">
        <v>69</v>
      </c>
      <c r="AK1128" t="s">
        <v>69</v>
      </c>
      <c r="AL1128" t="s">
        <v>69</v>
      </c>
      <c r="AM1128" t="s">
        <v>69</v>
      </c>
      <c r="AN1128">
        <v>20</v>
      </c>
      <c r="AO1128">
        <v>1</v>
      </c>
      <c r="AP1128">
        <v>1</v>
      </c>
      <c r="AQ1128">
        <v>1</v>
      </c>
      <c r="AR1128">
        <v>76</v>
      </c>
      <c r="AS1128" t="s">
        <v>16383</v>
      </c>
      <c r="AT1128" t="s">
        <v>16384</v>
      </c>
      <c r="AU1128" t="s">
        <v>16385</v>
      </c>
      <c r="AV1128" t="s">
        <v>1448</v>
      </c>
      <c r="AW1128" t="s">
        <v>69</v>
      </c>
      <c r="AX1128" t="s">
        <v>69</v>
      </c>
      <c r="AY1128" t="s">
        <v>16386</v>
      </c>
      <c r="AZ1128" t="s">
        <v>16387</v>
      </c>
      <c r="BA1128" t="s">
        <v>155</v>
      </c>
      <c r="BB1128">
        <v>2012</v>
      </c>
      <c r="BC1128">
        <v>52</v>
      </c>
      <c r="BD1128">
        <v>2</v>
      </c>
      <c r="BE1128" t="s">
        <v>69</v>
      </c>
      <c r="BF1128" t="s">
        <v>69</v>
      </c>
      <c r="BG1128" t="s">
        <v>69</v>
      </c>
      <c r="BH1128" t="s">
        <v>69</v>
      </c>
      <c r="BI1128">
        <v>236</v>
      </c>
      <c r="BJ1128">
        <v>251</v>
      </c>
      <c r="BK1128" t="s">
        <v>69</v>
      </c>
      <c r="BL1128" t="s">
        <v>69</v>
      </c>
      <c r="BM1128" t="s">
        <v>69</v>
      </c>
      <c r="BN1128" t="s">
        <v>69</v>
      </c>
      <c r="BO1128" t="s">
        <v>69</v>
      </c>
      <c r="BP1128">
        <v>16</v>
      </c>
      <c r="BQ1128" t="s">
        <v>13650</v>
      </c>
      <c r="BR1128" t="s">
        <v>8661</v>
      </c>
      <c r="BS1128" t="s">
        <v>13650</v>
      </c>
      <c r="BT1128" t="s">
        <v>25931</v>
      </c>
      <c r="BU1128" t="s">
        <v>1449</v>
      </c>
      <c r="BV1128" t="s">
        <v>69</v>
      </c>
      <c r="BW1128" t="s">
        <v>69</v>
      </c>
      <c r="BX1128" t="s">
        <v>69</v>
      </c>
      <c r="BY1128" t="s">
        <v>69</v>
      </c>
      <c r="BZ1128" t="s">
        <v>8526</v>
      </c>
      <c r="CA1128" t="str">
        <f>HYPERLINK("https%3A%2F%2Fwww.webofscience.com%2Fwos%2Fwoscc%2Ffull-record%2FWOS:000305445800007","View Full Record in Web of Science")</f>
        <v>View Full Record in Web of Science</v>
      </c>
    </row>
    <row r="1129" spans="2:79" ht="12.5" x14ac:dyDescent="0.25">
      <c r="B1129" t="s">
        <v>8495</v>
      </c>
      <c r="D1129" s="7" t="s">
        <v>32933</v>
      </c>
      <c r="E1129" s="7"/>
      <c r="F1129" s="7"/>
      <c r="G1129" s="7"/>
      <c r="H1129" t="s">
        <v>67</v>
      </c>
      <c r="I1129" t="s">
        <v>787</v>
      </c>
      <c r="J1129" t="s">
        <v>69</v>
      </c>
      <c r="K1129" t="s">
        <v>69</v>
      </c>
      <c r="L1129" t="s">
        <v>69</v>
      </c>
      <c r="M1129" t="s">
        <v>788</v>
      </c>
      <c r="N1129" t="s">
        <v>69</v>
      </c>
      <c r="O1129" t="s">
        <v>69</v>
      </c>
      <c r="P1129" t="s">
        <v>789</v>
      </c>
      <c r="Q1129" t="s">
        <v>790</v>
      </c>
      <c r="R1129" t="s">
        <v>69</v>
      </c>
      <c r="S1129" t="s">
        <v>69</v>
      </c>
      <c r="T1129" t="s">
        <v>8505</v>
      </c>
      <c r="U1129" t="s">
        <v>8506</v>
      </c>
      <c r="V1129" t="s">
        <v>69</v>
      </c>
      <c r="W1129" t="s">
        <v>69</v>
      </c>
      <c r="X1129" t="s">
        <v>69</v>
      </c>
      <c r="Y1129" t="s">
        <v>69</v>
      </c>
      <c r="Z1129" t="s">
        <v>69</v>
      </c>
      <c r="AA1129" t="s">
        <v>15527</v>
      </c>
      <c r="AB1129" t="s">
        <v>15528</v>
      </c>
      <c r="AC1129" t="s">
        <v>791</v>
      </c>
      <c r="AD1129" t="s">
        <v>15529</v>
      </c>
      <c r="AE1129" t="s">
        <v>69</v>
      </c>
      <c r="AF1129" t="s">
        <v>15530</v>
      </c>
      <c r="AG1129" t="s">
        <v>15531</v>
      </c>
      <c r="AH1129" t="s">
        <v>15532</v>
      </c>
      <c r="AI1129" t="s">
        <v>15533</v>
      </c>
      <c r="AJ1129" t="s">
        <v>69</v>
      </c>
      <c r="AK1129" t="s">
        <v>69</v>
      </c>
      <c r="AL1129" t="s">
        <v>69</v>
      </c>
      <c r="AM1129" t="s">
        <v>69</v>
      </c>
      <c r="AN1129">
        <v>59</v>
      </c>
      <c r="AO1129">
        <v>9</v>
      </c>
      <c r="AP1129">
        <v>9</v>
      </c>
      <c r="AQ1129">
        <v>2</v>
      </c>
      <c r="AR1129">
        <v>25</v>
      </c>
      <c r="AS1129" t="s">
        <v>8846</v>
      </c>
      <c r="AT1129" t="s">
        <v>8847</v>
      </c>
      <c r="AU1129" t="s">
        <v>8848</v>
      </c>
      <c r="AV1129" t="s">
        <v>792</v>
      </c>
      <c r="AW1129" t="s">
        <v>793</v>
      </c>
      <c r="AX1129" t="s">
        <v>69</v>
      </c>
      <c r="AY1129" t="s">
        <v>15534</v>
      </c>
      <c r="AZ1129" t="s">
        <v>15535</v>
      </c>
      <c r="BA1129" t="s">
        <v>246</v>
      </c>
      <c r="BB1129">
        <v>2020</v>
      </c>
      <c r="BC1129">
        <v>20</v>
      </c>
      <c r="BD1129">
        <v>2</v>
      </c>
      <c r="BE1129" t="s">
        <v>69</v>
      </c>
      <c r="BF1129" t="s">
        <v>69</v>
      </c>
      <c r="BG1129" t="s">
        <v>69</v>
      </c>
      <c r="BH1129" t="s">
        <v>69</v>
      </c>
      <c r="BI1129">
        <v>211</v>
      </c>
      <c r="BJ1129">
        <v>236</v>
      </c>
      <c r="BK1129" t="s">
        <v>69</v>
      </c>
      <c r="BL1129" t="s">
        <v>794</v>
      </c>
      <c r="BM1129" t="str">
        <f>HYPERLINK("http://dx.doi.org/10.1111/glob.12251","http://dx.doi.org/10.1111/glob.12251")</f>
        <v>http://dx.doi.org/10.1111/glob.12251</v>
      </c>
      <c r="BN1129" t="s">
        <v>69</v>
      </c>
      <c r="BO1129" t="s">
        <v>69</v>
      </c>
      <c r="BP1129">
        <v>26</v>
      </c>
      <c r="BQ1129" t="s">
        <v>15536</v>
      </c>
      <c r="BR1129" t="s">
        <v>8661</v>
      </c>
      <c r="BS1129" t="s">
        <v>15536</v>
      </c>
      <c r="BT1129" t="s">
        <v>15537</v>
      </c>
      <c r="BU1129" t="s">
        <v>795</v>
      </c>
      <c r="BV1129" t="s">
        <v>69</v>
      </c>
      <c r="BW1129" t="s">
        <v>10995</v>
      </c>
      <c r="BX1129" t="s">
        <v>69</v>
      </c>
      <c r="BY1129" t="s">
        <v>69</v>
      </c>
      <c r="BZ1129" t="s">
        <v>8526</v>
      </c>
      <c r="CA1129" t="str">
        <f>HYPERLINK("https%3A%2F%2Fwww.webofscience.com%2Fwos%2Fwoscc%2Ffull-record%2FWOS:000518846500001","View Full Record in Web of Science")</f>
        <v>View Full Record in Web of Science</v>
      </c>
    </row>
    <row r="1130" spans="2:79" ht="12.5" x14ac:dyDescent="0.25">
      <c r="B1130" t="s">
        <v>8495</v>
      </c>
      <c r="D1130" s="7" t="s">
        <v>32933</v>
      </c>
      <c r="E1130" s="7"/>
      <c r="F1130" s="7"/>
      <c r="G1130" s="7"/>
      <c r="H1130" t="s">
        <v>67</v>
      </c>
      <c r="I1130" t="s">
        <v>5860</v>
      </c>
      <c r="J1130" t="s">
        <v>69</v>
      </c>
      <c r="K1130" t="s">
        <v>69</v>
      </c>
      <c r="L1130" t="s">
        <v>69</v>
      </c>
      <c r="M1130" t="s">
        <v>5861</v>
      </c>
      <c r="N1130" t="s">
        <v>69</v>
      </c>
      <c r="O1130" t="s">
        <v>69</v>
      </c>
      <c r="P1130" t="s">
        <v>5862</v>
      </c>
      <c r="Q1130" t="s">
        <v>3836</v>
      </c>
      <c r="R1130" t="s">
        <v>69</v>
      </c>
      <c r="S1130" t="s">
        <v>69</v>
      </c>
      <c r="T1130" t="s">
        <v>8505</v>
      </c>
      <c r="U1130" t="s">
        <v>8506</v>
      </c>
      <c r="V1130" t="s">
        <v>69</v>
      </c>
      <c r="W1130" t="s">
        <v>69</v>
      </c>
      <c r="X1130" t="s">
        <v>69</v>
      </c>
      <c r="Y1130" t="s">
        <v>69</v>
      </c>
      <c r="Z1130" t="s">
        <v>69</v>
      </c>
      <c r="AA1130" t="s">
        <v>25590</v>
      </c>
      <c r="AB1130" t="s">
        <v>25591</v>
      </c>
      <c r="AC1130" t="s">
        <v>5863</v>
      </c>
      <c r="AD1130" t="s">
        <v>25592</v>
      </c>
      <c r="AE1130" t="s">
        <v>69</v>
      </c>
      <c r="AF1130" t="s">
        <v>25593</v>
      </c>
      <c r="AG1130" t="s">
        <v>25594</v>
      </c>
      <c r="AH1130" t="s">
        <v>25595</v>
      </c>
      <c r="AI1130" t="s">
        <v>25596</v>
      </c>
      <c r="AJ1130" t="s">
        <v>25597</v>
      </c>
      <c r="AK1130" t="s">
        <v>25598</v>
      </c>
      <c r="AL1130" t="s">
        <v>25599</v>
      </c>
      <c r="AM1130" t="s">
        <v>69</v>
      </c>
      <c r="AN1130">
        <v>27</v>
      </c>
      <c r="AO1130">
        <v>72</v>
      </c>
      <c r="AP1130">
        <v>74</v>
      </c>
      <c r="AQ1130">
        <v>1</v>
      </c>
      <c r="AR1130">
        <v>59</v>
      </c>
      <c r="AS1130" t="s">
        <v>8762</v>
      </c>
      <c r="AT1130" t="s">
        <v>8763</v>
      </c>
      <c r="AU1130" t="s">
        <v>8764</v>
      </c>
      <c r="AV1130" t="s">
        <v>3838</v>
      </c>
      <c r="AW1130" t="s">
        <v>3839</v>
      </c>
      <c r="AX1130" t="s">
        <v>69</v>
      </c>
      <c r="AY1130" t="s">
        <v>25600</v>
      </c>
      <c r="AZ1130" t="s">
        <v>25601</v>
      </c>
      <c r="BA1130" t="s">
        <v>373</v>
      </c>
      <c r="BB1130">
        <v>2013</v>
      </c>
      <c r="BC1130">
        <v>31</v>
      </c>
      <c r="BD1130">
        <v>1</v>
      </c>
      <c r="BE1130" t="s">
        <v>69</v>
      </c>
      <c r="BF1130" t="s">
        <v>69</v>
      </c>
      <c r="BG1130" t="s">
        <v>69</v>
      </c>
      <c r="BH1130" t="s">
        <v>69</v>
      </c>
      <c r="BI1130">
        <v>98</v>
      </c>
      <c r="BJ1130">
        <v>105</v>
      </c>
      <c r="BK1130" t="s">
        <v>69</v>
      </c>
      <c r="BL1130" t="s">
        <v>5864</v>
      </c>
      <c r="BM1130" t="str">
        <f>HYPERLINK("http://dx.doi.org/10.1177/0734242X12456092","http://dx.doi.org/10.1177/0734242X12456092")</f>
        <v>http://dx.doi.org/10.1177/0734242X12456092</v>
      </c>
      <c r="BN1130" t="s">
        <v>69</v>
      </c>
      <c r="BO1130" t="s">
        <v>69</v>
      </c>
      <c r="BP1130">
        <v>8</v>
      </c>
      <c r="BQ1130" t="s">
        <v>8743</v>
      </c>
      <c r="BR1130" t="s">
        <v>8548</v>
      </c>
      <c r="BS1130" t="s">
        <v>8744</v>
      </c>
      <c r="BT1130" t="s">
        <v>25602</v>
      </c>
      <c r="BU1130" t="s">
        <v>5865</v>
      </c>
      <c r="BV1130">
        <v>22878933</v>
      </c>
      <c r="BW1130" t="s">
        <v>69</v>
      </c>
      <c r="BX1130" t="s">
        <v>69</v>
      </c>
      <c r="BY1130" t="s">
        <v>69</v>
      </c>
      <c r="BZ1130" t="s">
        <v>8526</v>
      </c>
      <c r="CA1130" t="str">
        <f>HYPERLINK("https%3A%2F%2Fwww.webofscience.com%2Fwos%2Fwoscc%2Ffull-record%2FWOS:000312489000012","View Full Record in Web of Science")</f>
        <v>View Full Record in Web of Science</v>
      </c>
    </row>
    <row r="1131" spans="2:79" ht="12.5" x14ac:dyDescent="0.25">
      <c r="B1131" t="s">
        <v>8495</v>
      </c>
      <c r="D1131" s="7" t="s">
        <v>32933</v>
      </c>
      <c r="E1131" s="7"/>
      <c r="F1131" s="7"/>
      <c r="G1131" s="7"/>
      <c r="H1131" t="s">
        <v>67</v>
      </c>
      <c r="I1131" t="s">
        <v>6624</v>
      </c>
      <c r="J1131" t="s">
        <v>69</v>
      </c>
      <c r="K1131" t="s">
        <v>69</v>
      </c>
      <c r="L1131" t="s">
        <v>69</v>
      </c>
      <c r="M1131" t="s">
        <v>6625</v>
      </c>
      <c r="N1131" t="s">
        <v>69</v>
      </c>
      <c r="O1131" t="s">
        <v>69</v>
      </c>
      <c r="P1131" t="s">
        <v>6626</v>
      </c>
      <c r="Q1131" t="s">
        <v>352</v>
      </c>
      <c r="R1131" t="s">
        <v>69</v>
      </c>
      <c r="S1131" t="s">
        <v>69</v>
      </c>
      <c r="T1131" t="s">
        <v>8505</v>
      </c>
      <c r="U1131" t="s">
        <v>8506</v>
      </c>
      <c r="V1131" t="s">
        <v>69</v>
      </c>
      <c r="W1131" t="s">
        <v>69</v>
      </c>
      <c r="X1131" t="s">
        <v>69</v>
      </c>
      <c r="Y1131" t="s">
        <v>69</v>
      </c>
      <c r="Z1131" t="s">
        <v>69</v>
      </c>
      <c r="AA1131" t="s">
        <v>20296</v>
      </c>
      <c r="AB1131" t="s">
        <v>20297</v>
      </c>
      <c r="AC1131" t="s">
        <v>6627</v>
      </c>
      <c r="AD1131" t="s">
        <v>20298</v>
      </c>
      <c r="AE1131" t="s">
        <v>69</v>
      </c>
      <c r="AF1131" t="s">
        <v>20299</v>
      </c>
      <c r="AG1131" t="s">
        <v>20300</v>
      </c>
      <c r="AH1131" t="s">
        <v>69</v>
      </c>
      <c r="AI1131" t="s">
        <v>69</v>
      </c>
      <c r="AJ1131" t="s">
        <v>69</v>
      </c>
      <c r="AK1131" t="s">
        <v>69</v>
      </c>
      <c r="AL1131" t="s">
        <v>69</v>
      </c>
      <c r="AM1131" t="s">
        <v>69</v>
      </c>
      <c r="AN1131">
        <v>36</v>
      </c>
      <c r="AO1131">
        <v>15</v>
      </c>
      <c r="AP1131">
        <v>15</v>
      </c>
      <c r="AQ1131">
        <v>1</v>
      </c>
      <c r="AR1131">
        <v>10</v>
      </c>
      <c r="AS1131" t="s">
        <v>8924</v>
      </c>
      <c r="AT1131" t="s">
        <v>8925</v>
      </c>
      <c r="AU1131" t="s">
        <v>8926</v>
      </c>
      <c r="AV1131" t="s">
        <v>69</v>
      </c>
      <c r="AW1131" t="s">
        <v>354</v>
      </c>
      <c r="AX1131" t="s">
        <v>69</v>
      </c>
      <c r="AY1131" t="s">
        <v>8958</v>
      </c>
      <c r="AZ1131" t="s">
        <v>8434</v>
      </c>
      <c r="BA1131" t="s">
        <v>155</v>
      </c>
      <c r="BB1131">
        <v>2017</v>
      </c>
      <c r="BC1131">
        <v>9</v>
      </c>
      <c r="BD1131">
        <v>6</v>
      </c>
      <c r="BE1131" t="s">
        <v>69</v>
      </c>
      <c r="BF1131" t="s">
        <v>69</v>
      </c>
      <c r="BG1131" t="s">
        <v>69</v>
      </c>
      <c r="BH1131" t="s">
        <v>69</v>
      </c>
      <c r="BI1131" t="s">
        <v>69</v>
      </c>
      <c r="BJ1131" t="s">
        <v>69</v>
      </c>
      <c r="BK1131">
        <v>896</v>
      </c>
      <c r="BL1131" t="s">
        <v>6628</v>
      </c>
      <c r="BM1131" t="str">
        <f>HYPERLINK("http://dx.doi.org/10.3390/su9060896","http://dx.doi.org/10.3390/su9060896")</f>
        <v>http://dx.doi.org/10.3390/su9060896</v>
      </c>
      <c r="BN1131" t="s">
        <v>69</v>
      </c>
      <c r="BO1131" t="s">
        <v>69</v>
      </c>
      <c r="BP1131">
        <v>21</v>
      </c>
      <c r="BQ1131" t="s">
        <v>8960</v>
      </c>
      <c r="BR1131" t="s">
        <v>8523</v>
      </c>
      <c r="BS1131" t="s">
        <v>8961</v>
      </c>
      <c r="BT1131" t="s">
        <v>20301</v>
      </c>
      <c r="BU1131" t="s">
        <v>6629</v>
      </c>
      <c r="BV1131" t="s">
        <v>69</v>
      </c>
      <c r="BW1131" t="s">
        <v>11853</v>
      </c>
      <c r="BX1131" t="s">
        <v>69</v>
      </c>
      <c r="BY1131" t="s">
        <v>69</v>
      </c>
      <c r="BZ1131" t="s">
        <v>8526</v>
      </c>
      <c r="CA1131" t="str">
        <f>HYPERLINK("https%3A%2F%2Fwww.webofscience.com%2Fwos%2Fwoscc%2Ffull-record%2FWOS:000404133200027","View Full Record in Web of Science")</f>
        <v>View Full Record in Web of Science</v>
      </c>
    </row>
    <row r="1132" spans="2:79" ht="12.5" x14ac:dyDescent="0.25">
      <c r="B1132" t="s">
        <v>8495</v>
      </c>
      <c r="D1132" s="7" t="s">
        <v>32933</v>
      </c>
      <c r="E1132" s="7"/>
      <c r="F1132" s="7"/>
      <c r="G1132" s="7"/>
      <c r="H1132" t="s">
        <v>67</v>
      </c>
      <c r="I1132" t="s">
        <v>4757</v>
      </c>
      <c r="J1132" t="s">
        <v>69</v>
      </c>
      <c r="K1132" t="s">
        <v>69</v>
      </c>
      <c r="L1132" t="s">
        <v>69</v>
      </c>
      <c r="M1132" t="s">
        <v>4758</v>
      </c>
      <c r="N1132" t="s">
        <v>69</v>
      </c>
      <c r="O1132" t="s">
        <v>69</v>
      </c>
      <c r="P1132" t="s">
        <v>4759</v>
      </c>
      <c r="Q1132" t="s">
        <v>4760</v>
      </c>
      <c r="R1132" t="s">
        <v>69</v>
      </c>
      <c r="S1132" t="s">
        <v>69</v>
      </c>
      <c r="T1132" t="s">
        <v>8505</v>
      </c>
      <c r="U1132" t="s">
        <v>8506</v>
      </c>
      <c r="V1132" t="s">
        <v>69</v>
      </c>
      <c r="W1132" t="s">
        <v>69</v>
      </c>
      <c r="X1132" t="s">
        <v>69</v>
      </c>
      <c r="Y1132" t="s">
        <v>69</v>
      </c>
      <c r="Z1132" t="s">
        <v>69</v>
      </c>
      <c r="AA1132" t="s">
        <v>16814</v>
      </c>
      <c r="AB1132" t="s">
        <v>69</v>
      </c>
      <c r="AC1132" t="s">
        <v>4761</v>
      </c>
      <c r="AD1132" t="s">
        <v>16815</v>
      </c>
      <c r="AE1132" t="s">
        <v>69</v>
      </c>
      <c r="AF1132" t="s">
        <v>16816</v>
      </c>
      <c r="AG1132" t="s">
        <v>16817</v>
      </c>
      <c r="AH1132" t="s">
        <v>69</v>
      </c>
      <c r="AI1132" t="s">
        <v>69</v>
      </c>
      <c r="AJ1132" t="s">
        <v>69</v>
      </c>
      <c r="AK1132" t="s">
        <v>69</v>
      </c>
      <c r="AL1132" t="s">
        <v>69</v>
      </c>
      <c r="AM1132" t="s">
        <v>69</v>
      </c>
      <c r="AN1132">
        <v>0</v>
      </c>
      <c r="AO1132">
        <v>0</v>
      </c>
      <c r="AP1132">
        <v>0</v>
      </c>
      <c r="AQ1132">
        <v>1</v>
      </c>
      <c r="AR1132">
        <v>2</v>
      </c>
      <c r="AS1132" t="s">
        <v>8846</v>
      </c>
      <c r="AT1132" t="s">
        <v>8847</v>
      </c>
      <c r="AU1132" t="s">
        <v>8848</v>
      </c>
      <c r="AV1132" t="s">
        <v>4762</v>
      </c>
      <c r="AW1132" t="s">
        <v>4763</v>
      </c>
      <c r="AX1132" t="s">
        <v>69</v>
      </c>
      <c r="AY1132" t="s">
        <v>16818</v>
      </c>
      <c r="AZ1132" t="s">
        <v>16819</v>
      </c>
      <c r="BA1132" t="s">
        <v>255</v>
      </c>
      <c r="BB1132">
        <v>2019</v>
      </c>
      <c r="BC1132">
        <v>111</v>
      </c>
      <c r="BD1132">
        <v>9</v>
      </c>
      <c r="BE1132" t="s">
        <v>69</v>
      </c>
      <c r="BF1132" t="s">
        <v>69</v>
      </c>
      <c r="BG1132" t="s">
        <v>69</v>
      </c>
      <c r="BH1132" t="s">
        <v>69</v>
      </c>
      <c r="BI1132">
        <v>84</v>
      </c>
      <c r="BJ1132">
        <v>87</v>
      </c>
      <c r="BK1132" t="s">
        <v>69</v>
      </c>
      <c r="BL1132" t="s">
        <v>4764</v>
      </c>
      <c r="BM1132" t="str">
        <f>HYPERLINK("http://dx.doi.org/10.1002/awwa.1364","http://dx.doi.org/10.1002/awwa.1364")</f>
        <v>http://dx.doi.org/10.1002/awwa.1364</v>
      </c>
      <c r="BN1132" t="s">
        <v>69</v>
      </c>
      <c r="BO1132" t="s">
        <v>69</v>
      </c>
      <c r="BP1132">
        <v>4</v>
      </c>
      <c r="BQ1132" t="s">
        <v>9229</v>
      </c>
      <c r="BR1132" t="s">
        <v>8548</v>
      </c>
      <c r="BS1132" t="s">
        <v>9230</v>
      </c>
      <c r="BT1132" t="s">
        <v>16820</v>
      </c>
      <c r="BU1132" t="s">
        <v>4765</v>
      </c>
      <c r="BV1132" t="s">
        <v>69</v>
      </c>
      <c r="BW1132" t="s">
        <v>69</v>
      </c>
      <c r="BX1132" t="s">
        <v>69</v>
      </c>
      <c r="BY1132" t="s">
        <v>69</v>
      </c>
      <c r="BZ1132" t="s">
        <v>8526</v>
      </c>
      <c r="CA1132" t="str">
        <f>HYPERLINK("https%3A%2F%2Fwww.webofscience.com%2Fwos%2Fwoscc%2Ffull-record%2FWOS:000483801200010","View Full Record in Web of Science")</f>
        <v>View Full Record in Web of Science</v>
      </c>
    </row>
    <row r="1133" spans="2:79" ht="12.5" x14ac:dyDescent="0.25">
      <c r="B1133" t="s">
        <v>8495</v>
      </c>
      <c r="D1133" s="7" t="s">
        <v>32933</v>
      </c>
      <c r="E1133" s="7"/>
      <c r="F1133" s="7"/>
      <c r="G1133" s="7"/>
      <c r="H1133" t="s">
        <v>67</v>
      </c>
      <c r="I1133" t="s">
        <v>2577</v>
      </c>
      <c r="J1133" t="s">
        <v>69</v>
      </c>
      <c r="K1133" t="s">
        <v>69</v>
      </c>
      <c r="L1133" t="s">
        <v>69</v>
      </c>
      <c r="M1133" t="s">
        <v>2578</v>
      </c>
      <c r="N1133" t="s">
        <v>69</v>
      </c>
      <c r="O1133" t="s">
        <v>69</v>
      </c>
      <c r="P1133" t="s">
        <v>2579</v>
      </c>
      <c r="Q1133" t="s">
        <v>2580</v>
      </c>
      <c r="R1133" t="s">
        <v>69</v>
      </c>
      <c r="S1133" t="s">
        <v>69</v>
      </c>
      <c r="T1133" t="s">
        <v>8505</v>
      </c>
      <c r="U1133" t="s">
        <v>8506</v>
      </c>
      <c r="V1133" t="s">
        <v>69</v>
      </c>
      <c r="W1133" t="s">
        <v>69</v>
      </c>
      <c r="X1133" t="s">
        <v>69</v>
      </c>
      <c r="Y1133" t="s">
        <v>69</v>
      </c>
      <c r="Z1133" t="s">
        <v>69</v>
      </c>
      <c r="AA1133" t="s">
        <v>20050</v>
      </c>
      <c r="AB1133" t="s">
        <v>69</v>
      </c>
      <c r="AC1133" t="s">
        <v>2581</v>
      </c>
      <c r="AD1133" t="s">
        <v>20051</v>
      </c>
      <c r="AE1133" t="s">
        <v>69</v>
      </c>
      <c r="AF1133" t="s">
        <v>69</v>
      </c>
      <c r="AG1133" t="s">
        <v>20052</v>
      </c>
      <c r="AH1133" t="s">
        <v>69</v>
      </c>
      <c r="AI1133" t="s">
        <v>69</v>
      </c>
      <c r="AJ1133" t="s">
        <v>69</v>
      </c>
      <c r="AK1133" t="s">
        <v>69</v>
      </c>
      <c r="AL1133" t="s">
        <v>69</v>
      </c>
      <c r="AM1133" t="s">
        <v>69</v>
      </c>
      <c r="AN1133">
        <v>37</v>
      </c>
      <c r="AO1133">
        <v>23</v>
      </c>
      <c r="AP1133">
        <v>23</v>
      </c>
      <c r="AQ1133">
        <v>1</v>
      </c>
      <c r="AR1133">
        <v>6</v>
      </c>
      <c r="AS1133" t="s">
        <v>20053</v>
      </c>
      <c r="AT1133" t="s">
        <v>20054</v>
      </c>
      <c r="AU1133" t="s">
        <v>20055</v>
      </c>
      <c r="AV1133" t="s">
        <v>2582</v>
      </c>
      <c r="AW1133" t="s">
        <v>2583</v>
      </c>
      <c r="AX1133" t="s">
        <v>69</v>
      </c>
      <c r="AY1133" t="s">
        <v>20056</v>
      </c>
      <c r="AZ1133" t="s">
        <v>20057</v>
      </c>
      <c r="BA1133" t="s">
        <v>263</v>
      </c>
      <c r="BB1133">
        <v>2017</v>
      </c>
      <c r="BC1133">
        <v>54</v>
      </c>
      <c r="BD1133">
        <v>3</v>
      </c>
      <c r="BE1133" t="s">
        <v>69</v>
      </c>
      <c r="BF1133" t="s">
        <v>69</v>
      </c>
      <c r="BG1133" t="s">
        <v>69</v>
      </c>
      <c r="BH1133" t="s">
        <v>69</v>
      </c>
      <c r="BI1133">
        <v>255</v>
      </c>
      <c r="BJ1133">
        <v>286</v>
      </c>
      <c r="BK1133" t="s">
        <v>69</v>
      </c>
      <c r="BL1133" t="s">
        <v>2584</v>
      </c>
      <c r="BM1133" t="str">
        <f>HYPERLINK("http://dx.doi.org/10.1093/jmt/thx011","http://dx.doi.org/10.1093/jmt/thx011")</f>
        <v>http://dx.doi.org/10.1093/jmt/thx011</v>
      </c>
      <c r="BN1133" t="s">
        <v>69</v>
      </c>
      <c r="BO1133" t="s">
        <v>69</v>
      </c>
      <c r="BP1133">
        <v>32</v>
      </c>
      <c r="BQ1133" t="s">
        <v>20058</v>
      </c>
      <c r="BR1133" t="s">
        <v>8661</v>
      </c>
      <c r="BS1133" t="s">
        <v>20058</v>
      </c>
      <c r="BT1133" t="s">
        <v>20059</v>
      </c>
      <c r="BU1133" t="s">
        <v>2585</v>
      </c>
      <c r="BV1133">
        <v>28992203</v>
      </c>
      <c r="BW1133" t="s">
        <v>69</v>
      </c>
      <c r="BX1133" t="s">
        <v>69</v>
      </c>
      <c r="BY1133" t="s">
        <v>69</v>
      </c>
      <c r="BZ1133" t="s">
        <v>8526</v>
      </c>
      <c r="CA1133" t="str">
        <f>HYPERLINK("https%3A%2F%2Fwww.webofscience.com%2Fwos%2Fwoscc%2Ffull-record%2FWOS:000414366500001","View Full Record in Web of Science")</f>
        <v>View Full Record in Web of Science</v>
      </c>
    </row>
    <row r="1134" spans="2:79" ht="12.5" x14ac:dyDescent="0.25">
      <c r="B1134" t="s">
        <v>8495</v>
      </c>
      <c r="D1134" s="7" t="s">
        <v>32933</v>
      </c>
      <c r="E1134" s="7"/>
      <c r="F1134" s="7"/>
      <c r="G1134" s="7"/>
      <c r="H1134" t="s">
        <v>67</v>
      </c>
      <c r="I1134" t="s">
        <v>3756</v>
      </c>
      <c r="J1134" t="s">
        <v>69</v>
      </c>
      <c r="K1134" t="s">
        <v>69</v>
      </c>
      <c r="L1134" t="s">
        <v>69</v>
      </c>
      <c r="M1134" t="s">
        <v>3757</v>
      </c>
      <c r="N1134" t="s">
        <v>69</v>
      </c>
      <c r="O1134" t="s">
        <v>69</v>
      </c>
      <c r="P1134" t="s">
        <v>3758</v>
      </c>
      <c r="Q1134" t="s">
        <v>3759</v>
      </c>
      <c r="R1134" t="s">
        <v>69</v>
      </c>
      <c r="S1134" t="s">
        <v>69</v>
      </c>
      <c r="T1134" t="s">
        <v>8505</v>
      </c>
      <c r="U1134" t="s">
        <v>8506</v>
      </c>
      <c r="V1134" t="s">
        <v>69</v>
      </c>
      <c r="W1134" t="s">
        <v>69</v>
      </c>
      <c r="X1134" t="s">
        <v>69</v>
      </c>
      <c r="Y1134" t="s">
        <v>69</v>
      </c>
      <c r="Z1134" t="s">
        <v>69</v>
      </c>
      <c r="AA1134" t="s">
        <v>29902</v>
      </c>
      <c r="AB1134" t="s">
        <v>69</v>
      </c>
      <c r="AC1134" t="s">
        <v>3760</v>
      </c>
      <c r="AD1134" t="s">
        <v>29903</v>
      </c>
      <c r="AE1134" t="s">
        <v>69</v>
      </c>
      <c r="AF1134" t="s">
        <v>29904</v>
      </c>
      <c r="AG1134" t="s">
        <v>29905</v>
      </c>
      <c r="AH1134" t="s">
        <v>69</v>
      </c>
      <c r="AI1134" t="s">
        <v>69</v>
      </c>
      <c r="AJ1134" t="s">
        <v>69</v>
      </c>
      <c r="AK1134" t="s">
        <v>69</v>
      </c>
      <c r="AL1134" t="s">
        <v>69</v>
      </c>
      <c r="AM1134" t="s">
        <v>69</v>
      </c>
      <c r="AN1134">
        <v>56</v>
      </c>
      <c r="AO1134">
        <v>22</v>
      </c>
      <c r="AP1134">
        <v>26</v>
      </c>
      <c r="AQ1134">
        <v>1</v>
      </c>
      <c r="AR1134">
        <v>26</v>
      </c>
      <c r="AS1134" t="s">
        <v>8865</v>
      </c>
      <c r="AT1134" t="s">
        <v>8612</v>
      </c>
      <c r="AU1134" t="s">
        <v>22341</v>
      </c>
      <c r="AV1134" t="s">
        <v>3761</v>
      </c>
      <c r="AW1134" t="s">
        <v>69</v>
      </c>
      <c r="AX1134" t="s">
        <v>69</v>
      </c>
      <c r="AY1134" t="s">
        <v>29895</v>
      </c>
      <c r="AZ1134" t="s">
        <v>29896</v>
      </c>
      <c r="BA1134" t="s">
        <v>69</v>
      </c>
      <c r="BB1134">
        <v>2007</v>
      </c>
      <c r="BC1134">
        <v>1</v>
      </c>
      <c r="BD1134">
        <v>2</v>
      </c>
      <c r="BE1134" t="s">
        <v>69</v>
      </c>
      <c r="BF1134" t="s">
        <v>69</v>
      </c>
      <c r="BG1134" t="s">
        <v>69</v>
      </c>
      <c r="BH1134" t="s">
        <v>69</v>
      </c>
      <c r="BI1134">
        <v>171</v>
      </c>
      <c r="BJ1134">
        <v>193</v>
      </c>
      <c r="BK1134" t="s">
        <v>69</v>
      </c>
      <c r="BL1134" t="s">
        <v>3762</v>
      </c>
      <c r="BM1134" t="str">
        <f>HYPERLINK("http://dx.doi.org/10.1080/17524030701642595","http://dx.doi.org/10.1080/17524030701642595")</f>
        <v>http://dx.doi.org/10.1080/17524030701642595</v>
      </c>
      <c r="BN1134" t="s">
        <v>69</v>
      </c>
      <c r="BO1134" t="s">
        <v>69</v>
      </c>
      <c r="BP1134">
        <v>23</v>
      </c>
      <c r="BQ1134" t="s">
        <v>29898</v>
      </c>
      <c r="BR1134" t="s">
        <v>8661</v>
      </c>
      <c r="BS1134" t="s">
        <v>29899</v>
      </c>
      <c r="BT1134" t="s">
        <v>29906</v>
      </c>
      <c r="BU1134" t="s">
        <v>3763</v>
      </c>
      <c r="BV1134" t="s">
        <v>69</v>
      </c>
      <c r="BW1134" t="s">
        <v>69</v>
      </c>
      <c r="BX1134" t="s">
        <v>69</v>
      </c>
      <c r="BY1134" t="s">
        <v>69</v>
      </c>
      <c r="BZ1134" t="s">
        <v>8526</v>
      </c>
      <c r="CA1134" t="str">
        <f>HYPERLINK("https%3A%2F%2Fwww.webofscience.com%2Fwos%2Fwoscc%2Ffull-record%2FWOS:000207484800004","View Full Record in Web of Science")</f>
        <v>View Full Record in Web of Science</v>
      </c>
    </row>
    <row r="1135" spans="2:79" ht="12.5" x14ac:dyDescent="0.25">
      <c r="B1135" t="s">
        <v>8495</v>
      </c>
      <c r="D1135" s="7" t="s">
        <v>32933</v>
      </c>
      <c r="E1135" s="7"/>
      <c r="F1135" s="7"/>
      <c r="G1135" s="7"/>
      <c r="H1135" t="s">
        <v>67</v>
      </c>
      <c r="I1135" t="s">
        <v>3974</v>
      </c>
      <c r="J1135" t="s">
        <v>69</v>
      </c>
      <c r="K1135" t="s">
        <v>69</v>
      </c>
      <c r="L1135" t="s">
        <v>69</v>
      </c>
      <c r="M1135" t="s">
        <v>3974</v>
      </c>
      <c r="N1135" t="s">
        <v>69</v>
      </c>
      <c r="O1135" t="s">
        <v>69</v>
      </c>
      <c r="P1135" t="s">
        <v>3975</v>
      </c>
      <c r="Q1135" t="s">
        <v>3976</v>
      </c>
      <c r="R1135" t="s">
        <v>69</v>
      </c>
      <c r="S1135" t="s">
        <v>69</v>
      </c>
      <c r="T1135" t="s">
        <v>8505</v>
      </c>
      <c r="U1135" t="s">
        <v>15797</v>
      </c>
      <c r="V1135" t="s">
        <v>3977</v>
      </c>
      <c r="W1135" t="s">
        <v>3978</v>
      </c>
      <c r="X1135" t="s">
        <v>3979</v>
      </c>
      <c r="Y1135" t="s">
        <v>3980</v>
      </c>
      <c r="Z1135" t="s">
        <v>69</v>
      </c>
      <c r="AA1135" t="s">
        <v>31236</v>
      </c>
      <c r="AB1135" t="s">
        <v>69</v>
      </c>
      <c r="AC1135" t="s">
        <v>3981</v>
      </c>
      <c r="AD1135" t="s">
        <v>31237</v>
      </c>
      <c r="AE1135" t="s">
        <v>69</v>
      </c>
      <c r="AF1135" t="s">
        <v>31238</v>
      </c>
      <c r="AG1135" t="s">
        <v>31239</v>
      </c>
      <c r="AH1135" t="s">
        <v>69</v>
      </c>
      <c r="AI1135" t="s">
        <v>69</v>
      </c>
      <c r="AJ1135" t="s">
        <v>69</v>
      </c>
      <c r="AK1135" t="s">
        <v>69</v>
      </c>
      <c r="AL1135" t="s">
        <v>69</v>
      </c>
      <c r="AM1135" t="s">
        <v>69</v>
      </c>
      <c r="AN1135">
        <v>9</v>
      </c>
      <c r="AO1135">
        <v>4</v>
      </c>
      <c r="AP1135">
        <v>4</v>
      </c>
      <c r="AQ1135">
        <v>0</v>
      </c>
      <c r="AR1135">
        <v>0</v>
      </c>
      <c r="AS1135" t="s">
        <v>13023</v>
      </c>
      <c r="AT1135" t="s">
        <v>13024</v>
      </c>
      <c r="AU1135" t="s">
        <v>13025</v>
      </c>
      <c r="AV1135" t="s">
        <v>3982</v>
      </c>
      <c r="AW1135" t="s">
        <v>3983</v>
      </c>
      <c r="AX1135" t="s">
        <v>69</v>
      </c>
      <c r="AY1135" t="s">
        <v>31240</v>
      </c>
      <c r="AZ1135" t="s">
        <v>31241</v>
      </c>
      <c r="BA1135" t="s">
        <v>3984</v>
      </c>
      <c r="BB1135">
        <v>2003</v>
      </c>
      <c r="BC1135">
        <v>140</v>
      </c>
      <c r="BD1135" t="s">
        <v>69</v>
      </c>
      <c r="BE1135" t="s">
        <v>69</v>
      </c>
      <c r="BF1135" t="s">
        <v>69</v>
      </c>
      <c r="BG1135" t="s">
        <v>114</v>
      </c>
      <c r="BH1135" t="s">
        <v>69</v>
      </c>
      <c r="BI1135">
        <v>11</v>
      </c>
      <c r="BJ1135">
        <v>20</v>
      </c>
      <c r="BK1135" t="s">
        <v>69</v>
      </c>
      <c r="BL1135" t="s">
        <v>3985</v>
      </c>
      <c r="BM1135" t="str">
        <f>HYPERLINK("http://dx.doi.org/10.1016/S0378-4274(02)00491-5","http://dx.doi.org/10.1016/S0378-4274(02)00491-5")</f>
        <v>http://dx.doi.org/10.1016/S0378-4274(02)00491-5</v>
      </c>
      <c r="BN1135" t="s">
        <v>69</v>
      </c>
      <c r="BO1135" t="s">
        <v>69</v>
      </c>
      <c r="BP1135">
        <v>10</v>
      </c>
      <c r="BQ1135" t="s">
        <v>31242</v>
      </c>
      <c r="BR1135" t="s">
        <v>15808</v>
      </c>
      <c r="BS1135" t="s">
        <v>31242</v>
      </c>
      <c r="BT1135" t="s">
        <v>31243</v>
      </c>
      <c r="BU1135" t="s">
        <v>3986</v>
      </c>
      <c r="BV1135">
        <v>12676446</v>
      </c>
      <c r="BW1135" t="s">
        <v>69</v>
      </c>
      <c r="BX1135" t="s">
        <v>69</v>
      </c>
      <c r="BY1135" t="s">
        <v>69</v>
      </c>
      <c r="BZ1135" t="s">
        <v>8526</v>
      </c>
      <c r="CA1135" t="str">
        <f>HYPERLINK("https%3A%2F%2Fwww.webofscience.com%2Fwos%2Fwoscc%2Ffull-record%2FWOS:000182307900003","View Full Record in Web of Science")</f>
        <v>View Full Record in Web of Science</v>
      </c>
    </row>
    <row r="1136" spans="2:79" ht="12.5" x14ac:dyDescent="0.25">
      <c r="B1136" t="s">
        <v>8495</v>
      </c>
      <c r="D1136" s="22" t="s">
        <v>32931</v>
      </c>
      <c r="E1136" s="7"/>
      <c r="F1136" s="7"/>
      <c r="G1136" s="7"/>
      <c r="H1136" t="s">
        <v>67</v>
      </c>
      <c r="I1136" t="s">
        <v>20437</v>
      </c>
      <c r="J1136" t="s">
        <v>69</v>
      </c>
      <c r="K1136" t="s">
        <v>69</v>
      </c>
      <c r="L1136" t="s">
        <v>69</v>
      </c>
      <c r="M1136" t="s">
        <v>20438</v>
      </c>
      <c r="N1136" t="s">
        <v>69</v>
      </c>
      <c r="O1136" t="s">
        <v>69</v>
      </c>
      <c r="P1136" t="s">
        <v>20439</v>
      </c>
      <c r="Q1136" t="s">
        <v>20440</v>
      </c>
      <c r="R1136" t="s">
        <v>69</v>
      </c>
      <c r="S1136" t="s">
        <v>69</v>
      </c>
      <c r="T1136" t="s">
        <v>8505</v>
      </c>
      <c r="U1136" t="s">
        <v>8506</v>
      </c>
      <c r="V1136" t="s">
        <v>69</v>
      </c>
      <c r="W1136" t="s">
        <v>69</v>
      </c>
      <c r="X1136" t="s">
        <v>69</v>
      </c>
      <c r="Y1136" t="s">
        <v>69</v>
      </c>
      <c r="Z1136" t="s">
        <v>69</v>
      </c>
      <c r="AA1136" t="s">
        <v>69</v>
      </c>
      <c r="AB1136" t="s">
        <v>10571</v>
      </c>
      <c r="AC1136" t="s">
        <v>20441</v>
      </c>
      <c r="AD1136" t="s">
        <v>20442</v>
      </c>
      <c r="AE1136" t="s">
        <v>69</v>
      </c>
      <c r="AF1136" t="s">
        <v>20443</v>
      </c>
      <c r="AG1136" t="s">
        <v>20444</v>
      </c>
      <c r="AH1136" t="s">
        <v>69</v>
      </c>
      <c r="AI1136" t="s">
        <v>69</v>
      </c>
      <c r="AJ1136" t="s">
        <v>69</v>
      </c>
      <c r="AK1136" t="s">
        <v>69</v>
      </c>
      <c r="AL1136" t="s">
        <v>69</v>
      </c>
      <c r="AM1136" t="s">
        <v>69</v>
      </c>
      <c r="AN1136">
        <v>11</v>
      </c>
      <c r="AO1136">
        <v>0</v>
      </c>
      <c r="AP1136">
        <v>0</v>
      </c>
      <c r="AQ1136">
        <v>0</v>
      </c>
      <c r="AR1136">
        <v>5</v>
      </c>
      <c r="AS1136" t="s">
        <v>8846</v>
      </c>
      <c r="AT1136" t="s">
        <v>8847</v>
      </c>
      <c r="AU1136" t="s">
        <v>8848</v>
      </c>
      <c r="AV1136" t="s">
        <v>20445</v>
      </c>
      <c r="AW1136" t="s">
        <v>20446</v>
      </c>
      <c r="AX1136" t="s">
        <v>69</v>
      </c>
      <c r="AY1136" t="s">
        <v>20447</v>
      </c>
      <c r="AZ1136" t="s">
        <v>20448</v>
      </c>
      <c r="BA1136" t="s">
        <v>4157</v>
      </c>
      <c r="BB1136">
        <v>2017</v>
      </c>
      <c r="BC1136">
        <v>33</v>
      </c>
      <c r="BD1136">
        <v>2</v>
      </c>
      <c r="BE1136" t="s">
        <v>69</v>
      </c>
      <c r="BF1136" t="s">
        <v>69</v>
      </c>
      <c r="BG1136" t="s">
        <v>69</v>
      </c>
      <c r="BH1136" t="s">
        <v>69</v>
      </c>
      <c r="BI1136">
        <v>172</v>
      </c>
      <c r="BJ1136">
        <v>180</v>
      </c>
      <c r="BK1136" t="s">
        <v>69</v>
      </c>
      <c r="BL1136" t="s">
        <v>20449</v>
      </c>
      <c r="BM1136" t="str">
        <f>HYPERLINK("http://dx.doi.org/10.1002/sdr.1584","http://dx.doi.org/10.1002/sdr.1584")</f>
        <v>http://dx.doi.org/10.1002/sdr.1584</v>
      </c>
      <c r="BN1136" t="s">
        <v>69</v>
      </c>
      <c r="BO1136" t="s">
        <v>69</v>
      </c>
      <c r="BP1136">
        <v>9</v>
      </c>
      <c r="BQ1136" t="s">
        <v>20450</v>
      </c>
      <c r="BR1136" t="s">
        <v>8661</v>
      </c>
      <c r="BS1136" t="s">
        <v>20451</v>
      </c>
      <c r="BT1136" t="s">
        <v>20452</v>
      </c>
      <c r="BU1136" t="s">
        <v>20453</v>
      </c>
      <c r="BV1136" t="s">
        <v>69</v>
      </c>
      <c r="BW1136" t="s">
        <v>69</v>
      </c>
      <c r="BX1136" t="s">
        <v>69</v>
      </c>
      <c r="BY1136" t="s">
        <v>69</v>
      </c>
      <c r="BZ1136" t="s">
        <v>8526</v>
      </c>
      <c r="CA1136" t="str">
        <f>HYPERLINK("https%3A%2F%2Fwww.webofscience.com%2Fwos%2Fwoscc%2Ffull-record%2FWOS:000424293400004","View Full Record in Web of Science")</f>
        <v>View Full Record in Web of Science</v>
      </c>
    </row>
    <row r="1137" spans="2:79" ht="12.5" x14ac:dyDescent="0.25">
      <c r="B1137" t="s">
        <v>8495</v>
      </c>
      <c r="D1137" s="7" t="s">
        <v>32933</v>
      </c>
      <c r="E1137" s="7"/>
      <c r="F1137" s="7"/>
      <c r="G1137" s="7"/>
      <c r="H1137" t="s">
        <v>67</v>
      </c>
      <c r="I1137" t="s">
        <v>3290</v>
      </c>
      <c r="J1137" t="s">
        <v>69</v>
      </c>
      <c r="K1137" t="s">
        <v>69</v>
      </c>
      <c r="L1137" t="s">
        <v>69</v>
      </c>
      <c r="M1137" t="s">
        <v>3291</v>
      </c>
      <c r="N1137" t="s">
        <v>69</v>
      </c>
      <c r="O1137" t="s">
        <v>69</v>
      </c>
      <c r="P1137" t="s">
        <v>3292</v>
      </c>
      <c r="Q1137" t="s">
        <v>3293</v>
      </c>
      <c r="R1137" t="s">
        <v>69</v>
      </c>
      <c r="S1137" t="s">
        <v>69</v>
      </c>
      <c r="T1137" t="s">
        <v>8505</v>
      </c>
      <c r="U1137" t="s">
        <v>8506</v>
      </c>
      <c r="V1137" t="s">
        <v>69</v>
      </c>
      <c r="W1137" t="s">
        <v>69</v>
      </c>
      <c r="X1137" t="s">
        <v>69</v>
      </c>
      <c r="Y1137" t="s">
        <v>69</v>
      </c>
      <c r="Z1137" t="s">
        <v>69</v>
      </c>
      <c r="AA1137" t="s">
        <v>24776</v>
      </c>
      <c r="AB1137" t="s">
        <v>69</v>
      </c>
      <c r="AC1137" t="s">
        <v>3294</v>
      </c>
      <c r="AD1137" t="s">
        <v>24777</v>
      </c>
      <c r="AE1137" t="s">
        <v>69</v>
      </c>
      <c r="AF1137" t="s">
        <v>24778</v>
      </c>
      <c r="AG1137" t="s">
        <v>24779</v>
      </c>
      <c r="AH1137" t="s">
        <v>69</v>
      </c>
      <c r="AI1137" t="s">
        <v>69</v>
      </c>
      <c r="AJ1137" t="s">
        <v>69</v>
      </c>
      <c r="AK1137" t="s">
        <v>69</v>
      </c>
      <c r="AL1137" t="s">
        <v>69</v>
      </c>
      <c r="AM1137" t="s">
        <v>69</v>
      </c>
      <c r="AN1137">
        <v>31</v>
      </c>
      <c r="AO1137">
        <v>4</v>
      </c>
      <c r="AP1137">
        <v>4</v>
      </c>
      <c r="AQ1137">
        <v>0</v>
      </c>
      <c r="AR1137">
        <v>11</v>
      </c>
      <c r="AS1137" t="s">
        <v>8865</v>
      </c>
      <c r="AT1137" t="s">
        <v>8612</v>
      </c>
      <c r="AU1137" t="s">
        <v>22341</v>
      </c>
      <c r="AV1137" t="s">
        <v>3295</v>
      </c>
      <c r="AW1137" t="s">
        <v>3296</v>
      </c>
      <c r="AX1137" t="s">
        <v>69</v>
      </c>
      <c r="AY1137" t="s">
        <v>24780</v>
      </c>
      <c r="AZ1137" t="s">
        <v>24781</v>
      </c>
      <c r="BA1137" t="s">
        <v>3297</v>
      </c>
      <c r="BB1137">
        <v>2013</v>
      </c>
      <c r="BC1137">
        <v>23</v>
      </c>
      <c r="BD1137">
        <v>4</v>
      </c>
      <c r="BE1137" t="s">
        <v>69</v>
      </c>
      <c r="BF1137" t="s">
        <v>69</v>
      </c>
      <c r="BG1137" t="s">
        <v>69</v>
      </c>
      <c r="BH1137" t="s">
        <v>69</v>
      </c>
      <c r="BI1137">
        <v>368</v>
      </c>
      <c r="BJ1137">
        <v>385</v>
      </c>
      <c r="BK1137" t="s">
        <v>69</v>
      </c>
      <c r="BL1137" t="s">
        <v>3298</v>
      </c>
      <c r="BM1137" t="str">
        <f>HYPERLINK("http://dx.doi.org/10.1080/01292986.2013.804105","http://dx.doi.org/10.1080/01292986.2013.804105")</f>
        <v>http://dx.doi.org/10.1080/01292986.2013.804105</v>
      </c>
      <c r="BN1137" t="s">
        <v>69</v>
      </c>
      <c r="BO1137" t="s">
        <v>69</v>
      </c>
      <c r="BP1137">
        <v>18</v>
      </c>
      <c r="BQ1137" t="s">
        <v>8443</v>
      </c>
      <c r="BR1137" t="s">
        <v>8661</v>
      </c>
      <c r="BS1137" t="s">
        <v>8443</v>
      </c>
      <c r="BT1137" t="s">
        <v>24782</v>
      </c>
      <c r="BU1137" t="s">
        <v>3299</v>
      </c>
      <c r="BV1137" t="s">
        <v>69</v>
      </c>
      <c r="BW1137" t="s">
        <v>69</v>
      </c>
      <c r="BX1137" t="s">
        <v>69</v>
      </c>
      <c r="BY1137" t="s">
        <v>69</v>
      </c>
      <c r="BZ1137" t="s">
        <v>8526</v>
      </c>
      <c r="CA1137" t="str">
        <f>HYPERLINK("https%3A%2F%2Fwww.webofscience.com%2Fwos%2Fwoscc%2Ffull-record%2FWOS:000326307200003","View Full Record in Web of Science")</f>
        <v>View Full Record in Web of Science</v>
      </c>
    </row>
    <row r="1138" spans="2:79" ht="12.5" x14ac:dyDescent="0.25">
      <c r="B1138" t="s">
        <v>8495</v>
      </c>
      <c r="D1138" s="22" t="s">
        <v>32931</v>
      </c>
      <c r="E1138" s="7"/>
      <c r="F1138" s="7"/>
      <c r="G1138" s="7"/>
      <c r="H1138" t="s">
        <v>67</v>
      </c>
      <c r="I1138" t="s">
        <v>14477</v>
      </c>
      <c r="J1138" t="s">
        <v>69</v>
      </c>
      <c r="K1138" t="s">
        <v>69</v>
      </c>
      <c r="L1138" t="s">
        <v>69</v>
      </c>
      <c r="M1138" t="s">
        <v>14478</v>
      </c>
      <c r="N1138" t="s">
        <v>69</v>
      </c>
      <c r="O1138" t="s">
        <v>69</v>
      </c>
      <c r="P1138" t="s">
        <v>14479</v>
      </c>
      <c r="Q1138" t="s">
        <v>14480</v>
      </c>
      <c r="R1138" t="s">
        <v>69</v>
      </c>
      <c r="S1138" t="s">
        <v>69</v>
      </c>
      <c r="T1138" t="s">
        <v>8505</v>
      </c>
      <c r="U1138" t="s">
        <v>8506</v>
      </c>
      <c r="V1138" t="s">
        <v>69</v>
      </c>
      <c r="W1138" t="s">
        <v>69</v>
      </c>
      <c r="X1138" t="s">
        <v>69</v>
      </c>
      <c r="Y1138" t="s">
        <v>69</v>
      </c>
      <c r="Z1138" t="s">
        <v>69</v>
      </c>
      <c r="AA1138" t="s">
        <v>14481</v>
      </c>
      <c r="AB1138" t="s">
        <v>69</v>
      </c>
      <c r="AC1138" t="s">
        <v>14482</v>
      </c>
      <c r="AD1138" t="s">
        <v>14483</v>
      </c>
      <c r="AE1138" t="s">
        <v>69</v>
      </c>
      <c r="AF1138" t="s">
        <v>14484</v>
      </c>
      <c r="AG1138" t="s">
        <v>14485</v>
      </c>
      <c r="AH1138" t="s">
        <v>69</v>
      </c>
      <c r="AI1138" t="s">
        <v>69</v>
      </c>
      <c r="AJ1138" t="s">
        <v>14486</v>
      </c>
      <c r="AK1138" t="s">
        <v>14487</v>
      </c>
      <c r="AL1138" t="s">
        <v>14488</v>
      </c>
      <c r="AM1138" t="s">
        <v>69</v>
      </c>
      <c r="AN1138">
        <v>3</v>
      </c>
      <c r="AO1138">
        <v>0</v>
      </c>
      <c r="AP1138">
        <v>0</v>
      </c>
      <c r="AQ1138">
        <v>0</v>
      </c>
      <c r="AR1138">
        <v>2</v>
      </c>
      <c r="AS1138" t="s">
        <v>14489</v>
      </c>
      <c r="AT1138" t="s">
        <v>14490</v>
      </c>
      <c r="AU1138" t="s">
        <v>14491</v>
      </c>
      <c r="AV1138" t="s">
        <v>14492</v>
      </c>
      <c r="AW1138" t="s">
        <v>14493</v>
      </c>
      <c r="AX1138" t="s">
        <v>69</v>
      </c>
      <c r="AY1138" t="s">
        <v>14494</v>
      </c>
      <c r="AZ1138" t="s">
        <v>14495</v>
      </c>
      <c r="BA1138" t="s">
        <v>477</v>
      </c>
      <c r="BB1138">
        <v>2020</v>
      </c>
      <c r="BC1138">
        <v>8</v>
      </c>
      <c r="BD1138">
        <v>3</v>
      </c>
      <c r="BE1138" t="s">
        <v>69</v>
      </c>
      <c r="BF1138" t="s">
        <v>69</v>
      </c>
      <c r="BG1138" t="s">
        <v>69</v>
      </c>
      <c r="BH1138" t="s">
        <v>69</v>
      </c>
      <c r="BI1138">
        <v>146</v>
      </c>
      <c r="BJ1138">
        <v>152</v>
      </c>
      <c r="BK1138" t="s">
        <v>69</v>
      </c>
      <c r="BL1138" t="s">
        <v>14496</v>
      </c>
      <c r="BM1138" t="str">
        <f>HYPERLINK("http://dx.doi.org/10.1089/space.2020.0003","http://dx.doi.org/10.1089/space.2020.0003")</f>
        <v>http://dx.doi.org/10.1089/space.2020.0003</v>
      </c>
      <c r="BN1138" t="s">
        <v>69</v>
      </c>
      <c r="BO1138" t="s">
        <v>69</v>
      </c>
      <c r="BP1138">
        <v>7</v>
      </c>
      <c r="BQ1138" t="s">
        <v>14497</v>
      </c>
      <c r="BR1138" t="s">
        <v>8573</v>
      </c>
      <c r="BS1138" t="s">
        <v>8445</v>
      </c>
      <c r="BT1138" t="s">
        <v>14498</v>
      </c>
      <c r="BU1138" t="s">
        <v>14499</v>
      </c>
      <c r="BV1138" t="s">
        <v>69</v>
      </c>
      <c r="BW1138" t="s">
        <v>69</v>
      </c>
      <c r="BX1138" t="s">
        <v>69</v>
      </c>
      <c r="BY1138" t="s">
        <v>69</v>
      </c>
      <c r="BZ1138" t="s">
        <v>8526</v>
      </c>
      <c r="CA1138" t="str">
        <f>HYPERLINK("https%3A%2F%2Fwww.webofscience.com%2Fwos%2Fwoscc%2Ffull-record%2FWOS:000570532400006","View Full Record in Web of Science")</f>
        <v>View Full Record in Web of Science</v>
      </c>
    </row>
    <row r="1139" spans="2:79" ht="12.5" x14ac:dyDescent="0.25">
      <c r="B1139" t="s">
        <v>8495</v>
      </c>
      <c r="D1139" s="7" t="s">
        <v>32933</v>
      </c>
      <c r="E1139" s="7"/>
      <c r="F1139" s="7"/>
      <c r="G1139" s="7"/>
      <c r="H1139" t="s">
        <v>67</v>
      </c>
      <c r="I1139" t="s">
        <v>2926</v>
      </c>
      <c r="J1139" t="s">
        <v>69</v>
      </c>
      <c r="K1139" t="s">
        <v>69</v>
      </c>
      <c r="L1139" t="s">
        <v>69</v>
      </c>
      <c r="M1139" t="s">
        <v>2927</v>
      </c>
      <c r="N1139" t="s">
        <v>69</v>
      </c>
      <c r="O1139" t="s">
        <v>69</v>
      </c>
      <c r="P1139" t="s">
        <v>2928</v>
      </c>
      <c r="Q1139" t="s">
        <v>2929</v>
      </c>
      <c r="R1139" t="s">
        <v>69</v>
      </c>
      <c r="S1139" t="s">
        <v>69</v>
      </c>
      <c r="T1139" t="s">
        <v>8505</v>
      </c>
      <c r="U1139" t="s">
        <v>8506</v>
      </c>
      <c r="V1139" t="s">
        <v>69</v>
      </c>
      <c r="W1139" t="s">
        <v>69</v>
      </c>
      <c r="X1139" t="s">
        <v>69</v>
      </c>
      <c r="Y1139" t="s">
        <v>69</v>
      </c>
      <c r="Z1139" t="s">
        <v>69</v>
      </c>
      <c r="AA1139" t="s">
        <v>22225</v>
      </c>
      <c r="AB1139" t="s">
        <v>22226</v>
      </c>
      <c r="AC1139" t="s">
        <v>2930</v>
      </c>
      <c r="AD1139" t="s">
        <v>22227</v>
      </c>
      <c r="AE1139" t="s">
        <v>69</v>
      </c>
      <c r="AF1139" t="s">
        <v>22228</v>
      </c>
      <c r="AG1139" t="s">
        <v>69</v>
      </c>
      <c r="AH1139" t="s">
        <v>69</v>
      </c>
      <c r="AI1139" t="s">
        <v>69</v>
      </c>
      <c r="AJ1139" t="s">
        <v>69</v>
      </c>
      <c r="AK1139" t="s">
        <v>69</v>
      </c>
      <c r="AL1139" t="s">
        <v>69</v>
      </c>
      <c r="AM1139" t="s">
        <v>69</v>
      </c>
      <c r="AN1139">
        <v>84</v>
      </c>
      <c r="AO1139">
        <v>16</v>
      </c>
      <c r="AP1139">
        <v>16</v>
      </c>
      <c r="AQ1139">
        <v>4</v>
      </c>
      <c r="AR1139">
        <v>19</v>
      </c>
      <c r="AS1139" t="s">
        <v>16416</v>
      </c>
      <c r="AT1139" t="s">
        <v>16417</v>
      </c>
      <c r="AU1139" t="s">
        <v>16418</v>
      </c>
      <c r="AV1139" t="s">
        <v>2931</v>
      </c>
      <c r="AW1139" t="s">
        <v>2932</v>
      </c>
      <c r="AX1139" t="s">
        <v>69</v>
      </c>
      <c r="AY1139" t="s">
        <v>22229</v>
      </c>
      <c r="AZ1139" t="s">
        <v>22230</v>
      </c>
      <c r="BA1139" t="s">
        <v>373</v>
      </c>
      <c r="BB1139">
        <v>2016</v>
      </c>
      <c r="BC1139">
        <v>19</v>
      </c>
      <c r="BD1139">
        <v>1</v>
      </c>
      <c r="BE1139" t="s">
        <v>69</v>
      </c>
      <c r="BF1139" t="s">
        <v>69</v>
      </c>
      <c r="BG1139" t="s">
        <v>69</v>
      </c>
      <c r="BH1139" t="s">
        <v>69</v>
      </c>
      <c r="BI1139">
        <v>50</v>
      </c>
      <c r="BJ1139">
        <v>75</v>
      </c>
      <c r="BK1139" t="s">
        <v>69</v>
      </c>
      <c r="BL1139" t="s">
        <v>2933</v>
      </c>
      <c r="BM1139" t="str">
        <f>HYPERLINK("http://dx.doi.org/10.1057/jird.2014.14","http://dx.doi.org/10.1057/jird.2014.14")</f>
        <v>http://dx.doi.org/10.1057/jird.2014.14</v>
      </c>
      <c r="BN1139" t="s">
        <v>69</v>
      </c>
      <c r="BO1139" t="s">
        <v>69</v>
      </c>
      <c r="BP1139">
        <v>26</v>
      </c>
      <c r="BQ1139" t="s">
        <v>16728</v>
      </c>
      <c r="BR1139" t="s">
        <v>8661</v>
      </c>
      <c r="BS1139" t="s">
        <v>16729</v>
      </c>
      <c r="BT1139" t="s">
        <v>22231</v>
      </c>
      <c r="BU1139" t="s">
        <v>2934</v>
      </c>
      <c r="BV1139" t="s">
        <v>69</v>
      </c>
      <c r="BW1139" t="s">
        <v>9292</v>
      </c>
      <c r="BX1139" t="s">
        <v>69</v>
      </c>
      <c r="BY1139" t="s">
        <v>69</v>
      </c>
      <c r="BZ1139" t="s">
        <v>8526</v>
      </c>
      <c r="CA1139" t="str">
        <f>HYPERLINK("https%3A%2F%2Fwww.webofscience.com%2Fwos%2Fwoscc%2Ffull-record%2FWOS:000367635000003","View Full Record in Web of Science")</f>
        <v>View Full Record in Web of Science</v>
      </c>
    </row>
    <row r="1140" spans="2:79" ht="12.5" x14ac:dyDescent="0.25">
      <c r="B1140" t="s">
        <v>8495</v>
      </c>
      <c r="D1140" s="22" t="s">
        <v>32931</v>
      </c>
      <c r="E1140" s="7"/>
      <c r="F1140" s="7"/>
      <c r="G1140" s="7"/>
      <c r="H1140" t="s">
        <v>67</v>
      </c>
      <c r="I1140" t="s">
        <v>13048</v>
      </c>
      <c r="J1140" t="s">
        <v>69</v>
      </c>
      <c r="K1140" t="s">
        <v>69</v>
      </c>
      <c r="L1140" t="s">
        <v>69</v>
      </c>
      <c r="M1140" t="s">
        <v>13049</v>
      </c>
      <c r="N1140" t="s">
        <v>69</v>
      </c>
      <c r="O1140" t="s">
        <v>69</v>
      </c>
      <c r="P1140" t="s">
        <v>13050</v>
      </c>
      <c r="Q1140" t="s">
        <v>13051</v>
      </c>
      <c r="R1140" t="s">
        <v>69</v>
      </c>
      <c r="S1140" t="s">
        <v>69</v>
      </c>
      <c r="T1140" t="s">
        <v>8505</v>
      </c>
      <c r="U1140" t="s">
        <v>8506</v>
      </c>
      <c r="V1140" t="s">
        <v>69</v>
      </c>
      <c r="W1140" t="s">
        <v>69</v>
      </c>
      <c r="X1140" t="s">
        <v>69</v>
      </c>
      <c r="Y1140" t="s">
        <v>69</v>
      </c>
      <c r="Z1140" t="s">
        <v>69</v>
      </c>
      <c r="AA1140" t="s">
        <v>13052</v>
      </c>
      <c r="AB1140" t="s">
        <v>69</v>
      </c>
      <c r="AC1140" t="s">
        <v>13053</v>
      </c>
      <c r="AD1140" t="s">
        <v>13054</v>
      </c>
      <c r="AE1140" t="s">
        <v>69</v>
      </c>
      <c r="AF1140" t="s">
        <v>13055</v>
      </c>
      <c r="AG1140" t="s">
        <v>13056</v>
      </c>
      <c r="AH1140" t="s">
        <v>69</v>
      </c>
      <c r="AI1140" t="s">
        <v>13057</v>
      </c>
      <c r="AJ1140" t="s">
        <v>69</v>
      </c>
      <c r="AK1140" t="s">
        <v>69</v>
      </c>
      <c r="AL1140" t="s">
        <v>69</v>
      </c>
      <c r="AM1140" t="s">
        <v>69</v>
      </c>
      <c r="AN1140">
        <v>79</v>
      </c>
      <c r="AO1140">
        <v>0</v>
      </c>
      <c r="AP1140">
        <v>0</v>
      </c>
      <c r="AQ1140">
        <v>2</v>
      </c>
      <c r="AR1140">
        <v>9</v>
      </c>
      <c r="AS1140" t="s">
        <v>8865</v>
      </c>
      <c r="AT1140" t="s">
        <v>8612</v>
      </c>
      <c r="AU1140" t="s">
        <v>8866</v>
      </c>
      <c r="AV1140" t="s">
        <v>13058</v>
      </c>
      <c r="AW1140" t="s">
        <v>13059</v>
      </c>
      <c r="AX1140" t="s">
        <v>69</v>
      </c>
      <c r="AY1140" t="s">
        <v>13060</v>
      </c>
      <c r="AZ1140" t="s">
        <v>13061</v>
      </c>
      <c r="BA1140" t="s">
        <v>837</v>
      </c>
      <c r="BB1140">
        <v>2021</v>
      </c>
      <c r="BC1140">
        <v>13</v>
      </c>
      <c r="BD1140">
        <v>1</v>
      </c>
      <c r="BE1140" t="s">
        <v>69</v>
      </c>
      <c r="BF1140" t="s">
        <v>69</v>
      </c>
      <c r="BG1140" t="s">
        <v>69</v>
      </c>
      <c r="BH1140" t="s">
        <v>69</v>
      </c>
      <c r="BI1140">
        <v>29</v>
      </c>
      <c r="BJ1140">
        <v>43</v>
      </c>
      <c r="BK1140" t="s">
        <v>69</v>
      </c>
      <c r="BL1140" t="s">
        <v>13062</v>
      </c>
      <c r="BM1140" t="str">
        <f>HYPERLINK("http://dx.doi.org/10.1080/19406940.2021.1877168","http://dx.doi.org/10.1080/19406940.2021.1877168")</f>
        <v>http://dx.doi.org/10.1080/19406940.2021.1877168</v>
      </c>
      <c r="BN1140" t="s">
        <v>69</v>
      </c>
      <c r="BO1140" t="s">
        <v>13029</v>
      </c>
      <c r="BP1140">
        <v>15</v>
      </c>
      <c r="BQ1140" t="s">
        <v>10278</v>
      </c>
      <c r="BR1140" t="s">
        <v>8573</v>
      </c>
      <c r="BS1140" t="s">
        <v>10279</v>
      </c>
      <c r="BT1140" t="s">
        <v>13063</v>
      </c>
      <c r="BU1140" t="s">
        <v>13064</v>
      </c>
      <c r="BV1140" t="s">
        <v>69</v>
      </c>
      <c r="BW1140" t="s">
        <v>69</v>
      </c>
      <c r="BX1140" t="s">
        <v>69</v>
      </c>
      <c r="BY1140" t="s">
        <v>69</v>
      </c>
      <c r="BZ1140" t="s">
        <v>8526</v>
      </c>
      <c r="CA1140" t="str">
        <f>HYPERLINK("https%3A%2F%2Fwww.webofscience.com%2Fwos%2Fwoscc%2Ffull-record%2FWOS:000620470600001","View Full Record in Web of Science")</f>
        <v>View Full Record in Web of Science</v>
      </c>
    </row>
    <row r="1141" spans="2:79" ht="12.5" x14ac:dyDescent="0.25">
      <c r="B1141" t="s">
        <v>8495</v>
      </c>
      <c r="D1141" s="7" t="s">
        <v>32933</v>
      </c>
      <c r="E1141" s="7"/>
      <c r="F1141" s="7"/>
      <c r="G1141" s="7"/>
      <c r="H1141" t="s">
        <v>67</v>
      </c>
      <c r="I1141" t="s">
        <v>7486</v>
      </c>
      <c r="J1141" t="s">
        <v>69</v>
      </c>
      <c r="K1141" t="s">
        <v>69</v>
      </c>
      <c r="L1141" t="s">
        <v>69</v>
      </c>
      <c r="M1141" t="s">
        <v>7487</v>
      </c>
      <c r="N1141" t="s">
        <v>69</v>
      </c>
      <c r="O1141" t="s">
        <v>69</v>
      </c>
      <c r="P1141" t="s">
        <v>7488</v>
      </c>
      <c r="Q1141" t="s">
        <v>7489</v>
      </c>
      <c r="R1141" t="s">
        <v>69</v>
      </c>
      <c r="S1141" t="s">
        <v>69</v>
      </c>
      <c r="T1141" t="s">
        <v>8505</v>
      </c>
      <c r="U1141" t="s">
        <v>8506</v>
      </c>
      <c r="V1141" t="s">
        <v>69</v>
      </c>
      <c r="W1141" t="s">
        <v>69</v>
      </c>
      <c r="X1141" t="s">
        <v>69</v>
      </c>
      <c r="Y1141" t="s">
        <v>69</v>
      </c>
      <c r="Z1141" t="s">
        <v>69</v>
      </c>
      <c r="AA1141" t="s">
        <v>20149</v>
      </c>
      <c r="AB1141" t="s">
        <v>69</v>
      </c>
      <c r="AC1141" t="s">
        <v>7490</v>
      </c>
      <c r="AD1141" t="s">
        <v>69</v>
      </c>
      <c r="AE1141" t="s">
        <v>69</v>
      </c>
      <c r="AF1141" t="s">
        <v>69</v>
      </c>
      <c r="AG1141" t="s">
        <v>20150</v>
      </c>
      <c r="AH1141" t="s">
        <v>20151</v>
      </c>
      <c r="AI1141" t="s">
        <v>20152</v>
      </c>
      <c r="AJ1141" t="s">
        <v>69</v>
      </c>
      <c r="AK1141" t="s">
        <v>69</v>
      </c>
      <c r="AL1141" t="s">
        <v>69</v>
      </c>
      <c r="AM1141" t="s">
        <v>69</v>
      </c>
      <c r="AN1141">
        <v>17</v>
      </c>
      <c r="AO1141">
        <v>0</v>
      </c>
      <c r="AP1141">
        <v>0</v>
      </c>
      <c r="AQ1141">
        <v>0</v>
      </c>
      <c r="AR1141">
        <v>9</v>
      </c>
      <c r="AS1141" t="s">
        <v>7489</v>
      </c>
      <c r="AT1141" t="s">
        <v>20153</v>
      </c>
      <c r="AU1141" t="s">
        <v>20154</v>
      </c>
      <c r="AV1141" t="s">
        <v>7491</v>
      </c>
      <c r="AW1141" t="s">
        <v>7492</v>
      </c>
      <c r="AX1141" t="s">
        <v>69</v>
      </c>
      <c r="AY1141" t="s">
        <v>20155</v>
      </c>
      <c r="AZ1141" t="s">
        <v>20156</v>
      </c>
      <c r="BA1141" t="s">
        <v>6479</v>
      </c>
      <c r="BB1141">
        <v>2017</v>
      </c>
      <c r="BC1141">
        <v>8</v>
      </c>
      <c r="BD1141">
        <v>19</v>
      </c>
      <c r="BE1141" t="s">
        <v>69</v>
      </c>
      <c r="BF1141" t="s">
        <v>69</v>
      </c>
      <c r="BG1141" t="s">
        <v>69</v>
      </c>
      <c r="BH1141" t="s">
        <v>69</v>
      </c>
      <c r="BI1141">
        <v>29</v>
      </c>
      <c r="BJ1141">
        <v>38</v>
      </c>
      <c r="BK1141" t="s">
        <v>69</v>
      </c>
      <c r="BL1141" t="s">
        <v>69</v>
      </c>
      <c r="BM1141" t="s">
        <v>69</v>
      </c>
      <c r="BN1141" t="s">
        <v>69</v>
      </c>
      <c r="BO1141" t="s">
        <v>69</v>
      </c>
      <c r="BP1141">
        <v>10</v>
      </c>
      <c r="BQ1141" t="s">
        <v>8444</v>
      </c>
      <c r="BR1141" t="s">
        <v>8573</v>
      </c>
      <c r="BS1141" t="s">
        <v>8594</v>
      </c>
      <c r="BT1141" t="s">
        <v>20157</v>
      </c>
      <c r="BU1141" t="s">
        <v>7493</v>
      </c>
      <c r="BV1141" t="s">
        <v>69</v>
      </c>
      <c r="BW1141" t="s">
        <v>69</v>
      </c>
      <c r="BX1141" t="s">
        <v>69</v>
      </c>
      <c r="BY1141" t="s">
        <v>69</v>
      </c>
      <c r="BZ1141" t="s">
        <v>8526</v>
      </c>
      <c r="CA1141" t="str">
        <f>HYPERLINK("https%3A%2F%2Fwww.webofscience.com%2Fwos%2Fwoscc%2Ffull-record%2FWOS:000425228100003","View Full Record in Web of Science")</f>
        <v>View Full Record in Web of Science</v>
      </c>
    </row>
    <row r="1142" spans="2:79" x14ac:dyDescent="0.3">
      <c r="B1142" t="s">
        <v>8495</v>
      </c>
      <c r="D1142" s="9" t="s">
        <v>32948</v>
      </c>
      <c r="E1142" s="9" t="s">
        <v>33153</v>
      </c>
      <c r="F1142" s="9" t="s">
        <v>8491</v>
      </c>
      <c r="G1142" s="9" t="s">
        <v>8490</v>
      </c>
      <c r="H1142" t="s">
        <v>67</v>
      </c>
      <c r="I1142" t="s">
        <v>11773</v>
      </c>
      <c r="J1142" t="s">
        <v>69</v>
      </c>
      <c r="K1142" t="s">
        <v>69</v>
      </c>
      <c r="L1142" t="s">
        <v>69</v>
      </c>
      <c r="M1142" t="s">
        <v>11774</v>
      </c>
      <c r="N1142" t="s">
        <v>69</v>
      </c>
      <c r="O1142" t="s">
        <v>69</v>
      </c>
      <c r="P1142" t="s">
        <v>11775</v>
      </c>
      <c r="Q1142" t="s">
        <v>11776</v>
      </c>
      <c r="R1142" t="s">
        <v>69</v>
      </c>
      <c r="S1142" t="s">
        <v>69</v>
      </c>
      <c r="T1142" t="s">
        <v>8505</v>
      </c>
      <c r="U1142" t="s">
        <v>8506</v>
      </c>
      <c r="V1142" t="s">
        <v>69</v>
      </c>
      <c r="W1142" t="s">
        <v>69</v>
      </c>
      <c r="X1142" t="s">
        <v>69</v>
      </c>
      <c r="Y1142" t="s">
        <v>69</v>
      </c>
      <c r="Z1142" t="s">
        <v>69</v>
      </c>
      <c r="AA1142" t="s">
        <v>11777</v>
      </c>
      <c r="AB1142" t="s">
        <v>11778</v>
      </c>
      <c r="AC1142" t="s">
        <v>11779</v>
      </c>
      <c r="AD1142" t="s">
        <v>11780</v>
      </c>
      <c r="AE1142" t="s">
        <v>69</v>
      </c>
      <c r="AF1142" t="s">
        <v>11781</v>
      </c>
      <c r="AG1142" t="s">
        <v>11782</v>
      </c>
      <c r="AH1142" t="s">
        <v>69</v>
      </c>
      <c r="AI1142" t="s">
        <v>11783</v>
      </c>
      <c r="AJ1142" t="s">
        <v>69</v>
      </c>
      <c r="AK1142" t="s">
        <v>69</v>
      </c>
      <c r="AL1142" t="s">
        <v>69</v>
      </c>
      <c r="AM1142" t="s">
        <v>69</v>
      </c>
      <c r="AN1142">
        <v>86</v>
      </c>
      <c r="AO1142">
        <v>1</v>
      </c>
      <c r="AP1142">
        <v>1</v>
      </c>
      <c r="AQ1142">
        <v>4</v>
      </c>
      <c r="AR1142">
        <v>8</v>
      </c>
      <c r="AS1142" t="s">
        <v>9047</v>
      </c>
      <c r="AT1142" t="s">
        <v>8693</v>
      </c>
      <c r="AU1142" t="s">
        <v>11784</v>
      </c>
      <c r="AV1142" t="s">
        <v>11785</v>
      </c>
      <c r="AW1142" t="s">
        <v>11786</v>
      </c>
      <c r="AX1142" t="s">
        <v>69</v>
      </c>
      <c r="AY1142" t="s">
        <v>11787</v>
      </c>
      <c r="AZ1142" t="s">
        <v>11788</v>
      </c>
      <c r="BA1142" t="s">
        <v>255</v>
      </c>
      <c r="BB1142">
        <v>2021</v>
      </c>
      <c r="BC1142">
        <v>11</v>
      </c>
      <c r="BD1142">
        <v>3</v>
      </c>
      <c r="BE1142" t="s">
        <v>69</v>
      </c>
      <c r="BF1142" t="s">
        <v>69</v>
      </c>
      <c r="BG1142" t="s">
        <v>114</v>
      </c>
      <c r="BH1142" t="s">
        <v>69</v>
      </c>
      <c r="BI1142">
        <v>329</v>
      </c>
      <c r="BJ1142">
        <v>340</v>
      </c>
      <c r="BK1142" t="s">
        <v>69</v>
      </c>
      <c r="BL1142" t="s">
        <v>11789</v>
      </c>
      <c r="BM1142" t="str">
        <f>HYPERLINK("http://dx.doi.org/10.1007/s13412-021-00711-3","http://dx.doi.org/10.1007/s13412-021-00711-3")</f>
        <v>http://dx.doi.org/10.1007/s13412-021-00711-3</v>
      </c>
      <c r="BN1142" t="s">
        <v>69</v>
      </c>
      <c r="BO1142" t="s">
        <v>11790</v>
      </c>
      <c r="BP1142">
        <v>12</v>
      </c>
      <c r="BQ1142" t="s">
        <v>11791</v>
      </c>
      <c r="BR1142" t="s">
        <v>8573</v>
      </c>
      <c r="BS1142" t="s">
        <v>8662</v>
      </c>
      <c r="BT1142" t="s">
        <v>11792</v>
      </c>
      <c r="BU1142" t="s">
        <v>11794</v>
      </c>
      <c r="BV1142">
        <v>34316429</v>
      </c>
      <c r="BW1142" t="s">
        <v>11793</v>
      </c>
      <c r="BX1142" t="s">
        <v>69</v>
      </c>
      <c r="BY1142" t="s">
        <v>69</v>
      </c>
      <c r="BZ1142" t="s">
        <v>8526</v>
      </c>
      <c r="CA1142" t="str">
        <f>HYPERLINK("https%3A%2F%2Fwww.webofscience.com%2Fwos%2Fwoscc%2Ffull-record%2FWOS:000675796400002","View Full Record in Web of Science")</f>
        <v>View Full Record in Web of Science</v>
      </c>
    </row>
    <row r="1143" spans="2:79" ht="12.5" x14ac:dyDescent="0.25">
      <c r="B1143" t="s">
        <v>8495</v>
      </c>
      <c r="D1143" s="7" t="s">
        <v>32933</v>
      </c>
      <c r="E1143" s="7"/>
      <c r="F1143" s="7"/>
      <c r="G1143" s="7"/>
      <c r="H1143" t="s">
        <v>67</v>
      </c>
      <c r="I1143" t="s">
        <v>5052</v>
      </c>
      <c r="J1143" t="s">
        <v>69</v>
      </c>
      <c r="K1143" t="s">
        <v>69</v>
      </c>
      <c r="L1143" t="s">
        <v>69</v>
      </c>
      <c r="M1143" t="s">
        <v>5052</v>
      </c>
      <c r="N1143" t="s">
        <v>69</v>
      </c>
      <c r="O1143" t="s">
        <v>69</v>
      </c>
      <c r="P1143" t="s">
        <v>5053</v>
      </c>
      <c r="Q1143" t="s">
        <v>4760</v>
      </c>
      <c r="R1143" t="s">
        <v>69</v>
      </c>
      <c r="S1143" t="s">
        <v>69</v>
      </c>
      <c r="T1143" t="s">
        <v>8505</v>
      </c>
      <c r="U1143" t="s">
        <v>8506</v>
      </c>
      <c r="V1143" t="s">
        <v>69</v>
      </c>
      <c r="W1143" t="s">
        <v>69</v>
      </c>
      <c r="X1143" t="s">
        <v>69</v>
      </c>
      <c r="Y1143" t="s">
        <v>69</v>
      </c>
      <c r="Z1143" t="s">
        <v>69</v>
      </c>
      <c r="AA1143" t="s">
        <v>69</v>
      </c>
      <c r="AB1143" t="s">
        <v>69</v>
      </c>
      <c r="AC1143" t="s">
        <v>5054</v>
      </c>
      <c r="AD1143" t="s">
        <v>69</v>
      </c>
      <c r="AE1143" t="s">
        <v>69</v>
      </c>
      <c r="AF1143" t="s">
        <v>32487</v>
      </c>
      <c r="AG1143" t="s">
        <v>69</v>
      </c>
      <c r="AH1143" t="s">
        <v>69</v>
      </c>
      <c r="AI1143" t="s">
        <v>69</v>
      </c>
      <c r="AJ1143" t="s">
        <v>69</v>
      </c>
      <c r="AK1143" t="s">
        <v>69</v>
      </c>
      <c r="AL1143" t="s">
        <v>69</v>
      </c>
      <c r="AM1143" t="s">
        <v>69</v>
      </c>
      <c r="AN1143">
        <v>0</v>
      </c>
      <c r="AO1143">
        <v>0</v>
      </c>
      <c r="AP1143">
        <v>0</v>
      </c>
      <c r="AQ1143">
        <v>0</v>
      </c>
      <c r="AR1143">
        <v>1</v>
      </c>
      <c r="AS1143" t="s">
        <v>32488</v>
      </c>
      <c r="AT1143" t="s">
        <v>32489</v>
      </c>
      <c r="AU1143" t="s">
        <v>32490</v>
      </c>
      <c r="AV1143" t="s">
        <v>5055</v>
      </c>
      <c r="AW1143" t="s">
        <v>69</v>
      </c>
      <c r="AX1143" t="s">
        <v>69</v>
      </c>
      <c r="AY1143" t="s">
        <v>16818</v>
      </c>
      <c r="AZ1143" t="s">
        <v>16819</v>
      </c>
      <c r="BA1143" t="s">
        <v>191</v>
      </c>
      <c r="BB1143">
        <v>1996</v>
      </c>
      <c r="BC1143">
        <v>88</v>
      </c>
      <c r="BD1143">
        <v>2</v>
      </c>
      <c r="BE1143" t="s">
        <v>69</v>
      </c>
      <c r="BF1143" t="s">
        <v>69</v>
      </c>
      <c r="BG1143" t="s">
        <v>69</v>
      </c>
      <c r="BH1143" t="s">
        <v>69</v>
      </c>
      <c r="BI1143">
        <v>44</v>
      </c>
      <c r="BJ1143">
        <v>58</v>
      </c>
      <c r="BK1143" t="s">
        <v>69</v>
      </c>
      <c r="BL1143" t="s">
        <v>69</v>
      </c>
      <c r="BM1143" t="s">
        <v>69</v>
      </c>
      <c r="BN1143" t="s">
        <v>69</v>
      </c>
      <c r="BO1143" t="s">
        <v>69</v>
      </c>
      <c r="BP1143">
        <v>15</v>
      </c>
      <c r="BQ1143" t="s">
        <v>9229</v>
      </c>
      <c r="BR1143" t="s">
        <v>8548</v>
      </c>
      <c r="BS1143" t="s">
        <v>9230</v>
      </c>
      <c r="BT1143" t="s">
        <v>32491</v>
      </c>
      <c r="BU1143" t="s">
        <v>5056</v>
      </c>
      <c r="BV1143" t="s">
        <v>69</v>
      </c>
      <c r="BW1143" t="s">
        <v>69</v>
      </c>
      <c r="BX1143" t="s">
        <v>69</v>
      </c>
      <c r="BY1143" t="s">
        <v>69</v>
      </c>
      <c r="BZ1143" t="s">
        <v>8526</v>
      </c>
      <c r="CA1143" t="str">
        <f>HYPERLINK("https%3A%2F%2Fwww.webofscience.com%2Fwos%2Fwoscc%2Ffull-record%2FWOS:A1996TW06100009","View Full Record in Web of Science")</f>
        <v>View Full Record in Web of Science</v>
      </c>
    </row>
    <row r="1144" spans="2:79" x14ac:dyDescent="0.3">
      <c r="B1144" t="s">
        <v>8495</v>
      </c>
      <c r="D1144" s="12" t="s">
        <v>32966</v>
      </c>
      <c r="H1144" t="s">
        <v>67</v>
      </c>
      <c r="I1144" t="s">
        <v>5178</v>
      </c>
      <c r="J1144" t="s">
        <v>69</v>
      </c>
      <c r="K1144" t="s">
        <v>69</v>
      </c>
      <c r="L1144" t="s">
        <v>69</v>
      </c>
      <c r="M1144" s="3" t="s">
        <v>5179</v>
      </c>
      <c r="N1144" t="s">
        <v>69</v>
      </c>
      <c r="O1144" t="s">
        <v>69</v>
      </c>
      <c r="P1144" s="2" t="s">
        <v>5180</v>
      </c>
      <c r="Q1144" t="s">
        <v>5181</v>
      </c>
      <c r="R1144" t="s">
        <v>69</v>
      </c>
      <c r="S1144" t="s">
        <v>69</v>
      </c>
      <c r="T1144" t="s">
        <v>8505</v>
      </c>
      <c r="U1144" t="s">
        <v>8506</v>
      </c>
      <c r="V1144" t="s">
        <v>69</v>
      </c>
      <c r="W1144" t="s">
        <v>69</v>
      </c>
      <c r="X1144" t="s">
        <v>69</v>
      </c>
      <c r="Y1144" t="s">
        <v>69</v>
      </c>
      <c r="Z1144" t="s">
        <v>69</v>
      </c>
      <c r="AA1144" t="s">
        <v>24424</v>
      </c>
      <c r="AB1144" t="s">
        <v>24425</v>
      </c>
      <c r="AC1144" t="s">
        <v>5182</v>
      </c>
      <c r="AD1144" t="s">
        <v>24426</v>
      </c>
      <c r="AE1144" t="s">
        <v>69</v>
      </c>
      <c r="AF1144" t="s">
        <v>24427</v>
      </c>
      <c r="AG1144" t="s">
        <v>24428</v>
      </c>
      <c r="AH1144" t="s">
        <v>69</v>
      </c>
      <c r="AI1144" t="s">
        <v>69</v>
      </c>
      <c r="AJ1144" t="s">
        <v>24429</v>
      </c>
      <c r="AK1144" t="s">
        <v>24430</v>
      </c>
      <c r="AL1144" t="s">
        <v>24431</v>
      </c>
      <c r="AM1144" t="s">
        <v>69</v>
      </c>
      <c r="AN1144">
        <v>20</v>
      </c>
      <c r="AO1144">
        <v>5</v>
      </c>
      <c r="AP1144">
        <v>5</v>
      </c>
      <c r="AQ1144">
        <v>0</v>
      </c>
      <c r="AR1144">
        <v>9</v>
      </c>
      <c r="AS1144" t="s">
        <v>8865</v>
      </c>
      <c r="AT1144" t="s">
        <v>8612</v>
      </c>
      <c r="AU1144" t="s">
        <v>22341</v>
      </c>
      <c r="AV1144" t="s">
        <v>5183</v>
      </c>
      <c r="AW1144" t="s">
        <v>5184</v>
      </c>
      <c r="AX1144" t="s">
        <v>69</v>
      </c>
      <c r="AY1144" t="s">
        <v>24432</v>
      </c>
      <c r="AZ1144" t="s">
        <v>24433</v>
      </c>
      <c r="BA1144" t="s">
        <v>5185</v>
      </c>
      <c r="BB1144">
        <v>2013</v>
      </c>
      <c r="BC1144">
        <v>5</v>
      </c>
      <c r="BD1144">
        <v>3</v>
      </c>
      <c r="BE1144" t="s">
        <v>69</v>
      </c>
      <c r="BF1144" t="s">
        <v>69</v>
      </c>
      <c r="BG1144" t="s">
        <v>69</v>
      </c>
      <c r="BH1144" t="s">
        <v>69</v>
      </c>
      <c r="BI1144">
        <v>199</v>
      </c>
      <c r="BJ1144">
        <v>215</v>
      </c>
      <c r="BK1144" t="s">
        <v>69</v>
      </c>
      <c r="BL1144" t="s">
        <v>5186</v>
      </c>
      <c r="BM1144" t="str">
        <f>HYPERLINK("http://dx.doi.org/10.1080/19378629.2013.857674","http://dx.doi.org/10.1080/19378629.2013.857674")</f>
        <v>http://dx.doi.org/10.1080/19378629.2013.857674</v>
      </c>
      <c r="BN1144" t="s">
        <v>69</v>
      </c>
      <c r="BO1144" t="s">
        <v>69</v>
      </c>
      <c r="BP1144">
        <v>17</v>
      </c>
      <c r="BQ1144" t="s">
        <v>24434</v>
      </c>
      <c r="BR1144" t="s">
        <v>8523</v>
      </c>
      <c r="BS1144" t="s">
        <v>24435</v>
      </c>
      <c r="BT1144" t="s">
        <v>24436</v>
      </c>
      <c r="BU1144" t="s">
        <v>5187</v>
      </c>
      <c r="BV1144" t="s">
        <v>69</v>
      </c>
      <c r="BW1144" t="s">
        <v>69</v>
      </c>
      <c r="BX1144" t="s">
        <v>69</v>
      </c>
      <c r="BY1144" t="s">
        <v>69</v>
      </c>
      <c r="BZ1144" t="s">
        <v>8526</v>
      </c>
      <c r="CA1144" t="str">
        <f>HYPERLINK("https%3A%2F%2Fwww.webofscience.com%2Fwos%2Fwoscc%2Ffull-record%2FWOS:000329153500003","View Full Record in Web of Science")</f>
        <v>View Full Record in Web of Science</v>
      </c>
    </row>
    <row r="1145" spans="2:79" ht="12.5" x14ac:dyDescent="0.25">
      <c r="B1145" t="s">
        <v>8495</v>
      </c>
      <c r="D1145" s="7" t="s">
        <v>32933</v>
      </c>
      <c r="E1145" s="7"/>
      <c r="F1145" s="7"/>
      <c r="G1145" s="7"/>
      <c r="H1145" t="s">
        <v>67</v>
      </c>
      <c r="I1145" t="s">
        <v>6526</v>
      </c>
      <c r="J1145" t="s">
        <v>69</v>
      </c>
      <c r="K1145" t="s">
        <v>69</v>
      </c>
      <c r="L1145" t="s">
        <v>69</v>
      </c>
      <c r="M1145" t="s">
        <v>6527</v>
      </c>
      <c r="N1145" t="s">
        <v>69</v>
      </c>
      <c r="O1145" t="s">
        <v>69</v>
      </c>
      <c r="P1145" t="s">
        <v>6528</v>
      </c>
      <c r="Q1145" t="s">
        <v>6529</v>
      </c>
      <c r="R1145" t="s">
        <v>69</v>
      </c>
      <c r="S1145" t="s">
        <v>69</v>
      </c>
      <c r="T1145" t="s">
        <v>8505</v>
      </c>
      <c r="U1145" t="s">
        <v>10174</v>
      </c>
      <c r="V1145" t="s">
        <v>69</v>
      </c>
      <c r="W1145" t="s">
        <v>69</v>
      </c>
      <c r="X1145" t="s">
        <v>69</v>
      </c>
      <c r="Y1145" t="s">
        <v>69</v>
      </c>
      <c r="Z1145" t="s">
        <v>69</v>
      </c>
      <c r="AA1145" t="s">
        <v>69</v>
      </c>
      <c r="AB1145" t="s">
        <v>14972</v>
      </c>
      <c r="AC1145" t="s">
        <v>6530</v>
      </c>
      <c r="AD1145" t="s">
        <v>14973</v>
      </c>
      <c r="AE1145" t="s">
        <v>69</v>
      </c>
      <c r="AF1145" t="s">
        <v>14974</v>
      </c>
      <c r="AG1145" t="s">
        <v>14975</v>
      </c>
      <c r="AH1145" t="s">
        <v>69</v>
      </c>
      <c r="AI1145" t="s">
        <v>69</v>
      </c>
      <c r="AJ1145" t="s">
        <v>14976</v>
      </c>
      <c r="AK1145" t="s">
        <v>14977</v>
      </c>
      <c r="AL1145" t="s">
        <v>14978</v>
      </c>
      <c r="AM1145" t="s">
        <v>69</v>
      </c>
      <c r="AN1145">
        <v>12</v>
      </c>
      <c r="AO1145">
        <v>82</v>
      </c>
      <c r="AP1145">
        <v>83</v>
      </c>
      <c r="AQ1145">
        <v>4</v>
      </c>
      <c r="AR1145">
        <v>26</v>
      </c>
      <c r="AS1145" t="s">
        <v>13095</v>
      </c>
      <c r="AT1145" t="s">
        <v>9979</v>
      </c>
      <c r="AU1145" t="s">
        <v>13096</v>
      </c>
      <c r="AV1145" t="s">
        <v>6531</v>
      </c>
      <c r="AW1145" t="s">
        <v>69</v>
      </c>
      <c r="AX1145" t="s">
        <v>69</v>
      </c>
      <c r="AY1145" t="s">
        <v>6529</v>
      </c>
      <c r="AZ1145" t="s">
        <v>13097</v>
      </c>
      <c r="BA1145" t="s">
        <v>4402</v>
      </c>
      <c r="BB1145">
        <v>2020</v>
      </c>
      <c r="BC1145">
        <v>4</v>
      </c>
      <c r="BD1145">
        <v>6</v>
      </c>
      <c r="BE1145" t="s">
        <v>69</v>
      </c>
      <c r="BF1145" t="s">
        <v>69</v>
      </c>
      <c r="BG1145" t="s">
        <v>69</v>
      </c>
      <c r="BH1145" t="s">
        <v>69</v>
      </c>
      <c r="BI1145">
        <v>1137</v>
      </c>
      <c r="BJ1145">
        <v>1141</v>
      </c>
      <c r="BK1145" t="s">
        <v>69</v>
      </c>
      <c r="BL1145" t="s">
        <v>6532</v>
      </c>
      <c r="BM1145" t="str">
        <f>HYPERLINK("http://dx.doi.org/10.1016/j.joule.2020.04.011","http://dx.doi.org/10.1016/j.joule.2020.04.011")</f>
        <v>http://dx.doi.org/10.1016/j.joule.2020.04.011</v>
      </c>
      <c r="BN1145" t="s">
        <v>69</v>
      </c>
      <c r="BO1145" t="s">
        <v>69</v>
      </c>
      <c r="BP1145">
        <v>5</v>
      </c>
      <c r="BQ1145" t="s">
        <v>13099</v>
      </c>
      <c r="BR1145" t="s">
        <v>8548</v>
      </c>
      <c r="BS1145" t="s">
        <v>13100</v>
      </c>
      <c r="BT1145" t="s">
        <v>14979</v>
      </c>
      <c r="BU1145" t="s">
        <v>6533</v>
      </c>
      <c r="BV1145">
        <v>32352076</v>
      </c>
      <c r="BW1145" t="s">
        <v>9029</v>
      </c>
      <c r="BX1145" t="s">
        <v>69</v>
      </c>
      <c r="BY1145" t="s">
        <v>69</v>
      </c>
      <c r="BZ1145" t="s">
        <v>8526</v>
      </c>
      <c r="CA1145" t="str">
        <f>HYPERLINK("https%3A%2F%2Fwww.webofscience.com%2Fwos%2Fwoscc%2Ffull-record%2FWOS:000542492800001","View Full Record in Web of Science")</f>
        <v>View Full Record in Web of Science</v>
      </c>
    </row>
    <row r="1146" spans="2:79" ht="12.5" x14ac:dyDescent="0.25">
      <c r="B1146" t="s">
        <v>8495</v>
      </c>
      <c r="D1146" s="22" t="s">
        <v>32931</v>
      </c>
      <c r="E1146" s="7"/>
      <c r="F1146" s="7"/>
      <c r="G1146" s="7"/>
      <c r="H1146" t="s">
        <v>67</v>
      </c>
      <c r="I1146" t="s">
        <v>14313</v>
      </c>
      <c r="J1146" t="s">
        <v>69</v>
      </c>
      <c r="K1146" t="s">
        <v>69</v>
      </c>
      <c r="L1146" t="s">
        <v>69</v>
      </c>
      <c r="M1146" t="s">
        <v>14314</v>
      </c>
      <c r="N1146" t="s">
        <v>69</v>
      </c>
      <c r="O1146" t="s">
        <v>69</v>
      </c>
      <c r="P1146" t="s">
        <v>14315</v>
      </c>
      <c r="Q1146" t="s">
        <v>9170</v>
      </c>
      <c r="R1146" t="s">
        <v>69</v>
      </c>
      <c r="S1146" t="s">
        <v>69</v>
      </c>
      <c r="T1146" t="s">
        <v>8505</v>
      </c>
      <c r="U1146" t="s">
        <v>8506</v>
      </c>
      <c r="V1146" t="s">
        <v>69</v>
      </c>
      <c r="W1146" t="s">
        <v>69</v>
      </c>
      <c r="X1146" t="s">
        <v>69</v>
      </c>
      <c r="Y1146" t="s">
        <v>69</v>
      </c>
      <c r="Z1146" t="s">
        <v>69</v>
      </c>
      <c r="AA1146" t="s">
        <v>14316</v>
      </c>
      <c r="AB1146" t="s">
        <v>14317</v>
      </c>
      <c r="AC1146" t="s">
        <v>14318</v>
      </c>
      <c r="AD1146" t="s">
        <v>14319</v>
      </c>
      <c r="AE1146" t="s">
        <v>69</v>
      </c>
      <c r="AF1146" t="s">
        <v>14320</v>
      </c>
      <c r="AG1146" t="s">
        <v>14321</v>
      </c>
      <c r="AH1146" t="s">
        <v>69</v>
      </c>
      <c r="AI1146" t="s">
        <v>69</v>
      </c>
      <c r="AJ1146" t="s">
        <v>14322</v>
      </c>
      <c r="AK1146" t="s">
        <v>14322</v>
      </c>
      <c r="AL1146" t="s">
        <v>14323</v>
      </c>
      <c r="AM1146" t="s">
        <v>69</v>
      </c>
      <c r="AN1146">
        <v>34</v>
      </c>
      <c r="AO1146">
        <v>1</v>
      </c>
      <c r="AP1146">
        <v>1</v>
      </c>
      <c r="AQ1146">
        <v>0</v>
      </c>
      <c r="AR1146">
        <v>0</v>
      </c>
      <c r="AS1146" t="s">
        <v>9178</v>
      </c>
      <c r="AT1146" t="s">
        <v>8763</v>
      </c>
      <c r="AU1146" t="s">
        <v>9179</v>
      </c>
      <c r="AV1146" t="s">
        <v>69</v>
      </c>
      <c r="AW1146" t="s">
        <v>9180</v>
      </c>
      <c r="AX1146" t="s">
        <v>69</v>
      </c>
      <c r="AY1146" t="s">
        <v>9181</v>
      </c>
      <c r="AZ1146" t="s">
        <v>9182</v>
      </c>
      <c r="BA1146" t="s">
        <v>255</v>
      </c>
      <c r="BB1146">
        <v>2020</v>
      </c>
      <c r="BC1146">
        <v>9</v>
      </c>
      <c r="BD1146">
        <v>3</v>
      </c>
      <c r="BE1146" t="s">
        <v>69</v>
      </c>
      <c r="BF1146" t="s">
        <v>69</v>
      </c>
      <c r="BG1146" t="s">
        <v>69</v>
      </c>
      <c r="BH1146" t="s">
        <v>69</v>
      </c>
      <c r="BI1146" t="s">
        <v>69</v>
      </c>
      <c r="BJ1146" t="s">
        <v>69</v>
      </c>
      <c r="BK1146" t="s">
        <v>14324</v>
      </c>
      <c r="BL1146" t="s">
        <v>14325</v>
      </c>
      <c r="BM1146" t="str">
        <f>HYPERLINK("http://dx.doi.org/10.1136/bmjoq-2020-001035","http://dx.doi.org/10.1136/bmjoq-2020-001035")</f>
        <v>http://dx.doi.org/10.1136/bmjoq-2020-001035</v>
      </c>
      <c r="BN1146" t="s">
        <v>69</v>
      </c>
      <c r="BO1146" t="s">
        <v>69</v>
      </c>
      <c r="BP1146">
        <v>8</v>
      </c>
      <c r="BQ1146" t="s">
        <v>9186</v>
      </c>
      <c r="BR1146" t="s">
        <v>8573</v>
      </c>
      <c r="BS1146" t="s">
        <v>9187</v>
      </c>
      <c r="BT1146" t="s">
        <v>14326</v>
      </c>
      <c r="BU1146" t="s">
        <v>14327</v>
      </c>
      <c r="BV1146">
        <v>32855158</v>
      </c>
      <c r="BW1146" t="s">
        <v>9352</v>
      </c>
      <c r="BX1146" t="s">
        <v>69</v>
      </c>
      <c r="BY1146" t="s">
        <v>69</v>
      </c>
      <c r="BZ1146" t="s">
        <v>8526</v>
      </c>
      <c r="CA1146" t="str">
        <f>HYPERLINK("https%3A%2F%2Fwww.webofscience.com%2Fwos%2Fwoscc%2Ffull-record%2FWOS:000672549900036","View Full Record in Web of Science")</f>
        <v>View Full Record in Web of Science</v>
      </c>
    </row>
    <row r="1147" spans="2:79" ht="12.5" x14ac:dyDescent="0.25">
      <c r="B1147" t="s">
        <v>8495</v>
      </c>
      <c r="D1147" s="7" t="s">
        <v>32933</v>
      </c>
      <c r="E1147" s="7"/>
      <c r="F1147" s="7"/>
      <c r="G1147" s="7"/>
      <c r="H1147" t="s">
        <v>67</v>
      </c>
      <c r="I1147" t="s">
        <v>7718</v>
      </c>
      <c r="J1147" t="s">
        <v>69</v>
      </c>
      <c r="K1147" t="s">
        <v>69</v>
      </c>
      <c r="L1147" t="s">
        <v>69</v>
      </c>
      <c r="M1147" t="s">
        <v>7719</v>
      </c>
      <c r="N1147" t="s">
        <v>69</v>
      </c>
      <c r="O1147" t="s">
        <v>69</v>
      </c>
      <c r="P1147" t="s">
        <v>7720</v>
      </c>
      <c r="Q1147" t="s">
        <v>7721</v>
      </c>
      <c r="R1147" t="s">
        <v>69</v>
      </c>
      <c r="S1147" t="s">
        <v>69</v>
      </c>
      <c r="T1147" t="s">
        <v>8505</v>
      </c>
      <c r="U1147" t="s">
        <v>8506</v>
      </c>
      <c r="V1147" t="s">
        <v>69</v>
      </c>
      <c r="W1147" t="s">
        <v>69</v>
      </c>
      <c r="X1147" t="s">
        <v>69</v>
      </c>
      <c r="Y1147" t="s">
        <v>69</v>
      </c>
      <c r="Z1147" t="s">
        <v>69</v>
      </c>
      <c r="AA1147" t="s">
        <v>27708</v>
      </c>
      <c r="AB1147" t="s">
        <v>27709</v>
      </c>
      <c r="AC1147" t="s">
        <v>7722</v>
      </c>
      <c r="AD1147" t="s">
        <v>27710</v>
      </c>
      <c r="AE1147" t="s">
        <v>69</v>
      </c>
      <c r="AF1147" t="s">
        <v>27711</v>
      </c>
      <c r="AG1147" t="s">
        <v>27712</v>
      </c>
      <c r="AH1147" t="s">
        <v>69</v>
      </c>
      <c r="AI1147" t="s">
        <v>69</v>
      </c>
      <c r="AJ1147" t="s">
        <v>27713</v>
      </c>
      <c r="AK1147" t="s">
        <v>27714</v>
      </c>
      <c r="AL1147" t="s">
        <v>27715</v>
      </c>
      <c r="AM1147" t="s">
        <v>69</v>
      </c>
      <c r="AN1147">
        <v>30</v>
      </c>
      <c r="AO1147">
        <v>32</v>
      </c>
      <c r="AP1147">
        <v>32</v>
      </c>
      <c r="AQ1147">
        <v>2</v>
      </c>
      <c r="AR1147">
        <v>24</v>
      </c>
      <c r="AS1147" t="s">
        <v>27716</v>
      </c>
      <c r="AT1147" t="s">
        <v>27717</v>
      </c>
      <c r="AU1147" t="s">
        <v>27718</v>
      </c>
      <c r="AV1147" t="s">
        <v>7723</v>
      </c>
      <c r="AW1147" t="s">
        <v>69</v>
      </c>
      <c r="AX1147" t="s">
        <v>69</v>
      </c>
      <c r="AY1147" t="s">
        <v>27719</v>
      </c>
      <c r="AZ1147" t="s">
        <v>27720</v>
      </c>
      <c r="BA1147" t="s">
        <v>84</v>
      </c>
      <c r="BB1147">
        <v>2010</v>
      </c>
      <c r="BC1147">
        <v>26</v>
      </c>
      <c r="BD1147">
        <v>4</v>
      </c>
      <c r="BE1147" t="s">
        <v>69</v>
      </c>
      <c r="BF1147" t="s">
        <v>69</v>
      </c>
      <c r="BG1147" t="s">
        <v>69</v>
      </c>
      <c r="BH1147" t="s">
        <v>69</v>
      </c>
      <c r="BI1147">
        <v>599</v>
      </c>
      <c r="BJ1147">
        <v>613</v>
      </c>
      <c r="BK1147" t="s">
        <v>69</v>
      </c>
      <c r="BL1147" t="s">
        <v>69</v>
      </c>
      <c r="BM1147" t="s">
        <v>69</v>
      </c>
      <c r="BN1147" t="s">
        <v>69</v>
      </c>
      <c r="BO1147" t="s">
        <v>69</v>
      </c>
      <c r="BP1147">
        <v>15</v>
      </c>
      <c r="BQ1147" t="s">
        <v>21513</v>
      </c>
      <c r="BR1147" t="s">
        <v>8548</v>
      </c>
      <c r="BS1147" t="s">
        <v>8450</v>
      </c>
      <c r="BT1147" t="s">
        <v>27721</v>
      </c>
      <c r="BU1147" t="s">
        <v>7724</v>
      </c>
      <c r="BV1147" t="s">
        <v>69</v>
      </c>
      <c r="BW1147" t="s">
        <v>69</v>
      </c>
      <c r="BX1147" t="s">
        <v>69</v>
      </c>
      <c r="BY1147" t="s">
        <v>69</v>
      </c>
      <c r="BZ1147" t="s">
        <v>8526</v>
      </c>
      <c r="CA1147" t="str">
        <f>HYPERLINK("https%3A%2F%2Fwww.webofscience.com%2Fwos%2Fwoscc%2Ffull-record%2FWOS:000281451600008","View Full Record in Web of Science")</f>
        <v>View Full Record in Web of Science</v>
      </c>
    </row>
    <row r="1148" spans="2:79" ht="12.5" x14ac:dyDescent="0.25">
      <c r="B1148" t="s">
        <v>8495</v>
      </c>
      <c r="D1148" s="7" t="s">
        <v>32933</v>
      </c>
      <c r="E1148" s="7"/>
      <c r="F1148" s="7"/>
      <c r="G1148" s="7"/>
      <c r="H1148" t="s">
        <v>67</v>
      </c>
      <c r="I1148" t="s">
        <v>3569</v>
      </c>
      <c r="J1148" t="s">
        <v>69</v>
      </c>
      <c r="K1148" t="s">
        <v>69</v>
      </c>
      <c r="L1148" t="s">
        <v>69</v>
      </c>
      <c r="M1148" t="s">
        <v>3570</v>
      </c>
      <c r="N1148" t="s">
        <v>69</v>
      </c>
      <c r="O1148" t="s">
        <v>69</v>
      </c>
      <c r="P1148" t="s">
        <v>3571</v>
      </c>
      <c r="Q1148" t="s">
        <v>3572</v>
      </c>
      <c r="R1148" t="s">
        <v>69</v>
      </c>
      <c r="S1148" t="s">
        <v>69</v>
      </c>
      <c r="T1148" t="s">
        <v>8505</v>
      </c>
      <c r="U1148" t="s">
        <v>8506</v>
      </c>
      <c r="V1148" t="s">
        <v>69</v>
      </c>
      <c r="W1148" t="s">
        <v>69</v>
      </c>
      <c r="X1148" t="s">
        <v>69</v>
      </c>
      <c r="Y1148" t="s">
        <v>69</v>
      </c>
      <c r="Z1148" t="s">
        <v>69</v>
      </c>
      <c r="AA1148" t="s">
        <v>27888</v>
      </c>
      <c r="AB1148" t="s">
        <v>27889</v>
      </c>
      <c r="AC1148" t="s">
        <v>3573</v>
      </c>
      <c r="AD1148" t="s">
        <v>27890</v>
      </c>
      <c r="AE1148" t="s">
        <v>69</v>
      </c>
      <c r="AF1148" t="s">
        <v>27891</v>
      </c>
      <c r="AG1148" t="s">
        <v>27892</v>
      </c>
      <c r="AH1148" t="s">
        <v>69</v>
      </c>
      <c r="AI1148" t="s">
        <v>69</v>
      </c>
      <c r="AJ1148" t="s">
        <v>69</v>
      </c>
      <c r="AK1148" t="s">
        <v>69</v>
      </c>
      <c r="AL1148" t="s">
        <v>69</v>
      </c>
      <c r="AM1148" t="s">
        <v>69</v>
      </c>
      <c r="AN1148">
        <v>29</v>
      </c>
      <c r="AO1148">
        <v>23</v>
      </c>
      <c r="AP1148">
        <v>23</v>
      </c>
      <c r="AQ1148">
        <v>0</v>
      </c>
      <c r="AR1148">
        <v>11</v>
      </c>
      <c r="AS1148" t="s">
        <v>10352</v>
      </c>
      <c r="AT1148" t="s">
        <v>8637</v>
      </c>
      <c r="AU1148" t="s">
        <v>10353</v>
      </c>
      <c r="AV1148" t="s">
        <v>3574</v>
      </c>
      <c r="AW1148" t="s">
        <v>3575</v>
      </c>
      <c r="AX1148" t="s">
        <v>69</v>
      </c>
      <c r="AY1148" t="s">
        <v>27893</v>
      </c>
      <c r="AZ1148" t="s">
        <v>27894</v>
      </c>
      <c r="BA1148" t="s">
        <v>94</v>
      </c>
      <c r="BB1148">
        <v>2010</v>
      </c>
      <c r="BC1148">
        <v>60</v>
      </c>
      <c r="BD1148">
        <v>2</v>
      </c>
      <c r="BE1148" t="s">
        <v>69</v>
      </c>
      <c r="BF1148" t="s">
        <v>69</v>
      </c>
      <c r="BG1148" t="s">
        <v>69</v>
      </c>
      <c r="BH1148" t="s">
        <v>69</v>
      </c>
      <c r="BI1148">
        <v>139</v>
      </c>
      <c r="BJ1148">
        <v>144</v>
      </c>
      <c r="BK1148" t="s">
        <v>69</v>
      </c>
      <c r="BL1148" t="s">
        <v>3576</v>
      </c>
      <c r="BM1148" t="str">
        <f>HYPERLINK("http://dx.doi.org/10.1093/occmed/kqp175","http://dx.doi.org/10.1093/occmed/kqp175")</f>
        <v>http://dx.doi.org/10.1093/occmed/kqp175</v>
      </c>
      <c r="BN1148" t="s">
        <v>69</v>
      </c>
      <c r="BO1148" t="s">
        <v>69</v>
      </c>
      <c r="BP1148">
        <v>6</v>
      </c>
      <c r="BQ1148" t="s">
        <v>8810</v>
      </c>
      <c r="BR1148" t="s">
        <v>8548</v>
      </c>
      <c r="BS1148" t="s">
        <v>8810</v>
      </c>
      <c r="BT1148" t="s">
        <v>27895</v>
      </c>
      <c r="BU1148" t="s">
        <v>3577</v>
      </c>
      <c r="BV1148">
        <v>20064896</v>
      </c>
      <c r="BW1148" t="s">
        <v>9374</v>
      </c>
      <c r="BX1148" t="s">
        <v>69</v>
      </c>
      <c r="BY1148" t="s">
        <v>69</v>
      </c>
      <c r="BZ1148" t="s">
        <v>8526</v>
      </c>
      <c r="CA1148" t="str">
        <f>HYPERLINK("https%3A%2F%2Fwww.webofscience.com%2Fwos%2Fwoscc%2Ffull-record%2FWOS:000274781100011","View Full Record in Web of Science")</f>
        <v>View Full Record in Web of Science</v>
      </c>
    </row>
    <row r="1149" spans="2:79" ht="12.5" x14ac:dyDescent="0.25">
      <c r="B1149" t="s">
        <v>8495</v>
      </c>
      <c r="D1149" s="22" t="s">
        <v>32931</v>
      </c>
      <c r="E1149" s="7"/>
      <c r="F1149" s="7"/>
      <c r="G1149" s="7"/>
      <c r="H1149" t="s">
        <v>67</v>
      </c>
      <c r="I1149" t="s">
        <v>12017</v>
      </c>
      <c r="J1149" t="s">
        <v>69</v>
      </c>
      <c r="K1149" t="s">
        <v>69</v>
      </c>
      <c r="L1149" t="s">
        <v>69</v>
      </c>
      <c r="M1149" t="s">
        <v>12018</v>
      </c>
      <c r="N1149" t="s">
        <v>69</v>
      </c>
      <c r="O1149" t="s">
        <v>69</v>
      </c>
      <c r="P1149" t="s">
        <v>12019</v>
      </c>
      <c r="Q1149" t="s">
        <v>12020</v>
      </c>
      <c r="R1149" t="s">
        <v>69</v>
      </c>
      <c r="S1149" t="s">
        <v>69</v>
      </c>
      <c r="T1149" t="s">
        <v>10071</v>
      </c>
      <c r="U1149" t="s">
        <v>8506</v>
      </c>
      <c r="V1149" t="s">
        <v>69</v>
      </c>
      <c r="W1149" t="s">
        <v>69</v>
      </c>
      <c r="X1149" t="s">
        <v>69</v>
      </c>
      <c r="Y1149" t="s">
        <v>69</v>
      </c>
      <c r="Z1149" t="s">
        <v>69</v>
      </c>
      <c r="AA1149" t="s">
        <v>12021</v>
      </c>
      <c r="AB1149" t="s">
        <v>12022</v>
      </c>
      <c r="AC1149" t="s">
        <v>12023</v>
      </c>
      <c r="AD1149" t="s">
        <v>12024</v>
      </c>
      <c r="AE1149" t="s">
        <v>69</v>
      </c>
      <c r="AF1149" t="s">
        <v>12025</v>
      </c>
      <c r="AG1149" t="s">
        <v>69</v>
      </c>
      <c r="AH1149" t="s">
        <v>69</v>
      </c>
      <c r="AI1149" t="s">
        <v>69</v>
      </c>
      <c r="AJ1149" t="s">
        <v>69</v>
      </c>
      <c r="AK1149" t="s">
        <v>69</v>
      </c>
      <c r="AL1149" t="s">
        <v>69</v>
      </c>
      <c r="AM1149" t="s">
        <v>69</v>
      </c>
      <c r="AN1149">
        <v>75</v>
      </c>
      <c r="AO1149">
        <v>0</v>
      </c>
      <c r="AP1149">
        <v>0</v>
      </c>
      <c r="AQ1149">
        <v>0</v>
      </c>
      <c r="AR1149">
        <v>2</v>
      </c>
      <c r="AS1149" t="s">
        <v>12026</v>
      </c>
      <c r="AT1149" t="s">
        <v>12027</v>
      </c>
      <c r="AU1149" t="s">
        <v>12028</v>
      </c>
      <c r="AV1149" t="s">
        <v>12029</v>
      </c>
      <c r="AW1149" t="s">
        <v>12030</v>
      </c>
      <c r="AX1149" t="s">
        <v>69</v>
      </c>
      <c r="AY1149" t="s">
        <v>12031</v>
      </c>
      <c r="AZ1149" t="s">
        <v>12032</v>
      </c>
      <c r="BA1149" t="s">
        <v>155</v>
      </c>
      <c r="BB1149">
        <v>2021</v>
      </c>
      <c r="BC1149">
        <v>20</v>
      </c>
      <c r="BD1149">
        <v>2</v>
      </c>
      <c r="BE1149" t="s">
        <v>69</v>
      </c>
      <c r="BF1149" t="s">
        <v>69</v>
      </c>
      <c r="BG1149" t="s">
        <v>69</v>
      </c>
      <c r="BH1149" t="s">
        <v>69</v>
      </c>
      <c r="BI1149">
        <v>67</v>
      </c>
      <c r="BJ1149">
        <v>102</v>
      </c>
      <c r="BK1149" t="s">
        <v>69</v>
      </c>
      <c r="BL1149" t="s">
        <v>69</v>
      </c>
      <c r="BM1149" t="s">
        <v>69</v>
      </c>
      <c r="BN1149" t="s">
        <v>69</v>
      </c>
      <c r="BO1149" t="s">
        <v>69</v>
      </c>
      <c r="BP1149">
        <v>36</v>
      </c>
      <c r="BQ1149" t="s">
        <v>8446</v>
      </c>
      <c r="BR1149" t="s">
        <v>8573</v>
      </c>
      <c r="BS1149" t="s">
        <v>8446</v>
      </c>
      <c r="BT1149" t="s">
        <v>12033</v>
      </c>
      <c r="BU1149" t="s">
        <v>12034</v>
      </c>
      <c r="BV1149" t="s">
        <v>69</v>
      </c>
      <c r="BW1149" t="s">
        <v>69</v>
      </c>
      <c r="BX1149" t="s">
        <v>69</v>
      </c>
      <c r="BY1149" t="s">
        <v>69</v>
      </c>
      <c r="BZ1149" t="s">
        <v>8526</v>
      </c>
      <c r="CA1149" t="str">
        <f>HYPERLINK("https%3A%2F%2Fwww.webofscience.com%2Fwos%2Fwoscc%2Ffull-record%2FWOS:000678138800004","View Full Record in Web of Science")</f>
        <v>View Full Record in Web of Science</v>
      </c>
    </row>
    <row r="1150" spans="2:79" ht="12.5" x14ac:dyDescent="0.25">
      <c r="B1150" t="s">
        <v>8495</v>
      </c>
      <c r="D1150" s="7" t="s">
        <v>32933</v>
      </c>
      <c r="E1150" s="7"/>
      <c r="F1150" s="7"/>
      <c r="G1150" s="7"/>
      <c r="H1150" t="s">
        <v>67</v>
      </c>
      <c r="I1150" t="s">
        <v>4356</v>
      </c>
      <c r="J1150" t="s">
        <v>69</v>
      </c>
      <c r="K1150" t="s">
        <v>69</v>
      </c>
      <c r="L1150" t="s">
        <v>69</v>
      </c>
      <c r="M1150" t="s">
        <v>4356</v>
      </c>
      <c r="N1150" t="s">
        <v>69</v>
      </c>
      <c r="O1150" t="s">
        <v>69</v>
      </c>
      <c r="P1150" t="s">
        <v>4357</v>
      </c>
      <c r="Q1150" t="s">
        <v>4358</v>
      </c>
      <c r="R1150" t="s">
        <v>69</v>
      </c>
      <c r="S1150" t="s">
        <v>69</v>
      </c>
      <c r="T1150" t="s">
        <v>8505</v>
      </c>
      <c r="U1150" t="s">
        <v>8506</v>
      </c>
      <c r="V1150" t="s">
        <v>69</v>
      </c>
      <c r="W1150" t="s">
        <v>69</v>
      </c>
      <c r="X1150" t="s">
        <v>69</v>
      </c>
      <c r="Y1150" t="s">
        <v>69</v>
      </c>
      <c r="Z1150" t="s">
        <v>69</v>
      </c>
      <c r="AA1150" t="s">
        <v>69</v>
      </c>
      <c r="AB1150" t="s">
        <v>69</v>
      </c>
      <c r="AC1150" t="s">
        <v>4359</v>
      </c>
      <c r="AD1150" t="s">
        <v>69</v>
      </c>
      <c r="AE1150" t="s">
        <v>69</v>
      </c>
      <c r="AF1150" t="s">
        <v>69</v>
      </c>
      <c r="AG1150" t="s">
        <v>69</v>
      </c>
      <c r="AH1150" t="s">
        <v>69</v>
      </c>
      <c r="AI1150" t="s">
        <v>69</v>
      </c>
      <c r="AJ1150" t="s">
        <v>69</v>
      </c>
      <c r="AK1150" t="s">
        <v>69</v>
      </c>
      <c r="AL1150" t="s">
        <v>69</v>
      </c>
      <c r="AM1150" t="s">
        <v>69</v>
      </c>
      <c r="AN1150">
        <v>0</v>
      </c>
      <c r="AO1150">
        <v>1</v>
      </c>
      <c r="AP1150">
        <v>1</v>
      </c>
      <c r="AQ1150">
        <v>0</v>
      </c>
      <c r="AR1150">
        <v>0</v>
      </c>
      <c r="AS1150" t="s">
        <v>32541</v>
      </c>
      <c r="AT1150" t="s">
        <v>32489</v>
      </c>
      <c r="AU1150" t="s">
        <v>32542</v>
      </c>
      <c r="AV1150" t="s">
        <v>4360</v>
      </c>
      <c r="AW1150" t="s">
        <v>69</v>
      </c>
      <c r="AX1150" t="s">
        <v>69</v>
      </c>
      <c r="AY1150" t="s">
        <v>32543</v>
      </c>
      <c r="AZ1150" t="s">
        <v>32544</v>
      </c>
      <c r="BA1150" t="s">
        <v>75</v>
      </c>
      <c r="BB1150">
        <v>1995</v>
      </c>
      <c r="BC1150">
        <v>58</v>
      </c>
      <c r="BD1150">
        <v>5</v>
      </c>
      <c r="BE1150" t="s">
        <v>69</v>
      </c>
      <c r="BF1150" t="s">
        <v>69</v>
      </c>
      <c r="BG1150" t="s">
        <v>69</v>
      </c>
      <c r="BH1150" t="s">
        <v>69</v>
      </c>
      <c r="BI1150">
        <v>26</v>
      </c>
      <c r="BJ1150">
        <v>30</v>
      </c>
      <c r="BK1150" t="s">
        <v>69</v>
      </c>
      <c r="BL1150" t="s">
        <v>69</v>
      </c>
      <c r="BM1150" t="s">
        <v>69</v>
      </c>
      <c r="BN1150" t="s">
        <v>69</v>
      </c>
      <c r="BO1150" t="s">
        <v>69</v>
      </c>
      <c r="BP1150">
        <v>5</v>
      </c>
      <c r="BQ1150" t="s">
        <v>10595</v>
      </c>
      <c r="BR1150" t="s">
        <v>8548</v>
      </c>
      <c r="BS1150" t="s">
        <v>10596</v>
      </c>
      <c r="BT1150" t="s">
        <v>32545</v>
      </c>
      <c r="BU1150" t="s">
        <v>4361</v>
      </c>
      <c r="BV1150" t="s">
        <v>69</v>
      </c>
      <c r="BW1150" t="s">
        <v>69</v>
      </c>
      <c r="BX1150" t="s">
        <v>69</v>
      </c>
      <c r="BY1150" t="s">
        <v>69</v>
      </c>
      <c r="BZ1150" t="s">
        <v>8526</v>
      </c>
      <c r="CA1150" t="str">
        <f>HYPERLINK("https%3A%2F%2Fwww.webofscience.com%2Fwos%2Fwoscc%2Ffull-record%2FWOS:A1995TT12000006","View Full Record in Web of Science")</f>
        <v>View Full Record in Web of Science</v>
      </c>
    </row>
    <row r="1151" spans="2:79" ht="12.5" x14ac:dyDescent="0.25">
      <c r="B1151" t="s">
        <v>8495</v>
      </c>
      <c r="D1151" s="7" t="s">
        <v>32933</v>
      </c>
      <c r="E1151" s="7"/>
      <c r="F1151" s="7"/>
      <c r="G1151" s="7"/>
      <c r="H1151" t="s">
        <v>67</v>
      </c>
      <c r="I1151" t="s">
        <v>5397</v>
      </c>
      <c r="J1151" t="s">
        <v>69</v>
      </c>
      <c r="K1151" t="s">
        <v>69</v>
      </c>
      <c r="L1151" t="s">
        <v>69</v>
      </c>
      <c r="M1151" t="s">
        <v>5398</v>
      </c>
      <c r="N1151" t="s">
        <v>69</v>
      </c>
      <c r="O1151" t="s">
        <v>69</v>
      </c>
      <c r="P1151" t="s">
        <v>5399</v>
      </c>
      <c r="Q1151" t="s">
        <v>5400</v>
      </c>
      <c r="R1151" t="s">
        <v>69</v>
      </c>
      <c r="S1151" t="s">
        <v>69</v>
      </c>
      <c r="T1151" t="s">
        <v>8505</v>
      </c>
      <c r="U1151" t="s">
        <v>8506</v>
      </c>
      <c r="V1151" t="s">
        <v>69</v>
      </c>
      <c r="W1151" t="s">
        <v>69</v>
      </c>
      <c r="X1151" t="s">
        <v>69</v>
      </c>
      <c r="Y1151" t="s">
        <v>69</v>
      </c>
      <c r="Z1151" t="s">
        <v>69</v>
      </c>
      <c r="AA1151" t="s">
        <v>20952</v>
      </c>
      <c r="AB1151" t="s">
        <v>20953</v>
      </c>
      <c r="AC1151" t="s">
        <v>5401</v>
      </c>
      <c r="AD1151" t="s">
        <v>20954</v>
      </c>
      <c r="AE1151" t="s">
        <v>69</v>
      </c>
      <c r="AF1151" t="s">
        <v>20955</v>
      </c>
      <c r="AG1151" t="s">
        <v>20956</v>
      </c>
      <c r="AH1151" t="s">
        <v>69</v>
      </c>
      <c r="AI1151" t="s">
        <v>69</v>
      </c>
      <c r="AJ1151" t="s">
        <v>20957</v>
      </c>
      <c r="AK1151" t="s">
        <v>20958</v>
      </c>
      <c r="AL1151" t="s">
        <v>20959</v>
      </c>
      <c r="AM1151" t="s">
        <v>69</v>
      </c>
      <c r="AN1151">
        <v>98</v>
      </c>
      <c r="AO1151">
        <v>24</v>
      </c>
      <c r="AP1151">
        <v>24</v>
      </c>
      <c r="AQ1151">
        <v>1</v>
      </c>
      <c r="AR1151">
        <v>12</v>
      </c>
      <c r="AS1151" t="s">
        <v>8516</v>
      </c>
      <c r="AT1151" t="s">
        <v>8517</v>
      </c>
      <c r="AU1151" t="s">
        <v>8518</v>
      </c>
      <c r="AV1151" t="s">
        <v>5402</v>
      </c>
      <c r="AW1151" t="s">
        <v>5403</v>
      </c>
      <c r="AX1151" t="s">
        <v>69</v>
      </c>
      <c r="AY1151" t="s">
        <v>8974</v>
      </c>
      <c r="AZ1151" t="s">
        <v>8975</v>
      </c>
      <c r="BA1151" t="s">
        <v>373</v>
      </c>
      <c r="BB1151">
        <v>2017</v>
      </c>
      <c r="BC1151">
        <v>23</v>
      </c>
      <c r="BD1151" t="s">
        <v>69</v>
      </c>
      <c r="BE1151" t="s">
        <v>69</v>
      </c>
      <c r="BF1151" t="s">
        <v>69</v>
      </c>
      <c r="BG1151" t="s">
        <v>69</v>
      </c>
      <c r="BH1151" t="s">
        <v>69</v>
      </c>
      <c r="BI1151">
        <v>199</v>
      </c>
      <c r="BJ1151">
        <v>210</v>
      </c>
      <c r="BK1151" t="s">
        <v>69</v>
      </c>
      <c r="BL1151" t="s">
        <v>5404</v>
      </c>
      <c r="BM1151" t="str">
        <f>HYPERLINK("http://dx.doi.org/10.1016/j.erss.2016.09.005","http://dx.doi.org/10.1016/j.erss.2016.09.005")</f>
        <v>http://dx.doi.org/10.1016/j.erss.2016.09.005</v>
      </c>
      <c r="BN1151" t="s">
        <v>69</v>
      </c>
      <c r="BO1151" t="s">
        <v>69</v>
      </c>
      <c r="BP1151">
        <v>12</v>
      </c>
      <c r="BQ1151" t="s">
        <v>8660</v>
      </c>
      <c r="BR1151" t="s">
        <v>8661</v>
      </c>
      <c r="BS1151" t="s">
        <v>8662</v>
      </c>
      <c r="BT1151" t="s">
        <v>20960</v>
      </c>
      <c r="BU1151" t="s">
        <v>5405</v>
      </c>
      <c r="BV1151" t="s">
        <v>69</v>
      </c>
      <c r="BW1151" t="s">
        <v>10423</v>
      </c>
      <c r="BX1151" t="s">
        <v>69</v>
      </c>
      <c r="BY1151" t="s">
        <v>69</v>
      </c>
      <c r="BZ1151" t="s">
        <v>8526</v>
      </c>
      <c r="CA1151" t="str">
        <f>HYPERLINK("https%3A%2F%2Fwww.webofscience.com%2Fwos%2Fwoscc%2Ffull-record%2FWOS:000396395200018","View Full Record in Web of Science")</f>
        <v>View Full Record in Web of Science</v>
      </c>
    </row>
    <row r="1152" spans="2:79" ht="12.5" x14ac:dyDescent="0.25">
      <c r="B1152" t="s">
        <v>8495</v>
      </c>
      <c r="D1152" s="22" t="s">
        <v>32931</v>
      </c>
      <c r="E1152" s="7"/>
      <c r="F1152" s="7"/>
      <c r="G1152" s="7"/>
      <c r="H1152" t="s">
        <v>67</v>
      </c>
      <c r="I1152" t="s">
        <v>15327</v>
      </c>
      <c r="J1152" t="s">
        <v>69</v>
      </c>
      <c r="K1152" t="s">
        <v>69</v>
      </c>
      <c r="L1152" t="s">
        <v>69</v>
      </c>
      <c r="M1152" t="s">
        <v>15328</v>
      </c>
      <c r="N1152" t="s">
        <v>69</v>
      </c>
      <c r="O1152" t="s">
        <v>69</v>
      </c>
      <c r="P1152" t="s">
        <v>15329</v>
      </c>
      <c r="Q1152" t="s">
        <v>15330</v>
      </c>
      <c r="R1152" t="s">
        <v>69</v>
      </c>
      <c r="S1152" t="s">
        <v>69</v>
      </c>
      <c r="T1152" t="s">
        <v>8505</v>
      </c>
      <c r="U1152" t="s">
        <v>8506</v>
      </c>
      <c r="V1152" t="s">
        <v>69</v>
      </c>
      <c r="W1152" t="s">
        <v>69</v>
      </c>
      <c r="X1152" t="s">
        <v>69</v>
      </c>
      <c r="Y1152" t="s">
        <v>69</v>
      </c>
      <c r="Z1152" t="s">
        <v>69</v>
      </c>
      <c r="AA1152" t="s">
        <v>15331</v>
      </c>
      <c r="AB1152" t="s">
        <v>15332</v>
      </c>
      <c r="AC1152" t="s">
        <v>15333</v>
      </c>
      <c r="AD1152" t="s">
        <v>15334</v>
      </c>
      <c r="AE1152" t="s">
        <v>69</v>
      </c>
      <c r="AF1152" t="s">
        <v>15335</v>
      </c>
      <c r="AG1152" t="s">
        <v>15336</v>
      </c>
      <c r="AH1152" t="s">
        <v>15337</v>
      </c>
      <c r="AI1152" t="s">
        <v>15338</v>
      </c>
      <c r="AJ1152" t="s">
        <v>69</v>
      </c>
      <c r="AK1152" t="s">
        <v>69</v>
      </c>
      <c r="AL1152" t="s">
        <v>69</v>
      </c>
      <c r="AM1152" t="s">
        <v>69</v>
      </c>
      <c r="AN1152">
        <v>92</v>
      </c>
      <c r="AO1152">
        <v>1</v>
      </c>
      <c r="AP1152">
        <v>1</v>
      </c>
      <c r="AQ1152">
        <v>1</v>
      </c>
      <c r="AR1152">
        <v>22</v>
      </c>
      <c r="AS1152" t="s">
        <v>8516</v>
      </c>
      <c r="AT1152" t="s">
        <v>8517</v>
      </c>
      <c r="AU1152" t="s">
        <v>8518</v>
      </c>
      <c r="AV1152" t="s">
        <v>15339</v>
      </c>
      <c r="AW1152" t="s">
        <v>15340</v>
      </c>
      <c r="AX1152" t="s">
        <v>69</v>
      </c>
      <c r="AY1152" t="s">
        <v>15341</v>
      </c>
      <c r="AZ1152" t="s">
        <v>15342</v>
      </c>
      <c r="BA1152" t="s">
        <v>586</v>
      </c>
      <c r="BB1152">
        <v>2020</v>
      </c>
      <c r="BC1152">
        <v>61</v>
      </c>
      <c r="BD1152" t="s">
        <v>69</v>
      </c>
      <c r="BE1152" t="s">
        <v>69</v>
      </c>
      <c r="BF1152" t="s">
        <v>69</v>
      </c>
      <c r="BG1152" t="s">
        <v>69</v>
      </c>
      <c r="BH1152" t="s">
        <v>69</v>
      </c>
      <c r="BI1152">
        <v>170</v>
      </c>
      <c r="BJ1152">
        <v>180</v>
      </c>
      <c r="BK1152" t="s">
        <v>69</v>
      </c>
      <c r="BL1152" t="s">
        <v>15343</v>
      </c>
      <c r="BM1152" t="str">
        <f>HYPERLINK("http://dx.doi.org/10.1016/j.socnet.2019.11.002","http://dx.doi.org/10.1016/j.socnet.2019.11.002")</f>
        <v>http://dx.doi.org/10.1016/j.socnet.2019.11.002</v>
      </c>
      <c r="BN1152" t="s">
        <v>69</v>
      </c>
      <c r="BO1152" t="s">
        <v>69</v>
      </c>
      <c r="BP1152">
        <v>11</v>
      </c>
      <c r="BQ1152" t="s">
        <v>15344</v>
      </c>
      <c r="BR1152" t="s">
        <v>8661</v>
      </c>
      <c r="BS1152" t="s">
        <v>15344</v>
      </c>
      <c r="BT1152" t="s">
        <v>15345</v>
      </c>
      <c r="BU1152" t="s">
        <v>15346</v>
      </c>
      <c r="BV1152" t="s">
        <v>69</v>
      </c>
      <c r="BW1152" t="s">
        <v>8622</v>
      </c>
      <c r="BX1152" t="s">
        <v>69</v>
      </c>
      <c r="BY1152" t="s">
        <v>69</v>
      </c>
      <c r="BZ1152" t="s">
        <v>8526</v>
      </c>
      <c r="CA1152" t="str">
        <f>HYPERLINK("https%3A%2F%2Fwww.webofscience.com%2Fwos%2Fwoscc%2Ffull-record%2FWOS:000512481500014","View Full Record in Web of Science")</f>
        <v>View Full Record in Web of Science</v>
      </c>
    </row>
    <row r="1153" spans="2:79" x14ac:dyDescent="0.3">
      <c r="B1153" t="s">
        <v>8495</v>
      </c>
      <c r="D1153" s="9" t="s">
        <v>32954</v>
      </c>
      <c r="E1153" s="9" t="s">
        <v>33122</v>
      </c>
      <c r="F1153" s="10" t="s">
        <v>8490</v>
      </c>
      <c r="G1153" s="9" t="s">
        <v>8490</v>
      </c>
      <c r="H1153" t="s">
        <v>67</v>
      </c>
      <c r="I1153" t="s">
        <v>8964</v>
      </c>
      <c r="J1153" t="s">
        <v>69</v>
      </c>
      <c r="K1153" t="s">
        <v>69</v>
      </c>
      <c r="L1153" t="s">
        <v>69</v>
      </c>
      <c r="M1153" t="s">
        <v>8965</v>
      </c>
      <c r="N1153" t="s">
        <v>69</v>
      </c>
      <c r="O1153" t="s">
        <v>69</v>
      </c>
      <c r="P1153" t="s">
        <v>10246</v>
      </c>
      <c r="Q1153" t="s">
        <v>10247</v>
      </c>
      <c r="R1153" t="s">
        <v>69</v>
      </c>
      <c r="S1153" t="s">
        <v>69</v>
      </c>
      <c r="T1153" t="s">
        <v>8505</v>
      </c>
      <c r="U1153" t="s">
        <v>8506</v>
      </c>
      <c r="V1153" t="s">
        <v>69</v>
      </c>
      <c r="W1153" t="s">
        <v>69</v>
      </c>
      <c r="X1153" t="s">
        <v>69</v>
      </c>
      <c r="Y1153" t="s">
        <v>69</v>
      </c>
      <c r="Z1153" t="s">
        <v>69</v>
      </c>
      <c r="AA1153" t="s">
        <v>10248</v>
      </c>
      <c r="AB1153" t="s">
        <v>10249</v>
      </c>
      <c r="AC1153" t="s">
        <v>10250</v>
      </c>
      <c r="AD1153" t="s">
        <v>10251</v>
      </c>
      <c r="AE1153" t="s">
        <v>69</v>
      </c>
      <c r="AF1153" t="s">
        <v>10252</v>
      </c>
      <c r="AG1153" t="s">
        <v>8972</v>
      </c>
      <c r="AH1153" t="s">
        <v>69</v>
      </c>
      <c r="AI1153" t="s">
        <v>69</v>
      </c>
      <c r="AJ1153" t="s">
        <v>69</v>
      </c>
      <c r="AK1153" t="s">
        <v>69</v>
      </c>
      <c r="AL1153" t="s">
        <v>69</v>
      </c>
      <c r="AM1153" t="s">
        <v>69</v>
      </c>
      <c r="AN1153">
        <v>113</v>
      </c>
      <c r="AO1153">
        <v>1</v>
      </c>
      <c r="AP1153">
        <v>1</v>
      </c>
      <c r="AQ1153">
        <v>3</v>
      </c>
      <c r="AR1153">
        <v>3</v>
      </c>
      <c r="AS1153" t="s">
        <v>10253</v>
      </c>
      <c r="AT1153" t="s">
        <v>10254</v>
      </c>
      <c r="AU1153" t="s">
        <v>10255</v>
      </c>
      <c r="AV1153" t="s">
        <v>69</v>
      </c>
      <c r="AW1153" t="s">
        <v>10256</v>
      </c>
      <c r="AX1153" t="s">
        <v>69</v>
      </c>
      <c r="AY1153" t="s">
        <v>10257</v>
      </c>
      <c r="AZ1153" t="s">
        <v>10258</v>
      </c>
      <c r="BA1153" t="s">
        <v>69</v>
      </c>
      <c r="BB1153">
        <v>2022</v>
      </c>
      <c r="BC1153">
        <v>8</v>
      </c>
      <c r="BD1153">
        <v>1</v>
      </c>
      <c r="BE1153" t="s">
        <v>69</v>
      </c>
      <c r="BF1153" t="s">
        <v>69</v>
      </c>
      <c r="BG1153" t="s">
        <v>69</v>
      </c>
      <c r="BH1153" t="s">
        <v>69</v>
      </c>
      <c r="BI1153">
        <v>111</v>
      </c>
      <c r="BJ1153">
        <v>137</v>
      </c>
      <c r="BK1153" t="s">
        <v>69</v>
      </c>
      <c r="BL1153" t="s">
        <v>10259</v>
      </c>
      <c r="BM1153" t="str">
        <f>HYPERLINK("http://dx.doi.org/10.1525/sod.2021.0018","http://dx.doi.org/10.1525/sod.2021.0018")</f>
        <v>http://dx.doi.org/10.1525/sod.2021.0018</v>
      </c>
      <c r="BN1153" t="s">
        <v>69</v>
      </c>
      <c r="BO1153" t="s">
        <v>69</v>
      </c>
      <c r="BP1153">
        <v>27</v>
      </c>
      <c r="BQ1153" t="s">
        <v>10260</v>
      </c>
      <c r="BR1153" t="s">
        <v>8573</v>
      </c>
      <c r="BS1153" t="s">
        <v>10260</v>
      </c>
      <c r="BT1153" t="s">
        <v>10261</v>
      </c>
      <c r="BU1153" t="s">
        <v>10262</v>
      </c>
      <c r="BV1153" t="s">
        <v>69</v>
      </c>
      <c r="BW1153" t="s">
        <v>69</v>
      </c>
      <c r="BX1153" t="s">
        <v>69</v>
      </c>
      <c r="BY1153" t="s">
        <v>69</v>
      </c>
      <c r="BZ1153" t="s">
        <v>8526</v>
      </c>
      <c r="CA1153" t="str">
        <f>HYPERLINK("https%3A%2F%2Fwww.webofscience.com%2Fwos%2Fwoscc%2Ffull-record%2FWOS:000774019200005","View Full Record in Web of Science")</f>
        <v>View Full Record in Web of Science</v>
      </c>
    </row>
    <row r="1154" spans="2:79" ht="12.5" x14ac:dyDescent="0.25">
      <c r="B1154" t="s">
        <v>8495</v>
      </c>
      <c r="D1154" s="7" t="s">
        <v>32933</v>
      </c>
      <c r="E1154" s="7"/>
      <c r="F1154" s="7"/>
      <c r="G1154" s="7"/>
      <c r="H1154" t="s">
        <v>67</v>
      </c>
      <c r="I1154" t="s">
        <v>5914</v>
      </c>
      <c r="J1154" t="s">
        <v>69</v>
      </c>
      <c r="K1154" t="s">
        <v>69</v>
      </c>
      <c r="L1154" t="s">
        <v>69</v>
      </c>
      <c r="M1154" t="s">
        <v>5915</v>
      </c>
      <c r="N1154" t="s">
        <v>69</v>
      </c>
      <c r="O1154" t="s">
        <v>69</v>
      </c>
      <c r="P1154" t="s">
        <v>5916</v>
      </c>
      <c r="Q1154" t="s">
        <v>5917</v>
      </c>
      <c r="R1154" t="s">
        <v>69</v>
      </c>
      <c r="S1154" t="s">
        <v>69</v>
      </c>
      <c r="T1154" t="s">
        <v>10071</v>
      </c>
      <c r="U1154" t="s">
        <v>8506</v>
      </c>
      <c r="V1154" t="s">
        <v>69</v>
      </c>
      <c r="W1154" t="s">
        <v>69</v>
      </c>
      <c r="X1154" t="s">
        <v>69</v>
      </c>
      <c r="Y1154" t="s">
        <v>69</v>
      </c>
      <c r="Z1154" t="s">
        <v>69</v>
      </c>
      <c r="AA1154" t="s">
        <v>16053</v>
      </c>
      <c r="AB1154" t="s">
        <v>16054</v>
      </c>
      <c r="AC1154" t="s">
        <v>5918</v>
      </c>
      <c r="AD1154" t="s">
        <v>16055</v>
      </c>
      <c r="AE1154" t="s">
        <v>69</v>
      </c>
      <c r="AF1154" t="s">
        <v>16056</v>
      </c>
      <c r="AG1154" t="s">
        <v>16057</v>
      </c>
      <c r="AH1154" t="s">
        <v>16058</v>
      </c>
      <c r="AI1154" t="s">
        <v>16059</v>
      </c>
      <c r="AJ1154" t="s">
        <v>69</v>
      </c>
      <c r="AK1154" t="s">
        <v>69</v>
      </c>
      <c r="AL1154" t="s">
        <v>69</v>
      </c>
      <c r="AM1154" t="s">
        <v>69</v>
      </c>
      <c r="AN1154">
        <v>57</v>
      </c>
      <c r="AO1154">
        <v>5</v>
      </c>
      <c r="AP1154">
        <v>5</v>
      </c>
      <c r="AQ1154">
        <v>0</v>
      </c>
      <c r="AR1154">
        <v>5</v>
      </c>
      <c r="AS1154" t="s">
        <v>16060</v>
      </c>
      <c r="AT1154" t="s">
        <v>16061</v>
      </c>
      <c r="AU1154" t="s">
        <v>16062</v>
      </c>
      <c r="AV1154" t="s">
        <v>5919</v>
      </c>
      <c r="AW1154" t="s">
        <v>5920</v>
      </c>
      <c r="AX1154" t="s">
        <v>69</v>
      </c>
      <c r="AY1154" t="s">
        <v>16063</v>
      </c>
      <c r="AZ1154" t="s">
        <v>16064</v>
      </c>
      <c r="BA1154" t="s">
        <v>69</v>
      </c>
      <c r="BB1154">
        <v>2020</v>
      </c>
      <c r="BC1154">
        <v>20</v>
      </c>
      <c r="BD1154">
        <v>1</v>
      </c>
      <c r="BE1154" t="s">
        <v>69</v>
      </c>
      <c r="BF1154" t="s">
        <v>69</v>
      </c>
      <c r="BG1154" t="s">
        <v>69</v>
      </c>
      <c r="BH1154" t="s">
        <v>69</v>
      </c>
      <c r="BI1154">
        <v>41</v>
      </c>
      <c r="BJ1154">
        <v>63</v>
      </c>
      <c r="BK1154" t="s">
        <v>69</v>
      </c>
      <c r="BL1154" t="s">
        <v>5921</v>
      </c>
      <c r="BM1154" t="str">
        <f>HYPERLINK("http://dx.doi.org/10.5295/cdg.170751dg","http://dx.doi.org/10.5295/cdg.170751dg")</f>
        <v>http://dx.doi.org/10.5295/cdg.170751dg</v>
      </c>
      <c r="BN1154" t="s">
        <v>69</v>
      </c>
      <c r="BO1154" t="s">
        <v>69</v>
      </c>
      <c r="BP1154">
        <v>23</v>
      </c>
      <c r="BQ1154" t="s">
        <v>16065</v>
      </c>
      <c r="BR1154" t="s">
        <v>8573</v>
      </c>
      <c r="BS1154" t="s">
        <v>8594</v>
      </c>
      <c r="BT1154" t="s">
        <v>16066</v>
      </c>
      <c r="BU1154" t="s">
        <v>5922</v>
      </c>
      <c r="BV1154" t="s">
        <v>69</v>
      </c>
      <c r="BW1154" t="s">
        <v>12220</v>
      </c>
      <c r="BX1154" t="s">
        <v>69</v>
      </c>
      <c r="BY1154" t="s">
        <v>69</v>
      </c>
      <c r="BZ1154" t="s">
        <v>8526</v>
      </c>
      <c r="CA1154" t="str">
        <f>HYPERLINK("https%3A%2F%2Fwww.webofscience.com%2Fwos%2Fwoscc%2Ffull-record%2FWOS:000591857000002","View Full Record in Web of Science")</f>
        <v>View Full Record in Web of Science</v>
      </c>
    </row>
    <row r="1155" spans="2:79" x14ac:dyDescent="0.3">
      <c r="B1155" t="s">
        <v>8495</v>
      </c>
      <c r="D1155" s="9" t="s">
        <v>32954</v>
      </c>
      <c r="E1155" s="9" t="s">
        <v>33154</v>
      </c>
      <c r="F1155" s="9" t="s">
        <v>8491</v>
      </c>
      <c r="G1155" s="9" t="s">
        <v>8490</v>
      </c>
      <c r="H1155" t="s">
        <v>67</v>
      </c>
      <c r="I1155" t="s">
        <v>26146</v>
      </c>
      <c r="J1155" t="s">
        <v>69</v>
      </c>
      <c r="K1155" t="s">
        <v>69</v>
      </c>
      <c r="L1155" t="s">
        <v>69</v>
      </c>
      <c r="M1155" t="s">
        <v>26147</v>
      </c>
      <c r="N1155" t="s">
        <v>69</v>
      </c>
      <c r="O1155" t="s">
        <v>69</v>
      </c>
      <c r="P1155" t="s">
        <v>26148</v>
      </c>
      <c r="Q1155" t="s">
        <v>26149</v>
      </c>
      <c r="R1155" t="s">
        <v>69</v>
      </c>
      <c r="S1155" t="s">
        <v>69</v>
      </c>
      <c r="T1155" t="s">
        <v>8505</v>
      </c>
      <c r="U1155" t="s">
        <v>8506</v>
      </c>
      <c r="V1155" t="s">
        <v>69</v>
      </c>
      <c r="W1155" t="s">
        <v>69</v>
      </c>
      <c r="X1155" t="s">
        <v>69</v>
      </c>
      <c r="Y1155" t="s">
        <v>69</v>
      </c>
      <c r="Z1155" t="s">
        <v>69</v>
      </c>
      <c r="AA1155" t="s">
        <v>69</v>
      </c>
      <c r="AB1155" t="s">
        <v>69</v>
      </c>
      <c r="AC1155" t="s">
        <v>26150</v>
      </c>
      <c r="AD1155" t="s">
        <v>26151</v>
      </c>
      <c r="AE1155" t="s">
        <v>69</v>
      </c>
      <c r="AF1155" t="s">
        <v>26152</v>
      </c>
      <c r="AG1155" t="s">
        <v>69</v>
      </c>
      <c r="AH1155" t="s">
        <v>69</v>
      </c>
      <c r="AI1155" t="s">
        <v>69</v>
      </c>
      <c r="AJ1155" t="s">
        <v>26153</v>
      </c>
      <c r="AK1155" t="s">
        <v>26153</v>
      </c>
      <c r="AL1155" t="s">
        <v>26154</v>
      </c>
      <c r="AM1155" t="s">
        <v>69</v>
      </c>
      <c r="AN1155">
        <v>18</v>
      </c>
      <c r="AO1155">
        <v>9</v>
      </c>
      <c r="AP1155">
        <v>9</v>
      </c>
      <c r="AQ1155">
        <v>3</v>
      </c>
      <c r="AR1155">
        <v>3</v>
      </c>
      <c r="AS1155" t="s">
        <v>8846</v>
      </c>
      <c r="AT1155" t="s">
        <v>8847</v>
      </c>
      <c r="AU1155" t="s">
        <v>8848</v>
      </c>
      <c r="AV1155" t="s">
        <v>26155</v>
      </c>
      <c r="AW1155" t="s">
        <v>26156</v>
      </c>
      <c r="AX1155" t="s">
        <v>69</v>
      </c>
      <c r="AY1155" t="s">
        <v>26157</v>
      </c>
      <c r="AZ1155" t="s">
        <v>26158</v>
      </c>
      <c r="BA1155" t="s">
        <v>4092</v>
      </c>
      <c r="BB1155">
        <v>2012</v>
      </c>
      <c r="BC1155">
        <v>24</v>
      </c>
      <c r="BD1155">
        <v>2</v>
      </c>
      <c r="BE1155" t="s">
        <v>69</v>
      </c>
      <c r="BF1155" t="s">
        <v>69</v>
      </c>
      <c r="BG1155" t="s">
        <v>69</v>
      </c>
      <c r="BH1155" t="s">
        <v>69</v>
      </c>
      <c r="BI1155">
        <v>49</v>
      </c>
      <c r="BJ1155" t="s">
        <v>219</v>
      </c>
      <c r="BK1155" t="s">
        <v>69</v>
      </c>
      <c r="BL1155" t="s">
        <v>26159</v>
      </c>
      <c r="BM1155" t="str">
        <f>HYPERLINK("http://dx.doi.org/10.1111/j.1745-6622.2012.00378.x","http://dx.doi.org/10.1111/j.1745-6622.2012.00378.x")</f>
        <v>http://dx.doi.org/10.1111/j.1745-6622.2012.00378.x</v>
      </c>
      <c r="BN1155" t="s">
        <v>69</v>
      </c>
      <c r="BO1155" t="s">
        <v>69</v>
      </c>
      <c r="BP1155">
        <v>9</v>
      </c>
      <c r="BQ1155" t="s">
        <v>9749</v>
      </c>
      <c r="BR1155" t="s">
        <v>8573</v>
      </c>
      <c r="BS1155" t="s">
        <v>8594</v>
      </c>
      <c r="BT1155" t="s">
        <v>26160</v>
      </c>
      <c r="BU1155" t="s">
        <v>26161</v>
      </c>
      <c r="BV1155" t="s">
        <v>69</v>
      </c>
      <c r="BW1155" t="s">
        <v>69</v>
      </c>
      <c r="BX1155" t="s">
        <v>69</v>
      </c>
      <c r="BY1155" t="s">
        <v>69</v>
      </c>
      <c r="BZ1155" t="s">
        <v>8526</v>
      </c>
      <c r="CA1155" t="str">
        <f>HYPERLINK("https%3A%2F%2Fwww.webofscience.com%2Fwos%2Fwoscc%2Ffull-record%2FWOS:000211599200008","View Full Record in Web of Science")</f>
        <v>View Full Record in Web of Science</v>
      </c>
    </row>
    <row r="1156" spans="2:79" ht="12.5" x14ac:dyDescent="0.25">
      <c r="B1156" t="s">
        <v>8495</v>
      </c>
      <c r="D1156" s="22" t="s">
        <v>32931</v>
      </c>
      <c r="E1156" s="7"/>
      <c r="F1156" s="7"/>
      <c r="G1156" s="7"/>
      <c r="H1156" t="s">
        <v>67</v>
      </c>
      <c r="I1156" t="s">
        <v>31988</v>
      </c>
      <c r="J1156" t="s">
        <v>69</v>
      </c>
      <c r="K1156" t="s">
        <v>69</v>
      </c>
      <c r="L1156" t="s">
        <v>69</v>
      </c>
      <c r="M1156" t="s">
        <v>31988</v>
      </c>
      <c r="N1156" t="s">
        <v>69</v>
      </c>
      <c r="O1156" t="s">
        <v>69</v>
      </c>
      <c r="P1156" t="s">
        <v>31989</v>
      </c>
      <c r="Q1156" t="s">
        <v>20134</v>
      </c>
      <c r="R1156" t="s">
        <v>69</v>
      </c>
      <c r="S1156" t="s">
        <v>69</v>
      </c>
      <c r="T1156" t="s">
        <v>8505</v>
      </c>
      <c r="U1156" t="s">
        <v>8506</v>
      </c>
      <c r="V1156" t="s">
        <v>69</v>
      </c>
      <c r="W1156" t="s">
        <v>69</v>
      </c>
      <c r="X1156" t="s">
        <v>69</v>
      </c>
      <c r="Y1156" t="s">
        <v>69</v>
      </c>
      <c r="Z1156" t="s">
        <v>69</v>
      </c>
      <c r="AA1156" t="s">
        <v>69</v>
      </c>
      <c r="AB1156" t="s">
        <v>31990</v>
      </c>
      <c r="AC1156" t="s">
        <v>31991</v>
      </c>
      <c r="AD1156" t="s">
        <v>31992</v>
      </c>
      <c r="AE1156" t="s">
        <v>69</v>
      </c>
      <c r="AF1156" t="s">
        <v>31993</v>
      </c>
      <c r="AG1156" t="s">
        <v>69</v>
      </c>
      <c r="AH1156" t="s">
        <v>69</v>
      </c>
      <c r="AI1156" t="s">
        <v>69</v>
      </c>
      <c r="AJ1156" t="s">
        <v>69</v>
      </c>
      <c r="AK1156" t="s">
        <v>69</v>
      </c>
      <c r="AL1156" t="s">
        <v>69</v>
      </c>
      <c r="AM1156" t="s">
        <v>69</v>
      </c>
      <c r="AN1156">
        <v>29</v>
      </c>
      <c r="AO1156">
        <v>3</v>
      </c>
      <c r="AP1156">
        <v>4</v>
      </c>
      <c r="AQ1156">
        <v>0</v>
      </c>
      <c r="AR1156">
        <v>6</v>
      </c>
      <c r="AS1156" t="s">
        <v>9145</v>
      </c>
      <c r="AT1156" t="s">
        <v>8637</v>
      </c>
      <c r="AU1156" t="s">
        <v>9146</v>
      </c>
      <c r="AV1156" t="s">
        <v>20142</v>
      </c>
      <c r="AW1156" t="s">
        <v>20143</v>
      </c>
      <c r="AX1156" t="s">
        <v>69</v>
      </c>
      <c r="AY1156" t="s">
        <v>20144</v>
      </c>
      <c r="AZ1156" t="s">
        <v>20145</v>
      </c>
      <c r="BA1156" t="s">
        <v>4157</v>
      </c>
      <c r="BB1156">
        <v>1999</v>
      </c>
      <c r="BC1156">
        <v>44</v>
      </c>
      <c r="BD1156" t="s">
        <v>31994</v>
      </c>
      <c r="BE1156" t="s">
        <v>69</v>
      </c>
      <c r="BF1156" t="s">
        <v>69</v>
      </c>
      <c r="BG1156" t="s">
        <v>114</v>
      </c>
      <c r="BH1156" t="s">
        <v>69</v>
      </c>
      <c r="BI1156">
        <v>407</v>
      </c>
      <c r="BJ1156">
        <v>418</v>
      </c>
      <c r="BK1156" t="s">
        <v>69</v>
      </c>
      <c r="BL1156" t="s">
        <v>31995</v>
      </c>
      <c r="BM1156" t="str">
        <f>HYPERLINK("http://dx.doi.org/10.1016/S0094-5765(99)00087-9","http://dx.doi.org/10.1016/S0094-5765(99)00087-9")</f>
        <v>http://dx.doi.org/10.1016/S0094-5765(99)00087-9</v>
      </c>
      <c r="BN1156" t="s">
        <v>69</v>
      </c>
      <c r="BO1156" t="s">
        <v>69</v>
      </c>
      <c r="BP1156">
        <v>12</v>
      </c>
      <c r="BQ1156" t="s">
        <v>14497</v>
      </c>
      <c r="BR1156" t="s">
        <v>8548</v>
      </c>
      <c r="BS1156" t="s">
        <v>8445</v>
      </c>
      <c r="BT1156" t="s">
        <v>31996</v>
      </c>
      <c r="BU1156" t="s">
        <v>31997</v>
      </c>
      <c r="BV1156">
        <v>11542518</v>
      </c>
      <c r="BW1156" t="s">
        <v>69</v>
      </c>
      <c r="BX1156" t="s">
        <v>69</v>
      </c>
      <c r="BY1156" t="s">
        <v>69</v>
      </c>
      <c r="BZ1156" t="s">
        <v>8526</v>
      </c>
      <c r="CA1156" t="str">
        <f>HYPERLINK("https%3A%2F%2Fwww.webofscience.com%2Fwos%2Fwoscc%2Ffull-record%2FWOS:000082555400012","View Full Record in Web of Science")</f>
        <v>View Full Record in Web of Science</v>
      </c>
    </row>
    <row r="1157" spans="2:79" ht="12.5" x14ac:dyDescent="0.25">
      <c r="B1157" t="s">
        <v>8495</v>
      </c>
      <c r="D1157" s="22" t="s">
        <v>32931</v>
      </c>
      <c r="E1157" s="7"/>
      <c r="F1157" s="7"/>
      <c r="G1157" s="7"/>
      <c r="H1157" t="s">
        <v>67</v>
      </c>
      <c r="I1157" t="s">
        <v>13103</v>
      </c>
      <c r="J1157" t="s">
        <v>69</v>
      </c>
      <c r="K1157" t="s">
        <v>69</v>
      </c>
      <c r="L1157" t="s">
        <v>69</v>
      </c>
      <c r="M1157" t="s">
        <v>13104</v>
      </c>
      <c r="N1157" t="s">
        <v>69</v>
      </c>
      <c r="O1157" t="s">
        <v>69</v>
      </c>
      <c r="P1157" t="s">
        <v>13105</v>
      </c>
      <c r="Q1157" t="s">
        <v>7336</v>
      </c>
      <c r="R1157" t="s">
        <v>69</v>
      </c>
      <c r="S1157" t="s">
        <v>69</v>
      </c>
      <c r="T1157" t="s">
        <v>8505</v>
      </c>
      <c r="U1157" t="s">
        <v>8556</v>
      </c>
      <c r="V1157" t="s">
        <v>69</v>
      </c>
      <c r="W1157" t="s">
        <v>69</v>
      </c>
      <c r="X1157" t="s">
        <v>69</v>
      </c>
      <c r="Y1157" t="s">
        <v>69</v>
      </c>
      <c r="Z1157" t="s">
        <v>69</v>
      </c>
      <c r="AA1157" t="s">
        <v>13106</v>
      </c>
      <c r="AB1157" t="s">
        <v>13107</v>
      </c>
      <c r="AC1157" t="s">
        <v>13108</v>
      </c>
      <c r="AD1157" t="s">
        <v>13109</v>
      </c>
      <c r="AE1157" t="s">
        <v>69</v>
      </c>
      <c r="AF1157" t="s">
        <v>13110</v>
      </c>
      <c r="AG1157" t="s">
        <v>13111</v>
      </c>
      <c r="AH1157" t="s">
        <v>69</v>
      </c>
      <c r="AI1157" t="s">
        <v>13112</v>
      </c>
      <c r="AJ1157" t="s">
        <v>69</v>
      </c>
      <c r="AK1157" t="s">
        <v>69</v>
      </c>
      <c r="AL1157" t="s">
        <v>69</v>
      </c>
      <c r="AM1157" t="s">
        <v>69</v>
      </c>
      <c r="AN1157">
        <v>75</v>
      </c>
      <c r="AO1157">
        <v>1</v>
      </c>
      <c r="AP1157">
        <v>1</v>
      </c>
      <c r="AQ1157">
        <v>0</v>
      </c>
      <c r="AR1157">
        <v>1</v>
      </c>
      <c r="AS1157" t="s">
        <v>8586</v>
      </c>
      <c r="AT1157" t="s">
        <v>8587</v>
      </c>
      <c r="AU1157" t="s">
        <v>8588</v>
      </c>
      <c r="AV1157" t="s">
        <v>7338</v>
      </c>
      <c r="AW1157" t="s">
        <v>69</v>
      </c>
      <c r="AX1157" t="s">
        <v>69</v>
      </c>
      <c r="AY1157" t="s">
        <v>12700</v>
      </c>
      <c r="AZ1157" t="s">
        <v>12701</v>
      </c>
      <c r="BA1157" t="s">
        <v>69</v>
      </c>
      <c r="BB1157" t="s">
        <v>69</v>
      </c>
      <c r="BC1157" t="s">
        <v>69</v>
      </c>
      <c r="BD1157" t="s">
        <v>69</v>
      </c>
      <c r="BE1157" t="s">
        <v>69</v>
      </c>
      <c r="BF1157" t="s">
        <v>69</v>
      </c>
      <c r="BG1157" t="s">
        <v>69</v>
      </c>
      <c r="BH1157" t="s">
        <v>69</v>
      </c>
      <c r="BI1157" t="s">
        <v>69</v>
      </c>
      <c r="BJ1157" t="s">
        <v>69</v>
      </c>
      <c r="BK1157" t="s">
        <v>69</v>
      </c>
      <c r="BL1157" t="s">
        <v>13113</v>
      </c>
      <c r="BM1157" t="str">
        <f>HYPERLINK("http://dx.doi.org/10.1108/IJBPA-10-2020-0090","http://dx.doi.org/10.1108/IJBPA-10-2020-0090")</f>
        <v>http://dx.doi.org/10.1108/IJBPA-10-2020-0090</v>
      </c>
      <c r="BN1157" t="s">
        <v>69</v>
      </c>
      <c r="BO1157" t="s">
        <v>13029</v>
      </c>
      <c r="BP1157">
        <v>24</v>
      </c>
      <c r="BQ1157" t="s">
        <v>10105</v>
      </c>
      <c r="BR1157" t="s">
        <v>8573</v>
      </c>
      <c r="BS1157" t="s">
        <v>10105</v>
      </c>
      <c r="BT1157" t="s">
        <v>13114</v>
      </c>
      <c r="BU1157" t="s">
        <v>13115</v>
      </c>
      <c r="BV1157" t="s">
        <v>69</v>
      </c>
      <c r="BW1157" t="s">
        <v>69</v>
      </c>
      <c r="BX1157" t="s">
        <v>69</v>
      </c>
      <c r="BY1157" t="s">
        <v>69</v>
      </c>
      <c r="BZ1157" t="s">
        <v>8526</v>
      </c>
      <c r="CA1157" t="str">
        <f>HYPERLINK("https%3A%2F%2Fwww.webofscience.com%2Fwos%2Fwoscc%2Ffull-record%2FWOS:000619988900001","View Full Record in Web of Science")</f>
        <v>View Full Record in Web of Science</v>
      </c>
    </row>
    <row r="1158" spans="2:79" ht="12.5" x14ac:dyDescent="0.25">
      <c r="B1158" t="s">
        <v>8495</v>
      </c>
      <c r="D1158" s="7" t="s">
        <v>32933</v>
      </c>
      <c r="E1158" s="7"/>
      <c r="F1158" s="7"/>
      <c r="G1158" s="7"/>
      <c r="H1158" t="s">
        <v>67</v>
      </c>
      <c r="I1158" t="s">
        <v>185</v>
      </c>
      <c r="J1158" t="s">
        <v>69</v>
      </c>
      <c r="K1158" t="s">
        <v>69</v>
      </c>
      <c r="L1158" t="s">
        <v>69</v>
      </c>
      <c r="M1158" t="s">
        <v>186</v>
      </c>
      <c r="N1158" t="s">
        <v>69</v>
      </c>
      <c r="O1158" t="s">
        <v>69</v>
      </c>
      <c r="P1158" t="s">
        <v>187</v>
      </c>
      <c r="Q1158" t="s">
        <v>7422</v>
      </c>
      <c r="R1158" t="s">
        <v>69</v>
      </c>
      <c r="S1158" t="s">
        <v>69</v>
      </c>
      <c r="T1158" t="s">
        <v>12534</v>
      </c>
      <c r="U1158" t="s">
        <v>8506</v>
      </c>
      <c r="V1158" t="s">
        <v>69</v>
      </c>
      <c r="W1158" t="s">
        <v>69</v>
      </c>
      <c r="X1158" t="s">
        <v>69</v>
      </c>
      <c r="Y1158" t="s">
        <v>69</v>
      </c>
      <c r="Z1158" t="s">
        <v>69</v>
      </c>
      <c r="AA1158" t="s">
        <v>24950</v>
      </c>
      <c r="AB1158" t="s">
        <v>69</v>
      </c>
      <c r="AC1158" t="s">
        <v>7423</v>
      </c>
      <c r="AD1158" t="s">
        <v>24951</v>
      </c>
      <c r="AE1158" t="s">
        <v>69</v>
      </c>
      <c r="AF1158" t="s">
        <v>24952</v>
      </c>
      <c r="AG1158" t="s">
        <v>24953</v>
      </c>
      <c r="AH1158" t="s">
        <v>69</v>
      </c>
      <c r="AI1158" t="s">
        <v>69</v>
      </c>
      <c r="AJ1158" t="s">
        <v>69</v>
      </c>
      <c r="AK1158" t="s">
        <v>69</v>
      </c>
      <c r="AL1158" t="s">
        <v>69</v>
      </c>
      <c r="AM1158" t="s">
        <v>69</v>
      </c>
      <c r="AN1158">
        <v>4</v>
      </c>
      <c r="AO1158">
        <v>0</v>
      </c>
      <c r="AP1158">
        <v>0</v>
      </c>
      <c r="AQ1158">
        <v>0</v>
      </c>
      <c r="AR1158">
        <v>6</v>
      </c>
      <c r="AS1158" t="s">
        <v>24954</v>
      </c>
      <c r="AT1158" t="s">
        <v>11361</v>
      </c>
      <c r="AU1158" t="s">
        <v>24955</v>
      </c>
      <c r="AV1158" t="s">
        <v>7424</v>
      </c>
      <c r="AW1158" t="s">
        <v>7425</v>
      </c>
      <c r="AX1158" t="s">
        <v>69</v>
      </c>
      <c r="AY1158" t="s">
        <v>7422</v>
      </c>
      <c r="AZ1158" t="s">
        <v>24956</v>
      </c>
      <c r="BA1158" t="s">
        <v>155</v>
      </c>
      <c r="BB1158">
        <v>2013</v>
      </c>
      <c r="BC1158">
        <v>90</v>
      </c>
      <c r="BD1158">
        <v>6</v>
      </c>
      <c r="BE1158" t="s">
        <v>69</v>
      </c>
      <c r="BF1158" t="s">
        <v>69</v>
      </c>
      <c r="BG1158" t="s">
        <v>69</v>
      </c>
      <c r="BH1158" t="s">
        <v>69</v>
      </c>
      <c r="BI1158">
        <v>348</v>
      </c>
      <c r="BJ1158">
        <v>353</v>
      </c>
      <c r="BK1158" t="s">
        <v>69</v>
      </c>
      <c r="BL1158" t="s">
        <v>7426</v>
      </c>
      <c r="BM1158" t="str">
        <f>HYPERLINK("http://dx.doi.org/10.1002/bate.201300006","http://dx.doi.org/10.1002/bate.201300006")</f>
        <v>http://dx.doi.org/10.1002/bate.201300006</v>
      </c>
      <c r="BN1158" t="s">
        <v>69</v>
      </c>
      <c r="BO1158" t="s">
        <v>69</v>
      </c>
      <c r="BP1158">
        <v>6</v>
      </c>
      <c r="BQ1158" t="s">
        <v>13537</v>
      </c>
      <c r="BR1158" t="s">
        <v>8548</v>
      </c>
      <c r="BS1158" t="s">
        <v>8445</v>
      </c>
      <c r="BT1158" t="s">
        <v>24957</v>
      </c>
      <c r="BU1158" t="s">
        <v>7427</v>
      </c>
      <c r="BV1158" t="s">
        <v>69</v>
      </c>
      <c r="BW1158" t="s">
        <v>69</v>
      </c>
      <c r="BX1158" t="s">
        <v>69</v>
      </c>
      <c r="BY1158" t="s">
        <v>69</v>
      </c>
      <c r="BZ1158" t="s">
        <v>8526</v>
      </c>
      <c r="CA1158" t="str">
        <f>HYPERLINK("https%3A%2F%2Fwww.webofscience.com%2Fwos%2Fwoscc%2Ffull-record%2FWOS:000319825600003","View Full Record in Web of Science")</f>
        <v>View Full Record in Web of Science</v>
      </c>
    </row>
    <row r="1159" spans="2:79" ht="12.5" x14ac:dyDescent="0.25">
      <c r="B1159" t="s">
        <v>8495</v>
      </c>
      <c r="D1159" s="7" t="s">
        <v>32933</v>
      </c>
      <c r="E1159" s="7"/>
      <c r="F1159" s="7"/>
      <c r="G1159" s="7"/>
      <c r="H1159" t="s">
        <v>67</v>
      </c>
      <c r="I1159" t="s">
        <v>185</v>
      </c>
      <c r="J1159" t="s">
        <v>69</v>
      </c>
      <c r="K1159" t="s">
        <v>69</v>
      </c>
      <c r="L1159" t="s">
        <v>69</v>
      </c>
      <c r="M1159" t="s">
        <v>186</v>
      </c>
      <c r="N1159" t="s">
        <v>69</v>
      </c>
      <c r="O1159" t="s">
        <v>69</v>
      </c>
      <c r="P1159" t="s">
        <v>187</v>
      </c>
      <c r="Q1159" t="s">
        <v>188</v>
      </c>
      <c r="R1159" t="s">
        <v>69</v>
      </c>
      <c r="S1159" t="s">
        <v>69</v>
      </c>
      <c r="T1159" t="s">
        <v>8505</v>
      </c>
      <c r="U1159" t="s">
        <v>8506</v>
      </c>
      <c r="V1159" t="s">
        <v>69</v>
      </c>
      <c r="W1159" t="s">
        <v>69</v>
      </c>
      <c r="X1159" t="s">
        <v>69</v>
      </c>
      <c r="Y1159" t="s">
        <v>69</v>
      </c>
      <c r="Z1159" t="s">
        <v>69</v>
      </c>
      <c r="AA1159" t="s">
        <v>25212</v>
      </c>
      <c r="AB1159" t="s">
        <v>69</v>
      </c>
      <c r="AC1159" t="s">
        <v>189</v>
      </c>
      <c r="AD1159" t="s">
        <v>25213</v>
      </c>
      <c r="AE1159" t="s">
        <v>69</v>
      </c>
      <c r="AF1159" t="s">
        <v>25214</v>
      </c>
      <c r="AG1159" t="s">
        <v>25215</v>
      </c>
      <c r="AH1159" t="s">
        <v>69</v>
      </c>
      <c r="AI1159" t="s">
        <v>69</v>
      </c>
      <c r="AJ1159" t="s">
        <v>69</v>
      </c>
      <c r="AK1159" t="s">
        <v>69</v>
      </c>
      <c r="AL1159" t="s">
        <v>69</v>
      </c>
      <c r="AM1159" t="s">
        <v>69</v>
      </c>
      <c r="AN1159">
        <v>4</v>
      </c>
      <c r="AO1159">
        <v>0</v>
      </c>
      <c r="AP1159">
        <v>0</v>
      </c>
      <c r="AQ1159">
        <v>0</v>
      </c>
      <c r="AR1159">
        <v>11</v>
      </c>
      <c r="AS1159" t="s">
        <v>25216</v>
      </c>
      <c r="AT1159" t="s">
        <v>25217</v>
      </c>
      <c r="AU1159" t="s">
        <v>25218</v>
      </c>
      <c r="AV1159" t="s">
        <v>190</v>
      </c>
      <c r="AW1159" t="s">
        <v>69</v>
      </c>
      <c r="AX1159" t="s">
        <v>69</v>
      </c>
      <c r="AY1159" t="s">
        <v>25219</v>
      </c>
      <c r="AZ1159" t="s">
        <v>25220</v>
      </c>
      <c r="BA1159" t="s">
        <v>191</v>
      </c>
      <c r="BB1159">
        <v>2013</v>
      </c>
      <c r="BC1159">
        <v>23</v>
      </c>
      <c r="BD1159">
        <v>1</v>
      </c>
      <c r="BE1159" t="s">
        <v>69</v>
      </c>
      <c r="BF1159" t="s">
        <v>69</v>
      </c>
      <c r="BG1159" t="s">
        <v>69</v>
      </c>
      <c r="BH1159" t="s">
        <v>69</v>
      </c>
      <c r="BI1159">
        <v>34</v>
      </c>
      <c r="BJ1159">
        <v>38</v>
      </c>
      <c r="BK1159" t="s">
        <v>69</v>
      </c>
      <c r="BL1159" t="s">
        <v>192</v>
      </c>
      <c r="BM1159" t="str">
        <f>HYPERLINK("http://dx.doi.org/10.2749/101686613X13439149157353","http://dx.doi.org/10.2749/101686613X13439149157353")</f>
        <v>http://dx.doi.org/10.2749/101686613X13439149157353</v>
      </c>
      <c r="BN1159" t="s">
        <v>69</v>
      </c>
      <c r="BO1159" t="s">
        <v>69</v>
      </c>
      <c r="BP1159">
        <v>5</v>
      </c>
      <c r="BQ1159" t="s">
        <v>11242</v>
      </c>
      <c r="BR1159" t="s">
        <v>8548</v>
      </c>
      <c r="BS1159" t="s">
        <v>8549</v>
      </c>
      <c r="BT1159" t="s">
        <v>25221</v>
      </c>
      <c r="BU1159" t="s">
        <v>193</v>
      </c>
      <c r="BV1159" t="s">
        <v>69</v>
      </c>
      <c r="BW1159" t="s">
        <v>69</v>
      </c>
      <c r="BX1159" t="s">
        <v>69</v>
      </c>
      <c r="BY1159" t="s">
        <v>69</v>
      </c>
      <c r="BZ1159" t="s">
        <v>8526</v>
      </c>
      <c r="CA1159" t="str">
        <f>HYPERLINK("https%3A%2F%2Fwww.webofscience.com%2Fwos%2Fwoscc%2Ffull-record%2FWOS:000314382200008","View Full Record in Web of Science")</f>
        <v>View Full Record in Web of Science</v>
      </c>
    </row>
    <row r="1160" spans="2:79" ht="12.5" x14ac:dyDescent="0.25">
      <c r="B1160" t="s">
        <v>8495</v>
      </c>
      <c r="D1160" s="7" t="s">
        <v>32933</v>
      </c>
      <c r="E1160" s="7"/>
      <c r="F1160" s="7"/>
      <c r="G1160" s="7"/>
      <c r="H1160" t="s">
        <v>67</v>
      </c>
      <c r="I1160" t="s">
        <v>6917</v>
      </c>
      <c r="J1160" t="s">
        <v>69</v>
      </c>
      <c r="K1160" t="s">
        <v>69</v>
      </c>
      <c r="L1160" t="s">
        <v>69</v>
      </c>
      <c r="M1160" t="s">
        <v>6917</v>
      </c>
      <c r="N1160" t="s">
        <v>69</v>
      </c>
      <c r="O1160" t="s">
        <v>69</v>
      </c>
      <c r="P1160" t="s">
        <v>6918</v>
      </c>
      <c r="Q1160" t="s">
        <v>6919</v>
      </c>
      <c r="R1160" t="s">
        <v>69</v>
      </c>
      <c r="S1160" t="s">
        <v>69</v>
      </c>
      <c r="T1160" t="s">
        <v>8505</v>
      </c>
      <c r="U1160" t="s">
        <v>8506</v>
      </c>
      <c r="V1160" t="s">
        <v>69</v>
      </c>
      <c r="W1160" t="s">
        <v>69</v>
      </c>
      <c r="X1160" t="s">
        <v>69</v>
      </c>
      <c r="Y1160" t="s">
        <v>69</v>
      </c>
      <c r="Z1160" t="s">
        <v>69</v>
      </c>
      <c r="AA1160" t="s">
        <v>32028</v>
      </c>
      <c r="AB1160" t="s">
        <v>69</v>
      </c>
      <c r="AC1160" t="s">
        <v>6920</v>
      </c>
      <c r="AD1160" t="s">
        <v>32029</v>
      </c>
      <c r="AE1160" t="s">
        <v>69</v>
      </c>
      <c r="AF1160" t="s">
        <v>32030</v>
      </c>
      <c r="AG1160" t="s">
        <v>69</v>
      </c>
      <c r="AH1160" t="s">
        <v>69</v>
      </c>
      <c r="AI1160" t="s">
        <v>69</v>
      </c>
      <c r="AJ1160" t="s">
        <v>69</v>
      </c>
      <c r="AK1160" t="s">
        <v>69</v>
      </c>
      <c r="AL1160" t="s">
        <v>69</v>
      </c>
      <c r="AM1160" t="s">
        <v>69</v>
      </c>
      <c r="AN1160">
        <v>3</v>
      </c>
      <c r="AO1160">
        <v>2</v>
      </c>
      <c r="AP1160">
        <v>2</v>
      </c>
      <c r="AQ1160">
        <v>0</v>
      </c>
      <c r="AR1160">
        <v>11</v>
      </c>
      <c r="AS1160" t="s">
        <v>31715</v>
      </c>
      <c r="AT1160" t="s">
        <v>9048</v>
      </c>
      <c r="AU1160" t="s">
        <v>31716</v>
      </c>
      <c r="AV1160" t="s">
        <v>6921</v>
      </c>
      <c r="AW1160" t="s">
        <v>69</v>
      </c>
      <c r="AX1160" t="s">
        <v>69</v>
      </c>
      <c r="AY1160" t="s">
        <v>6919</v>
      </c>
      <c r="AZ1160" t="s">
        <v>16486</v>
      </c>
      <c r="BA1160" t="s">
        <v>191</v>
      </c>
      <c r="BB1160">
        <v>1999</v>
      </c>
      <c r="BC1160">
        <v>26</v>
      </c>
      <c r="BD1160">
        <v>1</v>
      </c>
      <c r="BE1160" t="s">
        <v>69</v>
      </c>
      <c r="BF1160" t="s">
        <v>69</v>
      </c>
      <c r="BG1160" t="s">
        <v>69</v>
      </c>
      <c r="BH1160" t="s">
        <v>69</v>
      </c>
      <c r="BI1160">
        <v>67</v>
      </c>
      <c r="BJ1160">
        <v>86</v>
      </c>
      <c r="BK1160" t="s">
        <v>69</v>
      </c>
      <c r="BL1160" t="s">
        <v>6922</v>
      </c>
      <c r="BM1160" t="str">
        <f>HYPERLINK("http://dx.doi.org/10.1023/A:1005164117855","http://dx.doi.org/10.1023/A:1005164117855")</f>
        <v>http://dx.doi.org/10.1023/A:1005164117855</v>
      </c>
      <c r="BN1160" t="s">
        <v>69</v>
      </c>
      <c r="BO1160" t="s">
        <v>69</v>
      </c>
      <c r="BP1160">
        <v>20</v>
      </c>
      <c r="BQ1160" t="s">
        <v>9560</v>
      </c>
      <c r="BR1160" t="s">
        <v>8523</v>
      </c>
      <c r="BS1160" t="s">
        <v>9561</v>
      </c>
      <c r="BT1160" t="s">
        <v>32031</v>
      </c>
      <c r="BU1160" t="s">
        <v>6923</v>
      </c>
      <c r="BV1160" t="s">
        <v>69</v>
      </c>
      <c r="BW1160" t="s">
        <v>69</v>
      </c>
      <c r="BX1160" t="s">
        <v>69</v>
      </c>
      <c r="BY1160" t="s">
        <v>69</v>
      </c>
      <c r="BZ1160" t="s">
        <v>8526</v>
      </c>
      <c r="CA1160" t="str">
        <f>HYPERLINK("https%3A%2F%2Fwww.webofscience.com%2Fwos%2Fwoscc%2Ffull-record%2FWOS:000080941400005","View Full Record in Web of Science")</f>
        <v>View Full Record in Web of Science</v>
      </c>
    </row>
    <row r="1161" spans="2:79" ht="12.5" x14ac:dyDescent="0.25">
      <c r="B1161" t="s">
        <v>8495</v>
      </c>
      <c r="D1161" s="7" t="s">
        <v>32933</v>
      </c>
      <c r="E1161" s="7"/>
      <c r="F1161" s="7"/>
      <c r="G1161" s="7"/>
      <c r="H1161" t="s">
        <v>67</v>
      </c>
      <c r="I1161" t="s">
        <v>7752</v>
      </c>
      <c r="J1161" t="s">
        <v>69</v>
      </c>
      <c r="K1161" t="s">
        <v>69</v>
      </c>
      <c r="L1161" t="s">
        <v>69</v>
      </c>
      <c r="M1161" t="s">
        <v>7752</v>
      </c>
      <c r="N1161" t="s">
        <v>69</v>
      </c>
      <c r="O1161" t="s">
        <v>69</v>
      </c>
      <c r="P1161" s="3" t="s">
        <v>7753</v>
      </c>
      <c r="Q1161" t="s">
        <v>6571</v>
      </c>
      <c r="R1161" t="s">
        <v>69</v>
      </c>
      <c r="S1161" t="s">
        <v>69</v>
      </c>
      <c r="T1161" t="s">
        <v>8505</v>
      </c>
      <c r="U1161" t="s">
        <v>8506</v>
      </c>
      <c r="V1161" t="s">
        <v>69</v>
      </c>
      <c r="W1161" t="s">
        <v>69</v>
      </c>
      <c r="X1161" t="s">
        <v>69</v>
      </c>
      <c r="Y1161" t="s">
        <v>69</v>
      </c>
      <c r="Z1161" t="s">
        <v>69</v>
      </c>
      <c r="AA1161" t="s">
        <v>69</v>
      </c>
      <c r="AB1161" t="s">
        <v>69</v>
      </c>
      <c r="AC1161" t="s">
        <v>7754</v>
      </c>
      <c r="AD1161" t="s">
        <v>69</v>
      </c>
      <c r="AE1161" t="s">
        <v>69</v>
      </c>
      <c r="AF1161" t="s">
        <v>32319</v>
      </c>
      <c r="AG1161" t="s">
        <v>69</v>
      </c>
      <c r="AH1161" t="s">
        <v>69</v>
      </c>
      <c r="AI1161" t="s">
        <v>69</v>
      </c>
      <c r="AJ1161" t="s">
        <v>69</v>
      </c>
      <c r="AK1161" t="s">
        <v>69</v>
      </c>
      <c r="AL1161" t="s">
        <v>69</v>
      </c>
      <c r="AM1161" t="s">
        <v>69</v>
      </c>
      <c r="AN1161">
        <v>24</v>
      </c>
      <c r="AO1161">
        <v>6</v>
      </c>
      <c r="AP1161">
        <v>6</v>
      </c>
      <c r="AQ1161">
        <v>0</v>
      </c>
      <c r="AR1161">
        <v>4</v>
      </c>
      <c r="AS1161" t="s">
        <v>8692</v>
      </c>
      <c r="AT1161" t="s">
        <v>8693</v>
      </c>
      <c r="AU1161" t="s">
        <v>32320</v>
      </c>
      <c r="AV1161" t="s">
        <v>6573</v>
      </c>
      <c r="AW1161" t="s">
        <v>69</v>
      </c>
      <c r="AX1161" t="s">
        <v>69</v>
      </c>
      <c r="AY1161" t="s">
        <v>10988</v>
      </c>
      <c r="AZ1161" t="s">
        <v>10989</v>
      </c>
      <c r="BA1161" t="s">
        <v>2031</v>
      </c>
      <c r="BB1161">
        <v>1997</v>
      </c>
      <c r="BC1161">
        <v>54</v>
      </c>
      <c r="BD1161" t="s">
        <v>4267</v>
      </c>
      <c r="BE1161" t="s">
        <v>69</v>
      </c>
      <c r="BF1161" t="s">
        <v>69</v>
      </c>
      <c r="BG1161" t="s">
        <v>69</v>
      </c>
      <c r="BH1161" t="s">
        <v>69</v>
      </c>
      <c r="BI1161">
        <v>199</v>
      </c>
      <c r="BJ1161">
        <v>214</v>
      </c>
      <c r="BK1161" t="s">
        <v>69</v>
      </c>
      <c r="BL1161" t="s">
        <v>7755</v>
      </c>
      <c r="BM1161" t="str">
        <f>HYPERLINK("http://dx.doi.org/10.1016/S0040-1625(96)00187-4","http://dx.doi.org/10.1016/S0040-1625(96)00187-4")</f>
        <v>http://dx.doi.org/10.1016/S0040-1625(96)00187-4</v>
      </c>
      <c r="BN1161" t="s">
        <v>69</v>
      </c>
      <c r="BO1161" t="s">
        <v>69</v>
      </c>
      <c r="BP1161">
        <v>16</v>
      </c>
      <c r="BQ1161" t="s">
        <v>10992</v>
      </c>
      <c r="BR1161" t="s">
        <v>8661</v>
      </c>
      <c r="BS1161" t="s">
        <v>10993</v>
      </c>
      <c r="BT1161" t="s">
        <v>32321</v>
      </c>
      <c r="BU1161" t="s">
        <v>7756</v>
      </c>
      <c r="BV1161" t="s">
        <v>69</v>
      </c>
      <c r="BW1161" t="s">
        <v>69</v>
      </c>
      <c r="BX1161" t="s">
        <v>69</v>
      </c>
      <c r="BY1161" t="s">
        <v>69</v>
      </c>
      <c r="BZ1161" t="s">
        <v>8526</v>
      </c>
      <c r="CA1161" t="str">
        <f>HYPERLINK("https%3A%2F%2Fwww.webofscience.com%2Fwos%2Fwoscc%2Ffull-record%2FWOS:A1997WQ28500007","View Full Record in Web of Science")</f>
        <v>View Full Record in Web of Science</v>
      </c>
    </row>
    <row r="1162" spans="2:79" ht="12.5" x14ac:dyDescent="0.25">
      <c r="B1162" t="s">
        <v>8495</v>
      </c>
      <c r="D1162" s="7" t="s">
        <v>32933</v>
      </c>
      <c r="E1162" s="7"/>
      <c r="F1162" s="7"/>
      <c r="G1162" s="7"/>
      <c r="H1162" t="s">
        <v>67</v>
      </c>
      <c r="I1162" t="s">
        <v>5710</v>
      </c>
      <c r="J1162" t="s">
        <v>69</v>
      </c>
      <c r="K1162" t="s">
        <v>69</v>
      </c>
      <c r="L1162" t="s">
        <v>69</v>
      </c>
      <c r="M1162" t="s">
        <v>5711</v>
      </c>
      <c r="N1162" t="s">
        <v>69</v>
      </c>
      <c r="O1162" t="s">
        <v>69</v>
      </c>
      <c r="P1162" t="s">
        <v>5712</v>
      </c>
      <c r="Q1162" t="s">
        <v>5713</v>
      </c>
      <c r="R1162" t="s">
        <v>69</v>
      </c>
      <c r="S1162" t="s">
        <v>69</v>
      </c>
      <c r="T1162" t="s">
        <v>8505</v>
      </c>
      <c r="U1162" t="s">
        <v>8506</v>
      </c>
      <c r="V1162" t="s">
        <v>69</v>
      </c>
      <c r="W1162" t="s">
        <v>69</v>
      </c>
      <c r="X1162" t="s">
        <v>69</v>
      </c>
      <c r="Y1162" t="s">
        <v>69</v>
      </c>
      <c r="Z1162" t="s">
        <v>69</v>
      </c>
      <c r="AA1162" t="s">
        <v>28405</v>
      </c>
      <c r="AB1162" t="s">
        <v>28406</v>
      </c>
      <c r="AC1162" t="s">
        <v>5714</v>
      </c>
      <c r="AD1162" t="s">
        <v>28407</v>
      </c>
      <c r="AE1162" t="s">
        <v>69</v>
      </c>
      <c r="AF1162" t="s">
        <v>28408</v>
      </c>
      <c r="AG1162" t="s">
        <v>28409</v>
      </c>
      <c r="AH1162" t="s">
        <v>69</v>
      </c>
      <c r="AI1162" t="s">
        <v>69</v>
      </c>
      <c r="AJ1162" t="s">
        <v>69</v>
      </c>
      <c r="AK1162" t="s">
        <v>69</v>
      </c>
      <c r="AL1162" t="s">
        <v>69</v>
      </c>
      <c r="AM1162" t="s">
        <v>69</v>
      </c>
      <c r="AN1162">
        <v>59</v>
      </c>
      <c r="AO1162">
        <v>66</v>
      </c>
      <c r="AP1162">
        <v>67</v>
      </c>
      <c r="AQ1162">
        <v>2</v>
      </c>
      <c r="AR1162">
        <v>41</v>
      </c>
      <c r="AS1162" t="s">
        <v>8762</v>
      </c>
      <c r="AT1162" t="s">
        <v>8763</v>
      </c>
      <c r="AU1162" t="s">
        <v>8764</v>
      </c>
      <c r="AV1162" t="s">
        <v>5715</v>
      </c>
      <c r="AW1162" t="s">
        <v>5716</v>
      </c>
      <c r="AX1162" t="s">
        <v>69</v>
      </c>
      <c r="AY1162" t="s">
        <v>28410</v>
      </c>
      <c r="AZ1162" t="s">
        <v>28411</v>
      </c>
      <c r="BA1162" t="s">
        <v>84</v>
      </c>
      <c r="BB1162">
        <v>2009</v>
      </c>
      <c r="BC1162">
        <v>57</v>
      </c>
      <c r="BD1162">
        <v>4</v>
      </c>
      <c r="BE1162" t="s">
        <v>69</v>
      </c>
      <c r="BF1162" t="s">
        <v>69</v>
      </c>
      <c r="BG1162" t="s">
        <v>69</v>
      </c>
      <c r="BH1162" t="s">
        <v>69</v>
      </c>
      <c r="BI1162">
        <v>581</v>
      </c>
      <c r="BJ1162">
        <v>605</v>
      </c>
      <c r="BK1162" t="s">
        <v>69</v>
      </c>
      <c r="BL1162" t="s">
        <v>5717</v>
      </c>
      <c r="BM1162" t="str">
        <f>HYPERLINK("http://dx.doi.org/10.1177/0011392109104355","http://dx.doi.org/10.1177/0011392109104355")</f>
        <v>http://dx.doi.org/10.1177/0011392109104355</v>
      </c>
      <c r="BN1162" t="s">
        <v>69</v>
      </c>
      <c r="BO1162" t="s">
        <v>69</v>
      </c>
      <c r="BP1162">
        <v>25</v>
      </c>
      <c r="BQ1162" t="s">
        <v>12930</v>
      </c>
      <c r="BR1162" t="s">
        <v>8661</v>
      </c>
      <c r="BS1162" t="s">
        <v>12930</v>
      </c>
      <c r="BT1162" t="s">
        <v>28412</v>
      </c>
      <c r="BU1162" t="s">
        <v>5718</v>
      </c>
      <c r="BV1162" t="s">
        <v>69</v>
      </c>
      <c r="BW1162" t="s">
        <v>10995</v>
      </c>
      <c r="BX1162" t="s">
        <v>69</v>
      </c>
      <c r="BY1162" t="s">
        <v>69</v>
      </c>
      <c r="BZ1162" t="s">
        <v>8526</v>
      </c>
      <c r="CA1162" t="str">
        <f>HYPERLINK("https%3A%2F%2Fwww.webofscience.com%2Fwos%2Fwoscc%2Ffull-record%2FWOS:000267635900006","View Full Record in Web of Science")</f>
        <v>View Full Record in Web of Science</v>
      </c>
    </row>
    <row r="1163" spans="2:79" ht="12.5" x14ac:dyDescent="0.25">
      <c r="B1163" t="s">
        <v>8495</v>
      </c>
      <c r="D1163" s="7" t="s">
        <v>32933</v>
      </c>
      <c r="E1163" s="7"/>
      <c r="F1163" s="7"/>
      <c r="G1163" s="7"/>
      <c r="H1163" t="s">
        <v>67</v>
      </c>
      <c r="I1163" t="s">
        <v>7388</v>
      </c>
      <c r="J1163" t="s">
        <v>69</v>
      </c>
      <c r="K1163" t="s">
        <v>69</v>
      </c>
      <c r="L1163" t="s">
        <v>69</v>
      </c>
      <c r="M1163" t="s">
        <v>7389</v>
      </c>
      <c r="N1163" t="s">
        <v>69</v>
      </c>
      <c r="O1163" t="s">
        <v>69</v>
      </c>
      <c r="P1163" t="s">
        <v>7390</v>
      </c>
      <c r="Q1163" t="s">
        <v>80</v>
      </c>
      <c r="R1163" t="s">
        <v>69</v>
      </c>
      <c r="S1163" t="s">
        <v>69</v>
      </c>
      <c r="T1163" t="s">
        <v>8505</v>
      </c>
      <c r="U1163" t="s">
        <v>8506</v>
      </c>
      <c r="V1163" t="s">
        <v>69</v>
      </c>
      <c r="W1163" t="s">
        <v>69</v>
      </c>
      <c r="X1163" t="s">
        <v>69</v>
      </c>
      <c r="Y1163" t="s">
        <v>69</v>
      </c>
      <c r="Z1163" t="s">
        <v>69</v>
      </c>
      <c r="AA1163" t="s">
        <v>18113</v>
      </c>
      <c r="AB1163" t="s">
        <v>18114</v>
      </c>
      <c r="AC1163" t="s">
        <v>7391</v>
      </c>
      <c r="AD1163" t="s">
        <v>18115</v>
      </c>
      <c r="AE1163" t="s">
        <v>69</v>
      </c>
      <c r="AF1163" t="s">
        <v>18116</v>
      </c>
      <c r="AG1163" t="s">
        <v>18117</v>
      </c>
      <c r="AH1163" t="s">
        <v>18118</v>
      </c>
      <c r="AI1163" t="s">
        <v>18119</v>
      </c>
      <c r="AJ1163" t="s">
        <v>69</v>
      </c>
      <c r="AK1163" t="s">
        <v>69</v>
      </c>
      <c r="AL1163" t="s">
        <v>69</v>
      </c>
      <c r="AM1163" t="s">
        <v>69</v>
      </c>
      <c r="AN1163">
        <v>21</v>
      </c>
      <c r="AO1163">
        <v>4</v>
      </c>
      <c r="AP1163">
        <v>4</v>
      </c>
      <c r="AQ1163">
        <v>1</v>
      </c>
      <c r="AR1163">
        <v>8</v>
      </c>
      <c r="AS1163" t="s">
        <v>14819</v>
      </c>
      <c r="AT1163" t="s">
        <v>14820</v>
      </c>
      <c r="AU1163" t="s">
        <v>14821</v>
      </c>
      <c r="AV1163" t="s">
        <v>83</v>
      </c>
      <c r="AW1163" t="s">
        <v>69</v>
      </c>
      <c r="AX1163" t="s">
        <v>69</v>
      </c>
      <c r="AY1163" t="s">
        <v>14822</v>
      </c>
      <c r="AZ1163" t="s">
        <v>14823</v>
      </c>
      <c r="BA1163" t="s">
        <v>274</v>
      </c>
      <c r="BB1163">
        <v>2018</v>
      </c>
      <c r="BC1163">
        <v>4</v>
      </c>
      <c r="BD1163">
        <v>11</v>
      </c>
      <c r="BE1163" t="s">
        <v>69</v>
      </c>
      <c r="BF1163" t="s">
        <v>69</v>
      </c>
      <c r="BG1163" t="s">
        <v>69</v>
      </c>
      <c r="BH1163" t="s">
        <v>69</v>
      </c>
      <c r="BI1163">
        <v>2692</v>
      </c>
      <c r="BJ1163">
        <v>2701</v>
      </c>
      <c r="BK1163" t="s">
        <v>69</v>
      </c>
      <c r="BL1163" t="s">
        <v>7392</v>
      </c>
      <c r="BM1163" t="str">
        <f>HYPERLINK("http://dx.doi.org/10.28991/cej-03091192","http://dx.doi.org/10.28991/cej-03091192")</f>
        <v>http://dx.doi.org/10.28991/cej-03091192</v>
      </c>
      <c r="BN1163" t="s">
        <v>69</v>
      </c>
      <c r="BO1163" t="s">
        <v>69</v>
      </c>
      <c r="BP1163">
        <v>10</v>
      </c>
      <c r="BQ1163" t="s">
        <v>13537</v>
      </c>
      <c r="BR1163" t="s">
        <v>8573</v>
      </c>
      <c r="BS1163" t="s">
        <v>8445</v>
      </c>
      <c r="BT1163" t="s">
        <v>18120</v>
      </c>
      <c r="BU1163" t="s">
        <v>7393</v>
      </c>
      <c r="BV1163" t="s">
        <v>69</v>
      </c>
      <c r="BW1163" t="s">
        <v>12220</v>
      </c>
      <c r="BX1163" t="s">
        <v>69</v>
      </c>
      <c r="BY1163" t="s">
        <v>69</v>
      </c>
      <c r="BZ1163" t="s">
        <v>8526</v>
      </c>
      <c r="CA1163" t="str">
        <f>HYPERLINK("https%3A%2F%2Fwww.webofscience.com%2Fwos%2Fwoscc%2Ffull-record%2FWOS:000454182400016","View Full Record in Web of Science")</f>
        <v>View Full Record in Web of Science</v>
      </c>
    </row>
    <row r="1164" spans="2:79" ht="12.5" x14ac:dyDescent="0.25">
      <c r="B1164" t="s">
        <v>8495</v>
      </c>
      <c r="D1164" s="22" t="s">
        <v>32931</v>
      </c>
      <c r="E1164" s="7"/>
      <c r="F1164" s="7"/>
      <c r="G1164" s="7"/>
      <c r="H1164" t="s">
        <v>67</v>
      </c>
      <c r="I1164" t="s">
        <v>14555</v>
      </c>
      <c r="J1164" t="s">
        <v>69</v>
      </c>
      <c r="K1164" t="s">
        <v>69</v>
      </c>
      <c r="L1164" t="s">
        <v>69</v>
      </c>
      <c r="M1164" t="s">
        <v>14556</v>
      </c>
      <c r="N1164" t="s">
        <v>69</v>
      </c>
      <c r="O1164" t="s">
        <v>69</v>
      </c>
      <c r="P1164" t="s">
        <v>14557</v>
      </c>
      <c r="Q1164" t="s">
        <v>14558</v>
      </c>
      <c r="R1164" t="s">
        <v>69</v>
      </c>
      <c r="S1164" t="s">
        <v>69</v>
      </c>
      <c r="T1164" t="s">
        <v>8505</v>
      </c>
      <c r="U1164" t="s">
        <v>8506</v>
      </c>
      <c r="V1164" t="s">
        <v>69</v>
      </c>
      <c r="W1164" t="s">
        <v>69</v>
      </c>
      <c r="X1164" t="s">
        <v>69</v>
      </c>
      <c r="Y1164" t="s">
        <v>69</v>
      </c>
      <c r="Z1164" t="s">
        <v>69</v>
      </c>
      <c r="AA1164" t="s">
        <v>14559</v>
      </c>
      <c r="AB1164" t="s">
        <v>14560</v>
      </c>
      <c r="AC1164" t="s">
        <v>14561</v>
      </c>
      <c r="AD1164" t="s">
        <v>14562</v>
      </c>
      <c r="AE1164" t="s">
        <v>69</v>
      </c>
      <c r="AF1164" t="s">
        <v>14563</v>
      </c>
      <c r="AG1164" t="s">
        <v>14564</v>
      </c>
      <c r="AH1164" t="s">
        <v>14565</v>
      </c>
      <c r="AI1164" t="s">
        <v>14566</v>
      </c>
      <c r="AJ1164" t="s">
        <v>69</v>
      </c>
      <c r="AK1164" t="s">
        <v>69</v>
      </c>
      <c r="AL1164" t="s">
        <v>69</v>
      </c>
      <c r="AM1164" t="s">
        <v>69</v>
      </c>
      <c r="AN1164">
        <v>31</v>
      </c>
      <c r="AO1164">
        <v>4</v>
      </c>
      <c r="AP1164">
        <v>4</v>
      </c>
      <c r="AQ1164">
        <v>2</v>
      </c>
      <c r="AR1164">
        <v>5</v>
      </c>
      <c r="AS1164" t="s">
        <v>8826</v>
      </c>
      <c r="AT1164" t="s">
        <v>8827</v>
      </c>
      <c r="AU1164" t="s">
        <v>8828</v>
      </c>
      <c r="AV1164" t="s">
        <v>14567</v>
      </c>
      <c r="AW1164" t="s">
        <v>14568</v>
      </c>
      <c r="AX1164" t="s">
        <v>69</v>
      </c>
      <c r="AY1164" t="s">
        <v>14569</v>
      </c>
      <c r="AZ1164" t="s">
        <v>14570</v>
      </c>
      <c r="BA1164" t="s">
        <v>442</v>
      </c>
      <c r="BB1164">
        <v>2021</v>
      </c>
      <c r="BC1164">
        <v>61</v>
      </c>
      <c r="BD1164">
        <v>3</v>
      </c>
      <c r="BE1164" t="s">
        <v>69</v>
      </c>
      <c r="BF1164" t="s">
        <v>69</v>
      </c>
      <c r="BG1164" t="s">
        <v>69</v>
      </c>
      <c r="BH1164" t="s">
        <v>69</v>
      </c>
      <c r="BI1164">
        <v>201</v>
      </c>
      <c r="BJ1164">
        <v>207</v>
      </c>
      <c r="BK1164" t="s">
        <v>69</v>
      </c>
      <c r="BL1164" t="s">
        <v>14571</v>
      </c>
      <c r="BM1164" t="str">
        <f>HYPERLINK("http://dx.doi.org/10.1071/AN20115","http://dx.doi.org/10.1071/AN20115")</f>
        <v>http://dx.doi.org/10.1071/AN20115</v>
      </c>
      <c r="BN1164" t="s">
        <v>69</v>
      </c>
      <c r="BO1164" t="s">
        <v>1917</v>
      </c>
      <c r="BP1164">
        <v>7</v>
      </c>
      <c r="BQ1164" t="s">
        <v>9683</v>
      </c>
      <c r="BR1164" t="s">
        <v>8548</v>
      </c>
      <c r="BS1164" t="s">
        <v>8450</v>
      </c>
      <c r="BT1164" t="s">
        <v>14572</v>
      </c>
      <c r="BU1164" t="s">
        <v>14573</v>
      </c>
      <c r="BV1164" t="s">
        <v>69</v>
      </c>
      <c r="BW1164" t="s">
        <v>8622</v>
      </c>
      <c r="BX1164" t="s">
        <v>69</v>
      </c>
      <c r="BY1164" t="s">
        <v>69</v>
      </c>
      <c r="BZ1164" t="s">
        <v>8526</v>
      </c>
      <c r="CA1164" t="str">
        <f>HYPERLINK("https%3A%2F%2Fwww.webofscience.com%2Fwos%2Fwoscc%2Ffull-record%2FWOS:000561932300001","View Full Record in Web of Science")</f>
        <v>View Full Record in Web of Science</v>
      </c>
    </row>
    <row r="1165" spans="2:79" ht="12.5" x14ac:dyDescent="0.25">
      <c r="B1165" t="s">
        <v>8495</v>
      </c>
      <c r="D1165" s="22" t="s">
        <v>32931</v>
      </c>
      <c r="E1165" s="7"/>
      <c r="F1165" s="7"/>
      <c r="G1165" s="7"/>
      <c r="H1165" t="s">
        <v>67</v>
      </c>
      <c r="I1165" t="s">
        <v>13637</v>
      </c>
      <c r="J1165" t="s">
        <v>69</v>
      </c>
      <c r="K1165" t="s">
        <v>69</v>
      </c>
      <c r="L1165" t="s">
        <v>69</v>
      </c>
      <c r="M1165" t="s">
        <v>13638</v>
      </c>
      <c r="N1165" t="s">
        <v>69</v>
      </c>
      <c r="O1165" t="s">
        <v>69</v>
      </c>
      <c r="P1165" t="s">
        <v>13639</v>
      </c>
      <c r="Q1165" t="s">
        <v>5493</v>
      </c>
      <c r="R1165" t="s">
        <v>69</v>
      </c>
      <c r="S1165" t="s">
        <v>69</v>
      </c>
      <c r="T1165" t="s">
        <v>9357</v>
      </c>
      <c r="U1165" t="s">
        <v>8506</v>
      </c>
      <c r="V1165" t="s">
        <v>69</v>
      </c>
      <c r="W1165" t="s">
        <v>69</v>
      </c>
      <c r="X1165" t="s">
        <v>69</v>
      </c>
      <c r="Y1165" t="s">
        <v>69</v>
      </c>
      <c r="Z1165" t="s">
        <v>69</v>
      </c>
      <c r="AA1165" t="s">
        <v>13640</v>
      </c>
      <c r="AB1165" t="s">
        <v>69</v>
      </c>
      <c r="AC1165" t="s">
        <v>13641</v>
      </c>
      <c r="AD1165" t="s">
        <v>13642</v>
      </c>
      <c r="AE1165" t="s">
        <v>69</v>
      </c>
      <c r="AF1165" t="s">
        <v>13643</v>
      </c>
      <c r="AG1165" t="s">
        <v>13644</v>
      </c>
      <c r="AH1165" t="s">
        <v>69</v>
      </c>
      <c r="AI1165" t="s">
        <v>69</v>
      </c>
      <c r="AJ1165" t="s">
        <v>69</v>
      </c>
      <c r="AK1165" t="s">
        <v>69</v>
      </c>
      <c r="AL1165" t="s">
        <v>69</v>
      </c>
      <c r="AM1165" t="s">
        <v>69</v>
      </c>
      <c r="AN1165">
        <v>19</v>
      </c>
      <c r="AO1165">
        <v>1</v>
      </c>
      <c r="AP1165">
        <v>1</v>
      </c>
      <c r="AQ1165">
        <v>0</v>
      </c>
      <c r="AR1165">
        <v>0</v>
      </c>
      <c r="AS1165" t="s">
        <v>13645</v>
      </c>
      <c r="AT1165" t="s">
        <v>9367</v>
      </c>
      <c r="AU1165" t="s">
        <v>13646</v>
      </c>
      <c r="AV1165" t="s">
        <v>5497</v>
      </c>
      <c r="AW1165" t="s">
        <v>69</v>
      </c>
      <c r="AX1165" t="s">
        <v>69</v>
      </c>
      <c r="AY1165" t="s">
        <v>13647</v>
      </c>
      <c r="AZ1165" t="s">
        <v>13648</v>
      </c>
      <c r="BA1165" t="s">
        <v>69</v>
      </c>
      <c r="BB1165">
        <v>2021</v>
      </c>
      <c r="BC1165">
        <v>19</v>
      </c>
      <c r="BD1165">
        <v>2</v>
      </c>
      <c r="BE1165" t="s">
        <v>69</v>
      </c>
      <c r="BF1165" t="s">
        <v>69</v>
      </c>
      <c r="BG1165" t="s">
        <v>69</v>
      </c>
      <c r="BH1165" t="s">
        <v>69</v>
      </c>
      <c r="BI1165">
        <v>253</v>
      </c>
      <c r="BJ1165">
        <v>268</v>
      </c>
      <c r="BK1165" t="s">
        <v>69</v>
      </c>
      <c r="BL1165" t="s">
        <v>13649</v>
      </c>
      <c r="BM1165" t="str">
        <f>HYPERLINK("http://dx.doi.org/10.17323/727-0634-2021-19-2-253-268","http://dx.doi.org/10.17323/727-0634-2021-19-2-253-268")</f>
        <v>http://dx.doi.org/10.17323/727-0634-2021-19-2-253-268</v>
      </c>
      <c r="BN1165" t="s">
        <v>69</v>
      </c>
      <c r="BO1165" t="s">
        <v>69</v>
      </c>
      <c r="BP1165">
        <v>16</v>
      </c>
      <c r="BQ1165" t="s">
        <v>13650</v>
      </c>
      <c r="BR1165" t="s">
        <v>8573</v>
      </c>
      <c r="BS1165" t="s">
        <v>13650</v>
      </c>
      <c r="BT1165" t="s">
        <v>13651</v>
      </c>
      <c r="BU1165" t="s">
        <v>13652</v>
      </c>
      <c r="BV1165" t="s">
        <v>69</v>
      </c>
      <c r="BW1165" t="s">
        <v>8931</v>
      </c>
      <c r="BX1165" t="s">
        <v>69</v>
      </c>
      <c r="BY1165" t="s">
        <v>69</v>
      </c>
      <c r="BZ1165" t="s">
        <v>8526</v>
      </c>
      <c r="CA1165" t="str">
        <f>HYPERLINK("https%3A%2F%2Fwww.webofscience.com%2Fwos%2Fwoscc%2Ffull-record%2FWOS:000672650700006","View Full Record in Web of Science")</f>
        <v>View Full Record in Web of Science</v>
      </c>
    </row>
    <row r="1166" spans="2:79" ht="12.5" x14ac:dyDescent="0.25">
      <c r="B1166" t="s">
        <v>8495</v>
      </c>
      <c r="D1166" s="22" t="s">
        <v>32931</v>
      </c>
      <c r="E1166" s="7"/>
      <c r="F1166" s="7"/>
      <c r="G1166" s="7"/>
      <c r="H1166" t="s">
        <v>67</v>
      </c>
      <c r="I1166" t="s">
        <v>24765</v>
      </c>
      <c r="J1166" t="s">
        <v>69</v>
      </c>
      <c r="K1166" t="s">
        <v>69</v>
      </c>
      <c r="L1166" t="s">
        <v>69</v>
      </c>
      <c r="M1166" t="s">
        <v>24766</v>
      </c>
      <c r="N1166" t="s">
        <v>69</v>
      </c>
      <c r="O1166" t="s">
        <v>69</v>
      </c>
      <c r="P1166" t="s">
        <v>24767</v>
      </c>
      <c r="Q1166" t="s">
        <v>1602</v>
      </c>
      <c r="R1166" t="s">
        <v>69</v>
      </c>
      <c r="S1166" t="s">
        <v>69</v>
      </c>
      <c r="T1166" t="s">
        <v>8505</v>
      </c>
      <c r="U1166" t="s">
        <v>8506</v>
      </c>
      <c r="V1166" t="s">
        <v>69</v>
      </c>
      <c r="W1166" t="s">
        <v>69</v>
      </c>
      <c r="X1166" t="s">
        <v>69</v>
      </c>
      <c r="Y1166" t="s">
        <v>69</v>
      </c>
      <c r="Z1166" t="s">
        <v>69</v>
      </c>
      <c r="AA1166" t="s">
        <v>69</v>
      </c>
      <c r="AB1166" t="s">
        <v>24768</v>
      </c>
      <c r="AC1166" t="s">
        <v>24769</v>
      </c>
      <c r="AD1166" t="s">
        <v>24770</v>
      </c>
      <c r="AE1166" t="s">
        <v>69</v>
      </c>
      <c r="AF1166" t="s">
        <v>24771</v>
      </c>
      <c r="AG1166" t="s">
        <v>24772</v>
      </c>
      <c r="AH1166" t="s">
        <v>69</v>
      </c>
      <c r="AI1166" t="s">
        <v>69</v>
      </c>
      <c r="AJ1166" t="s">
        <v>69</v>
      </c>
      <c r="AK1166" t="s">
        <v>69</v>
      </c>
      <c r="AL1166" t="s">
        <v>69</v>
      </c>
      <c r="AM1166" t="s">
        <v>69</v>
      </c>
      <c r="AN1166">
        <v>156</v>
      </c>
      <c r="AO1166">
        <v>53</v>
      </c>
      <c r="AP1166">
        <v>53</v>
      </c>
      <c r="AQ1166">
        <v>1</v>
      </c>
      <c r="AR1166">
        <v>59</v>
      </c>
      <c r="AS1166" t="s">
        <v>8762</v>
      </c>
      <c r="AT1166" t="s">
        <v>8763</v>
      </c>
      <c r="AU1166" t="s">
        <v>8764</v>
      </c>
      <c r="AV1166" t="s">
        <v>1604</v>
      </c>
      <c r="AW1166" t="s">
        <v>2269</v>
      </c>
      <c r="AX1166" t="s">
        <v>69</v>
      </c>
      <c r="AY1166" t="s">
        <v>15091</v>
      </c>
      <c r="AZ1166" t="s">
        <v>15092</v>
      </c>
      <c r="BA1166" t="s">
        <v>201</v>
      </c>
      <c r="BB1166">
        <v>2013</v>
      </c>
      <c r="BC1166">
        <v>50</v>
      </c>
      <c r="BD1166">
        <v>11</v>
      </c>
      <c r="BE1166" t="s">
        <v>69</v>
      </c>
      <c r="BF1166" t="s">
        <v>69</v>
      </c>
      <c r="BG1166" t="s">
        <v>114</v>
      </c>
      <c r="BH1166" t="s">
        <v>69</v>
      </c>
      <c r="BI1166">
        <v>2196</v>
      </c>
      <c r="BJ1166">
        <v>2221</v>
      </c>
      <c r="BK1166" t="s">
        <v>69</v>
      </c>
      <c r="BL1166" t="s">
        <v>24773</v>
      </c>
      <c r="BM1166" t="str">
        <f>HYPERLINK("http://dx.doi.org/10.1177/0042098013491164","http://dx.doi.org/10.1177/0042098013491164")</f>
        <v>http://dx.doi.org/10.1177/0042098013491164</v>
      </c>
      <c r="BN1166" t="s">
        <v>69</v>
      </c>
      <c r="BO1166" t="s">
        <v>69</v>
      </c>
      <c r="BP1166">
        <v>26</v>
      </c>
      <c r="BQ1166" t="s">
        <v>15093</v>
      </c>
      <c r="BR1166" t="s">
        <v>8661</v>
      </c>
      <c r="BS1166" t="s">
        <v>15094</v>
      </c>
      <c r="BT1166" t="s">
        <v>24774</v>
      </c>
      <c r="BU1166" t="s">
        <v>24775</v>
      </c>
      <c r="BV1166" t="s">
        <v>69</v>
      </c>
      <c r="BW1166" t="s">
        <v>69</v>
      </c>
      <c r="BX1166" t="s">
        <v>69</v>
      </c>
      <c r="BY1166" t="s">
        <v>69</v>
      </c>
      <c r="BZ1166" t="s">
        <v>8526</v>
      </c>
      <c r="CA1166" t="str">
        <f>HYPERLINK("https%3A%2F%2Fwww.webofscience.com%2Fwos%2Fwoscc%2Ffull-record%2FWOS:000329488700009","View Full Record in Web of Science")</f>
        <v>View Full Record in Web of Science</v>
      </c>
    </row>
    <row r="1167" spans="2:79" ht="12.5" x14ac:dyDescent="0.25">
      <c r="B1167" t="s">
        <v>8495</v>
      </c>
      <c r="D1167" s="7" t="s">
        <v>32933</v>
      </c>
      <c r="E1167" s="7"/>
      <c r="F1167" s="7"/>
      <c r="G1167" s="7"/>
      <c r="H1167" t="s">
        <v>67</v>
      </c>
      <c r="I1167" t="s">
        <v>7224</v>
      </c>
      <c r="J1167" t="s">
        <v>69</v>
      </c>
      <c r="K1167" t="s">
        <v>69</v>
      </c>
      <c r="L1167" t="s">
        <v>69</v>
      </c>
      <c r="M1167" t="s">
        <v>7225</v>
      </c>
      <c r="N1167" t="s">
        <v>69</v>
      </c>
      <c r="O1167" t="s">
        <v>69</v>
      </c>
      <c r="P1167" t="s">
        <v>7226</v>
      </c>
      <c r="Q1167" t="s">
        <v>7227</v>
      </c>
      <c r="R1167" t="s">
        <v>69</v>
      </c>
      <c r="S1167" t="s">
        <v>69</v>
      </c>
      <c r="T1167" t="s">
        <v>8505</v>
      </c>
      <c r="U1167" t="s">
        <v>8442</v>
      </c>
      <c r="V1167" t="s">
        <v>69</v>
      </c>
      <c r="W1167" t="s">
        <v>69</v>
      </c>
      <c r="X1167" t="s">
        <v>69</v>
      </c>
      <c r="Y1167" t="s">
        <v>69</v>
      </c>
      <c r="Z1167" t="s">
        <v>69</v>
      </c>
      <c r="AA1167" t="s">
        <v>14403</v>
      </c>
      <c r="AB1167" t="s">
        <v>69</v>
      </c>
      <c r="AC1167" t="s">
        <v>7228</v>
      </c>
      <c r="AD1167" t="s">
        <v>14404</v>
      </c>
      <c r="AE1167" t="s">
        <v>69</v>
      </c>
      <c r="AF1167" t="s">
        <v>14405</v>
      </c>
      <c r="AG1167" t="s">
        <v>14406</v>
      </c>
      <c r="AH1167" t="s">
        <v>7229</v>
      </c>
      <c r="AI1167" t="s">
        <v>7230</v>
      </c>
      <c r="AJ1167" t="s">
        <v>14407</v>
      </c>
      <c r="AK1167" t="s">
        <v>14408</v>
      </c>
      <c r="AL1167" t="s">
        <v>14409</v>
      </c>
      <c r="AM1167" t="s">
        <v>69</v>
      </c>
      <c r="AN1167">
        <v>57</v>
      </c>
      <c r="AO1167">
        <v>2</v>
      </c>
      <c r="AP1167">
        <v>2</v>
      </c>
      <c r="AQ1167">
        <v>0</v>
      </c>
      <c r="AR1167">
        <v>2</v>
      </c>
      <c r="AS1167" t="s">
        <v>8924</v>
      </c>
      <c r="AT1167" t="s">
        <v>8925</v>
      </c>
      <c r="AU1167" t="s">
        <v>8926</v>
      </c>
      <c r="AV1167" t="s">
        <v>69</v>
      </c>
      <c r="AW1167" t="s">
        <v>7231</v>
      </c>
      <c r="AX1167" t="s">
        <v>69</v>
      </c>
      <c r="AY1167" t="s">
        <v>7227</v>
      </c>
      <c r="AZ1167" t="s">
        <v>9162</v>
      </c>
      <c r="BA1167" t="s">
        <v>255</v>
      </c>
      <c r="BB1167">
        <v>2020</v>
      </c>
      <c r="BC1167">
        <v>13</v>
      </c>
      <c r="BD1167">
        <v>18</v>
      </c>
      <c r="BE1167" t="s">
        <v>69</v>
      </c>
      <c r="BF1167" t="s">
        <v>69</v>
      </c>
      <c r="BG1167" t="s">
        <v>69</v>
      </c>
      <c r="BH1167" t="s">
        <v>69</v>
      </c>
      <c r="BI1167" t="s">
        <v>69</v>
      </c>
      <c r="BJ1167" t="s">
        <v>69</v>
      </c>
      <c r="BK1167">
        <v>4614</v>
      </c>
      <c r="BL1167" t="s">
        <v>7232</v>
      </c>
      <c r="BM1167" t="str">
        <f>HYPERLINK("http://dx.doi.org/10.3390/en13184614","http://dx.doi.org/10.3390/en13184614")</f>
        <v>http://dx.doi.org/10.3390/en13184614</v>
      </c>
      <c r="BN1167" t="s">
        <v>69</v>
      </c>
      <c r="BO1167" t="s">
        <v>69</v>
      </c>
      <c r="BP1167">
        <v>23</v>
      </c>
      <c r="BQ1167" t="s">
        <v>9164</v>
      </c>
      <c r="BR1167" t="s">
        <v>8548</v>
      </c>
      <c r="BS1167" t="s">
        <v>9164</v>
      </c>
      <c r="BT1167" t="s">
        <v>14410</v>
      </c>
      <c r="BU1167" t="s">
        <v>7233</v>
      </c>
      <c r="BV1167" t="s">
        <v>69</v>
      </c>
      <c r="BW1167" t="s">
        <v>8812</v>
      </c>
      <c r="BX1167" t="s">
        <v>69</v>
      </c>
      <c r="BY1167" t="s">
        <v>69</v>
      </c>
      <c r="BZ1167" t="s">
        <v>8526</v>
      </c>
      <c r="CA1167" t="str">
        <f>HYPERLINK("https%3A%2F%2Fwww.webofscience.com%2Fwos%2Fwoscc%2Ffull-record%2FWOS:000579954000001","View Full Record in Web of Science")</f>
        <v>View Full Record in Web of Science</v>
      </c>
    </row>
    <row r="1168" spans="2:79" ht="12.5" x14ac:dyDescent="0.25">
      <c r="B1168" t="s">
        <v>8495</v>
      </c>
      <c r="D1168" s="7" t="s">
        <v>32933</v>
      </c>
      <c r="E1168" s="7"/>
      <c r="F1168" s="7"/>
      <c r="G1168" s="7"/>
      <c r="H1168" t="s">
        <v>67</v>
      </c>
      <c r="I1168" t="s">
        <v>1512</v>
      </c>
      <c r="J1168" t="s">
        <v>69</v>
      </c>
      <c r="K1168" t="s">
        <v>69</v>
      </c>
      <c r="L1168" t="s">
        <v>69</v>
      </c>
      <c r="M1168" t="s">
        <v>1513</v>
      </c>
      <c r="N1168" t="s">
        <v>69</v>
      </c>
      <c r="O1168" t="s">
        <v>69</v>
      </c>
      <c r="P1168" t="s">
        <v>1514</v>
      </c>
      <c r="Q1168" t="s">
        <v>1515</v>
      </c>
      <c r="R1168" t="s">
        <v>69</v>
      </c>
      <c r="S1168" t="s">
        <v>69</v>
      </c>
      <c r="T1168" t="s">
        <v>8505</v>
      </c>
      <c r="U1168" t="s">
        <v>10174</v>
      </c>
      <c r="V1168" t="s">
        <v>69</v>
      </c>
      <c r="W1168" t="s">
        <v>69</v>
      </c>
      <c r="X1168" t="s">
        <v>69</v>
      </c>
      <c r="Y1168" t="s">
        <v>69</v>
      </c>
      <c r="Z1168" t="s">
        <v>69</v>
      </c>
      <c r="AA1168" t="s">
        <v>69</v>
      </c>
      <c r="AB1168" t="s">
        <v>69</v>
      </c>
      <c r="AC1168" t="s">
        <v>1516</v>
      </c>
      <c r="AD1168" t="s">
        <v>69</v>
      </c>
      <c r="AE1168" t="s">
        <v>69</v>
      </c>
      <c r="AF1168" t="s">
        <v>69</v>
      </c>
      <c r="AG1168" t="s">
        <v>69</v>
      </c>
      <c r="AH1168" t="s">
        <v>69</v>
      </c>
      <c r="AI1168" t="s">
        <v>69</v>
      </c>
      <c r="AJ1168" t="s">
        <v>69</v>
      </c>
      <c r="AK1168" t="s">
        <v>69</v>
      </c>
      <c r="AL1168" t="s">
        <v>69</v>
      </c>
      <c r="AM1168" t="s">
        <v>69</v>
      </c>
      <c r="AN1168">
        <v>0</v>
      </c>
      <c r="AO1168">
        <v>9</v>
      </c>
      <c r="AP1168">
        <v>10</v>
      </c>
      <c r="AQ1168">
        <v>0</v>
      </c>
      <c r="AR1168">
        <v>9</v>
      </c>
      <c r="AS1168" t="s">
        <v>27634</v>
      </c>
      <c r="AT1168" t="s">
        <v>26670</v>
      </c>
      <c r="AU1168" t="s">
        <v>26671</v>
      </c>
      <c r="AV1168" t="s">
        <v>1517</v>
      </c>
      <c r="AW1168" t="s">
        <v>69</v>
      </c>
      <c r="AX1168" t="s">
        <v>69</v>
      </c>
      <c r="AY1168" t="s">
        <v>27635</v>
      </c>
      <c r="AZ1168" t="s">
        <v>27636</v>
      </c>
      <c r="BA1168" t="s">
        <v>255</v>
      </c>
      <c r="BB1168">
        <v>2010</v>
      </c>
      <c r="BC1168">
        <v>36</v>
      </c>
      <c r="BD1168">
        <v>3</v>
      </c>
      <c r="BE1168" t="s">
        <v>69</v>
      </c>
      <c r="BF1168" t="s">
        <v>69</v>
      </c>
      <c r="BG1168" t="s">
        <v>69</v>
      </c>
      <c r="BH1168" t="s">
        <v>69</v>
      </c>
      <c r="BI1168">
        <v>607</v>
      </c>
      <c r="BJ1168">
        <v>620</v>
      </c>
      <c r="BK1168" t="s">
        <v>69</v>
      </c>
      <c r="BL1168" t="s">
        <v>69</v>
      </c>
      <c r="BM1168" t="s">
        <v>69</v>
      </c>
      <c r="BN1168" t="s">
        <v>69</v>
      </c>
      <c r="BO1168" t="s">
        <v>69</v>
      </c>
      <c r="BP1168">
        <v>14</v>
      </c>
      <c r="BQ1168" t="s">
        <v>27637</v>
      </c>
      <c r="BR1168" t="s">
        <v>8661</v>
      </c>
      <c r="BS1168" t="s">
        <v>27637</v>
      </c>
      <c r="BT1168" t="s">
        <v>27638</v>
      </c>
      <c r="BU1168" t="s">
        <v>1518</v>
      </c>
      <c r="BV1168" t="s">
        <v>69</v>
      </c>
      <c r="BW1168" t="s">
        <v>69</v>
      </c>
      <c r="BX1168" t="s">
        <v>69</v>
      </c>
      <c r="BY1168" t="s">
        <v>69</v>
      </c>
      <c r="BZ1168" t="s">
        <v>8526</v>
      </c>
      <c r="CA1168" t="str">
        <f>HYPERLINK("https%3A%2F%2Fwww.webofscience.com%2Fwos%2Fwoscc%2Ffull-record%2FWOS:000281561100008","View Full Record in Web of Science")</f>
        <v>View Full Record in Web of Science</v>
      </c>
    </row>
    <row r="1169" spans="2:79" ht="12.5" x14ac:dyDescent="0.25">
      <c r="B1169" t="s">
        <v>8495</v>
      </c>
      <c r="D1169" s="7" t="s">
        <v>32933</v>
      </c>
      <c r="E1169" s="7"/>
      <c r="F1169" s="7"/>
      <c r="G1169" s="7"/>
      <c r="H1169" t="s">
        <v>67</v>
      </c>
      <c r="I1169" t="s">
        <v>6340</v>
      </c>
      <c r="J1169" t="s">
        <v>69</v>
      </c>
      <c r="K1169" t="s">
        <v>69</v>
      </c>
      <c r="L1169" t="s">
        <v>69</v>
      </c>
      <c r="M1169" t="s">
        <v>6341</v>
      </c>
      <c r="N1169" t="s">
        <v>69</v>
      </c>
      <c r="O1169" t="s">
        <v>69</v>
      </c>
      <c r="P1169" t="s">
        <v>6342</v>
      </c>
      <c r="Q1169" t="s">
        <v>1799</v>
      </c>
      <c r="R1169" t="s">
        <v>69</v>
      </c>
      <c r="S1169" t="s">
        <v>69</v>
      </c>
      <c r="T1169" t="s">
        <v>8505</v>
      </c>
      <c r="U1169" t="s">
        <v>8506</v>
      </c>
      <c r="V1169" t="s">
        <v>69</v>
      </c>
      <c r="W1169" t="s">
        <v>69</v>
      </c>
      <c r="X1169" t="s">
        <v>69</v>
      </c>
      <c r="Y1169" t="s">
        <v>69</v>
      </c>
      <c r="Z1169" t="s">
        <v>69</v>
      </c>
      <c r="AA1169" t="s">
        <v>28512</v>
      </c>
      <c r="AB1169" t="s">
        <v>28513</v>
      </c>
      <c r="AC1169" t="s">
        <v>6343</v>
      </c>
      <c r="AD1169" t="s">
        <v>28514</v>
      </c>
      <c r="AE1169" t="s">
        <v>69</v>
      </c>
      <c r="AF1169" t="s">
        <v>28515</v>
      </c>
      <c r="AG1169" t="s">
        <v>28516</v>
      </c>
      <c r="AH1169" t="s">
        <v>69</v>
      </c>
      <c r="AI1169" t="s">
        <v>6344</v>
      </c>
      <c r="AJ1169" t="s">
        <v>69</v>
      </c>
      <c r="AK1169" t="s">
        <v>69</v>
      </c>
      <c r="AL1169" t="s">
        <v>69</v>
      </c>
      <c r="AM1169" t="s">
        <v>69</v>
      </c>
      <c r="AN1169">
        <v>59</v>
      </c>
      <c r="AO1169">
        <v>32</v>
      </c>
      <c r="AP1169">
        <v>35</v>
      </c>
      <c r="AQ1169">
        <v>1</v>
      </c>
      <c r="AR1169">
        <v>26</v>
      </c>
      <c r="AS1169" t="s">
        <v>21110</v>
      </c>
      <c r="AT1169" t="s">
        <v>8847</v>
      </c>
      <c r="AU1169" t="s">
        <v>8848</v>
      </c>
      <c r="AV1169" t="s">
        <v>1801</v>
      </c>
      <c r="AW1169" t="s">
        <v>6345</v>
      </c>
      <c r="AX1169" t="s">
        <v>69</v>
      </c>
      <c r="AY1169" t="s">
        <v>15128</v>
      </c>
      <c r="AZ1169" t="s">
        <v>15129</v>
      </c>
      <c r="BA1169" t="s">
        <v>586</v>
      </c>
      <c r="BB1169">
        <v>2009</v>
      </c>
      <c r="BC1169">
        <v>29</v>
      </c>
      <c r="BD1169">
        <v>5</v>
      </c>
      <c r="BE1169" t="s">
        <v>69</v>
      </c>
      <c r="BF1169" t="s">
        <v>69</v>
      </c>
      <c r="BG1169" t="s">
        <v>69</v>
      </c>
      <c r="BH1169" t="s">
        <v>69</v>
      </c>
      <c r="BI1169">
        <v>764</v>
      </c>
      <c r="BJ1169">
        <v>779</v>
      </c>
      <c r="BK1169" t="s">
        <v>69</v>
      </c>
      <c r="BL1169" t="s">
        <v>6346</v>
      </c>
      <c r="BM1169" t="str">
        <f>HYPERLINK("http://dx.doi.org/10.1111/j.1539-6924.2008.01192.x","http://dx.doi.org/10.1111/j.1539-6924.2008.01192.x")</f>
        <v>http://dx.doi.org/10.1111/j.1539-6924.2008.01192.x</v>
      </c>
      <c r="BN1169" t="s">
        <v>69</v>
      </c>
      <c r="BO1169" t="s">
        <v>69</v>
      </c>
      <c r="BP1169">
        <v>16</v>
      </c>
      <c r="BQ1169" t="s">
        <v>15130</v>
      </c>
      <c r="BR1169" t="s">
        <v>8523</v>
      </c>
      <c r="BS1169" t="s">
        <v>15131</v>
      </c>
      <c r="BT1169" t="s">
        <v>28517</v>
      </c>
      <c r="BU1169" t="s">
        <v>6347</v>
      </c>
      <c r="BV1169">
        <v>19178656</v>
      </c>
      <c r="BW1169" t="s">
        <v>69</v>
      </c>
      <c r="BX1169" t="s">
        <v>69</v>
      </c>
      <c r="BY1169" t="s">
        <v>69</v>
      </c>
      <c r="BZ1169" t="s">
        <v>8526</v>
      </c>
      <c r="CA1169" t="str">
        <f>HYPERLINK("https%3A%2F%2Fwww.webofscience.com%2Fwos%2Fwoscc%2Ffull-record%2FWOS:000264892100012","View Full Record in Web of Science")</f>
        <v>View Full Record in Web of Science</v>
      </c>
    </row>
    <row r="1170" spans="2:79" ht="12.5" x14ac:dyDescent="0.25">
      <c r="B1170" t="s">
        <v>8495</v>
      </c>
      <c r="D1170" s="22" t="s">
        <v>32931</v>
      </c>
      <c r="E1170" s="7"/>
      <c r="F1170" s="7"/>
      <c r="G1170" s="7"/>
      <c r="H1170" t="s">
        <v>67</v>
      </c>
      <c r="I1170" t="s">
        <v>30759</v>
      </c>
      <c r="J1170" t="s">
        <v>69</v>
      </c>
      <c r="K1170" t="s">
        <v>69</v>
      </c>
      <c r="L1170" t="s">
        <v>69</v>
      </c>
      <c r="M1170" t="s">
        <v>30759</v>
      </c>
      <c r="N1170" t="s">
        <v>69</v>
      </c>
      <c r="O1170" t="s">
        <v>69</v>
      </c>
      <c r="P1170" t="s">
        <v>30760</v>
      </c>
      <c r="Q1170" t="s">
        <v>12498</v>
      </c>
      <c r="R1170" t="s">
        <v>69</v>
      </c>
      <c r="S1170" t="s">
        <v>69</v>
      </c>
      <c r="T1170" t="s">
        <v>12534</v>
      </c>
      <c r="U1170" t="s">
        <v>15797</v>
      </c>
      <c r="V1170" t="s">
        <v>30761</v>
      </c>
      <c r="W1170" t="s">
        <v>30762</v>
      </c>
      <c r="X1170" t="s">
        <v>30763</v>
      </c>
      <c r="Y1170" t="s">
        <v>69</v>
      </c>
      <c r="Z1170" t="s">
        <v>69</v>
      </c>
      <c r="AA1170" t="s">
        <v>69</v>
      </c>
      <c r="AB1170" t="s">
        <v>69</v>
      </c>
      <c r="AC1170" t="s">
        <v>30764</v>
      </c>
      <c r="AD1170" t="s">
        <v>30765</v>
      </c>
      <c r="AE1170" t="s">
        <v>69</v>
      </c>
      <c r="AF1170" t="s">
        <v>30766</v>
      </c>
      <c r="AG1170" t="s">
        <v>69</v>
      </c>
      <c r="AH1170" t="s">
        <v>69</v>
      </c>
      <c r="AI1170" t="s">
        <v>69</v>
      </c>
      <c r="AJ1170" t="s">
        <v>69</v>
      </c>
      <c r="AK1170" t="s">
        <v>69</v>
      </c>
      <c r="AL1170" t="s">
        <v>69</v>
      </c>
      <c r="AM1170" t="s">
        <v>69</v>
      </c>
      <c r="AN1170">
        <v>0</v>
      </c>
      <c r="AO1170">
        <v>0</v>
      </c>
      <c r="AP1170">
        <v>0</v>
      </c>
      <c r="AQ1170">
        <v>1</v>
      </c>
      <c r="AR1170">
        <v>2</v>
      </c>
      <c r="AS1170" t="s">
        <v>30767</v>
      </c>
      <c r="AT1170" t="s">
        <v>30768</v>
      </c>
      <c r="AU1170" t="s">
        <v>30769</v>
      </c>
      <c r="AV1170" t="s">
        <v>12505</v>
      </c>
      <c r="AW1170" t="s">
        <v>69</v>
      </c>
      <c r="AX1170" t="s">
        <v>69</v>
      </c>
      <c r="AY1170" t="s">
        <v>12506</v>
      </c>
      <c r="AZ1170" t="s">
        <v>12507</v>
      </c>
      <c r="BA1170" t="s">
        <v>373</v>
      </c>
      <c r="BB1170">
        <v>2005</v>
      </c>
      <c r="BC1170">
        <v>50</v>
      </c>
      <c r="BD1170">
        <v>1</v>
      </c>
      <c r="BE1170" t="s">
        <v>69</v>
      </c>
      <c r="BF1170" t="s">
        <v>69</v>
      </c>
      <c r="BG1170" t="s">
        <v>69</v>
      </c>
      <c r="BH1170" t="s">
        <v>69</v>
      </c>
      <c r="BI1170">
        <v>15</v>
      </c>
      <c r="BJ1170" t="s">
        <v>219</v>
      </c>
      <c r="BK1170" t="s">
        <v>69</v>
      </c>
      <c r="BL1170" t="s">
        <v>69</v>
      </c>
      <c r="BM1170" t="s">
        <v>69</v>
      </c>
      <c r="BN1170" t="s">
        <v>69</v>
      </c>
      <c r="BO1170" t="s">
        <v>69</v>
      </c>
      <c r="BP1170">
        <v>14</v>
      </c>
      <c r="BQ1170" t="s">
        <v>12508</v>
      </c>
      <c r="BR1170" t="s">
        <v>29550</v>
      </c>
      <c r="BS1170" t="s">
        <v>12508</v>
      </c>
      <c r="BT1170" t="s">
        <v>30770</v>
      </c>
      <c r="BU1170" t="s">
        <v>30771</v>
      </c>
      <c r="BV1170" t="s">
        <v>69</v>
      </c>
      <c r="BW1170" t="s">
        <v>69</v>
      </c>
      <c r="BX1170" t="s">
        <v>69</v>
      </c>
      <c r="BY1170" t="s">
        <v>69</v>
      </c>
      <c r="BZ1170" t="s">
        <v>8526</v>
      </c>
      <c r="CA1170" t="str">
        <f>HYPERLINK("https%3A%2F%2Fwww.webofscience.com%2Fwos%2Fwoscc%2Ffull-record%2FWOS:000227895300003","View Full Record in Web of Science")</f>
        <v>View Full Record in Web of Science</v>
      </c>
    </row>
    <row r="1171" spans="2:79" ht="12.5" x14ac:dyDescent="0.25">
      <c r="B1171" t="s">
        <v>8495</v>
      </c>
      <c r="D1171" s="22" t="s">
        <v>32931</v>
      </c>
      <c r="E1171" s="7"/>
      <c r="F1171" s="7"/>
      <c r="G1171" s="7"/>
      <c r="H1171" t="s">
        <v>67</v>
      </c>
      <c r="I1171" t="s">
        <v>31718</v>
      </c>
      <c r="J1171" t="s">
        <v>69</v>
      </c>
      <c r="K1171" t="s">
        <v>69</v>
      </c>
      <c r="L1171" t="s">
        <v>69</v>
      </c>
      <c r="M1171" t="s">
        <v>31718</v>
      </c>
      <c r="N1171" t="s">
        <v>69</v>
      </c>
      <c r="O1171" t="s">
        <v>69</v>
      </c>
      <c r="P1171" t="s">
        <v>31719</v>
      </c>
      <c r="Q1171" t="s">
        <v>31720</v>
      </c>
      <c r="R1171" t="s">
        <v>69</v>
      </c>
      <c r="S1171" t="s">
        <v>69</v>
      </c>
      <c r="T1171" t="s">
        <v>8505</v>
      </c>
      <c r="U1171" t="s">
        <v>8506</v>
      </c>
      <c r="V1171" t="s">
        <v>69</v>
      </c>
      <c r="W1171" t="s">
        <v>69</v>
      </c>
      <c r="X1171" t="s">
        <v>69</v>
      </c>
      <c r="Y1171" t="s">
        <v>69</v>
      </c>
      <c r="Z1171" t="s">
        <v>69</v>
      </c>
      <c r="AA1171" t="s">
        <v>69</v>
      </c>
      <c r="AB1171" t="s">
        <v>31721</v>
      </c>
      <c r="AC1171" t="s">
        <v>31722</v>
      </c>
      <c r="AD1171" t="s">
        <v>31723</v>
      </c>
      <c r="AE1171" t="s">
        <v>69</v>
      </c>
      <c r="AF1171" t="s">
        <v>31724</v>
      </c>
      <c r="AG1171" t="s">
        <v>69</v>
      </c>
      <c r="AH1171" t="s">
        <v>69</v>
      </c>
      <c r="AI1171" t="s">
        <v>69</v>
      </c>
      <c r="AJ1171" t="s">
        <v>69</v>
      </c>
      <c r="AK1171" t="s">
        <v>69</v>
      </c>
      <c r="AL1171" t="s">
        <v>69</v>
      </c>
      <c r="AM1171" t="s">
        <v>69</v>
      </c>
      <c r="AN1171">
        <v>6</v>
      </c>
      <c r="AO1171">
        <v>5</v>
      </c>
      <c r="AP1171">
        <v>5</v>
      </c>
      <c r="AQ1171">
        <v>0</v>
      </c>
      <c r="AR1171">
        <v>0</v>
      </c>
      <c r="AS1171" t="s">
        <v>31725</v>
      </c>
      <c r="AT1171" t="s">
        <v>31726</v>
      </c>
      <c r="AU1171" t="s">
        <v>31727</v>
      </c>
      <c r="AV1171" t="s">
        <v>69</v>
      </c>
      <c r="AW1171" t="s">
        <v>69</v>
      </c>
      <c r="AX1171" t="s">
        <v>69</v>
      </c>
      <c r="AY1171" t="s">
        <v>31728</v>
      </c>
      <c r="AZ1171" t="s">
        <v>31729</v>
      </c>
      <c r="BA1171" t="s">
        <v>3278</v>
      </c>
      <c r="BB1171">
        <v>2000</v>
      </c>
      <c r="BC1171">
        <v>217</v>
      </c>
      <c r="BD1171">
        <v>10</v>
      </c>
      <c r="BE1171" t="s">
        <v>69</v>
      </c>
      <c r="BF1171" t="s">
        <v>69</v>
      </c>
      <c r="BG1171" t="s">
        <v>69</v>
      </c>
      <c r="BH1171" t="s">
        <v>69</v>
      </c>
      <c r="BI1171">
        <v>1526</v>
      </c>
      <c r="BJ1171">
        <v>1530</v>
      </c>
      <c r="BK1171" t="s">
        <v>69</v>
      </c>
      <c r="BL1171" t="s">
        <v>31730</v>
      </c>
      <c r="BM1171" t="str">
        <f>HYPERLINK("http://dx.doi.org/10.2460/javma.2000.217.1526","http://dx.doi.org/10.2460/javma.2000.217.1526")</f>
        <v>http://dx.doi.org/10.2460/javma.2000.217.1526</v>
      </c>
      <c r="BN1171" t="s">
        <v>69</v>
      </c>
      <c r="BO1171" t="s">
        <v>69</v>
      </c>
      <c r="BP1171">
        <v>5</v>
      </c>
      <c r="BQ1171" t="s">
        <v>14769</v>
      </c>
      <c r="BR1171" t="s">
        <v>8548</v>
      </c>
      <c r="BS1171" t="s">
        <v>14769</v>
      </c>
      <c r="BT1171" t="s">
        <v>31731</v>
      </c>
      <c r="BU1171" t="s">
        <v>31732</v>
      </c>
      <c r="BV1171">
        <v>11128545</v>
      </c>
      <c r="BW1171" t="s">
        <v>69</v>
      </c>
      <c r="BX1171" t="s">
        <v>69</v>
      </c>
      <c r="BY1171" t="s">
        <v>69</v>
      </c>
      <c r="BZ1171" t="s">
        <v>8526</v>
      </c>
      <c r="CA1171" t="str">
        <f>HYPERLINK("https%3A%2F%2Fwww.webofscience.com%2Fwos%2Fwoscc%2Ffull-record%2FWOS:000165299100025","View Full Record in Web of Science")</f>
        <v>View Full Record in Web of Science</v>
      </c>
    </row>
    <row r="1172" spans="2:79" ht="12.5" x14ac:dyDescent="0.25">
      <c r="B1172" t="s">
        <v>8495</v>
      </c>
      <c r="D1172" s="22" t="s">
        <v>32931</v>
      </c>
      <c r="E1172" s="7"/>
      <c r="F1172" s="7"/>
      <c r="G1172" s="7"/>
      <c r="H1172" t="s">
        <v>67</v>
      </c>
      <c r="I1172" t="s">
        <v>29065</v>
      </c>
      <c r="J1172" t="s">
        <v>69</v>
      </c>
      <c r="K1172" t="s">
        <v>69</v>
      </c>
      <c r="L1172" t="s">
        <v>69</v>
      </c>
      <c r="M1172" t="s">
        <v>29066</v>
      </c>
      <c r="N1172" t="s">
        <v>69</v>
      </c>
      <c r="O1172" t="s">
        <v>69</v>
      </c>
      <c r="P1172" t="s">
        <v>29067</v>
      </c>
      <c r="Q1172" t="s">
        <v>29068</v>
      </c>
      <c r="R1172" t="s">
        <v>69</v>
      </c>
      <c r="S1172" t="s">
        <v>69</v>
      </c>
      <c r="T1172" t="s">
        <v>8505</v>
      </c>
      <c r="U1172" t="s">
        <v>8506</v>
      </c>
      <c r="V1172" t="s">
        <v>69</v>
      </c>
      <c r="W1172" t="s">
        <v>69</v>
      </c>
      <c r="X1172" t="s">
        <v>69</v>
      </c>
      <c r="Y1172" t="s">
        <v>69</v>
      </c>
      <c r="Z1172" t="s">
        <v>69</v>
      </c>
      <c r="AA1172" t="s">
        <v>69</v>
      </c>
      <c r="AB1172" t="s">
        <v>29069</v>
      </c>
      <c r="AC1172" t="s">
        <v>29070</v>
      </c>
      <c r="AD1172" t="s">
        <v>29071</v>
      </c>
      <c r="AE1172" t="s">
        <v>69</v>
      </c>
      <c r="AF1172" t="s">
        <v>29072</v>
      </c>
      <c r="AG1172" t="s">
        <v>29073</v>
      </c>
      <c r="AH1172" t="s">
        <v>29074</v>
      </c>
      <c r="AI1172" t="s">
        <v>29075</v>
      </c>
      <c r="AJ1172" t="s">
        <v>29076</v>
      </c>
      <c r="AK1172" t="s">
        <v>29077</v>
      </c>
      <c r="AL1172" t="s">
        <v>29078</v>
      </c>
      <c r="AM1172" t="s">
        <v>69</v>
      </c>
      <c r="AN1172">
        <v>21</v>
      </c>
      <c r="AO1172">
        <v>125</v>
      </c>
      <c r="AP1172">
        <v>126</v>
      </c>
      <c r="AQ1172">
        <v>1</v>
      </c>
      <c r="AR1172">
        <v>20</v>
      </c>
      <c r="AS1172" t="s">
        <v>8692</v>
      </c>
      <c r="AT1172" t="s">
        <v>8693</v>
      </c>
      <c r="AU1172" t="s">
        <v>18139</v>
      </c>
      <c r="AV1172" t="s">
        <v>29079</v>
      </c>
      <c r="AW1172" t="s">
        <v>69</v>
      </c>
      <c r="AX1172" t="s">
        <v>69</v>
      </c>
      <c r="AY1172" t="s">
        <v>29080</v>
      </c>
      <c r="AZ1172" t="s">
        <v>29081</v>
      </c>
      <c r="BA1172" t="s">
        <v>381</v>
      </c>
      <c r="BB1172">
        <v>2008</v>
      </c>
      <c r="BC1172">
        <v>35</v>
      </c>
      <c r="BD1172">
        <v>4</v>
      </c>
      <c r="BE1172" t="s">
        <v>69</v>
      </c>
      <c r="BF1172" t="s">
        <v>69</v>
      </c>
      <c r="BG1172" t="s">
        <v>69</v>
      </c>
      <c r="BH1172" t="s">
        <v>69</v>
      </c>
      <c r="BI1172">
        <v>352</v>
      </c>
      <c r="BJ1172">
        <v>356</v>
      </c>
      <c r="BK1172" t="s">
        <v>69</v>
      </c>
      <c r="BL1172" t="s">
        <v>29082</v>
      </c>
      <c r="BM1172" t="str">
        <f>HYPERLINK("http://dx.doi.org/10.1016/j.amepre.2008.06.030","http://dx.doi.org/10.1016/j.amepre.2008.06.030")</f>
        <v>http://dx.doi.org/10.1016/j.amepre.2008.06.030</v>
      </c>
      <c r="BN1172" t="s">
        <v>69</v>
      </c>
      <c r="BO1172" t="s">
        <v>69</v>
      </c>
      <c r="BP1172">
        <v>5</v>
      </c>
      <c r="BQ1172" t="s">
        <v>18631</v>
      </c>
      <c r="BR1172" t="s">
        <v>8523</v>
      </c>
      <c r="BS1172" t="s">
        <v>18632</v>
      </c>
      <c r="BT1172" t="s">
        <v>29083</v>
      </c>
      <c r="BU1172" t="s">
        <v>29084</v>
      </c>
      <c r="BV1172">
        <v>18701236</v>
      </c>
      <c r="BW1172" t="s">
        <v>69</v>
      </c>
      <c r="BX1172" t="s">
        <v>69</v>
      </c>
      <c r="BY1172" t="s">
        <v>69</v>
      </c>
      <c r="BZ1172" t="s">
        <v>8526</v>
      </c>
      <c r="CA1172" t="str">
        <f>HYPERLINK("https%3A%2F%2Fwww.webofscience.com%2Fwos%2Fwoscc%2Ffull-record%2FWOS:000259308900005","View Full Record in Web of Science")</f>
        <v>View Full Record in Web of Science</v>
      </c>
    </row>
    <row r="1173" spans="2:79" ht="12.5" x14ac:dyDescent="0.25">
      <c r="B1173" t="s">
        <v>8495</v>
      </c>
      <c r="D1173" s="22" t="s">
        <v>32931</v>
      </c>
      <c r="E1173" s="7"/>
      <c r="F1173" s="7"/>
      <c r="G1173" s="7"/>
      <c r="H1173" t="s">
        <v>67</v>
      </c>
      <c r="I1173" t="s">
        <v>23907</v>
      </c>
      <c r="J1173" t="s">
        <v>69</v>
      </c>
      <c r="K1173" t="s">
        <v>69</v>
      </c>
      <c r="L1173" t="s">
        <v>69</v>
      </c>
      <c r="M1173" t="s">
        <v>23908</v>
      </c>
      <c r="N1173" t="s">
        <v>69</v>
      </c>
      <c r="O1173" t="s">
        <v>69</v>
      </c>
      <c r="P1173" t="s">
        <v>23909</v>
      </c>
      <c r="Q1173" t="s">
        <v>206</v>
      </c>
      <c r="R1173" t="s">
        <v>69</v>
      </c>
      <c r="S1173" t="s">
        <v>69</v>
      </c>
      <c r="T1173" t="s">
        <v>8505</v>
      </c>
      <c r="U1173" t="s">
        <v>8506</v>
      </c>
      <c r="V1173" t="s">
        <v>69</v>
      </c>
      <c r="W1173" t="s">
        <v>69</v>
      </c>
      <c r="X1173" t="s">
        <v>69</v>
      </c>
      <c r="Y1173" t="s">
        <v>69</v>
      </c>
      <c r="Z1173" t="s">
        <v>69</v>
      </c>
      <c r="AA1173" t="s">
        <v>23910</v>
      </c>
      <c r="AB1173" t="s">
        <v>23911</v>
      </c>
      <c r="AC1173" t="s">
        <v>23912</v>
      </c>
      <c r="AD1173" t="s">
        <v>23913</v>
      </c>
      <c r="AE1173" t="s">
        <v>69</v>
      </c>
      <c r="AF1173" t="s">
        <v>23914</v>
      </c>
      <c r="AG1173" t="s">
        <v>23915</v>
      </c>
      <c r="AH1173" t="s">
        <v>69</v>
      </c>
      <c r="AI1173" t="s">
        <v>69</v>
      </c>
      <c r="AJ1173" t="s">
        <v>23916</v>
      </c>
      <c r="AK1173" t="s">
        <v>23917</v>
      </c>
      <c r="AL1173" t="s">
        <v>23918</v>
      </c>
      <c r="AM1173" t="s">
        <v>69</v>
      </c>
      <c r="AN1173">
        <v>58</v>
      </c>
      <c r="AO1173">
        <v>68</v>
      </c>
      <c r="AP1173">
        <v>68</v>
      </c>
      <c r="AQ1173">
        <v>4</v>
      </c>
      <c r="AR1173">
        <v>40</v>
      </c>
      <c r="AS1173" t="s">
        <v>9203</v>
      </c>
      <c r="AT1173" t="s">
        <v>8763</v>
      </c>
      <c r="AU1173" t="s">
        <v>9204</v>
      </c>
      <c r="AV1173" t="s">
        <v>69</v>
      </c>
      <c r="AW1173" t="s">
        <v>208</v>
      </c>
      <c r="AX1173" t="s">
        <v>69</v>
      </c>
      <c r="AY1173" t="s">
        <v>206</v>
      </c>
      <c r="AZ1173" t="s">
        <v>10704</v>
      </c>
      <c r="BA1173" t="s">
        <v>23919</v>
      </c>
      <c r="BB1173">
        <v>2014</v>
      </c>
      <c r="BC1173">
        <v>14</v>
      </c>
      <c r="BD1173" t="s">
        <v>69</v>
      </c>
      <c r="BE1173" t="s">
        <v>69</v>
      </c>
      <c r="BF1173" t="s">
        <v>69</v>
      </c>
      <c r="BG1173" t="s">
        <v>69</v>
      </c>
      <c r="BH1173" t="s">
        <v>69</v>
      </c>
      <c r="BI1173" t="s">
        <v>69</v>
      </c>
      <c r="BJ1173" t="s">
        <v>69</v>
      </c>
      <c r="BK1173">
        <v>215</v>
      </c>
      <c r="BL1173" t="s">
        <v>23920</v>
      </c>
      <c r="BM1173" t="str">
        <f>HYPERLINK("http://dx.doi.org/10.1186/1471-2458-14-215","http://dx.doi.org/10.1186/1471-2458-14-215")</f>
        <v>http://dx.doi.org/10.1186/1471-2458-14-215</v>
      </c>
      <c r="BN1173" t="s">
        <v>69</v>
      </c>
      <c r="BO1173" t="s">
        <v>69</v>
      </c>
      <c r="BP1173">
        <v>13</v>
      </c>
      <c r="BQ1173" t="s">
        <v>8810</v>
      </c>
      <c r="BR1173" t="s">
        <v>8523</v>
      </c>
      <c r="BS1173" t="s">
        <v>8810</v>
      </c>
      <c r="BT1173" t="s">
        <v>23921</v>
      </c>
      <c r="BU1173" t="s">
        <v>23922</v>
      </c>
      <c r="BV1173">
        <v>24580983</v>
      </c>
      <c r="BW1173" t="s">
        <v>9352</v>
      </c>
      <c r="BX1173" t="s">
        <v>69</v>
      </c>
      <c r="BY1173" t="s">
        <v>69</v>
      </c>
      <c r="BZ1173" t="s">
        <v>8526</v>
      </c>
      <c r="CA1173" t="str">
        <f>HYPERLINK("https%3A%2F%2Fwww.webofscience.com%2Fwos%2Fwoscc%2Ffull-record%2FWOS:000332728700002","View Full Record in Web of Science")</f>
        <v>View Full Record in Web of Science</v>
      </c>
    </row>
    <row r="1174" spans="2:79" ht="12.5" x14ac:dyDescent="0.25">
      <c r="B1174" t="s">
        <v>8495</v>
      </c>
      <c r="D1174" s="7" t="s">
        <v>32933</v>
      </c>
      <c r="E1174" s="7"/>
      <c r="F1174" s="7"/>
      <c r="G1174" s="7"/>
      <c r="H1174" t="s">
        <v>67</v>
      </c>
      <c r="I1174" t="s">
        <v>6461</v>
      </c>
      <c r="J1174" t="s">
        <v>69</v>
      </c>
      <c r="K1174" t="s">
        <v>69</v>
      </c>
      <c r="L1174" t="s">
        <v>69</v>
      </c>
      <c r="M1174" t="s">
        <v>6462</v>
      </c>
      <c r="N1174" t="s">
        <v>69</v>
      </c>
      <c r="O1174" t="s">
        <v>69</v>
      </c>
      <c r="P1174" t="s">
        <v>6463</v>
      </c>
      <c r="Q1174" t="s">
        <v>6464</v>
      </c>
      <c r="R1174" t="s">
        <v>69</v>
      </c>
      <c r="S1174" t="s">
        <v>69</v>
      </c>
      <c r="T1174" t="s">
        <v>8505</v>
      </c>
      <c r="U1174" t="s">
        <v>8506</v>
      </c>
      <c r="V1174" t="s">
        <v>69</v>
      </c>
      <c r="W1174" t="s">
        <v>69</v>
      </c>
      <c r="X1174" t="s">
        <v>69</v>
      </c>
      <c r="Y1174" t="s">
        <v>69</v>
      </c>
      <c r="Z1174" t="s">
        <v>69</v>
      </c>
      <c r="AA1174" t="s">
        <v>14283</v>
      </c>
      <c r="AB1174" t="s">
        <v>14284</v>
      </c>
      <c r="AC1174" t="s">
        <v>6465</v>
      </c>
      <c r="AD1174" t="s">
        <v>14285</v>
      </c>
      <c r="AE1174" t="s">
        <v>69</v>
      </c>
      <c r="AF1174" t="s">
        <v>14286</v>
      </c>
      <c r="AG1174" t="s">
        <v>14287</v>
      </c>
      <c r="AH1174" t="s">
        <v>69</v>
      </c>
      <c r="AI1174" t="s">
        <v>69</v>
      </c>
      <c r="AJ1174" t="s">
        <v>69</v>
      </c>
      <c r="AK1174" t="s">
        <v>69</v>
      </c>
      <c r="AL1174" t="s">
        <v>69</v>
      </c>
      <c r="AM1174" t="s">
        <v>69</v>
      </c>
      <c r="AN1174">
        <v>69</v>
      </c>
      <c r="AO1174">
        <v>2</v>
      </c>
      <c r="AP1174">
        <v>2</v>
      </c>
      <c r="AQ1174">
        <v>3</v>
      </c>
      <c r="AR1174">
        <v>11</v>
      </c>
      <c r="AS1174" t="s">
        <v>8865</v>
      </c>
      <c r="AT1174" t="s">
        <v>8612</v>
      </c>
      <c r="AU1174" t="s">
        <v>8866</v>
      </c>
      <c r="AV1174" t="s">
        <v>6466</v>
      </c>
      <c r="AW1174" t="s">
        <v>6467</v>
      </c>
      <c r="AX1174" t="s">
        <v>69</v>
      </c>
      <c r="AY1174" t="s">
        <v>14288</v>
      </c>
      <c r="AZ1174" t="s">
        <v>14289</v>
      </c>
      <c r="BA1174" t="s">
        <v>14290</v>
      </c>
      <c r="BB1174">
        <v>2022</v>
      </c>
      <c r="BC1174">
        <v>16</v>
      </c>
      <c r="BD1174">
        <v>4</v>
      </c>
      <c r="BE1174" t="s">
        <v>69</v>
      </c>
      <c r="BF1174" t="s">
        <v>69</v>
      </c>
      <c r="BG1174" t="s">
        <v>69</v>
      </c>
      <c r="BH1174" t="s">
        <v>69</v>
      </c>
      <c r="BI1174">
        <v>660</v>
      </c>
      <c r="BJ1174">
        <v>680</v>
      </c>
      <c r="BK1174" t="s">
        <v>69</v>
      </c>
      <c r="BL1174" t="s">
        <v>6468</v>
      </c>
      <c r="BM1174" t="str">
        <f>HYPERLINK("http://dx.doi.org/10.1080/17512786.2020.1816488","http://dx.doi.org/10.1080/17512786.2020.1816488")</f>
        <v>http://dx.doi.org/10.1080/17512786.2020.1816488</v>
      </c>
      <c r="BN1174" t="s">
        <v>69</v>
      </c>
      <c r="BO1174" t="s">
        <v>683</v>
      </c>
      <c r="BP1174">
        <v>21</v>
      </c>
      <c r="BQ1174" t="s">
        <v>8443</v>
      </c>
      <c r="BR1174" t="s">
        <v>8661</v>
      </c>
      <c r="BS1174" t="s">
        <v>8443</v>
      </c>
      <c r="BT1174" t="s">
        <v>14291</v>
      </c>
      <c r="BU1174" t="s">
        <v>6469</v>
      </c>
      <c r="BV1174" t="s">
        <v>69</v>
      </c>
      <c r="BW1174" t="s">
        <v>69</v>
      </c>
      <c r="BX1174" t="s">
        <v>69</v>
      </c>
      <c r="BY1174" t="s">
        <v>69</v>
      </c>
      <c r="BZ1174" t="s">
        <v>8526</v>
      </c>
      <c r="CA1174" t="str">
        <f>HYPERLINK("https%3A%2F%2Fwww.webofscience.com%2Fwos%2Fwoscc%2Ffull-record%2FWOS:000569263300001","View Full Record in Web of Science")</f>
        <v>View Full Record in Web of Science</v>
      </c>
    </row>
    <row r="1175" spans="2:79" ht="12.5" x14ac:dyDescent="0.25">
      <c r="B1175" t="s">
        <v>8495</v>
      </c>
      <c r="D1175" s="22" t="s">
        <v>32931</v>
      </c>
      <c r="E1175" s="7"/>
      <c r="F1175" s="7"/>
      <c r="G1175" s="7"/>
      <c r="H1175" t="s">
        <v>67</v>
      </c>
      <c r="I1175" t="s">
        <v>12035</v>
      </c>
      <c r="J1175" t="s">
        <v>69</v>
      </c>
      <c r="K1175" t="s">
        <v>69</v>
      </c>
      <c r="L1175" t="s">
        <v>69</v>
      </c>
      <c r="M1175" t="s">
        <v>12036</v>
      </c>
      <c r="N1175" t="s">
        <v>69</v>
      </c>
      <c r="O1175" t="s">
        <v>69</v>
      </c>
      <c r="P1175" t="s">
        <v>12037</v>
      </c>
      <c r="Q1175" t="s">
        <v>12038</v>
      </c>
      <c r="R1175" t="s">
        <v>69</v>
      </c>
      <c r="S1175" t="s">
        <v>69</v>
      </c>
      <c r="T1175" t="s">
        <v>12039</v>
      </c>
      <c r="U1175" t="s">
        <v>8506</v>
      </c>
      <c r="V1175" t="s">
        <v>69</v>
      </c>
      <c r="W1175" t="s">
        <v>69</v>
      </c>
      <c r="X1175" t="s">
        <v>69</v>
      </c>
      <c r="Y1175" t="s">
        <v>69</v>
      </c>
      <c r="Z1175" t="s">
        <v>69</v>
      </c>
      <c r="AA1175" t="s">
        <v>12040</v>
      </c>
      <c r="AB1175" t="s">
        <v>12041</v>
      </c>
      <c r="AC1175" t="s">
        <v>12042</v>
      </c>
      <c r="AD1175" t="s">
        <v>12043</v>
      </c>
      <c r="AE1175" t="s">
        <v>69</v>
      </c>
      <c r="AF1175" t="s">
        <v>12044</v>
      </c>
      <c r="AG1175" t="s">
        <v>12045</v>
      </c>
      <c r="AH1175" t="s">
        <v>69</v>
      </c>
      <c r="AI1175" t="s">
        <v>69</v>
      </c>
      <c r="AJ1175" t="s">
        <v>69</v>
      </c>
      <c r="AK1175" t="s">
        <v>69</v>
      </c>
      <c r="AL1175" t="s">
        <v>69</v>
      </c>
      <c r="AM1175" t="s">
        <v>69</v>
      </c>
      <c r="AN1175">
        <v>32</v>
      </c>
      <c r="AO1175">
        <v>0</v>
      </c>
      <c r="AP1175">
        <v>0</v>
      </c>
      <c r="AQ1175">
        <v>3</v>
      </c>
      <c r="AR1175">
        <v>10</v>
      </c>
      <c r="AS1175" t="s">
        <v>12046</v>
      </c>
      <c r="AT1175" t="s">
        <v>12047</v>
      </c>
      <c r="AU1175" t="s">
        <v>12048</v>
      </c>
      <c r="AV1175" t="s">
        <v>12049</v>
      </c>
      <c r="AW1175" t="s">
        <v>12050</v>
      </c>
      <c r="AX1175" t="s">
        <v>69</v>
      </c>
      <c r="AY1175" t="s">
        <v>12051</v>
      </c>
      <c r="AZ1175" t="s">
        <v>12052</v>
      </c>
      <c r="BA1175" t="s">
        <v>155</v>
      </c>
      <c r="BB1175">
        <v>2021</v>
      </c>
      <c r="BC1175">
        <v>11</v>
      </c>
      <c r="BD1175">
        <v>1</v>
      </c>
      <c r="BE1175" t="s">
        <v>69</v>
      </c>
      <c r="BF1175" t="s">
        <v>69</v>
      </c>
      <c r="BG1175" t="s">
        <v>69</v>
      </c>
      <c r="BH1175" t="s">
        <v>69</v>
      </c>
      <c r="BI1175">
        <v>79</v>
      </c>
      <c r="BJ1175">
        <v>93</v>
      </c>
      <c r="BK1175" t="s">
        <v>69</v>
      </c>
      <c r="BL1175" t="s">
        <v>12053</v>
      </c>
      <c r="BM1175" t="str">
        <f>HYPERLINK("http://dx.doi.org/10.7251/EMC2101079G","http://dx.doi.org/10.7251/EMC2101079G")</f>
        <v>http://dx.doi.org/10.7251/EMC2101079G</v>
      </c>
      <c r="BN1175" t="s">
        <v>69</v>
      </c>
      <c r="BO1175" t="s">
        <v>69</v>
      </c>
      <c r="BP1175">
        <v>15</v>
      </c>
      <c r="BQ1175" t="s">
        <v>8444</v>
      </c>
      <c r="BR1175" t="s">
        <v>8573</v>
      </c>
      <c r="BS1175" t="s">
        <v>8594</v>
      </c>
      <c r="BT1175" t="s">
        <v>12054</v>
      </c>
      <c r="BU1175" t="s">
        <v>12055</v>
      </c>
      <c r="BV1175" t="s">
        <v>69</v>
      </c>
      <c r="BW1175" t="s">
        <v>8931</v>
      </c>
      <c r="BX1175" t="s">
        <v>69</v>
      </c>
      <c r="BY1175" t="s">
        <v>69</v>
      </c>
      <c r="BZ1175" t="s">
        <v>8526</v>
      </c>
      <c r="CA1175" t="str">
        <f>HYPERLINK("https%3A%2F%2Fwww.webofscience.com%2Fwos%2Fwoscc%2Ffull-record%2FWOS:000667273000006","View Full Record in Web of Science")</f>
        <v>View Full Record in Web of Science</v>
      </c>
    </row>
    <row r="1176" spans="2:79" ht="12.5" x14ac:dyDescent="0.25">
      <c r="B1176" t="s">
        <v>8495</v>
      </c>
      <c r="D1176" s="7" t="s">
        <v>32933</v>
      </c>
      <c r="E1176" s="7"/>
      <c r="F1176" s="7"/>
      <c r="G1176" s="7"/>
      <c r="H1176" t="s">
        <v>67</v>
      </c>
      <c r="I1176" t="s">
        <v>3992</v>
      </c>
      <c r="J1176" t="s">
        <v>69</v>
      </c>
      <c r="K1176" t="s">
        <v>69</v>
      </c>
      <c r="L1176" t="s">
        <v>69</v>
      </c>
      <c r="M1176" t="s">
        <v>3992</v>
      </c>
      <c r="N1176" t="s">
        <v>69</v>
      </c>
      <c r="O1176" t="s">
        <v>69</v>
      </c>
      <c r="P1176" t="s">
        <v>3993</v>
      </c>
      <c r="Q1176" t="s">
        <v>3994</v>
      </c>
      <c r="R1176" t="s">
        <v>69</v>
      </c>
      <c r="S1176" t="s">
        <v>69</v>
      </c>
      <c r="T1176" t="s">
        <v>8505</v>
      </c>
      <c r="U1176" t="s">
        <v>8442</v>
      </c>
      <c r="V1176" t="s">
        <v>69</v>
      </c>
      <c r="W1176" t="s">
        <v>69</v>
      </c>
      <c r="X1176" t="s">
        <v>69</v>
      </c>
      <c r="Y1176" t="s">
        <v>69</v>
      </c>
      <c r="Z1176" t="s">
        <v>69</v>
      </c>
      <c r="AA1176" t="s">
        <v>31332</v>
      </c>
      <c r="AB1176" t="s">
        <v>69</v>
      </c>
      <c r="AC1176" t="s">
        <v>3995</v>
      </c>
      <c r="AD1176" t="s">
        <v>31333</v>
      </c>
      <c r="AE1176" t="s">
        <v>69</v>
      </c>
      <c r="AF1176" t="s">
        <v>31334</v>
      </c>
      <c r="AG1176" t="s">
        <v>31335</v>
      </c>
      <c r="AH1176" t="s">
        <v>3996</v>
      </c>
      <c r="AI1176" t="s">
        <v>3997</v>
      </c>
      <c r="AJ1176" t="s">
        <v>69</v>
      </c>
      <c r="AK1176" t="s">
        <v>69</v>
      </c>
      <c r="AL1176" t="s">
        <v>69</v>
      </c>
      <c r="AM1176" t="s">
        <v>69</v>
      </c>
      <c r="AN1176">
        <v>5</v>
      </c>
      <c r="AO1176">
        <v>123</v>
      </c>
      <c r="AP1176">
        <v>129</v>
      </c>
      <c r="AQ1176">
        <v>2</v>
      </c>
      <c r="AR1176">
        <v>47</v>
      </c>
      <c r="AS1176" t="s">
        <v>8846</v>
      </c>
      <c r="AT1176" t="s">
        <v>8847</v>
      </c>
      <c r="AU1176" t="s">
        <v>8848</v>
      </c>
      <c r="AV1176" t="s">
        <v>3998</v>
      </c>
      <c r="AW1176" t="s">
        <v>3999</v>
      </c>
      <c r="AX1176" t="s">
        <v>69</v>
      </c>
      <c r="AY1176" t="s">
        <v>3994</v>
      </c>
      <c r="AZ1176" t="s">
        <v>31336</v>
      </c>
      <c r="BA1176" t="s">
        <v>602</v>
      </c>
      <c r="BB1176">
        <v>2003</v>
      </c>
      <c r="BC1176">
        <v>6</v>
      </c>
      <c r="BD1176">
        <v>1</v>
      </c>
      <c r="BE1176" t="s">
        <v>69</v>
      </c>
      <c r="BF1176" t="s">
        <v>69</v>
      </c>
      <c r="BG1176" t="s">
        <v>69</v>
      </c>
      <c r="BH1176" t="s">
        <v>69</v>
      </c>
      <c r="BI1176">
        <v>35</v>
      </c>
      <c r="BJ1176">
        <v>52</v>
      </c>
      <c r="BK1176" t="s">
        <v>69</v>
      </c>
      <c r="BL1176" t="s">
        <v>4000</v>
      </c>
      <c r="BM1176" t="str">
        <f>HYPERLINK("http://dx.doi.org/10.1002/we.82","http://dx.doi.org/10.1002/we.82")</f>
        <v>http://dx.doi.org/10.1002/we.82</v>
      </c>
      <c r="BN1176" t="s">
        <v>69</v>
      </c>
      <c r="BO1176" t="s">
        <v>69</v>
      </c>
      <c r="BP1176">
        <v>18</v>
      </c>
      <c r="BQ1176" t="s">
        <v>31337</v>
      </c>
      <c r="BR1176" t="s">
        <v>8548</v>
      </c>
      <c r="BS1176" t="s">
        <v>19142</v>
      </c>
      <c r="BT1176" t="s">
        <v>31338</v>
      </c>
      <c r="BU1176" t="s">
        <v>4001</v>
      </c>
      <c r="BV1176" t="s">
        <v>69</v>
      </c>
      <c r="BW1176" t="s">
        <v>69</v>
      </c>
      <c r="BX1176" t="s">
        <v>69</v>
      </c>
      <c r="BY1176" t="s">
        <v>69</v>
      </c>
      <c r="BZ1176" t="s">
        <v>8526</v>
      </c>
      <c r="CA1176" t="str">
        <f>HYPERLINK("https%3A%2F%2Fwww.webofscience.com%2Fwos%2Fwoscc%2Ffull-record%2FWOS:000186355700003","View Full Record in Web of Science")</f>
        <v>View Full Record in Web of Science</v>
      </c>
    </row>
    <row r="1177" spans="2:79" ht="12.5" x14ac:dyDescent="0.25">
      <c r="B1177" t="s">
        <v>8495</v>
      </c>
      <c r="D1177" s="7" t="s">
        <v>32933</v>
      </c>
      <c r="E1177" s="7"/>
      <c r="F1177" s="7"/>
      <c r="G1177" s="7"/>
      <c r="H1177" t="s">
        <v>67</v>
      </c>
      <c r="I1177" t="s">
        <v>8188</v>
      </c>
      <c r="J1177" t="s">
        <v>69</v>
      </c>
      <c r="K1177" t="s">
        <v>69</v>
      </c>
      <c r="L1177" t="s">
        <v>69</v>
      </c>
      <c r="M1177" t="s">
        <v>8189</v>
      </c>
      <c r="N1177" t="s">
        <v>69</v>
      </c>
      <c r="O1177" t="s">
        <v>69</v>
      </c>
      <c r="P1177" t="s">
        <v>8190</v>
      </c>
      <c r="Q1177" t="s">
        <v>1602</v>
      </c>
      <c r="R1177" t="s">
        <v>69</v>
      </c>
      <c r="S1177" t="s">
        <v>69</v>
      </c>
      <c r="T1177" t="s">
        <v>8505</v>
      </c>
      <c r="U1177" t="s">
        <v>8506</v>
      </c>
      <c r="V1177" t="s">
        <v>69</v>
      </c>
      <c r="W1177" t="s">
        <v>69</v>
      </c>
      <c r="X1177" t="s">
        <v>69</v>
      </c>
      <c r="Y1177" t="s">
        <v>69</v>
      </c>
      <c r="Z1177" t="s">
        <v>69</v>
      </c>
      <c r="AA1177" t="s">
        <v>15086</v>
      </c>
      <c r="AB1177" t="s">
        <v>15087</v>
      </c>
      <c r="AC1177" t="s">
        <v>8191</v>
      </c>
      <c r="AD1177" t="s">
        <v>15088</v>
      </c>
      <c r="AE1177" t="s">
        <v>69</v>
      </c>
      <c r="AF1177" t="s">
        <v>15089</v>
      </c>
      <c r="AG1177" t="s">
        <v>15090</v>
      </c>
      <c r="AH1177" t="s">
        <v>8192</v>
      </c>
      <c r="AI1177" t="s">
        <v>8193</v>
      </c>
      <c r="AJ1177" t="s">
        <v>69</v>
      </c>
      <c r="AK1177" t="s">
        <v>69</v>
      </c>
      <c r="AL1177" t="s">
        <v>69</v>
      </c>
      <c r="AM1177" t="s">
        <v>69</v>
      </c>
      <c r="AN1177">
        <v>58</v>
      </c>
      <c r="AO1177">
        <v>7</v>
      </c>
      <c r="AP1177">
        <v>8</v>
      </c>
      <c r="AQ1177">
        <v>1</v>
      </c>
      <c r="AR1177">
        <v>16</v>
      </c>
      <c r="AS1177" t="s">
        <v>8762</v>
      </c>
      <c r="AT1177" t="s">
        <v>8763</v>
      </c>
      <c r="AU1177" t="s">
        <v>8764</v>
      </c>
      <c r="AV1177" t="s">
        <v>1604</v>
      </c>
      <c r="AW1177" t="s">
        <v>2269</v>
      </c>
      <c r="AX1177" t="s">
        <v>69</v>
      </c>
      <c r="AY1177" t="s">
        <v>15091</v>
      </c>
      <c r="AZ1177" t="s">
        <v>15092</v>
      </c>
      <c r="BA1177" t="s">
        <v>155</v>
      </c>
      <c r="BB1177">
        <v>2020</v>
      </c>
      <c r="BC1177">
        <v>57</v>
      </c>
      <c r="BD1177">
        <v>8</v>
      </c>
      <c r="BE1177" t="s">
        <v>69</v>
      </c>
      <c r="BF1177" t="s">
        <v>69</v>
      </c>
      <c r="BG1177" t="s">
        <v>69</v>
      </c>
      <c r="BH1177" t="s">
        <v>69</v>
      </c>
      <c r="BI1177">
        <v>1676</v>
      </c>
      <c r="BJ1177">
        <v>1695</v>
      </c>
      <c r="BK1177" t="s">
        <v>69</v>
      </c>
      <c r="BL1177" t="s">
        <v>8194</v>
      </c>
      <c r="BM1177" t="str">
        <f>HYPERLINK("http://dx.doi.org/10.1177/0042098019844390","http://dx.doi.org/10.1177/0042098019844390")</f>
        <v>http://dx.doi.org/10.1177/0042098019844390</v>
      </c>
      <c r="BN1177" t="s">
        <v>69</v>
      </c>
      <c r="BO1177" t="s">
        <v>69</v>
      </c>
      <c r="BP1177">
        <v>20</v>
      </c>
      <c r="BQ1177" t="s">
        <v>15093</v>
      </c>
      <c r="BR1177" t="s">
        <v>8661</v>
      </c>
      <c r="BS1177" t="s">
        <v>15094</v>
      </c>
      <c r="BT1177" t="s">
        <v>15095</v>
      </c>
      <c r="BU1177" t="s">
        <v>8195</v>
      </c>
      <c r="BV1177" t="s">
        <v>69</v>
      </c>
      <c r="BW1177" t="s">
        <v>69</v>
      </c>
      <c r="BX1177" t="s">
        <v>69</v>
      </c>
      <c r="BY1177" t="s">
        <v>69</v>
      </c>
      <c r="BZ1177" t="s">
        <v>8526</v>
      </c>
      <c r="CA1177" t="str">
        <f>HYPERLINK("https%3A%2F%2Fwww.webofscience.com%2Fwos%2Fwoscc%2Ffull-record%2FWOS:000534334700005","View Full Record in Web of Science")</f>
        <v>View Full Record in Web of Science</v>
      </c>
    </row>
    <row r="1178" spans="2:79" ht="12.5" x14ac:dyDescent="0.25">
      <c r="B1178" t="s">
        <v>8495</v>
      </c>
      <c r="D1178" s="7" t="s">
        <v>32933</v>
      </c>
      <c r="E1178" s="7"/>
      <c r="F1178" s="7"/>
      <c r="G1178" s="7"/>
      <c r="H1178" t="s">
        <v>67</v>
      </c>
      <c r="I1178" t="s">
        <v>6222</v>
      </c>
      <c r="J1178" t="s">
        <v>69</v>
      </c>
      <c r="K1178" t="s">
        <v>69</v>
      </c>
      <c r="L1178" t="s">
        <v>69</v>
      </c>
      <c r="M1178" t="s">
        <v>6223</v>
      </c>
      <c r="N1178" t="s">
        <v>69</v>
      </c>
      <c r="O1178" t="s">
        <v>69</v>
      </c>
      <c r="P1178" t="s">
        <v>6224</v>
      </c>
      <c r="Q1178" t="s">
        <v>6225</v>
      </c>
      <c r="R1178" t="s">
        <v>69</v>
      </c>
      <c r="S1178" t="s">
        <v>69</v>
      </c>
      <c r="T1178" t="s">
        <v>8505</v>
      </c>
      <c r="U1178" t="s">
        <v>8506</v>
      </c>
      <c r="V1178" t="s">
        <v>69</v>
      </c>
      <c r="W1178" t="s">
        <v>69</v>
      </c>
      <c r="X1178" t="s">
        <v>69</v>
      </c>
      <c r="Y1178" t="s">
        <v>69</v>
      </c>
      <c r="Z1178" t="s">
        <v>69</v>
      </c>
      <c r="AA1178" t="s">
        <v>19782</v>
      </c>
      <c r="AB1178" t="s">
        <v>69</v>
      </c>
      <c r="AC1178" t="s">
        <v>6226</v>
      </c>
      <c r="AD1178" t="s">
        <v>19783</v>
      </c>
      <c r="AE1178" t="s">
        <v>69</v>
      </c>
      <c r="AF1178" t="s">
        <v>19784</v>
      </c>
      <c r="AG1178" t="s">
        <v>19785</v>
      </c>
      <c r="AH1178" t="s">
        <v>69</v>
      </c>
      <c r="AI1178" t="s">
        <v>69</v>
      </c>
      <c r="AJ1178" t="s">
        <v>19786</v>
      </c>
      <c r="AK1178" t="s">
        <v>17510</v>
      </c>
      <c r="AL1178" t="s">
        <v>19787</v>
      </c>
      <c r="AM1178" t="s">
        <v>69</v>
      </c>
      <c r="AN1178">
        <v>33</v>
      </c>
      <c r="AO1178">
        <v>1</v>
      </c>
      <c r="AP1178">
        <v>1</v>
      </c>
      <c r="AQ1178">
        <v>0</v>
      </c>
      <c r="AR1178">
        <v>3</v>
      </c>
      <c r="AS1178" t="s">
        <v>8516</v>
      </c>
      <c r="AT1178" t="s">
        <v>8517</v>
      </c>
      <c r="AU1178" t="s">
        <v>8518</v>
      </c>
      <c r="AV1178" t="s">
        <v>6227</v>
      </c>
      <c r="AW1178" t="s">
        <v>6228</v>
      </c>
      <c r="AX1178" t="s">
        <v>69</v>
      </c>
      <c r="AY1178" t="s">
        <v>19788</v>
      </c>
      <c r="AZ1178" t="s">
        <v>19789</v>
      </c>
      <c r="BA1178" t="s">
        <v>274</v>
      </c>
      <c r="BB1178">
        <v>2017</v>
      </c>
      <c r="BC1178">
        <v>5</v>
      </c>
      <c r="BD1178" t="s">
        <v>1812</v>
      </c>
      <c r="BE1178" t="s">
        <v>69</v>
      </c>
      <c r="BF1178" t="s">
        <v>69</v>
      </c>
      <c r="BG1178" t="s">
        <v>114</v>
      </c>
      <c r="BH1178" t="s">
        <v>69</v>
      </c>
      <c r="BI1178">
        <v>97</v>
      </c>
      <c r="BJ1178">
        <v>116</v>
      </c>
      <c r="BK1178" t="s">
        <v>69</v>
      </c>
      <c r="BL1178" t="s">
        <v>6229</v>
      </c>
      <c r="BM1178" t="str">
        <f>HYPERLINK("http://dx.doi.org/10.1007/s40070-017-0073-0","http://dx.doi.org/10.1007/s40070-017-0073-0")</f>
        <v>http://dx.doi.org/10.1007/s40070-017-0073-0</v>
      </c>
      <c r="BN1178" t="s">
        <v>69</v>
      </c>
      <c r="BO1178" t="s">
        <v>69</v>
      </c>
      <c r="BP1178">
        <v>20</v>
      </c>
      <c r="BQ1178" t="s">
        <v>9410</v>
      </c>
      <c r="BR1178" t="s">
        <v>8573</v>
      </c>
      <c r="BS1178" t="s">
        <v>8594</v>
      </c>
      <c r="BT1178" t="s">
        <v>19790</v>
      </c>
      <c r="BU1178" t="s">
        <v>6230</v>
      </c>
      <c r="BV1178" t="s">
        <v>69</v>
      </c>
      <c r="BW1178" t="s">
        <v>69</v>
      </c>
      <c r="BX1178" t="s">
        <v>69</v>
      </c>
      <c r="BY1178" t="s">
        <v>69</v>
      </c>
      <c r="BZ1178" t="s">
        <v>8526</v>
      </c>
      <c r="CA1178" t="str">
        <f>HYPERLINK("https%3A%2F%2Fwww.webofscience.com%2Fwos%2Fwoscc%2Ffull-record%2FWOS:000446936300006","View Full Record in Web of Science")</f>
        <v>View Full Record in Web of Science</v>
      </c>
    </row>
    <row r="1179" spans="2:79" ht="12.5" x14ac:dyDescent="0.25">
      <c r="B1179" t="s">
        <v>8495</v>
      </c>
      <c r="D1179" s="22" t="s">
        <v>32931</v>
      </c>
      <c r="E1179" s="7"/>
      <c r="F1179" s="7"/>
      <c r="G1179" s="7"/>
      <c r="H1179" t="s">
        <v>67</v>
      </c>
      <c r="I1179" t="s">
        <v>25369</v>
      </c>
      <c r="J1179" t="s">
        <v>69</v>
      </c>
      <c r="K1179" t="s">
        <v>69</v>
      </c>
      <c r="L1179" t="s">
        <v>69</v>
      </c>
      <c r="M1179" t="s">
        <v>25370</v>
      </c>
      <c r="N1179" t="s">
        <v>69</v>
      </c>
      <c r="O1179" t="s">
        <v>69</v>
      </c>
      <c r="P1179" t="s">
        <v>25371</v>
      </c>
      <c r="Q1179" t="s">
        <v>25372</v>
      </c>
      <c r="R1179" t="s">
        <v>69</v>
      </c>
      <c r="S1179" t="s">
        <v>69</v>
      </c>
      <c r="T1179" t="s">
        <v>25259</v>
      </c>
      <c r="U1179" t="s">
        <v>8506</v>
      </c>
      <c r="V1179" t="s">
        <v>69</v>
      </c>
      <c r="W1179" t="s">
        <v>69</v>
      </c>
      <c r="X1179" t="s">
        <v>69</v>
      </c>
      <c r="Y1179" t="s">
        <v>69</v>
      </c>
      <c r="Z1179" t="s">
        <v>69</v>
      </c>
      <c r="AA1179" t="s">
        <v>25373</v>
      </c>
      <c r="AB1179" t="s">
        <v>69</v>
      </c>
      <c r="AC1179" t="s">
        <v>25374</v>
      </c>
      <c r="AD1179" t="s">
        <v>25375</v>
      </c>
      <c r="AE1179" t="s">
        <v>69</v>
      </c>
      <c r="AF1179" t="s">
        <v>25376</v>
      </c>
      <c r="AG1179" t="s">
        <v>25377</v>
      </c>
      <c r="AH1179" t="s">
        <v>69</v>
      </c>
      <c r="AI1179" t="s">
        <v>69</v>
      </c>
      <c r="AJ1179" t="s">
        <v>69</v>
      </c>
      <c r="AK1179" t="s">
        <v>69</v>
      </c>
      <c r="AL1179" t="s">
        <v>69</v>
      </c>
      <c r="AM1179" t="s">
        <v>69</v>
      </c>
      <c r="AN1179">
        <v>44</v>
      </c>
      <c r="AO1179">
        <v>4</v>
      </c>
      <c r="AP1179">
        <v>4</v>
      </c>
      <c r="AQ1179">
        <v>0</v>
      </c>
      <c r="AR1179">
        <v>0</v>
      </c>
      <c r="AS1179" t="s">
        <v>25378</v>
      </c>
      <c r="AT1179" t="s">
        <v>25379</v>
      </c>
      <c r="AU1179" t="s">
        <v>25380</v>
      </c>
      <c r="AV1179" t="s">
        <v>25381</v>
      </c>
      <c r="AW1179" t="s">
        <v>25382</v>
      </c>
      <c r="AX1179" t="s">
        <v>69</v>
      </c>
      <c r="AY1179" t="s">
        <v>25383</v>
      </c>
      <c r="AZ1179" t="s">
        <v>25384</v>
      </c>
      <c r="BA1179" t="s">
        <v>69</v>
      </c>
      <c r="BB1179">
        <v>2013</v>
      </c>
      <c r="BC1179">
        <v>8</v>
      </c>
      <c r="BD1179">
        <v>2</v>
      </c>
      <c r="BE1179" t="s">
        <v>69</v>
      </c>
      <c r="BF1179" t="s">
        <v>69</v>
      </c>
      <c r="BG1179" t="s">
        <v>69</v>
      </c>
      <c r="BH1179" t="s">
        <v>69</v>
      </c>
      <c r="BI1179">
        <v>453</v>
      </c>
      <c r="BJ1179">
        <v>470</v>
      </c>
      <c r="BK1179" t="s">
        <v>69</v>
      </c>
      <c r="BL1179" t="s">
        <v>69</v>
      </c>
      <c r="BM1179" t="s">
        <v>69</v>
      </c>
      <c r="BN1179" t="s">
        <v>69</v>
      </c>
      <c r="BO1179" t="s">
        <v>69</v>
      </c>
      <c r="BP1179">
        <v>18</v>
      </c>
      <c r="BQ1179" t="s">
        <v>8463</v>
      </c>
      <c r="BR1179" t="s">
        <v>8573</v>
      </c>
      <c r="BS1179" t="s">
        <v>8463</v>
      </c>
      <c r="BT1179" t="s">
        <v>25385</v>
      </c>
      <c r="BU1179" t="s">
        <v>25386</v>
      </c>
      <c r="BV1179" t="s">
        <v>69</v>
      </c>
      <c r="BW1179" t="s">
        <v>69</v>
      </c>
      <c r="BX1179" t="s">
        <v>69</v>
      </c>
      <c r="BY1179" t="s">
        <v>69</v>
      </c>
      <c r="BZ1179" t="s">
        <v>8526</v>
      </c>
      <c r="CA1179" t="str">
        <f>HYPERLINK("https%3A%2F%2Fwww.webofscience.com%2Fwos%2Fwoscc%2Ffull-record%2FWOS:000436204100006","View Full Record in Web of Science")</f>
        <v>View Full Record in Web of Science</v>
      </c>
    </row>
    <row r="1180" spans="2:79" ht="12.5" x14ac:dyDescent="0.25">
      <c r="B1180" t="s">
        <v>8495</v>
      </c>
      <c r="D1180" s="22" t="s">
        <v>32931</v>
      </c>
      <c r="E1180" s="7"/>
      <c r="F1180" s="7"/>
      <c r="G1180" s="7"/>
      <c r="H1180" t="s">
        <v>67</v>
      </c>
      <c r="I1180" t="s">
        <v>19109</v>
      </c>
      <c r="J1180" t="s">
        <v>69</v>
      </c>
      <c r="K1180" t="s">
        <v>69</v>
      </c>
      <c r="L1180" t="s">
        <v>69</v>
      </c>
      <c r="M1180" t="s">
        <v>19110</v>
      </c>
      <c r="N1180" t="s">
        <v>69</v>
      </c>
      <c r="O1180" t="s">
        <v>19111</v>
      </c>
      <c r="P1180" t="s">
        <v>19112</v>
      </c>
      <c r="Q1180" t="s">
        <v>19113</v>
      </c>
      <c r="R1180" t="s">
        <v>69</v>
      </c>
      <c r="S1180" t="s">
        <v>69</v>
      </c>
      <c r="T1180" t="s">
        <v>8505</v>
      </c>
      <c r="U1180" t="s">
        <v>10174</v>
      </c>
      <c r="V1180" t="s">
        <v>69</v>
      </c>
      <c r="W1180" t="s">
        <v>69</v>
      </c>
      <c r="X1180" t="s">
        <v>69</v>
      </c>
      <c r="Y1180" t="s">
        <v>69</v>
      </c>
      <c r="Z1180" t="s">
        <v>69</v>
      </c>
      <c r="AA1180" t="s">
        <v>69</v>
      </c>
      <c r="AB1180" t="s">
        <v>69</v>
      </c>
      <c r="AC1180" t="s">
        <v>19114</v>
      </c>
      <c r="AD1180" t="s">
        <v>69</v>
      </c>
      <c r="AE1180" t="s">
        <v>69</v>
      </c>
      <c r="AF1180" t="s">
        <v>69</v>
      </c>
      <c r="AG1180" t="s">
        <v>69</v>
      </c>
      <c r="AH1180" t="s">
        <v>69</v>
      </c>
      <c r="AI1180" t="s">
        <v>69</v>
      </c>
      <c r="AJ1180" t="s">
        <v>69</v>
      </c>
      <c r="AK1180" t="s">
        <v>69</v>
      </c>
      <c r="AL1180" t="s">
        <v>69</v>
      </c>
      <c r="AM1180" t="s">
        <v>69</v>
      </c>
      <c r="AN1180">
        <v>1</v>
      </c>
      <c r="AO1180">
        <v>0</v>
      </c>
      <c r="AP1180">
        <v>0</v>
      </c>
      <c r="AQ1180">
        <v>2</v>
      </c>
      <c r="AR1180">
        <v>25</v>
      </c>
      <c r="AS1180" t="s">
        <v>19115</v>
      </c>
      <c r="AT1180" t="s">
        <v>19116</v>
      </c>
      <c r="AU1180" t="s">
        <v>19117</v>
      </c>
      <c r="AV1180" t="s">
        <v>19118</v>
      </c>
      <c r="AW1180" t="s">
        <v>69</v>
      </c>
      <c r="AX1180" t="s">
        <v>69</v>
      </c>
      <c r="AY1180" t="s">
        <v>19119</v>
      </c>
      <c r="AZ1180" t="s">
        <v>19120</v>
      </c>
      <c r="BA1180" t="s">
        <v>94</v>
      </c>
      <c r="BB1180">
        <v>2018</v>
      </c>
      <c r="BC1180" t="s">
        <v>69</v>
      </c>
      <c r="BD1180">
        <v>63</v>
      </c>
      <c r="BE1180" t="s">
        <v>69</v>
      </c>
      <c r="BF1180" t="s">
        <v>69</v>
      </c>
      <c r="BG1180" t="s">
        <v>69</v>
      </c>
      <c r="BH1180" t="s">
        <v>69</v>
      </c>
      <c r="BI1180">
        <v>53</v>
      </c>
      <c r="BJ1180">
        <v>60</v>
      </c>
      <c r="BK1180" t="s">
        <v>69</v>
      </c>
      <c r="BL1180" t="s">
        <v>19121</v>
      </c>
      <c r="BM1180" t="str">
        <f>HYPERLINK("http://dx.doi.org/10.17159/2413-3108/2018/v0n63a4706","http://dx.doi.org/10.17159/2413-3108/2018/v0n63a4706")</f>
        <v>http://dx.doi.org/10.17159/2413-3108/2018/v0n63a4706</v>
      </c>
      <c r="BN1180" t="s">
        <v>69</v>
      </c>
      <c r="BO1180" t="s">
        <v>69</v>
      </c>
      <c r="BP1180">
        <v>8</v>
      </c>
      <c r="BQ1180" t="s">
        <v>19122</v>
      </c>
      <c r="BR1180" t="s">
        <v>8573</v>
      </c>
      <c r="BS1180" t="s">
        <v>19122</v>
      </c>
      <c r="BT1180" t="s">
        <v>19123</v>
      </c>
      <c r="BU1180" t="s">
        <v>19124</v>
      </c>
      <c r="BV1180" t="s">
        <v>69</v>
      </c>
      <c r="BW1180" t="s">
        <v>9352</v>
      </c>
      <c r="BX1180" t="s">
        <v>69</v>
      </c>
      <c r="BY1180" t="s">
        <v>69</v>
      </c>
      <c r="BZ1180" t="s">
        <v>8526</v>
      </c>
      <c r="CA1180" t="str">
        <f>HYPERLINK("https%3A%2F%2Fwww.webofscience.com%2Fwos%2Fwoscc%2Ffull-record%2FWOS:000433005800006","View Full Record in Web of Science")</f>
        <v>View Full Record in Web of Science</v>
      </c>
    </row>
    <row r="1181" spans="2:79" ht="12.5" x14ac:dyDescent="0.25">
      <c r="B1181" t="s">
        <v>8495</v>
      </c>
      <c r="D1181" s="22" t="s">
        <v>32931</v>
      </c>
      <c r="E1181" s="7"/>
      <c r="F1181" s="7"/>
      <c r="G1181" s="7"/>
      <c r="H1181" t="s">
        <v>67</v>
      </c>
      <c r="I1181" t="s">
        <v>9967</v>
      </c>
      <c r="J1181" t="s">
        <v>69</v>
      </c>
      <c r="K1181" t="s">
        <v>69</v>
      </c>
      <c r="L1181" t="s">
        <v>69</v>
      </c>
      <c r="M1181" t="s">
        <v>9968</v>
      </c>
      <c r="N1181" t="s">
        <v>69</v>
      </c>
      <c r="O1181" t="s">
        <v>69</v>
      </c>
      <c r="P1181" t="s">
        <v>9969</v>
      </c>
      <c r="Q1181" t="s">
        <v>9970</v>
      </c>
      <c r="R1181" t="s">
        <v>69</v>
      </c>
      <c r="S1181" t="s">
        <v>69</v>
      </c>
      <c r="T1181" t="s">
        <v>8505</v>
      </c>
      <c r="U1181" t="s">
        <v>8506</v>
      </c>
      <c r="V1181" t="s">
        <v>69</v>
      </c>
      <c r="W1181" t="s">
        <v>69</v>
      </c>
      <c r="X1181" t="s">
        <v>69</v>
      </c>
      <c r="Y1181" t="s">
        <v>69</v>
      </c>
      <c r="Z1181" t="s">
        <v>69</v>
      </c>
      <c r="AA1181" t="s">
        <v>9971</v>
      </c>
      <c r="AB1181" t="s">
        <v>9972</v>
      </c>
      <c r="AC1181" t="s">
        <v>9973</v>
      </c>
      <c r="AD1181" t="s">
        <v>9974</v>
      </c>
      <c r="AE1181" t="s">
        <v>69</v>
      </c>
      <c r="AF1181" t="s">
        <v>9975</v>
      </c>
      <c r="AG1181" t="s">
        <v>9976</v>
      </c>
      <c r="AH1181" t="s">
        <v>69</v>
      </c>
      <c r="AI1181" t="s">
        <v>9977</v>
      </c>
      <c r="AJ1181" t="s">
        <v>69</v>
      </c>
      <c r="AK1181" t="s">
        <v>69</v>
      </c>
      <c r="AL1181" t="s">
        <v>69</v>
      </c>
      <c r="AM1181" t="s">
        <v>69</v>
      </c>
      <c r="AN1181">
        <v>41</v>
      </c>
      <c r="AO1181">
        <v>0</v>
      </c>
      <c r="AP1181">
        <v>0</v>
      </c>
      <c r="AQ1181">
        <v>2</v>
      </c>
      <c r="AR1181">
        <v>2</v>
      </c>
      <c r="AS1181" t="s">
        <v>9978</v>
      </c>
      <c r="AT1181" t="s">
        <v>9979</v>
      </c>
      <c r="AU1181" t="s">
        <v>9980</v>
      </c>
      <c r="AV1181" t="s">
        <v>9981</v>
      </c>
      <c r="AW1181" t="s">
        <v>9982</v>
      </c>
      <c r="AX1181" t="s">
        <v>69</v>
      </c>
      <c r="AY1181" t="s">
        <v>9983</v>
      </c>
      <c r="AZ1181" t="s">
        <v>9984</v>
      </c>
      <c r="BA1181" t="s">
        <v>201</v>
      </c>
      <c r="BB1181">
        <v>2022</v>
      </c>
      <c r="BC1181">
        <v>25</v>
      </c>
      <c r="BD1181">
        <v>8</v>
      </c>
      <c r="BE1181" t="s">
        <v>69</v>
      </c>
      <c r="BF1181" t="s">
        <v>69</v>
      </c>
      <c r="BG1181" t="s">
        <v>69</v>
      </c>
      <c r="BH1181" t="s">
        <v>69</v>
      </c>
      <c r="BI1181">
        <v>2254</v>
      </c>
      <c r="BJ1181">
        <v>2264</v>
      </c>
      <c r="BK1181" t="s">
        <v>9985</v>
      </c>
      <c r="BL1181" t="s">
        <v>9986</v>
      </c>
      <c r="BM1181" t="str">
        <f>HYPERLINK("http://dx.doi.org/10.1017/S1368980022000295","http://dx.doi.org/10.1017/S1368980022000295")</f>
        <v>http://dx.doi.org/10.1017/S1368980022000295</v>
      </c>
      <c r="BN1181" t="s">
        <v>69</v>
      </c>
      <c r="BO1181" t="s">
        <v>9987</v>
      </c>
      <c r="BP1181">
        <v>11</v>
      </c>
      <c r="BQ1181" t="s">
        <v>9988</v>
      </c>
      <c r="BR1181" t="s">
        <v>8548</v>
      </c>
      <c r="BS1181" t="s">
        <v>9988</v>
      </c>
      <c r="BT1181" t="s">
        <v>9989</v>
      </c>
      <c r="BU1181" t="s">
        <v>9990</v>
      </c>
      <c r="BV1181">
        <v>35094725</v>
      </c>
      <c r="BW1181" t="s">
        <v>8931</v>
      </c>
      <c r="BX1181" t="s">
        <v>69</v>
      </c>
      <c r="BY1181" t="s">
        <v>69</v>
      </c>
      <c r="BZ1181" t="s">
        <v>8526</v>
      </c>
      <c r="CA1181" t="str">
        <f>HYPERLINK("https%3A%2F%2Fwww.webofscience.com%2Fwos%2Fwoscc%2Ffull-record%2FWOS:000769561400001","View Full Record in Web of Science")</f>
        <v>View Full Record in Web of Science</v>
      </c>
    </row>
    <row r="1182" spans="2:79" ht="12.5" x14ac:dyDescent="0.25">
      <c r="B1182" t="s">
        <v>8495</v>
      </c>
      <c r="D1182" s="22" t="s">
        <v>32931</v>
      </c>
      <c r="E1182" s="7"/>
      <c r="F1182" s="7"/>
      <c r="G1182" s="7"/>
      <c r="H1182" t="s">
        <v>67</v>
      </c>
      <c r="I1182" t="s">
        <v>26003</v>
      </c>
      <c r="J1182" t="s">
        <v>69</v>
      </c>
      <c r="K1182" t="s">
        <v>69</v>
      </c>
      <c r="L1182" t="s">
        <v>69</v>
      </c>
      <c r="M1182" t="s">
        <v>26004</v>
      </c>
      <c r="N1182" t="s">
        <v>69</v>
      </c>
      <c r="O1182" t="s">
        <v>69</v>
      </c>
      <c r="P1182" t="s">
        <v>26005</v>
      </c>
      <c r="Q1182" t="s">
        <v>26006</v>
      </c>
      <c r="R1182" t="s">
        <v>69</v>
      </c>
      <c r="S1182" t="s">
        <v>69</v>
      </c>
      <c r="T1182" t="s">
        <v>8505</v>
      </c>
      <c r="U1182" t="s">
        <v>8506</v>
      </c>
      <c r="V1182" t="s">
        <v>69</v>
      </c>
      <c r="W1182" t="s">
        <v>69</v>
      </c>
      <c r="X1182" t="s">
        <v>69</v>
      </c>
      <c r="Y1182" t="s">
        <v>69</v>
      </c>
      <c r="Z1182" t="s">
        <v>69</v>
      </c>
      <c r="AA1182" t="s">
        <v>69</v>
      </c>
      <c r="AB1182" t="s">
        <v>69</v>
      </c>
      <c r="AC1182" t="s">
        <v>26007</v>
      </c>
      <c r="AD1182" t="s">
        <v>26008</v>
      </c>
      <c r="AE1182" t="s">
        <v>69</v>
      </c>
      <c r="AF1182" t="s">
        <v>26009</v>
      </c>
      <c r="AG1182" t="s">
        <v>26010</v>
      </c>
      <c r="AH1182" t="s">
        <v>69</v>
      </c>
      <c r="AI1182" t="s">
        <v>69</v>
      </c>
      <c r="AJ1182" t="s">
        <v>69</v>
      </c>
      <c r="AK1182" t="s">
        <v>69</v>
      </c>
      <c r="AL1182" t="s">
        <v>69</v>
      </c>
      <c r="AM1182" t="s">
        <v>69</v>
      </c>
      <c r="AN1182">
        <v>13</v>
      </c>
      <c r="AO1182">
        <v>18</v>
      </c>
      <c r="AP1182">
        <v>18</v>
      </c>
      <c r="AQ1182">
        <v>0</v>
      </c>
      <c r="AR1182">
        <v>12</v>
      </c>
      <c r="AS1182" t="s">
        <v>9047</v>
      </c>
      <c r="AT1182" t="s">
        <v>8693</v>
      </c>
      <c r="AU1182" t="s">
        <v>16643</v>
      </c>
      <c r="AV1182" t="s">
        <v>26011</v>
      </c>
      <c r="AW1182" t="s">
        <v>69</v>
      </c>
      <c r="AX1182" t="s">
        <v>69</v>
      </c>
      <c r="AY1182" t="s">
        <v>26012</v>
      </c>
      <c r="AZ1182" t="s">
        <v>26013</v>
      </c>
      <c r="BA1182" t="s">
        <v>586</v>
      </c>
      <c r="BB1182">
        <v>2012</v>
      </c>
      <c r="BC1182">
        <v>470</v>
      </c>
      <c r="BD1182">
        <v>5</v>
      </c>
      <c r="BE1182" t="s">
        <v>69</v>
      </c>
      <c r="BF1182" t="s">
        <v>69</v>
      </c>
      <c r="BG1182" t="s">
        <v>69</v>
      </c>
      <c r="BH1182" t="s">
        <v>69</v>
      </c>
      <c r="BI1182">
        <v>1386</v>
      </c>
      <c r="BJ1182">
        <v>1392</v>
      </c>
      <c r="BK1182" t="s">
        <v>69</v>
      </c>
      <c r="BL1182" t="s">
        <v>26014</v>
      </c>
      <c r="BM1182" t="str">
        <f>HYPERLINK("http://dx.doi.org/10.1007/s11999-011-2197-z","http://dx.doi.org/10.1007/s11999-011-2197-z")</f>
        <v>http://dx.doi.org/10.1007/s11999-011-2197-z</v>
      </c>
      <c r="BN1182" t="s">
        <v>69</v>
      </c>
      <c r="BO1182" t="s">
        <v>69</v>
      </c>
      <c r="BP1182">
        <v>7</v>
      </c>
      <c r="BQ1182" t="s">
        <v>26015</v>
      </c>
      <c r="BR1182" t="s">
        <v>8548</v>
      </c>
      <c r="BS1182" t="s">
        <v>26015</v>
      </c>
      <c r="BT1182" t="s">
        <v>26016</v>
      </c>
      <c r="BU1182" t="s">
        <v>26017</v>
      </c>
      <c r="BV1182">
        <v>22125249</v>
      </c>
      <c r="BW1182" t="s">
        <v>10423</v>
      </c>
      <c r="BX1182" t="s">
        <v>69</v>
      </c>
      <c r="BY1182" t="s">
        <v>69</v>
      </c>
      <c r="BZ1182" t="s">
        <v>8526</v>
      </c>
      <c r="CA1182" t="str">
        <f>HYPERLINK("https%3A%2F%2Fwww.webofscience.com%2Fwos%2Fwoscc%2Ffull-record%2FWOS:000304094400020","View Full Record in Web of Science")</f>
        <v>View Full Record in Web of Science</v>
      </c>
    </row>
    <row r="1183" spans="2:79" ht="12.5" x14ac:dyDescent="0.25">
      <c r="B1183" t="s">
        <v>8495</v>
      </c>
      <c r="D1183" s="22" t="s">
        <v>32931</v>
      </c>
      <c r="E1183" s="7"/>
      <c r="F1183" s="7"/>
      <c r="G1183" s="7"/>
      <c r="H1183" t="s">
        <v>67</v>
      </c>
      <c r="I1183" t="s">
        <v>22045</v>
      </c>
      <c r="J1183" t="s">
        <v>69</v>
      </c>
      <c r="K1183" t="s">
        <v>69</v>
      </c>
      <c r="L1183" t="s">
        <v>69</v>
      </c>
      <c r="M1183" t="s">
        <v>22046</v>
      </c>
      <c r="N1183" t="s">
        <v>69</v>
      </c>
      <c r="O1183" t="s">
        <v>69</v>
      </c>
      <c r="P1183" t="s">
        <v>22047</v>
      </c>
      <c r="Q1183" t="s">
        <v>22048</v>
      </c>
      <c r="R1183" t="s">
        <v>69</v>
      </c>
      <c r="S1183" t="s">
        <v>69</v>
      </c>
      <c r="T1183" t="s">
        <v>8505</v>
      </c>
      <c r="U1183" t="s">
        <v>8506</v>
      </c>
      <c r="V1183" t="s">
        <v>69</v>
      </c>
      <c r="W1183" t="s">
        <v>69</v>
      </c>
      <c r="X1183" t="s">
        <v>69</v>
      </c>
      <c r="Y1183" t="s">
        <v>69</v>
      </c>
      <c r="Z1183" t="s">
        <v>69</v>
      </c>
      <c r="AA1183" t="s">
        <v>22049</v>
      </c>
      <c r="AB1183" t="s">
        <v>22050</v>
      </c>
      <c r="AC1183" t="s">
        <v>22051</v>
      </c>
      <c r="AD1183" t="s">
        <v>22052</v>
      </c>
      <c r="AE1183" t="s">
        <v>69</v>
      </c>
      <c r="AF1183" t="s">
        <v>22053</v>
      </c>
      <c r="AG1183" t="s">
        <v>22054</v>
      </c>
      <c r="AH1183" t="s">
        <v>22055</v>
      </c>
      <c r="AI1183" t="s">
        <v>22056</v>
      </c>
      <c r="AJ1183" t="s">
        <v>69</v>
      </c>
      <c r="AK1183" t="s">
        <v>69</v>
      </c>
      <c r="AL1183" t="s">
        <v>69</v>
      </c>
      <c r="AM1183" t="s">
        <v>69</v>
      </c>
      <c r="AN1183">
        <v>55</v>
      </c>
      <c r="AO1183">
        <v>11</v>
      </c>
      <c r="AP1183">
        <v>12</v>
      </c>
      <c r="AQ1183">
        <v>3</v>
      </c>
      <c r="AR1183">
        <v>17</v>
      </c>
      <c r="AS1183" t="s">
        <v>8586</v>
      </c>
      <c r="AT1183" t="s">
        <v>8587</v>
      </c>
      <c r="AU1183" t="s">
        <v>8588</v>
      </c>
      <c r="AV1183" t="s">
        <v>22057</v>
      </c>
      <c r="AW1183" t="s">
        <v>22058</v>
      </c>
      <c r="AX1183" t="s">
        <v>69</v>
      </c>
      <c r="AY1183" t="s">
        <v>22059</v>
      </c>
      <c r="AZ1183" t="s">
        <v>22060</v>
      </c>
      <c r="BA1183" t="s">
        <v>69</v>
      </c>
      <c r="BB1183">
        <v>2016</v>
      </c>
      <c r="BC1183">
        <v>40</v>
      </c>
      <c r="BD1183">
        <v>3</v>
      </c>
      <c r="BE1183" t="s">
        <v>69</v>
      </c>
      <c r="BF1183" t="s">
        <v>69</v>
      </c>
      <c r="BG1183" t="s">
        <v>69</v>
      </c>
      <c r="BH1183" t="s">
        <v>69</v>
      </c>
      <c r="BI1183">
        <v>400</v>
      </c>
      <c r="BJ1183">
        <v>415</v>
      </c>
      <c r="BK1183" t="s">
        <v>69</v>
      </c>
      <c r="BL1183" t="s">
        <v>22061</v>
      </c>
      <c r="BM1183" t="str">
        <f>HYPERLINK("http://dx.doi.org/10.1108/OIR-05-2015-0155","http://dx.doi.org/10.1108/OIR-05-2015-0155")</f>
        <v>http://dx.doi.org/10.1108/OIR-05-2015-0155</v>
      </c>
      <c r="BN1183" t="s">
        <v>69</v>
      </c>
      <c r="BO1183" t="s">
        <v>69</v>
      </c>
      <c r="BP1183">
        <v>16</v>
      </c>
      <c r="BQ1183" t="s">
        <v>13389</v>
      </c>
      <c r="BR1183" t="s">
        <v>8523</v>
      </c>
      <c r="BS1183" t="s">
        <v>10632</v>
      </c>
      <c r="BT1183" t="s">
        <v>22062</v>
      </c>
      <c r="BU1183" t="s">
        <v>22063</v>
      </c>
      <c r="BV1183" t="s">
        <v>69</v>
      </c>
      <c r="BW1183" t="s">
        <v>69</v>
      </c>
      <c r="BX1183" t="s">
        <v>69</v>
      </c>
      <c r="BY1183" t="s">
        <v>69</v>
      </c>
      <c r="BZ1183" t="s">
        <v>8526</v>
      </c>
      <c r="CA1183" t="str">
        <f>HYPERLINK("https%3A%2F%2Fwww.webofscience.com%2Fwos%2Fwoscc%2Ffull-record%2FWOS:000379419700007","View Full Record in Web of Science")</f>
        <v>View Full Record in Web of Science</v>
      </c>
    </row>
    <row r="1184" spans="2:79" ht="12.5" x14ac:dyDescent="0.25">
      <c r="B1184" t="s">
        <v>8495</v>
      </c>
      <c r="D1184" s="22" t="s">
        <v>32931</v>
      </c>
      <c r="E1184" s="7"/>
      <c r="F1184" s="7"/>
      <c r="G1184" s="7"/>
      <c r="H1184" t="s">
        <v>67</v>
      </c>
      <c r="I1184" t="s">
        <v>25140</v>
      </c>
      <c r="J1184" t="s">
        <v>69</v>
      </c>
      <c r="K1184" t="s">
        <v>69</v>
      </c>
      <c r="L1184" t="s">
        <v>69</v>
      </c>
      <c r="M1184" t="s">
        <v>25141</v>
      </c>
      <c r="N1184" t="s">
        <v>69</v>
      </c>
      <c r="O1184" t="s">
        <v>69</v>
      </c>
      <c r="P1184" t="s">
        <v>25142</v>
      </c>
      <c r="Q1184" t="s">
        <v>25143</v>
      </c>
      <c r="R1184" t="s">
        <v>69</v>
      </c>
      <c r="S1184" t="s">
        <v>69</v>
      </c>
      <c r="T1184" t="s">
        <v>8505</v>
      </c>
      <c r="U1184" t="s">
        <v>8506</v>
      </c>
      <c r="V1184" t="s">
        <v>69</v>
      </c>
      <c r="W1184" t="s">
        <v>69</v>
      </c>
      <c r="X1184" t="s">
        <v>69</v>
      </c>
      <c r="Y1184" t="s">
        <v>69</v>
      </c>
      <c r="Z1184" t="s">
        <v>69</v>
      </c>
      <c r="AA1184" t="s">
        <v>25144</v>
      </c>
      <c r="AB1184" t="s">
        <v>69</v>
      </c>
      <c r="AC1184" t="s">
        <v>25145</v>
      </c>
      <c r="AD1184" t="s">
        <v>25146</v>
      </c>
      <c r="AE1184" t="s">
        <v>69</v>
      </c>
      <c r="AF1184" t="s">
        <v>25147</v>
      </c>
      <c r="AG1184" t="s">
        <v>25148</v>
      </c>
      <c r="AH1184" t="s">
        <v>69</v>
      </c>
      <c r="AI1184" t="s">
        <v>69</v>
      </c>
      <c r="AJ1184" t="s">
        <v>69</v>
      </c>
      <c r="AK1184" t="s">
        <v>69</v>
      </c>
      <c r="AL1184" t="s">
        <v>69</v>
      </c>
      <c r="AM1184" t="s">
        <v>69</v>
      </c>
      <c r="AN1184">
        <v>38</v>
      </c>
      <c r="AO1184">
        <v>3</v>
      </c>
      <c r="AP1184">
        <v>3</v>
      </c>
      <c r="AQ1184">
        <v>0</v>
      </c>
      <c r="AR1184">
        <v>7</v>
      </c>
      <c r="AS1184" t="s">
        <v>8865</v>
      </c>
      <c r="AT1184" t="s">
        <v>8612</v>
      </c>
      <c r="AU1184" t="s">
        <v>22341</v>
      </c>
      <c r="AV1184" t="s">
        <v>25149</v>
      </c>
      <c r="AW1184" t="s">
        <v>69</v>
      </c>
      <c r="AX1184" t="s">
        <v>69</v>
      </c>
      <c r="AY1184" t="s">
        <v>25150</v>
      </c>
      <c r="AZ1184" t="s">
        <v>25151</v>
      </c>
      <c r="BA1184" t="s">
        <v>23919</v>
      </c>
      <c r="BB1184">
        <v>2013</v>
      </c>
      <c r="BC1184">
        <v>42</v>
      </c>
      <c r="BD1184">
        <v>2</v>
      </c>
      <c r="BE1184" t="s">
        <v>69</v>
      </c>
      <c r="BF1184" t="s">
        <v>69</v>
      </c>
      <c r="BG1184" t="s">
        <v>69</v>
      </c>
      <c r="BH1184" t="s">
        <v>69</v>
      </c>
      <c r="BI1184">
        <v>204</v>
      </c>
      <c r="BJ1184">
        <v>221</v>
      </c>
      <c r="BK1184" t="s">
        <v>69</v>
      </c>
      <c r="BL1184" t="s">
        <v>25152</v>
      </c>
      <c r="BM1184" t="str">
        <f>HYPERLINK("http://dx.doi.org/10.1080/0046760X.2012.707690","http://dx.doi.org/10.1080/0046760X.2012.707690")</f>
        <v>http://dx.doi.org/10.1080/0046760X.2012.707690</v>
      </c>
      <c r="BN1184" t="s">
        <v>69</v>
      </c>
      <c r="BO1184" t="s">
        <v>69</v>
      </c>
      <c r="BP1184">
        <v>18</v>
      </c>
      <c r="BQ1184" t="s">
        <v>25153</v>
      </c>
      <c r="BR1184" t="s">
        <v>8661</v>
      </c>
      <c r="BS1184" t="s">
        <v>25154</v>
      </c>
      <c r="BT1184" t="s">
        <v>25155</v>
      </c>
      <c r="BU1184" t="s">
        <v>25156</v>
      </c>
      <c r="BV1184" t="s">
        <v>69</v>
      </c>
      <c r="BW1184" t="s">
        <v>69</v>
      </c>
      <c r="BX1184" t="s">
        <v>69</v>
      </c>
      <c r="BY1184" t="s">
        <v>69</v>
      </c>
      <c r="BZ1184" t="s">
        <v>8526</v>
      </c>
      <c r="CA1184" t="str">
        <f>HYPERLINK("https%3A%2F%2Fwww.webofscience.com%2Fwos%2Fwoscc%2Ffull-record%2FWOS:000316108300004","View Full Record in Web of Science")</f>
        <v>View Full Record in Web of Science</v>
      </c>
    </row>
    <row r="1185" spans="2:79" ht="12.5" x14ac:dyDescent="0.25">
      <c r="B1185" t="s">
        <v>8495</v>
      </c>
      <c r="D1185" s="22" t="s">
        <v>32931</v>
      </c>
      <c r="E1185" s="7"/>
      <c r="F1185" s="7"/>
      <c r="G1185" s="7"/>
      <c r="H1185" t="s">
        <v>67</v>
      </c>
      <c r="I1185" t="s">
        <v>17601</v>
      </c>
      <c r="J1185" t="s">
        <v>69</v>
      </c>
      <c r="K1185" t="s">
        <v>69</v>
      </c>
      <c r="L1185" t="s">
        <v>69</v>
      </c>
      <c r="M1185" t="s">
        <v>17602</v>
      </c>
      <c r="N1185" t="s">
        <v>69</v>
      </c>
      <c r="O1185" t="s">
        <v>69</v>
      </c>
      <c r="P1185" t="s">
        <v>17603</v>
      </c>
      <c r="Q1185" t="s">
        <v>352</v>
      </c>
      <c r="R1185" t="s">
        <v>69</v>
      </c>
      <c r="S1185" t="s">
        <v>69</v>
      </c>
      <c r="T1185" t="s">
        <v>8505</v>
      </c>
      <c r="U1185" t="s">
        <v>8506</v>
      </c>
      <c r="V1185" t="s">
        <v>69</v>
      </c>
      <c r="W1185" t="s">
        <v>69</v>
      </c>
      <c r="X1185" t="s">
        <v>69</v>
      </c>
      <c r="Y1185" t="s">
        <v>69</v>
      </c>
      <c r="Z1185" t="s">
        <v>69</v>
      </c>
      <c r="AA1185" t="s">
        <v>17604</v>
      </c>
      <c r="AB1185" t="s">
        <v>17605</v>
      </c>
      <c r="AC1185" t="s">
        <v>17606</v>
      </c>
      <c r="AD1185" t="s">
        <v>17607</v>
      </c>
      <c r="AE1185" t="s">
        <v>69</v>
      </c>
      <c r="AF1185" t="s">
        <v>17608</v>
      </c>
      <c r="AG1185" t="s">
        <v>17609</v>
      </c>
      <c r="AH1185" t="s">
        <v>17610</v>
      </c>
      <c r="AI1185" t="s">
        <v>17611</v>
      </c>
      <c r="AJ1185" t="s">
        <v>17612</v>
      </c>
      <c r="AK1185" t="s">
        <v>17613</v>
      </c>
      <c r="AL1185" t="s">
        <v>17614</v>
      </c>
      <c r="AM1185" t="s">
        <v>69</v>
      </c>
      <c r="AN1185">
        <v>85</v>
      </c>
      <c r="AO1185">
        <v>5</v>
      </c>
      <c r="AP1185">
        <v>6</v>
      </c>
      <c r="AQ1185">
        <v>1</v>
      </c>
      <c r="AR1185">
        <v>19</v>
      </c>
      <c r="AS1185" t="s">
        <v>8924</v>
      </c>
      <c r="AT1185" t="s">
        <v>8925</v>
      </c>
      <c r="AU1185" t="s">
        <v>8926</v>
      </c>
      <c r="AV1185" t="s">
        <v>69</v>
      </c>
      <c r="AW1185" t="s">
        <v>354</v>
      </c>
      <c r="AX1185" t="s">
        <v>69</v>
      </c>
      <c r="AY1185" t="s">
        <v>8958</v>
      </c>
      <c r="AZ1185" t="s">
        <v>8434</v>
      </c>
      <c r="BA1185" t="s">
        <v>837</v>
      </c>
      <c r="BB1185">
        <v>2019</v>
      </c>
      <c r="BC1185">
        <v>11</v>
      </c>
      <c r="BD1185">
        <v>2</v>
      </c>
      <c r="BE1185" t="s">
        <v>69</v>
      </c>
      <c r="BF1185" t="s">
        <v>69</v>
      </c>
      <c r="BG1185" t="s">
        <v>69</v>
      </c>
      <c r="BH1185" t="s">
        <v>69</v>
      </c>
      <c r="BI1185" t="s">
        <v>69</v>
      </c>
      <c r="BJ1185" t="s">
        <v>69</v>
      </c>
      <c r="BK1185">
        <v>392</v>
      </c>
      <c r="BL1185" t="s">
        <v>17615</v>
      </c>
      <c r="BM1185" t="str">
        <f>HYPERLINK("http://dx.doi.org/10.3390/su11020392","http://dx.doi.org/10.3390/su11020392")</f>
        <v>http://dx.doi.org/10.3390/su11020392</v>
      </c>
      <c r="BN1185" t="s">
        <v>69</v>
      </c>
      <c r="BO1185" t="s">
        <v>69</v>
      </c>
      <c r="BP1185">
        <v>18</v>
      </c>
      <c r="BQ1185" t="s">
        <v>8960</v>
      </c>
      <c r="BR1185" t="s">
        <v>8523</v>
      </c>
      <c r="BS1185" t="s">
        <v>8961</v>
      </c>
      <c r="BT1185" t="s">
        <v>17616</v>
      </c>
      <c r="BU1185" t="s">
        <v>17617</v>
      </c>
      <c r="BV1185" t="s">
        <v>69</v>
      </c>
      <c r="BW1185" t="s">
        <v>8931</v>
      </c>
      <c r="BX1185" t="s">
        <v>69</v>
      </c>
      <c r="BY1185" t="s">
        <v>69</v>
      </c>
      <c r="BZ1185" t="s">
        <v>8526</v>
      </c>
      <c r="CA1185" t="str">
        <f>HYPERLINK("https%3A%2F%2Fwww.webofscience.com%2Fwos%2Fwoscc%2Ffull-record%2FWOS:000457129900096","View Full Record in Web of Science")</f>
        <v>View Full Record in Web of Science</v>
      </c>
    </row>
    <row r="1186" spans="2:79" ht="12.5" x14ac:dyDescent="0.25">
      <c r="B1186" t="s">
        <v>8495</v>
      </c>
      <c r="D1186" s="22" t="s">
        <v>32931</v>
      </c>
      <c r="E1186" s="7"/>
      <c r="F1186" s="7"/>
      <c r="G1186" s="7"/>
      <c r="H1186" t="s">
        <v>67</v>
      </c>
      <c r="I1186" t="s">
        <v>13855</v>
      </c>
      <c r="J1186" t="s">
        <v>69</v>
      </c>
      <c r="K1186" t="s">
        <v>69</v>
      </c>
      <c r="L1186" t="s">
        <v>69</v>
      </c>
      <c r="M1186" t="s">
        <v>13856</v>
      </c>
      <c r="N1186" t="s">
        <v>69</v>
      </c>
      <c r="O1186" t="s">
        <v>69</v>
      </c>
      <c r="P1186" t="s">
        <v>13857</v>
      </c>
      <c r="Q1186" t="s">
        <v>13858</v>
      </c>
      <c r="R1186" t="s">
        <v>69</v>
      </c>
      <c r="S1186" t="s">
        <v>69</v>
      </c>
      <c r="T1186" t="s">
        <v>8505</v>
      </c>
      <c r="U1186" t="s">
        <v>8506</v>
      </c>
      <c r="V1186" t="s">
        <v>69</v>
      </c>
      <c r="W1186" t="s">
        <v>69</v>
      </c>
      <c r="X1186" t="s">
        <v>69</v>
      </c>
      <c r="Y1186" t="s">
        <v>69</v>
      </c>
      <c r="Z1186" t="s">
        <v>69</v>
      </c>
      <c r="AA1186" t="s">
        <v>13859</v>
      </c>
      <c r="AB1186" t="s">
        <v>69</v>
      </c>
      <c r="AC1186" t="s">
        <v>13860</v>
      </c>
      <c r="AD1186" t="s">
        <v>13861</v>
      </c>
      <c r="AE1186" t="s">
        <v>69</v>
      </c>
      <c r="AF1186" t="s">
        <v>13862</v>
      </c>
      <c r="AG1186" t="s">
        <v>13863</v>
      </c>
      <c r="AH1186" t="s">
        <v>13864</v>
      </c>
      <c r="AI1186" t="s">
        <v>13865</v>
      </c>
      <c r="AJ1186" t="s">
        <v>13866</v>
      </c>
      <c r="AK1186" t="s">
        <v>13867</v>
      </c>
      <c r="AL1186" t="s">
        <v>13868</v>
      </c>
      <c r="AM1186" t="s">
        <v>69</v>
      </c>
      <c r="AN1186">
        <v>61</v>
      </c>
      <c r="AO1186">
        <v>2</v>
      </c>
      <c r="AP1186">
        <v>2</v>
      </c>
      <c r="AQ1186">
        <v>6</v>
      </c>
      <c r="AR1186">
        <v>40</v>
      </c>
      <c r="AS1186" t="s">
        <v>8586</v>
      </c>
      <c r="AT1186" t="s">
        <v>8587</v>
      </c>
      <c r="AU1186" t="s">
        <v>8588</v>
      </c>
      <c r="AV1186" t="s">
        <v>13869</v>
      </c>
      <c r="AW1186" t="s">
        <v>13870</v>
      </c>
      <c r="AX1186" t="s">
        <v>69</v>
      </c>
      <c r="AY1186" t="s">
        <v>13871</v>
      </c>
      <c r="AZ1186" t="s">
        <v>13872</v>
      </c>
      <c r="BA1186" t="s">
        <v>13873</v>
      </c>
      <c r="BB1186">
        <v>2021</v>
      </c>
      <c r="BC1186">
        <v>22</v>
      </c>
      <c r="BD1186">
        <v>2</v>
      </c>
      <c r="BE1186" t="s">
        <v>69</v>
      </c>
      <c r="BF1186" t="s">
        <v>69</v>
      </c>
      <c r="BG1186" t="s">
        <v>69</v>
      </c>
      <c r="BH1186" t="s">
        <v>69</v>
      </c>
      <c r="BI1186">
        <v>344</v>
      </c>
      <c r="BJ1186">
        <v>362</v>
      </c>
      <c r="BK1186" t="s">
        <v>69</v>
      </c>
      <c r="BL1186" t="s">
        <v>13874</v>
      </c>
      <c r="BM1186" t="str">
        <f>HYPERLINK("http://dx.doi.org/10.1108/IJSHE-05-2020-0186","http://dx.doi.org/10.1108/IJSHE-05-2020-0186")</f>
        <v>http://dx.doi.org/10.1108/IJSHE-05-2020-0186</v>
      </c>
      <c r="BN1186" t="s">
        <v>69</v>
      </c>
      <c r="BO1186" t="s">
        <v>1852</v>
      </c>
      <c r="BP1186">
        <v>19</v>
      </c>
      <c r="BQ1186" t="s">
        <v>13875</v>
      </c>
      <c r="BR1186" t="s">
        <v>8661</v>
      </c>
      <c r="BS1186" t="s">
        <v>13876</v>
      </c>
      <c r="BT1186" t="s">
        <v>13877</v>
      </c>
      <c r="BU1186" t="s">
        <v>13878</v>
      </c>
      <c r="BV1186" t="s">
        <v>69</v>
      </c>
      <c r="BW1186" t="s">
        <v>69</v>
      </c>
      <c r="BX1186" t="s">
        <v>69</v>
      </c>
      <c r="BY1186" t="s">
        <v>69</v>
      </c>
      <c r="BZ1186" t="s">
        <v>8526</v>
      </c>
      <c r="CA1186" t="str">
        <f>HYPERLINK("https%3A%2F%2Fwww.webofscience.com%2Fwos%2Fwoscc%2Ffull-record%2FWOS:000600952100001","View Full Record in Web of Science")</f>
        <v>View Full Record in Web of Science</v>
      </c>
    </row>
    <row r="1187" spans="2:79" ht="12.5" x14ac:dyDescent="0.25">
      <c r="B1187" t="s">
        <v>8495</v>
      </c>
      <c r="D1187" s="22" t="s">
        <v>32931</v>
      </c>
      <c r="E1187" s="7"/>
      <c r="F1187" s="7"/>
      <c r="G1187" s="7"/>
      <c r="H1187" t="s">
        <v>67</v>
      </c>
      <c r="I1187" t="s">
        <v>10503</v>
      </c>
      <c r="J1187" t="s">
        <v>69</v>
      </c>
      <c r="K1187" t="s">
        <v>69</v>
      </c>
      <c r="L1187" t="s">
        <v>69</v>
      </c>
      <c r="M1187" t="s">
        <v>10504</v>
      </c>
      <c r="N1187" t="s">
        <v>69</v>
      </c>
      <c r="O1187" t="s">
        <v>69</v>
      </c>
      <c r="P1187" t="s">
        <v>10505</v>
      </c>
      <c r="Q1187" t="s">
        <v>10506</v>
      </c>
      <c r="R1187" t="s">
        <v>69</v>
      </c>
      <c r="S1187" t="s">
        <v>69</v>
      </c>
      <c r="T1187" t="s">
        <v>8505</v>
      </c>
      <c r="U1187" t="s">
        <v>8506</v>
      </c>
      <c r="V1187" t="s">
        <v>69</v>
      </c>
      <c r="W1187" t="s">
        <v>69</v>
      </c>
      <c r="X1187" t="s">
        <v>69</v>
      </c>
      <c r="Y1187" t="s">
        <v>69</v>
      </c>
      <c r="Z1187" t="s">
        <v>69</v>
      </c>
      <c r="AA1187" t="s">
        <v>10507</v>
      </c>
      <c r="AB1187" t="s">
        <v>69</v>
      </c>
      <c r="AC1187" t="s">
        <v>10508</v>
      </c>
      <c r="AD1187" t="s">
        <v>10509</v>
      </c>
      <c r="AE1187" t="s">
        <v>69</v>
      </c>
      <c r="AF1187" t="s">
        <v>10510</v>
      </c>
      <c r="AG1187" t="s">
        <v>10511</v>
      </c>
      <c r="AH1187" t="s">
        <v>10512</v>
      </c>
      <c r="AI1187" t="s">
        <v>10513</v>
      </c>
      <c r="AJ1187" t="s">
        <v>10514</v>
      </c>
      <c r="AK1187" t="s">
        <v>10515</v>
      </c>
      <c r="AL1187" t="s">
        <v>10516</v>
      </c>
      <c r="AM1187" t="s">
        <v>69</v>
      </c>
      <c r="AN1187">
        <v>79</v>
      </c>
      <c r="AO1187">
        <v>0</v>
      </c>
      <c r="AP1187">
        <v>0</v>
      </c>
      <c r="AQ1187">
        <v>1</v>
      </c>
      <c r="AR1187">
        <v>1</v>
      </c>
      <c r="AS1187" t="s">
        <v>10517</v>
      </c>
      <c r="AT1187" t="s">
        <v>10518</v>
      </c>
      <c r="AU1187" t="s">
        <v>10519</v>
      </c>
      <c r="AV1187" t="s">
        <v>10520</v>
      </c>
      <c r="AW1187" t="s">
        <v>69</v>
      </c>
      <c r="AX1187" t="s">
        <v>69</v>
      </c>
      <c r="AY1187" t="s">
        <v>10521</v>
      </c>
      <c r="AZ1187" t="s">
        <v>10522</v>
      </c>
      <c r="BA1187" t="s">
        <v>4520</v>
      </c>
      <c r="BB1187">
        <v>2021</v>
      </c>
      <c r="BC1187">
        <v>23</v>
      </c>
      <c r="BD1187">
        <v>12</v>
      </c>
      <c r="BE1187" t="s">
        <v>69</v>
      </c>
      <c r="BF1187" t="s">
        <v>69</v>
      </c>
      <c r="BG1187" t="s">
        <v>69</v>
      </c>
      <c r="BH1187" t="s">
        <v>69</v>
      </c>
      <c r="BI1187" t="s">
        <v>69</v>
      </c>
      <c r="BJ1187" t="s">
        <v>69</v>
      </c>
      <c r="BK1187" t="s">
        <v>10523</v>
      </c>
      <c r="BL1187" t="s">
        <v>10524</v>
      </c>
      <c r="BM1187" t="str">
        <f>HYPERLINK("http://dx.doi.org/10.2196/20028","http://dx.doi.org/10.2196/20028")</f>
        <v>http://dx.doi.org/10.2196/20028</v>
      </c>
      <c r="BN1187" t="s">
        <v>69</v>
      </c>
      <c r="BO1187" t="s">
        <v>69</v>
      </c>
      <c r="BP1187">
        <v>16</v>
      </c>
      <c r="BQ1187" t="s">
        <v>10525</v>
      </c>
      <c r="BR1187" t="s">
        <v>8548</v>
      </c>
      <c r="BS1187" t="s">
        <v>10525</v>
      </c>
      <c r="BT1187" t="s">
        <v>10526</v>
      </c>
      <c r="BU1187" t="s">
        <v>10527</v>
      </c>
      <c r="BV1187">
        <v>34860667</v>
      </c>
      <c r="BW1187" t="s">
        <v>9352</v>
      </c>
      <c r="BX1187" t="s">
        <v>69</v>
      </c>
      <c r="BY1187" t="s">
        <v>69</v>
      </c>
      <c r="BZ1187" t="s">
        <v>8526</v>
      </c>
      <c r="CA1187" t="str">
        <f>HYPERLINK("https%3A%2F%2Fwww.webofscience.com%2Fwos%2Fwoscc%2Ffull-record%2FWOS:000749605800006","View Full Record in Web of Science")</f>
        <v>View Full Record in Web of Science</v>
      </c>
    </row>
    <row r="1188" spans="2:79" ht="12.5" x14ac:dyDescent="0.25">
      <c r="B1188" t="s">
        <v>8495</v>
      </c>
      <c r="D1188" s="22" t="s">
        <v>32931</v>
      </c>
      <c r="E1188" s="7"/>
      <c r="F1188" s="7"/>
      <c r="G1188" s="7"/>
      <c r="H1188" t="s">
        <v>67</v>
      </c>
      <c r="I1188" t="s">
        <v>27229</v>
      </c>
      <c r="J1188" t="s">
        <v>69</v>
      </c>
      <c r="K1188" t="s">
        <v>69</v>
      </c>
      <c r="L1188" t="s">
        <v>69</v>
      </c>
      <c r="M1188" t="s">
        <v>27230</v>
      </c>
      <c r="N1188" t="s">
        <v>69</v>
      </c>
      <c r="O1188" t="s">
        <v>69</v>
      </c>
      <c r="P1188" t="s">
        <v>27231</v>
      </c>
      <c r="Q1188" t="s">
        <v>27232</v>
      </c>
      <c r="R1188" t="s">
        <v>69</v>
      </c>
      <c r="S1188" t="s">
        <v>69</v>
      </c>
      <c r="T1188" t="s">
        <v>8505</v>
      </c>
      <c r="U1188" t="s">
        <v>8506</v>
      </c>
      <c r="V1188" t="s">
        <v>69</v>
      </c>
      <c r="W1188" t="s">
        <v>69</v>
      </c>
      <c r="X1188" t="s">
        <v>69</v>
      </c>
      <c r="Y1188" t="s">
        <v>69</v>
      </c>
      <c r="Z1188" t="s">
        <v>69</v>
      </c>
      <c r="AA1188" t="s">
        <v>27233</v>
      </c>
      <c r="AB1188" t="s">
        <v>69</v>
      </c>
      <c r="AC1188" t="s">
        <v>27234</v>
      </c>
      <c r="AD1188" t="s">
        <v>27235</v>
      </c>
      <c r="AE1188" t="s">
        <v>69</v>
      </c>
      <c r="AF1188" t="s">
        <v>27236</v>
      </c>
      <c r="AG1188" t="s">
        <v>27237</v>
      </c>
      <c r="AH1188" t="s">
        <v>27238</v>
      </c>
      <c r="AI1188" t="s">
        <v>27239</v>
      </c>
      <c r="AJ1188" t="s">
        <v>69</v>
      </c>
      <c r="AK1188" t="s">
        <v>69</v>
      </c>
      <c r="AL1188" t="s">
        <v>69</v>
      </c>
      <c r="AM1188" t="s">
        <v>69</v>
      </c>
      <c r="AN1188">
        <v>11</v>
      </c>
      <c r="AO1188">
        <v>2</v>
      </c>
      <c r="AP1188">
        <v>2</v>
      </c>
      <c r="AQ1188">
        <v>1</v>
      </c>
      <c r="AR1188">
        <v>16</v>
      </c>
      <c r="AS1188" t="s">
        <v>27240</v>
      </c>
      <c r="AT1188" t="s">
        <v>8587</v>
      </c>
      <c r="AU1188" t="s">
        <v>8588</v>
      </c>
      <c r="AV1188" t="s">
        <v>27241</v>
      </c>
      <c r="AW1188" t="s">
        <v>69</v>
      </c>
      <c r="AX1188" t="s">
        <v>69</v>
      </c>
      <c r="AY1188" t="s">
        <v>27242</v>
      </c>
      <c r="AZ1188" t="s">
        <v>27243</v>
      </c>
      <c r="BA1188" t="s">
        <v>69</v>
      </c>
      <c r="BB1188">
        <v>2011</v>
      </c>
      <c r="BC1188">
        <v>29</v>
      </c>
      <c r="BD1188">
        <v>1</v>
      </c>
      <c r="BE1188" t="s">
        <v>69</v>
      </c>
      <c r="BF1188" t="s">
        <v>69</v>
      </c>
      <c r="BG1188" t="s">
        <v>69</v>
      </c>
      <c r="BH1188" t="s">
        <v>69</v>
      </c>
      <c r="BI1188">
        <v>90</v>
      </c>
      <c r="BJ1188">
        <v>104</v>
      </c>
      <c r="BK1188" t="s">
        <v>69</v>
      </c>
      <c r="BL1188" t="s">
        <v>27244</v>
      </c>
      <c r="BM1188" t="str">
        <f>HYPERLINK("http://dx.doi.org/10.1108/02640471111111451","http://dx.doi.org/10.1108/02640471111111451")</f>
        <v>http://dx.doi.org/10.1108/02640471111111451</v>
      </c>
      <c r="BN1188" t="s">
        <v>69</v>
      </c>
      <c r="BO1188" t="s">
        <v>69</v>
      </c>
      <c r="BP1188">
        <v>15</v>
      </c>
      <c r="BQ1188" t="s">
        <v>11010</v>
      </c>
      <c r="BR1188" t="s">
        <v>8661</v>
      </c>
      <c r="BS1188" t="s">
        <v>11010</v>
      </c>
      <c r="BT1188" t="s">
        <v>27245</v>
      </c>
      <c r="BU1188" t="s">
        <v>27246</v>
      </c>
      <c r="BV1188" t="s">
        <v>69</v>
      </c>
      <c r="BW1188" t="s">
        <v>9292</v>
      </c>
      <c r="BX1188" t="s">
        <v>69</v>
      </c>
      <c r="BY1188" t="s">
        <v>69</v>
      </c>
      <c r="BZ1188" t="s">
        <v>8526</v>
      </c>
      <c r="CA1188" t="str">
        <f>HYPERLINK("https%3A%2F%2Fwww.webofscience.com%2Fwos%2Fwoscc%2Ffull-record%2FWOS:000288405000006","View Full Record in Web of Science")</f>
        <v>View Full Record in Web of Science</v>
      </c>
    </row>
    <row r="1189" spans="2:79" ht="12.5" x14ac:dyDescent="0.25">
      <c r="B1189" t="s">
        <v>8495</v>
      </c>
      <c r="D1189" s="22" t="s">
        <v>32931</v>
      </c>
      <c r="E1189" s="7"/>
      <c r="F1189" s="7"/>
      <c r="G1189" s="7"/>
      <c r="H1189" t="s">
        <v>67</v>
      </c>
      <c r="I1189" t="s">
        <v>13013</v>
      </c>
      <c r="J1189" t="s">
        <v>69</v>
      </c>
      <c r="K1189" t="s">
        <v>69</v>
      </c>
      <c r="L1189" t="s">
        <v>69</v>
      </c>
      <c r="M1189" t="s">
        <v>13014</v>
      </c>
      <c r="N1189" t="s">
        <v>69</v>
      </c>
      <c r="O1189" t="s">
        <v>69</v>
      </c>
      <c r="P1189" t="s">
        <v>13015</v>
      </c>
      <c r="Q1189" t="s">
        <v>4907</v>
      </c>
      <c r="R1189" t="s">
        <v>69</v>
      </c>
      <c r="S1189" t="s">
        <v>69</v>
      </c>
      <c r="T1189" t="s">
        <v>8505</v>
      </c>
      <c r="U1189" t="s">
        <v>8506</v>
      </c>
      <c r="V1189" t="s">
        <v>69</v>
      </c>
      <c r="W1189" t="s">
        <v>69</v>
      </c>
      <c r="X1189" t="s">
        <v>69</v>
      </c>
      <c r="Y1189" t="s">
        <v>69</v>
      </c>
      <c r="Z1189" t="s">
        <v>69</v>
      </c>
      <c r="AA1189" t="s">
        <v>13016</v>
      </c>
      <c r="AB1189" t="s">
        <v>13017</v>
      </c>
      <c r="AC1189" t="s">
        <v>13018</v>
      </c>
      <c r="AD1189" t="s">
        <v>13019</v>
      </c>
      <c r="AE1189" t="s">
        <v>69</v>
      </c>
      <c r="AF1189" t="s">
        <v>13020</v>
      </c>
      <c r="AG1189" t="s">
        <v>13021</v>
      </c>
      <c r="AH1189" t="s">
        <v>69</v>
      </c>
      <c r="AI1189" t="s">
        <v>13022</v>
      </c>
      <c r="AJ1189" t="s">
        <v>69</v>
      </c>
      <c r="AK1189" t="s">
        <v>69</v>
      </c>
      <c r="AL1189" t="s">
        <v>69</v>
      </c>
      <c r="AM1189" t="s">
        <v>69</v>
      </c>
      <c r="AN1189">
        <v>43</v>
      </c>
      <c r="AO1189">
        <v>0</v>
      </c>
      <c r="AP1189">
        <v>0</v>
      </c>
      <c r="AQ1189">
        <v>0</v>
      </c>
      <c r="AR1189">
        <v>5</v>
      </c>
      <c r="AS1189" t="s">
        <v>13023</v>
      </c>
      <c r="AT1189" t="s">
        <v>13024</v>
      </c>
      <c r="AU1189" t="s">
        <v>13025</v>
      </c>
      <c r="AV1189" t="s">
        <v>4909</v>
      </c>
      <c r="AW1189" t="s">
        <v>4910</v>
      </c>
      <c r="AX1189" t="s">
        <v>69</v>
      </c>
      <c r="AY1189" t="s">
        <v>13026</v>
      </c>
      <c r="AZ1189" t="s">
        <v>13027</v>
      </c>
      <c r="BA1189" t="s">
        <v>246</v>
      </c>
      <c r="BB1189">
        <v>2021</v>
      </c>
      <c r="BC1189">
        <v>321</v>
      </c>
      <c r="BD1189" t="s">
        <v>69</v>
      </c>
      <c r="BE1189" t="s">
        <v>69</v>
      </c>
      <c r="BF1189" t="s">
        <v>69</v>
      </c>
      <c r="BG1189" t="s">
        <v>69</v>
      </c>
      <c r="BH1189" t="s">
        <v>69</v>
      </c>
      <c r="BI1189" t="s">
        <v>69</v>
      </c>
      <c r="BJ1189" t="s">
        <v>69</v>
      </c>
      <c r="BK1189">
        <v>110605</v>
      </c>
      <c r="BL1189" t="s">
        <v>13028</v>
      </c>
      <c r="BM1189" t="str">
        <f>HYPERLINK("http://dx.doi.org/10.1016/j.forsciint.2020.110605","http://dx.doi.org/10.1016/j.forsciint.2020.110605")</f>
        <v>http://dx.doi.org/10.1016/j.forsciint.2020.110605</v>
      </c>
      <c r="BN1189" t="s">
        <v>69</v>
      </c>
      <c r="BO1189" t="s">
        <v>13029</v>
      </c>
      <c r="BP1189">
        <v>6</v>
      </c>
      <c r="BQ1189" t="s">
        <v>13030</v>
      </c>
      <c r="BR1189" t="s">
        <v>8548</v>
      </c>
      <c r="BS1189" t="s">
        <v>13031</v>
      </c>
      <c r="BT1189" t="s">
        <v>13032</v>
      </c>
      <c r="BU1189" t="s">
        <v>13033</v>
      </c>
      <c r="BV1189">
        <v>33640779</v>
      </c>
      <c r="BW1189" t="s">
        <v>69</v>
      </c>
      <c r="BX1189" t="s">
        <v>69</v>
      </c>
      <c r="BY1189" t="s">
        <v>69</v>
      </c>
      <c r="BZ1189" t="s">
        <v>8526</v>
      </c>
      <c r="CA1189" t="str">
        <f>HYPERLINK("https%3A%2F%2Fwww.webofscience.com%2Fwos%2Fwoscc%2Ffull-record%2FWOS:000633034200007","View Full Record in Web of Science")</f>
        <v>View Full Record in Web of Science</v>
      </c>
    </row>
    <row r="1190" spans="2:79" ht="12.5" x14ac:dyDescent="0.25">
      <c r="B1190" t="s">
        <v>8495</v>
      </c>
      <c r="D1190" s="22" t="s">
        <v>32931</v>
      </c>
      <c r="E1190" s="7"/>
      <c r="F1190" s="7"/>
      <c r="G1190" s="7"/>
      <c r="H1190" t="s">
        <v>67</v>
      </c>
      <c r="I1190" t="s">
        <v>9812</v>
      </c>
      <c r="J1190" t="s">
        <v>69</v>
      </c>
      <c r="K1190" t="s">
        <v>69</v>
      </c>
      <c r="L1190" t="s">
        <v>69</v>
      </c>
      <c r="M1190" t="s">
        <v>9813</v>
      </c>
      <c r="N1190" t="s">
        <v>69</v>
      </c>
      <c r="O1190" t="s">
        <v>69</v>
      </c>
      <c r="P1190" t="s">
        <v>9814</v>
      </c>
      <c r="Q1190" t="s">
        <v>342</v>
      </c>
      <c r="R1190" t="s">
        <v>69</v>
      </c>
      <c r="S1190" t="s">
        <v>69</v>
      </c>
      <c r="T1190" t="s">
        <v>8505</v>
      </c>
      <c r="U1190" t="s">
        <v>8556</v>
      </c>
      <c r="V1190" t="s">
        <v>69</v>
      </c>
      <c r="W1190" t="s">
        <v>69</v>
      </c>
      <c r="X1190" t="s">
        <v>69</v>
      </c>
      <c r="Y1190" t="s">
        <v>69</v>
      </c>
      <c r="Z1190" t="s">
        <v>69</v>
      </c>
      <c r="AA1190" t="s">
        <v>9815</v>
      </c>
      <c r="AB1190" t="s">
        <v>9816</v>
      </c>
      <c r="AC1190" t="s">
        <v>9817</v>
      </c>
      <c r="AD1190" t="s">
        <v>9818</v>
      </c>
      <c r="AE1190" t="s">
        <v>69</v>
      </c>
      <c r="AF1190" t="s">
        <v>9819</v>
      </c>
      <c r="AG1190" t="s">
        <v>9820</v>
      </c>
      <c r="AH1190" t="s">
        <v>69</v>
      </c>
      <c r="AI1190" t="s">
        <v>69</v>
      </c>
      <c r="AJ1190" t="s">
        <v>69</v>
      </c>
      <c r="AK1190" t="s">
        <v>69</v>
      </c>
      <c r="AL1190" t="s">
        <v>69</v>
      </c>
      <c r="AM1190" t="s">
        <v>69</v>
      </c>
      <c r="AN1190">
        <v>52</v>
      </c>
      <c r="AO1190">
        <v>0</v>
      </c>
      <c r="AP1190">
        <v>0</v>
      </c>
      <c r="AQ1190">
        <v>3</v>
      </c>
      <c r="AR1190">
        <v>3</v>
      </c>
      <c r="AS1190" t="s">
        <v>8611</v>
      </c>
      <c r="AT1190" t="s">
        <v>8612</v>
      </c>
      <c r="AU1190" t="s">
        <v>8613</v>
      </c>
      <c r="AV1190" t="s">
        <v>344</v>
      </c>
      <c r="AW1190" t="s">
        <v>345</v>
      </c>
      <c r="AX1190" t="s">
        <v>69</v>
      </c>
      <c r="AY1190" t="s">
        <v>9821</v>
      </c>
      <c r="AZ1190" t="s">
        <v>9822</v>
      </c>
      <c r="BA1190" t="s">
        <v>69</v>
      </c>
      <c r="BB1190" t="s">
        <v>69</v>
      </c>
      <c r="BC1190" t="s">
        <v>69</v>
      </c>
      <c r="BD1190" t="s">
        <v>69</v>
      </c>
      <c r="BE1190" t="s">
        <v>69</v>
      </c>
      <c r="BF1190" t="s">
        <v>69</v>
      </c>
      <c r="BG1190" t="s">
        <v>69</v>
      </c>
      <c r="BH1190" t="s">
        <v>69</v>
      </c>
      <c r="BI1190" t="s">
        <v>69</v>
      </c>
      <c r="BJ1190" t="s">
        <v>69</v>
      </c>
      <c r="BK1190" t="s">
        <v>69</v>
      </c>
      <c r="BL1190" t="s">
        <v>9823</v>
      </c>
      <c r="BM1190" t="str">
        <f>HYPERLINK("http://dx.doi.org/10.1080/15623599.2022.2045863","http://dx.doi.org/10.1080/15623599.2022.2045863")</f>
        <v>http://dx.doi.org/10.1080/15623599.2022.2045863</v>
      </c>
      <c r="BN1190" t="s">
        <v>69</v>
      </c>
      <c r="BO1190" t="s">
        <v>9808</v>
      </c>
      <c r="BP1190">
        <v>11</v>
      </c>
      <c r="BQ1190" t="s">
        <v>9410</v>
      </c>
      <c r="BR1190" t="s">
        <v>8573</v>
      </c>
      <c r="BS1190" t="s">
        <v>8594</v>
      </c>
      <c r="BT1190" t="s">
        <v>9824</v>
      </c>
      <c r="BU1190" t="s">
        <v>9825</v>
      </c>
      <c r="BV1190" t="s">
        <v>69</v>
      </c>
      <c r="BW1190" t="s">
        <v>69</v>
      </c>
      <c r="BX1190" t="s">
        <v>69</v>
      </c>
      <c r="BY1190" t="s">
        <v>69</v>
      </c>
      <c r="BZ1190" t="s">
        <v>8526</v>
      </c>
      <c r="CA1190" t="str">
        <f>HYPERLINK("https%3A%2F%2Fwww.webofscience.com%2Fwos%2Fwoscc%2Ffull-record%2FWOS:000765608100001","View Full Record in Web of Science")</f>
        <v>View Full Record in Web of Science</v>
      </c>
    </row>
    <row r="1191" spans="2:79" ht="12.5" x14ac:dyDescent="0.25">
      <c r="B1191" t="s">
        <v>8495</v>
      </c>
      <c r="D1191" s="7" t="s">
        <v>32933</v>
      </c>
      <c r="E1191" s="7"/>
      <c r="F1191" s="7"/>
      <c r="G1191" s="7"/>
      <c r="H1191" t="s">
        <v>67</v>
      </c>
      <c r="I1191" t="s">
        <v>2935</v>
      </c>
      <c r="J1191" t="s">
        <v>69</v>
      </c>
      <c r="K1191" t="s">
        <v>69</v>
      </c>
      <c r="L1191" t="s">
        <v>69</v>
      </c>
      <c r="M1191" t="s">
        <v>2936</v>
      </c>
      <c r="N1191" t="s">
        <v>69</v>
      </c>
      <c r="O1191" t="s">
        <v>69</v>
      </c>
      <c r="P1191" t="s">
        <v>2937</v>
      </c>
      <c r="Q1191" t="s">
        <v>2938</v>
      </c>
      <c r="R1191" t="s">
        <v>69</v>
      </c>
      <c r="S1191" t="s">
        <v>69</v>
      </c>
      <c r="T1191" t="s">
        <v>8505</v>
      </c>
      <c r="U1191" t="s">
        <v>8506</v>
      </c>
      <c r="V1191" t="s">
        <v>69</v>
      </c>
      <c r="W1191" t="s">
        <v>69</v>
      </c>
      <c r="X1191" t="s">
        <v>69</v>
      </c>
      <c r="Y1191" t="s">
        <v>69</v>
      </c>
      <c r="Z1191" t="s">
        <v>69</v>
      </c>
      <c r="AA1191" t="s">
        <v>21881</v>
      </c>
      <c r="AB1191" t="s">
        <v>69</v>
      </c>
      <c r="AC1191" t="s">
        <v>2939</v>
      </c>
      <c r="AD1191" t="s">
        <v>21882</v>
      </c>
      <c r="AE1191" t="s">
        <v>69</v>
      </c>
      <c r="AF1191" t="s">
        <v>21883</v>
      </c>
      <c r="AG1191" t="s">
        <v>21884</v>
      </c>
      <c r="AH1191" t="s">
        <v>2940</v>
      </c>
      <c r="AI1191" t="s">
        <v>2941</v>
      </c>
      <c r="AJ1191" t="s">
        <v>69</v>
      </c>
      <c r="AK1191" t="s">
        <v>69</v>
      </c>
      <c r="AL1191" t="s">
        <v>69</v>
      </c>
      <c r="AM1191" t="s">
        <v>69</v>
      </c>
      <c r="AN1191">
        <v>3</v>
      </c>
      <c r="AO1191">
        <v>7</v>
      </c>
      <c r="AP1191">
        <v>7</v>
      </c>
      <c r="AQ1191">
        <v>0</v>
      </c>
      <c r="AR1191">
        <v>20</v>
      </c>
      <c r="AS1191" t="s">
        <v>8586</v>
      </c>
      <c r="AT1191" t="s">
        <v>8587</v>
      </c>
      <c r="AU1191" t="s">
        <v>8588</v>
      </c>
      <c r="AV1191" t="s">
        <v>2942</v>
      </c>
      <c r="AW1191" t="s">
        <v>2943</v>
      </c>
      <c r="AX1191" t="s">
        <v>69</v>
      </c>
      <c r="AY1191" t="s">
        <v>21885</v>
      </c>
      <c r="AZ1191" t="s">
        <v>21886</v>
      </c>
      <c r="BA1191" t="s">
        <v>69</v>
      </c>
      <c r="BB1191">
        <v>2016</v>
      </c>
      <c r="BC1191">
        <v>32</v>
      </c>
      <c r="BD1191">
        <v>3</v>
      </c>
      <c r="BE1191" t="s">
        <v>69</v>
      </c>
      <c r="BF1191" t="s">
        <v>69</v>
      </c>
      <c r="BG1191" t="s">
        <v>69</v>
      </c>
      <c r="BH1191" t="s">
        <v>69</v>
      </c>
      <c r="BI1191">
        <v>137</v>
      </c>
      <c r="BJ1191">
        <v>141</v>
      </c>
      <c r="BK1191" t="s">
        <v>69</v>
      </c>
      <c r="BL1191" t="s">
        <v>2944</v>
      </c>
      <c r="BM1191" t="str">
        <f>HYPERLINK("http://dx.doi.org/10.1108/DLP-05-2016-0013","http://dx.doi.org/10.1108/DLP-05-2016-0013")</f>
        <v>http://dx.doi.org/10.1108/DLP-05-2016-0013</v>
      </c>
      <c r="BN1191" t="s">
        <v>69</v>
      </c>
      <c r="BO1191" t="s">
        <v>69</v>
      </c>
      <c r="BP1191">
        <v>5</v>
      </c>
      <c r="BQ1191" t="s">
        <v>11010</v>
      </c>
      <c r="BR1191" t="s">
        <v>8573</v>
      </c>
      <c r="BS1191" t="s">
        <v>11010</v>
      </c>
      <c r="BT1191" t="s">
        <v>21887</v>
      </c>
      <c r="BU1191" t="s">
        <v>2945</v>
      </c>
      <c r="BV1191" t="s">
        <v>69</v>
      </c>
      <c r="BW1191" t="s">
        <v>69</v>
      </c>
      <c r="BX1191" t="s">
        <v>69</v>
      </c>
      <c r="BY1191" t="s">
        <v>69</v>
      </c>
      <c r="BZ1191" t="s">
        <v>8526</v>
      </c>
      <c r="CA1191" t="str">
        <f>HYPERLINK("https%3A%2F%2Fwww.webofscience.com%2Fwos%2Fwoscc%2Ffull-record%2FWOS:000410922100002","View Full Record in Web of Science")</f>
        <v>View Full Record in Web of Science</v>
      </c>
    </row>
    <row r="1192" spans="2:79" ht="12.5" x14ac:dyDescent="0.25">
      <c r="B1192" t="s">
        <v>8495</v>
      </c>
      <c r="D1192" s="7" t="s">
        <v>32933</v>
      </c>
      <c r="E1192" s="7"/>
      <c r="F1192" s="7"/>
      <c r="G1192" s="7"/>
      <c r="H1192" t="s">
        <v>67</v>
      </c>
      <c r="I1192" t="s">
        <v>2717</v>
      </c>
      <c r="J1192" t="s">
        <v>69</v>
      </c>
      <c r="K1192" t="s">
        <v>69</v>
      </c>
      <c r="L1192" t="s">
        <v>69</v>
      </c>
      <c r="M1192" t="s">
        <v>2718</v>
      </c>
      <c r="N1192" t="s">
        <v>69</v>
      </c>
      <c r="O1192" t="s">
        <v>69</v>
      </c>
      <c r="P1192" t="s">
        <v>2719</v>
      </c>
      <c r="Q1192" t="s">
        <v>2720</v>
      </c>
      <c r="R1192" t="s">
        <v>69</v>
      </c>
      <c r="S1192" t="s">
        <v>69</v>
      </c>
      <c r="T1192" t="s">
        <v>8505</v>
      </c>
      <c r="U1192" t="s">
        <v>8506</v>
      </c>
      <c r="V1192" t="s">
        <v>69</v>
      </c>
      <c r="W1192" t="s">
        <v>69</v>
      </c>
      <c r="X1192" t="s">
        <v>69</v>
      </c>
      <c r="Y1192" t="s">
        <v>69</v>
      </c>
      <c r="Z1192" t="s">
        <v>69</v>
      </c>
      <c r="AA1192" t="s">
        <v>20620</v>
      </c>
      <c r="AB1192" t="s">
        <v>20621</v>
      </c>
      <c r="AC1192" t="s">
        <v>2721</v>
      </c>
      <c r="AD1192" t="s">
        <v>20622</v>
      </c>
      <c r="AE1192" t="s">
        <v>69</v>
      </c>
      <c r="AF1192" t="s">
        <v>20623</v>
      </c>
      <c r="AG1192" t="s">
        <v>20624</v>
      </c>
      <c r="AH1192" t="s">
        <v>2722</v>
      </c>
      <c r="AI1192" t="s">
        <v>2723</v>
      </c>
      <c r="AJ1192" t="s">
        <v>69</v>
      </c>
      <c r="AK1192" t="s">
        <v>69</v>
      </c>
      <c r="AL1192" t="s">
        <v>69</v>
      </c>
      <c r="AM1192" t="s">
        <v>69</v>
      </c>
      <c r="AN1192">
        <v>53</v>
      </c>
      <c r="AO1192">
        <v>28</v>
      </c>
      <c r="AP1192">
        <v>28</v>
      </c>
      <c r="AQ1192">
        <v>3</v>
      </c>
      <c r="AR1192">
        <v>32</v>
      </c>
      <c r="AS1192" t="s">
        <v>8586</v>
      </c>
      <c r="AT1192" t="s">
        <v>8587</v>
      </c>
      <c r="AU1192" t="s">
        <v>8588</v>
      </c>
      <c r="AV1192" t="s">
        <v>2724</v>
      </c>
      <c r="AW1192" t="s">
        <v>2725</v>
      </c>
      <c r="AX1192" t="s">
        <v>69</v>
      </c>
      <c r="AY1192" t="s">
        <v>20625</v>
      </c>
      <c r="AZ1192" t="s">
        <v>20626</v>
      </c>
      <c r="BA1192" t="s">
        <v>69</v>
      </c>
      <c r="BB1192">
        <v>2017</v>
      </c>
      <c r="BC1192">
        <v>30</v>
      </c>
      <c r="BD1192">
        <v>4</v>
      </c>
      <c r="BE1192" t="s">
        <v>69</v>
      </c>
      <c r="BF1192" t="s">
        <v>69</v>
      </c>
      <c r="BG1192" t="s">
        <v>69</v>
      </c>
      <c r="BH1192" t="s">
        <v>69</v>
      </c>
      <c r="BI1192">
        <v>584</v>
      </c>
      <c r="BJ1192">
        <v>598</v>
      </c>
      <c r="BK1192" t="s">
        <v>69</v>
      </c>
      <c r="BL1192" t="s">
        <v>2726</v>
      </c>
      <c r="BM1192" t="str">
        <f>HYPERLINK("http://dx.doi.org/10.1108/JOCM-02-2016-0039","http://dx.doi.org/10.1108/JOCM-02-2016-0039")</f>
        <v>http://dx.doi.org/10.1108/JOCM-02-2016-0039</v>
      </c>
      <c r="BN1192" t="s">
        <v>69</v>
      </c>
      <c r="BO1192" t="s">
        <v>69</v>
      </c>
      <c r="BP1192">
        <v>15</v>
      </c>
      <c r="BQ1192" t="s">
        <v>9410</v>
      </c>
      <c r="BR1192" t="s">
        <v>8661</v>
      </c>
      <c r="BS1192" t="s">
        <v>8594</v>
      </c>
      <c r="BT1192" t="s">
        <v>20627</v>
      </c>
      <c r="BU1192" t="s">
        <v>2727</v>
      </c>
      <c r="BV1192" t="s">
        <v>69</v>
      </c>
      <c r="BW1192" t="s">
        <v>69</v>
      </c>
      <c r="BX1192" t="s">
        <v>69</v>
      </c>
      <c r="BY1192" t="s">
        <v>69</v>
      </c>
      <c r="BZ1192" t="s">
        <v>8526</v>
      </c>
      <c r="CA1192" t="str">
        <f>HYPERLINK("https%3A%2F%2Fwww.webofscience.com%2Fwos%2Fwoscc%2Ffull-record%2FWOS:000404844800008","View Full Record in Web of Science")</f>
        <v>View Full Record in Web of Science</v>
      </c>
    </row>
    <row r="1193" spans="2:79" x14ac:dyDescent="0.3">
      <c r="B1193" t="s">
        <v>8495</v>
      </c>
      <c r="D1193" s="12" t="s">
        <v>33010</v>
      </c>
      <c r="H1193" t="s">
        <v>67</v>
      </c>
      <c r="I1193" t="s">
        <v>3118</v>
      </c>
      <c r="J1193" t="s">
        <v>69</v>
      </c>
      <c r="K1193" t="s">
        <v>69</v>
      </c>
      <c r="L1193" t="s">
        <v>69</v>
      </c>
      <c r="M1193" t="s">
        <v>3119</v>
      </c>
      <c r="N1193" t="s">
        <v>69</v>
      </c>
      <c r="O1193" t="s">
        <v>69</v>
      </c>
      <c r="P1193" s="3" t="s">
        <v>3120</v>
      </c>
      <c r="Q1193" t="s">
        <v>387</v>
      </c>
      <c r="R1193" t="s">
        <v>69</v>
      </c>
      <c r="S1193" t="s">
        <v>69</v>
      </c>
      <c r="T1193" t="s">
        <v>8505</v>
      </c>
      <c r="U1193" t="s">
        <v>8506</v>
      </c>
      <c r="V1193" t="s">
        <v>69</v>
      </c>
      <c r="W1193" t="s">
        <v>69</v>
      </c>
      <c r="X1193" t="s">
        <v>69</v>
      </c>
      <c r="Y1193" t="s">
        <v>69</v>
      </c>
      <c r="Z1193" t="s">
        <v>69</v>
      </c>
      <c r="AA1193" t="s">
        <v>23050</v>
      </c>
      <c r="AB1193" t="s">
        <v>23051</v>
      </c>
      <c r="AC1193" t="s">
        <v>3121</v>
      </c>
      <c r="AD1193" t="s">
        <v>23052</v>
      </c>
      <c r="AE1193" t="s">
        <v>69</v>
      </c>
      <c r="AF1193" t="s">
        <v>23053</v>
      </c>
      <c r="AG1193" t="s">
        <v>23054</v>
      </c>
      <c r="AH1193" t="s">
        <v>3122</v>
      </c>
      <c r="AI1193" t="s">
        <v>3123</v>
      </c>
      <c r="AJ1193" t="s">
        <v>69</v>
      </c>
      <c r="AK1193" t="s">
        <v>69</v>
      </c>
      <c r="AL1193" t="s">
        <v>69</v>
      </c>
      <c r="AM1193" t="s">
        <v>69</v>
      </c>
      <c r="AN1193">
        <v>45</v>
      </c>
      <c r="AO1193">
        <v>34</v>
      </c>
      <c r="AP1193">
        <v>34</v>
      </c>
      <c r="AQ1193">
        <v>1</v>
      </c>
      <c r="AR1193">
        <v>13</v>
      </c>
      <c r="AS1193" t="s">
        <v>8586</v>
      </c>
      <c r="AT1193" t="s">
        <v>8587</v>
      </c>
      <c r="AU1193" t="s">
        <v>8588</v>
      </c>
      <c r="AV1193" t="s">
        <v>390</v>
      </c>
      <c r="AW1193" t="s">
        <v>391</v>
      </c>
      <c r="AX1193" t="s">
        <v>69</v>
      </c>
      <c r="AY1193" t="s">
        <v>16996</v>
      </c>
      <c r="AZ1193" t="s">
        <v>16997</v>
      </c>
      <c r="BA1193" t="s">
        <v>69</v>
      </c>
      <c r="BB1193">
        <v>2015</v>
      </c>
      <c r="BC1193">
        <v>5</v>
      </c>
      <c r="BD1193">
        <v>2</v>
      </c>
      <c r="BE1193" t="s">
        <v>69</v>
      </c>
      <c r="BF1193" t="s">
        <v>69</v>
      </c>
      <c r="BG1193" t="s">
        <v>114</v>
      </c>
      <c r="BH1193" t="s">
        <v>69</v>
      </c>
      <c r="BI1193">
        <v>154</v>
      </c>
      <c r="BJ1193">
        <v>169</v>
      </c>
      <c r="BK1193" t="s">
        <v>69</v>
      </c>
      <c r="BL1193" t="s">
        <v>3124</v>
      </c>
      <c r="BM1193" t="str">
        <f>HYPERLINK("http://dx.doi.org/10.1108/BEPAM-12-2013-0074","http://dx.doi.org/10.1108/BEPAM-12-2013-0074")</f>
        <v>http://dx.doi.org/10.1108/BEPAM-12-2013-0074</v>
      </c>
      <c r="BN1193" t="s">
        <v>69</v>
      </c>
      <c r="BO1193" t="s">
        <v>69</v>
      </c>
      <c r="BP1193">
        <v>16</v>
      </c>
      <c r="BQ1193" t="s">
        <v>13537</v>
      </c>
      <c r="BR1193" t="s">
        <v>8573</v>
      </c>
      <c r="BS1193" t="s">
        <v>8445</v>
      </c>
      <c r="BT1193" t="s">
        <v>23055</v>
      </c>
      <c r="BU1193" t="s">
        <v>3125</v>
      </c>
      <c r="BV1193" t="s">
        <v>69</v>
      </c>
      <c r="BW1193" t="s">
        <v>69</v>
      </c>
      <c r="BX1193" t="s">
        <v>69</v>
      </c>
      <c r="BY1193" t="s">
        <v>69</v>
      </c>
      <c r="BZ1193" t="s">
        <v>8526</v>
      </c>
      <c r="CA1193" t="str">
        <f>HYPERLINK("https%3A%2F%2Fwww.webofscience.com%2Fwos%2Fwoscc%2Ffull-record%2FWOS:000359445300002","View Full Record in Web of Science")</f>
        <v>View Full Record in Web of Science</v>
      </c>
    </row>
    <row r="1194" spans="2:79" ht="12.5" x14ac:dyDescent="0.25">
      <c r="B1194" t="s">
        <v>8495</v>
      </c>
      <c r="D1194" s="7" t="s">
        <v>32933</v>
      </c>
      <c r="E1194" s="7"/>
      <c r="F1194" s="7"/>
      <c r="G1194" s="7"/>
      <c r="H1194" t="s">
        <v>67</v>
      </c>
      <c r="I1194" t="s">
        <v>6894</v>
      </c>
      <c r="J1194" t="s">
        <v>69</v>
      </c>
      <c r="K1194" t="s">
        <v>69</v>
      </c>
      <c r="L1194" t="s">
        <v>69</v>
      </c>
      <c r="M1194" t="s">
        <v>6895</v>
      </c>
      <c r="N1194" t="s">
        <v>69</v>
      </c>
      <c r="O1194" t="s">
        <v>69</v>
      </c>
      <c r="P1194" t="s">
        <v>6896</v>
      </c>
      <c r="Q1194" t="s">
        <v>6725</v>
      </c>
      <c r="R1194" t="s">
        <v>69</v>
      </c>
      <c r="S1194" t="s">
        <v>69</v>
      </c>
      <c r="T1194" t="s">
        <v>8505</v>
      </c>
      <c r="U1194" t="s">
        <v>8506</v>
      </c>
      <c r="V1194" t="s">
        <v>69</v>
      </c>
      <c r="W1194" t="s">
        <v>69</v>
      </c>
      <c r="X1194" t="s">
        <v>69</v>
      </c>
      <c r="Y1194" t="s">
        <v>69</v>
      </c>
      <c r="Z1194" t="s">
        <v>69</v>
      </c>
      <c r="AA1194" t="s">
        <v>26283</v>
      </c>
      <c r="AB1194" t="s">
        <v>69</v>
      </c>
      <c r="AC1194" t="s">
        <v>6897</v>
      </c>
      <c r="AD1194" t="s">
        <v>26284</v>
      </c>
      <c r="AE1194" t="s">
        <v>69</v>
      </c>
      <c r="AF1194" t="s">
        <v>26285</v>
      </c>
      <c r="AG1194" t="s">
        <v>26286</v>
      </c>
      <c r="AH1194" t="s">
        <v>69</v>
      </c>
      <c r="AI1194" t="s">
        <v>69</v>
      </c>
      <c r="AJ1194" t="s">
        <v>69</v>
      </c>
      <c r="AK1194" t="s">
        <v>69</v>
      </c>
      <c r="AL1194" t="s">
        <v>69</v>
      </c>
      <c r="AM1194" t="s">
        <v>69</v>
      </c>
      <c r="AN1194">
        <v>11</v>
      </c>
      <c r="AO1194">
        <v>8</v>
      </c>
      <c r="AP1194">
        <v>8</v>
      </c>
      <c r="AQ1194">
        <v>0</v>
      </c>
      <c r="AR1194">
        <v>26</v>
      </c>
      <c r="AS1194" t="s">
        <v>8586</v>
      </c>
      <c r="AT1194" t="s">
        <v>8587</v>
      </c>
      <c r="AU1194" t="s">
        <v>8588</v>
      </c>
      <c r="AV1194" t="s">
        <v>6727</v>
      </c>
      <c r="AW1194" t="s">
        <v>6728</v>
      </c>
      <c r="AX1194" t="s">
        <v>69</v>
      </c>
      <c r="AY1194" t="s">
        <v>25319</v>
      </c>
      <c r="AZ1194" t="s">
        <v>25320</v>
      </c>
      <c r="BA1194" t="s">
        <v>69</v>
      </c>
      <c r="BB1194">
        <v>2012</v>
      </c>
      <c r="BC1194">
        <v>50</v>
      </c>
      <c r="BD1194">
        <v>5</v>
      </c>
      <c r="BE1194" t="s">
        <v>69</v>
      </c>
      <c r="BF1194" t="s">
        <v>69</v>
      </c>
      <c r="BG1194" t="s">
        <v>114</v>
      </c>
      <c r="BH1194" t="s">
        <v>69</v>
      </c>
      <c r="BI1194">
        <v>900</v>
      </c>
      <c r="BJ1194">
        <v>908</v>
      </c>
      <c r="BK1194" t="s">
        <v>69</v>
      </c>
      <c r="BL1194" t="s">
        <v>6898</v>
      </c>
      <c r="BM1194" t="str">
        <f>HYPERLINK("http://dx.doi.org/10.1108/00251741211227582","http://dx.doi.org/10.1108/00251741211227582")</f>
        <v>http://dx.doi.org/10.1108/00251741211227582</v>
      </c>
      <c r="BN1194" t="s">
        <v>69</v>
      </c>
      <c r="BO1194" t="s">
        <v>69</v>
      </c>
      <c r="BP1194">
        <v>9</v>
      </c>
      <c r="BQ1194" t="s">
        <v>8791</v>
      </c>
      <c r="BR1194" t="s">
        <v>8661</v>
      </c>
      <c r="BS1194" t="s">
        <v>8594</v>
      </c>
      <c r="BT1194" t="s">
        <v>26287</v>
      </c>
      <c r="BU1194" t="s">
        <v>6899</v>
      </c>
      <c r="BV1194" t="s">
        <v>69</v>
      </c>
      <c r="BW1194" t="s">
        <v>69</v>
      </c>
      <c r="BX1194" t="s">
        <v>69</v>
      </c>
      <c r="BY1194" t="s">
        <v>69</v>
      </c>
      <c r="BZ1194" t="s">
        <v>8526</v>
      </c>
      <c r="CA1194" t="str">
        <f>HYPERLINK("https%3A%2F%2Fwww.webofscience.com%2Fwos%2Fwoscc%2Ffull-record%2FWOS:000307481900009","View Full Record in Web of Science")</f>
        <v>View Full Record in Web of Science</v>
      </c>
    </row>
    <row r="1195" spans="2:79" ht="12.5" x14ac:dyDescent="0.25">
      <c r="B1195" t="s">
        <v>8495</v>
      </c>
      <c r="D1195" s="7" t="s">
        <v>32933</v>
      </c>
      <c r="E1195" s="7"/>
      <c r="F1195" s="7"/>
      <c r="G1195" s="7"/>
      <c r="H1195" t="s">
        <v>67</v>
      </c>
      <c r="I1195" t="s">
        <v>849</v>
      </c>
      <c r="J1195" t="s">
        <v>69</v>
      </c>
      <c r="K1195" t="s">
        <v>69</v>
      </c>
      <c r="L1195" t="s">
        <v>69</v>
      </c>
      <c r="M1195" t="s">
        <v>850</v>
      </c>
      <c r="N1195" t="s">
        <v>69</v>
      </c>
      <c r="O1195" t="s">
        <v>69</v>
      </c>
      <c r="P1195" t="s">
        <v>851</v>
      </c>
      <c r="Q1195" t="s">
        <v>352</v>
      </c>
      <c r="R1195" t="s">
        <v>69</v>
      </c>
      <c r="S1195" t="s">
        <v>69</v>
      </c>
      <c r="T1195" t="s">
        <v>8505</v>
      </c>
      <c r="U1195" t="s">
        <v>8506</v>
      </c>
      <c r="V1195" t="s">
        <v>69</v>
      </c>
      <c r="W1195" t="s">
        <v>69</v>
      </c>
      <c r="X1195" t="s">
        <v>69</v>
      </c>
      <c r="Y1195" t="s">
        <v>69</v>
      </c>
      <c r="Z1195" t="s">
        <v>69</v>
      </c>
      <c r="AA1195" t="s">
        <v>16241</v>
      </c>
      <c r="AB1195" t="s">
        <v>16242</v>
      </c>
      <c r="AC1195" t="s">
        <v>852</v>
      </c>
      <c r="AD1195" t="s">
        <v>16243</v>
      </c>
      <c r="AE1195" t="s">
        <v>69</v>
      </c>
      <c r="AF1195" t="s">
        <v>16244</v>
      </c>
      <c r="AG1195" t="s">
        <v>16245</v>
      </c>
      <c r="AH1195" t="s">
        <v>16246</v>
      </c>
      <c r="AI1195" t="s">
        <v>853</v>
      </c>
      <c r="AJ1195" t="s">
        <v>69</v>
      </c>
      <c r="AK1195" t="s">
        <v>69</v>
      </c>
      <c r="AL1195" t="s">
        <v>69</v>
      </c>
      <c r="AM1195" t="s">
        <v>69</v>
      </c>
      <c r="AN1195">
        <v>74</v>
      </c>
      <c r="AO1195">
        <v>11</v>
      </c>
      <c r="AP1195">
        <v>11</v>
      </c>
      <c r="AQ1195">
        <v>4</v>
      </c>
      <c r="AR1195">
        <v>12</v>
      </c>
      <c r="AS1195" t="s">
        <v>8924</v>
      </c>
      <c r="AT1195" t="s">
        <v>8925</v>
      </c>
      <c r="AU1195" t="s">
        <v>8926</v>
      </c>
      <c r="AV1195" t="s">
        <v>69</v>
      </c>
      <c r="AW1195" t="s">
        <v>354</v>
      </c>
      <c r="AX1195" t="s">
        <v>69</v>
      </c>
      <c r="AY1195" t="s">
        <v>8958</v>
      </c>
      <c r="AZ1195" t="s">
        <v>8434</v>
      </c>
      <c r="BA1195" t="s">
        <v>373</v>
      </c>
      <c r="BB1195">
        <v>2020</v>
      </c>
      <c r="BC1195">
        <v>12</v>
      </c>
      <c r="BD1195">
        <v>1</v>
      </c>
      <c r="BE1195" t="s">
        <v>69</v>
      </c>
      <c r="BF1195" t="s">
        <v>69</v>
      </c>
      <c r="BG1195" t="s">
        <v>69</v>
      </c>
      <c r="BH1195" t="s">
        <v>69</v>
      </c>
      <c r="BI1195" t="s">
        <v>69</v>
      </c>
      <c r="BJ1195" t="s">
        <v>69</v>
      </c>
      <c r="BK1195">
        <v>258</v>
      </c>
      <c r="BL1195" t="s">
        <v>854</v>
      </c>
      <c r="BM1195" t="str">
        <f>HYPERLINK("http://dx.doi.org/10.3390/su12010258","http://dx.doi.org/10.3390/su12010258")</f>
        <v>http://dx.doi.org/10.3390/su12010258</v>
      </c>
      <c r="BN1195" t="s">
        <v>69</v>
      </c>
      <c r="BO1195" t="s">
        <v>69</v>
      </c>
      <c r="BP1195">
        <v>17</v>
      </c>
      <c r="BQ1195" t="s">
        <v>8960</v>
      </c>
      <c r="BR1195" t="s">
        <v>8523</v>
      </c>
      <c r="BS1195" t="s">
        <v>8961</v>
      </c>
      <c r="BT1195" t="s">
        <v>16247</v>
      </c>
      <c r="BU1195" t="s">
        <v>855</v>
      </c>
      <c r="BV1195" t="s">
        <v>69</v>
      </c>
      <c r="BW1195" t="s">
        <v>11705</v>
      </c>
      <c r="BX1195" t="s">
        <v>69</v>
      </c>
      <c r="BY1195" t="s">
        <v>69</v>
      </c>
      <c r="BZ1195" t="s">
        <v>8526</v>
      </c>
      <c r="CA1195" t="str">
        <f>HYPERLINK("https%3A%2F%2Fwww.webofscience.com%2Fwos%2Fwoscc%2Ffull-record%2FWOS:000521955600258","View Full Record in Web of Science")</f>
        <v>View Full Record in Web of Science</v>
      </c>
    </row>
    <row r="1196" spans="2:79" ht="12.5" x14ac:dyDescent="0.25">
      <c r="B1196" t="s">
        <v>8495</v>
      </c>
      <c r="D1196" s="7" t="s">
        <v>32933</v>
      </c>
      <c r="E1196" s="7"/>
      <c r="F1196" s="7"/>
      <c r="G1196" s="7"/>
      <c r="H1196" t="s">
        <v>67</v>
      </c>
      <c r="I1196" t="s">
        <v>1704</v>
      </c>
      <c r="J1196" t="s">
        <v>69</v>
      </c>
      <c r="K1196" t="s">
        <v>69</v>
      </c>
      <c r="L1196" t="s">
        <v>69</v>
      </c>
      <c r="M1196" t="s">
        <v>1704</v>
      </c>
      <c r="N1196" t="s">
        <v>69</v>
      </c>
      <c r="O1196" t="s">
        <v>69</v>
      </c>
      <c r="P1196" s="3" t="s">
        <v>1705</v>
      </c>
      <c r="Q1196" t="s">
        <v>1706</v>
      </c>
      <c r="R1196" t="s">
        <v>69</v>
      </c>
      <c r="S1196" t="s">
        <v>69</v>
      </c>
      <c r="T1196" t="s">
        <v>8505</v>
      </c>
      <c r="U1196" t="s">
        <v>8506</v>
      </c>
      <c r="V1196" t="s">
        <v>69</v>
      </c>
      <c r="W1196" t="s">
        <v>69</v>
      </c>
      <c r="X1196" t="s">
        <v>69</v>
      </c>
      <c r="Y1196" t="s">
        <v>69</v>
      </c>
      <c r="Z1196" t="s">
        <v>69</v>
      </c>
      <c r="AA1196" t="s">
        <v>69</v>
      </c>
      <c r="AB1196" t="s">
        <v>31521</v>
      </c>
      <c r="AC1196" t="s">
        <v>1707</v>
      </c>
      <c r="AD1196" t="s">
        <v>31522</v>
      </c>
      <c r="AE1196" t="s">
        <v>69</v>
      </c>
      <c r="AF1196" t="s">
        <v>31523</v>
      </c>
      <c r="AG1196" t="s">
        <v>31524</v>
      </c>
      <c r="AH1196" t="s">
        <v>69</v>
      </c>
      <c r="AI1196" t="s">
        <v>69</v>
      </c>
      <c r="AJ1196" t="s">
        <v>69</v>
      </c>
      <c r="AK1196" t="s">
        <v>69</v>
      </c>
      <c r="AL1196" t="s">
        <v>69</v>
      </c>
      <c r="AM1196" t="s">
        <v>69</v>
      </c>
      <c r="AN1196">
        <v>97</v>
      </c>
      <c r="AO1196">
        <v>10</v>
      </c>
      <c r="AP1196">
        <v>10</v>
      </c>
      <c r="AQ1196">
        <v>0</v>
      </c>
      <c r="AR1196">
        <v>17</v>
      </c>
      <c r="AS1196" t="s">
        <v>9554</v>
      </c>
      <c r="AT1196" t="s">
        <v>9555</v>
      </c>
      <c r="AU1196" t="s">
        <v>9556</v>
      </c>
      <c r="AV1196" t="s">
        <v>1708</v>
      </c>
      <c r="AW1196" t="s">
        <v>1709</v>
      </c>
      <c r="AX1196" t="s">
        <v>69</v>
      </c>
      <c r="AY1196" t="s">
        <v>31525</v>
      </c>
      <c r="AZ1196" t="s">
        <v>31526</v>
      </c>
      <c r="BA1196" t="s">
        <v>1710</v>
      </c>
      <c r="BB1196">
        <v>2001</v>
      </c>
      <c r="BC1196">
        <v>30</v>
      </c>
      <c r="BD1196">
        <v>4</v>
      </c>
      <c r="BE1196" t="s">
        <v>69</v>
      </c>
      <c r="BF1196" t="s">
        <v>69</v>
      </c>
      <c r="BG1196" t="s">
        <v>69</v>
      </c>
      <c r="BH1196" t="s">
        <v>69</v>
      </c>
      <c r="BI1196">
        <v>495</v>
      </c>
      <c r="BJ1196">
        <v>514</v>
      </c>
      <c r="BK1196" t="s">
        <v>69</v>
      </c>
      <c r="BL1196" t="s">
        <v>1711</v>
      </c>
      <c r="BM1196" t="str">
        <f>HYPERLINK("http://dx.doi.org/10.1177/009102600103000406","http://dx.doi.org/10.1177/009102600103000406")</f>
        <v>http://dx.doi.org/10.1177/009102600103000406</v>
      </c>
      <c r="BN1196" t="s">
        <v>69</v>
      </c>
      <c r="BO1196" t="s">
        <v>69</v>
      </c>
      <c r="BP1196">
        <v>20</v>
      </c>
      <c r="BQ1196" t="s">
        <v>31527</v>
      </c>
      <c r="BR1196" t="s">
        <v>8661</v>
      </c>
      <c r="BS1196" t="s">
        <v>10993</v>
      </c>
      <c r="BT1196" t="s">
        <v>31528</v>
      </c>
      <c r="BU1196" t="s">
        <v>1712</v>
      </c>
      <c r="BV1196" t="s">
        <v>69</v>
      </c>
      <c r="BW1196" t="s">
        <v>69</v>
      </c>
      <c r="BX1196" t="s">
        <v>69</v>
      </c>
      <c r="BY1196" t="s">
        <v>69</v>
      </c>
      <c r="BZ1196" t="s">
        <v>8526</v>
      </c>
      <c r="CA1196" t="str">
        <f>HYPERLINK("https%3A%2F%2Fwww.webofscience.com%2Fwos%2Fwoscc%2Ffull-record%2FWOS:000173739400006","View Full Record in Web of Science")</f>
        <v>View Full Record in Web of Science</v>
      </c>
    </row>
    <row r="1197" spans="2:79" ht="12.5" x14ac:dyDescent="0.25">
      <c r="B1197" t="s">
        <v>8495</v>
      </c>
      <c r="D1197" s="22" t="s">
        <v>32931</v>
      </c>
      <c r="E1197" s="7"/>
      <c r="F1197" s="7"/>
      <c r="G1197" s="7"/>
      <c r="H1197" t="s">
        <v>67</v>
      </c>
      <c r="I1197" t="s">
        <v>30010</v>
      </c>
      <c r="J1197" t="s">
        <v>69</v>
      </c>
      <c r="K1197" t="s">
        <v>69</v>
      </c>
      <c r="L1197" t="s">
        <v>69</v>
      </c>
      <c r="M1197" t="s">
        <v>30011</v>
      </c>
      <c r="N1197" t="s">
        <v>69</v>
      </c>
      <c r="O1197" t="s">
        <v>69</v>
      </c>
      <c r="P1197" t="s">
        <v>30012</v>
      </c>
      <c r="Q1197" t="s">
        <v>4407</v>
      </c>
      <c r="R1197" t="s">
        <v>69</v>
      </c>
      <c r="S1197" t="s">
        <v>69</v>
      </c>
      <c r="T1197" t="s">
        <v>8505</v>
      </c>
      <c r="U1197" t="s">
        <v>8506</v>
      </c>
      <c r="V1197" t="s">
        <v>69</v>
      </c>
      <c r="W1197" t="s">
        <v>69</v>
      </c>
      <c r="X1197" t="s">
        <v>69</v>
      </c>
      <c r="Y1197" t="s">
        <v>69</v>
      </c>
      <c r="Z1197" t="s">
        <v>69</v>
      </c>
      <c r="AA1197" t="s">
        <v>30013</v>
      </c>
      <c r="AB1197" t="s">
        <v>30014</v>
      </c>
      <c r="AC1197" t="s">
        <v>30015</v>
      </c>
      <c r="AD1197" t="s">
        <v>30016</v>
      </c>
      <c r="AE1197" t="s">
        <v>69</v>
      </c>
      <c r="AF1197" t="s">
        <v>30017</v>
      </c>
      <c r="AG1197" t="s">
        <v>30018</v>
      </c>
      <c r="AH1197" t="s">
        <v>69</v>
      </c>
      <c r="AI1197" t="s">
        <v>30019</v>
      </c>
      <c r="AJ1197" t="s">
        <v>69</v>
      </c>
      <c r="AK1197" t="s">
        <v>69</v>
      </c>
      <c r="AL1197" t="s">
        <v>69</v>
      </c>
      <c r="AM1197" t="s">
        <v>69</v>
      </c>
      <c r="AN1197">
        <v>28</v>
      </c>
      <c r="AO1197">
        <v>58</v>
      </c>
      <c r="AP1197">
        <v>60</v>
      </c>
      <c r="AQ1197">
        <v>0</v>
      </c>
      <c r="AR1197">
        <v>2</v>
      </c>
      <c r="AS1197" t="s">
        <v>8586</v>
      </c>
      <c r="AT1197" t="s">
        <v>8587</v>
      </c>
      <c r="AU1197" t="s">
        <v>8588</v>
      </c>
      <c r="AV1197" t="s">
        <v>4411</v>
      </c>
      <c r="AW1197" t="s">
        <v>4412</v>
      </c>
      <c r="AX1197" t="s">
        <v>69</v>
      </c>
      <c r="AY1197" t="s">
        <v>23060</v>
      </c>
      <c r="AZ1197" t="s">
        <v>23061</v>
      </c>
      <c r="BA1197" t="s">
        <v>69</v>
      </c>
      <c r="BB1197">
        <v>2007</v>
      </c>
      <c r="BC1197">
        <v>22</v>
      </c>
      <c r="BD1197">
        <v>3</v>
      </c>
      <c r="BE1197" t="s">
        <v>69</v>
      </c>
      <c r="BF1197" t="s">
        <v>69</v>
      </c>
      <c r="BG1197" t="s">
        <v>69</v>
      </c>
      <c r="BH1197" t="s">
        <v>69</v>
      </c>
      <c r="BI1197">
        <v>244</v>
      </c>
      <c r="BJ1197" t="s">
        <v>219</v>
      </c>
      <c r="BK1197" t="s">
        <v>69</v>
      </c>
      <c r="BL1197" t="s">
        <v>30020</v>
      </c>
      <c r="BM1197" t="str">
        <f>HYPERLINK("http://dx.doi.org/10.1108/02686900710733125","http://dx.doi.org/10.1108/02686900710733125")</f>
        <v>http://dx.doi.org/10.1108/02686900710733125</v>
      </c>
      <c r="BN1197" t="s">
        <v>69</v>
      </c>
      <c r="BO1197" t="s">
        <v>69</v>
      </c>
      <c r="BP1197">
        <v>14</v>
      </c>
      <c r="BQ1197" t="s">
        <v>23062</v>
      </c>
      <c r="BR1197" t="s">
        <v>8573</v>
      </c>
      <c r="BS1197" t="s">
        <v>8594</v>
      </c>
      <c r="BT1197" t="s">
        <v>30021</v>
      </c>
      <c r="BU1197" t="s">
        <v>30022</v>
      </c>
      <c r="BV1197" t="s">
        <v>69</v>
      </c>
      <c r="BW1197" t="s">
        <v>69</v>
      </c>
      <c r="BX1197" t="s">
        <v>69</v>
      </c>
      <c r="BY1197" t="s">
        <v>69</v>
      </c>
      <c r="BZ1197" t="s">
        <v>8526</v>
      </c>
      <c r="CA1197" t="str">
        <f>HYPERLINK("https%3A%2F%2Fwww.webofscience.com%2Fwos%2Fwoscc%2Ffull-record%2FWOS:000212484300001","View Full Record in Web of Science")</f>
        <v>View Full Record in Web of Science</v>
      </c>
    </row>
    <row r="1198" spans="2:79" ht="12.5" x14ac:dyDescent="0.25">
      <c r="B1198" t="s">
        <v>8495</v>
      </c>
      <c r="D1198" s="22" t="s">
        <v>32931</v>
      </c>
      <c r="E1198" s="7"/>
      <c r="F1198" s="7"/>
      <c r="G1198" s="7"/>
      <c r="H1198" t="s">
        <v>67</v>
      </c>
      <c r="I1198" t="s">
        <v>16124</v>
      </c>
      <c r="J1198" t="s">
        <v>69</v>
      </c>
      <c r="K1198" t="s">
        <v>69</v>
      </c>
      <c r="L1198" t="s">
        <v>69</v>
      </c>
      <c r="M1198" t="s">
        <v>16125</v>
      </c>
      <c r="N1198" t="s">
        <v>69</v>
      </c>
      <c r="O1198" t="s">
        <v>69</v>
      </c>
      <c r="P1198" t="s">
        <v>16126</v>
      </c>
      <c r="Q1198" t="s">
        <v>16127</v>
      </c>
      <c r="R1198" t="s">
        <v>69</v>
      </c>
      <c r="S1198" t="s">
        <v>69</v>
      </c>
      <c r="T1198" t="s">
        <v>8505</v>
      </c>
      <c r="U1198" t="s">
        <v>8506</v>
      </c>
      <c r="V1198" t="s">
        <v>69</v>
      </c>
      <c r="W1198" t="s">
        <v>69</v>
      </c>
      <c r="X1198" t="s">
        <v>69</v>
      </c>
      <c r="Y1198" t="s">
        <v>69</v>
      </c>
      <c r="Z1198" t="s">
        <v>69</v>
      </c>
      <c r="AA1198" t="s">
        <v>16128</v>
      </c>
      <c r="AB1198" t="s">
        <v>69</v>
      </c>
      <c r="AC1198" t="s">
        <v>16129</v>
      </c>
      <c r="AD1198" t="s">
        <v>16130</v>
      </c>
      <c r="AE1198" t="s">
        <v>69</v>
      </c>
      <c r="AF1198" t="s">
        <v>16131</v>
      </c>
      <c r="AG1198" t="s">
        <v>16132</v>
      </c>
      <c r="AH1198" t="s">
        <v>16133</v>
      </c>
      <c r="AI1198" t="s">
        <v>16134</v>
      </c>
      <c r="AJ1198" t="s">
        <v>69</v>
      </c>
      <c r="AK1198" t="s">
        <v>69</v>
      </c>
      <c r="AL1198" t="s">
        <v>69</v>
      </c>
      <c r="AM1198" t="s">
        <v>69</v>
      </c>
      <c r="AN1198">
        <v>44</v>
      </c>
      <c r="AO1198">
        <v>23</v>
      </c>
      <c r="AP1198">
        <v>23</v>
      </c>
      <c r="AQ1198">
        <v>2</v>
      </c>
      <c r="AR1198">
        <v>13</v>
      </c>
      <c r="AS1198" t="s">
        <v>8586</v>
      </c>
      <c r="AT1198" t="s">
        <v>8587</v>
      </c>
      <c r="AU1198" t="s">
        <v>8588</v>
      </c>
      <c r="AV1198" t="s">
        <v>16135</v>
      </c>
      <c r="AW1198" t="s">
        <v>16136</v>
      </c>
      <c r="AX1198" t="s">
        <v>69</v>
      </c>
      <c r="AY1198" t="s">
        <v>16137</v>
      </c>
      <c r="AZ1198" t="s">
        <v>16138</v>
      </c>
      <c r="BA1198" t="s">
        <v>69</v>
      </c>
      <c r="BB1198">
        <v>2020</v>
      </c>
      <c r="BC1198">
        <v>6</v>
      </c>
      <c r="BD1198">
        <v>2</v>
      </c>
      <c r="BE1198" t="s">
        <v>69</v>
      </c>
      <c r="BF1198" t="s">
        <v>69</v>
      </c>
      <c r="BG1198" t="s">
        <v>69</v>
      </c>
      <c r="BH1198" t="s">
        <v>69</v>
      </c>
      <c r="BI1198">
        <v>279</v>
      </c>
      <c r="BJ1198">
        <v>296</v>
      </c>
      <c r="BK1198" t="s">
        <v>69</v>
      </c>
      <c r="BL1198" t="s">
        <v>16139</v>
      </c>
      <c r="BM1198" t="str">
        <f>HYPERLINK("http://dx.doi.org/10.1108/IJTC-02-2019-0023","http://dx.doi.org/10.1108/IJTC-02-2019-0023")</f>
        <v>http://dx.doi.org/10.1108/IJTC-02-2019-0023</v>
      </c>
      <c r="BN1198" t="s">
        <v>69</v>
      </c>
      <c r="BO1198" t="s">
        <v>69</v>
      </c>
      <c r="BP1198">
        <v>18</v>
      </c>
      <c r="BQ1198" t="s">
        <v>10278</v>
      </c>
      <c r="BR1198" t="s">
        <v>8573</v>
      </c>
      <c r="BS1198" t="s">
        <v>10279</v>
      </c>
      <c r="BT1198" t="s">
        <v>16140</v>
      </c>
      <c r="BU1198" t="s">
        <v>16141</v>
      </c>
      <c r="BV1198" t="s">
        <v>69</v>
      </c>
      <c r="BW1198" t="s">
        <v>69</v>
      </c>
      <c r="BX1198" t="s">
        <v>69</v>
      </c>
      <c r="BY1198" t="s">
        <v>69</v>
      </c>
      <c r="BZ1198" t="s">
        <v>8526</v>
      </c>
      <c r="CA1198" t="str">
        <f>HYPERLINK("https%3A%2F%2Fwww.webofscience.com%2Fwos%2Fwoscc%2Ffull-record%2FWOS:000546402700002","View Full Record in Web of Science")</f>
        <v>View Full Record in Web of Science</v>
      </c>
    </row>
    <row r="1199" spans="2:79" ht="12.5" x14ac:dyDescent="0.25">
      <c r="B1199" t="s">
        <v>8495</v>
      </c>
      <c r="D1199" s="22" t="s">
        <v>32931</v>
      </c>
      <c r="E1199" s="7"/>
      <c r="F1199" s="7"/>
      <c r="G1199" s="7"/>
      <c r="H1199" t="s">
        <v>67</v>
      </c>
      <c r="I1199" t="s">
        <v>19180</v>
      </c>
      <c r="J1199" t="s">
        <v>69</v>
      </c>
      <c r="K1199" t="s">
        <v>69</v>
      </c>
      <c r="L1199" t="s">
        <v>69</v>
      </c>
      <c r="M1199" t="s">
        <v>19181</v>
      </c>
      <c r="N1199" t="s">
        <v>69</v>
      </c>
      <c r="O1199" t="s">
        <v>69</v>
      </c>
      <c r="P1199" t="s">
        <v>19182</v>
      </c>
      <c r="Q1199" t="s">
        <v>1128</v>
      </c>
      <c r="R1199" t="s">
        <v>69</v>
      </c>
      <c r="S1199" t="s">
        <v>69</v>
      </c>
      <c r="T1199" t="s">
        <v>8505</v>
      </c>
      <c r="U1199" t="s">
        <v>8506</v>
      </c>
      <c r="V1199" t="s">
        <v>69</v>
      </c>
      <c r="W1199" t="s">
        <v>69</v>
      </c>
      <c r="X1199" t="s">
        <v>69</v>
      </c>
      <c r="Y1199" t="s">
        <v>69</v>
      </c>
      <c r="Z1199" t="s">
        <v>69</v>
      </c>
      <c r="AA1199" t="s">
        <v>19183</v>
      </c>
      <c r="AB1199" t="s">
        <v>19184</v>
      </c>
      <c r="AC1199" t="s">
        <v>19185</v>
      </c>
      <c r="AD1199" t="s">
        <v>19186</v>
      </c>
      <c r="AE1199" t="s">
        <v>69</v>
      </c>
      <c r="AF1199" t="s">
        <v>19187</v>
      </c>
      <c r="AG1199" t="s">
        <v>19188</v>
      </c>
      <c r="AH1199" t="s">
        <v>19189</v>
      </c>
      <c r="AI1199" t="s">
        <v>19190</v>
      </c>
      <c r="AJ1199" t="s">
        <v>19191</v>
      </c>
      <c r="AK1199" t="s">
        <v>19191</v>
      </c>
      <c r="AL1199" t="s">
        <v>19192</v>
      </c>
      <c r="AM1199" t="s">
        <v>69</v>
      </c>
      <c r="AN1199">
        <v>71</v>
      </c>
      <c r="AO1199">
        <v>12</v>
      </c>
      <c r="AP1199">
        <v>12</v>
      </c>
      <c r="AQ1199">
        <v>0</v>
      </c>
      <c r="AR1199">
        <v>14</v>
      </c>
      <c r="AS1199" t="s">
        <v>8636</v>
      </c>
      <c r="AT1199" t="s">
        <v>8637</v>
      </c>
      <c r="AU1199" t="s">
        <v>8638</v>
      </c>
      <c r="AV1199" t="s">
        <v>1130</v>
      </c>
      <c r="AW1199" t="s">
        <v>1131</v>
      </c>
      <c r="AX1199" t="s">
        <v>69</v>
      </c>
      <c r="AY1199" t="s">
        <v>1128</v>
      </c>
      <c r="AZ1199" t="s">
        <v>8658</v>
      </c>
      <c r="BA1199" t="s">
        <v>191</v>
      </c>
      <c r="BB1199">
        <v>2018</v>
      </c>
      <c r="BC1199">
        <v>71</v>
      </c>
      <c r="BD1199" t="s">
        <v>69</v>
      </c>
      <c r="BE1199" t="s">
        <v>69</v>
      </c>
      <c r="BF1199" t="s">
        <v>69</v>
      </c>
      <c r="BG1199" t="s">
        <v>69</v>
      </c>
      <c r="BH1199" t="s">
        <v>69</v>
      </c>
      <c r="BI1199">
        <v>183</v>
      </c>
      <c r="BJ1199">
        <v>203</v>
      </c>
      <c r="BK1199" t="s">
        <v>69</v>
      </c>
      <c r="BL1199" t="s">
        <v>19193</v>
      </c>
      <c r="BM1199" t="str">
        <f>HYPERLINK("http://dx.doi.org/10.1016/j.landusepol.2017.11.049","http://dx.doi.org/10.1016/j.landusepol.2017.11.049")</f>
        <v>http://dx.doi.org/10.1016/j.landusepol.2017.11.049</v>
      </c>
      <c r="BN1199" t="s">
        <v>69</v>
      </c>
      <c r="BO1199" t="s">
        <v>69</v>
      </c>
      <c r="BP1199">
        <v>21</v>
      </c>
      <c r="BQ1199" t="s">
        <v>8660</v>
      </c>
      <c r="BR1199" t="s">
        <v>8661</v>
      </c>
      <c r="BS1199" t="s">
        <v>8662</v>
      </c>
      <c r="BT1199" t="s">
        <v>19194</v>
      </c>
      <c r="BU1199" t="s">
        <v>19195</v>
      </c>
      <c r="BV1199">
        <v>33867619</v>
      </c>
      <c r="BW1199" t="s">
        <v>9292</v>
      </c>
      <c r="BX1199" t="s">
        <v>69</v>
      </c>
      <c r="BY1199" t="s">
        <v>69</v>
      </c>
      <c r="BZ1199" t="s">
        <v>8526</v>
      </c>
      <c r="CA1199" t="str">
        <f>HYPERLINK("https%3A%2F%2Fwww.webofscience.com%2Fwos%2Fwoscc%2Ffull-record%2FWOS:000423643400016","View Full Record in Web of Science")</f>
        <v>View Full Record in Web of Science</v>
      </c>
    </row>
    <row r="1200" spans="2:79" ht="12.5" x14ac:dyDescent="0.25">
      <c r="B1200" t="s">
        <v>8495</v>
      </c>
      <c r="D1200" s="22" t="s">
        <v>32931</v>
      </c>
      <c r="E1200" s="7"/>
      <c r="F1200" s="7"/>
      <c r="G1200" s="7"/>
      <c r="H1200" t="s">
        <v>67</v>
      </c>
      <c r="I1200" t="s">
        <v>16881</v>
      </c>
      <c r="J1200" t="s">
        <v>69</v>
      </c>
      <c r="K1200" t="s">
        <v>69</v>
      </c>
      <c r="L1200" t="s">
        <v>69</v>
      </c>
      <c r="M1200" t="s">
        <v>16882</v>
      </c>
      <c r="N1200" t="s">
        <v>69</v>
      </c>
      <c r="O1200" t="s">
        <v>69</v>
      </c>
      <c r="P1200" t="s">
        <v>16883</v>
      </c>
      <c r="Q1200" t="s">
        <v>16884</v>
      </c>
      <c r="R1200" t="s">
        <v>69</v>
      </c>
      <c r="S1200" t="s">
        <v>69</v>
      </c>
      <c r="T1200" t="s">
        <v>8505</v>
      </c>
      <c r="U1200" t="s">
        <v>8506</v>
      </c>
      <c r="V1200" t="s">
        <v>69</v>
      </c>
      <c r="W1200" t="s">
        <v>69</v>
      </c>
      <c r="X1200" t="s">
        <v>69</v>
      </c>
      <c r="Y1200" t="s">
        <v>69</v>
      </c>
      <c r="Z1200" t="s">
        <v>69</v>
      </c>
      <c r="AA1200" t="s">
        <v>16885</v>
      </c>
      <c r="AB1200" t="s">
        <v>16886</v>
      </c>
      <c r="AC1200" t="s">
        <v>16887</v>
      </c>
      <c r="AD1200" t="s">
        <v>16888</v>
      </c>
      <c r="AE1200" t="s">
        <v>69</v>
      </c>
      <c r="AF1200" t="s">
        <v>16889</v>
      </c>
      <c r="AG1200" t="s">
        <v>16890</v>
      </c>
      <c r="AH1200" t="s">
        <v>69</v>
      </c>
      <c r="AI1200" t="s">
        <v>16891</v>
      </c>
      <c r="AJ1200" t="s">
        <v>16892</v>
      </c>
      <c r="AK1200" t="s">
        <v>16893</v>
      </c>
      <c r="AL1200" t="s">
        <v>16894</v>
      </c>
      <c r="AM1200" t="s">
        <v>69</v>
      </c>
      <c r="AN1200">
        <v>43</v>
      </c>
      <c r="AO1200">
        <v>5</v>
      </c>
      <c r="AP1200">
        <v>5</v>
      </c>
      <c r="AQ1200">
        <v>3</v>
      </c>
      <c r="AR1200">
        <v>8</v>
      </c>
      <c r="AS1200" t="s">
        <v>8846</v>
      </c>
      <c r="AT1200" t="s">
        <v>8847</v>
      </c>
      <c r="AU1200" t="s">
        <v>8848</v>
      </c>
      <c r="AV1200" t="s">
        <v>16895</v>
      </c>
      <c r="AW1200" t="s">
        <v>16896</v>
      </c>
      <c r="AX1200" t="s">
        <v>69</v>
      </c>
      <c r="AY1200" t="s">
        <v>16897</v>
      </c>
      <c r="AZ1200" t="s">
        <v>16898</v>
      </c>
      <c r="BA1200" t="s">
        <v>373</v>
      </c>
      <c r="BB1200">
        <v>2020</v>
      </c>
      <c r="BC1200">
        <v>27</v>
      </c>
      <c r="BD1200">
        <v>1</v>
      </c>
      <c r="BE1200" t="s">
        <v>69</v>
      </c>
      <c r="BF1200" t="s">
        <v>69</v>
      </c>
      <c r="BG1200" t="s">
        <v>69</v>
      </c>
      <c r="BH1200" t="s">
        <v>69</v>
      </c>
      <c r="BI1200" t="s">
        <v>69</v>
      </c>
      <c r="BJ1200" t="s">
        <v>69</v>
      </c>
      <c r="BK1200" t="s">
        <v>16899</v>
      </c>
      <c r="BL1200" t="s">
        <v>16900</v>
      </c>
      <c r="BM1200" t="str">
        <f>HYPERLINK("http://dx.doi.org/10.1111/nin.12320","http://dx.doi.org/10.1111/nin.12320")</f>
        <v>http://dx.doi.org/10.1111/nin.12320</v>
      </c>
      <c r="BN1200" t="s">
        <v>69</v>
      </c>
      <c r="BO1200" t="s">
        <v>16901</v>
      </c>
      <c r="BP1200">
        <v>10</v>
      </c>
      <c r="BQ1200" t="s">
        <v>16902</v>
      </c>
      <c r="BR1200" t="s">
        <v>8523</v>
      </c>
      <c r="BS1200" t="s">
        <v>16902</v>
      </c>
      <c r="BT1200" t="s">
        <v>16903</v>
      </c>
      <c r="BU1200" t="s">
        <v>16904</v>
      </c>
      <c r="BV1200">
        <v>31441989</v>
      </c>
      <c r="BW1200" t="s">
        <v>9292</v>
      </c>
      <c r="BX1200" t="s">
        <v>69</v>
      </c>
      <c r="BY1200" t="s">
        <v>69</v>
      </c>
      <c r="BZ1200" t="s">
        <v>8526</v>
      </c>
      <c r="CA1200" t="str">
        <f>HYPERLINK("https%3A%2F%2Fwww.webofscience.com%2Fwos%2Fwoscc%2Ffull-record%2FWOS:000483283800001","View Full Record in Web of Science")</f>
        <v>View Full Record in Web of Science</v>
      </c>
    </row>
    <row r="1201" spans="1:79" ht="12.5" x14ac:dyDescent="0.25">
      <c r="B1201" t="s">
        <v>8495</v>
      </c>
      <c r="D1201" s="22" t="s">
        <v>32931</v>
      </c>
      <c r="E1201" s="7"/>
      <c r="F1201" s="7"/>
      <c r="G1201" s="7"/>
      <c r="H1201" t="s">
        <v>67</v>
      </c>
      <c r="I1201" t="s">
        <v>27688</v>
      </c>
      <c r="J1201" t="s">
        <v>69</v>
      </c>
      <c r="K1201" t="s">
        <v>69</v>
      </c>
      <c r="L1201" t="s">
        <v>69</v>
      </c>
      <c r="M1201" t="s">
        <v>27689</v>
      </c>
      <c r="N1201" t="s">
        <v>69</v>
      </c>
      <c r="O1201" t="s">
        <v>69</v>
      </c>
      <c r="P1201" t="s">
        <v>27690</v>
      </c>
      <c r="Q1201" t="s">
        <v>3038</v>
      </c>
      <c r="R1201" t="s">
        <v>69</v>
      </c>
      <c r="S1201" t="s">
        <v>69</v>
      </c>
      <c r="T1201" t="s">
        <v>8505</v>
      </c>
      <c r="U1201" t="s">
        <v>8442</v>
      </c>
      <c r="V1201" t="s">
        <v>69</v>
      </c>
      <c r="W1201" t="s">
        <v>69</v>
      </c>
      <c r="X1201" t="s">
        <v>69</v>
      </c>
      <c r="Y1201" t="s">
        <v>69</v>
      </c>
      <c r="Z1201" t="s">
        <v>69</v>
      </c>
      <c r="AA1201" t="s">
        <v>27691</v>
      </c>
      <c r="AB1201" t="s">
        <v>69</v>
      </c>
      <c r="AC1201" t="s">
        <v>27692</v>
      </c>
      <c r="AD1201" t="s">
        <v>27693</v>
      </c>
      <c r="AE1201" t="s">
        <v>69</v>
      </c>
      <c r="AF1201" t="s">
        <v>27694</v>
      </c>
      <c r="AG1201" t="s">
        <v>69</v>
      </c>
      <c r="AH1201" t="s">
        <v>69</v>
      </c>
      <c r="AI1201" t="s">
        <v>69</v>
      </c>
      <c r="AJ1201" t="s">
        <v>69</v>
      </c>
      <c r="AK1201" t="s">
        <v>69</v>
      </c>
      <c r="AL1201" t="s">
        <v>69</v>
      </c>
      <c r="AM1201" t="s">
        <v>69</v>
      </c>
      <c r="AN1201">
        <v>41</v>
      </c>
      <c r="AO1201">
        <v>21</v>
      </c>
      <c r="AP1201">
        <v>21</v>
      </c>
      <c r="AQ1201">
        <v>0</v>
      </c>
      <c r="AR1201">
        <v>0</v>
      </c>
      <c r="AS1201" t="s">
        <v>22746</v>
      </c>
      <c r="AT1201" t="s">
        <v>22747</v>
      </c>
      <c r="AU1201" t="s">
        <v>22748</v>
      </c>
      <c r="AV1201" t="s">
        <v>3040</v>
      </c>
      <c r="AW1201" t="s">
        <v>69</v>
      </c>
      <c r="AX1201" t="s">
        <v>69</v>
      </c>
      <c r="AY1201" t="s">
        <v>22749</v>
      </c>
      <c r="AZ1201" t="s">
        <v>22750</v>
      </c>
      <c r="BA1201" t="s">
        <v>27695</v>
      </c>
      <c r="BB1201">
        <v>2010</v>
      </c>
      <c r="BC1201">
        <v>6</v>
      </c>
      <c r="BD1201" t="s">
        <v>69</v>
      </c>
      <c r="BE1201" t="s">
        <v>69</v>
      </c>
      <c r="BF1201" t="s">
        <v>69</v>
      </c>
      <c r="BG1201" t="s">
        <v>69</v>
      </c>
      <c r="BH1201" t="s">
        <v>69</v>
      </c>
      <c r="BI1201">
        <v>1</v>
      </c>
      <c r="BJ1201">
        <v>14</v>
      </c>
      <c r="BK1201" t="s">
        <v>69</v>
      </c>
      <c r="BL1201" t="s">
        <v>69</v>
      </c>
      <c r="BM1201" t="s">
        <v>69</v>
      </c>
      <c r="BN1201" t="s">
        <v>69</v>
      </c>
      <c r="BO1201" t="s">
        <v>69</v>
      </c>
      <c r="BP1201">
        <v>14</v>
      </c>
      <c r="BQ1201" t="s">
        <v>8810</v>
      </c>
      <c r="BR1201" t="s">
        <v>8573</v>
      </c>
      <c r="BS1201" t="s">
        <v>8810</v>
      </c>
      <c r="BT1201" t="s">
        <v>27696</v>
      </c>
      <c r="BU1201" t="s">
        <v>27697</v>
      </c>
      <c r="BV1201" t="s">
        <v>69</v>
      </c>
      <c r="BW1201" t="s">
        <v>11853</v>
      </c>
      <c r="BX1201" t="s">
        <v>69</v>
      </c>
      <c r="BY1201" t="s">
        <v>69</v>
      </c>
      <c r="BZ1201" t="s">
        <v>8526</v>
      </c>
      <c r="CA1201" t="str">
        <f>HYPERLINK("https%3A%2F%2Fwww.webofscience.com%2Fwos%2Fwoscc%2Ffull-record%2FWOS:000216190700001","View Full Record in Web of Science")</f>
        <v>View Full Record in Web of Science</v>
      </c>
    </row>
    <row r="1202" spans="1:79" ht="12.5" x14ac:dyDescent="0.25">
      <c r="B1202" t="s">
        <v>8495</v>
      </c>
      <c r="D1202" s="7" t="s">
        <v>32933</v>
      </c>
      <c r="E1202" s="7"/>
      <c r="F1202" s="7"/>
      <c r="G1202" s="7"/>
      <c r="H1202" t="s">
        <v>67</v>
      </c>
      <c r="I1202" t="s">
        <v>2409</v>
      </c>
      <c r="J1202" t="s">
        <v>69</v>
      </c>
      <c r="K1202" t="s">
        <v>69</v>
      </c>
      <c r="L1202" t="s">
        <v>69</v>
      </c>
      <c r="M1202" t="s">
        <v>2410</v>
      </c>
      <c r="N1202" t="s">
        <v>69</v>
      </c>
      <c r="O1202" t="s">
        <v>69</v>
      </c>
      <c r="P1202" t="s">
        <v>2411</v>
      </c>
      <c r="Q1202" t="s">
        <v>2412</v>
      </c>
      <c r="R1202" t="s">
        <v>69</v>
      </c>
      <c r="S1202" t="s">
        <v>69</v>
      </c>
      <c r="T1202" t="s">
        <v>8505</v>
      </c>
      <c r="U1202" t="s">
        <v>8442</v>
      </c>
      <c r="V1202" t="s">
        <v>69</v>
      </c>
      <c r="W1202" t="s">
        <v>69</v>
      </c>
      <c r="X1202" t="s">
        <v>69</v>
      </c>
      <c r="Y1202" t="s">
        <v>69</v>
      </c>
      <c r="Z1202" t="s">
        <v>69</v>
      </c>
      <c r="AA1202" t="s">
        <v>18682</v>
      </c>
      <c r="AB1202" t="s">
        <v>18683</v>
      </c>
      <c r="AC1202" t="s">
        <v>2413</v>
      </c>
      <c r="AD1202" t="s">
        <v>18684</v>
      </c>
      <c r="AE1202" t="s">
        <v>69</v>
      </c>
      <c r="AF1202" t="s">
        <v>18685</v>
      </c>
      <c r="AG1202" t="s">
        <v>18686</v>
      </c>
      <c r="AH1202" t="s">
        <v>18687</v>
      </c>
      <c r="AI1202" t="s">
        <v>18688</v>
      </c>
      <c r="AJ1202" t="s">
        <v>69</v>
      </c>
      <c r="AK1202" t="s">
        <v>69</v>
      </c>
      <c r="AL1202" t="s">
        <v>69</v>
      </c>
      <c r="AM1202" t="s">
        <v>69</v>
      </c>
      <c r="AN1202">
        <v>89</v>
      </c>
      <c r="AO1202">
        <v>2</v>
      </c>
      <c r="AP1202">
        <v>2</v>
      </c>
      <c r="AQ1202">
        <v>0</v>
      </c>
      <c r="AR1202">
        <v>8</v>
      </c>
      <c r="AS1202" t="s">
        <v>18689</v>
      </c>
      <c r="AT1202" t="s">
        <v>18690</v>
      </c>
      <c r="AU1202" t="s">
        <v>18691</v>
      </c>
      <c r="AV1202" t="s">
        <v>2414</v>
      </c>
      <c r="AW1202" t="s">
        <v>2415</v>
      </c>
      <c r="AX1202" t="s">
        <v>69</v>
      </c>
      <c r="AY1202" t="s">
        <v>18692</v>
      </c>
      <c r="AZ1202" t="s">
        <v>18693</v>
      </c>
      <c r="BA1202" t="s">
        <v>155</v>
      </c>
      <c r="BB1202">
        <v>2018</v>
      </c>
      <c r="BC1202">
        <v>9</v>
      </c>
      <c r="BD1202">
        <v>2</v>
      </c>
      <c r="BE1202" t="s">
        <v>69</v>
      </c>
      <c r="BF1202" t="s">
        <v>69</v>
      </c>
      <c r="BG1202" t="s">
        <v>69</v>
      </c>
      <c r="BH1202" t="s">
        <v>69</v>
      </c>
      <c r="BI1202">
        <v>33</v>
      </c>
      <c r="BJ1202">
        <v>41</v>
      </c>
      <c r="BK1202" t="s">
        <v>69</v>
      </c>
      <c r="BL1202" t="s">
        <v>2416</v>
      </c>
      <c r="BM1202" t="str">
        <f>HYPERLINK("http://dx.doi.org/10.22038/ijn.2018.25521.1337","http://dx.doi.org/10.22038/ijn.2018.25521.1337")</f>
        <v>http://dx.doi.org/10.22038/ijn.2018.25521.1337</v>
      </c>
      <c r="BN1202" t="s">
        <v>69</v>
      </c>
      <c r="BO1202" t="s">
        <v>69</v>
      </c>
      <c r="BP1202">
        <v>9</v>
      </c>
      <c r="BQ1202" t="s">
        <v>12687</v>
      </c>
      <c r="BR1202" t="s">
        <v>8573</v>
      </c>
      <c r="BS1202" t="s">
        <v>12687</v>
      </c>
      <c r="BT1202" t="s">
        <v>18694</v>
      </c>
      <c r="BU1202" t="s">
        <v>2417</v>
      </c>
      <c r="BV1202" t="s">
        <v>69</v>
      </c>
      <c r="BW1202" t="s">
        <v>69</v>
      </c>
      <c r="BX1202" t="s">
        <v>69</v>
      </c>
      <c r="BY1202" t="s">
        <v>69</v>
      </c>
      <c r="BZ1202" t="s">
        <v>8526</v>
      </c>
      <c r="CA1202" t="str">
        <f>HYPERLINK("https%3A%2F%2Fwww.webofscience.com%2Fwos%2Fwoscc%2Ffull-record%2FWOS:000433920500005","View Full Record in Web of Science")</f>
        <v>View Full Record in Web of Science</v>
      </c>
    </row>
    <row r="1203" spans="1:79" ht="12.5" x14ac:dyDescent="0.25">
      <c r="B1203" t="s">
        <v>8495</v>
      </c>
      <c r="D1203" s="7" t="s">
        <v>32933</v>
      </c>
      <c r="E1203" s="7"/>
      <c r="F1203" s="7"/>
      <c r="G1203" s="7"/>
      <c r="H1203" t="s">
        <v>67</v>
      </c>
      <c r="I1203" t="s">
        <v>8363</v>
      </c>
      <c r="J1203" t="s">
        <v>69</v>
      </c>
      <c r="K1203" t="s">
        <v>69</v>
      </c>
      <c r="L1203" t="s">
        <v>69</v>
      </c>
      <c r="M1203" t="s">
        <v>8363</v>
      </c>
      <c r="N1203" t="s">
        <v>69</v>
      </c>
      <c r="O1203" t="s">
        <v>69</v>
      </c>
      <c r="P1203" t="s">
        <v>8364</v>
      </c>
      <c r="Q1203" t="s">
        <v>8365</v>
      </c>
      <c r="R1203" t="s">
        <v>69</v>
      </c>
      <c r="S1203" t="s">
        <v>69</v>
      </c>
      <c r="T1203" t="s">
        <v>8505</v>
      </c>
      <c r="U1203" t="s">
        <v>8506</v>
      </c>
      <c r="V1203" t="s">
        <v>69</v>
      </c>
      <c r="W1203" t="s">
        <v>69</v>
      </c>
      <c r="X1203" t="s">
        <v>69</v>
      </c>
      <c r="Y1203" t="s">
        <v>69</v>
      </c>
      <c r="Z1203" t="s">
        <v>69</v>
      </c>
      <c r="AA1203" t="s">
        <v>32822</v>
      </c>
      <c r="AB1203" t="s">
        <v>32823</v>
      </c>
      <c r="AC1203" t="s">
        <v>8366</v>
      </c>
      <c r="AD1203" t="s">
        <v>69</v>
      </c>
      <c r="AE1203" t="s">
        <v>69</v>
      </c>
      <c r="AF1203" t="s">
        <v>32824</v>
      </c>
      <c r="AG1203" t="s">
        <v>69</v>
      </c>
      <c r="AH1203" t="s">
        <v>69</v>
      </c>
      <c r="AI1203" t="s">
        <v>69</v>
      </c>
      <c r="AJ1203" t="s">
        <v>69</v>
      </c>
      <c r="AK1203" t="s">
        <v>69</v>
      </c>
      <c r="AL1203" t="s">
        <v>69</v>
      </c>
      <c r="AM1203" t="s">
        <v>69</v>
      </c>
      <c r="AN1203">
        <v>14</v>
      </c>
      <c r="AO1203">
        <v>7</v>
      </c>
      <c r="AP1203">
        <v>7</v>
      </c>
      <c r="AQ1203">
        <v>0</v>
      </c>
      <c r="AR1203">
        <v>3</v>
      </c>
      <c r="AS1203" t="s">
        <v>32565</v>
      </c>
      <c r="AT1203" t="s">
        <v>32566</v>
      </c>
      <c r="AU1203" t="s">
        <v>32567</v>
      </c>
      <c r="AV1203" t="s">
        <v>8367</v>
      </c>
      <c r="AW1203" t="s">
        <v>69</v>
      </c>
      <c r="AX1203" t="s">
        <v>69</v>
      </c>
      <c r="AY1203" t="s">
        <v>32825</v>
      </c>
      <c r="AZ1203" t="s">
        <v>32826</v>
      </c>
      <c r="BA1203" t="s">
        <v>246</v>
      </c>
      <c r="BB1203">
        <v>1993</v>
      </c>
      <c r="BC1203">
        <v>39</v>
      </c>
      <c r="BD1203">
        <v>4</v>
      </c>
      <c r="BE1203" t="s">
        <v>69</v>
      </c>
      <c r="BF1203" t="s">
        <v>69</v>
      </c>
      <c r="BG1203" t="s">
        <v>69</v>
      </c>
      <c r="BH1203" t="s">
        <v>69</v>
      </c>
      <c r="BI1203">
        <v>448</v>
      </c>
      <c r="BJ1203">
        <v>457</v>
      </c>
      <c r="BK1203" t="s">
        <v>69</v>
      </c>
      <c r="BL1203" t="s">
        <v>8368</v>
      </c>
      <c r="BM1203" t="str">
        <f>HYPERLINK("http://dx.doi.org/10.1287/mnsc.39.4.448","http://dx.doi.org/10.1287/mnsc.39.4.448")</f>
        <v>http://dx.doi.org/10.1287/mnsc.39.4.448</v>
      </c>
      <c r="BN1203" t="s">
        <v>69</v>
      </c>
      <c r="BO1203" t="s">
        <v>69</v>
      </c>
      <c r="BP1203">
        <v>10</v>
      </c>
      <c r="BQ1203" t="s">
        <v>32186</v>
      </c>
      <c r="BR1203" t="s">
        <v>8661</v>
      </c>
      <c r="BS1203" t="s">
        <v>32187</v>
      </c>
      <c r="BT1203" t="s">
        <v>32827</v>
      </c>
      <c r="BU1203" t="s">
        <v>8369</v>
      </c>
      <c r="BV1203" t="s">
        <v>69</v>
      </c>
      <c r="BW1203" t="s">
        <v>69</v>
      </c>
      <c r="BX1203" t="s">
        <v>69</v>
      </c>
      <c r="BY1203" t="s">
        <v>69</v>
      </c>
      <c r="BZ1203" t="s">
        <v>8526</v>
      </c>
      <c r="CA1203" t="str">
        <f>HYPERLINK("https%3A%2F%2Fwww.webofscience.com%2Fwos%2Fwoscc%2Ffull-record%2FWOS:A1993LB25100004","View Full Record in Web of Science")</f>
        <v>View Full Record in Web of Science</v>
      </c>
    </row>
    <row r="1204" spans="1:79" ht="12.5" x14ac:dyDescent="0.25">
      <c r="B1204" t="s">
        <v>8495</v>
      </c>
      <c r="D1204" s="7" t="s">
        <v>32933</v>
      </c>
      <c r="E1204" s="7"/>
      <c r="F1204" s="7"/>
      <c r="G1204" s="7"/>
      <c r="H1204" t="s">
        <v>67</v>
      </c>
      <c r="I1204" t="s">
        <v>8253</v>
      </c>
      <c r="J1204" t="s">
        <v>69</v>
      </c>
      <c r="K1204" t="s">
        <v>69</v>
      </c>
      <c r="L1204" t="s">
        <v>69</v>
      </c>
      <c r="M1204" t="s">
        <v>8254</v>
      </c>
      <c r="N1204" t="s">
        <v>69</v>
      </c>
      <c r="O1204" t="s">
        <v>69</v>
      </c>
      <c r="P1204" t="s">
        <v>8255</v>
      </c>
      <c r="Q1204" t="s">
        <v>8256</v>
      </c>
      <c r="R1204" t="s">
        <v>69</v>
      </c>
      <c r="S1204" t="s">
        <v>69</v>
      </c>
      <c r="T1204" t="s">
        <v>8505</v>
      </c>
      <c r="U1204" t="s">
        <v>8506</v>
      </c>
      <c r="V1204" t="s">
        <v>69</v>
      </c>
      <c r="W1204" t="s">
        <v>69</v>
      </c>
      <c r="X1204" t="s">
        <v>69</v>
      </c>
      <c r="Y1204" t="s">
        <v>69</v>
      </c>
      <c r="Z1204" t="s">
        <v>69</v>
      </c>
      <c r="AA1204" t="s">
        <v>14138</v>
      </c>
      <c r="AB1204" t="s">
        <v>14139</v>
      </c>
      <c r="AC1204" t="s">
        <v>8257</v>
      </c>
      <c r="AD1204" t="s">
        <v>14140</v>
      </c>
      <c r="AE1204" t="s">
        <v>69</v>
      </c>
      <c r="AF1204" t="s">
        <v>14141</v>
      </c>
      <c r="AG1204" t="s">
        <v>14142</v>
      </c>
      <c r="AH1204" t="s">
        <v>14143</v>
      </c>
      <c r="AI1204" t="s">
        <v>14144</v>
      </c>
      <c r="AJ1204" t="s">
        <v>14145</v>
      </c>
      <c r="AK1204" t="s">
        <v>14146</v>
      </c>
      <c r="AL1204" t="s">
        <v>14147</v>
      </c>
      <c r="AM1204" t="s">
        <v>69</v>
      </c>
      <c r="AN1204">
        <v>66</v>
      </c>
      <c r="AO1204">
        <v>3</v>
      </c>
      <c r="AP1204">
        <v>4</v>
      </c>
      <c r="AQ1204">
        <v>2</v>
      </c>
      <c r="AR1204">
        <v>7</v>
      </c>
      <c r="AS1204" t="s">
        <v>8924</v>
      </c>
      <c r="AT1204" t="s">
        <v>8925</v>
      </c>
      <c r="AU1204" t="s">
        <v>8926</v>
      </c>
      <c r="AV1204" t="s">
        <v>69</v>
      </c>
      <c r="AW1204" t="s">
        <v>8258</v>
      </c>
      <c r="AX1204" t="s">
        <v>69</v>
      </c>
      <c r="AY1204" t="s">
        <v>8927</v>
      </c>
      <c r="AZ1204" t="s">
        <v>8928</v>
      </c>
      <c r="BA1204" t="s">
        <v>274</v>
      </c>
      <c r="BB1204">
        <v>2020</v>
      </c>
      <c r="BC1204">
        <v>9</v>
      </c>
      <c r="BD1204">
        <v>11</v>
      </c>
      <c r="BE1204" t="s">
        <v>69</v>
      </c>
      <c r="BF1204" t="s">
        <v>69</v>
      </c>
      <c r="BG1204" t="s">
        <v>69</v>
      </c>
      <c r="BH1204" t="s">
        <v>69</v>
      </c>
      <c r="BI1204" t="s">
        <v>69</v>
      </c>
      <c r="BJ1204" t="s">
        <v>69</v>
      </c>
      <c r="BK1204">
        <v>454</v>
      </c>
      <c r="BL1204" t="s">
        <v>8259</v>
      </c>
      <c r="BM1204" t="str">
        <f>HYPERLINK("http://dx.doi.org/10.3390/land9110454","http://dx.doi.org/10.3390/land9110454")</f>
        <v>http://dx.doi.org/10.3390/land9110454</v>
      </c>
      <c r="BN1204" t="s">
        <v>69</v>
      </c>
      <c r="BO1204" t="s">
        <v>69</v>
      </c>
      <c r="BP1204">
        <v>25</v>
      </c>
      <c r="BQ1204" t="s">
        <v>8660</v>
      </c>
      <c r="BR1204" t="s">
        <v>8661</v>
      </c>
      <c r="BS1204" t="s">
        <v>8662</v>
      </c>
      <c r="BT1204" t="s">
        <v>14148</v>
      </c>
      <c r="BU1204" t="s">
        <v>8260</v>
      </c>
      <c r="BV1204" t="s">
        <v>69</v>
      </c>
      <c r="BW1204" t="s">
        <v>9352</v>
      </c>
      <c r="BX1204" t="s">
        <v>69</v>
      </c>
      <c r="BY1204" t="s">
        <v>69</v>
      </c>
      <c r="BZ1204" t="s">
        <v>8526</v>
      </c>
      <c r="CA1204" t="str">
        <f>HYPERLINK("https%3A%2F%2Fwww.webofscience.com%2Fwos%2Fwoscc%2Ffull-record%2FWOS:000593444900001","View Full Record in Web of Science")</f>
        <v>View Full Record in Web of Science</v>
      </c>
    </row>
    <row r="1205" spans="1:79" ht="12.5" x14ac:dyDescent="0.25">
      <c r="B1205" t="s">
        <v>8495</v>
      </c>
      <c r="D1205" s="7" t="s">
        <v>32933</v>
      </c>
      <c r="E1205" s="7"/>
      <c r="F1205" s="7"/>
      <c r="G1205" s="7"/>
      <c r="H1205" t="s">
        <v>67</v>
      </c>
      <c r="I1205" t="s">
        <v>7725</v>
      </c>
      <c r="J1205" t="s">
        <v>69</v>
      </c>
      <c r="K1205" t="s">
        <v>69</v>
      </c>
      <c r="L1205" t="s">
        <v>69</v>
      </c>
      <c r="M1205" t="s">
        <v>7726</v>
      </c>
      <c r="N1205" t="s">
        <v>69</v>
      </c>
      <c r="O1205" t="s">
        <v>69</v>
      </c>
      <c r="P1205" t="s">
        <v>7727</v>
      </c>
      <c r="Q1205" t="s">
        <v>4174</v>
      </c>
      <c r="R1205" t="s">
        <v>69</v>
      </c>
      <c r="S1205" t="s">
        <v>69</v>
      </c>
      <c r="T1205" t="s">
        <v>14800</v>
      </c>
      <c r="U1205" t="s">
        <v>8506</v>
      </c>
      <c r="V1205" t="s">
        <v>69</v>
      </c>
      <c r="W1205" t="s">
        <v>69</v>
      </c>
      <c r="X1205" t="s">
        <v>69</v>
      </c>
      <c r="Y1205" t="s">
        <v>69</v>
      </c>
      <c r="Z1205" t="s">
        <v>69</v>
      </c>
      <c r="AA1205" t="s">
        <v>69</v>
      </c>
      <c r="AB1205" t="s">
        <v>69</v>
      </c>
      <c r="AC1205" t="s">
        <v>7728</v>
      </c>
      <c r="AD1205" t="s">
        <v>24946</v>
      </c>
      <c r="AE1205" t="s">
        <v>69</v>
      </c>
      <c r="AF1205" t="s">
        <v>24947</v>
      </c>
      <c r="AG1205" t="s">
        <v>24948</v>
      </c>
      <c r="AH1205" t="s">
        <v>69</v>
      </c>
      <c r="AI1205" t="s">
        <v>69</v>
      </c>
      <c r="AJ1205" t="s">
        <v>69</v>
      </c>
      <c r="AK1205" t="s">
        <v>69</v>
      </c>
      <c r="AL1205" t="s">
        <v>69</v>
      </c>
      <c r="AM1205" t="s">
        <v>69</v>
      </c>
      <c r="AN1205">
        <v>36</v>
      </c>
      <c r="AO1205">
        <v>0</v>
      </c>
      <c r="AP1205">
        <v>0</v>
      </c>
      <c r="AQ1205">
        <v>0</v>
      </c>
      <c r="AR1205">
        <v>8</v>
      </c>
      <c r="AS1205" t="s">
        <v>17244</v>
      </c>
      <c r="AT1205" t="s">
        <v>17245</v>
      </c>
      <c r="AU1205" t="s">
        <v>17246</v>
      </c>
      <c r="AV1205" t="s">
        <v>4176</v>
      </c>
      <c r="AW1205" t="s">
        <v>6904</v>
      </c>
      <c r="AX1205" t="s">
        <v>69</v>
      </c>
      <c r="AY1205" t="s">
        <v>20261</v>
      </c>
      <c r="AZ1205" t="s">
        <v>20262</v>
      </c>
      <c r="BA1205" t="s">
        <v>155</v>
      </c>
      <c r="BB1205">
        <v>2013</v>
      </c>
      <c r="BC1205" t="s">
        <v>69</v>
      </c>
      <c r="BD1205">
        <v>3</v>
      </c>
      <c r="BE1205" t="s">
        <v>69</v>
      </c>
      <c r="BF1205" t="s">
        <v>69</v>
      </c>
      <c r="BG1205" t="s">
        <v>69</v>
      </c>
      <c r="BH1205" t="s">
        <v>69</v>
      </c>
      <c r="BI1205">
        <v>12</v>
      </c>
      <c r="BJ1205">
        <v>20</v>
      </c>
      <c r="BK1205" t="s">
        <v>69</v>
      </c>
      <c r="BL1205" t="s">
        <v>7729</v>
      </c>
      <c r="BM1205" t="str">
        <f>HYPERLINK("http://dx.doi.org/10.1051/lhb/2013020","http://dx.doi.org/10.1051/lhb/2013020")</f>
        <v>http://dx.doi.org/10.1051/lhb/2013020</v>
      </c>
      <c r="BN1205" t="s">
        <v>69</v>
      </c>
      <c r="BO1205" t="s">
        <v>69</v>
      </c>
      <c r="BP1205">
        <v>9</v>
      </c>
      <c r="BQ1205" t="s">
        <v>9096</v>
      </c>
      <c r="BR1205" t="s">
        <v>8548</v>
      </c>
      <c r="BS1205" t="s">
        <v>9096</v>
      </c>
      <c r="BT1205" t="s">
        <v>24949</v>
      </c>
      <c r="BU1205" t="s">
        <v>7730</v>
      </c>
      <c r="BV1205" t="s">
        <v>69</v>
      </c>
      <c r="BW1205" t="s">
        <v>69</v>
      </c>
      <c r="BX1205" t="s">
        <v>69</v>
      </c>
      <c r="BY1205" t="s">
        <v>69</v>
      </c>
      <c r="BZ1205" t="s">
        <v>8526</v>
      </c>
      <c r="CA1205" t="str">
        <f>HYPERLINK("https%3A%2F%2Fwww.webofscience.com%2Fwos%2Fwoscc%2Ffull-record%2FWOS:000322298500002","View Full Record in Web of Science")</f>
        <v>View Full Record in Web of Science</v>
      </c>
    </row>
    <row r="1206" spans="1:79" ht="12.5" x14ac:dyDescent="0.25">
      <c r="B1206" t="s">
        <v>8495</v>
      </c>
      <c r="D1206" s="7" t="s">
        <v>32933</v>
      </c>
      <c r="E1206" s="7"/>
      <c r="F1206" s="7"/>
      <c r="G1206" s="7"/>
      <c r="H1206" t="s">
        <v>67</v>
      </c>
      <c r="I1206" t="s">
        <v>5891</v>
      </c>
      <c r="J1206" t="s">
        <v>69</v>
      </c>
      <c r="K1206" t="s">
        <v>69</v>
      </c>
      <c r="L1206" t="s">
        <v>69</v>
      </c>
      <c r="M1206" t="s">
        <v>5892</v>
      </c>
      <c r="N1206" t="s">
        <v>69</v>
      </c>
      <c r="O1206" t="s">
        <v>69</v>
      </c>
      <c r="P1206" t="s">
        <v>5893</v>
      </c>
      <c r="Q1206" t="s">
        <v>4552</v>
      </c>
      <c r="R1206" t="s">
        <v>69</v>
      </c>
      <c r="S1206" t="s">
        <v>69</v>
      </c>
      <c r="T1206" t="s">
        <v>8505</v>
      </c>
      <c r="U1206" t="s">
        <v>8506</v>
      </c>
      <c r="V1206" t="s">
        <v>69</v>
      </c>
      <c r="W1206" t="s">
        <v>69</v>
      </c>
      <c r="X1206" t="s">
        <v>69</v>
      </c>
      <c r="Y1206" t="s">
        <v>69</v>
      </c>
      <c r="Z1206" t="s">
        <v>69</v>
      </c>
      <c r="AA1206" t="s">
        <v>27533</v>
      </c>
      <c r="AB1206" t="s">
        <v>19521</v>
      </c>
      <c r="AC1206" t="s">
        <v>5894</v>
      </c>
      <c r="AD1206" t="s">
        <v>27534</v>
      </c>
      <c r="AE1206" t="s">
        <v>69</v>
      </c>
      <c r="AF1206" t="s">
        <v>27535</v>
      </c>
      <c r="AG1206" t="s">
        <v>27536</v>
      </c>
      <c r="AH1206" t="s">
        <v>5895</v>
      </c>
      <c r="AI1206" t="s">
        <v>5896</v>
      </c>
      <c r="AJ1206" t="s">
        <v>69</v>
      </c>
      <c r="AK1206" t="s">
        <v>69</v>
      </c>
      <c r="AL1206" t="s">
        <v>69</v>
      </c>
      <c r="AM1206" t="s">
        <v>69</v>
      </c>
      <c r="AN1206">
        <v>59</v>
      </c>
      <c r="AO1206">
        <v>14</v>
      </c>
      <c r="AP1206">
        <v>14</v>
      </c>
      <c r="AQ1206">
        <v>0</v>
      </c>
      <c r="AR1206">
        <v>24</v>
      </c>
      <c r="AS1206" t="s">
        <v>9091</v>
      </c>
      <c r="AT1206" t="s">
        <v>8763</v>
      </c>
      <c r="AU1206" t="s">
        <v>15468</v>
      </c>
      <c r="AV1206" t="s">
        <v>4556</v>
      </c>
      <c r="AW1206" t="s">
        <v>69</v>
      </c>
      <c r="AX1206" t="s">
        <v>69</v>
      </c>
      <c r="AY1206" t="s">
        <v>4552</v>
      </c>
      <c r="AZ1206" t="s">
        <v>9094</v>
      </c>
      <c r="BA1206" t="s">
        <v>69</v>
      </c>
      <c r="BB1206">
        <v>2011</v>
      </c>
      <c r="BC1206">
        <v>13</v>
      </c>
      <c r="BD1206">
        <v>2</v>
      </c>
      <c r="BE1206" t="s">
        <v>69</v>
      </c>
      <c r="BF1206" t="s">
        <v>69</v>
      </c>
      <c r="BG1206" t="s">
        <v>69</v>
      </c>
      <c r="BH1206" t="s">
        <v>69</v>
      </c>
      <c r="BI1206">
        <v>232</v>
      </c>
      <c r="BJ1206">
        <v>249</v>
      </c>
      <c r="BK1206" t="s">
        <v>69</v>
      </c>
      <c r="BL1206" t="s">
        <v>5897</v>
      </c>
      <c r="BM1206" t="str">
        <f>HYPERLINK("http://dx.doi.org/10.2166/wp.2010.081","http://dx.doi.org/10.2166/wp.2010.081")</f>
        <v>http://dx.doi.org/10.2166/wp.2010.081</v>
      </c>
      <c r="BN1206" t="s">
        <v>69</v>
      </c>
      <c r="BO1206" t="s">
        <v>69</v>
      </c>
      <c r="BP1206">
        <v>18</v>
      </c>
      <c r="BQ1206" t="s">
        <v>9096</v>
      </c>
      <c r="BR1206" t="s">
        <v>8523</v>
      </c>
      <c r="BS1206" t="s">
        <v>9096</v>
      </c>
      <c r="BT1206" t="s">
        <v>27537</v>
      </c>
      <c r="BU1206" t="s">
        <v>5898</v>
      </c>
      <c r="BV1206" t="s">
        <v>69</v>
      </c>
      <c r="BW1206" t="s">
        <v>69</v>
      </c>
      <c r="BX1206" t="s">
        <v>69</v>
      </c>
      <c r="BY1206" t="s">
        <v>69</v>
      </c>
      <c r="BZ1206" t="s">
        <v>8526</v>
      </c>
      <c r="CA1206" t="str">
        <f>HYPERLINK("https%3A%2F%2Fwww.webofscience.com%2Fwos%2Fwoscc%2Ffull-record%2FWOS:000288878400007","View Full Record in Web of Science")</f>
        <v>View Full Record in Web of Science</v>
      </c>
    </row>
    <row r="1207" spans="1:79" ht="12.5" x14ac:dyDescent="0.25">
      <c r="B1207" t="s">
        <v>8495</v>
      </c>
      <c r="D1207" s="22" t="s">
        <v>32931</v>
      </c>
      <c r="E1207" s="7"/>
      <c r="F1207" s="7"/>
      <c r="G1207" s="7"/>
      <c r="H1207" t="s">
        <v>67</v>
      </c>
      <c r="I1207" t="s">
        <v>11616</v>
      </c>
      <c r="J1207" t="s">
        <v>69</v>
      </c>
      <c r="K1207" t="s">
        <v>69</v>
      </c>
      <c r="L1207" t="s">
        <v>69</v>
      </c>
      <c r="M1207" t="s">
        <v>11617</v>
      </c>
      <c r="N1207" t="s">
        <v>69</v>
      </c>
      <c r="O1207" t="s">
        <v>69</v>
      </c>
      <c r="P1207" t="s">
        <v>11618</v>
      </c>
      <c r="Q1207" t="s">
        <v>11619</v>
      </c>
      <c r="R1207" t="s">
        <v>69</v>
      </c>
      <c r="S1207" t="s">
        <v>69</v>
      </c>
      <c r="T1207" t="s">
        <v>8505</v>
      </c>
      <c r="U1207" t="s">
        <v>8442</v>
      </c>
      <c r="V1207" t="s">
        <v>69</v>
      </c>
      <c r="W1207" t="s">
        <v>69</v>
      </c>
      <c r="X1207" t="s">
        <v>69</v>
      </c>
      <c r="Y1207" t="s">
        <v>69</v>
      </c>
      <c r="Z1207" t="s">
        <v>69</v>
      </c>
      <c r="AA1207" t="s">
        <v>11620</v>
      </c>
      <c r="AB1207" t="s">
        <v>11621</v>
      </c>
      <c r="AC1207" t="s">
        <v>11622</v>
      </c>
      <c r="AD1207" t="s">
        <v>11623</v>
      </c>
      <c r="AE1207" t="s">
        <v>69</v>
      </c>
      <c r="AF1207" t="s">
        <v>11624</v>
      </c>
      <c r="AG1207" t="s">
        <v>11625</v>
      </c>
      <c r="AH1207" t="s">
        <v>69</v>
      </c>
      <c r="AI1207" t="s">
        <v>69</v>
      </c>
      <c r="AJ1207" t="s">
        <v>69</v>
      </c>
      <c r="AK1207" t="s">
        <v>69</v>
      </c>
      <c r="AL1207" t="s">
        <v>69</v>
      </c>
      <c r="AM1207" t="s">
        <v>69</v>
      </c>
      <c r="AN1207">
        <v>55</v>
      </c>
      <c r="AO1207">
        <v>0</v>
      </c>
      <c r="AP1207">
        <v>0</v>
      </c>
      <c r="AQ1207">
        <v>0</v>
      </c>
      <c r="AR1207">
        <v>2</v>
      </c>
      <c r="AS1207" t="s">
        <v>9203</v>
      </c>
      <c r="AT1207" t="s">
        <v>8763</v>
      </c>
      <c r="AU1207" t="s">
        <v>9204</v>
      </c>
      <c r="AV1207" t="s">
        <v>69</v>
      </c>
      <c r="AW1207" t="s">
        <v>11626</v>
      </c>
      <c r="AX1207" t="s">
        <v>69</v>
      </c>
      <c r="AY1207" t="s">
        <v>11627</v>
      </c>
      <c r="AZ1207" t="s">
        <v>11628</v>
      </c>
      <c r="BA1207" t="s">
        <v>11629</v>
      </c>
      <c r="BB1207">
        <v>2021</v>
      </c>
      <c r="BC1207">
        <v>19</v>
      </c>
      <c r="BD1207">
        <v>1</v>
      </c>
      <c r="BE1207" t="s">
        <v>69</v>
      </c>
      <c r="BF1207" t="s">
        <v>69</v>
      </c>
      <c r="BG1207" t="s">
        <v>69</v>
      </c>
      <c r="BH1207" t="s">
        <v>69</v>
      </c>
      <c r="BI1207" t="s">
        <v>69</v>
      </c>
      <c r="BJ1207" t="s">
        <v>69</v>
      </c>
      <c r="BK1207">
        <v>94</v>
      </c>
      <c r="BL1207" t="s">
        <v>11630</v>
      </c>
      <c r="BM1207" t="str">
        <f>HYPERLINK("http://dx.doi.org/10.1186/s12960-021-00635-7","http://dx.doi.org/10.1186/s12960-021-00635-7")</f>
        <v>http://dx.doi.org/10.1186/s12960-021-00635-7</v>
      </c>
      <c r="BN1207" t="s">
        <v>69</v>
      </c>
      <c r="BO1207" t="s">
        <v>69</v>
      </c>
      <c r="BP1207">
        <v>14</v>
      </c>
      <c r="BQ1207" t="s">
        <v>11631</v>
      </c>
      <c r="BR1207" t="s">
        <v>8661</v>
      </c>
      <c r="BS1207" t="s">
        <v>11632</v>
      </c>
      <c r="BT1207" t="s">
        <v>11633</v>
      </c>
      <c r="BU1207" t="s">
        <v>11634</v>
      </c>
      <c r="BV1207">
        <v>34348739</v>
      </c>
      <c r="BW1207" t="s">
        <v>9352</v>
      </c>
      <c r="BX1207" t="s">
        <v>69</v>
      </c>
      <c r="BY1207" t="s">
        <v>69</v>
      </c>
      <c r="BZ1207" t="s">
        <v>8526</v>
      </c>
      <c r="CA1207" t="str">
        <f>HYPERLINK("https%3A%2F%2Fwww.webofscience.com%2Fwos%2Fwoscc%2Ffull-record%2FWOS:000683456300001","View Full Record in Web of Science")</f>
        <v>View Full Record in Web of Science</v>
      </c>
    </row>
    <row r="1208" spans="1:79" ht="12.5" x14ac:dyDescent="0.25">
      <c r="B1208" t="s">
        <v>8495</v>
      </c>
      <c r="D1208" s="7" t="s">
        <v>32933</v>
      </c>
      <c r="E1208" s="7"/>
      <c r="F1208" s="7"/>
      <c r="G1208" s="7"/>
      <c r="H1208" t="s">
        <v>67</v>
      </c>
      <c r="I1208" t="s">
        <v>3178</v>
      </c>
      <c r="J1208" t="s">
        <v>69</v>
      </c>
      <c r="K1208" t="s">
        <v>69</v>
      </c>
      <c r="L1208" t="s">
        <v>69</v>
      </c>
      <c r="M1208" t="s">
        <v>3179</v>
      </c>
      <c r="N1208" t="s">
        <v>69</v>
      </c>
      <c r="O1208" t="s">
        <v>69</v>
      </c>
      <c r="P1208" t="s">
        <v>3180</v>
      </c>
      <c r="Q1208" t="s">
        <v>3181</v>
      </c>
      <c r="R1208" t="s">
        <v>69</v>
      </c>
      <c r="S1208" t="s">
        <v>69</v>
      </c>
      <c r="T1208" t="s">
        <v>8505</v>
      </c>
      <c r="U1208" t="s">
        <v>8506</v>
      </c>
      <c r="V1208" t="s">
        <v>69</v>
      </c>
      <c r="W1208" t="s">
        <v>69</v>
      </c>
      <c r="X1208" t="s">
        <v>69</v>
      </c>
      <c r="Y1208" t="s">
        <v>69</v>
      </c>
      <c r="Z1208" t="s">
        <v>69</v>
      </c>
      <c r="AA1208" t="s">
        <v>69</v>
      </c>
      <c r="AB1208" t="s">
        <v>23651</v>
      </c>
      <c r="AC1208" t="s">
        <v>3182</v>
      </c>
      <c r="AD1208" t="s">
        <v>23652</v>
      </c>
      <c r="AE1208" t="s">
        <v>69</v>
      </c>
      <c r="AF1208" t="s">
        <v>23653</v>
      </c>
      <c r="AG1208" t="s">
        <v>23654</v>
      </c>
      <c r="AH1208" t="s">
        <v>3183</v>
      </c>
      <c r="AI1208" t="s">
        <v>3184</v>
      </c>
      <c r="AJ1208" t="s">
        <v>69</v>
      </c>
      <c r="AK1208" t="s">
        <v>69</v>
      </c>
      <c r="AL1208" t="s">
        <v>69</v>
      </c>
      <c r="AM1208" t="s">
        <v>69</v>
      </c>
      <c r="AN1208">
        <v>61</v>
      </c>
      <c r="AO1208">
        <v>2</v>
      </c>
      <c r="AP1208">
        <v>2</v>
      </c>
      <c r="AQ1208">
        <v>0</v>
      </c>
      <c r="AR1208">
        <v>7</v>
      </c>
      <c r="AS1208" t="s">
        <v>8865</v>
      </c>
      <c r="AT1208" t="s">
        <v>8612</v>
      </c>
      <c r="AU1208" t="s">
        <v>8866</v>
      </c>
      <c r="AV1208" t="s">
        <v>3185</v>
      </c>
      <c r="AW1208" t="s">
        <v>3186</v>
      </c>
      <c r="AX1208" t="s">
        <v>69</v>
      </c>
      <c r="AY1208" t="s">
        <v>23655</v>
      </c>
      <c r="AZ1208" t="s">
        <v>23656</v>
      </c>
      <c r="BA1208" t="s">
        <v>201</v>
      </c>
      <c r="BB1208">
        <v>2014</v>
      </c>
      <c r="BC1208">
        <v>41</v>
      </c>
      <c r="BD1208">
        <v>2</v>
      </c>
      <c r="BE1208" t="s">
        <v>69</v>
      </c>
      <c r="BF1208" t="s">
        <v>69</v>
      </c>
      <c r="BG1208" t="s">
        <v>69</v>
      </c>
      <c r="BH1208" t="s">
        <v>69</v>
      </c>
      <c r="BI1208">
        <v>311</v>
      </c>
      <c r="BJ1208">
        <v>329</v>
      </c>
      <c r="BK1208" t="s">
        <v>69</v>
      </c>
      <c r="BL1208" t="s">
        <v>3187</v>
      </c>
      <c r="BM1208" t="str">
        <f>HYPERLINK("http://dx.doi.org/10.1080/02589346.2014.905263","http://dx.doi.org/10.1080/02589346.2014.905263")</f>
        <v>http://dx.doi.org/10.1080/02589346.2014.905263</v>
      </c>
      <c r="BN1208" t="s">
        <v>69</v>
      </c>
      <c r="BO1208" t="s">
        <v>69</v>
      </c>
      <c r="BP1208">
        <v>19</v>
      </c>
      <c r="BQ1208" t="s">
        <v>13241</v>
      </c>
      <c r="BR1208" t="s">
        <v>8661</v>
      </c>
      <c r="BS1208" t="s">
        <v>10084</v>
      </c>
      <c r="BT1208" t="s">
        <v>23657</v>
      </c>
      <c r="BU1208" t="s">
        <v>3188</v>
      </c>
      <c r="BV1208" t="s">
        <v>69</v>
      </c>
      <c r="BW1208" t="s">
        <v>69</v>
      </c>
      <c r="BX1208" t="s">
        <v>69</v>
      </c>
      <c r="BY1208" t="s">
        <v>69</v>
      </c>
      <c r="BZ1208" t="s">
        <v>8526</v>
      </c>
      <c r="CA1208" t="str">
        <f>HYPERLINK("https%3A%2F%2Fwww.webofscience.com%2Fwos%2Fwoscc%2Ffull-record%2FWOS:000340275600008","View Full Record in Web of Science")</f>
        <v>View Full Record in Web of Science</v>
      </c>
    </row>
    <row r="1209" spans="1:79" ht="12.5" x14ac:dyDescent="0.25">
      <c r="B1209" t="s">
        <v>8495</v>
      </c>
      <c r="D1209" s="7" t="s">
        <v>32933</v>
      </c>
      <c r="E1209" s="7"/>
      <c r="F1209" s="7"/>
      <c r="G1209" s="7"/>
      <c r="H1209" t="s">
        <v>67</v>
      </c>
      <c r="I1209" t="s">
        <v>1041</v>
      </c>
      <c r="J1209" t="s">
        <v>69</v>
      </c>
      <c r="K1209" t="s">
        <v>69</v>
      </c>
      <c r="L1209" t="s">
        <v>69</v>
      </c>
      <c r="M1209" t="s">
        <v>1042</v>
      </c>
      <c r="N1209" t="s">
        <v>69</v>
      </c>
      <c r="O1209" t="s">
        <v>69</v>
      </c>
      <c r="P1209" t="s">
        <v>1043</v>
      </c>
      <c r="Q1209" t="s">
        <v>473</v>
      </c>
      <c r="R1209" t="s">
        <v>69</v>
      </c>
      <c r="S1209" t="s">
        <v>69</v>
      </c>
      <c r="T1209" t="s">
        <v>8505</v>
      </c>
      <c r="U1209" t="s">
        <v>8506</v>
      </c>
      <c r="V1209" t="s">
        <v>69</v>
      </c>
      <c r="W1209" t="s">
        <v>69</v>
      </c>
      <c r="X1209" t="s">
        <v>69</v>
      </c>
      <c r="Y1209" t="s">
        <v>69</v>
      </c>
      <c r="Z1209" t="s">
        <v>69</v>
      </c>
      <c r="AA1209" t="s">
        <v>18264</v>
      </c>
      <c r="AB1209" t="s">
        <v>18265</v>
      </c>
      <c r="AC1209" t="s">
        <v>1044</v>
      </c>
      <c r="AD1209" t="s">
        <v>18266</v>
      </c>
      <c r="AE1209" t="s">
        <v>69</v>
      </c>
      <c r="AF1209" t="s">
        <v>18267</v>
      </c>
      <c r="AG1209" t="s">
        <v>18268</v>
      </c>
      <c r="AH1209" t="s">
        <v>14235</v>
      </c>
      <c r="AI1209" t="s">
        <v>18269</v>
      </c>
      <c r="AJ1209" t="s">
        <v>18270</v>
      </c>
      <c r="AK1209" t="s">
        <v>18270</v>
      </c>
      <c r="AL1209" t="s">
        <v>18271</v>
      </c>
      <c r="AM1209" t="s">
        <v>69</v>
      </c>
      <c r="AN1209">
        <v>42</v>
      </c>
      <c r="AO1209">
        <v>11</v>
      </c>
      <c r="AP1209">
        <v>11</v>
      </c>
      <c r="AQ1209">
        <v>1</v>
      </c>
      <c r="AR1209">
        <v>50</v>
      </c>
      <c r="AS1209" t="s">
        <v>18272</v>
      </c>
      <c r="AT1209" t="s">
        <v>8763</v>
      </c>
      <c r="AU1209" t="s">
        <v>18273</v>
      </c>
      <c r="AV1209" t="s">
        <v>475</v>
      </c>
      <c r="AW1209" t="s">
        <v>476</v>
      </c>
      <c r="AX1209" t="s">
        <v>69</v>
      </c>
      <c r="AY1209" t="s">
        <v>18274</v>
      </c>
      <c r="AZ1209" t="s">
        <v>18275</v>
      </c>
      <c r="BA1209" t="s">
        <v>904</v>
      </c>
      <c r="BB1209">
        <v>2018</v>
      </c>
      <c r="BC1209">
        <v>223</v>
      </c>
      <c r="BD1209" t="s">
        <v>69</v>
      </c>
      <c r="BE1209" t="s">
        <v>69</v>
      </c>
      <c r="BF1209" t="s">
        <v>69</v>
      </c>
      <c r="BG1209" t="s">
        <v>69</v>
      </c>
      <c r="BH1209" t="s">
        <v>69</v>
      </c>
      <c r="BI1209">
        <v>385</v>
      </c>
      <c r="BJ1209">
        <v>395</v>
      </c>
      <c r="BK1209" t="s">
        <v>69</v>
      </c>
      <c r="BL1209" t="s">
        <v>1045</v>
      </c>
      <c r="BM1209" t="str">
        <f>HYPERLINK("http://dx.doi.org/10.1016/j.jenvman.2018.06.049","http://dx.doi.org/10.1016/j.jenvman.2018.06.049")</f>
        <v>http://dx.doi.org/10.1016/j.jenvman.2018.06.049</v>
      </c>
      <c r="BN1209" t="s">
        <v>69</v>
      </c>
      <c r="BO1209" t="s">
        <v>69</v>
      </c>
      <c r="BP1209">
        <v>11</v>
      </c>
      <c r="BQ1209" t="s">
        <v>8717</v>
      </c>
      <c r="BR1209" t="s">
        <v>8523</v>
      </c>
      <c r="BS1209" t="s">
        <v>8662</v>
      </c>
      <c r="BT1209" t="s">
        <v>18276</v>
      </c>
      <c r="BU1209" t="s">
        <v>1046</v>
      </c>
      <c r="BV1209">
        <v>29940515</v>
      </c>
      <c r="BW1209" t="s">
        <v>9292</v>
      </c>
      <c r="BX1209" t="s">
        <v>69</v>
      </c>
      <c r="BY1209" t="s">
        <v>69</v>
      </c>
      <c r="BZ1209" t="s">
        <v>8526</v>
      </c>
      <c r="CA1209" t="str">
        <f>HYPERLINK("https%3A%2F%2Fwww.webofscience.com%2Fwos%2Fwoscc%2Ffull-record%2FWOS:000442057500036","View Full Record in Web of Science")</f>
        <v>View Full Record in Web of Science</v>
      </c>
    </row>
    <row r="1210" spans="1:79" ht="12.5" x14ac:dyDescent="0.25">
      <c r="B1210" t="s">
        <v>8495</v>
      </c>
      <c r="D1210" s="22" t="s">
        <v>32931</v>
      </c>
      <c r="E1210" s="7"/>
      <c r="F1210" s="7"/>
      <c r="G1210" s="7"/>
      <c r="H1210" t="s">
        <v>67</v>
      </c>
      <c r="I1210" t="s">
        <v>28151</v>
      </c>
      <c r="J1210" t="s">
        <v>69</v>
      </c>
      <c r="K1210" t="s">
        <v>69</v>
      </c>
      <c r="L1210" t="s">
        <v>69</v>
      </c>
      <c r="M1210" t="s">
        <v>28152</v>
      </c>
      <c r="N1210" t="s">
        <v>69</v>
      </c>
      <c r="O1210" t="s">
        <v>69</v>
      </c>
      <c r="P1210" t="s">
        <v>28153</v>
      </c>
      <c r="Q1210" t="s">
        <v>28154</v>
      </c>
      <c r="R1210" t="s">
        <v>69</v>
      </c>
      <c r="S1210" t="s">
        <v>69</v>
      </c>
      <c r="T1210" t="s">
        <v>8505</v>
      </c>
      <c r="U1210" t="s">
        <v>8506</v>
      </c>
      <c r="V1210" t="s">
        <v>69</v>
      </c>
      <c r="W1210" t="s">
        <v>69</v>
      </c>
      <c r="X1210" t="s">
        <v>69</v>
      </c>
      <c r="Y1210" t="s">
        <v>69</v>
      </c>
      <c r="Z1210" t="s">
        <v>69</v>
      </c>
      <c r="AA1210" t="s">
        <v>28155</v>
      </c>
      <c r="AB1210" t="s">
        <v>69</v>
      </c>
      <c r="AC1210" t="s">
        <v>28156</v>
      </c>
      <c r="AD1210" t="s">
        <v>28157</v>
      </c>
      <c r="AE1210" t="s">
        <v>69</v>
      </c>
      <c r="AF1210" t="s">
        <v>28158</v>
      </c>
      <c r="AG1210" t="s">
        <v>69</v>
      </c>
      <c r="AH1210" t="s">
        <v>28159</v>
      </c>
      <c r="AI1210" t="s">
        <v>28160</v>
      </c>
      <c r="AJ1210" t="s">
        <v>28161</v>
      </c>
      <c r="AK1210" t="s">
        <v>28162</v>
      </c>
      <c r="AL1210" t="s">
        <v>28163</v>
      </c>
      <c r="AM1210" t="s">
        <v>69</v>
      </c>
      <c r="AN1210">
        <v>10</v>
      </c>
      <c r="AO1210">
        <v>0</v>
      </c>
      <c r="AP1210">
        <v>0</v>
      </c>
      <c r="AQ1210">
        <v>0</v>
      </c>
      <c r="AR1210">
        <v>0</v>
      </c>
      <c r="AS1210" t="s">
        <v>28164</v>
      </c>
      <c r="AT1210" t="s">
        <v>28165</v>
      </c>
      <c r="AU1210" t="s">
        <v>28166</v>
      </c>
      <c r="AV1210" t="s">
        <v>28167</v>
      </c>
      <c r="AW1210" t="s">
        <v>69</v>
      </c>
      <c r="AX1210" t="s">
        <v>69</v>
      </c>
      <c r="AY1210" t="s">
        <v>28168</v>
      </c>
      <c r="AZ1210" t="s">
        <v>28169</v>
      </c>
      <c r="BA1210" t="s">
        <v>69</v>
      </c>
      <c r="BB1210">
        <v>2010</v>
      </c>
      <c r="BC1210" t="s">
        <v>69</v>
      </c>
      <c r="BD1210">
        <v>2</v>
      </c>
      <c r="BE1210" t="s">
        <v>69</v>
      </c>
      <c r="BF1210" t="s">
        <v>69</v>
      </c>
      <c r="BG1210" t="s">
        <v>69</v>
      </c>
      <c r="BH1210" t="s">
        <v>69</v>
      </c>
      <c r="BI1210">
        <v>305</v>
      </c>
      <c r="BJ1210">
        <v>312</v>
      </c>
      <c r="BK1210" t="s">
        <v>69</v>
      </c>
      <c r="BL1210" t="s">
        <v>69</v>
      </c>
      <c r="BM1210" t="s">
        <v>69</v>
      </c>
      <c r="BN1210" t="s">
        <v>69</v>
      </c>
      <c r="BO1210" t="s">
        <v>69</v>
      </c>
      <c r="BP1210">
        <v>8</v>
      </c>
      <c r="BQ1210" t="s">
        <v>8619</v>
      </c>
      <c r="BR1210" t="s">
        <v>8573</v>
      </c>
      <c r="BS1210" t="s">
        <v>8620</v>
      </c>
      <c r="BT1210" t="s">
        <v>28170</v>
      </c>
      <c r="BU1210" t="s">
        <v>28171</v>
      </c>
      <c r="BV1210" t="s">
        <v>69</v>
      </c>
      <c r="BW1210" t="s">
        <v>69</v>
      </c>
      <c r="BX1210" t="s">
        <v>69</v>
      </c>
      <c r="BY1210" t="s">
        <v>69</v>
      </c>
      <c r="BZ1210" t="s">
        <v>8526</v>
      </c>
      <c r="CA1210" t="str">
        <f>HYPERLINK("https%3A%2F%2Fwww.webofscience.com%2Fwos%2Fwoscc%2Ffull-record%2FWOS:000420590300018","View Full Record in Web of Science")</f>
        <v>View Full Record in Web of Science</v>
      </c>
    </row>
    <row r="1211" spans="1:79" ht="12.5" x14ac:dyDescent="0.25">
      <c r="B1211" t="s">
        <v>8495</v>
      </c>
      <c r="D1211" s="15" t="s">
        <v>33011</v>
      </c>
      <c r="E1211" s="7"/>
      <c r="F1211" s="7"/>
      <c r="G1211" s="7"/>
      <c r="H1211" t="s">
        <v>67</v>
      </c>
      <c r="I1211" t="s">
        <v>7699</v>
      </c>
      <c r="J1211" t="s">
        <v>69</v>
      </c>
      <c r="K1211" t="s">
        <v>69</v>
      </c>
      <c r="L1211" t="s">
        <v>69</v>
      </c>
      <c r="M1211" t="s">
        <v>7699</v>
      </c>
      <c r="N1211" t="s">
        <v>69</v>
      </c>
      <c r="O1211" t="s">
        <v>69</v>
      </c>
      <c r="P1211" s="2" t="s">
        <v>7700</v>
      </c>
      <c r="Q1211" t="s">
        <v>7701</v>
      </c>
      <c r="R1211" t="s">
        <v>69</v>
      </c>
      <c r="S1211" t="s">
        <v>69</v>
      </c>
      <c r="T1211" t="s">
        <v>8505</v>
      </c>
      <c r="U1211" t="s">
        <v>15797</v>
      </c>
      <c r="V1211" t="s">
        <v>7702</v>
      </c>
      <c r="W1211" t="s">
        <v>7703</v>
      </c>
      <c r="X1211" t="s">
        <v>7704</v>
      </c>
      <c r="Y1211" t="s">
        <v>7705</v>
      </c>
      <c r="Z1211" t="s">
        <v>69</v>
      </c>
      <c r="AA1211" t="s">
        <v>69</v>
      </c>
      <c r="AB1211" t="s">
        <v>31545</v>
      </c>
      <c r="AC1211" t="s">
        <v>7706</v>
      </c>
      <c r="AD1211" t="s">
        <v>31546</v>
      </c>
      <c r="AE1211" t="s">
        <v>69</v>
      </c>
      <c r="AF1211" t="s">
        <v>31547</v>
      </c>
      <c r="AG1211" t="s">
        <v>69</v>
      </c>
      <c r="AH1211" t="s">
        <v>31142</v>
      </c>
      <c r="AI1211" t="s">
        <v>7707</v>
      </c>
      <c r="AJ1211" t="s">
        <v>69</v>
      </c>
      <c r="AK1211" t="s">
        <v>69</v>
      </c>
      <c r="AL1211" t="s">
        <v>69</v>
      </c>
      <c r="AM1211" t="s">
        <v>69</v>
      </c>
      <c r="AN1211">
        <v>59</v>
      </c>
      <c r="AO1211">
        <v>42</v>
      </c>
      <c r="AP1211">
        <v>43</v>
      </c>
      <c r="AQ1211">
        <v>0</v>
      </c>
      <c r="AR1211">
        <v>4</v>
      </c>
      <c r="AS1211" t="s">
        <v>9554</v>
      </c>
      <c r="AT1211" t="s">
        <v>9555</v>
      </c>
      <c r="AU1211" t="s">
        <v>9556</v>
      </c>
      <c r="AV1211" t="s">
        <v>7708</v>
      </c>
      <c r="AW1211" t="s">
        <v>69</v>
      </c>
      <c r="AX1211" t="s">
        <v>69</v>
      </c>
      <c r="AY1211" t="s">
        <v>31548</v>
      </c>
      <c r="AZ1211" t="s">
        <v>31549</v>
      </c>
      <c r="BA1211" t="s">
        <v>263</v>
      </c>
      <c r="BB1211">
        <v>2001</v>
      </c>
      <c r="BC1211">
        <v>6</v>
      </c>
      <c r="BD1211">
        <v>4</v>
      </c>
      <c r="BE1211" t="s">
        <v>69</v>
      </c>
      <c r="BF1211" t="s">
        <v>69</v>
      </c>
      <c r="BG1211" t="s">
        <v>69</v>
      </c>
      <c r="BH1211" t="s">
        <v>69</v>
      </c>
      <c r="BI1211">
        <v>11</v>
      </c>
      <c r="BJ1211">
        <v>30</v>
      </c>
      <c r="BK1211" t="s">
        <v>69</v>
      </c>
      <c r="BL1211" t="s">
        <v>7709</v>
      </c>
      <c r="BM1211" t="str">
        <f>HYPERLINK("http://dx.doi.org/10.1177/108118001129172314","http://dx.doi.org/10.1177/108118001129172314")</f>
        <v>http://dx.doi.org/10.1177/108118001129172314</v>
      </c>
      <c r="BN1211" t="s">
        <v>69</v>
      </c>
      <c r="BO1211" t="s">
        <v>69</v>
      </c>
      <c r="BP1211">
        <v>20</v>
      </c>
      <c r="BQ1211" t="s">
        <v>31550</v>
      </c>
      <c r="BR1211" t="s">
        <v>31324</v>
      </c>
      <c r="BS1211" t="s">
        <v>31551</v>
      </c>
      <c r="BT1211" t="s">
        <v>31552</v>
      </c>
      <c r="BU1211" t="s">
        <v>7710</v>
      </c>
      <c r="BV1211" t="s">
        <v>69</v>
      </c>
      <c r="BW1211" t="s">
        <v>69</v>
      </c>
      <c r="BX1211" t="s">
        <v>69</v>
      </c>
      <c r="BY1211" t="s">
        <v>69</v>
      </c>
      <c r="BZ1211" t="s">
        <v>8526</v>
      </c>
      <c r="CA1211" t="str">
        <f>HYPERLINK("https%3A%2F%2Fwww.webofscience.com%2Fwos%2Fwoscc%2Ffull-record%2FWOS:000174741300002","View Full Record in Web of Science")</f>
        <v>View Full Record in Web of Science</v>
      </c>
    </row>
    <row r="1212" spans="1:79" ht="12.5" x14ac:dyDescent="0.25">
      <c r="B1212" t="s">
        <v>8495</v>
      </c>
      <c r="D1212" s="22" t="s">
        <v>32931</v>
      </c>
      <c r="E1212" s="7"/>
      <c r="F1212" s="7"/>
      <c r="G1212" s="7"/>
      <c r="H1212" t="s">
        <v>67</v>
      </c>
      <c r="I1212" t="s">
        <v>22546</v>
      </c>
      <c r="J1212" t="s">
        <v>69</v>
      </c>
      <c r="K1212" t="s">
        <v>69</v>
      </c>
      <c r="L1212" t="s">
        <v>69</v>
      </c>
      <c r="M1212" t="s">
        <v>22547</v>
      </c>
      <c r="N1212" t="s">
        <v>69</v>
      </c>
      <c r="O1212" t="s">
        <v>69</v>
      </c>
      <c r="P1212" t="s">
        <v>22548</v>
      </c>
      <c r="Q1212" t="s">
        <v>5373</v>
      </c>
      <c r="R1212" t="s">
        <v>69</v>
      </c>
      <c r="S1212" t="s">
        <v>69</v>
      </c>
      <c r="T1212" t="s">
        <v>8505</v>
      </c>
      <c r="U1212" t="s">
        <v>8506</v>
      </c>
      <c r="V1212" t="s">
        <v>69</v>
      </c>
      <c r="W1212" t="s">
        <v>69</v>
      </c>
      <c r="X1212" t="s">
        <v>69</v>
      </c>
      <c r="Y1212" t="s">
        <v>69</v>
      </c>
      <c r="Z1212" t="s">
        <v>69</v>
      </c>
      <c r="AA1212" t="s">
        <v>22549</v>
      </c>
      <c r="AB1212" t="s">
        <v>22550</v>
      </c>
      <c r="AC1212" t="s">
        <v>22551</v>
      </c>
      <c r="AD1212" t="s">
        <v>69</v>
      </c>
      <c r="AE1212" t="s">
        <v>69</v>
      </c>
      <c r="AF1212" t="s">
        <v>69</v>
      </c>
      <c r="AG1212" t="s">
        <v>69</v>
      </c>
      <c r="AH1212" t="s">
        <v>22552</v>
      </c>
      <c r="AI1212" t="s">
        <v>22553</v>
      </c>
      <c r="AJ1212" t="s">
        <v>69</v>
      </c>
      <c r="AK1212" t="s">
        <v>69</v>
      </c>
      <c r="AL1212" t="s">
        <v>69</v>
      </c>
      <c r="AM1212" t="s">
        <v>69</v>
      </c>
      <c r="AN1212">
        <v>54</v>
      </c>
      <c r="AO1212">
        <v>37</v>
      </c>
      <c r="AP1212">
        <v>37</v>
      </c>
      <c r="AQ1212">
        <v>3</v>
      </c>
      <c r="AR1212">
        <v>66</v>
      </c>
      <c r="AS1212" t="s">
        <v>8846</v>
      </c>
      <c r="AT1212" t="s">
        <v>8847</v>
      </c>
      <c r="AU1212" t="s">
        <v>8848</v>
      </c>
      <c r="AV1212" t="s">
        <v>5376</v>
      </c>
      <c r="AW1212" t="s">
        <v>5377</v>
      </c>
      <c r="AX1212" t="s">
        <v>69</v>
      </c>
      <c r="AY1212" t="s">
        <v>22554</v>
      </c>
      <c r="AZ1212" t="s">
        <v>22555</v>
      </c>
      <c r="BA1212" t="s">
        <v>201</v>
      </c>
      <c r="BB1212">
        <v>2015</v>
      </c>
      <c r="BC1212">
        <v>43</v>
      </c>
      <c r="BD1212">
        <v>3</v>
      </c>
      <c r="BE1212" t="s">
        <v>69</v>
      </c>
      <c r="BF1212" t="s">
        <v>69</v>
      </c>
      <c r="BG1212" t="s">
        <v>69</v>
      </c>
      <c r="BH1212" t="s">
        <v>69</v>
      </c>
      <c r="BI1212">
        <v>379</v>
      </c>
      <c r="BJ1212">
        <v>398</v>
      </c>
      <c r="BK1212" t="s">
        <v>69</v>
      </c>
      <c r="BL1212" t="s">
        <v>22556</v>
      </c>
      <c r="BM1212" t="str">
        <f>HYPERLINK("http://dx.doi.org/10.1111/psj.12103","http://dx.doi.org/10.1111/psj.12103")</f>
        <v>http://dx.doi.org/10.1111/psj.12103</v>
      </c>
      <c r="BN1212" t="s">
        <v>69</v>
      </c>
      <c r="BO1212" t="s">
        <v>69</v>
      </c>
      <c r="BP1212">
        <v>20</v>
      </c>
      <c r="BQ1212" t="s">
        <v>10439</v>
      </c>
      <c r="BR1212" t="s">
        <v>8661</v>
      </c>
      <c r="BS1212" t="s">
        <v>10440</v>
      </c>
      <c r="BT1212" t="s">
        <v>22557</v>
      </c>
      <c r="BU1212" t="s">
        <v>22558</v>
      </c>
      <c r="BV1212" t="s">
        <v>69</v>
      </c>
      <c r="BW1212" t="s">
        <v>8622</v>
      </c>
      <c r="BX1212" t="s">
        <v>69</v>
      </c>
      <c r="BY1212" t="s">
        <v>69</v>
      </c>
      <c r="BZ1212" t="s">
        <v>8526</v>
      </c>
      <c r="CA1212" t="str">
        <f>HYPERLINK("https%3A%2F%2Fwww.webofscience.com%2Fwos%2Fwoscc%2Ffull-record%2FWOS:000358688800004","View Full Record in Web of Science")</f>
        <v>View Full Record in Web of Science</v>
      </c>
    </row>
    <row r="1213" spans="1:79" x14ac:dyDescent="0.3">
      <c r="A1213" t="s">
        <v>8408</v>
      </c>
      <c r="B1213" t="s">
        <v>8495</v>
      </c>
      <c r="D1213" s="10" t="s">
        <v>8403</v>
      </c>
      <c r="F1213" s="10" t="s">
        <v>8490</v>
      </c>
      <c r="H1213" t="s">
        <v>67</v>
      </c>
      <c r="I1213" t="s">
        <v>5389</v>
      </c>
      <c r="J1213" t="s">
        <v>69</v>
      </c>
      <c r="K1213" t="s">
        <v>69</v>
      </c>
      <c r="L1213" t="s">
        <v>69</v>
      </c>
      <c r="M1213" s="2" t="s">
        <v>5390</v>
      </c>
      <c r="N1213" t="s">
        <v>69</v>
      </c>
      <c r="O1213" t="s">
        <v>69</v>
      </c>
      <c r="P1213" s="2" t="s">
        <v>5391</v>
      </c>
      <c r="Q1213" t="s">
        <v>5392</v>
      </c>
      <c r="R1213" t="s">
        <v>69</v>
      </c>
      <c r="S1213" t="s">
        <v>69</v>
      </c>
      <c r="T1213" t="s">
        <v>8505</v>
      </c>
      <c r="U1213" t="s">
        <v>8506</v>
      </c>
      <c r="V1213" t="s">
        <v>69</v>
      </c>
      <c r="W1213" t="s">
        <v>69</v>
      </c>
      <c r="X1213" t="s">
        <v>69</v>
      </c>
      <c r="Y1213" t="s">
        <v>69</v>
      </c>
      <c r="Z1213" t="s">
        <v>69</v>
      </c>
      <c r="AA1213" t="s">
        <v>28119</v>
      </c>
      <c r="AB1213" t="s">
        <v>69</v>
      </c>
      <c r="AC1213" t="s">
        <v>5393</v>
      </c>
      <c r="AD1213" t="s">
        <v>28120</v>
      </c>
      <c r="AE1213" t="s">
        <v>69</v>
      </c>
      <c r="AF1213" t="s">
        <v>28121</v>
      </c>
      <c r="AG1213" t="s">
        <v>28122</v>
      </c>
      <c r="AH1213" t="s">
        <v>69</v>
      </c>
      <c r="AI1213" t="s">
        <v>69</v>
      </c>
      <c r="AJ1213" t="s">
        <v>69</v>
      </c>
      <c r="AK1213" t="s">
        <v>69</v>
      </c>
      <c r="AL1213" t="s">
        <v>69</v>
      </c>
      <c r="AM1213" t="s">
        <v>69</v>
      </c>
      <c r="AN1213">
        <v>0</v>
      </c>
      <c r="AO1213">
        <v>0</v>
      </c>
      <c r="AP1213">
        <v>0</v>
      </c>
      <c r="AQ1213">
        <v>0</v>
      </c>
      <c r="AR1213">
        <v>41</v>
      </c>
      <c r="AS1213" t="s">
        <v>28123</v>
      </c>
      <c r="AT1213" t="s">
        <v>21297</v>
      </c>
      <c r="AU1213" t="s">
        <v>21298</v>
      </c>
      <c r="AV1213" t="s">
        <v>5394</v>
      </c>
      <c r="AW1213" t="s">
        <v>69</v>
      </c>
      <c r="AX1213" t="s">
        <v>69</v>
      </c>
      <c r="AY1213" t="s">
        <v>21299</v>
      </c>
      <c r="AZ1213" t="s">
        <v>21300</v>
      </c>
      <c r="BA1213" t="s">
        <v>69</v>
      </c>
      <c r="BB1213">
        <v>2010</v>
      </c>
      <c r="BC1213">
        <v>5</v>
      </c>
      <c r="BD1213">
        <v>3</v>
      </c>
      <c r="BE1213" t="s">
        <v>69</v>
      </c>
      <c r="BF1213" t="s">
        <v>69</v>
      </c>
      <c r="BG1213" t="s">
        <v>69</v>
      </c>
      <c r="BH1213" t="s">
        <v>69</v>
      </c>
      <c r="BI1213">
        <v>43</v>
      </c>
      <c r="BJ1213">
        <v>49</v>
      </c>
      <c r="BK1213" t="s">
        <v>69</v>
      </c>
      <c r="BL1213" t="s">
        <v>5395</v>
      </c>
      <c r="BM1213" t="str">
        <f>HYPERLINK("http://dx.doi.org/10.3992/jgb.5.3.43","http://dx.doi.org/10.3992/jgb.5.3.43")</f>
        <v>http://dx.doi.org/10.3992/jgb.5.3.43</v>
      </c>
      <c r="BN1213" t="s">
        <v>69</v>
      </c>
      <c r="BO1213" t="s">
        <v>69</v>
      </c>
      <c r="BP1213">
        <v>7</v>
      </c>
      <c r="BQ1213" t="s">
        <v>8449</v>
      </c>
      <c r="BR1213" t="s">
        <v>11207</v>
      </c>
      <c r="BS1213" t="s">
        <v>8449</v>
      </c>
      <c r="BT1213" t="s">
        <v>28124</v>
      </c>
      <c r="BU1213" t="s">
        <v>5396</v>
      </c>
      <c r="BV1213" t="s">
        <v>69</v>
      </c>
      <c r="BW1213" t="s">
        <v>8622</v>
      </c>
      <c r="BX1213" t="s">
        <v>69</v>
      </c>
      <c r="BY1213" t="s">
        <v>69</v>
      </c>
      <c r="BZ1213" t="s">
        <v>8526</v>
      </c>
      <c r="CA1213" t="str">
        <f>HYPERLINK("https%3A%2F%2Fwww.webofscience.com%2Fwos%2Fwoscc%2Ffull-record%2FWOS:000289345300004","View Full Record in Web of Science")</f>
        <v>View Full Record in Web of Science</v>
      </c>
    </row>
    <row r="1214" spans="1:79" ht="12.5" x14ac:dyDescent="0.25">
      <c r="B1214" t="s">
        <v>8495</v>
      </c>
      <c r="D1214" s="22" t="s">
        <v>32931</v>
      </c>
      <c r="E1214" s="7"/>
      <c r="F1214" s="7"/>
      <c r="G1214" s="7"/>
      <c r="H1214" t="s">
        <v>67</v>
      </c>
      <c r="I1214" t="s">
        <v>10911</v>
      </c>
      <c r="J1214" t="s">
        <v>69</v>
      </c>
      <c r="K1214" t="s">
        <v>69</v>
      </c>
      <c r="L1214" t="s">
        <v>69</v>
      </c>
      <c r="M1214" t="s">
        <v>10912</v>
      </c>
      <c r="N1214" t="s">
        <v>69</v>
      </c>
      <c r="O1214" t="s">
        <v>69</v>
      </c>
      <c r="P1214" t="s">
        <v>10913</v>
      </c>
      <c r="Q1214" t="s">
        <v>1222</v>
      </c>
      <c r="R1214" t="s">
        <v>69</v>
      </c>
      <c r="S1214" t="s">
        <v>69</v>
      </c>
      <c r="T1214" t="s">
        <v>8505</v>
      </c>
      <c r="U1214" t="s">
        <v>8506</v>
      </c>
      <c r="V1214" t="s">
        <v>69</v>
      </c>
      <c r="W1214" t="s">
        <v>69</v>
      </c>
      <c r="X1214" t="s">
        <v>69</v>
      </c>
      <c r="Y1214" t="s">
        <v>69</v>
      </c>
      <c r="Z1214" t="s">
        <v>69</v>
      </c>
      <c r="AA1214" t="s">
        <v>10914</v>
      </c>
      <c r="AB1214" t="s">
        <v>69</v>
      </c>
      <c r="AC1214" t="s">
        <v>10915</v>
      </c>
      <c r="AD1214" t="s">
        <v>10916</v>
      </c>
      <c r="AE1214" t="s">
        <v>69</v>
      </c>
      <c r="AF1214" t="s">
        <v>10917</v>
      </c>
      <c r="AG1214" t="s">
        <v>10918</v>
      </c>
      <c r="AH1214" t="s">
        <v>10919</v>
      </c>
      <c r="AI1214" t="s">
        <v>10920</v>
      </c>
      <c r="AJ1214" t="s">
        <v>10921</v>
      </c>
      <c r="AK1214" t="s">
        <v>10921</v>
      </c>
      <c r="AL1214" t="s">
        <v>10922</v>
      </c>
      <c r="AM1214" t="s">
        <v>69</v>
      </c>
      <c r="AN1214">
        <v>13</v>
      </c>
      <c r="AO1214">
        <v>0</v>
      </c>
      <c r="AP1214">
        <v>0</v>
      </c>
      <c r="AQ1214">
        <v>1</v>
      </c>
      <c r="AR1214">
        <v>1</v>
      </c>
      <c r="AS1214" t="s">
        <v>10923</v>
      </c>
      <c r="AT1214" t="s">
        <v>10924</v>
      </c>
      <c r="AU1214" t="s">
        <v>10925</v>
      </c>
      <c r="AV1214" t="s">
        <v>1224</v>
      </c>
      <c r="AW1214" t="s">
        <v>1225</v>
      </c>
      <c r="AX1214" t="s">
        <v>69</v>
      </c>
      <c r="AY1214" t="s">
        <v>10926</v>
      </c>
      <c r="AZ1214" t="s">
        <v>10927</v>
      </c>
      <c r="BA1214" t="s">
        <v>619</v>
      </c>
      <c r="BB1214">
        <v>2021</v>
      </c>
      <c r="BC1214">
        <v>27</v>
      </c>
      <c r="BD1214">
        <v>6</v>
      </c>
      <c r="BE1214" t="s">
        <v>69</v>
      </c>
      <c r="BF1214" t="s">
        <v>69</v>
      </c>
      <c r="BG1214" t="s">
        <v>114</v>
      </c>
      <c r="BH1214" t="s">
        <v>69</v>
      </c>
      <c r="BI1214">
        <v>539</v>
      </c>
      <c r="BJ1214">
        <v>545</v>
      </c>
      <c r="BK1214" t="s">
        <v>69</v>
      </c>
      <c r="BL1214" t="s">
        <v>10928</v>
      </c>
      <c r="BM1214" t="str">
        <f>HYPERLINK("http://dx.doi.org/10.1097/PHH.0000000000001197","http://dx.doi.org/10.1097/PHH.0000000000001197")</f>
        <v>http://dx.doi.org/10.1097/PHH.0000000000001197</v>
      </c>
      <c r="BN1214" t="s">
        <v>69</v>
      </c>
      <c r="BO1214" t="s">
        <v>69</v>
      </c>
      <c r="BP1214">
        <v>7</v>
      </c>
      <c r="BQ1214" t="s">
        <v>8810</v>
      </c>
      <c r="BR1214" t="s">
        <v>8661</v>
      </c>
      <c r="BS1214" t="s">
        <v>8810</v>
      </c>
      <c r="BT1214" t="s">
        <v>10929</v>
      </c>
      <c r="BU1214" t="s">
        <v>10930</v>
      </c>
      <c r="BV1214">
        <v>32496403</v>
      </c>
      <c r="BW1214" t="s">
        <v>69</v>
      </c>
      <c r="BX1214" t="s">
        <v>69</v>
      </c>
      <c r="BY1214" t="s">
        <v>69</v>
      </c>
      <c r="BZ1214" t="s">
        <v>8526</v>
      </c>
      <c r="CA1214" t="str">
        <f>HYPERLINK("https%3A%2F%2Fwww.webofscience.com%2Fwos%2Fwoscc%2Ffull-record%2FWOS:000713458500005","View Full Record in Web of Science")</f>
        <v>View Full Record in Web of Science</v>
      </c>
    </row>
    <row r="1215" spans="1:79" ht="12.5" x14ac:dyDescent="0.25">
      <c r="B1215" t="s">
        <v>8495</v>
      </c>
      <c r="D1215" s="7" t="s">
        <v>32933</v>
      </c>
      <c r="E1215" s="7"/>
      <c r="F1215" s="7"/>
      <c r="G1215" s="7"/>
      <c r="H1215" t="s">
        <v>67</v>
      </c>
      <c r="I1215" t="s">
        <v>3026</v>
      </c>
      <c r="J1215" t="s">
        <v>69</v>
      </c>
      <c r="K1215" t="s">
        <v>69</v>
      </c>
      <c r="L1215" t="s">
        <v>69</v>
      </c>
      <c r="M1215" t="s">
        <v>3027</v>
      </c>
      <c r="N1215" t="s">
        <v>69</v>
      </c>
      <c r="O1215" t="s">
        <v>69</v>
      </c>
      <c r="P1215" t="s">
        <v>3028</v>
      </c>
      <c r="Q1215" t="s">
        <v>3029</v>
      </c>
      <c r="R1215" t="s">
        <v>69</v>
      </c>
      <c r="S1215" t="s">
        <v>69</v>
      </c>
      <c r="T1215" t="s">
        <v>8505</v>
      </c>
      <c r="U1215" t="s">
        <v>8506</v>
      </c>
      <c r="V1215" t="s">
        <v>69</v>
      </c>
      <c r="W1215" t="s">
        <v>69</v>
      </c>
      <c r="X1215" t="s">
        <v>69</v>
      </c>
      <c r="Y1215" t="s">
        <v>69</v>
      </c>
      <c r="Z1215" t="s">
        <v>69</v>
      </c>
      <c r="AA1215" t="s">
        <v>22722</v>
      </c>
      <c r="AB1215" t="s">
        <v>22723</v>
      </c>
      <c r="AC1215" t="s">
        <v>3030</v>
      </c>
      <c r="AD1215" t="s">
        <v>22724</v>
      </c>
      <c r="AE1215" t="s">
        <v>69</v>
      </c>
      <c r="AF1215" t="s">
        <v>22725</v>
      </c>
      <c r="AG1215" t="s">
        <v>22726</v>
      </c>
      <c r="AH1215" t="s">
        <v>69</v>
      </c>
      <c r="AI1215" t="s">
        <v>69</v>
      </c>
      <c r="AJ1215" t="s">
        <v>69</v>
      </c>
      <c r="AK1215" t="s">
        <v>69</v>
      </c>
      <c r="AL1215" t="s">
        <v>69</v>
      </c>
      <c r="AM1215" t="s">
        <v>69</v>
      </c>
      <c r="AN1215">
        <v>67</v>
      </c>
      <c r="AO1215">
        <v>3</v>
      </c>
      <c r="AP1215">
        <v>3</v>
      </c>
      <c r="AQ1215">
        <v>1</v>
      </c>
      <c r="AR1215">
        <v>14</v>
      </c>
      <c r="AS1215" t="s">
        <v>9554</v>
      </c>
      <c r="AT1215" t="s">
        <v>9555</v>
      </c>
      <c r="AU1215" t="s">
        <v>9556</v>
      </c>
      <c r="AV1215" t="s">
        <v>3031</v>
      </c>
      <c r="AW1215" t="s">
        <v>3032</v>
      </c>
      <c r="AX1215" t="s">
        <v>69</v>
      </c>
      <c r="AY1215" t="s">
        <v>22727</v>
      </c>
      <c r="AZ1215" t="s">
        <v>22728</v>
      </c>
      <c r="BA1215" t="s">
        <v>155</v>
      </c>
      <c r="BB1215">
        <v>2015</v>
      </c>
      <c r="BC1215">
        <v>68</v>
      </c>
      <c r="BD1215">
        <v>2</v>
      </c>
      <c r="BE1215" t="s">
        <v>69</v>
      </c>
      <c r="BF1215" t="s">
        <v>69</v>
      </c>
      <c r="BG1215" t="s">
        <v>69</v>
      </c>
      <c r="BH1215" t="s">
        <v>69</v>
      </c>
      <c r="BI1215">
        <v>253</v>
      </c>
      <c r="BJ1215">
        <v>265</v>
      </c>
      <c r="BK1215" t="s">
        <v>69</v>
      </c>
      <c r="BL1215" t="s">
        <v>3033</v>
      </c>
      <c r="BM1215" t="str">
        <f>HYPERLINK("http://dx.doi.org/10.1177/1065912915578920","http://dx.doi.org/10.1177/1065912915578920")</f>
        <v>http://dx.doi.org/10.1177/1065912915578920</v>
      </c>
      <c r="BN1215" t="s">
        <v>69</v>
      </c>
      <c r="BO1215" t="s">
        <v>69</v>
      </c>
      <c r="BP1215">
        <v>13</v>
      </c>
      <c r="BQ1215" t="s">
        <v>13241</v>
      </c>
      <c r="BR1215" t="s">
        <v>8661</v>
      </c>
      <c r="BS1215" t="s">
        <v>10084</v>
      </c>
      <c r="BT1215" t="s">
        <v>22729</v>
      </c>
      <c r="BU1215" t="s">
        <v>3034</v>
      </c>
      <c r="BV1215" t="s">
        <v>69</v>
      </c>
      <c r="BW1215" t="s">
        <v>69</v>
      </c>
      <c r="BX1215" t="s">
        <v>69</v>
      </c>
      <c r="BY1215" t="s">
        <v>69</v>
      </c>
      <c r="BZ1215" t="s">
        <v>8526</v>
      </c>
      <c r="CA1215" t="str">
        <f>HYPERLINK("https%3A%2F%2Fwww.webofscience.com%2Fwos%2Fwoscc%2Ffull-record%2FWOS:000354862500004","View Full Record in Web of Science")</f>
        <v>View Full Record in Web of Science</v>
      </c>
    </row>
    <row r="1216" spans="1:79" ht="12.5" x14ac:dyDescent="0.25">
      <c r="B1216" t="s">
        <v>8495</v>
      </c>
      <c r="D1216" s="22" t="s">
        <v>32931</v>
      </c>
      <c r="E1216" s="7"/>
      <c r="F1216" s="7"/>
      <c r="G1216" s="7"/>
      <c r="H1216" t="s">
        <v>67</v>
      </c>
      <c r="I1216" t="s">
        <v>22009</v>
      </c>
      <c r="J1216" t="s">
        <v>69</v>
      </c>
      <c r="K1216" t="s">
        <v>69</v>
      </c>
      <c r="L1216" t="s">
        <v>69</v>
      </c>
      <c r="M1216" t="s">
        <v>22010</v>
      </c>
      <c r="N1216" t="s">
        <v>69</v>
      </c>
      <c r="O1216" t="s">
        <v>69</v>
      </c>
      <c r="P1216" t="s">
        <v>22011</v>
      </c>
      <c r="Q1216" t="s">
        <v>22012</v>
      </c>
      <c r="R1216" t="s">
        <v>69</v>
      </c>
      <c r="S1216" t="s">
        <v>69</v>
      </c>
      <c r="T1216" t="s">
        <v>8505</v>
      </c>
      <c r="U1216" t="s">
        <v>8506</v>
      </c>
      <c r="V1216" t="s">
        <v>69</v>
      </c>
      <c r="W1216" t="s">
        <v>69</v>
      </c>
      <c r="X1216" t="s">
        <v>69</v>
      </c>
      <c r="Y1216" t="s">
        <v>69</v>
      </c>
      <c r="Z1216" t="s">
        <v>69</v>
      </c>
      <c r="AA1216" t="s">
        <v>22013</v>
      </c>
      <c r="AB1216" t="s">
        <v>22014</v>
      </c>
      <c r="AC1216" t="s">
        <v>22015</v>
      </c>
      <c r="AD1216" t="s">
        <v>22016</v>
      </c>
      <c r="AE1216" t="s">
        <v>69</v>
      </c>
      <c r="AF1216" t="s">
        <v>22017</v>
      </c>
      <c r="AG1216" t="s">
        <v>22018</v>
      </c>
      <c r="AH1216" t="s">
        <v>22019</v>
      </c>
      <c r="AI1216" t="s">
        <v>22020</v>
      </c>
      <c r="AJ1216" t="s">
        <v>69</v>
      </c>
      <c r="AK1216" t="s">
        <v>69</v>
      </c>
      <c r="AL1216" t="s">
        <v>69</v>
      </c>
      <c r="AM1216" t="s">
        <v>69</v>
      </c>
      <c r="AN1216">
        <v>25</v>
      </c>
      <c r="AO1216">
        <v>0</v>
      </c>
      <c r="AP1216">
        <v>0</v>
      </c>
      <c r="AQ1216">
        <v>0</v>
      </c>
      <c r="AR1216">
        <v>5</v>
      </c>
      <c r="AS1216" t="s">
        <v>8611</v>
      </c>
      <c r="AT1216" t="s">
        <v>8612</v>
      </c>
      <c r="AU1216" t="s">
        <v>8613</v>
      </c>
      <c r="AV1216" t="s">
        <v>22021</v>
      </c>
      <c r="AW1216" t="s">
        <v>22022</v>
      </c>
      <c r="AX1216" t="s">
        <v>69</v>
      </c>
      <c r="AY1216" t="s">
        <v>22023</v>
      </c>
      <c r="AZ1216" t="s">
        <v>69</v>
      </c>
      <c r="BA1216" t="s">
        <v>69</v>
      </c>
      <c r="BB1216">
        <v>2016</v>
      </c>
      <c r="BC1216">
        <v>58</v>
      </c>
      <c r="BD1216">
        <v>3</v>
      </c>
      <c r="BE1216" t="s">
        <v>69</v>
      </c>
      <c r="BF1216" t="s">
        <v>69</v>
      </c>
      <c r="BG1216" t="s">
        <v>69</v>
      </c>
      <c r="BH1216" t="s">
        <v>69</v>
      </c>
      <c r="BI1216">
        <v>94</v>
      </c>
      <c r="BJ1216">
        <v>99</v>
      </c>
      <c r="BK1216" t="s">
        <v>69</v>
      </c>
      <c r="BL1216" t="s">
        <v>22024</v>
      </c>
      <c r="BM1216" t="str">
        <f>HYPERLINK("http://dx.doi.org/10.1080/20786190.2016.1187865","http://dx.doi.org/10.1080/20786190.2016.1187865")</f>
        <v>http://dx.doi.org/10.1080/20786190.2016.1187865</v>
      </c>
      <c r="BN1216" t="s">
        <v>69</v>
      </c>
      <c r="BO1216" t="s">
        <v>69</v>
      </c>
      <c r="BP1216">
        <v>6</v>
      </c>
      <c r="BQ1216" t="s">
        <v>9450</v>
      </c>
      <c r="BR1216" t="s">
        <v>8573</v>
      </c>
      <c r="BS1216" t="s">
        <v>9451</v>
      </c>
      <c r="BT1216" t="s">
        <v>22025</v>
      </c>
      <c r="BU1216" t="s">
        <v>22026</v>
      </c>
      <c r="BV1216" t="s">
        <v>69</v>
      </c>
      <c r="BW1216" t="s">
        <v>8622</v>
      </c>
      <c r="BX1216" t="s">
        <v>69</v>
      </c>
      <c r="BY1216" t="s">
        <v>69</v>
      </c>
      <c r="BZ1216" t="s">
        <v>8526</v>
      </c>
      <c r="CA1216" t="str">
        <f>HYPERLINK("https%3A%2F%2Fwww.webofscience.com%2Fwos%2Fwoscc%2Ffull-record%2FWOS:000380899100003","View Full Record in Web of Science")</f>
        <v>View Full Record in Web of Science</v>
      </c>
    </row>
    <row r="1217" spans="2:79" ht="12.5" x14ac:dyDescent="0.25">
      <c r="B1217" t="s">
        <v>8495</v>
      </c>
      <c r="D1217" s="22" t="s">
        <v>32931</v>
      </c>
      <c r="E1217" s="7"/>
      <c r="F1217" s="7"/>
      <c r="G1217" s="7"/>
      <c r="H1217" t="s">
        <v>67</v>
      </c>
      <c r="I1217" t="s">
        <v>25349</v>
      </c>
      <c r="J1217" t="s">
        <v>69</v>
      </c>
      <c r="K1217" t="s">
        <v>69</v>
      </c>
      <c r="L1217" t="s">
        <v>69</v>
      </c>
      <c r="M1217" t="s">
        <v>25350</v>
      </c>
      <c r="N1217" t="s">
        <v>69</v>
      </c>
      <c r="O1217" t="s">
        <v>69</v>
      </c>
      <c r="P1217" t="s">
        <v>25351</v>
      </c>
      <c r="Q1217" t="s">
        <v>25352</v>
      </c>
      <c r="R1217" t="s">
        <v>69</v>
      </c>
      <c r="S1217" t="s">
        <v>69</v>
      </c>
      <c r="T1217" t="s">
        <v>8505</v>
      </c>
      <c r="U1217" t="s">
        <v>8506</v>
      </c>
      <c r="V1217" t="s">
        <v>69</v>
      </c>
      <c r="W1217" t="s">
        <v>69</v>
      </c>
      <c r="X1217" t="s">
        <v>69</v>
      </c>
      <c r="Y1217" t="s">
        <v>69</v>
      </c>
      <c r="Z1217" t="s">
        <v>69</v>
      </c>
      <c r="AA1217" t="s">
        <v>25353</v>
      </c>
      <c r="AB1217" t="s">
        <v>25354</v>
      </c>
      <c r="AC1217" t="s">
        <v>25355</v>
      </c>
      <c r="AD1217" t="s">
        <v>25356</v>
      </c>
      <c r="AE1217" t="s">
        <v>69</v>
      </c>
      <c r="AF1217" t="s">
        <v>25357</v>
      </c>
      <c r="AG1217" t="s">
        <v>25358</v>
      </c>
      <c r="AH1217" t="s">
        <v>25359</v>
      </c>
      <c r="AI1217" t="s">
        <v>25360</v>
      </c>
      <c r="AJ1217" t="s">
        <v>69</v>
      </c>
      <c r="AK1217" t="s">
        <v>69</v>
      </c>
      <c r="AL1217" t="s">
        <v>69</v>
      </c>
      <c r="AM1217" t="s">
        <v>69</v>
      </c>
      <c r="AN1217">
        <v>17</v>
      </c>
      <c r="AO1217">
        <v>0</v>
      </c>
      <c r="AP1217">
        <v>0</v>
      </c>
      <c r="AQ1217">
        <v>0</v>
      </c>
      <c r="AR1217">
        <v>0</v>
      </c>
      <c r="AS1217" t="s">
        <v>25361</v>
      </c>
      <c r="AT1217" t="s">
        <v>25362</v>
      </c>
      <c r="AU1217" t="s">
        <v>25363</v>
      </c>
      <c r="AV1217" t="s">
        <v>25364</v>
      </c>
      <c r="AW1217" t="s">
        <v>69</v>
      </c>
      <c r="AX1217" t="s">
        <v>69</v>
      </c>
      <c r="AY1217" t="s">
        <v>25352</v>
      </c>
      <c r="AZ1217" t="s">
        <v>25365</v>
      </c>
      <c r="BA1217" t="s">
        <v>69</v>
      </c>
      <c r="BB1217">
        <v>2013</v>
      </c>
      <c r="BC1217" t="s">
        <v>69</v>
      </c>
      <c r="BD1217">
        <v>1</v>
      </c>
      <c r="BE1217" t="s">
        <v>69</v>
      </c>
      <c r="BF1217" t="s">
        <v>69</v>
      </c>
      <c r="BG1217" t="s">
        <v>69</v>
      </c>
      <c r="BH1217" t="s">
        <v>69</v>
      </c>
      <c r="BI1217" t="s">
        <v>69</v>
      </c>
      <c r="BJ1217" t="s">
        <v>69</v>
      </c>
      <c r="BK1217">
        <v>1</v>
      </c>
      <c r="BL1217" t="s">
        <v>25366</v>
      </c>
      <c r="BM1217" t="str">
        <f>HYPERLINK("http://dx.doi.org/10.5339/avi.2013.1","http://dx.doi.org/10.5339/avi.2013.1")</f>
        <v>http://dx.doi.org/10.5339/avi.2013.1</v>
      </c>
      <c r="BN1217" t="s">
        <v>69</v>
      </c>
      <c r="BO1217" t="s">
        <v>69</v>
      </c>
      <c r="BP1217">
        <v>5</v>
      </c>
      <c r="BQ1217" t="s">
        <v>9208</v>
      </c>
      <c r="BR1217" t="s">
        <v>8573</v>
      </c>
      <c r="BS1217" t="s">
        <v>9209</v>
      </c>
      <c r="BT1217" t="s">
        <v>25367</v>
      </c>
      <c r="BU1217" t="s">
        <v>25368</v>
      </c>
      <c r="BV1217" t="s">
        <v>69</v>
      </c>
      <c r="BW1217" t="s">
        <v>69</v>
      </c>
      <c r="BX1217" t="s">
        <v>69</v>
      </c>
      <c r="BY1217" t="s">
        <v>69</v>
      </c>
      <c r="BZ1217" t="s">
        <v>8526</v>
      </c>
      <c r="CA1217" t="str">
        <f>HYPERLINK("https%3A%2F%2Fwww.webofscience.com%2Fwos%2Fwoscc%2Ffull-record%2FWOS:000218921800001","View Full Record in Web of Science")</f>
        <v>View Full Record in Web of Science</v>
      </c>
    </row>
    <row r="1218" spans="2:79" ht="12.5" x14ac:dyDescent="0.25">
      <c r="B1218" t="s">
        <v>8495</v>
      </c>
      <c r="D1218" s="22" t="s">
        <v>32931</v>
      </c>
      <c r="E1218" s="7"/>
      <c r="F1218" s="7"/>
      <c r="G1218" s="7"/>
      <c r="H1218" t="s">
        <v>67</v>
      </c>
      <c r="I1218" t="s">
        <v>31630</v>
      </c>
      <c r="J1218" t="s">
        <v>69</v>
      </c>
      <c r="K1218" t="s">
        <v>69</v>
      </c>
      <c r="L1218" t="s">
        <v>69</v>
      </c>
      <c r="M1218" t="s">
        <v>31630</v>
      </c>
      <c r="N1218" t="s">
        <v>69</v>
      </c>
      <c r="O1218" t="s">
        <v>69</v>
      </c>
      <c r="P1218" t="s">
        <v>31631</v>
      </c>
      <c r="Q1218" t="s">
        <v>31632</v>
      </c>
      <c r="R1218" t="s">
        <v>69</v>
      </c>
      <c r="S1218" t="s">
        <v>69</v>
      </c>
      <c r="T1218" t="s">
        <v>8505</v>
      </c>
      <c r="U1218" t="s">
        <v>15797</v>
      </c>
      <c r="V1218" t="s">
        <v>31633</v>
      </c>
      <c r="W1218" t="s">
        <v>31634</v>
      </c>
      <c r="X1218" t="s">
        <v>31635</v>
      </c>
      <c r="Y1218" t="s">
        <v>31636</v>
      </c>
      <c r="Z1218" t="s">
        <v>69</v>
      </c>
      <c r="AA1218" t="s">
        <v>31637</v>
      </c>
      <c r="AB1218" t="s">
        <v>31638</v>
      </c>
      <c r="AC1218" t="s">
        <v>31639</v>
      </c>
      <c r="AD1218" t="s">
        <v>31640</v>
      </c>
      <c r="AE1218" t="s">
        <v>69</v>
      </c>
      <c r="AF1218" t="s">
        <v>31641</v>
      </c>
      <c r="AG1218" t="s">
        <v>69</v>
      </c>
      <c r="AH1218" t="s">
        <v>69</v>
      </c>
      <c r="AI1218" t="s">
        <v>69</v>
      </c>
      <c r="AJ1218" t="s">
        <v>69</v>
      </c>
      <c r="AK1218" t="s">
        <v>69</v>
      </c>
      <c r="AL1218" t="s">
        <v>69</v>
      </c>
      <c r="AM1218" t="s">
        <v>69</v>
      </c>
      <c r="AN1218">
        <v>8</v>
      </c>
      <c r="AO1218">
        <v>19</v>
      </c>
      <c r="AP1218">
        <v>19</v>
      </c>
      <c r="AQ1218">
        <v>0</v>
      </c>
      <c r="AR1218">
        <v>0</v>
      </c>
      <c r="AS1218" t="s">
        <v>31642</v>
      </c>
      <c r="AT1218" t="s">
        <v>10924</v>
      </c>
      <c r="AU1218" t="s">
        <v>31643</v>
      </c>
      <c r="AV1218" t="s">
        <v>31644</v>
      </c>
      <c r="AW1218" t="s">
        <v>69</v>
      </c>
      <c r="AX1218" t="s">
        <v>69</v>
      </c>
      <c r="AY1218" t="s">
        <v>31645</v>
      </c>
      <c r="AZ1218" t="s">
        <v>31646</v>
      </c>
      <c r="BA1218" t="s">
        <v>191</v>
      </c>
      <c r="BB1218">
        <v>2001</v>
      </c>
      <c r="BC1218">
        <v>36</v>
      </c>
      <c r="BD1218">
        <v>2</v>
      </c>
      <c r="BE1218" t="s">
        <v>69</v>
      </c>
      <c r="BF1218" t="s">
        <v>69</v>
      </c>
      <c r="BG1218" t="s">
        <v>69</v>
      </c>
      <c r="BH1218" t="s">
        <v>69</v>
      </c>
      <c r="BI1218">
        <v>312</v>
      </c>
      <c r="BJ1218">
        <v>315</v>
      </c>
      <c r="BK1218" t="s">
        <v>69</v>
      </c>
      <c r="BL1218" t="s">
        <v>31647</v>
      </c>
      <c r="BM1218" t="str">
        <f>HYPERLINK("http://dx.doi.org/10.1053/jpsu.2001.20704","http://dx.doi.org/10.1053/jpsu.2001.20704")</f>
        <v>http://dx.doi.org/10.1053/jpsu.2001.20704</v>
      </c>
      <c r="BN1218" t="s">
        <v>69</v>
      </c>
      <c r="BO1218" t="s">
        <v>69</v>
      </c>
      <c r="BP1218">
        <v>4</v>
      </c>
      <c r="BQ1218" t="s">
        <v>31648</v>
      </c>
      <c r="BR1218" t="s">
        <v>29550</v>
      </c>
      <c r="BS1218" t="s">
        <v>31648</v>
      </c>
      <c r="BT1218" t="s">
        <v>31649</v>
      </c>
      <c r="BU1218" t="s">
        <v>31650</v>
      </c>
      <c r="BV1218">
        <v>11172423</v>
      </c>
      <c r="BW1218" t="s">
        <v>69</v>
      </c>
      <c r="BX1218" t="s">
        <v>69</v>
      </c>
      <c r="BY1218" t="s">
        <v>69</v>
      </c>
      <c r="BZ1218" t="s">
        <v>8526</v>
      </c>
      <c r="CA1218" t="str">
        <f>HYPERLINK("https%3A%2F%2Fwww.webofscience.com%2Fwos%2Fwoscc%2Ffull-record%2FWOS:000166697800024","View Full Record in Web of Science")</f>
        <v>View Full Record in Web of Science</v>
      </c>
    </row>
    <row r="1219" spans="2:79" ht="12.5" x14ac:dyDescent="0.25">
      <c r="B1219" t="s">
        <v>8495</v>
      </c>
      <c r="D1219" s="22" t="s">
        <v>32931</v>
      </c>
      <c r="E1219" s="7"/>
      <c r="F1219" s="7"/>
      <c r="G1219" s="7"/>
      <c r="H1219" t="s">
        <v>67</v>
      </c>
      <c r="I1219" t="s">
        <v>22270</v>
      </c>
      <c r="J1219" t="s">
        <v>69</v>
      </c>
      <c r="K1219" t="s">
        <v>69</v>
      </c>
      <c r="L1219" t="s">
        <v>69</v>
      </c>
      <c r="M1219" t="s">
        <v>22271</v>
      </c>
      <c r="N1219" t="s">
        <v>69</v>
      </c>
      <c r="O1219" t="s">
        <v>69</v>
      </c>
      <c r="P1219" t="s">
        <v>22272</v>
      </c>
      <c r="Q1219" t="s">
        <v>22273</v>
      </c>
      <c r="R1219" t="s">
        <v>69</v>
      </c>
      <c r="S1219" t="s">
        <v>69</v>
      </c>
      <c r="T1219" t="s">
        <v>8505</v>
      </c>
      <c r="U1219" t="s">
        <v>8506</v>
      </c>
      <c r="V1219" t="s">
        <v>69</v>
      </c>
      <c r="W1219" t="s">
        <v>69</v>
      </c>
      <c r="X1219" t="s">
        <v>69</v>
      </c>
      <c r="Y1219" t="s">
        <v>69</v>
      </c>
      <c r="Z1219" t="s">
        <v>69</v>
      </c>
      <c r="AA1219" t="s">
        <v>22274</v>
      </c>
      <c r="AB1219" t="s">
        <v>22275</v>
      </c>
      <c r="AC1219" t="s">
        <v>22276</v>
      </c>
      <c r="AD1219" t="s">
        <v>22277</v>
      </c>
      <c r="AE1219" t="s">
        <v>69</v>
      </c>
      <c r="AF1219" t="s">
        <v>22278</v>
      </c>
      <c r="AG1219" t="s">
        <v>22279</v>
      </c>
      <c r="AH1219" t="s">
        <v>22280</v>
      </c>
      <c r="AI1219" t="s">
        <v>22281</v>
      </c>
      <c r="AJ1219" t="s">
        <v>69</v>
      </c>
      <c r="AK1219" t="s">
        <v>69</v>
      </c>
      <c r="AL1219" t="s">
        <v>69</v>
      </c>
      <c r="AM1219" t="s">
        <v>69</v>
      </c>
      <c r="AN1219">
        <v>60</v>
      </c>
      <c r="AO1219">
        <v>6</v>
      </c>
      <c r="AP1219">
        <v>6</v>
      </c>
      <c r="AQ1219">
        <v>1</v>
      </c>
      <c r="AR1219">
        <v>17</v>
      </c>
      <c r="AS1219" t="s">
        <v>22282</v>
      </c>
      <c r="AT1219" t="s">
        <v>22283</v>
      </c>
      <c r="AU1219" t="s">
        <v>22284</v>
      </c>
      <c r="AV1219" t="s">
        <v>22285</v>
      </c>
      <c r="AW1219" t="s">
        <v>22286</v>
      </c>
      <c r="AX1219" t="s">
        <v>69</v>
      </c>
      <c r="AY1219" t="s">
        <v>22287</v>
      </c>
      <c r="AZ1219" t="s">
        <v>22288</v>
      </c>
      <c r="BA1219" t="s">
        <v>69</v>
      </c>
      <c r="BB1219">
        <v>2016</v>
      </c>
      <c r="BC1219">
        <v>24</v>
      </c>
      <c r="BD1219">
        <v>1</v>
      </c>
      <c r="BE1219" t="s">
        <v>69</v>
      </c>
      <c r="BF1219" t="s">
        <v>69</v>
      </c>
      <c r="BG1219" t="s">
        <v>69</v>
      </c>
      <c r="BH1219" t="s">
        <v>69</v>
      </c>
      <c r="BI1219">
        <v>31</v>
      </c>
      <c r="BJ1219">
        <v>51</v>
      </c>
      <c r="BK1219" t="s">
        <v>69</v>
      </c>
      <c r="BL1219" t="s">
        <v>22289</v>
      </c>
      <c r="BM1219" t="str">
        <f>HYPERLINK("http://dx.doi.org/10.1080/09669582.2015.1042484","http://dx.doi.org/10.1080/09669582.2015.1042484")</f>
        <v>http://dx.doi.org/10.1080/09669582.2015.1042484</v>
      </c>
      <c r="BN1219" t="s">
        <v>69</v>
      </c>
      <c r="BO1219" t="s">
        <v>69</v>
      </c>
      <c r="BP1219">
        <v>21</v>
      </c>
      <c r="BQ1219" t="s">
        <v>22290</v>
      </c>
      <c r="BR1219" t="s">
        <v>8661</v>
      </c>
      <c r="BS1219" t="s">
        <v>22291</v>
      </c>
      <c r="BT1219" t="s">
        <v>22292</v>
      </c>
      <c r="BU1219" t="s">
        <v>22293</v>
      </c>
      <c r="BV1219" t="s">
        <v>69</v>
      </c>
      <c r="BW1219" t="s">
        <v>9292</v>
      </c>
      <c r="BX1219" t="s">
        <v>69</v>
      </c>
      <c r="BY1219" t="s">
        <v>69</v>
      </c>
      <c r="BZ1219" t="s">
        <v>8526</v>
      </c>
      <c r="CA1219" t="str">
        <f>HYPERLINK("https%3A%2F%2Fwww.webofscience.com%2Fwos%2Fwoscc%2Ffull-record%2FWOS:000365762200003","View Full Record in Web of Science")</f>
        <v>View Full Record in Web of Science</v>
      </c>
    </row>
    <row r="1220" spans="2:79" ht="12.5" x14ac:dyDescent="0.25">
      <c r="B1220" t="s">
        <v>8495</v>
      </c>
      <c r="D1220" s="22" t="s">
        <v>32931</v>
      </c>
      <c r="E1220" s="7"/>
      <c r="F1220" s="7"/>
      <c r="G1220" s="7"/>
      <c r="H1220" t="s">
        <v>67</v>
      </c>
      <c r="I1220" t="s">
        <v>14445</v>
      </c>
      <c r="J1220" t="s">
        <v>69</v>
      </c>
      <c r="K1220" t="s">
        <v>69</v>
      </c>
      <c r="L1220" t="s">
        <v>69</v>
      </c>
      <c r="M1220" t="s">
        <v>14446</v>
      </c>
      <c r="N1220" t="s">
        <v>69</v>
      </c>
      <c r="O1220" t="s">
        <v>69</v>
      </c>
      <c r="P1220" t="s">
        <v>14447</v>
      </c>
      <c r="Q1220" t="s">
        <v>14448</v>
      </c>
      <c r="R1220" t="s">
        <v>69</v>
      </c>
      <c r="S1220" t="s">
        <v>69</v>
      </c>
      <c r="T1220" t="s">
        <v>8505</v>
      </c>
      <c r="U1220" t="s">
        <v>8506</v>
      </c>
      <c r="V1220" t="s">
        <v>69</v>
      </c>
      <c r="W1220" t="s">
        <v>69</v>
      </c>
      <c r="X1220" t="s">
        <v>69</v>
      </c>
      <c r="Y1220" t="s">
        <v>69</v>
      </c>
      <c r="Z1220" t="s">
        <v>69</v>
      </c>
      <c r="AA1220" t="s">
        <v>14449</v>
      </c>
      <c r="AB1220" t="s">
        <v>14450</v>
      </c>
      <c r="AC1220" t="s">
        <v>14451</v>
      </c>
      <c r="AD1220" t="s">
        <v>14452</v>
      </c>
      <c r="AE1220" t="s">
        <v>69</v>
      </c>
      <c r="AF1220" t="s">
        <v>14453</v>
      </c>
      <c r="AG1220" t="s">
        <v>14454</v>
      </c>
      <c r="AH1220" t="s">
        <v>14455</v>
      </c>
      <c r="AI1220" t="s">
        <v>14456</v>
      </c>
      <c r="AJ1220" t="s">
        <v>69</v>
      </c>
      <c r="AK1220" t="s">
        <v>69</v>
      </c>
      <c r="AL1220" t="s">
        <v>69</v>
      </c>
      <c r="AM1220" t="s">
        <v>69</v>
      </c>
      <c r="AN1220">
        <v>13</v>
      </c>
      <c r="AO1220">
        <v>0</v>
      </c>
      <c r="AP1220">
        <v>0</v>
      </c>
      <c r="AQ1220">
        <v>2</v>
      </c>
      <c r="AR1220">
        <v>2</v>
      </c>
      <c r="AS1220" t="s">
        <v>14457</v>
      </c>
      <c r="AT1220" t="s">
        <v>14458</v>
      </c>
      <c r="AU1220" t="s">
        <v>14459</v>
      </c>
      <c r="AV1220" t="s">
        <v>69</v>
      </c>
      <c r="AW1220" t="s">
        <v>14460</v>
      </c>
      <c r="AX1220" t="s">
        <v>69</v>
      </c>
      <c r="AY1220" t="s">
        <v>14461</v>
      </c>
      <c r="AZ1220" t="s">
        <v>14462</v>
      </c>
      <c r="BA1220" t="s">
        <v>255</v>
      </c>
      <c r="BB1220">
        <v>2020</v>
      </c>
      <c r="BC1220">
        <v>11</v>
      </c>
      <c r="BD1220">
        <v>5</v>
      </c>
      <c r="BE1220" t="s">
        <v>69</v>
      </c>
      <c r="BF1220" t="s">
        <v>69</v>
      </c>
      <c r="BG1220" t="s">
        <v>69</v>
      </c>
      <c r="BH1220" t="s">
        <v>69</v>
      </c>
      <c r="BI1220">
        <v>453</v>
      </c>
      <c r="BJ1220">
        <v>456</v>
      </c>
      <c r="BK1220" t="s">
        <v>69</v>
      </c>
      <c r="BL1220" t="s">
        <v>14463</v>
      </c>
      <c r="BM1220" t="str">
        <f>HYPERLINK("http://dx.doi.org/10.4328/ACAM.20249","http://dx.doi.org/10.4328/ACAM.20249")</f>
        <v>http://dx.doi.org/10.4328/ACAM.20249</v>
      </c>
      <c r="BN1220" t="s">
        <v>69</v>
      </c>
      <c r="BO1220" t="s">
        <v>69</v>
      </c>
      <c r="BP1220">
        <v>4</v>
      </c>
      <c r="BQ1220" t="s">
        <v>9450</v>
      </c>
      <c r="BR1220" t="s">
        <v>8573</v>
      </c>
      <c r="BS1220" t="s">
        <v>9451</v>
      </c>
      <c r="BT1220" t="s">
        <v>14464</v>
      </c>
      <c r="BU1220" t="s">
        <v>14465</v>
      </c>
      <c r="BV1220" t="s">
        <v>69</v>
      </c>
      <c r="BW1220" t="s">
        <v>11853</v>
      </c>
      <c r="BX1220" t="s">
        <v>69</v>
      </c>
      <c r="BY1220" t="s">
        <v>69</v>
      </c>
      <c r="BZ1220" t="s">
        <v>8526</v>
      </c>
      <c r="CA1220" t="str">
        <f>HYPERLINK("https%3A%2F%2Fwww.webofscience.com%2Fwos%2Fwoscc%2Ffull-record%2FWOS:000572684300019","View Full Record in Web of Science")</f>
        <v>View Full Record in Web of Science</v>
      </c>
    </row>
    <row r="1221" spans="2:79" ht="12.5" x14ac:dyDescent="0.25">
      <c r="B1221" t="s">
        <v>8495</v>
      </c>
      <c r="D1221" s="22" t="s">
        <v>32931</v>
      </c>
      <c r="E1221" s="7"/>
      <c r="F1221" s="7"/>
      <c r="G1221" s="7"/>
      <c r="H1221" t="s">
        <v>67</v>
      </c>
      <c r="I1221" t="s">
        <v>22730</v>
      </c>
      <c r="J1221" t="s">
        <v>69</v>
      </c>
      <c r="K1221" t="s">
        <v>69</v>
      </c>
      <c r="L1221" t="s">
        <v>69</v>
      </c>
      <c r="M1221" t="s">
        <v>22731</v>
      </c>
      <c r="N1221" t="s">
        <v>69</v>
      </c>
      <c r="O1221" t="s">
        <v>69</v>
      </c>
      <c r="P1221" t="s">
        <v>22732</v>
      </c>
      <c r="Q1221" t="s">
        <v>20342</v>
      </c>
      <c r="R1221" t="s">
        <v>69</v>
      </c>
      <c r="S1221" t="s">
        <v>69</v>
      </c>
      <c r="T1221" t="s">
        <v>8505</v>
      </c>
      <c r="U1221" t="s">
        <v>8506</v>
      </c>
      <c r="V1221" t="s">
        <v>69</v>
      </c>
      <c r="W1221" t="s">
        <v>69</v>
      </c>
      <c r="X1221" t="s">
        <v>69</v>
      </c>
      <c r="Y1221" t="s">
        <v>69</v>
      </c>
      <c r="Z1221" t="s">
        <v>69</v>
      </c>
      <c r="AA1221" t="s">
        <v>69</v>
      </c>
      <c r="AB1221" t="s">
        <v>69</v>
      </c>
      <c r="AC1221" t="s">
        <v>22733</v>
      </c>
      <c r="AD1221" t="s">
        <v>22734</v>
      </c>
      <c r="AE1221" t="s">
        <v>69</v>
      </c>
      <c r="AF1221" t="s">
        <v>22735</v>
      </c>
      <c r="AG1221" t="s">
        <v>22736</v>
      </c>
      <c r="AH1221" t="s">
        <v>69</v>
      </c>
      <c r="AI1221" t="s">
        <v>69</v>
      </c>
      <c r="AJ1221" t="s">
        <v>69</v>
      </c>
      <c r="AK1221" t="s">
        <v>69</v>
      </c>
      <c r="AL1221" t="s">
        <v>69</v>
      </c>
      <c r="AM1221" t="s">
        <v>69</v>
      </c>
      <c r="AN1221">
        <v>7</v>
      </c>
      <c r="AO1221">
        <v>6</v>
      </c>
      <c r="AP1221">
        <v>6</v>
      </c>
      <c r="AQ1221">
        <v>0</v>
      </c>
      <c r="AR1221">
        <v>2</v>
      </c>
      <c r="AS1221" t="s">
        <v>8846</v>
      </c>
      <c r="AT1221" t="s">
        <v>8847</v>
      </c>
      <c r="AU1221" t="s">
        <v>8848</v>
      </c>
      <c r="AV1221" t="s">
        <v>20349</v>
      </c>
      <c r="AW1221" t="s">
        <v>20350</v>
      </c>
      <c r="AX1221" t="s">
        <v>69</v>
      </c>
      <c r="AY1221" t="s">
        <v>20351</v>
      </c>
      <c r="AZ1221" t="s">
        <v>20352</v>
      </c>
      <c r="BA1221" t="s">
        <v>155</v>
      </c>
      <c r="BB1221">
        <v>2015</v>
      </c>
      <c r="BC1221">
        <v>12</v>
      </c>
      <c r="BD1221">
        <v>3</v>
      </c>
      <c r="BE1221" t="s">
        <v>69</v>
      </c>
      <c r="BF1221" t="s">
        <v>69</v>
      </c>
      <c r="BG1221" t="s">
        <v>69</v>
      </c>
      <c r="BH1221" t="s">
        <v>69</v>
      </c>
      <c r="BI1221">
        <v>193</v>
      </c>
      <c r="BJ1221">
        <v>196</v>
      </c>
      <c r="BK1221" t="s">
        <v>69</v>
      </c>
      <c r="BL1221" t="s">
        <v>22737</v>
      </c>
      <c r="BM1221" t="str">
        <f>HYPERLINK("http://dx.doi.org/10.1111/tct.12292","http://dx.doi.org/10.1111/tct.12292")</f>
        <v>http://dx.doi.org/10.1111/tct.12292</v>
      </c>
      <c r="BN1221" t="s">
        <v>69</v>
      </c>
      <c r="BO1221" t="s">
        <v>69</v>
      </c>
      <c r="BP1221">
        <v>4</v>
      </c>
      <c r="BQ1221" t="s">
        <v>20354</v>
      </c>
      <c r="BR1221" t="s">
        <v>8573</v>
      </c>
      <c r="BS1221" t="s">
        <v>20355</v>
      </c>
      <c r="BT1221" t="s">
        <v>22738</v>
      </c>
      <c r="BU1221" t="s">
        <v>22739</v>
      </c>
      <c r="BV1221">
        <v>26009955</v>
      </c>
      <c r="BW1221" t="s">
        <v>69</v>
      </c>
      <c r="BX1221" t="s">
        <v>69</v>
      </c>
      <c r="BY1221" t="s">
        <v>69</v>
      </c>
      <c r="BZ1221" t="s">
        <v>8526</v>
      </c>
      <c r="CA1221" t="str">
        <f>HYPERLINK("https%3A%2F%2Fwww.webofscience.com%2Fwos%2Fwoscc%2Ffull-record%2FWOS:000213000800010","View Full Record in Web of Science")</f>
        <v>View Full Record in Web of Science</v>
      </c>
    </row>
    <row r="1222" spans="2:79" ht="12.5" x14ac:dyDescent="0.25">
      <c r="B1222" t="s">
        <v>8495</v>
      </c>
      <c r="D1222" s="22" t="s">
        <v>32931</v>
      </c>
      <c r="E1222" s="7"/>
      <c r="F1222" s="7"/>
      <c r="G1222" s="7"/>
      <c r="H1222" t="s">
        <v>67</v>
      </c>
      <c r="I1222" t="s">
        <v>9991</v>
      </c>
      <c r="J1222" t="s">
        <v>69</v>
      </c>
      <c r="K1222" t="s">
        <v>69</v>
      </c>
      <c r="L1222" t="s">
        <v>69</v>
      </c>
      <c r="M1222" t="s">
        <v>9992</v>
      </c>
      <c r="N1222" t="s">
        <v>69</v>
      </c>
      <c r="O1222" t="s">
        <v>69</v>
      </c>
      <c r="P1222" t="s">
        <v>9993</v>
      </c>
      <c r="Q1222" t="s">
        <v>9994</v>
      </c>
      <c r="R1222" t="s">
        <v>69</v>
      </c>
      <c r="S1222" t="s">
        <v>69</v>
      </c>
      <c r="T1222" t="s">
        <v>8505</v>
      </c>
      <c r="U1222" t="s">
        <v>8506</v>
      </c>
      <c r="V1222" t="s">
        <v>69</v>
      </c>
      <c r="W1222" t="s">
        <v>69</v>
      </c>
      <c r="X1222" t="s">
        <v>69</v>
      </c>
      <c r="Y1222" t="s">
        <v>69</v>
      </c>
      <c r="Z1222" t="s">
        <v>69</v>
      </c>
      <c r="AA1222" t="s">
        <v>9995</v>
      </c>
      <c r="AB1222" t="s">
        <v>9996</v>
      </c>
      <c r="AC1222" t="s">
        <v>9997</v>
      </c>
      <c r="AD1222" t="s">
        <v>9998</v>
      </c>
      <c r="AE1222" t="s">
        <v>69</v>
      </c>
      <c r="AF1222" t="s">
        <v>9999</v>
      </c>
      <c r="AG1222" t="s">
        <v>10000</v>
      </c>
      <c r="AH1222" t="s">
        <v>69</v>
      </c>
      <c r="AI1222" t="s">
        <v>10001</v>
      </c>
      <c r="AJ1222" t="s">
        <v>69</v>
      </c>
      <c r="AK1222" t="s">
        <v>69</v>
      </c>
      <c r="AL1222" t="s">
        <v>69</v>
      </c>
      <c r="AM1222" t="s">
        <v>69</v>
      </c>
      <c r="AN1222">
        <v>58</v>
      </c>
      <c r="AO1222">
        <v>0</v>
      </c>
      <c r="AP1222">
        <v>0</v>
      </c>
      <c r="AQ1222">
        <v>0</v>
      </c>
      <c r="AR1222">
        <v>0</v>
      </c>
      <c r="AS1222" t="s">
        <v>8846</v>
      </c>
      <c r="AT1222" t="s">
        <v>8847</v>
      </c>
      <c r="AU1222" t="s">
        <v>8848</v>
      </c>
      <c r="AV1222" t="s">
        <v>10002</v>
      </c>
      <c r="AW1222" t="s">
        <v>10003</v>
      </c>
      <c r="AX1222" t="s">
        <v>69</v>
      </c>
      <c r="AY1222" t="s">
        <v>10004</v>
      </c>
      <c r="AZ1222" t="s">
        <v>10005</v>
      </c>
      <c r="BA1222" t="s">
        <v>246</v>
      </c>
      <c r="BB1222">
        <v>2022</v>
      </c>
      <c r="BC1222">
        <v>63</v>
      </c>
      <c r="BD1222">
        <v>2</v>
      </c>
      <c r="BE1222" t="s">
        <v>69</v>
      </c>
      <c r="BF1222" t="s">
        <v>69</v>
      </c>
      <c r="BG1222" t="s">
        <v>69</v>
      </c>
      <c r="BH1222" t="s">
        <v>69</v>
      </c>
      <c r="BI1222">
        <v>109</v>
      </c>
      <c r="BJ1222">
        <v>123</v>
      </c>
      <c r="BK1222" t="s">
        <v>69</v>
      </c>
      <c r="BL1222" t="s">
        <v>10006</v>
      </c>
      <c r="BM1222" t="str">
        <f>HYPERLINK("http://dx.doi.org/10.1111/sjop.12793","http://dx.doi.org/10.1111/sjop.12793")</f>
        <v>http://dx.doi.org/10.1111/sjop.12793</v>
      </c>
      <c r="BN1222" t="s">
        <v>69</v>
      </c>
      <c r="BO1222" t="s">
        <v>9987</v>
      </c>
      <c r="BP1222">
        <v>15</v>
      </c>
      <c r="BQ1222" t="s">
        <v>9000</v>
      </c>
      <c r="BR1222" t="s">
        <v>8661</v>
      </c>
      <c r="BS1222" t="s">
        <v>9001</v>
      </c>
      <c r="BT1222" t="s">
        <v>10007</v>
      </c>
      <c r="BU1222" t="s">
        <v>10008</v>
      </c>
      <c r="BV1222">
        <v>35041212</v>
      </c>
      <c r="BW1222" t="s">
        <v>69</v>
      </c>
      <c r="BX1222" t="s">
        <v>69</v>
      </c>
      <c r="BY1222" t="s">
        <v>69</v>
      </c>
      <c r="BZ1222" t="s">
        <v>8526</v>
      </c>
      <c r="CA1222" t="str">
        <f>HYPERLINK("https%3A%2F%2Fwww.webofscience.com%2Fwos%2Fwoscc%2Ffull-record%2FWOS:000743651100001","View Full Record in Web of Science")</f>
        <v>View Full Record in Web of Science</v>
      </c>
    </row>
    <row r="1223" spans="2:79" ht="12.5" x14ac:dyDescent="0.25">
      <c r="B1223" t="s">
        <v>8495</v>
      </c>
      <c r="D1223" s="22" t="s">
        <v>32931</v>
      </c>
      <c r="E1223" s="7"/>
      <c r="F1223" s="7"/>
      <c r="G1223" s="7"/>
      <c r="H1223" t="s">
        <v>67</v>
      </c>
      <c r="I1223" t="s">
        <v>26466</v>
      </c>
      <c r="J1223" t="s">
        <v>69</v>
      </c>
      <c r="K1223" t="s">
        <v>69</v>
      </c>
      <c r="L1223" t="s">
        <v>69</v>
      </c>
      <c r="M1223" t="s">
        <v>26467</v>
      </c>
      <c r="N1223" t="s">
        <v>69</v>
      </c>
      <c r="O1223" t="s">
        <v>69</v>
      </c>
      <c r="P1223" t="s">
        <v>26468</v>
      </c>
      <c r="Q1223" t="s">
        <v>26469</v>
      </c>
      <c r="R1223" t="s">
        <v>69</v>
      </c>
      <c r="S1223" t="s">
        <v>69</v>
      </c>
      <c r="T1223" t="s">
        <v>8505</v>
      </c>
      <c r="U1223" t="s">
        <v>8506</v>
      </c>
      <c r="V1223" t="s">
        <v>69</v>
      </c>
      <c r="W1223" t="s">
        <v>69</v>
      </c>
      <c r="X1223" t="s">
        <v>69</v>
      </c>
      <c r="Y1223" t="s">
        <v>69</v>
      </c>
      <c r="Z1223" t="s">
        <v>69</v>
      </c>
      <c r="AA1223" t="s">
        <v>26470</v>
      </c>
      <c r="AB1223" t="s">
        <v>69</v>
      </c>
      <c r="AC1223" t="s">
        <v>26471</v>
      </c>
      <c r="AD1223" t="s">
        <v>26472</v>
      </c>
      <c r="AE1223" t="s">
        <v>69</v>
      </c>
      <c r="AF1223" t="s">
        <v>26473</v>
      </c>
      <c r="AG1223" t="s">
        <v>26474</v>
      </c>
      <c r="AH1223" t="s">
        <v>26475</v>
      </c>
      <c r="AI1223" t="s">
        <v>26476</v>
      </c>
      <c r="AJ1223" t="s">
        <v>26477</v>
      </c>
      <c r="AK1223" t="s">
        <v>26478</v>
      </c>
      <c r="AL1223" t="s">
        <v>26479</v>
      </c>
      <c r="AM1223" t="s">
        <v>69</v>
      </c>
      <c r="AN1223">
        <v>35</v>
      </c>
      <c r="AO1223">
        <v>4</v>
      </c>
      <c r="AP1223">
        <v>4</v>
      </c>
      <c r="AQ1223">
        <v>0</v>
      </c>
      <c r="AR1223">
        <v>3</v>
      </c>
      <c r="AS1223" t="s">
        <v>8586</v>
      </c>
      <c r="AT1223" t="s">
        <v>8587</v>
      </c>
      <c r="AU1223" t="s">
        <v>8588</v>
      </c>
      <c r="AV1223" t="s">
        <v>26480</v>
      </c>
      <c r="AW1223" t="s">
        <v>26481</v>
      </c>
      <c r="AX1223" t="s">
        <v>69</v>
      </c>
      <c r="AY1223" t="s">
        <v>26482</v>
      </c>
      <c r="AZ1223" t="s">
        <v>26483</v>
      </c>
      <c r="BA1223" t="s">
        <v>69</v>
      </c>
      <c r="BB1223">
        <v>2012</v>
      </c>
      <c r="BC1223">
        <v>25</v>
      </c>
      <c r="BD1223">
        <v>2</v>
      </c>
      <c r="BE1223" t="s">
        <v>69</v>
      </c>
      <c r="BF1223" t="s">
        <v>69</v>
      </c>
      <c r="BG1223" t="s">
        <v>69</v>
      </c>
      <c r="BH1223" t="s">
        <v>69</v>
      </c>
      <c r="BI1223">
        <v>91</v>
      </c>
      <c r="BJ1223" t="s">
        <v>219</v>
      </c>
      <c r="BK1223" t="s">
        <v>69</v>
      </c>
      <c r="BL1223" t="s">
        <v>26484</v>
      </c>
      <c r="BM1223" t="str">
        <f>HYPERLINK("http://dx.doi.org/10.1108/09526861211198263","http://dx.doi.org/10.1108/09526861211198263")</f>
        <v>http://dx.doi.org/10.1108/09526861211198263</v>
      </c>
      <c r="BN1223" t="s">
        <v>69</v>
      </c>
      <c r="BO1223" t="s">
        <v>69</v>
      </c>
      <c r="BP1223">
        <v>16</v>
      </c>
      <c r="BQ1223" t="s">
        <v>9208</v>
      </c>
      <c r="BR1223" t="s">
        <v>8573</v>
      </c>
      <c r="BS1223" t="s">
        <v>9209</v>
      </c>
      <c r="BT1223" t="s">
        <v>26485</v>
      </c>
      <c r="BU1223" t="s">
        <v>26486</v>
      </c>
      <c r="BV1223">
        <v>22455175</v>
      </c>
      <c r="BW1223" t="s">
        <v>69</v>
      </c>
      <c r="BX1223" t="s">
        <v>69</v>
      </c>
      <c r="BY1223" t="s">
        <v>69</v>
      </c>
      <c r="BZ1223" t="s">
        <v>8526</v>
      </c>
      <c r="CA1223" t="str">
        <f>HYPERLINK("https%3A%2F%2Fwww.webofscience.com%2Fwos%2Fwoscc%2Ffull-record%2FWOS:000212557600018","View Full Record in Web of Science")</f>
        <v>View Full Record in Web of Science</v>
      </c>
    </row>
    <row r="1224" spans="2:79" ht="12.5" x14ac:dyDescent="0.25">
      <c r="B1224" t="s">
        <v>8495</v>
      </c>
      <c r="D1224" s="22" t="s">
        <v>32931</v>
      </c>
      <c r="E1224" s="7"/>
      <c r="F1224" s="7"/>
      <c r="G1224" s="7"/>
      <c r="H1224" t="s">
        <v>67</v>
      </c>
      <c r="I1224" t="s">
        <v>19886</v>
      </c>
      <c r="J1224" t="s">
        <v>69</v>
      </c>
      <c r="K1224" t="s">
        <v>69</v>
      </c>
      <c r="L1224" t="s">
        <v>69</v>
      </c>
      <c r="M1224" t="s">
        <v>19887</v>
      </c>
      <c r="N1224" t="s">
        <v>69</v>
      </c>
      <c r="O1224" t="s">
        <v>69</v>
      </c>
      <c r="P1224" t="s">
        <v>19888</v>
      </c>
      <c r="Q1224" t="s">
        <v>859</v>
      </c>
      <c r="R1224" t="s">
        <v>69</v>
      </c>
      <c r="S1224" t="s">
        <v>69</v>
      </c>
      <c r="T1224" t="s">
        <v>8505</v>
      </c>
      <c r="U1224" t="s">
        <v>8506</v>
      </c>
      <c r="V1224" t="s">
        <v>69</v>
      </c>
      <c r="W1224" t="s">
        <v>69</v>
      </c>
      <c r="X1224" t="s">
        <v>69</v>
      </c>
      <c r="Y1224" t="s">
        <v>69</v>
      </c>
      <c r="Z1224" t="s">
        <v>69</v>
      </c>
      <c r="AA1224" t="s">
        <v>69</v>
      </c>
      <c r="AB1224" t="s">
        <v>19889</v>
      </c>
      <c r="AC1224" t="s">
        <v>19890</v>
      </c>
      <c r="AD1224" t="s">
        <v>19891</v>
      </c>
      <c r="AE1224" t="s">
        <v>69</v>
      </c>
      <c r="AF1224" t="s">
        <v>19892</v>
      </c>
      <c r="AG1224" t="s">
        <v>19893</v>
      </c>
      <c r="AH1224" t="s">
        <v>19894</v>
      </c>
      <c r="AI1224" t="s">
        <v>19895</v>
      </c>
      <c r="AJ1224" t="s">
        <v>19896</v>
      </c>
      <c r="AK1224" t="s">
        <v>19897</v>
      </c>
      <c r="AL1224" t="s">
        <v>19898</v>
      </c>
      <c r="AM1224" t="s">
        <v>69</v>
      </c>
      <c r="AN1224">
        <v>67</v>
      </c>
      <c r="AO1224">
        <v>6</v>
      </c>
      <c r="AP1224">
        <v>6</v>
      </c>
      <c r="AQ1224">
        <v>0</v>
      </c>
      <c r="AR1224">
        <v>7</v>
      </c>
      <c r="AS1224" t="s">
        <v>11130</v>
      </c>
      <c r="AT1224" t="s">
        <v>11131</v>
      </c>
      <c r="AU1224" t="s">
        <v>11132</v>
      </c>
      <c r="AV1224" t="s">
        <v>862</v>
      </c>
      <c r="AW1224" t="s">
        <v>69</v>
      </c>
      <c r="AX1224" t="s">
        <v>69</v>
      </c>
      <c r="AY1224" t="s">
        <v>859</v>
      </c>
      <c r="AZ1224" t="s">
        <v>11133</v>
      </c>
      <c r="BA1224" t="s">
        <v>19899</v>
      </c>
      <c r="BB1224">
        <v>2017</v>
      </c>
      <c r="BC1224">
        <v>12</v>
      </c>
      <c r="BD1224">
        <v>10</v>
      </c>
      <c r="BE1224" t="s">
        <v>69</v>
      </c>
      <c r="BF1224" t="s">
        <v>69</v>
      </c>
      <c r="BG1224" t="s">
        <v>69</v>
      </c>
      <c r="BH1224" t="s">
        <v>69</v>
      </c>
      <c r="BI1224" t="s">
        <v>69</v>
      </c>
      <c r="BJ1224" t="s">
        <v>69</v>
      </c>
      <c r="BK1224" t="s">
        <v>19900</v>
      </c>
      <c r="BL1224" t="s">
        <v>19901</v>
      </c>
      <c r="BM1224" t="str">
        <f>HYPERLINK("http://dx.doi.org/10.1371/journal.pone.0186896","http://dx.doi.org/10.1371/journal.pone.0186896")</f>
        <v>http://dx.doi.org/10.1371/journal.pone.0186896</v>
      </c>
      <c r="BN1224" t="s">
        <v>69</v>
      </c>
      <c r="BO1224" t="s">
        <v>69</v>
      </c>
      <c r="BP1224">
        <v>18</v>
      </c>
      <c r="BQ1224" t="s">
        <v>8619</v>
      </c>
      <c r="BR1224" t="s">
        <v>8523</v>
      </c>
      <c r="BS1224" t="s">
        <v>8620</v>
      </c>
      <c r="BT1224" t="s">
        <v>19902</v>
      </c>
      <c r="BU1224" t="s">
        <v>19903</v>
      </c>
      <c r="BV1224">
        <v>29073172</v>
      </c>
      <c r="BW1224" t="s">
        <v>10765</v>
      </c>
      <c r="BX1224" t="s">
        <v>69</v>
      </c>
      <c r="BY1224" t="s">
        <v>69</v>
      </c>
      <c r="BZ1224" t="s">
        <v>8526</v>
      </c>
      <c r="CA1224" t="str">
        <f>HYPERLINK("https%3A%2F%2Fwww.webofscience.com%2Fwos%2Fwoscc%2Ffull-record%2FWOS:000413845400070","View Full Record in Web of Science")</f>
        <v>View Full Record in Web of Science</v>
      </c>
    </row>
    <row r="1225" spans="2:79" ht="12.5" x14ac:dyDescent="0.25">
      <c r="B1225" t="s">
        <v>8495</v>
      </c>
      <c r="D1225" s="7" t="s">
        <v>32933</v>
      </c>
      <c r="E1225" s="7"/>
      <c r="F1225" s="7"/>
      <c r="G1225" s="7"/>
      <c r="H1225" t="s">
        <v>67</v>
      </c>
      <c r="I1225" t="s">
        <v>8098</v>
      </c>
      <c r="J1225" t="s">
        <v>69</v>
      </c>
      <c r="K1225" t="s">
        <v>69</v>
      </c>
      <c r="L1225" t="s">
        <v>69</v>
      </c>
      <c r="M1225" t="s">
        <v>8099</v>
      </c>
      <c r="N1225" t="s">
        <v>69</v>
      </c>
      <c r="O1225" t="s">
        <v>69</v>
      </c>
      <c r="P1225" t="s">
        <v>8100</v>
      </c>
      <c r="Q1225" t="s">
        <v>5533</v>
      </c>
      <c r="R1225" t="s">
        <v>69</v>
      </c>
      <c r="S1225" t="s">
        <v>69</v>
      </c>
      <c r="T1225" t="s">
        <v>8505</v>
      </c>
      <c r="U1225" t="s">
        <v>8506</v>
      </c>
      <c r="V1225" t="s">
        <v>69</v>
      </c>
      <c r="W1225" t="s">
        <v>69</v>
      </c>
      <c r="X1225" t="s">
        <v>69</v>
      </c>
      <c r="Y1225" t="s">
        <v>69</v>
      </c>
      <c r="Z1225" t="s">
        <v>69</v>
      </c>
      <c r="AA1225" t="s">
        <v>69</v>
      </c>
      <c r="AB1225" t="s">
        <v>29775</v>
      </c>
      <c r="AC1225" t="s">
        <v>8101</v>
      </c>
      <c r="AD1225" t="s">
        <v>29776</v>
      </c>
      <c r="AE1225" t="s">
        <v>69</v>
      </c>
      <c r="AF1225" t="s">
        <v>29777</v>
      </c>
      <c r="AG1225" t="s">
        <v>29778</v>
      </c>
      <c r="AH1225" t="s">
        <v>69</v>
      </c>
      <c r="AI1225" t="s">
        <v>69</v>
      </c>
      <c r="AJ1225" t="s">
        <v>69</v>
      </c>
      <c r="AK1225" t="s">
        <v>69</v>
      </c>
      <c r="AL1225" t="s">
        <v>69</v>
      </c>
      <c r="AM1225" t="s">
        <v>69</v>
      </c>
      <c r="AN1225">
        <v>46</v>
      </c>
      <c r="AO1225">
        <v>56</v>
      </c>
      <c r="AP1225">
        <v>58</v>
      </c>
      <c r="AQ1225">
        <v>1</v>
      </c>
      <c r="AR1225">
        <v>45</v>
      </c>
      <c r="AS1225" t="s">
        <v>15821</v>
      </c>
      <c r="AT1225" t="s">
        <v>8735</v>
      </c>
      <c r="AU1225" t="s">
        <v>15822</v>
      </c>
      <c r="AV1225" t="s">
        <v>5535</v>
      </c>
      <c r="AW1225" t="s">
        <v>5536</v>
      </c>
      <c r="AX1225" t="s">
        <v>69</v>
      </c>
      <c r="AY1225" t="s">
        <v>15823</v>
      </c>
      <c r="AZ1225" t="s">
        <v>15824</v>
      </c>
      <c r="BA1225" t="s">
        <v>8102</v>
      </c>
      <c r="BB1225">
        <v>2007</v>
      </c>
      <c r="BC1225">
        <v>43</v>
      </c>
      <c r="BD1225">
        <v>2</v>
      </c>
      <c r="BE1225" t="s">
        <v>69</v>
      </c>
      <c r="BF1225" t="s">
        <v>69</v>
      </c>
      <c r="BG1225" t="s">
        <v>69</v>
      </c>
      <c r="BH1225" t="s">
        <v>69</v>
      </c>
      <c r="BI1225" t="s">
        <v>69</v>
      </c>
      <c r="BJ1225" t="s">
        <v>69</v>
      </c>
      <c r="BK1225" t="s">
        <v>8103</v>
      </c>
      <c r="BL1225" t="s">
        <v>8104</v>
      </c>
      <c r="BM1225" t="str">
        <f>HYPERLINK("http://dx.doi.org/10.1029/2006WR005130","http://dx.doi.org/10.1029/2006WR005130")</f>
        <v>http://dx.doi.org/10.1029/2006WR005130</v>
      </c>
      <c r="BN1225" t="s">
        <v>69</v>
      </c>
      <c r="BO1225" t="s">
        <v>69</v>
      </c>
      <c r="BP1225">
        <v>13</v>
      </c>
      <c r="BQ1225" t="s">
        <v>15825</v>
      </c>
      <c r="BR1225" t="s">
        <v>8548</v>
      </c>
      <c r="BS1225" t="s">
        <v>15826</v>
      </c>
      <c r="BT1225" t="s">
        <v>29779</v>
      </c>
      <c r="BU1225" t="s">
        <v>8105</v>
      </c>
      <c r="BV1225" t="s">
        <v>69</v>
      </c>
      <c r="BW1225" t="s">
        <v>9029</v>
      </c>
      <c r="BX1225" t="s">
        <v>69</v>
      </c>
      <c r="BY1225" t="s">
        <v>69</v>
      </c>
      <c r="BZ1225" t="s">
        <v>8526</v>
      </c>
      <c r="CA1225" t="str">
        <f>HYPERLINK("https%3A%2F%2Fwww.webofscience.com%2Fwos%2Fwoscc%2Ffull-record%2FWOS:000244206100004","View Full Record in Web of Science")</f>
        <v>View Full Record in Web of Science</v>
      </c>
    </row>
    <row r="1226" spans="2:79" ht="12.5" x14ac:dyDescent="0.25">
      <c r="B1226" t="s">
        <v>8495</v>
      </c>
      <c r="D1226" s="7" t="s">
        <v>32933</v>
      </c>
      <c r="E1226" s="7"/>
      <c r="F1226" s="7"/>
      <c r="G1226" s="7"/>
      <c r="H1226" t="s">
        <v>67</v>
      </c>
      <c r="I1226" t="s">
        <v>1029</v>
      </c>
      <c r="J1226" t="s">
        <v>69</v>
      </c>
      <c r="K1226" t="s">
        <v>69</v>
      </c>
      <c r="L1226" t="s">
        <v>69</v>
      </c>
      <c r="M1226" t="s">
        <v>1030</v>
      </c>
      <c r="N1226" t="s">
        <v>69</v>
      </c>
      <c r="O1226" t="s">
        <v>69</v>
      </c>
      <c r="P1226" t="s">
        <v>1031</v>
      </c>
      <c r="Q1226" t="s">
        <v>352</v>
      </c>
      <c r="R1226" t="s">
        <v>69</v>
      </c>
      <c r="S1226" t="s">
        <v>69</v>
      </c>
      <c r="T1226" t="s">
        <v>8505</v>
      </c>
      <c r="U1226" t="s">
        <v>8506</v>
      </c>
      <c r="V1226" t="s">
        <v>69</v>
      </c>
      <c r="W1226" t="s">
        <v>69</v>
      </c>
      <c r="X1226" t="s">
        <v>69</v>
      </c>
      <c r="Y1226" t="s">
        <v>69</v>
      </c>
      <c r="Z1226" t="s">
        <v>69</v>
      </c>
      <c r="AA1226" t="s">
        <v>18191</v>
      </c>
      <c r="AB1226" t="s">
        <v>18192</v>
      </c>
      <c r="AC1226" t="s">
        <v>1032</v>
      </c>
      <c r="AD1226" t="s">
        <v>18193</v>
      </c>
      <c r="AE1226" t="s">
        <v>69</v>
      </c>
      <c r="AF1226" t="s">
        <v>18194</v>
      </c>
      <c r="AG1226" t="s">
        <v>18195</v>
      </c>
      <c r="AH1226" t="s">
        <v>69</v>
      </c>
      <c r="AI1226" t="s">
        <v>18196</v>
      </c>
      <c r="AJ1226" t="s">
        <v>18197</v>
      </c>
      <c r="AK1226" t="s">
        <v>18198</v>
      </c>
      <c r="AL1226" t="s">
        <v>18199</v>
      </c>
      <c r="AM1226" t="s">
        <v>69</v>
      </c>
      <c r="AN1226">
        <v>51</v>
      </c>
      <c r="AO1226">
        <v>0</v>
      </c>
      <c r="AP1226">
        <v>0</v>
      </c>
      <c r="AQ1226">
        <v>4</v>
      </c>
      <c r="AR1226">
        <v>15</v>
      </c>
      <c r="AS1226" t="s">
        <v>8924</v>
      </c>
      <c r="AT1226" t="s">
        <v>8925</v>
      </c>
      <c r="AU1226" t="s">
        <v>8926</v>
      </c>
      <c r="AV1226" t="s">
        <v>354</v>
      </c>
      <c r="AW1226" t="s">
        <v>69</v>
      </c>
      <c r="AX1226" t="s">
        <v>69</v>
      </c>
      <c r="AY1226" t="s">
        <v>8958</v>
      </c>
      <c r="AZ1226" t="s">
        <v>8434</v>
      </c>
      <c r="BA1226" t="s">
        <v>274</v>
      </c>
      <c r="BB1226">
        <v>2018</v>
      </c>
      <c r="BC1226">
        <v>10</v>
      </c>
      <c r="BD1226">
        <v>11</v>
      </c>
      <c r="BE1226" t="s">
        <v>69</v>
      </c>
      <c r="BF1226" t="s">
        <v>69</v>
      </c>
      <c r="BG1226" t="s">
        <v>69</v>
      </c>
      <c r="BH1226" t="s">
        <v>69</v>
      </c>
      <c r="BI1226" t="s">
        <v>69</v>
      </c>
      <c r="BJ1226" t="s">
        <v>69</v>
      </c>
      <c r="BK1226">
        <v>4096</v>
      </c>
      <c r="BL1226" t="s">
        <v>1033</v>
      </c>
      <c r="BM1226" t="str">
        <f>HYPERLINK("http://dx.doi.org/10.3390/su10114096","http://dx.doi.org/10.3390/su10114096")</f>
        <v>http://dx.doi.org/10.3390/su10114096</v>
      </c>
      <c r="BN1226" t="s">
        <v>69</v>
      </c>
      <c r="BO1226" t="s">
        <v>69</v>
      </c>
      <c r="BP1226">
        <v>19</v>
      </c>
      <c r="BQ1226" t="s">
        <v>8960</v>
      </c>
      <c r="BR1226" t="s">
        <v>8523</v>
      </c>
      <c r="BS1226" t="s">
        <v>8961</v>
      </c>
      <c r="BT1226" t="s">
        <v>18200</v>
      </c>
      <c r="BU1226" t="s">
        <v>1034</v>
      </c>
      <c r="BV1226" t="s">
        <v>69</v>
      </c>
      <c r="BW1226" t="s">
        <v>9352</v>
      </c>
      <c r="BX1226" t="s">
        <v>69</v>
      </c>
      <c r="BY1226" t="s">
        <v>69</v>
      </c>
      <c r="BZ1226" t="s">
        <v>8526</v>
      </c>
      <c r="CA1226" t="str">
        <f>HYPERLINK("https%3A%2F%2Fwww.webofscience.com%2Fwos%2Fwoscc%2Ffull-record%2FWOS:000451531700270","View Full Record in Web of Science")</f>
        <v>View Full Record in Web of Science</v>
      </c>
    </row>
    <row r="1227" spans="2:79" ht="12.5" x14ac:dyDescent="0.25">
      <c r="B1227" t="s">
        <v>8495</v>
      </c>
      <c r="D1227" s="7" t="s">
        <v>32933</v>
      </c>
      <c r="E1227" s="7"/>
      <c r="F1227" s="7"/>
      <c r="G1227" s="7"/>
      <c r="H1227" t="s">
        <v>67</v>
      </c>
      <c r="I1227" t="s">
        <v>77</v>
      </c>
      <c r="J1227" t="s">
        <v>69</v>
      </c>
      <c r="K1227" t="s">
        <v>69</v>
      </c>
      <c r="L1227" t="s">
        <v>69</v>
      </c>
      <c r="M1227" t="s">
        <v>78</v>
      </c>
      <c r="N1227" t="s">
        <v>69</v>
      </c>
      <c r="O1227" t="s">
        <v>69</v>
      </c>
      <c r="P1227" t="s">
        <v>79</v>
      </c>
      <c r="Q1227" t="s">
        <v>80</v>
      </c>
      <c r="R1227" t="s">
        <v>69</v>
      </c>
      <c r="S1227" t="s">
        <v>69</v>
      </c>
      <c r="T1227" t="s">
        <v>8505</v>
      </c>
      <c r="U1227" t="s">
        <v>8506</v>
      </c>
      <c r="V1227" t="s">
        <v>69</v>
      </c>
      <c r="W1227" t="s">
        <v>69</v>
      </c>
      <c r="X1227" t="s">
        <v>69</v>
      </c>
      <c r="Y1227" t="s">
        <v>69</v>
      </c>
      <c r="Z1227" t="s">
        <v>69</v>
      </c>
      <c r="AA1227" t="s">
        <v>14814</v>
      </c>
      <c r="AB1227" t="s">
        <v>14815</v>
      </c>
      <c r="AC1227" t="s">
        <v>81</v>
      </c>
      <c r="AD1227" t="s">
        <v>14816</v>
      </c>
      <c r="AE1227" t="s">
        <v>69</v>
      </c>
      <c r="AF1227" t="s">
        <v>14817</v>
      </c>
      <c r="AG1227" t="s">
        <v>14818</v>
      </c>
      <c r="AH1227" t="s">
        <v>69</v>
      </c>
      <c r="AI1227" t="s">
        <v>69</v>
      </c>
      <c r="AJ1227" t="s">
        <v>69</v>
      </c>
      <c r="AK1227" t="s">
        <v>69</v>
      </c>
      <c r="AL1227" t="s">
        <v>69</v>
      </c>
      <c r="AM1227" t="s">
        <v>69</v>
      </c>
      <c r="AN1227">
        <v>22</v>
      </c>
      <c r="AO1227">
        <v>1</v>
      </c>
      <c r="AP1227">
        <v>1</v>
      </c>
      <c r="AQ1227">
        <v>1</v>
      </c>
      <c r="AR1227">
        <v>7</v>
      </c>
      <c r="AS1227" t="s">
        <v>14819</v>
      </c>
      <c r="AT1227" t="s">
        <v>14820</v>
      </c>
      <c r="AU1227" t="s">
        <v>14821</v>
      </c>
      <c r="AV1227" t="s">
        <v>82</v>
      </c>
      <c r="AW1227" t="s">
        <v>83</v>
      </c>
      <c r="AX1227" t="s">
        <v>69</v>
      </c>
      <c r="AY1227" t="s">
        <v>14822</v>
      </c>
      <c r="AZ1227" t="s">
        <v>14823</v>
      </c>
      <c r="BA1227" t="s">
        <v>84</v>
      </c>
      <c r="BB1227">
        <v>2020</v>
      </c>
      <c r="BC1227">
        <v>6</v>
      </c>
      <c r="BD1227">
        <v>7</v>
      </c>
      <c r="BE1227" t="s">
        <v>69</v>
      </c>
      <c r="BF1227" t="s">
        <v>69</v>
      </c>
      <c r="BG1227" t="s">
        <v>69</v>
      </c>
      <c r="BH1227" t="s">
        <v>69</v>
      </c>
      <c r="BI1227">
        <v>1368</v>
      </c>
      <c r="BJ1227">
        <v>1374</v>
      </c>
      <c r="BK1227" t="s">
        <v>69</v>
      </c>
      <c r="BL1227" t="s">
        <v>85</v>
      </c>
      <c r="BM1227" t="str">
        <f>HYPERLINK("http://dx.doi.org/10.28991/cej-2020-03091554","http://dx.doi.org/10.28991/cej-2020-03091554")</f>
        <v>http://dx.doi.org/10.28991/cej-2020-03091554</v>
      </c>
      <c r="BN1227" t="s">
        <v>69</v>
      </c>
      <c r="BO1227" t="s">
        <v>69</v>
      </c>
      <c r="BP1227">
        <v>7</v>
      </c>
      <c r="BQ1227" t="s">
        <v>13537</v>
      </c>
      <c r="BR1227" t="s">
        <v>8573</v>
      </c>
      <c r="BS1227" t="s">
        <v>8445</v>
      </c>
      <c r="BT1227" t="s">
        <v>14824</v>
      </c>
      <c r="BU1227" t="s">
        <v>86</v>
      </c>
      <c r="BV1227" t="s">
        <v>69</v>
      </c>
      <c r="BW1227" t="s">
        <v>8931</v>
      </c>
      <c r="BX1227" t="s">
        <v>69</v>
      </c>
      <c r="BY1227" t="s">
        <v>69</v>
      </c>
      <c r="BZ1227" t="s">
        <v>8526</v>
      </c>
      <c r="CA1227" t="str">
        <f>HYPERLINK("https%3A%2F%2Fwww.webofscience.com%2Fwos%2Fwoscc%2Ffull-record%2FWOS:000558693300013","View Full Record in Web of Science")</f>
        <v>View Full Record in Web of Science</v>
      </c>
    </row>
    <row r="1228" spans="2:79" x14ac:dyDescent="0.3">
      <c r="B1228" t="s">
        <v>8495</v>
      </c>
      <c r="D1228" s="9" t="s">
        <v>32954</v>
      </c>
      <c r="E1228" s="9" t="s">
        <v>33155</v>
      </c>
      <c r="F1228" s="9" t="s">
        <v>8491</v>
      </c>
      <c r="G1228" s="9" t="s">
        <v>8490</v>
      </c>
      <c r="H1228" t="s">
        <v>67</v>
      </c>
      <c r="I1228" t="s">
        <v>9212</v>
      </c>
      <c r="J1228" t="s">
        <v>69</v>
      </c>
      <c r="K1228" t="s">
        <v>69</v>
      </c>
      <c r="L1228" t="s">
        <v>69</v>
      </c>
      <c r="M1228" t="s">
        <v>9213</v>
      </c>
      <c r="N1228" t="s">
        <v>69</v>
      </c>
      <c r="O1228" t="s">
        <v>69</v>
      </c>
      <c r="P1228" t="s">
        <v>9214</v>
      </c>
      <c r="Q1228" t="s">
        <v>7713</v>
      </c>
      <c r="R1228" t="s">
        <v>69</v>
      </c>
      <c r="S1228" t="s">
        <v>69</v>
      </c>
      <c r="T1228" t="s">
        <v>8505</v>
      </c>
      <c r="U1228" t="s">
        <v>8506</v>
      </c>
      <c r="V1228" t="s">
        <v>69</v>
      </c>
      <c r="W1228" t="s">
        <v>69</v>
      </c>
      <c r="X1228" t="s">
        <v>69</v>
      </c>
      <c r="Y1228" t="s">
        <v>69</v>
      </c>
      <c r="Z1228" t="s">
        <v>69</v>
      </c>
      <c r="AA1228" t="s">
        <v>9215</v>
      </c>
      <c r="AB1228" t="s">
        <v>69</v>
      </c>
      <c r="AC1228" t="s">
        <v>9216</v>
      </c>
      <c r="AD1228" t="s">
        <v>9217</v>
      </c>
      <c r="AE1228" t="s">
        <v>69</v>
      </c>
      <c r="AF1228" t="s">
        <v>9218</v>
      </c>
      <c r="AG1228" t="s">
        <v>9219</v>
      </c>
      <c r="AH1228" t="s">
        <v>69</v>
      </c>
      <c r="AI1228" t="s">
        <v>9220</v>
      </c>
      <c r="AJ1228" t="s">
        <v>9221</v>
      </c>
      <c r="AK1228" t="s">
        <v>9222</v>
      </c>
      <c r="AL1228" t="s">
        <v>9223</v>
      </c>
      <c r="AM1228" t="s">
        <v>69</v>
      </c>
      <c r="AN1228">
        <v>54</v>
      </c>
      <c r="AO1228">
        <v>1</v>
      </c>
      <c r="AP1228">
        <v>1</v>
      </c>
      <c r="AQ1228">
        <v>7</v>
      </c>
      <c r="AR1228">
        <v>7</v>
      </c>
      <c r="AS1228" t="s">
        <v>9047</v>
      </c>
      <c r="AT1228" t="s">
        <v>9048</v>
      </c>
      <c r="AU1228" t="s">
        <v>9049</v>
      </c>
      <c r="AV1228" t="s">
        <v>7715</v>
      </c>
      <c r="AW1228" t="s">
        <v>9224</v>
      </c>
      <c r="AX1228" t="s">
        <v>69</v>
      </c>
      <c r="AY1228" t="s">
        <v>9225</v>
      </c>
      <c r="AZ1228" t="s">
        <v>9226</v>
      </c>
      <c r="BA1228" t="s">
        <v>586</v>
      </c>
      <c r="BB1228">
        <v>2022</v>
      </c>
      <c r="BC1228">
        <v>36</v>
      </c>
      <c r="BD1228">
        <v>7</v>
      </c>
      <c r="BE1228" t="s">
        <v>69</v>
      </c>
      <c r="BF1228" t="s">
        <v>69</v>
      </c>
      <c r="BG1228" t="s">
        <v>69</v>
      </c>
      <c r="BH1228" t="s">
        <v>69</v>
      </c>
      <c r="BI1228">
        <v>2455</v>
      </c>
      <c r="BJ1228">
        <v>2470</v>
      </c>
      <c r="BK1228" t="s">
        <v>69</v>
      </c>
      <c r="BL1228" t="s">
        <v>9227</v>
      </c>
      <c r="BM1228" t="str">
        <f>HYPERLINK("http://dx.doi.org/10.1007/s11269-022-03153-w","http://dx.doi.org/10.1007/s11269-022-03153-w")</f>
        <v>http://dx.doi.org/10.1007/s11269-022-03153-w</v>
      </c>
      <c r="BN1228" t="s">
        <v>69</v>
      </c>
      <c r="BO1228" t="s">
        <v>9228</v>
      </c>
      <c r="BP1228">
        <v>16</v>
      </c>
      <c r="BQ1228" t="s">
        <v>9229</v>
      </c>
      <c r="BR1228" t="s">
        <v>8523</v>
      </c>
      <c r="BS1228" t="s">
        <v>9230</v>
      </c>
      <c r="BT1228" t="s">
        <v>9231</v>
      </c>
      <c r="BU1228" t="s">
        <v>9232</v>
      </c>
      <c r="BV1228" t="s">
        <v>69</v>
      </c>
      <c r="BW1228" t="s">
        <v>69</v>
      </c>
      <c r="BX1228" t="s">
        <v>69</v>
      </c>
      <c r="BY1228" t="s">
        <v>69</v>
      </c>
      <c r="BZ1228" t="s">
        <v>8526</v>
      </c>
      <c r="CA1228" t="str">
        <f>HYPERLINK("https%3A%2F%2Fwww.webofscience.com%2Fwos%2Fwoscc%2Ffull-record%2FWOS:000788335600002","View Full Record in Web of Science")</f>
        <v>View Full Record in Web of Science</v>
      </c>
    </row>
    <row r="1229" spans="2:79" ht="12.5" x14ac:dyDescent="0.25">
      <c r="B1229" t="s">
        <v>8495</v>
      </c>
      <c r="D1229" s="22" t="s">
        <v>32931</v>
      </c>
      <c r="E1229" s="7"/>
      <c r="F1229" s="7"/>
      <c r="G1229" s="7"/>
      <c r="H1229" t="s">
        <v>67</v>
      </c>
      <c r="I1229" t="s">
        <v>28053</v>
      </c>
      <c r="J1229" t="s">
        <v>69</v>
      </c>
      <c r="K1229" t="s">
        <v>69</v>
      </c>
      <c r="L1229" t="s">
        <v>69</v>
      </c>
      <c r="M1229" t="s">
        <v>28054</v>
      </c>
      <c r="N1229" t="s">
        <v>69</v>
      </c>
      <c r="O1229" t="s">
        <v>69</v>
      </c>
      <c r="P1229" t="s">
        <v>28055</v>
      </c>
      <c r="Q1229" t="s">
        <v>28056</v>
      </c>
      <c r="R1229" t="s">
        <v>69</v>
      </c>
      <c r="S1229" t="s">
        <v>69</v>
      </c>
      <c r="T1229" t="s">
        <v>8505</v>
      </c>
      <c r="U1229" t="s">
        <v>8506</v>
      </c>
      <c r="V1229" t="s">
        <v>69</v>
      </c>
      <c r="W1229" t="s">
        <v>69</v>
      </c>
      <c r="X1229" t="s">
        <v>69</v>
      </c>
      <c r="Y1229" t="s">
        <v>69</v>
      </c>
      <c r="Z1229" t="s">
        <v>69</v>
      </c>
      <c r="AA1229" t="s">
        <v>28057</v>
      </c>
      <c r="AB1229" t="s">
        <v>28058</v>
      </c>
      <c r="AC1229" t="s">
        <v>28059</v>
      </c>
      <c r="AD1229" t="s">
        <v>28060</v>
      </c>
      <c r="AE1229" t="s">
        <v>69</v>
      </c>
      <c r="AF1229" t="s">
        <v>28061</v>
      </c>
      <c r="AG1229" t="s">
        <v>28062</v>
      </c>
      <c r="AH1229" t="s">
        <v>69</v>
      </c>
      <c r="AI1229" t="s">
        <v>69</v>
      </c>
      <c r="AJ1229" t="s">
        <v>69</v>
      </c>
      <c r="AK1229" t="s">
        <v>69</v>
      </c>
      <c r="AL1229" t="s">
        <v>69</v>
      </c>
      <c r="AM1229" t="s">
        <v>69</v>
      </c>
      <c r="AN1229">
        <v>34</v>
      </c>
      <c r="AO1229">
        <v>10</v>
      </c>
      <c r="AP1229">
        <v>10</v>
      </c>
      <c r="AQ1229">
        <v>1</v>
      </c>
      <c r="AR1229">
        <v>38</v>
      </c>
      <c r="AS1229" t="s">
        <v>8586</v>
      </c>
      <c r="AT1229" t="s">
        <v>8587</v>
      </c>
      <c r="AU1229" t="s">
        <v>8588</v>
      </c>
      <c r="AV1229" t="s">
        <v>28063</v>
      </c>
      <c r="AW1229" t="s">
        <v>28064</v>
      </c>
      <c r="AX1229" t="s">
        <v>69</v>
      </c>
      <c r="AY1229" t="s">
        <v>28065</v>
      </c>
      <c r="AZ1229" t="s">
        <v>28066</v>
      </c>
      <c r="BA1229" t="s">
        <v>69</v>
      </c>
      <c r="BB1229">
        <v>2010</v>
      </c>
      <c r="BC1229">
        <v>22</v>
      </c>
      <c r="BD1229" t="s">
        <v>4267</v>
      </c>
      <c r="BE1229" t="s">
        <v>69</v>
      </c>
      <c r="BF1229" t="s">
        <v>69</v>
      </c>
      <c r="BG1229" t="s">
        <v>69</v>
      </c>
      <c r="BH1229" t="s">
        <v>69</v>
      </c>
      <c r="BI1229">
        <v>282</v>
      </c>
      <c r="BJ1229">
        <v>299</v>
      </c>
      <c r="BK1229" t="s">
        <v>69</v>
      </c>
      <c r="BL1229" t="s">
        <v>28067</v>
      </c>
      <c r="BM1229" t="str">
        <f>HYPERLINK("http://dx.doi.org/10.1108/09596111011035918","http://dx.doi.org/10.1108/09596111011035918")</f>
        <v>http://dx.doi.org/10.1108/09596111011035918</v>
      </c>
      <c r="BN1229" t="s">
        <v>69</v>
      </c>
      <c r="BO1229" t="s">
        <v>69</v>
      </c>
      <c r="BP1229">
        <v>18</v>
      </c>
      <c r="BQ1229" t="s">
        <v>20292</v>
      </c>
      <c r="BR1229" t="s">
        <v>8661</v>
      </c>
      <c r="BS1229" t="s">
        <v>20293</v>
      </c>
      <c r="BT1229" t="s">
        <v>28068</v>
      </c>
      <c r="BU1229" t="s">
        <v>28069</v>
      </c>
      <c r="BV1229" t="s">
        <v>69</v>
      </c>
      <c r="BW1229" t="s">
        <v>69</v>
      </c>
      <c r="BX1229" t="s">
        <v>69</v>
      </c>
      <c r="BY1229" t="s">
        <v>69</v>
      </c>
      <c r="BZ1229" t="s">
        <v>8526</v>
      </c>
      <c r="CA1229" t="str">
        <f>HYPERLINK("https%3A%2F%2Fwww.webofscience.com%2Fwos%2Fwoscc%2Ffull-record%2FWOS:000277616700012","View Full Record in Web of Science")</f>
        <v>View Full Record in Web of Science</v>
      </c>
    </row>
    <row r="1230" spans="2:79" ht="12.5" x14ac:dyDescent="0.25">
      <c r="B1230" t="s">
        <v>8495</v>
      </c>
      <c r="D1230" s="22" t="s">
        <v>32931</v>
      </c>
      <c r="E1230" s="7"/>
      <c r="F1230" s="7"/>
      <c r="G1230" s="7"/>
      <c r="H1230" t="s">
        <v>67</v>
      </c>
      <c r="I1230" t="s">
        <v>11740</v>
      </c>
      <c r="J1230" t="s">
        <v>69</v>
      </c>
      <c r="K1230" t="s">
        <v>69</v>
      </c>
      <c r="L1230" t="s">
        <v>69</v>
      </c>
      <c r="M1230" t="s">
        <v>11741</v>
      </c>
      <c r="N1230" t="s">
        <v>69</v>
      </c>
      <c r="O1230" t="s">
        <v>69</v>
      </c>
      <c r="P1230" t="s">
        <v>11742</v>
      </c>
      <c r="Q1230" t="s">
        <v>352</v>
      </c>
      <c r="R1230" t="s">
        <v>69</v>
      </c>
      <c r="S1230" t="s">
        <v>69</v>
      </c>
      <c r="T1230" t="s">
        <v>8505</v>
      </c>
      <c r="U1230" t="s">
        <v>8506</v>
      </c>
      <c r="V1230" t="s">
        <v>69</v>
      </c>
      <c r="W1230" t="s">
        <v>69</v>
      </c>
      <c r="X1230" t="s">
        <v>69</v>
      </c>
      <c r="Y1230" t="s">
        <v>69</v>
      </c>
      <c r="Z1230" t="s">
        <v>69</v>
      </c>
      <c r="AA1230" t="s">
        <v>11743</v>
      </c>
      <c r="AB1230" t="s">
        <v>11744</v>
      </c>
      <c r="AC1230" t="s">
        <v>11745</v>
      </c>
      <c r="AD1230" t="s">
        <v>11746</v>
      </c>
      <c r="AE1230" t="s">
        <v>69</v>
      </c>
      <c r="AF1230" t="s">
        <v>11747</v>
      </c>
      <c r="AG1230" t="s">
        <v>11748</v>
      </c>
      <c r="AH1230" t="s">
        <v>69</v>
      </c>
      <c r="AI1230" t="s">
        <v>11749</v>
      </c>
      <c r="AJ1230" t="s">
        <v>11750</v>
      </c>
      <c r="AK1230" t="s">
        <v>11751</v>
      </c>
      <c r="AL1230" t="s">
        <v>11752</v>
      </c>
      <c r="AM1230" t="s">
        <v>69</v>
      </c>
      <c r="AN1230">
        <v>51</v>
      </c>
      <c r="AO1230">
        <v>0</v>
      </c>
      <c r="AP1230">
        <v>0</v>
      </c>
      <c r="AQ1230">
        <v>4</v>
      </c>
      <c r="AR1230">
        <v>6</v>
      </c>
      <c r="AS1230" t="s">
        <v>8924</v>
      </c>
      <c r="AT1230" t="s">
        <v>8925</v>
      </c>
      <c r="AU1230" t="s">
        <v>8926</v>
      </c>
      <c r="AV1230" t="s">
        <v>69</v>
      </c>
      <c r="AW1230" t="s">
        <v>354</v>
      </c>
      <c r="AX1230" t="s">
        <v>69</v>
      </c>
      <c r="AY1230" t="s">
        <v>8958</v>
      </c>
      <c r="AZ1230" t="s">
        <v>8434</v>
      </c>
      <c r="BA1230" t="s">
        <v>201</v>
      </c>
      <c r="BB1230">
        <v>2021</v>
      </c>
      <c r="BC1230">
        <v>13</v>
      </c>
      <c r="BD1230">
        <v>15</v>
      </c>
      <c r="BE1230" t="s">
        <v>69</v>
      </c>
      <c r="BF1230" t="s">
        <v>69</v>
      </c>
      <c r="BG1230" t="s">
        <v>69</v>
      </c>
      <c r="BH1230" t="s">
        <v>69</v>
      </c>
      <c r="BI1230" t="s">
        <v>69</v>
      </c>
      <c r="BJ1230" t="s">
        <v>69</v>
      </c>
      <c r="BK1230">
        <v>8202</v>
      </c>
      <c r="BL1230" t="s">
        <v>11753</v>
      </c>
      <c r="BM1230" t="str">
        <f>HYPERLINK("http://dx.doi.org/10.3390/su13158202","http://dx.doi.org/10.3390/su13158202")</f>
        <v>http://dx.doi.org/10.3390/su13158202</v>
      </c>
      <c r="BN1230" t="s">
        <v>69</v>
      </c>
      <c r="BO1230" t="s">
        <v>69</v>
      </c>
      <c r="BP1230">
        <v>13</v>
      </c>
      <c r="BQ1230" t="s">
        <v>8960</v>
      </c>
      <c r="BR1230" t="s">
        <v>8523</v>
      </c>
      <c r="BS1230" t="s">
        <v>8961</v>
      </c>
      <c r="BT1230" t="s">
        <v>11754</v>
      </c>
      <c r="BU1230" t="s">
        <v>11755</v>
      </c>
      <c r="BV1230" t="s">
        <v>69</v>
      </c>
      <c r="BW1230" t="s">
        <v>10423</v>
      </c>
      <c r="BX1230" t="s">
        <v>69</v>
      </c>
      <c r="BY1230" t="s">
        <v>69</v>
      </c>
      <c r="BZ1230" t="s">
        <v>8526</v>
      </c>
      <c r="CA1230" t="str">
        <f>HYPERLINK("https%3A%2F%2Fwww.webofscience.com%2Fwos%2Fwoscc%2Ffull-record%2FWOS:000682167900001","View Full Record in Web of Science")</f>
        <v>View Full Record in Web of Science</v>
      </c>
    </row>
    <row r="1231" spans="2:79" ht="12.5" x14ac:dyDescent="0.25">
      <c r="B1231" t="s">
        <v>8495</v>
      </c>
      <c r="D1231" s="7" t="s">
        <v>32933</v>
      </c>
      <c r="E1231" s="7"/>
      <c r="F1231" s="7"/>
      <c r="G1231" s="7"/>
      <c r="H1231" t="s">
        <v>67</v>
      </c>
      <c r="I1231" t="s">
        <v>802</v>
      </c>
      <c r="J1231" t="s">
        <v>69</v>
      </c>
      <c r="K1231" t="s">
        <v>69</v>
      </c>
      <c r="L1231" t="s">
        <v>69</v>
      </c>
      <c r="M1231" t="s">
        <v>803</v>
      </c>
      <c r="N1231" t="s">
        <v>69</v>
      </c>
      <c r="O1231" t="s">
        <v>69</v>
      </c>
      <c r="P1231" t="s">
        <v>804</v>
      </c>
      <c r="Q1231" t="s">
        <v>582</v>
      </c>
      <c r="R1231" t="s">
        <v>69</v>
      </c>
      <c r="S1231" t="s">
        <v>69</v>
      </c>
      <c r="T1231" t="s">
        <v>8505</v>
      </c>
      <c r="U1231" t="s">
        <v>8506</v>
      </c>
      <c r="V1231" t="s">
        <v>69</v>
      </c>
      <c r="W1231" t="s">
        <v>69</v>
      </c>
      <c r="X1231" t="s">
        <v>69</v>
      </c>
      <c r="Y1231" t="s">
        <v>69</v>
      </c>
      <c r="Z1231" t="s">
        <v>69</v>
      </c>
      <c r="AA1231" t="s">
        <v>15625</v>
      </c>
      <c r="AB1231" t="s">
        <v>15626</v>
      </c>
      <c r="AC1231" t="s">
        <v>805</v>
      </c>
      <c r="AD1231" t="s">
        <v>15627</v>
      </c>
      <c r="AE1231" t="s">
        <v>69</v>
      </c>
      <c r="AF1231" t="s">
        <v>15628</v>
      </c>
      <c r="AG1231" t="s">
        <v>15629</v>
      </c>
      <c r="AH1231" t="s">
        <v>2359</v>
      </c>
      <c r="AI1231" t="s">
        <v>69</v>
      </c>
      <c r="AJ1231" t="s">
        <v>69</v>
      </c>
      <c r="AK1231" t="s">
        <v>69</v>
      </c>
      <c r="AL1231" t="s">
        <v>69</v>
      </c>
      <c r="AM1231" t="s">
        <v>69</v>
      </c>
      <c r="AN1231">
        <v>64</v>
      </c>
      <c r="AO1231">
        <v>9</v>
      </c>
      <c r="AP1231">
        <v>9</v>
      </c>
      <c r="AQ1231">
        <v>0</v>
      </c>
      <c r="AR1231">
        <v>3</v>
      </c>
      <c r="AS1231" t="s">
        <v>8692</v>
      </c>
      <c r="AT1231" t="s">
        <v>8693</v>
      </c>
      <c r="AU1231" t="s">
        <v>8694</v>
      </c>
      <c r="AV1231" t="s">
        <v>584</v>
      </c>
      <c r="AW1231" t="s">
        <v>585</v>
      </c>
      <c r="AX1231" t="s">
        <v>69</v>
      </c>
      <c r="AY1231" t="s">
        <v>8695</v>
      </c>
      <c r="AZ1231" t="s">
        <v>8696</v>
      </c>
      <c r="BA1231" t="s">
        <v>94</v>
      </c>
      <c r="BB1231">
        <v>2020</v>
      </c>
      <c r="BC1231">
        <v>81</v>
      </c>
      <c r="BD1231" t="s">
        <v>69</v>
      </c>
      <c r="BE1231" t="s">
        <v>69</v>
      </c>
      <c r="BF1231" t="s">
        <v>69</v>
      </c>
      <c r="BG1231" t="s">
        <v>69</v>
      </c>
      <c r="BH1231" t="s">
        <v>69</v>
      </c>
      <c r="BI1231" t="s">
        <v>69</v>
      </c>
      <c r="BJ1231" t="s">
        <v>69</v>
      </c>
      <c r="BK1231">
        <v>106357</v>
      </c>
      <c r="BL1231" t="s">
        <v>807</v>
      </c>
      <c r="BM1231" t="str">
        <f>HYPERLINK("http://dx.doi.org/10.1016/j.eiar.2019.106357","http://dx.doi.org/10.1016/j.eiar.2019.106357")</f>
        <v>http://dx.doi.org/10.1016/j.eiar.2019.106357</v>
      </c>
      <c r="BN1231" t="s">
        <v>69</v>
      </c>
      <c r="BO1231" t="s">
        <v>69</v>
      </c>
      <c r="BP1231">
        <v>12</v>
      </c>
      <c r="BQ1231" t="s">
        <v>8660</v>
      </c>
      <c r="BR1231" t="s">
        <v>8661</v>
      </c>
      <c r="BS1231" t="s">
        <v>8662</v>
      </c>
      <c r="BT1231" t="s">
        <v>15630</v>
      </c>
      <c r="BU1231" t="s">
        <v>808</v>
      </c>
      <c r="BV1231" t="s">
        <v>69</v>
      </c>
      <c r="BW1231" t="s">
        <v>69</v>
      </c>
      <c r="BX1231" t="s">
        <v>69</v>
      </c>
      <c r="BY1231" t="s">
        <v>69</v>
      </c>
      <c r="BZ1231" t="s">
        <v>8526</v>
      </c>
      <c r="CA1231" t="str">
        <f>HYPERLINK("https%3A%2F%2Fwww.webofscience.com%2Fwos%2Fwoscc%2Ffull-record%2FWOS:000515213600011","View Full Record in Web of Science")</f>
        <v>View Full Record in Web of Science</v>
      </c>
    </row>
    <row r="1232" spans="2:79" ht="12.5" x14ac:dyDescent="0.25">
      <c r="B1232" t="s">
        <v>8495</v>
      </c>
      <c r="D1232" s="7" t="s">
        <v>32933</v>
      </c>
      <c r="E1232" s="7"/>
      <c r="F1232" s="7"/>
      <c r="G1232" s="7"/>
      <c r="H1232" t="s">
        <v>67</v>
      </c>
      <c r="I1232" t="s">
        <v>3822</v>
      </c>
      <c r="J1232" t="s">
        <v>69</v>
      </c>
      <c r="K1232" t="s">
        <v>69</v>
      </c>
      <c r="L1232" t="s">
        <v>69</v>
      </c>
      <c r="M1232" t="s">
        <v>3823</v>
      </c>
      <c r="N1232" t="s">
        <v>69</v>
      </c>
      <c r="O1232" t="s">
        <v>69</v>
      </c>
      <c r="P1232" t="s">
        <v>3824</v>
      </c>
      <c r="Q1232" t="s">
        <v>1823</v>
      </c>
      <c r="R1232" t="s">
        <v>69</v>
      </c>
      <c r="S1232" t="s">
        <v>69</v>
      </c>
      <c r="T1232" t="s">
        <v>8505</v>
      </c>
      <c r="U1232" t="s">
        <v>15797</v>
      </c>
      <c r="V1232" t="s">
        <v>3825</v>
      </c>
      <c r="W1232" t="s">
        <v>3826</v>
      </c>
      <c r="X1232" t="s">
        <v>3827</v>
      </c>
      <c r="Y1232" t="s">
        <v>30291</v>
      </c>
      <c r="Z1232" t="s">
        <v>69</v>
      </c>
      <c r="AA1232" t="s">
        <v>30292</v>
      </c>
      <c r="AB1232" t="s">
        <v>69</v>
      </c>
      <c r="AC1232" t="s">
        <v>3828</v>
      </c>
      <c r="AD1232" t="s">
        <v>30293</v>
      </c>
      <c r="AE1232" t="s">
        <v>69</v>
      </c>
      <c r="AF1232" t="s">
        <v>30294</v>
      </c>
      <c r="AG1232" t="s">
        <v>30295</v>
      </c>
      <c r="AH1232" t="s">
        <v>3829</v>
      </c>
      <c r="AI1232" t="s">
        <v>3830</v>
      </c>
      <c r="AJ1232" t="s">
        <v>69</v>
      </c>
      <c r="AK1232" t="s">
        <v>69</v>
      </c>
      <c r="AL1232" t="s">
        <v>69</v>
      </c>
      <c r="AM1232" t="s">
        <v>69</v>
      </c>
      <c r="AN1232">
        <v>38</v>
      </c>
      <c r="AO1232">
        <v>45</v>
      </c>
      <c r="AP1232">
        <v>45</v>
      </c>
      <c r="AQ1232">
        <v>0</v>
      </c>
      <c r="AR1232">
        <v>53</v>
      </c>
      <c r="AS1232" t="s">
        <v>8846</v>
      </c>
      <c r="AT1232" t="s">
        <v>8847</v>
      </c>
      <c r="AU1232" t="s">
        <v>8848</v>
      </c>
      <c r="AV1232" t="s">
        <v>1825</v>
      </c>
      <c r="AW1232" t="s">
        <v>3831</v>
      </c>
      <c r="AX1232" t="s">
        <v>69</v>
      </c>
      <c r="AY1232" t="s">
        <v>30296</v>
      </c>
      <c r="AZ1232" t="s">
        <v>30297</v>
      </c>
      <c r="BA1232" t="s">
        <v>586</v>
      </c>
      <c r="BB1232">
        <v>2006</v>
      </c>
      <c r="BC1232">
        <v>26</v>
      </c>
      <c r="BD1232">
        <v>2</v>
      </c>
      <c r="BE1232" t="s">
        <v>69</v>
      </c>
      <c r="BF1232" t="s">
        <v>69</v>
      </c>
      <c r="BG1232" t="s">
        <v>69</v>
      </c>
      <c r="BH1232" t="s">
        <v>69</v>
      </c>
      <c r="BI1232">
        <v>109</v>
      </c>
      <c r="BJ1232">
        <v>121</v>
      </c>
      <c r="BK1232" t="s">
        <v>69</v>
      </c>
      <c r="BL1232" t="s">
        <v>3832</v>
      </c>
      <c r="BM1232" t="str">
        <f>HYPERLINK("http://dx.doi.org/10.1002/pad.404","http://dx.doi.org/10.1002/pad.404")</f>
        <v>http://dx.doi.org/10.1002/pad.404</v>
      </c>
      <c r="BN1232" t="s">
        <v>69</v>
      </c>
      <c r="BO1232" t="s">
        <v>69</v>
      </c>
      <c r="BP1232">
        <v>13</v>
      </c>
      <c r="BQ1232" t="s">
        <v>14687</v>
      </c>
      <c r="BR1232" t="s">
        <v>30298</v>
      </c>
      <c r="BS1232" t="s">
        <v>14687</v>
      </c>
      <c r="BT1232" t="s">
        <v>30299</v>
      </c>
      <c r="BU1232" t="s">
        <v>3833</v>
      </c>
      <c r="BV1232" t="s">
        <v>69</v>
      </c>
      <c r="BW1232" t="s">
        <v>69</v>
      </c>
      <c r="BX1232" t="s">
        <v>69</v>
      </c>
      <c r="BY1232" t="s">
        <v>69</v>
      </c>
      <c r="BZ1232" t="s">
        <v>8526</v>
      </c>
      <c r="CA1232" t="str">
        <f>HYPERLINK("https%3A%2F%2Fwww.webofscience.com%2Fwos%2Fwoscc%2Ffull-record%2FWOS:000237725700003","View Full Record in Web of Science")</f>
        <v>View Full Record in Web of Science</v>
      </c>
    </row>
    <row r="1233" spans="1:79" ht="12.5" x14ac:dyDescent="0.25">
      <c r="B1233" t="s">
        <v>8495</v>
      </c>
      <c r="D1233" s="22" t="s">
        <v>32931</v>
      </c>
      <c r="E1233" s="7"/>
      <c r="F1233" s="7"/>
      <c r="G1233" s="7"/>
      <c r="H1233" t="s">
        <v>67</v>
      </c>
      <c r="I1233" t="s">
        <v>31456</v>
      </c>
      <c r="J1233" t="s">
        <v>69</v>
      </c>
      <c r="K1233" t="s">
        <v>69</v>
      </c>
      <c r="L1233" t="s">
        <v>69</v>
      </c>
      <c r="M1233" t="s">
        <v>31456</v>
      </c>
      <c r="N1233" t="s">
        <v>69</v>
      </c>
      <c r="O1233" t="s">
        <v>69</v>
      </c>
      <c r="P1233" t="s">
        <v>31457</v>
      </c>
      <c r="Q1233" t="s">
        <v>28661</v>
      </c>
      <c r="R1233" t="s">
        <v>69</v>
      </c>
      <c r="S1233" t="s">
        <v>69</v>
      </c>
      <c r="T1233" t="s">
        <v>8505</v>
      </c>
      <c r="U1233" t="s">
        <v>15797</v>
      </c>
      <c r="V1233" t="s">
        <v>31458</v>
      </c>
      <c r="W1233" t="s">
        <v>31459</v>
      </c>
      <c r="X1233" t="s">
        <v>31460</v>
      </c>
      <c r="Y1233" t="s">
        <v>31461</v>
      </c>
      <c r="Z1233" t="s">
        <v>69</v>
      </c>
      <c r="AA1233" t="s">
        <v>31462</v>
      </c>
      <c r="AB1233" t="s">
        <v>69</v>
      </c>
      <c r="AC1233" t="s">
        <v>31463</v>
      </c>
      <c r="AD1233" t="s">
        <v>31464</v>
      </c>
      <c r="AE1233" t="s">
        <v>69</v>
      </c>
      <c r="AF1233" t="s">
        <v>31465</v>
      </c>
      <c r="AG1233" t="s">
        <v>69</v>
      </c>
      <c r="AH1233" t="s">
        <v>31466</v>
      </c>
      <c r="AI1233" t="s">
        <v>31467</v>
      </c>
      <c r="AJ1233" t="s">
        <v>69</v>
      </c>
      <c r="AK1233" t="s">
        <v>69</v>
      </c>
      <c r="AL1233" t="s">
        <v>69</v>
      </c>
      <c r="AM1233" t="s">
        <v>69</v>
      </c>
      <c r="AN1233">
        <v>5</v>
      </c>
      <c r="AO1233">
        <v>57</v>
      </c>
      <c r="AP1233">
        <v>58</v>
      </c>
      <c r="AQ1233">
        <v>0</v>
      </c>
      <c r="AR1233">
        <v>2</v>
      </c>
      <c r="AS1233" t="s">
        <v>28668</v>
      </c>
      <c r="AT1233" t="s">
        <v>8763</v>
      </c>
      <c r="AU1233" t="s">
        <v>28669</v>
      </c>
      <c r="AV1233" t="s">
        <v>28670</v>
      </c>
      <c r="AW1233" t="s">
        <v>69</v>
      </c>
      <c r="AX1233" t="s">
        <v>69</v>
      </c>
      <c r="AY1233" t="s">
        <v>28672</v>
      </c>
      <c r="AZ1233" t="s">
        <v>28673</v>
      </c>
      <c r="BA1233" t="s">
        <v>586</v>
      </c>
      <c r="BB1233">
        <v>2002</v>
      </c>
      <c r="BC1233">
        <v>84</v>
      </c>
      <c r="BD1233">
        <v>3</v>
      </c>
      <c r="BE1233" t="s">
        <v>69</v>
      </c>
      <c r="BF1233" t="s">
        <v>69</v>
      </c>
      <c r="BG1233" t="s">
        <v>69</v>
      </c>
      <c r="BH1233" t="s">
        <v>69</v>
      </c>
      <c r="BI1233">
        <v>156</v>
      </c>
      <c r="BJ1233">
        <v>160</v>
      </c>
      <c r="BK1233" t="s">
        <v>69</v>
      </c>
      <c r="BL1233" t="s">
        <v>69</v>
      </c>
      <c r="BM1233" t="s">
        <v>69</v>
      </c>
      <c r="BN1233" t="s">
        <v>69</v>
      </c>
      <c r="BO1233" t="s">
        <v>69</v>
      </c>
      <c r="BP1233">
        <v>5</v>
      </c>
      <c r="BQ1233" t="s">
        <v>11956</v>
      </c>
      <c r="BR1233" t="s">
        <v>29550</v>
      </c>
      <c r="BS1233" t="s">
        <v>11956</v>
      </c>
      <c r="BT1233" t="s">
        <v>31468</v>
      </c>
      <c r="BU1233" t="s">
        <v>31469</v>
      </c>
      <c r="BV1233">
        <v>12092863</v>
      </c>
      <c r="BW1233" t="s">
        <v>69</v>
      </c>
      <c r="BX1233" t="s">
        <v>69</v>
      </c>
      <c r="BY1233" t="s">
        <v>69</v>
      </c>
      <c r="BZ1233" t="s">
        <v>8526</v>
      </c>
      <c r="CA1233" t="str">
        <f>HYPERLINK("https%3A%2F%2Fwww.webofscience.com%2Fwos%2Fwoscc%2Ffull-record%2FWOS:000176098300002","View Full Record in Web of Science")</f>
        <v>View Full Record in Web of Science</v>
      </c>
    </row>
    <row r="1234" spans="1:79" ht="12.5" x14ac:dyDescent="0.25">
      <c r="B1234" t="s">
        <v>8495</v>
      </c>
      <c r="D1234" s="7" t="s">
        <v>32933</v>
      </c>
      <c r="E1234" s="7"/>
      <c r="F1234" s="7"/>
      <c r="G1234" s="7"/>
      <c r="H1234" t="s">
        <v>67</v>
      </c>
      <c r="I1234" t="s">
        <v>8342</v>
      </c>
      <c r="J1234" t="s">
        <v>69</v>
      </c>
      <c r="K1234" t="s">
        <v>69</v>
      </c>
      <c r="L1234" t="s">
        <v>69</v>
      </c>
      <c r="M1234" t="s">
        <v>8342</v>
      </c>
      <c r="N1234" t="s">
        <v>69</v>
      </c>
      <c r="O1234" t="s">
        <v>69</v>
      </c>
      <c r="P1234" t="s">
        <v>8343</v>
      </c>
      <c r="Q1234" t="s">
        <v>8344</v>
      </c>
      <c r="R1234" t="s">
        <v>69</v>
      </c>
      <c r="S1234" t="s">
        <v>69</v>
      </c>
      <c r="T1234" t="s">
        <v>8505</v>
      </c>
      <c r="U1234" t="s">
        <v>8506</v>
      </c>
      <c r="V1234" t="s">
        <v>69</v>
      </c>
      <c r="W1234" t="s">
        <v>69</v>
      </c>
      <c r="X1234" t="s">
        <v>69</v>
      </c>
      <c r="Y1234" t="s">
        <v>69</v>
      </c>
      <c r="Z1234" t="s">
        <v>69</v>
      </c>
      <c r="AA1234" t="s">
        <v>69</v>
      </c>
      <c r="AB1234" t="s">
        <v>69</v>
      </c>
      <c r="AC1234" t="s">
        <v>8345</v>
      </c>
      <c r="AD1234" t="s">
        <v>69</v>
      </c>
      <c r="AE1234" t="s">
        <v>69</v>
      </c>
      <c r="AF1234" t="s">
        <v>32704</v>
      </c>
      <c r="AG1234" t="s">
        <v>69</v>
      </c>
      <c r="AH1234" t="s">
        <v>69</v>
      </c>
      <c r="AI1234" t="s">
        <v>69</v>
      </c>
      <c r="AJ1234" t="s">
        <v>69</v>
      </c>
      <c r="AK1234" t="s">
        <v>69</v>
      </c>
      <c r="AL1234" t="s">
        <v>69</v>
      </c>
      <c r="AM1234" t="s">
        <v>69</v>
      </c>
      <c r="AN1234">
        <v>0</v>
      </c>
      <c r="AO1234">
        <v>1</v>
      </c>
      <c r="AP1234">
        <v>1</v>
      </c>
      <c r="AQ1234">
        <v>0</v>
      </c>
      <c r="AR1234">
        <v>6</v>
      </c>
      <c r="AS1234" t="s">
        <v>9145</v>
      </c>
      <c r="AT1234" t="s">
        <v>8637</v>
      </c>
      <c r="AU1234" t="s">
        <v>9146</v>
      </c>
      <c r="AV1234" t="s">
        <v>8346</v>
      </c>
      <c r="AW1234" t="s">
        <v>8347</v>
      </c>
      <c r="AX1234" t="s">
        <v>69</v>
      </c>
      <c r="AY1234" t="s">
        <v>32705</v>
      </c>
      <c r="AZ1234" t="s">
        <v>32706</v>
      </c>
      <c r="BA1234" t="s">
        <v>69</v>
      </c>
      <c r="BB1234">
        <v>1994</v>
      </c>
      <c r="BC1234">
        <v>29</v>
      </c>
      <c r="BD1234" t="s">
        <v>8348</v>
      </c>
      <c r="BE1234" t="s">
        <v>69</v>
      </c>
      <c r="BF1234" t="s">
        <v>69</v>
      </c>
      <c r="BG1234" t="s">
        <v>69</v>
      </c>
      <c r="BH1234" t="s">
        <v>69</v>
      </c>
      <c r="BI1234">
        <v>398</v>
      </c>
      <c r="BJ1234">
        <v>400</v>
      </c>
      <c r="BK1234" t="s">
        <v>69</v>
      </c>
      <c r="BL1234" t="s">
        <v>69</v>
      </c>
      <c r="BM1234" t="s">
        <v>69</v>
      </c>
      <c r="BN1234" t="s">
        <v>69</v>
      </c>
      <c r="BO1234" t="s">
        <v>69</v>
      </c>
      <c r="BP1234">
        <v>3</v>
      </c>
      <c r="BQ1234" t="s">
        <v>10043</v>
      </c>
      <c r="BR1234" t="s">
        <v>8548</v>
      </c>
      <c r="BS1234" t="s">
        <v>10044</v>
      </c>
      <c r="BT1234" t="s">
        <v>32707</v>
      </c>
      <c r="BU1234" t="s">
        <v>8349</v>
      </c>
      <c r="BV1234" t="s">
        <v>69</v>
      </c>
      <c r="BW1234" t="s">
        <v>69</v>
      </c>
      <c r="BX1234" t="s">
        <v>69</v>
      </c>
      <c r="BY1234" t="s">
        <v>69</v>
      </c>
      <c r="BZ1234" t="s">
        <v>8526</v>
      </c>
      <c r="CA1234" t="str">
        <f>HYPERLINK("https%3A%2F%2Fwww.webofscience.com%2Fwos%2Fwoscc%2Ffull-record%2FWOS:A1994RC98400030","View Full Record in Web of Science")</f>
        <v>View Full Record in Web of Science</v>
      </c>
    </row>
    <row r="1235" spans="1:79" ht="12.5" x14ac:dyDescent="0.25">
      <c r="B1235" t="s">
        <v>8495</v>
      </c>
      <c r="D1235" s="22" t="s">
        <v>32931</v>
      </c>
      <c r="E1235" s="7"/>
      <c r="F1235" s="7"/>
      <c r="G1235" s="7"/>
      <c r="H1235" t="s">
        <v>67</v>
      </c>
      <c r="I1235" t="s">
        <v>12912</v>
      </c>
      <c r="J1235" t="s">
        <v>69</v>
      </c>
      <c r="K1235" t="s">
        <v>69</v>
      </c>
      <c r="L1235" t="s">
        <v>69</v>
      </c>
      <c r="M1235" t="s">
        <v>12913</v>
      </c>
      <c r="N1235" t="s">
        <v>69</v>
      </c>
      <c r="O1235" t="s">
        <v>69</v>
      </c>
      <c r="P1235" t="s">
        <v>12914</v>
      </c>
      <c r="Q1235" t="s">
        <v>12915</v>
      </c>
      <c r="R1235" t="s">
        <v>69</v>
      </c>
      <c r="S1235" t="s">
        <v>69</v>
      </c>
      <c r="T1235" t="s">
        <v>8505</v>
      </c>
      <c r="U1235" t="s">
        <v>8506</v>
      </c>
      <c r="V1235" t="s">
        <v>69</v>
      </c>
      <c r="W1235" t="s">
        <v>69</v>
      </c>
      <c r="X1235" t="s">
        <v>69</v>
      </c>
      <c r="Y1235" t="s">
        <v>69</v>
      </c>
      <c r="Z1235" t="s">
        <v>69</v>
      </c>
      <c r="AA1235" t="s">
        <v>69</v>
      </c>
      <c r="AB1235" t="s">
        <v>12916</v>
      </c>
      <c r="AC1235" t="s">
        <v>12917</v>
      </c>
      <c r="AD1235" t="s">
        <v>12918</v>
      </c>
      <c r="AE1235" t="s">
        <v>69</v>
      </c>
      <c r="AF1235" t="s">
        <v>12919</v>
      </c>
      <c r="AG1235" t="s">
        <v>12920</v>
      </c>
      <c r="AH1235" t="s">
        <v>69</v>
      </c>
      <c r="AI1235" t="s">
        <v>12921</v>
      </c>
      <c r="AJ1235" t="s">
        <v>12922</v>
      </c>
      <c r="AK1235" t="s">
        <v>12922</v>
      </c>
      <c r="AL1235" t="s">
        <v>12923</v>
      </c>
      <c r="AM1235" t="s">
        <v>69</v>
      </c>
      <c r="AN1235">
        <v>93</v>
      </c>
      <c r="AO1235">
        <v>1</v>
      </c>
      <c r="AP1235">
        <v>1</v>
      </c>
      <c r="AQ1235">
        <v>1</v>
      </c>
      <c r="AR1235">
        <v>3</v>
      </c>
      <c r="AS1235" t="s">
        <v>12924</v>
      </c>
      <c r="AT1235" t="s">
        <v>12925</v>
      </c>
      <c r="AU1235" t="s">
        <v>12926</v>
      </c>
      <c r="AV1235" t="s">
        <v>12927</v>
      </c>
      <c r="AW1235" t="s">
        <v>69</v>
      </c>
      <c r="AX1235" t="s">
        <v>69</v>
      </c>
      <c r="AY1235" t="s">
        <v>12915</v>
      </c>
      <c r="AZ1235" t="s">
        <v>12928</v>
      </c>
      <c r="BA1235" t="s">
        <v>94</v>
      </c>
      <c r="BB1235">
        <v>2021</v>
      </c>
      <c r="BC1235">
        <v>26</v>
      </c>
      <c r="BD1235">
        <v>1</v>
      </c>
      <c r="BE1235" t="s">
        <v>69</v>
      </c>
      <c r="BF1235" t="s">
        <v>69</v>
      </c>
      <c r="BG1235" t="s">
        <v>69</v>
      </c>
      <c r="BH1235" t="s">
        <v>69</v>
      </c>
      <c r="BI1235">
        <v>65</v>
      </c>
      <c r="BJ1235">
        <v>86</v>
      </c>
      <c r="BK1235" t="s">
        <v>69</v>
      </c>
      <c r="BL1235" t="s">
        <v>12929</v>
      </c>
      <c r="BM1235" t="str">
        <f>HYPERLINK("http://dx.doi.org/10.17813/1086-671X-26-1-65","http://dx.doi.org/10.17813/1086-671X-26-1-65")</f>
        <v>http://dx.doi.org/10.17813/1086-671X-26-1-65</v>
      </c>
      <c r="BN1235" t="s">
        <v>69</v>
      </c>
      <c r="BO1235" t="s">
        <v>69</v>
      </c>
      <c r="BP1235">
        <v>22</v>
      </c>
      <c r="BQ1235" t="s">
        <v>12930</v>
      </c>
      <c r="BR1235" t="s">
        <v>8661</v>
      </c>
      <c r="BS1235" t="s">
        <v>12930</v>
      </c>
      <c r="BT1235" t="s">
        <v>12931</v>
      </c>
      <c r="BU1235" t="s">
        <v>12932</v>
      </c>
      <c r="BV1235" t="s">
        <v>69</v>
      </c>
      <c r="BW1235" t="s">
        <v>69</v>
      </c>
      <c r="BX1235" t="s">
        <v>69</v>
      </c>
      <c r="BY1235" t="s">
        <v>69</v>
      </c>
      <c r="BZ1235" t="s">
        <v>8526</v>
      </c>
      <c r="CA1235" t="str">
        <f>HYPERLINK("https%3A%2F%2Fwww.webofscience.com%2Fwos%2Fwoscc%2Ffull-record%2FWOS:000634845100004","View Full Record in Web of Science")</f>
        <v>View Full Record in Web of Science</v>
      </c>
    </row>
    <row r="1236" spans="1:79" ht="12.5" x14ac:dyDescent="0.25">
      <c r="B1236" t="s">
        <v>8495</v>
      </c>
      <c r="D1236" s="7" t="s">
        <v>32933</v>
      </c>
      <c r="E1236" s="7"/>
      <c r="F1236" s="7"/>
      <c r="G1236" s="7"/>
      <c r="H1236" t="s">
        <v>67</v>
      </c>
      <c r="I1236" t="s">
        <v>2665</v>
      </c>
      <c r="J1236" t="s">
        <v>69</v>
      </c>
      <c r="K1236" t="s">
        <v>69</v>
      </c>
      <c r="L1236" t="s">
        <v>69</v>
      </c>
      <c r="M1236" t="s">
        <v>2666</v>
      </c>
      <c r="N1236" t="s">
        <v>69</v>
      </c>
      <c r="O1236" t="s">
        <v>69</v>
      </c>
      <c r="P1236" t="s">
        <v>2667</v>
      </c>
      <c r="Q1236" t="s">
        <v>2668</v>
      </c>
      <c r="R1236" t="s">
        <v>69</v>
      </c>
      <c r="S1236" t="s">
        <v>69</v>
      </c>
      <c r="T1236" t="s">
        <v>8505</v>
      </c>
      <c r="U1236" t="s">
        <v>8506</v>
      </c>
      <c r="V1236" t="s">
        <v>69</v>
      </c>
      <c r="W1236" t="s">
        <v>69</v>
      </c>
      <c r="X1236" t="s">
        <v>69</v>
      </c>
      <c r="Y1236" t="s">
        <v>69</v>
      </c>
      <c r="Z1236" t="s">
        <v>69</v>
      </c>
      <c r="AA1236" t="s">
        <v>20903</v>
      </c>
      <c r="AB1236" t="s">
        <v>20904</v>
      </c>
      <c r="AC1236" t="s">
        <v>2669</v>
      </c>
      <c r="AD1236" t="s">
        <v>20905</v>
      </c>
      <c r="AE1236" t="s">
        <v>69</v>
      </c>
      <c r="AF1236" t="s">
        <v>20906</v>
      </c>
      <c r="AG1236" t="s">
        <v>20907</v>
      </c>
      <c r="AH1236" t="s">
        <v>69</v>
      </c>
      <c r="AI1236" t="s">
        <v>69</v>
      </c>
      <c r="AJ1236" t="s">
        <v>20908</v>
      </c>
      <c r="AK1236" t="s">
        <v>20909</v>
      </c>
      <c r="AL1236" t="s">
        <v>20910</v>
      </c>
      <c r="AM1236" t="s">
        <v>69</v>
      </c>
      <c r="AN1236">
        <v>36</v>
      </c>
      <c r="AO1236">
        <v>3</v>
      </c>
      <c r="AP1236">
        <v>3</v>
      </c>
      <c r="AQ1236">
        <v>2</v>
      </c>
      <c r="AR1236">
        <v>12</v>
      </c>
      <c r="AS1236" t="s">
        <v>8865</v>
      </c>
      <c r="AT1236" t="s">
        <v>8612</v>
      </c>
      <c r="AU1236" t="s">
        <v>8866</v>
      </c>
      <c r="AV1236" t="s">
        <v>2670</v>
      </c>
      <c r="AW1236" t="s">
        <v>2671</v>
      </c>
      <c r="AX1236" t="s">
        <v>69</v>
      </c>
      <c r="AY1236" t="s">
        <v>20911</v>
      </c>
      <c r="AZ1236" t="s">
        <v>20912</v>
      </c>
      <c r="BA1236" t="s">
        <v>69</v>
      </c>
      <c r="BB1236">
        <v>2017</v>
      </c>
      <c r="BC1236">
        <v>28</v>
      </c>
      <c r="BD1236">
        <v>14</v>
      </c>
      <c r="BE1236" t="s">
        <v>69</v>
      </c>
      <c r="BF1236" t="s">
        <v>69</v>
      </c>
      <c r="BG1236" t="s">
        <v>69</v>
      </c>
      <c r="BH1236" t="s">
        <v>69</v>
      </c>
      <c r="BI1236">
        <v>2017</v>
      </c>
      <c r="BJ1236">
        <v>2035</v>
      </c>
      <c r="BK1236" t="s">
        <v>69</v>
      </c>
      <c r="BL1236" t="s">
        <v>2672</v>
      </c>
      <c r="BM1236" t="str">
        <f>HYPERLINK("http://dx.doi.org/10.1080/09585192.2015.1136670","http://dx.doi.org/10.1080/09585192.2015.1136670")</f>
        <v>http://dx.doi.org/10.1080/09585192.2015.1136670</v>
      </c>
      <c r="BN1236" t="s">
        <v>69</v>
      </c>
      <c r="BO1236" t="s">
        <v>69</v>
      </c>
      <c r="BP1236">
        <v>19</v>
      </c>
      <c r="BQ1236" t="s">
        <v>9410</v>
      </c>
      <c r="BR1236" t="s">
        <v>8661</v>
      </c>
      <c r="BS1236" t="s">
        <v>8594</v>
      </c>
      <c r="BT1236" t="s">
        <v>20913</v>
      </c>
      <c r="BU1236" t="s">
        <v>2673</v>
      </c>
      <c r="BV1236" t="s">
        <v>69</v>
      </c>
      <c r="BW1236" t="s">
        <v>9292</v>
      </c>
      <c r="BX1236" t="s">
        <v>69</v>
      </c>
      <c r="BY1236" t="s">
        <v>69</v>
      </c>
      <c r="BZ1236" t="s">
        <v>8526</v>
      </c>
      <c r="CA1236" t="str">
        <f>HYPERLINK("https%3A%2F%2Fwww.webofscience.com%2Fwos%2Fwoscc%2Ffull-record%2FWOS:000402641300006","View Full Record in Web of Science")</f>
        <v>View Full Record in Web of Science</v>
      </c>
    </row>
    <row r="1237" spans="1:79" ht="12.5" x14ac:dyDescent="0.25">
      <c r="B1237" t="s">
        <v>8495</v>
      </c>
      <c r="D1237" s="22" t="s">
        <v>32931</v>
      </c>
      <c r="E1237" s="7"/>
      <c r="F1237" s="7"/>
      <c r="G1237" s="7"/>
      <c r="H1237" t="s">
        <v>67</v>
      </c>
      <c r="I1237" t="s">
        <v>13814</v>
      </c>
      <c r="J1237" t="s">
        <v>69</v>
      </c>
      <c r="K1237" t="s">
        <v>69</v>
      </c>
      <c r="L1237" t="s">
        <v>69</v>
      </c>
      <c r="M1237" t="s">
        <v>13815</v>
      </c>
      <c r="N1237" t="s">
        <v>69</v>
      </c>
      <c r="O1237" t="s">
        <v>69</v>
      </c>
      <c r="P1237" t="s">
        <v>13816</v>
      </c>
      <c r="Q1237" t="s">
        <v>13817</v>
      </c>
      <c r="R1237" t="s">
        <v>69</v>
      </c>
      <c r="S1237" t="s">
        <v>69</v>
      </c>
      <c r="T1237" t="s">
        <v>8505</v>
      </c>
      <c r="U1237" t="s">
        <v>8506</v>
      </c>
      <c r="V1237" t="s">
        <v>69</v>
      </c>
      <c r="W1237" t="s">
        <v>69</v>
      </c>
      <c r="X1237" t="s">
        <v>69</v>
      </c>
      <c r="Y1237" t="s">
        <v>69</v>
      </c>
      <c r="Z1237" t="s">
        <v>69</v>
      </c>
      <c r="AA1237" t="s">
        <v>13818</v>
      </c>
      <c r="AB1237" t="s">
        <v>69</v>
      </c>
      <c r="AC1237" t="s">
        <v>13819</v>
      </c>
      <c r="AD1237" t="s">
        <v>69</v>
      </c>
      <c r="AE1237" t="s">
        <v>69</v>
      </c>
      <c r="AF1237" t="s">
        <v>69</v>
      </c>
      <c r="AG1237" t="s">
        <v>13820</v>
      </c>
      <c r="AH1237" t="s">
        <v>69</v>
      </c>
      <c r="AI1237" t="s">
        <v>69</v>
      </c>
      <c r="AJ1237" t="s">
        <v>69</v>
      </c>
      <c r="AK1237" t="s">
        <v>69</v>
      </c>
      <c r="AL1237" t="s">
        <v>69</v>
      </c>
      <c r="AM1237" t="s">
        <v>69</v>
      </c>
      <c r="AN1237">
        <v>18</v>
      </c>
      <c r="AO1237">
        <v>0</v>
      </c>
      <c r="AP1237">
        <v>0</v>
      </c>
      <c r="AQ1237">
        <v>0</v>
      </c>
      <c r="AR1237">
        <v>0</v>
      </c>
      <c r="AS1237" t="s">
        <v>8846</v>
      </c>
      <c r="AT1237" t="s">
        <v>8847</v>
      </c>
      <c r="AU1237" t="s">
        <v>8848</v>
      </c>
      <c r="AV1237" t="s">
        <v>13821</v>
      </c>
      <c r="AW1237" t="s">
        <v>69</v>
      </c>
      <c r="AX1237" t="s">
        <v>69</v>
      </c>
      <c r="AY1237" t="s">
        <v>13822</v>
      </c>
      <c r="AZ1237" t="s">
        <v>13823</v>
      </c>
      <c r="BA1237" t="s">
        <v>373</v>
      </c>
      <c r="BB1237">
        <v>2021</v>
      </c>
      <c r="BC1237">
        <v>33</v>
      </c>
      <c r="BD1237">
        <v>1</v>
      </c>
      <c r="BE1237" t="s">
        <v>69</v>
      </c>
      <c r="BF1237" t="s">
        <v>69</v>
      </c>
      <c r="BG1237" t="s">
        <v>69</v>
      </c>
      <c r="BH1237" t="s">
        <v>69</v>
      </c>
      <c r="BI1237">
        <v>69</v>
      </c>
      <c r="BJ1237">
        <v>73</v>
      </c>
      <c r="BK1237" t="s">
        <v>69</v>
      </c>
      <c r="BL1237" t="s">
        <v>13824</v>
      </c>
      <c r="BM1237" t="str">
        <f>HYPERLINK("http://dx.doi.org/10.1002/nha3.20306","http://dx.doi.org/10.1002/nha3.20306")</f>
        <v>http://dx.doi.org/10.1002/nha3.20306</v>
      </c>
      <c r="BN1237" t="s">
        <v>69</v>
      </c>
      <c r="BO1237" t="s">
        <v>69</v>
      </c>
      <c r="BP1237">
        <v>5</v>
      </c>
      <c r="BQ1237" t="s">
        <v>13825</v>
      </c>
      <c r="BR1237" t="s">
        <v>8573</v>
      </c>
      <c r="BS1237" t="s">
        <v>8594</v>
      </c>
      <c r="BT1237" t="s">
        <v>13826</v>
      </c>
      <c r="BU1237" t="s">
        <v>13827</v>
      </c>
      <c r="BV1237" t="s">
        <v>69</v>
      </c>
      <c r="BW1237" t="s">
        <v>69</v>
      </c>
      <c r="BX1237" t="s">
        <v>69</v>
      </c>
      <c r="BY1237" t="s">
        <v>69</v>
      </c>
      <c r="BZ1237" t="s">
        <v>8526</v>
      </c>
      <c r="CA1237" t="str">
        <f>HYPERLINK("https%3A%2F%2Fwww.webofscience.com%2Fwos%2Fwoscc%2Ffull-record%2FWOS:000615170900006","View Full Record in Web of Science")</f>
        <v>View Full Record in Web of Science</v>
      </c>
    </row>
    <row r="1238" spans="1:79" ht="12.5" x14ac:dyDescent="0.25">
      <c r="B1238" t="s">
        <v>8495</v>
      </c>
      <c r="D1238" s="22" t="s">
        <v>32931</v>
      </c>
      <c r="E1238" s="7"/>
      <c r="F1238" s="7"/>
      <c r="G1238" s="7"/>
      <c r="H1238" t="s">
        <v>67</v>
      </c>
      <c r="I1238" t="s">
        <v>22345</v>
      </c>
      <c r="J1238" t="s">
        <v>69</v>
      </c>
      <c r="K1238" t="s">
        <v>69</v>
      </c>
      <c r="L1238" t="s">
        <v>69</v>
      </c>
      <c r="M1238" t="s">
        <v>22346</v>
      </c>
      <c r="N1238" t="s">
        <v>69</v>
      </c>
      <c r="O1238" t="s">
        <v>69</v>
      </c>
      <c r="P1238" t="s">
        <v>22347</v>
      </c>
      <c r="Q1238" t="s">
        <v>14776</v>
      </c>
      <c r="R1238" t="s">
        <v>69</v>
      </c>
      <c r="S1238" t="s">
        <v>69</v>
      </c>
      <c r="T1238" t="s">
        <v>8505</v>
      </c>
      <c r="U1238" t="s">
        <v>8506</v>
      </c>
      <c r="V1238" t="s">
        <v>69</v>
      </c>
      <c r="W1238" t="s">
        <v>69</v>
      </c>
      <c r="X1238" t="s">
        <v>69</v>
      </c>
      <c r="Y1238" t="s">
        <v>69</v>
      </c>
      <c r="Z1238" t="s">
        <v>69</v>
      </c>
      <c r="AA1238" t="s">
        <v>22348</v>
      </c>
      <c r="AB1238" t="s">
        <v>22349</v>
      </c>
      <c r="AC1238" t="s">
        <v>22350</v>
      </c>
      <c r="AD1238" t="s">
        <v>22351</v>
      </c>
      <c r="AE1238" t="s">
        <v>69</v>
      </c>
      <c r="AF1238" t="s">
        <v>22352</v>
      </c>
      <c r="AG1238" t="s">
        <v>22353</v>
      </c>
      <c r="AH1238" t="s">
        <v>22354</v>
      </c>
      <c r="AI1238" t="s">
        <v>22355</v>
      </c>
      <c r="AJ1238" t="s">
        <v>69</v>
      </c>
      <c r="AK1238" t="s">
        <v>69</v>
      </c>
      <c r="AL1238" t="s">
        <v>69</v>
      </c>
      <c r="AM1238" t="s">
        <v>69</v>
      </c>
      <c r="AN1238">
        <v>32</v>
      </c>
      <c r="AO1238">
        <v>5</v>
      </c>
      <c r="AP1238">
        <v>5</v>
      </c>
      <c r="AQ1238">
        <v>0</v>
      </c>
      <c r="AR1238">
        <v>9</v>
      </c>
      <c r="AS1238" t="s">
        <v>18749</v>
      </c>
      <c r="AT1238" t="s">
        <v>8763</v>
      </c>
      <c r="AU1238" t="s">
        <v>18750</v>
      </c>
      <c r="AV1238" t="s">
        <v>14787</v>
      </c>
      <c r="AW1238" t="s">
        <v>69</v>
      </c>
      <c r="AX1238" t="s">
        <v>69</v>
      </c>
      <c r="AY1238" t="s">
        <v>14788</v>
      </c>
      <c r="AZ1238" t="s">
        <v>14789</v>
      </c>
      <c r="BA1238" t="s">
        <v>22356</v>
      </c>
      <c r="BB1238">
        <v>2015</v>
      </c>
      <c r="BC1238">
        <v>4</v>
      </c>
      <c r="BD1238" t="s">
        <v>69</v>
      </c>
      <c r="BE1238" t="s">
        <v>69</v>
      </c>
      <c r="BF1238" t="s">
        <v>69</v>
      </c>
      <c r="BG1238" t="s">
        <v>69</v>
      </c>
      <c r="BH1238" t="s">
        <v>69</v>
      </c>
      <c r="BI1238" t="s">
        <v>69</v>
      </c>
      <c r="BJ1238" t="s">
        <v>69</v>
      </c>
      <c r="BK1238">
        <v>47</v>
      </c>
      <c r="BL1238" t="s">
        <v>22357</v>
      </c>
      <c r="BM1238" t="str">
        <f>HYPERLINK("http://dx.doi.org/10.1186/s13756-015-0090-3","http://dx.doi.org/10.1186/s13756-015-0090-3")</f>
        <v>http://dx.doi.org/10.1186/s13756-015-0090-3</v>
      </c>
      <c r="BN1238" t="s">
        <v>69</v>
      </c>
      <c r="BO1238" t="s">
        <v>69</v>
      </c>
      <c r="BP1238">
        <v>9</v>
      </c>
      <c r="BQ1238" t="s">
        <v>14792</v>
      </c>
      <c r="BR1238" t="s">
        <v>8548</v>
      </c>
      <c r="BS1238" t="s">
        <v>14792</v>
      </c>
      <c r="BT1238" t="s">
        <v>22358</v>
      </c>
      <c r="BU1238" t="s">
        <v>22359</v>
      </c>
      <c r="BV1238">
        <v>26579221</v>
      </c>
      <c r="BW1238" t="s">
        <v>8812</v>
      </c>
      <c r="BX1238" t="s">
        <v>69</v>
      </c>
      <c r="BY1238" t="s">
        <v>69</v>
      </c>
      <c r="BZ1238" t="s">
        <v>8526</v>
      </c>
      <c r="CA1238" t="str">
        <f>HYPERLINK("https%3A%2F%2Fwww.webofscience.com%2Fwos%2Fwoscc%2Ffull-record%2FWOS:000367372100001","View Full Record in Web of Science")</f>
        <v>View Full Record in Web of Science</v>
      </c>
    </row>
    <row r="1239" spans="1:79" ht="12.5" x14ac:dyDescent="0.25">
      <c r="B1239" t="s">
        <v>8495</v>
      </c>
      <c r="D1239" s="7" t="s">
        <v>32933</v>
      </c>
      <c r="E1239" s="7"/>
      <c r="F1239" s="7"/>
      <c r="G1239" s="7"/>
      <c r="H1239" t="s">
        <v>67</v>
      </c>
      <c r="I1239" t="s">
        <v>2341</v>
      </c>
      <c r="J1239" t="s">
        <v>69</v>
      </c>
      <c r="K1239" t="s">
        <v>69</v>
      </c>
      <c r="L1239" t="s">
        <v>69</v>
      </c>
      <c r="M1239" t="s">
        <v>2342</v>
      </c>
      <c r="N1239" t="s">
        <v>69</v>
      </c>
      <c r="O1239" t="s">
        <v>69</v>
      </c>
      <c r="P1239" t="s">
        <v>2343</v>
      </c>
      <c r="Q1239" t="s">
        <v>179</v>
      </c>
      <c r="R1239" t="s">
        <v>69</v>
      </c>
      <c r="S1239" t="s">
        <v>69</v>
      </c>
      <c r="T1239" t="s">
        <v>8505</v>
      </c>
      <c r="U1239" t="s">
        <v>8506</v>
      </c>
      <c r="V1239" t="s">
        <v>69</v>
      </c>
      <c r="W1239" t="s">
        <v>69</v>
      </c>
      <c r="X1239" t="s">
        <v>69</v>
      </c>
      <c r="Y1239" t="s">
        <v>69</v>
      </c>
      <c r="Z1239" t="s">
        <v>69</v>
      </c>
      <c r="AA1239" t="s">
        <v>18141</v>
      </c>
      <c r="AB1239" t="s">
        <v>18142</v>
      </c>
      <c r="AC1239" t="s">
        <v>2344</v>
      </c>
      <c r="AD1239" t="s">
        <v>18143</v>
      </c>
      <c r="AE1239" t="s">
        <v>69</v>
      </c>
      <c r="AF1239" t="s">
        <v>18144</v>
      </c>
      <c r="AG1239" t="s">
        <v>18145</v>
      </c>
      <c r="AH1239" t="s">
        <v>18146</v>
      </c>
      <c r="AI1239" t="s">
        <v>18147</v>
      </c>
      <c r="AJ1239" t="s">
        <v>18148</v>
      </c>
      <c r="AK1239" t="s">
        <v>18149</v>
      </c>
      <c r="AL1239" t="s">
        <v>18150</v>
      </c>
      <c r="AM1239" t="s">
        <v>69</v>
      </c>
      <c r="AN1239">
        <v>56</v>
      </c>
      <c r="AO1239">
        <v>9</v>
      </c>
      <c r="AP1239">
        <v>9</v>
      </c>
      <c r="AQ1239">
        <v>2</v>
      </c>
      <c r="AR1239">
        <v>18</v>
      </c>
      <c r="AS1239" t="s">
        <v>9047</v>
      </c>
      <c r="AT1239" t="s">
        <v>8693</v>
      </c>
      <c r="AU1239" t="s">
        <v>16643</v>
      </c>
      <c r="AV1239" t="s">
        <v>181</v>
      </c>
      <c r="AW1239" t="s">
        <v>182</v>
      </c>
      <c r="AX1239" t="s">
        <v>69</v>
      </c>
      <c r="AY1239" t="s">
        <v>17432</v>
      </c>
      <c r="AZ1239" t="s">
        <v>17433</v>
      </c>
      <c r="BA1239" t="s">
        <v>274</v>
      </c>
      <c r="BB1239">
        <v>2018</v>
      </c>
      <c r="BC1239">
        <v>62</v>
      </c>
      <c r="BD1239">
        <v>5</v>
      </c>
      <c r="BE1239" t="s">
        <v>69</v>
      </c>
      <c r="BF1239" t="s">
        <v>69</v>
      </c>
      <c r="BG1239" t="s">
        <v>69</v>
      </c>
      <c r="BH1239" t="s">
        <v>69</v>
      </c>
      <c r="BI1239">
        <v>929</v>
      </c>
      <c r="BJ1239">
        <v>941</v>
      </c>
      <c r="BK1239" t="s">
        <v>69</v>
      </c>
      <c r="BL1239" t="s">
        <v>2345</v>
      </c>
      <c r="BM1239" t="str">
        <f>HYPERLINK("http://dx.doi.org/10.1007/s00267-018-1086-6","http://dx.doi.org/10.1007/s00267-018-1086-6")</f>
        <v>http://dx.doi.org/10.1007/s00267-018-1086-6</v>
      </c>
      <c r="BN1239" t="s">
        <v>69</v>
      </c>
      <c r="BO1239" t="s">
        <v>69</v>
      </c>
      <c r="BP1239">
        <v>13</v>
      </c>
      <c r="BQ1239" t="s">
        <v>8717</v>
      </c>
      <c r="BR1239" t="s">
        <v>8548</v>
      </c>
      <c r="BS1239" t="s">
        <v>8662</v>
      </c>
      <c r="BT1239" t="s">
        <v>18151</v>
      </c>
      <c r="BU1239" t="s">
        <v>2346</v>
      </c>
      <c r="BV1239">
        <v>30039241</v>
      </c>
      <c r="BW1239" t="s">
        <v>69</v>
      </c>
      <c r="BX1239" t="s">
        <v>69</v>
      </c>
      <c r="BY1239" t="s">
        <v>69</v>
      </c>
      <c r="BZ1239" t="s">
        <v>8526</v>
      </c>
      <c r="CA1239" t="str">
        <f>HYPERLINK("https%3A%2F%2Fwww.webofscience.com%2Fwos%2Fwoscc%2Ffull-record%2FWOS:000449306600009","View Full Record in Web of Science")</f>
        <v>View Full Record in Web of Science</v>
      </c>
    </row>
    <row r="1240" spans="1:79" ht="12.5" x14ac:dyDescent="0.25">
      <c r="B1240" t="s">
        <v>8495</v>
      </c>
      <c r="D1240" s="7" t="s">
        <v>32933</v>
      </c>
      <c r="E1240" s="7"/>
      <c r="F1240" s="7"/>
      <c r="G1240" s="7"/>
      <c r="H1240" t="s">
        <v>67</v>
      </c>
      <c r="I1240" t="s">
        <v>4989</v>
      </c>
      <c r="J1240" t="s">
        <v>69</v>
      </c>
      <c r="K1240" t="s">
        <v>69</v>
      </c>
      <c r="L1240" t="s">
        <v>69</v>
      </c>
      <c r="M1240" t="s">
        <v>4990</v>
      </c>
      <c r="N1240" t="s">
        <v>69</v>
      </c>
      <c r="O1240" t="s">
        <v>69</v>
      </c>
      <c r="P1240" t="s">
        <v>4991</v>
      </c>
      <c r="Q1240" t="s">
        <v>3421</v>
      </c>
      <c r="R1240" t="s">
        <v>69</v>
      </c>
      <c r="S1240" t="s">
        <v>69</v>
      </c>
      <c r="T1240" t="s">
        <v>8505</v>
      </c>
      <c r="U1240" t="s">
        <v>8506</v>
      </c>
      <c r="V1240" t="s">
        <v>69</v>
      </c>
      <c r="W1240" t="s">
        <v>69</v>
      </c>
      <c r="X1240" t="s">
        <v>69</v>
      </c>
      <c r="Y1240" t="s">
        <v>69</v>
      </c>
      <c r="Z1240" t="s">
        <v>69</v>
      </c>
      <c r="AA1240" t="s">
        <v>17331</v>
      </c>
      <c r="AB1240" t="s">
        <v>17332</v>
      </c>
      <c r="AC1240" t="s">
        <v>4992</v>
      </c>
      <c r="AD1240" t="s">
        <v>17333</v>
      </c>
      <c r="AE1240" t="s">
        <v>69</v>
      </c>
      <c r="AF1240" t="s">
        <v>17334</v>
      </c>
      <c r="AG1240" t="s">
        <v>17335</v>
      </c>
      <c r="AH1240" t="s">
        <v>69</v>
      </c>
      <c r="AI1240" t="s">
        <v>69</v>
      </c>
      <c r="AJ1240" t="s">
        <v>69</v>
      </c>
      <c r="AK1240" t="s">
        <v>69</v>
      </c>
      <c r="AL1240" t="s">
        <v>69</v>
      </c>
      <c r="AM1240" t="s">
        <v>69</v>
      </c>
      <c r="AN1240">
        <v>41</v>
      </c>
      <c r="AO1240">
        <v>4</v>
      </c>
      <c r="AP1240">
        <v>4</v>
      </c>
      <c r="AQ1240">
        <v>5</v>
      </c>
      <c r="AR1240">
        <v>15</v>
      </c>
      <c r="AS1240" t="s">
        <v>8865</v>
      </c>
      <c r="AT1240" t="s">
        <v>8612</v>
      </c>
      <c r="AU1240" t="s">
        <v>8866</v>
      </c>
      <c r="AV1240" t="s">
        <v>3424</v>
      </c>
      <c r="AW1240" t="s">
        <v>4993</v>
      </c>
      <c r="AX1240" t="s">
        <v>69</v>
      </c>
      <c r="AY1240" t="s">
        <v>16878</v>
      </c>
      <c r="AZ1240" t="s">
        <v>16879</v>
      </c>
      <c r="BA1240" t="s">
        <v>4994</v>
      </c>
      <c r="BB1240">
        <v>2019</v>
      </c>
      <c r="BC1240">
        <v>62</v>
      </c>
      <c r="BD1240">
        <v>11</v>
      </c>
      <c r="BE1240" t="s">
        <v>69</v>
      </c>
      <c r="BF1240" t="s">
        <v>69</v>
      </c>
      <c r="BG1240" t="s">
        <v>69</v>
      </c>
      <c r="BH1240" t="s">
        <v>69</v>
      </c>
      <c r="BI1240">
        <v>1908</v>
      </c>
      <c r="BJ1240">
        <v>1928</v>
      </c>
      <c r="BK1240" t="s">
        <v>69</v>
      </c>
      <c r="BL1240" t="s">
        <v>4995</v>
      </c>
      <c r="BM1240" t="str">
        <f>HYPERLINK("http://dx.doi.org/10.1080/09640568.2018.1523051","http://dx.doi.org/10.1080/09640568.2018.1523051")</f>
        <v>http://dx.doi.org/10.1080/09640568.2018.1523051</v>
      </c>
      <c r="BN1240" t="s">
        <v>69</v>
      </c>
      <c r="BO1240" t="s">
        <v>4996</v>
      </c>
      <c r="BP1240">
        <v>21</v>
      </c>
      <c r="BQ1240" t="s">
        <v>14686</v>
      </c>
      <c r="BR1240" t="s">
        <v>8661</v>
      </c>
      <c r="BS1240" t="s">
        <v>14687</v>
      </c>
      <c r="BT1240" t="s">
        <v>17336</v>
      </c>
      <c r="BU1240" t="s">
        <v>4997</v>
      </c>
      <c r="BV1240" t="s">
        <v>69</v>
      </c>
      <c r="BW1240" t="s">
        <v>69</v>
      </c>
      <c r="BX1240" t="s">
        <v>69</v>
      </c>
      <c r="BY1240" t="s">
        <v>69</v>
      </c>
      <c r="BZ1240" t="s">
        <v>8526</v>
      </c>
      <c r="CA1240" t="str">
        <f>HYPERLINK("https%3A%2F%2Fwww.webofscience.com%2Fwos%2Fwoscc%2Ffull-record%2FWOS:000466008000001","View Full Record in Web of Science")</f>
        <v>View Full Record in Web of Science</v>
      </c>
    </row>
    <row r="1241" spans="1:79" ht="12.5" x14ac:dyDescent="0.25">
      <c r="B1241" t="s">
        <v>8495</v>
      </c>
      <c r="D1241" s="22" t="s">
        <v>32931</v>
      </c>
      <c r="E1241" s="7"/>
      <c r="F1241" s="7"/>
      <c r="G1241" s="7"/>
      <c r="H1241" t="s">
        <v>67</v>
      </c>
      <c r="I1241" t="s">
        <v>26752</v>
      </c>
      <c r="J1241" t="s">
        <v>69</v>
      </c>
      <c r="K1241" t="s">
        <v>69</v>
      </c>
      <c r="L1241" t="s">
        <v>69</v>
      </c>
      <c r="M1241" t="s">
        <v>26753</v>
      </c>
      <c r="N1241" t="s">
        <v>69</v>
      </c>
      <c r="O1241" t="s">
        <v>69</v>
      </c>
      <c r="P1241" t="s">
        <v>26754</v>
      </c>
      <c r="Q1241" t="s">
        <v>26755</v>
      </c>
      <c r="R1241" t="s">
        <v>69</v>
      </c>
      <c r="S1241" t="s">
        <v>69</v>
      </c>
      <c r="T1241" t="s">
        <v>8505</v>
      </c>
      <c r="U1241" t="s">
        <v>8506</v>
      </c>
      <c r="V1241" t="s">
        <v>69</v>
      </c>
      <c r="W1241" t="s">
        <v>69</v>
      </c>
      <c r="X1241" t="s">
        <v>69</v>
      </c>
      <c r="Y1241" t="s">
        <v>69</v>
      </c>
      <c r="Z1241" t="s">
        <v>69</v>
      </c>
      <c r="AA1241" t="s">
        <v>26756</v>
      </c>
      <c r="AB1241" t="s">
        <v>69</v>
      </c>
      <c r="AC1241" t="s">
        <v>26757</v>
      </c>
      <c r="AD1241" t="s">
        <v>26758</v>
      </c>
      <c r="AE1241" t="s">
        <v>69</v>
      </c>
      <c r="AF1241" t="s">
        <v>26759</v>
      </c>
      <c r="AG1241" t="s">
        <v>26760</v>
      </c>
      <c r="AH1241" t="s">
        <v>69</v>
      </c>
      <c r="AI1241" t="s">
        <v>69</v>
      </c>
      <c r="AJ1241" t="s">
        <v>69</v>
      </c>
      <c r="AK1241" t="s">
        <v>69</v>
      </c>
      <c r="AL1241" t="s">
        <v>69</v>
      </c>
      <c r="AM1241" t="s">
        <v>69</v>
      </c>
      <c r="AN1241">
        <v>12</v>
      </c>
      <c r="AO1241">
        <v>1</v>
      </c>
      <c r="AP1241">
        <v>1</v>
      </c>
      <c r="AQ1241">
        <v>0</v>
      </c>
      <c r="AR1241">
        <v>0</v>
      </c>
      <c r="AS1241" t="s">
        <v>26761</v>
      </c>
      <c r="AT1241" t="s">
        <v>26762</v>
      </c>
      <c r="AU1241" t="s">
        <v>26763</v>
      </c>
      <c r="AV1241" t="s">
        <v>26764</v>
      </c>
      <c r="AW1241" t="s">
        <v>69</v>
      </c>
      <c r="AX1241" t="s">
        <v>69</v>
      </c>
      <c r="AY1241" t="s">
        <v>26765</v>
      </c>
      <c r="AZ1241" t="s">
        <v>26766</v>
      </c>
      <c r="BA1241" t="s">
        <v>3964</v>
      </c>
      <c r="BB1241">
        <v>2011</v>
      </c>
      <c r="BC1241">
        <v>5</v>
      </c>
      <c r="BD1241">
        <v>4</v>
      </c>
      <c r="BE1241" t="s">
        <v>69</v>
      </c>
      <c r="BF1241" t="s">
        <v>69</v>
      </c>
      <c r="BG1241" t="s">
        <v>69</v>
      </c>
      <c r="BH1241" t="s">
        <v>69</v>
      </c>
      <c r="BI1241">
        <v>768</v>
      </c>
      <c r="BJ1241">
        <v>770</v>
      </c>
      <c r="BK1241" t="s">
        <v>69</v>
      </c>
      <c r="BL1241" t="s">
        <v>69</v>
      </c>
      <c r="BM1241" t="s">
        <v>69</v>
      </c>
      <c r="BN1241" t="s">
        <v>69</v>
      </c>
      <c r="BO1241" t="s">
        <v>69</v>
      </c>
      <c r="BP1241">
        <v>3</v>
      </c>
      <c r="BQ1241" t="s">
        <v>9450</v>
      </c>
      <c r="BR1241" t="s">
        <v>8573</v>
      </c>
      <c r="BS1241" t="s">
        <v>9451</v>
      </c>
      <c r="BT1241" t="s">
        <v>26767</v>
      </c>
      <c r="BU1241" t="s">
        <v>26768</v>
      </c>
      <c r="BV1241" t="s">
        <v>69</v>
      </c>
      <c r="BW1241" t="s">
        <v>69</v>
      </c>
      <c r="BX1241" t="s">
        <v>69</v>
      </c>
      <c r="BY1241" t="s">
        <v>69</v>
      </c>
      <c r="BZ1241" t="s">
        <v>8526</v>
      </c>
      <c r="CA1241" t="str">
        <f>HYPERLINK("https%3A%2F%2Fwww.webofscience.com%2Fwos%2Fwoscc%2Ffull-record%2FWOS:000421644300043","View Full Record in Web of Science")</f>
        <v>View Full Record in Web of Science</v>
      </c>
    </row>
    <row r="1242" spans="1:79" ht="12.5" x14ac:dyDescent="0.25">
      <c r="B1242" t="s">
        <v>8495</v>
      </c>
      <c r="D1242" s="7" t="s">
        <v>32933</v>
      </c>
      <c r="E1242" s="7"/>
      <c r="F1242" s="7"/>
      <c r="G1242" s="7"/>
      <c r="H1242" t="s">
        <v>67</v>
      </c>
      <c r="I1242" t="s">
        <v>526</v>
      </c>
      <c r="J1242" t="s">
        <v>69</v>
      </c>
      <c r="K1242" t="s">
        <v>69</v>
      </c>
      <c r="L1242" t="s">
        <v>69</v>
      </c>
      <c r="M1242" t="s">
        <v>527</v>
      </c>
      <c r="N1242" t="s">
        <v>69</v>
      </c>
      <c r="O1242" t="s">
        <v>69</v>
      </c>
      <c r="P1242" t="s">
        <v>528</v>
      </c>
      <c r="Q1242" t="s">
        <v>529</v>
      </c>
      <c r="R1242" t="s">
        <v>69</v>
      </c>
      <c r="S1242" t="s">
        <v>69</v>
      </c>
      <c r="T1242" t="s">
        <v>25259</v>
      </c>
      <c r="U1242" t="s">
        <v>8506</v>
      </c>
      <c r="V1242" t="s">
        <v>69</v>
      </c>
      <c r="W1242" t="s">
        <v>69</v>
      </c>
      <c r="X1242" t="s">
        <v>69</v>
      </c>
      <c r="Y1242" t="s">
        <v>69</v>
      </c>
      <c r="Z1242" t="s">
        <v>69</v>
      </c>
      <c r="AA1242" t="s">
        <v>69</v>
      </c>
      <c r="AB1242" t="s">
        <v>69</v>
      </c>
      <c r="AC1242" t="s">
        <v>530</v>
      </c>
      <c r="AD1242" t="s">
        <v>25260</v>
      </c>
      <c r="AE1242" t="s">
        <v>69</v>
      </c>
      <c r="AF1242" t="s">
        <v>25261</v>
      </c>
      <c r="AG1242" t="s">
        <v>69</v>
      </c>
      <c r="AH1242" t="s">
        <v>69</v>
      </c>
      <c r="AI1242" t="s">
        <v>69</v>
      </c>
      <c r="AJ1242" t="s">
        <v>69</v>
      </c>
      <c r="AK1242" t="s">
        <v>69</v>
      </c>
      <c r="AL1242" t="s">
        <v>69</v>
      </c>
      <c r="AM1242" t="s">
        <v>69</v>
      </c>
      <c r="AN1242">
        <v>17</v>
      </c>
      <c r="AO1242">
        <v>0</v>
      </c>
      <c r="AP1242">
        <v>0</v>
      </c>
      <c r="AQ1242">
        <v>0</v>
      </c>
      <c r="AR1242">
        <v>11</v>
      </c>
      <c r="AS1242" t="s">
        <v>25262</v>
      </c>
      <c r="AT1242" t="s">
        <v>13701</v>
      </c>
      <c r="AU1242" t="s">
        <v>25263</v>
      </c>
      <c r="AV1242" t="s">
        <v>531</v>
      </c>
      <c r="AW1242" t="s">
        <v>532</v>
      </c>
      <c r="AX1242" t="s">
        <v>69</v>
      </c>
      <c r="AY1242" t="s">
        <v>529</v>
      </c>
      <c r="AZ1242" t="s">
        <v>25264</v>
      </c>
      <c r="BA1242" t="s">
        <v>69</v>
      </c>
      <c r="BB1242">
        <v>2013</v>
      </c>
      <c r="BC1242">
        <v>21</v>
      </c>
      <c r="BD1242">
        <v>2</v>
      </c>
      <c r="BE1242" t="s">
        <v>69</v>
      </c>
      <c r="BF1242" t="s">
        <v>69</v>
      </c>
      <c r="BG1242" t="s">
        <v>69</v>
      </c>
      <c r="BH1242" t="s">
        <v>69</v>
      </c>
      <c r="BI1242">
        <v>293</v>
      </c>
      <c r="BJ1242">
        <v>302</v>
      </c>
      <c r="BK1242" t="s">
        <v>69</v>
      </c>
      <c r="BL1242" t="s">
        <v>69</v>
      </c>
      <c r="BM1242" t="s">
        <v>69</v>
      </c>
      <c r="BN1242" t="s">
        <v>69</v>
      </c>
      <c r="BO1242" t="s">
        <v>69</v>
      </c>
      <c r="BP1242">
        <v>10</v>
      </c>
      <c r="BQ1242" t="s">
        <v>8449</v>
      </c>
      <c r="BR1242" t="s">
        <v>11207</v>
      </c>
      <c r="BS1242" t="s">
        <v>8449</v>
      </c>
      <c r="BT1242" t="s">
        <v>25265</v>
      </c>
      <c r="BU1242" t="s">
        <v>533</v>
      </c>
      <c r="BV1242" t="s">
        <v>69</v>
      </c>
      <c r="BW1242" t="s">
        <v>69</v>
      </c>
      <c r="BX1242" t="s">
        <v>69</v>
      </c>
      <c r="BY1242" t="s">
        <v>69</v>
      </c>
      <c r="BZ1242" t="s">
        <v>8526</v>
      </c>
      <c r="CA1242" t="str">
        <f>HYPERLINK("https%3A%2F%2Fwww.webofscience.com%2Fwos%2Fwoscc%2Ffull-record%2FWOS:000329532900008","View Full Record in Web of Science")</f>
        <v>View Full Record in Web of Science</v>
      </c>
    </row>
    <row r="1243" spans="1:79" ht="12.5" x14ac:dyDescent="0.25">
      <c r="B1243" t="s">
        <v>8495</v>
      </c>
      <c r="D1243" s="22" t="s">
        <v>32931</v>
      </c>
      <c r="E1243" s="7"/>
      <c r="F1243" s="7"/>
      <c r="G1243" s="7"/>
      <c r="H1243" t="s">
        <v>67</v>
      </c>
      <c r="I1243" t="s">
        <v>22752</v>
      </c>
      <c r="J1243" t="s">
        <v>69</v>
      </c>
      <c r="K1243" t="s">
        <v>69</v>
      </c>
      <c r="L1243" t="s">
        <v>69</v>
      </c>
      <c r="M1243" t="s">
        <v>22753</v>
      </c>
      <c r="N1243" t="s">
        <v>69</v>
      </c>
      <c r="O1243" t="s">
        <v>69</v>
      </c>
      <c r="P1243" t="s">
        <v>22754</v>
      </c>
      <c r="Q1243" t="s">
        <v>22755</v>
      </c>
      <c r="R1243" t="s">
        <v>69</v>
      </c>
      <c r="S1243" t="s">
        <v>69</v>
      </c>
      <c r="T1243" t="s">
        <v>8505</v>
      </c>
      <c r="U1243" t="s">
        <v>8506</v>
      </c>
      <c r="V1243" t="s">
        <v>69</v>
      </c>
      <c r="W1243" t="s">
        <v>69</v>
      </c>
      <c r="X1243" t="s">
        <v>69</v>
      </c>
      <c r="Y1243" t="s">
        <v>69</v>
      </c>
      <c r="Z1243" t="s">
        <v>69</v>
      </c>
      <c r="AA1243" t="s">
        <v>69</v>
      </c>
      <c r="AB1243" t="s">
        <v>22756</v>
      </c>
      <c r="AC1243" t="s">
        <v>22757</v>
      </c>
      <c r="AD1243" t="s">
        <v>22758</v>
      </c>
      <c r="AE1243" t="s">
        <v>69</v>
      </c>
      <c r="AF1243" t="s">
        <v>22759</v>
      </c>
      <c r="AG1243" t="s">
        <v>22760</v>
      </c>
      <c r="AH1243" t="s">
        <v>22761</v>
      </c>
      <c r="AI1243" t="s">
        <v>22762</v>
      </c>
      <c r="AJ1243" t="s">
        <v>69</v>
      </c>
      <c r="AK1243" t="s">
        <v>69</v>
      </c>
      <c r="AL1243" t="s">
        <v>69</v>
      </c>
      <c r="AM1243" t="s">
        <v>69</v>
      </c>
      <c r="AN1243">
        <v>19</v>
      </c>
      <c r="AO1243">
        <v>11</v>
      </c>
      <c r="AP1243">
        <v>11</v>
      </c>
      <c r="AQ1243">
        <v>0</v>
      </c>
      <c r="AR1243">
        <v>7</v>
      </c>
      <c r="AS1243" t="s">
        <v>22763</v>
      </c>
      <c r="AT1243" t="s">
        <v>22764</v>
      </c>
      <c r="AU1243" t="s">
        <v>22765</v>
      </c>
      <c r="AV1243" t="s">
        <v>22766</v>
      </c>
      <c r="AW1243" t="s">
        <v>22767</v>
      </c>
      <c r="AX1243" t="s">
        <v>69</v>
      </c>
      <c r="AY1243" t="s">
        <v>22768</v>
      </c>
      <c r="AZ1243" t="s">
        <v>22769</v>
      </c>
      <c r="BA1243" t="s">
        <v>1375</v>
      </c>
      <c r="BB1243">
        <v>2015</v>
      </c>
      <c r="BC1243">
        <v>35</v>
      </c>
      <c r="BD1243">
        <v>3</v>
      </c>
      <c r="BE1243" t="s">
        <v>69</v>
      </c>
      <c r="BF1243" t="s">
        <v>69</v>
      </c>
      <c r="BG1243" t="s">
        <v>69</v>
      </c>
      <c r="BH1243" t="s">
        <v>69</v>
      </c>
      <c r="BI1243">
        <v>210</v>
      </c>
      <c r="BJ1243">
        <v>213</v>
      </c>
      <c r="BK1243" t="s">
        <v>69</v>
      </c>
      <c r="BL1243" t="s">
        <v>22770</v>
      </c>
      <c r="BM1243" t="str">
        <f>HYPERLINK("http://dx.doi.org/10.5144/0256-4947.2015.210","http://dx.doi.org/10.5144/0256-4947.2015.210")</f>
        <v>http://dx.doi.org/10.5144/0256-4947.2015.210</v>
      </c>
      <c r="BN1243" t="s">
        <v>69</v>
      </c>
      <c r="BO1243" t="s">
        <v>69</v>
      </c>
      <c r="BP1243">
        <v>4</v>
      </c>
      <c r="BQ1243" t="s">
        <v>9450</v>
      </c>
      <c r="BR1243" t="s">
        <v>8523</v>
      </c>
      <c r="BS1243" t="s">
        <v>9451</v>
      </c>
      <c r="BT1243" t="s">
        <v>22771</v>
      </c>
      <c r="BU1243" t="s">
        <v>22772</v>
      </c>
      <c r="BV1243">
        <v>26409795</v>
      </c>
      <c r="BW1243" t="s">
        <v>9352</v>
      </c>
      <c r="BX1243" t="s">
        <v>69</v>
      </c>
      <c r="BY1243" t="s">
        <v>69</v>
      </c>
      <c r="BZ1243" t="s">
        <v>8526</v>
      </c>
      <c r="CA1243" t="str">
        <f>HYPERLINK("https%3A%2F%2Fwww.webofscience.com%2Fwos%2Fwoscc%2Ffull-record%2FWOS:000364342000004","View Full Record in Web of Science")</f>
        <v>View Full Record in Web of Science</v>
      </c>
    </row>
    <row r="1244" spans="1:79" ht="12.5" x14ac:dyDescent="0.25">
      <c r="B1244" t="s">
        <v>8495</v>
      </c>
      <c r="D1244" s="22" t="s">
        <v>32931</v>
      </c>
      <c r="E1244" s="7"/>
      <c r="F1244" s="7"/>
      <c r="G1244" s="7"/>
      <c r="H1244" t="s">
        <v>67</v>
      </c>
      <c r="I1244" t="s">
        <v>29942</v>
      </c>
      <c r="J1244" t="s">
        <v>69</v>
      </c>
      <c r="K1244" t="s">
        <v>69</v>
      </c>
      <c r="L1244" t="s">
        <v>69</v>
      </c>
      <c r="M1244" t="s">
        <v>29943</v>
      </c>
      <c r="N1244" t="s">
        <v>69</v>
      </c>
      <c r="O1244" t="s">
        <v>69</v>
      </c>
      <c r="P1244" t="s">
        <v>29944</v>
      </c>
      <c r="Q1244" t="s">
        <v>29945</v>
      </c>
      <c r="R1244" t="s">
        <v>69</v>
      </c>
      <c r="S1244" t="s">
        <v>69</v>
      </c>
      <c r="T1244" t="s">
        <v>8505</v>
      </c>
      <c r="U1244" t="s">
        <v>8506</v>
      </c>
      <c r="V1244" t="s">
        <v>69</v>
      </c>
      <c r="W1244" t="s">
        <v>69</v>
      </c>
      <c r="X1244" t="s">
        <v>69</v>
      </c>
      <c r="Y1244" t="s">
        <v>69</v>
      </c>
      <c r="Z1244" t="s">
        <v>69</v>
      </c>
      <c r="AA1244" t="s">
        <v>29946</v>
      </c>
      <c r="AB1244" t="s">
        <v>69</v>
      </c>
      <c r="AC1244" t="s">
        <v>29947</v>
      </c>
      <c r="AD1244" t="s">
        <v>29948</v>
      </c>
      <c r="AE1244" t="s">
        <v>69</v>
      </c>
      <c r="AF1244" t="s">
        <v>29949</v>
      </c>
      <c r="AG1244" t="s">
        <v>29950</v>
      </c>
      <c r="AH1244" t="s">
        <v>69</v>
      </c>
      <c r="AI1244" t="s">
        <v>69</v>
      </c>
      <c r="AJ1244" t="s">
        <v>69</v>
      </c>
      <c r="AK1244" t="s">
        <v>69</v>
      </c>
      <c r="AL1244" t="s">
        <v>69</v>
      </c>
      <c r="AM1244" t="s">
        <v>69</v>
      </c>
      <c r="AN1244">
        <v>37</v>
      </c>
      <c r="AO1244">
        <v>18</v>
      </c>
      <c r="AP1244">
        <v>18</v>
      </c>
      <c r="AQ1244">
        <v>0</v>
      </c>
      <c r="AR1244">
        <v>0</v>
      </c>
      <c r="AS1244" t="s">
        <v>8586</v>
      </c>
      <c r="AT1244" t="s">
        <v>8587</v>
      </c>
      <c r="AU1244" t="s">
        <v>8588</v>
      </c>
      <c r="AV1244" t="s">
        <v>29951</v>
      </c>
      <c r="AW1244" t="s">
        <v>29952</v>
      </c>
      <c r="AX1244" t="s">
        <v>69</v>
      </c>
      <c r="AY1244" t="s">
        <v>29953</v>
      </c>
      <c r="AZ1244" t="s">
        <v>29954</v>
      </c>
      <c r="BA1244" t="s">
        <v>69</v>
      </c>
      <c r="BB1244">
        <v>2007</v>
      </c>
      <c r="BC1244">
        <v>35</v>
      </c>
      <c r="BD1244">
        <v>6</v>
      </c>
      <c r="BE1244" t="s">
        <v>69</v>
      </c>
      <c r="BF1244" t="s">
        <v>69</v>
      </c>
      <c r="BG1244" t="s">
        <v>114</v>
      </c>
      <c r="BH1244" t="s">
        <v>69</v>
      </c>
      <c r="BI1244">
        <v>457</v>
      </c>
      <c r="BJ1244" t="s">
        <v>219</v>
      </c>
      <c r="BK1244" t="s">
        <v>69</v>
      </c>
      <c r="BL1244" t="s">
        <v>29955</v>
      </c>
      <c r="BM1244" t="str">
        <f>HYPERLINK("http://dx.doi.org/10.1108/09590550710750331","http://dx.doi.org/10.1108/09590550710750331")</f>
        <v>http://dx.doi.org/10.1108/09590550710750331</v>
      </c>
      <c r="BN1244" t="s">
        <v>69</v>
      </c>
      <c r="BO1244" t="s">
        <v>69</v>
      </c>
      <c r="BP1244">
        <v>18</v>
      </c>
      <c r="BQ1244" t="s">
        <v>8791</v>
      </c>
      <c r="BR1244" t="s">
        <v>8573</v>
      </c>
      <c r="BS1244" t="s">
        <v>8594</v>
      </c>
      <c r="BT1244" t="s">
        <v>29956</v>
      </c>
      <c r="BU1244" t="s">
        <v>29957</v>
      </c>
      <c r="BV1244" t="s">
        <v>69</v>
      </c>
      <c r="BW1244" t="s">
        <v>69</v>
      </c>
      <c r="BX1244" t="s">
        <v>69</v>
      </c>
      <c r="BY1244" t="s">
        <v>69</v>
      </c>
      <c r="BZ1244" t="s">
        <v>8526</v>
      </c>
      <c r="CA1244" t="str">
        <f>HYPERLINK("https%3A%2F%2Fwww.webofscience.com%2Fwos%2Fwoscc%2Ffull-record%2FWOS:000211872500004","View Full Record in Web of Science")</f>
        <v>View Full Record in Web of Science</v>
      </c>
    </row>
    <row r="1245" spans="1:79" x14ac:dyDescent="0.3">
      <c r="A1245" t="s">
        <v>8408</v>
      </c>
      <c r="B1245" t="s">
        <v>8495</v>
      </c>
      <c r="D1245" s="10" t="s">
        <v>33197</v>
      </c>
      <c r="F1245" s="10" t="s">
        <v>8490</v>
      </c>
      <c r="H1245" t="s">
        <v>67</v>
      </c>
      <c r="I1245" s="2" t="s">
        <v>5057</v>
      </c>
      <c r="J1245" t="s">
        <v>69</v>
      </c>
      <c r="K1245" t="s">
        <v>69</v>
      </c>
      <c r="L1245" t="s">
        <v>69</v>
      </c>
      <c r="M1245" s="2" t="s">
        <v>5058</v>
      </c>
      <c r="N1245" t="s">
        <v>69</v>
      </c>
      <c r="O1245" t="s">
        <v>69</v>
      </c>
      <c r="P1245" s="2" t="s">
        <v>5059</v>
      </c>
      <c r="Q1245" t="s">
        <v>5060</v>
      </c>
      <c r="R1245" t="s">
        <v>69</v>
      </c>
      <c r="S1245" t="s">
        <v>69</v>
      </c>
      <c r="T1245" t="s">
        <v>8505</v>
      </c>
      <c r="U1245" t="s">
        <v>10174</v>
      </c>
      <c r="V1245" t="s">
        <v>69</v>
      </c>
      <c r="W1245" t="s">
        <v>69</v>
      </c>
      <c r="X1245" t="s">
        <v>69</v>
      </c>
      <c r="Y1245" t="s">
        <v>69</v>
      </c>
      <c r="Z1245" t="s">
        <v>69</v>
      </c>
      <c r="AA1245" t="s">
        <v>19657</v>
      </c>
      <c r="AB1245" t="s">
        <v>69</v>
      </c>
      <c r="AC1245" t="s">
        <v>5061</v>
      </c>
      <c r="AD1245" t="s">
        <v>19658</v>
      </c>
      <c r="AE1245" t="s">
        <v>69</v>
      </c>
      <c r="AF1245" t="s">
        <v>19659</v>
      </c>
      <c r="AG1245" t="s">
        <v>19660</v>
      </c>
      <c r="AH1245" t="s">
        <v>19661</v>
      </c>
      <c r="AI1245" t="s">
        <v>19662</v>
      </c>
      <c r="AJ1245" t="s">
        <v>19663</v>
      </c>
      <c r="AK1245" t="s">
        <v>19664</v>
      </c>
      <c r="AL1245" t="s">
        <v>19665</v>
      </c>
      <c r="AM1245" t="s">
        <v>69</v>
      </c>
      <c r="AN1245">
        <v>21</v>
      </c>
      <c r="AO1245">
        <v>68</v>
      </c>
      <c r="AP1245">
        <v>68</v>
      </c>
      <c r="AQ1245">
        <v>52</v>
      </c>
      <c r="AR1245">
        <v>131</v>
      </c>
      <c r="AS1245" t="s">
        <v>8865</v>
      </c>
      <c r="AT1245" t="s">
        <v>8612</v>
      </c>
      <c r="AU1245" t="s">
        <v>8866</v>
      </c>
      <c r="AV1245" t="s">
        <v>5062</v>
      </c>
      <c r="AW1245" t="s">
        <v>5063</v>
      </c>
      <c r="AX1245" t="s">
        <v>69</v>
      </c>
      <c r="AY1245" t="s">
        <v>19666</v>
      </c>
      <c r="AZ1245" t="s">
        <v>19667</v>
      </c>
      <c r="BA1245" t="s">
        <v>69</v>
      </c>
      <c r="BB1245">
        <v>2018</v>
      </c>
      <c r="BC1245">
        <v>39</v>
      </c>
      <c r="BD1245">
        <v>8</v>
      </c>
      <c r="BE1245" t="s">
        <v>69</v>
      </c>
      <c r="BF1245" t="s">
        <v>69</v>
      </c>
      <c r="BG1245" t="s">
        <v>69</v>
      </c>
      <c r="BH1245" t="s">
        <v>69</v>
      </c>
      <c r="BI1245">
        <v>1276</v>
      </c>
      <c r="BJ1245">
        <v>1284</v>
      </c>
      <c r="BK1245" t="s">
        <v>69</v>
      </c>
      <c r="BL1245" t="s">
        <v>5064</v>
      </c>
      <c r="BM1245" t="str">
        <f>HYPERLINK("http://dx.doi.org/10.1080/02723638.2018.1446870","http://dx.doi.org/10.1080/02723638.2018.1446870")</f>
        <v>http://dx.doi.org/10.1080/02723638.2018.1446870</v>
      </c>
      <c r="BN1245" t="s">
        <v>69</v>
      </c>
      <c r="BO1245" t="s">
        <v>69</v>
      </c>
      <c r="BP1245">
        <v>9</v>
      </c>
      <c r="BQ1245" t="s">
        <v>19668</v>
      </c>
      <c r="BR1245" t="s">
        <v>8661</v>
      </c>
      <c r="BS1245" t="s">
        <v>19668</v>
      </c>
      <c r="BT1245" t="s">
        <v>19669</v>
      </c>
      <c r="BU1245" t="s">
        <v>5065</v>
      </c>
      <c r="BV1245" t="s">
        <v>69</v>
      </c>
      <c r="BW1245" t="s">
        <v>10423</v>
      </c>
      <c r="BX1245" t="s">
        <v>69</v>
      </c>
      <c r="BY1245" t="s">
        <v>69</v>
      </c>
      <c r="BZ1245" t="s">
        <v>8526</v>
      </c>
      <c r="CA1245" t="str">
        <f>HYPERLINK("https%3A%2F%2Fwww.webofscience.com%2Fwos%2Fwoscc%2Ffull-record%2FWOS:000445004400009","View Full Record in Web of Science")</f>
        <v>View Full Record in Web of Science</v>
      </c>
    </row>
    <row r="1246" spans="1:79" ht="12.5" x14ac:dyDescent="0.25">
      <c r="B1246" t="s">
        <v>8495</v>
      </c>
      <c r="D1246" s="7" t="s">
        <v>32933</v>
      </c>
      <c r="E1246" s="7"/>
      <c r="F1246" s="7"/>
      <c r="G1246" s="7"/>
      <c r="H1246" t="s">
        <v>67</v>
      </c>
      <c r="I1246" t="s">
        <v>8036</v>
      </c>
      <c r="J1246" t="s">
        <v>69</v>
      </c>
      <c r="K1246" t="s">
        <v>69</v>
      </c>
      <c r="L1246" t="s">
        <v>69</v>
      </c>
      <c r="M1246" t="s">
        <v>8037</v>
      </c>
      <c r="N1246" t="s">
        <v>69</v>
      </c>
      <c r="O1246" t="s">
        <v>69</v>
      </c>
      <c r="P1246" t="s">
        <v>8038</v>
      </c>
      <c r="Q1246" t="s">
        <v>8039</v>
      </c>
      <c r="R1246" t="s">
        <v>69</v>
      </c>
      <c r="S1246" t="s">
        <v>69</v>
      </c>
      <c r="T1246" t="s">
        <v>8505</v>
      </c>
      <c r="U1246" t="s">
        <v>8506</v>
      </c>
      <c r="V1246" t="s">
        <v>69</v>
      </c>
      <c r="W1246" t="s">
        <v>69</v>
      </c>
      <c r="X1246" t="s">
        <v>69</v>
      </c>
      <c r="Y1246" t="s">
        <v>69</v>
      </c>
      <c r="Z1246" t="s">
        <v>69</v>
      </c>
      <c r="AA1246" t="s">
        <v>15440</v>
      </c>
      <c r="AB1246" t="s">
        <v>15441</v>
      </c>
      <c r="AC1246" t="s">
        <v>8040</v>
      </c>
      <c r="AD1246" t="s">
        <v>15442</v>
      </c>
      <c r="AE1246" t="s">
        <v>69</v>
      </c>
      <c r="AF1246" t="s">
        <v>15443</v>
      </c>
      <c r="AG1246" t="s">
        <v>15444</v>
      </c>
      <c r="AH1246" t="s">
        <v>15445</v>
      </c>
      <c r="AI1246" t="s">
        <v>15446</v>
      </c>
      <c r="AJ1246" t="s">
        <v>15447</v>
      </c>
      <c r="AK1246" t="s">
        <v>15447</v>
      </c>
      <c r="AL1246" t="s">
        <v>15448</v>
      </c>
      <c r="AM1246" t="s">
        <v>69</v>
      </c>
      <c r="AN1246">
        <v>46</v>
      </c>
      <c r="AO1246">
        <v>4</v>
      </c>
      <c r="AP1246">
        <v>4</v>
      </c>
      <c r="AQ1246">
        <v>5</v>
      </c>
      <c r="AR1246">
        <v>44</v>
      </c>
      <c r="AS1246" t="s">
        <v>9047</v>
      </c>
      <c r="AT1246" t="s">
        <v>8693</v>
      </c>
      <c r="AU1246" t="s">
        <v>11784</v>
      </c>
      <c r="AV1246" t="s">
        <v>8041</v>
      </c>
      <c r="AW1246" t="s">
        <v>8042</v>
      </c>
      <c r="AX1246" t="s">
        <v>69</v>
      </c>
      <c r="AY1246" t="s">
        <v>15449</v>
      </c>
      <c r="AZ1246" t="s">
        <v>15450</v>
      </c>
      <c r="BA1246" t="s">
        <v>586</v>
      </c>
      <c r="BB1246">
        <v>2020</v>
      </c>
      <c r="BC1246">
        <v>43</v>
      </c>
      <c r="BD1246">
        <v>5</v>
      </c>
      <c r="BE1246" t="s">
        <v>69</v>
      </c>
      <c r="BF1246" t="s">
        <v>69</v>
      </c>
      <c r="BG1246" t="s">
        <v>69</v>
      </c>
      <c r="BH1246" t="s">
        <v>69</v>
      </c>
      <c r="BI1246">
        <v>617</v>
      </c>
      <c r="BJ1246">
        <v>621</v>
      </c>
      <c r="BK1246" t="s">
        <v>69</v>
      </c>
      <c r="BL1246" t="s">
        <v>8043</v>
      </c>
      <c r="BM1246" t="str">
        <f>HYPERLINK("http://dx.doi.org/10.1007/s00300-020-02657-8","http://dx.doi.org/10.1007/s00300-020-02657-8")</f>
        <v>http://dx.doi.org/10.1007/s00300-020-02657-8</v>
      </c>
      <c r="BN1246" t="s">
        <v>69</v>
      </c>
      <c r="BO1246" t="s">
        <v>767</v>
      </c>
      <c r="BP1246">
        <v>5</v>
      </c>
      <c r="BQ1246" t="s">
        <v>15451</v>
      </c>
      <c r="BR1246" t="s">
        <v>8548</v>
      </c>
      <c r="BS1246" t="s">
        <v>15452</v>
      </c>
      <c r="BT1246" t="s">
        <v>15453</v>
      </c>
      <c r="BU1246" t="s">
        <v>8044</v>
      </c>
      <c r="BV1246" t="s">
        <v>69</v>
      </c>
      <c r="BW1246" t="s">
        <v>8622</v>
      </c>
      <c r="BX1246" t="s">
        <v>69</v>
      </c>
      <c r="BY1246" t="s">
        <v>69</v>
      </c>
      <c r="BZ1246" t="s">
        <v>8526</v>
      </c>
      <c r="CA1246" t="str">
        <f>HYPERLINK("https%3A%2F%2Fwww.webofscience.com%2Fwos%2Fwoscc%2Ffull-record%2FWOS:000523093300001","View Full Record in Web of Science")</f>
        <v>View Full Record in Web of Science</v>
      </c>
    </row>
    <row r="1247" spans="1:79" x14ac:dyDescent="0.3">
      <c r="A1247" t="s">
        <v>8408</v>
      </c>
      <c r="B1247" t="s">
        <v>8495</v>
      </c>
      <c r="D1247" s="10" t="s">
        <v>33200</v>
      </c>
      <c r="F1247" s="10" t="s">
        <v>8490</v>
      </c>
      <c r="H1247" t="s">
        <v>67</v>
      </c>
      <c r="I1247" t="s">
        <v>7428</v>
      </c>
      <c r="J1247" t="s">
        <v>69</v>
      </c>
      <c r="K1247" t="s">
        <v>69</v>
      </c>
      <c r="L1247" t="s">
        <v>69</v>
      </c>
      <c r="M1247" s="2" t="s">
        <v>7429</v>
      </c>
      <c r="N1247" t="s">
        <v>69</v>
      </c>
      <c r="O1247" t="s">
        <v>69</v>
      </c>
      <c r="P1247" s="2" t="s">
        <v>7430</v>
      </c>
      <c r="Q1247" t="s">
        <v>1831</v>
      </c>
      <c r="R1247" t="s">
        <v>69</v>
      </c>
      <c r="S1247" t="s">
        <v>69</v>
      </c>
      <c r="T1247" t="s">
        <v>8505</v>
      </c>
      <c r="U1247" t="s">
        <v>8506</v>
      </c>
      <c r="V1247" t="s">
        <v>69</v>
      </c>
      <c r="W1247" t="s">
        <v>69</v>
      </c>
      <c r="X1247" t="s">
        <v>69</v>
      </c>
      <c r="Y1247" t="s">
        <v>69</v>
      </c>
      <c r="Z1247" t="s">
        <v>69</v>
      </c>
      <c r="AA1247" t="s">
        <v>22171</v>
      </c>
      <c r="AB1247" t="s">
        <v>22172</v>
      </c>
      <c r="AC1247" t="s">
        <v>7431</v>
      </c>
      <c r="AD1247" t="s">
        <v>22173</v>
      </c>
      <c r="AE1247" t="s">
        <v>69</v>
      </c>
      <c r="AF1247" t="s">
        <v>21787</v>
      </c>
      <c r="AG1247" t="s">
        <v>21788</v>
      </c>
      <c r="AH1247" t="s">
        <v>21789</v>
      </c>
      <c r="AI1247" t="s">
        <v>7432</v>
      </c>
      <c r="AJ1247" t="s">
        <v>22174</v>
      </c>
      <c r="AK1247" t="s">
        <v>22174</v>
      </c>
      <c r="AL1247" t="s">
        <v>22175</v>
      </c>
      <c r="AM1247" t="s">
        <v>69</v>
      </c>
      <c r="AN1247">
        <v>43</v>
      </c>
      <c r="AO1247">
        <v>20</v>
      </c>
      <c r="AP1247">
        <v>20</v>
      </c>
      <c r="AQ1247">
        <v>1</v>
      </c>
      <c r="AR1247">
        <v>15</v>
      </c>
      <c r="AS1247" t="s">
        <v>8516</v>
      </c>
      <c r="AT1247" t="s">
        <v>8517</v>
      </c>
      <c r="AU1247" t="s">
        <v>8518</v>
      </c>
      <c r="AV1247" t="s">
        <v>1833</v>
      </c>
      <c r="AW1247" t="s">
        <v>1834</v>
      </c>
      <c r="AX1247" t="s">
        <v>69</v>
      </c>
      <c r="AY1247" t="s">
        <v>13291</v>
      </c>
      <c r="AZ1247" t="s">
        <v>13292</v>
      </c>
      <c r="BA1247" t="s">
        <v>373</v>
      </c>
      <c r="BB1247">
        <v>2016</v>
      </c>
      <c r="BC1247">
        <v>62</v>
      </c>
      <c r="BD1247" t="s">
        <v>69</v>
      </c>
      <c r="BE1247" t="s">
        <v>69</v>
      </c>
      <c r="BF1247" t="s">
        <v>69</v>
      </c>
      <c r="BG1247" t="s">
        <v>69</v>
      </c>
      <c r="BH1247" t="s">
        <v>69</v>
      </c>
      <c r="BI1247">
        <v>177</v>
      </c>
      <c r="BJ1247">
        <v>183</v>
      </c>
      <c r="BK1247" t="s">
        <v>69</v>
      </c>
      <c r="BL1247" t="s">
        <v>7433</v>
      </c>
      <c r="BM1247" t="str">
        <f>HYPERLINK("http://dx.doi.org/10.1016/j.forpol.2015.10.015","http://dx.doi.org/10.1016/j.forpol.2015.10.015")</f>
        <v>http://dx.doi.org/10.1016/j.forpol.2015.10.015</v>
      </c>
      <c r="BN1247" t="s">
        <v>69</v>
      </c>
      <c r="BO1247" t="s">
        <v>69</v>
      </c>
      <c r="BP1247">
        <v>7</v>
      </c>
      <c r="BQ1247" t="s">
        <v>13293</v>
      </c>
      <c r="BR1247" t="s">
        <v>8523</v>
      </c>
      <c r="BS1247" t="s">
        <v>13294</v>
      </c>
      <c r="BT1247" t="s">
        <v>22176</v>
      </c>
      <c r="BU1247" t="s">
        <v>7434</v>
      </c>
      <c r="BV1247" t="s">
        <v>69</v>
      </c>
      <c r="BW1247" t="s">
        <v>8746</v>
      </c>
      <c r="BX1247" t="s">
        <v>69</v>
      </c>
      <c r="BY1247" t="s">
        <v>69</v>
      </c>
      <c r="BZ1247" t="s">
        <v>8526</v>
      </c>
      <c r="CA1247" t="str">
        <f>HYPERLINK("https%3A%2F%2Fwww.webofscience.com%2Fwos%2Fwoscc%2Ffull-record%2FWOS:000366535100022","View Full Record in Web of Science")</f>
        <v>View Full Record in Web of Science</v>
      </c>
    </row>
    <row r="1248" spans="1:79" ht="12.5" x14ac:dyDescent="0.25">
      <c r="B1248" t="s">
        <v>8495</v>
      </c>
      <c r="D1248" s="7" t="s">
        <v>32933</v>
      </c>
      <c r="E1248" s="7"/>
      <c r="F1248" s="7"/>
      <c r="G1248" s="7"/>
      <c r="H1248" t="s">
        <v>67</v>
      </c>
      <c r="I1248" t="s">
        <v>1240</v>
      </c>
      <c r="J1248" t="s">
        <v>69</v>
      </c>
      <c r="K1248" t="s">
        <v>69</v>
      </c>
      <c r="L1248" t="s">
        <v>69</v>
      </c>
      <c r="M1248" t="s">
        <v>1241</v>
      </c>
      <c r="N1248" t="s">
        <v>69</v>
      </c>
      <c r="O1248" t="s">
        <v>69</v>
      </c>
      <c r="P1248" t="s">
        <v>1242</v>
      </c>
      <c r="Q1248" t="s">
        <v>520</v>
      </c>
      <c r="R1248" t="s">
        <v>69</v>
      </c>
      <c r="S1248" t="s">
        <v>69</v>
      </c>
      <c r="T1248" t="s">
        <v>8505</v>
      </c>
      <c r="U1248" t="s">
        <v>10174</v>
      </c>
      <c r="V1248" t="s">
        <v>69</v>
      </c>
      <c r="W1248" t="s">
        <v>69</v>
      </c>
      <c r="X1248" t="s">
        <v>69</v>
      </c>
      <c r="Y1248" t="s">
        <v>69</v>
      </c>
      <c r="Z1248" t="s">
        <v>69</v>
      </c>
      <c r="AA1248" t="s">
        <v>21722</v>
      </c>
      <c r="AB1248" t="s">
        <v>69</v>
      </c>
      <c r="AC1248" t="s">
        <v>1243</v>
      </c>
      <c r="AD1248" t="s">
        <v>21723</v>
      </c>
      <c r="AE1248" t="s">
        <v>69</v>
      </c>
      <c r="AF1248" t="s">
        <v>21724</v>
      </c>
      <c r="AG1248" t="s">
        <v>21725</v>
      </c>
      <c r="AH1248" t="s">
        <v>69</v>
      </c>
      <c r="AI1248" t="s">
        <v>69</v>
      </c>
      <c r="AJ1248" t="s">
        <v>69</v>
      </c>
      <c r="AK1248" t="s">
        <v>69</v>
      </c>
      <c r="AL1248" t="s">
        <v>69</v>
      </c>
      <c r="AM1248" t="s">
        <v>69</v>
      </c>
      <c r="AN1248">
        <v>7</v>
      </c>
      <c r="AO1248">
        <v>5</v>
      </c>
      <c r="AP1248">
        <v>5</v>
      </c>
      <c r="AQ1248">
        <v>1</v>
      </c>
      <c r="AR1248">
        <v>13</v>
      </c>
      <c r="AS1248" t="s">
        <v>8611</v>
      </c>
      <c r="AT1248" t="s">
        <v>8612</v>
      </c>
      <c r="AU1248" t="s">
        <v>21726</v>
      </c>
      <c r="AV1248" t="s">
        <v>523</v>
      </c>
      <c r="AW1248" t="s">
        <v>1244</v>
      </c>
      <c r="AX1248" t="s">
        <v>69</v>
      </c>
      <c r="AY1248" t="s">
        <v>21727</v>
      </c>
      <c r="AZ1248" t="s">
        <v>21728</v>
      </c>
      <c r="BA1248" t="s">
        <v>1245</v>
      </c>
      <c r="BB1248">
        <v>2016</v>
      </c>
      <c r="BC1248">
        <v>44</v>
      </c>
      <c r="BD1248">
        <v>3</v>
      </c>
      <c r="BE1248" t="s">
        <v>69</v>
      </c>
      <c r="BF1248" t="s">
        <v>69</v>
      </c>
      <c r="BG1248" t="s">
        <v>69</v>
      </c>
      <c r="BH1248" t="s">
        <v>69</v>
      </c>
      <c r="BI1248">
        <v>338</v>
      </c>
      <c r="BJ1248">
        <v>341</v>
      </c>
      <c r="BK1248" t="s">
        <v>69</v>
      </c>
      <c r="BL1248" t="s">
        <v>1246</v>
      </c>
      <c r="BM1248" t="str">
        <f>HYPERLINK("http://dx.doi.org/10.1080/09613218.2015.1089061","http://dx.doi.org/10.1080/09613218.2015.1089061")</f>
        <v>http://dx.doi.org/10.1080/09613218.2015.1089061</v>
      </c>
      <c r="BN1248" t="s">
        <v>69</v>
      </c>
      <c r="BO1248" t="s">
        <v>69</v>
      </c>
      <c r="BP1248">
        <v>4</v>
      </c>
      <c r="BQ1248" t="s">
        <v>10105</v>
      </c>
      <c r="BR1248" t="s">
        <v>8548</v>
      </c>
      <c r="BS1248" t="s">
        <v>10105</v>
      </c>
      <c r="BT1248" t="s">
        <v>21729</v>
      </c>
      <c r="BU1248" t="s">
        <v>1247</v>
      </c>
      <c r="BV1248" t="s">
        <v>69</v>
      </c>
      <c r="BW1248" t="s">
        <v>69</v>
      </c>
      <c r="BX1248" t="s">
        <v>69</v>
      </c>
      <c r="BY1248" t="s">
        <v>69</v>
      </c>
      <c r="BZ1248" t="s">
        <v>8526</v>
      </c>
      <c r="CA1248" t="str">
        <f>HYPERLINK("https%3A%2F%2Fwww.webofscience.com%2Fwos%2Fwoscc%2Ffull-record%2FWOS:000371008600009","View Full Record in Web of Science")</f>
        <v>View Full Record in Web of Science</v>
      </c>
    </row>
    <row r="1249" spans="1:79" ht="12.5" x14ac:dyDescent="0.25">
      <c r="B1249" t="s">
        <v>8495</v>
      </c>
      <c r="D1249" s="7" t="s">
        <v>32933</v>
      </c>
      <c r="E1249" s="7"/>
      <c r="F1249" s="7"/>
      <c r="G1249" s="7"/>
      <c r="H1249" t="s">
        <v>67</v>
      </c>
      <c r="I1249" t="s">
        <v>6095</v>
      </c>
      <c r="J1249" t="s">
        <v>69</v>
      </c>
      <c r="K1249" t="s">
        <v>69</v>
      </c>
      <c r="L1249" t="s">
        <v>69</v>
      </c>
      <c r="M1249" t="s">
        <v>6096</v>
      </c>
      <c r="N1249" t="s">
        <v>69</v>
      </c>
      <c r="O1249" t="s">
        <v>69</v>
      </c>
      <c r="P1249" t="s">
        <v>6097</v>
      </c>
      <c r="Q1249" t="s">
        <v>6098</v>
      </c>
      <c r="R1249" t="s">
        <v>69</v>
      </c>
      <c r="S1249" t="s">
        <v>69</v>
      </c>
      <c r="T1249" t="s">
        <v>8505</v>
      </c>
      <c r="U1249" t="s">
        <v>15797</v>
      </c>
      <c r="V1249" t="s">
        <v>6099</v>
      </c>
      <c r="W1249">
        <v>2016</v>
      </c>
      <c r="X1249" t="s">
        <v>6100</v>
      </c>
      <c r="Y1249" t="s">
        <v>69</v>
      </c>
      <c r="Z1249" t="s">
        <v>69</v>
      </c>
      <c r="AA1249" t="s">
        <v>18581</v>
      </c>
      <c r="AB1249" t="s">
        <v>18582</v>
      </c>
      <c r="AC1249" t="s">
        <v>6101</v>
      </c>
      <c r="AD1249" t="s">
        <v>18583</v>
      </c>
      <c r="AE1249" t="s">
        <v>69</v>
      </c>
      <c r="AF1249" t="s">
        <v>18584</v>
      </c>
      <c r="AG1249" t="s">
        <v>18585</v>
      </c>
      <c r="AH1249" t="s">
        <v>69</v>
      </c>
      <c r="AI1249" t="s">
        <v>6102</v>
      </c>
      <c r="AJ1249" t="s">
        <v>69</v>
      </c>
      <c r="AK1249" t="s">
        <v>69</v>
      </c>
      <c r="AL1249" t="s">
        <v>69</v>
      </c>
      <c r="AM1249" t="s">
        <v>69</v>
      </c>
      <c r="AN1249">
        <v>109</v>
      </c>
      <c r="AO1249">
        <v>24</v>
      </c>
      <c r="AP1249">
        <v>24</v>
      </c>
      <c r="AQ1249">
        <v>5</v>
      </c>
      <c r="AR1249">
        <v>26</v>
      </c>
      <c r="AS1249" t="s">
        <v>8762</v>
      </c>
      <c r="AT1249" t="s">
        <v>8763</v>
      </c>
      <c r="AU1249" t="s">
        <v>8764</v>
      </c>
      <c r="AV1249" t="s">
        <v>6103</v>
      </c>
      <c r="AW1249" t="s">
        <v>6104</v>
      </c>
      <c r="AX1249" t="s">
        <v>69</v>
      </c>
      <c r="AY1249" t="s">
        <v>18586</v>
      </c>
      <c r="AZ1249" t="s">
        <v>18587</v>
      </c>
      <c r="BA1249" t="s">
        <v>84</v>
      </c>
      <c r="BB1249">
        <v>2018</v>
      </c>
      <c r="BC1249">
        <v>25</v>
      </c>
      <c r="BD1249">
        <v>3</v>
      </c>
      <c r="BE1249" t="s">
        <v>69</v>
      </c>
      <c r="BF1249" t="s">
        <v>69</v>
      </c>
      <c r="BG1249" t="s">
        <v>69</v>
      </c>
      <c r="BH1249" t="s">
        <v>69</v>
      </c>
      <c r="BI1249">
        <v>266</v>
      </c>
      <c r="BJ1249">
        <v>283</v>
      </c>
      <c r="BK1249" t="s">
        <v>69</v>
      </c>
      <c r="BL1249" t="s">
        <v>6105</v>
      </c>
      <c r="BM1249" t="str">
        <f>HYPERLINK("http://dx.doi.org/10.1177/0969776417731405","http://dx.doi.org/10.1177/0969776417731405")</f>
        <v>http://dx.doi.org/10.1177/0969776417731405</v>
      </c>
      <c r="BN1249" t="s">
        <v>69</v>
      </c>
      <c r="BO1249" t="s">
        <v>69</v>
      </c>
      <c r="BP1249">
        <v>18</v>
      </c>
      <c r="BQ1249" t="s">
        <v>15726</v>
      </c>
      <c r="BR1249" t="s">
        <v>18588</v>
      </c>
      <c r="BS1249" t="s">
        <v>15727</v>
      </c>
      <c r="BT1249" t="s">
        <v>18589</v>
      </c>
      <c r="BU1249" t="s">
        <v>6106</v>
      </c>
      <c r="BV1249" t="s">
        <v>69</v>
      </c>
      <c r="BW1249" t="s">
        <v>10995</v>
      </c>
      <c r="BX1249" t="s">
        <v>69</v>
      </c>
      <c r="BY1249" t="s">
        <v>69</v>
      </c>
      <c r="BZ1249" t="s">
        <v>8526</v>
      </c>
      <c r="CA1249" t="str">
        <f>HYPERLINK("https%3A%2F%2Fwww.webofscience.com%2Fwos%2Fwoscc%2Ffull-record%2FWOS:000439592500004","View Full Record in Web of Science")</f>
        <v>View Full Record in Web of Science</v>
      </c>
    </row>
    <row r="1250" spans="1:79" ht="12.5" x14ac:dyDescent="0.25">
      <c r="B1250" t="s">
        <v>8495</v>
      </c>
      <c r="D1250" s="7" t="s">
        <v>32933</v>
      </c>
      <c r="E1250" s="7"/>
      <c r="F1250" s="7"/>
      <c r="G1250" s="7"/>
      <c r="H1250" t="s">
        <v>67</v>
      </c>
      <c r="I1250" t="s">
        <v>3213</v>
      </c>
      <c r="J1250" t="s">
        <v>69</v>
      </c>
      <c r="K1250" t="s">
        <v>69</v>
      </c>
      <c r="L1250" t="s">
        <v>69</v>
      </c>
      <c r="M1250" t="s">
        <v>3214</v>
      </c>
      <c r="N1250" t="s">
        <v>69</v>
      </c>
      <c r="O1250" t="s">
        <v>69</v>
      </c>
      <c r="P1250" t="s">
        <v>3215</v>
      </c>
      <c r="Q1250" t="s">
        <v>24162</v>
      </c>
      <c r="R1250" t="s">
        <v>69</v>
      </c>
      <c r="S1250" t="s">
        <v>69</v>
      </c>
      <c r="T1250" t="s">
        <v>8505</v>
      </c>
      <c r="U1250" t="s">
        <v>8506</v>
      </c>
      <c r="V1250" t="s">
        <v>69</v>
      </c>
      <c r="W1250" t="s">
        <v>69</v>
      </c>
      <c r="X1250" t="s">
        <v>69</v>
      </c>
      <c r="Y1250" t="s">
        <v>69</v>
      </c>
      <c r="Z1250" t="s">
        <v>69</v>
      </c>
      <c r="AA1250" t="s">
        <v>24163</v>
      </c>
      <c r="AB1250" t="s">
        <v>69</v>
      </c>
      <c r="AC1250" t="s">
        <v>3216</v>
      </c>
      <c r="AD1250" t="s">
        <v>24164</v>
      </c>
      <c r="AE1250" t="s">
        <v>69</v>
      </c>
      <c r="AF1250" t="s">
        <v>24165</v>
      </c>
      <c r="AG1250" t="s">
        <v>24166</v>
      </c>
      <c r="AH1250" t="s">
        <v>69</v>
      </c>
      <c r="AI1250" t="s">
        <v>24167</v>
      </c>
      <c r="AJ1250" t="s">
        <v>24168</v>
      </c>
      <c r="AK1250" t="s">
        <v>24169</v>
      </c>
      <c r="AL1250" t="s">
        <v>24170</v>
      </c>
      <c r="AM1250" t="s">
        <v>69</v>
      </c>
      <c r="AN1250">
        <v>24</v>
      </c>
      <c r="AO1250">
        <v>9</v>
      </c>
      <c r="AP1250">
        <v>9</v>
      </c>
      <c r="AQ1250">
        <v>0</v>
      </c>
      <c r="AR1250">
        <v>0</v>
      </c>
      <c r="AS1250" t="s">
        <v>8611</v>
      </c>
      <c r="AT1250" t="s">
        <v>8612</v>
      </c>
      <c r="AU1250" t="s">
        <v>8613</v>
      </c>
      <c r="AV1250" t="s">
        <v>69</v>
      </c>
      <c r="AW1250" t="s">
        <v>3217</v>
      </c>
      <c r="AX1250" t="s">
        <v>69</v>
      </c>
      <c r="AY1250" t="s">
        <v>24162</v>
      </c>
      <c r="AZ1250" t="s">
        <v>24171</v>
      </c>
      <c r="BA1250" t="s">
        <v>69</v>
      </c>
      <c r="BB1250">
        <v>2014</v>
      </c>
      <c r="BC1250">
        <v>7</v>
      </c>
      <c r="BD1250" t="s">
        <v>69</v>
      </c>
      <c r="BE1250" t="s">
        <v>69</v>
      </c>
      <c r="BF1250" t="s">
        <v>69</v>
      </c>
      <c r="BG1250" t="s">
        <v>114</v>
      </c>
      <c r="BH1250" t="s">
        <v>69</v>
      </c>
      <c r="BI1250">
        <v>54</v>
      </c>
      <c r="BJ1250">
        <v>61</v>
      </c>
      <c r="BK1250" t="s">
        <v>69</v>
      </c>
      <c r="BL1250" t="s">
        <v>3218</v>
      </c>
      <c r="BM1250" t="str">
        <f>HYPERLINK("http://dx.doi.org/10.3402/gha.v7.24928","http://dx.doi.org/10.3402/gha.v7.24928")</f>
        <v>http://dx.doi.org/10.3402/gha.v7.24928</v>
      </c>
      <c r="BN1250" t="s">
        <v>69</v>
      </c>
      <c r="BO1250" t="s">
        <v>69</v>
      </c>
      <c r="BP1250">
        <v>8</v>
      </c>
      <c r="BQ1250" t="s">
        <v>8810</v>
      </c>
      <c r="BR1250" t="s">
        <v>8523</v>
      </c>
      <c r="BS1250" t="s">
        <v>8810</v>
      </c>
      <c r="BT1250" t="s">
        <v>24172</v>
      </c>
      <c r="BU1250" t="s">
        <v>3219</v>
      </c>
      <c r="BV1250" t="s">
        <v>69</v>
      </c>
      <c r="BW1250" t="s">
        <v>9352</v>
      </c>
      <c r="BX1250" t="s">
        <v>69</v>
      </c>
      <c r="BY1250" t="s">
        <v>69</v>
      </c>
      <c r="BZ1250" t="s">
        <v>8526</v>
      </c>
      <c r="CA1250" t="str">
        <f>HYPERLINK("https%3A%2F%2Fwww.webofscience.com%2Fwos%2Fwoscc%2Ffull-record%2FWOS:000348787300006","View Full Record in Web of Science")</f>
        <v>View Full Record in Web of Science</v>
      </c>
    </row>
    <row r="1251" spans="1:79" ht="12.5" x14ac:dyDescent="0.25">
      <c r="B1251" t="s">
        <v>8495</v>
      </c>
      <c r="D1251" s="22" t="s">
        <v>32931</v>
      </c>
      <c r="E1251" s="7"/>
      <c r="F1251" s="7"/>
      <c r="G1251" s="7"/>
      <c r="H1251" t="s">
        <v>67</v>
      </c>
      <c r="I1251" t="s">
        <v>21233</v>
      </c>
      <c r="J1251" t="s">
        <v>69</v>
      </c>
      <c r="K1251" t="s">
        <v>69</v>
      </c>
      <c r="L1251" t="s">
        <v>69</v>
      </c>
      <c r="M1251" t="s">
        <v>21234</v>
      </c>
      <c r="N1251" t="s">
        <v>69</v>
      </c>
      <c r="O1251" t="s">
        <v>69</v>
      </c>
      <c r="P1251" t="s">
        <v>21235</v>
      </c>
      <c r="Q1251" t="s">
        <v>21236</v>
      </c>
      <c r="R1251" t="s">
        <v>69</v>
      </c>
      <c r="S1251" t="s">
        <v>69</v>
      </c>
      <c r="T1251" t="s">
        <v>8505</v>
      </c>
      <c r="U1251" t="s">
        <v>8506</v>
      </c>
      <c r="V1251" t="s">
        <v>69</v>
      </c>
      <c r="W1251" t="s">
        <v>69</v>
      </c>
      <c r="X1251" t="s">
        <v>69</v>
      </c>
      <c r="Y1251" t="s">
        <v>69</v>
      </c>
      <c r="Z1251" t="s">
        <v>69</v>
      </c>
      <c r="AA1251" t="s">
        <v>69</v>
      </c>
      <c r="AB1251" t="s">
        <v>21237</v>
      </c>
      <c r="AC1251" t="s">
        <v>21238</v>
      </c>
      <c r="AD1251" t="s">
        <v>21239</v>
      </c>
      <c r="AE1251" t="s">
        <v>69</v>
      </c>
      <c r="AF1251" t="s">
        <v>21240</v>
      </c>
      <c r="AG1251" t="s">
        <v>21241</v>
      </c>
      <c r="AH1251" t="s">
        <v>69</v>
      </c>
      <c r="AI1251" t="s">
        <v>69</v>
      </c>
      <c r="AJ1251" t="s">
        <v>69</v>
      </c>
      <c r="AK1251" t="s">
        <v>69</v>
      </c>
      <c r="AL1251" t="s">
        <v>69</v>
      </c>
      <c r="AM1251" t="s">
        <v>69</v>
      </c>
      <c r="AN1251">
        <v>13</v>
      </c>
      <c r="AO1251">
        <v>3</v>
      </c>
      <c r="AP1251">
        <v>3</v>
      </c>
      <c r="AQ1251">
        <v>0</v>
      </c>
      <c r="AR1251">
        <v>5</v>
      </c>
      <c r="AS1251" t="s">
        <v>21242</v>
      </c>
      <c r="AT1251" t="s">
        <v>21243</v>
      </c>
      <c r="AU1251" t="s">
        <v>21244</v>
      </c>
      <c r="AV1251" t="s">
        <v>21245</v>
      </c>
      <c r="AW1251" t="s">
        <v>21246</v>
      </c>
      <c r="AX1251" t="s">
        <v>69</v>
      </c>
      <c r="AY1251" t="s">
        <v>21247</v>
      </c>
      <c r="AZ1251" t="s">
        <v>21248</v>
      </c>
      <c r="BA1251" t="s">
        <v>381</v>
      </c>
      <c r="BB1251">
        <v>2016</v>
      </c>
      <c r="BC1251">
        <v>55</v>
      </c>
      <c r="BD1251">
        <v>10</v>
      </c>
      <c r="BE1251" t="s">
        <v>69</v>
      </c>
      <c r="BF1251" t="s">
        <v>69</v>
      </c>
      <c r="BG1251" t="s">
        <v>69</v>
      </c>
      <c r="BH1251" t="s">
        <v>69</v>
      </c>
      <c r="BI1251">
        <v>583</v>
      </c>
      <c r="BJ1251">
        <v>586</v>
      </c>
      <c r="BK1251" t="s">
        <v>69</v>
      </c>
      <c r="BL1251" t="s">
        <v>21249</v>
      </c>
      <c r="BM1251" t="str">
        <f>HYPERLINK("http://dx.doi.org/10.3928/01484834-20160914-08","http://dx.doi.org/10.3928/01484834-20160914-08")</f>
        <v>http://dx.doi.org/10.3928/01484834-20160914-08</v>
      </c>
      <c r="BN1251" t="s">
        <v>69</v>
      </c>
      <c r="BO1251" t="s">
        <v>69</v>
      </c>
      <c r="BP1251">
        <v>4</v>
      </c>
      <c r="BQ1251" t="s">
        <v>16902</v>
      </c>
      <c r="BR1251" t="s">
        <v>8523</v>
      </c>
      <c r="BS1251" t="s">
        <v>16902</v>
      </c>
      <c r="BT1251" t="s">
        <v>21250</v>
      </c>
      <c r="BU1251" t="s">
        <v>21251</v>
      </c>
      <c r="BV1251">
        <v>27668739</v>
      </c>
      <c r="BW1251" t="s">
        <v>69</v>
      </c>
      <c r="BX1251" t="s">
        <v>69</v>
      </c>
      <c r="BY1251" t="s">
        <v>69</v>
      </c>
      <c r="BZ1251" t="s">
        <v>8526</v>
      </c>
      <c r="CA1251" t="str">
        <f>HYPERLINK("https%3A%2F%2Fwww.webofscience.com%2Fwos%2Fwoscc%2Ffull-record%2FWOS:000389142900008","View Full Record in Web of Science")</f>
        <v>View Full Record in Web of Science</v>
      </c>
    </row>
    <row r="1252" spans="1:79" x14ac:dyDescent="0.3">
      <c r="B1252" t="s">
        <v>8495</v>
      </c>
      <c r="D1252" s="9" t="s">
        <v>32954</v>
      </c>
      <c r="E1252" s="9" t="s">
        <v>33149</v>
      </c>
      <c r="F1252" s="10" t="s">
        <v>8490</v>
      </c>
      <c r="G1252" s="9" t="s">
        <v>8490</v>
      </c>
      <c r="H1252" t="s">
        <v>67</v>
      </c>
      <c r="I1252" t="s">
        <v>7428</v>
      </c>
      <c r="J1252" t="s">
        <v>69</v>
      </c>
      <c r="K1252" t="s">
        <v>69</v>
      </c>
      <c r="L1252" t="s">
        <v>69</v>
      </c>
      <c r="M1252" t="s">
        <v>7429</v>
      </c>
      <c r="N1252" t="s">
        <v>69</v>
      </c>
      <c r="O1252" t="s">
        <v>69</v>
      </c>
      <c r="P1252" t="s">
        <v>22522</v>
      </c>
      <c r="Q1252" t="s">
        <v>22523</v>
      </c>
      <c r="R1252" t="s">
        <v>69</v>
      </c>
      <c r="S1252" t="s">
        <v>69</v>
      </c>
      <c r="T1252" t="s">
        <v>8505</v>
      </c>
      <c r="U1252" t="s">
        <v>8506</v>
      </c>
      <c r="V1252" t="s">
        <v>69</v>
      </c>
      <c r="W1252" t="s">
        <v>69</v>
      </c>
      <c r="X1252" t="s">
        <v>69</v>
      </c>
      <c r="Y1252" t="s">
        <v>69</v>
      </c>
      <c r="Z1252" t="s">
        <v>69</v>
      </c>
      <c r="AA1252" t="s">
        <v>22524</v>
      </c>
      <c r="AB1252" t="s">
        <v>22525</v>
      </c>
      <c r="AC1252" t="s">
        <v>22526</v>
      </c>
      <c r="AD1252" t="s">
        <v>22527</v>
      </c>
      <c r="AE1252" t="s">
        <v>69</v>
      </c>
      <c r="AF1252" t="s">
        <v>22528</v>
      </c>
      <c r="AG1252" t="s">
        <v>22529</v>
      </c>
      <c r="AH1252" t="s">
        <v>21789</v>
      </c>
      <c r="AI1252" t="s">
        <v>7432</v>
      </c>
      <c r="AJ1252" t="s">
        <v>22174</v>
      </c>
      <c r="AK1252" t="s">
        <v>22174</v>
      </c>
      <c r="AL1252" t="s">
        <v>22530</v>
      </c>
      <c r="AM1252" t="s">
        <v>69</v>
      </c>
      <c r="AN1252">
        <v>45</v>
      </c>
      <c r="AO1252">
        <v>26</v>
      </c>
      <c r="AP1252">
        <v>26</v>
      </c>
      <c r="AQ1252">
        <v>0</v>
      </c>
      <c r="AR1252">
        <v>22</v>
      </c>
      <c r="AS1252" t="s">
        <v>16416</v>
      </c>
      <c r="AT1252" t="s">
        <v>16417</v>
      </c>
      <c r="AU1252" t="s">
        <v>16418</v>
      </c>
      <c r="AV1252" t="s">
        <v>22531</v>
      </c>
      <c r="AW1252" t="s">
        <v>22532</v>
      </c>
      <c r="AX1252" t="s">
        <v>69</v>
      </c>
      <c r="AY1252" t="s">
        <v>22533</v>
      </c>
      <c r="AZ1252" t="s">
        <v>22534</v>
      </c>
      <c r="BA1252" t="s">
        <v>201</v>
      </c>
      <c r="BB1252">
        <v>2015</v>
      </c>
      <c r="BC1252">
        <v>17</v>
      </c>
      <c r="BD1252">
        <v>3</v>
      </c>
      <c r="BE1252" t="s">
        <v>69</v>
      </c>
      <c r="BF1252" t="s">
        <v>69</v>
      </c>
      <c r="BG1252" t="s">
        <v>69</v>
      </c>
      <c r="BH1252" t="s">
        <v>69</v>
      </c>
      <c r="BI1252">
        <v>145</v>
      </c>
      <c r="BJ1252">
        <v>164</v>
      </c>
      <c r="BK1252" t="s">
        <v>69</v>
      </c>
      <c r="BL1252" t="s">
        <v>22535</v>
      </c>
      <c r="BM1252" t="str">
        <f>HYPERLINK("http://dx.doi.org/10.1057/rm.2015.10","http://dx.doi.org/10.1057/rm.2015.10")</f>
        <v>http://dx.doi.org/10.1057/rm.2015.10</v>
      </c>
      <c r="BN1252" t="s">
        <v>69</v>
      </c>
      <c r="BO1252" t="s">
        <v>69</v>
      </c>
      <c r="BP1252">
        <v>20</v>
      </c>
      <c r="BQ1252" t="s">
        <v>10299</v>
      </c>
      <c r="BR1252" t="s">
        <v>8661</v>
      </c>
      <c r="BS1252" t="s">
        <v>10279</v>
      </c>
      <c r="BT1252" t="s">
        <v>22536</v>
      </c>
      <c r="BU1252" t="s">
        <v>22537</v>
      </c>
      <c r="BV1252" t="s">
        <v>69</v>
      </c>
      <c r="BW1252" t="s">
        <v>10363</v>
      </c>
      <c r="BX1252" t="s">
        <v>69</v>
      </c>
      <c r="BY1252" t="s">
        <v>69</v>
      </c>
      <c r="BZ1252" t="s">
        <v>8526</v>
      </c>
      <c r="CA1252" t="str">
        <f>HYPERLINK("https%3A%2F%2Fwww.webofscience.com%2Fwos%2Fwoscc%2Ffull-record%2FWOS:000364257500001","View Full Record in Web of Science")</f>
        <v>View Full Record in Web of Science</v>
      </c>
    </row>
    <row r="1253" spans="1:79" x14ac:dyDescent="0.3">
      <c r="B1253" t="s">
        <v>8495</v>
      </c>
      <c r="D1253" s="26" t="s">
        <v>33013</v>
      </c>
      <c r="H1253" t="s">
        <v>67</v>
      </c>
      <c r="I1253" t="s">
        <v>14796</v>
      </c>
      <c r="J1253" t="s">
        <v>69</v>
      </c>
      <c r="K1253" t="s">
        <v>69</v>
      </c>
      <c r="L1253" t="s">
        <v>69</v>
      </c>
      <c r="M1253" t="s">
        <v>14797</v>
      </c>
      <c r="N1253" t="s">
        <v>69</v>
      </c>
      <c r="O1253" t="s">
        <v>69</v>
      </c>
      <c r="P1253" t="s">
        <v>18107</v>
      </c>
      <c r="Q1253" t="s">
        <v>14799</v>
      </c>
      <c r="R1253" t="s">
        <v>69</v>
      </c>
      <c r="S1253" t="s">
        <v>69</v>
      </c>
      <c r="T1253" t="s">
        <v>14800</v>
      </c>
      <c r="U1253" t="s">
        <v>8506</v>
      </c>
      <c r="V1253" t="s">
        <v>69</v>
      </c>
      <c r="W1253" t="s">
        <v>69</v>
      </c>
      <c r="X1253" t="s">
        <v>69</v>
      </c>
      <c r="Y1253" t="s">
        <v>69</v>
      </c>
      <c r="Z1253" t="s">
        <v>69</v>
      </c>
      <c r="AA1253" t="s">
        <v>14801</v>
      </c>
      <c r="AB1253" t="s">
        <v>69</v>
      </c>
      <c r="AC1253" t="s">
        <v>14802</v>
      </c>
      <c r="AD1253" t="s">
        <v>18108</v>
      </c>
      <c r="AE1253" t="s">
        <v>69</v>
      </c>
      <c r="AF1253" t="s">
        <v>18109</v>
      </c>
      <c r="AG1253" t="s">
        <v>69</v>
      </c>
      <c r="AH1253" t="s">
        <v>69</v>
      </c>
      <c r="AI1253" t="s">
        <v>69</v>
      </c>
      <c r="AJ1253" t="s">
        <v>69</v>
      </c>
      <c r="AK1253" t="s">
        <v>69</v>
      </c>
      <c r="AL1253" t="s">
        <v>69</v>
      </c>
      <c r="AM1253" t="s">
        <v>69</v>
      </c>
      <c r="AN1253">
        <v>47</v>
      </c>
      <c r="AO1253">
        <v>1</v>
      </c>
      <c r="AP1253">
        <v>1</v>
      </c>
      <c r="AQ1253">
        <v>0</v>
      </c>
      <c r="AR1253">
        <v>0</v>
      </c>
      <c r="AS1253" t="s">
        <v>14805</v>
      </c>
      <c r="AT1253" t="s">
        <v>14806</v>
      </c>
      <c r="AU1253" t="s">
        <v>14807</v>
      </c>
      <c r="AV1253" t="s">
        <v>14808</v>
      </c>
      <c r="AW1253" t="s">
        <v>69</v>
      </c>
      <c r="AX1253" t="s">
        <v>69</v>
      </c>
      <c r="AY1253" t="s">
        <v>14809</v>
      </c>
      <c r="AZ1253" t="s">
        <v>14810</v>
      </c>
      <c r="BA1253" t="s">
        <v>274</v>
      </c>
      <c r="BB1253">
        <v>2018</v>
      </c>
      <c r="BC1253">
        <v>9</v>
      </c>
      <c r="BD1253">
        <v>3</v>
      </c>
      <c r="BE1253" t="s">
        <v>69</v>
      </c>
      <c r="BF1253" t="s">
        <v>69</v>
      </c>
      <c r="BG1253" t="s">
        <v>69</v>
      </c>
      <c r="BH1253" t="s">
        <v>69</v>
      </c>
      <c r="BI1253" t="s">
        <v>69</v>
      </c>
      <c r="BJ1253" t="s">
        <v>69</v>
      </c>
      <c r="BK1253">
        <v>12781</v>
      </c>
      <c r="BL1253" t="s">
        <v>18110</v>
      </c>
      <c r="BM1253" t="str">
        <f>HYPERLINK("http://dx.doi.org/10.4000/developpementdurable.12781","http://dx.doi.org/10.4000/developpementdurable.12781")</f>
        <v>http://dx.doi.org/10.4000/developpementdurable.12781</v>
      </c>
      <c r="BN1253" t="s">
        <v>69</v>
      </c>
      <c r="BO1253" t="s">
        <v>69</v>
      </c>
      <c r="BP1253">
        <v>18</v>
      </c>
      <c r="BQ1253" t="s">
        <v>8446</v>
      </c>
      <c r="BR1253" t="s">
        <v>8573</v>
      </c>
      <c r="BS1253" t="s">
        <v>8446</v>
      </c>
      <c r="BT1253" t="s">
        <v>18111</v>
      </c>
      <c r="BU1253" t="s">
        <v>18112</v>
      </c>
      <c r="BV1253" t="s">
        <v>69</v>
      </c>
      <c r="BW1253" t="s">
        <v>11853</v>
      </c>
      <c r="BX1253" t="s">
        <v>69</v>
      </c>
      <c r="BY1253" t="s">
        <v>69</v>
      </c>
      <c r="BZ1253" t="s">
        <v>8526</v>
      </c>
      <c r="CA1253" t="str">
        <f>HYPERLINK("https%3A%2F%2Fwww.webofscience.com%2Fwos%2Fwoscc%2Ffull-record%2FWOS:000475490400007","View Full Record in Web of Science")</f>
        <v>View Full Record in Web of Science</v>
      </c>
    </row>
    <row r="1254" spans="1:79" x14ac:dyDescent="0.3">
      <c r="B1254" t="s">
        <v>8495</v>
      </c>
      <c r="D1254" s="13" t="s">
        <v>33014</v>
      </c>
      <c r="H1254" t="s">
        <v>67</v>
      </c>
      <c r="I1254" t="s">
        <v>4931</v>
      </c>
      <c r="J1254" t="s">
        <v>69</v>
      </c>
      <c r="K1254" t="s">
        <v>69</v>
      </c>
      <c r="L1254" t="s">
        <v>69</v>
      </c>
      <c r="M1254" s="4" t="s">
        <v>4931</v>
      </c>
      <c r="N1254" t="s">
        <v>69</v>
      </c>
      <c r="O1254" t="s">
        <v>69</v>
      </c>
      <c r="P1254" t="s">
        <v>4932</v>
      </c>
      <c r="Q1254" t="s">
        <v>4933</v>
      </c>
      <c r="R1254" t="s">
        <v>69</v>
      </c>
      <c r="S1254" t="s">
        <v>69</v>
      </c>
      <c r="T1254" t="s">
        <v>8505</v>
      </c>
      <c r="U1254" t="s">
        <v>8506</v>
      </c>
      <c r="V1254" t="s">
        <v>69</v>
      </c>
      <c r="W1254" t="s">
        <v>69</v>
      </c>
      <c r="X1254" t="s">
        <v>69</v>
      </c>
      <c r="Y1254" t="s">
        <v>69</v>
      </c>
      <c r="Z1254" t="s">
        <v>69</v>
      </c>
      <c r="AA1254" t="s">
        <v>31138</v>
      </c>
      <c r="AB1254" t="s">
        <v>31139</v>
      </c>
      <c r="AC1254" t="s">
        <v>4934</v>
      </c>
      <c r="AD1254" t="s">
        <v>31140</v>
      </c>
      <c r="AE1254" t="s">
        <v>69</v>
      </c>
      <c r="AF1254" t="s">
        <v>31141</v>
      </c>
      <c r="AG1254" t="s">
        <v>69</v>
      </c>
      <c r="AH1254" t="s">
        <v>31142</v>
      </c>
      <c r="AI1254" t="s">
        <v>4935</v>
      </c>
      <c r="AJ1254" t="s">
        <v>69</v>
      </c>
      <c r="AK1254" t="s">
        <v>69</v>
      </c>
      <c r="AL1254" t="s">
        <v>69</v>
      </c>
      <c r="AM1254" t="s">
        <v>69</v>
      </c>
      <c r="AN1254">
        <v>34</v>
      </c>
      <c r="AO1254">
        <v>22</v>
      </c>
      <c r="AP1254">
        <v>22</v>
      </c>
      <c r="AQ1254">
        <v>1</v>
      </c>
      <c r="AR1254">
        <v>5</v>
      </c>
      <c r="AS1254" t="s">
        <v>8762</v>
      </c>
      <c r="AT1254" t="s">
        <v>8763</v>
      </c>
      <c r="AU1254" t="s">
        <v>31143</v>
      </c>
      <c r="AV1254" t="s">
        <v>4936</v>
      </c>
      <c r="AW1254" t="s">
        <v>69</v>
      </c>
      <c r="AX1254" t="s">
        <v>69</v>
      </c>
      <c r="AY1254" t="s">
        <v>31144</v>
      </c>
      <c r="AZ1254" t="s">
        <v>31145</v>
      </c>
      <c r="BA1254" t="s">
        <v>274</v>
      </c>
      <c r="BB1254">
        <v>2003</v>
      </c>
      <c r="BC1254">
        <v>9</v>
      </c>
      <c r="BD1254">
        <v>6</v>
      </c>
      <c r="BE1254" t="s">
        <v>69</v>
      </c>
      <c r="BF1254" t="s">
        <v>69</v>
      </c>
      <c r="BG1254" t="s">
        <v>69</v>
      </c>
      <c r="BH1254" t="s">
        <v>69</v>
      </c>
      <c r="BI1254">
        <v>729</v>
      </c>
      <c r="BJ1254">
        <v>746</v>
      </c>
      <c r="BK1254" t="s">
        <v>69</v>
      </c>
      <c r="BL1254" t="s">
        <v>4937</v>
      </c>
      <c r="BM1254" t="str">
        <f>HYPERLINK("http://dx.doi.org/10.1177/13540688030096004","http://dx.doi.org/10.1177/13540688030096004")</f>
        <v>http://dx.doi.org/10.1177/13540688030096004</v>
      </c>
      <c r="BN1254" t="s">
        <v>69</v>
      </c>
      <c r="BO1254" t="s">
        <v>69</v>
      </c>
      <c r="BP1254">
        <v>18</v>
      </c>
      <c r="BQ1254" t="s">
        <v>13241</v>
      </c>
      <c r="BR1254" t="s">
        <v>8661</v>
      </c>
      <c r="BS1254" t="s">
        <v>10084</v>
      </c>
      <c r="BT1254" t="s">
        <v>31146</v>
      </c>
      <c r="BU1254" t="s">
        <v>4938</v>
      </c>
      <c r="BV1254" t="s">
        <v>69</v>
      </c>
      <c r="BW1254" t="s">
        <v>69</v>
      </c>
      <c r="BX1254" t="s">
        <v>69</v>
      </c>
      <c r="BY1254" t="s">
        <v>69</v>
      </c>
      <c r="BZ1254" t="s">
        <v>8526</v>
      </c>
      <c r="CA1254" t="str">
        <f>HYPERLINK("https%3A%2F%2Fwww.webofscience.com%2Fwos%2Fwoscc%2Ffull-record%2FWOS:000186859700004","View Full Record in Web of Science")</f>
        <v>View Full Record in Web of Science</v>
      </c>
    </row>
    <row r="1255" spans="1:79" ht="12.5" x14ac:dyDescent="0.25">
      <c r="B1255" t="s">
        <v>8495</v>
      </c>
      <c r="D1255" s="22" t="s">
        <v>32931</v>
      </c>
      <c r="E1255" s="7"/>
      <c r="F1255" s="7"/>
      <c r="G1255" s="7"/>
      <c r="H1255" t="s">
        <v>67</v>
      </c>
      <c r="I1255" t="s">
        <v>31296</v>
      </c>
      <c r="J1255" t="s">
        <v>69</v>
      </c>
      <c r="K1255" t="s">
        <v>69</v>
      </c>
      <c r="L1255" t="s">
        <v>69</v>
      </c>
      <c r="M1255" t="s">
        <v>31296</v>
      </c>
      <c r="N1255" t="s">
        <v>69</v>
      </c>
      <c r="O1255" t="s">
        <v>69</v>
      </c>
      <c r="P1255" t="s">
        <v>31297</v>
      </c>
      <c r="Q1255" t="s">
        <v>31298</v>
      </c>
      <c r="R1255" t="s">
        <v>69</v>
      </c>
      <c r="S1255" t="s">
        <v>69</v>
      </c>
      <c r="T1255" t="s">
        <v>8505</v>
      </c>
      <c r="U1255" t="s">
        <v>8506</v>
      </c>
      <c r="V1255" t="s">
        <v>69</v>
      </c>
      <c r="W1255" t="s">
        <v>69</v>
      </c>
      <c r="X1255" t="s">
        <v>69</v>
      </c>
      <c r="Y1255" t="s">
        <v>69</v>
      </c>
      <c r="Z1255" t="s">
        <v>69</v>
      </c>
      <c r="AA1255" t="s">
        <v>69</v>
      </c>
      <c r="AB1255" t="s">
        <v>31299</v>
      </c>
      <c r="AC1255" t="s">
        <v>31300</v>
      </c>
      <c r="AD1255" t="s">
        <v>31301</v>
      </c>
      <c r="AE1255" t="s">
        <v>69</v>
      </c>
      <c r="AF1255" t="s">
        <v>31302</v>
      </c>
      <c r="AG1255" t="s">
        <v>69</v>
      </c>
      <c r="AH1255" t="s">
        <v>69</v>
      </c>
      <c r="AI1255" t="s">
        <v>69</v>
      </c>
      <c r="AJ1255" t="s">
        <v>69</v>
      </c>
      <c r="AK1255" t="s">
        <v>69</v>
      </c>
      <c r="AL1255" t="s">
        <v>69</v>
      </c>
      <c r="AM1255" t="s">
        <v>69</v>
      </c>
      <c r="AN1255">
        <v>38</v>
      </c>
      <c r="AO1255">
        <v>10</v>
      </c>
      <c r="AP1255">
        <v>10</v>
      </c>
      <c r="AQ1255">
        <v>0</v>
      </c>
      <c r="AR1255">
        <v>7</v>
      </c>
      <c r="AS1255" t="s">
        <v>31303</v>
      </c>
      <c r="AT1255" t="s">
        <v>31304</v>
      </c>
      <c r="AU1255" t="s">
        <v>31305</v>
      </c>
      <c r="AV1255" t="s">
        <v>31306</v>
      </c>
      <c r="AW1255" t="s">
        <v>69</v>
      </c>
      <c r="AX1255" t="s">
        <v>69</v>
      </c>
      <c r="AY1255" t="s">
        <v>31307</v>
      </c>
      <c r="AZ1255" t="s">
        <v>31308</v>
      </c>
      <c r="BA1255" t="s">
        <v>69</v>
      </c>
      <c r="BB1255">
        <v>2003</v>
      </c>
      <c r="BC1255">
        <v>24</v>
      </c>
      <c r="BD1255">
        <v>2</v>
      </c>
      <c r="BE1255" t="s">
        <v>69</v>
      </c>
      <c r="BF1255" t="s">
        <v>69</v>
      </c>
      <c r="BG1255" t="s">
        <v>69</v>
      </c>
      <c r="BH1255" t="s">
        <v>69</v>
      </c>
      <c r="BI1255">
        <v>105</v>
      </c>
      <c r="BJ1255">
        <v>129</v>
      </c>
      <c r="BK1255" t="s">
        <v>69</v>
      </c>
      <c r="BL1255" t="s">
        <v>31309</v>
      </c>
      <c r="BM1255" t="str">
        <f>HYPERLINK("http://dx.doi.org/10.2307/3343508","http://dx.doi.org/10.2307/3343508")</f>
        <v>http://dx.doi.org/10.2307/3343508</v>
      </c>
      <c r="BN1255" t="s">
        <v>69</v>
      </c>
      <c r="BO1255" t="s">
        <v>69</v>
      </c>
      <c r="BP1255">
        <v>25</v>
      </c>
      <c r="BQ1255" t="s">
        <v>11564</v>
      </c>
      <c r="BR1255" t="s">
        <v>8523</v>
      </c>
      <c r="BS1255" t="s">
        <v>11565</v>
      </c>
      <c r="BT1255" t="s">
        <v>31310</v>
      </c>
      <c r="BU1255" t="s">
        <v>31311</v>
      </c>
      <c r="BV1255">
        <v>14601534</v>
      </c>
      <c r="BW1255" t="s">
        <v>69</v>
      </c>
      <c r="BX1255" t="s">
        <v>69</v>
      </c>
      <c r="BY1255" t="s">
        <v>69</v>
      </c>
      <c r="BZ1255" t="s">
        <v>8526</v>
      </c>
      <c r="CA1255" t="str">
        <f>HYPERLINK("https%3A%2F%2Fwww.webofscience.com%2Fwos%2Fwoscc%2Ffull-record%2FWOS:000220905000001","View Full Record in Web of Science")</f>
        <v>View Full Record in Web of Science</v>
      </c>
    </row>
    <row r="1256" spans="1:79" ht="12.5" x14ac:dyDescent="0.25">
      <c r="B1256" t="s">
        <v>8495</v>
      </c>
      <c r="D1256" s="7" t="s">
        <v>32933</v>
      </c>
      <c r="E1256" s="7"/>
      <c r="F1256" s="7"/>
      <c r="G1256" s="7"/>
      <c r="H1256" t="s">
        <v>67</v>
      </c>
      <c r="I1256" t="s">
        <v>1815</v>
      </c>
      <c r="J1256" t="s">
        <v>69</v>
      </c>
      <c r="K1256" t="s">
        <v>69</v>
      </c>
      <c r="L1256" t="s">
        <v>69</v>
      </c>
      <c r="M1256" t="s">
        <v>1815</v>
      </c>
      <c r="N1256" t="s">
        <v>69</v>
      </c>
      <c r="O1256" t="s">
        <v>69</v>
      </c>
      <c r="P1256" t="s">
        <v>1816</v>
      </c>
      <c r="Q1256" t="s">
        <v>1799</v>
      </c>
      <c r="R1256" t="s">
        <v>69</v>
      </c>
      <c r="S1256" t="s">
        <v>69</v>
      </c>
      <c r="T1256" t="s">
        <v>8505</v>
      </c>
      <c r="U1256" t="s">
        <v>8506</v>
      </c>
      <c r="V1256" t="s">
        <v>69</v>
      </c>
      <c r="W1256" t="s">
        <v>69</v>
      </c>
      <c r="X1256" t="s">
        <v>69</v>
      </c>
      <c r="Y1256" t="s">
        <v>69</v>
      </c>
      <c r="Z1256" t="s">
        <v>69</v>
      </c>
      <c r="AA1256" t="s">
        <v>32786</v>
      </c>
      <c r="AB1256" t="s">
        <v>29975</v>
      </c>
      <c r="AC1256" t="s">
        <v>1817</v>
      </c>
      <c r="AD1256" t="s">
        <v>32787</v>
      </c>
      <c r="AE1256" t="s">
        <v>69</v>
      </c>
      <c r="AF1256" t="s">
        <v>69</v>
      </c>
      <c r="AG1256" t="s">
        <v>69</v>
      </c>
      <c r="AH1256" t="s">
        <v>69</v>
      </c>
      <c r="AI1256" t="s">
        <v>1818</v>
      </c>
      <c r="AJ1256" t="s">
        <v>69</v>
      </c>
      <c r="AK1256" t="s">
        <v>69</v>
      </c>
      <c r="AL1256" t="s">
        <v>69</v>
      </c>
      <c r="AM1256" t="s">
        <v>69</v>
      </c>
      <c r="AN1256">
        <v>33</v>
      </c>
      <c r="AO1256">
        <v>127</v>
      </c>
      <c r="AP1256">
        <v>131</v>
      </c>
      <c r="AQ1256">
        <v>1</v>
      </c>
      <c r="AR1256">
        <v>40</v>
      </c>
      <c r="AS1256" t="s">
        <v>32595</v>
      </c>
      <c r="AT1256" t="s">
        <v>8693</v>
      </c>
      <c r="AU1256" t="s">
        <v>32596</v>
      </c>
      <c r="AV1256" t="s">
        <v>1801</v>
      </c>
      <c r="AW1256" t="s">
        <v>69</v>
      </c>
      <c r="AX1256" t="s">
        <v>69</v>
      </c>
      <c r="AY1256" t="s">
        <v>15128</v>
      </c>
      <c r="AZ1256" t="s">
        <v>15129</v>
      </c>
      <c r="BA1256" t="s">
        <v>201</v>
      </c>
      <c r="BB1256">
        <v>1993</v>
      </c>
      <c r="BC1256">
        <v>13</v>
      </c>
      <c r="BD1256">
        <v>4</v>
      </c>
      <c r="BE1256" t="s">
        <v>69</v>
      </c>
      <c r="BF1256" t="s">
        <v>69</v>
      </c>
      <c r="BG1256" t="s">
        <v>69</v>
      </c>
      <c r="BH1256" t="s">
        <v>69</v>
      </c>
      <c r="BI1256">
        <v>425</v>
      </c>
      <c r="BJ1256">
        <v>439</v>
      </c>
      <c r="BK1256" t="s">
        <v>69</v>
      </c>
      <c r="BL1256" t="s">
        <v>1819</v>
      </c>
      <c r="BM1256" t="str">
        <f>HYPERLINK("http://dx.doi.org/10.1111/j.1539-6924.1993.tb00743.x","http://dx.doi.org/10.1111/j.1539-6924.1993.tb00743.x")</f>
        <v>http://dx.doi.org/10.1111/j.1539-6924.1993.tb00743.x</v>
      </c>
      <c r="BN1256" t="s">
        <v>69</v>
      </c>
      <c r="BO1256" t="s">
        <v>69</v>
      </c>
      <c r="BP1256">
        <v>15</v>
      </c>
      <c r="BQ1256" t="s">
        <v>15130</v>
      </c>
      <c r="BR1256" t="s">
        <v>8661</v>
      </c>
      <c r="BS1256" t="s">
        <v>15131</v>
      </c>
      <c r="BT1256" t="s">
        <v>32788</v>
      </c>
      <c r="BU1256" t="s">
        <v>1820</v>
      </c>
      <c r="BV1256">
        <v>8234951</v>
      </c>
      <c r="BW1256" t="s">
        <v>69</v>
      </c>
      <c r="BX1256" t="s">
        <v>69</v>
      </c>
      <c r="BY1256" t="s">
        <v>69</v>
      </c>
      <c r="BZ1256" t="s">
        <v>8526</v>
      </c>
      <c r="CA1256" t="str">
        <f>HYPERLINK("https%3A%2F%2Fwww.webofscience.com%2Fwos%2Fwoscc%2Ffull-record%2FWOS:A1993LX89200008","View Full Record in Web of Science")</f>
        <v>View Full Record in Web of Science</v>
      </c>
    </row>
    <row r="1257" spans="1:79" ht="12.5" x14ac:dyDescent="0.25">
      <c r="B1257" t="s">
        <v>8495</v>
      </c>
      <c r="D1257" s="7" t="s">
        <v>32933</v>
      </c>
      <c r="E1257" s="7"/>
      <c r="F1257" s="7"/>
      <c r="G1257" s="7"/>
      <c r="H1257" t="s">
        <v>67</v>
      </c>
      <c r="I1257" t="s">
        <v>5097</v>
      </c>
      <c r="J1257" t="s">
        <v>69</v>
      </c>
      <c r="K1257" t="s">
        <v>69</v>
      </c>
      <c r="L1257" t="s">
        <v>69</v>
      </c>
      <c r="M1257" t="s">
        <v>5097</v>
      </c>
      <c r="N1257" t="s">
        <v>69</v>
      </c>
      <c r="O1257" t="s">
        <v>69</v>
      </c>
      <c r="P1257" t="s">
        <v>5098</v>
      </c>
      <c r="Q1257" t="s">
        <v>3190</v>
      </c>
      <c r="R1257" t="s">
        <v>69</v>
      </c>
      <c r="S1257" t="s">
        <v>69</v>
      </c>
      <c r="T1257" t="s">
        <v>8505</v>
      </c>
      <c r="U1257" t="s">
        <v>8506</v>
      </c>
      <c r="V1257" t="s">
        <v>69</v>
      </c>
      <c r="W1257" t="s">
        <v>69</v>
      </c>
      <c r="X1257" t="s">
        <v>69</v>
      </c>
      <c r="Y1257" t="s">
        <v>69</v>
      </c>
      <c r="Z1257" t="s">
        <v>69</v>
      </c>
      <c r="AA1257" t="s">
        <v>69</v>
      </c>
      <c r="AB1257" t="s">
        <v>31882</v>
      </c>
      <c r="AC1257" t="s">
        <v>5099</v>
      </c>
      <c r="AD1257" t="s">
        <v>31883</v>
      </c>
      <c r="AE1257" t="s">
        <v>69</v>
      </c>
      <c r="AF1257" t="s">
        <v>31884</v>
      </c>
      <c r="AG1257" t="s">
        <v>69</v>
      </c>
      <c r="AH1257" t="s">
        <v>69</v>
      </c>
      <c r="AI1257" t="s">
        <v>69</v>
      </c>
      <c r="AJ1257" t="s">
        <v>69</v>
      </c>
      <c r="AK1257" t="s">
        <v>69</v>
      </c>
      <c r="AL1257" t="s">
        <v>69</v>
      </c>
      <c r="AM1257" t="s">
        <v>69</v>
      </c>
      <c r="AN1257">
        <v>55</v>
      </c>
      <c r="AO1257">
        <v>20</v>
      </c>
      <c r="AP1257">
        <v>20</v>
      </c>
      <c r="AQ1257">
        <v>1</v>
      </c>
      <c r="AR1257">
        <v>7</v>
      </c>
      <c r="AS1257" t="s">
        <v>8846</v>
      </c>
      <c r="AT1257" t="s">
        <v>8847</v>
      </c>
      <c r="AU1257" t="s">
        <v>8848</v>
      </c>
      <c r="AV1257" t="s">
        <v>3192</v>
      </c>
      <c r="AW1257" t="s">
        <v>3193</v>
      </c>
      <c r="AX1257" t="s">
        <v>69</v>
      </c>
      <c r="AY1257" t="s">
        <v>23670</v>
      </c>
      <c r="AZ1257" t="s">
        <v>23671</v>
      </c>
      <c r="BA1257" t="s">
        <v>1710</v>
      </c>
      <c r="BB1257">
        <v>1999</v>
      </c>
      <c r="BC1257">
        <v>49</v>
      </c>
      <c r="BD1257">
        <v>1</v>
      </c>
      <c r="BE1257" t="s">
        <v>69</v>
      </c>
      <c r="BF1257" t="s">
        <v>69</v>
      </c>
      <c r="BG1257" t="s">
        <v>69</v>
      </c>
      <c r="BH1257" t="s">
        <v>69</v>
      </c>
      <c r="BI1257">
        <v>83</v>
      </c>
      <c r="BJ1257">
        <v>102</v>
      </c>
      <c r="BK1257" t="s">
        <v>69</v>
      </c>
      <c r="BL1257" t="s">
        <v>5100</v>
      </c>
      <c r="BM1257" t="str">
        <f>HYPERLINK("http://dx.doi.org/10.1093/joc/49.1.83","http://dx.doi.org/10.1093/joc/49.1.83")</f>
        <v>http://dx.doi.org/10.1093/joc/49.1.83</v>
      </c>
      <c r="BN1257" t="s">
        <v>69</v>
      </c>
      <c r="BO1257" t="s">
        <v>69</v>
      </c>
      <c r="BP1257">
        <v>20</v>
      </c>
      <c r="BQ1257" t="s">
        <v>8443</v>
      </c>
      <c r="BR1257" t="s">
        <v>8661</v>
      </c>
      <c r="BS1257" t="s">
        <v>8443</v>
      </c>
      <c r="BT1257" t="s">
        <v>31885</v>
      </c>
      <c r="BU1257" t="s">
        <v>5101</v>
      </c>
      <c r="BV1257" t="s">
        <v>69</v>
      </c>
      <c r="BW1257" t="s">
        <v>69</v>
      </c>
      <c r="BX1257" t="s">
        <v>69</v>
      </c>
      <c r="BY1257" t="s">
        <v>69</v>
      </c>
      <c r="BZ1257" t="s">
        <v>8526</v>
      </c>
      <c r="CA1257" t="str">
        <f>HYPERLINK("https%3A%2F%2Fwww.webofscience.com%2Fwos%2Fwoscc%2Ffull-record%2FWOS:000078975500005","View Full Record in Web of Science")</f>
        <v>View Full Record in Web of Science</v>
      </c>
    </row>
    <row r="1258" spans="1:79" ht="12.5" x14ac:dyDescent="0.25">
      <c r="B1258" t="s">
        <v>8495</v>
      </c>
      <c r="D1258" s="22" t="s">
        <v>32931</v>
      </c>
      <c r="E1258" s="7"/>
      <c r="F1258" s="7"/>
      <c r="G1258" s="7"/>
      <c r="H1258" t="s">
        <v>67</v>
      </c>
      <c r="I1258" t="s">
        <v>10931</v>
      </c>
      <c r="J1258" t="s">
        <v>69</v>
      </c>
      <c r="K1258" t="s">
        <v>69</v>
      </c>
      <c r="L1258" t="s">
        <v>69</v>
      </c>
      <c r="M1258" t="s">
        <v>10932</v>
      </c>
      <c r="N1258" t="s">
        <v>69</v>
      </c>
      <c r="O1258" t="s">
        <v>69</v>
      </c>
      <c r="P1258" t="s">
        <v>10933</v>
      </c>
      <c r="Q1258" t="s">
        <v>10934</v>
      </c>
      <c r="R1258" t="s">
        <v>69</v>
      </c>
      <c r="S1258" t="s">
        <v>69</v>
      </c>
      <c r="T1258" t="s">
        <v>8505</v>
      </c>
      <c r="U1258" t="s">
        <v>8506</v>
      </c>
      <c r="V1258" t="s">
        <v>69</v>
      </c>
      <c r="W1258" t="s">
        <v>69</v>
      </c>
      <c r="X1258" t="s">
        <v>69</v>
      </c>
      <c r="Y1258" t="s">
        <v>69</v>
      </c>
      <c r="Z1258" t="s">
        <v>69</v>
      </c>
      <c r="AA1258" t="s">
        <v>10935</v>
      </c>
      <c r="AB1258" t="s">
        <v>10936</v>
      </c>
      <c r="AC1258" t="s">
        <v>10937</v>
      </c>
      <c r="AD1258" t="s">
        <v>10938</v>
      </c>
      <c r="AE1258" t="s">
        <v>69</v>
      </c>
      <c r="AF1258" t="s">
        <v>10939</v>
      </c>
      <c r="AG1258" t="s">
        <v>10940</v>
      </c>
      <c r="AH1258" t="s">
        <v>10941</v>
      </c>
      <c r="AI1258" t="s">
        <v>10942</v>
      </c>
      <c r="AJ1258" t="s">
        <v>10943</v>
      </c>
      <c r="AK1258" t="s">
        <v>10944</v>
      </c>
      <c r="AL1258" t="s">
        <v>10945</v>
      </c>
      <c r="AM1258" t="s">
        <v>69</v>
      </c>
      <c r="AN1258">
        <v>35</v>
      </c>
      <c r="AO1258">
        <v>0</v>
      </c>
      <c r="AP1258">
        <v>0</v>
      </c>
      <c r="AQ1258">
        <v>0</v>
      </c>
      <c r="AR1258">
        <v>1</v>
      </c>
      <c r="AS1258" t="s">
        <v>10946</v>
      </c>
      <c r="AT1258" t="s">
        <v>10947</v>
      </c>
      <c r="AU1258" t="s">
        <v>10948</v>
      </c>
      <c r="AV1258" t="s">
        <v>10949</v>
      </c>
      <c r="AW1258" t="s">
        <v>10950</v>
      </c>
      <c r="AX1258" t="s">
        <v>69</v>
      </c>
      <c r="AY1258" t="s">
        <v>10951</v>
      </c>
      <c r="AZ1258" t="s">
        <v>10952</v>
      </c>
      <c r="BA1258" t="s">
        <v>274</v>
      </c>
      <c r="BB1258">
        <v>2021</v>
      </c>
      <c r="BC1258">
        <v>5</v>
      </c>
      <c r="BD1258">
        <v>2</v>
      </c>
      <c r="BE1258" t="s">
        <v>69</v>
      </c>
      <c r="BF1258" t="s">
        <v>69</v>
      </c>
      <c r="BG1258" t="s">
        <v>69</v>
      </c>
      <c r="BH1258" t="s">
        <v>69</v>
      </c>
      <c r="BI1258">
        <v>199</v>
      </c>
      <c r="BJ1258">
        <v>208</v>
      </c>
      <c r="BK1258" t="s">
        <v>69</v>
      </c>
      <c r="BL1258" t="s">
        <v>10953</v>
      </c>
      <c r="BM1258" t="str">
        <f>HYPERLINK("http://dx.doi.org/10.24259/fs.v5i2.13451","http://dx.doi.org/10.24259/fs.v5i2.13451")</f>
        <v>http://dx.doi.org/10.24259/fs.v5i2.13451</v>
      </c>
      <c r="BN1258" t="s">
        <v>69</v>
      </c>
      <c r="BO1258" t="s">
        <v>69</v>
      </c>
      <c r="BP1258">
        <v>10</v>
      </c>
      <c r="BQ1258" t="s">
        <v>8453</v>
      </c>
      <c r="BR1258" t="s">
        <v>8573</v>
      </c>
      <c r="BS1258" t="s">
        <v>8453</v>
      </c>
      <c r="BT1258" t="s">
        <v>10954</v>
      </c>
      <c r="BU1258" t="s">
        <v>10955</v>
      </c>
      <c r="BV1258" t="s">
        <v>69</v>
      </c>
      <c r="BW1258" t="s">
        <v>8931</v>
      </c>
      <c r="BX1258" t="s">
        <v>69</v>
      </c>
      <c r="BY1258" t="s">
        <v>69</v>
      </c>
      <c r="BZ1258" t="s">
        <v>8526</v>
      </c>
      <c r="CA1258" t="str">
        <f>HYPERLINK("https%3A%2F%2Fwww.webofscience.com%2Fwos%2Fwoscc%2Ffull-record%2FWOS:000677616300001","View Full Record in Web of Science")</f>
        <v>View Full Record in Web of Science</v>
      </c>
    </row>
    <row r="1259" spans="1:79" ht="12.5" x14ac:dyDescent="0.25">
      <c r="B1259" t="s">
        <v>8495</v>
      </c>
      <c r="D1259" s="22" t="s">
        <v>32931</v>
      </c>
      <c r="E1259" s="7"/>
      <c r="F1259" s="7"/>
      <c r="G1259" s="7"/>
      <c r="H1259" t="s">
        <v>67</v>
      </c>
      <c r="I1259" t="s">
        <v>26125</v>
      </c>
      <c r="J1259" t="s">
        <v>69</v>
      </c>
      <c r="K1259" t="s">
        <v>69</v>
      </c>
      <c r="L1259" t="s">
        <v>69</v>
      </c>
      <c r="M1259" t="s">
        <v>26126</v>
      </c>
      <c r="N1259" t="s">
        <v>69</v>
      </c>
      <c r="O1259" t="s">
        <v>69</v>
      </c>
      <c r="P1259" t="s">
        <v>26127</v>
      </c>
      <c r="Q1259" t="s">
        <v>21578</v>
      </c>
      <c r="R1259" t="s">
        <v>69</v>
      </c>
      <c r="S1259" t="s">
        <v>69</v>
      </c>
      <c r="T1259" t="s">
        <v>8505</v>
      </c>
      <c r="U1259" t="s">
        <v>8506</v>
      </c>
      <c r="V1259" t="s">
        <v>69</v>
      </c>
      <c r="W1259" t="s">
        <v>69</v>
      </c>
      <c r="X1259" t="s">
        <v>69</v>
      </c>
      <c r="Y1259" t="s">
        <v>69</v>
      </c>
      <c r="Z1259" t="s">
        <v>69</v>
      </c>
      <c r="AA1259" t="s">
        <v>69</v>
      </c>
      <c r="AB1259" t="s">
        <v>26128</v>
      </c>
      <c r="AC1259" t="s">
        <v>26129</v>
      </c>
      <c r="AD1259" t="s">
        <v>26130</v>
      </c>
      <c r="AE1259" t="s">
        <v>69</v>
      </c>
      <c r="AF1259" t="s">
        <v>26131</v>
      </c>
      <c r="AG1259" t="s">
        <v>69</v>
      </c>
      <c r="AH1259" t="s">
        <v>26132</v>
      </c>
      <c r="AI1259" t="s">
        <v>26133</v>
      </c>
      <c r="AJ1259" t="s">
        <v>69</v>
      </c>
      <c r="AK1259" t="s">
        <v>69</v>
      </c>
      <c r="AL1259" t="s">
        <v>69</v>
      </c>
      <c r="AM1259" t="s">
        <v>69</v>
      </c>
      <c r="AN1259">
        <v>80</v>
      </c>
      <c r="AO1259">
        <v>5</v>
      </c>
      <c r="AP1259">
        <v>5</v>
      </c>
      <c r="AQ1259">
        <v>0</v>
      </c>
      <c r="AR1259">
        <v>23</v>
      </c>
      <c r="AS1259" t="s">
        <v>21583</v>
      </c>
      <c r="AT1259" t="s">
        <v>8693</v>
      </c>
      <c r="AU1259" t="s">
        <v>21584</v>
      </c>
      <c r="AV1259" t="s">
        <v>21585</v>
      </c>
      <c r="AW1259" t="s">
        <v>69</v>
      </c>
      <c r="AX1259" t="s">
        <v>69</v>
      </c>
      <c r="AY1259" t="s">
        <v>21587</v>
      </c>
      <c r="AZ1259" t="s">
        <v>21588</v>
      </c>
      <c r="BA1259" t="s">
        <v>94</v>
      </c>
      <c r="BB1259">
        <v>2012</v>
      </c>
      <c r="BC1259">
        <v>114</v>
      </c>
      <c r="BD1259">
        <v>3</v>
      </c>
      <c r="BE1259" t="s">
        <v>69</v>
      </c>
      <c r="BF1259" t="s">
        <v>69</v>
      </c>
      <c r="BG1259" t="s">
        <v>69</v>
      </c>
      <c r="BH1259" t="s">
        <v>69</v>
      </c>
      <c r="BI1259" t="s">
        <v>69</v>
      </c>
      <c r="BJ1259" t="s">
        <v>69</v>
      </c>
      <c r="BK1259">
        <v>30301</v>
      </c>
      <c r="BL1259" t="s">
        <v>69</v>
      </c>
      <c r="BM1259" t="s">
        <v>69</v>
      </c>
      <c r="BN1259" t="s">
        <v>69</v>
      </c>
      <c r="BO1259" t="s">
        <v>69</v>
      </c>
      <c r="BP1259">
        <v>41</v>
      </c>
      <c r="BQ1259" t="s">
        <v>9290</v>
      </c>
      <c r="BR1259" t="s">
        <v>8661</v>
      </c>
      <c r="BS1259" t="s">
        <v>9290</v>
      </c>
      <c r="BT1259" t="s">
        <v>26134</v>
      </c>
      <c r="BU1259" t="s">
        <v>26135</v>
      </c>
      <c r="BV1259" t="s">
        <v>69</v>
      </c>
      <c r="BW1259" t="s">
        <v>69</v>
      </c>
      <c r="BX1259" t="s">
        <v>69</v>
      </c>
      <c r="BY1259" t="s">
        <v>69</v>
      </c>
      <c r="BZ1259" t="s">
        <v>8526</v>
      </c>
      <c r="CA1259" t="str">
        <f>HYPERLINK("https%3A%2F%2Fwww.webofscience.com%2Fwos%2Fwoscc%2Ffull-record%2FWOS:000303209200001","View Full Record in Web of Science")</f>
        <v>View Full Record in Web of Science</v>
      </c>
    </row>
    <row r="1260" spans="1:79" x14ac:dyDescent="0.3">
      <c r="A1260" t="s">
        <v>8408</v>
      </c>
      <c r="B1260" t="s">
        <v>8495</v>
      </c>
      <c r="D1260" s="10" t="s">
        <v>33202</v>
      </c>
      <c r="F1260" s="10" t="s">
        <v>8490</v>
      </c>
      <c r="H1260" t="s">
        <v>67</v>
      </c>
      <c r="I1260" t="s">
        <v>7594</v>
      </c>
      <c r="J1260" t="s">
        <v>69</v>
      </c>
      <c r="K1260" t="s">
        <v>69</v>
      </c>
      <c r="L1260" t="s">
        <v>69</v>
      </c>
      <c r="M1260" s="2" t="s">
        <v>7595</v>
      </c>
      <c r="N1260" t="s">
        <v>69</v>
      </c>
      <c r="O1260" t="s">
        <v>69</v>
      </c>
      <c r="P1260" s="2" t="s">
        <v>7596</v>
      </c>
      <c r="Q1260" t="s">
        <v>6716</v>
      </c>
      <c r="R1260" t="s">
        <v>69</v>
      </c>
      <c r="S1260" t="s">
        <v>69</v>
      </c>
      <c r="T1260" t="s">
        <v>8505</v>
      </c>
      <c r="U1260" t="s">
        <v>8506</v>
      </c>
      <c r="V1260" t="s">
        <v>69</v>
      </c>
      <c r="W1260" t="s">
        <v>69</v>
      </c>
      <c r="X1260" t="s">
        <v>69</v>
      </c>
      <c r="Y1260" t="s">
        <v>69</v>
      </c>
      <c r="Z1260" t="s">
        <v>69</v>
      </c>
      <c r="AA1260" t="s">
        <v>22232</v>
      </c>
      <c r="AB1260" t="s">
        <v>10571</v>
      </c>
      <c r="AC1260" t="s">
        <v>7597</v>
      </c>
      <c r="AD1260" t="s">
        <v>22233</v>
      </c>
      <c r="AE1260" t="s">
        <v>69</v>
      </c>
      <c r="AF1260" t="s">
        <v>22234</v>
      </c>
      <c r="AG1260" t="s">
        <v>21788</v>
      </c>
      <c r="AH1260" t="s">
        <v>21789</v>
      </c>
      <c r="AI1260" t="s">
        <v>7432</v>
      </c>
      <c r="AJ1260" t="s">
        <v>22174</v>
      </c>
      <c r="AK1260" t="s">
        <v>22174</v>
      </c>
      <c r="AL1260" t="s">
        <v>22235</v>
      </c>
      <c r="AM1260" t="s">
        <v>69</v>
      </c>
      <c r="AN1260">
        <v>39</v>
      </c>
      <c r="AO1260">
        <v>26</v>
      </c>
      <c r="AP1260">
        <v>26</v>
      </c>
      <c r="AQ1260">
        <v>2</v>
      </c>
      <c r="AR1260">
        <v>5</v>
      </c>
      <c r="AS1260" t="s">
        <v>8865</v>
      </c>
      <c r="AT1260" t="s">
        <v>8612</v>
      </c>
      <c r="AU1260" t="s">
        <v>8866</v>
      </c>
      <c r="AV1260" t="s">
        <v>6718</v>
      </c>
      <c r="AW1260" t="s">
        <v>6719</v>
      </c>
      <c r="AX1260" t="s">
        <v>69</v>
      </c>
      <c r="AY1260" t="s">
        <v>19396</v>
      </c>
      <c r="AZ1260" t="s">
        <v>19397</v>
      </c>
      <c r="BA1260" t="s">
        <v>69</v>
      </c>
      <c r="BB1260">
        <v>2016</v>
      </c>
      <c r="BC1260">
        <v>19</v>
      </c>
      <c r="BD1260">
        <v>10</v>
      </c>
      <c r="BE1260" t="s">
        <v>69</v>
      </c>
      <c r="BF1260" t="s">
        <v>69</v>
      </c>
      <c r="BG1260" t="s">
        <v>114</v>
      </c>
      <c r="BH1260" t="s">
        <v>69</v>
      </c>
      <c r="BI1260">
        <v>1275</v>
      </c>
      <c r="BJ1260">
        <v>1290</v>
      </c>
      <c r="BK1260" t="s">
        <v>69</v>
      </c>
      <c r="BL1260" t="s">
        <v>7598</v>
      </c>
      <c r="BM1260" t="str">
        <f>HYPERLINK("http://dx.doi.org/10.1080/13669877.2015.1043570","http://dx.doi.org/10.1080/13669877.2015.1043570")</f>
        <v>http://dx.doi.org/10.1080/13669877.2015.1043570</v>
      </c>
      <c r="BN1260" t="s">
        <v>69</v>
      </c>
      <c r="BO1260" t="s">
        <v>69</v>
      </c>
      <c r="BP1260">
        <v>16</v>
      </c>
      <c r="BQ1260" t="s">
        <v>10299</v>
      </c>
      <c r="BR1260" t="s">
        <v>8661</v>
      </c>
      <c r="BS1260" t="s">
        <v>10279</v>
      </c>
      <c r="BT1260" t="s">
        <v>22236</v>
      </c>
      <c r="BU1260" t="s">
        <v>7599</v>
      </c>
      <c r="BV1260" t="s">
        <v>69</v>
      </c>
      <c r="BW1260" t="s">
        <v>10363</v>
      </c>
      <c r="BX1260" t="s">
        <v>69</v>
      </c>
      <c r="BY1260" t="s">
        <v>69</v>
      </c>
      <c r="BZ1260" t="s">
        <v>8526</v>
      </c>
      <c r="CA1260" t="str">
        <f>HYPERLINK("https%3A%2F%2Fwww.webofscience.com%2Fwos%2Fwoscc%2Ffull-record%2FWOS:000390681000006","View Full Record in Web of Science")</f>
        <v>View Full Record in Web of Science</v>
      </c>
    </row>
    <row r="1261" spans="1:79" ht="12.5" x14ac:dyDescent="0.25">
      <c r="B1261" t="s">
        <v>8495</v>
      </c>
      <c r="D1261" s="22" t="s">
        <v>32931</v>
      </c>
      <c r="E1261" s="7"/>
      <c r="F1261" s="7"/>
      <c r="G1261" s="7"/>
      <c r="H1261" t="s">
        <v>67</v>
      </c>
      <c r="I1261" t="s">
        <v>13540</v>
      </c>
      <c r="J1261" t="s">
        <v>69</v>
      </c>
      <c r="K1261" t="s">
        <v>69</v>
      </c>
      <c r="L1261" t="s">
        <v>69</v>
      </c>
      <c r="M1261" t="s">
        <v>13541</v>
      </c>
      <c r="N1261" t="s">
        <v>69</v>
      </c>
      <c r="O1261" t="s">
        <v>69</v>
      </c>
      <c r="P1261" t="s">
        <v>13542</v>
      </c>
      <c r="Q1261" t="s">
        <v>13543</v>
      </c>
      <c r="R1261" t="s">
        <v>69</v>
      </c>
      <c r="S1261" t="s">
        <v>69</v>
      </c>
      <c r="T1261" t="s">
        <v>8505</v>
      </c>
      <c r="U1261" t="s">
        <v>8506</v>
      </c>
      <c r="V1261" t="s">
        <v>69</v>
      </c>
      <c r="W1261" t="s">
        <v>69</v>
      </c>
      <c r="X1261" t="s">
        <v>69</v>
      </c>
      <c r="Y1261" t="s">
        <v>69</v>
      </c>
      <c r="Z1261" t="s">
        <v>69</v>
      </c>
      <c r="AA1261" t="s">
        <v>13544</v>
      </c>
      <c r="AB1261" t="s">
        <v>13545</v>
      </c>
      <c r="AC1261" t="s">
        <v>13546</v>
      </c>
      <c r="AD1261" t="s">
        <v>13547</v>
      </c>
      <c r="AE1261" t="s">
        <v>69</v>
      </c>
      <c r="AF1261" t="s">
        <v>13548</v>
      </c>
      <c r="AG1261" t="s">
        <v>13549</v>
      </c>
      <c r="AH1261" t="s">
        <v>13550</v>
      </c>
      <c r="AI1261" t="s">
        <v>13551</v>
      </c>
      <c r="AJ1261" t="s">
        <v>69</v>
      </c>
      <c r="AK1261" t="s">
        <v>69</v>
      </c>
      <c r="AL1261" t="s">
        <v>69</v>
      </c>
      <c r="AM1261" t="s">
        <v>69</v>
      </c>
      <c r="AN1261">
        <v>49</v>
      </c>
      <c r="AO1261">
        <v>3</v>
      </c>
      <c r="AP1261">
        <v>3</v>
      </c>
      <c r="AQ1261">
        <v>5</v>
      </c>
      <c r="AR1261">
        <v>5</v>
      </c>
      <c r="AS1261" t="s">
        <v>13552</v>
      </c>
      <c r="AT1261" t="s">
        <v>13553</v>
      </c>
      <c r="AU1261" t="s">
        <v>13554</v>
      </c>
      <c r="AV1261" t="s">
        <v>13555</v>
      </c>
      <c r="AW1261" t="s">
        <v>13556</v>
      </c>
      <c r="AX1261" t="s">
        <v>69</v>
      </c>
      <c r="AY1261" t="s">
        <v>13543</v>
      </c>
      <c r="AZ1261" t="s">
        <v>13557</v>
      </c>
      <c r="BA1261" t="s">
        <v>69</v>
      </c>
      <c r="BB1261">
        <v>2021</v>
      </c>
      <c r="BC1261">
        <v>17</v>
      </c>
      <c r="BD1261">
        <v>4</v>
      </c>
      <c r="BE1261" t="s">
        <v>69</v>
      </c>
      <c r="BF1261" t="s">
        <v>69</v>
      </c>
      <c r="BG1261" t="s">
        <v>69</v>
      </c>
      <c r="BH1261" t="s">
        <v>69</v>
      </c>
      <c r="BI1261">
        <v>519</v>
      </c>
      <c r="BJ1261">
        <v>529</v>
      </c>
      <c r="BK1261" t="s">
        <v>69</v>
      </c>
      <c r="BL1261" t="s">
        <v>13558</v>
      </c>
      <c r="BM1261" t="str">
        <f>HYPERLINK("http://dx.doi.org/10.17270/J.LOG.2021.624","http://dx.doi.org/10.17270/J.LOG.2021.624")</f>
        <v>http://dx.doi.org/10.17270/J.LOG.2021.624</v>
      </c>
      <c r="BN1261" t="s">
        <v>69</v>
      </c>
      <c r="BO1261" t="s">
        <v>69</v>
      </c>
      <c r="BP1261">
        <v>11</v>
      </c>
      <c r="BQ1261" t="s">
        <v>9410</v>
      </c>
      <c r="BR1261" t="s">
        <v>8573</v>
      </c>
      <c r="BS1261" t="s">
        <v>8594</v>
      </c>
      <c r="BT1261" t="s">
        <v>13559</v>
      </c>
      <c r="BU1261" t="s">
        <v>13560</v>
      </c>
      <c r="BV1261" t="s">
        <v>69</v>
      </c>
      <c r="BW1261" t="s">
        <v>69</v>
      </c>
      <c r="BX1261" t="s">
        <v>69</v>
      </c>
      <c r="BY1261" t="s">
        <v>69</v>
      </c>
      <c r="BZ1261" t="s">
        <v>8526</v>
      </c>
      <c r="CA1261" t="str">
        <f>HYPERLINK("https%3A%2F%2Fwww.webofscience.com%2Fwos%2Fwoscc%2Ffull-record%2FWOS:000708023000005","View Full Record in Web of Science")</f>
        <v>View Full Record in Web of Science</v>
      </c>
    </row>
    <row r="1262" spans="1:79" ht="12.5" x14ac:dyDescent="0.25">
      <c r="B1262" t="s">
        <v>8495</v>
      </c>
      <c r="D1262" s="22" t="s">
        <v>32931</v>
      </c>
      <c r="E1262" s="7"/>
      <c r="F1262" s="7"/>
      <c r="G1262" s="7"/>
      <c r="H1262" t="s">
        <v>67</v>
      </c>
      <c r="I1262" t="s">
        <v>29646</v>
      </c>
      <c r="J1262" t="s">
        <v>69</v>
      </c>
      <c r="K1262" t="s">
        <v>69</v>
      </c>
      <c r="L1262" t="s">
        <v>69</v>
      </c>
      <c r="M1262" t="s">
        <v>29647</v>
      </c>
      <c r="N1262" t="s">
        <v>69</v>
      </c>
      <c r="O1262" t="s">
        <v>69</v>
      </c>
      <c r="P1262" t="s">
        <v>29648</v>
      </c>
      <c r="Q1262" t="s">
        <v>29649</v>
      </c>
      <c r="R1262" t="s">
        <v>69</v>
      </c>
      <c r="S1262" t="s">
        <v>69</v>
      </c>
      <c r="T1262" t="s">
        <v>8505</v>
      </c>
      <c r="U1262" t="s">
        <v>8506</v>
      </c>
      <c r="V1262" t="s">
        <v>69</v>
      </c>
      <c r="W1262" t="s">
        <v>69</v>
      </c>
      <c r="X1262" t="s">
        <v>69</v>
      </c>
      <c r="Y1262" t="s">
        <v>69</v>
      </c>
      <c r="Z1262" t="s">
        <v>69</v>
      </c>
      <c r="AA1262" t="s">
        <v>29650</v>
      </c>
      <c r="AB1262" t="s">
        <v>69</v>
      </c>
      <c r="AC1262" t="s">
        <v>29651</v>
      </c>
      <c r="AD1262" t="s">
        <v>29652</v>
      </c>
      <c r="AE1262" t="s">
        <v>69</v>
      </c>
      <c r="AF1262" t="s">
        <v>29653</v>
      </c>
      <c r="AG1262" t="s">
        <v>29654</v>
      </c>
      <c r="AH1262" t="s">
        <v>29655</v>
      </c>
      <c r="AI1262" t="s">
        <v>29656</v>
      </c>
      <c r="AJ1262" t="s">
        <v>29657</v>
      </c>
      <c r="AK1262" t="s">
        <v>12574</v>
      </c>
      <c r="AL1262" t="s">
        <v>29658</v>
      </c>
      <c r="AM1262" t="s">
        <v>69</v>
      </c>
      <c r="AN1262">
        <v>12</v>
      </c>
      <c r="AO1262">
        <v>5</v>
      </c>
      <c r="AP1262">
        <v>5</v>
      </c>
      <c r="AQ1262">
        <v>0</v>
      </c>
      <c r="AR1262">
        <v>0</v>
      </c>
      <c r="AS1262" t="s">
        <v>10352</v>
      </c>
      <c r="AT1262" t="s">
        <v>8637</v>
      </c>
      <c r="AU1262" t="s">
        <v>10353</v>
      </c>
      <c r="AV1262" t="s">
        <v>29659</v>
      </c>
      <c r="AW1262" t="s">
        <v>29660</v>
      </c>
      <c r="AX1262" t="s">
        <v>69</v>
      </c>
      <c r="AY1262" t="s">
        <v>29661</v>
      </c>
      <c r="AZ1262" t="s">
        <v>69</v>
      </c>
      <c r="BA1262" t="s">
        <v>84</v>
      </c>
      <c r="BB1262">
        <v>2007</v>
      </c>
      <c r="BC1262">
        <v>2</v>
      </c>
      <c r="BD1262">
        <v>3</v>
      </c>
      <c r="BE1262" t="s">
        <v>69</v>
      </c>
      <c r="BF1262" t="s">
        <v>69</v>
      </c>
      <c r="BG1262" t="s">
        <v>69</v>
      </c>
      <c r="BH1262" t="s">
        <v>69</v>
      </c>
      <c r="BI1262">
        <v>250</v>
      </c>
      <c r="BJ1262">
        <v>261</v>
      </c>
      <c r="BK1262" t="s">
        <v>69</v>
      </c>
      <c r="BL1262" t="s">
        <v>69</v>
      </c>
      <c r="BM1262" t="s">
        <v>69</v>
      </c>
      <c r="BN1262" t="s">
        <v>69</v>
      </c>
      <c r="BO1262" t="s">
        <v>69</v>
      </c>
      <c r="BP1262">
        <v>12</v>
      </c>
      <c r="BQ1262" t="s">
        <v>9392</v>
      </c>
      <c r="BR1262" t="s">
        <v>8573</v>
      </c>
      <c r="BS1262" t="s">
        <v>9392</v>
      </c>
      <c r="BT1262" t="s">
        <v>29662</v>
      </c>
      <c r="BU1262" t="s">
        <v>29663</v>
      </c>
      <c r="BV1262" t="s">
        <v>69</v>
      </c>
      <c r="BW1262" t="s">
        <v>69</v>
      </c>
      <c r="BX1262" t="s">
        <v>69</v>
      </c>
      <c r="BY1262" t="s">
        <v>69</v>
      </c>
      <c r="BZ1262" t="s">
        <v>8526</v>
      </c>
      <c r="CA1262" t="str">
        <f>HYPERLINK("https%3A%2F%2Fwww.webofscience.com%2Fwos%2Fwoscc%2Ffull-record%2FWOS:000215305800003","View Full Record in Web of Science")</f>
        <v>View Full Record in Web of Science</v>
      </c>
    </row>
    <row r="1263" spans="1:79" ht="12.5" x14ac:dyDescent="0.25">
      <c r="B1263" t="s">
        <v>8495</v>
      </c>
      <c r="D1263" s="22" t="s">
        <v>32931</v>
      </c>
      <c r="E1263" s="7"/>
      <c r="F1263" s="7"/>
      <c r="G1263" s="7"/>
      <c r="H1263" t="s">
        <v>67</v>
      </c>
      <c r="I1263" t="s">
        <v>20277</v>
      </c>
      <c r="J1263" t="s">
        <v>69</v>
      </c>
      <c r="K1263" t="s">
        <v>69</v>
      </c>
      <c r="L1263" t="s">
        <v>69</v>
      </c>
      <c r="M1263" t="s">
        <v>20278</v>
      </c>
      <c r="N1263" t="s">
        <v>69</v>
      </c>
      <c r="O1263" t="s">
        <v>69</v>
      </c>
      <c r="P1263" t="s">
        <v>20279</v>
      </c>
      <c r="Q1263" t="s">
        <v>20280</v>
      </c>
      <c r="R1263" t="s">
        <v>69</v>
      </c>
      <c r="S1263" t="s">
        <v>69</v>
      </c>
      <c r="T1263" t="s">
        <v>8505</v>
      </c>
      <c r="U1263" t="s">
        <v>8506</v>
      </c>
      <c r="V1263" t="s">
        <v>69</v>
      </c>
      <c r="W1263" t="s">
        <v>69</v>
      </c>
      <c r="X1263" t="s">
        <v>69</v>
      </c>
      <c r="Y1263" t="s">
        <v>69</v>
      </c>
      <c r="Z1263" t="s">
        <v>69</v>
      </c>
      <c r="AA1263" t="s">
        <v>20281</v>
      </c>
      <c r="AB1263" t="s">
        <v>20282</v>
      </c>
      <c r="AC1263" t="s">
        <v>20283</v>
      </c>
      <c r="AD1263" t="s">
        <v>20284</v>
      </c>
      <c r="AE1263" t="s">
        <v>69</v>
      </c>
      <c r="AF1263" t="s">
        <v>20285</v>
      </c>
      <c r="AG1263" t="s">
        <v>20286</v>
      </c>
      <c r="AH1263" t="s">
        <v>69</v>
      </c>
      <c r="AI1263" t="s">
        <v>69</v>
      </c>
      <c r="AJ1263" t="s">
        <v>69</v>
      </c>
      <c r="AK1263" t="s">
        <v>69</v>
      </c>
      <c r="AL1263" t="s">
        <v>69</v>
      </c>
      <c r="AM1263" t="s">
        <v>69</v>
      </c>
      <c r="AN1263">
        <v>70</v>
      </c>
      <c r="AO1263">
        <v>56</v>
      </c>
      <c r="AP1263">
        <v>56</v>
      </c>
      <c r="AQ1263">
        <v>4</v>
      </c>
      <c r="AR1263">
        <v>19</v>
      </c>
      <c r="AS1263" t="s">
        <v>8516</v>
      </c>
      <c r="AT1263" t="s">
        <v>8517</v>
      </c>
      <c r="AU1263" t="s">
        <v>8518</v>
      </c>
      <c r="AV1263" t="s">
        <v>20287</v>
      </c>
      <c r="AW1263" t="s">
        <v>20288</v>
      </c>
      <c r="AX1263" t="s">
        <v>69</v>
      </c>
      <c r="AY1263" t="s">
        <v>20289</v>
      </c>
      <c r="AZ1263" t="s">
        <v>20290</v>
      </c>
      <c r="BA1263" t="s">
        <v>155</v>
      </c>
      <c r="BB1263">
        <v>2017</v>
      </c>
      <c r="BC1263">
        <v>31</v>
      </c>
      <c r="BD1263" t="s">
        <v>69</v>
      </c>
      <c r="BE1263" t="s">
        <v>69</v>
      </c>
      <c r="BF1263" t="s">
        <v>69</v>
      </c>
      <c r="BG1263" t="s">
        <v>69</v>
      </c>
      <c r="BH1263" t="s">
        <v>69</v>
      </c>
      <c r="BI1263">
        <v>189</v>
      </c>
      <c r="BJ1263">
        <v>196</v>
      </c>
      <c r="BK1263" t="s">
        <v>69</v>
      </c>
      <c r="BL1263" t="s">
        <v>20291</v>
      </c>
      <c r="BM1263" t="str">
        <f>HYPERLINK("http://dx.doi.org/10.1016/j.jhtm.2017.01.001","http://dx.doi.org/10.1016/j.jhtm.2017.01.001")</f>
        <v>http://dx.doi.org/10.1016/j.jhtm.2017.01.001</v>
      </c>
      <c r="BN1263" t="s">
        <v>69</v>
      </c>
      <c r="BO1263" t="s">
        <v>69</v>
      </c>
      <c r="BP1263">
        <v>8</v>
      </c>
      <c r="BQ1263" t="s">
        <v>20292</v>
      </c>
      <c r="BR1263" t="s">
        <v>8661</v>
      </c>
      <c r="BS1263" t="s">
        <v>20293</v>
      </c>
      <c r="BT1263" t="s">
        <v>20294</v>
      </c>
      <c r="BU1263" t="s">
        <v>20295</v>
      </c>
      <c r="BV1263" t="s">
        <v>69</v>
      </c>
      <c r="BW1263" t="s">
        <v>69</v>
      </c>
      <c r="BX1263" t="s">
        <v>69</v>
      </c>
      <c r="BY1263" t="s">
        <v>69</v>
      </c>
      <c r="BZ1263" t="s">
        <v>8526</v>
      </c>
      <c r="CA1263" t="str">
        <f>HYPERLINK("https%3A%2F%2Fwww.webofscience.com%2Fwos%2Fwoscc%2Ffull-record%2FWOS:000405614200021","View Full Record in Web of Science")</f>
        <v>View Full Record in Web of Science</v>
      </c>
    </row>
    <row r="1264" spans="1:79" ht="12.5" x14ac:dyDescent="0.25">
      <c r="B1264" t="s">
        <v>8495</v>
      </c>
      <c r="D1264" s="22" t="s">
        <v>32931</v>
      </c>
      <c r="E1264" s="7"/>
      <c r="F1264" s="7"/>
      <c r="G1264" s="7"/>
      <c r="H1264" t="s">
        <v>67</v>
      </c>
      <c r="I1264" t="s">
        <v>29846</v>
      </c>
      <c r="J1264" t="s">
        <v>69</v>
      </c>
      <c r="K1264" t="s">
        <v>69</v>
      </c>
      <c r="L1264" t="s">
        <v>69</v>
      </c>
      <c r="M1264" t="s">
        <v>29847</v>
      </c>
      <c r="N1264" t="s">
        <v>69</v>
      </c>
      <c r="O1264" t="s">
        <v>69</v>
      </c>
      <c r="P1264" t="s">
        <v>29848</v>
      </c>
      <c r="Q1264" t="s">
        <v>29849</v>
      </c>
      <c r="R1264" t="s">
        <v>69</v>
      </c>
      <c r="S1264" t="s">
        <v>69</v>
      </c>
      <c r="T1264" t="s">
        <v>8505</v>
      </c>
      <c r="U1264" t="s">
        <v>15797</v>
      </c>
      <c r="V1264" t="s">
        <v>29850</v>
      </c>
      <c r="W1264" t="s">
        <v>29851</v>
      </c>
      <c r="X1264" t="s">
        <v>29852</v>
      </c>
      <c r="Y1264" t="s">
        <v>69</v>
      </c>
      <c r="Z1264" t="s">
        <v>29853</v>
      </c>
      <c r="AA1264" t="s">
        <v>29854</v>
      </c>
      <c r="AB1264" t="s">
        <v>69</v>
      </c>
      <c r="AC1264" t="s">
        <v>29855</v>
      </c>
      <c r="AD1264" t="s">
        <v>29856</v>
      </c>
      <c r="AE1264" t="s">
        <v>69</v>
      </c>
      <c r="AF1264" t="s">
        <v>29857</v>
      </c>
      <c r="AG1264" t="s">
        <v>69</v>
      </c>
      <c r="AH1264" t="s">
        <v>69</v>
      </c>
      <c r="AI1264" t="s">
        <v>69</v>
      </c>
      <c r="AJ1264" t="s">
        <v>69</v>
      </c>
      <c r="AK1264" t="s">
        <v>69</v>
      </c>
      <c r="AL1264" t="s">
        <v>69</v>
      </c>
      <c r="AM1264" t="s">
        <v>69</v>
      </c>
      <c r="AN1264">
        <v>0</v>
      </c>
      <c r="AO1264">
        <v>38</v>
      </c>
      <c r="AP1264">
        <v>40</v>
      </c>
      <c r="AQ1264">
        <v>0</v>
      </c>
      <c r="AR1264">
        <v>12</v>
      </c>
      <c r="AS1264" t="s">
        <v>29858</v>
      </c>
      <c r="AT1264" t="s">
        <v>28570</v>
      </c>
      <c r="AU1264" t="s">
        <v>29859</v>
      </c>
      <c r="AV1264" t="s">
        <v>29860</v>
      </c>
      <c r="AW1264" t="s">
        <v>69</v>
      </c>
      <c r="AX1264" t="s">
        <v>69</v>
      </c>
      <c r="AY1264" t="s">
        <v>29861</v>
      </c>
      <c r="AZ1264" t="s">
        <v>29862</v>
      </c>
      <c r="BA1264" t="s">
        <v>69</v>
      </c>
      <c r="BB1264">
        <v>2007</v>
      </c>
      <c r="BC1264">
        <v>51</v>
      </c>
      <c r="BD1264">
        <v>1</v>
      </c>
      <c r="BE1264" t="s">
        <v>69</v>
      </c>
      <c r="BF1264" t="s">
        <v>627</v>
      </c>
      <c r="BG1264" t="s">
        <v>69</v>
      </c>
      <c r="BH1264" t="s">
        <v>69</v>
      </c>
      <c r="BI1264">
        <v>461</v>
      </c>
      <c r="BJ1264">
        <v>462</v>
      </c>
      <c r="BK1264" t="s">
        <v>69</v>
      </c>
      <c r="BL1264" t="s">
        <v>29863</v>
      </c>
      <c r="BM1264" t="str">
        <f>HYPERLINK("http://dx.doi.org/10.1637/7564-033106R.1","http://dx.doi.org/10.1637/7564-033106R.1")</f>
        <v>http://dx.doi.org/10.1637/7564-033106R.1</v>
      </c>
      <c r="BN1264" t="s">
        <v>69</v>
      </c>
      <c r="BO1264" t="s">
        <v>69</v>
      </c>
      <c r="BP1264">
        <v>2</v>
      </c>
      <c r="BQ1264" t="s">
        <v>14769</v>
      </c>
      <c r="BR1264" t="s">
        <v>29550</v>
      </c>
      <c r="BS1264" t="s">
        <v>14769</v>
      </c>
      <c r="BT1264" t="s">
        <v>29864</v>
      </c>
      <c r="BU1264" t="s">
        <v>29865</v>
      </c>
      <c r="BV1264">
        <v>17494607</v>
      </c>
      <c r="BW1264" t="s">
        <v>69</v>
      </c>
      <c r="BX1264" t="s">
        <v>69</v>
      </c>
      <c r="BY1264" t="s">
        <v>69</v>
      </c>
      <c r="BZ1264" t="s">
        <v>8526</v>
      </c>
      <c r="CA1264" t="str">
        <f>HYPERLINK("https%3A%2F%2Fwww.webofscience.com%2Fwos%2Fwoscc%2Ffull-record%2FWOS:000245474100063","View Full Record in Web of Science")</f>
        <v>View Full Record in Web of Science</v>
      </c>
    </row>
    <row r="1265" spans="1:79" ht="12.5" x14ac:dyDescent="0.25">
      <c r="B1265" t="s">
        <v>8495</v>
      </c>
      <c r="D1265" s="22" t="s">
        <v>32931</v>
      </c>
      <c r="E1265" s="7"/>
      <c r="F1265" s="7"/>
      <c r="G1265" s="7"/>
      <c r="H1265" t="s">
        <v>67</v>
      </c>
      <c r="I1265" t="s">
        <v>27841</v>
      </c>
      <c r="J1265" t="s">
        <v>69</v>
      </c>
      <c r="K1265" t="s">
        <v>69</v>
      </c>
      <c r="L1265" t="s">
        <v>69</v>
      </c>
      <c r="M1265" t="s">
        <v>27842</v>
      </c>
      <c r="N1265" t="s">
        <v>69</v>
      </c>
      <c r="O1265" t="s">
        <v>69</v>
      </c>
      <c r="P1265" t="s">
        <v>27843</v>
      </c>
      <c r="Q1265" t="s">
        <v>27844</v>
      </c>
      <c r="R1265" t="s">
        <v>69</v>
      </c>
      <c r="S1265" t="s">
        <v>69</v>
      </c>
      <c r="T1265" t="s">
        <v>8505</v>
      </c>
      <c r="U1265" t="s">
        <v>8506</v>
      </c>
      <c r="V1265" t="s">
        <v>69</v>
      </c>
      <c r="W1265" t="s">
        <v>69</v>
      </c>
      <c r="X1265" t="s">
        <v>69</v>
      </c>
      <c r="Y1265" t="s">
        <v>69</v>
      </c>
      <c r="Z1265" t="s">
        <v>69</v>
      </c>
      <c r="AA1265" t="s">
        <v>69</v>
      </c>
      <c r="AB1265" t="s">
        <v>27845</v>
      </c>
      <c r="AC1265" t="s">
        <v>27846</v>
      </c>
      <c r="AD1265" t="s">
        <v>27847</v>
      </c>
      <c r="AE1265" t="s">
        <v>69</v>
      </c>
      <c r="AF1265" t="s">
        <v>27848</v>
      </c>
      <c r="AG1265" t="s">
        <v>27849</v>
      </c>
      <c r="AH1265" t="s">
        <v>69</v>
      </c>
      <c r="AI1265" t="s">
        <v>69</v>
      </c>
      <c r="AJ1265" t="s">
        <v>69</v>
      </c>
      <c r="AK1265" t="s">
        <v>69</v>
      </c>
      <c r="AL1265" t="s">
        <v>69</v>
      </c>
      <c r="AM1265" t="s">
        <v>69</v>
      </c>
      <c r="AN1265">
        <v>45</v>
      </c>
      <c r="AO1265">
        <v>9</v>
      </c>
      <c r="AP1265">
        <v>9</v>
      </c>
      <c r="AQ1265">
        <v>0</v>
      </c>
      <c r="AR1265">
        <v>0</v>
      </c>
      <c r="AS1265" t="s">
        <v>8865</v>
      </c>
      <c r="AT1265" t="s">
        <v>8612</v>
      </c>
      <c r="AU1265" t="s">
        <v>8866</v>
      </c>
      <c r="AV1265" t="s">
        <v>27850</v>
      </c>
      <c r="AW1265" t="s">
        <v>27851</v>
      </c>
      <c r="AX1265" t="s">
        <v>69</v>
      </c>
      <c r="AY1265" t="s">
        <v>27852</v>
      </c>
      <c r="AZ1265" t="s">
        <v>27853</v>
      </c>
      <c r="BA1265" t="s">
        <v>94</v>
      </c>
      <c r="BB1265">
        <v>2010</v>
      </c>
      <c r="BC1265">
        <v>47</v>
      </c>
      <c r="BD1265">
        <v>1</v>
      </c>
      <c r="BE1265" t="s">
        <v>69</v>
      </c>
      <c r="BF1265" t="s">
        <v>69</v>
      </c>
      <c r="BG1265" t="s">
        <v>69</v>
      </c>
      <c r="BH1265" t="s">
        <v>69</v>
      </c>
      <c r="BI1265">
        <v>26</v>
      </c>
      <c r="BJ1265">
        <v>36</v>
      </c>
      <c r="BK1265" t="s">
        <v>69</v>
      </c>
      <c r="BL1265" t="s">
        <v>27854</v>
      </c>
      <c r="BM1265" t="str">
        <f>HYPERLINK("http://dx.doi.org/10.1080/07293680903579951","http://dx.doi.org/10.1080/07293680903579951")</f>
        <v>http://dx.doi.org/10.1080/07293680903579951</v>
      </c>
      <c r="BN1265" t="s">
        <v>69</v>
      </c>
      <c r="BO1265" t="s">
        <v>69</v>
      </c>
      <c r="BP1265">
        <v>11</v>
      </c>
      <c r="BQ1265" t="s">
        <v>14187</v>
      </c>
      <c r="BR1265" t="s">
        <v>8573</v>
      </c>
      <c r="BS1265" t="s">
        <v>12182</v>
      </c>
      <c r="BT1265" t="s">
        <v>27855</v>
      </c>
      <c r="BU1265" t="s">
        <v>27856</v>
      </c>
      <c r="BV1265" t="s">
        <v>69</v>
      </c>
      <c r="BW1265" t="s">
        <v>69</v>
      </c>
      <c r="BX1265" t="s">
        <v>69</v>
      </c>
      <c r="BY1265" t="s">
        <v>69</v>
      </c>
      <c r="BZ1265" t="s">
        <v>8526</v>
      </c>
      <c r="CA1265" t="str">
        <f>HYPERLINK("https%3A%2F%2Fwww.webofscience.com%2Fwos%2Fwoscc%2Ffull-record%2FWOS:000210616600003","View Full Record in Web of Science")</f>
        <v>View Full Record in Web of Science</v>
      </c>
    </row>
    <row r="1266" spans="1:79" x14ac:dyDescent="0.3">
      <c r="B1266" t="s">
        <v>8495</v>
      </c>
      <c r="D1266" s="9" t="s">
        <v>32954</v>
      </c>
      <c r="E1266" s="9" t="s">
        <v>33074</v>
      </c>
      <c r="F1266" s="9" t="s">
        <v>8491</v>
      </c>
      <c r="G1266" s="9" t="s">
        <v>8490</v>
      </c>
      <c r="H1266" t="s">
        <v>67</v>
      </c>
      <c r="I1266" t="s">
        <v>29593</v>
      </c>
      <c r="J1266" t="s">
        <v>69</v>
      </c>
      <c r="K1266" t="s">
        <v>69</v>
      </c>
      <c r="L1266" t="s">
        <v>69</v>
      </c>
      <c r="M1266" t="s">
        <v>29594</v>
      </c>
      <c r="N1266" t="s">
        <v>69</v>
      </c>
      <c r="O1266" t="s">
        <v>69</v>
      </c>
      <c r="P1266" t="s">
        <v>29595</v>
      </c>
      <c r="Q1266" t="s">
        <v>833</v>
      </c>
      <c r="R1266" t="s">
        <v>69</v>
      </c>
      <c r="S1266" t="s">
        <v>69</v>
      </c>
      <c r="T1266" t="s">
        <v>8505</v>
      </c>
      <c r="U1266" t="s">
        <v>8506</v>
      </c>
      <c r="V1266" t="s">
        <v>69</v>
      </c>
      <c r="W1266" t="s">
        <v>69</v>
      </c>
      <c r="X1266" t="s">
        <v>69</v>
      </c>
      <c r="Y1266" t="s">
        <v>69</v>
      </c>
      <c r="Z1266" t="s">
        <v>69</v>
      </c>
      <c r="AA1266" t="s">
        <v>69</v>
      </c>
      <c r="AB1266" t="s">
        <v>29596</v>
      </c>
      <c r="AC1266" t="s">
        <v>29597</v>
      </c>
      <c r="AD1266" t="s">
        <v>29598</v>
      </c>
      <c r="AE1266" t="s">
        <v>69</v>
      </c>
      <c r="AF1266" t="s">
        <v>29599</v>
      </c>
      <c r="AG1266" t="s">
        <v>69</v>
      </c>
      <c r="AH1266" t="s">
        <v>29600</v>
      </c>
      <c r="AI1266" t="s">
        <v>29601</v>
      </c>
      <c r="AJ1266" t="s">
        <v>69</v>
      </c>
      <c r="AK1266" t="s">
        <v>69</v>
      </c>
      <c r="AL1266" t="s">
        <v>69</v>
      </c>
      <c r="AM1266" t="s">
        <v>69</v>
      </c>
      <c r="AN1266">
        <v>25</v>
      </c>
      <c r="AO1266">
        <v>11</v>
      </c>
      <c r="AP1266">
        <v>11</v>
      </c>
      <c r="AQ1266">
        <v>0</v>
      </c>
      <c r="AR1266">
        <v>2</v>
      </c>
      <c r="AS1266" t="s">
        <v>8865</v>
      </c>
      <c r="AT1266" t="s">
        <v>8612</v>
      </c>
      <c r="AU1266" t="s">
        <v>8866</v>
      </c>
      <c r="AV1266" t="s">
        <v>835</v>
      </c>
      <c r="AW1266" t="s">
        <v>836</v>
      </c>
      <c r="AX1266" t="s">
        <v>69</v>
      </c>
      <c r="AY1266" t="s">
        <v>15984</v>
      </c>
      <c r="AZ1266" t="s">
        <v>15985</v>
      </c>
      <c r="BA1266" t="s">
        <v>255</v>
      </c>
      <c r="BB1266">
        <v>2007</v>
      </c>
      <c r="BC1266">
        <v>27</v>
      </c>
      <c r="BD1266">
        <v>4</v>
      </c>
      <c r="BE1266" t="s">
        <v>69</v>
      </c>
      <c r="BF1266" t="s">
        <v>69</v>
      </c>
      <c r="BG1266" t="s">
        <v>69</v>
      </c>
      <c r="BH1266" t="s">
        <v>69</v>
      </c>
      <c r="BI1266">
        <v>273</v>
      </c>
      <c r="BJ1266">
        <v>280</v>
      </c>
      <c r="BK1266" t="s">
        <v>69</v>
      </c>
      <c r="BL1266" t="s">
        <v>29602</v>
      </c>
      <c r="BM1266" t="str">
        <f>HYPERLINK("http://dx.doi.org/10.1111/j.1467-9302.2007.00594.x","http://dx.doi.org/10.1111/j.1467-9302.2007.00594.x")</f>
        <v>http://dx.doi.org/10.1111/j.1467-9302.2007.00594.x</v>
      </c>
      <c r="BN1266" t="s">
        <v>69</v>
      </c>
      <c r="BO1266" t="s">
        <v>69</v>
      </c>
      <c r="BP1266">
        <v>8</v>
      </c>
      <c r="BQ1266" t="s">
        <v>12182</v>
      </c>
      <c r="BR1266" t="s">
        <v>8661</v>
      </c>
      <c r="BS1266" t="s">
        <v>12182</v>
      </c>
      <c r="BT1266" t="s">
        <v>29603</v>
      </c>
      <c r="BU1266" t="s">
        <v>29604</v>
      </c>
      <c r="BV1266" t="s">
        <v>69</v>
      </c>
      <c r="BW1266" t="s">
        <v>69</v>
      </c>
      <c r="BX1266" t="s">
        <v>69</v>
      </c>
      <c r="BY1266" t="s">
        <v>69</v>
      </c>
      <c r="BZ1266" t="s">
        <v>8526</v>
      </c>
      <c r="CA1266" t="str">
        <f>HYPERLINK("https%3A%2F%2Fwww.webofscience.com%2Fwos%2Fwoscc%2Ffull-record%2FWOS:000249196000011","View Full Record in Web of Science")</f>
        <v>View Full Record in Web of Science</v>
      </c>
    </row>
    <row r="1267" spans="1:79" ht="12.5" x14ac:dyDescent="0.25">
      <c r="B1267" t="s">
        <v>8495</v>
      </c>
      <c r="D1267" s="7" t="s">
        <v>32933</v>
      </c>
      <c r="E1267" s="7"/>
      <c r="F1267" s="7"/>
      <c r="G1267" s="7"/>
      <c r="H1267" t="s">
        <v>67</v>
      </c>
      <c r="I1267" t="s">
        <v>5416</v>
      </c>
      <c r="J1267" t="s">
        <v>69</v>
      </c>
      <c r="K1267" t="s">
        <v>69</v>
      </c>
      <c r="L1267" t="s">
        <v>69</v>
      </c>
      <c r="M1267" t="s">
        <v>5417</v>
      </c>
      <c r="N1267" t="s">
        <v>69</v>
      </c>
      <c r="O1267" t="s">
        <v>69</v>
      </c>
      <c r="P1267" t="s">
        <v>5418</v>
      </c>
      <c r="Q1267" t="s">
        <v>100</v>
      </c>
      <c r="R1267" t="s">
        <v>69</v>
      </c>
      <c r="S1267" t="s">
        <v>69</v>
      </c>
      <c r="T1267" t="s">
        <v>8505</v>
      </c>
      <c r="U1267" t="s">
        <v>8506</v>
      </c>
      <c r="V1267" t="s">
        <v>69</v>
      </c>
      <c r="W1267" t="s">
        <v>69</v>
      </c>
      <c r="X1267" t="s">
        <v>69</v>
      </c>
      <c r="Y1267" t="s">
        <v>69</v>
      </c>
      <c r="Z1267" t="s">
        <v>69</v>
      </c>
      <c r="AA1267" t="s">
        <v>19009</v>
      </c>
      <c r="AB1267" t="s">
        <v>19010</v>
      </c>
      <c r="AC1267" t="s">
        <v>5419</v>
      </c>
      <c r="AD1267" t="s">
        <v>19011</v>
      </c>
      <c r="AE1267" t="s">
        <v>69</v>
      </c>
      <c r="AF1267" t="s">
        <v>19012</v>
      </c>
      <c r="AG1267" t="s">
        <v>19013</v>
      </c>
      <c r="AH1267" t="s">
        <v>19014</v>
      </c>
      <c r="AI1267" t="s">
        <v>19015</v>
      </c>
      <c r="AJ1267" t="s">
        <v>19016</v>
      </c>
      <c r="AK1267" t="s">
        <v>19016</v>
      </c>
      <c r="AL1267" t="s">
        <v>19017</v>
      </c>
      <c r="AM1267" t="s">
        <v>69</v>
      </c>
      <c r="AN1267">
        <v>29</v>
      </c>
      <c r="AO1267">
        <v>4</v>
      </c>
      <c r="AP1267">
        <v>4</v>
      </c>
      <c r="AQ1267">
        <v>2</v>
      </c>
      <c r="AR1267">
        <v>13</v>
      </c>
      <c r="AS1267" t="s">
        <v>9091</v>
      </c>
      <c r="AT1267" t="s">
        <v>8763</v>
      </c>
      <c r="AU1267" t="s">
        <v>15468</v>
      </c>
      <c r="AV1267" t="s">
        <v>102</v>
      </c>
      <c r="AW1267" t="s">
        <v>103</v>
      </c>
      <c r="AX1267" t="s">
        <v>69</v>
      </c>
      <c r="AY1267" t="s">
        <v>15469</v>
      </c>
      <c r="AZ1267" t="s">
        <v>15470</v>
      </c>
      <c r="BA1267" t="s">
        <v>246</v>
      </c>
      <c r="BB1267">
        <v>2018</v>
      </c>
      <c r="BC1267" t="s">
        <v>69</v>
      </c>
      <c r="BD1267">
        <v>1</v>
      </c>
      <c r="BE1267" t="s">
        <v>69</v>
      </c>
      <c r="BF1267" t="s">
        <v>69</v>
      </c>
      <c r="BG1267" t="s">
        <v>69</v>
      </c>
      <c r="BH1267" t="s">
        <v>69</v>
      </c>
      <c r="BI1267">
        <v>256</v>
      </c>
      <c r="BJ1267">
        <v>269</v>
      </c>
      <c r="BK1267" t="s">
        <v>69</v>
      </c>
      <c r="BL1267" t="s">
        <v>5420</v>
      </c>
      <c r="BM1267" t="str">
        <f>HYPERLINK("http://dx.doi.org/10.2166/wst.2018.109","http://dx.doi.org/10.2166/wst.2018.109")</f>
        <v>http://dx.doi.org/10.2166/wst.2018.109</v>
      </c>
      <c r="BN1267" t="s">
        <v>69</v>
      </c>
      <c r="BO1267" t="s">
        <v>69</v>
      </c>
      <c r="BP1267">
        <v>14</v>
      </c>
      <c r="BQ1267" t="s">
        <v>10687</v>
      </c>
      <c r="BR1267" t="s">
        <v>8548</v>
      </c>
      <c r="BS1267" t="s">
        <v>10688</v>
      </c>
      <c r="BT1267" t="s">
        <v>19018</v>
      </c>
      <c r="BU1267" t="s">
        <v>5421</v>
      </c>
      <c r="BV1267">
        <v>29698240</v>
      </c>
      <c r="BW1267" t="s">
        <v>19019</v>
      </c>
      <c r="BX1267" t="s">
        <v>69</v>
      </c>
      <c r="BY1267" t="s">
        <v>69</v>
      </c>
      <c r="BZ1267" t="s">
        <v>8526</v>
      </c>
      <c r="CA1267" t="str">
        <f>HYPERLINK("https%3A%2F%2Fwww.webofscience.com%2Fwos%2Fwoscc%2Ffull-record%2FWOS:000435664600026","View Full Record in Web of Science")</f>
        <v>View Full Record in Web of Science</v>
      </c>
    </row>
    <row r="1268" spans="1:79" ht="12.5" x14ac:dyDescent="0.25">
      <c r="B1268" t="s">
        <v>8495</v>
      </c>
      <c r="D1268" s="22" t="s">
        <v>32931</v>
      </c>
      <c r="E1268" s="7"/>
      <c r="F1268" s="7"/>
      <c r="G1268" s="7"/>
      <c r="H1268" t="s">
        <v>67</v>
      </c>
      <c r="I1268" t="s">
        <v>27260</v>
      </c>
      <c r="J1268" t="s">
        <v>69</v>
      </c>
      <c r="K1268" t="s">
        <v>69</v>
      </c>
      <c r="L1268" t="s">
        <v>69</v>
      </c>
      <c r="M1268" t="s">
        <v>27261</v>
      </c>
      <c r="N1268" t="s">
        <v>69</v>
      </c>
      <c r="O1268" t="s">
        <v>69</v>
      </c>
      <c r="P1268" t="s">
        <v>27262</v>
      </c>
      <c r="Q1268" t="s">
        <v>27263</v>
      </c>
      <c r="R1268" t="s">
        <v>69</v>
      </c>
      <c r="S1268" t="s">
        <v>69</v>
      </c>
      <c r="T1268" t="s">
        <v>8505</v>
      </c>
      <c r="U1268" t="s">
        <v>8506</v>
      </c>
      <c r="V1268" t="s">
        <v>69</v>
      </c>
      <c r="W1268" t="s">
        <v>69</v>
      </c>
      <c r="X1268" t="s">
        <v>69</v>
      </c>
      <c r="Y1268" t="s">
        <v>69</v>
      </c>
      <c r="Z1268" t="s">
        <v>69</v>
      </c>
      <c r="AA1268" t="s">
        <v>27264</v>
      </c>
      <c r="AB1268" t="s">
        <v>69</v>
      </c>
      <c r="AC1268" t="s">
        <v>27265</v>
      </c>
      <c r="AD1268" t="s">
        <v>27266</v>
      </c>
      <c r="AE1268" t="s">
        <v>69</v>
      </c>
      <c r="AF1268" t="s">
        <v>27267</v>
      </c>
      <c r="AG1268" t="s">
        <v>27268</v>
      </c>
      <c r="AH1268" t="s">
        <v>27269</v>
      </c>
      <c r="AI1268" t="s">
        <v>27270</v>
      </c>
      <c r="AJ1268" t="s">
        <v>69</v>
      </c>
      <c r="AK1268" t="s">
        <v>69</v>
      </c>
      <c r="AL1268" t="s">
        <v>69</v>
      </c>
      <c r="AM1268" t="s">
        <v>69</v>
      </c>
      <c r="AN1268">
        <v>9</v>
      </c>
      <c r="AO1268">
        <v>0</v>
      </c>
      <c r="AP1268">
        <v>0</v>
      </c>
      <c r="AQ1268">
        <v>0</v>
      </c>
      <c r="AR1268">
        <v>0</v>
      </c>
      <c r="AS1268" t="s">
        <v>27271</v>
      </c>
      <c r="AT1268" t="s">
        <v>26412</v>
      </c>
      <c r="AU1268" t="s">
        <v>27272</v>
      </c>
      <c r="AV1268" t="s">
        <v>27273</v>
      </c>
      <c r="AW1268" t="s">
        <v>27274</v>
      </c>
      <c r="AX1268" t="s">
        <v>69</v>
      </c>
      <c r="AY1268" t="s">
        <v>27263</v>
      </c>
      <c r="AZ1268" t="s">
        <v>27275</v>
      </c>
      <c r="BA1268" t="s">
        <v>69</v>
      </c>
      <c r="BB1268">
        <v>2011</v>
      </c>
      <c r="BC1268">
        <v>18</v>
      </c>
      <c r="BD1268">
        <v>2</v>
      </c>
      <c r="BE1268" t="s">
        <v>69</v>
      </c>
      <c r="BF1268" t="s">
        <v>69</v>
      </c>
      <c r="BG1268" t="s">
        <v>69</v>
      </c>
      <c r="BH1268" t="s">
        <v>69</v>
      </c>
      <c r="BI1268">
        <v>64</v>
      </c>
      <c r="BJ1268">
        <v>79</v>
      </c>
      <c r="BK1268" t="s">
        <v>69</v>
      </c>
      <c r="BL1268" t="s">
        <v>69</v>
      </c>
      <c r="BM1268" t="s">
        <v>69</v>
      </c>
      <c r="BN1268" t="s">
        <v>69</v>
      </c>
      <c r="BO1268" t="s">
        <v>69</v>
      </c>
      <c r="BP1268">
        <v>16</v>
      </c>
      <c r="BQ1268" t="s">
        <v>9410</v>
      </c>
      <c r="BR1268" t="s">
        <v>8573</v>
      </c>
      <c r="BS1268" t="s">
        <v>8594</v>
      </c>
      <c r="BT1268" t="s">
        <v>27276</v>
      </c>
      <c r="BU1268" t="s">
        <v>27277</v>
      </c>
      <c r="BV1268" t="s">
        <v>69</v>
      </c>
      <c r="BW1268" t="s">
        <v>69</v>
      </c>
      <c r="BX1268" t="s">
        <v>69</v>
      </c>
      <c r="BY1268" t="s">
        <v>69</v>
      </c>
      <c r="BZ1268" t="s">
        <v>8526</v>
      </c>
      <c r="CA1268" t="str">
        <f>HYPERLINK("https%3A%2F%2Fwww.webofscience.com%2Fwos%2Fwoscc%2Ffull-record%2FWOS:000214324300004","View Full Record in Web of Science")</f>
        <v>View Full Record in Web of Science</v>
      </c>
    </row>
    <row r="1269" spans="1:79" ht="12.5" x14ac:dyDescent="0.25">
      <c r="B1269" t="s">
        <v>8495</v>
      </c>
      <c r="D1269" s="22" t="s">
        <v>32931</v>
      </c>
      <c r="E1269" s="7"/>
      <c r="F1269" s="7"/>
      <c r="G1269" s="7"/>
      <c r="H1269" t="s">
        <v>67</v>
      </c>
      <c r="I1269" t="s">
        <v>13909</v>
      </c>
      <c r="J1269" t="s">
        <v>69</v>
      </c>
      <c r="K1269" t="s">
        <v>69</v>
      </c>
      <c r="L1269" t="s">
        <v>69</v>
      </c>
      <c r="M1269" t="s">
        <v>13910</v>
      </c>
      <c r="N1269" t="s">
        <v>69</v>
      </c>
      <c r="O1269" t="s">
        <v>69</v>
      </c>
      <c r="P1269" t="s">
        <v>13911</v>
      </c>
      <c r="Q1269" t="s">
        <v>12317</v>
      </c>
      <c r="R1269" t="s">
        <v>69</v>
      </c>
      <c r="S1269" t="s">
        <v>69</v>
      </c>
      <c r="T1269" t="s">
        <v>8505</v>
      </c>
      <c r="U1269" t="s">
        <v>8506</v>
      </c>
      <c r="V1269" t="s">
        <v>69</v>
      </c>
      <c r="W1269" t="s">
        <v>69</v>
      </c>
      <c r="X1269" t="s">
        <v>69</v>
      </c>
      <c r="Y1269" t="s">
        <v>69</v>
      </c>
      <c r="Z1269" t="s">
        <v>69</v>
      </c>
      <c r="AA1269" t="s">
        <v>13912</v>
      </c>
      <c r="AB1269" t="s">
        <v>13913</v>
      </c>
      <c r="AC1269" t="s">
        <v>13914</v>
      </c>
      <c r="AD1269" t="s">
        <v>13915</v>
      </c>
      <c r="AE1269" t="s">
        <v>69</v>
      </c>
      <c r="AF1269" t="s">
        <v>13916</v>
      </c>
      <c r="AG1269" t="s">
        <v>13917</v>
      </c>
      <c r="AH1269" t="s">
        <v>13918</v>
      </c>
      <c r="AI1269" t="s">
        <v>13919</v>
      </c>
      <c r="AJ1269" t="s">
        <v>13920</v>
      </c>
      <c r="AK1269" t="s">
        <v>13921</v>
      </c>
      <c r="AL1269" t="s">
        <v>13922</v>
      </c>
      <c r="AM1269" t="s">
        <v>69</v>
      </c>
      <c r="AN1269">
        <v>39</v>
      </c>
      <c r="AO1269">
        <v>0</v>
      </c>
      <c r="AP1269">
        <v>0</v>
      </c>
      <c r="AQ1269">
        <v>0</v>
      </c>
      <c r="AR1269">
        <v>0</v>
      </c>
      <c r="AS1269" t="s">
        <v>9203</v>
      </c>
      <c r="AT1269" t="s">
        <v>8763</v>
      </c>
      <c r="AU1269" t="s">
        <v>9204</v>
      </c>
      <c r="AV1269" t="s">
        <v>69</v>
      </c>
      <c r="AW1269" t="s">
        <v>12325</v>
      </c>
      <c r="AX1269" t="s">
        <v>69</v>
      </c>
      <c r="AY1269" t="s">
        <v>12326</v>
      </c>
      <c r="AZ1269" t="s">
        <v>12327</v>
      </c>
      <c r="BA1269" t="s">
        <v>13923</v>
      </c>
      <c r="BB1269">
        <v>2020</v>
      </c>
      <c r="BC1269">
        <v>20</v>
      </c>
      <c r="BD1269">
        <v>1</v>
      </c>
      <c r="BE1269" t="s">
        <v>69</v>
      </c>
      <c r="BF1269" t="s">
        <v>69</v>
      </c>
      <c r="BG1269" t="s">
        <v>69</v>
      </c>
      <c r="BH1269" t="s">
        <v>69</v>
      </c>
      <c r="BI1269" t="s">
        <v>69</v>
      </c>
      <c r="BJ1269" t="s">
        <v>69</v>
      </c>
      <c r="BK1269">
        <v>1129</v>
      </c>
      <c r="BL1269" t="s">
        <v>13924</v>
      </c>
      <c r="BM1269" t="str">
        <f>HYPERLINK("http://dx.doi.org/10.1186/s12913-020-05981-1","http://dx.doi.org/10.1186/s12913-020-05981-1")</f>
        <v>http://dx.doi.org/10.1186/s12913-020-05981-1</v>
      </c>
      <c r="BN1269" t="s">
        <v>69</v>
      </c>
      <c r="BO1269" t="s">
        <v>69</v>
      </c>
      <c r="BP1269">
        <v>11</v>
      </c>
      <c r="BQ1269" t="s">
        <v>9209</v>
      </c>
      <c r="BR1269" t="s">
        <v>8523</v>
      </c>
      <c r="BS1269" t="s">
        <v>9209</v>
      </c>
      <c r="BT1269" t="s">
        <v>13925</v>
      </c>
      <c r="BU1269" t="s">
        <v>13926</v>
      </c>
      <c r="BV1269">
        <v>33287801</v>
      </c>
      <c r="BW1269" t="s">
        <v>9352</v>
      </c>
      <c r="BX1269" t="s">
        <v>69</v>
      </c>
      <c r="BY1269" t="s">
        <v>69</v>
      </c>
      <c r="BZ1269" t="s">
        <v>8526</v>
      </c>
      <c r="CA1269" t="str">
        <f>HYPERLINK("https%3A%2F%2Fwww.webofscience.com%2Fwos%2Fwoscc%2Ffull-record%2FWOS:000598039300003","View Full Record in Web of Science")</f>
        <v>View Full Record in Web of Science</v>
      </c>
    </row>
    <row r="1270" spans="1:79" ht="12.5" x14ac:dyDescent="0.25">
      <c r="B1270" t="s">
        <v>8495</v>
      </c>
      <c r="D1270" s="7" t="s">
        <v>32933</v>
      </c>
      <c r="E1270" s="7"/>
      <c r="F1270" s="7"/>
      <c r="G1270" s="7"/>
      <c r="H1270" t="s">
        <v>67</v>
      </c>
      <c r="I1270" t="s">
        <v>3764</v>
      </c>
      <c r="J1270" t="s">
        <v>69</v>
      </c>
      <c r="K1270" t="s">
        <v>69</v>
      </c>
      <c r="L1270" t="s">
        <v>69</v>
      </c>
      <c r="M1270" t="s">
        <v>3765</v>
      </c>
      <c r="N1270" t="s">
        <v>69</v>
      </c>
      <c r="O1270" t="s">
        <v>69</v>
      </c>
      <c r="P1270" t="s">
        <v>3766</v>
      </c>
      <c r="Q1270" t="s">
        <v>3767</v>
      </c>
      <c r="R1270" t="s">
        <v>69</v>
      </c>
      <c r="S1270" t="s">
        <v>69</v>
      </c>
      <c r="T1270" t="s">
        <v>8505</v>
      </c>
      <c r="U1270" t="s">
        <v>15797</v>
      </c>
      <c r="V1270" t="s">
        <v>3768</v>
      </c>
      <c r="W1270" t="s">
        <v>3769</v>
      </c>
      <c r="X1270" t="s">
        <v>3770</v>
      </c>
      <c r="Y1270" t="s">
        <v>69</v>
      </c>
      <c r="Z1270" t="s">
        <v>3771</v>
      </c>
      <c r="AA1270" t="s">
        <v>69</v>
      </c>
      <c r="AB1270" t="s">
        <v>29837</v>
      </c>
      <c r="AC1270" t="s">
        <v>3772</v>
      </c>
      <c r="AD1270" t="s">
        <v>29838</v>
      </c>
      <c r="AE1270" t="s">
        <v>69</v>
      </c>
      <c r="AF1270" t="s">
        <v>29839</v>
      </c>
      <c r="AG1270" t="s">
        <v>29840</v>
      </c>
      <c r="AH1270" t="s">
        <v>69</v>
      </c>
      <c r="AI1270" t="s">
        <v>69</v>
      </c>
      <c r="AJ1270" t="s">
        <v>69</v>
      </c>
      <c r="AK1270" t="s">
        <v>69</v>
      </c>
      <c r="AL1270" t="s">
        <v>69</v>
      </c>
      <c r="AM1270" t="s">
        <v>69</v>
      </c>
      <c r="AN1270">
        <v>27</v>
      </c>
      <c r="AO1270">
        <v>7</v>
      </c>
      <c r="AP1270">
        <v>7</v>
      </c>
      <c r="AQ1270">
        <v>1</v>
      </c>
      <c r="AR1270">
        <v>8</v>
      </c>
      <c r="AS1270" t="s">
        <v>8826</v>
      </c>
      <c r="AT1270" t="s">
        <v>29841</v>
      </c>
      <c r="AU1270" t="s">
        <v>29842</v>
      </c>
      <c r="AV1270" t="s">
        <v>3773</v>
      </c>
      <c r="AW1270" t="s">
        <v>69</v>
      </c>
      <c r="AX1270" t="s">
        <v>69</v>
      </c>
      <c r="AY1270" t="s">
        <v>29843</v>
      </c>
      <c r="AZ1270" t="s">
        <v>29844</v>
      </c>
      <c r="BA1270" t="s">
        <v>69</v>
      </c>
      <c r="BB1270">
        <v>2007</v>
      </c>
      <c r="BC1270">
        <v>47</v>
      </c>
      <c r="BD1270">
        <v>3</v>
      </c>
      <c r="BE1270" t="s">
        <v>69</v>
      </c>
      <c r="BF1270" t="s">
        <v>69</v>
      </c>
      <c r="BG1270" t="s">
        <v>69</v>
      </c>
      <c r="BH1270" t="s">
        <v>69</v>
      </c>
      <c r="BI1270">
        <v>367</v>
      </c>
      <c r="BJ1270">
        <v>377</v>
      </c>
      <c r="BK1270" t="s">
        <v>69</v>
      </c>
      <c r="BL1270" t="s">
        <v>3774</v>
      </c>
      <c r="BM1270" t="str">
        <f>HYPERLINK("http://dx.doi.org/10.1071/EA06030","http://dx.doi.org/10.1071/EA06030")</f>
        <v>http://dx.doi.org/10.1071/EA06030</v>
      </c>
      <c r="BN1270" t="s">
        <v>69</v>
      </c>
      <c r="BO1270" t="s">
        <v>69</v>
      </c>
      <c r="BP1270">
        <v>11</v>
      </c>
      <c r="BQ1270" t="s">
        <v>17664</v>
      </c>
      <c r="BR1270" t="s">
        <v>15808</v>
      </c>
      <c r="BS1270" t="s">
        <v>8450</v>
      </c>
      <c r="BT1270" t="s">
        <v>29845</v>
      </c>
      <c r="BU1270" t="s">
        <v>3775</v>
      </c>
      <c r="BV1270" t="s">
        <v>69</v>
      </c>
      <c r="BW1270" t="s">
        <v>69</v>
      </c>
      <c r="BX1270" t="s">
        <v>69</v>
      </c>
      <c r="BY1270" t="s">
        <v>69</v>
      </c>
      <c r="BZ1270" t="s">
        <v>8526</v>
      </c>
      <c r="CA1270" t="str">
        <f>HYPERLINK("https%3A%2F%2Fwww.webofscience.com%2Fwos%2Fwoscc%2Ffull-record%2FWOS:000244118500014","View Full Record in Web of Science")</f>
        <v>View Full Record in Web of Science</v>
      </c>
    </row>
    <row r="1271" spans="1:79" ht="12.5" x14ac:dyDescent="0.25">
      <c r="B1271" t="s">
        <v>8495</v>
      </c>
      <c r="D1271" s="22" t="s">
        <v>32931</v>
      </c>
      <c r="E1271" s="7"/>
      <c r="F1271" s="7"/>
      <c r="G1271" s="7"/>
      <c r="H1271" t="s">
        <v>67</v>
      </c>
      <c r="I1271" t="s">
        <v>23867</v>
      </c>
      <c r="J1271" t="s">
        <v>69</v>
      </c>
      <c r="K1271" t="s">
        <v>69</v>
      </c>
      <c r="L1271" t="s">
        <v>69</v>
      </c>
      <c r="M1271" t="s">
        <v>23868</v>
      </c>
      <c r="N1271" t="s">
        <v>69</v>
      </c>
      <c r="O1271" t="s">
        <v>69</v>
      </c>
      <c r="P1271" t="s">
        <v>23869</v>
      </c>
      <c r="Q1271" t="s">
        <v>23870</v>
      </c>
      <c r="R1271" t="s">
        <v>69</v>
      </c>
      <c r="S1271" t="s">
        <v>69</v>
      </c>
      <c r="T1271" t="s">
        <v>8505</v>
      </c>
      <c r="U1271" t="s">
        <v>8506</v>
      </c>
      <c r="V1271" t="s">
        <v>69</v>
      </c>
      <c r="W1271" t="s">
        <v>69</v>
      </c>
      <c r="X1271" t="s">
        <v>69</v>
      </c>
      <c r="Y1271" t="s">
        <v>69</v>
      </c>
      <c r="Z1271" t="s">
        <v>69</v>
      </c>
      <c r="AA1271" t="s">
        <v>23871</v>
      </c>
      <c r="AB1271" t="s">
        <v>23872</v>
      </c>
      <c r="AC1271" t="s">
        <v>23873</v>
      </c>
      <c r="AD1271" t="s">
        <v>23874</v>
      </c>
      <c r="AE1271" t="s">
        <v>69</v>
      </c>
      <c r="AF1271" t="s">
        <v>23875</v>
      </c>
      <c r="AG1271" t="s">
        <v>69</v>
      </c>
      <c r="AH1271" t="s">
        <v>23876</v>
      </c>
      <c r="AI1271" t="s">
        <v>23877</v>
      </c>
      <c r="AJ1271" t="s">
        <v>23878</v>
      </c>
      <c r="AK1271" t="s">
        <v>23878</v>
      </c>
      <c r="AL1271" t="s">
        <v>23879</v>
      </c>
      <c r="AM1271" t="s">
        <v>69</v>
      </c>
      <c r="AN1271">
        <v>35</v>
      </c>
      <c r="AO1271">
        <v>24</v>
      </c>
      <c r="AP1271">
        <v>24</v>
      </c>
      <c r="AQ1271">
        <v>10</v>
      </c>
      <c r="AR1271">
        <v>56</v>
      </c>
      <c r="AS1271" t="s">
        <v>23880</v>
      </c>
      <c r="AT1271" t="s">
        <v>23881</v>
      </c>
      <c r="AU1271" t="s">
        <v>23882</v>
      </c>
      <c r="AV1271" t="s">
        <v>23883</v>
      </c>
      <c r="AW1271" t="s">
        <v>23884</v>
      </c>
      <c r="AX1271" t="s">
        <v>69</v>
      </c>
      <c r="AY1271" t="s">
        <v>23885</v>
      </c>
      <c r="AZ1271" t="s">
        <v>23886</v>
      </c>
      <c r="BA1271" t="s">
        <v>94</v>
      </c>
      <c r="BB1271">
        <v>2014</v>
      </c>
      <c r="BC1271">
        <v>28</v>
      </c>
      <c r="BD1271">
        <v>1</v>
      </c>
      <c r="BE1271" t="s">
        <v>69</v>
      </c>
      <c r="BF1271" t="s">
        <v>69</v>
      </c>
      <c r="BG1271" t="s">
        <v>69</v>
      </c>
      <c r="BH1271" t="s">
        <v>69</v>
      </c>
      <c r="BI1271">
        <v>91</v>
      </c>
      <c r="BJ1271">
        <v>102</v>
      </c>
      <c r="BK1271" t="s">
        <v>69</v>
      </c>
      <c r="BL1271" t="s">
        <v>23887</v>
      </c>
      <c r="BM1271" t="str">
        <f>HYPERLINK("http://dx.doi.org/10.1123/pes.2013-0015","http://dx.doi.org/10.1123/pes.2013-0015")</f>
        <v>http://dx.doi.org/10.1123/pes.2013-0015</v>
      </c>
      <c r="BN1271" t="s">
        <v>69</v>
      </c>
      <c r="BO1271" t="s">
        <v>69</v>
      </c>
      <c r="BP1271">
        <v>12</v>
      </c>
      <c r="BQ1271" t="s">
        <v>10399</v>
      </c>
      <c r="BR1271" t="s">
        <v>8523</v>
      </c>
      <c r="BS1271" t="s">
        <v>10400</v>
      </c>
      <c r="BT1271" t="s">
        <v>23888</v>
      </c>
      <c r="BU1271" t="s">
        <v>23889</v>
      </c>
      <c r="BV1271" t="s">
        <v>69</v>
      </c>
      <c r="BW1271" t="s">
        <v>69</v>
      </c>
      <c r="BX1271" t="s">
        <v>69</v>
      </c>
      <c r="BY1271" t="s">
        <v>69</v>
      </c>
      <c r="BZ1271" t="s">
        <v>8526</v>
      </c>
      <c r="CA1271" t="str">
        <f>HYPERLINK("https%3A%2F%2Fwww.webofscience.com%2Fwos%2Fwoscc%2Ffull-record%2FWOS:000334900200008","View Full Record in Web of Science")</f>
        <v>View Full Record in Web of Science</v>
      </c>
    </row>
    <row r="1272" spans="1:79" ht="12.5" x14ac:dyDescent="0.25">
      <c r="B1272" t="s">
        <v>8495</v>
      </c>
      <c r="D1272" s="22" t="s">
        <v>32931</v>
      </c>
      <c r="E1272" s="7"/>
      <c r="F1272" s="7"/>
      <c r="G1272" s="7"/>
      <c r="H1272" t="s">
        <v>67</v>
      </c>
      <c r="I1272" t="s">
        <v>28421</v>
      </c>
      <c r="J1272" t="s">
        <v>69</v>
      </c>
      <c r="K1272" t="s">
        <v>69</v>
      </c>
      <c r="L1272" t="s">
        <v>69</v>
      </c>
      <c r="M1272" t="s">
        <v>28422</v>
      </c>
      <c r="N1272" t="s">
        <v>69</v>
      </c>
      <c r="O1272" t="s">
        <v>69</v>
      </c>
      <c r="P1272" t="s">
        <v>28423</v>
      </c>
      <c r="Q1272" t="s">
        <v>12498</v>
      </c>
      <c r="R1272" t="s">
        <v>69</v>
      </c>
      <c r="S1272" t="s">
        <v>69</v>
      </c>
      <c r="T1272" t="s">
        <v>12534</v>
      </c>
      <c r="U1272" t="s">
        <v>8506</v>
      </c>
      <c r="V1272" t="s">
        <v>69</v>
      </c>
      <c r="W1272" t="s">
        <v>69</v>
      </c>
      <c r="X1272" t="s">
        <v>69</v>
      </c>
      <c r="Y1272" t="s">
        <v>69</v>
      </c>
      <c r="Z1272" t="s">
        <v>69</v>
      </c>
      <c r="AA1272" t="s">
        <v>69</v>
      </c>
      <c r="AB1272" t="s">
        <v>69</v>
      </c>
      <c r="AC1272" t="s">
        <v>28424</v>
      </c>
      <c r="AD1272" t="s">
        <v>28425</v>
      </c>
      <c r="AE1272" t="s">
        <v>69</v>
      </c>
      <c r="AF1272" t="s">
        <v>28426</v>
      </c>
      <c r="AG1272" t="s">
        <v>69</v>
      </c>
      <c r="AH1272" t="s">
        <v>69</v>
      </c>
      <c r="AI1272" t="s">
        <v>69</v>
      </c>
      <c r="AJ1272" t="s">
        <v>69</v>
      </c>
      <c r="AK1272" t="s">
        <v>69</v>
      </c>
      <c r="AL1272" t="s">
        <v>69</v>
      </c>
      <c r="AM1272" t="s">
        <v>69</v>
      </c>
      <c r="AN1272">
        <v>0</v>
      </c>
      <c r="AO1272">
        <v>0</v>
      </c>
      <c r="AP1272">
        <v>0</v>
      </c>
      <c r="AQ1272">
        <v>0</v>
      </c>
      <c r="AR1272">
        <v>0</v>
      </c>
      <c r="AS1272" t="s">
        <v>12503</v>
      </c>
      <c r="AT1272" t="s">
        <v>11361</v>
      </c>
      <c r="AU1272" t="s">
        <v>28427</v>
      </c>
      <c r="AV1272" t="s">
        <v>12505</v>
      </c>
      <c r="AW1272" t="s">
        <v>69</v>
      </c>
      <c r="AX1272" t="s">
        <v>69</v>
      </c>
      <c r="AY1272" t="s">
        <v>12506</v>
      </c>
      <c r="AZ1272" t="s">
        <v>12507</v>
      </c>
      <c r="BA1272" t="s">
        <v>155</v>
      </c>
      <c r="BB1272">
        <v>2009</v>
      </c>
      <c r="BC1272">
        <v>54</v>
      </c>
      <c r="BD1272">
        <v>6</v>
      </c>
      <c r="BE1272" t="s">
        <v>69</v>
      </c>
      <c r="BF1272" t="s">
        <v>69</v>
      </c>
      <c r="BG1272" t="s">
        <v>69</v>
      </c>
      <c r="BH1272" t="s">
        <v>69</v>
      </c>
      <c r="BI1272">
        <v>373</v>
      </c>
      <c r="BJ1272" t="s">
        <v>219</v>
      </c>
      <c r="BK1272" t="s">
        <v>69</v>
      </c>
      <c r="BL1272" t="s">
        <v>69</v>
      </c>
      <c r="BM1272" t="s">
        <v>69</v>
      </c>
      <c r="BN1272" t="s">
        <v>69</v>
      </c>
      <c r="BO1272" t="s">
        <v>69</v>
      </c>
      <c r="BP1272">
        <v>7</v>
      </c>
      <c r="BQ1272" t="s">
        <v>12508</v>
      </c>
      <c r="BR1272" t="s">
        <v>8548</v>
      </c>
      <c r="BS1272" t="s">
        <v>12508</v>
      </c>
      <c r="BT1272" t="s">
        <v>28428</v>
      </c>
      <c r="BU1272" t="s">
        <v>28429</v>
      </c>
      <c r="BV1272" t="s">
        <v>69</v>
      </c>
      <c r="BW1272" t="s">
        <v>69</v>
      </c>
      <c r="BX1272" t="s">
        <v>69</v>
      </c>
      <c r="BY1272" t="s">
        <v>69</v>
      </c>
      <c r="BZ1272" t="s">
        <v>8526</v>
      </c>
      <c r="CA1272" t="str">
        <f>HYPERLINK("https%3A%2F%2Fwww.webofscience.com%2Fwos%2Fwoscc%2Ffull-record%2FWOS:000270579500007","View Full Record in Web of Science")</f>
        <v>View Full Record in Web of Science</v>
      </c>
    </row>
    <row r="1273" spans="1:79" ht="12.5" x14ac:dyDescent="0.25">
      <c r="B1273" t="s">
        <v>8495</v>
      </c>
      <c r="D1273" s="22" t="s">
        <v>32931</v>
      </c>
      <c r="E1273" s="7"/>
      <c r="F1273" s="7"/>
      <c r="G1273" s="7"/>
      <c r="H1273" t="s">
        <v>67</v>
      </c>
      <c r="I1273" t="s">
        <v>14328</v>
      </c>
      <c r="J1273" t="s">
        <v>69</v>
      </c>
      <c r="K1273" t="s">
        <v>69</v>
      </c>
      <c r="L1273" t="s">
        <v>69</v>
      </c>
      <c r="M1273" t="s">
        <v>14329</v>
      </c>
      <c r="N1273" t="s">
        <v>69</v>
      </c>
      <c r="O1273" t="s">
        <v>69</v>
      </c>
      <c r="P1273" t="s">
        <v>14330</v>
      </c>
      <c r="Q1273" t="s">
        <v>14331</v>
      </c>
      <c r="R1273" t="s">
        <v>69</v>
      </c>
      <c r="S1273" t="s">
        <v>69</v>
      </c>
      <c r="T1273" t="s">
        <v>8505</v>
      </c>
      <c r="U1273" t="s">
        <v>8506</v>
      </c>
      <c r="V1273" t="s">
        <v>69</v>
      </c>
      <c r="W1273" t="s">
        <v>69</v>
      </c>
      <c r="X1273" t="s">
        <v>69</v>
      </c>
      <c r="Y1273" t="s">
        <v>69</v>
      </c>
      <c r="Z1273" t="s">
        <v>69</v>
      </c>
      <c r="AA1273" t="s">
        <v>14332</v>
      </c>
      <c r="AB1273" t="s">
        <v>14333</v>
      </c>
      <c r="AC1273" t="s">
        <v>14334</v>
      </c>
      <c r="AD1273" t="s">
        <v>14335</v>
      </c>
      <c r="AE1273" t="s">
        <v>69</v>
      </c>
      <c r="AF1273" t="s">
        <v>14336</v>
      </c>
      <c r="AG1273" t="s">
        <v>14337</v>
      </c>
      <c r="AH1273" t="s">
        <v>69</v>
      </c>
      <c r="AI1273" t="s">
        <v>14338</v>
      </c>
      <c r="AJ1273" t="s">
        <v>14339</v>
      </c>
      <c r="AK1273" t="s">
        <v>14340</v>
      </c>
      <c r="AL1273" t="s">
        <v>14341</v>
      </c>
      <c r="AM1273" t="s">
        <v>69</v>
      </c>
      <c r="AN1273">
        <v>40</v>
      </c>
      <c r="AO1273">
        <v>3</v>
      </c>
      <c r="AP1273">
        <v>3</v>
      </c>
      <c r="AQ1273">
        <v>1</v>
      </c>
      <c r="AR1273">
        <v>3</v>
      </c>
      <c r="AS1273" t="s">
        <v>10923</v>
      </c>
      <c r="AT1273" t="s">
        <v>10924</v>
      </c>
      <c r="AU1273" t="s">
        <v>10925</v>
      </c>
      <c r="AV1273" t="s">
        <v>14342</v>
      </c>
      <c r="AW1273" t="s">
        <v>14343</v>
      </c>
      <c r="AX1273" t="s">
        <v>69</v>
      </c>
      <c r="AY1273" t="s">
        <v>14344</v>
      </c>
      <c r="AZ1273" t="s">
        <v>14345</v>
      </c>
      <c r="BA1273" t="s">
        <v>255</v>
      </c>
      <c r="BB1273">
        <v>2020</v>
      </c>
      <c r="BC1273">
        <v>62</v>
      </c>
      <c r="BD1273">
        <v>9</v>
      </c>
      <c r="BE1273" t="s">
        <v>69</v>
      </c>
      <c r="BF1273" t="s">
        <v>69</v>
      </c>
      <c r="BG1273" t="s">
        <v>69</v>
      </c>
      <c r="BH1273" t="s">
        <v>69</v>
      </c>
      <c r="BI1273">
        <v>680</v>
      </c>
      <c r="BJ1273">
        <v>685</v>
      </c>
      <c r="BK1273" t="s">
        <v>69</v>
      </c>
      <c r="BL1273" t="s">
        <v>14346</v>
      </c>
      <c r="BM1273" t="str">
        <f>HYPERLINK("http://dx.doi.org/10.1097/JOM.0000000000001913","http://dx.doi.org/10.1097/JOM.0000000000001913")</f>
        <v>http://dx.doi.org/10.1097/JOM.0000000000001913</v>
      </c>
      <c r="BN1273" t="s">
        <v>69</v>
      </c>
      <c r="BO1273" t="s">
        <v>69</v>
      </c>
      <c r="BP1273">
        <v>6</v>
      </c>
      <c r="BQ1273" t="s">
        <v>8810</v>
      </c>
      <c r="BR1273" t="s">
        <v>8523</v>
      </c>
      <c r="BS1273" t="s">
        <v>8810</v>
      </c>
      <c r="BT1273" t="s">
        <v>14347</v>
      </c>
      <c r="BU1273" t="s">
        <v>14348</v>
      </c>
      <c r="BV1273">
        <v>32890204</v>
      </c>
      <c r="BW1273" t="s">
        <v>69</v>
      </c>
      <c r="BX1273" t="s">
        <v>69</v>
      </c>
      <c r="BY1273" t="s">
        <v>69</v>
      </c>
      <c r="BZ1273" t="s">
        <v>8526</v>
      </c>
      <c r="CA1273" t="str">
        <f>HYPERLINK("https%3A%2F%2Fwww.webofscience.com%2Fwos%2Fwoscc%2Ffull-record%2FWOS:000618897000016","View Full Record in Web of Science")</f>
        <v>View Full Record in Web of Science</v>
      </c>
    </row>
    <row r="1274" spans="1:79" ht="12.5" x14ac:dyDescent="0.25">
      <c r="B1274" t="s">
        <v>8495</v>
      </c>
      <c r="D1274" s="7" t="s">
        <v>32933</v>
      </c>
      <c r="E1274" s="7"/>
      <c r="F1274" s="7"/>
      <c r="G1274" s="7"/>
      <c r="H1274" t="s">
        <v>67</v>
      </c>
      <c r="I1274" t="s">
        <v>6559</v>
      </c>
      <c r="J1274" t="s">
        <v>69</v>
      </c>
      <c r="K1274" t="s">
        <v>69</v>
      </c>
      <c r="L1274" t="s">
        <v>69</v>
      </c>
      <c r="M1274" t="s">
        <v>6560</v>
      </c>
      <c r="N1274" t="s">
        <v>69</v>
      </c>
      <c r="O1274" t="s">
        <v>69</v>
      </c>
      <c r="P1274" t="s">
        <v>6561</v>
      </c>
      <c r="Q1274" t="s">
        <v>6562</v>
      </c>
      <c r="R1274" t="s">
        <v>69</v>
      </c>
      <c r="S1274" t="s">
        <v>69</v>
      </c>
      <c r="T1274" t="s">
        <v>8505</v>
      </c>
      <c r="U1274" t="s">
        <v>8506</v>
      </c>
      <c r="V1274" t="s">
        <v>69</v>
      </c>
      <c r="W1274" t="s">
        <v>69</v>
      </c>
      <c r="X1274" t="s">
        <v>69</v>
      </c>
      <c r="Y1274" t="s">
        <v>69</v>
      </c>
      <c r="Z1274" t="s">
        <v>69</v>
      </c>
      <c r="AA1274" t="s">
        <v>18335</v>
      </c>
      <c r="AB1274" t="s">
        <v>18336</v>
      </c>
      <c r="AC1274" t="s">
        <v>6563</v>
      </c>
      <c r="AD1274" t="s">
        <v>18337</v>
      </c>
      <c r="AE1274" t="s">
        <v>69</v>
      </c>
      <c r="AF1274" t="s">
        <v>18338</v>
      </c>
      <c r="AG1274" t="s">
        <v>18339</v>
      </c>
      <c r="AH1274" t="s">
        <v>18340</v>
      </c>
      <c r="AI1274" t="s">
        <v>18341</v>
      </c>
      <c r="AJ1274" t="s">
        <v>69</v>
      </c>
      <c r="AK1274" t="s">
        <v>69</v>
      </c>
      <c r="AL1274" t="s">
        <v>69</v>
      </c>
      <c r="AM1274" t="s">
        <v>69</v>
      </c>
      <c r="AN1274">
        <v>51</v>
      </c>
      <c r="AO1274">
        <v>3</v>
      </c>
      <c r="AP1274">
        <v>3</v>
      </c>
      <c r="AQ1274">
        <v>1</v>
      </c>
      <c r="AR1274">
        <v>10</v>
      </c>
      <c r="AS1274" t="s">
        <v>18342</v>
      </c>
      <c r="AT1274" t="s">
        <v>18343</v>
      </c>
      <c r="AU1274" t="s">
        <v>18344</v>
      </c>
      <c r="AV1274" t="s">
        <v>6564</v>
      </c>
      <c r="AW1274" t="s">
        <v>6565</v>
      </c>
      <c r="AX1274" t="s">
        <v>69</v>
      </c>
      <c r="AY1274" t="s">
        <v>18345</v>
      </c>
      <c r="AZ1274" t="s">
        <v>18346</v>
      </c>
      <c r="BA1274" t="s">
        <v>255</v>
      </c>
      <c r="BB1274">
        <v>2018</v>
      </c>
      <c r="BC1274">
        <v>17</v>
      </c>
      <c r="BD1274">
        <v>3</v>
      </c>
      <c r="BE1274" t="s">
        <v>69</v>
      </c>
      <c r="BF1274" t="s">
        <v>69</v>
      </c>
      <c r="BG1274" t="s">
        <v>69</v>
      </c>
      <c r="BH1274" t="s">
        <v>69</v>
      </c>
      <c r="BI1274">
        <v>333</v>
      </c>
      <c r="BJ1274">
        <v>351</v>
      </c>
      <c r="BK1274" t="s">
        <v>69</v>
      </c>
      <c r="BL1274" t="s">
        <v>6566</v>
      </c>
      <c r="BM1274" t="str">
        <f>HYPERLINK("http://dx.doi.org/10.1142/S0219686718500208","http://dx.doi.org/10.1142/S0219686718500208")</f>
        <v>http://dx.doi.org/10.1142/S0219686718500208</v>
      </c>
      <c r="BN1274" t="s">
        <v>69</v>
      </c>
      <c r="BO1274" t="s">
        <v>69</v>
      </c>
      <c r="BP1274">
        <v>19</v>
      </c>
      <c r="BQ1274" t="s">
        <v>8572</v>
      </c>
      <c r="BR1274" t="s">
        <v>8573</v>
      </c>
      <c r="BS1274" t="s">
        <v>8445</v>
      </c>
      <c r="BT1274" t="s">
        <v>18347</v>
      </c>
      <c r="BU1274" t="s">
        <v>6567</v>
      </c>
      <c r="BV1274" t="s">
        <v>69</v>
      </c>
      <c r="BW1274" t="s">
        <v>69</v>
      </c>
      <c r="BX1274" t="s">
        <v>69</v>
      </c>
      <c r="BY1274" t="s">
        <v>69</v>
      </c>
      <c r="BZ1274" t="s">
        <v>8526</v>
      </c>
      <c r="CA1274" t="str">
        <f>HYPERLINK("https%3A%2F%2Fwww.webofscience.com%2Fwos%2Fwoscc%2Ffull-record%2FWOS:000440167800004","View Full Record in Web of Science")</f>
        <v>View Full Record in Web of Science</v>
      </c>
    </row>
    <row r="1275" spans="1:79" x14ac:dyDescent="0.3">
      <c r="B1275" t="s">
        <v>8495</v>
      </c>
      <c r="D1275" s="9" t="s">
        <v>32954</v>
      </c>
      <c r="E1275" s="9" t="s">
        <v>33141</v>
      </c>
      <c r="F1275" s="10" t="s">
        <v>8490</v>
      </c>
      <c r="G1275" s="9" t="s">
        <v>8490</v>
      </c>
      <c r="H1275" t="s">
        <v>67</v>
      </c>
      <c r="I1275" t="s">
        <v>15401</v>
      </c>
      <c r="J1275" t="s">
        <v>69</v>
      </c>
      <c r="K1275" t="s">
        <v>69</v>
      </c>
      <c r="L1275" t="s">
        <v>69</v>
      </c>
      <c r="M1275" t="s">
        <v>15402</v>
      </c>
      <c r="N1275" t="s">
        <v>69</v>
      </c>
      <c r="O1275" t="s">
        <v>69</v>
      </c>
      <c r="P1275" t="s">
        <v>15403</v>
      </c>
      <c r="Q1275" t="s">
        <v>15404</v>
      </c>
      <c r="R1275" t="s">
        <v>69</v>
      </c>
      <c r="S1275" t="s">
        <v>69</v>
      </c>
      <c r="T1275" t="s">
        <v>8505</v>
      </c>
      <c r="U1275" t="s">
        <v>8506</v>
      </c>
      <c r="V1275" t="s">
        <v>69</v>
      </c>
      <c r="W1275" t="s">
        <v>69</v>
      </c>
      <c r="X1275" t="s">
        <v>69</v>
      </c>
      <c r="Y1275" t="s">
        <v>69</v>
      </c>
      <c r="Z1275" t="s">
        <v>69</v>
      </c>
      <c r="AA1275" t="s">
        <v>15405</v>
      </c>
      <c r="AB1275" t="s">
        <v>15406</v>
      </c>
      <c r="AC1275" t="s">
        <v>15407</v>
      </c>
      <c r="AD1275" t="s">
        <v>15408</v>
      </c>
      <c r="AE1275" t="s">
        <v>69</v>
      </c>
      <c r="AF1275" t="s">
        <v>15409</v>
      </c>
      <c r="AG1275" t="s">
        <v>15410</v>
      </c>
      <c r="AH1275" t="s">
        <v>69</v>
      </c>
      <c r="AI1275" t="s">
        <v>69</v>
      </c>
      <c r="AJ1275" t="s">
        <v>69</v>
      </c>
      <c r="AK1275" t="s">
        <v>69</v>
      </c>
      <c r="AL1275" t="s">
        <v>69</v>
      </c>
      <c r="AM1275" t="s">
        <v>69</v>
      </c>
      <c r="AN1275">
        <v>54</v>
      </c>
      <c r="AO1275">
        <v>4</v>
      </c>
      <c r="AP1275">
        <v>4</v>
      </c>
      <c r="AQ1275">
        <v>3</v>
      </c>
      <c r="AR1275">
        <v>12</v>
      </c>
      <c r="AS1275" t="s">
        <v>8865</v>
      </c>
      <c r="AT1275" t="s">
        <v>8612</v>
      </c>
      <c r="AU1275" t="s">
        <v>8866</v>
      </c>
      <c r="AV1275" t="s">
        <v>15411</v>
      </c>
      <c r="AW1275" t="s">
        <v>15412</v>
      </c>
      <c r="AX1275" t="s">
        <v>69</v>
      </c>
      <c r="AY1275" t="s">
        <v>15413</v>
      </c>
      <c r="AZ1275" t="s">
        <v>15414</v>
      </c>
      <c r="BA1275" t="s">
        <v>4530</v>
      </c>
      <c r="BB1275">
        <v>2021</v>
      </c>
      <c r="BC1275">
        <v>27</v>
      </c>
      <c r="BD1275">
        <v>4</v>
      </c>
      <c r="BE1275" t="s">
        <v>69</v>
      </c>
      <c r="BF1275" t="s">
        <v>69</v>
      </c>
      <c r="BG1275" t="s">
        <v>114</v>
      </c>
      <c r="BH1275" t="s">
        <v>69</v>
      </c>
      <c r="BI1275">
        <v>498</v>
      </c>
      <c r="BJ1275">
        <v>512</v>
      </c>
      <c r="BK1275" t="s">
        <v>69</v>
      </c>
      <c r="BL1275" t="s">
        <v>15415</v>
      </c>
      <c r="BM1275" t="str">
        <f>HYPERLINK("http://dx.doi.org/10.1080/13504622.2020.1752625","http://dx.doi.org/10.1080/13504622.2020.1752625")</f>
        <v>http://dx.doi.org/10.1080/13504622.2020.1752625</v>
      </c>
      <c r="BN1275" t="s">
        <v>69</v>
      </c>
      <c r="BO1275" t="s">
        <v>767</v>
      </c>
      <c r="BP1275">
        <v>15</v>
      </c>
      <c r="BQ1275" t="s">
        <v>15416</v>
      </c>
      <c r="BR1275" t="s">
        <v>8661</v>
      </c>
      <c r="BS1275" t="s">
        <v>15417</v>
      </c>
      <c r="BT1275" t="s">
        <v>15418</v>
      </c>
      <c r="BU1275" t="s">
        <v>15419</v>
      </c>
      <c r="BV1275" t="s">
        <v>69</v>
      </c>
      <c r="BW1275" t="s">
        <v>69</v>
      </c>
      <c r="BX1275" t="s">
        <v>69</v>
      </c>
      <c r="BY1275" t="s">
        <v>69</v>
      </c>
      <c r="BZ1275" t="s">
        <v>8526</v>
      </c>
      <c r="CA1275" t="str">
        <f>HYPERLINK("https%3A%2F%2Fwww.webofscience.com%2Fwos%2Fwoscc%2Ffull-record%2FWOS:000527650100001","View Full Record in Web of Science")</f>
        <v>View Full Record in Web of Science</v>
      </c>
    </row>
    <row r="1276" spans="1:79" x14ac:dyDescent="0.3">
      <c r="A1276" t="s">
        <v>8408</v>
      </c>
      <c r="B1276" t="s">
        <v>8495</v>
      </c>
      <c r="D1276" s="10" t="s">
        <v>33184</v>
      </c>
      <c r="F1276" s="10" t="s">
        <v>8490</v>
      </c>
      <c r="H1276" t="s">
        <v>67</v>
      </c>
      <c r="I1276" t="s">
        <v>4276</v>
      </c>
      <c r="J1276" t="s">
        <v>69</v>
      </c>
      <c r="K1276" t="s">
        <v>69</v>
      </c>
      <c r="L1276" t="s">
        <v>69</v>
      </c>
      <c r="M1276" s="2" t="s">
        <v>4276</v>
      </c>
      <c r="N1276" t="s">
        <v>69</v>
      </c>
      <c r="O1276" t="s">
        <v>69</v>
      </c>
      <c r="P1276" s="2" t="s">
        <v>4277</v>
      </c>
      <c r="Q1276" t="s">
        <v>4241</v>
      </c>
      <c r="R1276" t="s">
        <v>69</v>
      </c>
      <c r="S1276" t="s">
        <v>69</v>
      </c>
      <c r="T1276" t="s">
        <v>8505</v>
      </c>
      <c r="U1276" t="s">
        <v>8506</v>
      </c>
      <c r="V1276" t="s">
        <v>69</v>
      </c>
      <c r="W1276" t="s">
        <v>69</v>
      </c>
      <c r="X1276" t="s">
        <v>69</v>
      </c>
      <c r="Y1276" t="s">
        <v>69</v>
      </c>
      <c r="Z1276" t="s">
        <v>69</v>
      </c>
      <c r="AA1276" t="s">
        <v>69</v>
      </c>
      <c r="AB1276" t="s">
        <v>69</v>
      </c>
      <c r="AC1276" t="s">
        <v>4278</v>
      </c>
      <c r="AD1276" t="s">
        <v>32571</v>
      </c>
      <c r="AE1276" t="s">
        <v>69</v>
      </c>
      <c r="AF1276" t="s">
        <v>32572</v>
      </c>
      <c r="AG1276" t="s">
        <v>69</v>
      </c>
      <c r="AH1276" t="s">
        <v>69</v>
      </c>
      <c r="AI1276" t="s">
        <v>69</v>
      </c>
      <c r="AJ1276" t="s">
        <v>69</v>
      </c>
      <c r="AK1276" t="s">
        <v>69</v>
      </c>
      <c r="AL1276" t="s">
        <v>69</v>
      </c>
      <c r="AM1276" t="s">
        <v>69</v>
      </c>
      <c r="AN1276">
        <v>17</v>
      </c>
      <c r="AO1276">
        <v>1</v>
      </c>
      <c r="AP1276">
        <v>1</v>
      </c>
      <c r="AQ1276">
        <v>0</v>
      </c>
      <c r="AR1276">
        <v>0</v>
      </c>
      <c r="AS1276" t="s">
        <v>32462</v>
      </c>
      <c r="AT1276" t="s">
        <v>32463</v>
      </c>
      <c r="AU1276" t="s">
        <v>32464</v>
      </c>
      <c r="AV1276" t="s">
        <v>4243</v>
      </c>
      <c r="AW1276" t="s">
        <v>69</v>
      </c>
      <c r="AX1276" t="s">
        <v>69</v>
      </c>
      <c r="AY1276" t="s">
        <v>4241</v>
      </c>
      <c r="AZ1276" t="s">
        <v>8483</v>
      </c>
      <c r="BA1276" t="s">
        <v>255</v>
      </c>
      <c r="BB1276">
        <v>1995</v>
      </c>
      <c r="BC1276">
        <v>24</v>
      </c>
      <c r="BD1276">
        <v>6</v>
      </c>
      <c r="BE1276" t="s">
        <v>69</v>
      </c>
      <c r="BF1276" t="s">
        <v>69</v>
      </c>
      <c r="BG1276" t="s">
        <v>69</v>
      </c>
      <c r="BH1276" t="s">
        <v>69</v>
      </c>
      <c r="BI1276">
        <v>366</v>
      </c>
      <c r="BJ1276">
        <v>370</v>
      </c>
      <c r="BK1276" t="s">
        <v>69</v>
      </c>
      <c r="BL1276" t="s">
        <v>69</v>
      </c>
      <c r="BM1276" t="s">
        <v>69</v>
      </c>
      <c r="BN1276" t="s">
        <v>69</v>
      </c>
      <c r="BO1276" t="s">
        <v>69</v>
      </c>
      <c r="BP1276">
        <v>5</v>
      </c>
      <c r="BQ1276" t="s">
        <v>8743</v>
      </c>
      <c r="BR1276" t="s">
        <v>8548</v>
      </c>
      <c r="BS1276" t="s">
        <v>8744</v>
      </c>
      <c r="BT1276" t="s">
        <v>32573</v>
      </c>
      <c r="BU1276" t="s">
        <v>4279</v>
      </c>
      <c r="BV1276" t="s">
        <v>69</v>
      </c>
      <c r="BW1276" t="s">
        <v>69</v>
      </c>
      <c r="BX1276" t="s">
        <v>69</v>
      </c>
      <c r="BY1276" t="s">
        <v>69</v>
      </c>
      <c r="BZ1276" t="s">
        <v>8526</v>
      </c>
      <c r="CA1276" t="str">
        <f>HYPERLINK("https%3A%2F%2Fwww.webofscience.com%2Fwos%2Fwoscc%2Ffull-record%2FWOS:A1995TC11000009","View Full Record in Web of Science")</f>
        <v>View Full Record in Web of Science</v>
      </c>
    </row>
    <row r="1277" spans="1:79" ht="12.5" x14ac:dyDescent="0.25">
      <c r="B1277" t="s">
        <v>8495</v>
      </c>
      <c r="D1277" s="7" t="s">
        <v>32933</v>
      </c>
      <c r="E1277" s="7"/>
      <c r="F1277" s="7"/>
      <c r="G1277" s="7"/>
      <c r="H1277" t="s">
        <v>67</v>
      </c>
      <c r="I1277" t="s">
        <v>589</v>
      </c>
      <c r="J1277" t="s">
        <v>69</v>
      </c>
      <c r="K1277" t="s">
        <v>69</v>
      </c>
      <c r="L1277" t="s">
        <v>69</v>
      </c>
      <c r="M1277" t="s">
        <v>589</v>
      </c>
      <c r="N1277" t="s">
        <v>69</v>
      </c>
      <c r="O1277" t="s">
        <v>69</v>
      </c>
      <c r="P1277" t="s">
        <v>590</v>
      </c>
      <c r="Q1277" t="s">
        <v>591</v>
      </c>
      <c r="R1277" t="s">
        <v>69</v>
      </c>
      <c r="S1277" t="s">
        <v>69</v>
      </c>
      <c r="T1277" t="s">
        <v>8505</v>
      </c>
      <c r="U1277" t="s">
        <v>8506</v>
      </c>
      <c r="V1277" t="s">
        <v>69</v>
      </c>
      <c r="W1277" t="s">
        <v>69</v>
      </c>
      <c r="X1277" t="s">
        <v>69</v>
      </c>
      <c r="Y1277" t="s">
        <v>69</v>
      </c>
      <c r="Z1277" t="s">
        <v>69</v>
      </c>
      <c r="AA1277" t="s">
        <v>32032</v>
      </c>
      <c r="AB1277" t="s">
        <v>69</v>
      </c>
      <c r="AC1277" t="s">
        <v>592</v>
      </c>
      <c r="AD1277" t="s">
        <v>32033</v>
      </c>
      <c r="AE1277" t="s">
        <v>69</v>
      </c>
      <c r="AF1277" t="s">
        <v>32034</v>
      </c>
      <c r="AG1277" t="s">
        <v>32035</v>
      </c>
      <c r="AH1277" t="s">
        <v>69</v>
      </c>
      <c r="AI1277" t="s">
        <v>69</v>
      </c>
      <c r="AJ1277" t="s">
        <v>69</v>
      </c>
      <c r="AK1277" t="s">
        <v>69</v>
      </c>
      <c r="AL1277" t="s">
        <v>69</v>
      </c>
      <c r="AM1277" t="s">
        <v>69</v>
      </c>
      <c r="AN1277">
        <v>35</v>
      </c>
      <c r="AO1277">
        <v>8</v>
      </c>
      <c r="AP1277">
        <v>10</v>
      </c>
      <c r="AQ1277">
        <v>0</v>
      </c>
      <c r="AR1277">
        <v>12</v>
      </c>
      <c r="AS1277" t="s">
        <v>15611</v>
      </c>
      <c r="AT1277" t="s">
        <v>10924</v>
      </c>
      <c r="AU1277" t="s">
        <v>15612</v>
      </c>
      <c r="AV1277" t="s">
        <v>593</v>
      </c>
      <c r="AW1277" t="s">
        <v>594</v>
      </c>
      <c r="AX1277" t="s">
        <v>69</v>
      </c>
      <c r="AY1277" t="s">
        <v>32036</v>
      </c>
      <c r="AZ1277" t="s">
        <v>32037</v>
      </c>
      <c r="BA1277" t="s">
        <v>69</v>
      </c>
      <c r="BB1277">
        <v>1999</v>
      </c>
      <c r="BC1277">
        <v>14</v>
      </c>
      <c r="BD1277">
        <v>1</v>
      </c>
      <c r="BE1277" t="s">
        <v>69</v>
      </c>
      <c r="BF1277" t="s">
        <v>69</v>
      </c>
      <c r="BG1277" t="s">
        <v>69</v>
      </c>
      <c r="BH1277" t="s">
        <v>69</v>
      </c>
      <c r="BI1277">
        <v>59</v>
      </c>
      <c r="BJ1277">
        <v>71</v>
      </c>
      <c r="BK1277" t="s">
        <v>69</v>
      </c>
      <c r="BL1277" t="s">
        <v>595</v>
      </c>
      <c r="BM1277" t="str">
        <f>HYPERLINK("http://dx.doi.org/10.1300/J064v14n01_06","http://dx.doi.org/10.1300/J064v14n01_06")</f>
        <v>http://dx.doi.org/10.1300/J064v14n01_06</v>
      </c>
      <c r="BN1277" t="s">
        <v>69</v>
      </c>
      <c r="BO1277" t="s">
        <v>69</v>
      </c>
      <c r="BP1277">
        <v>13</v>
      </c>
      <c r="BQ1277" t="s">
        <v>17664</v>
      </c>
      <c r="BR1277" t="s">
        <v>8523</v>
      </c>
      <c r="BS1277" t="s">
        <v>8450</v>
      </c>
      <c r="BT1277" t="s">
        <v>32038</v>
      </c>
      <c r="BU1277" t="s">
        <v>596</v>
      </c>
      <c r="BV1277" t="s">
        <v>69</v>
      </c>
      <c r="BW1277" t="s">
        <v>69</v>
      </c>
      <c r="BX1277" t="s">
        <v>69</v>
      </c>
      <c r="BY1277" t="s">
        <v>69</v>
      </c>
      <c r="BZ1277" t="s">
        <v>8526</v>
      </c>
      <c r="CA1277" t="str">
        <f>HYPERLINK("https%3A%2F%2Fwww.webofscience.com%2Fwos%2Fwoscc%2Ffull-record%2FWOS:000082060300005","View Full Record in Web of Science")</f>
        <v>View Full Record in Web of Science</v>
      </c>
    </row>
    <row r="1278" spans="1:79" ht="12.5" x14ac:dyDescent="0.25">
      <c r="B1278" t="s">
        <v>8495</v>
      </c>
      <c r="D1278" s="7" t="s">
        <v>32933</v>
      </c>
      <c r="E1278" s="7"/>
      <c r="F1278" s="7"/>
      <c r="G1278" s="7"/>
      <c r="H1278" t="s">
        <v>67</v>
      </c>
      <c r="I1278" t="s">
        <v>5188</v>
      </c>
      <c r="J1278" t="s">
        <v>69</v>
      </c>
      <c r="K1278" t="s">
        <v>69</v>
      </c>
      <c r="L1278" t="s">
        <v>69</v>
      </c>
      <c r="M1278" t="s">
        <v>5189</v>
      </c>
      <c r="N1278" t="s">
        <v>69</v>
      </c>
      <c r="O1278" t="s">
        <v>69</v>
      </c>
      <c r="P1278" t="s">
        <v>5190</v>
      </c>
      <c r="Q1278" t="s">
        <v>5191</v>
      </c>
      <c r="R1278" t="s">
        <v>69</v>
      </c>
      <c r="S1278" t="s">
        <v>69</v>
      </c>
      <c r="T1278" t="s">
        <v>8505</v>
      </c>
      <c r="U1278" t="s">
        <v>8506</v>
      </c>
      <c r="V1278" t="s">
        <v>69</v>
      </c>
      <c r="W1278" t="s">
        <v>69</v>
      </c>
      <c r="X1278" t="s">
        <v>69</v>
      </c>
      <c r="Y1278" t="s">
        <v>69</v>
      </c>
      <c r="Z1278" t="s">
        <v>69</v>
      </c>
      <c r="AA1278" t="s">
        <v>69</v>
      </c>
      <c r="AB1278" t="s">
        <v>69</v>
      </c>
      <c r="AC1278" t="s">
        <v>5192</v>
      </c>
      <c r="AD1278" t="s">
        <v>13879</v>
      </c>
      <c r="AE1278" t="s">
        <v>69</v>
      </c>
      <c r="AF1278" t="s">
        <v>13880</v>
      </c>
      <c r="AG1278" t="s">
        <v>13881</v>
      </c>
      <c r="AH1278" t="s">
        <v>69</v>
      </c>
      <c r="AI1278" t="s">
        <v>13882</v>
      </c>
      <c r="AJ1278" t="s">
        <v>69</v>
      </c>
      <c r="AK1278" t="s">
        <v>69</v>
      </c>
      <c r="AL1278" t="s">
        <v>69</v>
      </c>
      <c r="AM1278" t="s">
        <v>69</v>
      </c>
      <c r="AN1278">
        <v>36</v>
      </c>
      <c r="AO1278">
        <v>0</v>
      </c>
      <c r="AP1278">
        <v>0</v>
      </c>
      <c r="AQ1278">
        <v>1</v>
      </c>
      <c r="AR1278">
        <v>5</v>
      </c>
      <c r="AS1278" t="s">
        <v>8865</v>
      </c>
      <c r="AT1278" t="s">
        <v>8612</v>
      </c>
      <c r="AU1278" t="s">
        <v>8866</v>
      </c>
      <c r="AV1278" t="s">
        <v>5193</v>
      </c>
      <c r="AW1278" t="s">
        <v>5194</v>
      </c>
      <c r="AX1278" t="s">
        <v>69</v>
      </c>
      <c r="AY1278" t="s">
        <v>13883</v>
      </c>
      <c r="AZ1278" t="s">
        <v>13884</v>
      </c>
      <c r="BA1278" t="s">
        <v>13885</v>
      </c>
      <c r="BB1278">
        <v>2022</v>
      </c>
      <c r="BC1278">
        <v>37</v>
      </c>
      <c r="BD1278">
        <v>6</v>
      </c>
      <c r="BE1278" t="s">
        <v>69</v>
      </c>
      <c r="BF1278" t="s">
        <v>69</v>
      </c>
      <c r="BG1278" t="s">
        <v>69</v>
      </c>
      <c r="BH1278" t="s">
        <v>69</v>
      </c>
      <c r="BI1278">
        <v>717</v>
      </c>
      <c r="BJ1278">
        <v>725</v>
      </c>
      <c r="BK1278" t="s">
        <v>69</v>
      </c>
      <c r="BL1278" t="s">
        <v>5195</v>
      </c>
      <c r="BM1278" t="str">
        <f>HYPERLINK("http://dx.doi.org/10.1080/10410236.2020.1864891","http://dx.doi.org/10.1080/10410236.2020.1864891")</f>
        <v>http://dx.doi.org/10.1080/10410236.2020.1864891</v>
      </c>
      <c r="BN1278" t="s">
        <v>69</v>
      </c>
      <c r="BO1278" t="s">
        <v>1852</v>
      </c>
      <c r="BP1278">
        <v>9</v>
      </c>
      <c r="BQ1278" t="s">
        <v>13886</v>
      </c>
      <c r="BR1278" t="s">
        <v>8661</v>
      </c>
      <c r="BS1278" t="s">
        <v>13887</v>
      </c>
      <c r="BT1278" t="s">
        <v>13888</v>
      </c>
      <c r="BU1278" t="s">
        <v>5196</v>
      </c>
      <c r="BV1278">
        <v>33349051</v>
      </c>
      <c r="BW1278" t="s">
        <v>69</v>
      </c>
      <c r="BX1278" t="s">
        <v>69</v>
      </c>
      <c r="BY1278" t="s">
        <v>69</v>
      </c>
      <c r="BZ1278" t="s">
        <v>8526</v>
      </c>
      <c r="CA1278" t="str">
        <f>HYPERLINK("https%3A%2F%2Fwww.webofscience.com%2Fwos%2Fwoscc%2Ffull-record%2FWOS:000600741900001","View Full Record in Web of Science")</f>
        <v>View Full Record in Web of Science</v>
      </c>
    </row>
    <row r="1279" spans="1:79" ht="12.5" x14ac:dyDescent="0.25">
      <c r="B1279" t="s">
        <v>8495</v>
      </c>
      <c r="D1279" s="22" t="s">
        <v>32931</v>
      </c>
      <c r="E1279" s="7"/>
      <c r="F1279" s="7"/>
      <c r="G1279" s="7"/>
      <c r="H1279" t="s">
        <v>67</v>
      </c>
      <c r="I1279" t="s">
        <v>16731</v>
      </c>
      <c r="J1279" t="s">
        <v>69</v>
      </c>
      <c r="K1279" t="s">
        <v>69</v>
      </c>
      <c r="L1279" t="s">
        <v>69</v>
      </c>
      <c r="M1279" t="s">
        <v>16732</v>
      </c>
      <c r="N1279" t="s">
        <v>69</v>
      </c>
      <c r="O1279" t="s">
        <v>69</v>
      </c>
      <c r="P1279" t="s">
        <v>16733</v>
      </c>
      <c r="Q1279" t="s">
        <v>1642</v>
      </c>
      <c r="R1279" t="s">
        <v>69</v>
      </c>
      <c r="S1279" t="s">
        <v>69</v>
      </c>
      <c r="T1279" t="s">
        <v>8505</v>
      </c>
      <c r="U1279" t="s">
        <v>8506</v>
      </c>
      <c r="V1279" t="s">
        <v>69</v>
      </c>
      <c r="W1279" t="s">
        <v>69</v>
      </c>
      <c r="X1279" t="s">
        <v>69</v>
      </c>
      <c r="Y1279" t="s">
        <v>69</v>
      </c>
      <c r="Z1279" t="s">
        <v>69</v>
      </c>
      <c r="AA1279" t="s">
        <v>16734</v>
      </c>
      <c r="AB1279" t="s">
        <v>16735</v>
      </c>
      <c r="AC1279" t="s">
        <v>16736</v>
      </c>
      <c r="AD1279" t="s">
        <v>16737</v>
      </c>
      <c r="AE1279" t="s">
        <v>69</v>
      </c>
      <c r="AF1279" t="s">
        <v>16738</v>
      </c>
      <c r="AG1279" t="s">
        <v>16739</v>
      </c>
      <c r="AH1279" t="s">
        <v>16740</v>
      </c>
      <c r="AI1279" t="s">
        <v>16741</v>
      </c>
      <c r="AJ1279" t="s">
        <v>16742</v>
      </c>
      <c r="AK1279" t="s">
        <v>16742</v>
      </c>
      <c r="AL1279" t="s">
        <v>16743</v>
      </c>
      <c r="AM1279" t="s">
        <v>69</v>
      </c>
      <c r="AN1279">
        <v>38</v>
      </c>
      <c r="AO1279">
        <v>4</v>
      </c>
      <c r="AP1279">
        <v>4</v>
      </c>
      <c r="AQ1279">
        <v>0</v>
      </c>
      <c r="AR1279">
        <v>5</v>
      </c>
      <c r="AS1279" t="s">
        <v>8636</v>
      </c>
      <c r="AT1279" t="s">
        <v>8637</v>
      </c>
      <c r="AU1279" t="s">
        <v>8638</v>
      </c>
      <c r="AV1279" t="s">
        <v>1644</v>
      </c>
      <c r="AW1279" t="s">
        <v>1645</v>
      </c>
      <c r="AX1279" t="s">
        <v>69</v>
      </c>
      <c r="AY1279" t="s">
        <v>16744</v>
      </c>
      <c r="AZ1279" t="s">
        <v>16745</v>
      </c>
      <c r="BA1279" t="s">
        <v>255</v>
      </c>
      <c r="BB1279">
        <v>2019</v>
      </c>
      <c r="BC1279">
        <v>237</v>
      </c>
      <c r="BD1279" t="s">
        <v>69</v>
      </c>
      <c r="BE1279" t="s">
        <v>69</v>
      </c>
      <c r="BF1279" t="s">
        <v>69</v>
      </c>
      <c r="BG1279" t="s">
        <v>69</v>
      </c>
      <c r="BH1279" t="s">
        <v>69</v>
      </c>
      <c r="BI1279">
        <v>248</v>
      </c>
      <c r="BJ1279">
        <v>252</v>
      </c>
      <c r="BK1279" t="s">
        <v>69</v>
      </c>
      <c r="BL1279" t="s">
        <v>16746</v>
      </c>
      <c r="BM1279" t="str">
        <f>HYPERLINK("http://dx.doi.org/10.1016/j.biocon.2019.07.006","http://dx.doi.org/10.1016/j.biocon.2019.07.006")</f>
        <v>http://dx.doi.org/10.1016/j.biocon.2019.07.006</v>
      </c>
      <c r="BN1279" t="s">
        <v>69</v>
      </c>
      <c r="BO1279" t="s">
        <v>69</v>
      </c>
      <c r="BP1279">
        <v>5</v>
      </c>
      <c r="BQ1279" t="s">
        <v>16747</v>
      </c>
      <c r="BR1279" t="s">
        <v>8523</v>
      </c>
      <c r="BS1279" t="s">
        <v>15452</v>
      </c>
      <c r="BT1279" t="s">
        <v>16748</v>
      </c>
      <c r="BU1279" t="s">
        <v>16749</v>
      </c>
      <c r="BV1279" t="s">
        <v>69</v>
      </c>
      <c r="BW1279" t="s">
        <v>11793</v>
      </c>
      <c r="BX1279" t="s">
        <v>69</v>
      </c>
      <c r="BY1279" t="s">
        <v>69</v>
      </c>
      <c r="BZ1279" t="s">
        <v>8526</v>
      </c>
      <c r="CA1279" t="str">
        <f>HYPERLINK("https%3A%2F%2Fwww.webofscience.com%2Fwos%2Fwoscc%2Ffull-record%2FWOS:000488314700028","View Full Record in Web of Science")</f>
        <v>View Full Record in Web of Science</v>
      </c>
    </row>
    <row r="1280" spans="1:79" ht="12.5" x14ac:dyDescent="0.25">
      <c r="B1280" t="s">
        <v>8495</v>
      </c>
      <c r="D1280" s="22" t="s">
        <v>32931</v>
      </c>
      <c r="E1280" s="7"/>
      <c r="F1280" s="7"/>
      <c r="G1280" s="7"/>
      <c r="H1280" t="s">
        <v>67</v>
      </c>
      <c r="I1280" t="s">
        <v>18089</v>
      </c>
      <c r="J1280" t="s">
        <v>69</v>
      </c>
      <c r="K1280" t="s">
        <v>69</v>
      </c>
      <c r="L1280" t="s">
        <v>69</v>
      </c>
      <c r="M1280" t="s">
        <v>18090</v>
      </c>
      <c r="N1280" t="s">
        <v>69</v>
      </c>
      <c r="O1280" t="s">
        <v>69</v>
      </c>
      <c r="P1280" t="s">
        <v>18091</v>
      </c>
      <c r="Q1280" t="s">
        <v>18092</v>
      </c>
      <c r="R1280" t="s">
        <v>69</v>
      </c>
      <c r="S1280" t="s">
        <v>69</v>
      </c>
      <c r="T1280" t="s">
        <v>8505</v>
      </c>
      <c r="U1280" t="s">
        <v>8506</v>
      </c>
      <c r="V1280" t="s">
        <v>69</v>
      </c>
      <c r="W1280" t="s">
        <v>69</v>
      </c>
      <c r="X1280" t="s">
        <v>69</v>
      </c>
      <c r="Y1280" t="s">
        <v>69</v>
      </c>
      <c r="Z1280" t="s">
        <v>69</v>
      </c>
      <c r="AA1280" t="s">
        <v>18093</v>
      </c>
      <c r="AB1280" t="s">
        <v>18094</v>
      </c>
      <c r="AC1280" t="s">
        <v>18095</v>
      </c>
      <c r="AD1280" t="s">
        <v>18096</v>
      </c>
      <c r="AE1280" t="s">
        <v>69</v>
      </c>
      <c r="AF1280" t="s">
        <v>18097</v>
      </c>
      <c r="AG1280" t="s">
        <v>18098</v>
      </c>
      <c r="AH1280" t="s">
        <v>18099</v>
      </c>
      <c r="AI1280" t="s">
        <v>69</v>
      </c>
      <c r="AJ1280" t="s">
        <v>69</v>
      </c>
      <c r="AK1280" t="s">
        <v>69</v>
      </c>
      <c r="AL1280" t="s">
        <v>69</v>
      </c>
      <c r="AM1280" t="s">
        <v>69</v>
      </c>
      <c r="AN1280">
        <v>54</v>
      </c>
      <c r="AO1280">
        <v>5</v>
      </c>
      <c r="AP1280">
        <v>5</v>
      </c>
      <c r="AQ1280">
        <v>5</v>
      </c>
      <c r="AR1280">
        <v>31</v>
      </c>
      <c r="AS1280" t="s">
        <v>8586</v>
      </c>
      <c r="AT1280" t="s">
        <v>8587</v>
      </c>
      <c r="AU1280" t="s">
        <v>8588</v>
      </c>
      <c r="AV1280" t="s">
        <v>18100</v>
      </c>
      <c r="AW1280" t="s">
        <v>18101</v>
      </c>
      <c r="AX1280" t="s">
        <v>69</v>
      </c>
      <c r="AY1280" t="s">
        <v>18102</v>
      </c>
      <c r="AZ1280" t="s">
        <v>18103</v>
      </c>
      <c r="BA1280" t="s">
        <v>10795</v>
      </c>
      <c r="BB1280">
        <v>2018</v>
      </c>
      <c r="BC1280">
        <v>67</v>
      </c>
      <c r="BD1280">
        <v>9</v>
      </c>
      <c r="BE1280" t="s">
        <v>69</v>
      </c>
      <c r="BF1280" t="s">
        <v>69</v>
      </c>
      <c r="BG1280" t="s">
        <v>69</v>
      </c>
      <c r="BH1280" t="s">
        <v>69</v>
      </c>
      <c r="BI1280">
        <v>1918</v>
      </c>
      <c r="BJ1280">
        <v>1939</v>
      </c>
      <c r="BK1280" t="s">
        <v>69</v>
      </c>
      <c r="BL1280" t="s">
        <v>18104</v>
      </c>
      <c r="BM1280" t="str">
        <f>HYPERLINK("http://dx.doi.org/10.1108/IJPPM-12-2017-0350","http://dx.doi.org/10.1108/IJPPM-12-2017-0350")</f>
        <v>http://dx.doi.org/10.1108/IJPPM-12-2017-0350</v>
      </c>
      <c r="BN1280" t="s">
        <v>69</v>
      </c>
      <c r="BO1280" t="s">
        <v>69</v>
      </c>
      <c r="BP1280">
        <v>22</v>
      </c>
      <c r="BQ1280" t="s">
        <v>9410</v>
      </c>
      <c r="BR1280" t="s">
        <v>8573</v>
      </c>
      <c r="BS1280" t="s">
        <v>8594</v>
      </c>
      <c r="BT1280" t="s">
        <v>18105</v>
      </c>
      <c r="BU1280" t="s">
        <v>18106</v>
      </c>
      <c r="BV1280" t="s">
        <v>69</v>
      </c>
      <c r="BW1280" t="s">
        <v>69</v>
      </c>
      <c r="BX1280" t="s">
        <v>69</v>
      </c>
      <c r="BY1280" t="s">
        <v>69</v>
      </c>
      <c r="BZ1280" t="s">
        <v>8526</v>
      </c>
      <c r="CA1280" t="str">
        <f>HYPERLINK("https%3A%2F%2Fwww.webofscience.com%2Fwos%2Fwoscc%2Ffull-record%2FWOS:000451336200025","View Full Record in Web of Science")</f>
        <v>View Full Record in Web of Science</v>
      </c>
    </row>
    <row r="1281" spans="2:79" ht="12.5" x14ac:dyDescent="0.25">
      <c r="B1281" t="s">
        <v>8495</v>
      </c>
      <c r="D1281" s="7" t="s">
        <v>32933</v>
      </c>
      <c r="E1281" s="7"/>
      <c r="F1281" s="7"/>
      <c r="G1281" s="7"/>
      <c r="H1281" t="s">
        <v>67</v>
      </c>
      <c r="I1281" t="s">
        <v>7742</v>
      </c>
      <c r="J1281" t="s">
        <v>69</v>
      </c>
      <c r="K1281" t="s">
        <v>69</v>
      </c>
      <c r="L1281" t="s">
        <v>69</v>
      </c>
      <c r="M1281" t="s">
        <v>7743</v>
      </c>
      <c r="N1281" t="s">
        <v>69</v>
      </c>
      <c r="O1281" t="s">
        <v>7744</v>
      </c>
      <c r="P1281" t="s">
        <v>7745</v>
      </c>
      <c r="Q1281" t="s">
        <v>7746</v>
      </c>
      <c r="R1281" t="s">
        <v>69</v>
      </c>
      <c r="S1281" t="s">
        <v>69</v>
      </c>
      <c r="T1281" t="s">
        <v>8505</v>
      </c>
      <c r="U1281" t="s">
        <v>8506</v>
      </c>
      <c r="V1281" t="s">
        <v>69</v>
      </c>
      <c r="W1281" t="s">
        <v>69</v>
      </c>
      <c r="X1281" t="s">
        <v>69</v>
      </c>
      <c r="Y1281" t="s">
        <v>69</v>
      </c>
      <c r="Z1281" t="s">
        <v>69</v>
      </c>
      <c r="AA1281" t="s">
        <v>28545</v>
      </c>
      <c r="AB1281" t="s">
        <v>28546</v>
      </c>
      <c r="AC1281" t="s">
        <v>7747</v>
      </c>
      <c r="AD1281" t="s">
        <v>28547</v>
      </c>
      <c r="AE1281" t="s">
        <v>69</v>
      </c>
      <c r="AF1281" t="s">
        <v>28548</v>
      </c>
      <c r="AG1281" t="s">
        <v>28549</v>
      </c>
      <c r="AH1281" t="s">
        <v>69</v>
      </c>
      <c r="AI1281" t="s">
        <v>69</v>
      </c>
      <c r="AJ1281" t="s">
        <v>69</v>
      </c>
      <c r="AK1281" t="s">
        <v>69</v>
      </c>
      <c r="AL1281" t="s">
        <v>69</v>
      </c>
      <c r="AM1281" t="s">
        <v>69</v>
      </c>
      <c r="AN1281">
        <v>38</v>
      </c>
      <c r="AO1281">
        <v>41</v>
      </c>
      <c r="AP1281">
        <v>42</v>
      </c>
      <c r="AQ1281">
        <v>0</v>
      </c>
      <c r="AR1281">
        <v>13</v>
      </c>
      <c r="AS1281" t="s">
        <v>10352</v>
      </c>
      <c r="AT1281" t="s">
        <v>8637</v>
      </c>
      <c r="AU1281" t="s">
        <v>10353</v>
      </c>
      <c r="AV1281" t="s">
        <v>7748</v>
      </c>
      <c r="AW1281" t="s">
        <v>7749</v>
      </c>
      <c r="AX1281" t="s">
        <v>69</v>
      </c>
      <c r="AY1281" t="s">
        <v>28550</v>
      </c>
      <c r="AZ1281" t="s">
        <v>28551</v>
      </c>
      <c r="BA1281" t="s">
        <v>94</v>
      </c>
      <c r="BB1281">
        <v>2009</v>
      </c>
      <c r="BC1281">
        <v>24</v>
      </c>
      <c r="BD1281">
        <v>2</v>
      </c>
      <c r="BE1281" t="s">
        <v>69</v>
      </c>
      <c r="BF1281" t="s">
        <v>69</v>
      </c>
      <c r="BG1281" t="s">
        <v>69</v>
      </c>
      <c r="BH1281" t="s">
        <v>69</v>
      </c>
      <c r="BI1281">
        <v>127</v>
      </c>
      <c r="BJ1281">
        <v>135</v>
      </c>
      <c r="BK1281" t="s">
        <v>69</v>
      </c>
      <c r="BL1281" t="s">
        <v>7750</v>
      </c>
      <c r="BM1281" t="str">
        <f>HYPERLINK("http://dx.doi.org/10.1093/arclin/acp016","http://dx.doi.org/10.1093/arclin/acp016")</f>
        <v>http://dx.doi.org/10.1093/arclin/acp016</v>
      </c>
      <c r="BN1281" t="s">
        <v>69</v>
      </c>
      <c r="BO1281" t="s">
        <v>69</v>
      </c>
      <c r="BP1281">
        <v>9</v>
      </c>
      <c r="BQ1281" t="s">
        <v>28552</v>
      </c>
      <c r="BR1281" t="s">
        <v>8523</v>
      </c>
      <c r="BS1281" t="s">
        <v>9001</v>
      </c>
      <c r="BT1281" t="s">
        <v>28553</v>
      </c>
      <c r="BU1281" t="s">
        <v>7751</v>
      </c>
      <c r="BV1281">
        <v>19395349</v>
      </c>
      <c r="BW1281" t="s">
        <v>9374</v>
      </c>
      <c r="BX1281" t="s">
        <v>69</v>
      </c>
      <c r="BY1281" t="s">
        <v>69</v>
      </c>
      <c r="BZ1281" t="s">
        <v>8526</v>
      </c>
      <c r="CA1281" t="str">
        <f>HYPERLINK("https%3A%2F%2Fwww.webofscience.com%2Fwos%2Fwoscc%2Ffull-record%2FWOS:000266705500001","View Full Record in Web of Science")</f>
        <v>View Full Record in Web of Science</v>
      </c>
    </row>
    <row r="1282" spans="2:79" ht="12.5" x14ac:dyDescent="0.25">
      <c r="B1282" t="s">
        <v>8495</v>
      </c>
      <c r="D1282" s="22" t="s">
        <v>32931</v>
      </c>
      <c r="E1282" s="7"/>
      <c r="F1282" s="7"/>
      <c r="G1282" s="7"/>
      <c r="H1282" t="s">
        <v>67</v>
      </c>
      <c r="I1282" t="s">
        <v>30023</v>
      </c>
      <c r="J1282" t="s">
        <v>69</v>
      </c>
      <c r="K1282" t="s">
        <v>69</v>
      </c>
      <c r="L1282" t="s">
        <v>69</v>
      </c>
      <c r="M1282" t="s">
        <v>30024</v>
      </c>
      <c r="N1282" t="s">
        <v>69</v>
      </c>
      <c r="O1282" t="s">
        <v>69</v>
      </c>
      <c r="P1282" t="s">
        <v>30025</v>
      </c>
      <c r="Q1282" t="s">
        <v>30026</v>
      </c>
      <c r="R1282" t="s">
        <v>69</v>
      </c>
      <c r="S1282" t="s">
        <v>69</v>
      </c>
      <c r="T1282" t="s">
        <v>9357</v>
      </c>
      <c r="U1282" t="s">
        <v>8506</v>
      </c>
      <c r="V1282" t="s">
        <v>69</v>
      </c>
      <c r="W1282" t="s">
        <v>69</v>
      </c>
      <c r="X1282" t="s">
        <v>69</v>
      </c>
      <c r="Y1282" t="s">
        <v>69</v>
      </c>
      <c r="Z1282" t="s">
        <v>69</v>
      </c>
      <c r="AA1282" t="s">
        <v>30027</v>
      </c>
      <c r="AB1282" t="s">
        <v>69</v>
      </c>
      <c r="AC1282" t="s">
        <v>30028</v>
      </c>
      <c r="AD1282" t="s">
        <v>30029</v>
      </c>
      <c r="AE1282" t="s">
        <v>69</v>
      </c>
      <c r="AF1282" t="s">
        <v>30030</v>
      </c>
      <c r="AG1282" t="s">
        <v>30031</v>
      </c>
      <c r="AH1282" t="s">
        <v>69</v>
      </c>
      <c r="AI1282" t="s">
        <v>69</v>
      </c>
      <c r="AJ1282" t="s">
        <v>69</v>
      </c>
      <c r="AK1282" t="s">
        <v>69</v>
      </c>
      <c r="AL1282" t="s">
        <v>69</v>
      </c>
      <c r="AM1282" t="s">
        <v>69</v>
      </c>
      <c r="AN1282">
        <v>0</v>
      </c>
      <c r="AO1282">
        <v>1</v>
      </c>
      <c r="AP1282">
        <v>1</v>
      </c>
      <c r="AQ1282">
        <v>0</v>
      </c>
      <c r="AR1282">
        <v>1</v>
      </c>
      <c r="AS1282" t="s">
        <v>30032</v>
      </c>
      <c r="AT1282" t="s">
        <v>30033</v>
      </c>
      <c r="AU1282" t="s">
        <v>30034</v>
      </c>
      <c r="AV1282" t="s">
        <v>30035</v>
      </c>
      <c r="AW1282" t="s">
        <v>30036</v>
      </c>
      <c r="AX1282" t="s">
        <v>69</v>
      </c>
      <c r="AY1282" t="s">
        <v>30037</v>
      </c>
      <c r="AZ1282" t="s">
        <v>30038</v>
      </c>
      <c r="BA1282" t="s">
        <v>69</v>
      </c>
      <c r="BB1282">
        <v>2007</v>
      </c>
      <c r="BC1282">
        <v>2</v>
      </c>
      <c r="BD1282" t="s">
        <v>69</v>
      </c>
      <c r="BE1282" t="s">
        <v>69</v>
      </c>
      <c r="BF1282" t="s">
        <v>69</v>
      </c>
      <c r="BG1282" t="s">
        <v>69</v>
      </c>
      <c r="BH1282" t="s">
        <v>69</v>
      </c>
      <c r="BI1282">
        <v>101</v>
      </c>
      <c r="BJ1282">
        <v>110</v>
      </c>
      <c r="BK1282" t="s">
        <v>69</v>
      </c>
      <c r="BL1282" t="s">
        <v>69</v>
      </c>
      <c r="BM1282" t="s">
        <v>69</v>
      </c>
      <c r="BN1282" t="s">
        <v>69</v>
      </c>
      <c r="BO1282" t="s">
        <v>69</v>
      </c>
      <c r="BP1282">
        <v>10</v>
      </c>
      <c r="BQ1282" t="s">
        <v>9290</v>
      </c>
      <c r="BR1282" t="s">
        <v>8573</v>
      </c>
      <c r="BS1282" t="s">
        <v>9290</v>
      </c>
      <c r="BT1282" t="s">
        <v>30039</v>
      </c>
      <c r="BU1282" t="s">
        <v>30040</v>
      </c>
      <c r="BV1282" t="s">
        <v>69</v>
      </c>
      <c r="BW1282" t="s">
        <v>69</v>
      </c>
      <c r="BX1282" t="s">
        <v>69</v>
      </c>
      <c r="BY1282" t="s">
        <v>69</v>
      </c>
      <c r="BZ1282" t="s">
        <v>8526</v>
      </c>
      <c r="CA1282" t="str">
        <f>HYPERLINK("https%3A%2F%2Fwww.webofscience.com%2Fwos%2Fwoscc%2Ffull-record%2FWOS:000453455700015","View Full Record in Web of Science")</f>
        <v>View Full Record in Web of Science</v>
      </c>
    </row>
    <row r="1283" spans="2:79" ht="12.5" x14ac:dyDescent="0.25">
      <c r="B1283" t="s">
        <v>8495</v>
      </c>
      <c r="D1283" s="7" t="s">
        <v>32933</v>
      </c>
      <c r="E1283" s="7"/>
      <c r="F1283" s="7"/>
      <c r="G1283" s="7"/>
      <c r="H1283" t="s">
        <v>67</v>
      </c>
      <c r="I1283" t="s">
        <v>3375</v>
      </c>
      <c r="J1283" t="s">
        <v>69</v>
      </c>
      <c r="K1283" t="s">
        <v>69</v>
      </c>
      <c r="L1283" t="s">
        <v>69</v>
      </c>
      <c r="M1283" t="s">
        <v>3376</v>
      </c>
      <c r="N1283" t="s">
        <v>69</v>
      </c>
      <c r="O1283" t="s">
        <v>69</v>
      </c>
      <c r="P1283" t="s">
        <v>3377</v>
      </c>
      <c r="Q1283" t="s">
        <v>3378</v>
      </c>
      <c r="R1283" t="s">
        <v>69</v>
      </c>
      <c r="S1283" t="s">
        <v>69</v>
      </c>
      <c r="T1283" t="s">
        <v>8505</v>
      </c>
      <c r="U1283" t="s">
        <v>8506</v>
      </c>
      <c r="V1283" t="s">
        <v>69</v>
      </c>
      <c r="W1283" t="s">
        <v>69</v>
      </c>
      <c r="X1283" t="s">
        <v>69</v>
      </c>
      <c r="Y1283" t="s">
        <v>69</v>
      </c>
      <c r="Z1283" t="s">
        <v>69</v>
      </c>
      <c r="AA1283" t="s">
        <v>69</v>
      </c>
      <c r="AB1283" t="s">
        <v>25867</v>
      </c>
      <c r="AC1283" t="s">
        <v>3379</v>
      </c>
      <c r="AD1283" t="s">
        <v>25868</v>
      </c>
      <c r="AE1283" t="s">
        <v>69</v>
      </c>
      <c r="AF1283" t="s">
        <v>25869</v>
      </c>
      <c r="AG1283" t="s">
        <v>25870</v>
      </c>
      <c r="AH1283" t="s">
        <v>69</v>
      </c>
      <c r="AI1283" t="s">
        <v>69</v>
      </c>
      <c r="AJ1283" t="s">
        <v>25871</v>
      </c>
      <c r="AK1283" t="s">
        <v>25871</v>
      </c>
      <c r="AL1283" t="s">
        <v>25872</v>
      </c>
      <c r="AM1283" t="s">
        <v>69</v>
      </c>
      <c r="AN1283">
        <v>92</v>
      </c>
      <c r="AO1283">
        <v>23</v>
      </c>
      <c r="AP1283">
        <v>23</v>
      </c>
      <c r="AQ1283">
        <v>0</v>
      </c>
      <c r="AR1283">
        <v>25</v>
      </c>
      <c r="AS1283" t="s">
        <v>25873</v>
      </c>
      <c r="AT1283" t="s">
        <v>8735</v>
      </c>
      <c r="AU1283" t="s">
        <v>25874</v>
      </c>
      <c r="AV1283" t="s">
        <v>3380</v>
      </c>
      <c r="AW1283" t="s">
        <v>3381</v>
      </c>
      <c r="AX1283" t="s">
        <v>69</v>
      </c>
      <c r="AY1283" t="s">
        <v>25875</v>
      </c>
      <c r="AZ1283" t="s">
        <v>25876</v>
      </c>
      <c r="BA1283" t="s">
        <v>201</v>
      </c>
      <c r="BB1283">
        <v>2012</v>
      </c>
      <c r="BC1283">
        <v>63</v>
      </c>
      <c r="BD1283">
        <v>8</v>
      </c>
      <c r="BE1283" t="s">
        <v>69</v>
      </c>
      <c r="BF1283" t="s">
        <v>69</v>
      </c>
      <c r="BG1283" t="s">
        <v>69</v>
      </c>
      <c r="BH1283" t="s">
        <v>69</v>
      </c>
      <c r="BI1283">
        <v>743</v>
      </c>
      <c r="BJ1283">
        <v>750</v>
      </c>
      <c r="BK1283" t="s">
        <v>69</v>
      </c>
      <c r="BL1283" t="s">
        <v>3382</v>
      </c>
      <c r="BM1283" t="str">
        <f>HYPERLINK("http://dx.doi.org/10.1176/appi.ps.201100015","http://dx.doi.org/10.1176/appi.ps.201100015")</f>
        <v>http://dx.doi.org/10.1176/appi.ps.201100015</v>
      </c>
      <c r="BN1283" t="s">
        <v>69</v>
      </c>
      <c r="BO1283" t="s">
        <v>69</v>
      </c>
      <c r="BP1283">
        <v>8</v>
      </c>
      <c r="BQ1283" t="s">
        <v>25877</v>
      </c>
      <c r="BR1283" t="s">
        <v>8523</v>
      </c>
      <c r="BS1283" t="s">
        <v>25878</v>
      </c>
      <c r="BT1283" t="s">
        <v>25879</v>
      </c>
      <c r="BU1283" t="s">
        <v>3383</v>
      </c>
      <c r="BV1283">
        <v>22508406</v>
      </c>
      <c r="BW1283" t="s">
        <v>69</v>
      </c>
      <c r="BX1283" t="s">
        <v>69</v>
      </c>
      <c r="BY1283" t="s">
        <v>69</v>
      </c>
      <c r="BZ1283" t="s">
        <v>8526</v>
      </c>
      <c r="CA1283" t="str">
        <f>HYPERLINK("https%3A%2F%2Fwww.webofscience.com%2Fwos%2Fwoscc%2Ffull-record%2FWOS:000307204600003","View Full Record in Web of Science")</f>
        <v>View Full Record in Web of Science</v>
      </c>
    </row>
    <row r="1284" spans="2:79" ht="12.5" x14ac:dyDescent="0.25">
      <c r="B1284" t="s">
        <v>8495</v>
      </c>
      <c r="D1284" s="7" t="s">
        <v>32933</v>
      </c>
      <c r="E1284" s="7"/>
      <c r="F1284" s="7"/>
      <c r="G1284" s="7"/>
      <c r="H1284" t="s">
        <v>67</v>
      </c>
      <c r="I1284" t="s">
        <v>5422</v>
      </c>
      <c r="J1284" t="s">
        <v>69</v>
      </c>
      <c r="K1284" t="s">
        <v>69</v>
      </c>
      <c r="L1284" t="s">
        <v>69</v>
      </c>
      <c r="M1284" t="s">
        <v>5423</v>
      </c>
      <c r="N1284" t="s">
        <v>69</v>
      </c>
      <c r="O1284" t="s">
        <v>69</v>
      </c>
      <c r="P1284" t="s">
        <v>5424</v>
      </c>
      <c r="Q1284" t="s">
        <v>5425</v>
      </c>
      <c r="R1284" t="s">
        <v>69</v>
      </c>
      <c r="S1284" t="s">
        <v>69</v>
      </c>
      <c r="T1284" t="s">
        <v>8505</v>
      </c>
      <c r="U1284" t="s">
        <v>8506</v>
      </c>
      <c r="V1284" t="s">
        <v>69</v>
      </c>
      <c r="W1284" t="s">
        <v>69</v>
      </c>
      <c r="X1284" t="s">
        <v>69</v>
      </c>
      <c r="Y1284" t="s">
        <v>69</v>
      </c>
      <c r="Z1284" t="s">
        <v>69</v>
      </c>
      <c r="AA1284" t="s">
        <v>21460</v>
      </c>
      <c r="AB1284" t="s">
        <v>69</v>
      </c>
      <c r="AC1284" t="s">
        <v>5426</v>
      </c>
      <c r="AD1284" t="s">
        <v>21461</v>
      </c>
      <c r="AE1284" t="s">
        <v>69</v>
      </c>
      <c r="AF1284" t="s">
        <v>21462</v>
      </c>
      <c r="AG1284" t="s">
        <v>21463</v>
      </c>
      <c r="AH1284" t="s">
        <v>69</v>
      </c>
      <c r="AI1284" t="s">
        <v>69</v>
      </c>
      <c r="AJ1284" t="s">
        <v>21464</v>
      </c>
      <c r="AK1284" t="s">
        <v>9925</v>
      </c>
      <c r="AL1284" t="s">
        <v>21465</v>
      </c>
      <c r="AM1284" t="s">
        <v>69</v>
      </c>
      <c r="AN1284">
        <v>115</v>
      </c>
      <c r="AO1284">
        <v>6</v>
      </c>
      <c r="AP1284">
        <v>7</v>
      </c>
      <c r="AQ1284">
        <v>2</v>
      </c>
      <c r="AR1284">
        <v>62</v>
      </c>
      <c r="AS1284" t="s">
        <v>21466</v>
      </c>
      <c r="AT1284" t="s">
        <v>21467</v>
      </c>
      <c r="AU1284" t="s">
        <v>21468</v>
      </c>
      <c r="AV1284" t="s">
        <v>5427</v>
      </c>
      <c r="AW1284" t="s">
        <v>5428</v>
      </c>
      <c r="AX1284" t="s">
        <v>69</v>
      </c>
      <c r="AY1284" t="s">
        <v>21469</v>
      </c>
      <c r="AZ1284" t="s">
        <v>21470</v>
      </c>
      <c r="BA1284" t="s">
        <v>201</v>
      </c>
      <c r="BB1284">
        <v>2016</v>
      </c>
      <c r="BC1284">
        <v>26</v>
      </c>
      <c r="BD1284">
        <v>8</v>
      </c>
      <c r="BE1284" t="s">
        <v>69</v>
      </c>
      <c r="BF1284" t="s">
        <v>69</v>
      </c>
      <c r="BG1284" t="s">
        <v>69</v>
      </c>
      <c r="BH1284" t="s">
        <v>69</v>
      </c>
      <c r="BI1284">
        <v>1019</v>
      </c>
      <c r="BJ1284">
        <v>1040</v>
      </c>
      <c r="BK1284" t="s">
        <v>69</v>
      </c>
      <c r="BL1284" t="s">
        <v>5429</v>
      </c>
      <c r="BM1284" t="str">
        <f>HYPERLINK("http://dx.doi.org/10.1007/s11442-016-1313-0","http://dx.doi.org/10.1007/s11442-016-1313-0")</f>
        <v>http://dx.doi.org/10.1007/s11442-016-1313-0</v>
      </c>
      <c r="BN1284" t="s">
        <v>69</v>
      </c>
      <c r="BO1284" t="s">
        <v>69</v>
      </c>
      <c r="BP1284">
        <v>22</v>
      </c>
      <c r="BQ1284" t="s">
        <v>21471</v>
      </c>
      <c r="BR1284" t="s">
        <v>8548</v>
      </c>
      <c r="BS1284" t="s">
        <v>21472</v>
      </c>
      <c r="BT1284" t="s">
        <v>21473</v>
      </c>
      <c r="BU1284" t="s">
        <v>5430</v>
      </c>
      <c r="BV1284" t="s">
        <v>69</v>
      </c>
      <c r="BW1284" t="s">
        <v>10423</v>
      </c>
      <c r="BX1284" t="s">
        <v>69</v>
      </c>
      <c r="BY1284" t="s">
        <v>69</v>
      </c>
      <c r="BZ1284" t="s">
        <v>8526</v>
      </c>
      <c r="CA1284" t="str">
        <f>HYPERLINK("https%3A%2F%2Fwww.webofscience.com%2Fwos%2Fwoscc%2Ffull-record%2FWOS:000379342100003","View Full Record in Web of Science")</f>
        <v>View Full Record in Web of Science</v>
      </c>
    </row>
    <row r="1285" spans="2:79" ht="12.5" x14ac:dyDescent="0.25">
      <c r="B1285" t="s">
        <v>8495</v>
      </c>
      <c r="D1285" s="7" t="s">
        <v>32933</v>
      </c>
      <c r="E1285" s="7"/>
      <c r="F1285" s="7"/>
      <c r="G1285" s="7"/>
      <c r="H1285" t="s">
        <v>67</v>
      </c>
      <c r="I1285" t="s">
        <v>675</v>
      </c>
      <c r="J1285" t="s">
        <v>69</v>
      </c>
      <c r="K1285" t="s">
        <v>69</v>
      </c>
      <c r="L1285" t="s">
        <v>69</v>
      </c>
      <c r="M1285" t="s">
        <v>676</v>
      </c>
      <c r="N1285" t="s">
        <v>69</v>
      </c>
      <c r="O1285" t="s">
        <v>69</v>
      </c>
      <c r="P1285" t="s">
        <v>677</v>
      </c>
      <c r="Q1285" t="s">
        <v>678</v>
      </c>
      <c r="R1285" t="s">
        <v>69</v>
      </c>
      <c r="S1285" t="s">
        <v>69</v>
      </c>
      <c r="T1285" t="s">
        <v>8505</v>
      </c>
      <c r="U1285" t="s">
        <v>8506</v>
      </c>
      <c r="V1285" t="s">
        <v>69</v>
      </c>
      <c r="W1285" t="s">
        <v>69</v>
      </c>
      <c r="X1285" t="s">
        <v>69</v>
      </c>
      <c r="Y1285" t="s">
        <v>69</v>
      </c>
      <c r="Z1285" t="s">
        <v>69</v>
      </c>
      <c r="AA1285" t="s">
        <v>14304</v>
      </c>
      <c r="AB1285" t="s">
        <v>14305</v>
      </c>
      <c r="AC1285" t="s">
        <v>679</v>
      </c>
      <c r="AD1285" t="s">
        <v>14306</v>
      </c>
      <c r="AE1285" t="s">
        <v>69</v>
      </c>
      <c r="AF1285" t="s">
        <v>14307</v>
      </c>
      <c r="AG1285" t="s">
        <v>14308</v>
      </c>
      <c r="AH1285" t="s">
        <v>69</v>
      </c>
      <c r="AI1285" t="s">
        <v>69</v>
      </c>
      <c r="AJ1285" t="s">
        <v>69</v>
      </c>
      <c r="AK1285" t="s">
        <v>69</v>
      </c>
      <c r="AL1285" t="s">
        <v>69</v>
      </c>
      <c r="AM1285" t="s">
        <v>69</v>
      </c>
      <c r="AN1285">
        <v>74</v>
      </c>
      <c r="AO1285">
        <v>3</v>
      </c>
      <c r="AP1285">
        <v>3</v>
      </c>
      <c r="AQ1285">
        <v>1</v>
      </c>
      <c r="AR1285">
        <v>14</v>
      </c>
      <c r="AS1285" t="s">
        <v>8586</v>
      </c>
      <c r="AT1285" t="s">
        <v>8587</v>
      </c>
      <c r="AU1285" t="s">
        <v>8588</v>
      </c>
      <c r="AV1285" t="s">
        <v>680</v>
      </c>
      <c r="AW1285" t="s">
        <v>681</v>
      </c>
      <c r="AX1285" t="s">
        <v>69</v>
      </c>
      <c r="AY1285" t="s">
        <v>14309</v>
      </c>
      <c r="AZ1285" t="s">
        <v>14310</v>
      </c>
      <c r="BA1285" t="s">
        <v>14311</v>
      </c>
      <c r="BB1285">
        <v>2021</v>
      </c>
      <c r="BC1285">
        <v>14</v>
      </c>
      <c r="BD1285">
        <v>3</v>
      </c>
      <c r="BE1285" t="s">
        <v>69</v>
      </c>
      <c r="BF1285" t="s">
        <v>69</v>
      </c>
      <c r="BG1285" t="s">
        <v>69</v>
      </c>
      <c r="BH1285" t="s">
        <v>69</v>
      </c>
      <c r="BI1285">
        <v>767</v>
      </c>
      <c r="BJ1285">
        <v>787</v>
      </c>
      <c r="BK1285" t="s">
        <v>69</v>
      </c>
      <c r="BL1285" t="s">
        <v>682</v>
      </c>
      <c r="BM1285" t="str">
        <f>HYPERLINK("http://dx.doi.org/10.1108/IJMPB-03-2020-0087","http://dx.doi.org/10.1108/IJMPB-03-2020-0087")</f>
        <v>http://dx.doi.org/10.1108/IJMPB-03-2020-0087</v>
      </c>
      <c r="BN1285" t="s">
        <v>69</v>
      </c>
      <c r="BO1285" t="s">
        <v>683</v>
      </c>
      <c r="BP1285">
        <v>21</v>
      </c>
      <c r="BQ1285" t="s">
        <v>8791</v>
      </c>
      <c r="BR1285" t="s">
        <v>8661</v>
      </c>
      <c r="BS1285" t="s">
        <v>8594</v>
      </c>
      <c r="BT1285" t="s">
        <v>14312</v>
      </c>
      <c r="BU1285" t="s">
        <v>684</v>
      </c>
      <c r="BV1285" t="s">
        <v>69</v>
      </c>
      <c r="BW1285" t="s">
        <v>69</v>
      </c>
      <c r="BX1285" t="s">
        <v>69</v>
      </c>
      <c r="BY1285" t="s">
        <v>69</v>
      </c>
      <c r="BZ1285" t="s">
        <v>8526</v>
      </c>
      <c r="CA1285" t="str">
        <f>HYPERLINK("https%3A%2F%2Fwww.webofscience.com%2Fwos%2Fwoscc%2Ffull-record%2FWOS:000568048500001","View Full Record in Web of Science")</f>
        <v>View Full Record in Web of Science</v>
      </c>
    </row>
    <row r="1286" spans="2:79" x14ac:dyDescent="0.3">
      <c r="B1286" t="s">
        <v>8495</v>
      </c>
      <c r="D1286" s="9" t="s">
        <v>32954</v>
      </c>
      <c r="G1286" s="9" t="s">
        <v>33053</v>
      </c>
      <c r="H1286" t="s">
        <v>67</v>
      </c>
      <c r="I1286" t="s">
        <v>31839</v>
      </c>
      <c r="J1286" t="s">
        <v>69</v>
      </c>
      <c r="K1286" t="s">
        <v>69</v>
      </c>
      <c r="L1286" t="s">
        <v>69</v>
      </c>
      <c r="M1286" t="s">
        <v>31839</v>
      </c>
      <c r="N1286" t="s">
        <v>69</v>
      </c>
      <c r="O1286" t="s">
        <v>69</v>
      </c>
      <c r="P1286" t="s">
        <v>31840</v>
      </c>
      <c r="Q1286" t="s">
        <v>31841</v>
      </c>
      <c r="R1286" t="s">
        <v>69</v>
      </c>
      <c r="S1286" t="s">
        <v>69</v>
      </c>
      <c r="T1286" t="s">
        <v>8505</v>
      </c>
      <c r="U1286" t="s">
        <v>8506</v>
      </c>
      <c r="V1286" t="s">
        <v>69</v>
      </c>
      <c r="W1286" t="s">
        <v>69</v>
      </c>
      <c r="X1286" t="s">
        <v>69</v>
      </c>
      <c r="Y1286" t="s">
        <v>69</v>
      </c>
      <c r="Z1286" t="s">
        <v>69</v>
      </c>
      <c r="AA1286" t="s">
        <v>31842</v>
      </c>
      <c r="AB1286" t="s">
        <v>69</v>
      </c>
      <c r="AC1286" t="s">
        <v>31843</v>
      </c>
      <c r="AD1286" t="s">
        <v>69</v>
      </c>
      <c r="AE1286" t="s">
        <v>69</v>
      </c>
      <c r="AF1286" t="s">
        <v>69</v>
      </c>
      <c r="AG1286" t="s">
        <v>69</v>
      </c>
      <c r="AH1286" t="s">
        <v>69</v>
      </c>
      <c r="AI1286" t="s">
        <v>69</v>
      </c>
      <c r="AJ1286" t="s">
        <v>69</v>
      </c>
      <c r="AK1286" t="s">
        <v>69</v>
      </c>
      <c r="AL1286" t="s">
        <v>69</v>
      </c>
      <c r="AM1286" t="s">
        <v>69</v>
      </c>
      <c r="AN1286">
        <v>0</v>
      </c>
      <c r="AO1286">
        <v>0</v>
      </c>
      <c r="AP1286">
        <v>1</v>
      </c>
      <c r="AQ1286">
        <v>0</v>
      </c>
      <c r="AR1286">
        <v>0</v>
      </c>
      <c r="AS1286" t="s">
        <v>31418</v>
      </c>
      <c r="AT1286" t="s">
        <v>8763</v>
      </c>
      <c r="AU1286" t="s">
        <v>31844</v>
      </c>
      <c r="AV1286" t="s">
        <v>31845</v>
      </c>
      <c r="AW1286" t="s">
        <v>69</v>
      </c>
      <c r="AX1286" t="s">
        <v>69</v>
      </c>
      <c r="AY1286" t="s">
        <v>31846</v>
      </c>
      <c r="AZ1286" t="s">
        <v>31847</v>
      </c>
      <c r="BA1286" t="s">
        <v>586</v>
      </c>
      <c r="BB1286">
        <v>2000</v>
      </c>
      <c r="BC1286">
        <v>138</v>
      </c>
      <c r="BD1286" t="s">
        <v>69</v>
      </c>
      <c r="BE1286" t="s">
        <v>69</v>
      </c>
      <c r="BF1286" t="s">
        <v>69</v>
      </c>
      <c r="BG1286">
        <v>1</v>
      </c>
      <c r="BH1286" t="s">
        <v>69</v>
      </c>
      <c r="BI1286">
        <v>19</v>
      </c>
      <c r="BJ1286">
        <v>23</v>
      </c>
      <c r="BK1286" t="s">
        <v>69</v>
      </c>
      <c r="BL1286" t="s">
        <v>31848</v>
      </c>
      <c r="BM1286" t="str">
        <f>HYPERLINK("http://dx.doi.org/10.1680/cien.2000.138.5.19","http://dx.doi.org/10.1680/cien.2000.138.5.19")</f>
        <v>http://dx.doi.org/10.1680/cien.2000.138.5.19</v>
      </c>
      <c r="BN1286" t="s">
        <v>69</v>
      </c>
      <c r="BO1286" t="s">
        <v>69</v>
      </c>
      <c r="BP1286">
        <v>5</v>
      </c>
      <c r="BQ1286" t="s">
        <v>13537</v>
      </c>
      <c r="BR1286" t="s">
        <v>8548</v>
      </c>
      <c r="BS1286" t="s">
        <v>8445</v>
      </c>
      <c r="BT1286" t="s">
        <v>31849</v>
      </c>
      <c r="BU1286" t="s">
        <v>31850</v>
      </c>
      <c r="BV1286" t="s">
        <v>69</v>
      </c>
      <c r="BW1286" t="s">
        <v>69</v>
      </c>
      <c r="BX1286" t="s">
        <v>69</v>
      </c>
      <c r="BY1286" t="s">
        <v>69</v>
      </c>
      <c r="BZ1286" t="s">
        <v>8526</v>
      </c>
      <c r="CA1286" t="str">
        <f>HYPERLINK("https%3A%2F%2Fwww.webofscience.com%2Fwos%2Fwoscc%2Ffull-record%2FWOS:000087095200005","View Full Record in Web of Science")</f>
        <v>View Full Record in Web of Science</v>
      </c>
    </row>
    <row r="1287" spans="2:79" ht="12.5" x14ac:dyDescent="0.25">
      <c r="B1287" t="s">
        <v>8495</v>
      </c>
      <c r="D1287" s="22" t="s">
        <v>32931</v>
      </c>
      <c r="E1287" s="7"/>
      <c r="F1287" s="7"/>
      <c r="G1287" s="7"/>
      <c r="H1287" t="s">
        <v>67</v>
      </c>
      <c r="I1287" t="s">
        <v>11756</v>
      </c>
      <c r="J1287" t="s">
        <v>69</v>
      </c>
      <c r="K1287" t="s">
        <v>69</v>
      </c>
      <c r="L1287" t="s">
        <v>69</v>
      </c>
      <c r="M1287" t="s">
        <v>11757</v>
      </c>
      <c r="N1287" t="s">
        <v>69</v>
      </c>
      <c r="O1287" t="s">
        <v>69</v>
      </c>
      <c r="P1287" t="s">
        <v>11758</v>
      </c>
      <c r="Q1287" t="s">
        <v>11759</v>
      </c>
      <c r="R1287" t="s">
        <v>69</v>
      </c>
      <c r="S1287" t="s">
        <v>69</v>
      </c>
      <c r="T1287" t="s">
        <v>8505</v>
      </c>
      <c r="U1287" t="s">
        <v>8506</v>
      </c>
      <c r="V1287" t="s">
        <v>69</v>
      </c>
      <c r="W1287" t="s">
        <v>69</v>
      </c>
      <c r="X1287" t="s">
        <v>69</v>
      </c>
      <c r="Y1287" t="s">
        <v>69</v>
      </c>
      <c r="Z1287" t="s">
        <v>69</v>
      </c>
      <c r="AA1287" t="s">
        <v>11760</v>
      </c>
      <c r="AB1287" t="s">
        <v>11761</v>
      </c>
      <c r="AC1287" t="s">
        <v>11762</v>
      </c>
      <c r="AD1287" t="s">
        <v>11763</v>
      </c>
      <c r="AE1287" t="s">
        <v>69</v>
      </c>
      <c r="AF1287" t="s">
        <v>11764</v>
      </c>
      <c r="AG1287" t="s">
        <v>11765</v>
      </c>
      <c r="AH1287" t="s">
        <v>69</v>
      </c>
      <c r="AI1287" t="s">
        <v>69</v>
      </c>
      <c r="AJ1287" t="s">
        <v>69</v>
      </c>
      <c r="AK1287" t="s">
        <v>69</v>
      </c>
      <c r="AL1287" t="s">
        <v>69</v>
      </c>
      <c r="AM1287" t="s">
        <v>69</v>
      </c>
      <c r="AN1287">
        <v>58</v>
      </c>
      <c r="AO1287">
        <v>3</v>
      </c>
      <c r="AP1287">
        <v>3</v>
      </c>
      <c r="AQ1287">
        <v>2</v>
      </c>
      <c r="AR1287">
        <v>8</v>
      </c>
      <c r="AS1287" t="s">
        <v>8539</v>
      </c>
      <c r="AT1287" t="s">
        <v>8540</v>
      </c>
      <c r="AU1287" t="s">
        <v>8541</v>
      </c>
      <c r="AV1287" t="s">
        <v>11766</v>
      </c>
      <c r="AW1287" t="s">
        <v>11767</v>
      </c>
      <c r="AX1287" t="s">
        <v>69</v>
      </c>
      <c r="AY1287" t="s">
        <v>11768</v>
      </c>
      <c r="AZ1287" t="s">
        <v>11769</v>
      </c>
      <c r="BA1287" t="s">
        <v>3297</v>
      </c>
      <c r="BB1287">
        <v>2021</v>
      </c>
      <c r="BC1287">
        <v>35</v>
      </c>
      <c r="BD1287">
        <v>4</v>
      </c>
      <c r="BE1287" t="s">
        <v>69</v>
      </c>
      <c r="BF1287" t="s">
        <v>69</v>
      </c>
      <c r="BG1287" t="s">
        <v>69</v>
      </c>
      <c r="BH1287" t="s">
        <v>69</v>
      </c>
      <c r="BI1287" t="s">
        <v>69</v>
      </c>
      <c r="BJ1287" t="s">
        <v>69</v>
      </c>
      <c r="BK1287">
        <v>4021032</v>
      </c>
      <c r="BL1287" t="s">
        <v>11770</v>
      </c>
      <c r="BM1287" t="str">
        <f>HYPERLINK("http://dx.doi.org/10.1061/(ASCE)CF.1943-5509.0001603","http://dx.doi.org/10.1061/(ASCE)CF.1943-5509.0001603")</f>
        <v>http://dx.doi.org/10.1061/(ASCE)CF.1943-5509.0001603</v>
      </c>
      <c r="BN1287" t="s">
        <v>69</v>
      </c>
      <c r="BO1287" t="s">
        <v>69</v>
      </c>
      <c r="BP1287">
        <v>11</v>
      </c>
      <c r="BQ1287" t="s">
        <v>11242</v>
      </c>
      <c r="BR1287" t="s">
        <v>8548</v>
      </c>
      <c r="BS1287" t="s">
        <v>8549</v>
      </c>
      <c r="BT1287" t="s">
        <v>11771</v>
      </c>
      <c r="BU1287" t="s">
        <v>11772</v>
      </c>
      <c r="BV1287" t="s">
        <v>69</v>
      </c>
      <c r="BW1287" t="s">
        <v>69</v>
      </c>
      <c r="BX1287" t="s">
        <v>69</v>
      </c>
      <c r="BY1287" t="s">
        <v>69</v>
      </c>
      <c r="BZ1287" t="s">
        <v>8526</v>
      </c>
      <c r="CA1287" t="str">
        <f>HYPERLINK("https%3A%2F%2Fwww.webofscience.com%2Fwos%2Fwoscc%2Ffull-record%2FWOS:000671884100025","View Full Record in Web of Science")</f>
        <v>View Full Record in Web of Science</v>
      </c>
    </row>
    <row r="1288" spans="2:79" ht="12.5" x14ac:dyDescent="0.25">
      <c r="B1288" t="s">
        <v>8495</v>
      </c>
      <c r="D1288" s="7" t="s">
        <v>32933</v>
      </c>
      <c r="E1288" s="7"/>
      <c r="F1288" s="7"/>
      <c r="G1288" s="7"/>
      <c r="H1288" t="s">
        <v>67</v>
      </c>
      <c r="I1288" t="s">
        <v>1219</v>
      </c>
      <c r="J1288" t="s">
        <v>69</v>
      </c>
      <c r="K1288" t="s">
        <v>69</v>
      </c>
      <c r="L1288" t="s">
        <v>69</v>
      </c>
      <c r="M1288" t="s">
        <v>1220</v>
      </c>
      <c r="N1288" t="s">
        <v>69</v>
      </c>
      <c r="O1288" t="s">
        <v>69</v>
      </c>
      <c r="P1288" t="s">
        <v>1221</v>
      </c>
      <c r="Q1288" t="s">
        <v>1222</v>
      </c>
      <c r="R1288" t="s">
        <v>69</v>
      </c>
      <c r="S1288" t="s">
        <v>69</v>
      </c>
      <c r="T1288" t="s">
        <v>8505</v>
      </c>
      <c r="U1288" t="s">
        <v>8506</v>
      </c>
      <c r="V1288" t="s">
        <v>69</v>
      </c>
      <c r="W1288" t="s">
        <v>69</v>
      </c>
      <c r="X1288" t="s">
        <v>69</v>
      </c>
      <c r="Y1288" t="s">
        <v>69</v>
      </c>
      <c r="Z1288" t="s">
        <v>69</v>
      </c>
      <c r="AA1288" t="s">
        <v>21488</v>
      </c>
      <c r="AB1288" t="s">
        <v>21489</v>
      </c>
      <c r="AC1288" t="s">
        <v>1223</v>
      </c>
      <c r="AD1288" t="s">
        <v>21490</v>
      </c>
      <c r="AE1288" t="s">
        <v>69</v>
      </c>
      <c r="AF1288" t="s">
        <v>21491</v>
      </c>
      <c r="AG1288" t="s">
        <v>21492</v>
      </c>
      <c r="AH1288" t="s">
        <v>69</v>
      </c>
      <c r="AI1288" t="s">
        <v>69</v>
      </c>
      <c r="AJ1288" t="s">
        <v>21493</v>
      </c>
      <c r="AK1288" t="s">
        <v>21494</v>
      </c>
      <c r="AL1288" t="s">
        <v>21495</v>
      </c>
      <c r="AM1288" t="s">
        <v>69</v>
      </c>
      <c r="AN1288">
        <v>25</v>
      </c>
      <c r="AO1288">
        <v>6</v>
      </c>
      <c r="AP1288">
        <v>6</v>
      </c>
      <c r="AQ1288">
        <v>0</v>
      </c>
      <c r="AR1288">
        <v>15</v>
      </c>
      <c r="AS1288" t="s">
        <v>10923</v>
      </c>
      <c r="AT1288" t="s">
        <v>10924</v>
      </c>
      <c r="AU1288" t="s">
        <v>10925</v>
      </c>
      <c r="AV1288" t="s">
        <v>1224</v>
      </c>
      <c r="AW1288" t="s">
        <v>1225</v>
      </c>
      <c r="AX1288" t="s">
        <v>69</v>
      </c>
      <c r="AY1288" t="s">
        <v>10926</v>
      </c>
      <c r="AZ1288" t="s">
        <v>10927</v>
      </c>
      <c r="BA1288" t="s">
        <v>1226</v>
      </c>
      <c r="BB1288">
        <v>2016</v>
      </c>
      <c r="BC1288">
        <v>22</v>
      </c>
      <c r="BD1288">
        <v>4</v>
      </c>
      <c r="BE1288" t="s">
        <v>69</v>
      </c>
      <c r="BF1288" t="s">
        <v>69</v>
      </c>
      <c r="BG1288" t="s">
        <v>69</v>
      </c>
      <c r="BH1288" t="s">
        <v>69</v>
      </c>
      <c r="BI1288">
        <v>348</v>
      </c>
      <c r="BJ1288">
        <v>359</v>
      </c>
      <c r="BK1288" t="s">
        <v>69</v>
      </c>
      <c r="BL1288" t="s">
        <v>1227</v>
      </c>
      <c r="BM1288" t="str">
        <f>HYPERLINK("http://dx.doi.org/10.1097/PHH.0000000000000313","http://dx.doi.org/10.1097/PHH.0000000000000313")</f>
        <v>http://dx.doi.org/10.1097/PHH.0000000000000313</v>
      </c>
      <c r="BN1288" t="s">
        <v>69</v>
      </c>
      <c r="BO1288" t="s">
        <v>69</v>
      </c>
      <c r="BP1288">
        <v>12</v>
      </c>
      <c r="BQ1288" t="s">
        <v>8810</v>
      </c>
      <c r="BR1288" t="s">
        <v>8661</v>
      </c>
      <c r="BS1288" t="s">
        <v>8810</v>
      </c>
      <c r="BT1288" t="s">
        <v>21496</v>
      </c>
      <c r="BU1288" t="s">
        <v>1228</v>
      </c>
      <c r="BV1288">
        <v>26214696</v>
      </c>
      <c r="BW1288" t="s">
        <v>69</v>
      </c>
      <c r="BX1288" t="s">
        <v>69</v>
      </c>
      <c r="BY1288" t="s">
        <v>69</v>
      </c>
      <c r="BZ1288" t="s">
        <v>8526</v>
      </c>
      <c r="CA1288" t="str">
        <f>HYPERLINK("https%3A%2F%2Fwww.webofscience.com%2Fwos%2Fwoscc%2Ffull-record%2FWOS:000380833100009","View Full Record in Web of Science")</f>
        <v>View Full Record in Web of Science</v>
      </c>
    </row>
    <row r="1289" spans="2:79" ht="12.5" x14ac:dyDescent="0.25">
      <c r="B1289" t="s">
        <v>8495</v>
      </c>
      <c r="D1289" s="7" t="s">
        <v>32933</v>
      </c>
      <c r="E1289" s="7"/>
      <c r="F1289" s="7"/>
      <c r="G1289" s="7"/>
      <c r="H1289" t="s">
        <v>67</v>
      </c>
      <c r="I1289" t="s">
        <v>3744</v>
      </c>
      <c r="J1289" t="s">
        <v>69</v>
      </c>
      <c r="K1289" t="s">
        <v>69</v>
      </c>
      <c r="L1289" t="s">
        <v>69</v>
      </c>
      <c r="M1289" t="s">
        <v>3745</v>
      </c>
      <c r="N1289" t="s">
        <v>69</v>
      </c>
      <c r="O1289" t="s">
        <v>69</v>
      </c>
      <c r="P1289" t="s">
        <v>3746</v>
      </c>
      <c r="Q1289" t="s">
        <v>3747</v>
      </c>
      <c r="R1289" t="s">
        <v>69</v>
      </c>
      <c r="S1289" t="s">
        <v>69</v>
      </c>
      <c r="T1289" t="s">
        <v>8505</v>
      </c>
      <c r="U1289" t="s">
        <v>15797</v>
      </c>
      <c r="V1289" t="s">
        <v>3748</v>
      </c>
      <c r="W1289" t="s">
        <v>3749</v>
      </c>
      <c r="X1289" t="s">
        <v>3750</v>
      </c>
      <c r="Y1289" t="s">
        <v>69</v>
      </c>
      <c r="Z1289" t="s">
        <v>69</v>
      </c>
      <c r="AA1289" t="s">
        <v>29758</v>
      </c>
      <c r="AB1289" t="s">
        <v>69</v>
      </c>
      <c r="AC1289" t="s">
        <v>3751</v>
      </c>
      <c r="AD1289" t="s">
        <v>29759</v>
      </c>
      <c r="AE1289" t="s">
        <v>69</v>
      </c>
      <c r="AF1289" t="s">
        <v>29760</v>
      </c>
      <c r="AG1289" t="s">
        <v>29761</v>
      </c>
      <c r="AH1289" t="s">
        <v>69</v>
      </c>
      <c r="AI1289" t="s">
        <v>69</v>
      </c>
      <c r="AJ1289" t="s">
        <v>69</v>
      </c>
      <c r="AK1289" t="s">
        <v>69</v>
      </c>
      <c r="AL1289" t="s">
        <v>69</v>
      </c>
      <c r="AM1289" t="s">
        <v>69</v>
      </c>
      <c r="AN1289">
        <v>15</v>
      </c>
      <c r="AO1289">
        <v>13</v>
      </c>
      <c r="AP1289">
        <v>13</v>
      </c>
      <c r="AQ1289">
        <v>0</v>
      </c>
      <c r="AR1289">
        <v>17</v>
      </c>
      <c r="AS1289" t="s">
        <v>17140</v>
      </c>
      <c r="AT1289" t="s">
        <v>8517</v>
      </c>
      <c r="AU1289" t="s">
        <v>17141</v>
      </c>
      <c r="AV1289" t="s">
        <v>3752</v>
      </c>
      <c r="AW1289" t="s">
        <v>3753</v>
      </c>
      <c r="AX1289" t="s">
        <v>69</v>
      </c>
      <c r="AY1289" t="s">
        <v>29762</v>
      </c>
      <c r="AZ1289" t="s">
        <v>29763</v>
      </c>
      <c r="BA1289" t="s">
        <v>94</v>
      </c>
      <c r="BB1289">
        <v>2007</v>
      </c>
      <c r="BC1289">
        <v>84</v>
      </c>
      <c r="BD1289">
        <v>1</v>
      </c>
      <c r="BE1289" t="s">
        <v>69</v>
      </c>
      <c r="BF1289" t="s">
        <v>69</v>
      </c>
      <c r="BG1289" t="s">
        <v>114</v>
      </c>
      <c r="BH1289" t="s">
        <v>69</v>
      </c>
      <c r="BI1289">
        <v>119</v>
      </c>
      <c r="BJ1289">
        <v>127</v>
      </c>
      <c r="BK1289" t="s">
        <v>69</v>
      </c>
      <c r="BL1289" t="s">
        <v>3754</v>
      </c>
      <c r="BM1289" t="str">
        <f>HYPERLINK("http://dx.doi.org/10.1016/j.fishres.2006.11.020","http://dx.doi.org/10.1016/j.fishres.2006.11.020")</f>
        <v>http://dx.doi.org/10.1016/j.fishres.2006.11.020</v>
      </c>
      <c r="BN1289" t="s">
        <v>69</v>
      </c>
      <c r="BO1289" t="s">
        <v>69</v>
      </c>
      <c r="BP1289">
        <v>9</v>
      </c>
      <c r="BQ1289" t="s">
        <v>22091</v>
      </c>
      <c r="BR1289" t="s">
        <v>29764</v>
      </c>
      <c r="BS1289" t="s">
        <v>22091</v>
      </c>
      <c r="BT1289" t="s">
        <v>29765</v>
      </c>
      <c r="BU1289" t="s">
        <v>3755</v>
      </c>
      <c r="BV1289" t="s">
        <v>69</v>
      </c>
      <c r="BW1289" t="s">
        <v>69</v>
      </c>
      <c r="BX1289" t="s">
        <v>69</v>
      </c>
      <c r="BY1289" t="s">
        <v>69</v>
      </c>
      <c r="BZ1289" t="s">
        <v>8526</v>
      </c>
      <c r="CA1289" t="str">
        <f>HYPERLINK("https%3A%2F%2Fwww.webofscience.com%2Fwos%2Fwoscc%2Ffull-record%2FWOS:000244822500017","View Full Record in Web of Science")</f>
        <v>View Full Record in Web of Science</v>
      </c>
    </row>
    <row r="1290" spans="2:79" ht="12.5" x14ac:dyDescent="0.25">
      <c r="B1290" t="s">
        <v>8495</v>
      </c>
      <c r="D1290" s="7" t="s">
        <v>32933</v>
      </c>
      <c r="E1290" s="7"/>
      <c r="F1290" s="7"/>
      <c r="G1290" s="7"/>
      <c r="H1290" t="s">
        <v>67</v>
      </c>
      <c r="I1290" t="s">
        <v>5306</v>
      </c>
      <c r="J1290" t="s">
        <v>69</v>
      </c>
      <c r="K1290" t="s">
        <v>69</v>
      </c>
      <c r="L1290" t="s">
        <v>69</v>
      </c>
      <c r="M1290" t="s">
        <v>5306</v>
      </c>
      <c r="N1290" t="s">
        <v>69</v>
      </c>
      <c r="O1290" t="s">
        <v>69</v>
      </c>
      <c r="P1290" t="s">
        <v>5307</v>
      </c>
      <c r="Q1290" t="s">
        <v>1902</v>
      </c>
      <c r="R1290" t="s">
        <v>69</v>
      </c>
      <c r="S1290" t="s">
        <v>69</v>
      </c>
      <c r="T1290" t="s">
        <v>8505</v>
      </c>
      <c r="U1290" t="s">
        <v>8506</v>
      </c>
      <c r="V1290" t="s">
        <v>69</v>
      </c>
      <c r="W1290" t="s">
        <v>69</v>
      </c>
      <c r="X1290" t="s">
        <v>69</v>
      </c>
      <c r="Y1290" t="s">
        <v>69</v>
      </c>
      <c r="Z1290" t="s">
        <v>69</v>
      </c>
      <c r="AA1290" t="s">
        <v>69</v>
      </c>
      <c r="AB1290" t="s">
        <v>69</v>
      </c>
      <c r="AC1290" t="s">
        <v>5308</v>
      </c>
      <c r="AD1290" t="s">
        <v>31783</v>
      </c>
      <c r="AE1290" t="s">
        <v>69</v>
      </c>
      <c r="AF1290" t="s">
        <v>31784</v>
      </c>
      <c r="AG1290" t="s">
        <v>31785</v>
      </c>
      <c r="AH1290" t="s">
        <v>31786</v>
      </c>
      <c r="AI1290" t="s">
        <v>31787</v>
      </c>
      <c r="AJ1290" t="s">
        <v>69</v>
      </c>
      <c r="AK1290" t="s">
        <v>69</v>
      </c>
      <c r="AL1290" t="s">
        <v>69</v>
      </c>
      <c r="AM1290" t="s">
        <v>69</v>
      </c>
      <c r="AN1290">
        <v>4</v>
      </c>
      <c r="AO1290">
        <v>11</v>
      </c>
      <c r="AP1290">
        <v>11</v>
      </c>
      <c r="AQ1290">
        <v>1</v>
      </c>
      <c r="AR1290">
        <v>5</v>
      </c>
      <c r="AS1290" t="s">
        <v>9145</v>
      </c>
      <c r="AT1290" t="s">
        <v>8637</v>
      </c>
      <c r="AU1290" t="s">
        <v>9146</v>
      </c>
      <c r="AV1290" t="s">
        <v>1906</v>
      </c>
      <c r="AW1290" t="s">
        <v>69</v>
      </c>
      <c r="AX1290" t="s">
        <v>69</v>
      </c>
      <c r="AY1290" t="s">
        <v>9928</v>
      </c>
      <c r="AZ1290" t="s">
        <v>9929</v>
      </c>
      <c r="BA1290" t="s">
        <v>84</v>
      </c>
      <c r="BB1290">
        <v>2000</v>
      </c>
      <c r="BC1290">
        <v>20</v>
      </c>
      <c r="BD1290">
        <v>3</v>
      </c>
      <c r="BE1290" t="s">
        <v>69</v>
      </c>
      <c r="BF1290" t="s">
        <v>69</v>
      </c>
      <c r="BG1290" t="s">
        <v>69</v>
      </c>
      <c r="BH1290" t="s">
        <v>69</v>
      </c>
      <c r="BI1290">
        <v>289</v>
      </c>
      <c r="BJ1290">
        <v>304</v>
      </c>
      <c r="BK1290" t="s">
        <v>69</v>
      </c>
      <c r="BL1290" t="s">
        <v>5309</v>
      </c>
      <c r="BM1290" t="str">
        <f>HYPERLINK("http://dx.doi.org/10.1016/S0960-1481(99)00111-1","http://dx.doi.org/10.1016/S0960-1481(99)00111-1")</f>
        <v>http://dx.doi.org/10.1016/S0960-1481(99)00111-1</v>
      </c>
      <c r="BN1290" t="s">
        <v>69</v>
      </c>
      <c r="BO1290" t="s">
        <v>69</v>
      </c>
      <c r="BP1290">
        <v>16</v>
      </c>
      <c r="BQ1290" t="s">
        <v>9931</v>
      </c>
      <c r="BR1290" t="s">
        <v>8548</v>
      </c>
      <c r="BS1290" t="s">
        <v>9932</v>
      </c>
      <c r="BT1290" t="s">
        <v>31788</v>
      </c>
      <c r="BU1290" t="s">
        <v>5310</v>
      </c>
      <c r="BV1290" t="s">
        <v>69</v>
      </c>
      <c r="BW1290" t="s">
        <v>69</v>
      </c>
      <c r="BX1290" t="s">
        <v>69</v>
      </c>
      <c r="BY1290" t="s">
        <v>69</v>
      </c>
      <c r="BZ1290" t="s">
        <v>8526</v>
      </c>
      <c r="CA1290" t="str">
        <f>HYPERLINK("https%3A%2F%2Fwww.webofscience.com%2Fwos%2Fwoscc%2Ffull-record%2FWOS:000085639700003","View Full Record in Web of Science")</f>
        <v>View Full Record in Web of Science</v>
      </c>
    </row>
    <row r="1291" spans="2:79" ht="12.5" x14ac:dyDescent="0.25">
      <c r="B1291" t="s">
        <v>8495</v>
      </c>
      <c r="D1291" s="7" t="s">
        <v>32933</v>
      </c>
      <c r="E1291" s="7"/>
      <c r="F1291" s="7"/>
      <c r="G1291" s="7"/>
      <c r="H1291" t="s">
        <v>67</v>
      </c>
      <c r="I1291" t="s">
        <v>1607</v>
      </c>
      <c r="J1291" t="s">
        <v>69</v>
      </c>
      <c r="K1291" t="s">
        <v>69</v>
      </c>
      <c r="L1291" t="s">
        <v>69</v>
      </c>
      <c r="M1291" t="s">
        <v>1608</v>
      </c>
      <c r="N1291" t="s">
        <v>69</v>
      </c>
      <c r="O1291" t="s">
        <v>69</v>
      </c>
      <c r="P1291" t="s">
        <v>1609</v>
      </c>
      <c r="Q1291" t="s">
        <v>1610</v>
      </c>
      <c r="R1291" t="s">
        <v>69</v>
      </c>
      <c r="S1291" t="s">
        <v>69</v>
      </c>
      <c r="T1291" t="s">
        <v>8505</v>
      </c>
      <c r="U1291" t="s">
        <v>8506</v>
      </c>
      <c r="V1291" t="s">
        <v>69</v>
      </c>
      <c r="W1291" t="s">
        <v>69</v>
      </c>
      <c r="X1291" t="s">
        <v>69</v>
      </c>
      <c r="Y1291" t="s">
        <v>69</v>
      </c>
      <c r="Z1291" t="s">
        <v>69</v>
      </c>
      <c r="AA1291" t="s">
        <v>29812</v>
      </c>
      <c r="AB1291" t="s">
        <v>69</v>
      </c>
      <c r="AC1291" t="s">
        <v>1611</v>
      </c>
      <c r="AD1291" t="s">
        <v>29813</v>
      </c>
      <c r="AE1291" t="s">
        <v>69</v>
      </c>
      <c r="AF1291" t="s">
        <v>29814</v>
      </c>
      <c r="AG1291" t="s">
        <v>29815</v>
      </c>
      <c r="AH1291" t="s">
        <v>69</v>
      </c>
      <c r="AI1291" t="s">
        <v>69</v>
      </c>
      <c r="AJ1291" t="s">
        <v>69</v>
      </c>
      <c r="AK1291" t="s">
        <v>69</v>
      </c>
      <c r="AL1291" t="s">
        <v>69</v>
      </c>
      <c r="AM1291" t="s">
        <v>69</v>
      </c>
      <c r="AN1291">
        <v>39</v>
      </c>
      <c r="AO1291">
        <v>0</v>
      </c>
      <c r="AP1291">
        <v>0</v>
      </c>
      <c r="AQ1291">
        <v>0</v>
      </c>
      <c r="AR1291">
        <v>7</v>
      </c>
      <c r="AS1291" t="s">
        <v>29816</v>
      </c>
      <c r="AT1291" t="s">
        <v>29817</v>
      </c>
      <c r="AU1291" t="s">
        <v>29818</v>
      </c>
      <c r="AV1291" t="s">
        <v>1612</v>
      </c>
      <c r="AW1291" t="s">
        <v>69</v>
      </c>
      <c r="AX1291" t="s">
        <v>69</v>
      </c>
      <c r="AY1291" t="s">
        <v>29819</v>
      </c>
      <c r="AZ1291" t="s">
        <v>29820</v>
      </c>
      <c r="BA1291" t="s">
        <v>69</v>
      </c>
      <c r="BB1291">
        <v>2007</v>
      </c>
      <c r="BC1291">
        <v>13</v>
      </c>
      <c r="BD1291">
        <v>3</v>
      </c>
      <c r="BE1291" t="s">
        <v>69</v>
      </c>
      <c r="BF1291" t="s">
        <v>69</v>
      </c>
      <c r="BG1291" t="s">
        <v>69</v>
      </c>
      <c r="BH1291" t="s">
        <v>69</v>
      </c>
      <c r="BI1291">
        <v>88</v>
      </c>
      <c r="BJ1291">
        <v>100</v>
      </c>
      <c r="BK1291" t="s">
        <v>69</v>
      </c>
      <c r="BL1291" t="s">
        <v>69</v>
      </c>
      <c r="BM1291" t="s">
        <v>69</v>
      </c>
      <c r="BN1291" t="s">
        <v>69</v>
      </c>
      <c r="BO1291" t="s">
        <v>69</v>
      </c>
      <c r="BP1291">
        <v>13</v>
      </c>
      <c r="BQ1291" t="s">
        <v>21513</v>
      </c>
      <c r="BR1291" t="s">
        <v>8548</v>
      </c>
      <c r="BS1291" t="s">
        <v>8450</v>
      </c>
      <c r="BT1291" t="s">
        <v>29821</v>
      </c>
      <c r="BU1291" t="s">
        <v>1613</v>
      </c>
      <c r="BV1291" t="s">
        <v>69</v>
      </c>
      <c r="BW1291" t="s">
        <v>69</v>
      </c>
      <c r="BX1291" t="s">
        <v>69</v>
      </c>
      <c r="BY1291" t="s">
        <v>69</v>
      </c>
      <c r="BZ1291" t="s">
        <v>8526</v>
      </c>
      <c r="CA1291" t="str">
        <f>HYPERLINK("https%3A%2F%2Fwww.webofscience.com%2Fwos%2Fwoscc%2Ffull-record%2FWOS:000254705000004","View Full Record in Web of Science")</f>
        <v>View Full Record in Web of Science</v>
      </c>
    </row>
    <row r="1292" spans="2:79" ht="12.5" x14ac:dyDescent="0.25">
      <c r="B1292" t="s">
        <v>8495</v>
      </c>
      <c r="D1292" s="22" t="s">
        <v>32931</v>
      </c>
      <c r="E1292" s="7"/>
      <c r="F1292" s="7"/>
      <c r="G1292" s="7"/>
      <c r="H1292" t="s">
        <v>67</v>
      </c>
      <c r="I1292" t="s">
        <v>32758</v>
      </c>
      <c r="J1292" t="s">
        <v>69</v>
      </c>
      <c r="K1292" t="s">
        <v>69</v>
      </c>
      <c r="L1292" t="s">
        <v>69</v>
      </c>
      <c r="M1292" t="s">
        <v>32758</v>
      </c>
      <c r="N1292" t="s">
        <v>69</v>
      </c>
      <c r="O1292" t="s">
        <v>69</v>
      </c>
      <c r="P1292" t="s">
        <v>32759</v>
      </c>
      <c r="Q1292" t="s">
        <v>32760</v>
      </c>
      <c r="R1292" t="s">
        <v>69</v>
      </c>
      <c r="S1292" t="s">
        <v>69</v>
      </c>
      <c r="T1292" t="s">
        <v>8505</v>
      </c>
      <c r="U1292" t="s">
        <v>8506</v>
      </c>
      <c r="V1292" t="s">
        <v>69</v>
      </c>
      <c r="W1292" t="s">
        <v>69</v>
      </c>
      <c r="X1292" t="s">
        <v>69</v>
      </c>
      <c r="Y1292" t="s">
        <v>69</v>
      </c>
      <c r="Z1292" t="s">
        <v>69</v>
      </c>
      <c r="AA1292" t="s">
        <v>69</v>
      </c>
      <c r="AB1292" t="s">
        <v>69</v>
      </c>
      <c r="AC1292" t="s">
        <v>32761</v>
      </c>
      <c r="AD1292" t="s">
        <v>32762</v>
      </c>
      <c r="AE1292" t="s">
        <v>69</v>
      </c>
      <c r="AF1292" t="s">
        <v>32763</v>
      </c>
      <c r="AG1292" t="s">
        <v>69</v>
      </c>
      <c r="AH1292" t="s">
        <v>32764</v>
      </c>
      <c r="AI1292" t="s">
        <v>32765</v>
      </c>
      <c r="AJ1292" t="s">
        <v>69</v>
      </c>
      <c r="AK1292" t="s">
        <v>69</v>
      </c>
      <c r="AL1292" t="s">
        <v>69</v>
      </c>
      <c r="AM1292" t="s">
        <v>69</v>
      </c>
      <c r="AN1292">
        <v>8</v>
      </c>
      <c r="AO1292">
        <v>6</v>
      </c>
      <c r="AP1292">
        <v>6</v>
      </c>
      <c r="AQ1292">
        <v>0</v>
      </c>
      <c r="AR1292">
        <v>4</v>
      </c>
      <c r="AS1292" t="s">
        <v>10315</v>
      </c>
      <c r="AT1292" t="s">
        <v>8693</v>
      </c>
      <c r="AU1292" t="s">
        <v>32766</v>
      </c>
      <c r="AV1292" t="s">
        <v>32767</v>
      </c>
      <c r="AW1292" t="s">
        <v>69</v>
      </c>
      <c r="AX1292" t="s">
        <v>69</v>
      </c>
      <c r="AY1292" t="s">
        <v>32768</v>
      </c>
      <c r="AZ1292" t="s">
        <v>32769</v>
      </c>
      <c r="BA1292" t="s">
        <v>255</v>
      </c>
      <c r="BB1292">
        <v>1993</v>
      </c>
      <c r="BC1292">
        <v>8</v>
      </c>
      <c r="BD1292">
        <v>3</v>
      </c>
      <c r="BE1292" t="s">
        <v>69</v>
      </c>
      <c r="BF1292" t="s">
        <v>69</v>
      </c>
      <c r="BG1292" t="s">
        <v>69</v>
      </c>
      <c r="BH1292" t="s">
        <v>69</v>
      </c>
      <c r="BI1292">
        <v>566</v>
      </c>
      <c r="BJ1292">
        <v>575</v>
      </c>
      <c r="BK1292" t="s">
        <v>69</v>
      </c>
      <c r="BL1292" t="s">
        <v>32770</v>
      </c>
      <c r="BM1292" t="str">
        <f>HYPERLINK("http://dx.doi.org/10.1109/60.257075","http://dx.doi.org/10.1109/60.257075")</f>
        <v>http://dx.doi.org/10.1109/60.257075</v>
      </c>
      <c r="BN1292" t="s">
        <v>69</v>
      </c>
      <c r="BO1292" t="s">
        <v>69</v>
      </c>
      <c r="BP1292">
        <v>10</v>
      </c>
      <c r="BQ1292" t="s">
        <v>32771</v>
      </c>
      <c r="BR1292" t="s">
        <v>8548</v>
      </c>
      <c r="BS1292" t="s">
        <v>19142</v>
      </c>
      <c r="BT1292" t="s">
        <v>32772</v>
      </c>
      <c r="BU1292" t="s">
        <v>32773</v>
      </c>
      <c r="BV1292" t="s">
        <v>69</v>
      </c>
      <c r="BW1292" t="s">
        <v>69</v>
      </c>
      <c r="BX1292" t="s">
        <v>69</v>
      </c>
      <c r="BY1292" t="s">
        <v>69</v>
      </c>
      <c r="BZ1292" t="s">
        <v>8526</v>
      </c>
      <c r="CA1292" t="str">
        <f>HYPERLINK("https%3A%2F%2Fwww.webofscience.com%2Fwos%2Fwoscc%2Ffull-record%2FWOS:A1993ME99700034","View Full Record in Web of Science")</f>
        <v>View Full Record in Web of Science</v>
      </c>
    </row>
    <row r="1293" spans="2:79" ht="12.5" x14ac:dyDescent="0.25">
      <c r="B1293" t="s">
        <v>8495</v>
      </c>
      <c r="D1293" s="22" t="s">
        <v>32931</v>
      </c>
      <c r="E1293" s="7"/>
      <c r="F1293" s="7"/>
      <c r="G1293" s="7"/>
      <c r="H1293" t="s">
        <v>67</v>
      </c>
      <c r="I1293" t="s">
        <v>13133</v>
      </c>
      <c r="J1293" t="s">
        <v>69</v>
      </c>
      <c r="K1293" t="s">
        <v>69</v>
      </c>
      <c r="L1293" t="s">
        <v>69</v>
      </c>
      <c r="M1293" t="s">
        <v>13134</v>
      </c>
      <c r="N1293" t="s">
        <v>69</v>
      </c>
      <c r="O1293" t="s">
        <v>69</v>
      </c>
      <c r="P1293" t="s">
        <v>13135</v>
      </c>
      <c r="Q1293" t="s">
        <v>13136</v>
      </c>
      <c r="R1293" t="s">
        <v>69</v>
      </c>
      <c r="S1293" t="s">
        <v>69</v>
      </c>
      <c r="T1293" t="s">
        <v>8505</v>
      </c>
      <c r="U1293" t="s">
        <v>8506</v>
      </c>
      <c r="V1293" t="s">
        <v>69</v>
      </c>
      <c r="W1293" t="s">
        <v>69</v>
      </c>
      <c r="X1293" t="s">
        <v>69</v>
      </c>
      <c r="Y1293" t="s">
        <v>69</v>
      </c>
      <c r="Z1293" t="s">
        <v>69</v>
      </c>
      <c r="AA1293" t="s">
        <v>13137</v>
      </c>
      <c r="AB1293" t="s">
        <v>69</v>
      </c>
      <c r="AC1293" t="s">
        <v>13138</v>
      </c>
      <c r="AD1293" t="s">
        <v>13139</v>
      </c>
      <c r="AE1293" t="s">
        <v>69</v>
      </c>
      <c r="AF1293" t="s">
        <v>13140</v>
      </c>
      <c r="AG1293" t="s">
        <v>13141</v>
      </c>
      <c r="AH1293" t="s">
        <v>69</v>
      </c>
      <c r="AI1293" t="s">
        <v>69</v>
      </c>
      <c r="AJ1293" t="s">
        <v>69</v>
      </c>
      <c r="AK1293" t="s">
        <v>69</v>
      </c>
      <c r="AL1293" t="s">
        <v>69</v>
      </c>
      <c r="AM1293" t="s">
        <v>69</v>
      </c>
      <c r="AN1293">
        <v>26</v>
      </c>
      <c r="AO1293">
        <v>0</v>
      </c>
      <c r="AP1293">
        <v>0</v>
      </c>
      <c r="AQ1293">
        <v>0</v>
      </c>
      <c r="AR1293">
        <v>1</v>
      </c>
      <c r="AS1293" t="s">
        <v>9305</v>
      </c>
      <c r="AT1293" t="s">
        <v>8763</v>
      </c>
      <c r="AU1293" t="s">
        <v>9306</v>
      </c>
      <c r="AV1293" t="s">
        <v>13142</v>
      </c>
      <c r="AW1293" t="s">
        <v>13143</v>
      </c>
      <c r="AX1293" t="s">
        <v>69</v>
      </c>
      <c r="AY1293" t="s">
        <v>13144</v>
      </c>
      <c r="AZ1293" t="s">
        <v>13145</v>
      </c>
      <c r="BA1293" t="s">
        <v>191</v>
      </c>
      <c r="BB1293">
        <v>2022</v>
      </c>
      <c r="BC1293">
        <v>16</v>
      </c>
      <c r="BD1293">
        <v>1</v>
      </c>
      <c r="BE1293" t="s">
        <v>69</v>
      </c>
      <c r="BF1293" t="s">
        <v>69</v>
      </c>
      <c r="BG1293" t="s">
        <v>69</v>
      </c>
      <c r="BH1293" t="s">
        <v>69</v>
      </c>
      <c r="BI1293">
        <v>65</v>
      </c>
      <c r="BJ1293">
        <v>71</v>
      </c>
      <c r="BK1293" t="s">
        <v>69</v>
      </c>
      <c r="BL1293" t="s">
        <v>13146</v>
      </c>
      <c r="BM1293" t="str">
        <f>HYPERLINK("http://dx.doi.org/10.1007/s11701-021-01207-6","http://dx.doi.org/10.1007/s11701-021-01207-6")</f>
        <v>http://dx.doi.org/10.1007/s11701-021-01207-6</v>
      </c>
      <c r="BN1293" t="s">
        <v>69</v>
      </c>
      <c r="BO1293" t="s">
        <v>13029</v>
      </c>
      <c r="BP1293">
        <v>7</v>
      </c>
      <c r="BQ1293" t="s">
        <v>11956</v>
      </c>
      <c r="BR1293" t="s">
        <v>8548</v>
      </c>
      <c r="BS1293" t="s">
        <v>11956</v>
      </c>
      <c r="BT1293" t="s">
        <v>13147</v>
      </c>
      <c r="BU1293" t="s">
        <v>13148</v>
      </c>
      <c r="BV1293">
        <v>33575862</v>
      </c>
      <c r="BW1293" t="s">
        <v>69</v>
      </c>
      <c r="BX1293" t="s">
        <v>69</v>
      </c>
      <c r="BY1293" t="s">
        <v>69</v>
      </c>
      <c r="BZ1293" t="s">
        <v>8526</v>
      </c>
      <c r="CA1293" t="str">
        <f>HYPERLINK("https%3A%2F%2Fwww.webofscience.com%2Fwos%2Fwoscc%2Ffull-record%2FWOS:000617115700001","View Full Record in Web of Science")</f>
        <v>View Full Record in Web of Science</v>
      </c>
    </row>
    <row r="1294" spans="2:79" ht="12.5" x14ac:dyDescent="0.25">
      <c r="B1294" t="s">
        <v>8495</v>
      </c>
      <c r="D1294" s="7" t="s">
        <v>32933</v>
      </c>
      <c r="E1294" s="7"/>
      <c r="F1294" s="7"/>
      <c r="G1294" s="7"/>
      <c r="H1294" t="s">
        <v>67</v>
      </c>
      <c r="I1294" t="s">
        <v>7512</v>
      </c>
      <c r="J1294" t="s">
        <v>69</v>
      </c>
      <c r="K1294" t="s">
        <v>69</v>
      </c>
      <c r="L1294" t="s">
        <v>69</v>
      </c>
      <c r="M1294" t="s">
        <v>7513</v>
      </c>
      <c r="N1294" t="s">
        <v>69</v>
      </c>
      <c r="O1294" t="s">
        <v>69</v>
      </c>
      <c r="P1294" s="3" t="s">
        <v>7514</v>
      </c>
      <c r="Q1294" t="s">
        <v>7515</v>
      </c>
      <c r="R1294" t="s">
        <v>69</v>
      </c>
      <c r="S1294" t="s">
        <v>69</v>
      </c>
      <c r="T1294" t="s">
        <v>9357</v>
      </c>
      <c r="U1294" t="s">
        <v>8506</v>
      </c>
      <c r="V1294" t="s">
        <v>69</v>
      </c>
      <c r="W1294" t="s">
        <v>69</v>
      </c>
      <c r="X1294" t="s">
        <v>69</v>
      </c>
      <c r="Y1294" t="s">
        <v>69</v>
      </c>
      <c r="Z1294" t="s">
        <v>69</v>
      </c>
      <c r="AA1294" t="s">
        <v>14825</v>
      </c>
      <c r="AB1294" t="s">
        <v>69</v>
      </c>
      <c r="AC1294" t="s">
        <v>7516</v>
      </c>
      <c r="AD1294" t="s">
        <v>14826</v>
      </c>
      <c r="AE1294" t="s">
        <v>69</v>
      </c>
      <c r="AF1294" t="s">
        <v>14827</v>
      </c>
      <c r="AG1294" t="s">
        <v>14828</v>
      </c>
      <c r="AH1294" t="s">
        <v>69</v>
      </c>
      <c r="AI1294" t="s">
        <v>69</v>
      </c>
      <c r="AJ1294" t="s">
        <v>69</v>
      </c>
      <c r="AK1294" t="s">
        <v>69</v>
      </c>
      <c r="AL1294" t="s">
        <v>69</v>
      </c>
      <c r="AM1294" t="s">
        <v>69</v>
      </c>
      <c r="AN1294">
        <v>33</v>
      </c>
      <c r="AO1294">
        <v>0</v>
      </c>
      <c r="AP1294">
        <v>2</v>
      </c>
      <c r="AQ1294">
        <v>0</v>
      </c>
      <c r="AR1294">
        <v>2</v>
      </c>
      <c r="AS1294" t="s">
        <v>9366</v>
      </c>
      <c r="AT1294" t="s">
        <v>9367</v>
      </c>
      <c r="AU1294" t="s">
        <v>9368</v>
      </c>
      <c r="AV1294" t="s">
        <v>7517</v>
      </c>
      <c r="AW1294" t="s">
        <v>69</v>
      </c>
      <c r="AX1294" t="s">
        <v>69</v>
      </c>
      <c r="AY1294" t="s">
        <v>9369</v>
      </c>
      <c r="AZ1294" t="s">
        <v>9370</v>
      </c>
      <c r="BA1294" t="s">
        <v>84</v>
      </c>
      <c r="BB1294">
        <v>2020</v>
      </c>
      <c r="BC1294">
        <v>64</v>
      </c>
      <c r="BD1294">
        <v>7</v>
      </c>
      <c r="BE1294" t="s">
        <v>69</v>
      </c>
      <c r="BF1294" t="s">
        <v>69</v>
      </c>
      <c r="BG1294" t="s">
        <v>69</v>
      </c>
      <c r="BH1294" t="s">
        <v>69</v>
      </c>
      <c r="BI1294">
        <v>89</v>
      </c>
      <c r="BJ1294">
        <v>99</v>
      </c>
      <c r="BK1294" t="s">
        <v>69</v>
      </c>
      <c r="BL1294" t="s">
        <v>7518</v>
      </c>
      <c r="BM1294" t="str">
        <f>HYPERLINK("http://dx.doi.org/10.20542/0131-2227-2020-64-7-89-99","http://dx.doi.org/10.20542/0131-2227-2020-64-7-89-99")</f>
        <v>http://dx.doi.org/10.20542/0131-2227-2020-64-7-89-99</v>
      </c>
      <c r="BN1294" t="s">
        <v>69</v>
      </c>
      <c r="BO1294" t="s">
        <v>69</v>
      </c>
      <c r="BP1294">
        <v>11</v>
      </c>
      <c r="BQ1294" t="s">
        <v>9372</v>
      </c>
      <c r="BR1294" t="s">
        <v>8573</v>
      </c>
      <c r="BS1294" t="s">
        <v>9372</v>
      </c>
      <c r="BT1294" t="s">
        <v>14829</v>
      </c>
      <c r="BU1294" t="s">
        <v>7519</v>
      </c>
      <c r="BV1294" t="s">
        <v>69</v>
      </c>
      <c r="BW1294" t="s">
        <v>9374</v>
      </c>
      <c r="BX1294" t="s">
        <v>69</v>
      </c>
      <c r="BY1294" t="s">
        <v>69</v>
      </c>
      <c r="BZ1294" t="s">
        <v>8526</v>
      </c>
      <c r="CA1294" t="str">
        <f>HYPERLINK("https%3A%2F%2Fwww.webofscience.com%2Fwos%2Fwoscc%2Ffull-record%2FWOS:000549579900010","View Full Record in Web of Science")</f>
        <v>View Full Record in Web of Science</v>
      </c>
    </row>
    <row r="1295" spans="2:79" x14ac:dyDescent="0.3">
      <c r="B1295" t="s">
        <v>8495</v>
      </c>
      <c r="D1295" s="9" t="s">
        <v>32954</v>
      </c>
      <c r="E1295" s="9" t="s">
        <v>33130</v>
      </c>
      <c r="F1295" s="10" t="s">
        <v>8490</v>
      </c>
      <c r="G1295" s="9" t="s">
        <v>8490</v>
      </c>
      <c r="H1295" t="s">
        <v>67</v>
      </c>
      <c r="I1295" t="s">
        <v>20542</v>
      </c>
      <c r="J1295" t="s">
        <v>69</v>
      </c>
      <c r="K1295" t="s">
        <v>69</v>
      </c>
      <c r="L1295" t="s">
        <v>69</v>
      </c>
      <c r="M1295" t="s">
        <v>20543</v>
      </c>
      <c r="N1295" t="s">
        <v>69</v>
      </c>
      <c r="O1295" t="s">
        <v>69</v>
      </c>
      <c r="P1295" t="s">
        <v>21314</v>
      </c>
      <c r="Q1295" t="s">
        <v>10712</v>
      </c>
      <c r="R1295" t="s">
        <v>69</v>
      </c>
      <c r="S1295" t="s">
        <v>69</v>
      </c>
      <c r="T1295" t="s">
        <v>8505</v>
      </c>
      <c r="U1295" t="s">
        <v>8506</v>
      </c>
      <c r="V1295" t="s">
        <v>69</v>
      </c>
      <c r="W1295" t="s">
        <v>69</v>
      </c>
      <c r="X1295" t="s">
        <v>69</v>
      </c>
      <c r="Y1295" t="s">
        <v>69</v>
      </c>
      <c r="Z1295" t="s">
        <v>69</v>
      </c>
      <c r="AA1295" t="s">
        <v>69</v>
      </c>
      <c r="AB1295" t="s">
        <v>21315</v>
      </c>
      <c r="AC1295" t="s">
        <v>21316</v>
      </c>
      <c r="AD1295" t="s">
        <v>21317</v>
      </c>
      <c r="AE1295" t="s">
        <v>69</v>
      </c>
      <c r="AF1295" t="s">
        <v>21318</v>
      </c>
      <c r="AG1295" t="s">
        <v>69</v>
      </c>
      <c r="AH1295" t="s">
        <v>20552</v>
      </c>
      <c r="AI1295" t="s">
        <v>20553</v>
      </c>
      <c r="AJ1295" t="s">
        <v>21319</v>
      </c>
      <c r="AK1295" t="s">
        <v>21320</v>
      </c>
      <c r="AL1295" t="s">
        <v>21321</v>
      </c>
      <c r="AM1295" t="s">
        <v>69</v>
      </c>
      <c r="AN1295">
        <v>66</v>
      </c>
      <c r="AO1295">
        <v>18</v>
      </c>
      <c r="AP1295">
        <v>19</v>
      </c>
      <c r="AQ1295">
        <v>1</v>
      </c>
      <c r="AR1295">
        <v>18</v>
      </c>
      <c r="AS1295" t="s">
        <v>8846</v>
      </c>
      <c r="AT1295" t="s">
        <v>8847</v>
      </c>
      <c r="AU1295" t="s">
        <v>8848</v>
      </c>
      <c r="AV1295" t="s">
        <v>10718</v>
      </c>
      <c r="AW1295" t="s">
        <v>10719</v>
      </c>
      <c r="AX1295" t="s">
        <v>69</v>
      </c>
      <c r="AY1295" t="s">
        <v>10720</v>
      </c>
      <c r="AZ1295" t="s">
        <v>10721</v>
      </c>
      <c r="BA1295" t="s">
        <v>255</v>
      </c>
      <c r="BB1295">
        <v>2016</v>
      </c>
      <c r="BC1295">
        <v>94</v>
      </c>
      <c r="BD1295">
        <v>3</v>
      </c>
      <c r="BE1295" t="s">
        <v>69</v>
      </c>
      <c r="BF1295" t="s">
        <v>69</v>
      </c>
      <c r="BG1295" t="s">
        <v>69</v>
      </c>
      <c r="BH1295" t="s">
        <v>69</v>
      </c>
      <c r="BI1295">
        <v>754</v>
      </c>
      <c r="BJ1295">
        <v>768</v>
      </c>
      <c r="BK1295" t="s">
        <v>69</v>
      </c>
      <c r="BL1295" t="s">
        <v>21322</v>
      </c>
      <c r="BM1295" t="str">
        <f>HYPERLINK("http://dx.doi.org/10.1111/padm.12259","http://dx.doi.org/10.1111/padm.12259")</f>
        <v>http://dx.doi.org/10.1111/padm.12259</v>
      </c>
      <c r="BN1295" t="s">
        <v>69</v>
      </c>
      <c r="BO1295" t="s">
        <v>69</v>
      </c>
      <c r="BP1295">
        <v>15</v>
      </c>
      <c r="BQ1295" t="s">
        <v>10439</v>
      </c>
      <c r="BR1295" t="s">
        <v>8661</v>
      </c>
      <c r="BS1295" t="s">
        <v>10440</v>
      </c>
      <c r="BT1295" t="s">
        <v>21323</v>
      </c>
      <c r="BU1295" t="s">
        <v>21324</v>
      </c>
      <c r="BV1295" t="s">
        <v>69</v>
      </c>
      <c r="BW1295" t="s">
        <v>8746</v>
      </c>
      <c r="BX1295" t="s">
        <v>69</v>
      </c>
      <c r="BY1295" t="s">
        <v>69</v>
      </c>
      <c r="BZ1295" t="s">
        <v>8526</v>
      </c>
      <c r="CA1295" t="str">
        <f>HYPERLINK("https%3A%2F%2Fwww.webofscience.com%2Fwos%2Fwoscc%2Ffull-record%2FWOS:000383572300011","View Full Record in Web of Science")</f>
        <v>View Full Record in Web of Science</v>
      </c>
    </row>
    <row r="1296" spans="2:79" ht="12.5" x14ac:dyDescent="0.25">
      <c r="B1296" t="s">
        <v>8495</v>
      </c>
      <c r="D1296" s="7" t="s">
        <v>32933</v>
      </c>
      <c r="E1296" s="7"/>
      <c r="F1296" s="7"/>
      <c r="G1296" s="7"/>
      <c r="H1296" t="s">
        <v>67</v>
      </c>
      <c r="I1296" t="s">
        <v>2362</v>
      </c>
      <c r="J1296" t="s">
        <v>69</v>
      </c>
      <c r="K1296" t="s">
        <v>69</v>
      </c>
      <c r="L1296" t="s">
        <v>69</v>
      </c>
      <c r="M1296" t="s">
        <v>2363</v>
      </c>
      <c r="N1296" t="s">
        <v>69</v>
      </c>
      <c r="O1296" t="s">
        <v>69</v>
      </c>
      <c r="P1296" t="s">
        <v>2364</v>
      </c>
      <c r="Q1296" t="s">
        <v>2365</v>
      </c>
      <c r="R1296" t="s">
        <v>69</v>
      </c>
      <c r="S1296" t="s">
        <v>69</v>
      </c>
      <c r="T1296" t="s">
        <v>8505</v>
      </c>
      <c r="U1296" t="s">
        <v>8506</v>
      </c>
      <c r="V1296" t="s">
        <v>69</v>
      </c>
      <c r="W1296" t="s">
        <v>69</v>
      </c>
      <c r="X1296" t="s">
        <v>69</v>
      </c>
      <c r="Y1296" t="s">
        <v>69</v>
      </c>
      <c r="Z1296" t="s">
        <v>69</v>
      </c>
      <c r="AA1296" t="s">
        <v>18209</v>
      </c>
      <c r="AB1296" t="s">
        <v>18210</v>
      </c>
      <c r="AC1296" t="s">
        <v>2366</v>
      </c>
      <c r="AD1296" t="s">
        <v>18211</v>
      </c>
      <c r="AE1296" t="s">
        <v>69</v>
      </c>
      <c r="AF1296" t="s">
        <v>18212</v>
      </c>
      <c r="AG1296" t="s">
        <v>18213</v>
      </c>
      <c r="AH1296" t="s">
        <v>2367</v>
      </c>
      <c r="AI1296" t="s">
        <v>18214</v>
      </c>
      <c r="AJ1296" t="s">
        <v>69</v>
      </c>
      <c r="AK1296" t="s">
        <v>69</v>
      </c>
      <c r="AL1296" t="s">
        <v>69</v>
      </c>
      <c r="AM1296" t="s">
        <v>69</v>
      </c>
      <c r="AN1296">
        <v>101</v>
      </c>
      <c r="AO1296">
        <v>15</v>
      </c>
      <c r="AP1296">
        <v>16</v>
      </c>
      <c r="AQ1296">
        <v>3</v>
      </c>
      <c r="AR1296">
        <v>21</v>
      </c>
      <c r="AS1296" t="s">
        <v>8636</v>
      </c>
      <c r="AT1296" t="s">
        <v>8637</v>
      </c>
      <c r="AU1296" t="s">
        <v>8638</v>
      </c>
      <c r="AV1296" t="s">
        <v>2368</v>
      </c>
      <c r="AW1296" t="s">
        <v>2369</v>
      </c>
      <c r="AX1296" t="s">
        <v>69</v>
      </c>
      <c r="AY1296" t="s">
        <v>12397</v>
      </c>
      <c r="AZ1296" t="s">
        <v>12398</v>
      </c>
      <c r="BA1296" t="s">
        <v>274</v>
      </c>
      <c r="BB1296">
        <v>2018</v>
      </c>
      <c r="BC1296">
        <v>5</v>
      </c>
      <c r="BD1296">
        <v>4</v>
      </c>
      <c r="BE1296" t="s">
        <v>69</v>
      </c>
      <c r="BF1296" t="s">
        <v>69</v>
      </c>
      <c r="BG1296" t="s">
        <v>69</v>
      </c>
      <c r="BH1296" t="s">
        <v>69</v>
      </c>
      <c r="BI1296">
        <v>481</v>
      </c>
      <c r="BJ1296">
        <v>489</v>
      </c>
      <c r="BK1296" t="s">
        <v>69</v>
      </c>
      <c r="BL1296" t="s">
        <v>2370</v>
      </c>
      <c r="BM1296" t="str">
        <f>HYPERLINK("http://dx.doi.org/10.1016/j.exis.2018.06.010","http://dx.doi.org/10.1016/j.exis.2018.06.010")</f>
        <v>http://dx.doi.org/10.1016/j.exis.2018.06.010</v>
      </c>
      <c r="BN1296" t="s">
        <v>69</v>
      </c>
      <c r="BO1296" t="s">
        <v>69</v>
      </c>
      <c r="BP1296">
        <v>9</v>
      </c>
      <c r="BQ1296" t="s">
        <v>8660</v>
      </c>
      <c r="BR1296" t="s">
        <v>8661</v>
      </c>
      <c r="BS1296" t="s">
        <v>8662</v>
      </c>
      <c r="BT1296" t="s">
        <v>18215</v>
      </c>
      <c r="BU1296" t="s">
        <v>2371</v>
      </c>
      <c r="BV1296" t="s">
        <v>69</v>
      </c>
      <c r="BW1296" t="s">
        <v>69</v>
      </c>
      <c r="BX1296" t="s">
        <v>69</v>
      </c>
      <c r="BY1296" t="s">
        <v>69</v>
      </c>
      <c r="BZ1296" t="s">
        <v>8526</v>
      </c>
      <c r="CA1296" t="str">
        <f>HYPERLINK("https%3A%2F%2Fwww.webofscience.com%2Fwos%2Fwoscc%2Ffull-record%2FWOS:000450354300008","View Full Record in Web of Science")</f>
        <v>View Full Record in Web of Science</v>
      </c>
    </row>
    <row r="1297" spans="2:79" ht="12.5" x14ac:dyDescent="0.25">
      <c r="B1297" t="s">
        <v>8495</v>
      </c>
      <c r="D1297" s="7" t="s">
        <v>32933</v>
      </c>
      <c r="E1297" s="7"/>
      <c r="F1297" s="7"/>
      <c r="G1297" s="7"/>
      <c r="H1297" t="s">
        <v>67</v>
      </c>
      <c r="I1297" t="s">
        <v>2821</v>
      </c>
      <c r="J1297" t="s">
        <v>69</v>
      </c>
      <c r="K1297" t="s">
        <v>69</v>
      </c>
      <c r="L1297" t="s">
        <v>69</v>
      </c>
      <c r="M1297" t="s">
        <v>2822</v>
      </c>
      <c r="N1297" t="s">
        <v>69</v>
      </c>
      <c r="O1297" t="s">
        <v>69</v>
      </c>
      <c r="P1297" t="s">
        <v>2823</v>
      </c>
      <c r="Q1297" t="s">
        <v>2824</v>
      </c>
      <c r="R1297" t="s">
        <v>69</v>
      </c>
      <c r="S1297" t="s">
        <v>69</v>
      </c>
      <c r="T1297" t="s">
        <v>8505</v>
      </c>
      <c r="U1297" t="s">
        <v>8506</v>
      </c>
      <c r="V1297" t="s">
        <v>69</v>
      </c>
      <c r="W1297" t="s">
        <v>69</v>
      </c>
      <c r="X1297" t="s">
        <v>69</v>
      </c>
      <c r="Y1297" t="s">
        <v>69</v>
      </c>
      <c r="Z1297" t="s">
        <v>69</v>
      </c>
      <c r="AA1297" t="s">
        <v>21356</v>
      </c>
      <c r="AB1297" t="s">
        <v>21357</v>
      </c>
      <c r="AC1297" t="s">
        <v>2825</v>
      </c>
      <c r="AD1297" t="s">
        <v>21358</v>
      </c>
      <c r="AE1297" t="s">
        <v>69</v>
      </c>
      <c r="AF1297" t="s">
        <v>21359</v>
      </c>
      <c r="AG1297" t="s">
        <v>21360</v>
      </c>
      <c r="AH1297" t="s">
        <v>69</v>
      </c>
      <c r="AI1297" t="s">
        <v>69</v>
      </c>
      <c r="AJ1297" t="s">
        <v>69</v>
      </c>
      <c r="AK1297" t="s">
        <v>69</v>
      </c>
      <c r="AL1297" t="s">
        <v>69</v>
      </c>
      <c r="AM1297" t="s">
        <v>69</v>
      </c>
      <c r="AN1297">
        <v>28</v>
      </c>
      <c r="AO1297">
        <v>6</v>
      </c>
      <c r="AP1297">
        <v>6</v>
      </c>
      <c r="AQ1297">
        <v>1</v>
      </c>
      <c r="AR1297">
        <v>23</v>
      </c>
      <c r="AS1297" t="s">
        <v>10315</v>
      </c>
      <c r="AT1297" t="s">
        <v>10316</v>
      </c>
      <c r="AU1297" t="s">
        <v>10317</v>
      </c>
      <c r="AV1297" t="s">
        <v>2826</v>
      </c>
      <c r="AW1297" t="s">
        <v>2827</v>
      </c>
      <c r="AX1297" t="s">
        <v>69</v>
      </c>
      <c r="AY1297" t="s">
        <v>21361</v>
      </c>
      <c r="AZ1297" t="s">
        <v>21362</v>
      </c>
      <c r="BA1297" t="s">
        <v>255</v>
      </c>
      <c r="BB1297">
        <v>2016</v>
      </c>
      <c r="BC1297">
        <v>59</v>
      </c>
      <c r="BD1297">
        <v>3</v>
      </c>
      <c r="BE1297" t="s">
        <v>69</v>
      </c>
      <c r="BF1297" t="s">
        <v>69</v>
      </c>
      <c r="BG1297" t="s">
        <v>69</v>
      </c>
      <c r="BH1297" t="s">
        <v>69</v>
      </c>
      <c r="BI1297">
        <v>245</v>
      </c>
      <c r="BJ1297">
        <v>260</v>
      </c>
      <c r="BK1297" t="s">
        <v>69</v>
      </c>
      <c r="BL1297" t="s">
        <v>2828</v>
      </c>
      <c r="BM1297" t="str">
        <f>HYPERLINK("http://dx.doi.org/10.1109/TPC.2016.2583278","http://dx.doi.org/10.1109/TPC.2016.2583278")</f>
        <v>http://dx.doi.org/10.1109/TPC.2016.2583278</v>
      </c>
      <c r="BN1297" t="s">
        <v>69</v>
      </c>
      <c r="BO1297" t="s">
        <v>69</v>
      </c>
      <c r="BP1297">
        <v>16</v>
      </c>
      <c r="BQ1297" t="s">
        <v>21363</v>
      </c>
      <c r="BR1297" t="s">
        <v>8661</v>
      </c>
      <c r="BS1297" t="s">
        <v>21364</v>
      </c>
      <c r="BT1297" t="s">
        <v>21365</v>
      </c>
      <c r="BU1297" t="s">
        <v>2829</v>
      </c>
      <c r="BV1297" t="s">
        <v>69</v>
      </c>
      <c r="BW1297" t="s">
        <v>69</v>
      </c>
      <c r="BX1297" t="s">
        <v>69</v>
      </c>
      <c r="BY1297" t="s">
        <v>69</v>
      </c>
      <c r="BZ1297" t="s">
        <v>8526</v>
      </c>
      <c r="CA1297" t="str">
        <f>HYPERLINK("https%3A%2F%2Fwww.webofscience.com%2Fwos%2Fwoscc%2Ffull-record%2FWOS:000383891400005","View Full Record in Web of Science")</f>
        <v>View Full Record in Web of Science</v>
      </c>
    </row>
    <row r="1298" spans="2:79" x14ac:dyDescent="0.3">
      <c r="B1298" t="s">
        <v>8495</v>
      </c>
      <c r="D1298" s="9" t="s">
        <v>32954</v>
      </c>
      <c r="E1298" s="9" t="s">
        <v>33159</v>
      </c>
      <c r="F1298" s="9" t="s">
        <v>8491</v>
      </c>
      <c r="G1298" s="9" t="s">
        <v>8490</v>
      </c>
      <c r="H1298" t="s">
        <v>67</v>
      </c>
      <c r="I1298" t="s">
        <v>29887</v>
      </c>
      <c r="J1298" t="s">
        <v>69</v>
      </c>
      <c r="K1298" t="s">
        <v>69</v>
      </c>
      <c r="L1298" t="s">
        <v>69</v>
      </c>
      <c r="M1298" t="s">
        <v>29888</v>
      </c>
      <c r="N1298" t="s">
        <v>69</v>
      </c>
      <c r="O1298" t="s">
        <v>69</v>
      </c>
      <c r="P1298" t="s">
        <v>29889</v>
      </c>
      <c r="Q1298" t="s">
        <v>3759</v>
      </c>
      <c r="R1298" t="s">
        <v>69</v>
      </c>
      <c r="S1298" t="s">
        <v>69</v>
      </c>
      <c r="T1298" t="s">
        <v>8505</v>
      </c>
      <c r="U1298" t="s">
        <v>8506</v>
      </c>
      <c r="V1298" t="s">
        <v>69</v>
      </c>
      <c r="W1298" t="s">
        <v>69</v>
      </c>
      <c r="X1298" t="s">
        <v>69</v>
      </c>
      <c r="Y1298" t="s">
        <v>69</v>
      </c>
      <c r="Z1298" t="s">
        <v>69</v>
      </c>
      <c r="AA1298" t="s">
        <v>29890</v>
      </c>
      <c r="AB1298" t="s">
        <v>69</v>
      </c>
      <c r="AC1298" t="s">
        <v>29891</v>
      </c>
      <c r="AD1298" t="s">
        <v>29892</v>
      </c>
      <c r="AE1298" t="s">
        <v>69</v>
      </c>
      <c r="AF1298" t="s">
        <v>29893</v>
      </c>
      <c r="AG1298" t="s">
        <v>29894</v>
      </c>
      <c r="AH1298" t="s">
        <v>69</v>
      </c>
      <c r="AI1298" t="s">
        <v>69</v>
      </c>
      <c r="AJ1298" t="s">
        <v>69</v>
      </c>
      <c r="AK1298" t="s">
        <v>69</v>
      </c>
      <c r="AL1298" t="s">
        <v>69</v>
      </c>
      <c r="AM1298" t="s">
        <v>69</v>
      </c>
      <c r="AN1298">
        <v>34</v>
      </c>
      <c r="AO1298">
        <v>38</v>
      </c>
      <c r="AP1298">
        <v>39</v>
      </c>
      <c r="AQ1298">
        <v>2</v>
      </c>
      <c r="AR1298">
        <v>34</v>
      </c>
      <c r="AS1298" t="s">
        <v>8865</v>
      </c>
      <c r="AT1298" t="s">
        <v>8612</v>
      </c>
      <c r="AU1298" t="s">
        <v>22341</v>
      </c>
      <c r="AV1298" t="s">
        <v>3761</v>
      </c>
      <c r="AW1298" t="s">
        <v>69</v>
      </c>
      <c r="AX1298" t="s">
        <v>69</v>
      </c>
      <c r="AY1298" t="s">
        <v>29895</v>
      </c>
      <c r="AZ1298" t="s">
        <v>29896</v>
      </c>
      <c r="BA1298" t="s">
        <v>69</v>
      </c>
      <c r="BB1298">
        <v>2007</v>
      </c>
      <c r="BC1298">
        <v>1</v>
      </c>
      <c r="BD1298">
        <v>1</v>
      </c>
      <c r="BE1298" t="s">
        <v>69</v>
      </c>
      <c r="BF1298" t="s">
        <v>69</v>
      </c>
      <c r="BG1298" t="s">
        <v>69</v>
      </c>
      <c r="BH1298" t="s">
        <v>69</v>
      </c>
      <c r="BI1298">
        <v>99</v>
      </c>
      <c r="BJ1298">
        <v>110</v>
      </c>
      <c r="BK1298" t="s">
        <v>69</v>
      </c>
      <c r="BL1298" t="s">
        <v>29897</v>
      </c>
      <c r="BM1298" t="str">
        <f>HYPERLINK("http://dx.doi.org/10.1080/17524030701334342","http://dx.doi.org/10.1080/17524030701334342")</f>
        <v>http://dx.doi.org/10.1080/17524030701334342</v>
      </c>
      <c r="BN1298" t="s">
        <v>69</v>
      </c>
      <c r="BO1298" t="s">
        <v>69</v>
      </c>
      <c r="BP1298">
        <v>12</v>
      </c>
      <c r="BQ1298" t="s">
        <v>29898</v>
      </c>
      <c r="BR1298" t="s">
        <v>8661</v>
      </c>
      <c r="BS1298" t="s">
        <v>29899</v>
      </c>
      <c r="BT1298" t="s">
        <v>29900</v>
      </c>
      <c r="BU1298" t="s">
        <v>29901</v>
      </c>
      <c r="BV1298" t="s">
        <v>69</v>
      </c>
      <c r="BW1298" t="s">
        <v>69</v>
      </c>
      <c r="BX1298" t="s">
        <v>69</v>
      </c>
      <c r="BY1298" t="s">
        <v>69</v>
      </c>
      <c r="BZ1298" t="s">
        <v>8526</v>
      </c>
      <c r="CA1298" t="str">
        <f>HYPERLINK("https%3A%2F%2Fwww.webofscience.com%2Fwos%2Fwoscc%2Ffull-record%2FWOS:000207484700010","View Full Record in Web of Science")</f>
        <v>View Full Record in Web of Science</v>
      </c>
    </row>
    <row r="1299" spans="2:79" ht="12.5" x14ac:dyDescent="0.25">
      <c r="B1299" t="s">
        <v>8495</v>
      </c>
      <c r="D1299" s="7" t="s">
        <v>32933</v>
      </c>
      <c r="E1299" s="7"/>
      <c r="F1299" s="7"/>
      <c r="G1299" s="7"/>
      <c r="H1299" t="s">
        <v>67</v>
      </c>
      <c r="I1299" t="s">
        <v>8106</v>
      </c>
      <c r="J1299" t="s">
        <v>69</v>
      </c>
      <c r="K1299" t="s">
        <v>69</v>
      </c>
      <c r="L1299" t="s">
        <v>69</v>
      </c>
      <c r="M1299" t="s">
        <v>8107</v>
      </c>
      <c r="N1299" t="s">
        <v>69</v>
      </c>
      <c r="O1299" t="s">
        <v>69</v>
      </c>
      <c r="P1299" t="s">
        <v>8108</v>
      </c>
      <c r="Q1299" t="s">
        <v>4552</v>
      </c>
      <c r="R1299" t="s">
        <v>69</v>
      </c>
      <c r="S1299" t="s">
        <v>69</v>
      </c>
      <c r="T1299" t="s">
        <v>8505</v>
      </c>
      <c r="U1299" t="s">
        <v>8506</v>
      </c>
      <c r="V1299" t="s">
        <v>69</v>
      </c>
      <c r="W1299" t="s">
        <v>69</v>
      </c>
      <c r="X1299" t="s">
        <v>69</v>
      </c>
      <c r="Y1299" t="s">
        <v>69</v>
      </c>
      <c r="Z1299" t="s">
        <v>69</v>
      </c>
      <c r="AA1299" t="s">
        <v>20560</v>
      </c>
      <c r="AB1299" t="s">
        <v>20561</v>
      </c>
      <c r="AC1299" t="s">
        <v>8109</v>
      </c>
      <c r="AD1299" t="s">
        <v>20562</v>
      </c>
      <c r="AE1299" t="s">
        <v>69</v>
      </c>
      <c r="AF1299" t="s">
        <v>20563</v>
      </c>
      <c r="AG1299" t="s">
        <v>20564</v>
      </c>
      <c r="AH1299" t="s">
        <v>8110</v>
      </c>
      <c r="AI1299" t="s">
        <v>8111</v>
      </c>
      <c r="AJ1299" t="s">
        <v>69</v>
      </c>
      <c r="AK1299" t="s">
        <v>69</v>
      </c>
      <c r="AL1299" t="s">
        <v>69</v>
      </c>
      <c r="AM1299" t="s">
        <v>69</v>
      </c>
      <c r="AN1299">
        <v>42</v>
      </c>
      <c r="AO1299">
        <v>7</v>
      </c>
      <c r="AP1299">
        <v>7</v>
      </c>
      <c r="AQ1299">
        <v>0</v>
      </c>
      <c r="AR1299">
        <v>23</v>
      </c>
      <c r="AS1299" t="s">
        <v>9091</v>
      </c>
      <c r="AT1299" t="s">
        <v>8763</v>
      </c>
      <c r="AU1299" t="s">
        <v>15468</v>
      </c>
      <c r="AV1299" t="s">
        <v>4556</v>
      </c>
      <c r="AW1299" t="s">
        <v>69</v>
      </c>
      <c r="AX1299" t="s">
        <v>69</v>
      </c>
      <c r="AY1299" t="s">
        <v>4552</v>
      </c>
      <c r="AZ1299" t="s">
        <v>9094</v>
      </c>
      <c r="BA1299" t="s">
        <v>191</v>
      </c>
      <c r="BB1299">
        <v>2017</v>
      </c>
      <c r="BC1299">
        <v>19</v>
      </c>
      <c r="BD1299">
        <v>1</v>
      </c>
      <c r="BE1299" t="s">
        <v>69</v>
      </c>
      <c r="BF1299" t="s">
        <v>69</v>
      </c>
      <c r="BG1299" t="s">
        <v>69</v>
      </c>
      <c r="BH1299" t="s">
        <v>69</v>
      </c>
      <c r="BI1299">
        <v>115</v>
      </c>
      <c r="BJ1299">
        <v>127</v>
      </c>
      <c r="BK1299" t="s">
        <v>69</v>
      </c>
      <c r="BL1299" t="s">
        <v>8112</v>
      </c>
      <c r="BM1299" t="str">
        <f>HYPERLINK("http://dx.doi.org/10.2166/wp.2016.253","http://dx.doi.org/10.2166/wp.2016.253")</f>
        <v>http://dx.doi.org/10.2166/wp.2016.253</v>
      </c>
      <c r="BN1299" t="s">
        <v>69</v>
      </c>
      <c r="BO1299" t="s">
        <v>69</v>
      </c>
      <c r="BP1299">
        <v>13</v>
      </c>
      <c r="BQ1299" t="s">
        <v>9096</v>
      </c>
      <c r="BR1299" t="s">
        <v>8523</v>
      </c>
      <c r="BS1299" t="s">
        <v>9096</v>
      </c>
      <c r="BT1299" t="s">
        <v>20565</v>
      </c>
      <c r="BU1299" t="s">
        <v>8113</v>
      </c>
      <c r="BV1299" t="s">
        <v>69</v>
      </c>
      <c r="BW1299" t="s">
        <v>69</v>
      </c>
      <c r="BX1299" t="s">
        <v>69</v>
      </c>
      <c r="BY1299" t="s">
        <v>69</v>
      </c>
      <c r="BZ1299" t="s">
        <v>8526</v>
      </c>
      <c r="CA1299" t="str">
        <f>HYPERLINK("https%3A%2F%2Fwww.webofscience.com%2Fwos%2Fwoscc%2Ffull-record%2FWOS:000394341200008","View Full Record in Web of Science")</f>
        <v>View Full Record in Web of Science</v>
      </c>
    </row>
    <row r="1300" spans="2:79" ht="12.5" x14ac:dyDescent="0.25">
      <c r="B1300" t="s">
        <v>8495</v>
      </c>
      <c r="D1300" s="7" t="s">
        <v>32933</v>
      </c>
      <c r="E1300" s="7"/>
      <c r="F1300" s="7"/>
      <c r="G1300" s="7"/>
      <c r="H1300" t="s">
        <v>67</v>
      </c>
      <c r="I1300" t="s">
        <v>943</v>
      </c>
      <c r="J1300" t="s">
        <v>69</v>
      </c>
      <c r="K1300" t="s">
        <v>69</v>
      </c>
      <c r="L1300" t="s">
        <v>69</v>
      </c>
      <c r="M1300" t="s">
        <v>944</v>
      </c>
      <c r="N1300" t="s">
        <v>69</v>
      </c>
      <c r="O1300" t="s">
        <v>69</v>
      </c>
      <c r="P1300" t="s">
        <v>945</v>
      </c>
      <c r="Q1300" t="s">
        <v>946</v>
      </c>
      <c r="R1300" t="s">
        <v>69</v>
      </c>
      <c r="S1300" t="s">
        <v>69</v>
      </c>
      <c r="T1300" t="s">
        <v>8505</v>
      </c>
      <c r="U1300" t="s">
        <v>8506</v>
      </c>
      <c r="V1300" t="s">
        <v>69</v>
      </c>
      <c r="W1300" t="s">
        <v>69</v>
      </c>
      <c r="X1300" t="s">
        <v>69</v>
      </c>
      <c r="Y1300" t="s">
        <v>69</v>
      </c>
      <c r="Z1300" t="s">
        <v>69</v>
      </c>
      <c r="AA1300" t="s">
        <v>17257</v>
      </c>
      <c r="AB1300" t="s">
        <v>69</v>
      </c>
      <c r="AC1300" t="s">
        <v>947</v>
      </c>
      <c r="AD1300" t="s">
        <v>17258</v>
      </c>
      <c r="AE1300" t="s">
        <v>69</v>
      </c>
      <c r="AF1300" t="s">
        <v>17259</v>
      </c>
      <c r="AG1300" t="s">
        <v>69</v>
      </c>
      <c r="AH1300" t="s">
        <v>69</v>
      </c>
      <c r="AI1300" t="s">
        <v>69</v>
      </c>
      <c r="AJ1300" t="s">
        <v>69</v>
      </c>
      <c r="AK1300" t="s">
        <v>69</v>
      </c>
      <c r="AL1300" t="s">
        <v>69</v>
      </c>
      <c r="AM1300" t="s">
        <v>69</v>
      </c>
      <c r="AN1300">
        <v>34</v>
      </c>
      <c r="AO1300">
        <v>0</v>
      </c>
      <c r="AP1300">
        <v>0</v>
      </c>
      <c r="AQ1300">
        <v>0</v>
      </c>
      <c r="AR1300">
        <v>1</v>
      </c>
      <c r="AS1300" t="s">
        <v>10118</v>
      </c>
      <c r="AT1300" t="s">
        <v>10119</v>
      </c>
      <c r="AU1300" t="s">
        <v>17260</v>
      </c>
      <c r="AV1300" t="s">
        <v>948</v>
      </c>
      <c r="AW1300" t="s">
        <v>949</v>
      </c>
      <c r="AX1300" t="s">
        <v>69</v>
      </c>
      <c r="AY1300" t="s">
        <v>17261</v>
      </c>
      <c r="AZ1300" t="s">
        <v>17262</v>
      </c>
      <c r="BA1300" t="s">
        <v>586</v>
      </c>
      <c r="BB1300">
        <v>2019</v>
      </c>
      <c r="BC1300">
        <v>67</v>
      </c>
      <c r="BD1300">
        <v>2</v>
      </c>
      <c r="BE1300" t="s">
        <v>69</v>
      </c>
      <c r="BF1300" t="s">
        <v>69</v>
      </c>
      <c r="BG1300" t="s">
        <v>69</v>
      </c>
      <c r="BH1300" t="s">
        <v>69</v>
      </c>
      <c r="BI1300">
        <v>95</v>
      </c>
      <c r="BJ1300">
        <v>112</v>
      </c>
      <c r="BK1300" t="s">
        <v>69</v>
      </c>
      <c r="BL1300" t="s">
        <v>950</v>
      </c>
      <c r="BM1300" t="str">
        <f>HYPERLINK("http://dx.doi.org/10.2478/admin-2019-0015","http://dx.doi.org/10.2478/admin-2019-0015")</f>
        <v>http://dx.doi.org/10.2478/admin-2019-0015</v>
      </c>
      <c r="BN1300" t="s">
        <v>69</v>
      </c>
      <c r="BO1300" t="s">
        <v>69</v>
      </c>
      <c r="BP1300">
        <v>18</v>
      </c>
      <c r="BQ1300" t="s">
        <v>12182</v>
      </c>
      <c r="BR1300" t="s">
        <v>8573</v>
      </c>
      <c r="BS1300" t="s">
        <v>12182</v>
      </c>
      <c r="BT1300" t="s">
        <v>17263</v>
      </c>
      <c r="BU1300" t="s">
        <v>951</v>
      </c>
      <c r="BV1300" t="s">
        <v>69</v>
      </c>
      <c r="BW1300" t="s">
        <v>11853</v>
      </c>
      <c r="BX1300" t="s">
        <v>69</v>
      </c>
      <c r="BY1300" t="s">
        <v>69</v>
      </c>
      <c r="BZ1300" t="s">
        <v>8526</v>
      </c>
      <c r="CA1300" t="str">
        <f>HYPERLINK("https%3A%2F%2Fwww.webofscience.com%2Fwos%2Fwoscc%2Ffull-record%2FWOS:000471188800005","View Full Record in Web of Science")</f>
        <v>View Full Record in Web of Science</v>
      </c>
    </row>
    <row r="1301" spans="2:79" ht="12.5" x14ac:dyDescent="0.25">
      <c r="B1301" t="s">
        <v>8495</v>
      </c>
      <c r="D1301" s="22" t="s">
        <v>32931</v>
      </c>
      <c r="E1301" s="7"/>
      <c r="F1301" s="7"/>
      <c r="G1301" s="7"/>
      <c r="H1301" t="s">
        <v>67</v>
      </c>
      <c r="I1301" t="s">
        <v>28677</v>
      </c>
      <c r="J1301" t="s">
        <v>69</v>
      </c>
      <c r="K1301" t="s">
        <v>69</v>
      </c>
      <c r="L1301" t="s">
        <v>69</v>
      </c>
      <c r="M1301" t="s">
        <v>28678</v>
      </c>
      <c r="N1301" t="s">
        <v>69</v>
      </c>
      <c r="O1301" t="s">
        <v>69</v>
      </c>
      <c r="P1301" t="s">
        <v>28679</v>
      </c>
      <c r="Q1301" t="s">
        <v>28680</v>
      </c>
      <c r="R1301" t="s">
        <v>69</v>
      </c>
      <c r="S1301" t="s">
        <v>69</v>
      </c>
      <c r="T1301" t="s">
        <v>8505</v>
      </c>
      <c r="U1301" t="s">
        <v>8506</v>
      </c>
      <c r="V1301" t="s">
        <v>69</v>
      </c>
      <c r="W1301" t="s">
        <v>69</v>
      </c>
      <c r="X1301" t="s">
        <v>69</v>
      </c>
      <c r="Y1301" t="s">
        <v>69</v>
      </c>
      <c r="Z1301" t="s">
        <v>69</v>
      </c>
      <c r="AA1301" t="s">
        <v>28681</v>
      </c>
      <c r="AB1301" t="s">
        <v>69</v>
      </c>
      <c r="AC1301" t="s">
        <v>28682</v>
      </c>
      <c r="AD1301" t="s">
        <v>28683</v>
      </c>
      <c r="AE1301" t="s">
        <v>69</v>
      </c>
      <c r="AF1301" t="s">
        <v>28684</v>
      </c>
      <c r="AG1301" t="s">
        <v>28685</v>
      </c>
      <c r="AH1301" t="s">
        <v>28686</v>
      </c>
      <c r="AI1301" t="s">
        <v>28687</v>
      </c>
      <c r="AJ1301" t="s">
        <v>28688</v>
      </c>
      <c r="AK1301" t="s">
        <v>28689</v>
      </c>
      <c r="AL1301" t="s">
        <v>28690</v>
      </c>
      <c r="AM1301" t="s">
        <v>69</v>
      </c>
      <c r="AN1301">
        <v>52</v>
      </c>
      <c r="AO1301">
        <v>15</v>
      </c>
      <c r="AP1301">
        <v>15</v>
      </c>
      <c r="AQ1301">
        <v>3</v>
      </c>
      <c r="AR1301">
        <v>5</v>
      </c>
      <c r="AS1301" t="s">
        <v>8611</v>
      </c>
      <c r="AT1301" t="s">
        <v>8612</v>
      </c>
      <c r="AU1301" t="s">
        <v>8613</v>
      </c>
      <c r="AV1301" t="s">
        <v>28691</v>
      </c>
      <c r="AW1301" t="s">
        <v>28692</v>
      </c>
      <c r="AX1301" t="s">
        <v>69</v>
      </c>
      <c r="AY1301" t="s">
        <v>28693</v>
      </c>
      <c r="AZ1301" t="s">
        <v>28694</v>
      </c>
      <c r="BA1301" t="s">
        <v>69</v>
      </c>
      <c r="BB1301">
        <v>2009</v>
      </c>
      <c r="BC1301">
        <v>5</v>
      </c>
      <c r="BD1301" t="s">
        <v>336</v>
      </c>
      <c r="BE1301" t="s">
        <v>69</v>
      </c>
      <c r="BF1301" t="s">
        <v>69</v>
      </c>
      <c r="BG1301" t="s">
        <v>69</v>
      </c>
      <c r="BH1301" t="s">
        <v>69</v>
      </c>
      <c r="BI1301">
        <v>24</v>
      </c>
      <c r="BJ1301">
        <v>35</v>
      </c>
      <c r="BK1301" t="s">
        <v>69</v>
      </c>
      <c r="BL1301" t="s">
        <v>28695</v>
      </c>
      <c r="BM1301" t="str">
        <f>HYPERLINK("http://dx.doi.org/10.3763/aedm.2009.0903","http://dx.doi.org/10.3763/aedm.2009.0903")</f>
        <v>http://dx.doi.org/10.3763/aedm.2009.0903</v>
      </c>
      <c r="BN1301" t="s">
        <v>69</v>
      </c>
      <c r="BO1301" t="s">
        <v>69</v>
      </c>
      <c r="BP1301">
        <v>12</v>
      </c>
      <c r="BQ1301" t="s">
        <v>11242</v>
      </c>
      <c r="BR1301" t="s">
        <v>8573</v>
      </c>
      <c r="BS1301" t="s">
        <v>8549</v>
      </c>
      <c r="BT1301" t="s">
        <v>28696</v>
      </c>
      <c r="BU1301" t="s">
        <v>28697</v>
      </c>
      <c r="BV1301" t="s">
        <v>69</v>
      </c>
      <c r="BW1301" t="s">
        <v>69</v>
      </c>
      <c r="BX1301" t="s">
        <v>69</v>
      </c>
      <c r="BY1301" t="s">
        <v>69</v>
      </c>
      <c r="BZ1301" t="s">
        <v>8526</v>
      </c>
      <c r="CA1301" t="str">
        <f>HYPERLINK("https%3A%2F%2Fwww.webofscience.com%2Fwos%2Fwoscc%2Ffull-record%2FWOS:000213067300003","View Full Record in Web of Science")</f>
        <v>View Full Record in Web of Science</v>
      </c>
    </row>
    <row r="1302" spans="2:79" ht="12.5" x14ac:dyDescent="0.25">
      <c r="B1302" t="s">
        <v>8495</v>
      </c>
      <c r="D1302" s="22" t="s">
        <v>32931</v>
      </c>
      <c r="E1302" s="7"/>
      <c r="F1302" s="7"/>
      <c r="G1302" s="7"/>
      <c r="H1302" t="s">
        <v>67</v>
      </c>
      <c r="I1302" t="s">
        <v>25574</v>
      </c>
      <c r="J1302" t="s">
        <v>69</v>
      </c>
      <c r="K1302" t="s">
        <v>69</v>
      </c>
      <c r="L1302" t="s">
        <v>69</v>
      </c>
      <c r="M1302" t="s">
        <v>25575</v>
      </c>
      <c r="N1302" t="s">
        <v>69</v>
      </c>
      <c r="O1302" t="s">
        <v>69</v>
      </c>
      <c r="P1302" t="s">
        <v>25576</v>
      </c>
      <c r="Q1302" t="s">
        <v>25577</v>
      </c>
      <c r="R1302" t="s">
        <v>69</v>
      </c>
      <c r="S1302" t="s">
        <v>69</v>
      </c>
      <c r="T1302" t="s">
        <v>9357</v>
      </c>
      <c r="U1302" t="s">
        <v>8506</v>
      </c>
      <c r="V1302" t="s">
        <v>69</v>
      </c>
      <c r="W1302" t="s">
        <v>69</v>
      </c>
      <c r="X1302" t="s">
        <v>69</v>
      </c>
      <c r="Y1302" t="s">
        <v>69</v>
      </c>
      <c r="Z1302" t="s">
        <v>69</v>
      </c>
      <c r="AA1302" t="s">
        <v>25578</v>
      </c>
      <c r="AB1302" t="s">
        <v>69</v>
      </c>
      <c r="AC1302" t="s">
        <v>25579</v>
      </c>
      <c r="AD1302" t="s">
        <v>25580</v>
      </c>
      <c r="AE1302" t="s">
        <v>69</v>
      </c>
      <c r="AF1302" t="s">
        <v>25581</v>
      </c>
      <c r="AG1302" t="s">
        <v>25582</v>
      </c>
      <c r="AH1302" t="s">
        <v>69</v>
      </c>
      <c r="AI1302" t="s">
        <v>69</v>
      </c>
      <c r="AJ1302" t="s">
        <v>69</v>
      </c>
      <c r="AK1302" t="s">
        <v>69</v>
      </c>
      <c r="AL1302" t="s">
        <v>69</v>
      </c>
      <c r="AM1302" t="s">
        <v>69</v>
      </c>
      <c r="AN1302">
        <v>9</v>
      </c>
      <c r="AO1302">
        <v>0</v>
      </c>
      <c r="AP1302">
        <v>0</v>
      </c>
      <c r="AQ1302">
        <v>0</v>
      </c>
      <c r="AR1302">
        <v>0</v>
      </c>
      <c r="AS1302" t="s">
        <v>25583</v>
      </c>
      <c r="AT1302" t="s">
        <v>9367</v>
      </c>
      <c r="AU1302" t="s">
        <v>25584</v>
      </c>
      <c r="AV1302" t="s">
        <v>25585</v>
      </c>
      <c r="AW1302" t="s">
        <v>69</v>
      </c>
      <c r="AX1302" t="s">
        <v>69</v>
      </c>
      <c r="AY1302" t="s">
        <v>25586</v>
      </c>
      <c r="AZ1302" t="s">
        <v>25587</v>
      </c>
      <c r="BA1302" t="s">
        <v>69</v>
      </c>
      <c r="BB1302">
        <v>2013</v>
      </c>
      <c r="BC1302" t="s">
        <v>69</v>
      </c>
      <c r="BD1302">
        <v>1</v>
      </c>
      <c r="BE1302" t="s">
        <v>69</v>
      </c>
      <c r="BF1302" t="s">
        <v>69</v>
      </c>
      <c r="BG1302" t="s">
        <v>69</v>
      </c>
      <c r="BH1302" t="s">
        <v>69</v>
      </c>
      <c r="BI1302">
        <v>206</v>
      </c>
      <c r="BJ1302">
        <v>224</v>
      </c>
      <c r="BK1302" t="s">
        <v>69</v>
      </c>
      <c r="BL1302" t="s">
        <v>69</v>
      </c>
      <c r="BM1302" t="s">
        <v>69</v>
      </c>
      <c r="BN1302" t="s">
        <v>69</v>
      </c>
      <c r="BO1302" t="s">
        <v>69</v>
      </c>
      <c r="BP1302">
        <v>19</v>
      </c>
      <c r="BQ1302" t="s">
        <v>12182</v>
      </c>
      <c r="BR1302" t="s">
        <v>8573</v>
      </c>
      <c r="BS1302" t="s">
        <v>12182</v>
      </c>
      <c r="BT1302" t="s">
        <v>25588</v>
      </c>
      <c r="BU1302" t="s">
        <v>25589</v>
      </c>
      <c r="BV1302" t="s">
        <v>69</v>
      </c>
      <c r="BW1302" t="s">
        <v>69</v>
      </c>
      <c r="BX1302" t="s">
        <v>69</v>
      </c>
      <c r="BY1302" t="s">
        <v>69</v>
      </c>
      <c r="BZ1302" t="s">
        <v>8526</v>
      </c>
      <c r="CA1302" t="str">
        <f>HYPERLINK("https%3A%2F%2Fwww.webofscience.com%2Fwos%2Fwoscc%2Ffull-record%2FWOS:000421296600010","View Full Record in Web of Science")</f>
        <v>View Full Record in Web of Science</v>
      </c>
    </row>
    <row r="1303" spans="2:79" ht="12.5" x14ac:dyDescent="0.25">
      <c r="B1303" t="s">
        <v>8495</v>
      </c>
      <c r="D1303" s="7" t="s">
        <v>32933</v>
      </c>
      <c r="E1303" s="7"/>
      <c r="F1303" s="7"/>
      <c r="G1303" s="7"/>
      <c r="H1303" t="s">
        <v>67</v>
      </c>
      <c r="I1303" t="s">
        <v>4301</v>
      </c>
      <c r="J1303" t="s">
        <v>69</v>
      </c>
      <c r="K1303" t="s">
        <v>69</v>
      </c>
      <c r="L1303" t="s">
        <v>69</v>
      </c>
      <c r="M1303" t="s">
        <v>4301</v>
      </c>
      <c r="N1303" t="s">
        <v>69</v>
      </c>
      <c r="O1303" t="s">
        <v>69</v>
      </c>
      <c r="P1303" t="s">
        <v>4302</v>
      </c>
      <c r="Q1303" t="s">
        <v>4303</v>
      </c>
      <c r="R1303" t="s">
        <v>69</v>
      </c>
      <c r="S1303" t="s">
        <v>69</v>
      </c>
      <c r="T1303" t="s">
        <v>8505</v>
      </c>
      <c r="U1303" t="s">
        <v>8506</v>
      </c>
      <c r="V1303" t="s">
        <v>69</v>
      </c>
      <c r="W1303" t="s">
        <v>69</v>
      </c>
      <c r="X1303" t="s">
        <v>69</v>
      </c>
      <c r="Y1303" t="s">
        <v>69</v>
      </c>
      <c r="Z1303" t="s">
        <v>69</v>
      </c>
      <c r="AA1303" t="s">
        <v>69</v>
      </c>
      <c r="AB1303" t="s">
        <v>69</v>
      </c>
      <c r="AC1303" t="s">
        <v>4304</v>
      </c>
      <c r="AD1303" t="s">
        <v>32651</v>
      </c>
      <c r="AE1303" t="s">
        <v>69</v>
      </c>
      <c r="AF1303" t="s">
        <v>32652</v>
      </c>
      <c r="AG1303" t="s">
        <v>69</v>
      </c>
      <c r="AH1303" t="s">
        <v>69</v>
      </c>
      <c r="AI1303" t="s">
        <v>69</v>
      </c>
      <c r="AJ1303" t="s">
        <v>69</v>
      </c>
      <c r="AK1303" t="s">
        <v>69</v>
      </c>
      <c r="AL1303" t="s">
        <v>69</v>
      </c>
      <c r="AM1303" t="s">
        <v>69</v>
      </c>
      <c r="AN1303">
        <v>4</v>
      </c>
      <c r="AO1303">
        <v>2</v>
      </c>
      <c r="AP1303">
        <v>2</v>
      </c>
      <c r="AQ1303">
        <v>0</v>
      </c>
      <c r="AR1303">
        <v>0</v>
      </c>
      <c r="AS1303" t="s">
        <v>32181</v>
      </c>
      <c r="AT1303" t="s">
        <v>16417</v>
      </c>
      <c r="AU1303" t="s">
        <v>32182</v>
      </c>
      <c r="AV1303" t="s">
        <v>4305</v>
      </c>
      <c r="AW1303" t="s">
        <v>69</v>
      </c>
      <c r="AX1303" t="s">
        <v>69</v>
      </c>
      <c r="AY1303" t="s">
        <v>4303</v>
      </c>
      <c r="AZ1303" t="s">
        <v>32653</v>
      </c>
      <c r="BA1303" t="s">
        <v>255</v>
      </c>
      <c r="BB1303">
        <v>1994</v>
      </c>
      <c r="BC1303">
        <v>108</v>
      </c>
      <c r="BD1303">
        <v>5</v>
      </c>
      <c r="BE1303" t="s">
        <v>69</v>
      </c>
      <c r="BF1303" t="s">
        <v>69</v>
      </c>
      <c r="BG1303" t="s">
        <v>69</v>
      </c>
      <c r="BH1303" t="s">
        <v>69</v>
      </c>
      <c r="BI1303">
        <v>313</v>
      </c>
      <c r="BJ1303">
        <v>318</v>
      </c>
      <c r="BK1303" t="s">
        <v>69</v>
      </c>
      <c r="BL1303" t="s">
        <v>4306</v>
      </c>
      <c r="BM1303" t="str">
        <f>HYPERLINK("http://dx.doi.org/10.1016/S0033-3506(05)80066-6","http://dx.doi.org/10.1016/S0033-3506(05)80066-6")</f>
        <v>http://dx.doi.org/10.1016/S0033-3506(05)80066-6</v>
      </c>
      <c r="BN1303" t="s">
        <v>69</v>
      </c>
      <c r="BO1303" t="s">
        <v>69</v>
      </c>
      <c r="BP1303">
        <v>6</v>
      </c>
      <c r="BQ1303" t="s">
        <v>8810</v>
      </c>
      <c r="BR1303" t="s">
        <v>32654</v>
      </c>
      <c r="BS1303" t="s">
        <v>8810</v>
      </c>
      <c r="BT1303" t="s">
        <v>32655</v>
      </c>
      <c r="BU1303" t="s">
        <v>4307</v>
      </c>
      <c r="BV1303">
        <v>7972671</v>
      </c>
      <c r="BW1303" t="s">
        <v>69</v>
      </c>
      <c r="BX1303" t="s">
        <v>69</v>
      </c>
      <c r="BY1303" t="s">
        <v>69</v>
      </c>
      <c r="BZ1303" t="s">
        <v>8526</v>
      </c>
      <c r="CA1303" t="str">
        <f>HYPERLINK("https%3A%2F%2Fwww.webofscience.com%2Fwos%2Fwoscc%2Ffull-record%2FWOS:A1994PF87000002","View Full Record in Web of Science")</f>
        <v>View Full Record in Web of Science</v>
      </c>
    </row>
    <row r="1304" spans="2:79" ht="12.5" x14ac:dyDescent="0.25">
      <c r="B1304" t="s">
        <v>8495</v>
      </c>
      <c r="D1304" s="22" t="s">
        <v>32931</v>
      </c>
      <c r="E1304" s="7"/>
      <c r="F1304" s="7"/>
      <c r="G1304" s="7"/>
      <c r="H1304" t="s">
        <v>67</v>
      </c>
      <c r="I1304" t="s">
        <v>12707</v>
      </c>
      <c r="J1304" t="s">
        <v>69</v>
      </c>
      <c r="K1304" t="s">
        <v>69</v>
      </c>
      <c r="L1304" t="s">
        <v>69</v>
      </c>
      <c r="M1304" t="s">
        <v>12708</v>
      </c>
      <c r="N1304" t="s">
        <v>69</v>
      </c>
      <c r="O1304" t="s">
        <v>69</v>
      </c>
      <c r="P1304" t="s">
        <v>12709</v>
      </c>
      <c r="Q1304" t="s">
        <v>12710</v>
      </c>
      <c r="R1304" t="s">
        <v>69</v>
      </c>
      <c r="S1304" t="s">
        <v>69</v>
      </c>
      <c r="T1304" t="s">
        <v>8505</v>
      </c>
      <c r="U1304" t="s">
        <v>8506</v>
      </c>
      <c r="V1304" t="s">
        <v>69</v>
      </c>
      <c r="W1304" t="s">
        <v>69</v>
      </c>
      <c r="X1304" t="s">
        <v>69</v>
      </c>
      <c r="Y1304" t="s">
        <v>69</v>
      </c>
      <c r="Z1304" t="s">
        <v>69</v>
      </c>
      <c r="AA1304" t="s">
        <v>12711</v>
      </c>
      <c r="AB1304" t="s">
        <v>69</v>
      </c>
      <c r="AC1304" t="s">
        <v>12712</v>
      </c>
      <c r="AD1304" t="s">
        <v>12713</v>
      </c>
      <c r="AE1304" t="s">
        <v>69</v>
      </c>
      <c r="AF1304" t="s">
        <v>12714</v>
      </c>
      <c r="AG1304" t="s">
        <v>12715</v>
      </c>
      <c r="AH1304" t="s">
        <v>69</v>
      </c>
      <c r="AI1304" t="s">
        <v>12716</v>
      </c>
      <c r="AJ1304" t="s">
        <v>69</v>
      </c>
      <c r="AK1304" t="s">
        <v>69</v>
      </c>
      <c r="AL1304" t="s">
        <v>69</v>
      </c>
      <c r="AM1304" t="s">
        <v>69</v>
      </c>
      <c r="AN1304">
        <v>82</v>
      </c>
      <c r="AO1304">
        <v>2</v>
      </c>
      <c r="AP1304">
        <v>2</v>
      </c>
      <c r="AQ1304">
        <v>4</v>
      </c>
      <c r="AR1304">
        <v>10</v>
      </c>
      <c r="AS1304" t="s">
        <v>8846</v>
      </c>
      <c r="AT1304" t="s">
        <v>8847</v>
      </c>
      <c r="AU1304" t="s">
        <v>8848</v>
      </c>
      <c r="AV1304" t="s">
        <v>12717</v>
      </c>
      <c r="AW1304" t="s">
        <v>12718</v>
      </c>
      <c r="AX1304" t="s">
        <v>69</v>
      </c>
      <c r="AY1304" t="s">
        <v>12719</v>
      </c>
      <c r="AZ1304" t="s">
        <v>12720</v>
      </c>
      <c r="BA1304" t="s">
        <v>586</v>
      </c>
      <c r="BB1304">
        <v>2021</v>
      </c>
      <c r="BC1304">
        <v>63</v>
      </c>
      <c r="BD1304">
        <v>3</v>
      </c>
      <c r="BE1304" t="s">
        <v>69</v>
      </c>
      <c r="BF1304" t="s">
        <v>69</v>
      </c>
      <c r="BG1304" t="s">
        <v>69</v>
      </c>
      <c r="BH1304" t="s">
        <v>69</v>
      </c>
      <c r="BI1304">
        <v>369</v>
      </c>
      <c r="BJ1304">
        <v>379</v>
      </c>
      <c r="BK1304" t="s">
        <v>69</v>
      </c>
      <c r="BL1304" t="s">
        <v>12721</v>
      </c>
      <c r="BM1304" t="str">
        <f>HYPERLINK("http://dx.doi.org/10.1002/tie.22194","http://dx.doi.org/10.1002/tie.22194")</f>
        <v>http://dx.doi.org/10.1002/tie.22194</v>
      </c>
      <c r="BN1304" t="s">
        <v>69</v>
      </c>
      <c r="BO1304" t="s">
        <v>12704</v>
      </c>
      <c r="BP1304">
        <v>11</v>
      </c>
      <c r="BQ1304" t="s">
        <v>8444</v>
      </c>
      <c r="BR1304" t="s">
        <v>8573</v>
      </c>
      <c r="BS1304" t="s">
        <v>8594</v>
      </c>
      <c r="BT1304" t="s">
        <v>12722</v>
      </c>
      <c r="BU1304" t="s">
        <v>12723</v>
      </c>
      <c r="BV1304" t="s">
        <v>69</v>
      </c>
      <c r="BW1304" t="s">
        <v>69</v>
      </c>
      <c r="BX1304" t="s">
        <v>69</v>
      </c>
      <c r="BY1304" t="s">
        <v>69</v>
      </c>
      <c r="BZ1304" t="s">
        <v>8526</v>
      </c>
      <c r="CA1304" t="str">
        <f>HYPERLINK("https%3A%2F%2Fwww.webofscience.com%2Fwos%2Fwoscc%2Ffull-record%2FWOS:000630171200001","View Full Record in Web of Science")</f>
        <v>View Full Record in Web of Science</v>
      </c>
    </row>
    <row r="1305" spans="2:79" x14ac:dyDescent="0.3">
      <c r="B1305" t="s">
        <v>8495</v>
      </c>
      <c r="D1305" s="13" t="s">
        <v>33017</v>
      </c>
      <c r="H1305" t="s">
        <v>67</v>
      </c>
      <c r="I1305" t="s">
        <v>5933</v>
      </c>
      <c r="J1305" t="s">
        <v>69</v>
      </c>
      <c r="K1305" t="s">
        <v>69</v>
      </c>
      <c r="L1305" t="s">
        <v>69</v>
      </c>
      <c r="M1305" s="4" t="s">
        <v>5933</v>
      </c>
      <c r="N1305" t="s">
        <v>69</v>
      </c>
      <c r="O1305" t="s">
        <v>69</v>
      </c>
      <c r="P1305" s="2" t="s">
        <v>5934</v>
      </c>
      <c r="Q1305" t="s">
        <v>5935</v>
      </c>
      <c r="R1305" t="s">
        <v>69</v>
      </c>
      <c r="S1305" t="s">
        <v>69</v>
      </c>
      <c r="T1305" t="s">
        <v>8505</v>
      </c>
      <c r="U1305" t="s">
        <v>8506</v>
      </c>
      <c r="V1305" t="s">
        <v>69</v>
      </c>
      <c r="W1305" t="s">
        <v>69</v>
      </c>
      <c r="X1305" t="s">
        <v>69</v>
      </c>
      <c r="Y1305" t="s">
        <v>69</v>
      </c>
      <c r="Z1305" t="s">
        <v>69</v>
      </c>
      <c r="AA1305" t="s">
        <v>69</v>
      </c>
      <c r="AB1305" t="s">
        <v>69</v>
      </c>
      <c r="AC1305" t="s">
        <v>5936</v>
      </c>
      <c r="AD1305" t="s">
        <v>32708</v>
      </c>
      <c r="AE1305" t="s">
        <v>69</v>
      </c>
      <c r="AF1305" t="s">
        <v>32709</v>
      </c>
      <c r="AG1305" t="s">
        <v>69</v>
      </c>
      <c r="AH1305" t="s">
        <v>69</v>
      </c>
      <c r="AI1305" t="s">
        <v>69</v>
      </c>
      <c r="AJ1305" t="s">
        <v>69</v>
      </c>
      <c r="AK1305" t="s">
        <v>69</v>
      </c>
      <c r="AL1305" t="s">
        <v>69</v>
      </c>
      <c r="AM1305" t="s">
        <v>69</v>
      </c>
      <c r="AN1305">
        <v>63</v>
      </c>
      <c r="AO1305">
        <v>9</v>
      </c>
      <c r="AP1305">
        <v>9</v>
      </c>
      <c r="AQ1305">
        <v>1</v>
      </c>
      <c r="AR1305">
        <v>25</v>
      </c>
      <c r="AS1305" t="s">
        <v>32710</v>
      </c>
      <c r="AT1305" t="s">
        <v>10518</v>
      </c>
      <c r="AU1305" t="s">
        <v>32711</v>
      </c>
      <c r="AV1305" t="s">
        <v>5937</v>
      </c>
      <c r="AW1305" t="s">
        <v>69</v>
      </c>
      <c r="AX1305" t="s">
        <v>69</v>
      </c>
      <c r="AY1305" t="s">
        <v>32712</v>
      </c>
      <c r="AZ1305" t="s">
        <v>32713</v>
      </c>
      <c r="BA1305" t="s">
        <v>1710</v>
      </c>
      <c r="BB1305">
        <v>1993</v>
      </c>
      <c r="BC1305">
        <v>36</v>
      </c>
      <c r="BD1305">
        <v>4</v>
      </c>
      <c r="BE1305" t="s">
        <v>69</v>
      </c>
      <c r="BF1305" t="s">
        <v>69</v>
      </c>
      <c r="BG1305" t="s">
        <v>69</v>
      </c>
      <c r="BH1305" t="s">
        <v>69</v>
      </c>
      <c r="BI1305">
        <v>499</v>
      </c>
      <c r="BJ1305">
        <v>529</v>
      </c>
      <c r="BK1305" t="s">
        <v>69</v>
      </c>
      <c r="BL1305" t="s">
        <v>5938</v>
      </c>
      <c r="BM1305" t="str">
        <f>HYPERLINK("http://dx.doi.org/10.1111/j.1754-7121.1993.tb00831.x","http://dx.doi.org/10.1111/j.1754-7121.1993.tb00831.x")</f>
        <v>http://dx.doi.org/10.1111/j.1754-7121.1993.tb00831.x</v>
      </c>
      <c r="BN1305" t="s">
        <v>69</v>
      </c>
      <c r="BO1305" t="s">
        <v>69</v>
      </c>
      <c r="BP1305">
        <v>31</v>
      </c>
      <c r="BQ1305" t="s">
        <v>12182</v>
      </c>
      <c r="BR1305" t="s">
        <v>8661</v>
      </c>
      <c r="BS1305" t="s">
        <v>12182</v>
      </c>
      <c r="BT1305" t="s">
        <v>32714</v>
      </c>
      <c r="BU1305" t="s">
        <v>5939</v>
      </c>
      <c r="BV1305" t="s">
        <v>69</v>
      </c>
      <c r="BW1305" t="s">
        <v>69</v>
      </c>
      <c r="BX1305" t="s">
        <v>69</v>
      </c>
      <c r="BY1305" t="s">
        <v>69</v>
      </c>
      <c r="BZ1305" t="s">
        <v>8526</v>
      </c>
      <c r="CA1305" t="str">
        <f>HYPERLINK("https%3A%2F%2Fwww.webofscience.com%2Fwos%2Fwoscc%2Ffull-record%2FWOS:A1993MX75400003","View Full Record in Web of Science")</f>
        <v>View Full Record in Web of Science</v>
      </c>
    </row>
    <row r="1306" spans="2:79" ht="12.5" x14ac:dyDescent="0.25">
      <c r="B1306" t="s">
        <v>8495</v>
      </c>
      <c r="D1306" s="7" t="s">
        <v>32933</v>
      </c>
      <c r="E1306" s="7"/>
      <c r="F1306" s="7"/>
      <c r="G1306" s="7"/>
      <c r="H1306" t="s">
        <v>67</v>
      </c>
      <c r="I1306" t="s">
        <v>7311</v>
      </c>
      <c r="J1306" t="s">
        <v>69</v>
      </c>
      <c r="K1306" t="s">
        <v>69</v>
      </c>
      <c r="L1306" t="s">
        <v>69</v>
      </c>
      <c r="M1306" t="s">
        <v>7312</v>
      </c>
      <c r="N1306" t="s">
        <v>69</v>
      </c>
      <c r="O1306" t="s">
        <v>69</v>
      </c>
      <c r="P1306" t="s">
        <v>7313</v>
      </c>
      <c r="Q1306" t="s">
        <v>859</v>
      </c>
      <c r="R1306" t="s">
        <v>69</v>
      </c>
      <c r="S1306" t="s">
        <v>69</v>
      </c>
      <c r="T1306" t="s">
        <v>8505</v>
      </c>
      <c r="U1306" t="s">
        <v>8506</v>
      </c>
      <c r="V1306" t="s">
        <v>69</v>
      </c>
      <c r="W1306" t="s">
        <v>69</v>
      </c>
      <c r="X1306" t="s">
        <v>69</v>
      </c>
      <c r="Y1306" t="s">
        <v>69</v>
      </c>
      <c r="Z1306" t="s">
        <v>69</v>
      </c>
      <c r="AA1306" t="s">
        <v>69</v>
      </c>
      <c r="AB1306" t="s">
        <v>18498</v>
      </c>
      <c r="AC1306" t="s">
        <v>7314</v>
      </c>
      <c r="AD1306" t="s">
        <v>18499</v>
      </c>
      <c r="AE1306" t="s">
        <v>69</v>
      </c>
      <c r="AF1306" t="s">
        <v>18500</v>
      </c>
      <c r="AG1306" t="s">
        <v>18501</v>
      </c>
      <c r="AH1306" t="s">
        <v>69</v>
      </c>
      <c r="AI1306" t="s">
        <v>7315</v>
      </c>
      <c r="AJ1306" t="s">
        <v>18502</v>
      </c>
      <c r="AK1306" t="s">
        <v>18503</v>
      </c>
      <c r="AL1306" t="s">
        <v>18504</v>
      </c>
      <c r="AM1306" t="s">
        <v>69</v>
      </c>
      <c r="AN1306">
        <v>43</v>
      </c>
      <c r="AO1306">
        <v>7</v>
      </c>
      <c r="AP1306">
        <v>7</v>
      </c>
      <c r="AQ1306">
        <v>0</v>
      </c>
      <c r="AR1306">
        <v>6</v>
      </c>
      <c r="AS1306" t="s">
        <v>11130</v>
      </c>
      <c r="AT1306" t="s">
        <v>11131</v>
      </c>
      <c r="AU1306" t="s">
        <v>11132</v>
      </c>
      <c r="AV1306" t="s">
        <v>862</v>
      </c>
      <c r="AW1306" t="s">
        <v>69</v>
      </c>
      <c r="AX1306" t="s">
        <v>69</v>
      </c>
      <c r="AY1306" t="s">
        <v>859</v>
      </c>
      <c r="AZ1306" t="s">
        <v>11133</v>
      </c>
      <c r="BA1306" t="s">
        <v>3297</v>
      </c>
      <c r="BB1306">
        <v>2018</v>
      </c>
      <c r="BC1306">
        <v>13</v>
      </c>
      <c r="BD1306">
        <v>8</v>
      </c>
      <c r="BE1306" t="s">
        <v>69</v>
      </c>
      <c r="BF1306" t="s">
        <v>69</v>
      </c>
      <c r="BG1306" t="s">
        <v>69</v>
      </c>
      <c r="BH1306" t="s">
        <v>69</v>
      </c>
      <c r="BI1306" t="s">
        <v>69</v>
      </c>
      <c r="BJ1306" t="s">
        <v>69</v>
      </c>
      <c r="BK1306" t="s">
        <v>7316</v>
      </c>
      <c r="BL1306" t="s">
        <v>7317</v>
      </c>
      <c r="BM1306" t="str">
        <f>HYPERLINK("http://dx.doi.org/10.1371/journal.pone.0201145","http://dx.doi.org/10.1371/journal.pone.0201145")</f>
        <v>http://dx.doi.org/10.1371/journal.pone.0201145</v>
      </c>
      <c r="BN1306" t="s">
        <v>69</v>
      </c>
      <c r="BO1306" t="s">
        <v>69</v>
      </c>
      <c r="BP1306">
        <v>18</v>
      </c>
      <c r="BQ1306" t="s">
        <v>8619</v>
      </c>
      <c r="BR1306" t="s">
        <v>8548</v>
      </c>
      <c r="BS1306" t="s">
        <v>8620</v>
      </c>
      <c r="BT1306" t="s">
        <v>18505</v>
      </c>
      <c r="BU1306" t="s">
        <v>7318</v>
      </c>
      <c r="BV1306">
        <v>30067802</v>
      </c>
      <c r="BW1306" t="s">
        <v>10482</v>
      </c>
      <c r="BX1306" t="s">
        <v>69</v>
      </c>
      <c r="BY1306" t="s">
        <v>69</v>
      </c>
      <c r="BZ1306" t="s">
        <v>8526</v>
      </c>
      <c r="CA1306" t="str">
        <f>HYPERLINK("https%3A%2F%2Fwww.webofscience.com%2Fwos%2Fwoscc%2Ffull-record%2FWOS:000440415500077","View Full Record in Web of Science")</f>
        <v>View Full Record in Web of Science</v>
      </c>
    </row>
    <row r="1307" spans="2:79" ht="12.5" x14ac:dyDescent="0.25">
      <c r="B1307" t="s">
        <v>8495</v>
      </c>
      <c r="D1307" s="7" t="s">
        <v>32933</v>
      </c>
      <c r="E1307" s="7"/>
      <c r="F1307" s="7"/>
      <c r="G1307" s="7"/>
      <c r="H1307" t="s">
        <v>67</v>
      </c>
      <c r="I1307" t="s">
        <v>7378</v>
      </c>
      <c r="J1307" t="s">
        <v>69</v>
      </c>
      <c r="K1307" t="s">
        <v>69</v>
      </c>
      <c r="L1307" t="s">
        <v>69</v>
      </c>
      <c r="M1307" t="s">
        <v>7379</v>
      </c>
      <c r="N1307" t="s">
        <v>69</v>
      </c>
      <c r="O1307" t="s">
        <v>69</v>
      </c>
      <c r="P1307" t="s">
        <v>7380</v>
      </c>
      <c r="Q1307" t="s">
        <v>7381</v>
      </c>
      <c r="R1307" t="s">
        <v>69</v>
      </c>
      <c r="S1307" t="s">
        <v>69</v>
      </c>
      <c r="T1307" t="s">
        <v>10071</v>
      </c>
      <c r="U1307" t="s">
        <v>8506</v>
      </c>
      <c r="V1307" t="s">
        <v>69</v>
      </c>
      <c r="W1307" t="s">
        <v>69</v>
      </c>
      <c r="X1307" t="s">
        <v>69</v>
      </c>
      <c r="Y1307" t="s">
        <v>69</v>
      </c>
      <c r="Z1307" t="s">
        <v>69</v>
      </c>
      <c r="AA1307" t="s">
        <v>22586</v>
      </c>
      <c r="AB1307" t="s">
        <v>69</v>
      </c>
      <c r="AC1307" t="s">
        <v>7382</v>
      </c>
      <c r="AD1307" t="s">
        <v>22587</v>
      </c>
      <c r="AE1307" t="s">
        <v>69</v>
      </c>
      <c r="AF1307" t="s">
        <v>22588</v>
      </c>
      <c r="AG1307" t="s">
        <v>22589</v>
      </c>
      <c r="AH1307" t="s">
        <v>69</v>
      </c>
      <c r="AI1307" t="s">
        <v>7383</v>
      </c>
      <c r="AJ1307" t="s">
        <v>69</v>
      </c>
      <c r="AK1307" t="s">
        <v>69</v>
      </c>
      <c r="AL1307" t="s">
        <v>69</v>
      </c>
      <c r="AM1307" t="s">
        <v>69</v>
      </c>
      <c r="AN1307">
        <v>24</v>
      </c>
      <c r="AO1307">
        <v>0</v>
      </c>
      <c r="AP1307">
        <v>0</v>
      </c>
      <c r="AQ1307">
        <v>0</v>
      </c>
      <c r="AR1307">
        <v>2</v>
      </c>
      <c r="AS1307" t="s">
        <v>22590</v>
      </c>
      <c r="AT1307" t="s">
        <v>16078</v>
      </c>
      <c r="AU1307" t="s">
        <v>22591</v>
      </c>
      <c r="AV1307" t="s">
        <v>7384</v>
      </c>
      <c r="AW1307" t="s">
        <v>7385</v>
      </c>
      <c r="AX1307" t="s">
        <v>69</v>
      </c>
      <c r="AY1307" t="s">
        <v>22592</v>
      </c>
      <c r="AZ1307" t="s">
        <v>22593</v>
      </c>
      <c r="BA1307" t="s">
        <v>6479</v>
      </c>
      <c r="BB1307">
        <v>2015</v>
      </c>
      <c r="BC1307">
        <v>38</v>
      </c>
      <c r="BD1307">
        <v>2</v>
      </c>
      <c r="BE1307" t="s">
        <v>69</v>
      </c>
      <c r="BF1307" t="s">
        <v>69</v>
      </c>
      <c r="BG1307" t="s">
        <v>69</v>
      </c>
      <c r="BH1307" t="s">
        <v>69</v>
      </c>
      <c r="BI1307">
        <v>139</v>
      </c>
      <c r="BJ1307">
        <v>165</v>
      </c>
      <c r="BK1307" t="s">
        <v>69</v>
      </c>
      <c r="BL1307" t="s">
        <v>7386</v>
      </c>
      <c r="BM1307" t="str">
        <f>HYPERLINK("http://dx.doi.org/10.15446/rcs.v38n2.55551","http://dx.doi.org/10.15446/rcs.v38n2.55551")</f>
        <v>http://dx.doi.org/10.15446/rcs.v38n2.55551</v>
      </c>
      <c r="BN1307" t="s">
        <v>69</v>
      </c>
      <c r="BO1307" t="s">
        <v>69</v>
      </c>
      <c r="BP1307">
        <v>27</v>
      </c>
      <c r="BQ1307" t="s">
        <v>12930</v>
      </c>
      <c r="BR1307" t="s">
        <v>8573</v>
      </c>
      <c r="BS1307" t="s">
        <v>12930</v>
      </c>
      <c r="BT1307" t="s">
        <v>22594</v>
      </c>
      <c r="BU1307" t="s">
        <v>7387</v>
      </c>
      <c r="BV1307" t="s">
        <v>69</v>
      </c>
      <c r="BW1307" t="s">
        <v>10765</v>
      </c>
      <c r="BX1307" t="s">
        <v>69</v>
      </c>
      <c r="BY1307" t="s">
        <v>69</v>
      </c>
      <c r="BZ1307" t="s">
        <v>8526</v>
      </c>
      <c r="CA1307" t="str">
        <f>HYPERLINK("https%3A%2F%2Fwww.webofscience.com%2Fwos%2Fwoscc%2Ffull-record%2FWOS:000439514300007","View Full Record in Web of Science")</f>
        <v>View Full Record in Web of Science</v>
      </c>
    </row>
    <row r="1308" spans="2:79" ht="12.5" x14ac:dyDescent="0.25">
      <c r="B1308" t="s">
        <v>8495</v>
      </c>
      <c r="D1308" s="7" t="s">
        <v>32933</v>
      </c>
      <c r="E1308" s="7"/>
      <c r="F1308" s="7"/>
      <c r="G1308" s="7"/>
      <c r="H1308" t="s">
        <v>67</v>
      </c>
      <c r="I1308" t="s">
        <v>8170</v>
      </c>
      <c r="J1308" t="s">
        <v>69</v>
      </c>
      <c r="K1308" t="s">
        <v>69</v>
      </c>
      <c r="L1308" t="s">
        <v>69</v>
      </c>
      <c r="M1308" t="s">
        <v>8171</v>
      </c>
      <c r="N1308" t="s">
        <v>69</v>
      </c>
      <c r="O1308" t="s">
        <v>69</v>
      </c>
      <c r="P1308" t="s">
        <v>8172</v>
      </c>
      <c r="Q1308" t="s">
        <v>8173</v>
      </c>
      <c r="R1308" t="s">
        <v>69</v>
      </c>
      <c r="S1308" t="s">
        <v>69</v>
      </c>
      <c r="T1308" t="s">
        <v>8505</v>
      </c>
      <c r="U1308" t="s">
        <v>8506</v>
      </c>
      <c r="V1308" t="s">
        <v>69</v>
      </c>
      <c r="W1308" t="s">
        <v>69</v>
      </c>
      <c r="X1308" t="s">
        <v>69</v>
      </c>
      <c r="Y1308" t="s">
        <v>69</v>
      </c>
      <c r="Z1308" t="s">
        <v>69</v>
      </c>
      <c r="AA1308" t="s">
        <v>28383</v>
      </c>
      <c r="AB1308" t="s">
        <v>28384</v>
      </c>
      <c r="AC1308" t="s">
        <v>8174</v>
      </c>
      <c r="AD1308" t="s">
        <v>28385</v>
      </c>
      <c r="AE1308" t="s">
        <v>69</v>
      </c>
      <c r="AF1308" t="s">
        <v>28386</v>
      </c>
      <c r="AG1308" t="s">
        <v>69</v>
      </c>
      <c r="AH1308" t="s">
        <v>69</v>
      </c>
      <c r="AI1308" t="s">
        <v>8175</v>
      </c>
      <c r="AJ1308" t="s">
        <v>69</v>
      </c>
      <c r="AK1308" t="s">
        <v>69</v>
      </c>
      <c r="AL1308" t="s">
        <v>69</v>
      </c>
      <c r="AM1308" t="s">
        <v>69</v>
      </c>
      <c r="AN1308">
        <v>46</v>
      </c>
      <c r="AO1308">
        <v>3</v>
      </c>
      <c r="AP1308">
        <v>3</v>
      </c>
      <c r="AQ1308">
        <v>0</v>
      </c>
      <c r="AR1308">
        <v>28</v>
      </c>
      <c r="AS1308" t="s">
        <v>8762</v>
      </c>
      <c r="AT1308" t="s">
        <v>8763</v>
      </c>
      <c r="AU1308" t="s">
        <v>8764</v>
      </c>
      <c r="AV1308" t="s">
        <v>8176</v>
      </c>
      <c r="AW1308" t="s">
        <v>8177</v>
      </c>
      <c r="AX1308" t="s">
        <v>69</v>
      </c>
      <c r="AY1308" t="s">
        <v>28387</v>
      </c>
      <c r="AZ1308" t="s">
        <v>28388</v>
      </c>
      <c r="BA1308" t="s">
        <v>255</v>
      </c>
      <c r="BB1308">
        <v>2009</v>
      </c>
      <c r="BC1308">
        <v>75</v>
      </c>
      <c r="BD1308">
        <v>3</v>
      </c>
      <c r="BE1308" t="s">
        <v>69</v>
      </c>
      <c r="BF1308" t="s">
        <v>69</v>
      </c>
      <c r="BG1308" t="s">
        <v>69</v>
      </c>
      <c r="BH1308" t="s">
        <v>69</v>
      </c>
      <c r="BI1308">
        <v>419</v>
      </c>
      <c r="BJ1308">
        <v>435</v>
      </c>
      <c r="BK1308" t="s">
        <v>69</v>
      </c>
      <c r="BL1308" t="s">
        <v>8178</v>
      </c>
      <c r="BM1308" t="str">
        <f>HYPERLINK("http://dx.doi.org/10.1177/0020852309341332","http://dx.doi.org/10.1177/0020852309341332")</f>
        <v>http://dx.doi.org/10.1177/0020852309341332</v>
      </c>
      <c r="BN1308" t="s">
        <v>69</v>
      </c>
      <c r="BO1308" t="s">
        <v>69</v>
      </c>
      <c r="BP1308">
        <v>17</v>
      </c>
      <c r="BQ1308" t="s">
        <v>12182</v>
      </c>
      <c r="BR1308" t="s">
        <v>8661</v>
      </c>
      <c r="BS1308" t="s">
        <v>12182</v>
      </c>
      <c r="BT1308" t="s">
        <v>28389</v>
      </c>
      <c r="BU1308" t="s">
        <v>8179</v>
      </c>
      <c r="BV1308" t="s">
        <v>69</v>
      </c>
      <c r="BW1308" t="s">
        <v>69</v>
      </c>
      <c r="BX1308" t="s">
        <v>69</v>
      </c>
      <c r="BY1308" t="s">
        <v>69</v>
      </c>
      <c r="BZ1308" t="s">
        <v>8526</v>
      </c>
      <c r="CA1308" t="str">
        <f>HYPERLINK("https%3A%2F%2Fwww.webofscience.com%2Fwos%2Fwoscc%2Ffull-record%2FWOS:000270465500004","View Full Record in Web of Science")</f>
        <v>View Full Record in Web of Science</v>
      </c>
    </row>
    <row r="1309" spans="2:79" ht="12.5" x14ac:dyDescent="0.25">
      <c r="B1309" t="s">
        <v>8495</v>
      </c>
      <c r="D1309" s="22" t="s">
        <v>32931</v>
      </c>
      <c r="E1309" s="7"/>
      <c r="F1309" s="7"/>
      <c r="G1309" s="7"/>
      <c r="H1309" t="s">
        <v>67</v>
      </c>
      <c r="I1309" t="s">
        <v>9167</v>
      </c>
      <c r="J1309" t="s">
        <v>69</v>
      </c>
      <c r="K1309" t="s">
        <v>69</v>
      </c>
      <c r="L1309" t="s">
        <v>69</v>
      </c>
      <c r="M1309" t="s">
        <v>9168</v>
      </c>
      <c r="N1309" t="s">
        <v>69</v>
      </c>
      <c r="O1309" t="s">
        <v>69</v>
      </c>
      <c r="P1309" t="s">
        <v>9169</v>
      </c>
      <c r="Q1309" t="s">
        <v>9170</v>
      </c>
      <c r="R1309" t="s">
        <v>69</v>
      </c>
      <c r="S1309" t="s">
        <v>69</v>
      </c>
      <c r="T1309" t="s">
        <v>8505</v>
      </c>
      <c r="U1309" t="s">
        <v>8506</v>
      </c>
      <c r="V1309" t="s">
        <v>69</v>
      </c>
      <c r="W1309" t="s">
        <v>69</v>
      </c>
      <c r="X1309" t="s">
        <v>69</v>
      </c>
      <c r="Y1309" t="s">
        <v>69</v>
      </c>
      <c r="Z1309" t="s">
        <v>69</v>
      </c>
      <c r="AA1309" t="s">
        <v>9171</v>
      </c>
      <c r="AB1309" t="s">
        <v>69</v>
      </c>
      <c r="AC1309" t="s">
        <v>9172</v>
      </c>
      <c r="AD1309" t="s">
        <v>9173</v>
      </c>
      <c r="AE1309" t="s">
        <v>69</v>
      </c>
      <c r="AF1309" t="s">
        <v>9174</v>
      </c>
      <c r="AG1309" t="s">
        <v>9175</v>
      </c>
      <c r="AH1309" t="s">
        <v>69</v>
      </c>
      <c r="AI1309" t="s">
        <v>69</v>
      </c>
      <c r="AJ1309" t="s">
        <v>9176</v>
      </c>
      <c r="AK1309" t="s">
        <v>9176</v>
      </c>
      <c r="AL1309" t="s">
        <v>9177</v>
      </c>
      <c r="AM1309" t="s">
        <v>69</v>
      </c>
      <c r="AN1309">
        <v>14</v>
      </c>
      <c r="AO1309">
        <v>0</v>
      </c>
      <c r="AP1309">
        <v>0</v>
      </c>
      <c r="AQ1309">
        <v>1</v>
      </c>
      <c r="AR1309">
        <v>1</v>
      </c>
      <c r="AS1309" t="s">
        <v>9178</v>
      </c>
      <c r="AT1309" t="s">
        <v>8763</v>
      </c>
      <c r="AU1309" t="s">
        <v>9179</v>
      </c>
      <c r="AV1309" t="s">
        <v>69</v>
      </c>
      <c r="AW1309" t="s">
        <v>9180</v>
      </c>
      <c r="AX1309" t="s">
        <v>69</v>
      </c>
      <c r="AY1309" t="s">
        <v>9181</v>
      </c>
      <c r="AZ1309" t="s">
        <v>9182</v>
      </c>
      <c r="BA1309" t="s">
        <v>586</v>
      </c>
      <c r="BB1309">
        <v>2022</v>
      </c>
      <c r="BC1309">
        <v>11</v>
      </c>
      <c r="BD1309" t="s">
        <v>9183</v>
      </c>
      <c r="BE1309" t="s">
        <v>69</v>
      </c>
      <c r="BF1309">
        <v>1</v>
      </c>
      <c r="BG1309" t="s">
        <v>69</v>
      </c>
      <c r="BH1309" t="s">
        <v>69</v>
      </c>
      <c r="BI1309" t="s">
        <v>69</v>
      </c>
      <c r="BJ1309" t="s">
        <v>69</v>
      </c>
      <c r="BK1309" t="s">
        <v>9184</v>
      </c>
      <c r="BL1309" t="s">
        <v>9185</v>
      </c>
      <c r="BM1309" t="str">
        <f>HYPERLINK("http://dx.doi.org/10.1136/bmjoq-2021-001775","http://dx.doi.org/10.1136/bmjoq-2021-001775")</f>
        <v>http://dx.doi.org/10.1136/bmjoq-2021-001775</v>
      </c>
      <c r="BN1309" t="s">
        <v>69</v>
      </c>
      <c r="BO1309" t="s">
        <v>69</v>
      </c>
      <c r="BP1309">
        <v>6</v>
      </c>
      <c r="BQ1309" t="s">
        <v>9186</v>
      </c>
      <c r="BR1309" t="s">
        <v>8573</v>
      </c>
      <c r="BS1309" t="s">
        <v>9187</v>
      </c>
      <c r="BT1309" t="s">
        <v>9188</v>
      </c>
      <c r="BU1309" t="s">
        <v>9189</v>
      </c>
      <c r="BV1309">
        <v>35545274</v>
      </c>
      <c r="BW1309" t="s">
        <v>8812</v>
      </c>
      <c r="BX1309" t="s">
        <v>69</v>
      </c>
      <c r="BY1309" t="s">
        <v>69</v>
      </c>
      <c r="BZ1309" t="s">
        <v>8526</v>
      </c>
      <c r="CA1309" t="str">
        <f>HYPERLINK("https%3A%2F%2Fwww.webofscience.com%2Fwos%2Fwoscc%2Ffull-record%2FWOS:000793935700008","View Full Record in Web of Science")</f>
        <v>View Full Record in Web of Science</v>
      </c>
    </row>
    <row r="1310" spans="2:79" ht="12.5" x14ac:dyDescent="0.25">
      <c r="B1310" t="s">
        <v>8495</v>
      </c>
      <c r="D1310" s="7" t="s">
        <v>32933</v>
      </c>
      <c r="E1310" s="7"/>
      <c r="F1310" s="7"/>
      <c r="G1310" s="7"/>
      <c r="H1310" t="s">
        <v>67</v>
      </c>
      <c r="I1310" t="s">
        <v>5555</v>
      </c>
      <c r="J1310" t="s">
        <v>69</v>
      </c>
      <c r="K1310" t="s">
        <v>69</v>
      </c>
      <c r="L1310" t="s">
        <v>69</v>
      </c>
      <c r="M1310" t="s">
        <v>5556</v>
      </c>
      <c r="N1310" t="s">
        <v>69</v>
      </c>
      <c r="O1310" t="s">
        <v>69</v>
      </c>
      <c r="P1310" t="s">
        <v>7162</v>
      </c>
      <c r="Q1310" t="s">
        <v>7163</v>
      </c>
      <c r="R1310" t="s">
        <v>69</v>
      </c>
      <c r="S1310" t="s">
        <v>69</v>
      </c>
      <c r="T1310" t="s">
        <v>8505</v>
      </c>
      <c r="U1310" t="s">
        <v>8506</v>
      </c>
      <c r="V1310" t="s">
        <v>69</v>
      </c>
      <c r="W1310" t="s">
        <v>69</v>
      </c>
      <c r="X1310" t="s">
        <v>69</v>
      </c>
      <c r="Y1310" t="s">
        <v>69</v>
      </c>
      <c r="Z1310" t="s">
        <v>69</v>
      </c>
      <c r="AA1310" t="s">
        <v>27278</v>
      </c>
      <c r="AB1310" t="s">
        <v>27279</v>
      </c>
      <c r="AC1310" t="s">
        <v>7164</v>
      </c>
      <c r="AD1310" t="s">
        <v>27280</v>
      </c>
      <c r="AE1310" t="s">
        <v>69</v>
      </c>
      <c r="AF1310" t="s">
        <v>27281</v>
      </c>
      <c r="AG1310" t="s">
        <v>27282</v>
      </c>
      <c r="AH1310" t="s">
        <v>25000</v>
      </c>
      <c r="AI1310" t="s">
        <v>25001</v>
      </c>
      <c r="AJ1310" t="s">
        <v>69</v>
      </c>
      <c r="AK1310" t="s">
        <v>69</v>
      </c>
      <c r="AL1310" t="s">
        <v>69</v>
      </c>
      <c r="AM1310" t="s">
        <v>69</v>
      </c>
      <c r="AN1310">
        <v>20</v>
      </c>
      <c r="AO1310">
        <v>34</v>
      </c>
      <c r="AP1310">
        <v>34</v>
      </c>
      <c r="AQ1310">
        <v>0</v>
      </c>
      <c r="AR1310">
        <v>11</v>
      </c>
      <c r="AS1310" t="s">
        <v>27283</v>
      </c>
      <c r="AT1310" t="s">
        <v>27284</v>
      </c>
      <c r="AU1310" t="s">
        <v>27285</v>
      </c>
      <c r="AV1310" t="s">
        <v>7165</v>
      </c>
      <c r="AW1310" t="s">
        <v>7166</v>
      </c>
      <c r="AX1310" t="s">
        <v>69</v>
      </c>
      <c r="AY1310" t="s">
        <v>27286</v>
      </c>
      <c r="AZ1310" t="s">
        <v>27287</v>
      </c>
      <c r="BA1310" t="s">
        <v>69</v>
      </c>
      <c r="BB1310">
        <v>2011</v>
      </c>
      <c r="BC1310">
        <v>18</v>
      </c>
      <c r="BD1310">
        <v>2</v>
      </c>
      <c r="BE1310" t="s">
        <v>69</v>
      </c>
      <c r="BF1310" t="s">
        <v>69</v>
      </c>
      <c r="BG1310" t="s">
        <v>69</v>
      </c>
      <c r="BH1310" t="s">
        <v>69</v>
      </c>
      <c r="BI1310">
        <v>429</v>
      </c>
      <c r="BJ1310">
        <v>432</v>
      </c>
      <c r="BK1310" t="s">
        <v>69</v>
      </c>
      <c r="BL1310" t="s">
        <v>69</v>
      </c>
      <c r="BM1310" t="s">
        <v>69</v>
      </c>
      <c r="BN1310" t="s">
        <v>69</v>
      </c>
      <c r="BO1310" t="s">
        <v>69</v>
      </c>
      <c r="BP1310">
        <v>4</v>
      </c>
      <c r="BQ1310" t="s">
        <v>10595</v>
      </c>
      <c r="BR1310" t="s">
        <v>8523</v>
      </c>
      <c r="BS1310" t="s">
        <v>10596</v>
      </c>
      <c r="BT1310" t="s">
        <v>27288</v>
      </c>
      <c r="BU1310" t="s">
        <v>7167</v>
      </c>
      <c r="BV1310">
        <v>22216824</v>
      </c>
      <c r="BW1310" t="s">
        <v>69</v>
      </c>
      <c r="BX1310" t="s">
        <v>69</v>
      </c>
      <c r="BY1310" t="s">
        <v>69</v>
      </c>
      <c r="BZ1310" t="s">
        <v>8526</v>
      </c>
      <c r="CA1310" t="str">
        <f>HYPERLINK("https%3A%2F%2Fwww.webofscience.com%2Fwos%2Fwoscc%2Ffull-record%2FWOS:000298829200045","View Full Record in Web of Science")</f>
        <v>View Full Record in Web of Science</v>
      </c>
    </row>
    <row r="1311" spans="2:79" ht="12.5" x14ac:dyDescent="0.25">
      <c r="B1311" t="s">
        <v>8495</v>
      </c>
      <c r="D1311" s="7" t="s">
        <v>32933</v>
      </c>
      <c r="E1311" s="7"/>
      <c r="F1311" s="7"/>
      <c r="G1311" s="7"/>
      <c r="H1311" t="s">
        <v>67</v>
      </c>
      <c r="I1311" t="s">
        <v>5555</v>
      </c>
      <c r="J1311" t="s">
        <v>69</v>
      </c>
      <c r="K1311" t="s">
        <v>69</v>
      </c>
      <c r="L1311" t="s">
        <v>69</v>
      </c>
      <c r="M1311" t="s">
        <v>5556</v>
      </c>
      <c r="N1311" t="s">
        <v>69</v>
      </c>
      <c r="O1311" t="s">
        <v>69</v>
      </c>
      <c r="P1311" t="s">
        <v>5557</v>
      </c>
      <c r="Q1311" t="s">
        <v>5558</v>
      </c>
      <c r="R1311" t="s">
        <v>69</v>
      </c>
      <c r="S1311" t="s">
        <v>69</v>
      </c>
      <c r="T1311" t="s">
        <v>8505</v>
      </c>
      <c r="U1311" t="s">
        <v>8506</v>
      </c>
      <c r="V1311" t="s">
        <v>69</v>
      </c>
      <c r="W1311" t="s">
        <v>69</v>
      </c>
      <c r="X1311" t="s">
        <v>69</v>
      </c>
      <c r="Y1311" t="s">
        <v>69</v>
      </c>
      <c r="Z1311" t="s">
        <v>69</v>
      </c>
      <c r="AA1311" t="s">
        <v>24995</v>
      </c>
      <c r="AB1311" t="s">
        <v>24996</v>
      </c>
      <c r="AC1311" t="s">
        <v>5559</v>
      </c>
      <c r="AD1311" t="s">
        <v>24997</v>
      </c>
      <c r="AE1311" t="s">
        <v>69</v>
      </c>
      <c r="AF1311" t="s">
        <v>24998</v>
      </c>
      <c r="AG1311" t="s">
        <v>24999</v>
      </c>
      <c r="AH1311" t="s">
        <v>25000</v>
      </c>
      <c r="AI1311" t="s">
        <v>25001</v>
      </c>
      <c r="AJ1311" t="s">
        <v>69</v>
      </c>
      <c r="AK1311" t="s">
        <v>69</v>
      </c>
      <c r="AL1311" t="s">
        <v>69</v>
      </c>
      <c r="AM1311" t="s">
        <v>69</v>
      </c>
      <c r="AN1311">
        <v>21</v>
      </c>
      <c r="AO1311">
        <v>1</v>
      </c>
      <c r="AP1311">
        <v>1</v>
      </c>
      <c r="AQ1311">
        <v>0</v>
      </c>
      <c r="AR1311">
        <v>6</v>
      </c>
      <c r="AS1311" t="s">
        <v>8762</v>
      </c>
      <c r="AT1311" t="s">
        <v>8763</v>
      </c>
      <c r="AU1311" t="s">
        <v>8764</v>
      </c>
      <c r="AV1311" t="s">
        <v>5560</v>
      </c>
      <c r="AW1311" t="s">
        <v>5561</v>
      </c>
      <c r="AX1311" t="s">
        <v>69</v>
      </c>
      <c r="AY1311" t="s">
        <v>25002</v>
      </c>
      <c r="AZ1311" t="s">
        <v>25003</v>
      </c>
      <c r="BA1311" t="s">
        <v>586</v>
      </c>
      <c r="BB1311">
        <v>2013</v>
      </c>
      <c r="BC1311">
        <v>59</v>
      </c>
      <c r="BD1311">
        <v>3</v>
      </c>
      <c r="BE1311" t="s">
        <v>69</v>
      </c>
      <c r="BF1311" t="s">
        <v>69</v>
      </c>
      <c r="BG1311" t="s">
        <v>69</v>
      </c>
      <c r="BH1311" t="s">
        <v>69</v>
      </c>
      <c r="BI1311">
        <v>296</v>
      </c>
      <c r="BJ1311">
        <v>300</v>
      </c>
      <c r="BK1311" t="s">
        <v>69</v>
      </c>
      <c r="BL1311" t="s">
        <v>5562</v>
      </c>
      <c r="BM1311" t="str">
        <f>HYPERLINK("http://dx.doi.org/10.1177/0020764012440676","http://dx.doi.org/10.1177/0020764012440676")</f>
        <v>http://dx.doi.org/10.1177/0020764012440676</v>
      </c>
      <c r="BN1311" t="s">
        <v>69</v>
      </c>
      <c r="BO1311" t="s">
        <v>69</v>
      </c>
      <c r="BP1311">
        <v>5</v>
      </c>
      <c r="BQ1311" t="s">
        <v>9332</v>
      </c>
      <c r="BR1311" t="s">
        <v>8661</v>
      </c>
      <c r="BS1311" t="s">
        <v>9332</v>
      </c>
      <c r="BT1311" t="s">
        <v>25004</v>
      </c>
      <c r="BU1311" t="s">
        <v>5563</v>
      </c>
      <c r="BV1311">
        <v>22491757</v>
      </c>
      <c r="BW1311" t="s">
        <v>69</v>
      </c>
      <c r="BX1311" t="s">
        <v>69</v>
      </c>
      <c r="BY1311" t="s">
        <v>69</v>
      </c>
      <c r="BZ1311" t="s">
        <v>8526</v>
      </c>
      <c r="CA1311" t="str">
        <f>HYPERLINK("https%3A%2F%2Fwww.webofscience.com%2Fwos%2Fwoscc%2Ffull-record%2FWOS:000329069400014","View Full Record in Web of Science")</f>
        <v>View Full Record in Web of Science</v>
      </c>
    </row>
    <row r="1312" spans="2:79" ht="12.5" x14ac:dyDescent="0.25">
      <c r="B1312" t="s">
        <v>8495</v>
      </c>
      <c r="D1312" s="7" t="s">
        <v>32933</v>
      </c>
      <c r="E1312" s="7"/>
      <c r="F1312" s="7"/>
      <c r="G1312" s="7"/>
      <c r="H1312" t="s">
        <v>67</v>
      </c>
      <c r="I1312" t="s">
        <v>3271</v>
      </c>
      <c r="J1312" t="s">
        <v>69</v>
      </c>
      <c r="K1312" t="s">
        <v>69</v>
      </c>
      <c r="L1312" t="s">
        <v>69</v>
      </c>
      <c r="M1312" t="s">
        <v>3272</v>
      </c>
      <c r="N1312" t="s">
        <v>69</v>
      </c>
      <c r="O1312" t="s">
        <v>69</v>
      </c>
      <c r="P1312" t="s">
        <v>3273</v>
      </c>
      <c r="Q1312" t="s">
        <v>3274</v>
      </c>
      <c r="R1312" t="s">
        <v>69</v>
      </c>
      <c r="S1312" t="s">
        <v>69</v>
      </c>
      <c r="T1312" t="s">
        <v>8505</v>
      </c>
      <c r="U1312" t="s">
        <v>8506</v>
      </c>
      <c r="V1312" t="s">
        <v>69</v>
      </c>
      <c r="W1312" t="s">
        <v>69</v>
      </c>
      <c r="X1312" t="s">
        <v>69</v>
      </c>
      <c r="Y1312" t="s">
        <v>69</v>
      </c>
      <c r="Z1312" t="s">
        <v>69</v>
      </c>
      <c r="AA1312" t="s">
        <v>24536</v>
      </c>
      <c r="AB1312" t="s">
        <v>24537</v>
      </c>
      <c r="AC1312" t="s">
        <v>3275</v>
      </c>
      <c r="AD1312" t="s">
        <v>24538</v>
      </c>
      <c r="AE1312" t="s">
        <v>69</v>
      </c>
      <c r="AF1312" t="s">
        <v>24539</v>
      </c>
      <c r="AG1312" t="s">
        <v>24540</v>
      </c>
      <c r="AH1312" t="s">
        <v>24541</v>
      </c>
      <c r="AI1312" t="s">
        <v>24542</v>
      </c>
      <c r="AJ1312" t="s">
        <v>24543</v>
      </c>
      <c r="AK1312" t="s">
        <v>24544</v>
      </c>
      <c r="AL1312" t="s">
        <v>24545</v>
      </c>
      <c r="AM1312" t="s">
        <v>69</v>
      </c>
      <c r="AN1312">
        <v>43</v>
      </c>
      <c r="AO1312">
        <v>111</v>
      </c>
      <c r="AP1312">
        <v>114</v>
      </c>
      <c r="AQ1312">
        <v>5</v>
      </c>
      <c r="AR1312">
        <v>115</v>
      </c>
      <c r="AS1312" t="s">
        <v>8516</v>
      </c>
      <c r="AT1312" t="s">
        <v>8517</v>
      </c>
      <c r="AU1312" t="s">
        <v>8518</v>
      </c>
      <c r="AV1312" t="s">
        <v>3276</v>
      </c>
      <c r="AW1312" t="s">
        <v>3277</v>
      </c>
      <c r="AX1312" t="s">
        <v>69</v>
      </c>
      <c r="AY1312" t="s">
        <v>24546</v>
      </c>
      <c r="AZ1312" t="s">
        <v>24547</v>
      </c>
      <c r="BA1312" t="s">
        <v>3278</v>
      </c>
      <c r="BB1312">
        <v>2013</v>
      </c>
      <c r="BC1312">
        <v>262</v>
      </c>
      <c r="BD1312" t="s">
        <v>69</v>
      </c>
      <c r="BE1312" t="s">
        <v>69</v>
      </c>
      <c r="BF1312" t="s">
        <v>69</v>
      </c>
      <c r="BG1312" t="s">
        <v>69</v>
      </c>
      <c r="BH1312" t="s">
        <v>69</v>
      </c>
      <c r="BI1312">
        <v>1213</v>
      </c>
      <c r="BJ1312">
        <v>1222</v>
      </c>
      <c r="BK1312" t="s">
        <v>69</v>
      </c>
      <c r="BL1312" t="s">
        <v>3279</v>
      </c>
      <c r="BM1312" t="str">
        <f>HYPERLINK("http://dx.doi.org/10.1016/j.jhazmat.2012.07.001","http://dx.doi.org/10.1016/j.jhazmat.2012.07.001")</f>
        <v>http://dx.doi.org/10.1016/j.jhazmat.2012.07.001</v>
      </c>
      <c r="BN1312" t="s">
        <v>69</v>
      </c>
      <c r="BO1312" t="s">
        <v>69</v>
      </c>
      <c r="BP1312">
        <v>10</v>
      </c>
      <c r="BQ1312" t="s">
        <v>8743</v>
      </c>
      <c r="BR1312" t="s">
        <v>8548</v>
      </c>
      <c r="BS1312" t="s">
        <v>8744</v>
      </c>
      <c r="BT1312" t="s">
        <v>24548</v>
      </c>
      <c r="BU1312" t="s">
        <v>3280</v>
      </c>
      <c r="BV1312">
        <v>22819961</v>
      </c>
      <c r="BW1312" t="s">
        <v>69</v>
      </c>
      <c r="BX1312" t="s">
        <v>69</v>
      </c>
      <c r="BY1312" t="s">
        <v>69</v>
      </c>
      <c r="BZ1312" t="s">
        <v>8526</v>
      </c>
      <c r="CA1312" t="str">
        <f>HYPERLINK("https%3A%2F%2Fwww.webofscience.com%2Fwos%2Fwoscc%2Ffull-record%2FWOS:000329595500145","View Full Record in Web of Science")</f>
        <v>View Full Record in Web of Science</v>
      </c>
    </row>
    <row r="1313" spans="2:79" x14ac:dyDescent="0.3">
      <c r="B1313" t="s">
        <v>8495</v>
      </c>
      <c r="D1313" s="12" t="s">
        <v>32966</v>
      </c>
      <c r="H1313" t="s">
        <v>67</v>
      </c>
      <c r="I1313" t="s">
        <v>3044</v>
      </c>
      <c r="J1313" t="s">
        <v>69</v>
      </c>
      <c r="K1313" t="s">
        <v>69</v>
      </c>
      <c r="L1313" t="s">
        <v>69</v>
      </c>
      <c r="M1313" t="s">
        <v>3045</v>
      </c>
      <c r="N1313" t="s">
        <v>69</v>
      </c>
      <c r="O1313" t="s">
        <v>69</v>
      </c>
      <c r="P1313" s="2" t="s">
        <v>3046</v>
      </c>
      <c r="Q1313" t="s">
        <v>3047</v>
      </c>
      <c r="R1313" t="s">
        <v>69</v>
      </c>
      <c r="S1313" t="s">
        <v>69</v>
      </c>
      <c r="T1313" t="s">
        <v>8505</v>
      </c>
      <c r="U1313" t="s">
        <v>8506</v>
      </c>
      <c r="V1313" t="s">
        <v>69</v>
      </c>
      <c r="W1313" t="s">
        <v>69</v>
      </c>
      <c r="X1313" t="s">
        <v>69</v>
      </c>
      <c r="Y1313" t="s">
        <v>69</v>
      </c>
      <c r="Z1313" t="s">
        <v>69</v>
      </c>
      <c r="AA1313" t="s">
        <v>22893</v>
      </c>
      <c r="AB1313" t="s">
        <v>69</v>
      </c>
      <c r="AC1313" t="s">
        <v>3048</v>
      </c>
      <c r="AD1313" t="s">
        <v>22894</v>
      </c>
      <c r="AE1313" t="s">
        <v>69</v>
      </c>
      <c r="AF1313" t="s">
        <v>22895</v>
      </c>
      <c r="AG1313" t="s">
        <v>22896</v>
      </c>
      <c r="AH1313" t="s">
        <v>69</v>
      </c>
      <c r="AI1313" t="s">
        <v>69</v>
      </c>
      <c r="AJ1313" t="s">
        <v>69</v>
      </c>
      <c r="AK1313" t="s">
        <v>69</v>
      </c>
      <c r="AL1313" t="s">
        <v>69</v>
      </c>
      <c r="AM1313" t="s">
        <v>69</v>
      </c>
      <c r="AN1313">
        <v>67</v>
      </c>
      <c r="AO1313">
        <v>4</v>
      </c>
      <c r="AP1313">
        <v>4</v>
      </c>
      <c r="AQ1313">
        <v>0</v>
      </c>
      <c r="AR1313">
        <v>15</v>
      </c>
      <c r="AS1313" t="s">
        <v>18342</v>
      </c>
      <c r="AT1313" t="s">
        <v>18343</v>
      </c>
      <c r="AU1313" t="s">
        <v>18344</v>
      </c>
      <c r="AV1313" t="s">
        <v>3049</v>
      </c>
      <c r="AW1313" t="s">
        <v>3050</v>
      </c>
      <c r="AX1313" t="s">
        <v>69</v>
      </c>
      <c r="AY1313" t="s">
        <v>22897</v>
      </c>
      <c r="AZ1313" t="s">
        <v>22898</v>
      </c>
      <c r="BA1313" t="s">
        <v>191</v>
      </c>
      <c r="BB1313">
        <v>2015</v>
      </c>
      <c r="BC1313">
        <v>19</v>
      </c>
      <c r="BD1313">
        <v>1</v>
      </c>
      <c r="BE1313" t="s">
        <v>69</v>
      </c>
      <c r="BF1313" t="s">
        <v>69</v>
      </c>
      <c r="BG1313" t="s">
        <v>69</v>
      </c>
      <c r="BH1313" t="s">
        <v>69</v>
      </c>
      <c r="BI1313" t="s">
        <v>69</v>
      </c>
      <c r="BJ1313" t="s">
        <v>69</v>
      </c>
      <c r="BK1313" t="s">
        <v>3051</v>
      </c>
      <c r="BL1313" t="s">
        <v>3052</v>
      </c>
      <c r="BM1313" t="str">
        <f>HYPERLINK("http://dx.doi.org/10.1142/S1363919615500048","http://dx.doi.org/10.1142/S1363919615500048")</f>
        <v>http://dx.doi.org/10.1142/S1363919615500048</v>
      </c>
      <c r="BN1313" t="s">
        <v>69</v>
      </c>
      <c r="BO1313" t="s">
        <v>69</v>
      </c>
      <c r="BP1313">
        <v>22</v>
      </c>
      <c r="BQ1313" t="s">
        <v>9410</v>
      </c>
      <c r="BR1313" t="s">
        <v>8573</v>
      </c>
      <c r="BS1313" t="s">
        <v>8594</v>
      </c>
      <c r="BT1313" t="s">
        <v>22899</v>
      </c>
      <c r="BU1313" t="s">
        <v>3053</v>
      </c>
      <c r="BV1313" t="s">
        <v>69</v>
      </c>
      <c r="BW1313" t="s">
        <v>69</v>
      </c>
      <c r="BX1313" t="s">
        <v>69</v>
      </c>
      <c r="BY1313" t="s">
        <v>69</v>
      </c>
      <c r="BZ1313" t="s">
        <v>8526</v>
      </c>
      <c r="CA1313" t="str">
        <f>HYPERLINK("https%3A%2F%2Fwww.webofscience.com%2Fwos%2Fwoscc%2Ffull-record%2FWOS:000216510100004","View Full Record in Web of Science")</f>
        <v>View Full Record in Web of Science</v>
      </c>
    </row>
    <row r="1314" spans="2:79" ht="12.5" x14ac:dyDescent="0.25">
      <c r="B1314" t="s">
        <v>8495</v>
      </c>
      <c r="D1314" s="22" t="s">
        <v>32931</v>
      </c>
      <c r="E1314" s="7"/>
      <c r="F1314" s="7"/>
      <c r="G1314" s="7"/>
      <c r="H1314" t="s">
        <v>67</v>
      </c>
      <c r="I1314" t="s">
        <v>22034</v>
      </c>
      <c r="J1314" t="s">
        <v>69</v>
      </c>
      <c r="K1314" t="s">
        <v>69</v>
      </c>
      <c r="L1314" t="s">
        <v>69</v>
      </c>
      <c r="M1314" t="s">
        <v>22035</v>
      </c>
      <c r="N1314" t="s">
        <v>69</v>
      </c>
      <c r="O1314" t="s">
        <v>69</v>
      </c>
      <c r="P1314" t="s">
        <v>22036</v>
      </c>
      <c r="Q1314" t="s">
        <v>5798</v>
      </c>
      <c r="R1314" t="s">
        <v>69</v>
      </c>
      <c r="S1314" t="s">
        <v>69</v>
      </c>
      <c r="T1314" t="s">
        <v>8505</v>
      </c>
      <c r="U1314" t="s">
        <v>8506</v>
      </c>
      <c r="V1314" t="s">
        <v>69</v>
      </c>
      <c r="W1314" t="s">
        <v>69</v>
      </c>
      <c r="X1314" t="s">
        <v>69</v>
      </c>
      <c r="Y1314" t="s">
        <v>69</v>
      </c>
      <c r="Z1314" t="s">
        <v>69</v>
      </c>
      <c r="AA1314" t="s">
        <v>22037</v>
      </c>
      <c r="AB1314" t="s">
        <v>22038</v>
      </c>
      <c r="AC1314" t="s">
        <v>22039</v>
      </c>
      <c r="AD1314" t="s">
        <v>22040</v>
      </c>
      <c r="AE1314" t="s">
        <v>69</v>
      </c>
      <c r="AF1314" t="s">
        <v>22041</v>
      </c>
      <c r="AG1314" t="s">
        <v>69</v>
      </c>
      <c r="AH1314" t="s">
        <v>69</v>
      </c>
      <c r="AI1314" t="s">
        <v>69</v>
      </c>
      <c r="AJ1314" t="s">
        <v>69</v>
      </c>
      <c r="AK1314" t="s">
        <v>69</v>
      </c>
      <c r="AL1314" t="s">
        <v>69</v>
      </c>
      <c r="AM1314" t="s">
        <v>69</v>
      </c>
      <c r="AN1314">
        <v>51</v>
      </c>
      <c r="AO1314">
        <v>5</v>
      </c>
      <c r="AP1314">
        <v>5</v>
      </c>
      <c r="AQ1314">
        <v>0</v>
      </c>
      <c r="AR1314">
        <v>33</v>
      </c>
      <c r="AS1314" t="s">
        <v>8586</v>
      </c>
      <c r="AT1314" t="s">
        <v>8587</v>
      </c>
      <c r="AU1314" t="s">
        <v>8588</v>
      </c>
      <c r="AV1314" t="s">
        <v>5800</v>
      </c>
      <c r="AW1314" t="s">
        <v>5801</v>
      </c>
      <c r="AX1314" t="s">
        <v>69</v>
      </c>
      <c r="AY1314" t="s">
        <v>15021</v>
      </c>
      <c r="AZ1314" t="s">
        <v>15022</v>
      </c>
      <c r="BA1314" t="s">
        <v>69</v>
      </c>
      <c r="BB1314">
        <v>2016</v>
      </c>
      <c r="BC1314">
        <v>35</v>
      </c>
      <c r="BD1314">
        <v>3</v>
      </c>
      <c r="BE1314" t="s">
        <v>69</v>
      </c>
      <c r="BF1314" t="s">
        <v>69</v>
      </c>
      <c r="BG1314" t="s">
        <v>69</v>
      </c>
      <c r="BH1314" t="s">
        <v>69</v>
      </c>
      <c r="BI1314">
        <v>304</v>
      </c>
      <c r="BJ1314">
        <v>325</v>
      </c>
      <c r="BK1314" t="s">
        <v>69</v>
      </c>
      <c r="BL1314" t="s">
        <v>22042</v>
      </c>
      <c r="BM1314" t="str">
        <f>HYPERLINK("http://dx.doi.org/10.1108/JMD-01-2015-0005","http://dx.doi.org/10.1108/JMD-01-2015-0005")</f>
        <v>http://dx.doi.org/10.1108/JMD-01-2015-0005</v>
      </c>
      <c r="BN1314" t="s">
        <v>69</v>
      </c>
      <c r="BO1314" t="s">
        <v>69</v>
      </c>
      <c r="BP1314">
        <v>22</v>
      </c>
      <c r="BQ1314" t="s">
        <v>9410</v>
      </c>
      <c r="BR1314" t="s">
        <v>8573</v>
      </c>
      <c r="BS1314" t="s">
        <v>8594</v>
      </c>
      <c r="BT1314" t="s">
        <v>22043</v>
      </c>
      <c r="BU1314" t="s">
        <v>22044</v>
      </c>
      <c r="BV1314" t="s">
        <v>69</v>
      </c>
      <c r="BW1314" t="s">
        <v>69</v>
      </c>
      <c r="BX1314" t="s">
        <v>69</v>
      </c>
      <c r="BY1314" t="s">
        <v>69</v>
      </c>
      <c r="BZ1314" t="s">
        <v>8526</v>
      </c>
      <c r="CA1314" t="str">
        <f>HYPERLINK("https%3A%2F%2Fwww.webofscience.com%2Fwos%2Fwoscc%2Ffull-record%2FWOS:000379683200002","View Full Record in Web of Science")</f>
        <v>View Full Record in Web of Science</v>
      </c>
    </row>
    <row r="1315" spans="2:79" ht="12.5" x14ac:dyDescent="0.25">
      <c r="B1315" t="s">
        <v>8495</v>
      </c>
      <c r="D1315" s="22" t="s">
        <v>32931</v>
      </c>
      <c r="E1315" s="7"/>
      <c r="F1315" s="7"/>
      <c r="G1315" s="7"/>
      <c r="H1315" t="s">
        <v>67</v>
      </c>
      <c r="I1315" t="s">
        <v>32598</v>
      </c>
      <c r="J1315" t="s">
        <v>69</v>
      </c>
      <c r="K1315" t="s">
        <v>69</v>
      </c>
      <c r="L1315" t="s">
        <v>69</v>
      </c>
      <c r="M1315" t="s">
        <v>32598</v>
      </c>
      <c r="N1315" t="s">
        <v>69</v>
      </c>
      <c r="O1315" t="s">
        <v>69</v>
      </c>
      <c r="P1315" t="s">
        <v>32599</v>
      </c>
      <c r="Q1315" t="s">
        <v>11160</v>
      </c>
      <c r="R1315" t="s">
        <v>69</v>
      </c>
      <c r="S1315" t="s">
        <v>69</v>
      </c>
      <c r="T1315" t="s">
        <v>8505</v>
      </c>
      <c r="U1315" t="s">
        <v>8506</v>
      </c>
      <c r="V1315" t="s">
        <v>69</v>
      </c>
      <c r="W1315" t="s">
        <v>69</v>
      </c>
      <c r="X1315" t="s">
        <v>69</v>
      </c>
      <c r="Y1315" t="s">
        <v>69</v>
      </c>
      <c r="Z1315" t="s">
        <v>69</v>
      </c>
      <c r="AA1315" t="s">
        <v>69</v>
      </c>
      <c r="AB1315" t="s">
        <v>69</v>
      </c>
      <c r="AC1315" t="s">
        <v>32600</v>
      </c>
      <c r="AD1315" t="s">
        <v>69</v>
      </c>
      <c r="AE1315" t="s">
        <v>69</v>
      </c>
      <c r="AF1315" t="s">
        <v>32601</v>
      </c>
      <c r="AG1315" t="s">
        <v>69</v>
      </c>
      <c r="AH1315" t="s">
        <v>69</v>
      </c>
      <c r="AI1315" t="s">
        <v>69</v>
      </c>
      <c r="AJ1315" t="s">
        <v>69</v>
      </c>
      <c r="AK1315" t="s">
        <v>69</v>
      </c>
      <c r="AL1315" t="s">
        <v>69</v>
      </c>
      <c r="AM1315" t="s">
        <v>69</v>
      </c>
      <c r="AN1315">
        <v>0</v>
      </c>
      <c r="AO1315">
        <v>1</v>
      </c>
      <c r="AP1315">
        <v>1</v>
      </c>
      <c r="AQ1315">
        <v>0</v>
      </c>
      <c r="AR1315">
        <v>2</v>
      </c>
      <c r="AS1315" t="s">
        <v>32602</v>
      </c>
      <c r="AT1315" t="s">
        <v>27916</v>
      </c>
      <c r="AU1315" t="s">
        <v>32603</v>
      </c>
      <c r="AV1315" t="s">
        <v>11165</v>
      </c>
      <c r="AW1315" t="s">
        <v>69</v>
      </c>
      <c r="AX1315" t="s">
        <v>69</v>
      </c>
      <c r="AY1315" t="s">
        <v>11167</v>
      </c>
      <c r="AZ1315" t="s">
        <v>11168</v>
      </c>
      <c r="BA1315" t="s">
        <v>94</v>
      </c>
      <c r="BB1315">
        <v>1995</v>
      </c>
      <c r="BC1315">
        <v>160</v>
      </c>
      <c r="BD1315">
        <v>3</v>
      </c>
      <c r="BE1315" t="s">
        <v>69</v>
      </c>
      <c r="BF1315" t="s">
        <v>69</v>
      </c>
      <c r="BG1315" t="s">
        <v>69</v>
      </c>
      <c r="BH1315" t="s">
        <v>69</v>
      </c>
      <c r="BI1315">
        <v>115</v>
      </c>
      <c r="BJ1315">
        <v>120</v>
      </c>
      <c r="BK1315" t="s">
        <v>69</v>
      </c>
      <c r="BL1315" t="s">
        <v>69</v>
      </c>
      <c r="BM1315" t="s">
        <v>69</v>
      </c>
      <c r="BN1315" t="s">
        <v>69</v>
      </c>
      <c r="BO1315" t="s">
        <v>69</v>
      </c>
      <c r="BP1315">
        <v>6</v>
      </c>
      <c r="BQ1315" t="s">
        <v>9450</v>
      </c>
      <c r="BR1315" t="s">
        <v>8548</v>
      </c>
      <c r="BS1315" t="s">
        <v>9451</v>
      </c>
      <c r="BT1315" t="s">
        <v>32604</v>
      </c>
      <c r="BU1315" t="s">
        <v>32605</v>
      </c>
      <c r="BV1315">
        <v>7783932</v>
      </c>
      <c r="BW1315" t="s">
        <v>69</v>
      </c>
      <c r="BX1315" t="s">
        <v>69</v>
      </c>
      <c r="BY1315" t="s">
        <v>69</v>
      </c>
      <c r="BZ1315" t="s">
        <v>8526</v>
      </c>
      <c r="CA1315" t="str">
        <f>HYPERLINK("https%3A%2F%2Fwww.webofscience.com%2Fwos%2Fwoscc%2Ffull-record%2FWOS:A1995QY95000006","View Full Record in Web of Science")</f>
        <v>View Full Record in Web of Science</v>
      </c>
    </row>
    <row r="1316" spans="2:79" ht="12.5" x14ac:dyDescent="0.25">
      <c r="B1316" t="s">
        <v>8495</v>
      </c>
      <c r="D1316" s="7" t="s">
        <v>32933</v>
      </c>
      <c r="E1316" s="7"/>
      <c r="F1316" s="7"/>
      <c r="G1316" s="7"/>
      <c r="H1316" t="s">
        <v>67</v>
      </c>
      <c r="I1316" t="s">
        <v>6855</v>
      </c>
      <c r="J1316" t="s">
        <v>69</v>
      </c>
      <c r="K1316" t="s">
        <v>69</v>
      </c>
      <c r="L1316" t="s">
        <v>69</v>
      </c>
      <c r="M1316" t="s">
        <v>6855</v>
      </c>
      <c r="N1316" t="s">
        <v>69</v>
      </c>
      <c r="O1316" t="s">
        <v>69</v>
      </c>
      <c r="P1316" t="s">
        <v>6856</v>
      </c>
      <c r="Q1316" t="s">
        <v>2720</v>
      </c>
      <c r="R1316" t="s">
        <v>69</v>
      </c>
      <c r="S1316" t="s">
        <v>69</v>
      </c>
      <c r="T1316" t="s">
        <v>8505</v>
      </c>
      <c r="U1316" t="s">
        <v>8506</v>
      </c>
      <c r="V1316" t="s">
        <v>69</v>
      </c>
      <c r="W1316" t="s">
        <v>69</v>
      </c>
      <c r="X1316" t="s">
        <v>69</v>
      </c>
      <c r="Y1316" t="s">
        <v>69</v>
      </c>
      <c r="Z1316" t="s">
        <v>69</v>
      </c>
      <c r="AA1316" t="s">
        <v>30931</v>
      </c>
      <c r="AB1316" t="s">
        <v>69</v>
      </c>
      <c r="AC1316" t="s">
        <v>6857</v>
      </c>
      <c r="AD1316" t="s">
        <v>30932</v>
      </c>
      <c r="AE1316" t="s">
        <v>69</v>
      </c>
      <c r="AF1316" t="s">
        <v>30933</v>
      </c>
      <c r="AG1316" t="s">
        <v>30934</v>
      </c>
      <c r="AH1316" t="s">
        <v>6858</v>
      </c>
      <c r="AI1316" t="s">
        <v>6859</v>
      </c>
      <c r="AJ1316" t="s">
        <v>69</v>
      </c>
      <c r="AK1316" t="s">
        <v>69</v>
      </c>
      <c r="AL1316" t="s">
        <v>69</v>
      </c>
      <c r="AM1316" t="s">
        <v>69</v>
      </c>
      <c r="AN1316">
        <v>24</v>
      </c>
      <c r="AO1316">
        <v>28</v>
      </c>
      <c r="AP1316">
        <v>28</v>
      </c>
      <c r="AQ1316">
        <v>1</v>
      </c>
      <c r="AR1316">
        <v>21</v>
      </c>
      <c r="AS1316" t="s">
        <v>8586</v>
      </c>
      <c r="AT1316" t="s">
        <v>8587</v>
      </c>
      <c r="AU1316" t="s">
        <v>8588</v>
      </c>
      <c r="AV1316" t="s">
        <v>2724</v>
      </c>
      <c r="AW1316" t="s">
        <v>2725</v>
      </c>
      <c r="AX1316" t="s">
        <v>69</v>
      </c>
      <c r="AY1316" t="s">
        <v>20625</v>
      </c>
      <c r="AZ1316" t="s">
        <v>20626</v>
      </c>
      <c r="BA1316" t="s">
        <v>69</v>
      </c>
      <c r="BB1316">
        <v>2005</v>
      </c>
      <c r="BC1316">
        <v>18</v>
      </c>
      <c r="BD1316">
        <v>5</v>
      </c>
      <c r="BE1316" t="s">
        <v>69</v>
      </c>
      <c r="BF1316" t="s">
        <v>69</v>
      </c>
      <c r="BG1316" t="s">
        <v>69</v>
      </c>
      <c r="BH1316" t="s">
        <v>69</v>
      </c>
      <c r="BI1316">
        <v>451</v>
      </c>
      <c r="BJ1316">
        <v>468</v>
      </c>
      <c r="BK1316" t="s">
        <v>69</v>
      </c>
      <c r="BL1316" t="s">
        <v>6860</v>
      </c>
      <c r="BM1316" t="str">
        <f>HYPERLINK("http://dx.doi.org/10.1108/09534810510614940","http://dx.doi.org/10.1108/09534810510614940")</f>
        <v>http://dx.doi.org/10.1108/09534810510614940</v>
      </c>
      <c r="BN1316" t="s">
        <v>69</v>
      </c>
      <c r="BO1316" t="s">
        <v>69</v>
      </c>
      <c r="BP1316">
        <v>18</v>
      </c>
      <c r="BQ1316" t="s">
        <v>9410</v>
      </c>
      <c r="BR1316" t="s">
        <v>8661</v>
      </c>
      <c r="BS1316" t="s">
        <v>8594</v>
      </c>
      <c r="BT1316" t="s">
        <v>30935</v>
      </c>
      <c r="BU1316" t="s">
        <v>6861</v>
      </c>
      <c r="BV1316" t="s">
        <v>69</v>
      </c>
      <c r="BW1316" t="s">
        <v>69</v>
      </c>
      <c r="BX1316" t="s">
        <v>69</v>
      </c>
      <c r="BY1316" t="s">
        <v>69</v>
      </c>
      <c r="BZ1316" t="s">
        <v>8526</v>
      </c>
      <c r="CA1316" t="str">
        <f>HYPERLINK("https%3A%2F%2Fwww.webofscience.com%2Fwos%2Fwoscc%2Ffull-record%2FWOS:000232516400005","View Full Record in Web of Science")</f>
        <v>View Full Record in Web of Science</v>
      </c>
    </row>
    <row r="1317" spans="2:79" ht="12.5" x14ac:dyDescent="0.25">
      <c r="B1317" t="s">
        <v>8495</v>
      </c>
      <c r="D1317" s="7" t="s">
        <v>32933</v>
      </c>
      <c r="E1317" s="7"/>
      <c r="F1317" s="7"/>
      <c r="G1317" s="7"/>
      <c r="H1317" t="s">
        <v>67</v>
      </c>
      <c r="I1317" t="s">
        <v>2785</v>
      </c>
      <c r="J1317" t="s">
        <v>69</v>
      </c>
      <c r="K1317" t="s">
        <v>69</v>
      </c>
      <c r="L1317" t="s">
        <v>69</v>
      </c>
      <c r="M1317" t="s">
        <v>2786</v>
      </c>
      <c r="N1317" t="s">
        <v>69</v>
      </c>
      <c r="O1317" t="s">
        <v>69</v>
      </c>
      <c r="P1317" t="s">
        <v>2787</v>
      </c>
      <c r="Q1317" t="s">
        <v>2788</v>
      </c>
      <c r="R1317" t="s">
        <v>69</v>
      </c>
      <c r="S1317" t="s">
        <v>69</v>
      </c>
      <c r="T1317" t="s">
        <v>8505</v>
      </c>
      <c r="U1317" t="s">
        <v>8506</v>
      </c>
      <c r="V1317" t="s">
        <v>69</v>
      </c>
      <c r="W1317" t="s">
        <v>69</v>
      </c>
      <c r="X1317" t="s">
        <v>69</v>
      </c>
      <c r="Y1317" t="s">
        <v>69</v>
      </c>
      <c r="Z1317" t="s">
        <v>69</v>
      </c>
      <c r="AA1317" t="s">
        <v>21195</v>
      </c>
      <c r="AB1317" t="s">
        <v>69</v>
      </c>
      <c r="AC1317" t="s">
        <v>2789</v>
      </c>
      <c r="AD1317" t="s">
        <v>21196</v>
      </c>
      <c r="AE1317" t="s">
        <v>69</v>
      </c>
      <c r="AF1317" t="s">
        <v>21197</v>
      </c>
      <c r="AG1317" t="s">
        <v>21198</v>
      </c>
      <c r="AH1317" t="s">
        <v>69</v>
      </c>
      <c r="AI1317" t="s">
        <v>69</v>
      </c>
      <c r="AJ1317" t="s">
        <v>69</v>
      </c>
      <c r="AK1317" t="s">
        <v>69</v>
      </c>
      <c r="AL1317" t="s">
        <v>69</v>
      </c>
      <c r="AM1317" t="s">
        <v>69</v>
      </c>
      <c r="AN1317">
        <v>9</v>
      </c>
      <c r="AO1317">
        <v>5</v>
      </c>
      <c r="AP1317">
        <v>5</v>
      </c>
      <c r="AQ1317">
        <v>1</v>
      </c>
      <c r="AR1317">
        <v>13</v>
      </c>
      <c r="AS1317" t="s">
        <v>13195</v>
      </c>
      <c r="AT1317" t="s">
        <v>13196</v>
      </c>
      <c r="AU1317" t="s">
        <v>13197</v>
      </c>
      <c r="AV1317" t="s">
        <v>2790</v>
      </c>
      <c r="AW1317" t="s">
        <v>2791</v>
      </c>
      <c r="AX1317" t="s">
        <v>69</v>
      </c>
      <c r="AY1317" t="s">
        <v>21199</v>
      </c>
      <c r="AZ1317" t="s">
        <v>21200</v>
      </c>
      <c r="BA1317" t="s">
        <v>274</v>
      </c>
      <c r="BB1317">
        <v>2016</v>
      </c>
      <c r="BC1317">
        <v>169</v>
      </c>
      <c r="BD1317">
        <v>4</v>
      </c>
      <c r="BE1317" t="s">
        <v>69</v>
      </c>
      <c r="BF1317" t="s">
        <v>69</v>
      </c>
      <c r="BG1317" t="s">
        <v>69</v>
      </c>
      <c r="BH1317" t="s">
        <v>69</v>
      </c>
      <c r="BI1317" t="s">
        <v>69</v>
      </c>
      <c r="BJ1317" t="s">
        <v>69</v>
      </c>
      <c r="BK1317" t="s">
        <v>2792</v>
      </c>
      <c r="BL1317" t="s">
        <v>2793</v>
      </c>
      <c r="BM1317" t="str">
        <f>HYPERLINK("http://dx.doi.org/10.1680/jfoen.16.00008","http://dx.doi.org/10.1680/jfoen.16.00008")</f>
        <v>http://dx.doi.org/10.1680/jfoen.16.00008</v>
      </c>
      <c r="BN1317" t="s">
        <v>69</v>
      </c>
      <c r="BO1317" t="s">
        <v>69</v>
      </c>
      <c r="BP1317">
        <v>10</v>
      </c>
      <c r="BQ1317" t="s">
        <v>13537</v>
      </c>
      <c r="BR1317" t="s">
        <v>8573</v>
      </c>
      <c r="BS1317" t="s">
        <v>8445</v>
      </c>
      <c r="BT1317" t="s">
        <v>21201</v>
      </c>
      <c r="BU1317" t="s">
        <v>2794</v>
      </c>
      <c r="BV1317" t="s">
        <v>69</v>
      </c>
      <c r="BW1317" t="s">
        <v>69</v>
      </c>
      <c r="BX1317" t="s">
        <v>69</v>
      </c>
      <c r="BY1317" t="s">
        <v>69</v>
      </c>
      <c r="BZ1317" t="s">
        <v>8526</v>
      </c>
      <c r="CA1317" t="str">
        <f>HYPERLINK("https%3A%2F%2Fwww.webofscience.com%2Fwos%2Fwoscc%2Ffull-record%2FWOS:000385653500004","View Full Record in Web of Science")</f>
        <v>View Full Record in Web of Science</v>
      </c>
    </row>
    <row r="1318" spans="2:79" ht="12.5" x14ac:dyDescent="0.25">
      <c r="B1318" t="s">
        <v>8495</v>
      </c>
      <c r="D1318" s="22" t="s">
        <v>32931</v>
      </c>
      <c r="E1318" s="7"/>
      <c r="F1318" s="7"/>
      <c r="G1318" s="7"/>
      <c r="H1318" t="s">
        <v>67</v>
      </c>
      <c r="I1318" t="s">
        <v>28818</v>
      </c>
      <c r="J1318" t="s">
        <v>69</v>
      </c>
      <c r="K1318" t="s">
        <v>69</v>
      </c>
      <c r="L1318" t="s">
        <v>69</v>
      </c>
      <c r="M1318" t="s">
        <v>28819</v>
      </c>
      <c r="N1318" t="s">
        <v>69</v>
      </c>
      <c r="O1318" t="s">
        <v>69</v>
      </c>
      <c r="P1318" t="s">
        <v>28820</v>
      </c>
      <c r="Q1318" t="s">
        <v>28821</v>
      </c>
      <c r="R1318" t="s">
        <v>69</v>
      </c>
      <c r="S1318" t="s">
        <v>69</v>
      </c>
      <c r="T1318" t="s">
        <v>8505</v>
      </c>
      <c r="U1318" t="s">
        <v>8506</v>
      </c>
      <c r="V1318" t="s">
        <v>69</v>
      </c>
      <c r="W1318" t="s">
        <v>69</v>
      </c>
      <c r="X1318" t="s">
        <v>69</v>
      </c>
      <c r="Y1318" t="s">
        <v>69</v>
      </c>
      <c r="Z1318" t="s">
        <v>69</v>
      </c>
      <c r="AA1318" t="s">
        <v>69</v>
      </c>
      <c r="AB1318" t="s">
        <v>69</v>
      </c>
      <c r="AC1318" t="s">
        <v>28822</v>
      </c>
      <c r="AD1318" t="s">
        <v>28823</v>
      </c>
      <c r="AE1318" t="s">
        <v>69</v>
      </c>
      <c r="AF1318" t="s">
        <v>28824</v>
      </c>
      <c r="AG1318" t="s">
        <v>28825</v>
      </c>
      <c r="AH1318" t="s">
        <v>28826</v>
      </c>
      <c r="AI1318" t="s">
        <v>28827</v>
      </c>
      <c r="AJ1318" t="s">
        <v>69</v>
      </c>
      <c r="AK1318" t="s">
        <v>69</v>
      </c>
      <c r="AL1318" t="s">
        <v>69</v>
      </c>
      <c r="AM1318" t="s">
        <v>69</v>
      </c>
      <c r="AN1318">
        <v>18</v>
      </c>
      <c r="AO1318">
        <v>18</v>
      </c>
      <c r="AP1318">
        <v>18</v>
      </c>
      <c r="AQ1318">
        <v>0</v>
      </c>
      <c r="AR1318">
        <v>0</v>
      </c>
      <c r="AS1318" t="s">
        <v>8611</v>
      </c>
      <c r="AT1318" t="s">
        <v>8612</v>
      </c>
      <c r="AU1318" t="s">
        <v>8613</v>
      </c>
      <c r="AV1318" t="s">
        <v>28828</v>
      </c>
      <c r="AW1318" t="s">
        <v>28829</v>
      </c>
      <c r="AX1318" t="s">
        <v>69</v>
      </c>
      <c r="AY1318" t="s">
        <v>28830</v>
      </c>
      <c r="AZ1318" t="s">
        <v>28831</v>
      </c>
      <c r="BA1318" t="s">
        <v>69</v>
      </c>
      <c r="BB1318">
        <v>2009</v>
      </c>
      <c r="BC1318">
        <v>12</v>
      </c>
      <c r="BD1318">
        <v>1</v>
      </c>
      <c r="BE1318" t="s">
        <v>69</v>
      </c>
      <c r="BF1318" t="s">
        <v>69</v>
      </c>
      <c r="BG1318" t="s">
        <v>69</v>
      </c>
      <c r="BH1318" t="s">
        <v>69</v>
      </c>
      <c r="BI1318">
        <v>35</v>
      </c>
      <c r="BJ1318">
        <v>49</v>
      </c>
      <c r="BK1318" t="s">
        <v>69</v>
      </c>
      <c r="BL1318" t="s">
        <v>28832</v>
      </c>
      <c r="BM1318" t="str">
        <f>HYPERLINK("http://dx.doi.org/10.1080/13603120802452532","http://dx.doi.org/10.1080/13603120802452532")</f>
        <v>http://dx.doi.org/10.1080/13603120802452532</v>
      </c>
      <c r="BN1318" t="s">
        <v>69</v>
      </c>
      <c r="BO1318" t="s">
        <v>69</v>
      </c>
      <c r="BP1318">
        <v>15</v>
      </c>
      <c r="BQ1318" t="s">
        <v>9290</v>
      </c>
      <c r="BR1318" t="s">
        <v>8573</v>
      </c>
      <c r="BS1318" t="s">
        <v>9290</v>
      </c>
      <c r="BT1318" t="s">
        <v>28833</v>
      </c>
      <c r="BU1318" t="s">
        <v>28834</v>
      </c>
      <c r="BV1318" t="s">
        <v>69</v>
      </c>
      <c r="BW1318" t="s">
        <v>69</v>
      </c>
      <c r="BX1318" t="s">
        <v>69</v>
      </c>
      <c r="BY1318" t="s">
        <v>69</v>
      </c>
      <c r="BZ1318" t="s">
        <v>8526</v>
      </c>
      <c r="CA1318" t="str">
        <f>HYPERLINK("https%3A%2F%2Fwww.webofscience.com%2Fwos%2Fwoscc%2Ffull-record%2FWOS:000409662900003","View Full Record in Web of Science")</f>
        <v>View Full Record in Web of Science</v>
      </c>
    </row>
    <row r="1319" spans="2:79" ht="12.5" x14ac:dyDescent="0.25">
      <c r="B1319" t="s">
        <v>8495</v>
      </c>
      <c r="D1319" s="7" t="s">
        <v>32933</v>
      </c>
      <c r="E1319" s="7"/>
      <c r="F1319" s="7"/>
      <c r="G1319" s="7"/>
      <c r="H1319" t="s">
        <v>67</v>
      </c>
      <c r="I1319" t="s">
        <v>8053</v>
      </c>
      <c r="J1319" t="s">
        <v>69</v>
      </c>
      <c r="K1319" t="s">
        <v>69</v>
      </c>
      <c r="L1319" t="s">
        <v>69</v>
      </c>
      <c r="M1319" t="s">
        <v>8054</v>
      </c>
      <c r="N1319" t="s">
        <v>69</v>
      </c>
      <c r="O1319" t="s">
        <v>69</v>
      </c>
      <c r="P1319" t="s">
        <v>8055</v>
      </c>
      <c r="Q1319" t="s">
        <v>8056</v>
      </c>
      <c r="R1319" t="s">
        <v>69</v>
      </c>
      <c r="S1319" t="s">
        <v>69</v>
      </c>
      <c r="T1319" t="s">
        <v>8505</v>
      </c>
      <c r="U1319" t="s">
        <v>8506</v>
      </c>
      <c r="V1319" t="s">
        <v>69</v>
      </c>
      <c r="W1319" t="s">
        <v>69</v>
      </c>
      <c r="X1319" t="s">
        <v>69</v>
      </c>
      <c r="Y1319" t="s">
        <v>69</v>
      </c>
      <c r="Z1319" t="s">
        <v>69</v>
      </c>
      <c r="AA1319" t="s">
        <v>14574</v>
      </c>
      <c r="AB1319" t="s">
        <v>14575</v>
      </c>
      <c r="AC1319" t="s">
        <v>8057</v>
      </c>
      <c r="AD1319" t="s">
        <v>14576</v>
      </c>
      <c r="AE1319" t="s">
        <v>69</v>
      </c>
      <c r="AF1319" t="s">
        <v>14577</v>
      </c>
      <c r="AG1319" t="s">
        <v>14578</v>
      </c>
      <c r="AH1319" t="s">
        <v>14579</v>
      </c>
      <c r="AI1319" t="s">
        <v>14580</v>
      </c>
      <c r="AJ1319" t="s">
        <v>14581</v>
      </c>
      <c r="AK1319" t="s">
        <v>14582</v>
      </c>
      <c r="AL1319" t="s">
        <v>14583</v>
      </c>
      <c r="AM1319" t="s">
        <v>69</v>
      </c>
      <c r="AN1319">
        <v>76</v>
      </c>
      <c r="AO1319">
        <v>4</v>
      </c>
      <c r="AP1319">
        <v>4</v>
      </c>
      <c r="AQ1319">
        <v>2</v>
      </c>
      <c r="AR1319">
        <v>11</v>
      </c>
      <c r="AS1319" t="s">
        <v>9047</v>
      </c>
      <c r="AT1319" t="s">
        <v>9048</v>
      </c>
      <c r="AU1319" t="s">
        <v>9049</v>
      </c>
      <c r="AV1319" t="s">
        <v>8058</v>
      </c>
      <c r="AW1319" t="s">
        <v>8059</v>
      </c>
      <c r="AX1319" t="s">
        <v>69</v>
      </c>
      <c r="AY1319" t="s">
        <v>14584</v>
      </c>
      <c r="AZ1319" t="s">
        <v>14585</v>
      </c>
      <c r="BA1319" t="s">
        <v>75</v>
      </c>
      <c r="BB1319">
        <v>2020</v>
      </c>
      <c r="BC1319">
        <v>12</v>
      </c>
      <c r="BD1319">
        <v>4</v>
      </c>
      <c r="BE1319" t="s">
        <v>69</v>
      </c>
      <c r="BF1319" t="s">
        <v>69</v>
      </c>
      <c r="BG1319" t="s">
        <v>69</v>
      </c>
      <c r="BH1319" t="s">
        <v>69</v>
      </c>
      <c r="BI1319">
        <v>691</v>
      </c>
      <c r="BJ1319">
        <v>700</v>
      </c>
      <c r="BK1319" t="s">
        <v>69</v>
      </c>
      <c r="BL1319" t="s">
        <v>8060</v>
      </c>
      <c r="BM1319" t="str">
        <f>HYPERLINK("http://dx.doi.org/10.1007/s12686-020-01165-5","http://dx.doi.org/10.1007/s12686-020-01165-5")</f>
        <v>http://dx.doi.org/10.1007/s12686-020-01165-5</v>
      </c>
      <c r="BN1319" t="s">
        <v>69</v>
      </c>
      <c r="BO1319" t="s">
        <v>1917</v>
      </c>
      <c r="BP1319">
        <v>10</v>
      </c>
      <c r="BQ1319" t="s">
        <v>14586</v>
      </c>
      <c r="BR1319" t="s">
        <v>8548</v>
      </c>
      <c r="BS1319" t="s">
        <v>14587</v>
      </c>
      <c r="BT1319" t="s">
        <v>14588</v>
      </c>
      <c r="BU1319" t="s">
        <v>8061</v>
      </c>
      <c r="BV1319" t="s">
        <v>69</v>
      </c>
      <c r="BW1319" t="s">
        <v>14589</v>
      </c>
      <c r="BX1319" t="s">
        <v>69</v>
      </c>
      <c r="BY1319" t="s">
        <v>69</v>
      </c>
      <c r="BZ1319" t="s">
        <v>8526</v>
      </c>
      <c r="CA1319" t="str">
        <f>HYPERLINK("https%3A%2F%2Fwww.webofscience.com%2Fwos%2Fwoscc%2Ffull-record%2FWOS:000560406700001","View Full Record in Web of Science")</f>
        <v>View Full Record in Web of Science</v>
      </c>
    </row>
    <row r="1320" spans="2:79" ht="12.5" x14ac:dyDescent="0.25">
      <c r="B1320" t="s">
        <v>8495</v>
      </c>
      <c r="D1320" s="22" t="s">
        <v>32931</v>
      </c>
      <c r="E1320" s="7"/>
      <c r="F1320" s="7"/>
      <c r="G1320" s="7"/>
      <c r="H1320" t="s">
        <v>67</v>
      </c>
      <c r="I1320" t="s">
        <v>32285</v>
      </c>
      <c r="J1320" t="s">
        <v>69</v>
      </c>
      <c r="K1320" t="s">
        <v>69</v>
      </c>
      <c r="L1320" t="s">
        <v>69</v>
      </c>
      <c r="M1320" t="s">
        <v>32285</v>
      </c>
      <c r="N1320" t="s">
        <v>69</v>
      </c>
      <c r="O1320" t="s">
        <v>69</v>
      </c>
      <c r="P1320" t="s">
        <v>32286</v>
      </c>
      <c r="Q1320" t="s">
        <v>32287</v>
      </c>
      <c r="R1320" t="s">
        <v>69</v>
      </c>
      <c r="S1320" t="s">
        <v>69</v>
      </c>
      <c r="T1320" t="s">
        <v>8505</v>
      </c>
      <c r="U1320" t="s">
        <v>8506</v>
      </c>
      <c r="V1320" t="s">
        <v>69</v>
      </c>
      <c r="W1320" t="s">
        <v>69</v>
      </c>
      <c r="X1320" t="s">
        <v>69</v>
      </c>
      <c r="Y1320" t="s">
        <v>69</v>
      </c>
      <c r="Z1320" t="s">
        <v>69</v>
      </c>
      <c r="AA1320" t="s">
        <v>69</v>
      </c>
      <c r="AB1320" t="s">
        <v>69</v>
      </c>
      <c r="AC1320" t="s">
        <v>32288</v>
      </c>
      <c r="AD1320" t="s">
        <v>32289</v>
      </c>
      <c r="AE1320" t="s">
        <v>69</v>
      </c>
      <c r="AF1320" t="s">
        <v>69</v>
      </c>
      <c r="AG1320" t="s">
        <v>69</v>
      </c>
      <c r="AH1320" t="s">
        <v>69</v>
      </c>
      <c r="AI1320" t="s">
        <v>69</v>
      </c>
      <c r="AJ1320" t="s">
        <v>69</v>
      </c>
      <c r="AK1320" t="s">
        <v>69</v>
      </c>
      <c r="AL1320" t="s">
        <v>69</v>
      </c>
      <c r="AM1320" t="s">
        <v>69</v>
      </c>
      <c r="AN1320">
        <v>0</v>
      </c>
      <c r="AO1320">
        <v>12</v>
      </c>
      <c r="AP1320">
        <v>12</v>
      </c>
      <c r="AQ1320">
        <v>0</v>
      </c>
      <c r="AR1320">
        <v>4</v>
      </c>
      <c r="AS1320" t="s">
        <v>32290</v>
      </c>
      <c r="AT1320" t="s">
        <v>28929</v>
      </c>
      <c r="AU1320" t="s">
        <v>32291</v>
      </c>
      <c r="AV1320" t="s">
        <v>32292</v>
      </c>
      <c r="AW1320" t="s">
        <v>69</v>
      </c>
      <c r="AX1320" t="s">
        <v>69</v>
      </c>
      <c r="AY1320" t="s">
        <v>32293</v>
      </c>
      <c r="AZ1320" t="s">
        <v>32294</v>
      </c>
      <c r="BA1320" t="s">
        <v>94</v>
      </c>
      <c r="BB1320">
        <v>1997</v>
      </c>
      <c r="BC1320">
        <v>47</v>
      </c>
      <c r="BD1320">
        <v>3</v>
      </c>
      <c r="BE1320" t="s">
        <v>69</v>
      </c>
      <c r="BF1320" t="s">
        <v>69</v>
      </c>
      <c r="BG1320" t="s">
        <v>69</v>
      </c>
      <c r="BH1320" t="s">
        <v>69</v>
      </c>
      <c r="BI1320">
        <v>426</v>
      </c>
      <c r="BJ1320">
        <v>438</v>
      </c>
      <c r="BK1320" t="s">
        <v>69</v>
      </c>
      <c r="BL1320" t="s">
        <v>32295</v>
      </c>
      <c r="BM1320" t="str">
        <f>HYPERLINK("http://dx.doi.org/10.1080/10473289.1997.10464435","http://dx.doi.org/10.1080/10473289.1997.10464435")</f>
        <v>http://dx.doi.org/10.1080/10473289.1997.10464435</v>
      </c>
      <c r="BN1320" t="s">
        <v>69</v>
      </c>
      <c r="BO1320" t="s">
        <v>69</v>
      </c>
      <c r="BP1320">
        <v>13</v>
      </c>
      <c r="BQ1320" t="s">
        <v>32296</v>
      </c>
      <c r="BR1320" t="s">
        <v>8548</v>
      </c>
      <c r="BS1320" t="s">
        <v>32297</v>
      </c>
      <c r="BT1320" t="s">
        <v>32298</v>
      </c>
      <c r="BU1320" t="s">
        <v>32299</v>
      </c>
      <c r="BV1320">
        <v>29081287</v>
      </c>
      <c r="BW1320" t="s">
        <v>69</v>
      </c>
      <c r="BX1320" t="s">
        <v>69</v>
      </c>
      <c r="BY1320" t="s">
        <v>69</v>
      </c>
      <c r="BZ1320" t="s">
        <v>8526</v>
      </c>
      <c r="CA1320" t="str">
        <f>HYPERLINK("https%3A%2F%2Fwww.webofscience.com%2Fwos%2Fwoscc%2Ffull-record%2FWOS:A1997WQ33500015","View Full Record in Web of Science")</f>
        <v>View Full Record in Web of Science</v>
      </c>
    </row>
    <row r="1321" spans="2:79" ht="12.5" x14ac:dyDescent="0.25">
      <c r="B1321" t="s">
        <v>8495</v>
      </c>
      <c r="D1321" s="7" t="s">
        <v>32933</v>
      </c>
      <c r="E1321" s="7"/>
      <c r="F1321" s="7"/>
      <c r="G1321" s="7"/>
      <c r="H1321" t="s">
        <v>67</v>
      </c>
      <c r="I1321" t="s">
        <v>148</v>
      </c>
      <c r="J1321" t="s">
        <v>69</v>
      </c>
      <c r="K1321" t="s">
        <v>69</v>
      </c>
      <c r="L1321" t="s">
        <v>69</v>
      </c>
      <c r="M1321" t="s">
        <v>149</v>
      </c>
      <c r="N1321" t="s">
        <v>69</v>
      </c>
      <c r="O1321" t="s">
        <v>69</v>
      </c>
      <c r="P1321" t="s">
        <v>150</v>
      </c>
      <c r="Q1321" t="s">
        <v>151</v>
      </c>
      <c r="R1321" t="s">
        <v>69</v>
      </c>
      <c r="S1321" t="s">
        <v>69</v>
      </c>
      <c r="T1321" t="s">
        <v>8505</v>
      </c>
      <c r="U1321" t="s">
        <v>8442</v>
      </c>
      <c r="V1321" t="s">
        <v>69</v>
      </c>
      <c r="W1321" t="s">
        <v>69</v>
      </c>
      <c r="X1321" t="s">
        <v>69</v>
      </c>
      <c r="Y1321" t="s">
        <v>69</v>
      </c>
      <c r="Z1321" t="s">
        <v>69</v>
      </c>
      <c r="AA1321" t="s">
        <v>20358</v>
      </c>
      <c r="AB1321" t="s">
        <v>20359</v>
      </c>
      <c r="AC1321" t="s">
        <v>152</v>
      </c>
      <c r="AD1321" t="s">
        <v>20360</v>
      </c>
      <c r="AE1321" t="s">
        <v>69</v>
      </c>
      <c r="AF1321" t="s">
        <v>20361</v>
      </c>
      <c r="AG1321" t="s">
        <v>20362</v>
      </c>
      <c r="AH1321" t="s">
        <v>20363</v>
      </c>
      <c r="AI1321" t="s">
        <v>153</v>
      </c>
      <c r="AJ1321" t="s">
        <v>69</v>
      </c>
      <c r="AK1321" t="s">
        <v>69</v>
      </c>
      <c r="AL1321" t="s">
        <v>69</v>
      </c>
      <c r="AM1321" t="s">
        <v>69</v>
      </c>
      <c r="AN1321">
        <v>37</v>
      </c>
      <c r="AO1321">
        <v>22</v>
      </c>
      <c r="AP1321">
        <v>22</v>
      </c>
      <c r="AQ1321">
        <v>1</v>
      </c>
      <c r="AR1321">
        <v>9</v>
      </c>
      <c r="AS1321" t="s">
        <v>9145</v>
      </c>
      <c r="AT1321" t="s">
        <v>8637</v>
      </c>
      <c r="AU1321" t="s">
        <v>9146</v>
      </c>
      <c r="AV1321" t="s">
        <v>154</v>
      </c>
      <c r="AW1321" t="s">
        <v>69</v>
      </c>
      <c r="AX1321" t="s">
        <v>69</v>
      </c>
      <c r="AY1321" t="s">
        <v>12762</v>
      </c>
      <c r="AZ1321" t="s">
        <v>12763</v>
      </c>
      <c r="BA1321" t="s">
        <v>155</v>
      </c>
      <c r="BB1321">
        <v>2017</v>
      </c>
      <c r="BC1321">
        <v>73</v>
      </c>
      <c r="BD1321" t="s">
        <v>69</v>
      </c>
      <c r="BE1321" t="s">
        <v>69</v>
      </c>
      <c r="BF1321" t="s">
        <v>69</v>
      </c>
      <c r="BG1321" t="s">
        <v>69</v>
      </c>
      <c r="BH1321" t="s">
        <v>69</v>
      </c>
      <c r="BI1321">
        <v>196</v>
      </c>
      <c r="BJ1321">
        <v>204</v>
      </c>
      <c r="BK1321" t="s">
        <v>69</v>
      </c>
      <c r="BL1321" t="s">
        <v>156</v>
      </c>
      <c r="BM1321" t="str">
        <f>HYPERLINK("http://dx.doi.org/10.1016/j.rser.2017.01.040","http://dx.doi.org/10.1016/j.rser.2017.01.040")</f>
        <v>http://dx.doi.org/10.1016/j.rser.2017.01.040</v>
      </c>
      <c r="BN1321" t="s">
        <v>69</v>
      </c>
      <c r="BO1321" t="s">
        <v>69</v>
      </c>
      <c r="BP1321">
        <v>9</v>
      </c>
      <c r="BQ1321" t="s">
        <v>9931</v>
      </c>
      <c r="BR1321" t="s">
        <v>8548</v>
      </c>
      <c r="BS1321" t="s">
        <v>9932</v>
      </c>
      <c r="BT1321" t="s">
        <v>20364</v>
      </c>
      <c r="BU1321" t="s">
        <v>157</v>
      </c>
      <c r="BV1321" t="s">
        <v>69</v>
      </c>
      <c r="BW1321" t="s">
        <v>69</v>
      </c>
      <c r="BX1321" t="s">
        <v>69</v>
      </c>
      <c r="BY1321" t="s">
        <v>69</v>
      </c>
      <c r="BZ1321" t="s">
        <v>8526</v>
      </c>
      <c r="CA1321" t="str">
        <f>HYPERLINK("https%3A%2F%2Fwww.webofscience.com%2Fwos%2Fwoscc%2Ffull-record%2FWOS:000401204700017","View Full Record in Web of Science")</f>
        <v>View Full Record in Web of Science</v>
      </c>
    </row>
    <row r="1322" spans="2:79" ht="12.5" x14ac:dyDescent="0.25">
      <c r="B1322" t="s">
        <v>8495</v>
      </c>
      <c r="D1322" s="7" t="s">
        <v>32933</v>
      </c>
      <c r="E1322" s="7"/>
      <c r="F1322" s="7"/>
      <c r="G1322" s="7"/>
      <c r="H1322" t="s">
        <v>67</v>
      </c>
      <c r="I1322" t="s">
        <v>900</v>
      </c>
      <c r="J1322" t="s">
        <v>69</v>
      </c>
      <c r="K1322" t="s">
        <v>69</v>
      </c>
      <c r="L1322" t="s">
        <v>69</v>
      </c>
      <c r="M1322" t="s">
        <v>901</v>
      </c>
      <c r="N1322" t="s">
        <v>69</v>
      </c>
      <c r="O1322" t="s">
        <v>69</v>
      </c>
      <c r="P1322" t="s">
        <v>902</v>
      </c>
      <c r="Q1322" t="s">
        <v>352</v>
      </c>
      <c r="R1322" t="s">
        <v>69</v>
      </c>
      <c r="S1322" t="s">
        <v>69</v>
      </c>
      <c r="T1322" t="s">
        <v>8505</v>
      </c>
      <c r="U1322" t="s">
        <v>8506</v>
      </c>
      <c r="V1322" t="s">
        <v>69</v>
      </c>
      <c r="W1322" t="s">
        <v>69</v>
      </c>
      <c r="X1322" t="s">
        <v>69</v>
      </c>
      <c r="Y1322" t="s">
        <v>69</v>
      </c>
      <c r="Z1322" t="s">
        <v>69</v>
      </c>
      <c r="AA1322" t="s">
        <v>16651</v>
      </c>
      <c r="AB1322" t="s">
        <v>16652</v>
      </c>
      <c r="AC1322" t="s">
        <v>903</v>
      </c>
      <c r="AD1322" t="s">
        <v>16653</v>
      </c>
      <c r="AE1322" t="s">
        <v>69</v>
      </c>
      <c r="AF1322" t="s">
        <v>16654</v>
      </c>
      <c r="AG1322" t="s">
        <v>16655</v>
      </c>
      <c r="AH1322" t="s">
        <v>69</v>
      </c>
      <c r="AI1322" t="s">
        <v>69</v>
      </c>
      <c r="AJ1322" t="s">
        <v>69</v>
      </c>
      <c r="AK1322" t="s">
        <v>69</v>
      </c>
      <c r="AL1322" t="s">
        <v>69</v>
      </c>
      <c r="AM1322" t="s">
        <v>69</v>
      </c>
      <c r="AN1322">
        <v>37</v>
      </c>
      <c r="AO1322">
        <v>0</v>
      </c>
      <c r="AP1322">
        <v>0</v>
      </c>
      <c r="AQ1322">
        <v>2</v>
      </c>
      <c r="AR1322">
        <v>9</v>
      </c>
      <c r="AS1322" t="s">
        <v>8924</v>
      </c>
      <c r="AT1322" t="s">
        <v>8925</v>
      </c>
      <c r="AU1322" t="s">
        <v>8926</v>
      </c>
      <c r="AV1322" t="s">
        <v>69</v>
      </c>
      <c r="AW1322" t="s">
        <v>354</v>
      </c>
      <c r="AX1322" t="s">
        <v>69</v>
      </c>
      <c r="AY1322" t="s">
        <v>8958</v>
      </c>
      <c r="AZ1322" t="s">
        <v>8434</v>
      </c>
      <c r="BA1322" t="s">
        <v>904</v>
      </c>
      <c r="BB1322">
        <v>2019</v>
      </c>
      <c r="BC1322">
        <v>11</v>
      </c>
      <c r="BD1322">
        <v>19</v>
      </c>
      <c r="BE1322" t="s">
        <v>69</v>
      </c>
      <c r="BF1322" t="s">
        <v>69</v>
      </c>
      <c r="BG1322" t="s">
        <v>69</v>
      </c>
      <c r="BH1322" t="s">
        <v>69</v>
      </c>
      <c r="BI1322" t="s">
        <v>69</v>
      </c>
      <c r="BJ1322" t="s">
        <v>69</v>
      </c>
      <c r="BK1322">
        <v>5473</v>
      </c>
      <c r="BL1322" t="s">
        <v>905</v>
      </c>
      <c r="BM1322" t="str">
        <f>HYPERLINK("http://dx.doi.org/10.3390/su11195473","http://dx.doi.org/10.3390/su11195473")</f>
        <v>http://dx.doi.org/10.3390/su11195473</v>
      </c>
      <c r="BN1322" t="s">
        <v>69</v>
      </c>
      <c r="BO1322" t="s">
        <v>69</v>
      </c>
      <c r="BP1322">
        <v>19</v>
      </c>
      <c r="BQ1322" t="s">
        <v>8960</v>
      </c>
      <c r="BR1322" t="s">
        <v>8523</v>
      </c>
      <c r="BS1322" t="s">
        <v>8961</v>
      </c>
      <c r="BT1322" t="s">
        <v>16656</v>
      </c>
      <c r="BU1322" t="s">
        <v>906</v>
      </c>
      <c r="BV1322" t="s">
        <v>69</v>
      </c>
      <c r="BW1322" t="s">
        <v>8812</v>
      </c>
      <c r="BX1322" t="s">
        <v>69</v>
      </c>
      <c r="BY1322" t="s">
        <v>69</v>
      </c>
      <c r="BZ1322" t="s">
        <v>8526</v>
      </c>
      <c r="CA1322" t="str">
        <f>HYPERLINK("https%3A%2F%2Fwww.webofscience.com%2Fwos%2Fwoscc%2Ffull-record%2FWOS:000493525500332","View Full Record in Web of Science")</f>
        <v>View Full Record in Web of Science</v>
      </c>
    </row>
    <row r="1323" spans="2:79" ht="12.5" x14ac:dyDescent="0.25">
      <c r="B1323" t="s">
        <v>8495</v>
      </c>
      <c r="D1323" s="7" t="s">
        <v>32933</v>
      </c>
      <c r="E1323" s="7"/>
      <c r="F1323" s="7"/>
      <c r="G1323" s="7"/>
      <c r="H1323" t="s">
        <v>67</v>
      </c>
      <c r="I1323" t="s">
        <v>2985</v>
      </c>
      <c r="J1323" t="s">
        <v>69</v>
      </c>
      <c r="K1323" t="s">
        <v>69</v>
      </c>
      <c r="L1323" t="s">
        <v>69</v>
      </c>
      <c r="M1323" t="s">
        <v>2986</v>
      </c>
      <c r="N1323" t="s">
        <v>69</v>
      </c>
      <c r="O1323" t="s">
        <v>69</v>
      </c>
      <c r="P1323" t="s">
        <v>2987</v>
      </c>
      <c r="Q1323" t="s">
        <v>2988</v>
      </c>
      <c r="R1323" t="s">
        <v>69</v>
      </c>
      <c r="S1323" t="s">
        <v>69</v>
      </c>
      <c r="T1323" t="s">
        <v>8505</v>
      </c>
      <c r="U1323" t="s">
        <v>8506</v>
      </c>
      <c r="V1323" t="s">
        <v>69</v>
      </c>
      <c r="W1323" t="s">
        <v>69</v>
      </c>
      <c r="X1323" t="s">
        <v>69</v>
      </c>
      <c r="Y1323" t="s">
        <v>69</v>
      </c>
      <c r="Z1323" t="s">
        <v>69</v>
      </c>
      <c r="AA1323" t="s">
        <v>22421</v>
      </c>
      <c r="AB1323" t="s">
        <v>69</v>
      </c>
      <c r="AC1323" t="s">
        <v>2989</v>
      </c>
      <c r="AD1323" t="s">
        <v>22422</v>
      </c>
      <c r="AE1323" t="s">
        <v>69</v>
      </c>
      <c r="AF1323" t="s">
        <v>22423</v>
      </c>
      <c r="AG1323" t="s">
        <v>22424</v>
      </c>
      <c r="AH1323" t="s">
        <v>69</v>
      </c>
      <c r="AI1323" t="s">
        <v>22425</v>
      </c>
      <c r="AJ1323" t="s">
        <v>69</v>
      </c>
      <c r="AK1323" t="s">
        <v>69</v>
      </c>
      <c r="AL1323" t="s">
        <v>69</v>
      </c>
      <c r="AM1323" t="s">
        <v>69</v>
      </c>
      <c r="AN1323">
        <v>12</v>
      </c>
      <c r="AO1323">
        <v>9</v>
      </c>
      <c r="AP1323">
        <v>9</v>
      </c>
      <c r="AQ1323">
        <v>0</v>
      </c>
      <c r="AR1323">
        <v>14</v>
      </c>
      <c r="AS1323" t="s">
        <v>8762</v>
      </c>
      <c r="AT1323" t="s">
        <v>8763</v>
      </c>
      <c r="AU1323" t="s">
        <v>8764</v>
      </c>
      <c r="AV1323" t="s">
        <v>2990</v>
      </c>
      <c r="AW1323" t="s">
        <v>2991</v>
      </c>
      <c r="AX1323" t="s">
        <v>69</v>
      </c>
      <c r="AY1323" t="s">
        <v>22426</v>
      </c>
      <c r="AZ1323" t="s">
        <v>22427</v>
      </c>
      <c r="BA1323" t="s">
        <v>381</v>
      </c>
      <c r="BB1323">
        <v>2015</v>
      </c>
      <c r="BC1323">
        <v>23</v>
      </c>
      <c r="BD1323">
        <v>5</v>
      </c>
      <c r="BE1323" t="s">
        <v>69</v>
      </c>
      <c r="BF1323" t="s">
        <v>69</v>
      </c>
      <c r="BG1323" t="s">
        <v>69</v>
      </c>
      <c r="BH1323" t="s">
        <v>69</v>
      </c>
      <c r="BI1323">
        <v>524</v>
      </c>
      <c r="BJ1323">
        <v>527</v>
      </c>
      <c r="BK1323" t="s">
        <v>69</v>
      </c>
      <c r="BL1323" t="s">
        <v>2992</v>
      </c>
      <c r="BM1323" t="str">
        <f>HYPERLINK("http://dx.doi.org/10.1177/1039856215593397","http://dx.doi.org/10.1177/1039856215593397")</f>
        <v>http://dx.doi.org/10.1177/1039856215593397</v>
      </c>
      <c r="BN1323" t="s">
        <v>69</v>
      </c>
      <c r="BO1323" t="s">
        <v>69</v>
      </c>
      <c r="BP1323">
        <v>4</v>
      </c>
      <c r="BQ1323" t="s">
        <v>9332</v>
      </c>
      <c r="BR1323" t="s">
        <v>8523</v>
      </c>
      <c r="BS1323" t="s">
        <v>9332</v>
      </c>
      <c r="BT1323" t="s">
        <v>22428</v>
      </c>
      <c r="BU1323" t="s">
        <v>2993</v>
      </c>
      <c r="BV1323">
        <v>26148737</v>
      </c>
      <c r="BW1323" t="s">
        <v>69</v>
      </c>
      <c r="BX1323" t="s">
        <v>69</v>
      </c>
      <c r="BY1323" t="s">
        <v>69</v>
      </c>
      <c r="BZ1323" t="s">
        <v>8526</v>
      </c>
      <c r="CA1323" t="str">
        <f>HYPERLINK("https%3A%2F%2Fwww.webofscience.com%2Fwos%2Fwoscc%2Ffull-record%2FWOS:000361906700014","View Full Record in Web of Science")</f>
        <v>View Full Record in Web of Science</v>
      </c>
    </row>
    <row r="1324" spans="2:79" ht="12.5" x14ac:dyDescent="0.25">
      <c r="B1324" t="s">
        <v>8495</v>
      </c>
      <c r="D1324" s="22" t="s">
        <v>32931</v>
      </c>
      <c r="E1324" s="7"/>
      <c r="F1324" s="7"/>
      <c r="G1324" s="7"/>
      <c r="H1324" t="s">
        <v>67</v>
      </c>
      <c r="I1324" t="s">
        <v>30636</v>
      </c>
      <c r="J1324" t="s">
        <v>69</v>
      </c>
      <c r="K1324" t="s">
        <v>69</v>
      </c>
      <c r="L1324" t="s">
        <v>69</v>
      </c>
      <c r="M1324" t="s">
        <v>30636</v>
      </c>
      <c r="N1324" t="s">
        <v>69</v>
      </c>
      <c r="O1324" t="s">
        <v>69</v>
      </c>
      <c r="P1324" t="s">
        <v>30637</v>
      </c>
      <c r="Q1324" t="s">
        <v>30638</v>
      </c>
      <c r="R1324" t="s">
        <v>69</v>
      </c>
      <c r="S1324" t="s">
        <v>69</v>
      </c>
      <c r="T1324" t="s">
        <v>8505</v>
      </c>
      <c r="U1324" t="s">
        <v>8506</v>
      </c>
      <c r="V1324" t="s">
        <v>69</v>
      </c>
      <c r="W1324" t="s">
        <v>69</v>
      </c>
      <c r="X1324" t="s">
        <v>69</v>
      </c>
      <c r="Y1324" t="s">
        <v>69</v>
      </c>
      <c r="Z1324" t="s">
        <v>69</v>
      </c>
      <c r="AA1324" t="s">
        <v>69</v>
      </c>
      <c r="AB1324" t="s">
        <v>30639</v>
      </c>
      <c r="AC1324" t="s">
        <v>30640</v>
      </c>
      <c r="AD1324" t="s">
        <v>30641</v>
      </c>
      <c r="AE1324" t="s">
        <v>69</v>
      </c>
      <c r="AF1324" t="s">
        <v>30642</v>
      </c>
      <c r="AG1324" t="s">
        <v>30643</v>
      </c>
      <c r="AH1324" t="s">
        <v>69</v>
      </c>
      <c r="AI1324" t="s">
        <v>69</v>
      </c>
      <c r="AJ1324" t="s">
        <v>69</v>
      </c>
      <c r="AK1324" t="s">
        <v>69</v>
      </c>
      <c r="AL1324" t="s">
        <v>69</v>
      </c>
      <c r="AM1324" t="s">
        <v>69</v>
      </c>
      <c r="AN1324">
        <v>35</v>
      </c>
      <c r="AO1324">
        <v>5</v>
      </c>
      <c r="AP1324">
        <v>5</v>
      </c>
      <c r="AQ1324">
        <v>0</v>
      </c>
      <c r="AR1324">
        <v>13</v>
      </c>
      <c r="AS1324" t="s">
        <v>30644</v>
      </c>
      <c r="AT1324" t="s">
        <v>11277</v>
      </c>
      <c r="AU1324" t="s">
        <v>30645</v>
      </c>
      <c r="AV1324" t="s">
        <v>30646</v>
      </c>
      <c r="AW1324" t="s">
        <v>69</v>
      </c>
      <c r="AX1324" t="s">
        <v>69</v>
      </c>
      <c r="AY1324" t="s">
        <v>30647</v>
      </c>
      <c r="AZ1324" t="s">
        <v>30648</v>
      </c>
      <c r="BA1324" t="s">
        <v>586</v>
      </c>
      <c r="BB1324">
        <v>2005</v>
      </c>
      <c r="BC1324">
        <v>31</v>
      </c>
      <c r="BD1324">
        <v>5</v>
      </c>
      <c r="BE1324" t="s">
        <v>69</v>
      </c>
      <c r="BF1324" t="s">
        <v>69</v>
      </c>
      <c r="BG1324" t="s">
        <v>69</v>
      </c>
      <c r="BH1324" t="s">
        <v>69</v>
      </c>
      <c r="BI1324">
        <v>385</v>
      </c>
      <c r="BJ1324">
        <v>403</v>
      </c>
      <c r="BK1324" t="s">
        <v>69</v>
      </c>
      <c r="BL1324" t="s">
        <v>30649</v>
      </c>
      <c r="BM1324" t="str">
        <f>HYPERLINK("http://dx.doi.org/10.1080/03601270590921663","http://dx.doi.org/10.1080/03601270590921663")</f>
        <v>http://dx.doi.org/10.1080/03601270590921663</v>
      </c>
      <c r="BN1324" t="s">
        <v>69</v>
      </c>
      <c r="BO1324" t="s">
        <v>69</v>
      </c>
      <c r="BP1324">
        <v>19</v>
      </c>
      <c r="BQ1324" t="s">
        <v>30650</v>
      </c>
      <c r="BR1324" t="s">
        <v>8661</v>
      </c>
      <c r="BS1324" t="s">
        <v>30651</v>
      </c>
      <c r="BT1324" t="s">
        <v>30652</v>
      </c>
      <c r="BU1324" t="s">
        <v>30653</v>
      </c>
      <c r="BV1324" t="s">
        <v>69</v>
      </c>
      <c r="BW1324" t="s">
        <v>69</v>
      </c>
      <c r="BX1324" t="s">
        <v>69</v>
      </c>
      <c r="BY1324" t="s">
        <v>69</v>
      </c>
      <c r="BZ1324" t="s">
        <v>8526</v>
      </c>
      <c r="CA1324" t="str">
        <f>HYPERLINK("https%3A%2F%2Fwww.webofscience.com%2Fwos%2Fwoscc%2Ffull-record%2FWOS:000228921200004","View Full Record in Web of Science")</f>
        <v>View Full Record in Web of Science</v>
      </c>
    </row>
    <row r="1325" spans="2:79" ht="12.5" x14ac:dyDescent="0.25">
      <c r="B1325" t="s">
        <v>8495</v>
      </c>
      <c r="D1325" s="7" t="s">
        <v>32933</v>
      </c>
      <c r="E1325" s="7"/>
      <c r="F1325" s="7"/>
      <c r="G1325" s="7"/>
      <c r="H1325" t="s">
        <v>67</v>
      </c>
      <c r="I1325" t="s">
        <v>1193</v>
      </c>
      <c r="J1325" t="s">
        <v>69</v>
      </c>
      <c r="K1325" t="s">
        <v>69</v>
      </c>
      <c r="L1325" t="s">
        <v>69</v>
      </c>
      <c r="M1325" t="s">
        <v>1194</v>
      </c>
      <c r="N1325" t="s">
        <v>69</v>
      </c>
      <c r="O1325" t="s">
        <v>69</v>
      </c>
      <c r="P1325" t="s">
        <v>1195</v>
      </c>
      <c r="Q1325" t="s">
        <v>1196</v>
      </c>
      <c r="R1325" t="s">
        <v>69</v>
      </c>
      <c r="S1325" t="s">
        <v>69</v>
      </c>
      <c r="T1325" t="s">
        <v>8505</v>
      </c>
      <c r="U1325" t="s">
        <v>8506</v>
      </c>
      <c r="V1325" t="s">
        <v>69</v>
      </c>
      <c r="W1325" t="s">
        <v>69</v>
      </c>
      <c r="X1325" t="s">
        <v>69</v>
      </c>
      <c r="Y1325" t="s">
        <v>69</v>
      </c>
      <c r="Z1325" t="s">
        <v>69</v>
      </c>
      <c r="AA1325" t="s">
        <v>21101</v>
      </c>
      <c r="AB1325" t="s">
        <v>21102</v>
      </c>
      <c r="AC1325" t="s">
        <v>1197</v>
      </c>
      <c r="AD1325" t="s">
        <v>21103</v>
      </c>
      <c r="AE1325" t="s">
        <v>69</v>
      </c>
      <c r="AF1325" t="s">
        <v>21104</v>
      </c>
      <c r="AG1325" t="s">
        <v>21105</v>
      </c>
      <c r="AH1325" t="s">
        <v>21106</v>
      </c>
      <c r="AI1325" t="s">
        <v>21107</v>
      </c>
      <c r="AJ1325" t="s">
        <v>21108</v>
      </c>
      <c r="AK1325" t="s">
        <v>21108</v>
      </c>
      <c r="AL1325" t="s">
        <v>21109</v>
      </c>
      <c r="AM1325" t="s">
        <v>69</v>
      </c>
      <c r="AN1325">
        <v>56</v>
      </c>
      <c r="AO1325">
        <v>16</v>
      </c>
      <c r="AP1325">
        <v>16</v>
      </c>
      <c r="AQ1325">
        <v>0</v>
      </c>
      <c r="AR1325">
        <v>12</v>
      </c>
      <c r="AS1325" t="s">
        <v>21110</v>
      </c>
      <c r="AT1325" t="s">
        <v>8847</v>
      </c>
      <c r="AU1325" t="s">
        <v>8848</v>
      </c>
      <c r="AV1325" t="s">
        <v>1198</v>
      </c>
      <c r="AW1325" t="s">
        <v>1199</v>
      </c>
      <c r="AX1325" t="s">
        <v>69</v>
      </c>
      <c r="AY1325" t="s">
        <v>21111</v>
      </c>
      <c r="AZ1325" t="s">
        <v>21112</v>
      </c>
      <c r="BA1325" t="s">
        <v>75</v>
      </c>
      <c r="BB1325">
        <v>2016</v>
      </c>
      <c r="BC1325">
        <v>57</v>
      </c>
      <c r="BD1325">
        <v>3</v>
      </c>
      <c r="BE1325" t="s">
        <v>69</v>
      </c>
      <c r="BF1325" t="s">
        <v>69</v>
      </c>
      <c r="BG1325" t="s">
        <v>114</v>
      </c>
      <c r="BH1325" t="s">
        <v>69</v>
      </c>
      <c r="BI1325">
        <v>393</v>
      </c>
      <c r="BJ1325">
        <v>405</v>
      </c>
      <c r="BK1325" t="s">
        <v>69</v>
      </c>
      <c r="BL1325" t="s">
        <v>1200</v>
      </c>
      <c r="BM1325" t="str">
        <f>HYPERLINK("http://dx.doi.org/10.1111/apv.12134","http://dx.doi.org/10.1111/apv.12134")</f>
        <v>http://dx.doi.org/10.1111/apv.12134</v>
      </c>
      <c r="BN1325" t="s">
        <v>69</v>
      </c>
      <c r="BO1325" t="s">
        <v>69</v>
      </c>
      <c r="BP1325">
        <v>13</v>
      </c>
      <c r="BQ1325" t="s">
        <v>21113</v>
      </c>
      <c r="BR1325" t="s">
        <v>8661</v>
      </c>
      <c r="BS1325" t="s">
        <v>21113</v>
      </c>
      <c r="BT1325" t="s">
        <v>21114</v>
      </c>
      <c r="BU1325" t="s">
        <v>1201</v>
      </c>
      <c r="BV1325" t="s">
        <v>69</v>
      </c>
      <c r="BW1325" t="s">
        <v>69</v>
      </c>
      <c r="BX1325" t="s">
        <v>69</v>
      </c>
      <c r="BY1325" t="s">
        <v>69</v>
      </c>
      <c r="BZ1325" t="s">
        <v>8526</v>
      </c>
      <c r="CA1325" t="str">
        <f>HYPERLINK("https%3A%2F%2Fwww.webofscience.com%2Fwos%2Fwoscc%2Ffull-record%2FWOS:000393066800009","View Full Record in Web of Science")</f>
        <v>View Full Record in Web of Science</v>
      </c>
    </row>
    <row r="1326" spans="2:79" ht="12.5" x14ac:dyDescent="0.25">
      <c r="B1326" t="s">
        <v>8495</v>
      </c>
      <c r="D1326" s="7" t="s">
        <v>32933</v>
      </c>
      <c r="E1326" s="7"/>
      <c r="F1326" s="7"/>
      <c r="G1326" s="7"/>
      <c r="H1326" t="s">
        <v>67</v>
      </c>
      <c r="I1326" t="s">
        <v>7574</v>
      </c>
      <c r="J1326" t="s">
        <v>69</v>
      </c>
      <c r="K1326" t="s">
        <v>69</v>
      </c>
      <c r="L1326" t="s">
        <v>69</v>
      </c>
      <c r="M1326" t="s">
        <v>7574</v>
      </c>
      <c r="N1326" t="s">
        <v>69</v>
      </c>
      <c r="O1326" t="s">
        <v>69</v>
      </c>
      <c r="P1326" t="s">
        <v>7575</v>
      </c>
      <c r="Q1326" t="s">
        <v>1212</v>
      </c>
      <c r="R1326" t="s">
        <v>69</v>
      </c>
      <c r="S1326" t="s">
        <v>69</v>
      </c>
      <c r="T1326" t="s">
        <v>8505</v>
      </c>
      <c r="U1326" t="s">
        <v>15797</v>
      </c>
      <c r="V1326" t="s">
        <v>7576</v>
      </c>
      <c r="W1326" t="s">
        <v>7577</v>
      </c>
      <c r="X1326" t="s">
        <v>7578</v>
      </c>
      <c r="Y1326" t="s">
        <v>69</v>
      </c>
      <c r="Z1326" t="s">
        <v>7579</v>
      </c>
      <c r="AA1326" t="s">
        <v>31585</v>
      </c>
      <c r="AB1326" t="s">
        <v>69</v>
      </c>
      <c r="AC1326" t="s">
        <v>7580</v>
      </c>
      <c r="AD1326" t="s">
        <v>69</v>
      </c>
      <c r="AE1326" t="s">
        <v>69</v>
      </c>
      <c r="AF1326" t="s">
        <v>31586</v>
      </c>
      <c r="AG1326" t="s">
        <v>69</v>
      </c>
      <c r="AH1326" t="s">
        <v>31587</v>
      </c>
      <c r="AI1326" t="s">
        <v>69</v>
      </c>
      <c r="AJ1326" t="s">
        <v>69</v>
      </c>
      <c r="AK1326" t="s">
        <v>69</v>
      </c>
      <c r="AL1326" t="s">
        <v>69</v>
      </c>
      <c r="AM1326" t="s">
        <v>69</v>
      </c>
      <c r="AN1326">
        <v>9</v>
      </c>
      <c r="AO1326">
        <v>7</v>
      </c>
      <c r="AP1326">
        <v>7</v>
      </c>
      <c r="AQ1326">
        <v>0</v>
      </c>
      <c r="AR1326">
        <v>18</v>
      </c>
      <c r="AS1326" t="s">
        <v>30740</v>
      </c>
      <c r="AT1326" t="s">
        <v>8637</v>
      </c>
      <c r="AU1326" t="s">
        <v>30741</v>
      </c>
      <c r="AV1326" t="s">
        <v>1215</v>
      </c>
      <c r="AW1326" t="s">
        <v>69</v>
      </c>
      <c r="AX1326" t="s">
        <v>69</v>
      </c>
      <c r="AY1326" t="s">
        <v>31588</v>
      </c>
      <c r="AZ1326" t="s">
        <v>21311</v>
      </c>
      <c r="BA1326" t="s">
        <v>84</v>
      </c>
      <c r="BB1326">
        <v>2001</v>
      </c>
      <c r="BC1326">
        <v>9</v>
      </c>
      <c r="BD1326">
        <v>3</v>
      </c>
      <c r="BE1326" t="s">
        <v>69</v>
      </c>
      <c r="BF1326" t="s">
        <v>69</v>
      </c>
      <c r="BG1326" t="s">
        <v>69</v>
      </c>
      <c r="BH1326" t="s">
        <v>69</v>
      </c>
      <c r="BI1326">
        <v>142</v>
      </c>
      <c r="BJ1326">
        <v>147</v>
      </c>
      <c r="BK1326" t="s">
        <v>69</v>
      </c>
      <c r="BL1326" t="s">
        <v>7581</v>
      </c>
      <c r="BM1326" t="str">
        <f>HYPERLINK("http://dx.doi.org/10.1111/1467-8683.00241","http://dx.doi.org/10.1111/1467-8683.00241")</f>
        <v>http://dx.doi.org/10.1111/1467-8683.00241</v>
      </c>
      <c r="BN1326" t="s">
        <v>69</v>
      </c>
      <c r="BO1326" t="s">
        <v>69</v>
      </c>
      <c r="BP1326">
        <v>6</v>
      </c>
      <c r="BQ1326" t="s">
        <v>21312</v>
      </c>
      <c r="BR1326" t="s">
        <v>31324</v>
      </c>
      <c r="BS1326" t="s">
        <v>8594</v>
      </c>
      <c r="BT1326" t="s">
        <v>31589</v>
      </c>
      <c r="BU1326" t="s">
        <v>7582</v>
      </c>
      <c r="BV1326" t="s">
        <v>69</v>
      </c>
      <c r="BW1326" t="s">
        <v>69</v>
      </c>
      <c r="BX1326" t="s">
        <v>69</v>
      </c>
      <c r="BY1326" t="s">
        <v>69</v>
      </c>
      <c r="BZ1326" t="s">
        <v>8526</v>
      </c>
      <c r="CA1326" t="str">
        <f>HYPERLINK("https%3A%2F%2Fwww.webofscience.com%2Fwos%2Fwoscc%2Ffull-record%2FWOS:000169695900002","View Full Record in Web of Science")</f>
        <v>View Full Record in Web of Science</v>
      </c>
    </row>
    <row r="1327" spans="2:79" ht="12.5" x14ac:dyDescent="0.25">
      <c r="B1327" t="s">
        <v>8495</v>
      </c>
      <c r="D1327" s="22" t="s">
        <v>32931</v>
      </c>
      <c r="E1327" s="7"/>
      <c r="F1327" s="7"/>
      <c r="G1327" s="7"/>
      <c r="H1327" t="s">
        <v>67</v>
      </c>
      <c r="I1327" t="s">
        <v>11390</v>
      </c>
      <c r="J1327" t="s">
        <v>69</v>
      </c>
      <c r="K1327" t="s">
        <v>69</v>
      </c>
      <c r="L1327" t="s">
        <v>69</v>
      </c>
      <c r="M1327" t="s">
        <v>11391</v>
      </c>
      <c r="N1327" t="s">
        <v>69</v>
      </c>
      <c r="O1327" t="s">
        <v>69</v>
      </c>
      <c r="P1327" t="s">
        <v>11392</v>
      </c>
      <c r="Q1327" t="s">
        <v>11393</v>
      </c>
      <c r="R1327" t="s">
        <v>69</v>
      </c>
      <c r="S1327" t="s">
        <v>69</v>
      </c>
      <c r="T1327" t="s">
        <v>8505</v>
      </c>
      <c r="U1327" t="s">
        <v>8506</v>
      </c>
      <c r="V1327" t="s">
        <v>69</v>
      </c>
      <c r="W1327" t="s">
        <v>69</v>
      </c>
      <c r="X1327" t="s">
        <v>69</v>
      </c>
      <c r="Y1327" t="s">
        <v>69</v>
      </c>
      <c r="Z1327" t="s">
        <v>69</v>
      </c>
      <c r="AA1327" t="s">
        <v>11394</v>
      </c>
      <c r="AB1327" t="s">
        <v>69</v>
      </c>
      <c r="AC1327" t="s">
        <v>11395</v>
      </c>
      <c r="AD1327" t="s">
        <v>11396</v>
      </c>
      <c r="AE1327" t="s">
        <v>69</v>
      </c>
      <c r="AF1327" t="s">
        <v>11397</v>
      </c>
      <c r="AG1327" t="s">
        <v>11398</v>
      </c>
      <c r="AH1327" t="s">
        <v>69</v>
      </c>
      <c r="AI1327" t="s">
        <v>11399</v>
      </c>
      <c r="AJ1327" t="s">
        <v>69</v>
      </c>
      <c r="AK1327" t="s">
        <v>69</v>
      </c>
      <c r="AL1327" t="s">
        <v>69</v>
      </c>
      <c r="AM1327" t="s">
        <v>69</v>
      </c>
      <c r="AN1327">
        <v>25</v>
      </c>
      <c r="AO1327">
        <v>0</v>
      </c>
      <c r="AP1327">
        <v>0</v>
      </c>
      <c r="AQ1327">
        <v>0</v>
      </c>
      <c r="AR1327">
        <v>0</v>
      </c>
      <c r="AS1327" t="s">
        <v>8865</v>
      </c>
      <c r="AT1327" t="s">
        <v>8612</v>
      </c>
      <c r="AU1327" t="s">
        <v>8866</v>
      </c>
      <c r="AV1327" t="s">
        <v>11400</v>
      </c>
      <c r="AW1327" t="s">
        <v>11401</v>
      </c>
      <c r="AX1327" t="s">
        <v>69</v>
      </c>
      <c r="AY1327" t="s">
        <v>11402</v>
      </c>
      <c r="AZ1327" t="s">
        <v>11403</v>
      </c>
      <c r="BA1327" t="s">
        <v>11404</v>
      </c>
      <c r="BB1327">
        <v>2021</v>
      </c>
      <c r="BC1327">
        <v>53</v>
      </c>
      <c r="BD1327">
        <v>3</v>
      </c>
      <c r="BE1327" t="s">
        <v>69</v>
      </c>
      <c r="BF1327" t="s">
        <v>69</v>
      </c>
      <c r="BG1327" t="s">
        <v>69</v>
      </c>
      <c r="BH1327" t="s">
        <v>69</v>
      </c>
      <c r="BI1327">
        <v>383</v>
      </c>
      <c r="BJ1327">
        <v>396</v>
      </c>
      <c r="BK1327" t="s">
        <v>69</v>
      </c>
      <c r="BL1327" t="s">
        <v>11405</v>
      </c>
      <c r="BM1327" t="str">
        <f>HYPERLINK("http://dx.doi.org/10.1080/07329113.2021.2016266","http://dx.doi.org/10.1080/07329113.2021.2016266")</f>
        <v>http://dx.doi.org/10.1080/07329113.2021.2016266</v>
      </c>
      <c r="BN1327" t="s">
        <v>69</v>
      </c>
      <c r="BO1327" t="s">
        <v>69</v>
      </c>
      <c r="BP1327">
        <v>14</v>
      </c>
      <c r="BQ1327" t="s">
        <v>8452</v>
      </c>
      <c r="BR1327" t="s">
        <v>8573</v>
      </c>
      <c r="BS1327" t="s">
        <v>10084</v>
      </c>
      <c r="BT1327" t="s">
        <v>11406</v>
      </c>
      <c r="BU1327" t="s">
        <v>11407</v>
      </c>
      <c r="BV1327" t="s">
        <v>69</v>
      </c>
      <c r="BW1327" t="s">
        <v>69</v>
      </c>
      <c r="BX1327" t="s">
        <v>69</v>
      </c>
      <c r="BY1327" t="s">
        <v>69</v>
      </c>
      <c r="BZ1327" t="s">
        <v>8526</v>
      </c>
      <c r="CA1327" t="str">
        <f>HYPERLINK("https%3A%2F%2Fwww.webofscience.com%2Fwos%2Fwoscc%2Ffull-record%2FWOS:000740524600006","View Full Record in Web of Science")</f>
        <v>View Full Record in Web of Science</v>
      </c>
    </row>
    <row r="1328" spans="2:79" ht="12.5" x14ac:dyDescent="0.25">
      <c r="B1328" t="s">
        <v>8495</v>
      </c>
      <c r="D1328" s="22" t="s">
        <v>32931</v>
      </c>
      <c r="E1328" s="7"/>
      <c r="F1328" s="7"/>
      <c r="G1328" s="7"/>
      <c r="H1328" t="s">
        <v>67</v>
      </c>
      <c r="I1328" t="s">
        <v>31279</v>
      </c>
      <c r="J1328" t="s">
        <v>69</v>
      </c>
      <c r="K1328" t="s">
        <v>69</v>
      </c>
      <c r="L1328" t="s">
        <v>69</v>
      </c>
      <c r="M1328" t="s">
        <v>31279</v>
      </c>
      <c r="N1328" t="s">
        <v>69</v>
      </c>
      <c r="O1328" t="s">
        <v>69</v>
      </c>
      <c r="P1328" t="s">
        <v>31280</v>
      </c>
      <c r="Q1328" t="s">
        <v>30105</v>
      </c>
      <c r="R1328" t="s">
        <v>69</v>
      </c>
      <c r="S1328" t="s">
        <v>69</v>
      </c>
      <c r="T1328" t="s">
        <v>8505</v>
      </c>
      <c r="U1328" t="s">
        <v>8506</v>
      </c>
      <c r="V1328" t="s">
        <v>69</v>
      </c>
      <c r="W1328" t="s">
        <v>69</v>
      </c>
      <c r="X1328" t="s">
        <v>69</v>
      </c>
      <c r="Y1328" t="s">
        <v>69</v>
      </c>
      <c r="Z1328" t="s">
        <v>69</v>
      </c>
      <c r="AA1328" t="s">
        <v>31281</v>
      </c>
      <c r="AB1328" t="s">
        <v>31282</v>
      </c>
      <c r="AC1328" t="s">
        <v>31283</v>
      </c>
      <c r="AD1328" t="s">
        <v>31284</v>
      </c>
      <c r="AE1328" t="s">
        <v>69</v>
      </c>
      <c r="AF1328" t="s">
        <v>31285</v>
      </c>
      <c r="AG1328" t="s">
        <v>69</v>
      </c>
      <c r="AH1328" t="s">
        <v>69</v>
      </c>
      <c r="AI1328" t="s">
        <v>69</v>
      </c>
      <c r="AJ1328" t="s">
        <v>69</v>
      </c>
      <c r="AK1328" t="s">
        <v>69</v>
      </c>
      <c r="AL1328" t="s">
        <v>69</v>
      </c>
      <c r="AM1328" t="s">
        <v>69</v>
      </c>
      <c r="AN1328">
        <v>37</v>
      </c>
      <c r="AO1328">
        <v>36</v>
      </c>
      <c r="AP1328">
        <v>36</v>
      </c>
      <c r="AQ1328">
        <v>1</v>
      </c>
      <c r="AR1328">
        <v>11</v>
      </c>
      <c r="AS1328" t="s">
        <v>31076</v>
      </c>
      <c r="AT1328" t="s">
        <v>8637</v>
      </c>
      <c r="AU1328" t="s">
        <v>31286</v>
      </c>
      <c r="AV1328" t="s">
        <v>30112</v>
      </c>
      <c r="AW1328" t="s">
        <v>69</v>
      </c>
      <c r="AX1328" t="s">
        <v>69</v>
      </c>
      <c r="AY1328" t="s">
        <v>30114</v>
      </c>
      <c r="AZ1328" t="s">
        <v>30115</v>
      </c>
      <c r="BA1328" t="s">
        <v>373</v>
      </c>
      <c r="BB1328">
        <v>2003</v>
      </c>
      <c r="BC1328">
        <v>12</v>
      </c>
      <c r="BD1328">
        <v>1</v>
      </c>
      <c r="BE1328" t="s">
        <v>69</v>
      </c>
      <c r="BF1328" t="s">
        <v>69</v>
      </c>
      <c r="BG1328" t="s">
        <v>69</v>
      </c>
      <c r="BH1328" t="s">
        <v>69</v>
      </c>
      <c r="BI1328">
        <v>28</v>
      </c>
      <c r="BJ1328">
        <v>36</v>
      </c>
      <c r="BK1328" t="s">
        <v>69</v>
      </c>
      <c r="BL1328" t="s">
        <v>31287</v>
      </c>
      <c r="BM1328" t="str">
        <f>HYPERLINK("http://dx.doi.org/10.1046/j.1365-2702.2003.00682.x","http://dx.doi.org/10.1046/j.1365-2702.2003.00682.x")</f>
        <v>http://dx.doi.org/10.1046/j.1365-2702.2003.00682.x</v>
      </c>
      <c r="BN1328" t="s">
        <v>69</v>
      </c>
      <c r="BO1328" t="s">
        <v>69</v>
      </c>
      <c r="BP1328">
        <v>9</v>
      </c>
      <c r="BQ1328" t="s">
        <v>16902</v>
      </c>
      <c r="BR1328" t="s">
        <v>8523</v>
      </c>
      <c r="BS1328" t="s">
        <v>16902</v>
      </c>
      <c r="BT1328" t="s">
        <v>31288</v>
      </c>
      <c r="BU1328" t="s">
        <v>31289</v>
      </c>
      <c r="BV1328">
        <v>12519247</v>
      </c>
      <c r="BW1328" t="s">
        <v>69</v>
      </c>
      <c r="BX1328" t="s">
        <v>69</v>
      </c>
      <c r="BY1328" t="s">
        <v>69</v>
      </c>
      <c r="BZ1328" t="s">
        <v>8526</v>
      </c>
      <c r="CA1328" t="str">
        <f>HYPERLINK("https%3A%2F%2Fwww.webofscience.com%2Fwos%2Fwoscc%2Ffull-record%2FWOS:000179945800005","View Full Record in Web of Science")</f>
        <v>View Full Record in Web of Science</v>
      </c>
    </row>
    <row r="1329" spans="2:79" ht="12.5" x14ac:dyDescent="0.25">
      <c r="B1329" t="s">
        <v>8495</v>
      </c>
      <c r="D1329" s="22" t="s">
        <v>32931</v>
      </c>
      <c r="E1329" s="7"/>
      <c r="F1329" s="7"/>
      <c r="G1329" s="7"/>
      <c r="H1329" t="s">
        <v>67</v>
      </c>
      <c r="I1329" t="s">
        <v>32472</v>
      </c>
      <c r="J1329" t="s">
        <v>69</v>
      </c>
      <c r="K1329" t="s">
        <v>69</v>
      </c>
      <c r="L1329" t="s">
        <v>69</v>
      </c>
      <c r="M1329" t="s">
        <v>32472</v>
      </c>
      <c r="N1329" t="s">
        <v>69</v>
      </c>
      <c r="O1329" t="s">
        <v>69</v>
      </c>
      <c r="P1329" t="s">
        <v>32473</v>
      </c>
      <c r="Q1329" t="s">
        <v>32474</v>
      </c>
      <c r="R1329" t="s">
        <v>69</v>
      </c>
      <c r="S1329" t="s">
        <v>69</v>
      </c>
      <c r="T1329" t="s">
        <v>8505</v>
      </c>
      <c r="U1329" t="s">
        <v>10174</v>
      </c>
      <c r="V1329" t="s">
        <v>69</v>
      </c>
      <c r="W1329" t="s">
        <v>69</v>
      </c>
      <c r="X1329" t="s">
        <v>69</v>
      </c>
      <c r="Y1329" t="s">
        <v>69</v>
      </c>
      <c r="Z1329" t="s">
        <v>69</v>
      </c>
      <c r="AA1329" t="s">
        <v>69</v>
      </c>
      <c r="AB1329" t="s">
        <v>32475</v>
      </c>
      <c r="AC1329" t="s">
        <v>32476</v>
      </c>
      <c r="AD1329" t="s">
        <v>69</v>
      </c>
      <c r="AE1329" t="s">
        <v>69</v>
      </c>
      <c r="AF1329" t="s">
        <v>32477</v>
      </c>
      <c r="AG1329" t="s">
        <v>69</v>
      </c>
      <c r="AH1329" t="s">
        <v>69</v>
      </c>
      <c r="AI1329" t="s">
        <v>69</v>
      </c>
      <c r="AJ1329" t="s">
        <v>69</v>
      </c>
      <c r="AK1329" t="s">
        <v>69</v>
      </c>
      <c r="AL1329" t="s">
        <v>69</v>
      </c>
      <c r="AM1329" t="s">
        <v>69</v>
      </c>
      <c r="AN1329">
        <v>31</v>
      </c>
      <c r="AO1329">
        <v>14</v>
      </c>
      <c r="AP1329">
        <v>14</v>
      </c>
      <c r="AQ1329">
        <v>0</v>
      </c>
      <c r="AR1329">
        <v>0</v>
      </c>
      <c r="AS1329" t="s">
        <v>32478</v>
      </c>
      <c r="AT1329" t="s">
        <v>10924</v>
      </c>
      <c r="AU1329" t="s">
        <v>32479</v>
      </c>
      <c r="AV1329" t="s">
        <v>32480</v>
      </c>
      <c r="AW1329" t="s">
        <v>32481</v>
      </c>
      <c r="AX1329" t="s">
        <v>69</v>
      </c>
      <c r="AY1329" t="s">
        <v>32482</v>
      </c>
      <c r="AZ1329" t="s">
        <v>32483</v>
      </c>
      <c r="BA1329" t="s">
        <v>8207</v>
      </c>
      <c r="BB1329">
        <v>1996</v>
      </c>
      <c r="BC1329">
        <v>124</v>
      </c>
      <c r="BD1329">
        <v>6</v>
      </c>
      <c r="BE1329" t="s">
        <v>69</v>
      </c>
      <c r="BF1329" t="s">
        <v>69</v>
      </c>
      <c r="BG1329" t="s">
        <v>69</v>
      </c>
      <c r="BH1329" t="s">
        <v>69</v>
      </c>
      <c r="BI1329">
        <v>600</v>
      </c>
      <c r="BJ1329">
        <v>603</v>
      </c>
      <c r="BK1329" t="s">
        <v>69</v>
      </c>
      <c r="BL1329" t="s">
        <v>32484</v>
      </c>
      <c r="BM1329" t="str">
        <f>HYPERLINK("http://dx.doi.org/10.7326/0003-4819-124-6-199603150-00009","http://dx.doi.org/10.7326/0003-4819-124-6-199603150-00009")</f>
        <v>http://dx.doi.org/10.7326/0003-4819-124-6-199603150-00009</v>
      </c>
      <c r="BN1329" t="s">
        <v>69</v>
      </c>
      <c r="BO1329" t="s">
        <v>69</v>
      </c>
      <c r="BP1329">
        <v>4</v>
      </c>
      <c r="BQ1329" t="s">
        <v>9450</v>
      </c>
      <c r="BR1329" t="s">
        <v>8548</v>
      </c>
      <c r="BS1329" t="s">
        <v>9451</v>
      </c>
      <c r="BT1329" t="s">
        <v>32485</v>
      </c>
      <c r="BU1329" t="s">
        <v>32486</v>
      </c>
      <c r="BV1329">
        <v>8597324</v>
      </c>
      <c r="BW1329" t="s">
        <v>69</v>
      </c>
      <c r="BX1329" t="s">
        <v>69</v>
      </c>
      <c r="BY1329" t="s">
        <v>69</v>
      </c>
      <c r="BZ1329" t="s">
        <v>8526</v>
      </c>
      <c r="CA1329" t="str">
        <f>HYPERLINK("https%3A%2F%2Fwww.webofscience.com%2Fwos%2Fwoscc%2Ffull-record%2FWOS:A1996TZ52900010","View Full Record in Web of Science")</f>
        <v>View Full Record in Web of Science</v>
      </c>
    </row>
    <row r="1330" spans="2:79" ht="12.5" x14ac:dyDescent="0.25">
      <c r="B1330" t="s">
        <v>8495</v>
      </c>
      <c r="D1330" s="22" t="s">
        <v>32931</v>
      </c>
      <c r="E1330" s="7"/>
      <c r="F1330" s="7"/>
      <c r="G1330" s="7"/>
      <c r="H1330" t="s">
        <v>67</v>
      </c>
      <c r="I1330" t="s">
        <v>19670</v>
      </c>
      <c r="J1330" t="s">
        <v>69</v>
      </c>
      <c r="K1330" t="s">
        <v>69</v>
      </c>
      <c r="L1330" t="s">
        <v>69</v>
      </c>
      <c r="M1330" t="s">
        <v>19671</v>
      </c>
      <c r="N1330" t="s">
        <v>69</v>
      </c>
      <c r="O1330" t="s">
        <v>69</v>
      </c>
      <c r="P1330" t="s">
        <v>19672</v>
      </c>
      <c r="Q1330" t="s">
        <v>19673</v>
      </c>
      <c r="R1330" t="s">
        <v>69</v>
      </c>
      <c r="S1330" t="s">
        <v>69</v>
      </c>
      <c r="T1330" t="s">
        <v>8505</v>
      </c>
      <c r="U1330" t="s">
        <v>10174</v>
      </c>
      <c r="V1330" t="s">
        <v>69</v>
      </c>
      <c r="W1330" t="s">
        <v>69</v>
      </c>
      <c r="X1330" t="s">
        <v>69</v>
      </c>
      <c r="Y1330" t="s">
        <v>69</v>
      </c>
      <c r="Z1330" t="s">
        <v>69</v>
      </c>
      <c r="AA1330" t="s">
        <v>19674</v>
      </c>
      <c r="AB1330" t="s">
        <v>69</v>
      </c>
      <c r="AC1330" t="s">
        <v>19675</v>
      </c>
      <c r="AD1330" t="s">
        <v>19676</v>
      </c>
      <c r="AE1330" t="s">
        <v>69</v>
      </c>
      <c r="AF1330" t="s">
        <v>19677</v>
      </c>
      <c r="AG1330" t="s">
        <v>19678</v>
      </c>
      <c r="AH1330" t="s">
        <v>69</v>
      </c>
      <c r="AI1330" t="s">
        <v>69</v>
      </c>
      <c r="AJ1330" t="s">
        <v>69</v>
      </c>
      <c r="AK1330" t="s">
        <v>69</v>
      </c>
      <c r="AL1330" t="s">
        <v>69</v>
      </c>
      <c r="AM1330" t="s">
        <v>69</v>
      </c>
      <c r="AN1330">
        <v>0</v>
      </c>
      <c r="AO1330">
        <v>0</v>
      </c>
      <c r="AP1330">
        <v>0</v>
      </c>
      <c r="AQ1330">
        <v>0</v>
      </c>
      <c r="AR1330">
        <v>4</v>
      </c>
      <c r="AS1330" t="s">
        <v>8586</v>
      </c>
      <c r="AT1330" t="s">
        <v>8587</v>
      </c>
      <c r="AU1330" t="s">
        <v>8588</v>
      </c>
      <c r="AV1330" t="s">
        <v>19679</v>
      </c>
      <c r="AW1330" t="s">
        <v>19680</v>
      </c>
      <c r="AX1330" t="s">
        <v>69</v>
      </c>
      <c r="AY1330" t="s">
        <v>19681</v>
      </c>
      <c r="AZ1330" t="s">
        <v>19682</v>
      </c>
      <c r="BA1330" t="s">
        <v>69</v>
      </c>
      <c r="BB1330">
        <v>2018</v>
      </c>
      <c r="BC1330">
        <v>10</v>
      </c>
      <c r="BD1330">
        <v>5</v>
      </c>
      <c r="BE1330" t="s">
        <v>69</v>
      </c>
      <c r="BF1330" t="s">
        <v>69</v>
      </c>
      <c r="BG1330" t="s">
        <v>114</v>
      </c>
      <c r="BH1330" t="s">
        <v>69</v>
      </c>
      <c r="BI1330">
        <v>623</v>
      </c>
      <c r="BJ1330">
        <v>628</v>
      </c>
      <c r="BK1330" t="s">
        <v>69</v>
      </c>
      <c r="BL1330" t="s">
        <v>19683</v>
      </c>
      <c r="BM1330" t="str">
        <f>HYPERLINK("http://dx.doi.org/10.1108/WHATT-06-2018-0040","http://dx.doi.org/10.1108/WHATT-06-2018-0040")</f>
        <v>http://dx.doi.org/10.1108/WHATT-06-2018-0040</v>
      </c>
      <c r="BN1330" t="s">
        <v>69</v>
      </c>
      <c r="BO1330" t="s">
        <v>69</v>
      </c>
      <c r="BP1330">
        <v>6</v>
      </c>
      <c r="BQ1330" t="s">
        <v>10278</v>
      </c>
      <c r="BR1330" t="s">
        <v>8573</v>
      </c>
      <c r="BS1330" t="s">
        <v>10279</v>
      </c>
      <c r="BT1330" t="s">
        <v>19684</v>
      </c>
      <c r="BU1330" t="s">
        <v>19685</v>
      </c>
      <c r="BV1330" t="s">
        <v>69</v>
      </c>
      <c r="BW1330" t="s">
        <v>69</v>
      </c>
      <c r="BX1330" t="s">
        <v>69</v>
      </c>
      <c r="BY1330" t="s">
        <v>69</v>
      </c>
      <c r="BZ1330" t="s">
        <v>8526</v>
      </c>
      <c r="CA1330" t="str">
        <f>HYPERLINK("https%3A%2F%2Fwww.webofscience.com%2Fwos%2Fwoscc%2Ffull-record%2FWOS:000448813500010","View Full Record in Web of Science")</f>
        <v>View Full Record in Web of Science</v>
      </c>
    </row>
    <row r="1331" spans="2:79" ht="12.5" x14ac:dyDescent="0.25">
      <c r="B1331" t="s">
        <v>8495</v>
      </c>
      <c r="D1331" s="22" t="s">
        <v>32931</v>
      </c>
      <c r="E1331" s="7"/>
      <c r="F1331" s="7"/>
      <c r="G1331" s="7"/>
      <c r="H1331" t="s">
        <v>67</v>
      </c>
      <c r="I1331" t="s">
        <v>12595</v>
      </c>
      <c r="J1331" t="s">
        <v>69</v>
      </c>
      <c r="K1331" t="s">
        <v>69</v>
      </c>
      <c r="L1331" t="s">
        <v>69</v>
      </c>
      <c r="M1331" t="s">
        <v>12596</v>
      </c>
      <c r="N1331" t="s">
        <v>69</v>
      </c>
      <c r="O1331" t="s">
        <v>69</v>
      </c>
      <c r="P1331" t="s">
        <v>12597</v>
      </c>
      <c r="Q1331" t="s">
        <v>352</v>
      </c>
      <c r="R1331" t="s">
        <v>69</v>
      </c>
      <c r="S1331" t="s">
        <v>69</v>
      </c>
      <c r="T1331" t="s">
        <v>8505</v>
      </c>
      <c r="U1331" t="s">
        <v>8506</v>
      </c>
      <c r="V1331" t="s">
        <v>69</v>
      </c>
      <c r="W1331" t="s">
        <v>69</v>
      </c>
      <c r="X1331" t="s">
        <v>69</v>
      </c>
      <c r="Y1331" t="s">
        <v>69</v>
      </c>
      <c r="Z1331" t="s">
        <v>69</v>
      </c>
      <c r="AA1331" t="s">
        <v>12598</v>
      </c>
      <c r="AB1331" t="s">
        <v>69</v>
      </c>
      <c r="AC1331" t="s">
        <v>12599</v>
      </c>
      <c r="AD1331" t="s">
        <v>12600</v>
      </c>
      <c r="AE1331" t="s">
        <v>69</v>
      </c>
      <c r="AF1331" t="s">
        <v>12601</v>
      </c>
      <c r="AG1331" t="s">
        <v>12602</v>
      </c>
      <c r="AH1331" t="s">
        <v>69</v>
      </c>
      <c r="AI1331" t="s">
        <v>12603</v>
      </c>
      <c r="AJ1331" t="s">
        <v>12604</v>
      </c>
      <c r="AK1331" t="s">
        <v>12604</v>
      </c>
      <c r="AL1331" t="s">
        <v>12605</v>
      </c>
      <c r="AM1331" t="s">
        <v>69</v>
      </c>
      <c r="AN1331">
        <v>51</v>
      </c>
      <c r="AO1331">
        <v>0</v>
      </c>
      <c r="AP1331">
        <v>0</v>
      </c>
      <c r="AQ1331">
        <v>2</v>
      </c>
      <c r="AR1331">
        <v>3</v>
      </c>
      <c r="AS1331" t="s">
        <v>8924</v>
      </c>
      <c r="AT1331" t="s">
        <v>8925</v>
      </c>
      <c r="AU1331" t="s">
        <v>8926</v>
      </c>
      <c r="AV1331" t="s">
        <v>69</v>
      </c>
      <c r="AW1331" t="s">
        <v>354</v>
      </c>
      <c r="AX1331" t="s">
        <v>69</v>
      </c>
      <c r="AY1331" t="s">
        <v>8958</v>
      </c>
      <c r="AZ1331" t="s">
        <v>8434</v>
      </c>
      <c r="BA1331" t="s">
        <v>246</v>
      </c>
      <c r="BB1331">
        <v>2021</v>
      </c>
      <c r="BC1331">
        <v>13</v>
      </c>
      <c r="BD1331">
        <v>7</v>
      </c>
      <c r="BE1331" t="s">
        <v>69</v>
      </c>
      <c r="BF1331" t="s">
        <v>69</v>
      </c>
      <c r="BG1331" t="s">
        <v>69</v>
      </c>
      <c r="BH1331" t="s">
        <v>69</v>
      </c>
      <c r="BI1331" t="s">
        <v>69</v>
      </c>
      <c r="BJ1331" t="s">
        <v>69</v>
      </c>
      <c r="BK1331">
        <v>3811</v>
      </c>
      <c r="BL1331" t="s">
        <v>12606</v>
      </c>
      <c r="BM1331" t="str">
        <f>HYPERLINK("http://dx.doi.org/10.3390/su13073811","http://dx.doi.org/10.3390/su13073811")</f>
        <v>http://dx.doi.org/10.3390/su13073811</v>
      </c>
      <c r="BN1331" t="s">
        <v>69</v>
      </c>
      <c r="BO1331" t="s">
        <v>69</v>
      </c>
      <c r="BP1331">
        <v>22</v>
      </c>
      <c r="BQ1331" t="s">
        <v>8960</v>
      </c>
      <c r="BR1331" t="s">
        <v>8523</v>
      </c>
      <c r="BS1331" t="s">
        <v>8961</v>
      </c>
      <c r="BT1331" t="s">
        <v>12607</v>
      </c>
      <c r="BU1331" t="s">
        <v>12608</v>
      </c>
      <c r="BV1331" t="s">
        <v>69</v>
      </c>
      <c r="BW1331" t="s">
        <v>8812</v>
      </c>
      <c r="BX1331" t="s">
        <v>69</v>
      </c>
      <c r="BY1331" t="s">
        <v>69</v>
      </c>
      <c r="BZ1331" t="s">
        <v>8526</v>
      </c>
      <c r="CA1331" t="str">
        <f>HYPERLINK("https%3A%2F%2Fwww.webofscience.com%2Fwos%2Fwoscc%2Ffull-record%2FWOS:000638900800001","View Full Record in Web of Science")</f>
        <v>View Full Record in Web of Science</v>
      </c>
    </row>
    <row r="1332" spans="2:79" ht="12.5" x14ac:dyDescent="0.25">
      <c r="B1332" t="s">
        <v>8495</v>
      </c>
      <c r="D1332" s="22" t="s">
        <v>32931</v>
      </c>
      <c r="E1332" s="7"/>
      <c r="F1332" s="7"/>
      <c r="G1332" s="7"/>
      <c r="H1332" t="s">
        <v>67</v>
      </c>
      <c r="I1332" t="s">
        <v>12205</v>
      </c>
      <c r="J1332" t="s">
        <v>69</v>
      </c>
      <c r="K1332" t="s">
        <v>69</v>
      </c>
      <c r="L1332" t="s">
        <v>69</v>
      </c>
      <c r="M1332" t="s">
        <v>12206</v>
      </c>
      <c r="N1332" t="s">
        <v>69</v>
      </c>
      <c r="O1332" t="s">
        <v>69</v>
      </c>
      <c r="P1332" t="s">
        <v>12207</v>
      </c>
      <c r="Q1332" t="s">
        <v>352</v>
      </c>
      <c r="R1332" t="s">
        <v>69</v>
      </c>
      <c r="S1332" t="s">
        <v>69</v>
      </c>
      <c r="T1332" t="s">
        <v>8505</v>
      </c>
      <c r="U1332" t="s">
        <v>8506</v>
      </c>
      <c r="V1332" t="s">
        <v>69</v>
      </c>
      <c r="W1332" t="s">
        <v>69</v>
      </c>
      <c r="X1332" t="s">
        <v>69</v>
      </c>
      <c r="Y1332" t="s">
        <v>69</v>
      </c>
      <c r="Z1332" t="s">
        <v>69</v>
      </c>
      <c r="AA1332" t="s">
        <v>12208</v>
      </c>
      <c r="AB1332" t="s">
        <v>69</v>
      </c>
      <c r="AC1332" t="s">
        <v>12209</v>
      </c>
      <c r="AD1332" t="s">
        <v>12210</v>
      </c>
      <c r="AE1332" t="s">
        <v>69</v>
      </c>
      <c r="AF1332" t="s">
        <v>12211</v>
      </c>
      <c r="AG1332" t="s">
        <v>12212</v>
      </c>
      <c r="AH1332" t="s">
        <v>12213</v>
      </c>
      <c r="AI1332" t="s">
        <v>12214</v>
      </c>
      <c r="AJ1332" t="s">
        <v>12215</v>
      </c>
      <c r="AK1332" t="s">
        <v>12216</v>
      </c>
      <c r="AL1332" t="s">
        <v>12217</v>
      </c>
      <c r="AM1332" t="s">
        <v>69</v>
      </c>
      <c r="AN1332">
        <v>49</v>
      </c>
      <c r="AO1332">
        <v>1</v>
      </c>
      <c r="AP1332">
        <v>1</v>
      </c>
      <c r="AQ1332">
        <v>4</v>
      </c>
      <c r="AR1332">
        <v>11</v>
      </c>
      <c r="AS1332" t="s">
        <v>8924</v>
      </c>
      <c r="AT1332" t="s">
        <v>8925</v>
      </c>
      <c r="AU1332" t="s">
        <v>8926</v>
      </c>
      <c r="AV1332" t="s">
        <v>69</v>
      </c>
      <c r="AW1332" t="s">
        <v>354</v>
      </c>
      <c r="AX1332" t="s">
        <v>69</v>
      </c>
      <c r="AY1332" t="s">
        <v>8958</v>
      </c>
      <c r="AZ1332" t="s">
        <v>8434</v>
      </c>
      <c r="BA1332" t="s">
        <v>586</v>
      </c>
      <c r="BB1332">
        <v>2021</v>
      </c>
      <c r="BC1332">
        <v>13</v>
      </c>
      <c r="BD1332">
        <v>10</v>
      </c>
      <c r="BE1332" t="s">
        <v>69</v>
      </c>
      <c r="BF1332" t="s">
        <v>69</v>
      </c>
      <c r="BG1332" t="s">
        <v>69</v>
      </c>
      <c r="BH1332" t="s">
        <v>69</v>
      </c>
      <c r="BI1332" t="s">
        <v>69</v>
      </c>
      <c r="BJ1332" t="s">
        <v>69</v>
      </c>
      <c r="BK1332">
        <v>5461</v>
      </c>
      <c r="BL1332" t="s">
        <v>12218</v>
      </c>
      <c r="BM1332" t="str">
        <f>HYPERLINK("http://dx.doi.org/10.3390/su13105461","http://dx.doi.org/10.3390/su13105461")</f>
        <v>http://dx.doi.org/10.3390/su13105461</v>
      </c>
      <c r="BN1332" t="s">
        <v>69</v>
      </c>
      <c r="BO1332" t="s">
        <v>69</v>
      </c>
      <c r="BP1332">
        <v>16</v>
      </c>
      <c r="BQ1332" t="s">
        <v>8960</v>
      </c>
      <c r="BR1332" t="s">
        <v>8523</v>
      </c>
      <c r="BS1332" t="s">
        <v>8961</v>
      </c>
      <c r="BT1332" t="s">
        <v>12219</v>
      </c>
      <c r="BU1332" t="s">
        <v>12221</v>
      </c>
      <c r="BV1332" t="s">
        <v>69</v>
      </c>
      <c r="BW1332" t="s">
        <v>12220</v>
      </c>
      <c r="BX1332" t="s">
        <v>69</v>
      </c>
      <c r="BY1332" t="s">
        <v>69</v>
      </c>
      <c r="BZ1332" t="s">
        <v>8526</v>
      </c>
      <c r="CA1332" t="str">
        <f>HYPERLINK("https%3A%2F%2Fwww.webofscience.com%2Fwos%2Fwoscc%2Ffull-record%2FWOS:000662664200001","View Full Record in Web of Science")</f>
        <v>View Full Record in Web of Science</v>
      </c>
    </row>
    <row r="1333" spans="2:79" ht="12.5" x14ac:dyDescent="0.25">
      <c r="B1333" t="s">
        <v>8495</v>
      </c>
      <c r="D1333" s="7" t="s">
        <v>32933</v>
      </c>
      <c r="E1333" s="7"/>
      <c r="F1333" s="7"/>
      <c r="G1333" s="7"/>
      <c r="H1333" t="s">
        <v>67</v>
      </c>
      <c r="I1333" t="s">
        <v>212</v>
      </c>
      <c r="J1333" t="s">
        <v>69</v>
      </c>
      <c r="K1333" t="s">
        <v>69</v>
      </c>
      <c r="L1333" t="s">
        <v>69</v>
      </c>
      <c r="M1333" t="s">
        <v>213</v>
      </c>
      <c r="N1333" t="s">
        <v>69</v>
      </c>
      <c r="O1333" t="s">
        <v>69</v>
      </c>
      <c r="P1333" t="s">
        <v>214</v>
      </c>
      <c r="Q1333" t="s">
        <v>215</v>
      </c>
      <c r="R1333" t="s">
        <v>69</v>
      </c>
      <c r="S1333" t="s">
        <v>69</v>
      </c>
      <c r="T1333" t="s">
        <v>8505</v>
      </c>
      <c r="U1333" t="s">
        <v>8442</v>
      </c>
      <c r="V1333" t="s">
        <v>69</v>
      </c>
      <c r="W1333" t="s">
        <v>69</v>
      </c>
      <c r="X1333" t="s">
        <v>69</v>
      </c>
      <c r="Y1333" t="s">
        <v>69</v>
      </c>
      <c r="Z1333" t="s">
        <v>69</v>
      </c>
      <c r="AA1333" t="s">
        <v>69</v>
      </c>
      <c r="AB1333" t="s">
        <v>30537</v>
      </c>
      <c r="AC1333" t="s">
        <v>216</v>
      </c>
      <c r="AD1333" t="s">
        <v>30538</v>
      </c>
      <c r="AE1333" t="s">
        <v>69</v>
      </c>
      <c r="AF1333" t="s">
        <v>30539</v>
      </c>
      <c r="AG1333" t="s">
        <v>30540</v>
      </c>
      <c r="AH1333" t="s">
        <v>217</v>
      </c>
      <c r="AI1333" t="s">
        <v>69</v>
      </c>
      <c r="AJ1333" t="s">
        <v>69</v>
      </c>
      <c r="AK1333" t="s">
        <v>69</v>
      </c>
      <c r="AL1333" t="s">
        <v>69</v>
      </c>
      <c r="AM1333" t="s">
        <v>69</v>
      </c>
      <c r="AN1333">
        <v>85</v>
      </c>
      <c r="AO1333">
        <v>2</v>
      </c>
      <c r="AP1333">
        <v>3</v>
      </c>
      <c r="AQ1333">
        <v>2</v>
      </c>
      <c r="AR1333">
        <v>31</v>
      </c>
      <c r="AS1333" t="s">
        <v>9145</v>
      </c>
      <c r="AT1333" t="s">
        <v>8637</v>
      </c>
      <c r="AU1333" t="s">
        <v>9146</v>
      </c>
      <c r="AV1333" t="s">
        <v>218</v>
      </c>
      <c r="AW1333" t="s">
        <v>30541</v>
      </c>
      <c r="AX1333" t="s">
        <v>69</v>
      </c>
      <c r="AY1333" t="s">
        <v>15240</v>
      </c>
      <c r="AZ1333" t="s">
        <v>15241</v>
      </c>
      <c r="BA1333" t="s">
        <v>69</v>
      </c>
      <c r="BB1333">
        <v>2006</v>
      </c>
      <c r="BC1333">
        <v>65</v>
      </c>
      <c r="BD1333" t="s">
        <v>69</v>
      </c>
      <c r="BE1333">
        <v>3</v>
      </c>
      <c r="BF1333" t="s">
        <v>69</v>
      </c>
      <c r="BG1333" t="s">
        <v>69</v>
      </c>
      <c r="BH1333" t="s">
        <v>69</v>
      </c>
      <c r="BI1333">
        <v>131</v>
      </c>
      <c r="BJ1333" t="s">
        <v>219</v>
      </c>
      <c r="BK1333" t="s">
        <v>69</v>
      </c>
      <c r="BL1333" t="s">
        <v>220</v>
      </c>
      <c r="BM1333" t="str">
        <f>HYPERLINK("http://dx.doi.org/10.1016/j.progress.2006.03.004","http://dx.doi.org/10.1016/j.progress.2006.03.004")</f>
        <v>http://dx.doi.org/10.1016/j.progress.2006.03.004</v>
      </c>
      <c r="BN1333" t="s">
        <v>69</v>
      </c>
      <c r="BO1333" t="s">
        <v>69</v>
      </c>
      <c r="BP1333">
        <v>71</v>
      </c>
      <c r="BQ1333" t="s">
        <v>15242</v>
      </c>
      <c r="BR1333" t="s">
        <v>8661</v>
      </c>
      <c r="BS1333" t="s">
        <v>15243</v>
      </c>
      <c r="BT1333" t="s">
        <v>30542</v>
      </c>
      <c r="BU1333" t="s">
        <v>221</v>
      </c>
      <c r="BV1333" t="s">
        <v>69</v>
      </c>
      <c r="BW1333" t="s">
        <v>69</v>
      </c>
      <c r="BX1333" t="s">
        <v>69</v>
      </c>
      <c r="BY1333" t="s">
        <v>69</v>
      </c>
      <c r="BZ1333" t="s">
        <v>8526</v>
      </c>
      <c r="CA1333" t="str">
        <f>HYPERLINK("https%3A%2F%2Fwww.webofscience.com%2Fwos%2Fwoscc%2Ffull-record%2FWOS:000238237200001","View Full Record in Web of Science")</f>
        <v>View Full Record in Web of Science</v>
      </c>
    </row>
    <row r="1334" spans="2:79" ht="12.5" x14ac:dyDescent="0.25">
      <c r="B1334" t="s">
        <v>8495</v>
      </c>
      <c r="D1334" s="7" t="s">
        <v>32933</v>
      </c>
      <c r="E1334" s="7"/>
      <c r="F1334" s="7"/>
      <c r="G1334" s="7"/>
      <c r="H1334" t="s">
        <v>67</v>
      </c>
      <c r="I1334" t="s">
        <v>3919</v>
      </c>
      <c r="J1334" t="s">
        <v>69</v>
      </c>
      <c r="K1334" t="s">
        <v>69</v>
      </c>
      <c r="L1334" t="s">
        <v>69</v>
      </c>
      <c r="M1334" t="s">
        <v>3919</v>
      </c>
      <c r="N1334" t="s">
        <v>69</v>
      </c>
      <c r="O1334" t="s">
        <v>69</v>
      </c>
      <c r="P1334" t="s">
        <v>3920</v>
      </c>
      <c r="Q1334" t="s">
        <v>3921</v>
      </c>
      <c r="R1334" t="s">
        <v>69</v>
      </c>
      <c r="S1334" t="s">
        <v>69</v>
      </c>
      <c r="T1334" t="s">
        <v>8505</v>
      </c>
      <c r="U1334" t="s">
        <v>8506</v>
      </c>
      <c r="V1334" t="s">
        <v>69</v>
      </c>
      <c r="W1334" t="s">
        <v>69</v>
      </c>
      <c r="X1334" t="s">
        <v>69</v>
      </c>
      <c r="Y1334" t="s">
        <v>69</v>
      </c>
      <c r="Z1334" t="s">
        <v>69</v>
      </c>
      <c r="AA1334" t="s">
        <v>31000</v>
      </c>
      <c r="AB1334" t="s">
        <v>31001</v>
      </c>
      <c r="AC1334" t="s">
        <v>3922</v>
      </c>
      <c r="AD1334" t="s">
        <v>31002</v>
      </c>
      <c r="AE1334" t="s">
        <v>69</v>
      </c>
      <c r="AF1334" t="s">
        <v>31003</v>
      </c>
      <c r="AG1334" t="s">
        <v>31004</v>
      </c>
      <c r="AH1334" t="s">
        <v>69</v>
      </c>
      <c r="AI1334" t="s">
        <v>3923</v>
      </c>
      <c r="AJ1334" t="s">
        <v>69</v>
      </c>
      <c r="AK1334" t="s">
        <v>69</v>
      </c>
      <c r="AL1334" t="s">
        <v>69</v>
      </c>
      <c r="AM1334" t="s">
        <v>69</v>
      </c>
      <c r="AN1334">
        <v>46</v>
      </c>
      <c r="AO1334">
        <v>3</v>
      </c>
      <c r="AP1334">
        <v>3</v>
      </c>
      <c r="AQ1334">
        <v>0</v>
      </c>
      <c r="AR1334">
        <v>3</v>
      </c>
      <c r="AS1334" t="s">
        <v>30740</v>
      </c>
      <c r="AT1334" t="s">
        <v>8637</v>
      </c>
      <c r="AU1334" t="s">
        <v>30741</v>
      </c>
      <c r="AV1334" t="s">
        <v>3924</v>
      </c>
      <c r="AW1334" t="s">
        <v>69</v>
      </c>
      <c r="AX1334" t="s">
        <v>69</v>
      </c>
      <c r="AY1334" t="s">
        <v>31005</v>
      </c>
      <c r="AZ1334" t="s">
        <v>31006</v>
      </c>
      <c r="BA1334" t="s">
        <v>69</v>
      </c>
      <c r="BB1334">
        <v>2005</v>
      </c>
      <c r="BC1334">
        <v>96</v>
      </c>
      <c r="BD1334">
        <v>2</v>
      </c>
      <c r="BE1334" t="s">
        <v>69</v>
      </c>
      <c r="BF1334" t="s">
        <v>69</v>
      </c>
      <c r="BG1334" t="s">
        <v>69</v>
      </c>
      <c r="BH1334" t="s">
        <v>69</v>
      </c>
      <c r="BI1334">
        <v>168</v>
      </c>
      <c r="BJ1334">
        <v>183</v>
      </c>
      <c r="BK1334" t="s">
        <v>69</v>
      </c>
      <c r="BL1334" t="s">
        <v>3925</v>
      </c>
      <c r="BM1334" t="str">
        <f>HYPERLINK("http://dx.doi.org/10.1111/j.1467-9663.2005.00448.x","http://dx.doi.org/10.1111/j.1467-9663.2005.00448.x")</f>
        <v>http://dx.doi.org/10.1111/j.1467-9663.2005.00448.x</v>
      </c>
      <c r="BN1334" t="s">
        <v>69</v>
      </c>
      <c r="BO1334" t="s">
        <v>69</v>
      </c>
      <c r="BP1334">
        <v>16</v>
      </c>
      <c r="BQ1334" t="s">
        <v>21269</v>
      </c>
      <c r="BR1334" t="s">
        <v>8661</v>
      </c>
      <c r="BS1334" t="s">
        <v>21270</v>
      </c>
      <c r="BT1334" t="s">
        <v>31007</v>
      </c>
      <c r="BU1334" t="s">
        <v>3926</v>
      </c>
      <c r="BV1334" t="s">
        <v>69</v>
      </c>
      <c r="BW1334" t="s">
        <v>69</v>
      </c>
      <c r="BX1334" t="s">
        <v>69</v>
      </c>
      <c r="BY1334" t="s">
        <v>69</v>
      </c>
      <c r="BZ1334" t="s">
        <v>8526</v>
      </c>
      <c r="CA1334" t="str">
        <f>HYPERLINK("https%3A%2F%2Fwww.webofscience.com%2Fwos%2Fwoscc%2Ffull-record%2FWOS:000229154200003","View Full Record in Web of Science")</f>
        <v>View Full Record in Web of Science</v>
      </c>
    </row>
    <row r="1335" spans="2:79" ht="12.5" x14ac:dyDescent="0.25">
      <c r="B1335" t="s">
        <v>8495</v>
      </c>
      <c r="D1335" s="7" t="s">
        <v>32933</v>
      </c>
      <c r="E1335" s="7"/>
      <c r="F1335" s="7"/>
      <c r="G1335" s="7"/>
      <c r="H1335" t="s">
        <v>67</v>
      </c>
      <c r="I1335" t="s">
        <v>3958</v>
      </c>
      <c r="J1335" t="s">
        <v>69</v>
      </c>
      <c r="K1335" t="s">
        <v>69</v>
      </c>
      <c r="L1335" t="s">
        <v>69</v>
      </c>
      <c r="M1335" t="s">
        <v>3958</v>
      </c>
      <c r="N1335" t="s">
        <v>69</v>
      </c>
      <c r="O1335" t="s">
        <v>69</v>
      </c>
      <c r="P1335" t="s">
        <v>3959</v>
      </c>
      <c r="Q1335" t="s">
        <v>3960</v>
      </c>
      <c r="R1335" t="s">
        <v>69</v>
      </c>
      <c r="S1335" t="s">
        <v>69</v>
      </c>
      <c r="T1335" t="s">
        <v>8505</v>
      </c>
      <c r="U1335" t="s">
        <v>8506</v>
      </c>
      <c r="V1335" t="s">
        <v>69</v>
      </c>
      <c r="W1335" t="s">
        <v>69</v>
      </c>
      <c r="X1335" t="s">
        <v>69</v>
      </c>
      <c r="Y1335" t="s">
        <v>69</v>
      </c>
      <c r="Z1335" t="s">
        <v>69</v>
      </c>
      <c r="AA1335" t="s">
        <v>31176</v>
      </c>
      <c r="AB1335" t="s">
        <v>31177</v>
      </c>
      <c r="AC1335" t="s">
        <v>3961</v>
      </c>
      <c r="AD1335" t="s">
        <v>31178</v>
      </c>
      <c r="AE1335" t="s">
        <v>69</v>
      </c>
      <c r="AF1335" t="s">
        <v>31179</v>
      </c>
      <c r="AG1335" t="s">
        <v>69</v>
      </c>
      <c r="AH1335" t="s">
        <v>31180</v>
      </c>
      <c r="AI1335" t="s">
        <v>3962</v>
      </c>
      <c r="AJ1335" t="s">
        <v>69</v>
      </c>
      <c r="AK1335" t="s">
        <v>69</v>
      </c>
      <c r="AL1335" t="s">
        <v>69</v>
      </c>
      <c r="AM1335" t="s">
        <v>69</v>
      </c>
      <c r="AN1335">
        <v>40</v>
      </c>
      <c r="AO1335">
        <v>69</v>
      </c>
      <c r="AP1335">
        <v>71</v>
      </c>
      <c r="AQ1335">
        <v>2</v>
      </c>
      <c r="AR1335">
        <v>36</v>
      </c>
      <c r="AS1335" t="s">
        <v>31181</v>
      </c>
      <c r="AT1335" t="s">
        <v>8612</v>
      </c>
      <c r="AU1335" t="s">
        <v>22341</v>
      </c>
      <c r="AV1335" t="s">
        <v>3963</v>
      </c>
      <c r="AW1335" t="s">
        <v>69</v>
      </c>
      <c r="AX1335" t="s">
        <v>69</v>
      </c>
      <c r="AY1335" t="s">
        <v>30664</v>
      </c>
      <c r="AZ1335" t="s">
        <v>30665</v>
      </c>
      <c r="BA1335" t="s">
        <v>3964</v>
      </c>
      <c r="BB1335">
        <v>2003</v>
      </c>
      <c r="BC1335">
        <v>15</v>
      </c>
      <c r="BD1335">
        <v>4</v>
      </c>
      <c r="BE1335" t="s">
        <v>69</v>
      </c>
      <c r="BF1335" t="s">
        <v>69</v>
      </c>
      <c r="BG1335" t="s">
        <v>69</v>
      </c>
      <c r="BH1335" t="s">
        <v>69</v>
      </c>
      <c r="BI1335">
        <v>351</v>
      </c>
      <c r="BJ1335">
        <v>370</v>
      </c>
      <c r="BK1335" t="s">
        <v>69</v>
      </c>
      <c r="BL1335" t="s">
        <v>3965</v>
      </c>
      <c r="BM1335" t="str">
        <f>HYPERLINK("http://dx.doi.org/10.1080/0898562032000058923","http://dx.doi.org/10.1080/0898562032000058923")</f>
        <v>http://dx.doi.org/10.1080/0898562032000058923</v>
      </c>
      <c r="BN1335" t="s">
        <v>69</v>
      </c>
      <c r="BO1335" t="s">
        <v>69</v>
      </c>
      <c r="BP1335">
        <v>20</v>
      </c>
      <c r="BQ1335" t="s">
        <v>30667</v>
      </c>
      <c r="BR1335" t="s">
        <v>8661</v>
      </c>
      <c r="BS1335" t="s">
        <v>30668</v>
      </c>
      <c r="BT1335" t="s">
        <v>31182</v>
      </c>
      <c r="BU1335" t="s">
        <v>3966</v>
      </c>
      <c r="BV1335" t="s">
        <v>69</v>
      </c>
      <c r="BW1335" t="s">
        <v>69</v>
      </c>
      <c r="BX1335" t="s">
        <v>69</v>
      </c>
      <c r="BY1335" t="s">
        <v>69</v>
      </c>
      <c r="BZ1335" t="s">
        <v>8526</v>
      </c>
      <c r="CA1335" t="str">
        <f>HYPERLINK("https%3A%2F%2Fwww.webofscience.com%2Fwos%2Fwoscc%2Ffull-record%2FWOS:000186632000005","View Full Record in Web of Science")</f>
        <v>View Full Record in Web of Science</v>
      </c>
    </row>
    <row r="1336" spans="2:79" ht="12.5" x14ac:dyDescent="0.25">
      <c r="B1336" t="s">
        <v>8495</v>
      </c>
      <c r="D1336" s="22" t="s">
        <v>32931</v>
      </c>
      <c r="E1336" s="7"/>
      <c r="F1336" s="7"/>
      <c r="G1336" s="7"/>
      <c r="H1336" t="s">
        <v>67</v>
      </c>
      <c r="I1336" t="s">
        <v>29931</v>
      </c>
      <c r="J1336" t="s">
        <v>69</v>
      </c>
      <c r="K1336" t="s">
        <v>69</v>
      </c>
      <c r="L1336" t="s">
        <v>69</v>
      </c>
      <c r="M1336" t="s">
        <v>29932</v>
      </c>
      <c r="N1336" t="s">
        <v>69</v>
      </c>
      <c r="O1336" t="s">
        <v>69</v>
      </c>
      <c r="P1336" t="s">
        <v>29933</v>
      </c>
      <c r="Q1336" t="s">
        <v>29410</v>
      </c>
      <c r="R1336" t="s">
        <v>69</v>
      </c>
      <c r="S1336" t="s">
        <v>69</v>
      </c>
      <c r="T1336" t="s">
        <v>8505</v>
      </c>
      <c r="U1336" t="s">
        <v>8506</v>
      </c>
      <c r="V1336" t="s">
        <v>69</v>
      </c>
      <c r="W1336" t="s">
        <v>69</v>
      </c>
      <c r="X1336" t="s">
        <v>69</v>
      </c>
      <c r="Y1336" t="s">
        <v>69</v>
      </c>
      <c r="Z1336" t="s">
        <v>69</v>
      </c>
      <c r="AA1336" t="s">
        <v>29934</v>
      </c>
      <c r="AB1336" t="s">
        <v>69</v>
      </c>
      <c r="AC1336" t="s">
        <v>29935</v>
      </c>
      <c r="AD1336" t="s">
        <v>29936</v>
      </c>
      <c r="AE1336" t="s">
        <v>69</v>
      </c>
      <c r="AF1336" t="s">
        <v>29937</v>
      </c>
      <c r="AG1336" t="s">
        <v>29938</v>
      </c>
      <c r="AH1336" t="s">
        <v>69</v>
      </c>
      <c r="AI1336" t="s">
        <v>69</v>
      </c>
      <c r="AJ1336" t="s">
        <v>69</v>
      </c>
      <c r="AK1336" t="s">
        <v>69</v>
      </c>
      <c r="AL1336" t="s">
        <v>69</v>
      </c>
      <c r="AM1336" t="s">
        <v>69</v>
      </c>
      <c r="AN1336">
        <v>39</v>
      </c>
      <c r="AO1336">
        <v>15</v>
      </c>
      <c r="AP1336">
        <v>15</v>
      </c>
      <c r="AQ1336">
        <v>0</v>
      </c>
      <c r="AR1336">
        <v>0</v>
      </c>
      <c r="AS1336" t="s">
        <v>8586</v>
      </c>
      <c r="AT1336" t="s">
        <v>8587</v>
      </c>
      <c r="AU1336" t="s">
        <v>8588</v>
      </c>
      <c r="AV1336" t="s">
        <v>29418</v>
      </c>
      <c r="AW1336" t="s">
        <v>29419</v>
      </c>
      <c r="AX1336" t="s">
        <v>69</v>
      </c>
      <c r="AY1336" t="s">
        <v>29420</v>
      </c>
      <c r="AZ1336" t="s">
        <v>29421</v>
      </c>
      <c r="BA1336" t="s">
        <v>69</v>
      </c>
      <c r="BB1336">
        <v>2007</v>
      </c>
      <c r="BC1336">
        <v>20</v>
      </c>
      <c r="BD1336">
        <v>6</v>
      </c>
      <c r="BE1336" t="s">
        <v>69</v>
      </c>
      <c r="BF1336" t="s">
        <v>69</v>
      </c>
      <c r="BG1336" t="s">
        <v>69</v>
      </c>
      <c r="BH1336" t="s">
        <v>69</v>
      </c>
      <c r="BI1336">
        <v>548</v>
      </c>
      <c r="BJ1336" t="s">
        <v>219</v>
      </c>
      <c r="BK1336" t="s">
        <v>69</v>
      </c>
      <c r="BL1336" t="s">
        <v>29939</v>
      </c>
      <c r="BM1336" t="str">
        <f>HYPERLINK("http://dx.doi.org/10.1108/09513550710818412","http://dx.doi.org/10.1108/09513550710818412")</f>
        <v>http://dx.doi.org/10.1108/09513550710818412</v>
      </c>
      <c r="BN1336" t="s">
        <v>69</v>
      </c>
      <c r="BO1336" t="s">
        <v>69</v>
      </c>
      <c r="BP1336">
        <v>20</v>
      </c>
      <c r="BQ1336" t="s">
        <v>29423</v>
      </c>
      <c r="BR1336" t="s">
        <v>8573</v>
      </c>
      <c r="BS1336" t="s">
        <v>10993</v>
      </c>
      <c r="BT1336" t="s">
        <v>29940</v>
      </c>
      <c r="BU1336" t="s">
        <v>29941</v>
      </c>
      <c r="BV1336" t="s">
        <v>69</v>
      </c>
      <c r="BW1336" t="s">
        <v>69</v>
      </c>
      <c r="BX1336" t="s">
        <v>69</v>
      </c>
      <c r="BY1336" t="s">
        <v>69</v>
      </c>
      <c r="BZ1336" t="s">
        <v>8526</v>
      </c>
      <c r="CA1336" t="str">
        <f>HYPERLINK("https%3A%2F%2Fwww.webofscience.com%2Fwos%2Fwoscc%2Ffull-record%2FWOS:000211490900006","View Full Record in Web of Science")</f>
        <v>View Full Record in Web of Science</v>
      </c>
    </row>
    <row r="1337" spans="2:79" ht="12.5" x14ac:dyDescent="0.25">
      <c r="B1337" t="s">
        <v>8495</v>
      </c>
      <c r="D1337" s="22" t="s">
        <v>32931</v>
      </c>
      <c r="E1337" s="7"/>
      <c r="F1337" s="7"/>
      <c r="G1337" s="7"/>
      <c r="H1337" t="s">
        <v>67</v>
      </c>
      <c r="I1337" t="s">
        <v>32214</v>
      </c>
      <c r="J1337" t="s">
        <v>69</v>
      </c>
      <c r="K1337" t="s">
        <v>69</v>
      </c>
      <c r="L1337" t="s">
        <v>69</v>
      </c>
      <c r="M1337" t="s">
        <v>32214</v>
      </c>
      <c r="N1337" t="s">
        <v>69</v>
      </c>
      <c r="O1337" t="s">
        <v>69</v>
      </c>
      <c r="P1337" t="s">
        <v>32215</v>
      </c>
      <c r="Q1337" t="s">
        <v>32216</v>
      </c>
      <c r="R1337" t="s">
        <v>69</v>
      </c>
      <c r="S1337" t="s">
        <v>69</v>
      </c>
      <c r="T1337" t="s">
        <v>8505</v>
      </c>
      <c r="U1337" t="s">
        <v>8506</v>
      </c>
      <c r="V1337" t="s">
        <v>69</v>
      </c>
      <c r="W1337" t="s">
        <v>69</v>
      </c>
      <c r="X1337" t="s">
        <v>69</v>
      </c>
      <c r="Y1337" t="s">
        <v>69</v>
      </c>
      <c r="Z1337" t="s">
        <v>69</v>
      </c>
      <c r="AA1337" t="s">
        <v>69</v>
      </c>
      <c r="AB1337" t="s">
        <v>32217</v>
      </c>
      <c r="AC1337" t="s">
        <v>32218</v>
      </c>
      <c r="AD1337" t="s">
        <v>32219</v>
      </c>
      <c r="AE1337" t="s">
        <v>69</v>
      </c>
      <c r="AF1337" t="s">
        <v>32220</v>
      </c>
      <c r="AG1337" t="s">
        <v>69</v>
      </c>
      <c r="AH1337" t="s">
        <v>69</v>
      </c>
      <c r="AI1337" t="s">
        <v>32221</v>
      </c>
      <c r="AJ1337" t="s">
        <v>69</v>
      </c>
      <c r="AK1337" t="s">
        <v>69</v>
      </c>
      <c r="AL1337" t="s">
        <v>69</v>
      </c>
      <c r="AM1337" t="s">
        <v>69</v>
      </c>
      <c r="AN1337">
        <v>34</v>
      </c>
      <c r="AO1337">
        <v>33</v>
      </c>
      <c r="AP1337">
        <v>33</v>
      </c>
      <c r="AQ1337">
        <v>1</v>
      </c>
      <c r="AR1337">
        <v>4</v>
      </c>
      <c r="AS1337" t="s">
        <v>32222</v>
      </c>
      <c r="AT1337" t="s">
        <v>10141</v>
      </c>
      <c r="AU1337" t="s">
        <v>32223</v>
      </c>
      <c r="AV1337" t="s">
        <v>32224</v>
      </c>
      <c r="AW1337" t="s">
        <v>69</v>
      </c>
      <c r="AX1337" t="s">
        <v>69</v>
      </c>
      <c r="AY1337" t="s">
        <v>32225</v>
      </c>
      <c r="AZ1337" t="s">
        <v>32226</v>
      </c>
      <c r="BA1337" t="s">
        <v>3297</v>
      </c>
      <c r="BB1337">
        <v>1997</v>
      </c>
      <c r="BC1337">
        <v>157</v>
      </c>
      <c r="BD1337">
        <v>3</v>
      </c>
      <c r="BE1337" t="s">
        <v>69</v>
      </c>
      <c r="BF1337" t="s">
        <v>69</v>
      </c>
      <c r="BG1337" t="s">
        <v>69</v>
      </c>
      <c r="BH1337" t="s">
        <v>69</v>
      </c>
      <c r="BI1337">
        <v>265</v>
      </c>
      <c r="BJ1337">
        <v>272</v>
      </c>
      <c r="BK1337" t="s">
        <v>69</v>
      </c>
      <c r="BL1337" t="s">
        <v>69</v>
      </c>
      <c r="BM1337" t="s">
        <v>69</v>
      </c>
      <c r="BN1337" t="s">
        <v>69</v>
      </c>
      <c r="BO1337" t="s">
        <v>69</v>
      </c>
      <c r="BP1337">
        <v>8</v>
      </c>
      <c r="BQ1337" t="s">
        <v>9450</v>
      </c>
      <c r="BR1337" t="s">
        <v>8523</v>
      </c>
      <c r="BS1337" t="s">
        <v>9451</v>
      </c>
      <c r="BT1337" t="s">
        <v>32227</v>
      </c>
      <c r="BU1337" t="s">
        <v>32228</v>
      </c>
      <c r="BV1337">
        <v>9269196</v>
      </c>
      <c r="BW1337" t="s">
        <v>69</v>
      </c>
      <c r="BX1337" t="s">
        <v>69</v>
      </c>
      <c r="BY1337" t="s">
        <v>69</v>
      </c>
      <c r="BZ1337" t="s">
        <v>8526</v>
      </c>
      <c r="CA1337" t="str">
        <f>HYPERLINK("https%3A%2F%2Fwww.webofscience.com%2Fwos%2Fwoscc%2Ffull-record%2FWOS:A1997XN58400030","View Full Record in Web of Science")</f>
        <v>View Full Record in Web of Science</v>
      </c>
    </row>
    <row r="1338" spans="2:79" ht="12.5" x14ac:dyDescent="0.25">
      <c r="B1338" t="s">
        <v>8495</v>
      </c>
      <c r="D1338" s="7" t="s">
        <v>32933</v>
      </c>
      <c r="E1338" s="7"/>
      <c r="F1338" s="7"/>
      <c r="G1338" s="7"/>
      <c r="H1338" t="s">
        <v>67</v>
      </c>
      <c r="I1338" t="s">
        <v>3441</v>
      </c>
      <c r="J1338" t="s">
        <v>69</v>
      </c>
      <c r="K1338" t="s">
        <v>69</v>
      </c>
      <c r="L1338" t="s">
        <v>69</v>
      </c>
      <c r="M1338" t="s">
        <v>3442</v>
      </c>
      <c r="N1338" t="s">
        <v>69</v>
      </c>
      <c r="O1338" t="s">
        <v>69</v>
      </c>
      <c r="P1338" t="s">
        <v>3443</v>
      </c>
      <c r="Q1338" t="s">
        <v>3444</v>
      </c>
      <c r="R1338" t="s">
        <v>69</v>
      </c>
      <c r="S1338" t="s">
        <v>69</v>
      </c>
      <c r="T1338" t="s">
        <v>8505</v>
      </c>
      <c r="U1338" t="s">
        <v>8506</v>
      </c>
      <c r="V1338" t="s">
        <v>69</v>
      </c>
      <c r="W1338" t="s">
        <v>69</v>
      </c>
      <c r="X1338" t="s">
        <v>69</v>
      </c>
      <c r="Y1338" t="s">
        <v>69</v>
      </c>
      <c r="Z1338" t="s">
        <v>69</v>
      </c>
      <c r="AA1338" t="s">
        <v>26849</v>
      </c>
      <c r="AB1338" t="s">
        <v>26850</v>
      </c>
      <c r="AC1338" t="s">
        <v>3445</v>
      </c>
      <c r="AD1338" t="s">
        <v>26851</v>
      </c>
      <c r="AE1338" t="s">
        <v>69</v>
      </c>
      <c r="AF1338" t="s">
        <v>26852</v>
      </c>
      <c r="AG1338" t="s">
        <v>26853</v>
      </c>
      <c r="AH1338" t="s">
        <v>3446</v>
      </c>
      <c r="AI1338" t="s">
        <v>3447</v>
      </c>
      <c r="AJ1338" t="s">
        <v>26854</v>
      </c>
      <c r="AK1338" t="s">
        <v>26854</v>
      </c>
      <c r="AL1338" t="s">
        <v>26855</v>
      </c>
      <c r="AM1338" t="s">
        <v>69</v>
      </c>
      <c r="AN1338">
        <v>44</v>
      </c>
      <c r="AO1338">
        <v>19</v>
      </c>
      <c r="AP1338">
        <v>20</v>
      </c>
      <c r="AQ1338">
        <v>0</v>
      </c>
      <c r="AR1338">
        <v>15</v>
      </c>
      <c r="AS1338" t="s">
        <v>26856</v>
      </c>
      <c r="AT1338" t="s">
        <v>26857</v>
      </c>
      <c r="AU1338" t="s">
        <v>26858</v>
      </c>
      <c r="AV1338" t="s">
        <v>3448</v>
      </c>
      <c r="AW1338" t="s">
        <v>26859</v>
      </c>
      <c r="AX1338" t="s">
        <v>69</v>
      </c>
      <c r="AY1338" t="s">
        <v>26860</v>
      </c>
      <c r="AZ1338" t="s">
        <v>26861</v>
      </c>
      <c r="BA1338" t="s">
        <v>201</v>
      </c>
      <c r="BB1338">
        <v>2011</v>
      </c>
      <c r="BC1338">
        <v>19</v>
      </c>
      <c r="BD1338">
        <v>2</v>
      </c>
      <c r="BE1338" t="s">
        <v>69</v>
      </c>
      <c r="BF1338" t="s">
        <v>69</v>
      </c>
      <c r="BG1338" t="s">
        <v>114</v>
      </c>
      <c r="BH1338" t="s">
        <v>69</v>
      </c>
      <c r="BI1338">
        <v>488</v>
      </c>
      <c r="BJ1338">
        <v>497</v>
      </c>
      <c r="BK1338" t="s">
        <v>69</v>
      </c>
      <c r="BL1338" t="s">
        <v>3449</v>
      </c>
      <c r="BM1338" t="str">
        <f>HYPERLINK("http://dx.doi.org/10.4001/003.019.0215","http://dx.doi.org/10.4001/003.019.0215")</f>
        <v>http://dx.doi.org/10.4001/003.019.0215</v>
      </c>
      <c r="BN1338" t="s">
        <v>69</v>
      </c>
      <c r="BO1338" t="s">
        <v>69</v>
      </c>
      <c r="BP1338">
        <v>10</v>
      </c>
      <c r="BQ1338" t="s">
        <v>26862</v>
      </c>
      <c r="BR1338" t="s">
        <v>8548</v>
      </c>
      <c r="BS1338" t="s">
        <v>26862</v>
      </c>
      <c r="BT1338" t="s">
        <v>26863</v>
      </c>
      <c r="BU1338" t="s">
        <v>3450</v>
      </c>
      <c r="BV1338" t="s">
        <v>69</v>
      </c>
      <c r="BW1338" t="s">
        <v>69</v>
      </c>
      <c r="BX1338" t="s">
        <v>69</v>
      </c>
      <c r="BY1338" t="s">
        <v>69</v>
      </c>
      <c r="BZ1338" t="s">
        <v>8526</v>
      </c>
      <c r="CA1338" t="str">
        <f>HYPERLINK("https%3A%2F%2Fwww.webofscience.com%2Fwos%2Fwoscc%2Ffull-record%2FWOS:000296416500026","View Full Record in Web of Science")</f>
        <v>View Full Record in Web of Science</v>
      </c>
    </row>
    <row r="1339" spans="2:79" ht="12.5" x14ac:dyDescent="0.25">
      <c r="B1339" t="s">
        <v>8495</v>
      </c>
      <c r="D1339" s="7" t="s">
        <v>32933</v>
      </c>
      <c r="E1339" s="7"/>
      <c r="F1339" s="7"/>
      <c r="G1339" s="7"/>
      <c r="H1339" t="s">
        <v>67</v>
      </c>
      <c r="I1339" t="s">
        <v>3945</v>
      </c>
      <c r="J1339" t="s">
        <v>69</v>
      </c>
      <c r="K1339" t="s">
        <v>69</v>
      </c>
      <c r="L1339" t="s">
        <v>69</v>
      </c>
      <c r="M1339" t="s">
        <v>3945</v>
      </c>
      <c r="N1339" t="s">
        <v>69</v>
      </c>
      <c r="O1339" t="s">
        <v>69</v>
      </c>
      <c r="P1339" t="s">
        <v>3946</v>
      </c>
      <c r="Q1339" t="s">
        <v>3947</v>
      </c>
      <c r="R1339" t="s">
        <v>69</v>
      </c>
      <c r="S1339" t="s">
        <v>69</v>
      </c>
      <c r="T1339" t="s">
        <v>8505</v>
      </c>
      <c r="U1339" t="s">
        <v>8506</v>
      </c>
      <c r="V1339" t="s">
        <v>69</v>
      </c>
      <c r="W1339" t="s">
        <v>69</v>
      </c>
      <c r="X1339" t="s">
        <v>69</v>
      </c>
      <c r="Y1339" t="s">
        <v>69</v>
      </c>
      <c r="Z1339" t="s">
        <v>69</v>
      </c>
      <c r="AA1339" t="s">
        <v>31084</v>
      </c>
      <c r="AB1339" t="s">
        <v>31085</v>
      </c>
      <c r="AC1339" t="s">
        <v>3948</v>
      </c>
      <c r="AD1339" t="s">
        <v>31086</v>
      </c>
      <c r="AE1339" t="s">
        <v>69</v>
      </c>
      <c r="AF1339" t="s">
        <v>31087</v>
      </c>
      <c r="AG1339" t="s">
        <v>31088</v>
      </c>
      <c r="AH1339" t="s">
        <v>69</v>
      </c>
      <c r="AI1339" t="s">
        <v>3949</v>
      </c>
      <c r="AJ1339" t="s">
        <v>69</v>
      </c>
      <c r="AK1339" t="s">
        <v>69</v>
      </c>
      <c r="AL1339" t="s">
        <v>69</v>
      </c>
      <c r="AM1339" t="s">
        <v>69</v>
      </c>
      <c r="AN1339">
        <v>38</v>
      </c>
      <c r="AO1339">
        <v>31</v>
      </c>
      <c r="AP1339">
        <v>31</v>
      </c>
      <c r="AQ1339">
        <v>1</v>
      </c>
      <c r="AR1339">
        <v>10</v>
      </c>
      <c r="AS1339" t="s">
        <v>9145</v>
      </c>
      <c r="AT1339" t="s">
        <v>8637</v>
      </c>
      <c r="AU1339" t="s">
        <v>9146</v>
      </c>
      <c r="AV1339" t="s">
        <v>3950</v>
      </c>
      <c r="AW1339" t="s">
        <v>69</v>
      </c>
      <c r="AX1339" t="s">
        <v>69</v>
      </c>
      <c r="AY1339" t="s">
        <v>31089</v>
      </c>
      <c r="AZ1339" t="s">
        <v>31090</v>
      </c>
      <c r="BA1339" t="s">
        <v>155</v>
      </c>
      <c r="BB1339">
        <v>2004</v>
      </c>
      <c r="BC1339">
        <v>58</v>
      </c>
      <c r="BD1339">
        <v>11</v>
      </c>
      <c r="BE1339" t="s">
        <v>69</v>
      </c>
      <c r="BF1339" t="s">
        <v>69</v>
      </c>
      <c r="BG1339" t="s">
        <v>69</v>
      </c>
      <c r="BH1339" t="s">
        <v>69</v>
      </c>
      <c r="BI1339">
        <v>2181</v>
      </c>
      <c r="BJ1339">
        <v>2191</v>
      </c>
      <c r="BK1339" t="s">
        <v>69</v>
      </c>
      <c r="BL1339" t="s">
        <v>3951</v>
      </c>
      <c r="BM1339" t="str">
        <f>HYPERLINK("http://dx.doi.org/10.1016/j.socscimed.2003.08.016","http://dx.doi.org/10.1016/j.socscimed.2003.08.016")</f>
        <v>http://dx.doi.org/10.1016/j.socscimed.2003.08.016</v>
      </c>
      <c r="BN1339" t="s">
        <v>69</v>
      </c>
      <c r="BO1339" t="s">
        <v>69</v>
      </c>
      <c r="BP1339">
        <v>11</v>
      </c>
      <c r="BQ1339" t="s">
        <v>31091</v>
      </c>
      <c r="BR1339" t="s">
        <v>8661</v>
      </c>
      <c r="BS1339" t="s">
        <v>31092</v>
      </c>
      <c r="BT1339" t="s">
        <v>31093</v>
      </c>
      <c r="BU1339" t="s">
        <v>3952</v>
      </c>
      <c r="BV1339">
        <v>15047076</v>
      </c>
      <c r="BW1339" t="s">
        <v>69</v>
      </c>
      <c r="BX1339" t="s">
        <v>69</v>
      </c>
      <c r="BY1339" t="s">
        <v>69</v>
      </c>
      <c r="BZ1339" t="s">
        <v>8526</v>
      </c>
      <c r="CA1339" t="str">
        <f>HYPERLINK("https%3A%2F%2Fwww.webofscience.com%2Fwos%2Fwoscc%2Ffull-record%2FWOS:000220786100008","View Full Record in Web of Science")</f>
        <v>View Full Record in Web of Science</v>
      </c>
    </row>
    <row r="1340" spans="2:79" ht="12.5" x14ac:dyDescent="0.25">
      <c r="B1340" t="s">
        <v>8495</v>
      </c>
      <c r="D1340" s="7" t="s">
        <v>32933</v>
      </c>
      <c r="E1340" s="7"/>
      <c r="F1340" s="7"/>
      <c r="G1340" s="7"/>
      <c r="H1340" t="s">
        <v>67</v>
      </c>
      <c r="I1340" t="s">
        <v>4046</v>
      </c>
      <c r="J1340" t="s">
        <v>69</v>
      </c>
      <c r="K1340" t="s">
        <v>69</v>
      </c>
      <c r="L1340" t="s">
        <v>69</v>
      </c>
      <c r="M1340" t="s">
        <v>4046</v>
      </c>
      <c r="N1340" t="s">
        <v>69</v>
      </c>
      <c r="O1340" t="s">
        <v>69</v>
      </c>
      <c r="P1340" t="s">
        <v>4047</v>
      </c>
      <c r="Q1340" t="s">
        <v>3969</v>
      </c>
      <c r="R1340" t="s">
        <v>69</v>
      </c>
      <c r="S1340" t="s">
        <v>69</v>
      </c>
      <c r="T1340" t="s">
        <v>8505</v>
      </c>
      <c r="U1340" t="s">
        <v>8442</v>
      </c>
      <c r="V1340" t="s">
        <v>69</v>
      </c>
      <c r="W1340" t="s">
        <v>69</v>
      </c>
      <c r="X1340" t="s">
        <v>69</v>
      </c>
      <c r="Y1340" t="s">
        <v>69</v>
      </c>
      <c r="Z1340" t="s">
        <v>69</v>
      </c>
      <c r="AA1340" t="s">
        <v>69</v>
      </c>
      <c r="AB1340" t="s">
        <v>31538</v>
      </c>
      <c r="AC1340" t="s">
        <v>4048</v>
      </c>
      <c r="AD1340" t="s">
        <v>31539</v>
      </c>
      <c r="AE1340" t="s">
        <v>69</v>
      </c>
      <c r="AF1340" t="s">
        <v>31540</v>
      </c>
      <c r="AG1340" t="s">
        <v>69</v>
      </c>
      <c r="AH1340" t="s">
        <v>31541</v>
      </c>
      <c r="AI1340" t="s">
        <v>69</v>
      </c>
      <c r="AJ1340" t="s">
        <v>69</v>
      </c>
      <c r="AK1340" t="s">
        <v>69</v>
      </c>
      <c r="AL1340" t="s">
        <v>69</v>
      </c>
      <c r="AM1340" t="s">
        <v>69</v>
      </c>
      <c r="AN1340">
        <v>106</v>
      </c>
      <c r="AO1340">
        <v>14</v>
      </c>
      <c r="AP1340">
        <v>14</v>
      </c>
      <c r="AQ1340">
        <v>2</v>
      </c>
      <c r="AR1340">
        <v>11</v>
      </c>
      <c r="AS1340" t="s">
        <v>31542</v>
      </c>
      <c r="AT1340" t="s">
        <v>10316</v>
      </c>
      <c r="AU1340" t="s">
        <v>31543</v>
      </c>
      <c r="AV1340" t="s">
        <v>3971</v>
      </c>
      <c r="AW1340" t="s">
        <v>69</v>
      </c>
      <c r="AX1340" t="s">
        <v>69</v>
      </c>
      <c r="AY1340" t="s">
        <v>10435</v>
      </c>
      <c r="AZ1340" t="s">
        <v>10436</v>
      </c>
      <c r="BA1340" t="s">
        <v>381</v>
      </c>
      <c r="BB1340">
        <v>2001</v>
      </c>
      <c r="BC1340">
        <v>11</v>
      </c>
      <c r="BD1340">
        <v>4</v>
      </c>
      <c r="BE1340" t="s">
        <v>69</v>
      </c>
      <c r="BF1340" t="s">
        <v>69</v>
      </c>
      <c r="BG1340" t="s">
        <v>69</v>
      </c>
      <c r="BH1340" t="s">
        <v>69</v>
      </c>
      <c r="BI1340">
        <v>471</v>
      </c>
      <c r="BJ1340">
        <v>508</v>
      </c>
      <c r="BK1340" t="s">
        <v>69</v>
      </c>
      <c r="BL1340" t="s">
        <v>4049</v>
      </c>
      <c r="BM1340" t="str">
        <f>HYPERLINK("http://dx.doi.org/10.1093/oxfordjournals.jpart.a003512","http://dx.doi.org/10.1093/oxfordjournals.jpart.a003512")</f>
        <v>http://dx.doi.org/10.1093/oxfordjournals.jpart.a003512</v>
      </c>
      <c r="BN1340" t="s">
        <v>69</v>
      </c>
      <c r="BO1340" t="s">
        <v>69</v>
      </c>
      <c r="BP1340">
        <v>38</v>
      </c>
      <c r="BQ1340" t="s">
        <v>10439</v>
      </c>
      <c r="BR1340" t="s">
        <v>8661</v>
      </c>
      <c r="BS1340" t="s">
        <v>10440</v>
      </c>
      <c r="BT1340" t="s">
        <v>31544</v>
      </c>
      <c r="BU1340" t="s">
        <v>4050</v>
      </c>
      <c r="BV1340" t="s">
        <v>69</v>
      </c>
      <c r="BW1340" t="s">
        <v>10995</v>
      </c>
      <c r="BX1340" t="s">
        <v>69</v>
      </c>
      <c r="BY1340" t="s">
        <v>69</v>
      </c>
      <c r="BZ1340" t="s">
        <v>8526</v>
      </c>
      <c r="CA1340" t="str">
        <f>HYPERLINK("https%3A%2F%2Fwww.webofscience.com%2Fwos%2Fwoscc%2Ffull-record%2FWOS:000172135700003","View Full Record in Web of Science")</f>
        <v>View Full Record in Web of Science</v>
      </c>
    </row>
    <row r="1341" spans="2:79" x14ac:dyDescent="0.3">
      <c r="C1341" s="7" t="s">
        <v>33213</v>
      </c>
      <c r="F1341" s="10" t="s">
        <v>8490</v>
      </c>
      <c r="I1341" s="7" t="s">
        <v>8469</v>
      </c>
      <c r="P1341" s="7" t="s">
        <v>8493</v>
      </c>
      <c r="Q1341" s="7" t="s">
        <v>8470</v>
      </c>
      <c r="AC1341" s="7" t="s">
        <v>8472</v>
      </c>
      <c r="BB1341">
        <v>2011</v>
      </c>
      <c r="BM1341" s="23" t="s">
        <v>8471</v>
      </c>
    </row>
    <row r="1342" spans="2:79" ht="12.5" x14ac:dyDescent="0.25">
      <c r="B1342" t="s">
        <v>8495</v>
      </c>
      <c r="D1342" s="22" t="s">
        <v>32931</v>
      </c>
      <c r="E1342" s="7"/>
      <c r="F1342" s="7"/>
      <c r="G1342" s="7"/>
      <c r="H1342" t="s">
        <v>67</v>
      </c>
      <c r="I1342" t="s">
        <v>8794</v>
      </c>
      <c r="J1342" t="s">
        <v>69</v>
      </c>
      <c r="K1342" t="s">
        <v>69</v>
      </c>
      <c r="L1342" t="s">
        <v>69</v>
      </c>
      <c r="M1342" t="s">
        <v>8795</v>
      </c>
      <c r="N1342" t="s">
        <v>69</v>
      </c>
      <c r="O1342" t="s">
        <v>69</v>
      </c>
      <c r="P1342" t="s">
        <v>8796</v>
      </c>
      <c r="Q1342" t="s">
        <v>8797</v>
      </c>
      <c r="R1342" t="s">
        <v>69</v>
      </c>
      <c r="S1342" t="s">
        <v>69</v>
      </c>
      <c r="T1342" t="s">
        <v>8505</v>
      </c>
      <c r="U1342" t="s">
        <v>8506</v>
      </c>
      <c r="V1342" t="s">
        <v>69</v>
      </c>
      <c r="W1342" t="s">
        <v>69</v>
      </c>
      <c r="X1342" t="s">
        <v>69</v>
      </c>
      <c r="Y1342" t="s">
        <v>69</v>
      </c>
      <c r="Z1342" t="s">
        <v>69</v>
      </c>
      <c r="AA1342" t="s">
        <v>69</v>
      </c>
      <c r="AB1342" t="s">
        <v>69</v>
      </c>
      <c r="AC1342" t="s">
        <v>8798</v>
      </c>
      <c r="AD1342" t="s">
        <v>8799</v>
      </c>
      <c r="AE1342" t="s">
        <v>69</v>
      </c>
      <c r="AF1342" t="s">
        <v>8800</v>
      </c>
      <c r="AG1342" t="s">
        <v>8801</v>
      </c>
      <c r="AH1342" t="s">
        <v>69</v>
      </c>
      <c r="AI1342" t="s">
        <v>69</v>
      </c>
      <c r="AJ1342" t="s">
        <v>69</v>
      </c>
      <c r="AK1342" t="s">
        <v>69</v>
      </c>
      <c r="AL1342" t="s">
        <v>69</v>
      </c>
      <c r="AM1342" t="s">
        <v>69</v>
      </c>
      <c r="AN1342">
        <v>21</v>
      </c>
      <c r="AO1342">
        <v>0</v>
      </c>
      <c r="AP1342">
        <v>0</v>
      </c>
      <c r="AQ1342">
        <v>6</v>
      </c>
      <c r="AR1342">
        <v>6</v>
      </c>
      <c r="AS1342" t="s">
        <v>8802</v>
      </c>
      <c r="AT1342" t="s">
        <v>8763</v>
      </c>
      <c r="AU1342" t="s">
        <v>8803</v>
      </c>
      <c r="AV1342" t="s">
        <v>8804</v>
      </c>
      <c r="AW1342" t="s">
        <v>8805</v>
      </c>
      <c r="AX1342" t="s">
        <v>69</v>
      </c>
      <c r="AY1342" t="s">
        <v>8806</v>
      </c>
      <c r="AZ1342" t="s">
        <v>8807</v>
      </c>
      <c r="BA1342" t="s">
        <v>8808</v>
      </c>
      <c r="BB1342">
        <v>2022</v>
      </c>
      <c r="BC1342">
        <v>2022</v>
      </c>
      <c r="BD1342" t="s">
        <v>69</v>
      </c>
      <c r="BE1342" t="s">
        <v>69</v>
      </c>
      <c r="BF1342" t="s">
        <v>69</v>
      </c>
      <c r="BG1342" t="s">
        <v>69</v>
      </c>
      <c r="BH1342" t="s">
        <v>69</v>
      </c>
      <c r="BI1342" t="s">
        <v>69</v>
      </c>
      <c r="BJ1342" t="s">
        <v>69</v>
      </c>
      <c r="BK1342">
        <v>2431428</v>
      </c>
      <c r="BL1342" t="s">
        <v>8809</v>
      </c>
      <c r="BM1342" t="str">
        <f>HYPERLINK("http://dx.doi.org/10.1155/2022/2431428","http://dx.doi.org/10.1155/2022/2431428")</f>
        <v>http://dx.doi.org/10.1155/2022/2431428</v>
      </c>
      <c r="BN1342" t="s">
        <v>69</v>
      </c>
      <c r="BO1342" t="s">
        <v>69</v>
      </c>
      <c r="BP1342">
        <v>10</v>
      </c>
      <c r="BQ1342" t="s">
        <v>8810</v>
      </c>
      <c r="BR1342" t="s">
        <v>8523</v>
      </c>
      <c r="BS1342" t="s">
        <v>8810</v>
      </c>
      <c r="BT1342" t="s">
        <v>8811</v>
      </c>
      <c r="BU1342" t="s">
        <v>8813</v>
      </c>
      <c r="BV1342">
        <v>35733979</v>
      </c>
      <c r="BW1342" t="s">
        <v>8812</v>
      </c>
      <c r="BX1342" t="s">
        <v>69</v>
      </c>
      <c r="BY1342" t="s">
        <v>69</v>
      </c>
      <c r="BZ1342" t="s">
        <v>8526</v>
      </c>
      <c r="CA1342" t="str">
        <f>HYPERLINK("https%3A%2F%2Fwww.webofscience.com%2Fwos%2Fwoscc%2Ffull-record%2FWOS:000817569800005","View Full Record in Web of Science")</f>
        <v>View Full Record in Web of Science</v>
      </c>
    </row>
    <row r="1343" spans="2:79" ht="12.5" x14ac:dyDescent="0.25">
      <c r="B1343" t="s">
        <v>8495</v>
      </c>
      <c r="D1343" s="7" t="s">
        <v>32933</v>
      </c>
      <c r="E1343" s="7"/>
      <c r="F1343" s="7"/>
      <c r="G1343" s="7"/>
      <c r="H1343" t="s">
        <v>67</v>
      </c>
      <c r="I1343" t="s">
        <v>6952</v>
      </c>
      <c r="J1343" t="s">
        <v>69</v>
      </c>
      <c r="K1343" t="s">
        <v>69</v>
      </c>
      <c r="L1343" t="s">
        <v>69</v>
      </c>
      <c r="M1343" t="s">
        <v>6953</v>
      </c>
      <c r="N1343" t="s">
        <v>69</v>
      </c>
      <c r="O1343" t="s">
        <v>69</v>
      </c>
      <c r="P1343" t="s">
        <v>6954</v>
      </c>
      <c r="Q1343" t="s">
        <v>1446</v>
      </c>
      <c r="R1343" t="s">
        <v>69</v>
      </c>
      <c r="S1343" t="s">
        <v>69</v>
      </c>
      <c r="T1343" t="s">
        <v>16378</v>
      </c>
      <c r="U1343" t="s">
        <v>8506</v>
      </c>
      <c r="V1343" t="s">
        <v>69</v>
      </c>
      <c r="W1343" t="s">
        <v>69</v>
      </c>
      <c r="X1343" t="s">
        <v>69</v>
      </c>
      <c r="Y1343" t="s">
        <v>69</v>
      </c>
      <c r="Z1343" t="s">
        <v>69</v>
      </c>
      <c r="AA1343" t="s">
        <v>16379</v>
      </c>
      <c r="AB1343" t="s">
        <v>69</v>
      </c>
      <c r="AC1343" t="s">
        <v>6955</v>
      </c>
      <c r="AD1343" t="s">
        <v>16380</v>
      </c>
      <c r="AE1343" t="s">
        <v>69</v>
      </c>
      <c r="AF1343" t="s">
        <v>16381</v>
      </c>
      <c r="AG1343" t="s">
        <v>16382</v>
      </c>
      <c r="AH1343" t="s">
        <v>69</v>
      </c>
      <c r="AI1343" t="s">
        <v>69</v>
      </c>
      <c r="AJ1343" t="s">
        <v>69</v>
      </c>
      <c r="AK1343" t="s">
        <v>69</v>
      </c>
      <c r="AL1343" t="s">
        <v>69</v>
      </c>
      <c r="AM1343" t="s">
        <v>69</v>
      </c>
      <c r="AN1343">
        <v>23</v>
      </c>
      <c r="AO1343">
        <v>0</v>
      </c>
      <c r="AP1343">
        <v>0</v>
      </c>
      <c r="AQ1343">
        <v>2</v>
      </c>
      <c r="AR1343">
        <v>10</v>
      </c>
      <c r="AS1343" t="s">
        <v>16383</v>
      </c>
      <c r="AT1343" t="s">
        <v>16384</v>
      </c>
      <c r="AU1343" t="s">
        <v>16385</v>
      </c>
      <c r="AV1343" t="s">
        <v>1448</v>
      </c>
      <c r="AW1343" t="s">
        <v>69</v>
      </c>
      <c r="AX1343" t="s">
        <v>69</v>
      </c>
      <c r="AY1343" t="s">
        <v>16386</v>
      </c>
      <c r="AZ1343" t="s">
        <v>16387</v>
      </c>
      <c r="BA1343" t="s">
        <v>75</v>
      </c>
      <c r="BB1343">
        <v>2019</v>
      </c>
      <c r="BC1343">
        <v>59</v>
      </c>
      <c r="BD1343">
        <v>4</v>
      </c>
      <c r="BE1343" t="s">
        <v>69</v>
      </c>
      <c r="BF1343" t="s">
        <v>69</v>
      </c>
      <c r="BG1343" t="s">
        <v>69</v>
      </c>
      <c r="BH1343" t="s">
        <v>69</v>
      </c>
      <c r="BI1343">
        <v>599</v>
      </c>
      <c r="BJ1343">
        <v>610</v>
      </c>
      <c r="BK1343" t="s">
        <v>69</v>
      </c>
      <c r="BL1343" t="s">
        <v>6956</v>
      </c>
      <c r="BM1343" t="str">
        <f>HYPERLINK("http://dx.doi.org/10.17159/2224-7912/2019/v59n4a10","http://dx.doi.org/10.17159/2224-7912/2019/v59n4a10")</f>
        <v>http://dx.doi.org/10.17159/2224-7912/2019/v59n4a10</v>
      </c>
      <c r="BN1343" t="s">
        <v>69</v>
      </c>
      <c r="BO1343" t="s">
        <v>69</v>
      </c>
      <c r="BP1343">
        <v>12</v>
      </c>
      <c r="BQ1343" t="s">
        <v>13650</v>
      </c>
      <c r="BR1343" t="s">
        <v>8661</v>
      </c>
      <c r="BS1343" t="s">
        <v>13650</v>
      </c>
      <c r="BT1343" t="s">
        <v>16388</v>
      </c>
      <c r="BU1343" t="s">
        <v>6957</v>
      </c>
      <c r="BV1343" t="s">
        <v>69</v>
      </c>
      <c r="BW1343" t="s">
        <v>8931</v>
      </c>
      <c r="BX1343" t="s">
        <v>69</v>
      </c>
      <c r="BY1343" t="s">
        <v>69</v>
      </c>
      <c r="BZ1343" t="s">
        <v>8526</v>
      </c>
      <c r="CA1343" t="str">
        <f>HYPERLINK("https%3A%2F%2Fwww.webofscience.com%2Fwos%2Fwoscc%2Ffull-record%2FWOS:000507387400010","View Full Record in Web of Science")</f>
        <v>View Full Record in Web of Science</v>
      </c>
    </row>
    <row r="1344" spans="2:79" ht="12.5" x14ac:dyDescent="0.25">
      <c r="B1344" t="s">
        <v>8495</v>
      </c>
      <c r="D1344" s="22" t="s">
        <v>32931</v>
      </c>
      <c r="E1344" s="7"/>
      <c r="F1344" s="7"/>
      <c r="G1344" s="7"/>
      <c r="H1344" t="s">
        <v>67</v>
      </c>
      <c r="I1344" t="s">
        <v>11408</v>
      </c>
      <c r="J1344" t="s">
        <v>69</v>
      </c>
      <c r="K1344" t="s">
        <v>69</v>
      </c>
      <c r="L1344" t="s">
        <v>69</v>
      </c>
      <c r="M1344" t="s">
        <v>11409</v>
      </c>
      <c r="N1344" t="s">
        <v>69</v>
      </c>
      <c r="O1344" t="s">
        <v>69</v>
      </c>
      <c r="P1344" t="s">
        <v>11410</v>
      </c>
      <c r="Q1344" t="s">
        <v>9437</v>
      </c>
      <c r="R1344" t="s">
        <v>69</v>
      </c>
      <c r="S1344" t="s">
        <v>69</v>
      </c>
      <c r="T1344" t="s">
        <v>8505</v>
      </c>
      <c r="U1344" t="s">
        <v>8506</v>
      </c>
      <c r="V1344" t="s">
        <v>69</v>
      </c>
      <c r="W1344" t="s">
        <v>69</v>
      </c>
      <c r="X1344" t="s">
        <v>69</v>
      </c>
      <c r="Y1344" t="s">
        <v>69</v>
      </c>
      <c r="Z1344" t="s">
        <v>69</v>
      </c>
      <c r="AA1344" t="s">
        <v>11411</v>
      </c>
      <c r="AB1344" t="s">
        <v>11412</v>
      </c>
      <c r="AC1344" t="s">
        <v>11413</v>
      </c>
      <c r="AD1344" t="s">
        <v>11414</v>
      </c>
      <c r="AE1344" t="s">
        <v>69</v>
      </c>
      <c r="AF1344" t="s">
        <v>11415</v>
      </c>
      <c r="AG1344" t="s">
        <v>9442</v>
      </c>
      <c r="AH1344" t="s">
        <v>69</v>
      </c>
      <c r="AI1344" t="s">
        <v>9443</v>
      </c>
      <c r="AJ1344" t="s">
        <v>9444</v>
      </c>
      <c r="AK1344" t="s">
        <v>9444</v>
      </c>
      <c r="AL1344" t="s">
        <v>11416</v>
      </c>
      <c r="AM1344" t="s">
        <v>69</v>
      </c>
      <c r="AN1344">
        <v>17</v>
      </c>
      <c r="AO1344">
        <v>0</v>
      </c>
      <c r="AP1344">
        <v>0</v>
      </c>
      <c r="AQ1344">
        <v>2</v>
      </c>
      <c r="AR1344">
        <v>3</v>
      </c>
      <c r="AS1344" t="s">
        <v>9178</v>
      </c>
      <c r="AT1344" t="s">
        <v>8763</v>
      </c>
      <c r="AU1344" t="s">
        <v>9179</v>
      </c>
      <c r="AV1344" t="s">
        <v>9446</v>
      </c>
      <c r="AW1344" t="s">
        <v>69</v>
      </c>
      <c r="AX1344" t="s">
        <v>69</v>
      </c>
      <c r="AY1344" t="s">
        <v>9437</v>
      </c>
      <c r="AZ1344" t="s">
        <v>9447</v>
      </c>
      <c r="BA1344" t="s">
        <v>255</v>
      </c>
      <c r="BB1344">
        <v>2021</v>
      </c>
      <c r="BC1344">
        <v>11</v>
      </c>
      <c r="BD1344">
        <v>9</v>
      </c>
      <c r="BE1344" t="s">
        <v>69</v>
      </c>
      <c r="BF1344" t="s">
        <v>69</v>
      </c>
      <c r="BG1344" t="s">
        <v>69</v>
      </c>
      <c r="BH1344" t="s">
        <v>69</v>
      </c>
      <c r="BI1344" t="s">
        <v>69</v>
      </c>
      <c r="BJ1344" t="s">
        <v>69</v>
      </c>
      <c r="BK1344" t="s">
        <v>11417</v>
      </c>
      <c r="BL1344" t="s">
        <v>11418</v>
      </c>
      <c r="BM1344" t="str">
        <f>HYPERLINK("http://dx.doi.org/10.1136/bmjopen-2021-053014","http://dx.doi.org/10.1136/bmjopen-2021-053014")</f>
        <v>http://dx.doi.org/10.1136/bmjopen-2021-053014</v>
      </c>
      <c r="BN1344" t="s">
        <v>69</v>
      </c>
      <c r="BO1344" t="s">
        <v>69</v>
      </c>
      <c r="BP1344">
        <v>10</v>
      </c>
      <c r="BQ1344" t="s">
        <v>9450</v>
      </c>
      <c r="BR1344" t="s">
        <v>8523</v>
      </c>
      <c r="BS1344" t="s">
        <v>9451</v>
      </c>
      <c r="BT1344" t="s">
        <v>11419</v>
      </c>
      <c r="BU1344" t="s">
        <v>11420</v>
      </c>
      <c r="BV1344">
        <v>34593506</v>
      </c>
      <c r="BW1344" t="s">
        <v>8812</v>
      </c>
      <c r="BX1344" t="s">
        <v>69</v>
      </c>
      <c r="BY1344" t="s">
        <v>69</v>
      </c>
      <c r="BZ1344" t="s">
        <v>8526</v>
      </c>
      <c r="CA1344" t="str">
        <f>HYPERLINK("https%3A%2F%2Fwww.webofscience.com%2Fwos%2Fwoscc%2Ffull-record%2FWOS:000703167900009","View Full Record in Web of Science")</f>
        <v>View Full Record in Web of Science</v>
      </c>
    </row>
    <row r="1345" spans="1:79" ht="12.5" x14ac:dyDescent="0.25">
      <c r="B1345" t="s">
        <v>8495</v>
      </c>
      <c r="D1345" s="7" t="s">
        <v>32933</v>
      </c>
      <c r="E1345" s="7"/>
      <c r="F1345" s="7"/>
      <c r="G1345" s="7"/>
      <c r="H1345" t="s">
        <v>67</v>
      </c>
      <c r="I1345" t="s">
        <v>7467</v>
      </c>
      <c r="J1345" t="s">
        <v>69</v>
      </c>
      <c r="K1345" t="s">
        <v>69</v>
      </c>
      <c r="L1345" t="s">
        <v>69</v>
      </c>
      <c r="M1345" t="s">
        <v>7468</v>
      </c>
      <c r="N1345" t="s">
        <v>69</v>
      </c>
      <c r="O1345" t="s">
        <v>69</v>
      </c>
      <c r="P1345" t="s">
        <v>7469</v>
      </c>
      <c r="Q1345" t="s">
        <v>3877</v>
      </c>
      <c r="R1345" t="s">
        <v>69</v>
      </c>
      <c r="S1345" t="s">
        <v>69</v>
      </c>
      <c r="T1345" t="s">
        <v>8505</v>
      </c>
      <c r="U1345" t="s">
        <v>8506</v>
      </c>
      <c r="V1345" t="s">
        <v>69</v>
      </c>
      <c r="W1345" t="s">
        <v>69</v>
      </c>
      <c r="X1345" t="s">
        <v>69</v>
      </c>
      <c r="Y1345" t="s">
        <v>69</v>
      </c>
      <c r="Z1345" t="s">
        <v>69</v>
      </c>
      <c r="AA1345" t="s">
        <v>69</v>
      </c>
      <c r="AB1345" t="s">
        <v>25680</v>
      </c>
      <c r="AC1345" t="s">
        <v>7470</v>
      </c>
      <c r="AD1345" t="s">
        <v>25681</v>
      </c>
      <c r="AE1345" t="s">
        <v>69</v>
      </c>
      <c r="AF1345" t="s">
        <v>25682</v>
      </c>
      <c r="AG1345" t="s">
        <v>25683</v>
      </c>
      <c r="AH1345" t="s">
        <v>69</v>
      </c>
      <c r="AI1345" t="s">
        <v>69</v>
      </c>
      <c r="AJ1345" t="s">
        <v>69</v>
      </c>
      <c r="AK1345" t="s">
        <v>69</v>
      </c>
      <c r="AL1345" t="s">
        <v>69</v>
      </c>
      <c r="AM1345" t="s">
        <v>69</v>
      </c>
      <c r="AN1345">
        <v>50</v>
      </c>
      <c r="AO1345">
        <v>13</v>
      </c>
      <c r="AP1345">
        <v>13</v>
      </c>
      <c r="AQ1345">
        <v>0</v>
      </c>
      <c r="AR1345">
        <v>27</v>
      </c>
      <c r="AS1345" t="s">
        <v>8846</v>
      </c>
      <c r="AT1345" t="s">
        <v>8847</v>
      </c>
      <c r="AU1345" t="s">
        <v>8848</v>
      </c>
      <c r="AV1345" t="s">
        <v>3880</v>
      </c>
      <c r="AW1345" t="s">
        <v>3881</v>
      </c>
      <c r="AX1345" t="s">
        <v>69</v>
      </c>
      <c r="AY1345" t="s">
        <v>25684</v>
      </c>
      <c r="AZ1345" t="s">
        <v>25685</v>
      </c>
      <c r="BA1345" t="s">
        <v>75</v>
      </c>
      <c r="BB1345">
        <v>2012</v>
      </c>
      <c r="BC1345">
        <v>23</v>
      </c>
      <c r="BD1345">
        <v>4</v>
      </c>
      <c r="BE1345" t="s">
        <v>69</v>
      </c>
      <c r="BF1345" t="s">
        <v>69</v>
      </c>
      <c r="BG1345" t="s">
        <v>69</v>
      </c>
      <c r="BH1345" t="s">
        <v>69</v>
      </c>
      <c r="BI1345">
        <v>502</v>
      </c>
      <c r="BJ1345">
        <v>517</v>
      </c>
      <c r="BK1345" t="s">
        <v>69</v>
      </c>
      <c r="BL1345" t="s">
        <v>7471</v>
      </c>
      <c r="BM1345" t="str">
        <f>HYPERLINK("http://dx.doi.org/10.1111/j.1467-8551.2011.00779.x","http://dx.doi.org/10.1111/j.1467-8551.2011.00779.x")</f>
        <v>http://dx.doi.org/10.1111/j.1467-8551.2011.00779.x</v>
      </c>
      <c r="BN1345" t="s">
        <v>69</v>
      </c>
      <c r="BO1345" t="s">
        <v>69</v>
      </c>
      <c r="BP1345">
        <v>16</v>
      </c>
      <c r="BQ1345" t="s">
        <v>8791</v>
      </c>
      <c r="BR1345" t="s">
        <v>8661</v>
      </c>
      <c r="BS1345" t="s">
        <v>8594</v>
      </c>
      <c r="BT1345" t="s">
        <v>25686</v>
      </c>
      <c r="BU1345" t="s">
        <v>7472</v>
      </c>
      <c r="BV1345" t="s">
        <v>69</v>
      </c>
      <c r="BW1345" t="s">
        <v>69</v>
      </c>
      <c r="BX1345" t="s">
        <v>69</v>
      </c>
      <c r="BY1345" t="s">
        <v>69</v>
      </c>
      <c r="BZ1345" t="s">
        <v>8526</v>
      </c>
      <c r="CA1345" t="str">
        <f>HYPERLINK("https%3A%2F%2Fwww.webofscience.com%2Fwos%2Fwoscc%2Ffull-record%2FWOS:000311389700005","View Full Record in Web of Science")</f>
        <v>View Full Record in Web of Science</v>
      </c>
    </row>
    <row r="1346" spans="1:79" ht="12.5" x14ac:dyDescent="0.25">
      <c r="B1346" t="s">
        <v>8495</v>
      </c>
      <c r="D1346" s="7" t="s">
        <v>32933</v>
      </c>
      <c r="E1346" s="7"/>
      <c r="F1346" s="7"/>
      <c r="G1346" s="7"/>
      <c r="H1346" t="s">
        <v>67</v>
      </c>
      <c r="I1346" t="s">
        <v>4979</v>
      </c>
      <c r="J1346" t="s">
        <v>69</v>
      </c>
      <c r="K1346" t="s">
        <v>69</v>
      </c>
      <c r="L1346" t="s">
        <v>69</v>
      </c>
      <c r="M1346" t="s">
        <v>4980</v>
      </c>
      <c r="N1346" t="s">
        <v>69</v>
      </c>
      <c r="O1346" t="s">
        <v>69</v>
      </c>
      <c r="P1346" t="s">
        <v>4981</v>
      </c>
      <c r="Q1346" t="s">
        <v>4982</v>
      </c>
      <c r="R1346" t="s">
        <v>69</v>
      </c>
      <c r="S1346" t="s">
        <v>69</v>
      </c>
      <c r="T1346" t="s">
        <v>8505</v>
      </c>
      <c r="U1346" t="s">
        <v>8506</v>
      </c>
      <c r="V1346" t="s">
        <v>69</v>
      </c>
      <c r="W1346" t="s">
        <v>69</v>
      </c>
      <c r="X1346" t="s">
        <v>69</v>
      </c>
      <c r="Y1346" t="s">
        <v>69</v>
      </c>
      <c r="Z1346" t="s">
        <v>69</v>
      </c>
      <c r="AA1346" t="s">
        <v>21115</v>
      </c>
      <c r="AB1346" t="s">
        <v>21116</v>
      </c>
      <c r="AC1346" t="s">
        <v>4983</v>
      </c>
      <c r="AD1346" t="s">
        <v>21117</v>
      </c>
      <c r="AE1346" t="s">
        <v>69</v>
      </c>
      <c r="AF1346" t="s">
        <v>21118</v>
      </c>
      <c r="AG1346" t="s">
        <v>69</v>
      </c>
      <c r="AH1346" t="s">
        <v>69</v>
      </c>
      <c r="AI1346" t="s">
        <v>4984</v>
      </c>
      <c r="AJ1346" t="s">
        <v>69</v>
      </c>
      <c r="AK1346" t="s">
        <v>69</v>
      </c>
      <c r="AL1346" t="s">
        <v>69</v>
      </c>
      <c r="AM1346" t="s">
        <v>69</v>
      </c>
      <c r="AN1346">
        <v>77</v>
      </c>
      <c r="AO1346">
        <v>1</v>
      </c>
      <c r="AP1346">
        <v>1</v>
      </c>
      <c r="AQ1346">
        <v>0</v>
      </c>
      <c r="AR1346">
        <v>13</v>
      </c>
      <c r="AS1346" t="s">
        <v>21110</v>
      </c>
      <c r="AT1346" t="s">
        <v>8847</v>
      </c>
      <c r="AU1346" t="s">
        <v>8848</v>
      </c>
      <c r="AV1346" t="s">
        <v>4985</v>
      </c>
      <c r="AW1346" t="s">
        <v>4986</v>
      </c>
      <c r="AX1346" t="s">
        <v>69</v>
      </c>
      <c r="AY1346" t="s">
        <v>21119</v>
      </c>
      <c r="AZ1346" t="s">
        <v>21120</v>
      </c>
      <c r="BA1346" t="s">
        <v>75</v>
      </c>
      <c r="BB1346">
        <v>2016</v>
      </c>
      <c r="BC1346">
        <v>7</v>
      </c>
      <c r="BD1346">
        <v>2</v>
      </c>
      <c r="BE1346" t="s">
        <v>69</v>
      </c>
      <c r="BF1346" t="s">
        <v>69</v>
      </c>
      <c r="BG1346" t="s">
        <v>69</v>
      </c>
      <c r="BH1346" t="s">
        <v>69</v>
      </c>
      <c r="BI1346">
        <v>399</v>
      </c>
      <c r="BJ1346">
        <v>430</v>
      </c>
      <c r="BK1346" t="s">
        <v>69</v>
      </c>
      <c r="BL1346" t="s">
        <v>4987</v>
      </c>
      <c r="BM1346" t="str">
        <f>HYPERLINK("http://dx.doi.org/10.1111/lamp.12103","http://dx.doi.org/10.1111/lamp.12103")</f>
        <v>http://dx.doi.org/10.1111/lamp.12103</v>
      </c>
      <c r="BN1346" t="s">
        <v>69</v>
      </c>
      <c r="BO1346" t="s">
        <v>69</v>
      </c>
      <c r="BP1346">
        <v>32</v>
      </c>
      <c r="BQ1346" t="s">
        <v>13241</v>
      </c>
      <c r="BR1346" t="s">
        <v>8573</v>
      </c>
      <c r="BS1346" t="s">
        <v>10084</v>
      </c>
      <c r="BT1346" t="s">
        <v>21121</v>
      </c>
      <c r="BU1346" t="s">
        <v>4988</v>
      </c>
      <c r="BV1346" t="s">
        <v>69</v>
      </c>
      <c r="BW1346" t="s">
        <v>69</v>
      </c>
      <c r="BX1346" t="s">
        <v>69</v>
      </c>
      <c r="BY1346" t="s">
        <v>69</v>
      </c>
      <c r="BZ1346" t="s">
        <v>8526</v>
      </c>
      <c r="CA1346" t="str">
        <f>HYPERLINK("https%3A%2F%2Fwww.webofscience.com%2Fwos%2Fwoscc%2Ffull-record%2FWOS:000391088500012","View Full Record in Web of Science")</f>
        <v>View Full Record in Web of Science</v>
      </c>
    </row>
    <row r="1347" spans="1:79" ht="12.5" x14ac:dyDescent="0.25">
      <c r="B1347" t="s">
        <v>8495</v>
      </c>
      <c r="D1347" s="7" t="s">
        <v>32933</v>
      </c>
      <c r="E1347" s="7"/>
      <c r="F1347" s="7"/>
      <c r="G1347" s="7"/>
      <c r="H1347" t="s">
        <v>67</v>
      </c>
      <c r="I1347" t="s">
        <v>1428</v>
      </c>
      <c r="J1347" t="s">
        <v>69</v>
      </c>
      <c r="K1347" t="s">
        <v>69</v>
      </c>
      <c r="L1347" t="s">
        <v>69</v>
      </c>
      <c r="M1347" t="s">
        <v>1429</v>
      </c>
      <c r="N1347" t="s">
        <v>69</v>
      </c>
      <c r="O1347" t="s">
        <v>69</v>
      </c>
      <c r="P1347" t="s">
        <v>1430</v>
      </c>
      <c r="Q1347" t="s">
        <v>1431</v>
      </c>
      <c r="R1347" t="s">
        <v>69</v>
      </c>
      <c r="S1347" t="s">
        <v>69</v>
      </c>
      <c r="T1347" t="s">
        <v>8505</v>
      </c>
      <c r="U1347" t="s">
        <v>8506</v>
      </c>
      <c r="V1347" t="s">
        <v>69</v>
      </c>
      <c r="W1347" t="s">
        <v>69</v>
      </c>
      <c r="X1347" t="s">
        <v>69</v>
      </c>
      <c r="Y1347" t="s">
        <v>69</v>
      </c>
      <c r="Z1347" t="s">
        <v>69</v>
      </c>
      <c r="AA1347" t="s">
        <v>25624</v>
      </c>
      <c r="AB1347" t="s">
        <v>25625</v>
      </c>
      <c r="AC1347" t="s">
        <v>1432</v>
      </c>
      <c r="AD1347" t="s">
        <v>25626</v>
      </c>
      <c r="AE1347" t="s">
        <v>69</v>
      </c>
      <c r="AF1347" t="s">
        <v>25627</v>
      </c>
      <c r="AG1347" t="s">
        <v>25628</v>
      </c>
      <c r="AH1347" t="s">
        <v>25629</v>
      </c>
      <c r="AI1347" t="s">
        <v>25630</v>
      </c>
      <c r="AJ1347" t="s">
        <v>25631</v>
      </c>
      <c r="AK1347" t="s">
        <v>25632</v>
      </c>
      <c r="AL1347" t="s">
        <v>25633</v>
      </c>
      <c r="AM1347" t="s">
        <v>69</v>
      </c>
      <c r="AN1347">
        <v>56</v>
      </c>
      <c r="AO1347">
        <v>12</v>
      </c>
      <c r="AP1347">
        <v>12</v>
      </c>
      <c r="AQ1347">
        <v>0</v>
      </c>
      <c r="AR1347">
        <v>16</v>
      </c>
      <c r="AS1347" t="s">
        <v>25634</v>
      </c>
      <c r="AT1347" t="s">
        <v>25635</v>
      </c>
      <c r="AU1347" t="s">
        <v>25636</v>
      </c>
      <c r="AV1347" t="s">
        <v>1433</v>
      </c>
      <c r="AW1347" t="s">
        <v>69</v>
      </c>
      <c r="AX1347" t="s">
        <v>69</v>
      </c>
      <c r="AY1347" t="s">
        <v>1431</v>
      </c>
      <c r="AZ1347" t="s">
        <v>25637</v>
      </c>
      <c r="BA1347" t="s">
        <v>75</v>
      </c>
      <c r="BB1347">
        <v>2012</v>
      </c>
      <c r="BC1347">
        <v>65</v>
      </c>
      <c r="BD1347">
        <v>4</v>
      </c>
      <c r="BE1347" t="s">
        <v>69</v>
      </c>
      <c r="BF1347" t="s">
        <v>69</v>
      </c>
      <c r="BG1347" t="s">
        <v>69</v>
      </c>
      <c r="BH1347" t="s">
        <v>69</v>
      </c>
      <c r="BI1347">
        <v>465</v>
      </c>
      <c r="BJ1347">
        <v>475</v>
      </c>
      <c r="BK1347" t="s">
        <v>69</v>
      </c>
      <c r="BL1347" t="s">
        <v>69</v>
      </c>
      <c r="BM1347" t="s">
        <v>69</v>
      </c>
      <c r="BN1347" t="s">
        <v>69</v>
      </c>
      <c r="BO1347" t="s">
        <v>69</v>
      </c>
      <c r="BP1347">
        <v>11</v>
      </c>
      <c r="BQ1347" t="s">
        <v>25017</v>
      </c>
      <c r="BR1347" t="s">
        <v>8548</v>
      </c>
      <c r="BS1347" t="s">
        <v>25018</v>
      </c>
      <c r="BT1347" t="s">
        <v>25638</v>
      </c>
      <c r="BU1347" t="s">
        <v>1434</v>
      </c>
      <c r="BV1347" t="s">
        <v>69</v>
      </c>
      <c r="BW1347" t="s">
        <v>69</v>
      </c>
      <c r="BX1347" t="s">
        <v>69</v>
      </c>
      <c r="BY1347" t="s">
        <v>69</v>
      </c>
      <c r="BZ1347" t="s">
        <v>8526</v>
      </c>
      <c r="CA1347" t="str">
        <f>HYPERLINK("https%3A%2F%2Fwww.webofscience.com%2Fwos%2Fwoscc%2Ffull-record%2FWOS:000313598700010","View Full Record in Web of Science")</f>
        <v>View Full Record in Web of Science</v>
      </c>
    </row>
    <row r="1348" spans="1:79" ht="12.5" x14ac:dyDescent="0.25">
      <c r="B1348" t="s">
        <v>8495</v>
      </c>
      <c r="D1348" s="22" t="s">
        <v>32931</v>
      </c>
      <c r="E1348" s="7"/>
      <c r="F1348" s="7"/>
      <c r="G1348" s="7"/>
      <c r="H1348" t="s">
        <v>67</v>
      </c>
      <c r="I1348" t="s">
        <v>10635</v>
      </c>
      <c r="J1348" t="s">
        <v>69</v>
      </c>
      <c r="K1348" t="s">
        <v>69</v>
      </c>
      <c r="L1348" t="s">
        <v>69</v>
      </c>
      <c r="M1348" t="s">
        <v>10636</v>
      </c>
      <c r="N1348" t="s">
        <v>69</v>
      </c>
      <c r="O1348" t="s">
        <v>69</v>
      </c>
      <c r="P1348" t="s">
        <v>10637</v>
      </c>
      <c r="Q1348" t="s">
        <v>5400</v>
      </c>
      <c r="R1348" t="s">
        <v>69</v>
      </c>
      <c r="S1348" t="s">
        <v>69</v>
      </c>
      <c r="T1348" t="s">
        <v>8505</v>
      </c>
      <c r="U1348" t="s">
        <v>8506</v>
      </c>
      <c r="V1348" t="s">
        <v>69</v>
      </c>
      <c r="W1348" t="s">
        <v>69</v>
      </c>
      <c r="X1348" t="s">
        <v>69</v>
      </c>
      <c r="Y1348" t="s">
        <v>69</v>
      </c>
      <c r="Z1348" t="s">
        <v>69</v>
      </c>
      <c r="AA1348" t="s">
        <v>10638</v>
      </c>
      <c r="AB1348" t="s">
        <v>10639</v>
      </c>
      <c r="AC1348" t="s">
        <v>10640</v>
      </c>
      <c r="AD1348" t="s">
        <v>10641</v>
      </c>
      <c r="AE1348" t="s">
        <v>69</v>
      </c>
      <c r="AF1348" t="s">
        <v>10642</v>
      </c>
      <c r="AG1348" t="s">
        <v>10643</v>
      </c>
      <c r="AH1348" t="s">
        <v>10644</v>
      </c>
      <c r="AI1348" t="s">
        <v>69</v>
      </c>
      <c r="AJ1348" t="s">
        <v>69</v>
      </c>
      <c r="AK1348" t="s">
        <v>69</v>
      </c>
      <c r="AL1348" t="s">
        <v>69</v>
      </c>
      <c r="AM1348" t="s">
        <v>69</v>
      </c>
      <c r="AN1348">
        <v>67</v>
      </c>
      <c r="AO1348">
        <v>2</v>
      </c>
      <c r="AP1348">
        <v>2</v>
      </c>
      <c r="AQ1348">
        <v>3</v>
      </c>
      <c r="AR1348">
        <v>5</v>
      </c>
      <c r="AS1348" t="s">
        <v>8516</v>
      </c>
      <c r="AT1348" t="s">
        <v>8517</v>
      </c>
      <c r="AU1348" t="s">
        <v>8518</v>
      </c>
      <c r="AV1348" t="s">
        <v>5402</v>
      </c>
      <c r="AW1348" t="s">
        <v>5403</v>
      </c>
      <c r="AX1348" t="s">
        <v>69</v>
      </c>
      <c r="AY1348" t="s">
        <v>8974</v>
      </c>
      <c r="AZ1348" t="s">
        <v>8975</v>
      </c>
      <c r="BA1348" t="s">
        <v>94</v>
      </c>
      <c r="BB1348">
        <v>2022</v>
      </c>
      <c r="BC1348">
        <v>85</v>
      </c>
      <c r="BD1348" t="s">
        <v>69</v>
      </c>
      <c r="BE1348" t="s">
        <v>69</v>
      </c>
      <c r="BF1348" t="s">
        <v>69</v>
      </c>
      <c r="BG1348" t="s">
        <v>69</v>
      </c>
      <c r="BH1348" t="s">
        <v>69</v>
      </c>
      <c r="BI1348" t="s">
        <v>69</v>
      </c>
      <c r="BJ1348" t="s">
        <v>69</v>
      </c>
      <c r="BK1348">
        <v>102406</v>
      </c>
      <c r="BL1348" t="s">
        <v>10645</v>
      </c>
      <c r="BM1348" t="str">
        <f>HYPERLINK("http://dx.doi.org/10.1016/j.erss.2021.102406","http://dx.doi.org/10.1016/j.erss.2021.102406")</f>
        <v>http://dx.doi.org/10.1016/j.erss.2021.102406</v>
      </c>
      <c r="BN1348" t="s">
        <v>69</v>
      </c>
      <c r="BO1348" t="s">
        <v>10646</v>
      </c>
      <c r="BP1348">
        <v>12</v>
      </c>
      <c r="BQ1348" t="s">
        <v>8660</v>
      </c>
      <c r="BR1348" t="s">
        <v>8661</v>
      </c>
      <c r="BS1348" t="s">
        <v>8662</v>
      </c>
      <c r="BT1348" t="s">
        <v>10647</v>
      </c>
      <c r="BU1348" t="s">
        <v>10649</v>
      </c>
      <c r="BV1348" t="s">
        <v>69</v>
      </c>
      <c r="BW1348" t="s">
        <v>10648</v>
      </c>
      <c r="BX1348" t="s">
        <v>69</v>
      </c>
      <c r="BY1348" t="s">
        <v>69</v>
      </c>
      <c r="BZ1348" t="s">
        <v>8526</v>
      </c>
      <c r="CA1348" t="str">
        <f>HYPERLINK("https%3A%2F%2Fwww.webofscience.com%2Fwos%2Fwoscc%2Ffull-record%2FWOS:000737084500002","View Full Record in Web of Science")</f>
        <v>View Full Record in Web of Science</v>
      </c>
    </row>
    <row r="1349" spans="1:79" ht="12.5" x14ac:dyDescent="0.25">
      <c r="B1349" t="s">
        <v>8495</v>
      </c>
      <c r="D1349" s="7" t="s">
        <v>32933</v>
      </c>
      <c r="E1349" s="7"/>
      <c r="F1349" s="7"/>
      <c r="G1349" s="7"/>
      <c r="H1349" t="s">
        <v>67</v>
      </c>
      <c r="I1349" t="s">
        <v>1804</v>
      </c>
      <c r="J1349" t="s">
        <v>69</v>
      </c>
      <c r="K1349" t="s">
        <v>69</v>
      </c>
      <c r="L1349" t="s">
        <v>69</v>
      </c>
      <c r="M1349" t="s">
        <v>1804</v>
      </c>
      <c r="N1349" t="s">
        <v>69</v>
      </c>
      <c r="O1349" t="s">
        <v>69</v>
      </c>
      <c r="P1349" t="s">
        <v>1805</v>
      </c>
      <c r="Q1349" t="s">
        <v>1806</v>
      </c>
      <c r="R1349" t="s">
        <v>69</v>
      </c>
      <c r="S1349" t="s">
        <v>69</v>
      </c>
      <c r="T1349" t="s">
        <v>8505</v>
      </c>
      <c r="U1349" t="s">
        <v>15797</v>
      </c>
      <c r="V1349" t="s">
        <v>1807</v>
      </c>
      <c r="W1349" t="s">
        <v>1808</v>
      </c>
      <c r="X1349" t="s">
        <v>1809</v>
      </c>
      <c r="Y1349" t="s">
        <v>69</v>
      </c>
      <c r="Z1349" t="s">
        <v>69</v>
      </c>
      <c r="AA1349" t="s">
        <v>69</v>
      </c>
      <c r="AB1349" t="s">
        <v>32745</v>
      </c>
      <c r="AC1349" t="s">
        <v>1810</v>
      </c>
      <c r="AD1349" t="s">
        <v>69</v>
      </c>
      <c r="AE1349" t="s">
        <v>69</v>
      </c>
      <c r="AF1349" t="s">
        <v>32746</v>
      </c>
      <c r="AG1349" t="s">
        <v>69</v>
      </c>
      <c r="AH1349" t="s">
        <v>69</v>
      </c>
      <c r="AI1349" t="s">
        <v>69</v>
      </c>
      <c r="AJ1349" t="s">
        <v>69</v>
      </c>
      <c r="AK1349" t="s">
        <v>69</v>
      </c>
      <c r="AL1349" t="s">
        <v>69</v>
      </c>
      <c r="AM1349" t="s">
        <v>69</v>
      </c>
      <c r="AN1349">
        <v>44</v>
      </c>
      <c r="AO1349">
        <v>12</v>
      </c>
      <c r="AP1349">
        <v>12</v>
      </c>
      <c r="AQ1349">
        <v>0</v>
      </c>
      <c r="AR1349">
        <v>11</v>
      </c>
      <c r="AS1349" t="s">
        <v>17140</v>
      </c>
      <c r="AT1349" t="s">
        <v>8517</v>
      </c>
      <c r="AU1349" t="s">
        <v>17141</v>
      </c>
      <c r="AV1349" t="s">
        <v>1811</v>
      </c>
      <c r="AW1349" t="s">
        <v>69</v>
      </c>
      <c r="AX1349" t="s">
        <v>69</v>
      </c>
      <c r="AY1349" t="s">
        <v>32663</v>
      </c>
      <c r="AZ1349" t="s">
        <v>32664</v>
      </c>
      <c r="BA1349" t="s">
        <v>255</v>
      </c>
      <c r="BB1349">
        <v>1993</v>
      </c>
      <c r="BC1349">
        <v>46</v>
      </c>
      <c r="BD1349" t="s">
        <v>1812</v>
      </c>
      <c r="BE1349" t="s">
        <v>69</v>
      </c>
      <c r="BF1349" t="s">
        <v>69</v>
      </c>
      <c r="BG1349" t="s">
        <v>69</v>
      </c>
      <c r="BH1349" t="s">
        <v>69</v>
      </c>
      <c r="BI1349">
        <v>245</v>
      </c>
      <c r="BJ1349">
        <v>256</v>
      </c>
      <c r="BK1349" t="s">
        <v>69</v>
      </c>
      <c r="BL1349" t="s">
        <v>1813</v>
      </c>
      <c r="BM1349" t="str">
        <f>HYPERLINK("http://dx.doi.org/10.1016/0167-8809(93)90028-N","http://dx.doi.org/10.1016/0167-8809(93)90028-N")</f>
        <v>http://dx.doi.org/10.1016/0167-8809(93)90028-N</v>
      </c>
      <c r="BN1349" t="s">
        <v>69</v>
      </c>
      <c r="BO1349" t="s">
        <v>69</v>
      </c>
      <c r="BP1349">
        <v>12</v>
      </c>
      <c r="BQ1349" t="s">
        <v>32665</v>
      </c>
      <c r="BR1349" t="s">
        <v>29550</v>
      </c>
      <c r="BS1349" t="s">
        <v>32666</v>
      </c>
      <c r="BT1349" t="s">
        <v>32747</v>
      </c>
      <c r="BU1349" t="s">
        <v>1814</v>
      </c>
      <c r="BV1349" t="s">
        <v>69</v>
      </c>
      <c r="BW1349" t="s">
        <v>69</v>
      </c>
      <c r="BX1349" t="s">
        <v>69</v>
      </c>
      <c r="BY1349" t="s">
        <v>69</v>
      </c>
      <c r="BZ1349" t="s">
        <v>8526</v>
      </c>
      <c r="CA1349" t="str">
        <f>HYPERLINK("https%3A%2F%2Fwww.webofscience.com%2Fwos%2Fwoscc%2Ffull-record%2FWOS:A1993LZ67900020","View Full Record in Web of Science")</f>
        <v>View Full Record in Web of Science</v>
      </c>
    </row>
    <row r="1350" spans="1:79" ht="12.5" x14ac:dyDescent="0.25">
      <c r="B1350" t="s">
        <v>8495</v>
      </c>
      <c r="D1350" s="7" t="s">
        <v>32933</v>
      </c>
      <c r="E1350" s="7"/>
      <c r="F1350" s="7"/>
      <c r="G1350" s="7"/>
      <c r="H1350" t="s">
        <v>67</v>
      </c>
      <c r="I1350" t="s">
        <v>5747</v>
      </c>
      <c r="J1350" t="s">
        <v>69</v>
      </c>
      <c r="K1350" t="s">
        <v>69</v>
      </c>
      <c r="L1350" t="s">
        <v>69</v>
      </c>
      <c r="M1350" t="s">
        <v>5748</v>
      </c>
      <c r="N1350" t="s">
        <v>69</v>
      </c>
      <c r="O1350" t="s">
        <v>69</v>
      </c>
      <c r="P1350" t="s">
        <v>5749</v>
      </c>
      <c r="Q1350" t="s">
        <v>352</v>
      </c>
      <c r="R1350" t="s">
        <v>69</v>
      </c>
      <c r="S1350" t="s">
        <v>69</v>
      </c>
      <c r="T1350" t="s">
        <v>8505</v>
      </c>
      <c r="U1350" t="s">
        <v>8506</v>
      </c>
      <c r="V1350" t="s">
        <v>69</v>
      </c>
      <c r="W1350" t="s">
        <v>69</v>
      </c>
      <c r="X1350" t="s">
        <v>69</v>
      </c>
      <c r="Y1350" t="s">
        <v>69</v>
      </c>
      <c r="Z1350" t="s">
        <v>69</v>
      </c>
      <c r="AA1350" t="s">
        <v>14500</v>
      </c>
      <c r="AB1350" t="s">
        <v>14501</v>
      </c>
      <c r="AC1350" t="s">
        <v>5750</v>
      </c>
      <c r="AD1350" t="s">
        <v>14502</v>
      </c>
      <c r="AE1350" t="s">
        <v>69</v>
      </c>
      <c r="AF1350" t="s">
        <v>14503</v>
      </c>
      <c r="AG1350" t="s">
        <v>14504</v>
      </c>
      <c r="AH1350" t="s">
        <v>5751</v>
      </c>
      <c r="AI1350" t="s">
        <v>5752</v>
      </c>
      <c r="AJ1350" t="s">
        <v>14505</v>
      </c>
      <c r="AK1350" t="s">
        <v>14506</v>
      </c>
      <c r="AL1350" t="s">
        <v>14507</v>
      </c>
      <c r="AM1350" t="s">
        <v>69</v>
      </c>
      <c r="AN1350">
        <v>183</v>
      </c>
      <c r="AO1350">
        <v>5</v>
      </c>
      <c r="AP1350">
        <v>5</v>
      </c>
      <c r="AQ1350">
        <v>8</v>
      </c>
      <c r="AR1350">
        <v>18</v>
      </c>
      <c r="AS1350" t="s">
        <v>8924</v>
      </c>
      <c r="AT1350" t="s">
        <v>8925</v>
      </c>
      <c r="AU1350" t="s">
        <v>8926</v>
      </c>
      <c r="AV1350" t="s">
        <v>69</v>
      </c>
      <c r="AW1350" t="s">
        <v>354</v>
      </c>
      <c r="AX1350" t="s">
        <v>69</v>
      </c>
      <c r="AY1350" t="s">
        <v>8958</v>
      </c>
      <c r="AZ1350" t="s">
        <v>8434</v>
      </c>
      <c r="BA1350" t="s">
        <v>255</v>
      </c>
      <c r="BB1350">
        <v>2020</v>
      </c>
      <c r="BC1350">
        <v>12</v>
      </c>
      <c r="BD1350">
        <v>17</v>
      </c>
      <c r="BE1350" t="s">
        <v>69</v>
      </c>
      <c r="BF1350" t="s">
        <v>69</v>
      </c>
      <c r="BG1350" t="s">
        <v>69</v>
      </c>
      <c r="BH1350" t="s">
        <v>69</v>
      </c>
      <c r="BI1350" t="s">
        <v>69</v>
      </c>
      <c r="BJ1350" t="s">
        <v>69</v>
      </c>
      <c r="BK1350">
        <v>7055</v>
      </c>
      <c r="BL1350" t="s">
        <v>5753</v>
      </c>
      <c r="BM1350" t="str">
        <f>HYPERLINK("http://dx.doi.org/10.3390/su12177055","http://dx.doi.org/10.3390/su12177055")</f>
        <v>http://dx.doi.org/10.3390/su12177055</v>
      </c>
      <c r="BN1350" t="s">
        <v>69</v>
      </c>
      <c r="BO1350" t="s">
        <v>69</v>
      </c>
      <c r="BP1350">
        <v>25</v>
      </c>
      <c r="BQ1350" t="s">
        <v>8960</v>
      </c>
      <c r="BR1350" t="s">
        <v>8523</v>
      </c>
      <c r="BS1350" t="s">
        <v>8961</v>
      </c>
      <c r="BT1350" t="s">
        <v>14508</v>
      </c>
      <c r="BU1350" t="s">
        <v>5754</v>
      </c>
      <c r="BV1350" t="s">
        <v>69</v>
      </c>
      <c r="BW1350" t="s">
        <v>8812</v>
      </c>
      <c r="BX1350" t="s">
        <v>69</v>
      </c>
      <c r="BY1350" t="s">
        <v>69</v>
      </c>
      <c r="BZ1350" t="s">
        <v>8526</v>
      </c>
      <c r="CA1350" t="str">
        <f>HYPERLINK("https%3A%2F%2Fwww.webofscience.com%2Fwos%2Fwoscc%2Ffull-record%2FWOS:000569678900001","View Full Record in Web of Science")</f>
        <v>View Full Record in Web of Science</v>
      </c>
    </row>
    <row r="1351" spans="1:79" ht="12.5" x14ac:dyDescent="0.25">
      <c r="B1351" t="s">
        <v>8495</v>
      </c>
      <c r="D1351" s="7" t="s">
        <v>32933</v>
      </c>
      <c r="E1351" s="7"/>
      <c r="F1351" s="7"/>
      <c r="G1351" s="7"/>
      <c r="H1351" t="s">
        <v>67</v>
      </c>
      <c r="I1351" t="s">
        <v>2104</v>
      </c>
      <c r="J1351" t="s">
        <v>69</v>
      </c>
      <c r="K1351" t="s">
        <v>69</v>
      </c>
      <c r="L1351" t="s">
        <v>69</v>
      </c>
      <c r="M1351" t="s">
        <v>2105</v>
      </c>
      <c r="N1351" t="s">
        <v>69</v>
      </c>
      <c r="O1351" t="s">
        <v>69</v>
      </c>
      <c r="P1351" t="s">
        <v>2106</v>
      </c>
      <c r="Q1351" t="s">
        <v>2107</v>
      </c>
      <c r="R1351" t="s">
        <v>69</v>
      </c>
      <c r="S1351" t="s">
        <v>69</v>
      </c>
      <c r="T1351" t="s">
        <v>8505</v>
      </c>
      <c r="U1351" t="s">
        <v>8506</v>
      </c>
      <c r="V1351" t="s">
        <v>69</v>
      </c>
      <c r="W1351" t="s">
        <v>69</v>
      </c>
      <c r="X1351" t="s">
        <v>69</v>
      </c>
      <c r="Y1351" t="s">
        <v>69</v>
      </c>
      <c r="Z1351" t="s">
        <v>69</v>
      </c>
      <c r="AA1351" t="s">
        <v>16369</v>
      </c>
      <c r="AB1351" t="s">
        <v>16370</v>
      </c>
      <c r="AC1351" t="s">
        <v>2108</v>
      </c>
      <c r="AD1351" t="s">
        <v>16371</v>
      </c>
      <c r="AE1351" t="s">
        <v>69</v>
      </c>
      <c r="AF1351" t="s">
        <v>16372</v>
      </c>
      <c r="AG1351" t="s">
        <v>16373</v>
      </c>
      <c r="AH1351" t="s">
        <v>69</v>
      </c>
      <c r="AI1351" t="s">
        <v>2109</v>
      </c>
      <c r="AJ1351" t="s">
        <v>16374</v>
      </c>
      <c r="AK1351" t="s">
        <v>16375</v>
      </c>
      <c r="AL1351" t="s">
        <v>16376</v>
      </c>
      <c r="AM1351" t="s">
        <v>69</v>
      </c>
      <c r="AN1351">
        <v>61</v>
      </c>
      <c r="AO1351">
        <v>5</v>
      </c>
      <c r="AP1351">
        <v>5</v>
      </c>
      <c r="AQ1351">
        <v>2</v>
      </c>
      <c r="AR1351">
        <v>5</v>
      </c>
      <c r="AS1351" t="s">
        <v>8924</v>
      </c>
      <c r="AT1351" t="s">
        <v>8925</v>
      </c>
      <c r="AU1351" t="s">
        <v>8926</v>
      </c>
      <c r="AV1351" t="s">
        <v>69</v>
      </c>
      <c r="AW1351" t="s">
        <v>2110</v>
      </c>
      <c r="AX1351" t="s">
        <v>69</v>
      </c>
      <c r="AY1351" t="s">
        <v>10592</v>
      </c>
      <c r="AZ1351" t="s">
        <v>10593</v>
      </c>
      <c r="BA1351" t="s">
        <v>75</v>
      </c>
      <c r="BB1351">
        <v>2019</v>
      </c>
      <c r="BC1351">
        <v>16</v>
      </c>
      <c r="BD1351">
        <v>23</v>
      </c>
      <c r="BE1351" t="s">
        <v>69</v>
      </c>
      <c r="BF1351" t="s">
        <v>69</v>
      </c>
      <c r="BG1351" t="s">
        <v>69</v>
      </c>
      <c r="BH1351" t="s">
        <v>69</v>
      </c>
      <c r="BI1351" t="s">
        <v>69</v>
      </c>
      <c r="BJ1351" t="s">
        <v>69</v>
      </c>
      <c r="BK1351">
        <v>4786</v>
      </c>
      <c r="BL1351" t="s">
        <v>2111</v>
      </c>
      <c r="BM1351" t="str">
        <f>HYPERLINK("http://dx.doi.org/10.3390/ijerph16234786","http://dx.doi.org/10.3390/ijerph16234786")</f>
        <v>http://dx.doi.org/10.3390/ijerph16234786</v>
      </c>
      <c r="BN1351" t="s">
        <v>69</v>
      </c>
      <c r="BO1351" t="s">
        <v>69</v>
      </c>
      <c r="BP1351">
        <v>15</v>
      </c>
      <c r="BQ1351" t="s">
        <v>10595</v>
      </c>
      <c r="BR1351" t="s">
        <v>8523</v>
      </c>
      <c r="BS1351" t="s">
        <v>10596</v>
      </c>
      <c r="BT1351" t="s">
        <v>16377</v>
      </c>
      <c r="BU1351" t="s">
        <v>2112</v>
      </c>
      <c r="BV1351">
        <v>31795314</v>
      </c>
      <c r="BW1351" t="s">
        <v>9352</v>
      </c>
      <c r="BX1351" t="s">
        <v>69</v>
      </c>
      <c r="BY1351" t="s">
        <v>69</v>
      </c>
      <c r="BZ1351" t="s">
        <v>8526</v>
      </c>
      <c r="CA1351" t="str">
        <f>HYPERLINK("https%3A%2F%2Fwww.webofscience.com%2Fwos%2Fwoscc%2Ffull-record%2FWOS:000507275700033","View Full Record in Web of Science")</f>
        <v>View Full Record in Web of Science</v>
      </c>
    </row>
    <row r="1352" spans="1:79" ht="12.5" x14ac:dyDescent="0.25">
      <c r="B1352" t="s">
        <v>8495</v>
      </c>
      <c r="D1352" s="7" t="s">
        <v>32933</v>
      </c>
      <c r="E1352" s="7"/>
      <c r="F1352" s="7"/>
      <c r="G1352" s="7"/>
      <c r="H1352" t="s">
        <v>67</v>
      </c>
      <c r="I1352" t="s">
        <v>621</v>
      </c>
      <c r="J1352" t="s">
        <v>69</v>
      </c>
      <c r="K1352" t="s">
        <v>69</v>
      </c>
      <c r="L1352" t="s">
        <v>69</v>
      </c>
      <c r="M1352" t="s">
        <v>621</v>
      </c>
      <c r="N1352" t="s">
        <v>69</v>
      </c>
      <c r="O1352" t="s">
        <v>69</v>
      </c>
      <c r="P1352" t="s">
        <v>622</v>
      </c>
      <c r="Q1352" t="s">
        <v>623</v>
      </c>
      <c r="R1352" t="s">
        <v>69</v>
      </c>
      <c r="S1352" t="s">
        <v>69</v>
      </c>
      <c r="T1352" t="s">
        <v>8505</v>
      </c>
      <c r="U1352" t="s">
        <v>8442</v>
      </c>
      <c r="V1352" t="s">
        <v>69</v>
      </c>
      <c r="W1352" t="s">
        <v>69</v>
      </c>
      <c r="X1352" t="s">
        <v>69</v>
      </c>
      <c r="Y1352" t="s">
        <v>69</v>
      </c>
      <c r="Z1352" t="s">
        <v>69</v>
      </c>
      <c r="AA1352" t="s">
        <v>69</v>
      </c>
      <c r="AB1352" t="s">
        <v>31222</v>
      </c>
      <c r="AC1352" t="s">
        <v>624</v>
      </c>
      <c r="AD1352" t="s">
        <v>31223</v>
      </c>
      <c r="AE1352" t="s">
        <v>69</v>
      </c>
      <c r="AF1352" t="s">
        <v>31224</v>
      </c>
      <c r="AG1352" t="s">
        <v>69</v>
      </c>
      <c r="AH1352" t="s">
        <v>69</v>
      </c>
      <c r="AI1352" t="s">
        <v>69</v>
      </c>
      <c r="AJ1352" t="s">
        <v>69</v>
      </c>
      <c r="AK1352" t="s">
        <v>69</v>
      </c>
      <c r="AL1352" t="s">
        <v>69</v>
      </c>
      <c r="AM1352" t="s">
        <v>69</v>
      </c>
      <c r="AN1352">
        <v>117</v>
      </c>
      <c r="AO1352">
        <v>365</v>
      </c>
      <c r="AP1352">
        <v>377</v>
      </c>
      <c r="AQ1352">
        <v>3</v>
      </c>
      <c r="AR1352">
        <v>240</v>
      </c>
      <c r="AS1352" t="s">
        <v>31225</v>
      </c>
      <c r="AT1352" t="s">
        <v>31226</v>
      </c>
      <c r="AU1352" t="s">
        <v>31227</v>
      </c>
      <c r="AV1352" t="s">
        <v>625</v>
      </c>
      <c r="AW1352" t="s">
        <v>626</v>
      </c>
      <c r="AX1352" t="s">
        <v>69</v>
      </c>
      <c r="AY1352" t="s">
        <v>623</v>
      </c>
      <c r="AZ1352" t="s">
        <v>12687</v>
      </c>
      <c r="BA1352" t="s">
        <v>155</v>
      </c>
      <c r="BB1352">
        <v>2003</v>
      </c>
      <c r="BC1352">
        <v>111</v>
      </c>
      <c r="BD1352">
        <v>6</v>
      </c>
      <c r="BE1352" t="s">
        <v>69</v>
      </c>
      <c r="BF1352" t="s">
        <v>627</v>
      </c>
      <c r="BG1352" t="s">
        <v>69</v>
      </c>
      <c r="BH1352" t="s">
        <v>69</v>
      </c>
      <c r="BI1352">
        <v>1541</v>
      </c>
      <c r="BJ1352">
        <v>1571</v>
      </c>
      <c r="BK1352" t="s">
        <v>69</v>
      </c>
      <c r="BL1352" t="s">
        <v>69</v>
      </c>
      <c r="BM1352" t="s">
        <v>69</v>
      </c>
      <c r="BN1352" t="s">
        <v>69</v>
      </c>
      <c r="BO1352" t="s">
        <v>69</v>
      </c>
      <c r="BP1352">
        <v>31</v>
      </c>
      <c r="BQ1352" t="s">
        <v>12687</v>
      </c>
      <c r="BR1352" t="s">
        <v>8523</v>
      </c>
      <c r="BS1352" t="s">
        <v>12687</v>
      </c>
      <c r="BT1352" t="s">
        <v>31228</v>
      </c>
      <c r="BU1352" t="s">
        <v>628</v>
      </c>
      <c r="BV1352">
        <v>12777595</v>
      </c>
      <c r="BW1352" t="s">
        <v>69</v>
      </c>
      <c r="BX1352" t="s">
        <v>69</v>
      </c>
      <c r="BY1352" t="s">
        <v>69</v>
      </c>
      <c r="BZ1352" t="s">
        <v>8526</v>
      </c>
      <c r="CA1352" t="str">
        <f>HYPERLINK("https%3A%2F%2Fwww.webofscience.com%2Fwos%2Fwoscc%2Ffull-record%2FWOS:000183696300002","View Full Record in Web of Science")</f>
        <v>View Full Record in Web of Science</v>
      </c>
    </row>
    <row r="1353" spans="1:79" ht="12.5" x14ac:dyDescent="0.25">
      <c r="B1353" t="s">
        <v>8495</v>
      </c>
      <c r="D1353" s="22" t="s">
        <v>32931</v>
      </c>
      <c r="E1353" s="7"/>
      <c r="F1353" s="7"/>
      <c r="G1353" s="7"/>
      <c r="H1353" t="s">
        <v>67</v>
      </c>
      <c r="I1353" t="s">
        <v>29483</v>
      </c>
      <c r="J1353" t="s">
        <v>69</v>
      </c>
      <c r="K1353" t="s">
        <v>69</v>
      </c>
      <c r="L1353" t="s">
        <v>69</v>
      </c>
      <c r="M1353" t="s">
        <v>29484</v>
      </c>
      <c r="N1353" t="s">
        <v>69</v>
      </c>
      <c r="O1353" t="s">
        <v>69</v>
      </c>
      <c r="P1353" t="s">
        <v>29485</v>
      </c>
      <c r="Q1353" t="s">
        <v>29486</v>
      </c>
      <c r="R1353" t="s">
        <v>69</v>
      </c>
      <c r="S1353" t="s">
        <v>69</v>
      </c>
      <c r="T1353" t="s">
        <v>8505</v>
      </c>
      <c r="U1353" t="s">
        <v>8506</v>
      </c>
      <c r="V1353" t="s">
        <v>69</v>
      </c>
      <c r="W1353" t="s">
        <v>69</v>
      </c>
      <c r="X1353" t="s">
        <v>69</v>
      </c>
      <c r="Y1353" t="s">
        <v>69</v>
      </c>
      <c r="Z1353" t="s">
        <v>69</v>
      </c>
      <c r="AA1353" t="s">
        <v>29487</v>
      </c>
      <c r="AB1353" t="s">
        <v>69</v>
      </c>
      <c r="AC1353" t="s">
        <v>29488</v>
      </c>
      <c r="AD1353" t="s">
        <v>29489</v>
      </c>
      <c r="AE1353" t="s">
        <v>69</v>
      </c>
      <c r="AF1353" t="s">
        <v>29490</v>
      </c>
      <c r="AG1353" t="s">
        <v>29491</v>
      </c>
      <c r="AH1353" t="s">
        <v>69</v>
      </c>
      <c r="AI1353" t="s">
        <v>69</v>
      </c>
      <c r="AJ1353" t="s">
        <v>69</v>
      </c>
      <c r="AK1353" t="s">
        <v>69</v>
      </c>
      <c r="AL1353" t="s">
        <v>69</v>
      </c>
      <c r="AM1353" t="s">
        <v>69</v>
      </c>
      <c r="AN1353">
        <v>83</v>
      </c>
      <c r="AO1353">
        <v>30</v>
      </c>
      <c r="AP1353">
        <v>31</v>
      </c>
      <c r="AQ1353">
        <v>0</v>
      </c>
      <c r="AR1353">
        <v>16</v>
      </c>
      <c r="AS1353" t="s">
        <v>8865</v>
      </c>
      <c r="AT1353" t="s">
        <v>8612</v>
      </c>
      <c r="AU1353" t="s">
        <v>8866</v>
      </c>
      <c r="AV1353" t="s">
        <v>29492</v>
      </c>
      <c r="AW1353" t="s">
        <v>29493</v>
      </c>
      <c r="AX1353" t="s">
        <v>69</v>
      </c>
      <c r="AY1353" t="s">
        <v>29494</v>
      </c>
      <c r="AZ1353" t="s">
        <v>29495</v>
      </c>
      <c r="BA1353" t="s">
        <v>69</v>
      </c>
      <c r="BB1353">
        <v>2008</v>
      </c>
      <c r="BC1353">
        <v>10</v>
      </c>
      <c r="BD1353">
        <v>3</v>
      </c>
      <c r="BE1353" t="s">
        <v>69</v>
      </c>
      <c r="BF1353" t="s">
        <v>69</v>
      </c>
      <c r="BG1353" t="s">
        <v>69</v>
      </c>
      <c r="BH1353" t="s">
        <v>69</v>
      </c>
      <c r="BI1353">
        <v>285</v>
      </c>
      <c r="BJ1353">
        <v>311</v>
      </c>
      <c r="BK1353" t="s">
        <v>69</v>
      </c>
      <c r="BL1353" t="s">
        <v>29496</v>
      </c>
      <c r="BM1353" t="str">
        <f>HYPERLINK("http://dx.doi.org/10.1080/14616680802236295","http://dx.doi.org/10.1080/14616680802236295")</f>
        <v>http://dx.doi.org/10.1080/14616680802236295</v>
      </c>
      <c r="BN1353" t="s">
        <v>69</v>
      </c>
      <c r="BO1353" t="s">
        <v>69</v>
      </c>
      <c r="BP1353">
        <v>27</v>
      </c>
      <c r="BQ1353" t="s">
        <v>10278</v>
      </c>
      <c r="BR1353" t="s">
        <v>8661</v>
      </c>
      <c r="BS1353" t="s">
        <v>10279</v>
      </c>
      <c r="BT1353" t="s">
        <v>29497</v>
      </c>
      <c r="BU1353" t="s">
        <v>29498</v>
      </c>
      <c r="BV1353" t="s">
        <v>69</v>
      </c>
      <c r="BW1353" t="s">
        <v>69</v>
      </c>
      <c r="BX1353" t="s">
        <v>69</v>
      </c>
      <c r="BY1353" t="s">
        <v>69</v>
      </c>
      <c r="BZ1353" t="s">
        <v>8526</v>
      </c>
      <c r="CA1353" t="str">
        <f>HYPERLINK("https%3A%2F%2Fwww.webofscience.com%2Fwos%2Fwoscc%2Ffull-record%2FWOS:000258007200002","View Full Record in Web of Science")</f>
        <v>View Full Record in Web of Science</v>
      </c>
    </row>
    <row r="1354" spans="1:79" ht="12.5" x14ac:dyDescent="0.25">
      <c r="B1354" t="s">
        <v>8495</v>
      </c>
      <c r="D1354" s="22" t="s">
        <v>32931</v>
      </c>
      <c r="E1354" s="7"/>
      <c r="F1354" s="7"/>
      <c r="G1354" s="7"/>
      <c r="H1354" t="s">
        <v>67</v>
      </c>
      <c r="I1354" t="s">
        <v>31702</v>
      </c>
      <c r="J1354" t="s">
        <v>69</v>
      </c>
      <c r="K1354" t="s">
        <v>69</v>
      </c>
      <c r="L1354" t="s">
        <v>69</v>
      </c>
      <c r="M1354" t="s">
        <v>31702</v>
      </c>
      <c r="N1354" t="s">
        <v>69</v>
      </c>
      <c r="O1354" t="s">
        <v>69</v>
      </c>
      <c r="P1354" t="s">
        <v>31703</v>
      </c>
      <c r="Q1354" t="s">
        <v>31704</v>
      </c>
      <c r="R1354" t="s">
        <v>69</v>
      </c>
      <c r="S1354" t="s">
        <v>69</v>
      </c>
      <c r="T1354" t="s">
        <v>12534</v>
      </c>
      <c r="U1354" t="s">
        <v>8506</v>
      </c>
      <c r="V1354" t="s">
        <v>69</v>
      </c>
      <c r="W1354" t="s">
        <v>69</v>
      </c>
      <c r="X1354" t="s">
        <v>69</v>
      </c>
      <c r="Y1354" t="s">
        <v>69</v>
      </c>
      <c r="Z1354" t="s">
        <v>69</v>
      </c>
      <c r="AA1354" t="s">
        <v>69</v>
      </c>
      <c r="AB1354" t="s">
        <v>69</v>
      </c>
      <c r="AC1354" t="s">
        <v>31705</v>
      </c>
      <c r="AD1354" t="s">
        <v>31706</v>
      </c>
      <c r="AE1354" t="s">
        <v>69</v>
      </c>
      <c r="AF1354" t="s">
        <v>31707</v>
      </c>
      <c r="AG1354" t="s">
        <v>69</v>
      </c>
      <c r="AH1354" t="s">
        <v>69</v>
      </c>
      <c r="AI1354" t="s">
        <v>69</v>
      </c>
      <c r="AJ1354" t="s">
        <v>69</v>
      </c>
      <c r="AK1354" t="s">
        <v>69</v>
      </c>
      <c r="AL1354" t="s">
        <v>69</v>
      </c>
      <c r="AM1354" t="s">
        <v>69</v>
      </c>
      <c r="AN1354">
        <v>7</v>
      </c>
      <c r="AO1354">
        <v>0</v>
      </c>
      <c r="AP1354">
        <v>0</v>
      </c>
      <c r="AQ1354">
        <v>0</v>
      </c>
      <c r="AR1354">
        <v>0</v>
      </c>
      <c r="AS1354" t="s">
        <v>30767</v>
      </c>
      <c r="AT1354" t="s">
        <v>30768</v>
      </c>
      <c r="AU1354" t="s">
        <v>30769</v>
      </c>
      <c r="AV1354" t="s">
        <v>12505</v>
      </c>
      <c r="AW1354" t="s">
        <v>69</v>
      </c>
      <c r="AX1354" t="s">
        <v>69</v>
      </c>
      <c r="AY1354" t="s">
        <v>31708</v>
      </c>
      <c r="AZ1354" t="s">
        <v>31709</v>
      </c>
      <c r="BA1354" t="s">
        <v>75</v>
      </c>
      <c r="BB1354">
        <v>2000</v>
      </c>
      <c r="BC1354">
        <v>45</v>
      </c>
      <c r="BD1354">
        <v>12</v>
      </c>
      <c r="BE1354" t="s">
        <v>69</v>
      </c>
      <c r="BF1354" t="s">
        <v>69</v>
      </c>
      <c r="BG1354" t="s">
        <v>69</v>
      </c>
      <c r="BH1354" t="s">
        <v>69</v>
      </c>
      <c r="BI1354">
        <v>750</v>
      </c>
      <c r="BJ1354" t="s">
        <v>219</v>
      </c>
      <c r="BK1354" t="s">
        <v>69</v>
      </c>
      <c r="BL1354" t="s">
        <v>69</v>
      </c>
      <c r="BM1354" t="s">
        <v>69</v>
      </c>
      <c r="BN1354" t="s">
        <v>69</v>
      </c>
      <c r="BO1354" t="s">
        <v>69</v>
      </c>
      <c r="BP1354">
        <v>5</v>
      </c>
      <c r="BQ1354" t="s">
        <v>12508</v>
      </c>
      <c r="BR1354" t="s">
        <v>8548</v>
      </c>
      <c r="BS1354" t="s">
        <v>12508</v>
      </c>
      <c r="BT1354" t="s">
        <v>31710</v>
      </c>
      <c r="BU1354" t="s">
        <v>31711</v>
      </c>
      <c r="BV1354" t="s">
        <v>69</v>
      </c>
      <c r="BW1354" t="s">
        <v>69</v>
      </c>
      <c r="BX1354" t="s">
        <v>69</v>
      </c>
      <c r="BY1354" t="s">
        <v>69</v>
      </c>
      <c r="BZ1354" t="s">
        <v>8526</v>
      </c>
      <c r="CA1354" t="str">
        <f>HYPERLINK("https%3A%2F%2Fwww.webofscience.com%2Fwos%2Fwoscc%2Ffull-record%2FWOS:000166258400006","View Full Record in Web of Science")</f>
        <v>View Full Record in Web of Science</v>
      </c>
    </row>
    <row r="1355" spans="1:79" ht="12.5" x14ac:dyDescent="0.25">
      <c r="B1355" t="s">
        <v>8495</v>
      </c>
      <c r="D1355" s="22" t="s">
        <v>32931</v>
      </c>
      <c r="E1355" s="7"/>
      <c r="F1355" s="7"/>
      <c r="G1355" s="7"/>
      <c r="H1355" t="s">
        <v>67</v>
      </c>
      <c r="I1355" t="s">
        <v>8814</v>
      </c>
      <c r="J1355" t="s">
        <v>69</v>
      </c>
      <c r="K1355" t="s">
        <v>69</v>
      </c>
      <c r="L1355" t="s">
        <v>69</v>
      </c>
      <c r="M1355" t="s">
        <v>8815</v>
      </c>
      <c r="N1355" t="s">
        <v>69</v>
      </c>
      <c r="O1355" t="s">
        <v>69</v>
      </c>
      <c r="P1355" t="s">
        <v>8816</v>
      </c>
      <c r="Q1355" t="s">
        <v>8817</v>
      </c>
      <c r="R1355" t="s">
        <v>69</v>
      </c>
      <c r="S1355" t="s">
        <v>69</v>
      </c>
      <c r="T1355" t="s">
        <v>8505</v>
      </c>
      <c r="U1355" t="s">
        <v>8556</v>
      </c>
      <c r="V1355" t="s">
        <v>69</v>
      </c>
      <c r="W1355" t="s">
        <v>69</v>
      </c>
      <c r="X1355" t="s">
        <v>69</v>
      </c>
      <c r="Y1355" t="s">
        <v>69</v>
      </c>
      <c r="Z1355" t="s">
        <v>69</v>
      </c>
      <c r="AA1355" t="s">
        <v>8818</v>
      </c>
      <c r="AB1355" t="s">
        <v>8819</v>
      </c>
      <c r="AC1355" t="s">
        <v>8820</v>
      </c>
      <c r="AD1355" t="s">
        <v>8821</v>
      </c>
      <c r="AE1355" t="s">
        <v>69</v>
      </c>
      <c r="AF1355" t="s">
        <v>8822</v>
      </c>
      <c r="AG1355" t="s">
        <v>8823</v>
      </c>
      <c r="AH1355" t="s">
        <v>69</v>
      </c>
      <c r="AI1355" t="s">
        <v>69</v>
      </c>
      <c r="AJ1355" t="s">
        <v>8824</v>
      </c>
      <c r="AK1355" t="s">
        <v>8824</v>
      </c>
      <c r="AL1355" t="s">
        <v>8825</v>
      </c>
      <c r="AM1355" t="s">
        <v>69</v>
      </c>
      <c r="AN1355">
        <v>70</v>
      </c>
      <c r="AO1355">
        <v>0</v>
      </c>
      <c r="AP1355">
        <v>0</v>
      </c>
      <c r="AQ1355">
        <v>2</v>
      </c>
      <c r="AR1355">
        <v>2</v>
      </c>
      <c r="AS1355" t="s">
        <v>8826</v>
      </c>
      <c r="AT1355" t="s">
        <v>8827</v>
      </c>
      <c r="AU1355" t="s">
        <v>8828</v>
      </c>
      <c r="AV1355" t="s">
        <v>8829</v>
      </c>
      <c r="AW1355" t="s">
        <v>8830</v>
      </c>
      <c r="AX1355" t="s">
        <v>69</v>
      </c>
      <c r="AY1355" t="s">
        <v>8831</v>
      </c>
      <c r="AZ1355" t="s">
        <v>8832</v>
      </c>
      <c r="BA1355" t="s">
        <v>69</v>
      </c>
      <c r="BB1355" t="s">
        <v>69</v>
      </c>
      <c r="BC1355" t="s">
        <v>69</v>
      </c>
      <c r="BD1355" t="s">
        <v>69</v>
      </c>
      <c r="BE1355" t="s">
        <v>69</v>
      </c>
      <c r="BF1355" t="s">
        <v>69</v>
      </c>
      <c r="BG1355" t="s">
        <v>69</v>
      </c>
      <c r="BH1355" t="s">
        <v>69</v>
      </c>
      <c r="BI1355" t="s">
        <v>69</v>
      </c>
      <c r="BJ1355" t="s">
        <v>69</v>
      </c>
      <c r="BK1355" t="s">
        <v>69</v>
      </c>
      <c r="BL1355" t="s">
        <v>8833</v>
      </c>
      <c r="BM1355" t="str">
        <f>HYPERLINK("http://dx.doi.org/10.1071/AM21042","http://dx.doi.org/10.1071/AM21042")</f>
        <v>http://dx.doi.org/10.1071/AM21042</v>
      </c>
      <c r="BN1355" t="s">
        <v>69</v>
      </c>
      <c r="BO1355" t="s">
        <v>8742</v>
      </c>
      <c r="BP1355">
        <v>12</v>
      </c>
      <c r="BQ1355" t="s">
        <v>8834</v>
      </c>
      <c r="BR1355" t="s">
        <v>8548</v>
      </c>
      <c r="BS1355" t="s">
        <v>8834</v>
      </c>
      <c r="BT1355" t="s">
        <v>8835</v>
      </c>
      <c r="BU1355" t="s">
        <v>8836</v>
      </c>
      <c r="BV1355" t="s">
        <v>69</v>
      </c>
      <c r="BW1355" t="s">
        <v>69</v>
      </c>
      <c r="BX1355" t="s">
        <v>69</v>
      </c>
      <c r="BY1355" t="s">
        <v>69</v>
      </c>
      <c r="BZ1355" t="s">
        <v>8526</v>
      </c>
      <c r="CA1355" t="str">
        <f>HYPERLINK("https%3A%2F%2Fwww.webofscience.com%2Fwos%2Fwoscc%2Ffull-record%2FWOS:000809182000001","View Full Record in Web of Science")</f>
        <v>View Full Record in Web of Science</v>
      </c>
    </row>
    <row r="1356" spans="1:79" ht="12.5" x14ac:dyDescent="0.25">
      <c r="B1356" t="s">
        <v>8495</v>
      </c>
      <c r="D1356" s="22" t="s">
        <v>32931</v>
      </c>
      <c r="E1356" s="7"/>
      <c r="F1356" s="7"/>
      <c r="G1356" s="7"/>
      <c r="H1356" t="s">
        <v>67</v>
      </c>
      <c r="I1356" t="s">
        <v>32164</v>
      </c>
      <c r="J1356" t="s">
        <v>69</v>
      </c>
      <c r="K1356" t="s">
        <v>69</v>
      </c>
      <c r="L1356" t="s">
        <v>69</v>
      </c>
      <c r="M1356" t="s">
        <v>32164</v>
      </c>
      <c r="N1356" t="s">
        <v>69</v>
      </c>
      <c r="O1356" t="s">
        <v>69</v>
      </c>
      <c r="P1356" t="s">
        <v>32165</v>
      </c>
      <c r="Q1356" t="s">
        <v>32166</v>
      </c>
      <c r="R1356" t="s">
        <v>69</v>
      </c>
      <c r="S1356" t="s">
        <v>69</v>
      </c>
      <c r="T1356" t="s">
        <v>8505</v>
      </c>
      <c r="U1356" t="s">
        <v>8506</v>
      </c>
      <c r="V1356" t="s">
        <v>69</v>
      </c>
      <c r="W1356" t="s">
        <v>69</v>
      </c>
      <c r="X1356" t="s">
        <v>69</v>
      </c>
      <c r="Y1356" t="s">
        <v>69</v>
      </c>
      <c r="Z1356" t="s">
        <v>69</v>
      </c>
      <c r="AA1356" t="s">
        <v>69</v>
      </c>
      <c r="AB1356" t="s">
        <v>32167</v>
      </c>
      <c r="AC1356" t="s">
        <v>32168</v>
      </c>
      <c r="AD1356" t="s">
        <v>32169</v>
      </c>
      <c r="AE1356" t="s">
        <v>69</v>
      </c>
      <c r="AF1356" t="s">
        <v>32170</v>
      </c>
      <c r="AG1356" t="s">
        <v>69</v>
      </c>
      <c r="AH1356" t="s">
        <v>69</v>
      </c>
      <c r="AI1356" t="s">
        <v>69</v>
      </c>
      <c r="AJ1356" t="s">
        <v>69</v>
      </c>
      <c r="AK1356" t="s">
        <v>69</v>
      </c>
      <c r="AL1356" t="s">
        <v>69</v>
      </c>
      <c r="AM1356" t="s">
        <v>69</v>
      </c>
      <c r="AN1356">
        <v>25</v>
      </c>
      <c r="AO1356">
        <v>5</v>
      </c>
      <c r="AP1356">
        <v>5</v>
      </c>
      <c r="AQ1356">
        <v>0</v>
      </c>
      <c r="AR1356">
        <v>4</v>
      </c>
      <c r="AS1356" t="s">
        <v>10352</v>
      </c>
      <c r="AT1356" t="s">
        <v>8637</v>
      </c>
      <c r="AU1356" t="s">
        <v>10353</v>
      </c>
      <c r="AV1356" t="s">
        <v>32171</v>
      </c>
      <c r="AW1356" t="s">
        <v>69</v>
      </c>
      <c r="AX1356" t="s">
        <v>69</v>
      </c>
      <c r="AY1356" t="s">
        <v>32172</v>
      </c>
      <c r="AZ1356" t="s">
        <v>32173</v>
      </c>
      <c r="BA1356" t="s">
        <v>75</v>
      </c>
      <c r="BB1356">
        <v>1997</v>
      </c>
      <c r="BC1356">
        <v>12</v>
      </c>
      <c r="BD1356">
        <v>4</v>
      </c>
      <c r="BE1356" t="s">
        <v>69</v>
      </c>
      <c r="BF1356" t="s">
        <v>69</v>
      </c>
      <c r="BG1356" t="s">
        <v>69</v>
      </c>
      <c r="BH1356" t="s">
        <v>69</v>
      </c>
      <c r="BI1356">
        <v>449</v>
      </c>
      <c r="BJ1356">
        <v>460</v>
      </c>
      <c r="BK1356" t="s">
        <v>69</v>
      </c>
      <c r="BL1356" t="s">
        <v>32174</v>
      </c>
      <c r="BM1356" t="str">
        <f>HYPERLINK("http://dx.doi.org/10.1093/her/12.4.449","http://dx.doi.org/10.1093/her/12.4.449")</f>
        <v>http://dx.doi.org/10.1093/her/12.4.449</v>
      </c>
      <c r="BN1356" t="s">
        <v>69</v>
      </c>
      <c r="BO1356" t="s">
        <v>69</v>
      </c>
      <c r="BP1356">
        <v>12</v>
      </c>
      <c r="BQ1356" t="s">
        <v>32175</v>
      </c>
      <c r="BR1356" t="s">
        <v>8661</v>
      </c>
      <c r="BS1356" t="s">
        <v>32175</v>
      </c>
      <c r="BT1356" t="s">
        <v>32176</v>
      </c>
      <c r="BU1356" t="s">
        <v>32177</v>
      </c>
      <c r="BV1356" t="s">
        <v>69</v>
      </c>
      <c r="BW1356" t="s">
        <v>10995</v>
      </c>
      <c r="BX1356" t="s">
        <v>69</v>
      </c>
      <c r="BY1356" t="s">
        <v>69</v>
      </c>
      <c r="BZ1356" t="s">
        <v>8526</v>
      </c>
      <c r="CA1356" t="str">
        <f>HYPERLINK("https%3A%2F%2Fwww.webofscience.com%2Fwos%2Fwoscc%2Ffull-record%2FWOS:000071177800006","View Full Record in Web of Science")</f>
        <v>View Full Record in Web of Science</v>
      </c>
    </row>
    <row r="1357" spans="1:79" ht="12.5" x14ac:dyDescent="0.25">
      <c r="B1357" t="s">
        <v>8495</v>
      </c>
      <c r="D1357" s="22" t="s">
        <v>32931</v>
      </c>
      <c r="E1357" s="7"/>
      <c r="F1357" s="7"/>
      <c r="G1357" s="7"/>
      <c r="H1357" t="s">
        <v>67</v>
      </c>
      <c r="I1357" t="s">
        <v>19501</v>
      </c>
      <c r="J1357" t="s">
        <v>69</v>
      </c>
      <c r="K1357" t="s">
        <v>69</v>
      </c>
      <c r="L1357" t="s">
        <v>69</v>
      </c>
      <c r="M1357" t="s">
        <v>19502</v>
      </c>
      <c r="N1357" t="s">
        <v>69</v>
      </c>
      <c r="O1357" t="s">
        <v>69</v>
      </c>
      <c r="P1357" t="s">
        <v>19503</v>
      </c>
      <c r="Q1357" t="s">
        <v>19504</v>
      </c>
      <c r="R1357" t="s">
        <v>69</v>
      </c>
      <c r="S1357" t="s">
        <v>69</v>
      </c>
      <c r="T1357" t="s">
        <v>8505</v>
      </c>
      <c r="U1357" t="s">
        <v>8506</v>
      </c>
      <c r="V1357" t="s">
        <v>69</v>
      </c>
      <c r="W1357" t="s">
        <v>69</v>
      </c>
      <c r="X1357" t="s">
        <v>69</v>
      </c>
      <c r="Y1357" t="s">
        <v>69</v>
      </c>
      <c r="Z1357" t="s">
        <v>69</v>
      </c>
      <c r="AA1357" t="s">
        <v>19505</v>
      </c>
      <c r="AB1357" t="s">
        <v>19506</v>
      </c>
      <c r="AC1357" t="s">
        <v>19507</v>
      </c>
      <c r="AD1357" t="s">
        <v>19508</v>
      </c>
      <c r="AE1357" t="s">
        <v>69</v>
      </c>
      <c r="AF1357" t="s">
        <v>19509</v>
      </c>
      <c r="AG1357" t="s">
        <v>19510</v>
      </c>
      <c r="AH1357" t="s">
        <v>19511</v>
      </c>
      <c r="AI1357" t="s">
        <v>19512</v>
      </c>
      <c r="AJ1357" t="s">
        <v>69</v>
      </c>
      <c r="AK1357" t="s">
        <v>69</v>
      </c>
      <c r="AL1357" t="s">
        <v>69</v>
      </c>
      <c r="AM1357" t="s">
        <v>69</v>
      </c>
      <c r="AN1357">
        <v>61</v>
      </c>
      <c r="AO1357">
        <v>5</v>
      </c>
      <c r="AP1357">
        <v>5</v>
      </c>
      <c r="AQ1357">
        <v>0</v>
      </c>
      <c r="AR1357">
        <v>12</v>
      </c>
      <c r="AS1357" t="s">
        <v>8865</v>
      </c>
      <c r="AT1357" t="s">
        <v>8612</v>
      </c>
      <c r="AU1357" t="s">
        <v>8866</v>
      </c>
      <c r="AV1357" t="s">
        <v>19513</v>
      </c>
      <c r="AW1357" t="s">
        <v>19514</v>
      </c>
      <c r="AX1357" t="s">
        <v>69</v>
      </c>
      <c r="AY1357" t="s">
        <v>19515</v>
      </c>
      <c r="AZ1357" t="s">
        <v>19516</v>
      </c>
      <c r="BA1357" t="s">
        <v>69</v>
      </c>
      <c r="BB1357">
        <v>2018</v>
      </c>
      <c r="BC1357">
        <v>18</v>
      </c>
      <c r="BD1357">
        <v>2</v>
      </c>
      <c r="BE1357" t="s">
        <v>69</v>
      </c>
      <c r="BF1357" t="s">
        <v>69</v>
      </c>
      <c r="BG1357" t="s">
        <v>114</v>
      </c>
      <c r="BH1357" t="s">
        <v>69</v>
      </c>
      <c r="BI1357">
        <v>266</v>
      </c>
      <c r="BJ1357">
        <v>289</v>
      </c>
      <c r="BK1357" t="s">
        <v>69</v>
      </c>
      <c r="BL1357" t="s">
        <v>19517</v>
      </c>
      <c r="BM1357" t="str">
        <f>HYPERLINK("http://dx.doi.org/10.1080/14616718.2016.1219648","http://dx.doi.org/10.1080/14616718.2016.1219648")</f>
        <v>http://dx.doi.org/10.1080/14616718.2016.1219648</v>
      </c>
      <c r="BN1357" t="s">
        <v>69</v>
      </c>
      <c r="BO1357" t="s">
        <v>69</v>
      </c>
      <c r="BP1357">
        <v>24</v>
      </c>
      <c r="BQ1357" t="s">
        <v>15726</v>
      </c>
      <c r="BR1357" t="s">
        <v>8661</v>
      </c>
      <c r="BS1357" t="s">
        <v>15727</v>
      </c>
      <c r="BT1357" t="s">
        <v>19518</v>
      </c>
      <c r="BU1357" t="s">
        <v>19519</v>
      </c>
      <c r="BV1357" t="s">
        <v>69</v>
      </c>
      <c r="BW1357" t="s">
        <v>69</v>
      </c>
      <c r="BX1357" t="s">
        <v>69</v>
      </c>
      <c r="BY1357" t="s">
        <v>69</v>
      </c>
      <c r="BZ1357" t="s">
        <v>8526</v>
      </c>
      <c r="CA1357" t="str">
        <f>HYPERLINK("https%3A%2F%2Fwww.webofscience.com%2Fwos%2Fwoscc%2Ffull-record%2FWOS:000436531700005","View Full Record in Web of Science")</f>
        <v>View Full Record in Web of Science</v>
      </c>
    </row>
    <row r="1358" spans="1:79" x14ac:dyDescent="0.3">
      <c r="A1358" t="s">
        <v>8408</v>
      </c>
      <c r="B1358" t="s">
        <v>8495</v>
      </c>
      <c r="D1358" s="10" t="s">
        <v>8426</v>
      </c>
      <c r="F1358" s="10" t="s">
        <v>8490</v>
      </c>
      <c r="H1358" t="s">
        <v>67</v>
      </c>
      <c r="I1358" t="s">
        <v>7608</v>
      </c>
      <c r="J1358" t="s">
        <v>69</v>
      </c>
      <c r="K1358" t="s">
        <v>69</v>
      </c>
      <c r="L1358" t="s">
        <v>69</v>
      </c>
      <c r="M1358" s="2" t="s">
        <v>7609</v>
      </c>
      <c r="N1358" t="s">
        <v>69</v>
      </c>
      <c r="O1358" t="s">
        <v>69</v>
      </c>
      <c r="P1358" s="2" t="s">
        <v>7610</v>
      </c>
      <c r="Q1358" t="s">
        <v>7611</v>
      </c>
      <c r="R1358" t="s">
        <v>69</v>
      </c>
      <c r="S1358" t="s">
        <v>69</v>
      </c>
      <c r="T1358" t="s">
        <v>8505</v>
      </c>
      <c r="U1358" t="s">
        <v>8506</v>
      </c>
      <c r="V1358" t="s">
        <v>69</v>
      </c>
      <c r="W1358" t="s">
        <v>69</v>
      </c>
      <c r="X1358" t="s">
        <v>69</v>
      </c>
      <c r="Y1358" t="s">
        <v>69</v>
      </c>
      <c r="Z1358" t="s">
        <v>69</v>
      </c>
      <c r="AA1358" t="s">
        <v>28012</v>
      </c>
      <c r="AB1358" t="s">
        <v>28013</v>
      </c>
      <c r="AC1358" t="s">
        <v>7612</v>
      </c>
      <c r="AD1358" t="s">
        <v>28014</v>
      </c>
      <c r="AE1358" t="s">
        <v>69</v>
      </c>
      <c r="AF1358" t="s">
        <v>28015</v>
      </c>
      <c r="AG1358" t="s">
        <v>69</v>
      </c>
      <c r="AH1358" t="s">
        <v>69</v>
      </c>
      <c r="AI1358" t="s">
        <v>7613</v>
      </c>
      <c r="AJ1358" t="s">
        <v>28016</v>
      </c>
      <c r="AK1358" t="s">
        <v>28017</v>
      </c>
      <c r="AL1358" t="s">
        <v>28018</v>
      </c>
      <c r="AM1358" t="s">
        <v>69</v>
      </c>
      <c r="AN1358">
        <v>92</v>
      </c>
      <c r="AO1358">
        <v>25</v>
      </c>
      <c r="AP1358">
        <v>28</v>
      </c>
      <c r="AQ1358">
        <v>1</v>
      </c>
      <c r="AR1358">
        <v>26</v>
      </c>
      <c r="AS1358" t="s">
        <v>28019</v>
      </c>
      <c r="AT1358" t="s">
        <v>28020</v>
      </c>
      <c r="AU1358" t="s">
        <v>28021</v>
      </c>
      <c r="AV1358" t="s">
        <v>7614</v>
      </c>
      <c r="AW1358" t="s">
        <v>69</v>
      </c>
      <c r="AX1358" t="s">
        <v>69</v>
      </c>
      <c r="AY1358" t="s">
        <v>28022</v>
      </c>
      <c r="AZ1358" t="s">
        <v>28023</v>
      </c>
      <c r="BA1358" t="s">
        <v>69</v>
      </c>
      <c r="BB1358">
        <v>2010</v>
      </c>
      <c r="BC1358">
        <v>15</v>
      </c>
      <c r="BD1358">
        <v>4</v>
      </c>
      <c r="BE1358" t="s">
        <v>69</v>
      </c>
      <c r="BF1358" t="s">
        <v>69</v>
      </c>
      <c r="BG1358" t="s">
        <v>69</v>
      </c>
      <c r="BH1358" t="s">
        <v>69</v>
      </c>
      <c r="BI1358" t="s">
        <v>69</v>
      </c>
      <c r="BJ1358" t="s">
        <v>69</v>
      </c>
      <c r="BK1358">
        <v>41</v>
      </c>
      <c r="BL1358" t="s">
        <v>69</v>
      </c>
      <c r="BM1358" t="s">
        <v>69</v>
      </c>
      <c r="BN1358" t="s">
        <v>69</v>
      </c>
      <c r="BO1358" t="s">
        <v>69</v>
      </c>
      <c r="BP1358">
        <v>23</v>
      </c>
      <c r="BQ1358" t="s">
        <v>28024</v>
      </c>
      <c r="BR1358" t="s">
        <v>8523</v>
      </c>
      <c r="BS1358" t="s">
        <v>8662</v>
      </c>
      <c r="BT1358" t="s">
        <v>28025</v>
      </c>
      <c r="BU1358" t="s">
        <v>7615</v>
      </c>
      <c r="BV1358" t="s">
        <v>69</v>
      </c>
      <c r="BW1358" t="s">
        <v>69</v>
      </c>
      <c r="BX1358" t="s">
        <v>69</v>
      </c>
      <c r="BY1358" t="s">
        <v>69</v>
      </c>
      <c r="BZ1358" t="s">
        <v>8526</v>
      </c>
      <c r="CA1358" t="str">
        <f>HYPERLINK("https%3A%2F%2Fwww.webofscience.com%2Fwos%2Fwoscc%2Ffull-record%2FWOS:000285917100042","View Full Record in Web of Science")</f>
        <v>View Full Record in Web of Science</v>
      </c>
    </row>
    <row r="1359" spans="1:79" ht="12.5" x14ac:dyDescent="0.25">
      <c r="B1359" t="s">
        <v>8495</v>
      </c>
      <c r="D1359" s="22" t="s">
        <v>32931</v>
      </c>
      <c r="E1359" s="7"/>
      <c r="F1359" s="7"/>
      <c r="G1359" s="7"/>
      <c r="H1359" t="s">
        <v>67</v>
      </c>
      <c r="I1359" t="s">
        <v>13149</v>
      </c>
      <c r="J1359" t="s">
        <v>69</v>
      </c>
      <c r="K1359" t="s">
        <v>69</v>
      </c>
      <c r="L1359" t="s">
        <v>69</v>
      </c>
      <c r="M1359" t="s">
        <v>13150</v>
      </c>
      <c r="N1359" t="s">
        <v>69</v>
      </c>
      <c r="O1359" t="s">
        <v>69</v>
      </c>
      <c r="P1359" t="s">
        <v>13151</v>
      </c>
      <c r="Q1359" t="s">
        <v>13152</v>
      </c>
      <c r="R1359" t="s">
        <v>69</v>
      </c>
      <c r="S1359" t="s">
        <v>69</v>
      </c>
      <c r="T1359" t="s">
        <v>8505</v>
      </c>
      <c r="U1359" t="s">
        <v>8506</v>
      </c>
      <c r="V1359" t="s">
        <v>69</v>
      </c>
      <c r="W1359" t="s">
        <v>69</v>
      </c>
      <c r="X1359" t="s">
        <v>69</v>
      </c>
      <c r="Y1359" t="s">
        <v>69</v>
      </c>
      <c r="Z1359" t="s">
        <v>69</v>
      </c>
      <c r="AA1359" t="s">
        <v>69</v>
      </c>
      <c r="AB1359" t="s">
        <v>13153</v>
      </c>
      <c r="AC1359" t="s">
        <v>13154</v>
      </c>
      <c r="AD1359" t="s">
        <v>13155</v>
      </c>
      <c r="AE1359" t="s">
        <v>69</v>
      </c>
      <c r="AF1359" t="s">
        <v>13156</v>
      </c>
      <c r="AG1359" t="s">
        <v>13157</v>
      </c>
      <c r="AH1359" t="s">
        <v>69</v>
      </c>
      <c r="AI1359" t="s">
        <v>13158</v>
      </c>
      <c r="AJ1359" t="s">
        <v>69</v>
      </c>
      <c r="AK1359" t="s">
        <v>69</v>
      </c>
      <c r="AL1359" t="s">
        <v>69</v>
      </c>
      <c r="AM1359" t="s">
        <v>69</v>
      </c>
      <c r="AN1359">
        <v>108</v>
      </c>
      <c r="AO1359">
        <v>19</v>
      </c>
      <c r="AP1359">
        <v>19</v>
      </c>
      <c r="AQ1359">
        <v>47</v>
      </c>
      <c r="AR1359">
        <v>122</v>
      </c>
      <c r="AS1359" t="s">
        <v>13159</v>
      </c>
      <c r="AT1359" t="s">
        <v>13160</v>
      </c>
      <c r="AU1359" t="s">
        <v>13161</v>
      </c>
      <c r="AV1359" t="s">
        <v>13162</v>
      </c>
      <c r="AW1359" t="s">
        <v>13163</v>
      </c>
      <c r="AX1359" t="s">
        <v>69</v>
      </c>
      <c r="AY1359" t="s">
        <v>13164</v>
      </c>
      <c r="AZ1359" t="s">
        <v>13165</v>
      </c>
      <c r="BA1359" t="s">
        <v>191</v>
      </c>
      <c r="BB1359">
        <v>2021</v>
      </c>
      <c r="BC1359">
        <v>64</v>
      </c>
      <c r="BD1359">
        <v>1</v>
      </c>
      <c r="BE1359" t="s">
        <v>69</v>
      </c>
      <c r="BF1359" t="s">
        <v>69</v>
      </c>
      <c r="BG1359" t="s">
        <v>69</v>
      </c>
      <c r="BH1359" t="s">
        <v>69</v>
      </c>
      <c r="BI1359">
        <v>38</v>
      </c>
      <c r="BJ1359">
        <v>62</v>
      </c>
      <c r="BK1359" t="s">
        <v>69</v>
      </c>
      <c r="BL1359" t="s">
        <v>13166</v>
      </c>
      <c r="BM1359" t="str">
        <f>HYPERLINK("http://dx.doi.org/10.5465/amj.2017.1258","http://dx.doi.org/10.5465/amj.2017.1258")</f>
        <v>http://dx.doi.org/10.5465/amj.2017.1258</v>
      </c>
      <c r="BN1359" t="s">
        <v>69</v>
      </c>
      <c r="BO1359" t="s">
        <v>69</v>
      </c>
      <c r="BP1359">
        <v>25</v>
      </c>
      <c r="BQ1359" t="s">
        <v>8791</v>
      </c>
      <c r="BR1359" t="s">
        <v>8661</v>
      </c>
      <c r="BS1359" t="s">
        <v>8594</v>
      </c>
      <c r="BT1359" t="s">
        <v>13167</v>
      </c>
      <c r="BU1359" t="s">
        <v>13168</v>
      </c>
      <c r="BV1359" t="s">
        <v>69</v>
      </c>
      <c r="BW1359" t="s">
        <v>69</v>
      </c>
      <c r="BX1359" t="s">
        <v>69</v>
      </c>
      <c r="BY1359" t="s">
        <v>69</v>
      </c>
      <c r="BZ1359" t="s">
        <v>8526</v>
      </c>
      <c r="CA1359" t="str">
        <f>HYPERLINK("https%3A%2F%2Fwww.webofscience.com%2Fwos%2Fwoscc%2Ffull-record%2FWOS:000632236900002","View Full Record in Web of Science")</f>
        <v>View Full Record in Web of Science</v>
      </c>
    </row>
    <row r="1360" spans="1:79" ht="12.5" x14ac:dyDescent="0.25">
      <c r="B1360" t="s">
        <v>8495</v>
      </c>
      <c r="D1360" s="22" t="s">
        <v>32931</v>
      </c>
      <c r="E1360" s="7"/>
      <c r="F1360" s="7"/>
      <c r="G1360" s="7"/>
      <c r="H1360" t="s">
        <v>67</v>
      </c>
      <c r="I1360" t="s">
        <v>21252</v>
      </c>
      <c r="J1360" t="s">
        <v>69</v>
      </c>
      <c r="K1360" t="s">
        <v>69</v>
      </c>
      <c r="L1360" t="s">
        <v>69</v>
      </c>
      <c r="M1360" t="s">
        <v>21253</v>
      </c>
      <c r="N1360" t="s">
        <v>69</v>
      </c>
      <c r="O1360" t="s">
        <v>69</v>
      </c>
      <c r="P1360" t="s">
        <v>21254</v>
      </c>
      <c r="Q1360" t="s">
        <v>3303</v>
      </c>
      <c r="R1360" t="s">
        <v>69</v>
      </c>
      <c r="S1360" t="s">
        <v>69</v>
      </c>
      <c r="T1360" t="s">
        <v>8505</v>
      </c>
      <c r="U1360" t="s">
        <v>8506</v>
      </c>
      <c r="V1360" t="s">
        <v>69</v>
      </c>
      <c r="W1360" t="s">
        <v>69</v>
      </c>
      <c r="X1360" t="s">
        <v>69</v>
      </c>
      <c r="Y1360" t="s">
        <v>69</v>
      </c>
      <c r="Z1360" t="s">
        <v>69</v>
      </c>
      <c r="AA1360" t="s">
        <v>21255</v>
      </c>
      <c r="AB1360" t="s">
        <v>21256</v>
      </c>
      <c r="AC1360" t="s">
        <v>21257</v>
      </c>
      <c r="AD1360" t="s">
        <v>21258</v>
      </c>
      <c r="AE1360" t="s">
        <v>69</v>
      </c>
      <c r="AF1360" t="s">
        <v>21259</v>
      </c>
      <c r="AG1360" t="s">
        <v>21260</v>
      </c>
      <c r="AH1360" t="s">
        <v>21261</v>
      </c>
      <c r="AI1360" t="s">
        <v>21262</v>
      </c>
      <c r="AJ1360" t="s">
        <v>21263</v>
      </c>
      <c r="AK1360" t="s">
        <v>21264</v>
      </c>
      <c r="AL1360" t="s">
        <v>21265</v>
      </c>
      <c r="AM1360" t="s">
        <v>69</v>
      </c>
      <c r="AN1360">
        <v>63</v>
      </c>
      <c r="AO1360">
        <v>2</v>
      </c>
      <c r="AP1360">
        <v>2</v>
      </c>
      <c r="AQ1360">
        <v>4</v>
      </c>
      <c r="AR1360">
        <v>37</v>
      </c>
      <c r="AS1360" t="s">
        <v>8611</v>
      </c>
      <c r="AT1360" t="s">
        <v>8612</v>
      </c>
      <c r="AU1360" t="s">
        <v>8613</v>
      </c>
      <c r="AV1360" t="s">
        <v>3305</v>
      </c>
      <c r="AW1360" t="s">
        <v>3306</v>
      </c>
      <c r="AX1360" t="s">
        <v>69</v>
      </c>
      <c r="AY1360" t="s">
        <v>21266</v>
      </c>
      <c r="AZ1360" t="s">
        <v>21267</v>
      </c>
      <c r="BA1360" t="s">
        <v>381</v>
      </c>
      <c r="BB1360">
        <v>2016</v>
      </c>
      <c r="BC1360">
        <v>92</v>
      </c>
      <c r="BD1360">
        <v>4</v>
      </c>
      <c r="BE1360" t="s">
        <v>69</v>
      </c>
      <c r="BF1360" t="s">
        <v>69</v>
      </c>
      <c r="BG1360" t="s">
        <v>69</v>
      </c>
      <c r="BH1360" t="s">
        <v>69</v>
      </c>
      <c r="BI1360">
        <v>430</v>
      </c>
      <c r="BJ1360">
        <v>454</v>
      </c>
      <c r="BK1360" t="s">
        <v>69</v>
      </c>
      <c r="BL1360" t="s">
        <v>21268</v>
      </c>
      <c r="BM1360" t="str">
        <f>HYPERLINK("http://dx.doi.org/10.1080/00130095.2016.1178569","http://dx.doi.org/10.1080/00130095.2016.1178569")</f>
        <v>http://dx.doi.org/10.1080/00130095.2016.1178569</v>
      </c>
      <c r="BN1360" t="s">
        <v>69</v>
      </c>
      <c r="BO1360" t="s">
        <v>69</v>
      </c>
      <c r="BP1360">
        <v>25</v>
      </c>
      <c r="BQ1360" t="s">
        <v>21269</v>
      </c>
      <c r="BR1360" t="s">
        <v>8661</v>
      </c>
      <c r="BS1360" t="s">
        <v>21270</v>
      </c>
      <c r="BT1360" t="s">
        <v>21271</v>
      </c>
      <c r="BU1360" t="s">
        <v>21272</v>
      </c>
      <c r="BV1360" t="s">
        <v>69</v>
      </c>
      <c r="BW1360" t="s">
        <v>10363</v>
      </c>
      <c r="BX1360" t="s">
        <v>69</v>
      </c>
      <c r="BY1360" t="s">
        <v>69</v>
      </c>
      <c r="BZ1360" t="s">
        <v>8526</v>
      </c>
      <c r="CA1360" t="str">
        <f>HYPERLINK("https%3A%2F%2Fwww.webofscience.com%2Fwos%2Fwoscc%2Ffull-record%2FWOS:000384350300004","View Full Record in Web of Science")</f>
        <v>View Full Record in Web of Science</v>
      </c>
    </row>
    <row r="1361" spans="2:79" ht="12.5" x14ac:dyDescent="0.25">
      <c r="B1361" t="s">
        <v>8495</v>
      </c>
      <c r="D1361" s="22" t="s">
        <v>32931</v>
      </c>
      <c r="E1361" s="7"/>
      <c r="F1361" s="7"/>
      <c r="G1361" s="7"/>
      <c r="H1361" t="s">
        <v>67</v>
      </c>
      <c r="I1361" t="s">
        <v>7986</v>
      </c>
      <c r="J1361" t="s">
        <v>69</v>
      </c>
      <c r="K1361" t="s">
        <v>69</v>
      </c>
      <c r="L1361" t="s">
        <v>69</v>
      </c>
      <c r="M1361" t="s">
        <v>7986</v>
      </c>
      <c r="N1361" t="s">
        <v>69</v>
      </c>
      <c r="O1361" t="s">
        <v>69</v>
      </c>
      <c r="P1361" t="s">
        <v>32555</v>
      </c>
      <c r="Q1361" t="s">
        <v>28578</v>
      </c>
      <c r="R1361" t="s">
        <v>69</v>
      </c>
      <c r="S1361" t="s">
        <v>69</v>
      </c>
      <c r="T1361" t="s">
        <v>8505</v>
      </c>
      <c r="U1361" t="s">
        <v>8506</v>
      </c>
      <c r="V1361" t="s">
        <v>69</v>
      </c>
      <c r="W1361" t="s">
        <v>69</v>
      </c>
      <c r="X1361" t="s">
        <v>69</v>
      </c>
      <c r="Y1361" t="s">
        <v>69</v>
      </c>
      <c r="Z1361" t="s">
        <v>69</v>
      </c>
      <c r="AA1361" t="s">
        <v>69</v>
      </c>
      <c r="AB1361" t="s">
        <v>69</v>
      </c>
      <c r="AC1361" t="s">
        <v>32556</v>
      </c>
      <c r="AD1361" t="s">
        <v>69</v>
      </c>
      <c r="AE1361" t="s">
        <v>69</v>
      </c>
      <c r="AF1361" t="s">
        <v>69</v>
      </c>
      <c r="AG1361" t="s">
        <v>69</v>
      </c>
      <c r="AH1361" t="s">
        <v>69</v>
      </c>
      <c r="AI1361" t="s">
        <v>69</v>
      </c>
      <c r="AJ1361" t="s">
        <v>69</v>
      </c>
      <c r="AK1361" t="s">
        <v>69</v>
      </c>
      <c r="AL1361" t="s">
        <v>69</v>
      </c>
      <c r="AM1361" t="s">
        <v>69</v>
      </c>
      <c r="AN1361">
        <v>0</v>
      </c>
      <c r="AO1361">
        <v>0</v>
      </c>
      <c r="AP1361">
        <v>0</v>
      </c>
      <c r="AQ1361">
        <v>0</v>
      </c>
      <c r="AR1361">
        <v>0</v>
      </c>
      <c r="AS1361" t="s">
        <v>32557</v>
      </c>
      <c r="AT1361" t="s">
        <v>32558</v>
      </c>
      <c r="AU1361" t="s">
        <v>32559</v>
      </c>
      <c r="AV1361" t="s">
        <v>28582</v>
      </c>
      <c r="AW1361" t="s">
        <v>69</v>
      </c>
      <c r="AX1361" t="s">
        <v>69</v>
      </c>
      <c r="AY1361" t="s">
        <v>18492</v>
      </c>
      <c r="AZ1361" t="s">
        <v>18493</v>
      </c>
      <c r="BA1361" t="s">
        <v>619</v>
      </c>
      <c r="BB1361">
        <v>1995</v>
      </c>
      <c r="BC1361">
        <v>95</v>
      </c>
      <c r="BD1361">
        <v>7</v>
      </c>
      <c r="BE1361" t="s">
        <v>69</v>
      </c>
      <c r="BF1361" t="s">
        <v>69</v>
      </c>
      <c r="BG1361" t="s">
        <v>69</v>
      </c>
      <c r="BH1361" t="s">
        <v>69</v>
      </c>
      <c r="BI1361">
        <v>335</v>
      </c>
      <c r="BJ1361">
        <v>336</v>
      </c>
      <c r="BK1361" t="s">
        <v>69</v>
      </c>
      <c r="BL1361" t="s">
        <v>69</v>
      </c>
      <c r="BM1361" t="s">
        <v>69</v>
      </c>
      <c r="BN1361" t="s">
        <v>69</v>
      </c>
      <c r="BO1361" t="s">
        <v>69</v>
      </c>
      <c r="BP1361">
        <v>2</v>
      </c>
      <c r="BQ1361" t="s">
        <v>18495</v>
      </c>
      <c r="BR1361" t="s">
        <v>8548</v>
      </c>
      <c r="BS1361" t="s">
        <v>18495</v>
      </c>
      <c r="BT1361" t="s">
        <v>32560</v>
      </c>
      <c r="BU1361" t="s">
        <v>32561</v>
      </c>
      <c r="BV1361" t="s">
        <v>69</v>
      </c>
      <c r="BW1361" t="s">
        <v>69</v>
      </c>
      <c r="BX1361" t="s">
        <v>69</v>
      </c>
      <c r="BY1361" t="s">
        <v>69</v>
      </c>
      <c r="BZ1361" t="s">
        <v>8526</v>
      </c>
      <c r="CA1361" t="str">
        <f>HYPERLINK("https%3A%2F%2Fwww.webofscience.com%2Fwos%2Fwoscc%2Ffull-record%2FWOS:A1995TH86600005","View Full Record in Web of Science")</f>
        <v>View Full Record in Web of Science</v>
      </c>
    </row>
    <row r="1362" spans="2:79" ht="12.5" x14ac:dyDescent="0.25">
      <c r="B1362" t="s">
        <v>8495</v>
      </c>
      <c r="D1362" s="7" t="s">
        <v>32933</v>
      </c>
      <c r="E1362" s="7"/>
      <c r="F1362" s="7"/>
      <c r="G1362" s="7"/>
      <c r="H1362" t="s">
        <v>67</v>
      </c>
      <c r="I1362" t="s">
        <v>6645</v>
      </c>
      <c r="J1362" t="s">
        <v>69</v>
      </c>
      <c r="K1362" t="s">
        <v>69</v>
      </c>
      <c r="L1362" t="s">
        <v>69</v>
      </c>
      <c r="M1362" t="s">
        <v>6646</v>
      </c>
      <c r="N1362" t="s">
        <v>69</v>
      </c>
      <c r="O1362" t="s">
        <v>69</v>
      </c>
      <c r="P1362" t="s">
        <v>6647</v>
      </c>
      <c r="Q1362" t="s">
        <v>6648</v>
      </c>
      <c r="R1362" t="s">
        <v>69</v>
      </c>
      <c r="S1362" t="s">
        <v>69</v>
      </c>
      <c r="T1362" t="s">
        <v>8505</v>
      </c>
      <c r="U1362" t="s">
        <v>8506</v>
      </c>
      <c r="V1362" t="s">
        <v>69</v>
      </c>
      <c r="W1362" t="s">
        <v>69</v>
      </c>
      <c r="X1362" t="s">
        <v>69</v>
      </c>
      <c r="Y1362" t="s">
        <v>69</v>
      </c>
      <c r="Z1362" t="s">
        <v>69</v>
      </c>
      <c r="AA1362" t="s">
        <v>29398</v>
      </c>
      <c r="AB1362" t="s">
        <v>69</v>
      </c>
      <c r="AC1362" t="s">
        <v>6649</v>
      </c>
      <c r="AD1362" t="s">
        <v>29399</v>
      </c>
      <c r="AE1362" t="s">
        <v>69</v>
      </c>
      <c r="AF1362" t="s">
        <v>29400</v>
      </c>
      <c r="AG1362" t="s">
        <v>29401</v>
      </c>
      <c r="AH1362" t="s">
        <v>6650</v>
      </c>
      <c r="AI1362" t="s">
        <v>6651</v>
      </c>
      <c r="AJ1362" t="s">
        <v>69</v>
      </c>
      <c r="AK1362" t="s">
        <v>69</v>
      </c>
      <c r="AL1362" t="s">
        <v>69</v>
      </c>
      <c r="AM1362" t="s">
        <v>69</v>
      </c>
      <c r="AN1362">
        <v>26</v>
      </c>
      <c r="AO1362">
        <v>7</v>
      </c>
      <c r="AP1362">
        <v>7</v>
      </c>
      <c r="AQ1362">
        <v>0</v>
      </c>
      <c r="AR1362">
        <v>0</v>
      </c>
      <c r="AS1362" t="s">
        <v>29402</v>
      </c>
      <c r="AT1362" t="s">
        <v>8925</v>
      </c>
      <c r="AU1362" t="s">
        <v>29403</v>
      </c>
      <c r="AV1362" t="s">
        <v>6652</v>
      </c>
      <c r="AW1362" t="s">
        <v>6653</v>
      </c>
      <c r="AX1362" t="s">
        <v>69</v>
      </c>
      <c r="AY1362" t="s">
        <v>29404</v>
      </c>
      <c r="AZ1362" t="s">
        <v>29405</v>
      </c>
      <c r="BA1362" t="s">
        <v>69</v>
      </c>
      <c r="BB1362">
        <v>2008</v>
      </c>
      <c r="BC1362">
        <v>53</v>
      </c>
      <c r="BD1362">
        <v>3</v>
      </c>
      <c r="BE1362" t="s">
        <v>69</v>
      </c>
      <c r="BF1362" t="s">
        <v>69</v>
      </c>
      <c r="BG1362" t="s">
        <v>69</v>
      </c>
      <c r="BH1362" t="s">
        <v>69</v>
      </c>
      <c r="BI1362">
        <v>150</v>
      </c>
      <c r="BJ1362">
        <v>159</v>
      </c>
      <c r="BK1362" t="s">
        <v>69</v>
      </c>
      <c r="BL1362" t="s">
        <v>6654</v>
      </c>
      <c r="BM1362" t="str">
        <f>HYPERLINK("http://dx.doi.org/10.1007/s00038-008-7032-2","http://dx.doi.org/10.1007/s00038-008-7032-2")</f>
        <v>http://dx.doi.org/10.1007/s00038-008-7032-2</v>
      </c>
      <c r="BN1362" t="s">
        <v>69</v>
      </c>
      <c r="BO1362" t="s">
        <v>69</v>
      </c>
      <c r="BP1362">
        <v>10</v>
      </c>
      <c r="BQ1362" t="s">
        <v>8810</v>
      </c>
      <c r="BR1362" t="s">
        <v>8523</v>
      </c>
      <c r="BS1362" t="s">
        <v>8810</v>
      </c>
      <c r="BT1362" t="s">
        <v>29406</v>
      </c>
      <c r="BU1362" t="s">
        <v>6655</v>
      </c>
      <c r="BV1362">
        <v>19127888</v>
      </c>
      <c r="BW1362" t="s">
        <v>69</v>
      </c>
      <c r="BX1362" t="s">
        <v>69</v>
      </c>
      <c r="BY1362" t="s">
        <v>69</v>
      </c>
      <c r="BZ1362" t="s">
        <v>8526</v>
      </c>
      <c r="CA1362" t="str">
        <f>HYPERLINK("https%3A%2F%2Fwww.webofscience.com%2Fwos%2Fwoscc%2Ffull-record%2FWOS:000257285700005","View Full Record in Web of Science")</f>
        <v>View Full Record in Web of Science</v>
      </c>
    </row>
    <row r="1363" spans="2:79" ht="12.5" x14ac:dyDescent="0.25">
      <c r="B1363" t="s">
        <v>8495</v>
      </c>
      <c r="D1363" s="22" t="s">
        <v>32931</v>
      </c>
      <c r="E1363" s="7"/>
      <c r="F1363" s="7"/>
      <c r="G1363" s="7"/>
      <c r="H1363" t="s">
        <v>67</v>
      </c>
      <c r="I1363" t="s">
        <v>32774</v>
      </c>
      <c r="J1363" t="s">
        <v>69</v>
      </c>
      <c r="K1363" t="s">
        <v>69</v>
      </c>
      <c r="L1363" t="s">
        <v>69</v>
      </c>
      <c r="M1363" t="s">
        <v>32774</v>
      </c>
      <c r="N1363" t="s">
        <v>69</v>
      </c>
      <c r="O1363" t="s">
        <v>69</v>
      </c>
      <c r="P1363" t="s">
        <v>32775</v>
      </c>
      <c r="Q1363" t="s">
        <v>32776</v>
      </c>
      <c r="R1363" t="s">
        <v>69</v>
      </c>
      <c r="S1363" t="s">
        <v>69</v>
      </c>
      <c r="T1363" t="s">
        <v>8505</v>
      </c>
      <c r="U1363" t="s">
        <v>8506</v>
      </c>
      <c r="V1363" t="s">
        <v>69</v>
      </c>
      <c r="W1363" t="s">
        <v>69</v>
      </c>
      <c r="X1363" t="s">
        <v>69</v>
      </c>
      <c r="Y1363" t="s">
        <v>69</v>
      </c>
      <c r="Z1363" t="s">
        <v>69</v>
      </c>
      <c r="AA1363" t="s">
        <v>69</v>
      </c>
      <c r="AB1363" t="s">
        <v>32777</v>
      </c>
      <c r="AC1363" t="s">
        <v>32778</v>
      </c>
      <c r="AD1363" t="s">
        <v>32779</v>
      </c>
      <c r="AE1363" t="s">
        <v>69</v>
      </c>
      <c r="AF1363" t="s">
        <v>32780</v>
      </c>
      <c r="AG1363" t="s">
        <v>69</v>
      </c>
      <c r="AH1363" t="s">
        <v>69</v>
      </c>
      <c r="AI1363" t="s">
        <v>69</v>
      </c>
      <c r="AJ1363" t="s">
        <v>69</v>
      </c>
      <c r="AK1363" t="s">
        <v>69</v>
      </c>
      <c r="AL1363" t="s">
        <v>69</v>
      </c>
      <c r="AM1363" t="s">
        <v>69</v>
      </c>
      <c r="AN1363">
        <v>67</v>
      </c>
      <c r="AO1363">
        <v>15</v>
      </c>
      <c r="AP1363">
        <v>16</v>
      </c>
      <c r="AQ1363">
        <v>0</v>
      </c>
      <c r="AR1363">
        <v>0</v>
      </c>
      <c r="AS1363" t="s">
        <v>32537</v>
      </c>
      <c r="AT1363" t="s">
        <v>8637</v>
      </c>
      <c r="AU1363" t="s">
        <v>32538</v>
      </c>
      <c r="AV1363" t="s">
        <v>32781</v>
      </c>
      <c r="AW1363" t="s">
        <v>69</v>
      </c>
      <c r="AX1363" t="s">
        <v>69</v>
      </c>
      <c r="AY1363" t="s">
        <v>32782</v>
      </c>
      <c r="AZ1363" t="s">
        <v>32783</v>
      </c>
      <c r="BA1363" t="s">
        <v>201</v>
      </c>
      <c r="BB1363">
        <v>1993</v>
      </c>
      <c r="BC1363">
        <v>86</v>
      </c>
      <c r="BD1363">
        <v>8</v>
      </c>
      <c r="BE1363" t="s">
        <v>69</v>
      </c>
      <c r="BF1363" t="s">
        <v>69</v>
      </c>
      <c r="BG1363" t="s">
        <v>69</v>
      </c>
      <c r="BH1363" t="s">
        <v>69</v>
      </c>
      <c r="BI1363">
        <v>535</v>
      </c>
      <c r="BJ1363">
        <v>542</v>
      </c>
      <c r="BK1363" t="s">
        <v>69</v>
      </c>
      <c r="BL1363" t="s">
        <v>69</v>
      </c>
      <c r="BM1363" t="s">
        <v>69</v>
      </c>
      <c r="BN1363" t="s">
        <v>69</v>
      </c>
      <c r="BO1363" t="s">
        <v>69</v>
      </c>
      <c r="BP1363">
        <v>8</v>
      </c>
      <c r="BQ1363" t="s">
        <v>9450</v>
      </c>
      <c r="BR1363" t="s">
        <v>8548</v>
      </c>
      <c r="BS1363" t="s">
        <v>9451</v>
      </c>
      <c r="BT1363" t="s">
        <v>32784</v>
      </c>
      <c r="BU1363" t="s">
        <v>32785</v>
      </c>
      <c r="BV1363">
        <v>8210310</v>
      </c>
      <c r="BW1363" t="s">
        <v>69</v>
      </c>
      <c r="BX1363" t="s">
        <v>69</v>
      </c>
      <c r="BY1363" t="s">
        <v>69</v>
      </c>
      <c r="BZ1363" t="s">
        <v>8526</v>
      </c>
      <c r="CA1363" t="str">
        <f>HYPERLINK("https%3A%2F%2Fwww.webofscience.com%2Fwos%2Fwoscc%2Ffull-record%2FWOS:A1993LT07100009","View Full Record in Web of Science")</f>
        <v>View Full Record in Web of Science</v>
      </c>
    </row>
    <row r="1364" spans="2:79" ht="12.5" x14ac:dyDescent="0.25">
      <c r="B1364" t="s">
        <v>8495</v>
      </c>
      <c r="D1364" s="22" t="s">
        <v>32931</v>
      </c>
      <c r="E1364" s="7"/>
      <c r="F1364" s="7"/>
      <c r="G1364" s="7"/>
      <c r="H1364" t="s">
        <v>67</v>
      </c>
      <c r="I1364" t="s">
        <v>30915</v>
      </c>
      <c r="J1364" t="s">
        <v>69</v>
      </c>
      <c r="K1364" t="s">
        <v>69</v>
      </c>
      <c r="L1364" t="s">
        <v>69</v>
      </c>
      <c r="M1364" t="s">
        <v>30916</v>
      </c>
      <c r="N1364" t="s">
        <v>69</v>
      </c>
      <c r="O1364" t="s">
        <v>69</v>
      </c>
      <c r="P1364" t="s">
        <v>30917</v>
      </c>
      <c r="Q1364" t="s">
        <v>29945</v>
      </c>
      <c r="R1364" t="s">
        <v>69</v>
      </c>
      <c r="S1364" t="s">
        <v>69</v>
      </c>
      <c r="T1364" t="s">
        <v>8505</v>
      </c>
      <c r="U1364" t="s">
        <v>8506</v>
      </c>
      <c r="V1364" t="s">
        <v>69</v>
      </c>
      <c r="W1364" t="s">
        <v>69</v>
      </c>
      <c r="X1364" t="s">
        <v>69</v>
      </c>
      <c r="Y1364" t="s">
        <v>69</v>
      </c>
      <c r="Z1364" t="s">
        <v>69</v>
      </c>
      <c r="AA1364" t="s">
        <v>30918</v>
      </c>
      <c r="AB1364" t="s">
        <v>69</v>
      </c>
      <c r="AC1364" t="s">
        <v>30919</v>
      </c>
      <c r="AD1364" t="s">
        <v>30920</v>
      </c>
      <c r="AE1364" t="s">
        <v>69</v>
      </c>
      <c r="AF1364" t="s">
        <v>30921</v>
      </c>
      <c r="AG1364" t="s">
        <v>69</v>
      </c>
      <c r="AH1364" t="s">
        <v>69</v>
      </c>
      <c r="AI1364" t="s">
        <v>69</v>
      </c>
      <c r="AJ1364" t="s">
        <v>69</v>
      </c>
      <c r="AK1364" t="s">
        <v>69</v>
      </c>
      <c r="AL1364" t="s">
        <v>69</v>
      </c>
      <c r="AM1364" t="s">
        <v>69</v>
      </c>
      <c r="AN1364">
        <v>9</v>
      </c>
      <c r="AO1364">
        <v>44</v>
      </c>
      <c r="AP1364">
        <v>44</v>
      </c>
      <c r="AQ1364">
        <v>0</v>
      </c>
      <c r="AR1364">
        <v>0</v>
      </c>
      <c r="AS1364" t="s">
        <v>8586</v>
      </c>
      <c r="AT1364" t="s">
        <v>8587</v>
      </c>
      <c r="AU1364" t="s">
        <v>8588</v>
      </c>
      <c r="AV1364" t="s">
        <v>29951</v>
      </c>
      <c r="AW1364" t="s">
        <v>29952</v>
      </c>
      <c r="AX1364" t="s">
        <v>69</v>
      </c>
      <c r="AY1364" t="s">
        <v>29953</v>
      </c>
      <c r="AZ1364" t="s">
        <v>29954</v>
      </c>
      <c r="BA1364" t="s">
        <v>69</v>
      </c>
      <c r="BB1364">
        <v>2005</v>
      </c>
      <c r="BC1364">
        <v>33</v>
      </c>
      <c r="BD1364">
        <v>3</v>
      </c>
      <c r="BE1364" t="s">
        <v>69</v>
      </c>
      <c r="BF1364" t="s">
        <v>69</v>
      </c>
      <c r="BG1364" t="s">
        <v>69</v>
      </c>
      <c r="BH1364" t="s">
        <v>69</v>
      </c>
      <c r="BI1364">
        <v>207</v>
      </c>
      <c r="BJ1364" t="s">
        <v>219</v>
      </c>
      <c r="BK1364" t="s">
        <v>69</v>
      </c>
      <c r="BL1364" t="s">
        <v>30922</v>
      </c>
      <c r="BM1364" t="str">
        <f>HYPERLINK("http://dx.doi.org/10.1108/09590550510588370","http://dx.doi.org/10.1108/09590550510588370")</f>
        <v>http://dx.doi.org/10.1108/09590550510588370</v>
      </c>
      <c r="BN1364" t="s">
        <v>69</v>
      </c>
      <c r="BO1364" t="s">
        <v>69</v>
      </c>
      <c r="BP1364">
        <v>11</v>
      </c>
      <c r="BQ1364" t="s">
        <v>8791</v>
      </c>
      <c r="BR1364" t="s">
        <v>8573</v>
      </c>
      <c r="BS1364" t="s">
        <v>8594</v>
      </c>
      <c r="BT1364" t="s">
        <v>30923</v>
      </c>
      <c r="BU1364" t="s">
        <v>30924</v>
      </c>
      <c r="BV1364" t="s">
        <v>69</v>
      </c>
      <c r="BW1364" t="s">
        <v>69</v>
      </c>
      <c r="BX1364" t="s">
        <v>69</v>
      </c>
      <c r="BY1364" t="s">
        <v>69</v>
      </c>
      <c r="BZ1364" t="s">
        <v>8526</v>
      </c>
      <c r="CA1364" t="str">
        <f>HYPERLINK("https%3A%2F%2Fwww.webofscience.com%2Fwos%2Fwoscc%2Ffull-record%2FWOS:000211798900003","View Full Record in Web of Science")</f>
        <v>View Full Record in Web of Science</v>
      </c>
    </row>
    <row r="1365" spans="2:79" ht="12.5" x14ac:dyDescent="0.25">
      <c r="B1365" t="s">
        <v>8495</v>
      </c>
      <c r="D1365" s="7" t="s">
        <v>32933</v>
      </c>
      <c r="E1365" s="7"/>
      <c r="F1365" s="7"/>
      <c r="G1365" s="7"/>
      <c r="H1365" t="s">
        <v>67</v>
      </c>
      <c r="I1365" t="s">
        <v>4387</v>
      </c>
      <c r="J1365" t="s">
        <v>69</v>
      </c>
      <c r="K1365" t="s">
        <v>69</v>
      </c>
      <c r="L1365" t="s">
        <v>69</v>
      </c>
      <c r="M1365" t="s">
        <v>4388</v>
      </c>
      <c r="N1365" t="s">
        <v>69</v>
      </c>
      <c r="O1365" t="s">
        <v>69</v>
      </c>
      <c r="P1365" t="s">
        <v>4389</v>
      </c>
      <c r="Q1365" t="s">
        <v>3798</v>
      </c>
      <c r="R1365" t="s">
        <v>69</v>
      </c>
      <c r="S1365" t="s">
        <v>69</v>
      </c>
      <c r="T1365" t="s">
        <v>8505</v>
      </c>
      <c r="U1365" t="s">
        <v>15797</v>
      </c>
      <c r="V1365" t="s">
        <v>4390</v>
      </c>
      <c r="W1365" t="s">
        <v>4391</v>
      </c>
      <c r="X1365" t="s">
        <v>4392</v>
      </c>
      <c r="Y1365" t="s">
        <v>18837</v>
      </c>
      <c r="Z1365" t="s">
        <v>69</v>
      </c>
      <c r="AA1365" t="s">
        <v>18838</v>
      </c>
      <c r="AB1365" t="s">
        <v>4337</v>
      </c>
      <c r="AC1365" t="s">
        <v>4393</v>
      </c>
      <c r="AD1365" t="s">
        <v>18839</v>
      </c>
      <c r="AE1365" t="s">
        <v>69</v>
      </c>
      <c r="AF1365" t="s">
        <v>18840</v>
      </c>
      <c r="AG1365" t="s">
        <v>18841</v>
      </c>
      <c r="AH1365" t="s">
        <v>69</v>
      </c>
      <c r="AI1365" t="s">
        <v>18842</v>
      </c>
      <c r="AJ1365" t="s">
        <v>18843</v>
      </c>
      <c r="AK1365" t="s">
        <v>9838</v>
      </c>
      <c r="AL1365" t="s">
        <v>18844</v>
      </c>
      <c r="AM1365" t="s">
        <v>69</v>
      </c>
      <c r="AN1365">
        <v>14</v>
      </c>
      <c r="AO1365">
        <v>1</v>
      </c>
      <c r="AP1365">
        <v>1</v>
      </c>
      <c r="AQ1365">
        <v>5</v>
      </c>
      <c r="AR1365">
        <v>30</v>
      </c>
      <c r="AS1365" t="s">
        <v>18845</v>
      </c>
      <c r="AT1365" t="s">
        <v>18846</v>
      </c>
      <c r="AU1365" t="s">
        <v>18847</v>
      </c>
      <c r="AV1365" t="s">
        <v>3801</v>
      </c>
      <c r="AW1365" t="s">
        <v>3802</v>
      </c>
      <c r="AX1365" t="s">
        <v>69</v>
      </c>
      <c r="AY1365" t="s">
        <v>18848</v>
      </c>
      <c r="AZ1365" t="s">
        <v>18849</v>
      </c>
      <c r="BA1365" t="s">
        <v>586</v>
      </c>
      <c r="BB1365">
        <v>2018</v>
      </c>
      <c r="BC1365" t="s">
        <v>69</v>
      </c>
      <c r="BD1365" t="s">
        <v>69</v>
      </c>
      <c r="BE1365" t="s">
        <v>69</v>
      </c>
      <c r="BF1365" t="s">
        <v>69</v>
      </c>
      <c r="BG1365">
        <v>85</v>
      </c>
      <c r="BH1365" t="s">
        <v>69</v>
      </c>
      <c r="BI1365">
        <v>1521</v>
      </c>
      <c r="BJ1365">
        <v>1525</v>
      </c>
      <c r="BK1365" t="s">
        <v>69</v>
      </c>
      <c r="BL1365" t="s">
        <v>4394</v>
      </c>
      <c r="BM1365" t="str">
        <f>HYPERLINK("http://dx.doi.org/10.2112/SI85-305.1","http://dx.doi.org/10.2112/SI85-305.1")</f>
        <v>http://dx.doi.org/10.2112/SI85-305.1</v>
      </c>
      <c r="BN1365" t="s">
        <v>69</v>
      </c>
      <c r="BO1365" t="s">
        <v>69</v>
      </c>
      <c r="BP1365">
        <v>5</v>
      </c>
      <c r="BQ1365" t="s">
        <v>18850</v>
      </c>
      <c r="BR1365" t="s">
        <v>15808</v>
      </c>
      <c r="BS1365" t="s">
        <v>18851</v>
      </c>
      <c r="BT1365" t="s">
        <v>18852</v>
      </c>
      <c r="BU1365" t="s">
        <v>4395</v>
      </c>
      <c r="BV1365" t="s">
        <v>69</v>
      </c>
      <c r="BW1365" t="s">
        <v>69</v>
      </c>
      <c r="BX1365" t="s">
        <v>69</v>
      </c>
      <c r="BY1365" t="s">
        <v>69</v>
      </c>
      <c r="BZ1365" t="s">
        <v>8526</v>
      </c>
      <c r="CA1365" t="str">
        <f>HYPERLINK("https%3A%2F%2Fwww.webofscience.com%2Fwos%2Fwoscc%2Ffull-record%2FWOS:000441173100305","View Full Record in Web of Science")</f>
        <v>View Full Record in Web of Science</v>
      </c>
    </row>
    <row r="1366" spans="2:79" ht="12.5" x14ac:dyDescent="0.25">
      <c r="B1366" t="s">
        <v>8495</v>
      </c>
      <c r="D1366" s="22" t="s">
        <v>32931</v>
      </c>
      <c r="E1366" s="7"/>
      <c r="F1366" s="7"/>
      <c r="G1366" s="7"/>
      <c r="H1366" t="s">
        <v>67</v>
      </c>
      <c r="I1366" t="s">
        <v>26825</v>
      </c>
      <c r="J1366" t="s">
        <v>69</v>
      </c>
      <c r="K1366" t="s">
        <v>69</v>
      </c>
      <c r="L1366" t="s">
        <v>69</v>
      </c>
      <c r="M1366" t="s">
        <v>26826</v>
      </c>
      <c r="N1366" t="s">
        <v>69</v>
      </c>
      <c r="O1366" t="s">
        <v>69</v>
      </c>
      <c r="P1366" t="s">
        <v>26827</v>
      </c>
      <c r="Q1366" t="s">
        <v>4800</v>
      </c>
      <c r="R1366" t="s">
        <v>69</v>
      </c>
      <c r="S1366" t="s">
        <v>69</v>
      </c>
      <c r="T1366" t="s">
        <v>19054</v>
      </c>
      <c r="U1366" t="s">
        <v>8506</v>
      </c>
      <c r="V1366" t="s">
        <v>69</v>
      </c>
      <c r="W1366" t="s">
        <v>69</v>
      </c>
      <c r="X1366" t="s">
        <v>69</v>
      </c>
      <c r="Y1366" t="s">
        <v>69</v>
      </c>
      <c r="Z1366" t="s">
        <v>69</v>
      </c>
      <c r="AA1366" t="s">
        <v>69</v>
      </c>
      <c r="AB1366" t="s">
        <v>69</v>
      </c>
      <c r="AC1366" t="s">
        <v>26828</v>
      </c>
      <c r="AD1366" t="s">
        <v>26829</v>
      </c>
      <c r="AE1366" t="s">
        <v>69</v>
      </c>
      <c r="AF1366" t="s">
        <v>26830</v>
      </c>
      <c r="AG1366" t="s">
        <v>26831</v>
      </c>
      <c r="AH1366" t="s">
        <v>26832</v>
      </c>
      <c r="AI1366" t="s">
        <v>26833</v>
      </c>
      <c r="AJ1366" t="s">
        <v>69</v>
      </c>
      <c r="AK1366" t="s">
        <v>69</v>
      </c>
      <c r="AL1366" t="s">
        <v>69</v>
      </c>
      <c r="AM1366" t="s">
        <v>69</v>
      </c>
      <c r="AN1366">
        <v>15</v>
      </c>
      <c r="AO1366">
        <v>0</v>
      </c>
      <c r="AP1366">
        <v>0</v>
      </c>
      <c r="AQ1366">
        <v>0</v>
      </c>
      <c r="AR1366">
        <v>0</v>
      </c>
      <c r="AS1366" t="s">
        <v>22941</v>
      </c>
      <c r="AT1366" t="s">
        <v>22942</v>
      </c>
      <c r="AU1366" t="s">
        <v>22943</v>
      </c>
      <c r="AV1366" t="s">
        <v>4803</v>
      </c>
      <c r="AW1366" t="s">
        <v>4804</v>
      </c>
      <c r="AX1366" t="s">
        <v>69</v>
      </c>
      <c r="AY1366" t="s">
        <v>22944</v>
      </c>
      <c r="AZ1366" t="s">
        <v>22945</v>
      </c>
      <c r="BA1366" t="s">
        <v>255</v>
      </c>
      <c r="BB1366">
        <v>2011</v>
      </c>
      <c r="BC1366">
        <v>4</v>
      </c>
      <c r="BD1366">
        <v>3</v>
      </c>
      <c r="BE1366" t="s">
        <v>69</v>
      </c>
      <c r="BF1366" t="s">
        <v>69</v>
      </c>
      <c r="BG1366" t="s">
        <v>69</v>
      </c>
      <c r="BH1366" t="s">
        <v>69</v>
      </c>
      <c r="BI1366">
        <v>43</v>
      </c>
      <c r="BJ1366">
        <v>52</v>
      </c>
      <c r="BK1366" t="s">
        <v>69</v>
      </c>
      <c r="BL1366" t="s">
        <v>69</v>
      </c>
      <c r="BM1366" t="s">
        <v>69</v>
      </c>
      <c r="BN1366" t="s">
        <v>69</v>
      </c>
      <c r="BO1366" t="s">
        <v>69</v>
      </c>
      <c r="BP1366">
        <v>10</v>
      </c>
      <c r="BQ1366" t="s">
        <v>8475</v>
      </c>
      <c r="BR1366" t="s">
        <v>8573</v>
      </c>
      <c r="BS1366" t="s">
        <v>8475</v>
      </c>
      <c r="BT1366" t="s">
        <v>26834</v>
      </c>
      <c r="BU1366" t="s">
        <v>26835</v>
      </c>
      <c r="BV1366" t="s">
        <v>69</v>
      </c>
      <c r="BW1366" t="s">
        <v>69</v>
      </c>
      <c r="BX1366" t="s">
        <v>69</v>
      </c>
      <c r="BY1366" t="s">
        <v>69</v>
      </c>
      <c r="BZ1366" t="s">
        <v>8526</v>
      </c>
      <c r="CA1366" t="str">
        <f>HYPERLINK("https%3A%2F%2Fwww.webofscience.com%2Fwos%2Fwoscc%2Ffull-record%2FWOS:000217130200005","View Full Record in Web of Science")</f>
        <v>View Full Record in Web of Science</v>
      </c>
    </row>
    <row r="1367" spans="2:79" ht="12.5" x14ac:dyDescent="0.25">
      <c r="B1367" t="s">
        <v>8495</v>
      </c>
      <c r="D1367" s="7" t="s">
        <v>32933</v>
      </c>
      <c r="E1367" s="7"/>
      <c r="F1367" s="7"/>
      <c r="G1367" s="7"/>
      <c r="H1367" t="s">
        <v>67</v>
      </c>
      <c r="I1367" t="s">
        <v>6392</v>
      </c>
      <c r="J1367" t="s">
        <v>69</v>
      </c>
      <c r="K1367" t="s">
        <v>69</v>
      </c>
      <c r="L1367" t="s">
        <v>69</v>
      </c>
      <c r="M1367" t="s">
        <v>6393</v>
      </c>
      <c r="N1367" t="s">
        <v>69</v>
      </c>
      <c r="O1367" t="s">
        <v>69</v>
      </c>
      <c r="P1367" t="s">
        <v>6394</v>
      </c>
      <c r="Q1367" t="s">
        <v>582</v>
      </c>
      <c r="R1367" t="s">
        <v>69</v>
      </c>
      <c r="S1367" t="s">
        <v>69</v>
      </c>
      <c r="T1367" t="s">
        <v>8505</v>
      </c>
      <c r="U1367" t="s">
        <v>25919</v>
      </c>
      <c r="V1367" t="s">
        <v>69</v>
      </c>
      <c r="W1367" t="s">
        <v>69</v>
      </c>
      <c r="X1367" t="s">
        <v>69</v>
      </c>
      <c r="Y1367" t="s">
        <v>69</v>
      </c>
      <c r="Z1367" t="s">
        <v>69</v>
      </c>
      <c r="AA1367" t="s">
        <v>25920</v>
      </c>
      <c r="AB1367" t="s">
        <v>20696</v>
      </c>
      <c r="AC1367" t="s">
        <v>6395</v>
      </c>
      <c r="AD1367" t="s">
        <v>25921</v>
      </c>
      <c r="AE1367" t="s">
        <v>69</v>
      </c>
      <c r="AF1367" t="s">
        <v>25922</v>
      </c>
      <c r="AG1367" t="s">
        <v>25923</v>
      </c>
      <c r="AH1367" t="s">
        <v>69</v>
      </c>
      <c r="AI1367" t="s">
        <v>69</v>
      </c>
      <c r="AJ1367" t="s">
        <v>69</v>
      </c>
      <c r="AK1367" t="s">
        <v>69</v>
      </c>
      <c r="AL1367" t="s">
        <v>69</v>
      </c>
      <c r="AM1367" t="s">
        <v>69</v>
      </c>
      <c r="AN1367">
        <v>54</v>
      </c>
      <c r="AO1367">
        <v>33</v>
      </c>
      <c r="AP1367">
        <v>37</v>
      </c>
      <c r="AQ1367">
        <v>0</v>
      </c>
      <c r="AR1367">
        <v>31</v>
      </c>
      <c r="AS1367" t="s">
        <v>8692</v>
      </c>
      <c r="AT1367" t="s">
        <v>8693</v>
      </c>
      <c r="AU1367" t="s">
        <v>18139</v>
      </c>
      <c r="AV1367" t="s">
        <v>584</v>
      </c>
      <c r="AW1367" t="s">
        <v>585</v>
      </c>
      <c r="AX1367" t="s">
        <v>69</v>
      </c>
      <c r="AY1367" t="s">
        <v>8695</v>
      </c>
      <c r="AZ1367" t="s">
        <v>8696</v>
      </c>
      <c r="BA1367" t="s">
        <v>84</v>
      </c>
      <c r="BB1367">
        <v>2012</v>
      </c>
      <c r="BC1367">
        <v>35</v>
      </c>
      <c r="BD1367" t="s">
        <v>69</v>
      </c>
      <c r="BE1367" t="s">
        <v>69</v>
      </c>
      <c r="BF1367" t="s">
        <v>69</v>
      </c>
      <c r="BG1367" t="s">
        <v>69</v>
      </c>
      <c r="BH1367" t="s">
        <v>69</v>
      </c>
      <c r="BI1367">
        <v>23</v>
      </c>
      <c r="BJ1367">
        <v>36</v>
      </c>
      <c r="BK1367" t="s">
        <v>69</v>
      </c>
      <c r="BL1367" t="s">
        <v>6396</v>
      </c>
      <c r="BM1367" t="str">
        <f>HYPERLINK("http://dx.doi.org/10.1016/j.eiar.2012.01.005","http://dx.doi.org/10.1016/j.eiar.2012.01.005")</f>
        <v>http://dx.doi.org/10.1016/j.eiar.2012.01.005</v>
      </c>
      <c r="BN1367" t="s">
        <v>69</v>
      </c>
      <c r="BO1367" t="s">
        <v>69</v>
      </c>
      <c r="BP1367">
        <v>14</v>
      </c>
      <c r="BQ1367" t="s">
        <v>8660</v>
      </c>
      <c r="BR1367" t="s">
        <v>8661</v>
      </c>
      <c r="BS1367" t="s">
        <v>8662</v>
      </c>
      <c r="BT1367" t="s">
        <v>25924</v>
      </c>
      <c r="BU1367" t="s">
        <v>6397</v>
      </c>
      <c r="BV1367" t="s">
        <v>69</v>
      </c>
      <c r="BW1367" t="s">
        <v>69</v>
      </c>
      <c r="BX1367" t="s">
        <v>69</v>
      </c>
      <c r="BY1367" t="s">
        <v>69</v>
      </c>
      <c r="BZ1367" t="s">
        <v>8526</v>
      </c>
      <c r="CA1367" t="str">
        <f>HYPERLINK("https%3A%2F%2Fwww.webofscience.com%2Fwos%2Fwoscc%2Ffull-record%2FWOS:000304217400003","View Full Record in Web of Science")</f>
        <v>View Full Record in Web of Science</v>
      </c>
    </row>
    <row r="1368" spans="2:79" ht="12.5" x14ac:dyDescent="0.25">
      <c r="B1368" t="s">
        <v>8495</v>
      </c>
      <c r="D1368" s="7" t="s">
        <v>32933</v>
      </c>
      <c r="E1368" s="7"/>
      <c r="F1368" s="7"/>
      <c r="G1368" s="7"/>
      <c r="H1368" t="s">
        <v>67</v>
      </c>
      <c r="I1368" t="s">
        <v>4952</v>
      </c>
      <c r="J1368" t="s">
        <v>69</v>
      </c>
      <c r="K1368" t="s">
        <v>69</v>
      </c>
      <c r="L1368" t="s">
        <v>69</v>
      </c>
      <c r="M1368" t="s">
        <v>4953</v>
      </c>
      <c r="N1368" t="s">
        <v>69</v>
      </c>
      <c r="O1368" t="s">
        <v>69</v>
      </c>
      <c r="P1368" t="s">
        <v>4954</v>
      </c>
      <c r="Q1368" t="s">
        <v>4955</v>
      </c>
      <c r="R1368" t="s">
        <v>69</v>
      </c>
      <c r="S1368" t="s">
        <v>69</v>
      </c>
      <c r="T1368" t="s">
        <v>8505</v>
      </c>
      <c r="U1368" t="s">
        <v>8442</v>
      </c>
      <c r="V1368" t="s">
        <v>69</v>
      </c>
      <c r="W1368" t="s">
        <v>69</v>
      </c>
      <c r="X1368" t="s">
        <v>69</v>
      </c>
      <c r="Y1368" t="s">
        <v>69</v>
      </c>
      <c r="Z1368" t="s">
        <v>69</v>
      </c>
      <c r="AA1368" t="s">
        <v>21640</v>
      </c>
      <c r="AB1368" t="s">
        <v>21641</v>
      </c>
      <c r="AC1368" t="s">
        <v>4956</v>
      </c>
      <c r="AD1368" t="s">
        <v>21642</v>
      </c>
      <c r="AE1368" t="s">
        <v>69</v>
      </c>
      <c r="AF1368" t="s">
        <v>21643</v>
      </c>
      <c r="AG1368" t="s">
        <v>21644</v>
      </c>
      <c r="AH1368" t="s">
        <v>4957</v>
      </c>
      <c r="AI1368" t="s">
        <v>21645</v>
      </c>
      <c r="AJ1368" t="s">
        <v>21646</v>
      </c>
      <c r="AK1368" t="s">
        <v>21646</v>
      </c>
      <c r="AL1368" t="s">
        <v>21647</v>
      </c>
      <c r="AM1368" t="s">
        <v>69</v>
      </c>
      <c r="AN1368">
        <v>70</v>
      </c>
      <c r="AO1368">
        <v>14</v>
      </c>
      <c r="AP1368">
        <v>15</v>
      </c>
      <c r="AQ1368">
        <v>2</v>
      </c>
      <c r="AR1368">
        <v>9</v>
      </c>
      <c r="AS1368" t="s">
        <v>21648</v>
      </c>
      <c r="AT1368" t="s">
        <v>21649</v>
      </c>
      <c r="AU1368" t="s">
        <v>21650</v>
      </c>
      <c r="AV1368" t="s">
        <v>4958</v>
      </c>
      <c r="AW1368" t="s">
        <v>4959</v>
      </c>
      <c r="AX1368" t="s">
        <v>69</v>
      </c>
      <c r="AY1368" t="s">
        <v>21651</v>
      </c>
      <c r="AZ1368" t="s">
        <v>21652</v>
      </c>
      <c r="BA1368" t="s">
        <v>155</v>
      </c>
      <c r="BB1368">
        <v>2016</v>
      </c>
      <c r="BC1368" t="s">
        <v>69</v>
      </c>
      <c r="BD1368">
        <v>79</v>
      </c>
      <c r="BE1368" t="s">
        <v>69</v>
      </c>
      <c r="BF1368" t="s">
        <v>69</v>
      </c>
      <c r="BG1368" t="s">
        <v>69</v>
      </c>
      <c r="BH1368" t="s">
        <v>69</v>
      </c>
      <c r="BI1368">
        <v>174</v>
      </c>
      <c r="BJ1368">
        <v>184</v>
      </c>
      <c r="BK1368" t="s">
        <v>69</v>
      </c>
      <c r="BL1368" t="s">
        <v>4960</v>
      </c>
      <c r="BM1368" t="str">
        <f>HYPERLINK("http://dx.doi.org/10.17533/udea.redin.n79a16","http://dx.doi.org/10.17533/udea.redin.n79a16")</f>
        <v>http://dx.doi.org/10.17533/udea.redin.n79a16</v>
      </c>
      <c r="BN1368" t="s">
        <v>69</v>
      </c>
      <c r="BO1368" t="s">
        <v>69</v>
      </c>
      <c r="BP1368">
        <v>11</v>
      </c>
      <c r="BQ1368" t="s">
        <v>9891</v>
      </c>
      <c r="BR1368" t="s">
        <v>8573</v>
      </c>
      <c r="BS1368" t="s">
        <v>8445</v>
      </c>
      <c r="BT1368" t="s">
        <v>21653</v>
      </c>
      <c r="BU1368" t="s">
        <v>4961</v>
      </c>
      <c r="BV1368" t="s">
        <v>69</v>
      </c>
      <c r="BW1368" t="s">
        <v>12297</v>
      </c>
      <c r="BX1368" t="s">
        <v>69</v>
      </c>
      <c r="BY1368" t="s">
        <v>69</v>
      </c>
      <c r="BZ1368" t="s">
        <v>8526</v>
      </c>
      <c r="CA1368" t="str">
        <f>HYPERLINK("https%3A%2F%2Fwww.webofscience.com%2Fwos%2Fwoscc%2Ffull-record%2FWOS:000417474000016","View Full Record in Web of Science")</f>
        <v>View Full Record in Web of Science</v>
      </c>
    </row>
    <row r="1369" spans="2:79" ht="12.5" x14ac:dyDescent="0.25">
      <c r="B1369" t="s">
        <v>8495</v>
      </c>
      <c r="D1369" s="7" t="s">
        <v>32933</v>
      </c>
      <c r="E1369" s="7"/>
      <c r="F1369" s="7"/>
      <c r="G1369" s="7"/>
      <c r="H1369" t="s">
        <v>67</v>
      </c>
      <c r="I1369" t="s">
        <v>3326</v>
      </c>
      <c r="J1369" t="s">
        <v>69</v>
      </c>
      <c r="K1369" t="s">
        <v>69</v>
      </c>
      <c r="L1369" t="s">
        <v>69</v>
      </c>
      <c r="M1369" t="s">
        <v>3327</v>
      </c>
      <c r="N1369" t="s">
        <v>69</v>
      </c>
      <c r="O1369" t="s">
        <v>69</v>
      </c>
      <c r="P1369" t="s">
        <v>3328</v>
      </c>
      <c r="Q1369" t="s">
        <v>3329</v>
      </c>
      <c r="R1369" t="s">
        <v>69</v>
      </c>
      <c r="S1369" t="s">
        <v>69</v>
      </c>
      <c r="T1369" t="s">
        <v>8505</v>
      </c>
      <c r="U1369" t="s">
        <v>8506</v>
      </c>
      <c r="V1369" t="s">
        <v>69</v>
      </c>
      <c r="W1369" t="s">
        <v>69</v>
      </c>
      <c r="X1369" t="s">
        <v>69</v>
      </c>
      <c r="Y1369" t="s">
        <v>69</v>
      </c>
      <c r="Z1369" t="s">
        <v>69</v>
      </c>
      <c r="AA1369" t="s">
        <v>25049</v>
      </c>
      <c r="AB1369" t="s">
        <v>25050</v>
      </c>
      <c r="AC1369" t="s">
        <v>3330</v>
      </c>
      <c r="AD1369" t="s">
        <v>25051</v>
      </c>
      <c r="AE1369" t="s">
        <v>69</v>
      </c>
      <c r="AF1369" t="s">
        <v>25052</v>
      </c>
      <c r="AG1369" t="s">
        <v>69</v>
      </c>
      <c r="AH1369" t="s">
        <v>25053</v>
      </c>
      <c r="AI1369" t="s">
        <v>25054</v>
      </c>
      <c r="AJ1369" t="s">
        <v>69</v>
      </c>
      <c r="AK1369" t="s">
        <v>69</v>
      </c>
      <c r="AL1369" t="s">
        <v>69</v>
      </c>
      <c r="AM1369" t="s">
        <v>69</v>
      </c>
      <c r="AN1369">
        <v>53</v>
      </c>
      <c r="AO1369">
        <v>2</v>
      </c>
      <c r="AP1369">
        <v>2</v>
      </c>
      <c r="AQ1369">
        <v>0</v>
      </c>
      <c r="AR1369">
        <v>19</v>
      </c>
      <c r="AS1369" t="s">
        <v>25055</v>
      </c>
      <c r="AT1369" t="s">
        <v>25056</v>
      </c>
      <c r="AU1369" t="s">
        <v>25057</v>
      </c>
      <c r="AV1369" t="s">
        <v>3331</v>
      </c>
      <c r="AW1369" t="s">
        <v>69</v>
      </c>
      <c r="AX1369" t="s">
        <v>69</v>
      </c>
      <c r="AY1369" t="s">
        <v>25058</v>
      </c>
      <c r="AZ1369" t="s">
        <v>25059</v>
      </c>
      <c r="BA1369" t="s">
        <v>246</v>
      </c>
      <c r="BB1369">
        <v>2013</v>
      </c>
      <c r="BC1369">
        <v>18</v>
      </c>
      <c r="BD1369">
        <v>2</v>
      </c>
      <c r="BE1369" t="s">
        <v>69</v>
      </c>
      <c r="BF1369" t="s">
        <v>69</v>
      </c>
      <c r="BG1369" t="s">
        <v>69</v>
      </c>
      <c r="BH1369" t="s">
        <v>69</v>
      </c>
      <c r="BI1369">
        <v>69</v>
      </c>
      <c r="BJ1369">
        <v>76</v>
      </c>
      <c r="BK1369" t="s">
        <v>69</v>
      </c>
      <c r="BL1369" t="s">
        <v>69</v>
      </c>
      <c r="BM1369" t="s">
        <v>69</v>
      </c>
      <c r="BN1369" t="s">
        <v>69</v>
      </c>
      <c r="BO1369" t="s">
        <v>69</v>
      </c>
      <c r="BP1369">
        <v>8</v>
      </c>
      <c r="BQ1369" t="s">
        <v>12687</v>
      </c>
      <c r="BR1369" t="s">
        <v>8548</v>
      </c>
      <c r="BS1369" t="s">
        <v>12687</v>
      </c>
      <c r="BT1369" t="s">
        <v>25060</v>
      </c>
      <c r="BU1369" t="s">
        <v>3332</v>
      </c>
      <c r="BV1369" t="s">
        <v>69</v>
      </c>
      <c r="BW1369" t="s">
        <v>69</v>
      </c>
      <c r="BX1369" t="s">
        <v>69</v>
      </c>
      <c r="BY1369" t="s">
        <v>69</v>
      </c>
      <c r="BZ1369" t="s">
        <v>8526</v>
      </c>
      <c r="CA1369" t="str">
        <f>HYPERLINK("https%3A%2F%2Fwww.webofscience.com%2Fwos%2Fwoscc%2Ffull-record%2FWOS:000323802700003","View Full Record in Web of Science")</f>
        <v>View Full Record in Web of Science</v>
      </c>
    </row>
    <row r="1370" spans="2:79" ht="12.5" x14ac:dyDescent="0.25">
      <c r="B1370" t="s">
        <v>8495</v>
      </c>
      <c r="D1370" s="22" t="s">
        <v>32931</v>
      </c>
      <c r="E1370" s="7"/>
      <c r="F1370" s="7"/>
      <c r="G1370" s="7"/>
      <c r="H1370" t="s">
        <v>67</v>
      </c>
      <c r="I1370" t="s">
        <v>9117</v>
      </c>
      <c r="J1370" t="s">
        <v>69</v>
      </c>
      <c r="K1370" t="s">
        <v>69</v>
      </c>
      <c r="L1370" t="s">
        <v>69</v>
      </c>
      <c r="M1370" t="s">
        <v>9118</v>
      </c>
      <c r="N1370" t="s">
        <v>69</v>
      </c>
      <c r="O1370" t="s">
        <v>69</v>
      </c>
      <c r="P1370" t="s">
        <v>9119</v>
      </c>
      <c r="Q1370" t="s">
        <v>408</v>
      </c>
      <c r="R1370" t="s">
        <v>69</v>
      </c>
      <c r="S1370" t="s">
        <v>69</v>
      </c>
      <c r="T1370" t="s">
        <v>8505</v>
      </c>
      <c r="U1370" t="s">
        <v>9035</v>
      </c>
      <c r="V1370" t="s">
        <v>69</v>
      </c>
      <c r="W1370" t="s">
        <v>69</v>
      </c>
      <c r="X1370" t="s">
        <v>69</v>
      </c>
      <c r="Y1370" t="s">
        <v>69</v>
      </c>
      <c r="Z1370" t="s">
        <v>69</v>
      </c>
      <c r="AA1370" t="s">
        <v>9120</v>
      </c>
      <c r="AB1370" t="s">
        <v>69</v>
      </c>
      <c r="AC1370" t="s">
        <v>9121</v>
      </c>
      <c r="AD1370" t="s">
        <v>9122</v>
      </c>
      <c r="AE1370" t="s">
        <v>69</v>
      </c>
      <c r="AF1370" t="s">
        <v>9123</v>
      </c>
      <c r="AG1370" t="s">
        <v>9124</v>
      </c>
      <c r="AH1370" t="s">
        <v>69</v>
      </c>
      <c r="AI1370" t="s">
        <v>69</v>
      </c>
      <c r="AJ1370" t="s">
        <v>69</v>
      </c>
      <c r="AK1370" t="s">
        <v>69</v>
      </c>
      <c r="AL1370" t="s">
        <v>69</v>
      </c>
      <c r="AM1370" t="s">
        <v>69</v>
      </c>
      <c r="AN1370">
        <v>124</v>
      </c>
      <c r="AO1370">
        <v>0</v>
      </c>
      <c r="AP1370">
        <v>0</v>
      </c>
      <c r="AQ1370">
        <v>4</v>
      </c>
      <c r="AR1370">
        <v>4</v>
      </c>
      <c r="AS1370" t="s">
        <v>8586</v>
      </c>
      <c r="AT1370" t="s">
        <v>8587</v>
      </c>
      <c r="AU1370" t="s">
        <v>8588</v>
      </c>
      <c r="AV1370" t="s">
        <v>410</v>
      </c>
      <c r="AW1370" t="s">
        <v>411</v>
      </c>
      <c r="AX1370" t="s">
        <v>69</v>
      </c>
      <c r="AY1370" t="s">
        <v>9125</v>
      </c>
      <c r="AZ1370" t="s">
        <v>9126</v>
      </c>
      <c r="BA1370" t="s">
        <v>69</v>
      </c>
      <c r="BB1370" t="s">
        <v>69</v>
      </c>
      <c r="BC1370" t="s">
        <v>69</v>
      </c>
      <c r="BD1370" t="s">
        <v>69</v>
      </c>
      <c r="BE1370" t="s">
        <v>69</v>
      </c>
      <c r="BF1370" t="s">
        <v>69</v>
      </c>
      <c r="BG1370" t="s">
        <v>69</v>
      </c>
      <c r="BH1370" t="s">
        <v>69</v>
      </c>
      <c r="BI1370" t="s">
        <v>69</v>
      </c>
      <c r="BJ1370" t="s">
        <v>69</v>
      </c>
      <c r="BK1370" t="s">
        <v>69</v>
      </c>
      <c r="BL1370" t="s">
        <v>9127</v>
      </c>
      <c r="BM1370" t="str">
        <f>HYPERLINK("http://dx.doi.org/10.1108/ECAM-07-2021-0664","http://dx.doi.org/10.1108/ECAM-07-2021-0664")</f>
        <v>http://dx.doi.org/10.1108/ECAM-07-2021-0664</v>
      </c>
      <c r="BN1370" t="s">
        <v>69</v>
      </c>
      <c r="BO1370" t="s">
        <v>9025</v>
      </c>
      <c r="BP1370">
        <v>24</v>
      </c>
      <c r="BQ1370" t="s">
        <v>9128</v>
      </c>
      <c r="BR1370" t="s">
        <v>8523</v>
      </c>
      <c r="BS1370" t="s">
        <v>9129</v>
      </c>
      <c r="BT1370" t="s">
        <v>9130</v>
      </c>
      <c r="BU1370" t="s">
        <v>9131</v>
      </c>
      <c r="BV1370" t="s">
        <v>69</v>
      </c>
      <c r="BW1370" t="s">
        <v>69</v>
      </c>
      <c r="BX1370" t="s">
        <v>69</v>
      </c>
      <c r="BY1370" t="s">
        <v>69</v>
      </c>
      <c r="BZ1370" t="s">
        <v>8526</v>
      </c>
      <c r="CA1370" t="str">
        <f>HYPERLINK("https%3A%2F%2Fwww.webofscience.com%2Fwos%2Fwoscc%2Ffull-record%2FWOS:000788447700001","View Full Record in Web of Science")</f>
        <v>View Full Record in Web of Science</v>
      </c>
    </row>
    <row r="1371" spans="2:79" ht="12.5" x14ac:dyDescent="0.25">
      <c r="B1371" t="s">
        <v>8495</v>
      </c>
      <c r="D1371" s="7" t="s">
        <v>32933</v>
      </c>
      <c r="E1371" s="7"/>
      <c r="F1371" s="7"/>
      <c r="G1371" s="7"/>
      <c r="H1371" t="s">
        <v>627</v>
      </c>
      <c r="I1371" t="s">
        <v>645</v>
      </c>
      <c r="J1371" t="s">
        <v>69</v>
      </c>
      <c r="K1371" t="s">
        <v>646</v>
      </c>
      <c r="L1371" t="s">
        <v>69</v>
      </c>
      <c r="M1371" t="s">
        <v>647</v>
      </c>
      <c r="N1371" t="s">
        <v>69</v>
      </c>
      <c r="O1371" t="s">
        <v>69</v>
      </c>
      <c r="P1371" t="s">
        <v>648</v>
      </c>
      <c r="Q1371" t="s">
        <v>649</v>
      </c>
      <c r="R1371" t="s">
        <v>650</v>
      </c>
      <c r="S1371" t="s">
        <v>69</v>
      </c>
      <c r="T1371" t="s">
        <v>8505</v>
      </c>
      <c r="U1371" t="s">
        <v>17635</v>
      </c>
      <c r="V1371" t="s">
        <v>69</v>
      </c>
      <c r="W1371" t="s">
        <v>69</v>
      </c>
      <c r="X1371" t="s">
        <v>69</v>
      </c>
      <c r="Y1371" t="s">
        <v>69</v>
      </c>
      <c r="Z1371" t="s">
        <v>69</v>
      </c>
      <c r="AA1371" t="s">
        <v>69</v>
      </c>
      <c r="AB1371" t="s">
        <v>17636</v>
      </c>
      <c r="AC1371" t="s">
        <v>651</v>
      </c>
      <c r="AD1371" t="s">
        <v>17637</v>
      </c>
      <c r="AE1371" t="s">
        <v>69</v>
      </c>
      <c r="AF1371" t="s">
        <v>17638</v>
      </c>
      <c r="AG1371" t="s">
        <v>17639</v>
      </c>
      <c r="AH1371" t="s">
        <v>69</v>
      </c>
      <c r="AI1371" t="s">
        <v>17640</v>
      </c>
      <c r="AJ1371" t="s">
        <v>69</v>
      </c>
      <c r="AK1371" t="s">
        <v>69</v>
      </c>
      <c r="AL1371" t="s">
        <v>69</v>
      </c>
      <c r="AM1371" t="s">
        <v>69</v>
      </c>
      <c r="AN1371">
        <v>830</v>
      </c>
      <c r="AO1371">
        <v>35</v>
      </c>
      <c r="AP1371">
        <v>35</v>
      </c>
      <c r="AQ1371">
        <v>11</v>
      </c>
      <c r="AR1371">
        <v>58</v>
      </c>
      <c r="AS1371" t="s">
        <v>17641</v>
      </c>
      <c r="AT1371" t="s">
        <v>8763</v>
      </c>
      <c r="AU1371" t="s">
        <v>17642</v>
      </c>
      <c r="AV1371" t="s">
        <v>652</v>
      </c>
      <c r="AW1371" t="s">
        <v>17643</v>
      </c>
      <c r="AX1371" t="s">
        <v>653</v>
      </c>
      <c r="AY1371" t="s">
        <v>17644</v>
      </c>
      <c r="AZ1371" t="s">
        <v>17645</v>
      </c>
      <c r="BA1371" t="s">
        <v>69</v>
      </c>
      <c r="BB1371">
        <v>2019</v>
      </c>
      <c r="BC1371">
        <v>158</v>
      </c>
      <c r="BD1371" t="s">
        <v>69</v>
      </c>
      <c r="BE1371" t="s">
        <v>69</v>
      </c>
      <c r="BF1371" t="s">
        <v>69</v>
      </c>
      <c r="BG1371" t="s">
        <v>69</v>
      </c>
      <c r="BH1371" t="s">
        <v>69</v>
      </c>
      <c r="BI1371">
        <v>1</v>
      </c>
      <c r="BJ1371">
        <v>130</v>
      </c>
      <c r="BK1371" t="s">
        <v>69</v>
      </c>
      <c r="BL1371" t="s">
        <v>654</v>
      </c>
      <c r="BM1371" t="str">
        <f>HYPERLINK("http://dx.doi.org/10.1016/bs.agron.2019.07.001","http://dx.doi.org/10.1016/bs.agron.2019.07.001")</f>
        <v>http://dx.doi.org/10.1016/bs.agron.2019.07.001</v>
      </c>
      <c r="BN1371" t="s">
        <v>69</v>
      </c>
      <c r="BO1371" t="s">
        <v>69</v>
      </c>
      <c r="BP1371">
        <v>130</v>
      </c>
      <c r="BQ1371" t="s">
        <v>17646</v>
      </c>
      <c r="BR1371" t="s">
        <v>17647</v>
      </c>
      <c r="BS1371" t="s">
        <v>8450</v>
      </c>
      <c r="BT1371" t="s">
        <v>17648</v>
      </c>
      <c r="BU1371" t="s">
        <v>655</v>
      </c>
      <c r="BV1371" t="s">
        <v>69</v>
      </c>
      <c r="BW1371" t="s">
        <v>10423</v>
      </c>
      <c r="BX1371" t="s">
        <v>69</v>
      </c>
      <c r="BY1371" t="s">
        <v>69</v>
      </c>
      <c r="BZ1371" t="s">
        <v>8526</v>
      </c>
      <c r="CA1371" t="str">
        <f>HYPERLINK("https%3A%2F%2Fwww.webofscience.com%2Fwos%2Fwoscc%2Ffull-record%2FWOS:000516525800002","View Full Record in Web of Science")</f>
        <v>View Full Record in Web of Science</v>
      </c>
    </row>
    <row r="1372" spans="2:79" ht="12.5" x14ac:dyDescent="0.25">
      <c r="B1372" t="s">
        <v>8495</v>
      </c>
      <c r="D1372" s="22" t="s">
        <v>32931</v>
      </c>
      <c r="E1372" s="7"/>
      <c r="F1372" s="7"/>
      <c r="G1372" s="7"/>
      <c r="H1372" t="s">
        <v>67</v>
      </c>
      <c r="I1372" t="s">
        <v>11656</v>
      </c>
      <c r="J1372" t="s">
        <v>69</v>
      </c>
      <c r="K1372" t="s">
        <v>69</v>
      </c>
      <c r="L1372" t="s">
        <v>69</v>
      </c>
      <c r="M1372" t="s">
        <v>11657</v>
      </c>
      <c r="N1372" t="s">
        <v>69</v>
      </c>
      <c r="O1372" t="s">
        <v>69</v>
      </c>
      <c r="P1372" t="s">
        <v>11658</v>
      </c>
      <c r="Q1372" t="s">
        <v>11659</v>
      </c>
      <c r="R1372" t="s">
        <v>69</v>
      </c>
      <c r="S1372" t="s">
        <v>69</v>
      </c>
      <c r="T1372" t="s">
        <v>8505</v>
      </c>
      <c r="U1372" t="s">
        <v>8442</v>
      </c>
      <c r="V1372" t="s">
        <v>69</v>
      </c>
      <c r="W1372" t="s">
        <v>69</v>
      </c>
      <c r="X1372" t="s">
        <v>69</v>
      </c>
      <c r="Y1372" t="s">
        <v>69</v>
      </c>
      <c r="Z1372" t="s">
        <v>69</v>
      </c>
      <c r="AA1372" t="s">
        <v>11660</v>
      </c>
      <c r="AB1372" t="s">
        <v>11661</v>
      </c>
      <c r="AC1372" t="s">
        <v>11662</v>
      </c>
      <c r="AD1372" t="s">
        <v>11663</v>
      </c>
      <c r="AE1372" t="s">
        <v>69</v>
      </c>
      <c r="AF1372" t="s">
        <v>11664</v>
      </c>
      <c r="AG1372" t="s">
        <v>11665</v>
      </c>
      <c r="AH1372" t="s">
        <v>69</v>
      </c>
      <c r="AI1372" t="s">
        <v>69</v>
      </c>
      <c r="AJ1372" t="s">
        <v>69</v>
      </c>
      <c r="AK1372" t="s">
        <v>69</v>
      </c>
      <c r="AL1372" t="s">
        <v>69</v>
      </c>
      <c r="AM1372" t="s">
        <v>69</v>
      </c>
      <c r="AN1372">
        <v>59</v>
      </c>
      <c r="AO1372">
        <v>1</v>
      </c>
      <c r="AP1372">
        <v>1</v>
      </c>
      <c r="AQ1372">
        <v>6</v>
      </c>
      <c r="AR1372">
        <v>7</v>
      </c>
      <c r="AS1372" t="s">
        <v>11666</v>
      </c>
      <c r="AT1372" t="s">
        <v>11667</v>
      </c>
      <c r="AU1372" t="s">
        <v>11668</v>
      </c>
      <c r="AV1372" t="s">
        <v>11669</v>
      </c>
      <c r="AW1372" t="s">
        <v>11670</v>
      </c>
      <c r="AX1372" t="s">
        <v>69</v>
      </c>
      <c r="AY1372" t="s">
        <v>11671</v>
      </c>
      <c r="AZ1372" t="s">
        <v>11672</v>
      </c>
      <c r="BA1372" t="s">
        <v>201</v>
      </c>
      <c r="BB1372">
        <v>2021</v>
      </c>
      <c r="BC1372">
        <v>33</v>
      </c>
      <c r="BD1372">
        <v>3</v>
      </c>
      <c r="BE1372" t="s">
        <v>69</v>
      </c>
      <c r="BF1372" t="s">
        <v>69</v>
      </c>
      <c r="BG1372" t="s">
        <v>69</v>
      </c>
      <c r="BH1372" t="s">
        <v>69</v>
      </c>
      <c r="BI1372">
        <v>503</v>
      </c>
      <c r="BJ1372">
        <v>515</v>
      </c>
      <c r="BK1372" t="s">
        <v>69</v>
      </c>
      <c r="BL1372" t="s">
        <v>11673</v>
      </c>
      <c r="BM1372" t="str">
        <f>HYPERLINK("http://dx.doi.org/10.17576/jkukm-2021-33(3)-12","http://dx.doi.org/10.17576/jkukm-2021-33(3)-12")</f>
        <v>http://dx.doi.org/10.17576/jkukm-2021-33(3)-12</v>
      </c>
      <c r="BN1372" t="s">
        <v>69</v>
      </c>
      <c r="BO1372" t="s">
        <v>69</v>
      </c>
      <c r="BP1372">
        <v>13</v>
      </c>
      <c r="BQ1372" t="s">
        <v>9891</v>
      </c>
      <c r="BR1372" t="s">
        <v>8573</v>
      </c>
      <c r="BS1372" t="s">
        <v>8445</v>
      </c>
      <c r="BT1372" t="s">
        <v>11674</v>
      </c>
      <c r="BU1372" t="s">
        <v>11675</v>
      </c>
      <c r="BV1372" t="s">
        <v>69</v>
      </c>
      <c r="BW1372" t="s">
        <v>69</v>
      </c>
      <c r="BX1372" t="s">
        <v>69</v>
      </c>
      <c r="BY1372" t="s">
        <v>69</v>
      </c>
      <c r="BZ1372" t="s">
        <v>8526</v>
      </c>
      <c r="CA1372" t="str">
        <f>HYPERLINK("https%3A%2F%2Fwww.webofscience.com%2Fwos%2Fwoscc%2Ffull-record%2FWOS:000690883700011","View Full Record in Web of Science")</f>
        <v>View Full Record in Web of Science</v>
      </c>
    </row>
    <row r="1373" spans="2:79" ht="12.5" x14ac:dyDescent="0.25">
      <c r="B1373" t="s">
        <v>8495</v>
      </c>
      <c r="D1373" s="22" t="s">
        <v>32931</v>
      </c>
      <c r="E1373" s="7"/>
      <c r="F1373" s="7"/>
      <c r="G1373" s="7"/>
      <c r="H1373" t="s">
        <v>67</v>
      </c>
      <c r="I1373" t="s">
        <v>17550</v>
      </c>
      <c r="J1373" t="s">
        <v>69</v>
      </c>
      <c r="K1373" t="s">
        <v>69</v>
      </c>
      <c r="L1373" t="s">
        <v>69</v>
      </c>
      <c r="M1373" t="s">
        <v>17551</v>
      </c>
      <c r="N1373" t="s">
        <v>69</v>
      </c>
      <c r="O1373" t="s">
        <v>69</v>
      </c>
      <c r="P1373" t="s">
        <v>17552</v>
      </c>
      <c r="Q1373" t="s">
        <v>17553</v>
      </c>
      <c r="R1373" t="s">
        <v>69</v>
      </c>
      <c r="S1373" t="s">
        <v>69</v>
      </c>
      <c r="T1373" t="s">
        <v>8505</v>
      </c>
      <c r="U1373" t="s">
        <v>8442</v>
      </c>
      <c r="V1373" t="s">
        <v>69</v>
      </c>
      <c r="W1373" t="s">
        <v>69</v>
      </c>
      <c r="X1373" t="s">
        <v>69</v>
      </c>
      <c r="Y1373" t="s">
        <v>69</v>
      </c>
      <c r="Z1373" t="s">
        <v>69</v>
      </c>
      <c r="AA1373" t="s">
        <v>17554</v>
      </c>
      <c r="AB1373" t="s">
        <v>17555</v>
      </c>
      <c r="AC1373" t="s">
        <v>17556</v>
      </c>
      <c r="AD1373" t="s">
        <v>17557</v>
      </c>
      <c r="AE1373" t="s">
        <v>69</v>
      </c>
      <c r="AF1373" t="s">
        <v>17558</v>
      </c>
      <c r="AG1373" t="s">
        <v>17559</v>
      </c>
      <c r="AH1373" t="s">
        <v>17560</v>
      </c>
      <c r="AI1373" t="s">
        <v>17561</v>
      </c>
      <c r="AJ1373" t="s">
        <v>17562</v>
      </c>
      <c r="AK1373" t="s">
        <v>17563</v>
      </c>
      <c r="AL1373" t="s">
        <v>17564</v>
      </c>
      <c r="AM1373" t="s">
        <v>69</v>
      </c>
      <c r="AN1373">
        <v>86</v>
      </c>
      <c r="AO1373">
        <v>2</v>
      </c>
      <c r="AP1373">
        <v>2</v>
      </c>
      <c r="AQ1373">
        <v>0</v>
      </c>
      <c r="AR1373">
        <v>3</v>
      </c>
      <c r="AS1373" t="s">
        <v>8692</v>
      </c>
      <c r="AT1373" t="s">
        <v>8693</v>
      </c>
      <c r="AU1373" t="s">
        <v>8694</v>
      </c>
      <c r="AV1373" t="s">
        <v>17565</v>
      </c>
      <c r="AW1373" t="s">
        <v>17566</v>
      </c>
      <c r="AX1373" t="s">
        <v>69</v>
      </c>
      <c r="AY1373" t="s">
        <v>17567</v>
      </c>
      <c r="AZ1373" t="s">
        <v>17568</v>
      </c>
      <c r="BA1373" t="s">
        <v>191</v>
      </c>
      <c r="BB1373">
        <v>2019</v>
      </c>
      <c r="BC1373">
        <v>35</v>
      </c>
      <c r="BD1373">
        <v>1</v>
      </c>
      <c r="BE1373" t="s">
        <v>69</v>
      </c>
      <c r="BF1373" t="s">
        <v>69</v>
      </c>
      <c r="BG1373" t="s">
        <v>69</v>
      </c>
      <c r="BH1373" t="s">
        <v>69</v>
      </c>
      <c r="BI1373">
        <v>114</v>
      </c>
      <c r="BJ1373">
        <v>129</v>
      </c>
      <c r="BK1373" t="s">
        <v>69</v>
      </c>
      <c r="BL1373" t="s">
        <v>17569</v>
      </c>
      <c r="BM1373" t="str">
        <f>HYPERLINK("http://dx.doi.org/10.15232/aas.2018-01753","http://dx.doi.org/10.15232/aas.2018-01753")</f>
        <v>http://dx.doi.org/10.15232/aas.2018-01753</v>
      </c>
      <c r="BN1373" t="s">
        <v>69</v>
      </c>
      <c r="BO1373" t="s">
        <v>69</v>
      </c>
      <c r="BP1373">
        <v>16</v>
      </c>
      <c r="BQ1373" t="s">
        <v>9683</v>
      </c>
      <c r="BR1373" t="s">
        <v>8573</v>
      </c>
      <c r="BS1373" t="s">
        <v>8450</v>
      </c>
      <c r="BT1373" t="s">
        <v>17570</v>
      </c>
      <c r="BU1373" t="s">
        <v>17571</v>
      </c>
      <c r="BV1373" t="s">
        <v>69</v>
      </c>
      <c r="BW1373" t="s">
        <v>69</v>
      </c>
      <c r="BX1373" t="s">
        <v>69</v>
      </c>
      <c r="BY1373" t="s">
        <v>69</v>
      </c>
      <c r="BZ1373" t="s">
        <v>8526</v>
      </c>
      <c r="CA1373" t="str">
        <f>HYPERLINK("https%3A%2F%2Fwww.webofscience.com%2Fwos%2Fwoscc%2Ffull-record%2FWOS:000538171600014","View Full Record in Web of Science")</f>
        <v>View Full Record in Web of Science</v>
      </c>
    </row>
    <row r="1374" spans="2:79" x14ac:dyDescent="0.3">
      <c r="B1374" t="s">
        <v>8495</v>
      </c>
      <c r="D1374" s="9" t="s">
        <v>32954</v>
      </c>
      <c r="E1374" s="9" t="s">
        <v>33160</v>
      </c>
      <c r="F1374" s="9" t="s">
        <v>8491</v>
      </c>
      <c r="G1374" s="9" t="s">
        <v>8490</v>
      </c>
      <c r="H1374" t="s">
        <v>67</v>
      </c>
      <c r="I1374" t="s">
        <v>13673</v>
      </c>
      <c r="J1374" t="s">
        <v>69</v>
      </c>
      <c r="K1374" t="s">
        <v>69</v>
      </c>
      <c r="L1374" t="s">
        <v>69</v>
      </c>
      <c r="M1374" t="s">
        <v>13674</v>
      </c>
      <c r="N1374" t="s">
        <v>69</v>
      </c>
      <c r="O1374" t="s">
        <v>69</v>
      </c>
      <c r="P1374" t="s">
        <v>13675</v>
      </c>
      <c r="Q1374" t="s">
        <v>13676</v>
      </c>
      <c r="R1374" t="s">
        <v>69</v>
      </c>
      <c r="S1374" t="s">
        <v>69</v>
      </c>
      <c r="T1374" t="s">
        <v>8505</v>
      </c>
      <c r="U1374" t="s">
        <v>8506</v>
      </c>
      <c r="V1374" t="s">
        <v>69</v>
      </c>
      <c r="W1374" t="s">
        <v>69</v>
      </c>
      <c r="X1374" t="s">
        <v>69</v>
      </c>
      <c r="Y1374" t="s">
        <v>69</v>
      </c>
      <c r="Z1374" t="s">
        <v>69</v>
      </c>
      <c r="AA1374" t="s">
        <v>13677</v>
      </c>
      <c r="AB1374" t="s">
        <v>13678</v>
      </c>
      <c r="AC1374" t="s">
        <v>13679</v>
      </c>
      <c r="AD1374" t="s">
        <v>13680</v>
      </c>
      <c r="AE1374" t="s">
        <v>69</v>
      </c>
      <c r="AF1374" t="s">
        <v>13681</v>
      </c>
      <c r="AG1374" t="s">
        <v>13682</v>
      </c>
      <c r="AH1374" t="s">
        <v>69</v>
      </c>
      <c r="AI1374" t="s">
        <v>69</v>
      </c>
      <c r="AJ1374" t="s">
        <v>13683</v>
      </c>
      <c r="AK1374" t="s">
        <v>13683</v>
      </c>
      <c r="AL1374" t="s">
        <v>13684</v>
      </c>
      <c r="AM1374" t="s">
        <v>69</v>
      </c>
      <c r="AN1374">
        <v>30</v>
      </c>
      <c r="AO1374">
        <v>0</v>
      </c>
      <c r="AP1374">
        <v>0</v>
      </c>
      <c r="AQ1374">
        <v>0</v>
      </c>
      <c r="AR1374">
        <v>3</v>
      </c>
      <c r="AS1374" t="s">
        <v>13685</v>
      </c>
      <c r="AT1374" t="s">
        <v>8763</v>
      </c>
      <c r="AU1374" t="s">
        <v>13686</v>
      </c>
      <c r="AV1374" t="s">
        <v>69</v>
      </c>
      <c r="AW1374" t="s">
        <v>13687</v>
      </c>
      <c r="AX1374" t="s">
        <v>69</v>
      </c>
      <c r="AY1374" t="s">
        <v>13688</v>
      </c>
      <c r="AZ1374" t="s">
        <v>13689</v>
      </c>
      <c r="BA1374" t="s">
        <v>69</v>
      </c>
      <c r="BB1374">
        <v>2021</v>
      </c>
      <c r="BC1374">
        <v>19</v>
      </c>
      <c r="BD1374">
        <v>1</v>
      </c>
      <c r="BE1374" t="s">
        <v>69</v>
      </c>
      <c r="BF1374" t="s">
        <v>69</v>
      </c>
      <c r="BG1374" t="s">
        <v>114</v>
      </c>
      <c r="BH1374" t="s">
        <v>69</v>
      </c>
      <c r="BI1374" t="s">
        <v>69</v>
      </c>
      <c r="BJ1374" t="s">
        <v>69</v>
      </c>
      <c r="BK1374">
        <v>3</v>
      </c>
      <c r="BL1374" t="s">
        <v>13690</v>
      </c>
      <c r="BM1374" t="str">
        <f>HYPERLINK("http://dx.doi.org/10.14324/111.444.amps.2021v19i1.003","http://dx.doi.org/10.14324/111.444.amps.2021v19i1.003")</f>
        <v>http://dx.doi.org/10.14324/111.444.amps.2021v19i1.003</v>
      </c>
      <c r="BN1374" t="s">
        <v>69</v>
      </c>
      <c r="BO1374" t="s">
        <v>69</v>
      </c>
      <c r="BP1374">
        <v>12</v>
      </c>
      <c r="BQ1374" t="s">
        <v>8449</v>
      </c>
      <c r="BR1374" t="s">
        <v>8573</v>
      </c>
      <c r="BS1374" t="s">
        <v>8449</v>
      </c>
      <c r="BT1374" t="s">
        <v>13691</v>
      </c>
      <c r="BU1374" t="s">
        <v>13692</v>
      </c>
      <c r="BV1374" t="s">
        <v>69</v>
      </c>
      <c r="BW1374" t="s">
        <v>8931</v>
      </c>
      <c r="BX1374" t="s">
        <v>69</v>
      </c>
      <c r="BY1374" t="s">
        <v>69</v>
      </c>
      <c r="BZ1374" t="s">
        <v>8526</v>
      </c>
      <c r="CA1374" t="str">
        <f>HYPERLINK("https%3A%2F%2Fwww.webofscience.com%2Fwos%2Fwoscc%2Ffull-record%2FWOS:000662244100003","View Full Record in Web of Science")</f>
        <v>View Full Record in Web of Science</v>
      </c>
    </row>
    <row r="1375" spans="2:79" ht="12.5" x14ac:dyDescent="0.25">
      <c r="B1375" t="s">
        <v>8495</v>
      </c>
      <c r="D1375" s="22" t="s">
        <v>32931</v>
      </c>
      <c r="E1375" s="7"/>
      <c r="F1375" s="7"/>
      <c r="G1375" s="7"/>
      <c r="H1375" t="s">
        <v>67</v>
      </c>
      <c r="I1375" t="s">
        <v>26018</v>
      </c>
      <c r="J1375" t="s">
        <v>69</v>
      </c>
      <c r="K1375" t="s">
        <v>69</v>
      </c>
      <c r="L1375" t="s">
        <v>69</v>
      </c>
      <c r="M1375" t="s">
        <v>26019</v>
      </c>
      <c r="N1375" t="s">
        <v>69</v>
      </c>
      <c r="O1375" t="s">
        <v>69</v>
      </c>
      <c r="P1375" t="s">
        <v>26020</v>
      </c>
      <c r="Q1375" t="s">
        <v>26021</v>
      </c>
      <c r="R1375" t="s">
        <v>69</v>
      </c>
      <c r="S1375" t="s">
        <v>69</v>
      </c>
      <c r="T1375" t="s">
        <v>8505</v>
      </c>
      <c r="U1375" t="s">
        <v>8506</v>
      </c>
      <c r="V1375" t="s">
        <v>69</v>
      </c>
      <c r="W1375" t="s">
        <v>69</v>
      </c>
      <c r="X1375" t="s">
        <v>69</v>
      </c>
      <c r="Y1375" t="s">
        <v>69</v>
      </c>
      <c r="Z1375" t="s">
        <v>69</v>
      </c>
      <c r="AA1375" t="s">
        <v>26022</v>
      </c>
      <c r="AB1375" t="s">
        <v>26023</v>
      </c>
      <c r="AC1375" t="s">
        <v>26024</v>
      </c>
      <c r="AD1375" t="s">
        <v>26025</v>
      </c>
      <c r="AE1375" t="s">
        <v>69</v>
      </c>
      <c r="AF1375" t="s">
        <v>26026</v>
      </c>
      <c r="AG1375" t="s">
        <v>26027</v>
      </c>
      <c r="AH1375" t="s">
        <v>69</v>
      </c>
      <c r="AI1375" t="s">
        <v>69</v>
      </c>
      <c r="AJ1375" t="s">
        <v>69</v>
      </c>
      <c r="AK1375" t="s">
        <v>69</v>
      </c>
      <c r="AL1375" t="s">
        <v>69</v>
      </c>
      <c r="AM1375" t="s">
        <v>69</v>
      </c>
      <c r="AN1375">
        <v>56</v>
      </c>
      <c r="AO1375">
        <v>154</v>
      </c>
      <c r="AP1375">
        <v>167</v>
      </c>
      <c r="AQ1375">
        <v>9</v>
      </c>
      <c r="AR1375">
        <v>116</v>
      </c>
      <c r="AS1375" t="s">
        <v>8636</v>
      </c>
      <c r="AT1375" t="s">
        <v>8637</v>
      </c>
      <c r="AU1375" t="s">
        <v>8638</v>
      </c>
      <c r="AV1375" t="s">
        <v>26028</v>
      </c>
      <c r="AW1375" t="s">
        <v>26029</v>
      </c>
      <c r="AX1375" t="s">
        <v>69</v>
      </c>
      <c r="AY1375" t="s">
        <v>26030</v>
      </c>
      <c r="AZ1375" t="s">
        <v>26031</v>
      </c>
      <c r="BA1375" t="s">
        <v>586</v>
      </c>
      <c r="BB1375">
        <v>2012</v>
      </c>
      <c r="BC1375">
        <v>25</v>
      </c>
      <c r="BD1375">
        <v>3</v>
      </c>
      <c r="BE1375" t="s">
        <v>69</v>
      </c>
      <c r="BF1375" t="s">
        <v>69</v>
      </c>
      <c r="BG1375" t="s">
        <v>69</v>
      </c>
      <c r="BH1375" t="s">
        <v>69</v>
      </c>
      <c r="BI1375">
        <v>505</v>
      </c>
      <c r="BJ1375">
        <v>523</v>
      </c>
      <c r="BK1375" t="s">
        <v>69</v>
      </c>
      <c r="BL1375" t="s">
        <v>26032</v>
      </c>
      <c r="BM1375" t="str">
        <f>HYPERLINK("http://dx.doi.org/10.1016/j.jlp.2011.12.007","http://dx.doi.org/10.1016/j.jlp.2011.12.007")</f>
        <v>http://dx.doi.org/10.1016/j.jlp.2011.12.007</v>
      </c>
      <c r="BN1375" t="s">
        <v>69</v>
      </c>
      <c r="BO1375" t="s">
        <v>69</v>
      </c>
      <c r="BP1375">
        <v>19</v>
      </c>
      <c r="BQ1375" t="s">
        <v>15229</v>
      </c>
      <c r="BR1375" t="s">
        <v>8548</v>
      </c>
      <c r="BS1375" t="s">
        <v>8445</v>
      </c>
      <c r="BT1375" t="s">
        <v>26033</v>
      </c>
      <c r="BU1375" t="s">
        <v>26034</v>
      </c>
      <c r="BV1375" t="s">
        <v>69</v>
      </c>
      <c r="BW1375" t="s">
        <v>69</v>
      </c>
      <c r="BX1375" t="s">
        <v>69</v>
      </c>
      <c r="BY1375" t="s">
        <v>69</v>
      </c>
      <c r="BZ1375" t="s">
        <v>8526</v>
      </c>
      <c r="CA1375" t="str">
        <f>HYPERLINK("https%3A%2F%2Fwww.webofscience.com%2Fwos%2Fwoscc%2Ffull-record%2FWOS:000303083600010","View Full Record in Web of Science")</f>
        <v>View Full Record in Web of Science</v>
      </c>
    </row>
    <row r="1376" spans="2:79" ht="12.5" x14ac:dyDescent="0.25">
      <c r="B1376" t="s">
        <v>8495</v>
      </c>
      <c r="D1376" s="7" t="s">
        <v>32933</v>
      </c>
      <c r="E1376" s="7"/>
      <c r="F1376" s="7"/>
      <c r="G1376" s="7"/>
      <c r="H1376" t="s">
        <v>67</v>
      </c>
      <c r="I1376" t="s">
        <v>6713</v>
      </c>
      <c r="J1376" t="s">
        <v>69</v>
      </c>
      <c r="K1376" t="s">
        <v>69</v>
      </c>
      <c r="L1376" t="s">
        <v>69</v>
      </c>
      <c r="M1376" t="s">
        <v>6714</v>
      </c>
      <c r="N1376" t="s">
        <v>69</v>
      </c>
      <c r="O1376" t="s">
        <v>69</v>
      </c>
      <c r="P1376" t="s">
        <v>6715</v>
      </c>
      <c r="Q1376" t="s">
        <v>6716</v>
      </c>
      <c r="R1376" t="s">
        <v>69</v>
      </c>
      <c r="S1376" t="s">
        <v>69</v>
      </c>
      <c r="T1376" t="s">
        <v>8505</v>
      </c>
      <c r="U1376" t="s">
        <v>8506</v>
      </c>
      <c r="V1376" t="s">
        <v>69</v>
      </c>
      <c r="W1376" t="s">
        <v>69</v>
      </c>
      <c r="X1376" t="s">
        <v>69</v>
      </c>
      <c r="Y1376" t="s">
        <v>69</v>
      </c>
      <c r="Z1376" t="s">
        <v>69</v>
      </c>
      <c r="AA1376" t="s">
        <v>19391</v>
      </c>
      <c r="AB1376" t="s">
        <v>19392</v>
      </c>
      <c r="AC1376" t="s">
        <v>6717</v>
      </c>
      <c r="AD1376" t="s">
        <v>19393</v>
      </c>
      <c r="AE1376" t="s">
        <v>69</v>
      </c>
      <c r="AF1376" t="s">
        <v>19394</v>
      </c>
      <c r="AG1376" t="s">
        <v>19395</v>
      </c>
      <c r="AH1376" t="s">
        <v>69</v>
      </c>
      <c r="AI1376" t="s">
        <v>69</v>
      </c>
      <c r="AJ1376" t="s">
        <v>69</v>
      </c>
      <c r="AK1376" t="s">
        <v>69</v>
      </c>
      <c r="AL1376" t="s">
        <v>69</v>
      </c>
      <c r="AM1376" t="s">
        <v>69</v>
      </c>
      <c r="AN1376">
        <v>52</v>
      </c>
      <c r="AO1376">
        <v>20</v>
      </c>
      <c r="AP1376">
        <v>21</v>
      </c>
      <c r="AQ1376">
        <v>8</v>
      </c>
      <c r="AR1376">
        <v>64</v>
      </c>
      <c r="AS1376" t="s">
        <v>8865</v>
      </c>
      <c r="AT1376" t="s">
        <v>8612</v>
      </c>
      <c r="AU1376" t="s">
        <v>8866</v>
      </c>
      <c r="AV1376" t="s">
        <v>6718</v>
      </c>
      <c r="AW1376" t="s">
        <v>6719</v>
      </c>
      <c r="AX1376" t="s">
        <v>69</v>
      </c>
      <c r="AY1376" t="s">
        <v>19396</v>
      </c>
      <c r="AZ1376" t="s">
        <v>19397</v>
      </c>
      <c r="BA1376" t="s">
        <v>69</v>
      </c>
      <c r="BB1376">
        <v>2018</v>
      </c>
      <c r="BC1376">
        <v>21</v>
      </c>
      <c r="BD1376">
        <v>8</v>
      </c>
      <c r="BE1376" t="s">
        <v>69</v>
      </c>
      <c r="BF1376" t="s">
        <v>69</v>
      </c>
      <c r="BG1376" t="s">
        <v>69</v>
      </c>
      <c r="BH1376" t="s">
        <v>69</v>
      </c>
      <c r="BI1376">
        <v>952</v>
      </c>
      <c r="BJ1376">
        <v>973</v>
      </c>
      <c r="BK1376" t="s">
        <v>69</v>
      </c>
      <c r="BL1376" t="s">
        <v>6720</v>
      </c>
      <c r="BM1376" t="str">
        <f>HYPERLINK("http://dx.doi.org/10.1080/13669877.2016.1264451","http://dx.doi.org/10.1080/13669877.2016.1264451")</f>
        <v>http://dx.doi.org/10.1080/13669877.2016.1264451</v>
      </c>
      <c r="BN1376" t="s">
        <v>69</v>
      </c>
      <c r="BO1376" t="s">
        <v>69</v>
      </c>
      <c r="BP1376">
        <v>22</v>
      </c>
      <c r="BQ1376" t="s">
        <v>10299</v>
      </c>
      <c r="BR1376" t="s">
        <v>8661</v>
      </c>
      <c r="BS1376" t="s">
        <v>10279</v>
      </c>
      <c r="BT1376" t="s">
        <v>19398</v>
      </c>
      <c r="BU1376" t="s">
        <v>6721</v>
      </c>
      <c r="BV1376" t="s">
        <v>69</v>
      </c>
      <c r="BW1376" t="s">
        <v>69</v>
      </c>
      <c r="BX1376" t="s">
        <v>69</v>
      </c>
      <c r="BY1376" t="s">
        <v>69</v>
      </c>
      <c r="BZ1376" t="s">
        <v>8526</v>
      </c>
      <c r="CA1376" t="str">
        <f>HYPERLINK("https%3A%2F%2Fwww.webofscience.com%2Fwos%2Fwoscc%2Ffull-record%2FWOS:000442291400002","View Full Record in Web of Science")</f>
        <v>View Full Record in Web of Science</v>
      </c>
    </row>
    <row r="1377" spans="1:79" ht="12.5" x14ac:dyDescent="0.25">
      <c r="B1377" t="s">
        <v>8495</v>
      </c>
      <c r="D1377" s="7" t="s">
        <v>32933</v>
      </c>
      <c r="E1377" s="7"/>
      <c r="F1377" s="7"/>
      <c r="G1377" s="7"/>
      <c r="H1377" t="s">
        <v>67</v>
      </c>
      <c r="I1377" t="s">
        <v>3168</v>
      </c>
      <c r="J1377" t="s">
        <v>69</v>
      </c>
      <c r="K1377" t="s">
        <v>69</v>
      </c>
      <c r="L1377" t="s">
        <v>69</v>
      </c>
      <c r="M1377" t="s">
        <v>3169</v>
      </c>
      <c r="N1377" t="s">
        <v>69</v>
      </c>
      <c r="O1377" t="s">
        <v>69</v>
      </c>
      <c r="P1377" t="s">
        <v>3170</v>
      </c>
      <c r="Q1377" t="s">
        <v>3171</v>
      </c>
      <c r="R1377" t="s">
        <v>69</v>
      </c>
      <c r="S1377" t="s">
        <v>69</v>
      </c>
      <c r="T1377" t="s">
        <v>8505</v>
      </c>
      <c r="U1377" t="s">
        <v>8506</v>
      </c>
      <c r="V1377" t="s">
        <v>69</v>
      </c>
      <c r="W1377" t="s">
        <v>69</v>
      </c>
      <c r="X1377" t="s">
        <v>69</v>
      </c>
      <c r="Y1377" t="s">
        <v>69</v>
      </c>
      <c r="Z1377" t="s">
        <v>69</v>
      </c>
      <c r="AA1377" t="s">
        <v>23594</v>
      </c>
      <c r="AB1377" t="s">
        <v>69</v>
      </c>
      <c r="AC1377" t="s">
        <v>3172</v>
      </c>
      <c r="AD1377" t="s">
        <v>23595</v>
      </c>
      <c r="AE1377" t="s">
        <v>69</v>
      </c>
      <c r="AF1377" t="s">
        <v>23596</v>
      </c>
      <c r="AG1377" t="s">
        <v>23597</v>
      </c>
      <c r="AH1377" t="s">
        <v>69</v>
      </c>
      <c r="AI1377" t="s">
        <v>69</v>
      </c>
      <c r="AJ1377" t="s">
        <v>69</v>
      </c>
      <c r="AK1377" t="s">
        <v>69</v>
      </c>
      <c r="AL1377" t="s">
        <v>69</v>
      </c>
      <c r="AM1377" t="s">
        <v>69</v>
      </c>
      <c r="AN1377">
        <v>10</v>
      </c>
      <c r="AO1377">
        <v>5</v>
      </c>
      <c r="AP1377">
        <v>5</v>
      </c>
      <c r="AQ1377">
        <v>0</v>
      </c>
      <c r="AR1377">
        <v>8</v>
      </c>
      <c r="AS1377" t="s">
        <v>17140</v>
      </c>
      <c r="AT1377" t="s">
        <v>8517</v>
      </c>
      <c r="AU1377" t="s">
        <v>17141</v>
      </c>
      <c r="AV1377" t="s">
        <v>3173</v>
      </c>
      <c r="AW1377" t="s">
        <v>3174</v>
      </c>
      <c r="AX1377" t="s">
        <v>69</v>
      </c>
      <c r="AY1377" t="s">
        <v>23598</v>
      </c>
      <c r="AZ1377" t="s">
        <v>23599</v>
      </c>
      <c r="BA1377" t="s">
        <v>255</v>
      </c>
      <c r="BB1377">
        <v>2014</v>
      </c>
      <c r="BC1377">
        <v>144</v>
      </c>
      <c r="BD1377" t="s">
        <v>69</v>
      </c>
      <c r="BE1377" t="s">
        <v>3175</v>
      </c>
      <c r="BF1377" t="s">
        <v>69</v>
      </c>
      <c r="BG1377" t="s">
        <v>114</v>
      </c>
      <c r="BH1377" t="s">
        <v>69</v>
      </c>
      <c r="BI1377">
        <v>572</v>
      </c>
      <c r="BJ1377">
        <v>580</v>
      </c>
      <c r="BK1377" t="s">
        <v>69</v>
      </c>
      <c r="BL1377" t="s">
        <v>3176</v>
      </c>
      <c r="BM1377" t="str">
        <f>HYPERLINK("http://dx.doi.org/10.1016/j.gexplo.2014.05.009","http://dx.doi.org/10.1016/j.gexplo.2014.05.009")</f>
        <v>http://dx.doi.org/10.1016/j.gexplo.2014.05.009</v>
      </c>
      <c r="BN1377" t="s">
        <v>69</v>
      </c>
      <c r="BO1377" t="s">
        <v>69</v>
      </c>
      <c r="BP1377">
        <v>9</v>
      </c>
      <c r="BQ1377" t="s">
        <v>23600</v>
      </c>
      <c r="BR1377" t="s">
        <v>8548</v>
      </c>
      <c r="BS1377" t="s">
        <v>23600</v>
      </c>
      <c r="BT1377" t="s">
        <v>23601</v>
      </c>
      <c r="BU1377" t="s">
        <v>3177</v>
      </c>
      <c r="BV1377" t="s">
        <v>69</v>
      </c>
      <c r="BW1377" t="s">
        <v>69</v>
      </c>
      <c r="BX1377" t="s">
        <v>69</v>
      </c>
      <c r="BY1377" t="s">
        <v>69</v>
      </c>
      <c r="BZ1377" t="s">
        <v>8526</v>
      </c>
      <c r="CA1377" t="str">
        <f>HYPERLINK("https%3A%2F%2Fwww.webofscience.com%2Fwos%2Fwoscc%2Ffull-record%2FWOS:000342247800018","View Full Record in Web of Science")</f>
        <v>View Full Record in Web of Science</v>
      </c>
    </row>
    <row r="1378" spans="1:79" ht="12.5" x14ac:dyDescent="0.25">
      <c r="B1378" t="s">
        <v>8495</v>
      </c>
      <c r="D1378" s="22" t="s">
        <v>32931</v>
      </c>
      <c r="E1378" s="7"/>
      <c r="F1378" s="7"/>
      <c r="G1378" s="7"/>
      <c r="H1378" t="s">
        <v>67</v>
      </c>
      <c r="I1378" t="s">
        <v>26972</v>
      </c>
      <c r="J1378" t="s">
        <v>69</v>
      </c>
      <c r="K1378" t="s">
        <v>69</v>
      </c>
      <c r="L1378" t="s">
        <v>69</v>
      </c>
      <c r="M1378" t="s">
        <v>26973</v>
      </c>
      <c r="N1378" t="s">
        <v>69</v>
      </c>
      <c r="O1378" t="s">
        <v>69</v>
      </c>
      <c r="P1378" t="s">
        <v>26974</v>
      </c>
      <c r="Q1378" t="s">
        <v>26975</v>
      </c>
      <c r="R1378" t="s">
        <v>69</v>
      </c>
      <c r="S1378" t="s">
        <v>69</v>
      </c>
      <c r="T1378" t="s">
        <v>26976</v>
      </c>
      <c r="U1378" t="s">
        <v>8506</v>
      </c>
      <c r="V1378" t="s">
        <v>69</v>
      </c>
      <c r="W1378" t="s">
        <v>69</v>
      </c>
      <c r="X1378" t="s">
        <v>69</v>
      </c>
      <c r="Y1378" t="s">
        <v>69</v>
      </c>
      <c r="Z1378" t="s">
        <v>69</v>
      </c>
      <c r="AA1378" t="s">
        <v>26977</v>
      </c>
      <c r="AB1378" t="s">
        <v>69</v>
      </c>
      <c r="AC1378" t="s">
        <v>26978</v>
      </c>
      <c r="AD1378" t="s">
        <v>26979</v>
      </c>
      <c r="AE1378" t="s">
        <v>69</v>
      </c>
      <c r="AF1378" t="s">
        <v>26980</v>
      </c>
      <c r="AG1378" t="s">
        <v>26981</v>
      </c>
      <c r="AH1378" t="s">
        <v>69</v>
      </c>
      <c r="AI1378" t="s">
        <v>26982</v>
      </c>
      <c r="AJ1378" t="s">
        <v>69</v>
      </c>
      <c r="AK1378" t="s">
        <v>69</v>
      </c>
      <c r="AL1378" t="s">
        <v>69</v>
      </c>
      <c r="AM1378" t="s">
        <v>69</v>
      </c>
      <c r="AN1378">
        <v>22</v>
      </c>
      <c r="AO1378">
        <v>47</v>
      </c>
      <c r="AP1378">
        <v>89</v>
      </c>
      <c r="AQ1378">
        <v>1</v>
      </c>
      <c r="AR1378">
        <v>7</v>
      </c>
      <c r="AS1378" t="s">
        <v>21466</v>
      </c>
      <c r="AT1378" t="s">
        <v>21467</v>
      </c>
      <c r="AU1378" t="s">
        <v>21468</v>
      </c>
      <c r="AV1378" t="s">
        <v>26983</v>
      </c>
      <c r="AW1378" t="s">
        <v>69</v>
      </c>
      <c r="AX1378" t="s">
        <v>69</v>
      </c>
      <c r="AY1378" t="s">
        <v>26984</v>
      </c>
      <c r="AZ1378" t="s">
        <v>26985</v>
      </c>
      <c r="BA1378" t="s">
        <v>155</v>
      </c>
      <c r="BB1378">
        <v>2011</v>
      </c>
      <c r="BC1378">
        <v>32</v>
      </c>
      <c r="BD1378">
        <v>6</v>
      </c>
      <c r="BE1378" t="s">
        <v>69</v>
      </c>
      <c r="BF1378" t="s">
        <v>69</v>
      </c>
      <c r="BG1378" t="s">
        <v>69</v>
      </c>
      <c r="BH1378" t="s">
        <v>69</v>
      </c>
      <c r="BI1378">
        <v>1757</v>
      </c>
      <c r="BJ1378" t="s">
        <v>26986</v>
      </c>
      <c r="BK1378" t="s">
        <v>69</v>
      </c>
      <c r="BL1378" t="s">
        <v>69</v>
      </c>
      <c r="BM1378" t="s">
        <v>69</v>
      </c>
      <c r="BN1378" t="s">
        <v>69</v>
      </c>
      <c r="BO1378" t="s">
        <v>69</v>
      </c>
      <c r="BP1378">
        <v>11</v>
      </c>
      <c r="BQ1378" t="s">
        <v>12079</v>
      </c>
      <c r="BR1378" t="s">
        <v>8573</v>
      </c>
      <c r="BS1378" t="s">
        <v>8445</v>
      </c>
      <c r="BT1378" t="s">
        <v>26987</v>
      </c>
      <c r="BU1378" t="s">
        <v>26988</v>
      </c>
      <c r="BV1378" t="s">
        <v>69</v>
      </c>
      <c r="BW1378" t="s">
        <v>69</v>
      </c>
      <c r="BX1378" t="s">
        <v>69</v>
      </c>
      <c r="BY1378" t="s">
        <v>69</v>
      </c>
      <c r="BZ1378" t="s">
        <v>8526</v>
      </c>
      <c r="CA1378" t="str">
        <f>HYPERLINK("https%3A%2F%2Fwww.webofscience.com%2Fwos%2Fwoscc%2Ffull-record%2FWOS:000410710500027","View Full Record in Web of Science")</f>
        <v>View Full Record in Web of Science</v>
      </c>
    </row>
    <row r="1379" spans="1:79" ht="12.5" x14ac:dyDescent="0.25">
      <c r="A1379" t="s">
        <v>8408</v>
      </c>
      <c r="B1379" t="s">
        <v>8495</v>
      </c>
      <c r="D1379" s="11" t="s">
        <v>8406</v>
      </c>
      <c r="E1379" s="7"/>
      <c r="F1379" s="11" t="s">
        <v>8490</v>
      </c>
      <c r="G1379" s="7"/>
      <c r="H1379" t="s">
        <v>67</v>
      </c>
      <c r="I1379" t="s">
        <v>7875</v>
      </c>
      <c r="J1379" t="s">
        <v>69</v>
      </c>
      <c r="K1379" t="s">
        <v>69</v>
      </c>
      <c r="L1379" t="s">
        <v>69</v>
      </c>
      <c r="M1379" s="2" t="s">
        <v>7876</v>
      </c>
      <c r="N1379" t="s">
        <v>69</v>
      </c>
      <c r="O1379" t="s">
        <v>69</v>
      </c>
      <c r="P1379" s="18" t="s">
        <v>7877</v>
      </c>
      <c r="Q1379" t="s">
        <v>3722</v>
      </c>
      <c r="R1379" t="s">
        <v>69</v>
      </c>
      <c r="S1379" t="s">
        <v>69</v>
      </c>
      <c r="T1379" t="s">
        <v>8505</v>
      </c>
      <c r="U1379" t="s">
        <v>8506</v>
      </c>
      <c r="V1379" t="s">
        <v>69</v>
      </c>
      <c r="W1379" t="s">
        <v>69</v>
      </c>
      <c r="X1379" t="s">
        <v>69</v>
      </c>
      <c r="Y1379" t="s">
        <v>69</v>
      </c>
      <c r="Z1379" t="s">
        <v>69</v>
      </c>
      <c r="AA1379" t="s">
        <v>29766</v>
      </c>
      <c r="AB1379" t="s">
        <v>69</v>
      </c>
      <c r="AC1379" t="s">
        <v>7878</v>
      </c>
      <c r="AD1379" t="s">
        <v>29767</v>
      </c>
      <c r="AE1379" t="s">
        <v>69</v>
      </c>
      <c r="AF1379" t="s">
        <v>29768</v>
      </c>
      <c r="AG1379" t="s">
        <v>69</v>
      </c>
      <c r="AH1379" t="s">
        <v>69</v>
      </c>
      <c r="AI1379" t="s">
        <v>69</v>
      </c>
      <c r="AJ1379" t="s">
        <v>69</v>
      </c>
      <c r="AK1379" t="s">
        <v>69</v>
      </c>
      <c r="AL1379" t="s">
        <v>69</v>
      </c>
      <c r="AM1379" t="s">
        <v>69</v>
      </c>
      <c r="AN1379">
        <v>11</v>
      </c>
      <c r="AO1379">
        <v>0</v>
      </c>
      <c r="AP1379">
        <v>0</v>
      </c>
      <c r="AQ1379">
        <v>0</v>
      </c>
      <c r="AR1379">
        <v>6</v>
      </c>
      <c r="AS1379" t="s">
        <v>29590</v>
      </c>
      <c r="AT1379" t="s">
        <v>8763</v>
      </c>
      <c r="AU1379" t="s">
        <v>29591</v>
      </c>
      <c r="AV1379" t="s">
        <v>3724</v>
      </c>
      <c r="AW1379" t="s">
        <v>69</v>
      </c>
      <c r="AX1379" t="s">
        <v>69</v>
      </c>
      <c r="AY1379" t="s">
        <v>25129</v>
      </c>
      <c r="AZ1379" t="s">
        <v>25130</v>
      </c>
      <c r="BA1379" t="s">
        <v>94</v>
      </c>
      <c r="BB1379">
        <v>2007</v>
      </c>
      <c r="BC1379">
        <v>160</v>
      </c>
      <c r="BD1379">
        <v>1</v>
      </c>
      <c r="BE1379" t="s">
        <v>69</v>
      </c>
      <c r="BF1379" t="s">
        <v>69</v>
      </c>
      <c r="BG1379" t="s">
        <v>69</v>
      </c>
      <c r="BH1379" t="s">
        <v>69</v>
      </c>
      <c r="BI1379">
        <v>1</v>
      </c>
      <c r="BJ1379">
        <v>6</v>
      </c>
      <c r="BK1379" t="s">
        <v>69</v>
      </c>
      <c r="BL1379" t="s">
        <v>69</v>
      </c>
      <c r="BM1379" t="s">
        <v>69</v>
      </c>
      <c r="BN1379" t="s">
        <v>69</v>
      </c>
      <c r="BO1379" t="s">
        <v>69</v>
      </c>
      <c r="BP1379">
        <v>6</v>
      </c>
      <c r="BQ1379" t="s">
        <v>13537</v>
      </c>
      <c r="BR1379" t="s">
        <v>8548</v>
      </c>
      <c r="BS1379" t="s">
        <v>8445</v>
      </c>
      <c r="BT1379" t="s">
        <v>29769</v>
      </c>
      <c r="BU1379" t="s">
        <v>7879</v>
      </c>
      <c r="BV1379" t="s">
        <v>69</v>
      </c>
      <c r="BW1379" t="s">
        <v>69</v>
      </c>
      <c r="BX1379" t="s">
        <v>69</v>
      </c>
      <c r="BY1379" t="s">
        <v>69</v>
      </c>
      <c r="BZ1379" t="s">
        <v>8526</v>
      </c>
      <c r="CA1379" t="str">
        <f>HYPERLINK("https%3A%2F%2Fwww.webofscience.com%2Fwos%2Fwoscc%2Ffull-record%2FWOS:000245493400001","View Full Record in Web of Science")</f>
        <v>View Full Record in Web of Science</v>
      </c>
    </row>
    <row r="1380" spans="1:79" ht="12.5" x14ac:dyDescent="0.25">
      <c r="B1380" t="s">
        <v>8495</v>
      </c>
      <c r="D1380" s="22" t="s">
        <v>32931</v>
      </c>
      <c r="E1380" s="7"/>
      <c r="F1380" s="7"/>
      <c r="G1380" s="7"/>
      <c r="H1380" t="s">
        <v>67</v>
      </c>
      <c r="I1380" t="s">
        <v>11302</v>
      </c>
      <c r="J1380" t="s">
        <v>69</v>
      </c>
      <c r="K1380" t="s">
        <v>69</v>
      </c>
      <c r="L1380" t="s">
        <v>69</v>
      </c>
      <c r="M1380" t="s">
        <v>11303</v>
      </c>
      <c r="N1380" t="s">
        <v>69</v>
      </c>
      <c r="O1380" t="s">
        <v>69</v>
      </c>
      <c r="P1380" t="s">
        <v>11304</v>
      </c>
      <c r="Q1380" t="s">
        <v>316</v>
      </c>
      <c r="R1380" t="s">
        <v>69</v>
      </c>
      <c r="S1380" t="s">
        <v>69</v>
      </c>
      <c r="T1380" t="s">
        <v>8505</v>
      </c>
      <c r="U1380" t="s">
        <v>8556</v>
      </c>
      <c r="V1380" t="s">
        <v>69</v>
      </c>
      <c r="W1380" t="s">
        <v>69</v>
      </c>
      <c r="X1380" t="s">
        <v>69</v>
      </c>
      <c r="Y1380" t="s">
        <v>69</v>
      </c>
      <c r="Z1380" t="s">
        <v>69</v>
      </c>
      <c r="AA1380" t="s">
        <v>11305</v>
      </c>
      <c r="AB1380" t="s">
        <v>11306</v>
      </c>
      <c r="AC1380" t="s">
        <v>11307</v>
      </c>
      <c r="AD1380" t="s">
        <v>11308</v>
      </c>
      <c r="AE1380" t="s">
        <v>69</v>
      </c>
      <c r="AF1380" t="s">
        <v>11309</v>
      </c>
      <c r="AG1380" t="s">
        <v>11310</v>
      </c>
      <c r="AH1380" t="s">
        <v>11311</v>
      </c>
      <c r="AI1380" t="s">
        <v>11312</v>
      </c>
      <c r="AJ1380" t="s">
        <v>69</v>
      </c>
      <c r="AK1380" t="s">
        <v>69</v>
      </c>
      <c r="AL1380" t="s">
        <v>69</v>
      </c>
      <c r="AM1380" t="s">
        <v>69</v>
      </c>
      <c r="AN1380">
        <v>25</v>
      </c>
      <c r="AO1380">
        <v>0</v>
      </c>
      <c r="AP1380">
        <v>0</v>
      </c>
      <c r="AQ1380">
        <v>2</v>
      </c>
      <c r="AR1380">
        <v>4</v>
      </c>
      <c r="AS1380" t="s">
        <v>8586</v>
      </c>
      <c r="AT1380" t="s">
        <v>8587</v>
      </c>
      <c r="AU1380" t="s">
        <v>8588</v>
      </c>
      <c r="AV1380" t="s">
        <v>318</v>
      </c>
      <c r="AW1380" t="s">
        <v>319</v>
      </c>
      <c r="AX1380" t="s">
        <v>69</v>
      </c>
      <c r="AY1380" t="s">
        <v>11313</v>
      </c>
      <c r="AZ1380" t="s">
        <v>11314</v>
      </c>
      <c r="BA1380" t="s">
        <v>69</v>
      </c>
      <c r="BB1380" t="s">
        <v>69</v>
      </c>
      <c r="BC1380" t="s">
        <v>69</v>
      </c>
      <c r="BD1380" t="s">
        <v>69</v>
      </c>
      <c r="BE1380" t="s">
        <v>69</v>
      </c>
      <c r="BF1380" t="s">
        <v>69</v>
      </c>
      <c r="BG1380" t="s">
        <v>69</v>
      </c>
      <c r="BH1380" t="s">
        <v>69</v>
      </c>
      <c r="BI1380" t="s">
        <v>69</v>
      </c>
      <c r="BJ1380" t="s">
        <v>69</v>
      </c>
      <c r="BK1380" t="s">
        <v>69</v>
      </c>
      <c r="BL1380" t="s">
        <v>11315</v>
      </c>
      <c r="BM1380" t="str">
        <f>HYPERLINK("http://dx.doi.org/10.1108/CI-04-2021-0073","http://dx.doi.org/10.1108/CI-04-2021-0073")</f>
        <v>http://dx.doi.org/10.1108/CI-04-2021-0073</v>
      </c>
      <c r="BN1380" t="s">
        <v>69</v>
      </c>
      <c r="BO1380" t="s">
        <v>11299</v>
      </c>
      <c r="BP1380">
        <v>18</v>
      </c>
      <c r="BQ1380" t="s">
        <v>10105</v>
      </c>
      <c r="BR1380" t="s">
        <v>8573</v>
      </c>
      <c r="BS1380" t="s">
        <v>10105</v>
      </c>
      <c r="BT1380" t="s">
        <v>11316</v>
      </c>
      <c r="BU1380" t="s">
        <v>11317</v>
      </c>
      <c r="BV1380" t="s">
        <v>69</v>
      </c>
      <c r="BW1380" t="s">
        <v>69</v>
      </c>
      <c r="BX1380" t="s">
        <v>69</v>
      </c>
      <c r="BY1380" t="s">
        <v>69</v>
      </c>
      <c r="BZ1380" t="s">
        <v>8526</v>
      </c>
      <c r="CA1380" t="str">
        <f>HYPERLINK("https%3A%2F%2Fwww.webofscience.com%2Fwos%2Fwoscc%2Ffull-record%2FWOS:000700868900001","View Full Record in Web of Science")</f>
        <v>View Full Record in Web of Science</v>
      </c>
    </row>
    <row r="1381" spans="1:79" ht="12.5" x14ac:dyDescent="0.25">
      <c r="B1381" t="s">
        <v>8495</v>
      </c>
      <c r="D1381" s="7" t="s">
        <v>32933</v>
      </c>
      <c r="E1381" s="7"/>
      <c r="F1381" s="7"/>
      <c r="G1381" s="7"/>
      <c r="H1381" t="s">
        <v>67</v>
      </c>
      <c r="I1381" t="s">
        <v>7623</v>
      </c>
      <c r="J1381" t="s">
        <v>69</v>
      </c>
      <c r="K1381" t="s">
        <v>69</v>
      </c>
      <c r="L1381" t="s">
        <v>69</v>
      </c>
      <c r="M1381" t="s">
        <v>7624</v>
      </c>
      <c r="N1381" t="s">
        <v>69</v>
      </c>
      <c r="O1381" t="s">
        <v>69</v>
      </c>
      <c r="P1381" t="s">
        <v>7625</v>
      </c>
      <c r="Q1381" t="s">
        <v>4552</v>
      </c>
      <c r="R1381" t="s">
        <v>69</v>
      </c>
      <c r="S1381" t="s">
        <v>69</v>
      </c>
      <c r="T1381" t="s">
        <v>8505</v>
      </c>
      <c r="U1381" t="s">
        <v>8506</v>
      </c>
      <c r="V1381" t="s">
        <v>69</v>
      </c>
      <c r="W1381" t="s">
        <v>69</v>
      </c>
      <c r="X1381" t="s">
        <v>69</v>
      </c>
      <c r="Y1381" t="s">
        <v>69</v>
      </c>
      <c r="Z1381" t="s">
        <v>69</v>
      </c>
      <c r="AA1381" t="s">
        <v>28298</v>
      </c>
      <c r="AB1381" t="s">
        <v>28299</v>
      </c>
      <c r="AC1381" t="s">
        <v>7626</v>
      </c>
      <c r="AD1381" t="s">
        <v>28300</v>
      </c>
      <c r="AE1381" t="s">
        <v>69</v>
      </c>
      <c r="AF1381" t="s">
        <v>28301</v>
      </c>
      <c r="AG1381" t="s">
        <v>28302</v>
      </c>
      <c r="AH1381" t="s">
        <v>28303</v>
      </c>
      <c r="AI1381" t="s">
        <v>69</v>
      </c>
      <c r="AJ1381" t="s">
        <v>28304</v>
      </c>
      <c r="AK1381" t="s">
        <v>28305</v>
      </c>
      <c r="AL1381" t="s">
        <v>28306</v>
      </c>
      <c r="AM1381" t="s">
        <v>69</v>
      </c>
      <c r="AN1381">
        <v>91</v>
      </c>
      <c r="AO1381">
        <v>20</v>
      </c>
      <c r="AP1381">
        <v>23</v>
      </c>
      <c r="AQ1381">
        <v>0</v>
      </c>
      <c r="AR1381">
        <v>29</v>
      </c>
      <c r="AS1381" t="s">
        <v>9091</v>
      </c>
      <c r="AT1381" t="s">
        <v>8763</v>
      </c>
      <c r="AU1381" t="s">
        <v>15468</v>
      </c>
      <c r="AV1381" t="s">
        <v>4556</v>
      </c>
      <c r="AW1381" t="s">
        <v>69</v>
      </c>
      <c r="AX1381" t="s">
        <v>69</v>
      </c>
      <c r="AY1381" t="s">
        <v>4552</v>
      </c>
      <c r="AZ1381" t="s">
        <v>9094</v>
      </c>
      <c r="BA1381" t="s">
        <v>69</v>
      </c>
      <c r="BB1381">
        <v>2010</v>
      </c>
      <c r="BC1381">
        <v>12</v>
      </c>
      <c r="BD1381">
        <v>4</v>
      </c>
      <c r="BE1381" t="s">
        <v>69</v>
      </c>
      <c r="BF1381" t="s">
        <v>69</v>
      </c>
      <c r="BG1381" t="s">
        <v>69</v>
      </c>
      <c r="BH1381" t="s">
        <v>69</v>
      </c>
      <c r="BI1381">
        <v>461</v>
      </c>
      <c r="BJ1381">
        <v>478</v>
      </c>
      <c r="BK1381" t="s">
        <v>69</v>
      </c>
      <c r="BL1381" t="s">
        <v>7627</v>
      </c>
      <c r="BM1381" t="str">
        <f>HYPERLINK("http://dx.doi.org/10.2166/wp.2010.111","http://dx.doi.org/10.2166/wp.2010.111")</f>
        <v>http://dx.doi.org/10.2166/wp.2010.111</v>
      </c>
      <c r="BN1381" t="s">
        <v>69</v>
      </c>
      <c r="BO1381" t="s">
        <v>69</v>
      </c>
      <c r="BP1381">
        <v>18</v>
      </c>
      <c r="BQ1381" t="s">
        <v>9096</v>
      </c>
      <c r="BR1381" t="s">
        <v>8523</v>
      </c>
      <c r="BS1381" t="s">
        <v>9096</v>
      </c>
      <c r="BT1381" t="s">
        <v>28307</v>
      </c>
      <c r="BU1381" t="s">
        <v>7628</v>
      </c>
      <c r="BV1381" t="s">
        <v>69</v>
      </c>
      <c r="BW1381" t="s">
        <v>69</v>
      </c>
      <c r="BX1381" t="s">
        <v>69</v>
      </c>
      <c r="BY1381" t="s">
        <v>69</v>
      </c>
      <c r="BZ1381" t="s">
        <v>8526</v>
      </c>
      <c r="CA1381" t="str">
        <f>HYPERLINK("https%3A%2F%2Fwww.webofscience.com%2Fwos%2Fwoscc%2Ffull-record%2FWOS:000280882100001","View Full Record in Web of Science")</f>
        <v>View Full Record in Web of Science</v>
      </c>
    </row>
    <row r="1382" spans="1:79" ht="12.5" x14ac:dyDescent="0.25">
      <c r="B1382" t="s">
        <v>8495</v>
      </c>
      <c r="D1382" s="7" t="s">
        <v>32933</v>
      </c>
      <c r="E1382" s="7"/>
      <c r="F1382" s="7"/>
      <c r="G1382" s="7"/>
      <c r="H1382" t="s">
        <v>67</v>
      </c>
      <c r="I1382" t="s">
        <v>964</v>
      </c>
      <c r="J1382" t="s">
        <v>69</v>
      </c>
      <c r="K1382" t="s">
        <v>69</v>
      </c>
      <c r="L1382" t="s">
        <v>69</v>
      </c>
      <c r="M1382" t="s">
        <v>965</v>
      </c>
      <c r="N1382" t="s">
        <v>69</v>
      </c>
      <c r="O1382" t="s">
        <v>69</v>
      </c>
      <c r="P1382" t="s">
        <v>966</v>
      </c>
      <c r="Q1382" t="s">
        <v>967</v>
      </c>
      <c r="R1382" t="s">
        <v>69</v>
      </c>
      <c r="S1382" t="s">
        <v>69</v>
      </c>
      <c r="T1382" t="s">
        <v>8505</v>
      </c>
      <c r="U1382" t="s">
        <v>8506</v>
      </c>
      <c r="V1382" t="s">
        <v>69</v>
      </c>
      <c r="W1382" t="s">
        <v>69</v>
      </c>
      <c r="X1382" t="s">
        <v>69</v>
      </c>
      <c r="Y1382" t="s">
        <v>69</v>
      </c>
      <c r="Z1382" t="s">
        <v>69</v>
      </c>
      <c r="AA1382" t="s">
        <v>69</v>
      </c>
      <c r="AB1382" t="s">
        <v>17462</v>
      </c>
      <c r="AC1382" t="s">
        <v>968</v>
      </c>
      <c r="AD1382" t="s">
        <v>17463</v>
      </c>
      <c r="AE1382" t="s">
        <v>69</v>
      </c>
      <c r="AF1382" t="s">
        <v>17464</v>
      </c>
      <c r="AG1382" t="s">
        <v>17465</v>
      </c>
      <c r="AH1382" t="s">
        <v>69</v>
      </c>
      <c r="AI1382" t="s">
        <v>69</v>
      </c>
      <c r="AJ1382" t="s">
        <v>17466</v>
      </c>
      <c r="AK1382" t="s">
        <v>17466</v>
      </c>
      <c r="AL1382" t="s">
        <v>17467</v>
      </c>
      <c r="AM1382" t="s">
        <v>69</v>
      </c>
      <c r="AN1382">
        <v>54</v>
      </c>
      <c r="AO1382">
        <v>12</v>
      </c>
      <c r="AP1382">
        <v>12</v>
      </c>
      <c r="AQ1382">
        <v>0</v>
      </c>
      <c r="AR1382">
        <v>10</v>
      </c>
      <c r="AS1382" t="s">
        <v>8865</v>
      </c>
      <c r="AT1382" t="s">
        <v>8612</v>
      </c>
      <c r="AU1382" t="s">
        <v>8866</v>
      </c>
      <c r="AV1382" t="s">
        <v>969</v>
      </c>
      <c r="AW1382" t="s">
        <v>970</v>
      </c>
      <c r="AX1382" t="s">
        <v>69</v>
      </c>
      <c r="AY1382" t="s">
        <v>8867</v>
      </c>
      <c r="AZ1382" t="s">
        <v>8868</v>
      </c>
      <c r="BA1382" t="s">
        <v>971</v>
      </c>
      <c r="BB1382">
        <v>2019</v>
      </c>
      <c r="BC1382">
        <v>109</v>
      </c>
      <c r="BD1382">
        <v>2</v>
      </c>
      <c r="BE1382" t="s">
        <v>69</v>
      </c>
      <c r="BF1382" t="s">
        <v>69</v>
      </c>
      <c r="BG1382" t="s">
        <v>114</v>
      </c>
      <c r="BH1382" t="s">
        <v>69</v>
      </c>
      <c r="BI1382">
        <v>556</v>
      </c>
      <c r="BJ1382">
        <v>567</v>
      </c>
      <c r="BK1382" t="s">
        <v>69</v>
      </c>
      <c r="BL1382" t="s">
        <v>972</v>
      </c>
      <c r="BM1382" t="str">
        <f>HYPERLINK("http://dx.doi.org/10.1080/24694452.2018.1507817","http://dx.doi.org/10.1080/24694452.2018.1507817")</f>
        <v>http://dx.doi.org/10.1080/24694452.2018.1507817</v>
      </c>
      <c r="BN1382" t="s">
        <v>69</v>
      </c>
      <c r="BO1382" t="s">
        <v>69</v>
      </c>
      <c r="BP1382">
        <v>12</v>
      </c>
      <c r="BQ1382" t="s">
        <v>8446</v>
      </c>
      <c r="BR1382" t="s">
        <v>8661</v>
      </c>
      <c r="BS1382" t="s">
        <v>8446</v>
      </c>
      <c r="BT1382" t="s">
        <v>17468</v>
      </c>
      <c r="BU1382" t="s">
        <v>973</v>
      </c>
      <c r="BV1382" t="s">
        <v>69</v>
      </c>
      <c r="BW1382" t="s">
        <v>69</v>
      </c>
      <c r="BX1382" t="s">
        <v>69</v>
      </c>
      <c r="BY1382" t="s">
        <v>69</v>
      </c>
      <c r="BZ1382" t="s">
        <v>8526</v>
      </c>
      <c r="CA1382" t="str">
        <f>HYPERLINK("https%3A%2F%2Fwww.webofscience.com%2Fwos%2Fwoscc%2Ffull-record%2FWOS:000461894800023","View Full Record in Web of Science")</f>
        <v>View Full Record in Web of Science</v>
      </c>
    </row>
    <row r="1383" spans="1:79" x14ac:dyDescent="0.3">
      <c r="B1383" t="s">
        <v>8495</v>
      </c>
      <c r="D1383" s="9" t="s">
        <v>32954</v>
      </c>
      <c r="E1383" s="9" t="s">
        <v>33146</v>
      </c>
      <c r="F1383" s="10" t="s">
        <v>8490</v>
      </c>
      <c r="G1383" s="9" t="s">
        <v>8490</v>
      </c>
      <c r="H1383" t="s">
        <v>67</v>
      </c>
      <c r="I1383" t="s">
        <v>12239</v>
      </c>
      <c r="J1383" t="s">
        <v>69</v>
      </c>
      <c r="K1383" t="s">
        <v>69</v>
      </c>
      <c r="L1383" t="s">
        <v>69</v>
      </c>
      <c r="M1383" t="s">
        <v>12240</v>
      </c>
      <c r="N1383" t="s">
        <v>69</v>
      </c>
      <c r="O1383" t="s">
        <v>69</v>
      </c>
      <c r="P1383" t="s">
        <v>12241</v>
      </c>
      <c r="Q1383" t="s">
        <v>252</v>
      </c>
      <c r="R1383" t="s">
        <v>69</v>
      </c>
      <c r="S1383" t="s">
        <v>69</v>
      </c>
      <c r="T1383" t="s">
        <v>8505</v>
      </c>
      <c r="U1383" t="s">
        <v>8506</v>
      </c>
      <c r="V1383" t="s">
        <v>69</v>
      </c>
      <c r="W1383" t="s">
        <v>69</v>
      </c>
      <c r="X1383" t="s">
        <v>69</v>
      </c>
      <c r="Y1383" t="s">
        <v>69</v>
      </c>
      <c r="Z1383" t="s">
        <v>69</v>
      </c>
      <c r="AA1383" t="s">
        <v>12242</v>
      </c>
      <c r="AB1383" t="s">
        <v>12243</v>
      </c>
      <c r="AC1383" t="s">
        <v>12244</v>
      </c>
      <c r="AD1383" t="s">
        <v>12245</v>
      </c>
      <c r="AE1383" t="s">
        <v>69</v>
      </c>
      <c r="AF1383" t="s">
        <v>12246</v>
      </c>
      <c r="AG1383" t="s">
        <v>12247</v>
      </c>
      <c r="AH1383" t="s">
        <v>69</v>
      </c>
      <c r="AI1383" t="s">
        <v>69</v>
      </c>
      <c r="AJ1383" t="s">
        <v>12248</v>
      </c>
      <c r="AK1383" t="s">
        <v>12249</v>
      </c>
      <c r="AL1383" t="s">
        <v>12250</v>
      </c>
      <c r="AM1383" t="s">
        <v>69</v>
      </c>
      <c r="AN1383">
        <v>50</v>
      </c>
      <c r="AO1383">
        <v>3</v>
      </c>
      <c r="AP1383">
        <v>3</v>
      </c>
      <c r="AQ1383">
        <v>1</v>
      </c>
      <c r="AR1383">
        <v>7</v>
      </c>
      <c r="AS1383" t="s">
        <v>8924</v>
      </c>
      <c r="AT1383" t="s">
        <v>8925</v>
      </c>
      <c r="AU1383" t="s">
        <v>8926</v>
      </c>
      <c r="AV1383" t="s">
        <v>69</v>
      </c>
      <c r="AW1383" t="s">
        <v>254</v>
      </c>
      <c r="AX1383" t="s">
        <v>69</v>
      </c>
      <c r="AY1383" t="s">
        <v>252</v>
      </c>
      <c r="AZ1383" t="s">
        <v>12251</v>
      </c>
      <c r="BA1383" t="s">
        <v>586</v>
      </c>
      <c r="BB1383">
        <v>2021</v>
      </c>
      <c r="BC1383">
        <v>12</v>
      </c>
      <c r="BD1383">
        <v>5</v>
      </c>
      <c r="BE1383" t="s">
        <v>69</v>
      </c>
      <c r="BF1383" t="s">
        <v>69</v>
      </c>
      <c r="BG1383" t="s">
        <v>69</v>
      </c>
      <c r="BH1383" t="s">
        <v>69</v>
      </c>
      <c r="BI1383" t="s">
        <v>69</v>
      </c>
      <c r="BJ1383" t="s">
        <v>69</v>
      </c>
      <c r="BK1383">
        <v>525</v>
      </c>
      <c r="BL1383" t="s">
        <v>12252</v>
      </c>
      <c r="BM1383" t="str">
        <f>HYPERLINK("http://dx.doi.org/10.3390/f12050525","http://dx.doi.org/10.3390/f12050525")</f>
        <v>http://dx.doi.org/10.3390/f12050525</v>
      </c>
      <c r="BN1383" t="s">
        <v>69</v>
      </c>
      <c r="BO1383" t="s">
        <v>69</v>
      </c>
      <c r="BP1383">
        <v>15</v>
      </c>
      <c r="BQ1383" t="s">
        <v>8453</v>
      </c>
      <c r="BR1383" t="s">
        <v>8523</v>
      </c>
      <c r="BS1383" t="s">
        <v>8453</v>
      </c>
      <c r="BT1383" t="s">
        <v>12253</v>
      </c>
      <c r="BU1383" t="s">
        <v>12254</v>
      </c>
      <c r="BV1383" t="s">
        <v>69</v>
      </c>
      <c r="BW1383" t="s">
        <v>8812</v>
      </c>
      <c r="BX1383" t="s">
        <v>69</v>
      </c>
      <c r="BY1383" t="s">
        <v>69</v>
      </c>
      <c r="BZ1383" t="s">
        <v>8526</v>
      </c>
      <c r="CA1383" t="str">
        <f>HYPERLINK("https%3A%2F%2Fwww.webofscience.com%2Fwos%2Fwoscc%2Ffull-record%2FWOS:000653937900001","View Full Record in Web of Science")</f>
        <v>View Full Record in Web of Science</v>
      </c>
    </row>
    <row r="1384" spans="1:79" ht="12.5" x14ac:dyDescent="0.25">
      <c r="B1384" t="s">
        <v>8495</v>
      </c>
      <c r="D1384" s="22" t="s">
        <v>32931</v>
      </c>
      <c r="E1384" s="7"/>
      <c r="F1384" s="7"/>
      <c r="G1384" s="7"/>
      <c r="H1384" t="s">
        <v>67</v>
      </c>
      <c r="I1384" t="s">
        <v>15794</v>
      </c>
      <c r="J1384" t="s">
        <v>69</v>
      </c>
      <c r="K1384" t="s">
        <v>69</v>
      </c>
      <c r="L1384" t="s">
        <v>69</v>
      </c>
      <c r="M1384" t="s">
        <v>15795</v>
      </c>
      <c r="N1384" t="s">
        <v>69</v>
      </c>
      <c r="O1384" t="s">
        <v>69</v>
      </c>
      <c r="P1384" t="s">
        <v>15796</v>
      </c>
      <c r="Q1384" t="s">
        <v>10856</v>
      </c>
      <c r="R1384" t="s">
        <v>69</v>
      </c>
      <c r="S1384" t="s">
        <v>69</v>
      </c>
      <c r="T1384" t="s">
        <v>8505</v>
      </c>
      <c r="U1384" t="s">
        <v>15797</v>
      </c>
      <c r="V1384" t="s">
        <v>15798</v>
      </c>
      <c r="W1384" t="s">
        <v>15799</v>
      </c>
      <c r="X1384" t="s">
        <v>15800</v>
      </c>
      <c r="Y1384" t="s">
        <v>15801</v>
      </c>
      <c r="Z1384" t="s">
        <v>69</v>
      </c>
      <c r="AA1384" t="s">
        <v>15802</v>
      </c>
      <c r="AB1384" t="s">
        <v>69</v>
      </c>
      <c r="AC1384" t="s">
        <v>15803</v>
      </c>
      <c r="AD1384" t="s">
        <v>15804</v>
      </c>
      <c r="AE1384" t="s">
        <v>69</v>
      </c>
      <c r="AF1384" t="s">
        <v>15805</v>
      </c>
      <c r="AG1384" t="s">
        <v>15806</v>
      </c>
      <c r="AH1384" t="s">
        <v>69</v>
      </c>
      <c r="AI1384" t="s">
        <v>69</v>
      </c>
      <c r="AJ1384" t="s">
        <v>69</v>
      </c>
      <c r="AK1384" t="s">
        <v>69</v>
      </c>
      <c r="AL1384" t="s">
        <v>69</v>
      </c>
      <c r="AM1384" t="s">
        <v>69</v>
      </c>
      <c r="AN1384">
        <v>2</v>
      </c>
      <c r="AO1384">
        <v>0</v>
      </c>
      <c r="AP1384">
        <v>0</v>
      </c>
      <c r="AQ1384">
        <v>1</v>
      </c>
      <c r="AR1384">
        <v>5</v>
      </c>
      <c r="AS1384" t="s">
        <v>10862</v>
      </c>
      <c r="AT1384" t="s">
        <v>10863</v>
      </c>
      <c r="AU1384" t="s">
        <v>10864</v>
      </c>
      <c r="AV1384" t="s">
        <v>10865</v>
      </c>
      <c r="AW1384" t="s">
        <v>10866</v>
      </c>
      <c r="AX1384" t="s">
        <v>69</v>
      </c>
      <c r="AY1384" t="s">
        <v>10867</v>
      </c>
      <c r="AZ1384" t="s">
        <v>10868</v>
      </c>
      <c r="BA1384" t="s">
        <v>191</v>
      </c>
      <c r="BB1384">
        <v>2020</v>
      </c>
      <c r="BC1384">
        <v>176</v>
      </c>
      <c r="BD1384" t="s">
        <v>69</v>
      </c>
      <c r="BE1384" t="s">
        <v>69</v>
      </c>
      <c r="BF1384" t="s">
        <v>69</v>
      </c>
      <c r="BG1384" t="s">
        <v>69</v>
      </c>
      <c r="BH1384" t="s">
        <v>69</v>
      </c>
      <c r="BI1384">
        <v>399</v>
      </c>
      <c r="BJ1384">
        <v>405</v>
      </c>
      <c r="BK1384" t="s">
        <v>69</v>
      </c>
      <c r="BL1384" t="s">
        <v>15807</v>
      </c>
      <c r="BM1384" t="str">
        <f>HYPERLINK("http://dx.doi.org/10.5004/dwt.2020.25551","http://dx.doi.org/10.5004/dwt.2020.25551")</f>
        <v>http://dx.doi.org/10.5004/dwt.2020.25551</v>
      </c>
      <c r="BN1384" t="s">
        <v>69</v>
      </c>
      <c r="BO1384" t="s">
        <v>69</v>
      </c>
      <c r="BP1384">
        <v>7</v>
      </c>
      <c r="BQ1384" t="s">
        <v>10870</v>
      </c>
      <c r="BR1384" t="s">
        <v>15808</v>
      </c>
      <c r="BS1384" t="s">
        <v>9230</v>
      </c>
      <c r="BT1384" t="s">
        <v>15809</v>
      </c>
      <c r="BU1384" t="s">
        <v>15810</v>
      </c>
      <c r="BV1384" t="s">
        <v>69</v>
      </c>
      <c r="BW1384" t="s">
        <v>69</v>
      </c>
      <c r="BX1384" t="s">
        <v>69</v>
      </c>
      <c r="BY1384" t="s">
        <v>69</v>
      </c>
      <c r="BZ1384" t="s">
        <v>8526</v>
      </c>
      <c r="CA1384" t="str">
        <f>HYPERLINK("https%3A%2F%2Fwww.webofscience.com%2Fwos%2Fwoscc%2Ffull-record%2FWOS:000544992300063","View Full Record in Web of Science")</f>
        <v>View Full Record in Web of Science</v>
      </c>
    </row>
    <row r="1385" spans="1:79" ht="12.5" x14ac:dyDescent="0.25">
      <c r="B1385" t="s">
        <v>8495</v>
      </c>
      <c r="D1385" s="22" t="s">
        <v>32931</v>
      </c>
      <c r="E1385" s="7"/>
      <c r="F1385" s="7"/>
      <c r="G1385" s="7"/>
      <c r="H1385" t="s">
        <v>67</v>
      </c>
      <c r="I1385" t="s">
        <v>29780</v>
      </c>
      <c r="J1385" t="s">
        <v>69</v>
      </c>
      <c r="K1385" t="s">
        <v>69</v>
      </c>
      <c r="L1385" t="s">
        <v>69</v>
      </c>
      <c r="M1385" t="s">
        <v>29781</v>
      </c>
      <c r="N1385" t="s">
        <v>69</v>
      </c>
      <c r="O1385" t="s">
        <v>69</v>
      </c>
      <c r="P1385" t="s">
        <v>29782</v>
      </c>
      <c r="Q1385" t="s">
        <v>29783</v>
      </c>
      <c r="R1385" t="s">
        <v>69</v>
      </c>
      <c r="S1385" t="s">
        <v>69</v>
      </c>
      <c r="T1385" t="s">
        <v>8505</v>
      </c>
      <c r="U1385" t="s">
        <v>8506</v>
      </c>
      <c r="V1385" t="s">
        <v>69</v>
      </c>
      <c r="W1385" t="s">
        <v>69</v>
      </c>
      <c r="X1385" t="s">
        <v>69</v>
      </c>
      <c r="Y1385" t="s">
        <v>69</v>
      </c>
      <c r="Z1385" t="s">
        <v>69</v>
      </c>
      <c r="AA1385" t="s">
        <v>29784</v>
      </c>
      <c r="AB1385" t="s">
        <v>69</v>
      </c>
      <c r="AC1385" t="s">
        <v>29785</v>
      </c>
      <c r="AD1385" t="s">
        <v>29786</v>
      </c>
      <c r="AE1385" t="s">
        <v>69</v>
      </c>
      <c r="AF1385" t="s">
        <v>29787</v>
      </c>
      <c r="AG1385" t="s">
        <v>29788</v>
      </c>
      <c r="AH1385" t="s">
        <v>69</v>
      </c>
      <c r="AI1385" t="s">
        <v>69</v>
      </c>
      <c r="AJ1385" t="s">
        <v>69</v>
      </c>
      <c r="AK1385" t="s">
        <v>69</v>
      </c>
      <c r="AL1385" t="s">
        <v>69</v>
      </c>
      <c r="AM1385" t="s">
        <v>69</v>
      </c>
      <c r="AN1385">
        <v>52</v>
      </c>
      <c r="AO1385">
        <v>0</v>
      </c>
      <c r="AP1385">
        <v>0</v>
      </c>
      <c r="AQ1385">
        <v>0</v>
      </c>
      <c r="AR1385">
        <v>0</v>
      </c>
      <c r="AS1385" t="s">
        <v>8762</v>
      </c>
      <c r="AT1385" t="s">
        <v>8763</v>
      </c>
      <c r="AU1385" t="s">
        <v>8764</v>
      </c>
      <c r="AV1385" t="s">
        <v>29789</v>
      </c>
      <c r="AW1385" t="s">
        <v>29790</v>
      </c>
      <c r="AX1385" t="s">
        <v>69</v>
      </c>
      <c r="AY1385" t="s">
        <v>29791</v>
      </c>
      <c r="AZ1385" t="s">
        <v>29792</v>
      </c>
      <c r="BA1385" t="s">
        <v>191</v>
      </c>
      <c r="BB1385">
        <v>2007</v>
      </c>
      <c r="BC1385">
        <v>21</v>
      </c>
      <c r="BD1385">
        <v>1</v>
      </c>
      <c r="BE1385" t="s">
        <v>69</v>
      </c>
      <c r="BF1385" t="s">
        <v>69</v>
      </c>
      <c r="BG1385" t="s">
        <v>69</v>
      </c>
      <c r="BH1385" t="s">
        <v>69</v>
      </c>
      <c r="BI1385">
        <v>31</v>
      </c>
      <c r="BJ1385">
        <v>42</v>
      </c>
      <c r="BK1385" t="s">
        <v>69</v>
      </c>
      <c r="BL1385" t="s">
        <v>29793</v>
      </c>
      <c r="BM1385" t="str">
        <f>HYPERLINK("http://dx.doi.org/10.5367/000000007780222741","http://dx.doi.org/10.5367/000000007780222741")</f>
        <v>http://dx.doi.org/10.5367/000000007780222741</v>
      </c>
      <c r="BN1385" t="s">
        <v>69</v>
      </c>
      <c r="BO1385" t="s">
        <v>69</v>
      </c>
      <c r="BP1385">
        <v>12</v>
      </c>
      <c r="BQ1385" t="s">
        <v>9290</v>
      </c>
      <c r="BR1385" t="s">
        <v>8573</v>
      </c>
      <c r="BS1385" t="s">
        <v>9290</v>
      </c>
      <c r="BT1385" t="s">
        <v>29794</v>
      </c>
      <c r="BU1385" t="s">
        <v>29795</v>
      </c>
      <c r="BV1385" t="s">
        <v>69</v>
      </c>
      <c r="BW1385" t="s">
        <v>69</v>
      </c>
      <c r="BX1385" t="s">
        <v>69</v>
      </c>
      <c r="BY1385" t="s">
        <v>69</v>
      </c>
      <c r="BZ1385" t="s">
        <v>8526</v>
      </c>
      <c r="CA1385" t="str">
        <f>HYPERLINK("https%3A%2F%2Fwww.webofscience.com%2Fwos%2Fwoscc%2Ffull-record%2FWOS:000442230200009","View Full Record in Web of Science")</f>
        <v>View Full Record in Web of Science</v>
      </c>
    </row>
    <row r="1386" spans="1:79" ht="12.5" x14ac:dyDescent="0.25">
      <c r="B1386" t="s">
        <v>8495</v>
      </c>
      <c r="D1386" s="7" t="s">
        <v>32933</v>
      </c>
      <c r="E1386" s="7"/>
      <c r="F1386" s="7"/>
      <c r="G1386" s="7"/>
      <c r="H1386" t="s">
        <v>67</v>
      </c>
      <c r="I1386" t="s">
        <v>6309</v>
      </c>
      <c r="J1386" t="s">
        <v>69</v>
      </c>
      <c r="K1386" t="s">
        <v>69</v>
      </c>
      <c r="L1386" t="s">
        <v>69</v>
      </c>
      <c r="M1386" t="s">
        <v>6310</v>
      </c>
      <c r="N1386" t="s">
        <v>69</v>
      </c>
      <c r="O1386" t="s">
        <v>69</v>
      </c>
      <c r="P1386" s="3" t="s">
        <v>6311</v>
      </c>
      <c r="Q1386" t="s">
        <v>436</v>
      </c>
      <c r="R1386" t="s">
        <v>69</v>
      </c>
      <c r="S1386" t="s">
        <v>69</v>
      </c>
      <c r="T1386" t="s">
        <v>8505</v>
      </c>
      <c r="U1386" t="s">
        <v>8506</v>
      </c>
      <c r="V1386" t="s">
        <v>69</v>
      </c>
      <c r="W1386" t="s">
        <v>69</v>
      </c>
      <c r="X1386" t="s">
        <v>69</v>
      </c>
      <c r="Y1386" t="s">
        <v>69</v>
      </c>
      <c r="Z1386" t="s">
        <v>69</v>
      </c>
      <c r="AA1386" t="s">
        <v>18011</v>
      </c>
      <c r="AB1386" t="s">
        <v>18012</v>
      </c>
      <c r="AC1386" t="s">
        <v>6312</v>
      </c>
      <c r="AD1386" t="s">
        <v>18013</v>
      </c>
      <c r="AE1386" t="s">
        <v>69</v>
      </c>
      <c r="AF1386" t="s">
        <v>18014</v>
      </c>
      <c r="AG1386" t="s">
        <v>18015</v>
      </c>
      <c r="AH1386" t="s">
        <v>69</v>
      </c>
      <c r="AI1386" t="s">
        <v>69</v>
      </c>
      <c r="AJ1386" t="s">
        <v>18016</v>
      </c>
      <c r="AK1386" t="s">
        <v>18017</v>
      </c>
      <c r="AL1386" t="s">
        <v>18018</v>
      </c>
      <c r="AM1386" t="s">
        <v>69</v>
      </c>
      <c r="AN1386">
        <v>45</v>
      </c>
      <c r="AO1386">
        <v>45</v>
      </c>
      <c r="AP1386">
        <v>46</v>
      </c>
      <c r="AQ1386">
        <v>6</v>
      </c>
      <c r="AR1386">
        <v>48</v>
      </c>
      <c r="AS1386" t="s">
        <v>8636</v>
      </c>
      <c r="AT1386" t="s">
        <v>8637</v>
      </c>
      <c r="AU1386" t="s">
        <v>8638</v>
      </c>
      <c r="AV1386" t="s">
        <v>440</v>
      </c>
      <c r="AW1386" t="s">
        <v>441</v>
      </c>
      <c r="AX1386" t="s">
        <v>69</v>
      </c>
      <c r="AY1386" t="s">
        <v>8639</v>
      </c>
      <c r="AZ1386" t="s">
        <v>8640</v>
      </c>
      <c r="BA1386" t="s">
        <v>6313</v>
      </c>
      <c r="BB1386">
        <v>2018</v>
      </c>
      <c r="BC1386">
        <v>205</v>
      </c>
      <c r="BD1386" t="s">
        <v>69</v>
      </c>
      <c r="BE1386" t="s">
        <v>69</v>
      </c>
      <c r="BF1386" t="s">
        <v>69</v>
      </c>
      <c r="BG1386" t="s">
        <v>69</v>
      </c>
      <c r="BH1386" t="s">
        <v>69</v>
      </c>
      <c r="BI1386">
        <v>1006</v>
      </c>
      <c r="BJ1386">
        <v>1016</v>
      </c>
      <c r="BK1386" t="s">
        <v>69</v>
      </c>
      <c r="BL1386" t="s">
        <v>6314</v>
      </c>
      <c r="BM1386" t="str">
        <f>HYPERLINK("http://dx.doi.org/10.1016/j.jclepro.2018.09.132","http://dx.doi.org/10.1016/j.jclepro.2018.09.132")</f>
        <v>http://dx.doi.org/10.1016/j.jclepro.2018.09.132</v>
      </c>
      <c r="BN1386" t="s">
        <v>69</v>
      </c>
      <c r="BO1386" t="s">
        <v>69</v>
      </c>
      <c r="BP1386">
        <v>11</v>
      </c>
      <c r="BQ1386" t="s">
        <v>8643</v>
      </c>
      <c r="BR1386" t="s">
        <v>8523</v>
      </c>
      <c r="BS1386" t="s">
        <v>8644</v>
      </c>
      <c r="BT1386" t="s">
        <v>18019</v>
      </c>
      <c r="BU1386" t="s">
        <v>6315</v>
      </c>
      <c r="BV1386" t="s">
        <v>69</v>
      </c>
      <c r="BW1386" t="s">
        <v>69</v>
      </c>
      <c r="BX1386" t="s">
        <v>69</v>
      </c>
      <c r="BY1386" t="s">
        <v>69</v>
      </c>
      <c r="BZ1386" t="s">
        <v>8526</v>
      </c>
      <c r="CA1386" t="str">
        <f>HYPERLINK("https%3A%2F%2Fwww.webofscience.com%2Fwos%2Fwoscc%2Ffull-record%2FWOS:000449133300081","View Full Record in Web of Science")</f>
        <v>View Full Record in Web of Science</v>
      </c>
    </row>
    <row r="1387" spans="1:79" ht="12.5" x14ac:dyDescent="0.25">
      <c r="B1387" t="s">
        <v>8495</v>
      </c>
      <c r="D1387" s="15" t="s">
        <v>33011</v>
      </c>
      <c r="E1387" s="7"/>
      <c r="F1387" s="7"/>
      <c r="G1387" s="7"/>
      <c r="H1387" t="s">
        <v>67</v>
      </c>
      <c r="I1387" t="s">
        <v>7812</v>
      </c>
      <c r="J1387" t="s">
        <v>69</v>
      </c>
      <c r="K1387" t="s">
        <v>69</v>
      </c>
      <c r="L1387" t="s">
        <v>69</v>
      </c>
      <c r="M1387" s="3" t="s">
        <v>7812</v>
      </c>
      <c r="N1387" t="s">
        <v>69</v>
      </c>
      <c r="O1387" t="s">
        <v>69</v>
      </c>
      <c r="P1387" s="11" t="s">
        <v>7813</v>
      </c>
      <c r="Q1387" t="s">
        <v>7814</v>
      </c>
      <c r="R1387" t="s">
        <v>69</v>
      </c>
      <c r="S1387" t="s">
        <v>69</v>
      </c>
      <c r="T1387" t="s">
        <v>8505</v>
      </c>
      <c r="U1387" t="s">
        <v>8506</v>
      </c>
      <c r="V1387" t="s">
        <v>69</v>
      </c>
      <c r="W1387" t="s">
        <v>69</v>
      </c>
      <c r="X1387" t="s">
        <v>69</v>
      </c>
      <c r="Y1387" t="s">
        <v>69</v>
      </c>
      <c r="Z1387" t="s">
        <v>69</v>
      </c>
      <c r="AA1387" t="s">
        <v>69</v>
      </c>
      <c r="AB1387" t="s">
        <v>69</v>
      </c>
      <c r="AC1387" t="s">
        <v>7815</v>
      </c>
      <c r="AD1387" t="s">
        <v>69</v>
      </c>
      <c r="AE1387" t="s">
        <v>69</v>
      </c>
      <c r="AF1387" t="s">
        <v>32715</v>
      </c>
      <c r="AG1387" t="s">
        <v>69</v>
      </c>
      <c r="AH1387" t="s">
        <v>69</v>
      </c>
      <c r="AI1387" t="s">
        <v>69</v>
      </c>
      <c r="AJ1387" t="s">
        <v>69</v>
      </c>
      <c r="AK1387" t="s">
        <v>69</v>
      </c>
      <c r="AL1387" t="s">
        <v>69</v>
      </c>
      <c r="AM1387" t="s">
        <v>69</v>
      </c>
      <c r="AN1387">
        <v>6</v>
      </c>
      <c r="AO1387">
        <v>2</v>
      </c>
      <c r="AP1387">
        <v>2</v>
      </c>
      <c r="AQ1387">
        <v>0</v>
      </c>
      <c r="AR1387">
        <v>0</v>
      </c>
      <c r="AS1387" t="s">
        <v>32716</v>
      </c>
      <c r="AT1387" t="s">
        <v>8693</v>
      </c>
      <c r="AU1387" t="s">
        <v>32717</v>
      </c>
      <c r="AV1387" t="s">
        <v>7816</v>
      </c>
      <c r="AW1387" t="s">
        <v>69</v>
      </c>
      <c r="AX1387" t="s">
        <v>69</v>
      </c>
      <c r="AY1387" t="s">
        <v>7814</v>
      </c>
      <c r="AZ1387" t="s">
        <v>32718</v>
      </c>
      <c r="BA1387" t="s">
        <v>1710</v>
      </c>
      <c r="BB1387">
        <v>1993</v>
      </c>
      <c r="BC1387">
        <v>17</v>
      </c>
      <c r="BD1387">
        <v>4</v>
      </c>
      <c r="BE1387" t="s">
        <v>69</v>
      </c>
      <c r="BF1387" t="s">
        <v>69</v>
      </c>
      <c r="BG1387" t="s">
        <v>69</v>
      </c>
      <c r="BH1387" t="s">
        <v>69</v>
      </c>
      <c r="BI1387">
        <v>245</v>
      </c>
      <c r="BJ1387">
        <v>253</v>
      </c>
      <c r="BK1387" t="s">
        <v>69</v>
      </c>
      <c r="BL1387" t="s">
        <v>7817</v>
      </c>
      <c r="BM1387" t="str">
        <f>HYPERLINK("http://dx.doi.org/10.1007/BF01419722","http://dx.doi.org/10.1007/BF01419722")</f>
        <v>http://dx.doi.org/10.1007/BF01419722</v>
      </c>
      <c r="BN1387" t="s">
        <v>69</v>
      </c>
      <c r="BO1387" t="s">
        <v>69</v>
      </c>
      <c r="BP1387">
        <v>9</v>
      </c>
      <c r="BQ1387" t="s">
        <v>30877</v>
      </c>
      <c r="BR1387" t="s">
        <v>8661</v>
      </c>
      <c r="BS1387" t="s">
        <v>9001</v>
      </c>
      <c r="BT1387" t="s">
        <v>32719</v>
      </c>
      <c r="BU1387" t="s">
        <v>7818</v>
      </c>
      <c r="BV1387" t="s">
        <v>69</v>
      </c>
      <c r="BW1387" t="s">
        <v>69</v>
      </c>
      <c r="BX1387" t="s">
        <v>69</v>
      </c>
      <c r="BY1387" t="s">
        <v>69</v>
      </c>
      <c r="BZ1387" t="s">
        <v>8526</v>
      </c>
      <c r="CA1387" t="str">
        <f>HYPERLINK("https%3A%2F%2Fwww.webofscience.com%2Fwos%2Fwoscc%2Ffull-record%2FWOS:A1993MQ81200005","View Full Record in Web of Science")</f>
        <v>View Full Record in Web of Science</v>
      </c>
    </row>
    <row r="1388" spans="1:79" ht="12.5" x14ac:dyDescent="0.25">
      <c r="B1388" t="s">
        <v>8495</v>
      </c>
      <c r="D1388" s="7" t="s">
        <v>32933</v>
      </c>
      <c r="E1388" s="7"/>
      <c r="F1388" s="7"/>
      <c r="G1388" s="7"/>
      <c r="H1388" t="s">
        <v>67</v>
      </c>
      <c r="I1388" t="s">
        <v>1741</v>
      </c>
      <c r="J1388" t="s">
        <v>69</v>
      </c>
      <c r="K1388" t="s">
        <v>69</v>
      </c>
      <c r="L1388" t="s">
        <v>69</v>
      </c>
      <c r="M1388" t="s">
        <v>1741</v>
      </c>
      <c r="N1388" t="s">
        <v>69</v>
      </c>
      <c r="O1388" t="s">
        <v>69</v>
      </c>
      <c r="P1388" t="s">
        <v>1742</v>
      </c>
      <c r="Q1388" t="s">
        <v>1743</v>
      </c>
      <c r="R1388" t="s">
        <v>69</v>
      </c>
      <c r="S1388" t="s">
        <v>69</v>
      </c>
      <c r="T1388" t="s">
        <v>8505</v>
      </c>
      <c r="U1388" t="s">
        <v>8506</v>
      </c>
      <c r="V1388" t="s">
        <v>69</v>
      </c>
      <c r="W1388" t="s">
        <v>69</v>
      </c>
      <c r="X1388" t="s">
        <v>69</v>
      </c>
      <c r="Y1388" t="s">
        <v>69</v>
      </c>
      <c r="Z1388" t="s">
        <v>69</v>
      </c>
      <c r="AA1388" t="s">
        <v>69</v>
      </c>
      <c r="AB1388" t="s">
        <v>26594</v>
      </c>
      <c r="AC1388" t="s">
        <v>1744</v>
      </c>
      <c r="AD1388" t="s">
        <v>31789</v>
      </c>
      <c r="AE1388" t="s">
        <v>69</v>
      </c>
      <c r="AF1388" t="s">
        <v>31790</v>
      </c>
      <c r="AG1388" t="s">
        <v>69</v>
      </c>
      <c r="AH1388" t="s">
        <v>69</v>
      </c>
      <c r="AI1388" t="s">
        <v>69</v>
      </c>
      <c r="AJ1388" t="s">
        <v>69</v>
      </c>
      <c r="AK1388" t="s">
        <v>69</v>
      </c>
      <c r="AL1388" t="s">
        <v>69</v>
      </c>
      <c r="AM1388" t="s">
        <v>69</v>
      </c>
      <c r="AN1388">
        <v>30</v>
      </c>
      <c r="AO1388">
        <v>9</v>
      </c>
      <c r="AP1388">
        <v>9</v>
      </c>
      <c r="AQ1388">
        <v>0</v>
      </c>
      <c r="AR1388">
        <v>1</v>
      </c>
      <c r="AS1388" t="s">
        <v>30740</v>
      </c>
      <c r="AT1388" t="s">
        <v>8637</v>
      </c>
      <c r="AU1388" t="s">
        <v>30741</v>
      </c>
      <c r="AV1388" t="s">
        <v>1745</v>
      </c>
      <c r="AW1388" t="s">
        <v>69</v>
      </c>
      <c r="AX1388" t="s">
        <v>69</v>
      </c>
      <c r="AY1388" t="s">
        <v>31791</v>
      </c>
      <c r="AZ1388" t="s">
        <v>31792</v>
      </c>
      <c r="BA1388" t="s">
        <v>84</v>
      </c>
      <c r="BB1388">
        <v>2000</v>
      </c>
      <c r="BC1388">
        <v>21</v>
      </c>
      <c r="BD1388">
        <v>2</v>
      </c>
      <c r="BE1388" t="s">
        <v>69</v>
      </c>
      <c r="BF1388" t="s">
        <v>69</v>
      </c>
      <c r="BG1388" t="s">
        <v>69</v>
      </c>
      <c r="BH1388" t="s">
        <v>69</v>
      </c>
      <c r="BI1388">
        <v>183</v>
      </c>
      <c r="BJ1388">
        <v>199</v>
      </c>
      <c r="BK1388" t="s">
        <v>69</v>
      </c>
      <c r="BL1388" t="s">
        <v>1746</v>
      </c>
      <c r="BM1388" t="str">
        <f>HYPERLINK("http://dx.doi.org/10.1111/1467-9493.00074","http://dx.doi.org/10.1111/1467-9493.00074")</f>
        <v>http://dx.doi.org/10.1111/1467-9493.00074</v>
      </c>
      <c r="BN1388" t="s">
        <v>69</v>
      </c>
      <c r="BO1388" t="s">
        <v>69</v>
      </c>
      <c r="BP1388">
        <v>17</v>
      </c>
      <c r="BQ1388" t="s">
        <v>8446</v>
      </c>
      <c r="BR1388" t="s">
        <v>8661</v>
      </c>
      <c r="BS1388" t="s">
        <v>8446</v>
      </c>
      <c r="BT1388" t="s">
        <v>31793</v>
      </c>
      <c r="BU1388" t="s">
        <v>1747</v>
      </c>
      <c r="BV1388" t="s">
        <v>69</v>
      </c>
      <c r="BW1388" t="s">
        <v>69</v>
      </c>
      <c r="BX1388" t="s">
        <v>69</v>
      </c>
      <c r="BY1388" t="s">
        <v>69</v>
      </c>
      <c r="BZ1388" t="s">
        <v>8526</v>
      </c>
      <c r="CA1388" t="str">
        <f>HYPERLINK("https%3A%2F%2Fwww.webofscience.com%2Fwos%2Fwoscc%2Ffull-record%2FWOS:000088974100005","View Full Record in Web of Science")</f>
        <v>View Full Record in Web of Science</v>
      </c>
    </row>
    <row r="1389" spans="1:79" ht="12.5" x14ac:dyDescent="0.25">
      <c r="B1389" t="s">
        <v>8495</v>
      </c>
      <c r="D1389" s="7" t="s">
        <v>32933</v>
      </c>
      <c r="E1389" s="7"/>
      <c r="F1389" s="7"/>
      <c r="G1389" s="7"/>
      <c r="H1389" t="s">
        <v>67</v>
      </c>
      <c r="I1389" t="s">
        <v>3860</v>
      </c>
      <c r="J1389" t="s">
        <v>69</v>
      </c>
      <c r="K1389" t="s">
        <v>69</v>
      </c>
      <c r="L1389" t="s">
        <v>69</v>
      </c>
      <c r="M1389" t="s">
        <v>3861</v>
      </c>
      <c r="N1389" t="s">
        <v>69</v>
      </c>
      <c r="O1389" t="s">
        <v>69</v>
      </c>
      <c r="P1389" t="s">
        <v>3862</v>
      </c>
      <c r="Q1389" t="s">
        <v>2720</v>
      </c>
      <c r="R1389" t="s">
        <v>69</v>
      </c>
      <c r="S1389" t="s">
        <v>69</v>
      </c>
      <c r="T1389" t="s">
        <v>8505</v>
      </c>
      <c r="U1389" t="s">
        <v>8506</v>
      </c>
      <c r="V1389" t="s">
        <v>69</v>
      </c>
      <c r="W1389" t="s">
        <v>69</v>
      </c>
      <c r="X1389" t="s">
        <v>69</v>
      </c>
      <c r="Y1389" t="s">
        <v>69</v>
      </c>
      <c r="Z1389" t="s">
        <v>69</v>
      </c>
      <c r="AA1389" t="s">
        <v>30518</v>
      </c>
      <c r="AB1389" t="s">
        <v>69</v>
      </c>
      <c r="AC1389" t="s">
        <v>3863</v>
      </c>
      <c r="AD1389" t="s">
        <v>30519</v>
      </c>
      <c r="AE1389" t="s">
        <v>69</v>
      </c>
      <c r="AF1389" t="s">
        <v>30520</v>
      </c>
      <c r="AG1389" t="s">
        <v>69</v>
      </c>
      <c r="AH1389" t="s">
        <v>3864</v>
      </c>
      <c r="AI1389" t="s">
        <v>3865</v>
      </c>
      <c r="AJ1389" t="s">
        <v>69</v>
      </c>
      <c r="AK1389" t="s">
        <v>69</v>
      </c>
      <c r="AL1389" t="s">
        <v>69</v>
      </c>
      <c r="AM1389" t="s">
        <v>69</v>
      </c>
      <c r="AN1389">
        <v>15</v>
      </c>
      <c r="AO1389">
        <v>5</v>
      </c>
      <c r="AP1389">
        <v>5</v>
      </c>
      <c r="AQ1389">
        <v>0</v>
      </c>
      <c r="AR1389">
        <v>19</v>
      </c>
      <c r="AS1389" t="s">
        <v>8586</v>
      </c>
      <c r="AT1389" t="s">
        <v>8587</v>
      </c>
      <c r="AU1389" t="s">
        <v>8588</v>
      </c>
      <c r="AV1389" t="s">
        <v>2724</v>
      </c>
      <c r="AW1389" t="s">
        <v>2725</v>
      </c>
      <c r="AX1389" t="s">
        <v>69</v>
      </c>
      <c r="AY1389" t="s">
        <v>20625</v>
      </c>
      <c r="AZ1389" t="s">
        <v>20626</v>
      </c>
      <c r="BA1389" t="s">
        <v>69</v>
      </c>
      <c r="BB1389">
        <v>2006</v>
      </c>
      <c r="BC1389">
        <v>19</v>
      </c>
      <c r="BD1389">
        <v>6</v>
      </c>
      <c r="BE1389" t="s">
        <v>69</v>
      </c>
      <c r="BF1389" t="s">
        <v>69</v>
      </c>
      <c r="BG1389" t="s">
        <v>69</v>
      </c>
      <c r="BH1389" t="s">
        <v>69</v>
      </c>
      <c r="BI1389">
        <v>760</v>
      </c>
      <c r="BJ1389">
        <v>765</v>
      </c>
      <c r="BK1389" t="s">
        <v>69</v>
      </c>
      <c r="BL1389" t="s">
        <v>3866</v>
      </c>
      <c r="BM1389" t="str">
        <f>HYPERLINK("http://dx.doi.org/10.1108/09534810610708413","http://dx.doi.org/10.1108/09534810610708413")</f>
        <v>http://dx.doi.org/10.1108/09534810610708413</v>
      </c>
      <c r="BN1389" t="s">
        <v>69</v>
      </c>
      <c r="BO1389" t="s">
        <v>69</v>
      </c>
      <c r="BP1389">
        <v>6</v>
      </c>
      <c r="BQ1389" t="s">
        <v>9410</v>
      </c>
      <c r="BR1389" t="s">
        <v>8661</v>
      </c>
      <c r="BS1389" t="s">
        <v>8594</v>
      </c>
      <c r="BT1389" t="s">
        <v>30521</v>
      </c>
      <c r="BU1389" t="s">
        <v>3867</v>
      </c>
      <c r="BV1389" t="s">
        <v>69</v>
      </c>
      <c r="BW1389" t="s">
        <v>69</v>
      </c>
      <c r="BX1389" t="s">
        <v>69</v>
      </c>
      <c r="BY1389" t="s">
        <v>69</v>
      </c>
      <c r="BZ1389" t="s">
        <v>8526</v>
      </c>
      <c r="CA1389" t="str">
        <f>HYPERLINK("https%3A%2F%2Fwww.webofscience.com%2Fwos%2Fwoscc%2Ffull-record%2FWOS:000242523900009","View Full Record in Web of Science")</f>
        <v>View Full Record in Web of Science</v>
      </c>
    </row>
    <row r="1390" spans="1:79" ht="12.5" x14ac:dyDescent="0.25">
      <c r="B1390" t="s">
        <v>8495</v>
      </c>
      <c r="D1390" s="22" t="s">
        <v>32931</v>
      </c>
      <c r="E1390" s="7"/>
      <c r="F1390" s="7"/>
      <c r="G1390" s="7"/>
      <c r="H1390" t="s">
        <v>67</v>
      </c>
      <c r="I1390" t="s">
        <v>11335</v>
      </c>
      <c r="J1390" t="s">
        <v>69</v>
      </c>
      <c r="K1390" t="s">
        <v>69</v>
      </c>
      <c r="L1390" t="s">
        <v>69</v>
      </c>
      <c r="M1390" t="s">
        <v>11336</v>
      </c>
      <c r="N1390" t="s">
        <v>69</v>
      </c>
      <c r="O1390" t="s">
        <v>69</v>
      </c>
      <c r="P1390" t="s">
        <v>11337</v>
      </c>
      <c r="Q1390" t="s">
        <v>5400</v>
      </c>
      <c r="R1390" t="s">
        <v>69</v>
      </c>
      <c r="S1390" t="s">
        <v>69</v>
      </c>
      <c r="T1390" t="s">
        <v>8505</v>
      </c>
      <c r="U1390" t="s">
        <v>8506</v>
      </c>
      <c r="V1390" t="s">
        <v>69</v>
      </c>
      <c r="W1390" t="s">
        <v>69</v>
      </c>
      <c r="X1390" t="s">
        <v>69</v>
      </c>
      <c r="Y1390" t="s">
        <v>69</v>
      </c>
      <c r="Z1390" t="s">
        <v>69</v>
      </c>
      <c r="AA1390" t="s">
        <v>11338</v>
      </c>
      <c r="AB1390" t="s">
        <v>11339</v>
      </c>
      <c r="AC1390" t="s">
        <v>11340</v>
      </c>
      <c r="AD1390" t="s">
        <v>11341</v>
      </c>
      <c r="AE1390" t="s">
        <v>69</v>
      </c>
      <c r="AF1390" t="s">
        <v>11342</v>
      </c>
      <c r="AG1390" t="s">
        <v>11343</v>
      </c>
      <c r="AH1390" t="s">
        <v>69</v>
      </c>
      <c r="AI1390" t="s">
        <v>69</v>
      </c>
      <c r="AJ1390" t="s">
        <v>11344</v>
      </c>
      <c r="AK1390" t="s">
        <v>11345</v>
      </c>
      <c r="AL1390" t="s">
        <v>11346</v>
      </c>
      <c r="AM1390" t="s">
        <v>69</v>
      </c>
      <c r="AN1390">
        <v>94</v>
      </c>
      <c r="AO1390">
        <v>0</v>
      </c>
      <c r="AP1390">
        <v>0</v>
      </c>
      <c r="AQ1390">
        <v>3</v>
      </c>
      <c r="AR1390">
        <v>5</v>
      </c>
      <c r="AS1390" t="s">
        <v>8516</v>
      </c>
      <c r="AT1390" t="s">
        <v>8517</v>
      </c>
      <c r="AU1390" t="s">
        <v>8518</v>
      </c>
      <c r="AV1390" t="s">
        <v>5402</v>
      </c>
      <c r="AW1390" t="s">
        <v>5403</v>
      </c>
      <c r="AX1390" t="s">
        <v>69</v>
      </c>
      <c r="AY1390" t="s">
        <v>8974</v>
      </c>
      <c r="AZ1390" t="s">
        <v>8975</v>
      </c>
      <c r="BA1390" t="s">
        <v>75</v>
      </c>
      <c r="BB1390">
        <v>2021</v>
      </c>
      <c r="BC1390">
        <v>82</v>
      </c>
      <c r="BD1390" t="s">
        <v>69</v>
      </c>
      <c r="BE1390" t="s">
        <v>69</v>
      </c>
      <c r="BF1390" t="s">
        <v>69</v>
      </c>
      <c r="BG1390" t="s">
        <v>69</v>
      </c>
      <c r="BH1390" t="s">
        <v>69</v>
      </c>
      <c r="BI1390" t="s">
        <v>69</v>
      </c>
      <c r="BJ1390" t="s">
        <v>69</v>
      </c>
      <c r="BK1390">
        <v>102308</v>
      </c>
      <c r="BL1390" t="s">
        <v>11347</v>
      </c>
      <c r="BM1390" t="str">
        <f>HYPERLINK("http://dx.doi.org/10.1016/j.erss.2021.102308","http://dx.doi.org/10.1016/j.erss.2021.102308")</f>
        <v>http://dx.doi.org/10.1016/j.erss.2021.102308</v>
      </c>
      <c r="BN1390" t="s">
        <v>69</v>
      </c>
      <c r="BO1390" t="s">
        <v>11299</v>
      </c>
      <c r="BP1390">
        <v>10</v>
      </c>
      <c r="BQ1390" t="s">
        <v>8660</v>
      </c>
      <c r="BR1390" t="s">
        <v>8661</v>
      </c>
      <c r="BS1390" t="s">
        <v>8662</v>
      </c>
      <c r="BT1390" t="s">
        <v>11348</v>
      </c>
      <c r="BU1390" t="s">
        <v>11349</v>
      </c>
      <c r="BV1390" t="s">
        <v>69</v>
      </c>
      <c r="BW1390" t="s">
        <v>69</v>
      </c>
      <c r="BX1390" t="s">
        <v>69</v>
      </c>
      <c r="BY1390" t="s">
        <v>69</v>
      </c>
      <c r="BZ1390" t="s">
        <v>8526</v>
      </c>
      <c r="CA1390" t="str">
        <f>HYPERLINK("https%3A%2F%2Fwww.webofscience.com%2Fwos%2Fwoscc%2Ffull-record%2FWOS:000722894900011","View Full Record in Web of Science")</f>
        <v>View Full Record in Web of Science</v>
      </c>
    </row>
    <row r="1391" spans="1:79" ht="12.5" x14ac:dyDescent="0.25">
      <c r="B1391" t="s">
        <v>8495</v>
      </c>
      <c r="D1391" s="7" t="s">
        <v>32933</v>
      </c>
      <c r="E1391" s="7"/>
      <c r="F1391" s="7"/>
      <c r="G1391" s="7"/>
      <c r="H1391" t="s">
        <v>67</v>
      </c>
      <c r="I1391" t="s">
        <v>230</v>
      </c>
      <c r="J1391" t="s">
        <v>69</v>
      </c>
      <c r="K1391" t="s">
        <v>69</v>
      </c>
      <c r="L1391" t="s">
        <v>69</v>
      </c>
      <c r="M1391" t="s">
        <v>230</v>
      </c>
      <c r="N1391" t="s">
        <v>69</v>
      </c>
      <c r="O1391" t="s">
        <v>69</v>
      </c>
      <c r="P1391" t="s">
        <v>231</v>
      </c>
      <c r="Q1391" t="s">
        <v>232</v>
      </c>
      <c r="R1391" t="s">
        <v>69</v>
      </c>
      <c r="S1391" t="s">
        <v>69</v>
      </c>
      <c r="T1391" t="s">
        <v>8505</v>
      </c>
      <c r="U1391" t="s">
        <v>8506</v>
      </c>
      <c r="V1391" t="s">
        <v>69</v>
      </c>
      <c r="W1391" t="s">
        <v>69</v>
      </c>
      <c r="X1391" t="s">
        <v>69</v>
      </c>
      <c r="Y1391" t="s">
        <v>69</v>
      </c>
      <c r="Z1391" t="s">
        <v>69</v>
      </c>
      <c r="AA1391" t="s">
        <v>69</v>
      </c>
      <c r="AB1391" t="s">
        <v>69</v>
      </c>
      <c r="AC1391" t="s">
        <v>233</v>
      </c>
      <c r="AD1391" t="s">
        <v>69</v>
      </c>
      <c r="AE1391" t="s">
        <v>69</v>
      </c>
      <c r="AF1391" t="s">
        <v>32241</v>
      </c>
      <c r="AG1391" t="s">
        <v>69</v>
      </c>
      <c r="AH1391" t="s">
        <v>69</v>
      </c>
      <c r="AI1391" t="s">
        <v>69</v>
      </c>
      <c r="AJ1391" t="s">
        <v>69</v>
      </c>
      <c r="AK1391" t="s">
        <v>69</v>
      </c>
      <c r="AL1391" t="s">
        <v>69</v>
      </c>
      <c r="AM1391" t="s">
        <v>69</v>
      </c>
      <c r="AN1391">
        <v>7</v>
      </c>
      <c r="AO1391">
        <v>0</v>
      </c>
      <c r="AP1391">
        <v>0</v>
      </c>
      <c r="AQ1391">
        <v>0</v>
      </c>
      <c r="AR1391">
        <v>0</v>
      </c>
      <c r="AS1391" t="s">
        <v>32242</v>
      </c>
      <c r="AT1391" t="s">
        <v>32243</v>
      </c>
      <c r="AU1391" t="s">
        <v>32244</v>
      </c>
      <c r="AV1391" t="s">
        <v>234</v>
      </c>
      <c r="AW1391" t="s">
        <v>69</v>
      </c>
      <c r="AX1391" t="s">
        <v>69</v>
      </c>
      <c r="AY1391" t="s">
        <v>232</v>
      </c>
      <c r="AZ1391" t="s">
        <v>32245</v>
      </c>
      <c r="BA1391" t="s">
        <v>155</v>
      </c>
      <c r="BB1391">
        <v>1997</v>
      </c>
      <c r="BC1391">
        <v>39</v>
      </c>
      <c r="BD1391">
        <v>6</v>
      </c>
      <c r="BE1391" t="s">
        <v>69</v>
      </c>
      <c r="BF1391" t="s">
        <v>69</v>
      </c>
      <c r="BG1391" t="s">
        <v>69</v>
      </c>
      <c r="BH1391" t="s">
        <v>69</v>
      </c>
      <c r="BI1391">
        <v>409</v>
      </c>
      <c r="BJ1391">
        <v>412</v>
      </c>
      <c r="BK1391" t="s">
        <v>69</v>
      </c>
      <c r="BL1391" t="s">
        <v>69</v>
      </c>
      <c r="BM1391" t="s">
        <v>69</v>
      </c>
      <c r="BN1391" t="s">
        <v>69</v>
      </c>
      <c r="BO1391" t="s">
        <v>69</v>
      </c>
      <c r="BP1391">
        <v>4</v>
      </c>
      <c r="BQ1391" t="s">
        <v>32246</v>
      </c>
      <c r="BR1391" t="s">
        <v>8548</v>
      </c>
      <c r="BS1391" t="s">
        <v>32247</v>
      </c>
      <c r="BT1391" t="s">
        <v>32248</v>
      </c>
      <c r="BU1391" t="s">
        <v>235</v>
      </c>
      <c r="BV1391" t="s">
        <v>69</v>
      </c>
      <c r="BW1391" t="s">
        <v>69</v>
      </c>
      <c r="BX1391" t="s">
        <v>69</v>
      </c>
      <c r="BY1391" t="s">
        <v>69</v>
      </c>
      <c r="BZ1391" t="s">
        <v>8526</v>
      </c>
      <c r="CA1391" t="str">
        <f>HYPERLINK("https%3A%2F%2Fwww.webofscience.com%2Fwos%2Fwoscc%2Ffull-record%2FWOS:A1997XD47700028","View Full Record in Web of Science")</f>
        <v>View Full Record in Web of Science</v>
      </c>
    </row>
    <row r="1392" spans="1:79" ht="12.5" x14ac:dyDescent="0.25">
      <c r="B1392" t="s">
        <v>8495</v>
      </c>
      <c r="D1392" s="7" t="s">
        <v>32933</v>
      </c>
      <c r="E1392" s="7"/>
      <c r="F1392" s="7"/>
      <c r="G1392" s="7"/>
      <c r="H1392" t="s">
        <v>67</v>
      </c>
      <c r="I1392" t="s">
        <v>5490</v>
      </c>
      <c r="J1392" t="s">
        <v>69</v>
      </c>
      <c r="K1392" t="s">
        <v>69</v>
      </c>
      <c r="L1392" t="s">
        <v>69</v>
      </c>
      <c r="M1392" t="s">
        <v>5491</v>
      </c>
      <c r="N1392" t="s">
        <v>69</v>
      </c>
      <c r="O1392" t="s">
        <v>69</v>
      </c>
      <c r="P1392" t="s">
        <v>5492</v>
      </c>
      <c r="Q1392" t="s">
        <v>5493</v>
      </c>
      <c r="R1392" t="s">
        <v>69</v>
      </c>
      <c r="S1392" t="s">
        <v>69</v>
      </c>
      <c r="T1392" t="s">
        <v>8505</v>
      </c>
      <c r="U1392" t="s">
        <v>8506</v>
      </c>
      <c r="V1392" t="s">
        <v>69</v>
      </c>
      <c r="W1392" t="s">
        <v>69</v>
      </c>
      <c r="X1392" t="s">
        <v>69</v>
      </c>
      <c r="Y1392" t="s">
        <v>69</v>
      </c>
      <c r="Z1392" t="s">
        <v>69</v>
      </c>
      <c r="AA1392" t="s">
        <v>20676</v>
      </c>
      <c r="AB1392" t="s">
        <v>20677</v>
      </c>
      <c r="AC1392" t="s">
        <v>5494</v>
      </c>
      <c r="AD1392" t="s">
        <v>20678</v>
      </c>
      <c r="AE1392" t="s">
        <v>69</v>
      </c>
      <c r="AF1392" t="s">
        <v>20679</v>
      </c>
      <c r="AG1392" t="s">
        <v>20680</v>
      </c>
      <c r="AH1392" t="s">
        <v>5495</v>
      </c>
      <c r="AI1392" t="s">
        <v>5496</v>
      </c>
      <c r="AJ1392" t="s">
        <v>69</v>
      </c>
      <c r="AK1392" t="s">
        <v>69</v>
      </c>
      <c r="AL1392" t="s">
        <v>69</v>
      </c>
      <c r="AM1392" t="s">
        <v>69</v>
      </c>
      <c r="AN1392">
        <v>18</v>
      </c>
      <c r="AO1392">
        <v>2</v>
      </c>
      <c r="AP1392">
        <v>3</v>
      </c>
      <c r="AQ1392">
        <v>0</v>
      </c>
      <c r="AR1392">
        <v>4</v>
      </c>
      <c r="AS1392" t="s">
        <v>13645</v>
      </c>
      <c r="AT1392" t="s">
        <v>9367</v>
      </c>
      <c r="AU1392" t="s">
        <v>13646</v>
      </c>
      <c r="AV1392" t="s">
        <v>5497</v>
      </c>
      <c r="AW1392" t="s">
        <v>69</v>
      </c>
      <c r="AX1392" t="s">
        <v>69</v>
      </c>
      <c r="AY1392" t="s">
        <v>13647</v>
      </c>
      <c r="AZ1392" t="s">
        <v>13648</v>
      </c>
      <c r="BA1392" t="s">
        <v>69</v>
      </c>
      <c r="BB1392">
        <v>2017</v>
      </c>
      <c r="BC1392">
        <v>15</v>
      </c>
      <c r="BD1392">
        <v>3</v>
      </c>
      <c r="BE1392" t="s">
        <v>69</v>
      </c>
      <c r="BF1392" t="s">
        <v>69</v>
      </c>
      <c r="BG1392" t="s">
        <v>69</v>
      </c>
      <c r="BH1392" t="s">
        <v>69</v>
      </c>
      <c r="BI1392">
        <v>395</v>
      </c>
      <c r="BJ1392">
        <v>406</v>
      </c>
      <c r="BK1392" t="s">
        <v>69</v>
      </c>
      <c r="BL1392" t="s">
        <v>5498</v>
      </c>
      <c r="BM1392" t="str">
        <f>HYPERLINK("http://dx.doi.org/10.17323/727-0634-2017-15-3-395-406","http://dx.doi.org/10.17323/727-0634-2017-15-3-395-406")</f>
        <v>http://dx.doi.org/10.17323/727-0634-2017-15-3-395-406</v>
      </c>
      <c r="BN1392" t="s">
        <v>69</v>
      </c>
      <c r="BO1392" t="s">
        <v>69</v>
      </c>
      <c r="BP1392">
        <v>12</v>
      </c>
      <c r="BQ1392" t="s">
        <v>13650</v>
      </c>
      <c r="BR1392" t="s">
        <v>8573</v>
      </c>
      <c r="BS1392" t="s">
        <v>13650</v>
      </c>
      <c r="BT1392" t="s">
        <v>20681</v>
      </c>
      <c r="BU1392" t="s">
        <v>5499</v>
      </c>
      <c r="BV1392" t="s">
        <v>69</v>
      </c>
      <c r="BW1392" t="s">
        <v>9374</v>
      </c>
      <c r="BX1392" t="s">
        <v>69</v>
      </c>
      <c r="BY1392" t="s">
        <v>69</v>
      </c>
      <c r="BZ1392" t="s">
        <v>8526</v>
      </c>
      <c r="CA1392" t="str">
        <f>HYPERLINK("https%3A%2F%2Fwww.webofscience.com%2Fwos%2Fwoscc%2Ffull-record%2FWOS:000423947200005","View Full Record in Web of Science")</f>
        <v>View Full Record in Web of Science</v>
      </c>
    </row>
    <row r="1393" spans="1:79" ht="12.5" x14ac:dyDescent="0.25">
      <c r="B1393" t="s">
        <v>8495</v>
      </c>
      <c r="D1393" s="7" t="s">
        <v>33048</v>
      </c>
      <c r="E1393" s="7"/>
      <c r="F1393" s="7"/>
      <c r="G1393" s="7"/>
      <c r="H1393" t="s">
        <v>67</v>
      </c>
      <c r="I1393" t="s">
        <v>68</v>
      </c>
      <c r="J1393" t="s">
        <v>69</v>
      </c>
      <c r="K1393" t="s">
        <v>69</v>
      </c>
      <c r="L1393" t="s">
        <v>69</v>
      </c>
      <c r="M1393" t="s">
        <v>70</v>
      </c>
      <c r="N1393" t="s">
        <v>69</v>
      </c>
      <c r="O1393" t="s">
        <v>69</v>
      </c>
      <c r="P1393" s="1" t="s">
        <v>71</v>
      </c>
      <c r="Q1393" t="s">
        <v>72</v>
      </c>
      <c r="R1393" t="s">
        <v>69</v>
      </c>
      <c r="S1393" t="s">
        <v>69</v>
      </c>
      <c r="T1393" t="s">
        <v>8505</v>
      </c>
      <c r="U1393" t="s">
        <v>8506</v>
      </c>
      <c r="V1393" t="s">
        <v>69</v>
      </c>
      <c r="W1393" t="s">
        <v>69</v>
      </c>
      <c r="X1393" t="s">
        <v>69</v>
      </c>
      <c r="Y1393" t="s">
        <v>69</v>
      </c>
      <c r="Z1393" t="s">
        <v>69</v>
      </c>
      <c r="AA1393" t="s">
        <v>22303</v>
      </c>
      <c r="AB1393" t="s">
        <v>69</v>
      </c>
      <c r="AC1393" t="s">
        <v>73</v>
      </c>
      <c r="AD1393" t="s">
        <v>69</v>
      </c>
      <c r="AE1393" t="s">
        <v>69</v>
      </c>
      <c r="AF1393" t="s">
        <v>69</v>
      </c>
      <c r="AG1393" t="s">
        <v>69</v>
      </c>
      <c r="AH1393" t="s">
        <v>69</v>
      </c>
      <c r="AI1393" t="s">
        <v>69</v>
      </c>
      <c r="AJ1393" t="s">
        <v>69</v>
      </c>
      <c r="AK1393" t="s">
        <v>69</v>
      </c>
      <c r="AL1393" t="s">
        <v>69</v>
      </c>
      <c r="AM1393" t="s">
        <v>69</v>
      </c>
      <c r="AN1393">
        <v>33</v>
      </c>
      <c r="AO1393">
        <v>1</v>
      </c>
      <c r="AP1393">
        <v>1</v>
      </c>
      <c r="AQ1393">
        <v>2</v>
      </c>
      <c r="AR1393">
        <v>25</v>
      </c>
      <c r="AS1393" t="s">
        <v>16022</v>
      </c>
      <c r="AT1393" t="s">
        <v>16023</v>
      </c>
      <c r="AU1393" t="s">
        <v>16024</v>
      </c>
      <c r="AV1393" t="s">
        <v>74</v>
      </c>
      <c r="AW1393" t="s">
        <v>69</v>
      </c>
      <c r="AX1393" t="s">
        <v>69</v>
      </c>
      <c r="AY1393" t="s">
        <v>16022</v>
      </c>
      <c r="AZ1393" t="s">
        <v>16025</v>
      </c>
      <c r="BA1393" t="s">
        <v>75</v>
      </c>
      <c r="BB1393">
        <v>2015</v>
      </c>
      <c r="BC1393">
        <v>40</v>
      </c>
      <c r="BD1393">
        <v>4</v>
      </c>
      <c r="BE1393" t="s">
        <v>69</v>
      </c>
      <c r="BF1393" t="s">
        <v>69</v>
      </c>
      <c r="BG1393" t="s">
        <v>69</v>
      </c>
      <c r="BH1393" t="s">
        <v>69</v>
      </c>
      <c r="BI1393">
        <v>5</v>
      </c>
      <c r="BJ1393">
        <v>9</v>
      </c>
      <c r="BK1393" t="s">
        <v>69</v>
      </c>
      <c r="BL1393" t="s">
        <v>69</v>
      </c>
      <c r="BM1393" t="s">
        <v>69</v>
      </c>
      <c r="BN1393" t="s">
        <v>69</v>
      </c>
      <c r="BO1393" t="s">
        <v>69</v>
      </c>
      <c r="BP1393">
        <v>5</v>
      </c>
      <c r="BQ1393" t="s">
        <v>16026</v>
      </c>
      <c r="BR1393" t="s">
        <v>12201</v>
      </c>
      <c r="BS1393" t="s">
        <v>16027</v>
      </c>
      <c r="BT1393" t="s">
        <v>22304</v>
      </c>
      <c r="BU1393" t="s">
        <v>76</v>
      </c>
      <c r="BV1393" t="s">
        <v>69</v>
      </c>
      <c r="BW1393" t="s">
        <v>69</v>
      </c>
      <c r="BX1393" t="s">
        <v>69</v>
      </c>
      <c r="BY1393" t="s">
        <v>69</v>
      </c>
      <c r="BZ1393" t="s">
        <v>8526</v>
      </c>
      <c r="CA1393" t="str">
        <f>HYPERLINK("https%3A%2F%2Fwww.webofscience.com%2Fwos%2Fwoscc%2Ffull-record%2FWOS:000373433800002","View Full Record in Web of Science")</f>
        <v>View Full Record in Web of Science</v>
      </c>
    </row>
    <row r="1394" spans="1:79" ht="12.5" x14ac:dyDescent="0.25">
      <c r="B1394" t="s">
        <v>8495</v>
      </c>
      <c r="D1394" s="7" t="s">
        <v>32933</v>
      </c>
      <c r="E1394" s="7"/>
      <c r="F1394" s="7"/>
      <c r="G1394" s="7"/>
      <c r="H1394" t="s">
        <v>67</v>
      </c>
      <c r="I1394" t="s">
        <v>7372</v>
      </c>
      <c r="J1394" t="s">
        <v>69</v>
      </c>
      <c r="K1394" t="s">
        <v>69</v>
      </c>
      <c r="L1394" t="s">
        <v>69</v>
      </c>
      <c r="M1394" t="s">
        <v>7373</v>
      </c>
      <c r="N1394" t="s">
        <v>69</v>
      </c>
      <c r="O1394" t="s">
        <v>69</v>
      </c>
      <c r="P1394" t="s">
        <v>7374</v>
      </c>
      <c r="Q1394" t="s">
        <v>2886</v>
      </c>
      <c r="R1394" t="s">
        <v>69</v>
      </c>
      <c r="S1394" t="s">
        <v>69</v>
      </c>
      <c r="T1394" t="s">
        <v>8505</v>
      </c>
      <c r="U1394" t="s">
        <v>8506</v>
      </c>
      <c r="V1394" t="s">
        <v>69</v>
      </c>
      <c r="W1394" t="s">
        <v>69</v>
      </c>
      <c r="X1394" t="s">
        <v>69</v>
      </c>
      <c r="Y1394" t="s">
        <v>69</v>
      </c>
      <c r="Z1394" t="s">
        <v>69</v>
      </c>
      <c r="AA1394" t="s">
        <v>13003</v>
      </c>
      <c r="AB1394" t="s">
        <v>13004</v>
      </c>
      <c r="AC1394" t="s">
        <v>7375</v>
      </c>
      <c r="AD1394" t="s">
        <v>13005</v>
      </c>
      <c r="AE1394" t="s">
        <v>69</v>
      </c>
      <c r="AF1394" t="s">
        <v>13006</v>
      </c>
      <c r="AG1394" t="s">
        <v>13007</v>
      </c>
      <c r="AH1394" t="s">
        <v>69</v>
      </c>
      <c r="AI1394" t="s">
        <v>69</v>
      </c>
      <c r="AJ1394" t="s">
        <v>69</v>
      </c>
      <c r="AK1394" t="s">
        <v>69</v>
      </c>
      <c r="AL1394" t="s">
        <v>69</v>
      </c>
      <c r="AM1394" t="s">
        <v>69</v>
      </c>
      <c r="AN1394">
        <v>57</v>
      </c>
      <c r="AO1394">
        <v>3</v>
      </c>
      <c r="AP1394">
        <v>3</v>
      </c>
      <c r="AQ1394">
        <v>10</v>
      </c>
      <c r="AR1394">
        <v>41</v>
      </c>
      <c r="AS1394" t="s">
        <v>8516</v>
      </c>
      <c r="AT1394" t="s">
        <v>8517</v>
      </c>
      <c r="AU1394" t="s">
        <v>8518</v>
      </c>
      <c r="AV1394" t="s">
        <v>2890</v>
      </c>
      <c r="AW1394" t="s">
        <v>2891</v>
      </c>
      <c r="AX1394" t="s">
        <v>69</v>
      </c>
      <c r="AY1394" t="s">
        <v>13008</v>
      </c>
      <c r="AZ1394" t="s">
        <v>13009</v>
      </c>
      <c r="BA1394" t="s">
        <v>94</v>
      </c>
      <c r="BB1394">
        <v>2021</v>
      </c>
      <c r="BC1394">
        <v>135</v>
      </c>
      <c r="BD1394" t="s">
        <v>69</v>
      </c>
      <c r="BE1394" t="s">
        <v>69</v>
      </c>
      <c r="BF1394" t="s">
        <v>69</v>
      </c>
      <c r="BG1394" t="s">
        <v>69</v>
      </c>
      <c r="BH1394" t="s">
        <v>69</v>
      </c>
      <c r="BI1394" t="s">
        <v>69</v>
      </c>
      <c r="BJ1394" t="s">
        <v>69</v>
      </c>
      <c r="BK1394">
        <v>105063</v>
      </c>
      <c r="BL1394" t="s">
        <v>7376</v>
      </c>
      <c r="BM1394" t="str">
        <f>HYPERLINK("http://dx.doi.org/10.1016/j.ssci.2020.105063","http://dx.doi.org/10.1016/j.ssci.2020.105063")</f>
        <v>http://dx.doi.org/10.1016/j.ssci.2020.105063</v>
      </c>
      <c r="BN1394" t="s">
        <v>69</v>
      </c>
      <c r="BO1394" t="s">
        <v>69</v>
      </c>
      <c r="BP1394">
        <v>8</v>
      </c>
      <c r="BQ1394" t="s">
        <v>13010</v>
      </c>
      <c r="BR1394" t="s">
        <v>8523</v>
      </c>
      <c r="BS1394" t="s">
        <v>13011</v>
      </c>
      <c r="BT1394" t="s">
        <v>13012</v>
      </c>
      <c r="BU1394" t="s">
        <v>7377</v>
      </c>
      <c r="BV1394" t="s">
        <v>69</v>
      </c>
      <c r="BW1394" t="s">
        <v>9374</v>
      </c>
      <c r="BX1394" t="s">
        <v>69</v>
      </c>
      <c r="BY1394" t="s">
        <v>69</v>
      </c>
      <c r="BZ1394" t="s">
        <v>8526</v>
      </c>
      <c r="CA1394" t="str">
        <f>HYPERLINK("https%3A%2F%2Fwww.webofscience.com%2Fwos%2Fwoscc%2Ffull-record%2FWOS:000610188700001","View Full Record in Web of Science")</f>
        <v>View Full Record in Web of Science</v>
      </c>
    </row>
    <row r="1395" spans="1:79" ht="12.5" x14ac:dyDescent="0.25">
      <c r="B1395" t="s">
        <v>8495</v>
      </c>
      <c r="D1395" s="7" t="s">
        <v>32933</v>
      </c>
      <c r="E1395" s="7"/>
      <c r="F1395" s="7"/>
      <c r="G1395" s="7"/>
      <c r="H1395" t="s">
        <v>67</v>
      </c>
      <c r="I1395" t="s">
        <v>4213</v>
      </c>
      <c r="J1395" t="s">
        <v>69</v>
      </c>
      <c r="K1395" t="s">
        <v>69</v>
      </c>
      <c r="L1395" t="s">
        <v>69</v>
      </c>
      <c r="M1395" t="s">
        <v>4213</v>
      </c>
      <c r="N1395" t="s">
        <v>69</v>
      </c>
      <c r="O1395" t="s">
        <v>69</v>
      </c>
      <c r="P1395" t="s">
        <v>4214</v>
      </c>
      <c r="Q1395" t="s">
        <v>3976</v>
      </c>
      <c r="R1395" t="s">
        <v>69</v>
      </c>
      <c r="S1395" t="s">
        <v>69</v>
      </c>
      <c r="T1395" t="s">
        <v>8505</v>
      </c>
      <c r="U1395" t="s">
        <v>15797</v>
      </c>
      <c r="V1395" t="s">
        <v>4215</v>
      </c>
      <c r="W1395" t="s">
        <v>4216</v>
      </c>
      <c r="X1395" t="s">
        <v>4217</v>
      </c>
      <c r="Y1395" t="s">
        <v>32411</v>
      </c>
      <c r="Z1395" t="s">
        <v>69</v>
      </c>
      <c r="AA1395" t="s">
        <v>32412</v>
      </c>
      <c r="AB1395" t="s">
        <v>69</v>
      </c>
      <c r="AC1395" t="s">
        <v>4218</v>
      </c>
      <c r="AD1395" t="s">
        <v>69</v>
      </c>
      <c r="AE1395" t="s">
        <v>69</v>
      </c>
      <c r="AF1395" t="s">
        <v>32413</v>
      </c>
      <c r="AG1395" t="s">
        <v>69</v>
      </c>
      <c r="AH1395" t="s">
        <v>69</v>
      </c>
      <c r="AI1395" t="s">
        <v>69</v>
      </c>
      <c r="AJ1395" t="s">
        <v>69</v>
      </c>
      <c r="AK1395" t="s">
        <v>69</v>
      </c>
      <c r="AL1395" t="s">
        <v>69</v>
      </c>
      <c r="AM1395" t="s">
        <v>69</v>
      </c>
      <c r="AN1395">
        <v>1</v>
      </c>
      <c r="AO1395">
        <v>6</v>
      </c>
      <c r="AP1395">
        <v>6</v>
      </c>
      <c r="AQ1395">
        <v>1</v>
      </c>
      <c r="AR1395">
        <v>5</v>
      </c>
      <c r="AS1395" t="s">
        <v>32414</v>
      </c>
      <c r="AT1395" t="s">
        <v>13024</v>
      </c>
      <c r="AU1395" t="s">
        <v>32415</v>
      </c>
      <c r="AV1395" t="s">
        <v>3982</v>
      </c>
      <c r="AW1395" t="s">
        <v>69</v>
      </c>
      <c r="AX1395" t="s">
        <v>69</v>
      </c>
      <c r="AY1395" t="s">
        <v>31240</v>
      </c>
      <c r="AZ1395" t="s">
        <v>31241</v>
      </c>
      <c r="BA1395" t="s">
        <v>274</v>
      </c>
      <c r="BB1395">
        <v>1996</v>
      </c>
      <c r="BC1395">
        <v>88</v>
      </c>
      <c r="BD1395" t="s">
        <v>4219</v>
      </c>
      <c r="BE1395" t="s">
        <v>69</v>
      </c>
      <c r="BF1395" t="s">
        <v>69</v>
      </c>
      <c r="BG1395" t="s">
        <v>69</v>
      </c>
      <c r="BH1395" t="s">
        <v>69</v>
      </c>
      <c r="BI1395">
        <v>365</v>
      </c>
      <c r="BJ1395">
        <v>368</v>
      </c>
      <c r="BK1395" t="s">
        <v>69</v>
      </c>
      <c r="BL1395" t="s">
        <v>4220</v>
      </c>
      <c r="BM1395" t="str">
        <f>HYPERLINK("http://dx.doi.org/10.1016/0378-4274(96)03763-0","http://dx.doi.org/10.1016/0378-4274(96)03763-0")</f>
        <v>http://dx.doi.org/10.1016/0378-4274(96)03763-0</v>
      </c>
      <c r="BN1395" t="s">
        <v>69</v>
      </c>
      <c r="BO1395" t="s">
        <v>69</v>
      </c>
      <c r="BP1395">
        <v>4</v>
      </c>
      <c r="BQ1395" t="s">
        <v>31242</v>
      </c>
      <c r="BR1395" t="s">
        <v>29550</v>
      </c>
      <c r="BS1395" t="s">
        <v>31242</v>
      </c>
      <c r="BT1395" t="s">
        <v>32416</v>
      </c>
      <c r="BU1395" t="s">
        <v>4221</v>
      </c>
      <c r="BV1395">
        <v>8920762</v>
      </c>
      <c r="BW1395" t="s">
        <v>69</v>
      </c>
      <c r="BX1395" t="s">
        <v>69</v>
      </c>
      <c r="BY1395" t="s">
        <v>69</v>
      </c>
      <c r="BZ1395" t="s">
        <v>8526</v>
      </c>
      <c r="CA1395" t="str">
        <f>HYPERLINK("https%3A%2F%2Fwww.webofscience.com%2Fwos%2Fwoscc%2Ffull-record%2FWOS:A1996VR05900055","View Full Record in Web of Science")</f>
        <v>View Full Record in Web of Science</v>
      </c>
    </row>
    <row r="1396" spans="1:79" ht="12.5" x14ac:dyDescent="0.25">
      <c r="B1396" t="s">
        <v>8495</v>
      </c>
      <c r="D1396" s="7" t="s">
        <v>32933</v>
      </c>
      <c r="E1396" s="7"/>
      <c r="F1396" s="7"/>
      <c r="G1396" s="7"/>
      <c r="H1396" t="s">
        <v>67</v>
      </c>
      <c r="I1396" t="s">
        <v>3713</v>
      </c>
      <c r="J1396" t="s">
        <v>69</v>
      </c>
      <c r="K1396" t="s">
        <v>69</v>
      </c>
      <c r="L1396" t="s">
        <v>69</v>
      </c>
      <c r="M1396" t="s">
        <v>3714</v>
      </c>
      <c r="N1396" t="s">
        <v>69</v>
      </c>
      <c r="O1396" t="s">
        <v>69</v>
      </c>
      <c r="P1396" t="s">
        <v>3715</v>
      </c>
      <c r="Q1396" t="s">
        <v>2233</v>
      </c>
      <c r="R1396" t="s">
        <v>69</v>
      </c>
      <c r="S1396" t="s">
        <v>69</v>
      </c>
      <c r="T1396" t="s">
        <v>8505</v>
      </c>
      <c r="U1396" t="s">
        <v>8506</v>
      </c>
      <c r="V1396" t="s">
        <v>69</v>
      </c>
      <c r="W1396" t="s">
        <v>69</v>
      </c>
      <c r="X1396" t="s">
        <v>69</v>
      </c>
      <c r="Y1396" t="s">
        <v>69</v>
      </c>
      <c r="Z1396" t="s">
        <v>69</v>
      </c>
      <c r="AA1396" t="s">
        <v>29552</v>
      </c>
      <c r="AB1396" t="s">
        <v>29553</v>
      </c>
      <c r="AC1396" t="s">
        <v>3716</v>
      </c>
      <c r="AD1396" t="s">
        <v>29554</v>
      </c>
      <c r="AE1396" t="s">
        <v>69</v>
      </c>
      <c r="AF1396" t="s">
        <v>29555</v>
      </c>
      <c r="AG1396" t="s">
        <v>29556</v>
      </c>
      <c r="AH1396" t="s">
        <v>69</v>
      </c>
      <c r="AI1396" t="s">
        <v>69</v>
      </c>
      <c r="AJ1396" t="s">
        <v>69</v>
      </c>
      <c r="AK1396" t="s">
        <v>69</v>
      </c>
      <c r="AL1396" t="s">
        <v>69</v>
      </c>
      <c r="AM1396" t="s">
        <v>69</v>
      </c>
      <c r="AN1396">
        <v>32</v>
      </c>
      <c r="AO1396">
        <v>121</v>
      </c>
      <c r="AP1396">
        <v>122</v>
      </c>
      <c r="AQ1396">
        <v>0</v>
      </c>
      <c r="AR1396">
        <v>78</v>
      </c>
      <c r="AS1396" t="s">
        <v>9047</v>
      </c>
      <c r="AT1396" t="s">
        <v>9048</v>
      </c>
      <c r="AU1396" t="s">
        <v>9049</v>
      </c>
      <c r="AV1396" t="s">
        <v>2240</v>
      </c>
      <c r="AW1396" t="s">
        <v>2241</v>
      </c>
      <c r="AX1396" t="s">
        <v>69</v>
      </c>
      <c r="AY1396" t="s">
        <v>17229</v>
      </c>
      <c r="AZ1396" t="s">
        <v>17230</v>
      </c>
      <c r="BA1396" t="s">
        <v>255</v>
      </c>
      <c r="BB1396">
        <v>2007</v>
      </c>
      <c r="BC1396">
        <v>24</v>
      </c>
      <c r="BD1396">
        <v>3</v>
      </c>
      <c r="BE1396" t="s">
        <v>69</v>
      </c>
      <c r="BF1396" t="s">
        <v>69</v>
      </c>
      <c r="BG1396" t="s">
        <v>69</v>
      </c>
      <c r="BH1396" t="s">
        <v>69</v>
      </c>
      <c r="BI1396">
        <v>389</v>
      </c>
      <c r="BJ1396">
        <v>398</v>
      </c>
      <c r="BK1396" t="s">
        <v>69</v>
      </c>
      <c r="BL1396" t="s">
        <v>3717</v>
      </c>
      <c r="BM1396" t="str">
        <f>HYPERLINK("http://dx.doi.org/10.1007/s10460-006-9040-2","http://dx.doi.org/10.1007/s10460-006-9040-2")</f>
        <v>http://dx.doi.org/10.1007/s10460-006-9040-2</v>
      </c>
      <c r="BN1396" t="s">
        <v>69</v>
      </c>
      <c r="BO1396" t="s">
        <v>69</v>
      </c>
      <c r="BP1396">
        <v>10</v>
      </c>
      <c r="BQ1396" t="s">
        <v>17231</v>
      </c>
      <c r="BR1396" t="s">
        <v>8523</v>
      </c>
      <c r="BS1396" t="s">
        <v>17233</v>
      </c>
      <c r="BT1396" t="s">
        <v>29557</v>
      </c>
      <c r="BU1396" t="s">
        <v>3718</v>
      </c>
      <c r="BV1396" t="s">
        <v>69</v>
      </c>
      <c r="BW1396" t="s">
        <v>69</v>
      </c>
      <c r="BX1396" t="s">
        <v>69</v>
      </c>
      <c r="BY1396" t="s">
        <v>69</v>
      </c>
      <c r="BZ1396" t="s">
        <v>8526</v>
      </c>
      <c r="CA1396" t="str">
        <f>HYPERLINK("https%3A%2F%2Fwww.webofscience.com%2Fwos%2Fwoscc%2Ffull-record%2FWOS:000248623300008","View Full Record in Web of Science")</f>
        <v>View Full Record in Web of Science</v>
      </c>
    </row>
    <row r="1397" spans="1:79" ht="12.5" x14ac:dyDescent="0.25">
      <c r="B1397" t="s">
        <v>8495</v>
      </c>
      <c r="D1397" s="7" t="s">
        <v>32933</v>
      </c>
      <c r="E1397" s="7"/>
      <c r="F1397" s="7"/>
      <c r="G1397" s="7"/>
      <c r="H1397" t="s">
        <v>67</v>
      </c>
      <c r="I1397" t="s">
        <v>5851</v>
      </c>
      <c r="J1397" t="s">
        <v>69</v>
      </c>
      <c r="K1397" t="s">
        <v>69</v>
      </c>
      <c r="L1397" t="s">
        <v>69</v>
      </c>
      <c r="M1397" t="s">
        <v>5852</v>
      </c>
      <c r="N1397" t="s">
        <v>69</v>
      </c>
      <c r="O1397" t="s">
        <v>69</v>
      </c>
      <c r="P1397" t="s">
        <v>5853</v>
      </c>
      <c r="Q1397" t="s">
        <v>5854</v>
      </c>
      <c r="R1397" t="s">
        <v>69</v>
      </c>
      <c r="S1397" t="s">
        <v>69</v>
      </c>
      <c r="T1397" t="s">
        <v>8505</v>
      </c>
      <c r="U1397" t="s">
        <v>8506</v>
      </c>
      <c r="V1397" t="s">
        <v>69</v>
      </c>
      <c r="W1397" t="s">
        <v>69</v>
      </c>
      <c r="X1397" t="s">
        <v>69</v>
      </c>
      <c r="Y1397" t="s">
        <v>69</v>
      </c>
      <c r="Z1397" t="s">
        <v>69</v>
      </c>
      <c r="AA1397" t="s">
        <v>17902</v>
      </c>
      <c r="AB1397" t="s">
        <v>17903</v>
      </c>
      <c r="AC1397" t="s">
        <v>5855</v>
      </c>
      <c r="AD1397" t="s">
        <v>17904</v>
      </c>
      <c r="AE1397" t="s">
        <v>69</v>
      </c>
      <c r="AF1397" t="s">
        <v>17905</v>
      </c>
      <c r="AG1397" t="s">
        <v>17906</v>
      </c>
      <c r="AH1397" t="s">
        <v>17907</v>
      </c>
      <c r="AI1397" t="s">
        <v>17908</v>
      </c>
      <c r="AJ1397" t="s">
        <v>17909</v>
      </c>
      <c r="AK1397" t="s">
        <v>17910</v>
      </c>
      <c r="AL1397" t="s">
        <v>17911</v>
      </c>
      <c r="AM1397" t="s">
        <v>69</v>
      </c>
      <c r="AN1397">
        <v>54</v>
      </c>
      <c r="AO1397">
        <v>22</v>
      </c>
      <c r="AP1397">
        <v>22</v>
      </c>
      <c r="AQ1397">
        <v>1</v>
      </c>
      <c r="AR1397">
        <v>28</v>
      </c>
      <c r="AS1397" t="s">
        <v>17912</v>
      </c>
      <c r="AT1397" t="s">
        <v>17913</v>
      </c>
      <c r="AU1397" t="s">
        <v>17914</v>
      </c>
      <c r="AV1397" t="s">
        <v>5856</v>
      </c>
      <c r="AW1397" t="s">
        <v>5857</v>
      </c>
      <c r="AX1397" t="s">
        <v>69</v>
      </c>
      <c r="AY1397" t="s">
        <v>17915</v>
      </c>
      <c r="AZ1397" t="s">
        <v>17916</v>
      </c>
      <c r="BA1397" t="s">
        <v>373</v>
      </c>
      <c r="BB1397">
        <v>2019</v>
      </c>
      <c r="BC1397">
        <v>14</v>
      </c>
      <c r="BD1397">
        <v>1</v>
      </c>
      <c r="BE1397" t="s">
        <v>69</v>
      </c>
      <c r="BF1397" t="s">
        <v>69</v>
      </c>
      <c r="BG1397" t="s">
        <v>69</v>
      </c>
      <c r="BH1397" t="s">
        <v>69</v>
      </c>
      <c r="BI1397">
        <v>221</v>
      </c>
      <c r="BJ1397">
        <v>240</v>
      </c>
      <c r="BK1397" t="s">
        <v>69</v>
      </c>
      <c r="BL1397" t="s">
        <v>5858</v>
      </c>
      <c r="BM1397" t="str">
        <f>HYPERLINK("http://dx.doi.org/10.1007/s11625-018-0642-6","http://dx.doi.org/10.1007/s11625-018-0642-6")</f>
        <v>http://dx.doi.org/10.1007/s11625-018-0642-6</v>
      </c>
      <c r="BN1397" t="s">
        <v>69</v>
      </c>
      <c r="BO1397" t="s">
        <v>69</v>
      </c>
      <c r="BP1397">
        <v>20</v>
      </c>
      <c r="BQ1397" t="s">
        <v>17917</v>
      </c>
      <c r="BR1397" t="s">
        <v>8548</v>
      </c>
      <c r="BS1397" t="s">
        <v>8961</v>
      </c>
      <c r="BT1397" t="s">
        <v>17918</v>
      </c>
      <c r="BU1397" t="s">
        <v>5859</v>
      </c>
      <c r="BV1397" t="s">
        <v>69</v>
      </c>
      <c r="BW1397" t="s">
        <v>69</v>
      </c>
      <c r="BX1397" t="s">
        <v>69</v>
      </c>
      <c r="BY1397" t="s">
        <v>69</v>
      </c>
      <c r="BZ1397" t="s">
        <v>8526</v>
      </c>
      <c r="CA1397" t="str">
        <f>HYPERLINK("https%3A%2F%2Fwww.webofscience.com%2Fwos%2Fwoscc%2Ffull-record%2FWOS:000456977800017","View Full Record in Web of Science")</f>
        <v>View Full Record in Web of Science</v>
      </c>
    </row>
    <row r="1398" spans="1:79" ht="12.5" x14ac:dyDescent="0.25">
      <c r="B1398" t="s">
        <v>8495</v>
      </c>
      <c r="D1398" s="22" t="s">
        <v>32931</v>
      </c>
      <c r="E1398" s="7"/>
      <c r="F1398" s="7"/>
      <c r="G1398" s="7"/>
      <c r="H1398" t="s">
        <v>67</v>
      </c>
      <c r="I1398" t="s">
        <v>17770</v>
      </c>
      <c r="J1398" t="s">
        <v>69</v>
      </c>
      <c r="K1398" t="s">
        <v>69</v>
      </c>
      <c r="L1398" t="s">
        <v>69</v>
      </c>
      <c r="M1398" t="s">
        <v>17771</v>
      </c>
      <c r="N1398" t="s">
        <v>69</v>
      </c>
      <c r="O1398" t="s">
        <v>69</v>
      </c>
      <c r="P1398" t="s">
        <v>17772</v>
      </c>
      <c r="Q1398" t="s">
        <v>109</v>
      </c>
      <c r="R1398" t="s">
        <v>69</v>
      </c>
      <c r="S1398" t="s">
        <v>69</v>
      </c>
      <c r="T1398" t="s">
        <v>8505</v>
      </c>
      <c r="U1398" t="s">
        <v>8506</v>
      </c>
      <c r="V1398" t="s">
        <v>69</v>
      </c>
      <c r="W1398" t="s">
        <v>69</v>
      </c>
      <c r="X1398" t="s">
        <v>69</v>
      </c>
      <c r="Y1398" t="s">
        <v>69</v>
      </c>
      <c r="Z1398" t="s">
        <v>69</v>
      </c>
      <c r="AA1398" t="s">
        <v>17773</v>
      </c>
      <c r="AB1398" t="s">
        <v>17774</v>
      </c>
      <c r="AC1398" t="s">
        <v>17775</v>
      </c>
      <c r="AD1398" t="s">
        <v>17776</v>
      </c>
      <c r="AE1398" t="s">
        <v>69</v>
      </c>
      <c r="AF1398" t="s">
        <v>17777</v>
      </c>
      <c r="AG1398" t="s">
        <v>17778</v>
      </c>
      <c r="AH1398" t="s">
        <v>17779</v>
      </c>
      <c r="AI1398" t="s">
        <v>17780</v>
      </c>
      <c r="AJ1398" t="s">
        <v>17781</v>
      </c>
      <c r="AK1398" t="s">
        <v>17782</v>
      </c>
      <c r="AL1398" t="s">
        <v>17783</v>
      </c>
      <c r="AM1398" t="s">
        <v>69</v>
      </c>
      <c r="AN1398">
        <v>31</v>
      </c>
      <c r="AO1398">
        <v>4</v>
      </c>
      <c r="AP1398">
        <v>4</v>
      </c>
      <c r="AQ1398">
        <v>1</v>
      </c>
      <c r="AR1398">
        <v>7</v>
      </c>
      <c r="AS1398" t="s">
        <v>8611</v>
      </c>
      <c r="AT1398" t="s">
        <v>8612</v>
      </c>
      <c r="AU1398" t="s">
        <v>8613</v>
      </c>
      <c r="AV1398" t="s">
        <v>112</v>
      </c>
      <c r="AW1398" t="s">
        <v>113</v>
      </c>
      <c r="AX1398" t="s">
        <v>69</v>
      </c>
      <c r="AY1398" t="s">
        <v>17784</v>
      </c>
      <c r="AZ1398" t="s">
        <v>17785</v>
      </c>
      <c r="BA1398" t="s">
        <v>69</v>
      </c>
      <c r="BB1398">
        <v>2019</v>
      </c>
      <c r="BC1398">
        <v>17</v>
      </c>
      <c r="BD1398">
        <v>2</v>
      </c>
      <c r="BE1398" t="s">
        <v>69</v>
      </c>
      <c r="BF1398" t="s">
        <v>69</v>
      </c>
      <c r="BG1398" t="s">
        <v>69</v>
      </c>
      <c r="BH1398" t="s">
        <v>69</v>
      </c>
      <c r="BI1398">
        <v>219</v>
      </c>
      <c r="BJ1398">
        <v>227</v>
      </c>
      <c r="BK1398" t="s">
        <v>69</v>
      </c>
      <c r="BL1398" t="s">
        <v>17786</v>
      </c>
      <c r="BM1398" t="str">
        <f>HYPERLINK("http://dx.doi.org/10.1080/15715124.2018.1461106","http://dx.doi.org/10.1080/15715124.2018.1461106")</f>
        <v>http://dx.doi.org/10.1080/15715124.2018.1461106</v>
      </c>
      <c r="BN1398" t="s">
        <v>69</v>
      </c>
      <c r="BO1398" t="s">
        <v>69</v>
      </c>
      <c r="BP1398">
        <v>9</v>
      </c>
      <c r="BQ1398" t="s">
        <v>9096</v>
      </c>
      <c r="BR1398" t="s">
        <v>8573</v>
      </c>
      <c r="BS1398" t="s">
        <v>9096</v>
      </c>
      <c r="BT1398" t="s">
        <v>17787</v>
      </c>
      <c r="BU1398" t="s">
        <v>17788</v>
      </c>
      <c r="BV1398" t="s">
        <v>69</v>
      </c>
      <c r="BW1398" t="s">
        <v>10995</v>
      </c>
      <c r="BX1398" t="s">
        <v>69</v>
      </c>
      <c r="BY1398" t="s">
        <v>69</v>
      </c>
      <c r="BZ1398" t="s">
        <v>8526</v>
      </c>
      <c r="CA1398" t="str">
        <f>HYPERLINK("https%3A%2F%2Fwww.webofscience.com%2Fwos%2Fwoscc%2Ffull-record%2FWOS:000469853400007","View Full Record in Web of Science")</f>
        <v>View Full Record in Web of Science</v>
      </c>
    </row>
    <row r="1399" spans="1:79" ht="12.5" x14ac:dyDescent="0.25">
      <c r="B1399" t="s">
        <v>8495</v>
      </c>
      <c r="D1399" s="7" t="s">
        <v>32933</v>
      </c>
      <c r="E1399" s="7"/>
      <c r="F1399" s="7"/>
      <c r="G1399" s="7"/>
      <c r="H1399" t="s">
        <v>67</v>
      </c>
      <c r="I1399" t="s">
        <v>6568</v>
      </c>
      <c r="J1399" t="s">
        <v>69</v>
      </c>
      <c r="K1399" t="s">
        <v>69</v>
      </c>
      <c r="L1399" t="s">
        <v>69</v>
      </c>
      <c r="M1399" t="s">
        <v>6569</v>
      </c>
      <c r="N1399" t="s">
        <v>69</v>
      </c>
      <c r="O1399" t="s">
        <v>69</v>
      </c>
      <c r="P1399" t="s">
        <v>6570</v>
      </c>
      <c r="Q1399" t="s">
        <v>6571</v>
      </c>
      <c r="R1399" t="s">
        <v>69</v>
      </c>
      <c r="S1399" t="s">
        <v>69</v>
      </c>
      <c r="T1399" t="s">
        <v>8505</v>
      </c>
      <c r="U1399" t="s">
        <v>8506</v>
      </c>
      <c r="V1399" t="s">
        <v>69</v>
      </c>
      <c r="W1399" t="s">
        <v>69</v>
      </c>
      <c r="X1399" t="s">
        <v>69</v>
      </c>
      <c r="Y1399" t="s">
        <v>69</v>
      </c>
      <c r="Z1399" t="s">
        <v>69</v>
      </c>
      <c r="AA1399" t="s">
        <v>23602</v>
      </c>
      <c r="AB1399" t="s">
        <v>23603</v>
      </c>
      <c r="AC1399" t="s">
        <v>6572</v>
      </c>
      <c r="AD1399" t="s">
        <v>23604</v>
      </c>
      <c r="AE1399" t="s">
        <v>69</v>
      </c>
      <c r="AF1399" t="s">
        <v>23605</v>
      </c>
      <c r="AG1399" t="s">
        <v>23606</v>
      </c>
      <c r="AH1399" t="s">
        <v>23607</v>
      </c>
      <c r="AI1399" t="s">
        <v>23608</v>
      </c>
      <c r="AJ1399" t="s">
        <v>69</v>
      </c>
      <c r="AK1399" t="s">
        <v>69</v>
      </c>
      <c r="AL1399" t="s">
        <v>69</v>
      </c>
      <c r="AM1399" t="s">
        <v>69</v>
      </c>
      <c r="AN1399">
        <v>83</v>
      </c>
      <c r="AO1399">
        <v>19</v>
      </c>
      <c r="AP1399">
        <v>19</v>
      </c>
      <c r="AQ1399">
        <v>1</v>
      </c>
      <c r="AR1399">
        <v>42</v>
      </c>
      <c r="AS1399" t="s">
        <v>8692</v>
      </c>
      <c r="AT1399" t="s">
        <v>8693</v>
      </c>
      <c r="AU1399" t="s">
        <v>8694</v>
      </c>
      <c r="AV1399" t="s">
        <v>6573</v>
      </c>
      <c r="AW1399" t="s">
        <v>6574</v>
      </c>
      <c r="AX1399" t="s">
        <v>69</v>
      </c>
      <c r="AY1399" t="s">
        <v>10988</v>
      </c>
      <c r="AZ1399" t="s">
        <v>10989</v>
      </c>
      <c r="BA1399" t="s">
        <v>255</v>
      </c>
      <c r="BB1399">
        <v>2014</v>
      </c>
      <c r="BC1399">
        <v>87</v>
      </c>
      <c r="BD1399" t="s">
        <v>69</v>
      </c>
      <c r="BE1399" t="s">
        <v>69</v>
      </c>
      <c r="BF1399" t="s">
        <v>69</v>
      </c>
      <c r="BG1399" t="s">
        <v>69</v>
      </c>
      <c r="BH1399" t="s">
        <v>69</v>
      </c>
      <c r="BI1399">
        <v>205</v>
      </c>
      <c r="BJ1399">
        <v>223</v>
      </c>
      <c r="BK1399" t="s">
        <v>69</v>
      </c>
      <c r="BL1399" t="s">
        <v>6575</v>
      </c>
      <c r="BM1399" t="str">
        <f>HYPERLINK("http://dx.doi.org/10.1016/j.techfore.2013.12.010","http://dx.doi.org/10.1016/j.techfore.2013.12.010")</f>
        <v>http://dx.doi.org/10.1016/j.techfore.2013.12.010</v>
      </c>
      <c r="BN1399" t="s">
        <v>69</v>
      </c>
      <c r="BO1399" t="s">
        <v>69</v>
      </c>
      <c r="BP1399">
        <v>19</v>
      </c>
      <c r="BQ1399" t="s">
        <v>10992</v>
      </c>
      <c r="BR1399" t="s">
        <v>8661</v>
      </c>
      <c r="BS1399" t="s">
        <v>10993</v>
      </c>
      <c r="BT1399" t="s">
        <v>23609</v>
      </c>
      <c r="BU1399" t="s">
        <v>6576</v>
      </c>
      <c r="BV1399" t="s">
        <v>69</v>
      </c>
      <c r="BW1399" t="s">
        <v>69</v>
      </c>
      <c r="BX1399" t="s">
        <v>69</v>
      </c>
      <c r="BY1399" t="s">
        <v>69</v>
      </c>
      <c r="BZ1399" t="s">
        <v>8526</v>
      </c>
      <c r="CA1399" t="str">
        <f>HYPERLINK("https%3A%2F%2Fwww.webofscience.com%2Fwos%2Fwoscc%2Ffull-record%2FWOS:000340862600016","View Full Record in Web of Science")</f>
        <v>View Full Record in Web of Science</v>
      </c>
    </row>
    <row r="1400" spans="1:79" ht="12.5" x14ac:dyDescent="0.25">
      <c r="B1400" t="s">
        <v>8495</v>
      </c>
      <c r="D1400" s="7" t="s">
        <v>32933</v>
      </c>
      <c r="E1400" s="7"/>
      <c r="F1400" s="7"/>
      <c r="G1400" s="7"/>
      <c r="H1400" t="s">
        <v>67</v>
      </c>
      <c r="I1400" t="s">
        <v>3655</v>
      </c>
      <c r="J1400" t="s">
        <v>69</v>
      </c>
      <c r="K1400" t="s">
        <v>69</v>
      </c>
      <c r="L1400" t="s">
        <v>69</v>
      </c>
      <c r="M1400" t="s">
        <v>3656</v>
      </c>
      <c r="N1400" t="s">
        <v>69</v>
      </c>
      <c r="O1400" t="s">
        <v>69</v>
      </c>
      <c r="P1400" t="s">
        <v>3657</v>
      </c>
      <c r="Q1400" t="s">
        <v>3658</v>
      </c>
      <c r="R1400" t="s">
        <v>69</v>
      </c>
      <c r="S1400" t="s">
        <v>69</v>
      </c>
      <c r="T1400" t="s">
        <v>8505</v>
      </c>
      <c r="U1400" t="s">
        <v>8506</v>
      </c>
      <c r="V1400" t="s">
        <v>69</v>
      </c>
      <c r="W1400" t="s">
        <v>69</v>
      </c>
      <c r="X1400" t="s">
        <v>69</v>
      </c>
      <c r="Y1400" t="s">
        <v>69</v>
      </c>
      <c r="Z1400" t="s">
        <v>69</v>
      </c>
      <c r="AA1400" t="s">
        <v>69</v>
      </c>
      <c r="AB1400" t="s">
        <v>28883</v>
      </c>
      <c r="AC1400" t="s">
        <v>3659</v>
      </c>
      <c r="AD1400" t="s">
        <v>28884</v>
      </c>
      <c r="AE1400" t="s">
        <v>69</v>
      </c>
      <c r="AF1400" t="s">
        <v>28885</v>
      </c>
      <c r="AG1400" t="s">
        <v>28886</v>
      </c>
      <c r="AH1400" t="s">
        <v>69</v>
      </c>
      <c r="AI1400" t="s">
        <v>28887</v>
      </c>
      <c r="AJ1400" t="s">
        <v>69</v>
      </c>
      <c r="AK1400" t="s">
        <v>69</v>
      </c>
      <c r="AL1400" t="s">
        <v>69</v>
      </c>
      <c r="AM1400" t="s">
        <v>69</v>
      </c>
      <c r="AN1400">
        <v>66</v>
      </c>
      <c r="AO1400">
        <v>14</v>
      </c>
      <c r="AP1400">
        <v>14</v>
      </c>
      <c r="AQ1400">
        <v>0</v>
      </c>
      <c r="AR1400">
        <v>4</v>
      </c>
      <c r="AS1400" t="s">
        <v>8865</v>
      </c>
      <c r="AT1400" t="s">
        <v>8612</v>
      </c>
      <c r="AU1400" t="s">
        <v>8866</v>
      </c>
      <c r="AV1400" t="s">
        <v>3660</v>
      </c>
      <c r="AW1400" t="s">
        <v>3661</v>
      </c>
      <c r="AX1400" t="s">
        <v>69</v>
      </c>
      <c r="AY1400" t="s">
        <v>17632</v>
      </c>
      <c r="AZ1400" t="s">
        <v>17633</v>
      </c>
      <c r="BA1400" t="s">
        <v>69</v>
      </c>
      <c r="BB1400">
        <v>2009</v>
      </c>
      <c r="BC1400">
        <v>19</v>
      </c>
      <c r="BD1400">
        <v>1</v>
      </c>
      <c r="BE1400" t="s">
        <v>69</v>
      </c>
      <c r="BF1400" t="s">
        <v>69</v>
      </c>
      <c r="BG1400" t="s">
        <v>69</v>
      </c>
      <c r="BH1400" t="s">
        <v>69</v>
      </c>
      <c r="BI1400">
        <v>26</v>
      </c>
      <c r="BJ1400">
        <v>44</v>
      </c>
      <c r="BK1400" t="s">
        <v>3662</v>
      </c>
      <c r="BL1400" t="s">
        <v>3663</v>
      </c>
      <c r="BM1400" t="str">
        <f>HYPERLINK("http://dx.doi.org/10.1080/10474410802462769","http://dx.doi.org/10.1080/10474410802462769")</f>
        <v>http://dx.doi.org/10.1080/10474410802462769</v>
      </c>
      <c r="BN1400" t="s">
        <v>69</v>
      </c>
      <c r="BO1400" t="s">
        <v>69</v>
      </c>
      <c r="BP1400">
        <v>19</v>
      </c>
      <c r="BQ1400" t="s">
        <v>11114</v>
      </c>
      <c r="BR1400" t="s">
        <v>8661</v>
      </c>
      <c r="BS1400" t="s">
        <v>9001</v>
      </c>
      <c r="BT1400" t="s">
        <v>28888</v>
      </c>
      <c r="BU1400" t="s">
        <v>3664</v>
      </c>
      <c r="BV1400" t="s">
        <v>69</v>
      </c>
      <c r="BW1400" t="s">
        <v>69</v>
      </c>
      <c r="BX1400" t="s">
        <v>69</v>
      </c>
      <c r="BY1400" t="s">
        <v>69</v>
      </c>
      <c r="BZ1400" t="s">
        <v>8526</v>
      </c>
      <c r="CA1400" t="str">
        <f>HYPERLINK("https%3A%2F%2Fwww.webofscience.com%2Fwos%2Fwoscc%2Ffull-record%2FWOS:000263645800003","View Full Record in Web of Science")</f>
        <v>View Full Record in Web of Science</v>
      </c>
    </row>
    <row r="1401" spans="1:79" ht="12.5" x14ac:dyDescent="0.25">
      <c r="B1401" t="s">
        <v>8495</v>
      </c>
      <c r="D1401" s="22" t="s">
        <v>32931</v>
      </c>
      <c r="E1401" s="7"/>
      <c r="F1401" s="7"/>
      <c r="G1401" s="7"/>
      <c r="H1401" t="s">
        <v>67</v>
      </c>
      <c r="I1401" t="s">
        <v>9271</v>
      </c>
      <c r="J1401" t="s">
        <v>69</v>
      </c>
      <c r="K1401" t="s">
        <v>69</v>
      </c>
      <c r="L1401" t="s">
        <v>69</v>
      </c>
      <c r="M1401" t="s">
        <v>9272</v>
      </c>
      <c r="N1401" t="s">
        <v>69</v>
      </c>
      <c r="O1401" t="s">
        <v>69</v>
      </c>
      <c r="P1401" t="s">
        <v>9273</v>
      </c>
      <c r="Q1401" t="s">
        <v>9274</v>
      </c>
      <c r="R1401" t="s">
        <v>69</v>
      </c>
      <c r="S1401" t="s">
        <v>69</v>
      </c>
      <c r="T1401" t="s">
        <v>8505</v>
      </c>
      <c r="U1401" t="s">
        <v>8556</v>
      </c>
      <c r="V1401" t="s">
        <v>69</v>
      </c>
      <c r="W1401" t="s">
        <v>69</v>
      </c>
      <c r="X1401" t="s">
        <v>69</v>
      </c>
      <c r="Y1401" t="s">
        <v>69</v>
      </c>
      <c r="Z1401" t="s">
        <v>69</v>
      </c>
      <c r="AA1401" t="s">
        <v>9275</v>
      </c>
      <c r="AB1401" t="s">
        <v>9276</v>
      </c>
      <c r="AC1401" t="s">
        <v>9277</v>
      </c>
      <c r="AD1401" t="s">
        <v>9278</v>
      </c>
      <c r="AE1401" t="s">
        <v>69</v>
      </c>
      <c r="AF1401" t="s">
        <v>9279</v>
      </c>
      <c r="AG1401" t="s">
        <v>9280</v>
      </c>
      <c r="AH1401" t="s">
        <v>9281</v>
      </c>
      <c r="AI1401" t="s">
        <v>9282</v>
      </c>
      <c r="AJ1401" t="s">
        <v>9283</v>
      </c>
      <c r="AK1401" t="s">
        <v>9283</v>
      </c>
      <c r="AL1401" t="s">
        <v>9284</v>
      </c>
      <c r="AM1401" t="s">
        <v>69</v>
      </c>
      <c r="AN1401">
        <v>51</v>
      </c>
      <c r="AO1401">
        <v>0</v>
      </c>
      <c r="AP1401">
        <v>0</v>
      </c>
      <c r="AQ1401">
        <v>2</v>
      </c>
      <c r="AR1401">
        <v>2</v>
      </c>
      <c r="AS1401" t="s">
        <v>8865</v>
      </c>
      <c r="AT1401" t="s">
        <v>8612</v>
      </c>
      <c r="AU1401" t="s">
        <v>8866</v>
      </c>
      <c r="AV1401" t="s">
        <v>9285</v>
      </c>
      <c r="AW1401" t="s">
        <v>9286</v>
      </c>
      <c r="AX1401" t="s">
        <v>69</v>
      </c>
      <c r="AY1401" t="s">
        <v>9287</v>
      </c>
      <c r="AZ1401" t="s">
        <v>9288</v>
      </c>
      <c r="BA1401" t="s">
        <v>69</v>
      </c>
      <c r="BB1401" t="s">
        <v>69</v>
      </c>
      <c r="BC1401" t="s">
        <v>69</v>
      </c>
      <c r="BD1401" t="s">
        <v>69</v>
      </c>
      <c r="BE1401" t="s">
        <v>69</v>
      </c>
      <c r="BF1401" t="s">
        <v>69</v>
      </c>
      <c r="BG1401" t="s">
        <v>69</v>
      </c>
      <c r="BH1401" t="s">
        <v>69</v>
      </c>
      <c r="BI1401" t="s">
        <v>69</v>
      </c>
      <c r="BJ1401" t="s">
        <v>69</v>
      </c>
      <c r="BK1401" t="s">
        <v>69</v>
      </c>
      <c r="BL1401" t="s">
        <v>9289</v>
      </c>
      <c r="BM1401" t="str">
        <f>HYPERLINK("http://dx.doi.org/10.1080/13540602.2022.2062748","http://dx.doi.org/10.1080/13540602.2022.2062748")</f>
        <v>http://dx.doi.org/10.1080/13540602.2022.2062748</v>
      </c>
      <c r="BN1401" t="s">
        <v>69</v>
      </c>
      <c r="BO1401" t="s">
        <v>9228</v>
      </c>
      <c r="BP1401">
        <v>15</v>
      </c>
      <c r="BQ1401" t="s">
        <v>9290</v>
      </c>
      <c r="BR1401" t="s">
        <v>8661</v>
      </c>
      <c r="BS1401" t="s">
        <v>9290</v>
      </c>
      <c r="BT1401" t="s">
        <v>9291</v>
      </c>
      <c r="BU1401" t="s">
        <v>9293</v>
      </c>
      <c r="BV1401" t="s">
        <v>69</v>
      </c>
      <c r="BW1401" t="s">
        <v>9292</v>
      </c>
      <c r="BX1401" t="s">
        <v>69</v>
      </c>
      <c r="BY1401" t="s">
        <v>69</v>
      </c>
      <c r="BZ1401" t="s">
        <v>8526</v>
      </c>
      <c r="CA1401" t="str">
        <f>HYPERLINK("https%3A%2F%2Fwww.webofscience.com%2Fwos%2Fwoscc%2Ffull-record%2FWOS:000782341600001","View Full Record in Web of Science")</f>
        <v>View Full Record in Web of Science</v>
      </c>
    </row>
    <row r="1402" spans="1:79" ht="12.5" x14ac:dyDescent="0.25">
      <c r="B1402" t="s">
        <v>8495</v>
      </c>
      <c r="D1402" s="22" t="s">
        <v>32931</v>
      </c>
      <c r="E1402" s="7"/>
      <c r="F1402" s="7"/>
      <c r="G1402" s="7"/>
      <c r="H1402" t="s">
        <v>67</v>
      </c>
      <c r="I1402" t="s">
        <v>12096</v>
      </c>
      <c r="J1402" t="s">
        <v>69</v>
      </c>
      <c r="K1402" t="s">
        <v>69</v>
      </c>
      <c r="L1402" t="s">
        <v>69</v>
      </c>
      <c r="M1402" t="s">
        <v>12097</v>
      </c>
      <c r="N1402" t="s">
        <v>69</v>
      </c>
      <c r="O1402" t="s">
        <v>69</v>
      </c>
      <c r="P1402" t="s">
        <v>12098</v>
      </c>
      <c r="Q1402" t="s">
        <v>782</v>
      </c>
      <c r="R1402" t="s">
        <v>69</v>
      </c>
      <c r="S1402" t="s">
        <v>69</v>
      </c>
      <c r="T1402" t="s">
        <v>8505</v>
      </c>
      <c r="U1402" t="s">
        <v>8506</v>
      </c>
      <c r="V1402" t="s">
        <v>69</v>
      </c>
      <c r="W1402" t="s">
        <v>69</v>
      </c>
      <c r="X1402" t="s">
        <v>69</v>
      </c>
      <c r="Y1402" t="s">
        <v>69</v>
      </c>
      <c r="Z1402" t="s">
        <v>69</v>
      </c>
      <c r="AA1402" t="s">
        <v>12099</v>
      </c>
      <c r="AB1402" t="s">
        <v>69</v>
      </c>
      <c r="AC1402" t="s">
        <v>12100</v>
      </c>
      <c r="AD1402" t="s">
        <v>12101</v>
      </c>
      <c r="AE1402" t="s">
        <v>69</v>
      </c>
      <c r="AF1402" t="s">
        <v>12102</v>
      </c>
      <c r="AG1402" t="s">
        <v>12103</v>
      </c>
      <c r="AH1402" t="s">
        <v>69</v>
      </c>
      <c r="AI1402" t="s">
        <v>12104</v>
      </c>
      <c r="AJ1402" t="s">
        <v>12105</v>
      </c>
      <c r="AK1402" t="s">
        <v>12106</v>
      </c>
      <c r="AL1402" t="s">
        <v>12107</v>
      </c>
      <c r="AM1402" t="s">
        <v>69</v>
      </c>
      <c r="AN1402">
        <v>13</v>
      </c>
      <c r="AO1402">
        <v>0</v>
      </c>
      <c r="AP1402">
        <v>0</v>
      </c>
      <c r="AQ1402">
        <v>0</v>
      </c>
      <c r="AR1402">
        <v>4</v>
      </c>
      <c r="AS1402" t="s">
        <v>8516</v>
      </c>
      <c r="AT1402" t="s">
        <v>8517</v>
      </c>
      <c r="AU1402" t="s">
        <v>8518</v>
      </c>
      <c r="AV1402" t="s">
        <v>784</v>
      </c>
      <c r="AW1402" t="s">
        <v>69</v>
      </c>
      <c r="AX1402" t="s">
        <v>69</v>
      </c>
      <c r="AY1402" t="s">
        <v>12108</v>
      </c>
      <c r="AZ1402" t="s">
        <v>12109</v>
      </c>
      <c r="BA1402" t="s">
        <v>201</v>
      </c>
      <c r="BB1402">
        <v>2021</v>
      </c>
      <c r="BC1402">
        <v>37</v>
      </c>
      <c r="BD1402" t="s">
        <v>69</v>
      </c>
      <c r="BE1402" t="s">
        <v>69</v>
      </c>
      <c r="BF1402" t="s">
        <v>69</v>
      </c>
      <c r="BG1402" t="s">
        <v>69</v>
      </c>
      <c r="BH1402" t="s">
        <v>69</v>
      </c>
      <c r="BI1402" t="s">
        <v>69</v>
      </c>
      <c r="BJ1402" t="s">
        <v>69</v>
      </c>
      <c r="BK1402">
        <v>107162</v>
      </c>
      <c r="BL1402" t="s">
        <v>12110</v>
      </c>
      <c r="BM1402" t="str">
        <f>HYPERLINK("http://dx.doi.org/10.1016/j.dib.2021.107162","http://dx.doi.org/10.1016/j.dib.2021.107162")</f>
        <v>http://dx.doi.org/10.1016/j.dib.2021.107162</v>
      </c>
      <c r="BN1402" t="s">
        <v>69</v>
      </c>
      <c r="BO1402" t="s">
        <v>12111</v>
      </c>
      <c r="BP1402">
        <v>14</v>
      </c>
      <c r="BQ1402" t="s">
        <v>8619</v>
      </c>
      <c r="BR1402" t="s">
        <v>8573</v>
      </c>
      <c r="BS1402" t="s">
        <v>8620</v>
      </c>
      <c r="BT1402" t="s">
        <v>12112</v>
      </c>
      <c r="BU1402" t="s">
        <v>12113</v>
      </c>
      <c r="BV1402">
        <v>34136598</v>
      </c>
      <c r="BW1402" t="s">
        <v>8812</v>
      </c>
      <c r="BX1402" t="s">
        <v>69</v>
      </c>
      <c r="BY1402" t="s">
        <v>69</v>
      </c>
      <c r="BZ1402" t="s">
        <v>8526</v>
      </c>
      <c r="CA1402" t="str">
        <f>HYPERLINK("https%3A%2F%2Fwww.webofscience.com%2Fwos%2Fwoscc%2Ffull-record%2FWOS:000689353400027","View Full Record in Web of Science")</f>
        <v>View Full Record in Web of Science</v>
      </c>
    </row>
    <row r="1403" spans="1:79" x14ac:dyDescent="0.3">
      <c r="A1403" t="s">
        <v>8408</v>
      </c>
      <c r="B1403" t="s">
        <v>8495</v>
      </c>
      <c r="D1403" s="10" t="s">
        <v>33174</v>
      </c>
      <c r="F1403" s="10" t="s">
        <v>8490</v>
      </c>
      <c r="H1403" t="s">
        <v>67</v>
      </c>
      <c r="I1403" t="s">
        <v>339</v>
      </c>
      <c r="J1403" t="s">
        <v>69</v>
      </c>
      <c r="K1403" t="s">
        <v>69</v>
      </c>
      <c r="L1403" t="s">
        <v>69</v>
      </c>
      <c r="M1403" s="2" t="s">
        <v>340</v>
      </c>
      <c r="N1403" t="s">
        <v>69</v>
      </c>
      <c r="O1403" t="s">
        <v>69</v>
      </c>
      <c r="P1403" s="11" t="s">
        <v>341</v>
      </c>
      <c r="Q1403" t="s">
        <v>342</v>
      </c>
      <c r="R1403" t="s">
        <v>69</v>
      </c>
      <c r="S1403" t="s">
        <v>69</v>
      </c>
      <c r="T1403" t="s">
        <v>8505</v>
      </c>
      <c r="U1403" t="s">
        <v>8506</v>
      </c>
      <c r="V1403" t="s">
        <v>69</v>
      </c>
      <c r="W1403" t="s">
        <v>69</v>
      </c>
      <c r="X1403" t="s">
        <v>69</v>
      </c>
      <c r="Y1403" t="s">
        <v>69</v>
      </c>
      <c r="Z1403" t="s">
        <v>69</v>
      </c>
      <c r="AA1403" t="s">
        <v>16548</v>
      </c>
      <c r="AB1403" t="s">
        <v>16549</v>
      </c>
      <c r="AC1403" t="s">
        <v>343</v>
      </c>
      <c r="AD1403" t="s">
        <v>16550</v>
      </c>
      <c r="AE1403" t="s">
        <v>69</v>
      </c>
      <c r="AF1403" t="s">
        <v>16551</v>
      </c>
      <c r="AG1403" t="s">
        <v>16552</v>
      </c>
      <c r="AH1403" t="s">
        <v>16553</v>
      </c>
      <c r="AI1403" t="s">
        <v>16554</v>
      </c>
      <c r="AJ1403" t="s">
        <v>69</v>
      </c>
      <c r="AK1403" t="s">
        <v>69</v>
      </c>
      <c r="AL1403" t="s">
        <v>69</v>
      </c>
      <c r="AM1403" t="s">
        <v>69</v>
      </c>
      <c r="AN1403">
        <v>53</v>
      </c>
      <c r="AO1403">
        <v>11</v>
      </c>
      <c r="AP1403">
        <v>11</v>
      </c>
      <c r="AQ1403">
        <v>2</v>
      </c>
      <c r="AR1403">
        <v>30</v>
      </c>
      <c r="AS1403" t="s">
        <v>8611</v>
      </c>
      <c r="AT1403" t="s">
        <v>8612</v>
      </c>
      <c r="AU1403" t="s">
        <v>8613</v>
      </c>
      <c r="AV1403" t="s">
        <v>344</v>
      </c>
      <c r="AW1403" t="s">
        <v>345</v>
      </c>
      <c r="AX1403" t="s">
        <v>69</v>
      </c>
      <c r="AY1403" t="s">
        <v>9821</v>
      </c>
      <c r="AZ1403" t="s">
        <v>9822</v>
      </c>
      <c r="BA1403" t="s">
        <v>7502</v>
      </c>
      <c r="BB1403">
        <v>2022</v>
      </c>
      <c r="BC1403">
        <v>22</v>
      </c>
      <c r="BD1403">
        <v>6</v>
      </c>
      <c r="BE1403" t="s">
        <v>69</v>
      </c>
      <c r="BF1403" t="s">
        <v>69</v>
      </c>
      <c r="BG1403" t="s">
        <v>69</v>
      </c>
      <c r="BH1403" t="s">
        <v>69</v>
      </c>
      <c r="BI1403">
        <v>1033</v>
      </c>
      <c r="BJ1403">
        <v>1041</v>
      </c>
      <c r="BK1403" t="s">
        <v>69</v>
      </c>
      <c r="BL1403" t="s">
        <v>346</v>
      </c>
      <c r="BM1403" t="str">
        <f>HYPERLINK("http://dx.doi.org/10.1080/15623599.2019.1678865","http://dx.doi.org/10.1080/15623599.2019.1678865")</f>
        <v>http://dx.doi.org/10.1080/15623599.2019.1678865</v>
      </c>
      <c r="BN1403" t="s">
        <v>69</v>
      </c>
      <c r="BO1403" t="s">
        <v>347</v>
      </c>
      <c r="BP1403">
        <v>9</v>
      </c>
      <c r="BQ1403" t="s">
        <v>9410</v>
      </c>
      <c r="BR1403" t="s">
        <v>8573</v>
      </c>
      <c r="BS1403" t="s">
        <v>8594</v>
      </c>
      <c r="BT1403" t="s">
        <v>16555</v>
      </c>
      <c r="BU1403" t="s">
        <v>348</v>
      </c>
      <c r="BV1403" t="s">
        <v>69</v>
      </c>
      <c r="BW1403" t="s">
        <v>69</v>
      </c>
      <c r="BX1403" t="s">
        <v>69</v>
      </c>
      <c r="BY1403" t="s">
        <v>69</v>
      </c>
      <c r="BZ1403" t="s">
        <v>8526</v>
      </c>
      <c r="CA1403" t="str">
        <f>HYPERLINK("https%3A%2F%2Fwww.webofscience.com%2Fwos%2Fwoscc%2Ffull-record%2FWOS:000491386100001","View Full Record in Web of Science")</f>
        <v>View Full Record in Web of Science</v>
      </c>
    </row>
    <row r="1404" spans="1:79" ht="12.5" x14ac:dyDescent="0.25">
      <c r="B1404" t="s">
        <v>8495</v>
      </c>
      <c r="D1404" s="22" t="s">
        <v>32931</v>
      </c>
      <c r="E1404" s="7"/>
      <c r="F1404" s="7"/>
      <c r="G1404" s="7"/>
      <c r="H1404" t="s">
        <v>67</v>
      </c>
      <c r="I1404" t="s">
        <v>24969</v>
      </c>
      <c r="J1404" t="s">
        <v>69</v>
      </c>
      <c r="K1404" t="s">
        <v>69</v>
      </c>
      <c r="L1404" t="s">
        <v>69</v>
      </c>
      <c r="M1404" t="s">
        <v>24970</v>
      </c>
      <c r="N1404" t="s">
        <v>69</v>
      </c>
      <c r="O1404" t="s">
        <v>69</v>
      </c>
      <c r="P1404" t="s">
        <v>24971</v>
      </c>
      <c r="Q1404" t="s">
        <v>21086</v>
      </c>
      <c r="R1404" t="s">
        <v>69</v>
      </c>
      <c r="S1404" t="s">
        <v>69</v>
      </c>
      <c r="T1404" t="s">
        <v>9357</v>
      </c>
      <c r="U1404" t="s">
        <v>8506</v>
      </c>
      <c r="V1404" t="s">
        <v>69</v>
      </c>
      <c r="W1404" t="s">
        <v>69</v>
      </c>
      <c r="X1404" t="s">
        <v>69</v>
      </c>
      <c r="Y1404" t="s">
        <v>69</v>
      </c>
      <c r="Z1404" t="s">
        <v>69</v>
      </c>
      <c r="AA1404" t="s">
        <v>24972</v>
      </c>
      <c r="AB1404" t="s">
        <v>69</v>
      </c>
      <c r="AC1404" t="s">
        <v>24973</v>
      </c>
      <c r="AD1404" t="s">
        <v>24974</v>
      </c>
      <c r="AE1404" t="s">
        <v>69</v>
      </c>
      <c r="AF1404" t="s">
        <v>24975</v>
      </c>
      <c r="AG1404" t="s">
        <v>24976</v>
      </c>
      <c r="AH1404" t="s">
        <v>69</v>
      </c>
      <c r="AI1404" t="s">
        <v>69</v>
      </c>
      <c r="AJ1404" t="s">
        <v>69</v>
      </c>
      <c r="AK1404" t="s">
        <v>69</v>
      </c>
      <c r="AL1404" t="s">
        <v>69</v>
      </c>
      <c r="AM1404" t="s">
        <v>69</v>
      </c>
      <c r="AN1404">
        <v>4</v>
      </c>
      <c r="AO1404">
        <v>0</v>
      </c>
      <c r="AP1404">
        <v>0</v>
      </c>
      <c r="AQ1404">
        <v>0</v>
      </c>
      <c r="AR1404">
        <v>0</v>
      </c>
      <c r="AS1404" t="s">
        <v>21091</v>
      </c>
      <c r="AT1404" t="s">
        <v>21092</v>
      </c>
      <c r="AU1404" t="s">
        <v>21093</v>
      </c>
      <c r="AV1404" t="s">
        <v>21094</v>
      </c>
      <c r="AW1404" t="s">
        <v>21095</v>
      </c>
      <c r="AX1404" t="s">
        <v>69</v>
      </c>
      <c r="AY1404" t="s">
        <v>24977</v>
      </c>
      <c r="AZ1404" t="s">
        <v>21097</v>
      </c>
      <c r="BA1404" t="s">
        <v>155</v>
      </c>
      <c r="BB1404">
        <v>2013</v>
      </c>
      <c r="BC1404">
        <v>22</v>
      </c>
      <c r="BD1404">
        <v>2</v>
      </c>
      <c r="BE1404" t="s">
        <v>69</v>
      </c>
      <c r="BF1404" t="s">
        <v>69</v>
      </c>
      <c r="BG1404" t="s">
        <v>69</v>
      </c>
      <c r="BH1404" t="s">
        <v>69</v>
      </c>
      <c r="BI1404">
        <v>28</v>
      </c>
      <c r="BJ1404" t="s">
        <v>219</v>
      </c>
      <c r="BK1404" t="s">
        <v>69</v>
      </c>
      <c r="BL1404" t="s">
        <v>69</v>
      </c>
      <c r="BM1404" t="s">
        <v>69</v>
      </c>
      <c r="BN1404" t="s">
        <v>69</v>
      </c>
      <c r="BO1404" t="s">
        <v>69</v>
      </c>
      <c r="BP1404">
        <v>7</v>
      </c>
      <c r="BQ1404" t="s">
        <v>10299</v>
      </c>
      <c r="BR1404" t="s">
        <v>8573</v>
      </c>
      <c r="BS1404" t="s">
        <v>10279</v>
      </c>
      <c r="BT1404" t="s">
        <v>24978</v>
      </c>
      <c r="BU1404" t="s">
        <v>24979</v>
      </c>
      <c r="BV1404" t="s">
        <v>69</v>
      </c>
      <c r="BW1404" t="s">
        <v>69</v>
      </c>
      <c r="BX1404" t="s">
        <v>69</v>
      </c>
      <c r="BY1404" t="s">
        <v>69</v>
      </c>
      <c r="BZ1404" t="s">
        <v>8526</v>
      </c>
      <c r="CA1404" t="str">
        <f>HYPERLINK("https%3A%2F%2Fwww.webofscience.com%2Fwos%2Fwoscc%2Ffull-record%2FWOS:000440859100004","View Full Record in Web of Science")</f>
        <v>View Full Record in Web of Science</v>
      </c>
    </row>
    <row r="1405" spans="1:79" ht="12.5" x14ac:dyDescent="0.25">
      <c r="B1405" t="s">
        <v>8495</v>
      </c>
      <c r="D1405" s="22" t="s">
        <v>32931</v>
      </c>
      <c r="E1405" s="7"/>
      <c r="F1405" s="7"/>
      <c r="G1405" s="7"/>
      <c r="H1405" t="s">
        <v>67</v>
      </c>
      <c r="I1405" t="s">
        <v>21083</v>
      </c>
      <c r="J1405" t="s">
        <v>69</v>
      </c>
      <c r="K1405" t="s">
        <v>69</v>
      </c>
      <c r="L1405" t="s">
        <v>69</v>
      </c>
      <c r="M1405" t="s">
        <v>21084</v>
      </c>
      <c r="N1405" t="s">
        <v>69</v>
      </c>
      <c r="O1405" t="s">
        <v>69</v>
      </c>
      <c r="P1405" t="s">
        <v>21085</v>
      </c>
      <c r="Q1405" t="s">
        <v>21086</v>
      </c>
      <c r="R1405" t="s">
        <v>69</v>
      </c>
      <c r="S1405" t="s">
        <v>69</v>
      </c>
      <c r="T1405" t="s">
        <v>9357</v>
      </c>
      <c r="U1405" t="s">
        <v>8506</v>
      </c>
      <c r="V1405" t="s">
        <v>69</v>
      </c>
      <c r="W1405" t="s">
        <v>69</v>
      </c>
      <c r="X1405" t="s">
        <v>69</v>
      </c>
      <c r="Y1405" t="s">
        <v>69</v>
      </c>
      <c r="Z1405" t="s">
        <v>69</v>
      </c>
      <c r="AA1405" t="s">
        <v>21087</v>
      </c>
      <c r="AB1405" t="s">
        <v>69</v>
      </c>
      <c r="AC1405" t="s">
        <v>21088</v>
      </c>
      <c r="AD1405" t="s">
        <v>21089</v>
      </c>
      <c r="AE1405" t="s">
        <v>69</v>
      </c>
      <c r="AF1405" t="s">
        <v>21090</v>
      </c>
      <c r="AG1405" t="s">
        <v>69</v>
      </c>
      <c r="AH1405" t="s">
        <v>69</v>
      </c>
      <c r="AI1405" t="s">
        <v>69</v>
      </c>
      <c r="AJ1405" t="s">
        <v>69</v>
      </c>
      <c r="AK1405" t="s">
        <v>69</v>
      </c>
      <c r="AL1405" t="s">
        <v>69</v>
      </c>
      <c r="AM1405" t="s">
        <v>69</v>
      </c>
      <c r="AN1405">
        <v>20</v>
      </c>
      <c r="AO1405">
        <v>0</v>
      </c>
      <c r="AP1405">
        <v>0</v>
      </c>
      <c r="AQ1405">
        <v>0</v>
      </c>
      <c r="AR1405">
        <v>4</v>
      </c>
      <c r="AS1405" t="s">
        <v>21091</v>
      </c>
      <c r="AT1405" t="s">
        <v>21092</v>
      </c>
      <c r="AU1405" t="s">
        <v>21093</v>
      </c>
      <c r="AV1405" t="s">
        <v>21094</v>
      </c>
      <c r="AW1405" t="s">
        <v>21095</v>
      </c>
      <c r="AX1405" t="s">
        <v>69</v>
      </c>
      <c r="AY1405" t="s">
        <v>21096</v>
      </c>
      <c r="AZ1405" t="s">
        <v>21097</v>
      </c>
      <c r="BA1405" t="s">
        <v>75</v>
      </c>
      <c r="BB1405">
        <v>2016</v>
      </c>
      <c r="BC1405">
        <v>36</v>
      </c>
      <c r="BD1405">
        <v>4</v>
      </c>
      <c r="BE1405" t="s">
        <v>69</v>
      </c>
      <c r="BF1405" t="s">
        <v>69</v>
      </c>
      <c r="BG1405" t="s">
        <v>69</v>
      </c>
      <c r="BH1405" t="s">
        <v>69</v>
      </c>
      <c r="BI1405">
        <v>351</v>
      </c>
      <c r="BJ1405">
        <v>368</v>
      </c>
      <c r="BK1405" t="s">
        <v>69</v>
      </c>
      <c r="BL1405" t="s">
        <v>21098</v>
      </c>
      <c r="BM1405" t="str">
        <f>HYPERLINK("http://dx.doi.org/10.17223/1998863X/36/35","http://dx.doi.org/10.17223/1998863X/36/35")</f>
        <v>http://dx.doi.org/10.17223/1998863X/36/35</v>
      </c>
      <c r="BN1405" t="s">
        <v>69</v>
      </c>
      <c r="BO1405" t="s">
        <v>69</v>
      </c>
      <c r="BP1405">
        <v>18</v>
      </c>
      <c r="BQ1405" t="s">
        <v>10299</v>
      </c>
      <c r="BR1405" t="s">
        <v>8573</v>
      </c>
      <c r="BS1405" t="s">
        <v>10279</v>
      </c>
      <c r="BT1405" t="s">
        <v>21099</v>
      </c>
      <c r="BU1405" t="s">
        <v>21100</v>
      </c>
      <c r="BV1405" t="s">
        <v>69</v>
      </c>
      <c r="BW1405" t="s">
        <v>9374</v>
      </c>
      <c r="BX1405" t="s">
        <v>69</v>
      </c>
      <c r="BY1405" t="s">
        <v>69</v>
      </c>
      <c r="BZ1405" t="s">
        <v>8526</v>
      </c>
      <c r="CA1405" t="str">
        <f>HYPERLINK("https%3A%2F%2Fwww.webofscience.com%2Fwos%2Fwoscc%2Ffull-record%2FWOS:000407567600035","View Full Record in Web of Science")</f>
        <v>View Full Record in Web of Science</v>
      </c>
    </row>
    <row r="1406" spans="1:79" ht="12.5" x14ac:dyDescent="0.25">
      <c r="B1406" t="s">
        <v>8495</v>
      </c>
      <c r="D1406" s="7" t="s">
        <v>32933</v>
      </c>
      <c r="E1406" s="7"/>
      <c r="F1406" s="7"/>
      <c r="G1406" s="7"/>
      <c r="H1406" t="s">
        <v>67</v>
      </c>
      <c r="I1406" t="s">
        <v>7943</v>
      </c>
      <c r="J1406" t="s">
        <v>69</v>
      </c>
      <c r="K1406" t="s">
        <v>69</v>
      </c>
      <c r="L1406" t="s">
        <v>69</v>
      </c>
      <c r="M1406" t="s">
        <v>7944</v>
      </c>
      <c r="N1406" t="s">
        <v>69</v>
      </c>
      <c r="O1406" t="s">
        <v>69</v>
      </c>
      <c r="P1406" t="s">
        <v>7945</v>
      </c>
      <c r="Q1406" t="s">
        <v>294</v>
      </c>
      <c r="R1406" t="s">
        <v>69</v>
      </c>
      <c r="S1406" t="s">
        <v>69</v>
      </c>
      <c r="T1406" t="s">
        <v>8505</v>
      </c>
      <c r="U1406" t="s">
        <v>8506</v>
      </c>
      <c r="V1406" t="s">
        <v>69</v>
      </c>
      <c r="W1406" t="s">
        <v>69</v>
      </c>
      <c r="X1406" t="s">
        <v>69</v>
      </c>
      <c r="Y1406" t="s">
        <v>69</v>
      </c>
      <c r="Z1406" t="s">
        <v>69</v>
      </c>
      <c r="AA1406" t="s">
        <v>24069</v>
      </c>
      <c r="AB1406" t="s">
        <v>24070</v>
      </c>
      <c r="AC1406" t="s">
        <v>7946</v>
      </c>
      <c r="AD1406" t="s">
        <v>24071</v>
      </c>
      <c r="AE1406" t="s">
        <v>69</v>
      </c>
      <c r="AF1406" t="s">
        <v>24072</v>
      </c>
      <c r="AG1406" t="s">
        <v>24073</v>
      </c>
      <c r="AH1406" t="s">
        <v>7947</v>
      </c>
      <c r="AI1406" t="s">
        <v>7948</v>
      </c>
      <c r="AJ1406" t="s">
        <v>69</v>
      </c>
      <c r="AK1406" t="s">
        <v>69</v>
      </c>
      <c r="AL1406" t="s">
        <v>69</v>
      </c>
      <c r="AM1406" t="s">
        <v>69</v>
      </c>
      <c r="AN1406">
        <v>63</v>
      </c>
      <c r="AO1406">
        <v>49</v>
      </c>
      <c r="AP1406">
        <v>50</v>
      </c>
      <c r="AQ1406">
        <v>2</v>
      </c>
      <c r="AR1406">
        <v>55</v>
      </c>
      <c r="AS1406" t="s">
        <v>8563</v>
      </c>
      <c r="AT1406" t="s">
        <v>8564</v>
      </c>
      <c r="AU1406" t="s">
        <v>8565</v>
      </c>
      <c r="AV1406" t="s">
        <v>297</v>
      </c>
      <c r="AW1406" t="s">
        <v>298</v>
      </c>
      <c r="AX1406" t="s">
        <v>69</v>
      </c>
      <c r="AY1406" t="s">
        <v>13428</v>
      </c>
      <c r="AZ1406" t="s">
        <v>13429</v>
      </c>
      <c r="BA1406" t="s">
        <v>373</v>
      </c>
      <c r="BB1406">
        <v>2014</v>
      </c>
      <c r="BC1406">
        <v>21</v>
      </c>
      <c r="BD1406">
        <v>1</v>
      </c>
      <c r="BE1406" t="s">
        <v>69</v>
      </c>
      <c r="BF1406" t="s">
        <v>69</v>
      </c>
      <c r="BG1406" t="s">
        <v>69</v>
      </c>
      <c r="BH1406" t="s">
        <v>69</v>
      </c>
      <c r="BI1406">
        <v>17</v>
      </c>
      <c r="BJ1406">
        <v>27</v>
      </c>
      <c r="BK1406" t="s">
        <v>69</v>
      </c>
      <c r="BL1406" t="s">
        <v>7949</v>
      </c>
      <c r="BM1406" t="str">
        <f>HYPERLINK("http://dx.doi.org/10.1007/s11356-013-1778-7","http://dx.doi.org/10.1007/s11356-013-1778-7")</f>
        <v>http://dx.doi.org/10.1007/s11356-013-1778-7</v>
      </c>
      <c r="BN1406" t="s">
        <v>69</v>
      </c>
      <c r="BO1406" t="s">
        <v>69</v>
      </c>
      <c r="BP1406">
        <v>11</v>
      </c>
      <c r="BQ1406" t="s">
        <v>8717</v>
      </c>
      <c r="BR1406" t="s">
        <v>8548</v>
      </c>
      <c r="BS1406" t="s">
        <v>8662</v>
      </c>
      <c r="BT1406" t="s">
        <v>24074</v>
      </c>
      <c r="BU1406" t="s">
        <v>7950</v>
      </c>
      <c r="BV1406">
        <v>23673922</v>
      </c>
      <c r="BW1406" t="s">
        <v>69</v>
      </c>
      <c r="BX1406" t="s">
        <v>69</v>
      </c>
      <c r="BY1406" t="s">
        <v>69</v>
      </c>
      <c r="BZ1406" t="s">
        <v>8526</v>
      </c>
      <c r="CA1406" t="str">
        <f>HYPERLINK("https%3A%2F%2Fwww.webofscience.com%2Fwos%2Fwoscc%2Ffull-record%2FWOS:000329095300003","View Full Record in Web of Science")</f>
        <v>View Full Record in Web of Science</v>
      </c>
    </row>
    <row r="1407" spans="1:79" ht="12.5" x14ac:dyDescent="0.25">
      <c r="B1407" t="s">
        <v>8495</v>
      </c>
      <c r="D1407" s="22" t="s">
        <v>32931</v>
      </c>
      <c r="E1407" s="7"/>
      <c r="F1407" s="7"/>
      <c r="G1407" s="7"/>
      <c r="H1407" t="s">
        <v>67</v>
      </c>
      <c r="I1407" t="s">
        <v>11587</v>
      </c>
      <c r="J1407" t="s">
        <v>69</v>
      </c>
      <c r="K1407" t="s">
        <v>69</v>
      </c>
      <c r="L1407" t="s">
        <v>69</v>
      </c>
      <c r="M1407" t="s">
        <v>11588</v>
      </c>
      <c r="N1407" t="s">
        <v>69</v>
      </c>
      <c r="O1407" t="s">
        <v>69</v>
      </c>
      <c r="P1407" t="s">
        <v>11589</v>
      </c>
      <c r="Q1407" t="s">
        <v>10712</v>
      </c>
      <c r="R1407" t="s">
        <v>69</v>
      </c>
      <c r="S1407" t="s">
        <v>69</v>
      </c>
      <c r="T1407" t="s">
        <v>8505</v>
      </c>
      <c r="U1407" t="s">
        <v>8556</v>
      </c>
      <c r="V1407" t="s">
        <v>69</v>
      </c>
      <c r="W1407" t="s">
        <v>69</v>
      </c>
      <c r="X1407" t="s">
        <v>69</v>
      </c>
      <c r="Y1407" t="s">
        <v>69</v>
      </c>
      <c r="Z1407" t="s">
        <v>69</v>
      </c>
      <c r="AA1407" t="s">
        <v>69</v>
      </c>
      <c r="AB1407" t="s">
        <v>11590</v>
      </c>
      <c r="AC1407" t="s">
        <v>11591</v>
      </c>
      <c r="AD1407" t="s">
        <v>11592</v>
      </c>
      <c r="AE1407" t="s">
        <v>69</v>
      </c>
      <c r="AF1407" t="s">
        <v>11593</v>
      </c>
      <c r="AG1407" t="s">
        <v>11594</v>
      </c>
      <c r="AH1407" t="s">
        <v>69</v>
      </c>
      <c r="AI1407" t="s">
        <v>11595</v>
      </c>
      <c r="AJ1407" t="s">
        <v>11596</v>
      </c>
      <c r="AK1407" t="s">
        <v>11597</v>
      </c>
      <c r="AL1407" t="s">
        <v>11598</v>
      </c>
      <c r="AM1407" t="s">
        <v>69</v>
      </c>
      <c r="AN1407">
        <v>125</v>
      </c>
      <c r="AO1407">
        <v>2</v>
      </c>
      <c r="AP1407">
        <v>2</v>
      </c>
      <c r="AQ1407">
        <v>5</v>
      </c>
      <c r="AR1407">
        <v>8</v>
      </c>
      <c r="AS1407" t="s">
        <v>8846</v>
      </c>
      <c r="AT1407" t="s">
        <v>8847</v>
      </c>
      <c r="AU1407" t="s">
        <v>8848</v>
      </c>
      <c r="AV1407" t="s">
        <v>10718</v>
      </c>
      <c r="AW1407" t="s">
        <v>10719</v>
      </c>
      <c r="AX1407" t="s">
        <v>69</v>
      </c>
      <c r="AY1407" t="s">
        <v>10720</v>
      </c>
      <c r="AZ1407" t="s">
        <v>10721</v>
      </c>
      <c r="BA1407" t="s">
        <v>69</v>
      </c>
      <c r="BB1407" t="s">
        <v>69</v>
      </c>
      <c r="BC1407" t="s">
        <v>69</v>
      </c>
      <c r="BD1407" t="s">
        <v>69</v>
      </c>
      <c r="BE1407" t="s">
        <v>69</v>
      </c>
      <c r="BF1407" t="s">
        <v>69</v>
      </c>
      <c r="BG1407" t="s">
        <v>69</v>
      </c>
      <c r="BH1407" t="s">
        <v>69</v>
      </c>
      <c r="BI1407" t="s">
        <v>69</v>
      </c>
      <c r="BJ1407" t="s">
        <v>69</v>
      </c>
      <c r="BK1407" t="s">
        <v>69</v>
      </c>
      <c r="BL1407" t="s">
        <v>11599</v>
      </c>
      <c r="BM1407" t="str">
        <f>HYPERLINK("http://dx.doi.org/10.1111/padm.12773","http://dx.doi.org/10.1111/padm.12773")</f>
        <v>http://dx.doi.org/10.1111/padm.12773</v>
      </c>
      <c r="BN1407" t="s">
        <v>69</v>
      </c>
      <c r="BO1407" t="s">
        <v>11486</v>
      </c>
      <c r="BP1407">
        <v>16</v>
      </c>
      <c r="BQ1407" t="s">
        <v>10439</v>
      </c>
      <c r="BR1407" t="s">
        <v>8661</v>
      </c>
      <c r="BS1407" t="s">
        <v>10440</v>
      </c>
      <c r="BT1407" t="s">
        <v>11600</v>
      </c>
      <c r="BU1407" t="s">
        <v>11601</v>
      </c>
      <c r="BV1407" t="s">
        <v>69</v>
      </c>
      <c r="BW1407" t="s">
        <v>8746</v>
      </c>
      <c r="BX1407" t="s">
        <v>69</v>
      </c>
      <c r="BY1407" t="s">
        <v>69</v>
      </c>
      <c r="BZ1407" t="s">
        <v>8526</v>
      </c>
      <c r="CA1407" t="str">
        <f>HYPERLINK("https%3A%2F%2Fwww.webofscience.com%2Fwos%2Fwoscc%2Ffull-record%2FWOS:000685687800001","View Full Record in Web of Science")</f>
        <v>View Full Record in Web of Science</v>
      </c>
    </row>
    <row r="1408" spans="1:79" ht="12.5" x14ac:dyDescent="0.25">
      <c r="B1408" t="s">
        <v>8495</v>
      </c>
      <c r="D1408" s="22" t="s">
        <v>32931</v>
      </c>
      <c r="E1408" s="7"/>
      <c r="F1408" s="7"/>
      <c r="G1408" s="7"/>
      <c r="H1408" t="s">
        <v>67</v>
      </c>
      <c r="I1408" t="s">
        <v>9843</v>
      </c>
      <c r="J1408" t="s">
        <v>69</v>
      </c>
      <c r="K1408" t="s">
        <v>69</v>
      </c>
      <c r="L1408" t="s">
        <v>69</v>
      </c>
      <c r="M1408" t="s">
        <v>9844</v>
      </c>
      <c r="N1408" t="s">
        <v>69</v>
      </c>
      <c r="O1408" t="s">
        <v>69</v>
      </c>
      <c r="P1408" t="s">
        <v>9845</v>
      </c>
      <c r="Q1408" t="s">
        <v>9846</v>
      </c>
      <c r="R1408" t="s">
        <v>69</v>
      </c>
      <c r="S1408" t="s">
        <v>69</v>
      </c>
      <c r="T1408" t="s">
        <v>8505</v>
      </c>
      <c r="U1408" t="s">
        <v>8506</v>
      </c>
      <c r="V1408" t="s">
        <v>69</v>
      </c>
      <c r="W1408" t="s">
        <v>69</v>
      </c>
      <c r="X1408" t="s">
        <v>69</v>
      </c>
      <c r="Y1408" t="s">
        <v>69</v>
      </c>
      <c r="Z1408" t="s">
        <v>69</v>
      </c>
      <c r="AA1408" t="s">
        <v>9847</v>
      </c>
      <c r="AB1408" t="s">
        <v>9848</v>
      </c>
      <c r="AC1408" t="s">
        <v>9849</v>
      </c>
      <c r="AD1408" t="s">
        <v>9850</v>
      </c>
      <c r="AE1408" t="s">
        <v>69</v>
      </c>
      <c r="AF1408" t="s">
        <v>9851</v>
      </c>
      <c r="AG1408" t="s">
        <v>9852</v>
      </c>
      <c r="AH1408" t="s">
        <v>69</v>
      </c>
      <c r="AI1408" t="s">
        <v>69</v>
      </c>
      <c r="AJ1408" t="s">
        <v>9853</v>
      </c>
      <c r="AK1408" t="s">
        <v>9853</v>
      </c>
      <c r="AL1408" t="s">
        <v>9854</v>
      </c>
      <c r="AM1408" t="s">
        <v>69</v>
      </c>
      <c r="AN1408">
        <v>66</v>
      </c>
      <c r="AO1408">
        <v>0</v>
      </c>
      <c r="AP1408">
        <v>0</v>
      </c>
      <c r="AQ1408">
        <v>0</v>
      </c>
      <c r="AR1408">
        <v>0</v>
      </c>
      <c r="AS1408" t="s">
        <v>8586</v>
      </c>
      <c r="AT1408" t="s">
        <v>8587</v>
      </c>
      <c r="AU1408" t="s">
        <v>8588</v>
      </c>
      <c r="AV1408" t="s">
        <v>9855</v>
      </c>
      <c r="AW1408" t="s">
        <v>9856</v>
      </c>
      <c r="AX1408" t="s">
        <v>69</v>
      </c>
      <c r="AY1408" t="s">
        <v>9857</v>
      </c>
      <c r="AZ1408" t="s">
        <v>9858</v>
      </c>
      <c r="BA1408" t="s">
        <v>3848</v>
      </c>
      <c r="BB1408">
        <v>2022</v>
      </c>
      <c r="BC1408">
        <v>13</v>
      </c>
      <c r="BD1408">
        <v>2</v>
      </c>
      <c r="BE1408" t="s">
        <v>69</v>
      </c>
      <c r="BF1408" t="s">
        <v>69</v>
      </c>
      <c r="BG1408" t="s">
        <v>114</v>
      </c>
      <c r="BH1408" t="s">
        <v>69</v>
      </c>
      <c r="BI1408">
        <v>211</v>
      </c>
      <c r="BJ1408">
        <v>232</v>
      </c>
      <c r="BK1408" t="s">
        <v>69</v>
      </c>
      <c r="BL1408" t="s">
        <v>9859</v>
      </c>
      <c r="BM1408" t="str">
        <f>HYPERLINK("http://dx.doi.org/10.1108/IJDRBE-10-2021-0135","http://dx.doi.org/10.1108/IJDRBE-10-2021-0135")</f>
        <v>http://dx.doi.org/10.1108/IJDRBE-10-2021-0135</v>
      </c>
      <c r="BN1408" t="s">
        <v>69</v>
      </c>
      <c r="BO1408" t="s">
        <v>9808</v>
      </c>
      <c r="BP1408">
        <v>22</v>
      </c>
      <c r="BQ1408" t="s">
        <v>8660</v>
      </c>
      <c r="BR1408" t="s">
        <v>8573</v>
      </c>
      <c r="BS1408" t="s">
        <v>8662</v>
      </c>
      <c r="BT1408" t="s">
        <v>9860</v>
      </c>
      <c r="BU1408" t="s">
        <v>9861</v>
      </c>
      <c r="BV1408" t="s">
        <v>69</v>
      </c>
      <c r="BW1408" t="s">
        <v>69</v>
      </c>
      <c r="BX1408" t="s">
        <v>69</v>
      </c>
      <c r="BY1408" t="s">
        <v>69</v>
      </c>
      <c r="BZ1408" t="s">
        <v>8526</v>
      </c>
      <c r="CA1408" t="str">
        <f>HYPERLINK("https%3A%2F%2Fwww.webofscience.com%2Fwos%2Fwoscc%2Ffull-record%2FWOS:000759526300001","View Full Record in Web of Science")</f>
        <v>View Full Record in Web of Science</v>
      </c>
    </row>
    <row r="1409" spans="2:79" ht="12.5" x14ac:dyDescent="0.25">
      <c r="B1409" t="s">
        <v>8495</v>
      </c>
      <c r="D1409" s="7" t="s">
        <v>32933</v>
      </c>
      <c r="E1409" s="7"/>
      <c r="F1409" s="7"/>
      <c r="G1409" s="7"/>
      <c r="H1409" t="s">
        <v>67</v>
      </c>
      <c r="I1409" t="s">
        <v>6707</v>
      </c>
      <c r="J1409" t="s">
        <v>69</v>
      </c>
      <c r="K1409" t="s">
        <v>69</v>
      </c>
      <c r="L1409" t="s">
        <v>69</v>
      </c>
      <c r="M1409" t="s">
        <v>6708</v>
      </c>
      <c r="N1409" t="s">
        <v>69</v>
      </c>
      <c r="O1409" t="s">
        <v>69</v>
      </c>
      <c r="P1409" t="s">
        <v>6709</v>
      </c>
      <c r="Q1409" t="s">
        <v>151</v>
      </c>
      <c r="R1409" t="s">
        <v>69</v>
      </c>
      <c r="S1409" t="s">
        <v>69</v>
      </c>
      <c r="T1409" t="s">
        <v>8505</v>
      </c>
      <c r="U1409" t="s">
        <v>8442</v>
      </c>
      <c r="V1409" t="s">
        <v>69</v>
      </c>
      <c r="W1409" t="s">
        <v>69</v>
      </c>
      <c r="X1409" t="s">
        <v>69</v>
      </c>
      <c r="Y1409" t="s">
        <v>69</v>
      </c>
      <c r="Z1409" t="s">
        <v>69</v>
      </c>
      <c r="AA1409" t="s">
        <v>27484</v>
      </c>
      <c r="AB1409" t="s">
        <v>27485</v>
      </c>
      <c r="AC1409" t="s">
        <v>6710</v>
      </c>
      <c r="AD1409" t="s">
        <v>27486</v>
      </c>
      <c r="AE1409" t="s">
        <v>69</v>
      </c>
      <c r="AF1409" t="s">
        <v>27487</v>
      </c>
      <c r="AG1409" t="s">
        <v>27488</v>
      </c>
      <c r="AH1409" t="s">
        <v>69</v>
      </c>
      <c r="AI1409" t="s">
        <v>69</v>
      </c>
      <c r="AJ1409" t="s">
        <v>27489</v>
      </c>
      <c r="AK1409" t="s">
        <v>27490</v>
      </c>
      <c r="AL1409" t="s">
        <v>27491</v>
      </c>
      <c r="AM1409" t="s">
        <v>69</v>
      </c>
      <c r="AN1409">
        <v>41</v>
      </c>
      <c r="AO1409">
        <v>46</v>
      </c>
      <c r="AP1409">
        <v>46</v>
      </c>
      <c r="AQ1409">
        <v>2</v>
      </c>
      <c r="AR1409">
        <v>14</v>
      </c>
      <c r="AS1409" t="s">
        <v>9145</v>
      </c>
      <c r="AT1409" t="s">
        <v>8637</v>
      </c>
      <c r="AU1409" t="s">
        <v>9146</v>
      </c>
      <c r="AV1409" t="s">
        <v>154</v>
      </c>
      <c r="AW1409" t="s">
        <v>69</v>
      </c>
      <c r="AX1409" t="s">
        <v>69</v>
      </c>
      <c r="AY1409" t="s">
        <v>12762</v>
      </c>
      <c r="AZ1409" t="s">
        <v>12763</v>
      </c>
      <c r="BA1409" t="s">
        <v>373</v>
      </c>
      <c r="BB1409">
        <v>2011</v>
      </c>
      <c r="BC1409">
        <v>15</v>
      </c>
      <c r="BD1409">
        <v>1</v>
      </c>
      <c r="BE1409" t="s">
        <v>69</v>
      </c>
      <c r="BF1409" t="s">
        <v>69</v>
      </c>
      <c r="BG1409" t="s">
        <v>69</v>
      </c>
      <c r="BH1409" t="s">
        <v>69</v>
      </c>
      <c r="BI1409">
        <v>554</v>
      </c>
      <c r="BJ1409">
        <v>563</v>
      </c>
      <c r="BK1409" t="s">
        <v>69</v>
      </c>
      <c r="BL1409" t="s">
        <v>6711</v>
      </c>
      <c r="BM1409" t="str">
        <f>HYPERLINK("http://dx.doi.org/10.1016/j.rser.2010.08.021","http://dx.doi.org/10.1016/j.rser.2010.08.021")</f>
        <v>http://dx.doi.org/10.1016/j.rser.2010.08.021</v>
      </c>
      <c r="BN1409" t="s">
        <v>69</v>
      </c>
      <c r="BO1409" t="s">
        <v>69</v>
      </c>
      <c r="BP1409">
        <v>10</v>
      </c>
      <c r="BQ1409" t="s">
        <v>9931</v>
      </c>
      <c r="BR1409" t="s">
        <v>8548</v>
      </c>
      <c r="BS1409" t="s">
        <v>9932</v>
      </c>
      <c r="BT1409" t="s">
        <v>27492</v>
      </c>
      <c r="BU1409" t="s">
        <v>6712</v>
      </c>
      <c r="BV1409" t="s">
        <v>69</v>
      </c>
      <c r="BW1409" t="s">
        <v>69</v>
      </c>
      <c r="BX1409" t="s">
        <v>69</v>
      </c>
      <c r="BY1409" t="s">
        <v>69</v>
      </c>
      <c r="BZ1409" t="s">
        <v>8526</v>
      </c>
      <c r="CA1409" t="str">
        <f>HYPERLINK("https%3A%2F%2Fwww.webofscience.com%2Fwos%2Fwoscc%2Ffull-record%2FWOS:000284863100039","View Full Record in Web of Science")</f>
        <v>View Full Record in Web of Science</v>
      </c>
    </row>
    <row r="1410" spans="2:79" ht="12.5" x14ac:dyDescent="0.25">
      <c r="B1410" t="s">
        <v>8495</v>
      </c>
      <c r="D1410" s="7" t="s">
        <v>32933</v>
      </c>
      <c r="E1410" s="7"/>
      <c r="F1410" s="7"/>
      <c r="G1410" s="7"/>
      <c r="H1410" t="s">
        <v>67</v>
      </c>
      <c r="I1410" t="s">
        <v>5642</v>
      </c>
      <c r="J1410" t="s">
        <v>69</v>
      </c>
      <c r="K1410" t="s">
        <v>69</v>
      </c>
      <c r="L1410" t="s">
        <v>69</v>
      </c>
      <c r="M1410" t="s">
        <v>5643</v>
      </c>
      <c r="N1410" t="s">
        <v>69</v>
      </c>
      <c r="O1410" t="s">
        <v>69</v>
      </c>
      <c r="P1410" t="s">
        <v>5644</v>
      </c>
      <c r="Q1410" t="s">
        <v>5645</v>
      </c>
      <c r="R1410" t="s">
        <v>69</v>
      </c>
      <c r="S1410" t="s">
        <v>69</v>
      </c>
      <c r="T1410" t="s">
        <v>8505</v>
      </c>
      <c r="U1410" t="s">
        <v>8506</v>
      </c>
      <c r="V1410" t="s">
        <v>69</v>
      </c>
      <c r="W1410" t="s">
        <v>69</v>
      </c>
      <c r="X1410" t="s">
        <v>69</v>
      </c>
      <c r="Y1410" t="s">
        <v>69</v>
      </c>
      <c r="Z1410" t="s">
        <v>69</v>
      </c>
      <c r="AA1410" t="s">
        <v>29386</v>
      </c>
      <c r="AB1410" t="s">
        <v>29387</v>
      </c>
      <c r="AC1410" t="s">
        <v>5646</v>
      </c>
      <c r="AD1410" t="s">
        <v>29388</v>
      </c>
      <c r="AE1410" t="s">
        <v>69</v>
      </c>
      <c r="AF1410" t="s">
        <v>29389</v>
      </c>
      <c r="AG1410" t="s">
        <v>29390</v>
      </c>
      <c r="AH1410" t="s">
        <v>29391</v>
      </c>
      <c r="AI1410" t="s">
        <v>5647</v>
      </c>
      <c r="AJ1410" t="s">
        <v>69</v>
      </c>
      <c r="AK1410" t="s">
        <v>69</v>
      </c>
      <c r="AL1410" t="s">
        <v>69</v>
      </c>
      <c r="AM1410" t="s">
        <v>69</v>
      </c>
      <c r="AN1410">
        <v>40</v>
      </c>
      <c r="AO1410">
        <v>24</v>
      </c>
      <c r="AP1410">
        <v>26</v>
      </c>
      <c r="AQ1410">
        <v>0</v>
      </c>
      <c r="AR1410">
        <v>14</v>
      </c>
      <c r="AS1410" t="s">
        <v>29392</v>
      </c>
      <c r="AT1410" t="s">
        <v>29393</v>
      </c>
      <c r="AU1410" t="s">
        <v>29394</v>
      </c>
      <c r="AV1410" t="s">
        <v>5648</v>
      </c>
      <c r="AW1410" t="s">
        <v>5649</v>
      </c>
      <c r="AX1410" t="s">
        <v>69</v>
      </c>
      <c r="AY1410" t="s">
        <v>29395</v>
      </c>
      <c r="AZ1410" t="s">
        <v>29396</v>
      </c>
      <c r="BA1410" t="s">
        <v>69</v>
      </c>
      <c r="BB1410">
        <v>2008</v>
      </c>
      <c r="BC1410">
        <v>21</v>
      </c>
      <c r="BD1410">
        <v>4</v>
      </c>
      <c r="BE1410" t="s">
        <v>69</v>
      </c>
      <c r="BF1410" t="s">
        <v>69</v>
      </c>
      <c r="BG1410" t="s">
        <v>69</v>
      </c>
      <c r="BH1410" t="s">
        <v>69</v>
      </c>
      <c r="BI1410">
        <v>309</v>
      </c>
      <c r="BJ1410">
        <v>317</v>
      </c>
      <c r="BK1410" t="s">
        <v>69</v>
      </c>
      <c r="BL1410" t="s">
        <v>5650</v>
      </c>
      <c r="BM1410" t="str">
        <f>HYPERLINK("http://dx.doi.org/10.2478/v10001-008-0034-8","http://dx.doi.org/10.2478/v10001-008-0034-8")</f>
        <v>http://dx.doi.org/10.2478/v10001-008-0034-8</v>
      </c>
      <c r="BN1410" t="s">
        <v>69</v>
      </c>
      <c r="BO1410" t="s">
        <v>69</v>
      </c>
      <c r="BP1410">
        <v>9</v>
      </c>
      <c r="BQ1410" t="s">
        <v>8810</v>
      </c>
      <c r="BR1410" t="s">
        <v>8548</v>
      </c>
      <c r="BS1410" t="s">
        <v>8810</v>
      </c>
      <c r="BT1410" t="s">
        <v>29397</v>
      </c>
      <c r="BU1410" t="s">
        <v>5651</v>
      </c>
      <c r="BV1410">
        <v>19158071</v>
      </c>
      <c r="BW1410" t="s">
        <v>10995</v>
      </c>
      <c r="BX1410" t="s">
        <v>69</v>
      </c>
      <c r="BY1410" t="s">
        <v>69</v>
      </c>
      <c r="BZ1410" t="s">
        <v>8526</v>
      </c>
      <c r="CA1410" t="str">
        <f>HYPERLINK("https%3A%2F%2Fwww.webofscience.com%2Fwos%2Fwoscc%2Ffull-record%2FWOS:000264445400006","View Full Record in Web of Science")</f>
        <v>View Full Record in Web of Science</v>
      </c>
    </row>
    <row r="1411" spans="2:79" ht="12.5" x14ac:dyDescent="0.25">
      <c r="B1411" t="s">
        <v>8495</v>
      </c>
      <c r="D1411" s="22" t="s">
        <v>32931</v>
      </c>
      <c r="E1411" s="7"/>
      <c r="F1411" s="7"/>
      <c r="G1411" s="7"/>
      <c r="H1411" t="s">
        <v>67</v>
      </c>
      <c r="I1411" t="s">
        <v>24225</v>
      </c>
      <c r="J1411" t="s">
        <v>69</v>
      </c>
      <c r="K1411" t="s">
        <v>69</v>
      </c>
      <c r="L1411" t="s">
        <v>69</v>
      </c>
      <c r="M1411" t="s">
        <v>24226</v>
      </c>
      <c r="N1411" t="s">
        <v>69</v>
      </c>
      <c r="O1411" t="s">
        <v>69</v>
      </c>
      <c r="P1411" t="s">
        <v>24227</v>
      </c>
      <c r="Q1411" t="s">
        <v>24228</v>
      </c>
      <c r="R1411" t="s">
        <v>69</v>
      </c>
      <c r="S1411" t="s">
        <v>69</v>
      </c>
      <c r="T1411" t="s">
        <v>8505</v>
      </c>
      <c r="U1411" t="s">
        <v>8506</v>
      </c>
      <c r="V1411" t="s">
        <v>69</v>
      </c>
      <c r="W1411" t="s">
        <v>69</v>
      </c>
      <c r="X1411" t="s">
        <v>69</v>
      </c>
      <c r="Y1411" t="s">
        <v>69</v>
      </c>
      <c r="Z1411" t="s">
        <v>69</v>
      </c>
      <c r="AA1411" t="s">
        <v>24229</v>
      </c>
      <c r="AB1411" t="s">
        <v>69</v>
      </c>
      <c r="AC1411" t="s">
        <v>24230</v>
      </c>
      <c r="AD1411" t="s">
        <v>24231</v>
      </c>
      <c r="AE1411" t="s">
        <v>69</v>
      </c>
      <c r="AF1411" t="s">
        <v>24232</v>
      </c>
      <c r="AG1411" t="s">
        <v>24233</v>
      </c>
      <c r="AH1411" t="s">
        <v>69</v>
      </c>
      <c r="AI1411" t="s">
        <v>69</v>
      </c>
      <c r="AJ1411" t="s">
        <v>69</v>
      </c>
      <c r="AK1411" t="s">
        <v>69</v>
      </c>
      <c r="AL1411" t="s">
        <v>69</v>
      </c>
      <c r="AM1411" t="s">
        <v>69</v>
      </c>
      <c r="AN1411">
        <v>38</v>
      </c>
      <c r="AO1411">
        <v>16</v>
      </c>
      <c r="AP1411">
        <v>16</v>
      </c>
      <c r="AQ1411">
        <v>0</v>
      </c>
      <c r="AR1411">
        <v>2</v>
      </c>
      <c r="AS1411" t="s">
        <v>24234</v>
      </c>
      <c r="AT1411" t="s">
        <v>24235</v>
      </c>
      <c r="AU1411" t="s">
        <v>24236</v>
      </c>
      <c r="AV1411" t="s">
        <v>24237</v>
      </c>
      <c r="AW1411" t="s">
        <v>69</v>
      </c>
      <c r="AX1411" t="s">
        <v>69</v>
      </c>
      <c r="AY1411" t="s">
        <v>24238</v>
      </c>
      <c r="AZ1411" t="s">
        <v>24239</v>
      </c>
      <c r="BA1411" t="s">
        <v>69</v>
      </c>
      <c r="BB1411">
        <v>2014</v>
      </c>
      <c r="BC1411">
        <v>1</v>
      </c>
      <c r="BD1411">
        <v>2</v>
      </c>
      <c r="BE1411" t="s">
        <v>69</v>
      </c>
      <c r="BF1411" t="s">
        <v>69</v>
      </c>
      <c r="BG1411" t="s">
        <v>69</v>
      </c>
      <c r="BH1411" t="s">
        <v>69</v>
      </c>
      <c r="BI1411">
        <v>35</v>
      </c>
      <c r="BJ1411">
        <v>50</v>
      </c>
      <c r="BK1411" t="s">
        <v>69</v>
      </c>
      <c r="BL1411" t="s">
        <v>24240</v>
      </c>
      <c r="BM1411" t="str">
        <f>HYPERLINK("http://dx.doi.org/10.17083/ijsg.v1i2.9","http://dx.doi.org/10.17083/ijsg.v1i2.9")</f>
        <v>http://dx.doi.org/10.17083/ijsg.v1i2.9</v>
      </c>
      <c r="BN1411" t="s">
        <v>69</v>
      </c>
      <c r="BO1411" t="s">
        <v>69</v>
      </c>
      <c r="BP1411">
        <v>16</v>
      </c>
      <c r="BQ1411" t="s">
        <v>9290</v>
      </c>
      <c r="BR1411" t="s">
        <v>8573</v>
      </c>
      <c r="BS1411" t="s">
        <v>9290</v>
      </c>
      <c r="BT1411" t="s">
        <v>24241</v>
      </c>
      <c r="BU1411" t="s">
        <v>24242</v>
      </c>
      <c r="BV1411" t="s">
        <v>69</v>
      </c>
      <c r="BW1411" t="s">
        <v>12220</v>
      </c>
      <c r="BX1411" t="s">
        <v>69</v>
      </c>
      <c r="BY1411" t="s">
        <v>69</v>
      </c>
      <c r="BZ1411" t="s">
        <v>8526</v>
      </c>
      <c r="CA1411" t="str">
        <f>HYPERLINK("https%3A%2F%2Fwww.webofscience.com%2Fwos%2Fwoscc%2Ffull-record%2FWOS:000218557000004","View Full Record in Web of Science")</f>
        <v>View Full Record in Web of Science</v>
      </c>
    </row>
    <row r="1412" spans="2:79" ht="12.5" x14ac:dyDescent="0.25">
      <c r="B1412" t="s">
        <v>8495</v>
      </c>
      <c r="D1412" s="22" t="s">
        <v>32931</v>
      </c>
      <c r="E1412" s="7"/>
      <c r="F1412" s="7"/>
      <c r="G1412" s="7"/>
      <c r="H1412" t="s">
        <v>67</v>
      </c>
      <c r="I1412" t="s">
        <v>15773</v>
      </c>
      <c r="J1412" t="s">
        <v>69</v>
      </c>
      <c r="K1412" t="s">
        <v>69</v>
      </c>
      <c r="L1412" t="s">
        <v>69</v>
      </c>
      <c r="M1412" t="s">
        <v>15774</v>
      </c>
      <c r="N1412" t="s">
        <v>69</v>
      </c>
      <c r="O1412" t="s">
        <v>69</v>
      </c>
      <c r="P1412" t="s">
        <v>15775</v>
      </c>
      <c r="Q1412" t="s">
        <v>15776</v>
      </c>
      <c r="R1412" t="s">
        <v>69</v>
      </c>
      <c r="S1412" t="s">
        <v>69</v>
      </c>
      <c r="T1412" t="s">
        <v>8505</v>
      </c>
      <c r="U1412" t="s">
        <v>8506</v>
      </c>
      <c r="V1412" t="s">
        <v>69</v>
      </c>
      <c r="W1412" t="s">
        <v>69</v>
      </c>
      <c r="X1412" t="s">
        <v>69</v>
      </c>
      <c r="Y1412" t="s">
        <v>69</v>
      </c>
      <c r="Z1412" t="s">
        <v>69</v>
      </c>
      <c r="AA1412" t="s">
        <v>15777</v>
      </c>
      <c r="AB1412" t="s">
        <v>15778</v>
      </c>
      <c r="AC1412" t="s">
        <v>15779</v>
      </c>
      <c r="AD1412" t="s">
        <v>15780</v>
      </c>
      <c r="AE1412" t="s">
        <v>69</v>
      </c>
      <c r="AF1412" t="s">
        <v>15781</v>
      </c>
      <c r="AG1412" t="s">
        <v>15782</v>
      </c>
      <c r="AH1412" t="s">
        <v>69</v>
      </c>
      <c r="AI1412" t="s">
        <v>15783</v>
      </c>
      <c r="AJ1412" t="s">
        <v>15784</v>
      </c>
      <c r="AK1412" t="s">
        <v>15785</v>
      </c>
      <c r="AL1412" t="s">
        <v>15786</v>
      </c>
      <c r="AM1412" t="s">
        <v>69</v>
      </c>
      <c r="AN1412">
        <v>51</v>
      </c>
      <c r="AO1412">
        <v>2</v>
      </c>
      <c r="AP1412">
        <v>2</v>
      </c>
      <c r="AQ1412">
        <v>0</v>
      </c>
      <c r="AR1412">
        <v>6</v>
      </c>
      <c r="AS1412" t="s">
        <v>15611</v>
      </c>
      <c r="AT1412" t="s">
        <v>10924</v>
      </c>
      <c r="AU1412" t="s">
        <v>15612</v>
      </c>
      <c r="AV1412" t="s">
        <v>15787</v>
      </c>
      <c r="AW1412" t="s">
        <v>15788</v>
      </c>
      <c r="AX1412" t="s">
        <v>69</v>
      </c>
      <c r="AY1412" t="s">
        <v>15789</v>
      </c>
      <c r="AZ1412" t="s">
        <v>15790</v>
      </c>
      <c r="BA1412" t="s">
        <v>69</v>
      </c>
      <c r="BB1412">
        <v>2020</v>
      </c>
      <c r="BC1412">
        <v>59</v>
      </c>
      <c r="BD1412">
        <v>3</v>
      </c>
      <c r="BE1412" t="s">
        <v>69</v>
      </c>
      <c r="BF1412" t="s">
        <v>69</v>
      </c>
      <c r="BG1412" t="s">
        <v>69</v>
      </c>
      <c r="BH1412" t="s">
        <v>69</v>
      </c>
      <c r="BI1412">
        <v>311</v>
      </c>
      <c r="BJ1412">
        <v>328</v>
      </c>
      <c r="BK1412" t="s">
        <v>69</v>
      </c>
      <c r="BL1412" t="s">
        <v>15791</v>
      </c>
      <c r="BM1412" t="str">
        <f>HYPERLINK("http://dx.doi.org/10.1080/03670244.2020.1722948","http://dx.doi.org/10.1080/03670244.2020.1722948")</f>
        <v>http://dx.doi.org/10.1080/03670244.2020.1722948</v>
      </c>
      <c r="BN1412" t="s">
        <v>69</v>
      </c>
      <c r="BO1412" t="s">
        <v>7867</v>
      </c>
      <c r="BP1412">
        <v>18</v>
      </c>
      <c r="BQ1412" t="s">
        <v>10908</v>
      </c>
      <c r="BR1412" t="s">
        <v>8523</v>
      </c>
      <c r="BS1412" t="s">
        <v>10908</v>
      </c>
      <c r="BT1412" t="s">
        <v>15792</v>
      </c>
      <c r="BU1412" t="s">
        <v>15793</v>
      </c>
      <c r="BV1412">
        <v>32024393</v>
      </c>
      <c r="BW1412" t="s">
        <v>10423</v>
      </c>
      <c r="BX1412" t="s">
        <v>69</v>
      </c>
      <c r="BY1412" t="s">
        <v>69</v>
      </c>
      <c r="BZ1412" t="s">
        <v>8526</v>
      </c>
      <c r="CA1412" t="str">
        <f>HYPERLINK("https%3A%2F%2Fwww.webofscience.com%2Fwos%2Fwoscc%2Ffull-record%2FWOS:000512930800001","View Full Record in Web of Science")</f>
        <v>View Full Record in Web of Science</v>
      </c>
    </row>
    <row r="1413" spans="2:79" x14ac:dyDescent="0.3">
      <c r="B1413" t="s">
        <v>8495</v>
      </c>
      <c r="D1413" s="9" t="s">
        <v>32954</v>
      </c>
      <c r="E1413" s="9" t="s">
        <v>33162</v>
      </c>
      <c r="F1413" s="9" t="s">
        <v>8491</v>
      </c>
      <c r="G1413" s="9" t="s">
        <v>8490</v>
      </c>
      <c r="H1413" t="s">
        <v>67</v>
      </c>
      <c r="I1413" t="s">
        <v>32395</v>
      </c>
      <c r="J1413" t="s">
        <v>69</v>
      </c>
      <c r="K1413" t="s">
        <v>69</v>
      </c>
      <c r="L1413" t="s">
        <v>69</v>
      </c>
      <c r="M1413" t="s">
        <v>32395</v>
      </c>
      <c r="N1413" t="s">
        <v>69</v>
      </c>
      <c r="O1413" t="s">
        <v>69</v>
      </c>
      <c r="P1413" t="s">
        <v>32396</v>
      </c>
      <c r="Q1413" t="s">
        <v>32397</v>
      </c>
      <c r="R1413" t="s">
        <v>69</v>
      </c>
      <c r="S1413" t="s">
        <v>69</v>
      </c>
      <c r="T1413" t="s">
        <v>8505</v>
      </c>
      <c r="U1413" t="s">
        <v>8506</v>
      </c>
      <c r="V1413" t="s">
        <v>69</v>
      </c>
      <c r="W1413" t="s">
        <v>69</v>
      </c>
      <c r="X1413" t="s">
        <v>69</v>
      </c>
      <c r="Y1413" t="s">
        <v>69</v>
      </c>
      <c r="Z1413" t="s">
        <v>69</v>
      </c>
      <c r="AA1413" t="s">
        <v>32398</v>
      </c>
      <c r="AB1413" t="s">
        <v>32399</v>
      </c>
      <c r="AC1413" t="s">
        <v>32400</v>
      </c>
      <c r="AD1413" t="s">
        <v>69</v>
      </c>
      <c r="AE1413" t="s">
        <v>69</v>
      </c>
      <c r="AF1413" t="s">
        <v>32401</v>
      </c>
      <c r="AG1413" t="s">
        <v>69</v>
      </c>
      <c r="AH1413" t="s">
        <v>32402</v>
      </c>
      <c r="AI1413" t="s">
        <v>32403</v>
      </c>
      <c r="AJ1413" t="s">
        <v>69</v>
      </c>
      <c r="AK1413" t="s">
        <v>69</v>
      </c>
      <c r="AL1413" t="s">
        <v>69</v>
      </c>
      <c r="AM1413" t="s">
        <v>69</v>
      </c>
      <c r="AN1413">
        <v>34</v>
      </c>
      <c r="AO1413">
        <v>14</v>
      </c>
      <c r="AP1413">
        <v>15</v>
      </c>
      <c r="AQ1413">
        <v>0</v>
      </c>
      <c r="AR1413">
        <v>4</v>
      </c>
      <c r="AS1413" t="s">
        <v>27667</v>
      </c>
      <c r="AT1413" t="s">
        <v>27668</v>
      </c>
      <c r="AU1413" t="s">
        <v>32404</v>
      </c>
      <c r="AV1413" t="s">
        <v>32405</v>
      </c>
      <c r="AW1413" t="s">
        <v>69</v>
      </c>
      <c r="AX1413" t="s">
        <v>69</v>
      </c>
      <c r="AY1413" t="s">
        <v>32406</v>
      </c>
      <c r="AZ1413" t="s">
        <v>32407</v>
      </c>
      <c r="BA1413" t="s">
        <v>274</v>
      </c>
      <c r="BB1413">
        <v>1996</v>
      </c>
      <c r="BC1413">
        <v>29</v>
      </c>
      <c r="BD1413" t="s">
        <v>69</v>
      </c>
      <c r="BE1413">
        <v>4</v>
      </c>
      <c r="BF1413" t="s">
        <v>69</v>
      </c>
      <c r="BG1413" t="s">
        <v>69</v>
      </c>
      <c r="BH1413" t="s">
        <v>69</v>
      </c>
      <c r="BI1413">
        <v>341</v>
      </c>
      <c r="BJ1413">
        <v>355</v>
      </c>
      <c r="BK1413" t="s">
        <v>69</v>
      </c>
      <c r="BL1413" t="s">
        <v>32408</v>
      </c>
      <c r="BM1413" t="str">
        <f>HYPERLINK("http://dx.doi.org/10.1144/GSL.QJEGH.1996.029.P4.07","http://dx.doi.org/10.1144/GSL.QJEGH.1996.029.P4.07")</f>
        <v>http://dx.doi.org/10.1144/GSL.QJEGH.1996.029.P4.07</v>
      </c>
      <c r="BN1413" t="s">
        <v>69</v>
      </c>
      <c r="BO1413" t="s">
        <v>69</v>
      </c>
      <c r="BP1413">
        <v>15</v>
      </c>
      <c r="BQ1413" t="s">
        <v>31173</v>
      </c>
      <c r="BR1413" t="s">
        <v>8548</v>
      </c>
      <c r="BS1413" t="s">
        <v>29172</v>
      </c>
      <c r="BT1413" t="s">
        <v>32409</v>
      </c>
      <c r="BU1413" t="s">
        <v>32410</v>
      </c>
      <c r="BV1413" t="s">
        <v>69</v>
      </c>
      <c r="BW1413" t="s">
        <v>69</v>
      </c>
      <c r="BX1413" t="s">
        <v>69</v>
      </c>
      <c r="BY1413" t="s">
        <v>69</v>
      </c>
      <c r="BZ1413" t="s">
        <v>8526</v>
      </c>
      <c r="CA1413" t="str">
        <f>HYPERLINK("https%3A%2F%2Fwww.webofscience.com%2Fwos%2Fwoscc%2Ffull-record%2FWOS:A1996VX72400007","View Full Record in Web of Science")</f>
        <v>View Full Record in Web of Science</v>
      </c>
    </row>
    <row r="1414" spans="2:79" x14ac:dyDescent="0.3">
      <c r="B1414" t="s">
        <v>8495</v>
      </c>
      <c r="D1414" s="12" t="s">
        <v>33022</v>
      </c>
      <c r="H1414" t="s">
        <v>67</v>
      </c>
      <c r="I1414" t="s">
        <v>5607</v>
      </c>
      <c r="J1414" t="s">
        <v>69</v>
      </c>
      <c r="K1414" t="s">
        <v>69</v>
      </c>
      <c r="L1414" t="s">
        <v>69</v>
      </c>
      <c r="M1414" s="3" t="s">
        <v>5608</v>
      </c>
      <c r="N1414" t="s">
        <v>69</v>
      </c>
      <c r="O1414" t="s">
        <v>69</v>
      </c>
      <c r="P1414" s="2" t="s">
        <v>5609</v>
      </c>
      <c r="Q1414" t="s">
        <v>5610</v>
      </c>
      <c r="R1414" t="s">
        <v>69</v>
      </c>
      <c r="S1414" t="s">
        <v>69</v>
      </c>
      <c r="T1414" t="s">
        <v>8505</v>
      </c>
      <c r="U1414" t="s">
        <v>8506</v>
      </c>
      <c r="V1414" t="s">
        <v>69</v>
      </c>
      <c r="W1414" t="s">
        <v>69</v>
      </c>
      <c r="X1414" t="s">
        <v>69</v>
      </c>
      <c r="Y1414" t="s">
        <v>69</v>
      </c>
      <c r="Z1414" t="s">
        <v>69</v>
      </c>
      <c r="AA1414" t="s">
        <v>69</v>
      </c>
      <c r="AB1414" t="s">
        <v>69</v>
      </c>
      <c r="AC1414" t="s">
        <v>5611</v>
      </c>
      <c r="AD1414" t="s">
        <v>23002</v>
      </c>
      <c r="AE1414" t="s">
        <v>69</v>
      </c>
      <c r="AF1414" t="s">
        <v>23003</v>
      </c>
      <c r="AG1414" t="s">
        <v>69</v>
      </c>
      <c r="AH1414" t="s">
        <v>69</v>
      </c>
      <c r="AI1414" t="s">
        <v>69</v>
      </c>
      <c r="AJ1414" t="s">
        <v>69</v>
      </c>
      <c r="AK1414" t="s">
        <v>69</v>
      </c>
      <c r="AL1414" t="s">
        <v>69</v>
      </c>
      <c r="AM1414" t="s">
        <v>69</v>
      </c>
      <c r="AN1414">
        <v>39</v>
      </c>
      <c r="AO1414">
        <v>0</v>
      </c>
      <c r="AP1414">
        <v>0</v>
      </c>
      <c r="AQ1414">
        <v>0</v>
      </c>
      <c r="AR1414">
        <v>2</v>
      </c>
      <c r="AS1414" t="s">
        <v>23004</v>
      </c>
      <c r="AT1414" t="s">
        <v>23005</v>
      </c>
      <c r="AU1414" t="s">
        <v>23006</v>
      </c>
      <c r="AV1414" t="s">
        <v>5612</v>
      </c>
      <c r="AW1414" t="s">
        <v>69</v>
      </c>
      <c r="AX1414" t="s">
        <v>69</v>
      </c>
      <c r="AY1414" t="s">
        <v>23007</v>
      </c>
      <c r="AZ1414" t="s">
        <v>23008</v>
      </c>
      <c r="BA1414" t="s">
        <v>69</v>
      </c>
      <c r="BB1414">
        <v>2015</v>
      </c>
      <c r="BC1414">
        <v>42</v>
      </c>
      <c r="BD1414">
        <v>3</v>
      </c>
      <c r="BE1414" t="s">
        <v>69</v>
      </c>
      <c r="BF1414" t="s">
        <v>69</v>
      </c>
      <c r="BG1414" t="s">
        <v>69</v>
      </c>
      <c r="BH1414" t="s">
        <v>69</v>
      </c>
      <c r="BI1414">
        <v>609</v>
      </c>
      <c r="BJ1414">
        <v>650</v>
      </c>
      <c r="BK1414" t="s">
        <v>69</v>
      </c>
      <c r="BL1414" t="s">
        <v>69</v>
      </c>
      <c r="BM1414" t="s">
        <v>69</v>
      </c>
      <c r="BN1414" t="s">
        <v>69</v>
      </c>
      <c r="BO1414" t="s">
        <v>69</v>
      </c>
      <c r="BP1414">
        <v>42</v>
      </c>
      <c r="BQ1414" t="s">
        <v>23009</v>
      </c>
      <c r="BR1414" t="s">
        <v>8661</v>
      </c>
      <c r="BS1414" t="s">
        <v>11544</v>
      </c>
      <c r="BT1414" t="s">
        <v>23010</v>
      </c>
      <c r="BU1414" t="s">
        <v>5613</v>
      </c>
      <c r="BV1414" t="s">
        <v>69</v>
      </c>
      <c r="BW1414" t="s">
        <v>69</v>
      </c>
      <c r="BX1414" t="s">
        <v>69</v>
      </c>
      <c r="BY1414" t="s">
        <v>69</v>
      </c>
      <c r="BZ1414" t="s">
        <v>8526</v>
      </c>
      <c r="CA1414" t="str">
        <f>HYPERLINK("https%3A%2F%2Fwww.webofscience.com%2Fwos%2Fwoscc%2Ffull-record%2FWOS:000367501700002","View Full Record in Web of Science")</f>
        <v>View Full Record in Web of Science</v>
      </c>
    </row>
    <row r="1415" spans="2:79" ht="12.5" x14ac:dyDescent="0.25">
      <c r="B1415" t="s">
        <v>8495</v>
      </c>
      <c r="D1415" s="7" t="s">
        <v>32933</v>
      </c>
      <c r="E1415" s="7"/>
      <c r="F1415" s="7"/>
      <c r="G1415" s="7"/>
      <c r="H1415" t="s">
        <v>67</v>
      </c>
      <c r="I1415" t="s">
        <v>6674</v>
      </c>
      <c r="J1415" t="s">
        <v>69</v>
      </c>
      <c r="K1415" t="s">
        <v>69</v>
      </c>
      <c r="L1415" t="s">
        <v>69</v>
      </c>
      <c r="M1415" t="s">
        <v>6675</v>
      </c>
      <c r="N1415" t="s">
        <v>69</v>
      </c>
      <c r="O1415" t="s">
        <v>69</v>
      </c>
      <c r="P1415" t="s">
        <v>6676</v>
      </c>
      <c r="Q1415" t="s">
        <v>6677</v>
      </c>
      <c r="R1415" t="s">
        <v>69</v>
      </c>
      <c r="S1415" t="s">
        <v>69</v>
      </c>
      <c r="T1415" t="s">
        <v>8505</v>
      </c>
      <c r="U1415" t="s">
        <v>8506</v>
      </c>
      <c r="V1415" t="s">
        <v>69</v>
      </c>
      <c r="W1415" t="s">
        <v>69</v>
      </c>
      <c r="X1415" t="s">
        <v>69</v>
      </c>
      <c r="Y1415" t="s">
        <v>69</v>
      </c>
      <c r="Z1415" t="s">
        <v>69</v>
      </c>
      <c r="AA1415" t="s">
        <v>24617</v>
      </c>
      <c r="AB1415" t="s">
        <v>24618</v>
      </c>
      <c r="AC1415" t="s">
        <v>6678</v>
      </c>
      <c r="AD1415" t="s">
        <v>24619</v>
      </c>
      <c r="AE1415" t="s">
        <v>69</v>
      </c>
      <c r="AF1415" t="s">
        <v>24620</v>
      </c>
      <c r="AG1415" t="s">
        <v>24621</v>
      </c>
      <c r="AH1415" t="s">
        <v>69</v>
      </c>
      <c r="AI1415" t="s">
        <v>69</v>
      </c>
      <c r="AJ1415" t="s">
        <v>69</v>
      </c>
      <c r="AK1415" t="s">
        <v>69</v>
      </c>
      <c r="AL1415" t="s">
        <v>69</v>
      </c>
      <c r="AM1415" t="s">
        <v>69</v>
      </c>
      <c r="AN1415">
        <v>37</v>
      </c>
      <c r="AO1415">
        <v>5</v>
      </c>
      <c r="AP1415">
        <v>5</v>
      </c>
      <c r="AQ1415">
        <v>0</v>
      </c>
      <c r="AR1415">
        <v>10</v>
      </c>
      <c r="AS1415" t="s">
        <v>9203</v>
      </c>
      <c r="AT1415" t="s">
        <v>8763</v>
      </c>
      <c r="AU1415" t="s">
        <v>9204</v>
      </c>
      <c r="AV1415" t="s">
        <v>69</v>
      </c>
      <c r="AW1415" t="s">
        <v>6679</v>
      </c>
      <c r="AX1415" t="s">
        <v>69</v>
      </c>
      <c r="AY1415" t="s">
        <v>24622</v>
      </c>
      <c r="AZ1415" t="s">
        <v>24623</v>
      </c>
      <c r="BA1415" t="s">
        <v>6680</v>
      </c>
      <c r="BB1415">
        <v>2013</v>
      </c>
      <c r="BC1415">
        <v>9</v>
      </c>
      <c r="BD1415" t="s">
        <v>69</v>
      </c>
      <c r="BE1415" t="s">
        <v>69</v>
      </c>
      <c r="BF1415" t="s">
        <v>69</v>
      </c>
      <c r="BG1415" t="s">
        <v>69</v>
      </c>
      <c r="BH1415" t="s">
        <v>69</v>
      </c>
      <c r="BI1415" t="s">
        <v>69</v>
      </c>
      <c r="BJ1415" t="s">
        <v>69</v>
      </c>
      <c r="BK1415">
        <v>51</v>
      </c>
      <c r="BL1415" t="s">
        <v>6681</v>
      </c>
      <c r="BM1415" t="str">
        <f>HYPERLINK("http://dx.doi.org/10.1186/1744-8603-9-51","http://dx.doi.org/10.1186/1744-8603-9-51")</f>
        <v>http://dx.doi.org/10.1186/1744-8603-9-51</v>
      </c>
      <c r="BN1415" t="s">
        <v>69</v>
      </c>
      <c r="BO1415" t="s">
        <v>69</v>
      </c>
      <c r="BP1415">
        <v>10</v>
      </c>
      <c r="BQ1415" t="s">
        <v>8810</v>
      </c>
      <c r="BR1415" t="s">
        <v>8523</v>
      </c>
      <c r="BS1415" t="s">
        <v>8810</v>
      </c>
      <c r="BT1415" t="s">
        <v>24624</v>
      </c>
      <c r="BU1415" t="s">
        <v>6682</v>
      </c>
      <c r="BV1415">
        <v>24160168</v>
      </c>
      <c r="BW1415" t="s">
        <v>9352</v>
      </c>
      <c r="BX1415" t="s">
        <v>69</v>
      </c>
      <c r="BY1415" t="s">
        <v>69</v>
      </c>
      <c r="BZ1415" t="s">
        <v>8526</v>
      </c>
      <c r="CA1415" t="str">
        <f>HYPERLINK("https%3A%2F%2Fwww.webofscience.com%2Fwos%2Fwoscc%2Ffull-record%2FWOS:000326539900001","View Full Record in Web of Science")</f>
        <v>View Full Record in Web of Science</v>
      </c>
    </row>
    <row r="1416" spans="2:79" ht="12.5" x14ac:dyDescent="0.25">
      <c r="B1416" t="s">
        <v>8495</v>
      </c>
      <c r="D1416" s="22" t="s">
        <v>32931</v>
      </c>
      <c r="E1416" s="7"/>
      <c r="F1416" s="7"/>
      <c r="G1416" s="7"/>
      <c r="H1416" t="s">
        <v>67</v>
      </c>
      <c r="I1416" t="s">
        <v>24595</v>
      </c>
      <c r="J1416" t="s">
        <v>69</v>
      </c>
      <c r="K1416" t="s">
        <v>69</v>
      </c>
      <c r="L1416" t="s">
        <v>69</v>
      </c>
      <c r="M1416" t="s">
        <v>24596</v>
      </c>
      <c r="N1416" t="s">
        <v>69</v>
      </c>
      <c r="O1416" t="s">
        <v>69</v>
      </c>
      <c r="P1416" t="s">
        <v>24597</v>
      </c>
      <c r="Q1416" t="s">
        <v>24598</v>
      </c>
      <c r="R1416" t="s">
        <v>69</v>
      </c>
      <c r="S1416" t="s">
        <v>69</v>
      </c>
      <c r="T1416" t="s">
        <v>8505</v>
      </c>
      <c r="U1416" t="s">
        <v>8506</v>
      </c>
      <c r="V1416" t="s">
        <v>69</v>
      </c>
      <c r="W1416" t="s">
        <v>69</v>
      </c>
      <c r="X1416" t="s">
        <v>69</v>
      </c>
      <c r="Y1416" t="s">
        <v>69</v>
      </c>
      <c r="Z1416" t="s">
        <v>69</v>
      </c>
      <c r="AA1416" t="s">
        <v>24599</v>
      </c>
      <c r="AB1416" t="s">
        <v>24600</v>
      </c>
      <c r="AC1416" t="s">
        <v>24601</v>
      </c>
      <c r="AD1416" t="s">
        <v>24602</v>
      </c>
      <c r="AE1416" t="s">
        <v>69</v>
      </c>
      <c r="AF1416" t="s">
        <v>24603</v>
      </c>
      <c r="AG1416" t="s">
        <v>24604</v>
      </c>
      <c r="AH1416" t="s">
        <v>24605</v>
      </c>
      <c r="AI1416" t="s">
        <v>24606</v>
      </c>
      <c r="AJ1416" t="s">
        <v>24607</v>
      </c>
      <c r="AK1416" t="s">
        <v>24608</v>
      </c>
      <c r="AL1416" t="s">
        <v>24609</v>
      </c>
      <c r="AM1416" t="s">
        <v>69</v>
      </c>
      <c r="AN1416">
        <v>32</v>
      </c>
      <c r="AO1416">
        <v>61</v>
      </c>
      <c r="AP1416">
        <v>61</v>
      </c>
      <c r="AQ1416">
        <v>1</v>
      </c>
      <c r="AR1416">
        <v>60</v>
      </c>
      <c r="AS1416" t="s">
        <v>17140</v>
      </c>
      <c r="AT1416" t="s">
        <v>8517</v>
      </c>
      <c r="AU1416" t="s">
        <v>17141</v>
      </c>
      <c r="AV1416" t="s">
        <v>24610</v>
      </c>
      <c r="AW1416" t="s">
        <v>24611</v>
      </c>
      <c r="AX1416" t="s">
        <v>69</v>
      </c>
      <c r="AY1416" t="s">
        <v>24612</v>
      </c>
      <c r="AZ1416" t="s">
        <v>24613</v>
      </c>
      <c r="BA1416" t="s">
        <v>1206</v>
      </c>
      <c r="BB1416">
        <v>2013</v>
      </c>
      <c r="BC1416">
        <v>112</v>
      </c>
      <c r="BD1416" t="s">
        <v>145</v>
      </c>
      <c r="BE1416" t="s">
        <v>69</v>
      </c>
      <c r="BF1416" t="s">
        <v>69</v>
      </c>
      <c r="BG1416" t="s">
        <v>69</v>
      </c>
      <c r="BH1416" t="s">
        <v>69</v>
      </c>
      <c r="BI1416">
        <v>370</v>
      </c>
      <c r="BJ1416">
        <v>377</v>
      </c>
      <c r="BK1416" t="s">
        <v>69</v>
      </c>
      <c r="BL1416" t="s">
        <v>24614</v>
      </c>
      <c r="BM1416" t="str">
        <f>HYPERLINK("http://dx.doi.org/10.1016/j.prevetmed.2013.09.009","http://dx.doi.org/10.1016/j.prevetmed.2013.09.009")</f>
        <v>http://dx.doi.org/10.1016/j.prevetmed.2013.09.009</v>
      </c>
      <c r="BN1416" t="s">
        <v>69</v>
      </c>
      <c r="BO1416" t="s">
        <v>69</v>
      </c>
      <c r="BP1416">
        <v>8</v>
      </c>
      <c r="BQ1416" t="s">
        <v>14769</v>
      </c>
      <c r="BR1416" t="s">
        <v>8548</v>
      </c>
      <c r="BS1416" t="s">
        <v>14769</v>
      </c>
      <c r="BT1416" t="s">
        <v>24615</v>
      </c>
      <c r="BU1416" t="s">
        <v>24616</v>
      </c>
      <c r="BV1416">
        <v>24120236</v>
      </c>
      <c r="BW1416" t="s">
        <v>10363</v>
      </c>
      <c r="BX1416" t="s">
        <v>69</v>
      </c>
      <c r="BY1416" t="s">
        <v>69</v>
      </c>
      <c r="BZ1416" t="s">
        <v>8526</v>
      </c>
      <c r="CA1416" t="str">
        <f>HYPERLINK("https%3A%2F%2Fwww.webofscience.com%2Fwos%2Fwoscc%2Ffull-record%2FWOS:000327228100021","View Full Record in Web of Science")</f>
        <v>View Full Record in Web of Science</v>
      </c>
    </row>
    <row r="1417" spans="2:79" ht="12.5" x14ac:dyDescent="0.25">
      <c r="B1417" t="s">
        <v>8495</v>
      </c>
      <c r="D1417" s="22" t="s">
        <v>32931</v>
      </c>
      <c r="E1417" s="7"/>
      <c r="F1417" s="7"/>
      <c r="G1417" s="7"/>
      <c r="H1417" t="s">
        <v>67</v>
      </c>
      <c r="I1417" t="s">
        <v>29028</v>
      </c>
      <c r="J1417" t="s">
        <v>69</v>
      </c>
      <c r="K1417" t="s">
        <v>69</v>
      </c>
      <c r="L1417" t="s">
        <v>69</v>
      </c>
      <c r="M1417" t="s">
        <v>29029</v>
      </c>
      <c r="N1417" t="s">
        <v>69</v>
      </c>
      <c r="O1417" t="s">
        <v>69</v>
      </c>
      <c r="P1417" t="s">
        <v>29030</v>
      </c>
      <c r="Q1417" t="s">
        <v>14711</v>
      </c>
      <c r="R1417" t="s">
        <v>69</v>
      </c>
      <c r="S1417" t="s">
        <v>69</v>
      </c>
      <c r="T1417" t="s">
        <v>8505</v>
      </c>
      <c r="U1417" t="s">
        <v>8506</v>
      </c>
      <c r="V1417" t="s">
        <v>69</v>
      </c>
      <c r="W1417" t="s">
        <v>69</v>
      </c>
      <c r="X1417" t="s">
        <v>69</v>
      </c>
      <c r="Y1417" t="s">
        <v>69</v>
      </c>
      <c r="Z1417" t="s">
        <v>69</v>
      </c>
      <c r="AA1417" t="s">
        <v>69</v>
      </c>
      <c r="AB1417" t="s">
        <v>29031</v>
      </c>
      <c r="AC1417" t="s">
        <v>29032</v>
      </c>
      <c r="AD1417" t="s">
        <v>29033</v>
      </c>
      <c r="AE1417" t="s">
        <v>69</v>
      </c>
      <c r="AF1417" t="s">
        <v>29034</v>
      </c>
      <c r="AG1417" t="s">
        <v>29035</v>
      </c>
      <c r="AH1417" t="s">
        <v>69</v>
      </c>
      <c r="AI1417" t="s">
        <v>69</v>
      </c>
      <c r="AJ1417" t="s">
        <v>69</v>
      </c>
      <c r="AK1417" t="s">
        <v>69</v>
      </c>
      <c r="AL1417" t="s">
        <v>69</v>
      </c>
      <c r="AM1417" t="s">
        <v>69</v>
      </c>
      <c r="AN1417">
        <v>54</v>
      </c>
      <c r="AO1417">
        <v>5</v>
      </c>
      <c r="AP1417">
        <v>5</v>
      </c>
      <c r="AQ1417">
        <v>0</v>
      </c>
      <c r="AR1417">
        <v>5</v>
      </c>
      <c r="AS1417" t="s">
        <v>8865</v>
      </c>
      <c r="AT1417" t="s">
        <v>8612</v>
      </c>
      <c r="AU1417" t="s">
        <v>8866</v>
      </c>
      <c r="AV1417" t="s">
        <v>14720</v>
      </c>
      <c r="AW1417" t="s">
        <v>14721</v>
      </c>
      <c r="AX1417" t="s">
        <v>69</v>
      </c>
      <c r="AY1417" t="s">
        <v>14722</v>
      </c>
      <c r="AZ1417" t="s">
        <v>14723</v>
      </c>
      <c r="BA1417" t="s">
        <v>619</v>
      </c>
      <c r="BB1417">
        <v>2008</v>
      </c>
      <c r="BC1417">
        <v>19</v>
      </c>
      <c r="BD1417">
        <v>6</v>
      </c>
      <c r="BE1417" t="s">
        <v>69</v>
      </c>
      <c r="BF1417" t="s">
        <v>69</v>
      </c>
      <c r="BG1417" t="s">
        <v>114</v>
      </c>
      <c r="BH1417" t="s">
        <v>69</v>
      </c>
      <c r="BI1417">
        <v>907</v>
      </c>
      <c r="BJ1417">
        <v>940</v>
      </c>
      <c r="BK1417" t="s">
        <v>69</v>
      </c>
      <c r="BL1417" t="s">
        <v>29036</v>
      </c>
      <c r="BM1417" t="str">
        <f>HYPERLINK("http://dx.doi.org/10.1080/10409280802356653","http://dx.doi.org/10.1080/10409280802356653")</f>
        <v>http://dx.doi.org/10.1080/10409280802356653</v>
      </c>
      <c r="BN1417" t="s">
        <v>69</v>
      </c>
      <c r="BO1417" t="s">
        <v>69</v>
      </c>
      <c r="BP1417">
        <v>34</v>
      </c>
      <c r="BQ1417" t="s">
        <v>14725</v>
      </c>
      <c r="BR1417" t="s">
        <v>8661</v>
      </c>
      <c r="BS1417" t="s">
        <v>14726</v>
      </c>
      <c r="BT1417" t="s">
        <v>29037</v>
      </c>
      <c r="BU1417" t="s">
        <v>29038</v>
      </c>
      <c r="BV1417" t="s">
        <v>69</v>
      </c>
      <c r="BW1417" t="s">
        <v>69</v>
      </c>
      <c r="BX1417" t="s">
        <v>69</v>
      </c>
      <c r="BY1417" t="s">
        <v>69</v>
      </c>
      <c r="BZ1417" t="s">
        <v>8526</v>
      </c>
      <c r="CA1417" t="str">
        <f>HYPERLINK("https%3A%2F%2Fwww.webofscience.com%2Fwos%2Fwoscc%2Ffull-record%2FWOS:000262740400005","View Full Record in Web of Science")</f>
        <v>View Full Record in Web of Science</v>
      </c>
    </row>
    <row r="1418" spans="2:79" ht="12.5" x14ac:dyDescent="0.25">
      <c r="B1418" t="s">
        <v>8495</v>
      </c>
      <c r="D1418" s="7" t="s">
        <v>32933</v>
      </c>
      <c r="E1418" s="7"/>
      <c r="F1418" s="7"/>
      <c r="G1418" s="7"/>
      <c r="H1418" t="s">
        <v>67</v>
      </c>
      <c r="I1418" t="s">
        <v>7666</v>
      </c>
      <c r="J1418" t="s">
        <v>69</v>
      </c>
      <c r="K1418" t="s">
        <v>69</v>
      </c>
      <c r="L1418" t="s">
        <v>69</v>
      </c>
      <c r="M1418" t="s">
        <v>7667</v>
      </c>
      <c r="N1418" t="s">
        <v>69</v>
      </c>
      <c r="O1418" t="s">
        <v>69</v>
      </c>
      <c r="P1418" t="s">
        <v>7668</v>
      </c>
      <c r="Q1418" t="s">
        <v>5162</v>
      </c>
      <c r="R1418" t="s">
        <v>69</v>
      </c>
      <c r="S1418" t="s">
        <v>69</v>
      </c>
      <c r="T1418" t="s">
        <v>8505</v>
      </c>
      <c r="U1418" t="s">
        <v>8506</v>
      </c>
      <c r="V1418" t="s">
        <v>69</v>
      </c>
      <c r="W1418" t="s">
        <v>69</v>
      </c>
      <c r="X1418" t="s">
        <v>69</v>
      </c>
      <c r="Y1418" t="s">
        <v>69</v>
      </c>
      <c r="Z1418" t="s">
        <v>69</v>
      </c>
      <c r="AA1418" t="s">
        <v>69</v>
      </c>
      <c r="AB1418" t="s">
        <v>16294</v>
      </c>
      <c r="AC1418" t="s">
        <v>7669</v>
      </c>
      <c r="AD1418" t="s">
        <v>16295</v>
      </c>
      <c r="AE1418" t="s">
        <v>69</v>
      </c>
      <c r="AF1418" t="s">
        <v>16296</v>
      </c>
      <c r="AG1418" t="s">
        <v>16297</v>
      </c>
      <c r="AH1418" t="s">
        <v>69</v>
      </c>
      <c r="AI1418" t="s">
        <v>69</v>
      </c>
      <c r="AJ1418" t="s">
        <v>69</v>
      </c>
      <c r="AK1418" t="s">
        <v>69</v>
      </c>
      <c r="AL1418" t="s">
        <v>69</v>
      </c>
      <c r="AM1418" t="s">
        <v>69</v>
      </c>
      <c r="AN1418">
        <v>50</v>
      </c>
      <c r="AO1418">
        <v>7</v>
      </c>
      <c r="AP1418">
        <v>7</v>
      </c>
      <c r="AQ1418">
        <v>1</v>
      </c>
      <c r="AR1418">
        <v>14</v>
      </c>
      <c r="AS1418" t="s">
        <v>8636</v>
      </c>
      <c r="AT1418" t="s">
        <v>8637</v>
      </c>
      <c r="AU1418" t="s">
        <v>8638</v>
      </c>
      <c r="AV1418" t="s">
        <v>5164</v>
      </c>
      <c r="AW1418" t="s">
        <v>5165</v>
      </c>
      <c r="AX1418" t="s">
        <v>69</v>
      </c>
      <c r="AY1418" t="s">
        <v>11987</v>
      </c>
      <c r="AZ1418" t="s">
        <v>11988</v>
      </c>
      <c r="BA1418" t="s">
        <v>373</v>
      </c>
      <c r="BB1418">
        <v>2020</v>
      </c>
      <c r="BC1418">
        <v>111</v>
      </c>
      <c r="BD1418" t="s">
        <v>69</v>
      </c>
      <c r="BE1418" t="s">
        <v>69</v>
      </c>
      <c r="BF1418" t="s">
        <v>69</v>
      </c>
      <c r="BG1418" t="s">
        <v>69</v>
      </c>
      <c r="BH1418" t="s">
        <v>69</v>
      </c>
      <c r="BI1418" t="s">
        <v>69</v>
      </c>
      <c r="BJ1418" t="s">
        <v>69</v>
      </c>
      <c r="BK1418">
        <v>102689</v>
      </c>
      <c r="BL1418" t="s">
        <v>7670</v>
      </c>
      <c r="BM1418" t="str">
        <f>HYPERLINK("http://dx.doi.org/10.1016/j.marpol.2017.03.009","http://dx.doi.org/10.1016/j.marpol.2017.03.009")</f>
        <v>http://dx.doi.org/10.1016/j.marpol.2017.03.009</v>
      </c>
      <c r="BN1418" t="s">
        <v>69</v>
      </c>
      <c r="BO1418" t="s">
        <v>69</v>
      </c>
      <c r="BP1418">
        <v>10</v>
      </c>
      <c r="BQ1418" t="s">
        <v>11990</v>
      </c>
      <c r="BR1418" t="s">
        <v>8661</v>
      </c>
      <c r="BS1418" t="s">
        <v>11991</v>
      </c>
      <c r="BT1418" t="s">
        <v>16298</v>
      </c>
      <c r="BU1418" t="s">
        <v>7671</v>
      </c>
      <c r="BV1418" t="s">
        <v>69</v>
      </c>
      <c r="BW1418" t="s">
        <v>9292</v>
      </c>
      <c r="BX1418" t="s">
        <v>69</v>
      </c>
      <c r="BY1418" t="s">
        <v>69</v>
      </c>
      <c r="BZ1418" t="s">
        <v>8526</v>
      </c>
      <c r="CA1418" t="str">
        <f>HYPERLINK("https%3A%2F%2Fwww.webofscience.com%2Fwos%2Fwoscc%2Ffull-record%2FWOS:000503319000017","View Full Record in Web of Science")</f>
        <v>View Full Record in Web of Science</v>
      </c>
    </row>
    <row r="1419" spans="2:79" ht="12.5" x14ac:dyDescent="0.25">
      <c r="B1419" t="s">
        <v>8495</v>
      </c>
      <c r="D1419" s="7" t="s">
        <v>32933</v>
      </c>
      <c r="E1419" s="7"/>
      <c r="F1419" s="7"/>
      <c r="G1419" s="7"/>
      <c r="H1419" t="s">
        <v>67</v>
      </c>
      <c r="I1419" t="s">
        <v>4014</v>
      </c>
      <c r="J1419" t="s">
        <v>69</v>
      </c>
      <c r="K1419" t="s">
        <v>69</v>
      </c>
      <c r="L1419" t="s">
        <v>69</v>
      </c>
      <c r="M1419" t="s">
        <v>4014</v>
      </c>
      <c r="N1419" t="s">
        <v>69</v>
      </c>
      <c r="O1419" t="s">
        <v>69</v>
      </c>
      <c r="P1419" t="s">
        <v>4015</v>
      </c>
      <c r="Q1419" t="s">
        <v>4016</v>
      </c>
      <c r="R1419" t="s">
        <v>69</v>
      </c>
      <c r="S1419" t="s">
        <v>69</v>
      </c>
      <c r="T1419" t="s">
        <v>8505</v>
      </c>
      <c r="U1419" t="s">
        <v>8442</v>
      </c>
      <c r="V1419" t="s">
        <v>69</v>
      </c>
      <c r="W1419" t="s">
        <v>69</v>
      </c>
      <c r="X1419" t="s">
        <v>69</v>
      </c>
      <c r="Y1419" t="s">
        <v>69</v>
      </c>
      <c r="Z1419" t="s">
        <v>69</v>
      </c>
      <c r="AA1419" t="s">
        <v>31415</v>
      </c>
      <c r="AB1419" t="s">
        <v>69</v>
      </c>
      <c r="AC1419" t="s">
        <v>4017</v>
      </c>
      <c r="AD1419" t="s">
        <v>31416</v>
      </c>
      <c r="AE1419" t="s">
        <v>69</v>
      </c>
      <c r="AF1419" t="s">
        <v>31417</v>
      </c>
      <c r="AG1419" t="s">
        <v>69</v>
      </c>
      <c r="AH1419" t="s">
        <v>69</v>
      </c>
      <c r="AI1419" t="s">
        <v>4018</v>
      </c>
      <c r="AJ1419" t="s">
        <v>69</v>
      </c>
      <c r="AK1419" t="s">
        <v>69</v>
      </c>
      <c r="AL1419" t="s">
        <v>69</v>
      </c>
      <c r="AM1419" t="s">
        <v>69</v>
      </c>
      <c r="AN1419">
        <v>12</v>
      </c>
      <c r="AO1419">
        <v>31</v>
      </c>
      <c r="AP1419">
        <v>31</v>
      </c>
      <c r="AQ1419">
        <v>0</v>
      </c>
      <c r="AR1419">
        <v>16</v>
      </c>
      <c r="AS1419" t="s">
        <v>31418</v>
      </c>
      <c r="AT1419" t="s">
        <v>8763</v>
      </c>
      <c r="AU1419" t="s">
        <v>29591</v>
      </c>
      <c r="AV1419" t="s">
        <v>4019</v>
      </c>
      <c r="AW1419" t="s">
        <v>69</v>
      </c>
      <c r="AX1419" t="s">
        <v>69</v>
      </c>
      <c r="AY1419" t="s">
        <v>31419</v>
      </c>
      <c r="AZ1419" t="s">
        <v>31420</v>
      </c>
      <c r="BA1419" t="s">
        <v>255</v>
      </c>
      <c r="BB1419">
        <v>2002</v>
      </c>
      <c r="BC1419">
        <v>154</v>
      </c>
      <c r="BD1419">
        <v>3</v>
      </c>
      <c r="BE1419" t="s">
        <v>69</v>
      </c>
      <c r="BF1419" t="s">
        <v>69</v>
      </c>
      <c r="BG1419" t="s">
        <v>69</v>
      </c>
      <c r="BH1419" t="s">
        <v>69</v>
      </c>
      <c r="BI1419">
        <v>221</v>
      </c>
      <c r="BJ1419">
        <v>228</v>
      </c>
      <c r="BK1419" t="s">
        <v>69</v>
      </c>
      <c r="BL1419" t="s">
        <v>69</v>
      </c>
      <c r="BM1419" t="s">
        <v>69</v>
      </c>
      <c r="BN1419" t="s">
        <v>69</v>
      </c>
      <c r="BO1419" t="s">
        <v>69</v>
      </c>
      <c r="BP1419">
        <v>8</v>
      </c>
      <c r="BQ1419" t="s">
        <v>31421</v>
      </c>
      <c r="BR1419" t="s">
        <v>8548</v>
      </c>
      <c r="BS1419" t="s">
        <v>31422</v>
      </c>
      <c r="BT1419" t="s">
        <v>31423</v>
      </c>
      <c r="BU1419" t="s">
        <v>4020</v>
      </c>
      <c r="BV1419" t="s">
        <v>69</v>
      </c>
      <c r="BW1419" t="s">
        <v>69</v>
      </c>
      <c r="BX1419" t="s">
        <v>69</v>
      </c>
      <c r="BY1419" t="s">
        <v>69</v>
      </c>
      <c r="BZ1419" t="s">
        <v>8526</v>
      </c>
      <c r="CA1419" t="str">
        <f>HYPERLINK("https%3A%2F%2Fwww.webofscience.com%2Fwos%2Fwoscc%2Ffull-record%2FWOS:000178803100008","View Full Record in Web of Science")</f>
        <v>View Full Record in Web of Science</v>
      </c>
    </row>
    <row r="1420" spans="2:79" ht="12.5" x14ac:dyDescent="0.25">
      <c r="B1420" t="s">
        <v>8495</v>
      </c>
      <c r="D1420" s="22" t="s">
        <v>32931</v>
      </c>
      <c r="E1420" s="7"/>
      <c r="F1420" s="7"/>
      <c r="G1420" s="7"/>
      <c r="H1420" t="s">
        <v>67</v>
      </c>
      <c r="I1420" t="s">
        <v>29567</v>
      </c>
      <c r="J1420" t="s">
        <v>69</v>
      </c>
      <c r="K1420" t="s">
        <v>69</v>
      </c>
      <c r="L1420" t="s">
        <v>69</v>
      </c>
      <c r="M1420" t="s">
        <v>29568</v>
      </c>
      <c r="N1420" t="s">
        <v>69</v>
      </c>
      <c r="O1420" t="s">
        <v>69</v>
      </c>
      <c r="P1420" t="s">
        <v>29569</v>
      </c>
      <c r="Q1420" t="s">
        <v>29570</v>
      </c>
      <c r="R1420" t="s">
        <v>69</v>
      </c>
      <c r="S1420" t="s">
        <v>69</v>
      </c>
      <c r="T1420" t="s">
        <v>8505</v>
      </c>
      <c r="U1420" t="s">
        <v>8506</v>
      </c>
      <c r="V1420" t="s">
        <v>69</v>
      </c>
      <c r="W1420" t="s">
        <v>69</v>
      </c>
      <c r="X1420" t="s">
        <v>69</v>
      </c>
      <c r="Y1420" t="s">
        <v>69</v>
      </c>
      <c r="Z1420" t="s">
        <v>69</v>
      </c>
      <c r="AA1420" t="s">
        <v>29571</v>
      </c>
      <c r="AB1420" t="s">
        <v>29572</v>
      </c>
      <c r="AC1420" t="s">
        <v>29573</v>
      </c>
      <c r="AD1420" t="s">
        <v>29574</v>
      </c>
      <c r="AE1420" t="s">
        <v>69</v>
      </c>
      <c r="AF1420" t="s">
        <v>29575</v>
      </c>
      <c r="AG1420" t="s">
        <v>29576</v>
      </c>
      <c r="AH1420" t="s">
        <v>29577</v>
      </c>
      <c r="AI1420" t="s">
        <v>29578</v>
      </c>
      <c r="AJ1420" t="s">
        <v>69</v>
      </c>
      <c r="AK1420" t="s">
        <v>69</v>
      </c>
      <c r="AL1420" t="s">
        <v>69</v>
      </c>
      <c r="AM1420" t="s">
        <v>69</v>
      </c>
      <c r="AN1420">
        <v>35</v>
      </c>
      <c r="AO1420">
        <v>33</v>
      </c>
      <c r="AP1420">
        <v>33</v>
      </c>
      <c r="AQ1420">
        <v>0</v>
      </c>
      <c r="AR1420">
        <v>2</v>
      </c>
      <c r="AS1420" t="s">
        <v>29579</v>
      </c>
      <c r="AT1420" t="s">
        <v>8693</v>
      </c>
      <c r="AU1420" t="s">
        <v>16643</v>
      </c>
      <c r="AV1420" t="s">
        <v>29580</v>
      </c>
      <c r="AW1420" t="s">
        <v>69</v>
      </c>
      <c r="AX1420" t="s">
        <v>69</v>
      </c>
      <c r="AY1420" t="s">
        <v>29581</v>
      </c>
      <c r="AZ1420" t="s">
        <v>29582</v>
      </c>
      <c r="BA1420" t="s">
        <v>255</v>
      </c>
      <c r="BB1420">
        <v>2007</v>
      </c>
      <c r="BC1420">
        <v>17</v>
      </c>
      <c r="BD1420">
        <v>3</v>
      </c>
      <c r="BE1420" t="s">
        <v>69</v>
      </c>
      <c r="BF1420" t="s">
        <v>69</v>
      </c>
      <c r="BG1420" t="s">
        <v>69</v>
      </c>
      <c r="BH1420" t="s">
        <v>69</v>
      </c>
      <c r="BI1420">
        <v>398</v>
      </c>
      <c r="BJ1420">
        <v>408</v>
      </c>
      <c r="BK1420" t="s">
        <v>69</v>
      </c>
      <c r="BL1420" t="s">
        <v>29583</v>
      </c>
      <c r="BM1420" t="str">
        <f>HYPERLINK("http://dx.doi.org/10.1007/s10926-007-9090-3","http://dx.doi.org/10.1007/s10926-007-9090-3")</f>
        <v>http://dx.doi.org/10.1007/s10926-007-9090-3</v>
      </c>
      <c r="BN1420" t="s">
        <v>69</v>
      </c>
      <c r="BO1420" t="s">
        <v>69</v>
      </c>
      <c r="BP1420">
        <v>11</v>
      </c>
      <c r="BQ1420" t="s">
        <v>29584</v>
      </c>
      <c r="BR1420" t="s">
        <v>8661</v>
      </c>
      <c r="BS1420" t="s">
        <v>29584</v>
      </c>
      <c r="BT1420" t="s">
        <v>29585</v>
      </c>
      <c r="BU1420" t="s">
        <v>29586</v>
      </c>
      <c r="BV1420">
        <v>17610050</v>
      </c>
      <c r="BW1420" t="s">
        <v>69</v>
      </c>
      <c r="BX1420" t="s">
        <v>69</v>
      </c>
      <c r="BY1420" t="s">
        <v>69</v>
      </c>
      <c r="BZ1420" t="s">
        <v>8526</v>
      </c>
      <c r="CA1420" t="str">
        <f>HYPERLINK("https%3A%2F%2Fwww.webofscience.com%2Fwos%2Fwoscc%2Ffull-record%2FWOS:000249120600004","View Full Record in Web of Science")</f>
        <v>View Full Record in Web of Science</v>
      </c>
    </row>
    <row r="1421" spans="2:79" ht="12.5" x14ac:dyDescent="0.25">
      <c r="B1421" t="s">
        <v>8495</v>
      </c>
      <c r="D1421" s="22" t="s">
        <v>32931</v>
      </c>
      <c r="E1421" s="7"/>
      <c r="F1421" s="7"/>
      <c r="G1421" s="7"/>
      <c r="H1421" t="s">
        <v>67</v>
      </c>
      <c r="I1421" t="s">
        <v>12166</v>
      </c>
      <c r="J1421" t="s">
        <v>69</v>
      </c>
      <c r="K1421" t="s">
        <v>69</v>
      </c>
      <c r="L1421" t="s">
        <v>69</v>
      </c>
      <c r="M1421" t="s">
        <v>12167</v>
      </c>
      <c r="N1421" t="s">
        <v>69</v>
      </c>
      <c r="O1421" t="s">
        <v>69</v>
      </c>
      <c r="P1421" t="s">
        <v>12168</v>
      </c>
      <c r="Q1421" t="s">
        <v>12169</v>
      </c>
      <c r="R1421" t="s">
        <v>69</v>
      </c>
      <c r="S1421" t="s">
        <v>69</v>
      </c>
      <c r="T1421" t="s">
        <v>8505</v>
      </c>
      <c r="U1421" t="s">
        <v>8506</v>
      </c>
      <c r="V1421" t="s">
        <v>69</v>
      </c>
      <c r="W1421" t="s">
        <v>69</v>
      </c>
      <c r="X1421" t="s">
        <v>69</v>
      </c>
      <c r="Y1421" t="s">
        <v>69</v>
      </c>
      <c r="Z1421" t="s">
        <v>69</v>
      </c>
      <c r="AA1421" t="s">
        <v>12170</v>
      </c>
      <c r="AB1421" t="s">
        <v>12171</v>
      </c>
      <c r="AC1421" t="s">
        <v>12172</v>
      </c>
      <c r="AD1421" t="s">
        <v>12173</v>
      </c>
      <c r="AE1421" t="s">
        <v>69</v>
      </c>
      <c r="AF1421" t="s">
        <v>12174</v>
      </c>
      <c r="AG1421" t="s">
        <v>12175</v>
      </c>
      <c r="AH1421" t="s">
        <v>69</v>
      </c>
      <c r="AI1421" t="s">
        <v>69</v>
      </c>
      <c r="AJ1421" t="s">
        <v>69</v>
      </c>
      <c r="AK1421" t="s">
        <v>69</v>
      </c>
      <c r="AL1421" t="s">
        <v>69</v>
      </c>
      <c r="AM1421" t="s">
        <v>69</v>
      </c>
      <c r="AN1421">
        <v>83</v>
      </c>
      <c r="AO1421">
        <v>0</v>
      </c>
      <c r="AP1421">
        <v>0</v>
      </c>
      <c r="AQ1421">
        <v>5</v>
      </c>
      <c r="AR1421">
        <v>19</v>
      </c>
      <c r="AS1421" t="s">
        <v>8586</v>
      </c>
      <c r="AT1421" t="s">
        <v>8587</v>
      </c>
      <c r="AU1421" t="s">
        <v>8588</v>
      </c>
      <c r="AV1421" t="s">
        <v>12176</v>
      </c>
      <c r="AW1421" t="s">
        <v>12177</v>
      </c>
      <c r="AX1421" t="s">
        <v>69</v>
      </c>
      <c r="AY1421" t="s">
        <v>12178</v>
      </c>
      <c r="AZ1421" t="s">
        <v>12179</v>
      </c>
      <c r="BA1421" t="s">
        <v>12180</v>
      </c>
      <c r="BB1421">
        <v>2021</v>
      </c>
      <c r="BC1421">
        <v>21</v>
      </c>
      <c r="BD1421">
        <v>2</v>
      </c>
      <c r="BE1421" t="s">
        <v>69</v>
      </c>
      <c r="BF1421" t="s">
        <v>69</v>
      </c>
      <c r="BG1421" t="s">
        <v>69</v>
      </c>
      <c r="BH1421" t="s">
        <v>69</v>
      </c>
      <c r="BI1421">
        <v>97</v>
      </c>
      <c r="BJ1421">
        <v>118</v>
      </c>
      <c r="BK1421" t="s">
        <v>69</v>
      </c>
      <c r="BL1421" t="s">
        <v>12181</v>
      </c>
      <c r="BM1421" t="str">
        <f>HYPERLINK("http://dx.doi.org/10.1108/JOPP-07-2019-0039","http://dx.doi.org/10.1108/JOPP-07-2019-0039")</f>
        <v>http://dx.doi.org/10.1108/JOPP-07-2019-0039</v>
      </c>
      <c r="BN1421" t="s">
        <v>69</v>
      </c>
      <c r="BO1421" t="s">
        <v>12111</v>
      </c>
      <c r="BP1421">
        <v>22</v>
      </c>
      <c r="BQ1421" t="s">
        <v>12182</v>
      </c>
      <c r="BR1421" t="s">
        <v>8573</v>
      </c>
      <c r="BS1421" t="s">
        <v>12182</v>
      </c>
      <c r="BT1421" t="s">
        <v>12183</v>
      </c>
      <c r="BU1421" t="s">
        <v>12184</v>
      </c>
      <c r="BV1421" t="s">
        <v>69</v>
      </c>
      <c r="BW1421" t="s">
        <v>69</v>
      </c>
      <c r="BX1421" t="s">
        <v>69</v>
      </c>
      <c r="BY1421" t="s">
        <v>69</v>
      </c>
      <c r="BZ1421" t="s">
        <v>8526</v>
      </c>
      <c r="CA1421" t="str">
        <f>HYPERLINK("https%3A%2F%2Fwww.webofscience.com%2Fwos%2Fwoscc%2Ffull-record%2FWOS:000649445300001","View Full Record in Web of Science")</f>
        <v>View Full Record in Web of Science</v>
      </c>
    </row>
    <row r="1422" spans="2:79" ht="12.5" x14ac:dyDescent="0.25">
      <c r="B1422" t="s">
        <v>8495</v>
      </c>
      <c r="D1422" s="22" t="s">
        <v>32931</v>
      </c>
      <c r="E1422" s="7"/>
      <c r="F1422" s="7"/>
      <c r="G1422" s="7"/>
      <c r="H1422" t="s">
        <v>67</v>
      </c>
      <c r="I1422" t="s">
        <v>27466</v>
      </c>
      <c r="J1422" t="s">
        <v>69</v>
      </c>
      <c r="K1422" t="s">
        <v>69</v>
      </c>
      <c r="L1422" t="s">
        <v>69</v>
      </c>
      <c r="M1422" t="s">
        <v>27467</v>
      </c>
      <c r="N1422" t="s">
        <v>69</v>
      </c>
      <c r="O1422" t="s">
        <v>69</v>
      </c>
      <c r="P1422" t="s">
        <v>27468</v>
      </c>
      <c r="Q1422" t="s">
        <v>27469</v>
      </c>
      <c r="R1422" t="s">
        <v>69</v>
      </c>
      <c r="S1422" t="s">
        <v>69</v>
      </c>
      <c r="T1422" t="s">
        <v>8505</v>
      </c>
      <c r="U1422" t="s">
        <v>8506</v>
      </c>
      <c r="V1422" t="s">
        <v>69</v>
      </c>
      <c r="W1422" t="s">
        <v>69</v>
      </c>
      <c r="X1422" t="s">
        <v>69</v>
      </c>
      <c r="Y1422" t="s">
        <v>69</v>
      </c>
      <c r="Z1422" t="s">
        <v>69</v>
      </c>
      <c r="AA1422" t="s">
        <v>27470</v>
      </c>
      <c r="AB1422" t="s">
        <v>27471</v>
      </c>
      <c r="AC1422" t="s">
        <v>27472</v>
      </c>
      <c r="AD1422" t="s">
        <v>27473</v>
      </c>
      <c r="AE1422" t="s">
        <v>69</v>
      </c>
      <c r="AF1422" t="s">
        <v>27474</v>
      </c>
      <c r="AG1422" t="s">
        <v>27475</v>
      </c>
      <c r="AH1422" t="s">
        <v>69</v>
      </c>
      <c r="AI1422" t="s">
        <v>69</v>
      </c>
      <c r="AJ1422" t="s">
        <v>69</v>
      </c>
      <c r="AK1422" t="s">
        <v>69</v>
      </c>
      <c r="AL1422" t="s">
        <v>69</v>
      </c>
      <c r="AM1422" t="s">
        <v>69</v>
      </c>
      <c r="AN1422">
        <v>80</v>
      </c>
      <c r="AO1422">
        <v>5</v>
      </c>
      <c r="AP1422">
        <v>5</v>
      </c>
      <c r="AQ1422">
        <v>0</v>
      </c>
      <c r="AR1422">
        <v>0</v>
      </c>
      <c r="AS1422" t="s">
        <v>8865</v>
      </c>
      <c r="AT1422" t="s">
        <v>8612</v>
      </c>
      <c r="AU1422" t="s">
        <v>8866</v>
      </c>
      <c r="AV1422" t="s">
        <v>27476</v>
      </c>
      <c r="AW1422" t="s">
        <v>27477</v>
      </c>
      <c r="AX1422" t="s">
        <v>69</v>
      </c>
      <c r="AY1422" t="s">
        <v>27478</v>
      </c>
      <c r="AZ1422" t="s">
        <v>27479</v>
      </c>
      <c r="BA1422" t="s">
        <v>69</v>
      </c>
      <c r="BB1422">
        <v>2011</v>
      </c>
      <c r="BC1422">
        <v>17</v>
      </c>
      <c r="BD1422">
        <v>3</v>
      </c>
      <c r="BE1422" t="s">
        <v>69</v>
      </c>
      <c r="BF1422" t="s">
        <v>69</v>
      </c>
      <c r="BG1422" t="s">
        <v>114</v>
      </c>
      <c r="BH1422" t="s">
        <v>69</v>
      </c>
      <c r="BI1422">
        <v>273</v>
      </c>
      <c r="BJ1422">
        <v>289</v>
      </c>
      <c r="BK1422" t="s">
        <v>69</v>
      </c>
      <c r="BL1422" t="s">
        <v>27480</v>
      </c>
      <c r="BM1422" t="str">
        <f>HYPERLINK("http://dx.doi.org/10.1080/14753634.2011.587606","http://dx.doi.org/10.1080/14753634.2011.587606")</f>
        <v>http://dx.doi.org/10.1080/14753634.2011.587606</v>
      </c>
      <c r="BN1422" t="s">
        <v>69</v>
      </c>
      <c r="BO1422" t="s">
        <v>69</v>
      </c>
      <c r="BP1422">
        <v>17</v>
      </c>
      <c r="BQ1422" t="s">
        <v>27481</v>
      </c>
      <c r="BR1422" t="s">
        <v>8573</v>
      </c>
      <c r="BS1422" t="s">
        <v>9001</v>
      </c>
      <c r="BT1422" t="s">
        <v>27482</v>
      </c>
      <c r="BU1422" t="s">
        <v>27483</v>
      </c>
      <c r="BV1422" t="s">
        <v>69</v>
      </c>
      <c r="BW1422" t="s">
        <v>69</v>
      </c>
      <c r="BX1422" t="s">
        <v>69</v>
      </c>
      <c r="BY1422" t="s">
        <v>69</v>
      </c>
      <c r="BZ1422" t="s">
        <v>8526</v>
      </c>
      <c r="CA1422" t="str">
        <f>HYPERLINK("https%3A%2F%2Fwww.webofscience.com%2Fwos%2Fwoscc%2Ffull-record%2FWOS:000212206300004","View Full Record in Web of Science")</f>
        <v>View Full Record in Web of Science</v>
      </c>
    </row>
    <row r="1423" spans="2:79" ht="12.5" x14ac:dyDescent="0.25">
      <c r="B1423" t="s">
        <v>8495</v>
      </c>
      <c r="D1423" s="7" t="s">
        <v>32933</v>
      </c>
      <c r="E1423" s="7"/>
      <c r="F1423" s="7"/>
      <c r="G1423" s="7"/>
      <c r="H1423" t="s">
        <v>67</v>
      </c>
      <c r="I1423" t="s">
        <v>1899</v>
      </c>
      <c r="J1423" t="s">
        <v>69</v>
      </c>
      <c r="K1423" t="s">
        <v>69</v>
      </c>
      <c r="L1423" t="s">
        <v>69</v>
      </c>
      <c r="M1423" t="s">
        <v>1900</v>
      </c>
      <c r="N1423" t="s">
        <v>69</v>
      </c>
      <c r="O1423" t="s">
        <v>69</v>
      </c>
      <c r="P1423" t="s">
        <v>1901</v>
      </c>
      <c r="Q1423" t="s">
        <v>1902</v>
      </c>
      <c r="R1423" t="s">
        <v>69</v>
      </c>
      <c r="S1423" t="s">
        <v>69</v>
      </c>
      <c r="T1423" t="s">
        <v>8505</v>
      </c>
      <c r="U1423" t="s">
        <v>8506</v>
      </c>
      <c r="V1423" t="s">
        <v>69</v>
      </c>
      <c r="W1423" t="s">
        <v>69</v>
      </c>
      <c r="X1423" t="s">
        <v>69</v>
      </c>
      <c r="Y1423" t="s">
        <v>69</v>
      </c>
      <c r="Z1423" t="s">
        <v>69</v>
      </c>
      <c r="AA1423" t="s">
        <v>14530</v>
      </c>
      <c r="AB1423" t="s">
        <v>14531</v>
      </c>
      <c r="AC1423" t="s">
        <v>1903</v>
      </c>
      <c r="AD1423" t="s">
        <v>14532</v>
      </c>
      <c r="AE1423" t="s">
        <v>69</v>
      </c>
      <c r="AF1423" t="s">
        <v>14533</v>
      </c>
      <c r="AG1423" t="s">
        <v>14534</v>
      </c>
      <c r="AH1423" t="s">
        <v>1904</v>
      </c>
      <c r="AI1423" t="s">
        <v>1905</v>
      </c>
      <c r="AJ1423" t="s">
        <v>14535</v>
      </c>
      <c r="AK1423" t="s">
        <v>14535</v>
      </c>
      <c r="AL1423" t="s">
        <v>14536</v>
      </c>
      <c r="AM1423" t="s">
        <v>69</v>
      </c>
      <c r="AN1423">
        <v>44</v>
      </c>
      <c r="AO1423">
        <v>4</v>
      </c>
      <c r="AP1423">
        <v>4</v>
      </c>
      <c r="AQ1423">
        <v>0</v>
      </c>
      <c r="AR1423">
        <v>7</v>
      </c>
      <c r="AS1423" t="s">
        <v>9145</v>
      </c>
      <c r="AT1423" t="s">
        <v>8637</v>
      </c>
      <c r="AU1423" t="s">
        <v>9146</v>
      </c>
      <c r="AV1423" t="s">
        <v>1906</v>
      </c>
      <c r="AW1423" t="s">
        <v>69</v>
      </c>
      <c r="AX1423" t="s">
        <v>69</v>
      </c>
      <c r="AY1423" t="s">
        <v>9928</v>
      </c>
      <c r="AZ1423" t="s">
        <v>9929</v>
      </c>
      <c r="BA1423" t="s">
        <v>255</v>
      </c>
      <c r="BB1423">
        <v>2020</v>
      </c>
      <c r="BC1423">
        <v>157</v>
      </c>
      <c r="BD1423" t="s">
        <v>69</v>
      </c>
      <c r="BE1423" t="s">
        <v>69</v>
      </c>
      <c r="BF1423" t="s">
        <v>69</v>
      </c>
      <c r="BG1423" t="s">
        <v>69</v>
      </c>
      <c r="BH1423" t="s">
        <v>69</v>
      </c>
      <c r="BI1423">
        <v>1185</v>
      </c>
      <c r="BJ1423">
        <v>1202</v>
      </c>
      <c r="BK1423" t="s">
        <v>69</v>
      </c>
      <c r="BL1423" t="s">
        <v>1907</v>
      </c>
      <c r="BM1423" t="str">
        <f>HYPERLINK("http://dx.doi.org/10.1016/j.renene.2020.04.157","http://dx.doi.org/10.1016/j.renene.2020.04.157")</f>
        <v>http://dx.doi.org/10.1016/j.renene.2020.04.157</v>
      </c>
      <c r="BN1423" t="s">
        <v>69</v>
      </c>
      <c r="BO1423" t="s">
        <v>69</v>
      </c>
      <c r="BP1423">
        <v>18</v>
      </c>
      <c r="BQ1423" t="s">
        <v>9931</v>
      </c>
      <c r="BR1423" t="s">
        <v>8548</v>
      </c>
      <c r="BS1423" t="s">
        <v>9932</v>
      </c>
      <c r="BT1423" t="s">
        <v>14537</v>
      </c>
      <c r="BU1423" t="s">
        <v>1908</v>
      </c>
      <c r="BV1423" t="s">
        <v>69</v>
      </c>
      <c r="BW1423" t="s">
        <v>10648</v>
      </c>
      <c r="BX1423" t="s">
        <v>69</v>
      </c>
      <c r="BY1423" t="s">
        <v>69</v>
      </c>
      <c r="BZ1423" t="s">
        <v>8526</v>
      </c>
      <c r="CA1423" t="str">
        <f>HYPERLINK("https%3A%2F%2Fwww.webofscience.com%2Fwos%2Fwoscc%2Ffull-record%2FWOS:000541747100098","View Full Record in Web of Science")</f>
        <v>View Full Record in Web of Science</v>
      </c>
    </row>
    <row r="1424" spans="2:79" ht="12.5" x14ac:dyDescent="0.25">
      <c r="B1424" t="s">
        <v>8495</v>
      </c>
      <c r="D1424" s="22" t="s">
        <v>32931</v>
      </c>
      <c r="E1424" s="7"/>
      <c r="F1424" s="7"/>
      <c r="G1424" s="7"/>
      <c r="H1424" t="s">
        <v>67</v>
      </c>
      <c r="I1424" t="s">
        <v>29184</v>
      </c>
      <c r="J1424" t="s">
        <v>69</v>
      </c>
      <c r="K1424" t="s">
        <v>69</v>
      </c>
      <c r="L1424" t="s">
        <v>69</v>
      </c>
      <c r="M1424" t="s">
        <v>29185</v>
      </c>
      <c r="N1424" t="s">
        <v>69</v>
      </c>
      <c r="O1424" t="s">
        <v>69</v>
      </c>
      <c r="P1424" t="s">
        <v>29186</v>
      </c>
      <c r="Q1424" t="s">
        <v>10959</v>
      </c>
      <c r="R1424" t="s">
        <v>69</v>
      </c>
      <c r="S1424" t="s">
        <v>69</v>
      </c>
      <c r="T1424" t="s">
        <v>8505</v>
      </c>
      <c r="U1424" t="s">
        <v>8506</v>
      </c>
      <c r="V1424" t="s">
        <v>69</v>
      </c>
      <c r="W1424" t="s">
        <v>69</v>
      </c>
      <c r="X1424" t="s">
        <v>69</v>
      </c>
      <c r="Y1424" t="s">
        <v>69</v>
      </c>
      <c r="Z1424" t="s">
        <v>69</v>
      </c>
      <c r="AA1424" t="s">
        <v>29187</v>
      </c>
      <c r="AB1424" t="s">
        <v>69</v>
      </c>
      <c r="AC1424" t="s">
        <v>29188</v>
      </c>
      <c r="AD1424" t="s">
        <v>29189</v>
      </c>
      <c r="AE1424" t="s">
        <v>69</v>
      </c>
      <c r="AF1424" t="s">
        <v>29190</v>
      </c>
      <c r="AG1424" t="s">
        <v>69</v>
      </c>
      <c r="AH1424" t="s">
        <v>69</v>
      </c>
      <c r="AI1424" t="s">
        <v>69</v>
      </c>
      <c r="AJ1424" t="s">
        <v>69</v>
      </c>
      <c r="AK1424" t="s">
        <v>69</v>
      </c>
      <c r="AL1424" t="s">
        <v>69</v>
      </c>
      <c r="AM1424" t="s">
        <v>69</v>
      </c>
      <c r="AN1424">
        <v>16</v>
      </c>
      <c r="AO1424">
        <v>0</v>
      </c>
      <c r="AP1424">
        <v>0</v>
      </c>
      <c r="AQ1424">
        <v>0</v>
      </c>
      <c r="AR1424">
        <v>0</v>
      </c>
      <c r="AS1424" t="s">
        <v>10967</v>
      </c>
      <c r="AT1424" t="s">
        <v>10968</v>
      </c>
      <c r="AU1424" t="s">
        <v>10969</v>
      </c>
      <c r="AV1424" t="s">
        <v>10970</v>
      </c>
      <c r="AW1424" t="s">
        <v>69</v>
      </c>
      <c r="AX1424" t="s">
        <v>69</v>
      </c>
      <c r="AY1424" t="s">
        <v>10971</v>
      </c>
      <c r="AZ1424" t="s">
        <v>10972</v>
      </c>
      <c r="BA1424" t="s">
        <v>29191</v>
      </c>
      <c r="BB1424">
        <v>2008</v>
      </c>
      <c r="BC1424">
        <v>8</v>
      </c>
      <c r="BD1424">
        <v>7</v>
      </c>
      <c r="BE1424" t="s">
        <v>69</v>
      </c>
      <c r="BF1424" t="s">
        <v>69</v>
      </c>
      <c r="BG1424" t="s">
        <v>69</v>
      </c>
      <c r="BH1424" t="s">
        <v>69</v>
      </c>
      <c r="BI1424">
        <v>282</v>
      </c>
      <c r="BJ1424">
        <v>291</v>
      </c>
      <c r="BK1424" t="s">
        <v>69</v>
      </c>
      <c r="BL1424" t="s">
        <v>69</v>
      </c>
      <c r="BM1424" t="s">
        <v>69</v>
      </c>
      <c r="BN1424" t="s">
        <v>69</v>
      </c>
      <c r="BO1424" t="s">
        <v>69</v>
      </c>
      <c r="BP1424">
        <v>10</v>
      </c>
      <c r="BQ1424" t="s">
        <v>10975</v>
      </c>
      <c r="BR1424" t="s">
        <v>8573</v>
      </c>
      <c r="BS1424" t="s">
        <v>10976</v>
      </c>
      <c r="BT1424" t="s">
        <v>29192</v>
      </c>
      <c r="BU1424" t="s">
        <v>29193</v>
      </c>
      <c r="BV1424" t="s">
        <v>69</v>
      </c>
      <c r="BW1424" t="s">
        <v>69</v>
      </c>
      <c r="BX1424" t="s">
        <v>69</v>
      </c>
      <c r="BY1424" t="s">
        <v>69</v>
      </c>
      <c r="BZ1424" t="s">
        <v>8526</v>
      </c>
      <c r="CA1424" t="str">
        <f>HYPERLINK("https%3A%2F%2Fwww.webofscience.com%2Fwos%2Fwoscc%2Ffull-record%2FWOS:000217154000039","View Full Record in Web of Science")</f>
        <v>View Full Record in Web of Science</v>
      </c>
    </row>
    <row r="1425" spans="1:79" ht="12.5" x14ac:dyDescent="0.25">
      <c r="B1425" t="s">
        <v>8495</v>
      </c>
      <c r="D1425" s="22" t="s">
        <v>32931</v>
      </c>
      <c r="E1425" s="7"/>
      <c r="F1425" s="7"/>
      <c r="G1425" s="7"/>
      <c r="H1425" t="s">
        <v>67</v>
      </c>
      <c r="I1425" t="s">
        <v>32720</v>
      </c>
      <c r="J1425" t="s">
        <v>69</v>
      </c>
      <c r="K1425" t="s">
        <v>69</v>
      </c>
      <c r="L1425" t="s">
        <v>69</v>
      </c>
      <c r="M1425" t="s">
        <v>32720</v>
      </c>
      <c r="N1425" t="s">
        <v>69</v>
      </c>
      <c r="O1425" t="s">
        <v>69</v>
      </c>
      <c r="P1425" t="s">
        <v>32721</v>
      </c>
      <c r="Q1425" t="s">
        <v>5077</v>
      </c>
      <c r="R1425" t="s">
        <v>69</v>
      </c>
      <c r="S1425" t="s">
        <v>69</v>
      </c>
      <c r="T1425" t="s">
        <v>8505</v>
      </c>
      <c r="U1425" t="s">
        <v>8506</v>
      </c>
      <c r="V1425" t="s">
        <v>69</v>
      </c>
      <c r="W1425" t="s">
        <v>69</v>
      </c>
      <c r="X1425" t="s">
        <v>69</v>
      </c>
      <c r="Y1425" t="s">
        <v>69</v>
      </c>
      <c r="Z1425" t="s">
        <v>69</v>
      </c>
      <c r="AA1425" t="s">
        <v>32722</v>
      </c>
      <c r="AB1425" t="s">
        <v>32723</v>
      </c>
      <c r="AC1425" t="s">
        <v>32724</v>
      </c>
      <c r="AD1425" t="s">
        <v>32725</v>
      </c>
      <c r="AE1425" t="s">
        <v>69</v>
      </c>
      <c r="AF1425" t="s">
        <v>32726</v>
      </c>
      <c r="AG1425" t="s">
        <v>69</v>
      </c>
      <c r="AH1425" t="s">
        <v>32727</v>
      </c>
      <c r="AI1425" t="s">
        <v>69</v>
      </c>
      <c r="AJ1425" t="s">
        <v>69</v>
      </c>
      <c r="AK1425" t="s">
        <v>69</v>
      </c>
      <c r="AL1425" t="s">
        <v>69</v>
      </c>
      <c r="AM1425" t="s">
        <v>69</v>
      </c>
      <c r="AN1425">
        <v>58</v>
      </c>
      <c r="AO1425">
        <v>18</v>
      </c>
      <c r="AP1425">
        <v>20</v>
      </c>
      <c r="AQ1425">
        <v>1</v>
      </c>
      <c r="AR1425">
        <v>8</v>
      </c>
      <c r="AS1425" t="s">
        <v>27795</v>
      </c>
      <c r="AT1425" t="s">
        <v>26039</v>
      </c>
      <c r="AU1425" t="s">
        <v>32728</v>
      </c>
      <c r="AV1425" t="s">
        <v>5081</v>
      </c>
      <c r="AW1425" t="s">
        <v>69</v>
      </c>
      <c r="AX1425" t="s">
        <v>69</v>
      </c>
      <c r="AY1425" t="s">
        <v>32729</v>
      </c>
      <c r="AZ1425" t="s">
        <v>32730</v>
      </c>
      <c r="BA1425" t="s">
        <v>274</v>
      </c>
      <c r="BB1425">
        <v>1993</v>
      </c>
      <c r="BC1425">
        <v>47</v>
      </c>
      <c r="BD1425">
        <v>4</v>
      </c>
      <c r="BE1425" t="s">
        <v>69</v>
      </c>
      <c r="BF1425" t="s">
        <v>69</v>
      </c>
      <c r="BG1425" t="s">
        <v>69</v>
      </c>
      <c r="BH1425" t="s">
        <v>69</v>
      </c>
      <c r="BI1425">
        <v>280</v>
      </c>
      <c r="BJ1425">
        <v>292</v>
      </c>
      <c r="BK1425" t="s">
        <v>69</v>
      </c>
      <c r="BL1425" t="s">
        <v>32731</v>
      </c>
      <c r="BM1425" t="str">
        <f>HYPERLINK("http://dx.doi.org/10.2307/2685288","http://dx.doi.org/10.2307/2685288")</f>
        <v>http://dx.doi.org/10.2307/2685288</v>
      </c>
      <c r="BN1425" t="s">
        <v>69</v>
      </c>
      <c r="BO1425" t="s">
        <v>69</v>
      </c>
      <c r="BP1425">
        <v>13</v>
      </c>
      <c r="BQ1425" t="s">
        <v>25853</v>
      </c>
      <c r="BR1425" t="s">
        <v>8548</v>
      </c>
      <c r="BS1425" t="s">
        <v>25854</v>
      </c>
      <c r="BT1425" t="s">
        <v>32732</v>
      </c>
      <c r="BU1425" t="s">
        <v>32733</v>
      </c>
      <c r="BV1425" t="s">
        <v>69</v>
      </c>
      <c r="BW1425" t="s">
        <v>69</v>
      </c>
      <c r="BX1425" t="s">
        <v>69</v>
      </c>
      <c r="BY1425" t="s">
        <v>69</v>
      </c>
      <c r="BZ1425" t="s">
        <v>8526</v>
      </c>
      <c r="CA1425" t="str">
        <f>HYPERLINK("https%3A%2F%2Fwww.webofscience.com%2Fwos%2Fwoscc%2Ffull-record%2FWOS:A1993MD36200008","View Full Record in Web of Science")</f>
        <v>View Full Record in Web of Science</v>
      </c>
    </row>
    <row r="1426" spans="1:79" ht="12.5" x14ac:dyDescent="0.25">
      <c r="A1426" s="7" t="s">
        <v>8408</v>
      </c>
      <c r="B1426" t="s">
        <v>8495</v>
      </c>
      <c r="D1426" s="11" t="s">
        <v>8407</v>
      </c>
      <c r="E1426" s="7" t="s">
        <v>33221</v>
      </c>
      <c r="F1426" s="7" t="s">
        <v>8491</v>
      </c>
      <c r="G1426" s="7"/>
      <c r="H1426" t="s">
        <v>67</v>
      </c>
      <c r="I1426" t="s">
        <v>8377</v>
      </c>
      <c r="J1426" t="s">
        <v>69</v>
      </c>
      <c r="K1426" t="s">
        <v>69</v>
      </c>
      <c r="L1426" t="s">
        <v>69</v>
      </c>
      <c r="M1426" s="2" t="s">
        <v>8377</v>
      </c>
      <c r="N1426" t="s">
        <v>69</v>
      </c>
      <c r="O1426" t="s">
        <v>69</v>
      </c>
      <c r="P1426" s="11" t="s">
        <v>8378</v>
      </c>
      <c r="Q1426" t="s">
        <v>8379</v>
      </c>
      <c r="R1426" t="s">
        <v>69</v>
      </c>
      <c r="S1426" t="s">
        <v>69</v>
      </c>
      <c r="T1426" t="s">
        <v>8505</v>
      </c>
      <c r="U1426" t="s">
        <v>8506</v>
      </c>
      <c r="V1426" t="s">
        <v>69</v>
      </c>
      <c r="W1426" t="s">
        <v>69</v>
      </c>
      <c r="X1426" t="s">
        <v>69</v>
      </c>
      <c r="Y1426" t="s">
        <v>69</v>
      </c>
      <c r="Z1426" t="s">
        <v>69</v>
      </c>
      <c r="AA1426" t="s">
        <v>69</v>
      </c>
      <c r="AB1426" t="s">
        <v>69</v>
      </c>
      <c r="AC1426" t="s">
        <v>8380</v>
      </c>
      <c r="AD1426" t="s">
        <v>32846</v>
      </c>
      <c r="AE1426" t="s">
        <v>69</v>
      </c>
      <c r="AF1426" t="s">
        <v>69</v>
      </c>
      <c r="AG1426" t="s">
        <v>69</v>
      </c>
      <c r="AH1426" t="s">
        <v>69</v>
      </c>
      <c r="AI1426" t="s">
        <v>69</v>
      </c>
      <c r="AJ1426" t="s">
        <v>69</v>
      </c>
      <c r="AK1426" t="s">
        <v>69</v>
      </c>
      <c r="AL1426" t="s">
        <v>69</v>
      </c>
      <c r="AM1426" t="s">
        <v>69</v>
      </c>
      <c r="AN1426">
        <v>19</v>
      </c>
      <c r="AO1426">
        <v>3</v>
      </c>
      <c r="AP1426">
        <v>3</v>
      </c>
      <c r="AQ1426">
        <v>0</v>
      </c>
      <c r="AR1426">
        <v>1</v>
      </c>
      <c r="AS1426" t="s">
        <v>8762</v>
      </c>
      <c r="AT1426" t="s">
        <v>8763</v>
      </c>
      <c r="AU1426" t="s">
        <v>32847</v>
      </c>
      <c r="AV1426" t="s">
        <v>8381</v>
      </c>
      <c r="AW1426" t="s">
        <v>69</v>
      </c>
      <c r="AX1426" t="s">
        <v>69</v>
      </c>
      <c r="AY1426" t="s">
        <v>32848</v>
      </c>
      <c r="AZ1426" t="s">
        <v>32849</v>
      </c>
      <c r="BA1426" t="s">
        <v>201</v>
      </c>
      <c r="BB1426">
        <v>1992</v>
      </c>
      <c r="BC1426">
        <v>22</v>
      </c>
      <c r="BD1426">
        <v>3</v>
      </c>
      <c r="BE1426" t="s">
        <v>69</v>
      </c>
      <c r="BF1426" t="s">
        <v>69</v>
      </c>
      <c r="BG1426" t="s">
        <v>69</v>
      </c>
      <c r="BH1426" t="s">
        <v>69</v>
      </c>
      <c r="BI1426">
        <v>435</v>
      </c>
      <c r="BJ1426">
        <v>453</v>
      </c>
      <c r="BK1426" t="s">
        <v>69</v>
      </c>
      <c r="BL1426" t="s">
        <v>8382</v>
      </c>
      <c r="BM1426" t="str">
        <f>HYPERLINK("http://dx.doi.org/10.1177/0306312792022003001","http://dx.doi.org/10.1177/0306312792022003001")</f>
        <v>http://dx.doi.org/10.1177/0306312792022003001</v>
      </c>
      <c r="BN1426" t="s">
        <v>69</v>
      </c>
      <c r="BO1426" t="s">
        <v>69</v>
      </c>
      <c r="BP1426">
        <v>19</v>
      </c>
      <c r="BQ1426" t="s">
        <v>16099</v>
      </c>
      <c r="BR1426" t="s">
        <v>32850</v>
      </c>
      <c r="BS1426" t="s">
        <v>16101</v>
      </c>
      <c r="BT1426" t="s">
        <v>32851</v>
      </c>
      <c r="BU1426" t="s">
        <v>8383</v>
      </c>
      <c r="BV1426" t="s">
        <v>69</v>
      </c>
      <c r="BW1426" t="s">
        <v>69</v>
      </c>
      <c r="BX1426" t="s">
        <v>69</v>
      </c>
      <c r="BY1426" t="s">
        <v>69</v>
      </c>
      <c r="BZ1426" t="s">
        <v>8526</v>
      </c>
      <c r="CA1426" t="str">
        <f>HYPERLINK("https%3A%2F%2Fwww.webofscience.com%2Fwos%2Fwoscc%2Ffull-record%2FWOS:A1992JM92100001","View Full Record in Web of Science")</f>
        <v>View Full Record in Web of Science</v>
      </c>
    </row>
    <row r="1427" spans="1:79" ht="12.5" x14ac:dyDescent="0.25">
      <c r="B1427" t="s">
        <v>8495</v>
      </c>
      <c r="D1427" s="22" t="s">
        <v>32931</v>
      </c>
      <c r="E1427" s="7"/>
      <c r="F1427" s="7"/>
      <c r="G1427" s="7"/>
      <c r="H1427" t="s">
        <v>67</v>
      </c>
      <c r="I1427" t="s">
        <v>22511</v>
      </c>
      <c r="J1427" t="s">
        <v>69</v>
      </c>
      <c r="K1427" t="s">
        <v>69</v>
      </c>
      <c r="L1427" t="s">
        <v>69</v>
      </c>
      <c r="M1427" t="s">
        <v>22512</v>
      </c>
      <c r="N1427" t="s">
        <v>69</v>
      </c>
      <c r="O1427" t="s">
        <v>69</v>
      </c>
      <c r="P1427" t="s">
        <v>22513</v>
      </c>
      <c r="Q1427" t="s">
        <v>19128</v>
      </c>
      <c r="R1427" t="s">
        <v>69</v>
      </c>
      <c r="S1427" t="s">
        <v>69</v>
      </c>
      <c r="T1427" t="s">
        <v>8505</v>
      </c>
      <c r="U1427" t="s">
        <v>8506</v>
      </c>
      <c r="V1427" t="s">
        <v>69</v>
      </c>
      <c r="W1427" t="s">
        <v>69</v>
      </c>
      <c r="X1427" t="s">
        <v>69</v>
      </c>
      <c r="Y1427" t="s">
        <v>69</v>
      </c>
      <c r="Z1427" t="s">
        <v>69</v>
      </c>
      <c r="AA1427" t="s">
        <v>22514</v>
      </c>
      <c r="AB1427" t="s">
        <v>69</v>
      </c>
      <c r="AC1427" t="s">
        <v>22515</v>
      </c>
      <c r="AD1427" t="s">
        <v>22516</v>
      </c>
      <c r="AE1427" t="s">
        <v>69</v>
      </c>
      <c r="AF1427" t="s">
        <v>22517</v>
      </c>
      <c r="AG1427" t="s">
        <v>22518</v>
      </c>
      <c r="AH1427" t="s">
        <v>69</v>
      </c>
      <c r="AI1427" t="s">
        <v>69</v>
      </c>
      <c r="AJ1427" t="s">
        <v>69</v>
      </c>
      <c r="AK1427" t="s">
        <v>69</v>
      </c>
      <c r="AL1427" t="s">
        <v>69</v>
      </c>
      <c r="AM1427" t="s">
        <v>69</v>
      </c>
      <c r="AN1427">
        <v>40</v>
      </c>
      <c r="AO1427">
        <v>36</v>
      </c>
      <c r="AP1427">
        <v>37</v>
      </c>
      <c r="AQ1427">
        <v>0</v>
      </c>
      <c r="AR1427">
        <v>19</v>
      </c>
      <c r="AS1427" t="s">
        <v>8636</v>
      </c>
      <c r="AT1427" t="s">
        <v>8637</v>
      </c>
      <c r="AU1427" t="s">
        <v>8638</v>
      </c>
      <c r="AV1427" t="s">
        <v>19136</v>
      </c>
      <c r="AW1427" t="s">
        <v>19137</v>
      </c>
      <c r="AX1427" t="s">
        <v>69</v>
      </c>
      <c r="AY1427" t="s">
        <v>19138</v>
      </c>
      <c r="AZ1427" t="s">
        <v>19139</v>
      </c>
      <c r="BA1427" t="s">
        <v>5604</v>
      </c>
      <c r="BB1427">
        <v>2015</v>
      </c>
      <c r="BC1427">
        <v>152</v>
      </c>
      <c r="BD1427" t="s">
        <v>69</v>
      </c>
      <c r="BE1427" t="s">
        <v>69</v>
      </c>
      <c r="BF1427" t="s">
        <v>69</v>
      </c>
      <c r="BG1427" t="s">
        <v>69</v>
      </c>
      <c r="BH1427" t="s">
        <v>69</v>
      </c>
      <c r="BI1427">
        <v>207</v>
      </c>
      <c r="BJ1427">
        <v>216</v>
      </c>
      <c r="BK1427" t="s">
        <v>69</v>
      </c>
      <c r="BL1427" t="s">
        <v>22519</v>
      </c>
      <c r="BM1427" t="str">
        <f>HYPERLINK("http://dx.doi.org/10.1016/j.apenergy.2014.11.063","http://dx.doi.org/10.1016/j.apenergy.2014.11.063")</f>
        <v>http://dx.doi.org/10.1016/j.apenergy.2014.11.063</v>
      </c>
      <c r="BN1427" t="s">
        <v>69</v>
      </c>
      <c r="BO1427" t="s">
        <v>69</v>
      </c>
      <c r="BP1427">
        <v>10</v>
      </c>
      <c r="BQ1427" t="s">
        <v>19141</v>
      </c>
      <c r="BR1427" t="s">
        <v>8548</v>
      </c>
      <c r="BS1427" t="s">
        <v>19142</v>
      </c>
      <c r="BT1427" t="s">
        <v>22520</v>
      </c>
      <c r="BU1427" t="s">
        <v>22521</v>
      </c>
      <c r="BV1427" t="s">
        <v>69</v>
      </c>
      <c r="BW1427" t="s">
        <v>69</v>
      </c>
      <c r="BX1427" t="s">
        <v>69</v>
      </c>
      <c r="BY1427" t="s">
        <v>69</v>
      </c>
      <c r="BZ1427" t="s">
        <v>8526</v>
      </c>
      <c r="CA1427" t="str">
        <f>HYPERLINK("https%3A%2F%2Fwww.webofscience.com%2Fwos%2Fwoscc%2Ffull-record%2FWOS:000356745200021","View Full Record in Web of Science")</f>
        <v>View Full Record in Web of Science</v>
      </c>
    </row>
    <row r="1428" spans="1:79" ht="12.5" x14ac:dyDescent="0.25">
      <c r="B1428" t="s">
        <v>8495</v>
      </c>
      <c r="D1428" s="7" t="s">
        <v>32933</v>
      </c>
      <c r="E1428" s="7"/>
      <c r="F1428" s="7"/>
      <c r="G1428" s="7"/>
      <c r="H1428" t="s">
        <v>67</v>
      </c>
      <c r="I1428" t="s">
        <v>4172</v>
      </c>
      <c r="J1428" t="s">
        <v>69</v>
      </c>
      <c r="K1428" t="s">
        <v>69</v>
      </c>
      <c r="L1428" t="s">
        <v>69</v>
      </c>
      <c r="M1428" t="s">
        <v>4172</v>
      </c>
      <c r="N1428" t="s">
        <v>69</v>
      </c>
      <c r="O1428" t="s">
        <v>69</v>
      </c>
      <c r="P1428" t="s">
        <v>4173</v>
      </c>
      <c r="Q1428" t="s">
        <v>4174</v>
      </c>
      <c r="R1428" t="s">
        <v>69</v>
      </c>
      <c r="S1428" t="s">
        <v>69</v>
      </c>
      <c r="T1428" t="s">
        <v>14800</v>
      </c>
      <c r="U1428" t="s">
        <v>8506</v>
      </c>
      <c r="V1428" t="s">
        <v>69</v>
      </c>
      <c r="W1428" t="s">
        <v>69</v>
      </c>
      <c r="X1428" t="s">
        <v>69</v>
      </c>
      <c r="Y1428" t="s">
        <v>69</v>
      </c>
      <c r="Z1428" t="s">
        <v>69</v>
      </c>
      <c r="AA1428" t="s">
        <v>69</v>
      </c>
      <c r="AB1428" t="s">
        <v>69</v>
      </c>
      <c r="AC1428" t="s">
        <v>4175</v>
      </c>
      <c r="AD1428" t="s">
        <v>32127</v>
      </c>
      <c r="AE1428" t="s">
        <v>69</v>
      </c>
      <c r="AF1428" t="s">
        <v>32128</v>
      </c>
      <c r="AG1428" t="s">
        <v>69</v>
      </c>
      <c r="AH1428" t="s">
        <v>69</v>
      </c>
      <c r="AI1428" t="s">
        <v>69</v>
      </c>
      <c r="AJ1428" t="s">
        <v>69</v>
      </c>
      <c r="AK1428" t="s">
        <v>69</v>
      </c>
      <c r="AL1428" t="s">
        <v>69</v>
      </c>
      <c r="AM1428" t="s">
        <v>69</v>
      </c>
      <c r="AN1428">
        <v>0</v>
      </c>
      <c r="AO1428">
        <v>1</v>
      </c>
      <c r="AP1428">
        <v>1</v>
      </c>
      <c r="AQ1428">
        <v>0</v>
      </c>
      <c r="AR1428">
        <v>0</v>
      </c>
      <c r="AS1428" t="s">
        <v>32129</v>
      </c>
      <c r="AT1428" t="s">
        <v>32130</v>
      </c>
      <c r="AU1428" t="s">
        <v>32131</v>
      </c>
      <c r="AV1428" t="s">
        <v>4176</v>
      </c>
      <c r="AW1428" t="s">
        <v>69</v>
      </c>
      <c r="AX1428" t="s">
        <v>69</v>
      </c>
      <c r="AY1428" t="s">
        <v>20261</v>
      </c>
      <c r="AZ1428" t="s">
        <v>20262</v>
      </c>
      <c r="BA1428" t="s">
        <v>69</v>
      </c>
      <c r="BB1428">
        <v>1998</v>
      </c>
      <c r="BC1428">
        <v>53</v>
      </c>
      <c r="BD1428">
        <v>8</v>
      </c>
      <c r="BE1428" t="s">
        <v>69</v>
      </c>
      <c r="BF1428" t="s">
        <v>69</v>
      </c>
      <c r="BG1428" t="s">
        <v>69</v>
      </c>
      <c r="BH1428" t="s">
        <v>69</v>
      </c>
      <c r="BI1428">
        <v>31</v>
      </c>
      <c r="BJ1428">
        <v>33</v>
      </c>
      <c r="BK1428" t="s">
        <v>69</v>
      </c>
      <c r="BL1428" t="s">
        <v>69</v>
      </c>
      <c r="BM1428" t="s">
        <v>69</v>
      </c>
      <c r="BN1428" t="s">
        <v>69</v>
      </c>
      <c r="BO1428" t="s">
        <v>69</v>
      </c>
      <c r="BP1428">
        <v>3</v>
      </c>
      <c r="BQ1428" t="s">
        <v>9096</v>
      </c>
      <c r="BR1428" t="s">
        <v>8548</v>
      </c>
      <c r="BS1428" t="s">
        <v>9096</v>
      </c>
      <c r="BT1428" t="s">
        <v>32132</v>
      </c>
      <c r="BU1428" t="s">
        <v>4177</v>
      </c>
      <c r="BV1428" t="s">
        <v>69</v>
      </c>
      <c r="BW1428" t="s">
        <v>69</v>
      </c>
      <c r="BX1428" t="s">
        <v>69</v>
      </c>
      <c r="BY1428" t="s">
        <v>69</v>
      </c>
      <c r="BZ1428" t="s">
        <v>8526</v>
      </c>
      <c r="CA1428" t="str">
        <f>HYPERLINK("https%3A%2F%2Fwww.webofscience.com%2Fwos%2Fwoscc%2Ffull-record%2FWOS:000077533300005","View Full Record in Web of Science")</f>
        <v>View Full Record in Web of Science</v>
      </c>
    </row>
    <row r="1429" spans="1:79" ht="12.5" x14ac:dyDescent="0.25">
      <c r="B1429" t="s">
        <v>8495</v>
      </c>
      <c r="D1429" s="7" t="s">
        <v>32933</v>
      </c>
      <c r="E1429" s="7"/>
      <c r="F1429" s="7"/>
      <c r="G1429" s="7"/>
      <c r="H1429" t="s">
        <v>67</v>
      </c>
      <c r="I1429" t="s">
        <v>2856</v>
      </c>
      <c r="J1429" t="s">
        <v>69</v>
      </c>
      <c r="K1429" t="s">
        <v>69</v>
      </c>
      <c r="L1429" t="s">
        <v>69</v>
      </c>
      <c r="M1429" t="s">
        <v>2857</v>
      </c>
      <c r="N1429" t="s">
        <v>69</v>
      </c>
      <c r="O1429" t="s">
        <v>69</v>
      </c>
      <c r="P1429" t="s">
        <v>2858</v>
      </c>
      <c r="Q1429" t="s">
        <v>2859</v>
      </c>
      <c r="R1429" t="s">
        <v>69</v>
      </c>
      <c r="S1429" t="s">
        <v>69</v>
      </c>
      <c r="T1429" t="s">
        <v>8505</v>
      </c>
      <c r="U1429" t="s">
        <v>8442</v>
      </c>
      <c r="V1429" t="s">
        <v>69</v>
      </c>
      <c r="W1429" t="s">
        <v>69</v>
      </c>
      <c r="X1429" t="s">
        <v>69</v>
      </c>
      <c r="Y1429" t="s">
        <v>69</v>
      </c>
      <c r="Z1429" t="s">
        <v>69</v>
      </c>
      <c r="AA1429" t="s">
        <v>21654</v>
      </c>
      <c r="AB1429" t="s">
        <v>21655</v>
      </c>
      <c r="AC1429" t="s">
        <v>2860</v>
      </c>
      <c r="AD1429" t="s">
        <v>21656</v>
      </c>
      <c r="AE1429" t="s">
        <v>69</v>
      </c>
      <c r="AF1429" t="s">
        <v>21657</v>
      </c>
      <c r="AG1429" t="s">
        <v>21658</v>
      </c>
      <c r="AH1429" t="s">
        <v>69</v>
      </c>
      <c r="AI1429" t="s">
        <v>21659</v>
      </c>
      <c r="AJ1429" t="s">
        <v>21660</v>
      </c>
      <c r="AK1429" t="s">
        <v>21661</v>
      </c>
      <c r="AL1429" t="s">
        <v>21662</v>
      </c>
      <c r="AM1429" t="s">
        <v>69</v>
      </c>
      <c r="AN1429">
        <v>12</v>
      </c>
      <c r="AO1429">
        <v>3</v>
      </c>
      <c r="AP1429">
        <v>3</v>
      </c>
      <c r="AQ1429">
        <v>0</v>
      </c>
      <c r="AR1429">
        <v>1</v>
      </c>
      <c r="AS1429" t="s">
        <v>18749</v>
      </c>
      <c r="AT1429" t="s">
        <v>8763</v>
      </c>
      <c r="AU1429" t="s">
        <v>18750</v>
      </c>
      <c r="AV1429" t="s">
        <v>2861</v>
      </c>
      <c r="AW1429" t="s">
        <v>69</v>
      </c>
      <c r="AX1429" t="s">
        <v>69</v>
      </c>
      <c r="AY1429" t="s">
        <v>21663</v>
      </c>
      <c r="AZ1429" t="s">
        <v>21664</v>
      </c>
      <c r="BA1429" t="s">
        <v>2862</v>
      </c>
      <c r="BB1429">
        <v>2016</v>
      </c>
      <c r="BC1429">
        <v>17</v>
      </c>
      <c r="BD1429" t="s">
        <v>69</v>
      </c>
      <c r="BE1429" t="s">
        <v>69</v>
      </c>
      <c r="BF1429" t="s">
        <v>69</v>
      </c>
      <c r="BG1429" t="s">
        <v>69</v>
      </c>
      <c r="BH1429" t="s">
        <v>69</v>
      </c>
      <c r="BI1429" t="s">
        <v>69</v>
      </c>
      <c r="BJ1429" t="s">
        <v>69</v>
      </c>
      <c r="BK1429">
        <v>27</v>
      </c>
      <c r="BL1429" t="s">
        <v>2863</v>
      </c>
      <c r="BM1429" t="str">
        <f>HYPERLINK("http://dx.doi.org/10.1186/s12910-016-0110-8","http://dx.doi.org/10.1186/s12910-016-0110-8")</f>
        <v>http://dx.doi.org/10.1186/s12910-016-0110-8</v>
      </c>
      <c r="BN1429" t="s">
        <v>69</v>
      </c>
      <c r="BO1429" t="s">
        <v>69</v>
      </c>
      <c r="BP1429">
        <v>10</v>
      </c>
      <c r="BQ1429" t="s">
        <v>21665</v>
      </c>
      <c r="BR1429" t="s">
        <v>8523</v>
      </c>
      <c r="BS1429" t="s">
        <v>21666</v>
      </c>
      <c r="BT1429" t="s">
        <v>21667</v>
      </c>
      <c r="BU1429" t="s">
        <v>2864</v>
      </c>
      <c r="BV1429">
        <v>27178053</v>
      </c>
      <c r="BW1429" t="s">
        <v>9352</v>
      </c>
      <c r="BX1429" t="s">
        <v>69</v>
      </c>
      <c r="BY1429" t="s">
        <v>69</v>
      </c>
      <c r="BZ1429" t="s">
        <v>8526</v>
      </c>
      <c r="CA1429" t="str">
        <f>HYPERLINK("https%3A%2F%2Fwww.webofscience.com%2Fwos%2Fwoscc%2Ffull-record%2FWOS:000376361000001","View Full Record in Web of Science")</f>
        <v>View Full Record in Web of Science</v>
      </c>
    </row>
    <row r="1430" spans="1:79" ht="12.5" x14ac:dyDescent="0.25">
      <c r="B1430" t="s">
        <v>8495</v>
      </c>
      <c r="D1430" s="7" t="s">
        <v>32933</v>
      </c>
      <c r="E1430" s="7"/>
      <c r="F1430" s="7"/>
      <c r="G1430" s="7"/>
      <c r="H1430" t="s">
        <v>67</v>
      </c>
      <c r="I1430" t="s">
        <v>3263</v>
      </c>
      <c r="J1430" t="s">
        <v>69</v>
      </c>
      <c r="K1430" t="s">
        <v>69</v>
      </c>
      <c r="L1430" t="s">
        <v>69</v>
      </c>
      <c r="M1430" t="s">
        <v>3264</v>
      </c>
      <c r="N1430" t="s">
        <v>69</v>
      </c>
      <c r="O1430" t="s">
        <v>69</v>
      </c>
      <c r="P1430" t="s">
        <v>3265</v>
      </c>
      <c r="Q1430" t="s">
        <v>3266</v>
      </c>
      <c r="R1430" t="s">
        <v>69</v>
      </c>
      <c r="S1430" t="s">
        <v>69</v>
      </c>
      <c r="T1430" t="s">
        <v>8505</v>
      </c>
      <c r="U1430" t="s">
        <v>8506</v>
      </c>
      <c r="V1430" t="s">
        <v>69</v>
      </c>
      <c r="W1430" t="s">
        <v>69</v>
      </c>
      <c r="X1430" t="s">
        <v>69</v>
      </c>
      <c r="Y1430" t="s">
        <v>69</v>
      </c>
      <c r="Z1430" t="s">
        <v>69</v>
      </c>
      <c r="AA1430" t="s">
        <v>69</v>
      </c>
      <c r="AB1430" t="s">
        <v>24518</v>
      </c>
      <c r="AC1430" t="s">
        <v>3267</v>
      </c>
      <c r="AD1430" t="s">
        <v>24519</v>
      </c>
      <c r="AE1430" t="s">
        <v>69</v>
      </c>
      <c r="AF1430" t="s">
        <v>24520</v>
      </c>
      <c r="AG1430" t="s">
        <v>24521</v>
      </c>
      <c r="AH1430" t="s">
        <v>69</v>
      </c>
      <c r="AI1430" t="s">
        <v>69</v>
      </c>
      <c r="AJ1430" t="s">
        <v>69</v>
      </c>
      <c r="AK1430" t="s">
        <v>69</v>
      </c>
      <c r="AL1430" t="s">
        <v>69</v>
      </c>
      <c r="AM1430" t="s">
        <v>69</v>
      </c>
      <c r="AN1430">
        <v>44</v>
      </c>
      <c r="AO1430">
        <v>15</v>
      </c>
      <c r="AP1430">
        <v>15</v>
      </c>
      <c r="AQ1430">
        <v>3</v>
      </c>
      <c r="AR1430">
        <v>11</v>
      </c>
      <c r="AS1430" t="s">
        <v>18730</v>
      </c>
      <c r="AT1430" t="s">
        <v>18731</v>
      </c>
      <c r="AU1430" t="s">
        <v>18732</v>
      </c>
      <c r="AV1430" t="s">
        <v>3268</v>
      </c>
      <c r="AW1430" t="s">
        <v>3269</v>
      </c>
      <c r="AX1430" t="s">
        <v>69</v>
      </c>
      <c r="AY1430" t="s">
        <v>24522</v>
      </c>
      <c r="AZ1430" t="s">
        <v>24523</v>
      </c>
      <c r="BA1430" t="s">
        <v>75</v>
      </c>
      <c r="BB1430">
        <v>2013</v>
      </c>
      <c r="BC1430">
        <v>44</v>
      </c>
      <c r="BD1430">
        <v>4</v>
      </c>
      <c r="BE1430" t="s">
        <v>69</v>
      </c>
      <c r="BF1430" t="s">
        <v>69</v>
      </c>
      <c r="BG1430" t="s">
        <v>69</v>
      </c>
      <c r="BH1430" t="s">
        <v>69</v>
      </c>
      <c r="BI1430">
        <v>13</v>
      </c>
      <c r="BJ1430">
        <v>24</v>
      </c>
      <c r="BK1430" t="s">
        <v>69</v>
      </c>
      <c r="BL1430" t="s">
        <v>24524</v>
      </c>
      <c r="BM1430" t="str">
        <f>HYPERLINK("http://dx.doi.org/10.4102/sajbm.v44i4.165","http://dx.doi.org/10.4102/sajbm.v44i4.165")</f>
        <v>http://dx.doi.org/10.4102/sajbm.v44i4.165</v>
      </c>
      <c r="BN1430" t="s">
        <v>69</v>
      </c>
      <c r="BO1430" t="s">
        <v>69</v>
      </c>
      <c r="BP1430">
        <v>12</v>
      </c>
      <c r="BQ1430" t="s">
        <v>8791</v>
      </c>
      <c r="BR1430" t="s">
        <v>8661</v>
      </c>
      <c r="BS1430" t="s">
        <v>8594</v>
      </c>
      <c r="BT1430" t="s">
        <v>24525</v>
      </c>
      <c r="BU1430" t="s">
        <v>3270</v>
      </c>
      <c r="BV1430" t="s">
        <v>69</v>
      </c>
      <c r="BW1430" t="s">
        <v>12220</v>
      </c>
      <c r="BX1430" t="s">
        <v>69</v>
      </c>
      <c r="BY1430" t="s">
        <v>69</v>
      </c>
      <c r="BZ1430" t="s">
        <v>8526</v>
      </c>
      <c r="CA1430" t="str">
        <f>HYPERLINK("https%3A%2F%2Fwww.webofscience.com%2Fwos%2Fwoscc%2Ffull-record%2FWOS:000341170600002","View Full Record in Web of Science")</f>
        <v>View Full Record in Web of Science</v>
      </c>
    </row>
    <row r="1431" spans="1:79" ht="12.5" x14ac:dyDescent="0.25">
      <c r="B1431" t="s">
        <v>8495</v>
      </c>
      <c r="D1431" s="22" t="s">
        <v>32931</v>
      </c>
      <c r="E1431" s="7"/>
      <c r="F1431" s="7"/>
      <c r="G1431" s="7"/>
      <c r="H1431" t="s">
        <v>67</v>
      </c>
      <c r="I1431" t="s">
        <v>24138</v>
      </c>
      <c r="J1431" t="s">
        <v>69</v>
      </c>
      <c r="K1431" t="s">
        <v>69</v>
      </c>
      <c r="L1431" t="s">
        <v>69</v>
      </c>
      <c r="M1431" t="s">
        <v>24139</v>
      </c>
      <c r="N1431" t="s">
        <v>69</v>
      </c>
      <c r="O1431" t="s">
        <v>69</v>
      </c>
      <c r="P1431" t="s">
        <v>24140</v>
      </c>
      <c r="Q1431" t="s">
        <v>4899</v>
      </c>
      <c r="R1431" t="s">
        <v>69</v>
      </c>
      <c r="S1431" t="s">
        <v>69</v>
      </c>
      <c r="T1431" t="s">
        <v>8505</v>
      </c>
      <c r="U1431" t="s">
        <v>8506</v>
      </c>
      <c r="V1431" t="s">
        <v>69</v>
      </c>
      <c r="W1431" t="s">
        <v>69</v>
      </c>
      <c r="X1431" t="s">
        <v>69</v>
      </c>
      <c r="Y1431" t="s">
        <v>69</v>
      </c>
      <c r="Z1431" t="s">
        <v>69</v>
      </c>
      <c r="AA1431" t="s">
        <v>24141</v>
      </c>
      <c r="AB1431" t="s">
        <v>24142</v>
      </c>
      <c r="AC1431" t="s">
        <v>24143</v>
      </c>
      <c r="AD1431" t="s">
        <v>24144</v>
      </c>
      <c r="AE1431" t="s">
        <v>69</v>
      </c>
      <c r="AF1431" t="s">
        <v>24145</v>
      </c>
      <c r="AG1431" t="s">
        <v>24146</v>
      </c>
      <c r="AH1431" t="s">
        <v>69</v>
      </c>
      <c r="AI1431" t="s">
        <v>69</v>
      </c>
      <c r="AJ1431" t="s">
        <v>24147</v>
      </c>
      <c r="AK1431" t="s">
        <v>24148</v>
      </c>
      <c r="AL1431" t="s">
        <v>24149</v>
      </c>
      <c r="AM1431" t="s">
        <v>69</v>
      </c>
      <c r="AN1431">
        <v>59</v>
      </c>
      <c r="AO1431">
        <v>5</v>
      </c>
      <c r="AP1431">
        <v>6</v>
      </c>
      <c r="AQ1431">
        <v>0</v>
      </c>
      <c r="AR1431">
        <v>0</v>
      </c>
      <c r="AS1431" t="s">
        <v>9203</v>
      </c>
      <c r="AT1431" t="s">
        <v>8763</v>
      </c>
      <c r="AU1431" t="s">
        <v>9204</v>
      </c>
      <c r="AV1431" t="s">
        <v>4901</v>
      </c>
      <c r="AW1431" t="s">
        <v>69</v>
      </c>
      <c r="AX1431" t="s">
        <v>69</v>
      </c>
      <c r="AY1431" t="s">
        <v>19911</v>
      </c>
      <c r="AZ1431" t="s">
        <v>19912</v>
      </c>
      <c r="BA1431" t="s">
        <v>69</v>
      </c>
      <c r="BB1431">
        <v>2014</v>
      </c>
      <c r="BC1431">
        <v>4</v>
      </c>
      <c r="BD1431" t="s">
        <v>69</v>
      </c>
      <c r="BE1431" t="s">
        <v>69</v>
      </c>
      <c r="BF1431" t="s">
        <v>69</v>
      </c>
      <c r="BG1431" t="s">
        <v>69</v>
      </c>
      <c r="BH1431" t="s">
        <v>69</v>
      </c>
      <c r="BI1431" t="s">
        <v>69</v>
      </c>
      <c r="BJ1431" t="s">
        <v>69</v>
      </c>
      <c r="BK1431">
        <v>26</v>
      </c>
      <c r="BL1431" t="s">
        <v>24150</v>
      </c>
      <c r="BM1431" t="str">
        <f>HYPERLINK("http://dx.doi.org/10.1186/s13705-014-0026-4","http://dx.doi.org/10.1186/s13705-014-0026-4")</f>
        <v>http://dx.doi.org/10.1186/s13705-014-0026-4</v>
      </c>
      <c r="BN1431" t="s">
        <v>69</v>
      </c>
      <c r="BO1431" t="s">
        <v>69</v>
      </c>
      <c r="BP1431">
        <v>14</v>
      </c>
      <c r="BQ1431" t="s">
        <v>9931</v>
      </c>
      <c r="BR1431" t="s">
        <v>8573</v>
      </c>
      <c r="BS1431" t="s">
        <v>9932</v>
      </c>
      <c r="BT1431" t="s">
        <v>24151</v>
      </c>
      <c r="BU1431" t="s">
        <v>24152</v>
      </c>
      <c r="BV1431" t="s">
        <v>69</v>
      </c>
      <c r="BW1431" t="s">
        <v>8931</v>
      </c>
      <c r="BX1431" t="s">
        <v>69</v>
      </c>
      <c r="BY1431" t="s">
        <v>69</v>
      </c>
      <c r="BZ1431" t="s">
        <v>8526</v>
      </c>
      <c r="CA1431" t="str">
        <f>HYPERLINK("https%3A%2F%2Fwww.webofscience.com%2Fwos%2Fwoscc%2Ffull-record%2FWOS:000215299800025","View Full Record in Web of Science")</f>
        <v>View Full Record in Web of Science</v>
      </c>
    </row>
    <row r="1432" spans="1:79" ht="12.5" x14ac:dyDescent="0.25">
      <c r="B1432" t="s">
        <v>8495</v>
      </c>
      <c r="D1432" s="7" t="s">
        <v>32933</v>
      </c>
      <c r="E1432" s="7"/>
      <c r="F1432" s="7"/>
      <c r="G1432" s="7"/>
      <c r="H1432" t="s">
        <v>67</v>
      </c>
      <c r="I1432" t="s">
        <v>2147</v>
      </c>
      <c r="J1432" t="s">
        <v>69</v>
      </c>
      <c r="K1432" t="s">
        <v>69</v>
      </c>
      <c r="L1432" t="s">
        <v>69</v>
      </c>
      <c r="M1432" t="s">
        <v>2148</v>
      </c>
      <c r="N1432" t="s">
        <v>69</v>
      </c>
      <c r="O1432" t="s">
        <v>69</v>
      </c>
      <c r="P1432" t="s">
        <v>2149</v>
      </c>
      <c r="Q1432" t="s">
        <v>2150</v>
      </c>
      <c r="R1432" t="s">
        <v>69</v>
      </c>
      <c r="S1432" t="s">
        <v>69</v>
      </c>
      <c r="T1432" t="s">
        <v>8505</v>
      </c>
      <c r="U1432" t="s">
        <v>8506</v>
      </c>
      <c r="V1432" t="s">
        <v>69</v>
      </c>
      <c r="W1432" t="s">
        <v>69</v>
      </c>
      <c r="X1432" t="s">
        <v>69</v>
      </c>
      <c r="Y1432" t="s">
        <v>69</v>
      </c>
      <c r="Z1432" t="s">
        <v>69</v>
      </c>
      <c r="AA1432" t="s">
        <v>16782</v>
      </c>
      <c r="AB1432" t="s">
        <v>16783</v>
      </c>
      <c r="AC1432" t="s">
        <v>2151</v>
      </c>
      <c r="AD1432" t="s">
        <v>16784</v>
      </c>
      <c r="AE1432" t="s">
        <v>69</v>
      </c>
      <c r="AF1432" t="s">
        <v>16785</v>
      </c>
      <c r="AG1432" t="s">
        <v>16786</v>
      </c>
      <c r="AH1432" t="s">
        <v>2152</v>
      </c>
      <c r="AI1432" t="s">
        <v>2153</v>
      </c>
      <c r="AJ1432" t="s">
        <v>16787</v>
      </c>
      <c r="AK1432" t="s">
        <v>16788</v>
      </c>
      <c r="AL1432" t="s">
        <v>16789</v>
      </c>
      <c r="AM1432" t="s">
        <v>69</v>
      </c>
      <c r="AN1432">
        <v>48</v>
      </c>
      <c r="AO1432">
        <v>5</v>
      </c>
      <c r="AP1432">
        <v>5</v>
      </c>
      <c r="AQ1432">
        <v>2</v>
      </c>
      <c r="AR1432">
        <v>5</v>
      </c>
      <c r="AS1432" t="s">
        <v>8924</v>
      </c>
      <c r="AT1432" t="s">
        <v>8925</v>
      </c>
      <c r="AU1432" t="s">
        <v>8926</v>
      </c>
      <c r="AV1432" t="s">
        <v>69</v>
      </c>
      <c r="AW1432" t="s">
        <v>2154</v>
      </c>
      <c r="AX1432" t="s">
        <v>69</v>
      </c>
      <c r="AY1432" t="s">
        <v>16790</v>
      </c>
      <c r="AZ1432" t="s">
        <v>16791</v>
      </c>
      <c r="BA1432" t="s">
        <v>255</v>
      </c>
      <c r="BB1432">
        <v>2019</v>
      </c>
      <c r="BC1432">
        <v>9</v>
      </c>
      <c r="BD1432">
        <v>3</v>
      </c>
      <c r="BE1432" t="s">
        <v>69</v>
      </c>
      <c r="BF1432" t="s">
        <v>69</v>
      </c>
      <c r="BG1432" t="s">
        <v>69</v>
      </c>
      <c r="BH1432" t="s">
        <v>69</v>
      </c>
      <c r="BI1432" t="s">
        <v>69</v>
      </c>
      <c r="BJ1432" t="s">
        <v>69</v>
      </c>
      <c r="BK1432">
        <v>52</v>
      </c>
      <c r="BL1432" t="s">
        <v>2155</v>
      </c>
      <c r="BM1432" t="str">
        <f>HYPERLINK("http://dx.doi.org/10.3390/admsci9030052","http://dx.doi.org/10.3390/admsci9030052")</f>
        <v>http://dx.doi.org/10.3390/admsci9030052</v>
      </c>
      <c r="BN1432" t="s">
        <v>69</v>
      </c>
      <c r="BO1432" t="s">
        <v>69</v>
      </c>
      <c r="BP1432">
        <v>16</v>
      </c>
      <c r="BQ1432" t="s">
        <v>9410</v>
      </c>
      <c r="BR1432" t="s">
        <v>8573</v>
      </c>
      <c r="BS1432" t="s">
        <v>8594</v>
      </c>
      <c r="BT1432" t="s">
        <v>16792</v>
      </c>
      <c r="BU1432" t="s">
        <v>2156</v>
      </c>
      <c r="BV1432" t="s">
        <v>69</v>
      </c>
      <c r="BW1432" t="s">
        <v>16793</v>
      </c>
      <c r="BX1432" t="s">
        <v>69</v>
      </c>
      <c r="BY1432" t="s">
        <v>69</v>
      </c>
      <c r="BZ1432" t="s">
        <v>8526</v>
      </c>
      <c r="CA1432" t="str">
        <f>HYPERLINK("https%3A%2F%2Fwww.webofscience.com%2Fwos%2Fwoscc%2Ffull-record%2FWOS:000487987200020","View Full Record in Web of Science")</f>
        <v>View Full Record in Web of Science</v>
      </c>
    </row>
    <row r="1433" spans="1:79" ht="12.5" x14ac:dyDescent="0.25">
      <c r="B1433" t="s">
        <v>8495</v>
      </c>
      <c r="D1433" s="22" t="s">
        <v>32931</v>
      </c>
      <c r="E1433" s="7"/>
      <c r="F1433" s="7"/>
      <c r="G1433" s="7"/>
      <c r="H1433" t="s">
        <v>67</v>
      </c>
      <c r="I1433" t="s">
        <v>14934</v>
      </c>
      <c r="J1433" t="s">
        <v>69</v>
      </c>
      <c r="K1433" t="s">
        <v>69</v>
      </c>
      <c r="L1433" t="s">
        <v>69</v>
      </c>
      <c r="M1433" t="s">
        <v>14935</v>
      </c>
      <c r="N1433" t="s">
        <v>69</v>
      </c>
      <c r="O1433" t="s">
        <v>69</v>
      </c>
      <c r="P1433" t="s">
        <v>14936</v>
      </c>
      <c r="Q1433" t="s">
        <v>14937</v>
      </c>
      <c r="R1433" t="s">
        <v>69</v>
      </c>
      <c r="S1433" t="s">
        <v>69</v>
      </c>
      <c r="T1433" t="s">
        <v>8505</v>
      </c>
      <c r="U1433" t="s">
        <v>8506</v>
      </c>
      <c r="V1433" t="s">
        <v>69</v>
      </c>
      <c r="W1433" t="s">
        <v>69</v>
      </c>
      <c r="X1433" t="s">
        <v>69</v>
      </c>
      <c r="Y1433" t="s">
        <v>69</v>
      </c>
      <c r="Z1433" t="s">
        <v>69</v>
      </c>
      <c r="AA1433" t="s">
        <v>14938</v>
      </c>
      <c r="AB1433" t="s">
        <v>14939</v>
      </c>
      <c r="AC1433" t="s">
        <v>14940</v>
      </c>
      <c r="AD1433" t="s">
        <v>14941</v>
      </c>
      <c r="AE1433" t="s">
        <v>69</v>
      </c>
      <c r="AF1433" t="s">
        <v>14942</v>
      </c>
      <c r="AG1433" t="s">
        <v>14943</v>
      </c>
      <c r="AH1433" t="s">
        <v>14944</v>
      </c>
      <c r="AI1433" t="s">
        <v>14945</v>
      </c>
      <c r="AJ1433" t="s">
        <v>69</v>
      </c>
      <c r="AK1433" t="s">
        <v>69</v>
      </c>
      <c r="AL1433" t="s">
        <v>69</v>
      </c>
      <c r="AM1433" t="s">
        <v>69</v>
      </c>
      <c r="AN1433">
        <v>45</v>
      </c>
      <c r="AO1433">
        <v>2</v>
      </c>
      <c r="AP1433">
        <v>2</v>
      </c>
      <c r="AQ1433">
        <v>4</v>
      </c>
      <c r="AR1433">
        <v>9</v>
      </c>
      <c r="AS1433" t="s">
        <v>8611</v>
      </c>
      <c r="AT1433" t="s">
        <v>8612</v>
      </c>
      <c r="AU1433" t="s">
        <v>8613</v>
      </c>
      <c r="AV1433" t="s">
        <v>14946</v>
      </c>
      <c r="AW1433" t="s">
        <v>14947</v>
      </c>
      <c r="AX1433" t="s">
        <v>69</v>
      </c>
      <c r="AY1433" t="s">
        <v>14948</v>
      </c>
      <c r="AZ1433" t="s">
        <v>14949</v>
      </c>
      <c r="BA1433" t="s">
        <v>14950</v>
      </c>
      <c r="BB1433">
        <v>2020</v>
      </c>
      <c r="BC1433">
        <v>39</v>
      </c>
      <c r="BD1433">
        <v>10</v>
      </c>
      <c r="BE1433" t="s">
        <v>69</v>
      </c>
      <c r="BF1433" t="s">
        <v>69</v>
      </c>
      <c r="BG1433" t="s">
        <v>69</v>
      </c>
      <c r="BH1433" t="s">
        <v>69</v>
      </c>
      <c r="BI1433">
        <v>951</v>
      </c>
      <c r="BJ1433">
        <v>963</v>
      </c>
      <c r="BK1433" t="s">
        <v>69</v>
      </c>
      <c r="BL1433" t="s">
        <v>14951</v>
      </c>
      <c r="BM1433" t="str">
        <f>HYPERLINK("http://dx.doi.org/10.1080/14786451.2020.1781852","http://dx.doi.org/10.1080/14786451.2020.1781852")</f>
        <v>http://dx.doi.org/10.1080/14786451.2020.1781852</v>
      </c>
      <c r="BN1433" t="s">
        <v>69</v>
      </c>
      <c r="BO1433" t="s">
        <v>4582</v>
      </c>
      <c r="BP1433">
        <v>13</v>
      </c>
      <c r="BQ1433" t="s">
        <v>9164</v>
      </c>
      <c r="BR1433" t="s">
        <v>8573</v>
      </c>
      <c r="BS1433" t="s">
        <v>9164</v>
      </c>
      <c r="BT1433" t="s">
        <v>14952</v>
      </c>
      <c r="BU1433" t="s">
        <v>14953</v>
      </c>
      <c r="BV1433" t="s">
        <v>69</v>
      </c>
      <c r="BW1433" t="s">
        <v>10363</v>
      </c>
      <c r="BX1433" t="s">
        <v>69</v>
      </c>
      <c r="BY1433" t="s">
        <v>69</v>
      </c>
      <c r="BZ1433" t="s">
        <v>8526</v>
      </c>
      <c r="CA1433" t="str">
        <f>HYPERLINK("https%3A%2F%2Fwww.webofscience.com%2Fwos%2Fwoscc%2Ffull-record%2FWOS:000547979600001","View Full Record in Web of Science")</f>
        <v>View Full Record in Web of Science</v>
      </c>
    </row>
    <row r="1434" spans="1:79" ht="12.5" x14ac:dyDescent="0.25">
      <c r="B1434" t="s">
        <v>8495</v>
      </c>
      <c r="D1434" s="7" t="s">
        <v>32933</v>
      </c>
      <c r="E1434" s="7"/>
      <c r="F1434" s="7"/>
      <c r="G1434" s="7"/>
      <c r="H1434" t="s">
        <v>67</v>
      </c>
      <c r="I1434" t="s">
        <v>6907</v>
      </c>
      <c r="J1434" t="s">
        <v>69</v>
      </c>
      <c r="K1434" t="s">
        <v>69</v>
      </c>
      <c r="L1434" t="s">
        <v>69</v>
      </c>
      <c r="M1434" t="s">
        <v>6908</v>
      </c>
      <c r="N1434" t="s">
        <v>69</v>
      </c>
      <c r="O1434" t="s">
        <v>69</v>
      </c>
      <c r="P1434" t="s">
        <v>6909</v>
      </c>
      <c r="Q1434" t="s">
        <v>6910</v>
      </c>
      <c r="R1434" t="s">
        <v>69</v>
      </c>
      <c r="S1434" t="s">
        <v>69</v>
      </c>
      <c r="T1434" t="s">
        <v>8505</v>
      </c>
      <c r="U1434" t="s">
        <v>8506</v>
      </c>
      <c r="V1434" t="s">
        <v>69</v>
      </c>
      <c r="W1434" t="s">
        <v>69</v>
      </c>
      <c r="X1434" t="s">
        <v>69</v>
      </c>
      <c r="Y1434" t="s">
        <v>69</v>
      </c>
      <c r="Z1434" t="s">
        <v>69</v>
      </c>
      <c r="AA1434" t="s">
        <v>17699</v>
      </c>
      <c r="AB1434" t="s">
        <v>17700</v>
      </c>
      <c r="AC1434" t="s">
        <v>6911</v>
      </c>
      <c r="AD1434" t="s">
        <v>17701</v>
      </c>
      <c r="AE1434" t="s">
        <v>69</v>
      </c>
      <c r="AF1434" t="s">
        <v>17702</v>
      </c>
      <c r="AG1434" t="s">
        <v>17703</v>
      </c>
      <c r="AH1434" t="s">
        <v>17704</v>
      </c>
      <c r="AI1434" t="s">
        <v>17705</v>
      </c>
      <c r="AJ1434" t="s">
        <v>69</v>
      </c>
      <c r="AK1434" t="s">
        <v>69</v>
      </c>
      <c r="AL1434" t="s">
        <v>69</v>
      </c>
      <c r="AM1434" t="s">
        <v>69</v>
      </c>
      <c r="AN1434">
        <v>32</v>
      </c>
      <c r="AO1434">
        <v>2</v>
      </c>
      <c r="AP1434">
        <v>2</v>
      </c>
      <c r="AQ1434">
        <v>3</v>
      </c>
      <c r="AR1434">
        <v>15</v>
      </c>
      <c r="AS1434" t="s">
        <v>17706</v>
      </c>
      <c r="AT1434" t="s">
        <v>17707</v>
      </c>
      <c r="AU1434" t="s">
        <v>17708</v>
      </c>
      <c r="AV1434" t="s">
        <v>6912</v>
      </c>
      <c r="AW1434" t="s">
        <v>6913</v>
      </c>
      <c r="AX1434" t="s">
        <v>69</v>
      </c>
      <c r="AY1434" t="s">
        <v>17709</v>
      </c>
      <c r="AZ1434" t="s">
        <v>17710</v>
      </c>
      <c r="BA1434" t="s">
        <v>69</v>
      </c>
      <c r="BB1434">
        <v>2019</v>
      </c>
      <c r="BC1434">
        <v>16</v>
      </c>
      <c r="BD1434">
        <v>3</v>
      </c>
      <c r="BE1434" t="s">
        <v>69</v>
      </c>
      <c r="BF1434" t="s">
        <v>69</v>
      </c>
      <c r="BG1434" t="s">
        <v>69</v>
      </c>
      <c r="BH1434" t="s">
        <v>69</v>
      </c>
      <c r="BI1434" t="s">
        <v>69</v>
      </c>
      <c r="BJ1434" t="s">
        <v>69</v>
      </c>
      <c r="BK1434" t="s">
        <v>6914</v>
      </c>
      <c r="BL1434" t="s">
        <v>6915</v>
      </c>
      <c r="BM1434" t="str">
        <f>HYPERLINK("http://dx.doi.org/10.2427/13128","http://dx.doi.org/10.2427/13128")</f>
        <v>http://dx.doi.org/10.2427/13128</v>
      </c>
      <c r="BN1434" t="s">
        <v>69</v>
      </c>
      <c r="BO1434" t="s">
        <v>69</v>
      </c>
      <c r="BP1434">
        <v>6</v>
      </c>
      <c r="BQ1434" t="s">
        <v>8810</v>
      </c>
      <c r="BR1434" t="s">
        <v>8573</v>
      </c>
      <c r="BS1434" t="s">
        <v>8810</v>
      </c>
      <c r="BT1434" t="s">
        <v>17711</v>
      </c>
      <c r="BU1434" t="s">
        <v>6916</v>
      </c>
      <c r="BV1434" t="s">
        <v>69</v>
      </c>
      <c r="BW1434" t="s">
        <v>69</v>
      </c>
      <c r="BX1434" t="s">
        <v>69</v>
      </c>
      <c r="BY1434" t="s">
        <v>69</v>
      </c>
      <c r="BZ1434" t="s">
        <v>8526</v>
      </c>
      <c r="CA1434" t="str">
        <f>HYPERLINK("https%3A%2F%2Fwww.webofscience.com%2Fwos%2Fwoscc%2Ffull-record%2FWOS:000487278800007","View Full Record in Web of Science")</f>
        <v>View Full Record in Web of Science</v>
      </c>
    </row>
    <row r="1435" spans="1:79" ht="12.5" x14ac:dyDescent="0.25">
      <c r="B1435" t="s">
        <v>8495</v>
      </c>
      <c r="D1435" s="7" t="s">
        <v>32933</v>
      </c>
      <c r="E1435" s="7"/>
      <c r="F1435" s="7"/>
      <c r="G1435" s="7"/>
      <c r="H1435" t="s">
        <v>67</v>
      </c>
      <c r="I1435" t="s">
        <v>2604</v>
      </c>
      <c r="J1435" t="s">
        <v>69</v>
      </c>
      <c r="K1435" t="s">
        <v>69</v>
      </c>
      <c r="L1435" t="s">
        <v>69</v>
      </c>
      <c r="M1435" t="s">
        <v>2605</v>
      </c>
      <c r="N1435" t="s">
        <v>69</v>
      </c>
      <c r="O1435" t="s">
        <v>69</v>
      </c>
      <c r="P1435" t="s">
        <v>2606</v>
      </c>
      <c r="Q1435" t="s">
        <v>2607</v>
      </c>
      <c r="R1435" t="s">
        <v>69</v>
      </c>
      <c r="S1435" t="s">
        <v>69</v>
      </c>
      <c r="T1435" t="s">
        <v>8505</v>
      </c>
      <c r="U1435" t="s">
        <v>8506</v>
      </c>
      <c r="V1435" t="s">
        <v>69</v>
      </c>
      <c r="W1435" t="s">
        <v>69</v>
      </c>
      <c r="X1435" t="s">
        <v>69</v>
      </c>
      <c r="Y1435" t="s">
        <v>69</v>
      </c>
      <c r="Z1435" t="s">
        <v>69</v>
      </c>
      <c r="AA1435" t="s">
        <v>20265</v>
      </c>
      <c r="AB1435" t="s">
        <v>20266</v>
      </c>
      <c r="AC1435" t="s">
        <v>2608</v>
      </c>
      <c r="AD1435" t="s">
        <v>20267</v>
      </c>
      <c r="AE1435" t="s">
        <v>69</v>
      </c>
      <c r="AF1435" t="s">
        <v>20268</v>
      </c>
      <c r="AG1435" t="s">
        <v>20269</v>
      </c>
      <c r="AH1435" t="s">
        <v>2609</v>
      </c>
      <c r="AI1435" t="s">
        <v>20270</v>
      </c>
      <c r="AJ1435" t="s">
        <v>69</v>
      </c>
      <c r="AK1435" t="s">
        <v>69</v>
      </c>
      <c r="AL1435" t="s">
        <v>69</v>
      </c>
      <c r="AM1435" t="s">
        <v>69</v>
      </c>
      <c r="AN1435">
        <v>39</v>
      </c>
      <c r="AO1435">
        <v>3</v>
      </c>
      <c r="AP1435">
        <v>3</v>
      </c>
      <c r="AQ1435">
        <v>2</v>
      </c>
      <c r="AR1435">
        <v>13</v>
      </c>
      <c r="AS1435" t="s">
        <v>20271</v>
      </c>
      <c r="AT1435" t="s">
        <v>13701</v>
      </c>
      <c r="AU1435" t="s">
        <v>20272</v>
      </c>
      <c r="AV1435" t="s">
        <v>2610</v>
      </c>
      <c r="AW1435" t="s">
        <v>69</v>
      </c>
      <c r="AX1435" t="s">
        <v>69</v>
      </c>
      <c r="AY1435" t="s">
        <v>20273</v>
      </c>
      <c r="AZ1435" t="s">
        <v>20274</v>
      </c>
      <c r="BA1435" t="s">
        <v>155</v>
      </c>
      <c r="BB1435">
        <v>2017</v>
      </c>
      <c r="BC1435">
        <v>26</v>
      </c>
      <c r="BD1435">
        <v>2</v>
      </c>
      <c r="BE1435" t="s">
        <v>69</v>
      </c>
      <c r="BF1435" t="s">
        <v>69</v>
      </c>
      <c r="BG1435" t="s">
        <v>69</v>
      </c>
      <c r="BH1435" t="s">
        <v>69</v>
      </c>
      <c r="BI1435">
        <v>143</v>
      </c>
      <c r="BJ1435">
        <v>163</v>
      </c>
      <c r="BK1435" t="s">
        <v>69</v>
      </c>
      <c r="BL1435" t="s">
        <v>2611</v>
      </c>
      <c r="BM1435" t="str">
        <f>HYPERLINK("http://dx.doi.org/10.5559/di.26.2.01","http://dx.doi.org/10.5559/di.26.2.01")</f>
        <v>http://dx.doi.org/10.5559/di.26.2.01</v>
      </c>
      <c r="BN1435" t="s">
        <v>69</v>
      </c>
      <c r="BO1435" t="s">
        <v>69</v>
      </c>
      <c r="BP1435">
        <v>21</v>
      </c>
      <c r="BQ1435" t="s">
        <v>20275</v>
      </c>
      <c r="BR1435" t="s">
        <v>8661</v>
      </c>
      <c r="BS1435" t="s">
        <v>20275</v>
      </c>
      <c r="BT1435" t="s">
        <v>20276</v>
      </c>
      <c r="BU1435" t="s">
        <v>2612</v>
      </c>
      <c r="BV1435" t="s">
        <v>69</v>
      </c>
      <c r="BW1435" t="s">
        <v>9352</v>
      </c>
      <c r="BX1435" t="s">
        <v>69</v>
      </c>
      <c r="BY1435" t="s">
        <v>69</v>
      </c>
      <c r="BZ1435" t="s">
        <v>8526</v>
      </c>
      <c r="CA1435" t="str">
        <f>HYPERLINK("https%3A%2F%2Fwww.webofscience.com%2Fwos%2Fwoscc%2Ffull-record%2FWOS:000405183500001","View Full Record in Web of Science")</f>
        <v>View Full Record in Web of Science</v>
      </c>
    </row>
    <row r="1436" spans="1:79" ht="12.5" x14ac:dyDescent="0.25">
      <c r="B1436" t="s">
        <v>8495</v>
      </c>
      <c r="D1436" s="22" t="s">
        <v>32931</v>
      </c>
      <c r="E1436" s="7"/>
      <c r="F1436" s="7"/>
      <c r="G1436" s="7"/>
      <c r="H1436" t="s">
        <v>67</v>
      </c>
      <c r="I1436" t="s">
        <v>24343</v>
      </c>
      <c r="J1436" t="s">
        <v>69</v>
      </c>
      <c r="K1436" t="s">
        <v>69</v>
      </c>
      <c r="L1436" t="s">
        <v>69</v>
      </c>
      <c r="M1436" t="s">
        <v>24344</v>
      </c>
      <c r="N1436" t="s">
        <v>69</v>
      </c>
      <c r="O1436" t="s">
        <v>69</v>
      </c>
      <c r="P1436" t="s">
        <v>24345</v>
      </c>
      <c r="Q1436" t="s">
        <v>24346</v>
      </c>
      <c r="R1436" t="s">
        <v>69</v>
      </c>
      <c r="S1436" t="s">
        <v>69</v>
      </c>
      <c r="T1436" t="s">
        <v>24347</v>
      </c>
      <c r="U1436" t="s">
        <v>8506</v>
      </c>
      <c r="V1436" t="s">
        <v>69</v>
      </c>
      <c r="W1436" t="s">
        <v>69</v>
      </c>
      <c r="X1436" t="s">
        <v>69</v>
      </c>
      <c r="Y1436" t="s">
        <v>69</v>
      </c>
      <c r="Z1436" t="s">
        <v>69</v>
      </c>
      <c r="AA1436" t="s">
        <v>24348</v>
      </c>
      <c r="AB1436" t="s">
        <v>69</v>
      </c>
      <c r="AC1436" t="s">
        <v>24349</v>
      </c>
      <c r="AD1436" t="s">
        <v>24350</v>
      </c>
      <c r="AE1436" t="s">
        <v>69</v>
      </c>
      <c r="AF1436" t="s">
        <v>24351</v>
      </c>
      <c r="AG1436" t="s">
        <v>24352</v>
      </c>
      <c r="AH1436" t="s">
        <v>69</v>
      </c>
      <c r="AI1436" t="s">
        <v>69</v>
      </c>
      <c r="AJ1436" t="s">
        <v>69</v>
      </c>
      <c r="AK1436" t="s">
        <v>69</v>
      </c>
      <c r="AL1436" t="s">
        <v>69</v>
      </c>
      <c r="AM1436" t="s">
        <v>69</v>
      </c>
      <c r="AN1436">
        <v>40</v>
      </c>
      <c r="AO1436">
        <v>0</v>
      </c>
      <c r="AP1436">
        <v>0</v>
      </c>
      <c r="AQ1436">
        <v>0</v>
      </c>
      <c r="AR1436">
        <v>0</v>
      </c>
      <c r="AS1436" t="s">
        <v>24353</v>
      </c>
      <c r="AT1436" t="s">
        <v>15886</v>
      </c>
      <c r="AU1436" t="s">
        <v>24354</v>
      </c>
      <c r="AV1436" t="s">
        <v>24355</v>
      </c>
      <c r="AW1436" t="s">
        <v>24356</v>
      </c>
      <c r="AX1436" t="s">
        <v>69</v>
      </c>
      <c r="AY1436" t="s">
        <v>24357</v>
      </c>
      <c r="AZ1436" t="s">
        <v>24358</v>
      </c>
      <c r="BA1436" t="s">
        <v>69</v>
      </c>
      <c r="BB1436">
        <v>2014</v>
      </c>
      <c r="BC1436">
        <v>22</v>
      </c>
      <c r="BD1436">
        <v>1</v>
      </c>
      <c r="BE1436" t="s">
        <v>69</v>
      </c>
      <c r="BF1436" t="s">
        <v>69</v>
      </c>
      <c r="BG1436" t="s">
        <v>69</v>
      </c>
      <c r="BH1436" t="s">
        <v>69</v>
      </c>
      <c r="BI1436">
        <v>9</v>
      </c>
      <c r="BJ1436">
        <v>28</v>
      </c>
      <c r="BK1436" t="s">
        <v>69</v>
      </c>
      <c r="BL1436" t="s">
        <v>69</v>
      </c>
      <c r="BM1436" t="s">
        <v>69</v>
      </c>
      <c r="BN1436" t="s">
        <v>69</v>
      </c>
      <c r="BO1436" t="s">
        <v>69</v>
      </c>
      <c r="BP1436">
        <v>20</v>
      </c>
      <c r="BQ1436" t="s">
        <v>9290</v>
      </c>
      <c r="BR1436" t="s">
        <v>8573</v>
      </c>
      <c r="BS1436" t="s">
        <v>9290</v>
      </c>
      <c r="BT1436" t="s">
        <v>24359</v>
      </c>
      <c r="BU1436" t="s">
        <v>24360</v>
      </c>
      <c r="BV1436" t="s">
        <v>69</v>
      </c>
      <c r="BW1436" t="s">
        <v>69</v>
      </c>
      <c r="BX1436" t="s">
        <v>69</v>
      </c>
      <c r="BY1436" t="s">
        <v>69</v>
      </c>
      <c r="BZ1436" t="s">
        <v>8526</v>
      </c>
      <c r="CA1436" t="str">
        <f>HYPERLINK("https%3A%2F%2Fwww.webofscience.com%2Fwos%2Fwoscc%2Ffull-record%2FWOS:000438349300001","View Full Record in Web of Science")</f>
        <v>View Full Record in Web of Science</v>
      </c>
    </row>
    <row r="1437" spans="1:79" ht="12.5" x14ac:dyDescent="0.25">
      <c r="B1437" t="s">
        <v>8495</v>
      </c>
      <c r="D1437" s="22" t="s">
        <v>32931</v>
      </c>
      <c r="E1437" s="7"/>
      <c r="F1437" s="7"/>
      <c r="G1437" s="7"/>
      <c r="H1437" t="s">
        <v>67</v>
      </c>
      <c r="I1437" t="s">
        <v>13626</v>
      </c>
      <c r="J1437" t="s">
        <v>69</v>
      </c>
      <c r="K1437" t="s">
        <v>69</v>
      </c>
      <c r="L1437" t="s">
        <v>69</v>
      </c>
      <c r="M1437" t="s">
        <v>13627</v>
      </c>
      <c r="N1437" t="s">
        <v>69</v>
      </c>
      <c r="O1437" t="s">
        <v>69</v>
      </c>
      <c r="P1437" t="s">
        <v>13628</v>
      </c>
      <c r="Q1437" t="s">
        <v>13608</v>
      </c>
      <c r="R1437" t="s">
        <v>69</v>
      </c>
      <c r="S1437" t="s">
        <v>69</v>
      </c>
      <c r="T1437" t="s">
        <v>8505</v>
      </c>
      <c r="U1437" t="s">
        <v>8506</v>
      </c>
      <c r="V1437" t="s">
        <v>69</v>
      </c>
      <c r="W1437" t="s">
        <v>69</v>
      </c>
      <c r="X1437" t="s">
        <v>69</v>
      </c>
      <c r="Y1437" t="s">
        <v>69</v>
      </c>
      <c r="Z1437" t="s">
        <v>69</v>
      </c>
      <c r="AA1437" t="s">
        <v>13629</v>
      </c>
      <c r="AB1437" t="s">
        <v>69</v>
      </c>
      <c r="AC1437" t="s">
        <v>13630</v>
      </c>
      <c r="AD1437" t="s">
        <v>13631</v>
      </c>
      <c r="AE1437" t="s">
        <v>69</v>
      </c>
      <c r="AF1437" t="s">
        <v>13632</v>
      </c>
      <c r="AG1437" t="s">
        <v>13633</v>
      </c>
      <c r="AH1437" t="s">
        <v>13634</v>
      </c>
      <c r="AI1437" t="s">
        <v>13635</v>
      </c>
      <c r="AJ1437" t="s">
        <v>69</v>
      </c>
      <c r="AK1437" t="s">
        <v>69</v>
      </c>
      <c r="AL1437" t="s">
        <v>69</v>
      </c>
      <c r="AM1437" t="s">
        <v>69</v>
      </c>
      <c r="AN1437">
        <v>10</v>
      </c>
      <c r="AO1437">
        <v>31</v>
      </c>
      <c r="AP1437">
        <v>31</v>
      </c>
      <c r="AQ1437">
        <v>0</v>
      </c>
      <c r="AR1437">
        <v>0</v>
      </c>
      <c r="AS1437" t="s">
        <v>13617</v>
      </c>
      <c r="AT1437" t="s">
        <v>13618</v>
      </c>
      <c r="AU1437" t="s">
        <v>13619</v>
      </c>
      <c r="AV1437" t="s">
        <v>13620</v>
      </c>
      <c r="AW1437" t="s">
        <v>13621</v>
      </c>
      <c r="AX1437" t="s">
        <v>69</v>
      </c>
      <c r="AY1437" t="s">
        <v>13622</v>
      </c>
      <c r="AZ1437" t="s">
        <v>13623</v>
      </c>
      <c r="BA1437" t="s">
        <v>69</v>
      </c>
      <c r="BB1437">
        <v>2021</v>
      </c>
      <c r="BC1437">
        <v>3</v>
      </c>
      <c r="BD1437">
        <v>38</v>
      </c>
      <c r="BE1437" t="s">
        <v>69</v>
      </c>
      <c r="BF1437" t="s">
        <v>69</v>
      </c>
      <c r="BG1437" t="s">
        <v>69</v>
      </c>
      <c r="BH1437" t="s">
        <v>69</v>
      </c>
      <c r="BI1437">
        <v>538</v>
      </c>
      <c r="BJ1437">
        <v>548</v>
      </c>
      <c r="BK1437" t="s">
        <v>69</v>
      </c>
      <c r="BL1437" t="s">
        <v>69</v>
      </c>
      <c r="BM1437" t="s">
        <v>69</v>
      </c>
      <c r="BN1437" t="s">
        <v>69</v>
      </c>
      <c r="BO1437" t="s">
        <v>69</v>
      </c>
      <c r="BP1437">
        <v>11</v>
      </c>
      <c r="BQ1437" t="s">
        <v>9749</v>
      </c>
      <c r="BR1437" t="s">
        <v>8573</v>
      </c>
      <c r="BS1437" t="s">
        <v>8594</v>
      </c>
      <c r="BT1437" t="s">
        <v>13624</v>
      </c>
      <c r="BU1437" t="s">
        <v>13636</v>
      </c>
      <c r="BV1437" t="s">
        <v>69</v>
      </c>
      <c r="BW1437" t="s">
        <v>69</v>
      </c>
      <c r="BX1437" t="s">
        <v>69</v>
      </c>
      <c r="BY1437" t="s">
        <v>69</v>
      </c>
      <c r="BZ1437" t="s">
        <v>8526</v>
      </c>
      <c r="CA1437" t="str">
        <f>HYPERLINK("https%3A%2F%2Fwww.webofscience.com%2Fwos%2Fwoscc%2Ffull-record%2FWOS:000674620700053","View Full Record in Web of Science")</f>
        <v>View Full Record in Web of Science</v>
      </c>
    </row>
    <row r="1438" spans="1:79" ht="12.5" x14ac:dyDescent="0.25">
      <c r="B1438" t="s">
        <v>8495</v>
      </c>
      <c r="D1438" s="22" t="s">
        <v>32931</v>
      </c>
      <c r="E1438" s="7"/>
      <c r="F1438" s="7"/>
      <c r="G1438" s="7"/>
      <c r="H1438" t="s">
        <v>67</v>
      </c>
      <c r="I1438" t="s">
        <v>26048</v>
      </c>
      <c r="J1438" t="s">
        <v>69</v>
      </c>
      <c r="K1438" t="s">
        <v>69</v>
      </c>
      <c r="L1438" t="s">
        <v>69</v>
      </c>
      <c r="M1438" t="s">
        <v>26049</v>
      </c>
      <c r="N1438" t="s">
        <v>69</v>
      </c>
      <c r="O1438" t="s">
        <v>69</v>
      </c>
      <c r="P1438" t="s">
        <v>26050</v>
      </c>
      <c r="Q1438" t="s">
        <v>3592</v>
      </c>
      <c r="R1438" t="s">
        <v>69</v>
      </c>
      <c r="S1438" t="s">
        <v>69</v>
      </c>
      <c r="T1438" t="s">
        <v>8505</v>
      </c>
      <c r="U1438" t="s">
        <v>8506</v>
      </c>
      <c r="V1438" t="s">
        <v>69</v>
      </c>
      <c r="W1438" t="s">
        <v>69</v>
      </c>
      <c r="X1438" t="s">
        <v>69</v>
      </c>
      <c r="Y1438" t="s">
        <v>69</v>
      </c>
      <c r="Z1438" t="s">
        <v>69</v>
      </c>
      <c r="AA1438" t="s">
        <v>26051</v>
      </c>
      <c r="AB1438" t="s">
        <v>26052</v>
      </c>
      <c r="AC1438" t="s">
        <v>26053</v>
      </c>
      <c r="AD1438" t="s">
        <v>26054</v>
      </c>
      <c r="AE1438" t="s">
        <v>69</v>
      </c>
      <c r="AF1438" t="s">
        <v>26055</v>
      </c>
      <c r="AG1438" t="s">
        <v>26056</v>
      </c>
      <c r="AH1438" t="s">
        <v>26057</v>
      </c>
      <c r="AI1438" t="s">
        <v>26058</v>
      </c>
      <c r="AJ1438" t="s">
        <v>26059</v>
      </c>
      <c r="AK1438" t="s">
        <v>26060</v>
      </c>
      <c r="AL1438" t="s">
        <v>26061</v>
      </c>
      <c r="AM1438" t="s">
        <v>69</v>
      </c>
      <c r="AN1438">
        <v>53</v>
      </c>
      <c r="AO1438">
        <v>59</v>
      </c>
      <c r="AP1438">
        <v>60</v>
      </c>
      <c r="AQ1438">
        <v>2</v>
      </c>
      <c r="AR1438">
        <v>82</v>
      </c>
      <c r="AS1438" t="s">
        <v>8516</v>
      </c>
      <c r="AT1438" t="s">
        <v>8517</v>
      </c>
      <c r="AU1438" t="s">
        <v>8518</v>
      </c>
      <c r="AV1438" t="s">
        <v>3594</v>
      </c>
      <c r="AW1438" t="s">
        <v>3595</v>
      </c>
      <c r="AX1438" t="s">
        <v>69</v>
      </c>
      <c r="AY1438" t="s">
        <v>8519</v>
      </c>
      <c r="AZ1438" t="s">
        <v>8520</v>
      </c>
      <c r="BA1438" t="s">
        <v>26062</v>
      </c>
      <c r="BB1438">
        <v>2012</v>
      </c>
      <c r="BC1438">
        <v>105</v>
      </c>
      <c r="BD1438">
        <v>4</v>
      </c>
      <c r="BE1438" t="s">
        <v>69</v>
      </c>
      <c r="BF1438" t="s">
        <v>69</v>
      </c>
      <c r="BG1438" t="s">
        <v>69</v>
      </c>
      <c r="BH1438" t="s">
        <v>69</v>
      </c>
      <c r="BI1438">
        <v>347</v>
      </c>
      <c r="BJ1438">
        <v>360</v>
      </c>
      <c r="BK1438" t="s">
        <v>69</v>
      </c>
      <c r="BL1438" t="s">
        <v>26063</v>
      </c>
      <c r="BM1438" t="str">
        <f>HYPERLINK("http://dx.doi.org/10.1016/j.landurbplan.2011.12.024","http://dx.doi.org/10.1016/j.landurbplan.2011.12.024")</f>
        <v>http://dx.doi.org/10.1016/j.landurbplan.2011.12.024</v>
      </c>
      <c r="BN1438" t="s">
        <v>69</v>
      </c>
      <c r="BO1438" t="s">
        <v>69</v>
      </c>
      <c r="BP1438">
        <v>14</v>
      </c>
      <c r="BQ1438" t="s">
        <v>8522</v>
      </c>
      <c r="BR1438" t="s">
        <v>8523</v>
      </c>
      <c r="BS1438" t="s">
        <v>8524</v>
      </c>
      <c r="BT1438" t="s">
        <v>26064</v>
      </c>
      <c r="BU1438" t="s">
        <v>26065</v>
      </c>
      <c r="BV1438" t="s">
        <v>69</v>
      </c>
      <c r="BW1438" t="s">
        <v>69</v>
      </c>
      <c r="BX1438" t="s">
        <v>69</v>
      </c>
      <c r="BY1438" t="s">
        <v>69</v>
      </c>
      <c r="BZ1438" t="s">
        <v>8526</v>
      </c>
      <c r="CA1438" t="str">
        <f>HYPERLINK("https%3A%2F%2Fwww.webofscience.com%2Fwos%2Fwoscc%2Ffull-record%2FWOS:000302518000002","View Full Record in Web of Science")</f>
        <v>View Full Record in Web of Science</v>
      </c>
    </row>
    <row r="1439" spans="1:79" ht="12.5" x14ac:dyDescent="0.25">
      <c r="B1439" t="s">
        <v>8495</v>
      </c>
      <c r="D1439" s="22" t="s">
        <v>32931</v>
      </c>
      <c r="E1439" s="7"/>
      <c r="F1439" s="7"/>
      <c r="G1439" s="7"/>
      <c r="H1439" t="s">
        <v>67</v>
      </c>
      <c r="I1439" t="s">
        <v>8911</v>
      </c>
      <c r="J1439" t="s">
        <v>69</v>
      </c>
      <c r="K1439" t="s">
        <v>69</v>
      </c>
      <c r="L1439" t="s">
        <v>69</v>
      </c>
      <c r="M1439" t="s">
        <v>8912</v>
      </c>
      <c r="N1439" t="s">
        <v>69</v>
      </c>
      <c r="O1439" t="s">
        <v>69</v>
      </c>
      <c r="P1439" t="s">
        <v>8913</v>
      </c>
      <c r="Q1439" t="s">
        <v>8256</v>
      </c>
      <c r="R1439" t="s">
        <v>69</v>
      </c>
      <c r="S1439" t="s">
        <v>69</v>
      </c>
      <c r="T1439" t="s">
        <v>8505</v>
      </c>
      <c r="U1439" t="s">
        <v>8506</v>
      </c>
      <c r="V1439" t="s">
        <v>69</v>
      </c>
      <c r="W1439" t="s">
        <v>69</v>
      </c>
      <c r="X1439" t="s">
        <v>69</v>
      </c>
      <c r="Y1439" t="s">
        <v>69</v>
      </c>
      <c r="Z1439" t="s">
        <v>69</v>
      </c>
      <c r="AA1439" t="s">
        <v>8914</v>
      </c>
      <c r="AB1439" t="s">
        <v>8915</v>
      </c>
      <c r="AC1439" t="s">
        <v>8916</v>
      </c>
      <c r="AD1439" t="s">
        <v>8917</v>
      </c>
      <c r="AE1439" t="s">
        <v>69</v>
      </c>
      <c r="AF1439" t="s">
        <v>8918</v>
      </c>
      <c r="AG1439" t="s">
        <v>8919</v>
      </c>
      <c r="AH1439" t="s">
        <v>69</v>
      </c>
      <c r="AI1439" t="s">
        <v>8920</v>
      </c>
      <c r="AJ1439" t="s">
        <v>8921</v>
      </c>
      <c r="AK1439" t="s">
        <v>8922</v>
      </c>
      <c r="AL1439" t="s">
        <v>8923</v>
      </c>
      <c r="AM1439" t="s">
        <v>69</v>
      </c>
      <c r="AN1439">
        <v>66</v>
      </c>
      <c r="AO1439">
        <v>0</v>
      </c>
      <c r="AP1439">
        <v>0</v>
      </c>
      <c r="AQ1439">
        <v>4</v>
      </c>
      <c r="AR1439">
        <v>4</v>
      </c>
      <c r="AS1439" t="s">
        <v>8924</v>
      </c>
      <c r="AT1439" t="s">
        <v>8925</v>
      </c>
      <c r="AU1439" t="s">
        <v>8926</v>
      </c>
      <c r="AV1439" t="s">
        <v>69</v>
      </c>
      <c r="AW1439" t="s">
        <v>8258</v>
      </c>
      <c r="AX1439" t="s">
        <v>69</v>
      </c>
      <c r="AY1439" t="s">
        <v>8927</v>
      </c>
      <c r="AZ1439" t="s">
        <v>8928</v>
      </c>
      <c r="BA1439" t="s">
        <v>155</v>
      </c>
      <c r="BB1439">
        <v>2022</v>
      </c>
      <c r="BC1439">
        <v>11</v>
      </c>
      <c r="BD1439">
        <v>6</v>
      </c>
      <c r="BE1439" t="s">
        <v>69</v>
      </c>
      <c r="BF1439" t="s">
        <v>69</v>
      </c>
      <c r="BG1439" t="s">
        <v>69</v>
      </c>
      <c r="BH1439" t="s">
        <v>69</v>
      </c>
      <c r="BI1439" t="s">
        <v>69</v>
      </c>
      <c r="BJ1439" t="s">
        <v>69</v>
      </c>
      <c r="BK1439">
        <v>841</v>
      </c>
      <c r="BL1439" t="s">
        <v>8929</v>
      </c>
      <c r="BM1439" t="str">
        <f>HYPERLINK("http://dx.doi.org/10.3390/land11060841","http://dx.doi.org/10.3390/land11060841")</f>
        <v>http://dx.doi.org/10.3390/land11060841</v>
      </c>
      <c r="BN1439" t="s">
        <v>69</v>
      </c>
      <c r="BO1439" t="s">
        <v>69</v>
      </c>
      <c r="BP1439">
        <v>19</v>
      </c>
      <c r="BQ1439" t="s">
        <v>8660</v>
      </c>
      <c r="BR1439" t="s">
        <v>8661</v>
      </c>
      <c r="BS1439" t="s">
        <v>8662</v>
      </c>
      <c r="BT1439" t="s">
        <v>8930</v>
      </c>
      <c r="BU1439" t="s">
        <v>8932</v>
      </c>
      <c r="BV1439" t="s">
        <v>69</v>
      </c>
      <c r="BW1439" t="s">
        <v>8931</v>
      </c>
      <c r="BX1439" t="s">
        <v>69</v>
      </c>
      <c r="BY1439" t="s">
        <v>69</v>
      </c>
      <c r="BZ1439" t="s">
        <v>8526</v>
      </c>
      <c r="CA1439" t="str">
        <f>HYPERLINK("https%3A%2F%2Fwww.webofscience.com%2Fwos%2Fwoscc%2Ffull-record%2FWOS:000816339700001","View Full Record in Web of Science")</f>
        <v>View Full Record in Web of Science</v>
      </c>
    </row>
    <row r="1440" spans="1:79" ht="12.5" x14ac:dyDescent="0.25">
      <c r="B1440" t="s">
        <v>8495</v>
      </c>
      <c r="D1440" s="22" t="s">
        <v>32931</v>
      </c>
      <c r="E1440" s="7"/>
      <c r="F1440" s="7"/>
      <c r="G1440" s="7"/>
      <c r="H1440" t="s">
        <v>67</v>
      </c>
      <c r="I1440" t="s">
        <v>12384</v>
      </c>
      <c r="J1440" t="s">
        <v>69</v>
      </c>
      <c r="K1440" t="s">
        <v>69</v>
      </c>
      <c r="L1440" t="s">
        <v>69</v>
      </c>
      <c r="M1440" t="s">
        <v>12385</v>
      </c>
      <c r="N1440" t="s">
        <v>69</v>
      </c>
      <c r="O1440" t="s">
        <v>69</v>
      </c>
      <c r="P1440" t="s">
        <v>12386</v>
      </c>
      <c r="Q1440" t="s">
        <v>2365</v>
      </c>
      <c r="R1440" t="s">
        <v>69</v>
      </c>
      <c r="S1440" t="s">
        <v>69</v>
      </c>
      <c r="T1440" t="s">
        <v>8505</v>
      </c>
      <c r="U1440" t="s">
        <v>8506</v>
      </c>
      <c r="V1440" t="s">
        <v>69</v>
      </c>
      <c r="W1440" t="s">
        <v>69</v>
      </c>
      <c r="X1440" t="s">
        <v>69</v>
      </c>
      <c r="Y1440" t="s">
        <v>69</v>
      </c>
      <c r="Z1440" t="s">
        <v>69</v>
      </c>
      <c r="AA1440" t="s">
        <v>12387</v>
      </c>
      <c r="AB1440" t="s">
        <v>12388</v>
      </c>
      <c r="AC1440" t="s">
        <v>12389</v>
      </c>
      <c r="AD1440" t="s">
        <v>12390</v>
      </c>
      <c r="AE1440" t="s">
        <v>69</v>
      </c>
      <c r="AF1440" t="s">
        <v>12391</v>
      </c>
      <c r="AG1440" t="s">
        <v>12392</v>
      </c>
      <c r="AH1440" t="s">
        <v>69</v>
      </c>
      <c r="AI1440" t="s">
        <v>12393</v>
      </c>
      <c r="AJ1440" t="s">
        <v>12394</v>
      </c>
      <c r="AK1440" t="s">
        <v>12395</v>
      </c>
      <c r="AL1440" t="s">
        <v>12396</v>
      </c>
      <c r="AM1440" t="s">
        <v>69</v>
      </c>
      <c r="AN1440">
        <v>34</v>
      </c>
      <c r="AO1440">
        <v>1</v>
      </c>
      <c r="AP1440">
        <v>1</v>
      </c>
      <c r="AQ1440">
        <v>1</v>
      </c>
      <c r="AR1440">
        <v>3</v>
      </c>
      <c r="AS1440" t="s">
        <v>8636</v>
      </c>
      <c r="AT1440" t="s">
        <v>8637</v>
      </c>
      <c r="AU1440" t="s">
        <v>8638</v>
      </c>
      <c r="AV1440" t="s">
        <v>2368</v>
      </c>
      <c r="AW1440" t="s">
        <v>2369</v>
      </c>
      <c r="AX1440" t="s">
        <v>69</v>
      </c>
      <c r="AY1440" t="s">
        <v>12397</v>
      </c>
      <c r="AZ1440" t="s">
        <v>12398</v>
      </c>
      <c r="BA1440" t="s">
        <v>155</v>
      </c>
      <c r="BB1440">
        <v>2021</v>
      </c>
      <c r="BC1440">
        <v>8</v>
      </c>
      <c r="BD1440">
        <v>2</v>
      </c>
      <c r="BE1440" t="s">
        <v>69</v>
      </c>
      <c r="BF1440" t="s">
        <v>69</v>
      </c>
      <c r="BG1440" t="s">
        <v>69</v>
      </c>
      <c r="BH1440" t="s">
        <v>69</v>
      </c>
      <c r="BI1440" t="s">
        <v>69</v>
      </c>
      <c r="BJ1440" t="s">
        <v>69</v>
      </c>
      <c r="BK1440">
        <v>100896</v>
      </c>
      <c r="BL1440" t="s">
        <v>12399</v>
      </c>
      <c r="BM1440" t="str">
        <f>HYPERLINK("http://dx.doi.org/10.1016/j.exis.2021.100896","http://dx.doi.org/10.1016/j.exis.2021.100896")</f>
        <v>http://dx.doi.org/10.1016/j.exis.2021.100896</v>
      </c>
      <c r="BN1440" t="s">
        <v>69</v>
      </c>
      <c r="BO1440" t="s">
        <v>12312</v>
      </c>
      <c r="BP1440">
        <v>4</v>
      </c>
      <c r="BQ1440" t="s">
        <v>8660</v>
      </c>
      <c r="BR1440" t="s">
        <v>8661</v>
      </c>
      <c r="BS1440" t="s">
        <v>8662</v>
      </c>
      <c r="BT1440" t="s">
        <v>12400</v>
      </c>
      <c r="BU1440" t="s">
        <v>12401</v>
      </c>
      <c r="BV1440" t="s">
        <v>69</v>
      </c>
      <c r="BW1440" t="s">
        <v>69</v>
      </c>
      <c r="BX1440" t="s">
        <v>69</v>
      </c>
      <c r="BY1440" t="s">
        <v>69</v>
      </c>
      <c r="BZ1440" t="s">
        <v>8526</v>
      </c>
      <c r="CA1440" t="str">
        <f>HYPERLINK("https%3A%2F%2Fwww.webofscience.com%2Fwos%2Fwoscc%2Ffull-record%2FWOS:000644186300001","View Full Record in Web of Science")</f>
        <v>View Full Record in Web of Science</v>
      </c>
    </row>
    <row r="1441" spans="2:79" ht="12.5" x14ac:dyDescent="0.25">
      <c r="B1441" t="s">
        <v>8495</v>
      </c>
      <c r="D1441" s="7" t="s">
        <v>32933</v>
      </c>
      <c r="E1441" s="7"/>
      <c r="F1441" s="7"/>
      <c r="G1441" s="7"/>
      <c r="H1441" t="s">
        <v>67</v>
      </c>
      <c r="I1441" t="s">
        <v>6826</v>
      </c>
      <c r="J1441" t="s">
        <v>69</v>
      </c>
      <c r="K1441" t="s">
        <v>69</v>
      </c>
      <c r="L1441" t="s">
        <v>69</v>
      </c>
      <c r="M1441" t="s">
        <v>6827</v>
      </c>
      <c r="N1441" t="s">
        <v>69</v>
      </c>
      <c r="O1441" t="s">
        <v>69</v>
      </c>
      <c r="P1441" t="s">
        <v>6828</v>
      </c>
      <c r="Q1441" t="s">
        <v>436</v>
      </c>
      <c r="R1441" t="s">
        <v>69</v>
      </c>
      <c r="S1441" t="s">
        <v>69</v>
      </c>
      <c r="T1441" t="s">
        <v>8505</v>
      </c>
      <c r="U1441" t="s">
        <v>8506</v>
      </c>
      <c r="V1441" t="s">
        <v>69</v>
      </c>
      <c r="W1441" t="s">
        <v>69</v>
      </c>
      <c r="X1441" t="s">
        <v>69</v>
      </c>
      <c r="Y1441" t="s">
        <v>69</v>
      </c>
      <c r="Z1441" t="s">
        <v>69</v>
      </c>
      <c r="AA1441" t="s">
        <v>22783</v>
      </c>
      <c r="AB1441" t="s">
        <v>22784</v>
      </c>
      <c r="AC1441" t="s">
        <v>6829</v>
      </c>
      <c r="AD1441" t="s">
        <v>22785</v>
      </c>
      <c r="AE1441" t="s">
        <v>69</v>
      </c>
      <c r="AF1441" t="s">
        <v>22786</v>
      </c>
      <c r="AG1441" t="s">
        <v>22787</v>
      </c>
      <c r="AH1441" t="s">
        <v>22788</v>
      </c>
      <c r="AI1441" t="s">
        <v>22789</v>
      </c>
      <c r="AJ1441" t="s">
        <v>22790</v>
      </c>
      <c r="AK1441" t="s">
        <v>22791</v>
      </c>
      <c r="AL1441" t="s">
        <v>22792</v>
      </c>
      <c r="AM1441" t="s">
        <v>69</v>
      </c>
      <c r="AN1441">
        <v>45</v>
      </c>
      <c r="AO1441">
        <v>11</v>
      </c>
      <c r="AP1441">
        <v>11</v>
      </c>
      <c r="AQ1441">
        <v>2</v>
      </c>
      <c r="AR1441">
        <v>32</v>
      </c>
      <c r="AS1441" t="s">
        <v>8636</v>
      </c>
      <c r="AT1441" t="s">
        <v>8637</v>
      </c>
      <c r="AU1441" t="s">
        <v>8638</v>
      </c>
      <c r="AV1441" t="s">
        <v>440</v>
      </c>
      <c r="AW1441" t="s">
        <v>441</v>
      </c>
      <c r="AX1441" t="s">
        <v>69</v>
      </c>
      <c r="AY1441" t="s">
        <v>8639</v>
      </c>
      <c r="AZ1441" t="s">
        <v>8640</v>
      </c>
      <c r="BA1441" t="s">
        <v>636</v>
      </c>
      <c r="BB1441">
        <v>2015</v>
      </c>
      <c r="BC1441">
        <v>94</v>
      </c>
      <c r="BD1441" t="s">
        <v>69</v>
      </c>
      <c r="BE1441" t="s">
        <v>69</v>
      </c>
      <c r="BF1441" t="s">
        <v>69</v>
      </c>
      <c r="BG1441" t="s">
        <v>69</v>
      </c>
      <c r="BH1441" t="s">
        <v>69</v>
      </c>
      <c r="BI1441">
        <v>76</v>
      </c>
      <c r="BJ1441">
        <v>85</v>
      </c>
      <c r="BK1441" t="s">
        <v>69</v>
      </c>
      <c r="BL1441" t="s">
        <v>6830</v>
      </c>
      <c r="BM1441" t="str">
        <f>HYPERLINK("http://dx.doi.org/10.1016/j.jclepro.2015.01.078","http://dx.doi.org/10.1016/j.jclepro.2015.01.078")</f>
        <v>http://dx.doi.org/10.1016/j.jclepro.2015.01.078</v>
      </c>
      <c r="BN1441" t="s">
        <v>69</v>
      </c>
      <c r="BO1441" t="s">
        <v>69</v>
      </c>
      <c r="BP1441">
        <v>10</v>
      </c>
      <c r="BQ1441" t="s">
        <v>8643</v>
      </c>
      <c r="BR1441" t="s">
        <v>8523</v>
      </c>
      <c r="BS1441" t="s">
        <v>8644</v>
      </c>
      <c r="BT1441" t="s">
        <v>22793</v>
      </c>
      <c r="BU1441" t="s">
        <v>6831</v>
      </c>
      <c r="BV1441" t="s">
        <v>69</v>
      </c>
      <c r="BW1441" t="s">
        <v>69</v>
      </c>
      <c r="BX1441" t="s">
        <v>69</v>
      </c>
      <c r="BY1441" t="s">
        <v>69</v>
      </c>
      <c r="BZ1441" t="s">
        <v>8526</v>
      </c>
      <c r="CA1441" t="str">
        <f>HYPERLINK("https%3A%2F%2Fwww.webofscience.com%2Fwos%2Fwoscc%2Ffull-record%2FWOS:000353741400007","View Full Record in Web of Science")</f>
        <v>View Full Record in Web of Science</v>
      </c>
    </row>
    <row r="1442" spans="2:79" ht="12.5" x14ac:dyDescent="0.25">
      <c r="B1442" t="s">
        <v>8495</v>
      </c>
      <c r="D1442" s="22" t="s">
        <v>32931</v>
      </c>
      <c r="E1442" s="7"/>
      <c r="F1442" s="7"/>
      <c r="G1442" s="7"/>
      <c r="H1442" t="s">
        <v>67</v>
      </c>
      <c r="I1442" t="s">
        <v>25764</v>
      </c>
      <c r="J1442" t="s">
        <v>69</v>
      </c>
      <c r="K1442" t="s">
        <v>69</v>
      </c>
      <c r="L1442" t="s">
        <v>69</v>
      </c>
      <c r="M1442" t="s">
        <v>25765</v>
      </c>
      <c r="N1442" t="s">
        <v>69</v>
      </c>
      <c r="O1442" t="s">
        <v>69</v>
      </c>
      <c r="P1442" t="s">
        <v>25766</v>
      </c>
      <c r="Q1442" t="s">
        <v>14711</v>
      </c>
      <c r="R1442" t="s">
        <v>69</v>
      </c>
      <c r="S1442" t="s">
        <v>69</v>
      </c>
      <c r="T1442" t="s">
        <v>8505</v>
      </c>
      <c r="U1442" t="s">
        <v>8506</v>
      </c>
      <c r="V1442" t="s">
        <v>69</v>
      </c>
      <c r="W1442" t="s">
        <v>69</v>
      </c>
      <c r="X1442" t="s">
        <v>69</v>
      </c>
      <c r="Y1442" t="s">
        <v>69</v>
      </c>
      <c r="Z1442" t="s">
        <v>69</v>
      </c>
      <c r="AA1442" t="s">
        <v>69</v>
      </c>
      <c r="AB1442" t="s">
        <v>25767</v>
      </c>
      <c r="AC1442" t="s">
        <v>25768</v>
      </c>
      <c r="AD1442" t="s">
        <v>25769</v>
      </c>
      <c r="AE1442" t="s">
        <v>69</v>
      </c>
      <c r="AF1442" t="s">
        <v>25770</v>
      </c>
      <c r="AG1442" t="s">
        <v>25771</v>
      </c>
      <c r="AH1442" t="s">
        <v>69</v>
      </c>
      <c r="AI1442" t="s">
        <v>69</v>
      </c>
      <c r="AJ1442" t="s">
        <v>69</v>
      </c>
      <c r="AK1442" t="s">
        <v>69</v>
      </c>
      <c r="AL1442" t="s">
        <v>69</v>
      </c>
      <c r="AM1442" t="s">
        <v>69</v>
      </c>
      <c r="AN1442">
        <v>37</v>
      </c>
      <c r="AO1442">
        <v>14</v>
      </c>
      <c r="AP1442">
        <v>14</v>
      </c>
      <c r="AQ1442">
        <v>2</v>
      </c>
      <c r="AR1442">
        <v>72</v>
      </c>
      <c r="AS1442" t="s">
        <v>8865</v>
      </c>
      <c r="AT1442" t="s">
        <v>8612</v>
      </c>
      <c r="AU1442" t="s">
        <v>8866</v>
      </c>
      <c r="AV1442" t="s">
        <v>14720</v>
      </c>
      <c r="AW1442" t="s">
        <v>14721</v>
      </c>
      <c r="AX1442" t="s">
        <v>69</v>
      </c>
      <c r="AY1442" t="s">
        <v>14722</v>
      </c>
      <c r="AZ1442" t="s">
        <v>14723</v>
      </c>
      <c r="BA1442" t="s">
        <v>1206</v>
      </c>
      <c r="BB1442">
        <v>2012</v>
      </c>
      <c r="BC1442">
        <v>23</v>
      </c>
      <c r="BD1442">
        <v>6</v>
      </c>
      <c r="BE1442" t="s">
        <v>69</v>
      </c>
      <c r="BF1442" t="s">
        <v>69</v>
      </c>
      <c r="BG1442" t="s">
        <v>69</v>
      </c>
      <c r="BH1442" t="s">
        <v>69</v>
      </c>
      <c r="BI1442">
        <v>919</v>
      </c>
      <c r="BJ1442">
        <v>944</v>
      </c>
      <c r="BK1442" t="s">
        <v>69</v>
      </c>
      <c r="BL1442" t="s">
        <v>25772</v>
      </c>
      <c r="BM1442" t="str">
        <f>HYPERLINK("http://dx.doi.org/10.1080/10409289.2011.626387","http://dx.doi.org/10.1080/10409289.2011.626387")</f>
        <v>http://dx.doi.org/10.1080/10409289.2011.626387</v>
      </c>
      <c r="BN1442" t="s">
        <v>69</v>
      </c>
      <c r="BO1442" t="s">
        <v>69</v>
      </c>
      <c r="BP1442">
        <v>26</v>
      </c>
      <c r="BQ1442" t="s">
        <v>14725</v>
      </c>
      <c r="BR1442" t="s">
        <v>8661</v>
      </c>
      <c r="BS1442" t="s">
        <v>14726</v>
      </c>
      <c r="BT1442" t="s">
        <v>25773</v>
      </c>
      <c r="BU1442" t="s">
        <v>25774</v>
      </c>
      <c r="BV1442" t="s">
        <v>69</v>
      </c>
      <c r="BW1442" t="s">
        <v>69</v>
      </c>
      <c r="BX1442" t="s">
        <v>69</v>
      </c>
      <c r="BY1442" t="s">
        <v>69</v>
      </c>
      <c r="BZ1442" t="s">
        <v>8526</v>
      </c>
      <c r="CA1442" t="str">
        <f>HYPERLINK("https%3A%2F%2Fwww.webofscience.com%2Fwos%2Fwoscc%2Ffull-record%2FWOS:000315220400005","View Full Record in Web of Science")</f>
        <v>View Full Record in Web of Science</v>
      </c>
    </row>
    <row r="1443" spans="2:79" ht="12.5" x14ac:dyDescent="0.25">
      <c r="B1443" t="s">
        <v>8495</v>
      </c>
      <c r="D1443" s="22" t="s">
        <v>32931</v>
      </c>
      <c r="E1443" s="7"/>
      <c r="F1443" s="7"/>
      <c r="G1443" s="7"/>
      <c r="H1443" t="s">
        <v>67</v>
      </c>
      <c r="I1443" t="s">
        <v>13586</v>
      </c>
      <c r="J1443" t="s">
        <v>69</v>
      </c>
      <c r="K1443" t="s">
        <v>69</v>
      </c>
      <c r="L1443" t="s">
        <v>69</v>
      </c>
      <c r="M1443" t="s">
        <v>13587</v>
      </c>
      <c r="N1443" t="s">
        <v>69</v>
      </c>
      <c r="O1443" t="s">
        <v>69</v>
      </c>
      <c r="P1443" t="s">
        <v>13588</v>
      </c>
      <c r="Q1443" t="s">
        <v>13589</v>
      </c>
      <c r="R1443" t="s">
        <v>69</v>
      </c>
      <c r="S1443" t="s">
        <v>69</v>
      </c>
      <c r="T1443" t="s">
        <v>8505</v>
      </c>
      <c r="U1443" t="s">
        <v>8506</v>
      </c>
      <c r="V1443" t="s">
        <v>69</v>
      </c>
      <c r="W1443" t="s">
        <v>69</v>
      </c>
      <c r="X1443" t="s">
        <v>69</v>
      </c>
      <c r="Y1443" t="s">
        <v>69</v>
      </c>
      <c r="Z1443" t="s">
        <v>69</v>
      </c>
      <c r="AA1443" t="s">
        <v>13590</v>
      </c>
      <c r="AB1443" t="s">
        <v>13591</v>
      </c>
      <c r="AC1443" t="s">
        <v>13592</v>
      </c>
      <c r="AD1443" t="s">
        <v>13593</v>
      </c>
      <c r="AE1443" t="s">
        <v>69</v>
      </c>
      <c r="AF1443" t="s">
        <v>13594</v>
      </c>
      <c r="AG1443" t="s">
        <v>13595</v>
      </c>
      <c r="AH1443" t="s">
        <v>13596</v>
      </c>
      <c r="AI1443" t="s">
        <v>13597</v>
      </c>
      <c r="AJ1443" t="s">
        <v>69</v>
      </c>
      <c r="AK1443" t="s">
        <v>69</v>
      </c>
      <c r="AL1443" t="s">
        <v>69</v>
      </c>
      <c r="AM1443" t="s">
        <v>69</v>
      </c>
      <c r="AN1443">
        <v>80</v>
      </c>
      <c r="AO1443">
        <v>11</v>
      </c>
      <c r="AP1443">
        <v>11</v>
      </c>
      <c r="AQ1443">
        <v>14</v>
      </c>
      <c r="AR1443">
        <v>21</v>
      </c>
      <c r="AS1443" t="s">
        <v>8586</v>
      </c>
      <c r="AT1443" t="s">
        <v>8587</v>
      </c>
      <c r="AU1443" t="s">
        <v>8588</v>
      </c>
      <c r="AV1443" t="s">
        <v>13598</v>
      </c>
      <c r="AW1443" t="s">
        <v>13599</v>
      </c>
      <c r="AX1443" t="s">
        <v>69</v>
      </c>
      <c r="AY1443" t="s">
        <v>13600</v>
      </c>
      <c r="AZ1443" t="s">
        <v>13601</v>
      </c>
      <c r="BA1443" t="s">
        <v>69</v>
      </c>
      <c r="BB1443">
        <v>2021</v>
      </c>
      <c r="BC1443">
        <v>33</v>
      </c>
      <c r="BD1443">
        <v>7</v>
      </c>
      <c r="BE1443" t="s">
        <v>69</v>
      </c>
      <c r="BF1443" t="s">
        <v>69</v>
      </c>
      <c r="BG1443" t="s">
        <v>69</v>
      </c>
      <c r="BH1443" t="s">
        <v>69</v>
      </c>
      <c r="BI1443">
        <v>39</v>
      </c>
      <c r="BJ1443">
        <v>56</v>
      </c>
      <c r="BK1443" t="s">
        <v>69</v>
      </c>
      <c r="BL1443" t="s">
        <v>13602</v>
      </c>
      <c r="BM1443" t="str">
        <f>HYPERLINK("http://dx.doi.org/10.1108/TQM-08-2020-0180","http://dx.doi.org/10.1108/TQM-08-2020-0180")</f>
        <v>http://dx.doi.org/10.1108/TQM-08-2020-0180</v>
      </c>
      <c r="BN1443" t="s">
        <v>69</v>
      </c>
      <c r="BO1443" t="s">
        <v>69</v>
      </c>
      <c r="BP1443">
        <v>18</v>
      </c>
      <c r="BQ1443" t="s">
        <v>9410</v>
      </c>
      <c r="BR1443" t="s">
        <v>8573</v>
      </c>
      <c r="BS1443" t="s">
        <v>8594</v>
      </c>
      <c r="BT1443" t="s">
        <v>13603</v>
      </c>
      <c r="BU1443" t="s">
        <v>13604</v>
      </c>
      <c r="BV1443" t="s">
        <v>69</v>
      </c>
      <c r="BW1443" t="s">
        <v>8622</v>
      </c>
      <c r="BX1443" t="s">
        <v>69</v>
      </c>
      <c r="BY1443" t="s">
        <v>69</v>
      </c>
      <c r="BZ1443" t="s">
        <v>8526</v>
      </c>
      <c r="CA1443" t="str">
        <f>HYPERLINK("https%3A%2F%2Fwww.webofscience.com%2Fwos%2Fwoscc%2Ffull-record%2FWOS:000680854700002","View Full Record in Web of Science")</f>
        <v>View Full Record in Web of Science</v>
      </c>
    </row>
    <row r="1444" spans="2:79" ht="12.5" x14ac:dyDescent="0.25">
      <c r="B1444" t="s">
        <v>8495</v>
      </c>
      <c r="D1444" s="22" t="s">
        <v>32931</v>
      </c>
      <c r="E1444" s="7"/>
      <c r="F1444" s="7"/>
      <c r="G1444" s="7"/>
      <c r="H1444" t="s">
        <v>67</v>
      </c>
      <c r="I1444" t="s">
        <v>32194</v>
      </c>
      <c r="J1444" t="s">
        <v>69</v>
      </c>
      <c r="K1444" t="s">
        <v>69</v>
      </c>
      <c r="L1444" t="s">
        <v>69</v>
      </c>
      <c r="M1444" t="s">
        <v>32194</v>
      </c>
      <c r="N1444" t="s">
        <v>69</v>
      </c>
      <c r="O1444" t="s">
        <v>69</v>
      </c>
      <c r="P1444" t="s">
        <v>32195</v>
      </c>
      <c r="Q1444" t="s">
        <v>32196</v>
      </c>
      <c r="R1444" t="s">
        <v>69</v>
      </c>
      <c r="S1444" t="s">
        <v>69</v>
      </c>
      <c r="T1444" t="s">
        <v>8505</v>
      </c>
      <c r="U1444" t="s">
        <v>8506</v>
      </c>
      <c r="V1444" t="s">
        <v>69</v>
      </c>
      <c r="W1444" t="s">
        <v>69</v>
      </c>
      <c r="X1444" t="s">
        <v>69</v>
      </c>
      <c r="Y1444" t="s">
        <v>69</v>
      </c>
      <c r="Z1444" t="s">
        <v>69</v>
      </c>
      <c r="AA1444" t="s">
        <v>69</v>
      </c>
      <c r="AB1444" t="s">
        <v>10571</v>
      </c>
      <c r="AC1444" t="s">
        <v>32197</v>
      </c>
      <c r="AD1444" t="s">
        <v>32198</v>
      </c>
      <c r="AE1444" t="s">
        <v>69</v>
      </c>
      <c r="AF1444" t="s">
        <v>32199</v>
      </c>
      <c r="AG1444" t="s">
        <v>69</v>
      </c>
      <c r="AH1444" t="s">
        <v>69</v>
      </c>
      <c r="AI1444" t="s">
        <v>69</v>
      </c>
      <c r="AJ1444" t="s">
        <v>69</v>
      </c>
      <c r="AK1444" t="s">
        <v>69</v>
      </c>
      <c r="AL1444" t="s">
        <v>69</v>
      </c>
      <c r="AM1444" t="s">
        <v>69</v>
      </c>
      <c r="AN1444">
        <v>79</v>
      </c>
      <c r="AO1444">
        <v>8</v>
      </c>
      <c r="AP1444">
        <v>8</v>
      </c>
      <c r="AQ1444">
        <v>1</v>
      </c>
      <c r="AR1444">
        <v>7</v>
      </c>
      <c r="AS1444" t="s">
        <v>29915</v>
      </c>
      <c r="AT1444" t="s">
        <v>29916</v>
      </c>
      <c r="AU1444" t="s">
        <v>29917</v>
      </c>
      <c r="AV1444" t="s">
        <v>32200</v>
      </c>
      <c r="AW1444" t="s">
        <v>69</v>
      </c>
      <c r="AX1444" t="s">
        <v>69</v>
      </c>
      <c r="AY1444" t="s">
        <v>32201</v>
      </c>
      <c r="AZ1444" t="s">
        <v>32202</v>
      </c>
      <c r="BA1444" t="s">
        <v>263</v>
      </c>
      <c r="BB1444">
        <v>1997</v>
      </c>
      <c r="BC1444">
        <v>22</v>
      </c>
      <c r="BD1444">
        <v>4</v>
      </c>
      <c r="BE1444" t="s">
        <v>69</v>
      </c>
      <c r="BF1444" t="s">
        <v>69</v>
      </c>
      <c r="BG1444" t="s">
        <v>69</v>
      </c>
      <c r="BH1444" t="s">
        <v>69</v>
      </c>
      <c r="BI1444">
        <v>457</v>
      </c>
      <c r="BJ1444">
        <v>479</v>
      </c>
      <c r="BK1444" t="s">
        <v>69</v>
      </c>
      <c r="BL1444" t="s">
        <v>32203</v>
      </c>
      <c r="BM1444" t="str">
        <f>HYPERLINK("http://dx.doi.org/10.2307/3341693","http://dx.doi.org/10.2307/3341693")</f>
        <v>http://dx.doi.org/10.2307/3341693</v>
      </c>
      <c r="BN1444" t="s">
        <v>69</v>
      </c>
      <c r="BO1444" t="s">
        <v>69</v>
      </c>
      <c r="BP1444">
        <v>23</v>
      </c>
      <c r="BQ1444" t="s">
        <v>12930</v>
      </c>
      <c r="BR1444" t="s">
        <v>8661</v>
      </c>
      <c r="BS1444" t="s">
        <v>12930</v>
      </c>
      <c r="BT1444" t="s">
        <v>32204</v>
      </c>
      <c r="BU1444" t="s">
        <v>32205</v>
      </c>
      <c r="BV1444" t="s">
        <v>69</v>
      </c>
      <c r="BW1444" t="s">
        <v>69</v>
      </c>
      <c r="BX1444" t="s">
        <v>69</v>
      </c>
      <c r="BY1444" t="s">
        <v>69</v>
      </c>
      <c r="BZ1444" t="s">
        <v>8526</v>
      </c>
      <c r="CA1444" t="str">
        <f>HYPERLINK("https%3A%2F%2Fwww.webofscience.com%2Fwos%2Fwoscc%2Ffull-record%2FWOS:000072022300003","View Full Record in Web of Science")</f>
        <v>View Full Record in Web of Science</v>
      </c>
    </row>
    <row r="1445" spans="2:79" ht="12.5" x14ac:dyDescent="0.25">
      <c r="B1445" t="s">
        <v>8495</v>
      </c>
      <c r="D1445" s="7" t="s">
        <v>32933</v>
      </c>
      <c r="E1445" s="7"/>
      <c r="F1445" s="7"/>
      <c r="G1445" s="7"/>
      <c r="H1445" t="s">
        <v>627</v>
      </c>
      <c r="I1445" t="s">
        <v>1748</v>
      </c>
      <c r="J1445" t="s">
        <v>69</v>
      </c>
      <c r="K1445" t="s">
        <v>1749</v>
      </c>
      <c r="L1445" t="s">
        <v>69</v>
      </c>
      <c r="M1445" t="s">
        <v>1748</v>
      </c>
      <c r="N1445" t="s">
        <v>69</v>
      </c>
      <c r="O1445" t="s">
        <v>69</v>
      </c>
      <c r="P1445" t="s">
        <v>1750</v>
      </c>
      <c r="Q1445" t="s">
        <v>1751</v>
      </c>
      <c r="R1445" t="s">
        <v>1752</v>
      </c>
      <c r="S1445" t="s">
        <v>69</v>
      </c>
      <c r="T1445" t="s">
        <v>8505</v>
      </c>
      <c r="U1445" t="s">
        <v>15797</v>
      </c>
      <c r="V1445" t="s">
        <v>1753</v>
      </c>
      <c r="W1445" t="s">
        <v>1754</v>
      </c>
      <c r="X1445" t="s">
        <v>1755</v>
      </c>
      <c r="Y1445" t="s">
        <v>69</v>
      </c>
      <c r="Z1445" t="s">
        <v>69</v>
      </c>
      <c r="AA1445" t="s">
        <v>31874</v>
      </c>
      <c r="AB1445" t="s">
        <v>69</v>
      </c>
      <c r="AC1445" t="s">
        <v>1756</v>
      </c>
      <c r="AD1445" t="s">
        <v>31875</v>
      </c>
      <c r="AE1445" t="s">
        <v>69</v>
      </c>
      <c r="AF1445" t="s">
        <v>31876</v>
      </c>
      <c r="AG1445" t="s">
        <v>69</v>
      </c>
      <c r="AH1445" t="s">
        <v>1757</v>
      </c>
      <c r="AI1445" t="s">
        <v>1758</v>
      </c>
      <c r="AJ1445" t="s">
        <v>69</v>
      </c>
      <c r="AK1445" t="s">
        <v>69</v>
      </c>
      <c r="AL1445" t="s">
        <v>69</v>
      </c>
      <c r="AM1445" t="s">
        <v>69</v>
      </c>
      <c r="AN1445">
        <v>20</v>
      </c>
      <c r="AO1445">
        <v>1</v>
      </c>
      <c r="AP1445">
        <v>1</v>
      </c>
      <c r="AQ1445">
        <v>0</v>
      </c>
      <c r="AR1445">
        <v>4</v>
      </c>
      <c r="AS1445" t="s">
        <v>30409</v>
      </c>
      <c r="AT1445" t="s">
        <v>11361</v>
      </c>
      <c r="AU1445" t="s">
        <v>30410</v>
      </c>
      <c r="AV1445" t="s">
        <v>1759</v>
      </c>
      <c r="AW1445" t="s">
        <v>69</v>
      </c>
      <c r="AX1445" t="s">
        <v>1760</v>
      </c>
      <c r="AY1445" t="s">
        <v>31877</v>
      </c>
      <c r="AZ1445" t="s">
        <v>69</v>
      </c>
      <c r="BA1445" t="s">
        <v>69</v>
      </c>
      <c r="BB1445">
        <v>2000</v>
      </c>
      <c r="BC1445">
        <v>487</v>
      </c>
      <c r="BD1445" t="s">
        <v>69</v>
      </c>
      <c r="BE1445" t="s">
        <v>69</v>
      </c>
      <c r="BF1445" t="s">
        <v>69</v>
      </c>
      <c r="BG1445" t="s">
        <v>69</v>
      </c>
      <c r="BH1445" t="s">
        <v>69</v>
      </c>
      <c r="BI1445">
        <v>445</v>
      </c>
      <c r="BJ1445">
        <v>457</v>
      </c>
      <c r="BK1445" t="s">
        <v>69</v>
      </c>
      <c r="BL1445" t="s">
        <v>69</v>
      </c>
      <c r="BM1445" t="s">
        <v>69</v>
      </c>
      <c r="BN1445" t="s">
        <v>69</v>
      </c>
      <c r="BO1445" t="s">
        <v>69</v>
      </c>
      <c r="BP1445">
        <v>13</v>
      </c>
      <c r="BQ1445" t="s">
        <v>31878</v>
      </c>
      <c r="BR1445" t="s">
        <v>31879</v>
      </c>
      <c r="BS1445" t="s">
        <v>31880</v>
      </c>
      <c r="BT1445" t="s">
        <v>31881</v>
      </c>
      <c r="BU1445" t="s">
        <v>1761</v>
      </c>
      <c r="BV1445" t="s">
        <v>69</v>
      </c>
      <c r="BW1445" t="s">
        <v>69</v>
      </c>
      <c r="BX1445" t="s">
        <v>69</v>
      </c>
      <c r="BY1445" t="s">
        <v>69</v>
      </c>
      <c r="BZ1445" t="s">
        <v>8526</v>
      </c>
      <c r="CA1445" t="str">
        <f>HYPERLINK("https%3A%2F%2Fwww.webofscience.com%2Fwos%2Fwoscc%2Ffull-record%2FWOS:000089141200039","View Full Record in Web of Science")</f>
        <v>View Full Record in Web of Science</v>
      </c>
    </row>
    <row r="1446" spans="2:79" ht="12.5" x14ac:dyDescent="0.25">
      <c r="B1446" t="s">
        <v>8495</v>
      </c>
      <c r="D1446" s="22" t="s">
        <v>32931</v>
      </c>
      <c r="E1446" s="7"/>
      <c r="F1446" s="7"/>
      <c r="G1446" s="7"/>
      <c r="H1446" t="s">
        <v>67</v>
      </c>
      <c r="I1446" t="s">
        <v>10997</v>
      </c>
      <c r="J1446" t="s">
        <v>69</v>
      </c>
      <c r="K1446" t="s">
        <v>69</v>
      </c>
      <c r="L1446" t="s">
        <v>69</v>
      </c>
      <c r="M1446" t="s">
        <v>10998</v>
      </c>
      <c r="N1446" t="s">
        <v>69</v>
      </c>
      <c r="O1446" t="s">
        <v>69</v>
      </c>
      <c r="P1446" t="s">
        <v>10999</v>
      </c>
      <c r="Q1446" t="s">
        <v>2517</v>
      </c>
      <c r="R1446" t="s">
        <v>69</v>
      </c>
      <c r="S1446" t="s">
        <v>69</v>
      </c>
      <c r="T1446" t="s">
        <v>8505</v>
      </c>
      <c r="U1446" t="s">
        <v>8506</v>
      </c>
      <c r="V1446" t="s">
        <v>69</v>
      </c>
      <c r="W1446" t="s">
        <v>69</v>
      </c>
      <c r="X1446" t="s">
        <v>69</v>
      </c>
      <c r="Y1446" t="s">
        <v>69</v>
      </c>
      <c r="Z1446" t="s">
        <v>69</v>
      </c>
      <c r="AA1446" t="s">
        <v>11000</v>
      </c>
      <c r="AB1446" t="s">
        <v>11001</v>
      </c>
      <c r="AC1446" t="s">
        <v>11002</v>
      </c>
      <c r="AD1446" t="s">
        <v>11003</v>
      </c>
      <c r="AE1446" t="s">
        <v>69</v>
      </c>
      <c r="AF1446" t="s">
        <v>11004</v>
      </c>
      <c r="AG1446" t="s">
        <v>11005</v>
      </c>
      <c r="AH1446" t="s">
        <v>69</v>
      </c>
      <c r="AI1446" t="s">
        <v>69</v>
      </c>
      <c r="AJ1446" t="s">
        <v>69</v>
      </c>
      <c r="AK1446" t="s">
        <v>69</v>
      </c>
      <c r="AL1446" t="s">
        <v>69</v>
      </c>
      <c r="AM1446" t="s">
        <v>69</v>
      </c>
      <c r="AN1446">
        <v>51</v>
      </c>
      <c r="AO1446">
        <v>1</v>
      </c>
      <c r="AP1446">
        <v>1</v>
      </c>
      <c r="AQ1446">
        <v>2</v>
      </c>
      <c r="AR1446">
        <v>2</v>
      </c>
      <c r="AS1446" t="s">
        <v>8586</v>
      </c>
      <c r="AT1446" t="s">
        <v>8587</v>
      </c>
      <c r="AU1446" t="s">
        <v>8588</v>
      </c>
      <c r="AV1446" t="s">
        <v>2519</v>
      </c>
      <c r="AW1446" t="s">
        <v>2520</v>
      </c>
      <c r="AX1446" t="s">
        <v>69</v>
      </c>
      <c r="AY1446" t="s">
        <v>11006</v>
      </c>
      <c r="AZ1446" t="s">
        <v>11007</v>
      </c>
      <c r="BA1446" t="s">
        <v>11008</v>
      </c>
      <c r="BB1446">
        <v>2021</v>
      </c>
      <c r="BC1446">
        <v>23</v>
      </c>
      <c r="BD1446">
        <v>5</v>
      </c>
      <c r="BE1446" t="s">
        <v>69</v>
      </c>
      <c r="BF1446" t="s">
        <v>69</v>
      </c>
      <c r="BG1446" t="s">
        <v>69</v>
      </c>
      <c r="BH1446" t="s">
        <v>69</v>
      </c>
      <c r="BI1446">
        <v>475</v>
      </c>
      <c r="BJ1446">
        <v>488</v>
      </c>
      <c r="BK1446" t="s">
        <v>69</v>
      </c>
      <c r="BL1446" t="s">
        <v>11009</v>
      </c>
      <c r="BM1446" t="str">
        <f>HYPERLINK("http://dx.doi.org/10.1108/DPRG-03-2021-0047","http://dx.doi.org/10.1108/DPRG-03-2021-0047")</f>
        <v>http://dx.doi.org/10.1108/DPRG-03-2021-0047</v>
      </c>
      <c r="BN1446" t="s">
        <v>69</v>
      </c>
      <c r="BO1446" t="s">
        <v>10991</v>
      </c>
      <c r="BP1446">
        <v>14</v>
      </c>
      <c r="BQ1446" t="s">
        <v>11010</v>
      </c>
      <c r="BR1446" t="s">
        <v>8573</v>
      </c>
      <c r="BS1446" t="s">
        <v>11010</v>
      </c>
      <c r="BT1446" t="s">
        <v>11011</v>
      </c>
      <c r="BU1446" t="s">
        <v>11012</v>
      </c>
      <c r="BV1446" t="s">
        <v>69</v>
      </c>
      <c r="BW1446" t="s">
        <v>69</v>
      </c>
      <c r="BX1446" t="s">
        <v>69</v>
      </c>
      <c r="BY1446" t="s">
        <v>69</v>
      </c>
      <c r="BZ1446" t="s">
        <v>8526</v>
      </c>
      <c r="CA1446" t="str">
        <f>HYPERLINK("https%3A%2F%2Fwww.webofscience.com%2Fwos%2Fwoscc%2Ffull-record%2FWOS:000710657400001","View Full Record in Web of Science")</f>
        <v>View Full Record in Web of Science</v>
      </c>
    </row>
    <row r="1447" spans="2:79" ht="12.5" x14ac:dyDescent="0.25">
      <c r="B1447" t="s">
        <v>8495</v>
      </c>
      <c r="D1447" s="7" t="s">
        <v>32933</v>
      </c>
      <c r="E1447" s="7"/>
      <c r="F1447" s="7"/>
      <c r="G1447" s="7"/>
      <c r="H1447" t="s">
        <v>67</v>
      </c>
      <c r="I1447" t="s">
        <v>629</v>
      </c>
      <c r="J1447" t="s">
        <v>69</v>
      </c>
      <c r="K1447" t="s">
        <v>69</v>
      </c>
      <c r="L1447" t="s">
        <v>69</v>
      </c>
      <c r="M1447" t="s">
        <v>630</v>
      </c>
      <c r="N1447" t="s">
        <v>69</v>
      </c>
      <c r="O1447" t="s">
        <v>69</v>
      </c>
      <c r="P1447" t="s">
        <v>631</v>
      </c>
      <c r="Q1447" t="s">
        <v>632</v>
      </c>
      <c r="R1447" t="s">
        <v>69</v>
      </c>
      <c r="S1447" t="s">
        <v>69</v>
      </c>
      <c r="T1447" t="s">
        <v>8505</v>
      </c>
      <c r="U1447" t="s">
        <v>8506</v>
      </c>
      <c r="V1447" t="s">
        <v>69</v>
      </c>
      <c r="W1447" t="s">
        <v>69</v>
      </c>
      <c r="X1447" t="s">
        <v>69</v>
      </c>
      <c r="Y1447" t="s">
        <v>69</v>
      </c>
      <c r="Z1447" t="s">
        <v>69</v>
      </c>
      <c r="AA1447" t="s">
        <v>18934</v>
      </c>
      <c r="AB1447" t="s">
        <v>69</v>
      </c>
      <c r="AC1447" t="s">
        <v>633</v>
      </c>
      <c r="AD1447" t="s">
        <v>18935</v>
      </c>
      <c r="AE1447" t="s">
        <v>69</v>
      </c>
      <c r="AF1447" t="s">
        <v>18936</v>
      </c>
      <c r="AG1447" t="s">
        <v>18937</v>
      </c>
      <c r="AH1447" t="s">
        <v>18938</v>
      </c>
      <c r="AI1447" t="s">
        <v>18939</v>
      </c>
      <c r="AJ1447" t="s">
        <v>18940</v>
      </c>
      <c r="AK1447" t="s">
        <v>18941</v>
      </c>
      <c r="AL1447" t="s">
        <v>18942</v>
      </c>
      <c r="AM1447" t="s">
        <v>69</v>
      </c>
      <c r="AN1447">
        <v>22</v>
      </c>
      <c r="AO1447">
        <v>4</v>
      </c>
      <c r="AP1447">
        <v>4</v>
      </c>
      <c r="AQ1447">
        <v>0</v>
      </c>
      <c r="AR1447">
        <v>16</v>
      </c>
      <c r="AS1447" t="s">
        <v>8516</v>
      </c>
      <c r="AT1447" t="s">
        <v>8517</v>
      </c>
      <c r="AU1447" t="s">
        <v>8518</v>
      </c>
      <c r="AV1447" t="s">
        <v>634</v>
      </c>
      <c r="AW1447" t="s">
        <v>635</v>
      </c>
      <c r="AX1447" t="s">
        <v>69</v>
      </c>
      <c r="AY1447" t="s">
        <v>8714</v>
      </c>
      <c r="AZ1447" t="s">
        <v>8715</v>
      </c>
      <c r="BA1447" t="s">
        <v>636</v>
      </c>
      <c r="BB1447">
        <v>2018</v>
      </c>
      <c r="BC1447">
        <v>622</v>
      </c>
      <c r="BD1447" t="s">
        <v>69</v>
      </c>
      <c r="BE1447" t="s">
        <v>69</v>
      </c>
      <c r="BF1447" t="s">
        <v>69</v>
      </c>
      <c r="BG1447" t="s">
        <v>69</v>
      </c>
      <c r="BH1447" t="s">
        <v>69</v>
      </c>
      <c r="BI1447">
        <v>1408</v>
      </c>
      <c r="BJ1447">
        <v>1416</v>
      </c>
      <c r="BK1447" t="s">
        <v>69</v>
      </c>
      <c r="BL1447" t="s">
        <v>637</v>
      </c>
      <c r="BM1447" t="str">
        <f>HYPERLINK("http://dx.doi.org/10.1016/j.scitotenv.2017.11.335","http://dx.doi.org/10.1016/j.scitotenv.2017.11.335")</f>
        <v>http://dx.doi.org/10.1016/j.scitotenv.2017.11.335</v>
      </c>
      <c r="BN1447" t="s">
        <v>69</v>
      </c>
      <c r="BO1447" t="s">
        <v>69</v>
      </c>
      <c r="BP1447">
        <v>9</v>
      </c>
      <c r="BQ1447" t="s">
        <v>8717</v>
      </c>
      <c r="BR1447" t="s">
        <v>8548</v>
      </c>
      <c r="BS1447" t="s">
        <v>8662</v>
      </c>
      <c r="BT1447" t="s">
        <v>18943</v>
      </c>
      <c r="BU1447" t="s">
        <v>638</v>
      </c>
      <c r="BV1447">
        <v>29890606</v>
      </c>
      <c r="BW1447" t="s">
        <v>9292</v>
      </c>
      <c r="BX1447" t="s">
        <v>69</v>
      </c>
      <c r="BY1447" t="s">
        <v>69</v>
      </c>
      <c r="BZ1447" t="s">
        <v>8526</v>
      </c>
      <c r="CA1447" t="str">
        <f>HYPERLINK("https%3A%2F%2Fwww.webofscience.com%2Fwos%2Fwoscc%2Ffull-record%2FWOS:000426349000137","View Full Record in Web of Science")</f>
        <v>View Full Record in Web of Science</v>
      </c>
    </row>
    <row r="1448" spans="2:79" ht="12.5" x14ac:dyDescent="0.25">
      <c r="B1448" t="s">
        <v>8495</v>
      </c>
      <c r="D1448" s="22" t="s">
        <v>32931</v>
      </c>
      <c r="E1448" s="7"/>
      <c r="F1448" s="7"/>
      <c r="G1448" s="7"/>
      <c r="H1448" t="s">
        <v>67</v>
      </c>
      <c r="I1448" t="s">
        <v>32272</v>
      </c>
      <c r="J1448" t="s">
        <v>69</v>
      </c>
      <c r="K1448" t="s">
        <v>69</v>
      </c>
      <c r="L1448" t="s">
        <v>69</v>
      </c>
      <c r="M1448" t="s">
        <v>32272</v>
      </c>
      <c r="N1448" t="s">
        <v>69</v>
      </c>
      <c r="O1448" t="s">
        <v>69</v>
      </c>
      <c r="P1448" t="s">
        <v>32273</v>
      </c>
      <c r="Q1448" t="s">
        <v>32274</v>
      </c>
      <c r="R1448" t="s">
        <v>69</v>
      </c>
      <c r="S1448" t="s">
        <v>69</v>
      </c>
      <c r="T1448" t="s">
        <v>8505</v>
      </c>
      <c r="U1448" t="s">
        <v>8506</v>
      </c>
      <c r="V1448" t="s">
        <v>69</v>
      </c>
      <c r="W1448" t="s">
        <v>69</v>
      </c>
      <c r="X1448" t="s">
        <v>69</v>
      </c>
      <c r="Y1448" t="s">
        <v>69</v>
      </c>
      <c r="Z1448" t="s">
        <v>69</v>
      </c>
      <c r="AA1448" t="s">
        <v>69</v>
      </c>
      <c r="AB1448" t="s">
        <v>69</v>
      </c>
      <c r="AC1448" t="s">
        <v>32275</v>
      </c>
      <c r="AD1448" t="s">
        <v>69</v>
      </c>
      <c r="AE1448" t="s">
        <v>69</v>
      </c>
      <c r="AF1448" t="s">
        <v>32276</v>
      </c>
      <c r="AG1448" t="s">
        <v>69</v>
      </c>
      <c r="AH1448" t="s">
        <v>32277</v>
      </c>
      <c r="AI1448" t="s">
        <v>69</v>
      </c>
      <c r="AJ1448" t="s">
        <v>69</v>
      </c>
      <c r="AK1448" t="s">
        <v>69</v>
      </c>
      <c r="AL1448" t="s">
        <v>69</v>
      </c>
      <c r="AM1448" t="s">
        <v>69</v>
      </c>
      <c r="AN1448">
        <v>21</v>
      </c>
      <c r="AO1448">
        <v>2</v>
      </c>
      <c r="AP1448">
        <v>2</v>
      </c>
      <c r="AQ1448">
        <v>0</v>
      </c>
      <c r="AR1448">
        <v>1</v>
      </c>
      <c r="AS1448" t="s">
        <v>32278</v>
      </c>
      <c r="AT1448" t="s">
        <v>8693</v>
      </c>
      <c r="AU1448" t="s">
        <v>32279</v>
      </c>
      <c r="AV1448" t="s">
        <v>32280</v>
      </c>
      <c r="AW1448" t="s">
        <v>69</v>
      </c>
      <c r="AX1448" t="s">
        <v>69</v>
      </c>
      <c r="AY1448" t="s">
        <v>32281</v>
      </c>
      <c r="AZ1448" t="s">
        <v>32282</v>
      </c>
      <c r="BA1448" t="s">
        <v>246</v>
      </c>
      <c r="BB1448">
        <v>1997</v>
      </c>
      <c r="BC1448">
        <v>30</v>
      </c>
      <c r="BD1448">
        <v>4</v>
      </c>
      <c r="BE1448" t="s">
        <v>69</v>
      </c>
      <c r="BF1448" t="s">
        <v>69</v>
      </c>
      <c r="BG1448" t="s">
        <v>69</v>
      </c>
      <c r="BH1448" t="s">
        <v>69</v>
      </c>
      <c r="BI1448">
        <v>454</v>
      </c>
      <c r="BJ1448">
        <v>459</v>
      </c>
      <c r="BK1448" t="s">
        <v>69</v>
      </c>
      <c r="BL1448" t="s">
        <v>69</v>
      </c>
      <c r="BM1448" t="s">
        <v>69</v>
      </c>
      <c r="BN1448" t="s">
        <v>69</v>
      </c>
      <c r="BO1448" t="s">
        <v>69</v>
      </c>
      <c r="BP1448">
        <v>6</v>
      </c>
      <c r="BQ1448" t="s">
        <v>17154</v>
      </c>
      <c r="BR1448" t="s">
        <v>8548</v>
      </c>
      <c r="BS1448" t="s">
        <v>8450</v>
      </c>
      <c r="BT1448" t="s">
        <v>32283</v>
      </c>
      <c r="BU1448" t="s">
        <v>32284</v>
      </c>
      <c r="BV1448" t="s">
        <v>69</v>
      </c>
      <c r="BW1448" t="s">
        <v>69</v>
      </c>
      <c r="BX1448" t="s">
        <v>69</v>
      </c>
      <c r="BY1448" t="s">
        <v>69</v>
      </c>
      <c r="BZ1448" t="s">
        <v>8526</v>
      </c>
      <c r="CA1448" t="str">
        <f>HYPERLINK("https%3A%2F%2Fwww.webofscience.com%2Fwos%2Fwoscc%2Ffull-record%2FWOS:A1997XF43700019","View Full Record in Web of Science")</f>
        <v>View Full Record in Web of Science</v>
      </c>
    </row>
    <row r="1449" spans="2:79" ht="12.5" x14ac:dyDescent="0.25">
      <c r="B1449" t="s">
        <v>8495</v>
      </c>
      <c r="D1449" s="7" t="s">
        <v>32933</v>
      </c>
      <c r="E1449" s="7"/>
      <c r="F1449" s="7"/>
      <c r="G1449" s="7"/>
      <c r="H1449" t="s">
        <v>67</v>
      </c>
      <c r="I1449" t="s">
        <v>1115</v>
      </c>
      <c r="J1449" t="s">
        <v>69</v>
      </c>
      <c r="K1449" t="s">
        <v>69</v>
      </c>
      <c r="L1449" t="s">
        <v>69</v>
      </c>
      <c r="M1449" t="s">
        <v>1116</v>
      </c>
      <c r="N1449" t="s">
        <v>69</v>
      </c>
      <c r="O1449" t="s">
        <v>69</v>
      </c>
      <c r="P1449" t="s">
        <v>1117</v>
      </c>
      <c r="Q1449" t="s">
        <v>1118</v>
      </c>
      <c r="R1449" t="s">
        <v>69</v>
      </c>
      <c r="S1449" t="s">
        <v>69</v>
      </c>
      <c r="T1449" t="s">
        <v>8505</v>
      </c>
      <c r="U1449" t="s">
        <v>8506</v>
      </c>
      <c r="V1449" t="s">
        <v>69</v>
      </c>
      <c r="W1449" t="s">
        <v>69</v>
      </c>
      <c r="X1449" t="s">
        <v>69</v>
      </c>
      <c r="Y1449" t="s">
        <v>69</v>
      </c>
      <c r="Z1449" t="s">
        <v>69</v>
      </c>
      <c r="AA1449" t="s">
        <v>69</v>
      </c>
      <c r="AB1449" t="s">
        <v>19615</v>
      </c>
      <c r="AC1449" t="s">
        <v>1119</v>
      </c>
      <c r="AD1449" t="s">
        <v>19616</v>
      </c>
      <c r="AE1449" t="s">
        <v>69</v>
      </c>
      <c r="AF1449" t="s">
        <v>19617</v>
      </c>
      <c r="AG1449" t="s">
        <v>19618</v>
      </c>
      <c r="AH1449" t="s">
        <v>1120</v>
      </c>
      <c r="AI1449" t="s">
        <v>1121</v>
      </c>
      <c r="AJ1449" t="s">
        <v>69</v>
      </c>
      <c r="AK1449" t="s">
        <v>69</v>
      </c>
      <c r="AL1449" t="s">
        <v>69</v>
      </c>
      <c r="AM1449" t="s">
        <v>69</v>
      </c>
      <c r="AN1449">
        <v>22</v>
      </c>
      <c r="AO1449">
        <v>14</v>
      </c>
      <c r="AP1449">
        <v>14</v>
      </c>
      <c r="AQ1449">
        <v>2</v>
      </c>
      <c r="AR1449">
        <v>24</v>
      </c>
      <c r="AS1449" t="s">
        <v>19619</v>
      </c>
      <c r="AT1449" t="s">
        <v>19620</v>
      </c>
      <c r="AU1449" t="s">
        <v>19621</v>
      </c>
      <c r="AV1449" t="s">
        <v>1122</v>
      </c>
      <c r="AW1449" t="s">
        <v>69</v>
      </c>
      <c r="AX1449" t="s">
        <v>69</v>
      </c>
      <c r="AY1449" t="s">
        <v>19622</v>
      </c>
      <c r="AZ1449" t="s">
        <v>19623</v>
      </c>
      <c r="BA1449" t="s">
        <v>373</v>
      </c>
      <c r="BB1449">
        <v>2018</v>
      </c>
      <c r="BC1449">
        <v>10</v>
      </c>
      <c r="BD1449">
        <v>1</v>
      </c>
      <c r="BE1449" t="s">
        <v>69</v>
      </c>
      <c r="BF1449" t="s">
        <v>69</v>
      </c>
      <c r="BG1449" t="s">
        <v>69</v>
      </c>
      <c r="BH1449" t="s">
        <v>69</v>
      </c>
      <c r="BI1449" t="s">
        <v>69</v>
      </c>
      <c r="BJ1449" t="s">
        <v>69</v>
      </c>
      <c r="BK1449">
        <v>13703</v>
      </c>
      <c r="BL1449" t="s">
        <v>1123</v>
      </c>
      <c r="BM1449" t="str">
        <f>HYPERLINK("http://dx.doi.org/10.1063/1.4997888","http://dx.doi.org/10.1063/1.4997888")</f>
        <v>http://dx.doi.org/10.1063/1.4997888</v>
      </c>
      <c r="BN1449" t="s">
        <v>69</v>
      </c>
      <c r="BO1449" t="s">
        <v>69</v>
      </c>
      <c r="BP1449">
        <v>13</v>
      </c>
      <c r="BQ1449" t="s">
        <v>9931</v>
      </c>
      <c r="BR1449" t="s">
        <v>8548</v>
      </c>
      <c r="BS1449" t="s">
        <v>9932</v>
      </c>
      <c r="BT1449" t="s">
        <v>19624</v>
      </c>
      <c r="BU1449" t="s">
        <v>1124</v>
      </c>
      <c r="BV1449" t="s">
        <v>69</v>
      </c>
      <c r="BW1449" t="s">
        <v>69</v>
      </c>
      <c r="BX1449" t="s">
        <v>69</v>
      </c>
      <c r="BY1449" t="s">
        <v>69</v>
      </c>
      <c r="BZ1449" t="s">
        <v>8526</v>
      </c>
      <c r="CA1449" t="str">
        <f>HYPERLINK("https%3A%2F%2Fwww.webofscience.com%2Fwos%2Fwoscc%2Ffull-record%2FWOS:000426032800028","View Full Record in Web of Science")</f>
        <v>View Full Record in Web of Science</v>
      </c>
    </row>
    <row r="1450" spans="2:79" ht="12.5" x14ac:dyDescent="0.25">
      <c r="B1450" t="s">
        <v>8495</v>
      </c>
      <c r="D1450" s="7" t="s">
        <v>32933</v>
      </c>
      <c r="E1450" s="7"/>
      <c r="F1450" s="7"/>
      <c r="G1450" s="7"/>
      <c r="H1450" t="s">
        <v>67</v>
      </c>
      <c r="I1450" t="s">
        <v>5467</v>
      </c>
      <c r="J1450" t="s">
        <v>69</v>
      </c>
      <c r="K1450" t="s">
        <v>69</v>
      </c>
      <c r="L1450" t="s">
        <v>69</v>
      </c>
      <c r="M1450" t="s">
        <v>5468</v>
      </c>
      <c r="N1450" t="s">
        <v>69</v>
      </c>
      <c r="O1450" t="s">
        <v>69</v>
      </c>
      <c r="P1450" t="s">
        <v>5469</v>
      </c>
      <c r="Q1450" t="s">
        <v>5470</v>
      </c>
      <c r="R1450" t="s">
        <v>69</v>
      </c>
      <c r="S1450" t="s">
        <v>69</v>
      </c>
      <c r="T1450" t="s">
        <v>8505</v>
      </c>
      <c r="U1450" t="s">
        <v>8506</v>
      </c>
      <c r="V1450" t="s">
        <v>69</v>
      </c>
      <c r="W1450" t="s">
        <v>69</v>
      </c>
      <c r="X1450" t="s">
        <v>69</v>
      </c>
      <c r="Y1450" t="s">
        <v>69</v>
      </c>
      <c r="Z1450" t="s">
        <v>69</v>
      </c>
      <c r="AA1450" t="s">
        <v>23268</v>
      </c>
      <c r="AB1450" t="s">
        <v>69</v>
      </c>
      <c r="AC1450" t="s">
        <v>5471</v>
      </c>
      <c r="AD1450" t="s">
        <v>23269</v>
      </c>
      <c r="AE1450" t="s">
        <v>69</v>
      </c>
      <c r="AF1450" t="s">
        <v>23270</v>
      </c>
      <c r="AG1450" t="s">
        <v>23271</v>
      </c>
      <c r="AH1450" t="s">
        <v>69</v>
      </c>
      <c r="AI1450" t="s">
        <v>69</v>
      </c>
      <c r="AJ1450" t="s">
        <v>69</v>
      </c>
      <c r="AK1450" t="s">
        <v>69</v>
      </c>
      <c r="AL1450" t="s">
        <v>69</v>
      </c>
      <c r="AM1450" t="s">
        <v>69</v>
      </c>
      <c r="AN1450">
        <v>1</v>
      </c>
      <c r="AO1450">
        <v>0</v>
      </c>
      <c r="AP1450">
        <v>0</v>
      </c>
      <c r="AQ1450">
        <v>0</v>
      </c>
      <c r="AR1450">
        <v>0</v>
      </c>
      <c r="AS1450" t="s">
        <v>8865</v>
      </c>
      <c r="AT1450" t="s">
        <v>8612</v>
      </c>
      <c r="AU1450" t="s">
        <v>8866</v>
      </c>
      <c r="AV1450" t="s">
        <v>5472</v>
      </c>
      <c r="AW1450" t="s">
        <v>5473</v>
      </c>
      <c r="AX1450" t="s">
        <v>69</v>
      </c>
      <c r="AY1450" t="s">
        <v>20923</v>
      </c>
      <c r="AZ1450" t="s">
        <v>20924</v>
      </c>
      <c r="BA1450" t="s">
        <v>69</v>
      </c>
      <c r="BB1450">
        <v>2015</v>
      </c>
      <c r="BC1450">
        <v>14</v>
      </c>
      <c r="BD1450">
        <v>3</v>
      </c>
      <c r="BE1450" t="s">
        <v>69</v>
      </c>
      <c r="BF1450" t="s">
        <v>69</v>
      </c>
      <c r="BG1450" t="s">
        <v>69</v>
      </c>
      <c r="BH1450" t="s">
        <v>69</v>
      </c>
      <c r="BI1450">
        <v>223</v>
      </c>
      <c r="BJ1450">
        <v>228</v>
      </c>
      <c r="BK1450" t="s">
        <v>69</v>
      </c>
      <c r="BL1450" t="s">
        <v>5474</v>
      </c>
      <c r="BM1450" t="str">
        <f>HYPERLINK("http://dx.doi.org/10.1080/15377857.2015.1061797","http://dx.doi.org/10.1080/15377857.2015.1061797")</f>
        <v>http://dx.doi.org/10.1080/15377857.2015.1061797</v>
      </c>
      <c r="BN1450" t="s">
        <v>69</v>
      </c>
      <c r="BO1450" t="s">
        <v>69</v>
      </c>
      <c r="BP1450">
        <v>6</v>
      </c>
      <c r="BQ1450" t="s">
        <v>13241</v>
      </c>
      <c r="BR1450" t="s">
        <v>8573</v>
      </c>
      <c r="BS1450" t="s">
        <v>10084</v>
      </c>
      <c r="BT1450" t="s">
        <v>23272</v>
      </c>
      <c r="BU1450" t="s">
        <v>5475</v>
      </c>
      <c r="BV1450" t="s">
        <v>69</v>
      </c>
      <c r="BW1450" t="s">
        <v>69</v>
      </c>
      <c r="BX1450" t="s">
        <v>69</v>
      </c>
      <c r="BY1450" t="s">
        <v>69</v>
      </c>
      <c r="BZ1450" t="s">
        <v>8526</v>
      </c>
      <c r="CA1450" t="str">
        <f>HYPERLINK("https%3A%2F%2Fwww.webofscience.com%2Fwos%2Fwoscc%2Ffull-record%2FWOS:000212759600001","View Full Record in Web of Science")</f>
        <v>View Full Record in Web of Science</v>
      </c>
    </row>
    <row r="1451" spans="2:79" ht="12.5" x14ac:dyDescent="0.25">
      <c r="B1451" t="s">
        <v>8495</v>
      </c>
      <c r="D1451" s="7" t="s">
        <v>32933</v>
      </c>
      <c r="E1451" s="7"/>
      <c r="F1451" s="7"/>
      <c r="G1451" s="7"/>
      <c r="H1451" t="s">
        <v>67</v>
      </c>
      <c r="I1451" t="s">
        <v>3243</v>
      </c>
      <c r="J1451" t="s">
        <v>69</v>
      </c>
      <c r="K1451" t="s">
        <v>69</v>
      </c>
      <c r="L1451" t="s">
        <v>69</v>
      </c>
      <c r="M1451" t="s">
        <v>3244</v>
      </c>
      <c r="N1451" t="s">
        <v>69</v>
      </c>
      <c r="O1451" t="s">
        <v>69</v>
      </c>
      <c r="P1451" t="s">
        <v>3245</v>
      </c>
      <c r="Q1451" t="s">
        <v>3246</v>
      </c>
      <c r="R1451" t="s">
        <v>69</v>
      </c>
      <c r="S1451" t="s">
        <v>69</v>
      </c>
      <c r="T1451" t="s">
        <v>8505</v>
      </c>
      <c r="U1451" t="s">
        <v>8506</v>
      </c>
      <c r="V1451" t="s">
        <v>69</v>
      </c>
      <c r="W1451" t="s">
        <v>69</v>
      </c>
      <c r="X1451" t="s">
        <v>69</v>
      </c>
      <c r="Y1451" t="s">
        <v>69</v>
      </c>
      <c r="Z1451" t="s">
        <v>69</v>
      </c>
      <c r="AA1451" t="s">
        <v>24526</v>
      </c>
      <c r="AB1451" t="s">
        <v>69</v>
      </c>
      <c r="AC1451" t="s">
        <v>3247</v>
      </c>
      <c r="AD1451" t="s">
        <v>24527</v>
      </c>
      <c r="AE1451" t="s">
        <v>69</v>
      </c>
      <c r="AF1451" t="s">
        <v>24528</v>
      </c>
      <c r="AG1451" t="s">
        <v>24529</v>
      </c>
      <c r="AH1451" t="s">
        <v>69</v>
      </c>
      <c r="AI1451" t="s">
        <v>3248</v>
      </c>
      <c r="AJ1451" t="s">
        <v>24530</v>
      </c>
      <c r="AK1451" t="s">
        <v>11825</v>
      </c>
      <c r="AL1451" t="s">
        <v>24531</v>
      </c>
      <c r="AM1451" t="s">
        <v>69</v>
      </c>
      <c r="AN1451">
        <v>45</v>
      </c>
      <c r="AO1451">
        <v>19</v>
      </c>
      <c r="AP1451">
        <v>20</v>
      </c>
      <c r="AQ1451">
        <v>1</v>
      </c>
      <c r="AR1451">
        <v>19</v>
      </c>
      <c r="AS1451" t="s">
        <v>17140</v>
      </c>
      <c r="AT1451" t="s">
        <v>8517</v>
      </c>
      <c r="AU1451" t="s">
        <v>17141</v>
      </c>
      <c r="AV1451" t="s">
        <v>3249</v>
      </c>
      <c r="AW1451" t="s">
        <v>3250</v>
      </c>
      <c r="AX1451" t="s">
        <v>69</v>
      </c>
      <c r="AY1451" t="s">
        <v>24532</v>
      </c>
      <c r="AZ1451" t="s">
        <v>24533</v>
      </c>
      <c r="BA1451" t="s">
        <v>75</v>
      </c>
      <c r="BB1451">
        <v>2013</v>
      </c>
      <c r="BC1451">
        <v>35</v>
      </c>
      <c r="BD1451" t="s">
        <v>69</v>
      </c>
      <c r="BE1451" t="s">
        <v>69</v>
      </c>
      <c r="BF1451" t="s">
        <v>69</v>
      </c>
      <c r="BG1451" t="s">
        <v>69</v>
      </c>
      <c r="BH1451" t="s">
        <v>69</v>
      </c>
      <c r="BI1451">
        <v>43</v>
      </c>
      <c r="BJ1451">
        <v>51</v>
      </c>
      <c r="BK1451" t="s">
        <v>69</v>
      </c>
      <c r="BL1451" t="s">
        <v>3251</v>
      </c>
      <c r="BM1451" t="str">
        <f>HYPERLINK("http://dx.doi.org/10.1016/j.ecolind.2012.08.015","http://dx.doi.org/10.1016/j.ecolind.2012.08.015")</f>
        <v>http://dx.doi.org/10.1016/j.ecolind.2012.08.015</v>
      </c>
      <c r="BN1451" t="s">
        <v>69</v>
      </c>
      <c r="BO1451" t="s">
        <v>69</v>
      </c>
      <c r="BP1451">
        <v>9</v>
      </c>
      <c r="BQ1451" t="s">
        <v>24534</v>
      </c>
      <c r="BR1451" t="s">
        <v>8523</v>
      </c>
      <c r="BS1451" t="s">
        <v>15452</v>
      </c>
      <c r="BT1451" t="s">
        <v>24535</v>
      </c>
      <c r="BU1451" t="s">
        <v>3252</v>
      </c>
      <c r="BV1451" t="s">
        <v>69</v>
      </c>
      <c r="BW1451" t="s">
        <v>69</v>
      </c>
      <c r="BX1451" t="s">
        <v>69</v>
      </c>
      <c r="BY1451" t="s">
        <v>69</v>
      </c>
      <c r="BZ1451" t="s">
        <v>8526</v>
      </c>
      <c r="CA1451" t="str">
        <f>HYPERLINK("https%3A%2F%2Fwww.webofscience.com%2Fwos%2Fwoscc%2Ffull-record%2FWOS:000325386800006","View Full Record in Web of Science")</f>
        <v>View Full Record in Web of Science</v>
      </c>
    </row>
    <row r="1452" spans="2:79" ht="12.5" x14ac:dyDescent="0.25">
      <c r="B1452" t="s">
        <v>8495</v>
      </c>
      <c r="D1452" s="22" t="s">
        <v>32931</v>
      </c>
      <c r="E1452" s="7"/>
      <c r="F1452" s="7"/>
      <c r="G1452" s="7"/>
      <c r="H1452" t="s">
        <v>67</v>
      </c>
      <c r="I1452" t="s">
        <v>9354</v>
      </c>
      <c r="J1452" t="s">
        <v>69</v>
      </c>
      <c r="K1452" t="s">
        <v>69</v>
      </c>
      <c r="L1452" t="s">
        <v>69</v>
      </c>
      <c r="M1452" t="s">
        <v>9355</v>
      </c>
      <c r="N1452" t="s">
        <v>69</v>
      </c>
      <c r="O1452" t="s">
        <v>69</v>
      </c>
      <c r="P1452" t="s">
        <v>9356</v>
      </c>
      <c r="Q1452" t="s">
        <v>7515</v>
      </c>
      <c r="R1452" t="s">
        <v>69</v>
      </c>
      <c r="S1452" t="s">
        <v>69</v>
      </c>
      <c r="T1452" t="s">
        <v>9357</v>
      </c>
      <c r="U1452" t="s">
        <v>8506</v>
      </c>
      <c r="V1452" t="s">
        <v>69</v>
      </c>
      <c r="W1452" t="s">
        <v>69</v>
      </c>
      <c r="X1452" t="s">
        <v>69</v>
      </c>
      <c r="Y1452" t="s">
        <v>69</v>
      </c>
      <c r="Z1452" t="s">
        <v>69</v>
      </c>
      <c r="AA1452" t="s">
        <v>9358</v>
      </c>
      <c r="AB1452" t="s">
        <v>69</v>
      </c>
      <c r="AC1452" t="s">
        <v>9359</v>
      </c>
      <c r="AD1452" t="s">
        <v>9360</v>
      </c>
      <c r="AE1452" t="s">
        <v>69</v>
      </c>
      <c r="AF1452" t="s">
        <v>9361</v>
      </c>
      <c r="AG1452" t="s">
        <v>9362</v>
      </c>
      <c r="AH1452" t="s">
        <v>69</v>
      </c>
      <c r="AI1452" t="s">
        <v>69</v>
      </c>
      <c r="AJ1452" t="s">
        <v>9363</v>
      </c>
      <c r="AK1452" t="s">
        <v>9364</v>
      </c>
      <c r="AL1452" t="s">
        <v>9365</v>
      </c>
      <c r="AM1452" t="s">
        <v>69</v>
      </c>
      <c r="AN1452">
        <v>11</v>
      </c>
      <c r="AO1452">
        <v>0</v>
      </c>
      <c r="AP1452">
        <v>0</v>
      </c>
      <c r="AQ1452">
        <v>0</v>
      </c>
      <c r="AR1452">
        <v>0</v>
      </c>
      <c r="AS1452" t="s">
        <v>9366</v>
      </c>
      <c r="AT1452" t="s">
        <v>9367</v>
      </c>
      <c r="AU1452" t="s">
        <v>9368</v>
      </c>
      <c r="AV1452" t="s">
        <v>7517</v>
      </c>
      <c r="AW1452" t="s">
        <v>69</v>
      </c>
      <c r="AX1452" t="s">
        <v>69</v>
      </c>
      <c r="AY1452" t="s">
        <v>9369</v>
      </c>
      <c r="AZ1452" t="s">
        <v>9370</v>
      </c>
      <c r="BA1452" t="s">
        <v>246</v>
      </c>
      <c r="BB1452">
        <v>2022</v>
      </c>
      <c r="BC1452">
        <v>66</v>
      </c>
      <c r="BD1452">
        <v>4</v>
      </c>
      <c r="BE1452" t="s">
        <v>69</v>
      </c>
      <c r="BF1452" t="s">
        <v>69</v>
      </c>
      <c r="BG1452" t="s">
        <v>69</v>
      </c>
      <c r="BH1452" t="s">
        <v>69</v>
      </c>
      <c r="BI1452">
        <v>101</v>
      </c>
      <c r="BJ1452">
        <v>110</v>
      </c>
      <c r="BK1452" t="s">
        <v>69</v>
      </c>
      <c r="BL1452" t="s">
        <v>9371</v>
      </c>
      <c r="BM1452" t="str">
        <f>HYPERLINK("http://dx.doi.org/10.20542/0131-2227-2022-66-4-101-110","http://dx.doi.org/10.20542/0131-2227-2022-66-4-101-110")</f>
        <v>http://dx.doi.org/10.20542/0131-2227-2022-66-4-101-110</v>
      </c>
      <c r="BN1452" t="s">
        <v>69</v>
      </c>
      <c r="BO1452" t="s">
        <v>69</v>
      </c>
      <c r="BP1452">
        <v>10</v>
      </c>
      <c r="BQ1452" t="s">
        <v>9372</v>
      </c>
      <c r="BR1452" t="s">
        <v>8573</v>
      </c>
      <c r="BS1452" t="s">
        <v>9372</v>
      </c>
      <c r="BT1452" t="s">
        <v>9373</v>
      </c>
      <c r="BU1452" t="s">
        <v>9375</v>
      </c>
      <c r="BV1452" t="s">
        <v>69</v>
      </c>
      <c r="BW1452" t="s">
        <v>9374</v>
      </c>
      <c r="BX1452" t="s">
        <v>69</v>
      </c>
      <c r="BY1452" t="s">
        <v>69</v>
      </c>
      <c r="BZ1452" t="s">
        <v>8526</v>
      </c>
      <c r="CA1452" t="str">
        <f>HYPERLINK("https%3A%2F%2Fwww.webofscience.com%2Fwos%2Fwoscc%2Ffull-record%2FWOS:000819804900011","View Full Record in Web of Science")</f>
        <v>View Full Record in Web of Science</v>
      </c>
    </row>
    <row r="1453" spans="2:79" ht="12.5" x14ac:dyDescent="0.25">
      <c r="B1453" t="s">
        <v>8495</v>
      </c>
      <c r="D1453" s="22" t="s">
        <v>32931</v>
      </c>
      <c r="E1453" s="7"/>
      <c r="F1453" s="7"/>
      <c r="G1453" s="7"/>
      <c r="H1453" t="s">
        <v>627</v>
      </c>
      <c r="I1453" t="s">
        <v>32335</v>
      </c>
      <c r="J1453" t="s">
        <v>69</v>
      </c>
      <c r="K1453" t="s">
        <v>32336</v>
      </c>
      <c r="L1453" t="s">
        <v>69</v>
      </c>
      <c r="M1453" t="s">
        <v>32335</v>
      </c>
      <c r="N1453" t="s">
        <v>69</v>
      </c>
      <c r="O1453" t="s">
        <v>69</v>
      </c>
      <c r="P1453" t="s">
        <v>32337</v>
      </c>
      <c r="Q1453" t="s">
        <v>32338</v>
      </c>
      <c r="R1453" t="s">
        <v>32339</v>
      </c>
      <c r="S1453" t="s">
        <v>69</v>
      </c>
      <c r="T1453" t="s">
        <v>8505</v>
      </c>
      <c r="U1453" t="s">
        <v>15797</v>
      </c>
      <c r="V1453" t="s">
        <v>32340</v>
      </c>
      <c r="W1453" t="s">
        <v>32341</v>
      </c>
      <c r="X1453" t="s">
        <v>32342</v>
      </c>
      <c r="Y1453" t="s">
        <v>32343</v>
      </c>
      <c r="Z1453" t="s">
        <v>69</v>
      </c>
      <c r="AA1453" t="s">
        <v>69</v>
      </c>
      <c r="AB1453" t="s">
        <v>69</v>
      </c>
      <c r="AC1453" t="s">
        <v>32344</v>
      </c>
      <c r="AD1453" t="s">
        <v>32345</v>
      </c>
      <c r="AE1453" t="s">
        <v>69</v>
      </c>
      <c r="AF1453" t="s">
        <v>32346</v>
      </c>
      <c r="AG1453" t="s">
        <v>69</v>
      </c>
      <c r="AH1453" t="s">
        <v>69</v>
      </c>
      <c r="AI1453" t="s">
        <v>69</v>
      </c>
      <c r="AJ1453" t="s">
        <v>69</v>
      </c>
      <c r="AK1453" t="s">
        <v>69</v>
      </c>
      <c r="AL1453" t="s">
        <v>69</v>
      </c>
      <c r="AM1453" t="s">
        <v>69</v>
      </c>
      <c r="AN1453">
        <v>6</v>
      </c>
      <c r="AO1453">
        <v>2</v>
      </c>
      <c r="AP1453">
        <v>2</v>
      </c>
      <c r="AQ1453">
        <v>0</v>
      </c>
      <c r="AR1453">
        <v>0</v>
      </c>
      <c r="AS1453" t="s">
        <v>32347</v>
      </c>
      <c r="AT1453" t="s">
        <v>8637</v>
      </c>
      <c r="AU1453" t="s">
        <v>32348</v>
      </c>
      <c r="AV1453" t="s">
        <v>32349</v>
      </c>
      <c r="AW1453" t="s">
        <v>69</v>
      </c>
      <c r="AX1453" t="s">
        <v>32350</v>
      </c>
      <c r="AY1453" t="s">
        <v>32351</v>
      </c>
      <c r="AZ1453" t="s">
        <v>69</v>
      </c>
      <c r="BA1453" t="s">
        <v>69</v>
      </c>
      <c r="BB1453">
        <v>1997</v>
      </c>
      <c r="BC1453">
        <v>20</v>
      </c>
      <c r="BD1453">
        <v>7</v>
      </c>
      <c r="BE1453" t="s">
        <v>69</v>
      </c>
      <c r="BF1453" t="s">
        <v>69</v>
      </c>
      <c r="BG1453" t="s">
        <v>69</v>
      </c>
      <c r="BH1453" t="s">
        <v>69</v>
      </c>
      <c r="BI1453">
        <v>1411</v>
      </c>
      <c r="BJ1453">
        <v>1419</v>
      </c>
      <c r="BK1453" t="s">
        <v>69</v>
      </c>
      <c r="BL1453" t="s">
        <v>32352</v>
      </c>
      <c r="BM1453" t="str">
        <f>HYPERLINK("http://dx.doi.org/10.1016/S0273-1177(97)00740-0","http://dx.doi.org/10.1016/S0273-1177(97)00740-0")</f>
        <v>http://dx.doi.org/10.1016/S0273-1177(97)00740-0</v>
      </c>
      <c r="BN1453" t="s">
        <v>69</v>
      </c>
      <c r="BO1453" t="s">
        <v>69</v>
      </c>
      <c r="BP1453">
        <v>9</v>
      </c>
      <c r="BQ1453" t="s">
        <v>32353</v>
      </c>
      <c r="BR1453" t="s">
        <v>29550</v>
      </c>
      <c r="BS1453" t="s">
        <v>32354</v>
      </c>
      <c r="BT1453" t="s">
        <v>32355</v>
      </c>
      <c r="BU1453" t="s">
        <v>32356</v>
      </c>
      <c r="BV1453" t="s">
        <v>69</v>
      </c>
      <c r="BW1453" t="s">
        <v>69</v>
      </c>
      <c r="BX1453" t="s">
        <v>69</v>
      </c>
      <c r="BY1453" t="s">
        <v>69</v>
      </c>
      <c r="BZ1453" t="s">
        <v>8526</v>
      </c>
      <c r="CA1453" t="str">
        <f>HYPERLINK("https%3A%2F%2Fwww.webofscience.com%2Fwos%2Fwoscc%2Ffull-record%2FWOS:000071440300016","View Full Record in Web of Science")</f>
        <v>View Full Record in Web of Science</v>
      </c>
    </row>
    <row r="1454" spans="2:79" ht="12.5" x14ac:dyDescent="0.25">
      <c r="B1454" t="s">
        <v>8495</v>
      </c>
      <c r="D1454" s="7" t="s">
        <v>32933</v>
      </c>
      <c r="E1454" s="7"/>
      <c r="F1454" s="7"/>
      <c r="G1454" s="7"/>
      <c r="H1454" t="s">
        <v>67</v>
      </c>
      <c r="I1454" t="s">
        <v>1066</v>
      </c>
      <c r="J1454" t="s">
        <v>69</v>
      </c>
      <c r="K1454" t="s">
        <v>69</v>
      </c>
      <c r="L1454" t="s">
        <v>69</v>
      </c>
      <c r="M1454" t="s">
        <v>1067</v>
      </c>
      <c r="N1454" t="s">
        <v>69</v>
      </c>
      <c r="O1454" t="s">
        <v>69</v>
      </c>
      <c r="P1454" t="s">
        <v>1068</v>
      </c>
      <c r="Q1454" t="s">
        <v>1069</v>
      </c>
      <c r="R1454" t="s">
        <v>69</v>
      </c>
      <c r="S1454" t="s">
        <v>69</v>
      </c>
      <c r="T1454" t="s">
        <v>8505</v>
      </c>
      <c r="U1454" t="s">
        <v>8506</v>
      </c>
      <c r="V1454" t="s">
        <v>69</v>
      </c>
      <c r="W1454" t="s">
        <v>69</v>
      </c>
      <c r="X1454" t="s">
        <v>69</v>
      </c>
      <c r="Y1454" t="s">
        <v>69</v>
      </c>
      <c r="Z1454" t="s">
        <v>69</v>
      </c>
      <c r="AA1454" t="s">
        <v>69</v>
      </c>
      <c r="AB1454" t="s">
        <v>18532</v>
      </c>
      <c r="AC1454" t="s">
        <v>1070</v>
      </c>
      <c r="AD1454" t="s">
        <v>18533</v>
      </c>
      <c r="AE1454" t="s">
        <v>69</v>
      </c>
      <c r="AF1454" t="s">
        <v>18534</v>
      </c>
      <c r="AG1454" t="s">
        <v>18535</v>
      </c>
      <c r="AH1454" t="s">
        <v>69</v>
      </c>
      <c r="AI1454" t="s">
        <v>1071</v>
      </c>
      <c r="AJ1454" t="s">
        <v>18536</v>
      </c>
      <c r="AK1454" t="s">
        <v>18537</v>
      </c>
      <c r="AL1454" t="s">
        <v>18538</v>
      </c>
      <c r="AM1454" t="s">
        <v>69</v>
      </c>
      <c r="AN1454">
        <v>117</v>
      </c>
      <c r="AO1454">
        <v>8</v>
      </c>
      <c r="AP1454">
        <v>7</v>
      </c>
      <c r="AQ1454">
        <v>2</v>
      </c>
      <c r="AR1454">
        <v>6</v>
      </c>
      <c r="AS1454" t="s">
        <v>9978</v>
      </c>
      <c r="AT1454" t="s">
        <v>9979</v>
      </c>
      <c r="AU1454" t="s">
        <v>9980</v>
      </c>
      <c r="AV1454" t="s">
        <v>1072</v>
      </c>
      <c r="AW1454" t="s">
        <v>1073</v>
      </c>
      <c r="AX1454" t="s">
        <v>69</v>
      </c>
      <c r="AY1454" t="s">
        <v>18539</v>
      </c>
      <c r="AZ1454" t="s">
        <v>18540</v>
      </c>
      <c r="BA1454" t="s">
        <v>84</v>
      </c>
      <c r="BB1454">
        <v>2018</v>
      </c>
      <c r="BC1454">
        <v>13</v>
      </c>
      <c r="BD1454" t="s">
        <v>145</v>
      </c>
      <c r="BE1454" t="s">
        <v>69</v>
      </c>
      <c r="BF1454" t="s">
        <v>69</v>
      </c>
      <c r="BG1454" t="s">
        <v>114</v>
      </c>
      <c r="BH1454" t="s">
        <v>69</v>
      </c>
      <c r="BI1454">
        <v>226</v>
      </c>
      <c r="BJ1454">
        <v>250</v>
      </c>
      <c r="BK1454" t="s">
        <v>69</v>
      </c>
      <c r="BL1454" t="s">
        <v>1074</v>
      </c>
      <c r="BM1454" t="str">
        <f>HYPERLINK("http://dx.doi.org/10.1017/S1744133117000366","http://dx.doi.org/10.1017/S1744133117000366")</f>
        <v>http://dx.doi.org/10.1017/S1744133117000366</v>
      </c>
      <c r="BN1454" t="s">
        <v>69</v>
      </c>
      <c r="BO1454" t="s">
        <v>69</v>
      </c>
      <c r="BP1454">
        <v>25</v>
      </c>
      <c r="BQ1454" t="s">
        <v>9208</v>
      </c>
      <c r="BR1454" t="s">
        <v>8661</v>
      </c>
      <c r="BS1454" t="s">
        <v>9209</v>
      </c>
      <c r="BT1454" t="s">
        <v>18541</v>
      </c>
      <c r="BU1454" t="s">
        <v>1075</v>
      </c>
      <c r="BV1454">
        <v>29457577</v>
      </c>
      <c r="BW1454" t="s">
        <v>8622</v>
      </c>
      <c r="BX1454" t="s">
        <v>69</v>
      </c>
      <c r="BY1454" t="s">
        <v>69</v>
      </c>
      <c r="BZ1454" t="s">
        <v>8526</v>
      </c>
      <c r="CA1454" t="str">
        <f>HYPERLINK("https%3A%2F%2Fwww.webofscience.com%2Fwos%2Fwoscc%2Ffull-record%2FWOS:000456146400002","View Full Record in Web of Science")</f>
        <v>View Full Record in Web of Science</v>
      </c>
    </row>
    <row r="1455" spans="2:79" ht="12.5" x14ac:dyDescent="0.25">
      <c r="B1455" t="s">
        <v>8495</v>
      </c>
      <c r="D1455" s="22" t="s">
        <v>32931</v>
      </c>
      <c r="E1455" s="7"/>
      <c r="F1455" s="7"/>
      <c r="G1455" s="7"/>
      <c r="H1455" t="s">
        <v>67</v>
      </c>
      <c r="I1455" t="s">
        <v>32046</v>
      </c>
      <c r="J1455" t="s">
        <v>69</v>
      </c>
      <c r="K1455" t="s">
        <v>69</v>
      </c>
      <c r="L1455" t="s">
        <v>69</v>
      </c>
      <c r="M1455" t="s">
        <v>32046</v>
      </c>
      <c r="N1455" t="s">
        <v>69</v>
      </c>
      <c r="O1455" t="s">
        <v>69</v>
      </c>
      <c r="P1455" t="s">
        <v>32047</v>
      </c>
      <c r="Q1455" t="s">
        <v>32048</v>
      </c>
      <c r="R1455" t="s">
        <v>69</v>
      </c>
      <c r="S1455" t="s">
        <v>69</v>
      </c>
      <c r="T1455" t="s">
        <v>8505</v>
      </c>
      <c r="U1455" t="s">
        <v>8506</v>
      </c>
      <c r="V1455" t="s">
        <v>69</v>
      </c>
      <c r="W1455" t="s">
        <v>69</v>
      </c>
      <c r="X1455" t="s">
        <v>69</v>
      </c>
      <c r="Y1455" t="s">
        <v>69</v>
      </c>
      <c r="Z1455" t="s">
        <v>69</v>
      </c>
      <c r="AA1455" t="s">
        <v>32049</v>
      </c>
      <c r="AB1455" t="s">
        <v>69</v>
      </c>
      <c r="AC1455" t="s">
        <v>32050</v>
      </c>
      <c r="AD1455" t="s">
        <v>32051</v>
      </c>
      <c r="AE1455" t="s">
        <v>69</v>
      </c>
      <c r="AF1455" t="s">
        <v>32052</v>
      </c>
      <c r="AG1455" t="s">
        <v>69</v>
      </c>
      <c r="AH1455" t="s">
        <v>69</v>
      </c>
      <c r="AI1455" t="s">
        <v>69</v>
      </c>
      <c r="AJ1455" t="s">
        <v>69</v>
      </c>
      <c r="AK1455" t="s">
        <v>69</v>
      </c>
      <c r="AL1455" t="s">
        <v>69</v>
      </c>
      <c r="AM1455" t="s">
        <v>69</v>
      </c>
      <c r="AN1455">
        <v>6</v>
      </c>
      <c r="AO1455">
        <v>2</v>
      </c>
      <c r="AP1455">
        <v>3</v>
      </c>
      <c r="AQ1455">
        <v>0</v>
      </c>
      <c r="AR1455">
        <v>1</v>
      </c>
      <c r="AS1455" t="s">
        <v>10315</v>
      </c>
      <c r="AT1455" t="s">
        <v>8693</v>
      </c>
      <c r="AU1455" t="s">
        <v>32053</v>
      </c>
      <c r="AV1455" t="s">
        <v>32054</v>
      </c>
      <c r="AW1455" t="s">
        <v>69</v>
      </c>
      <c r="AX1455" t="s">
        <v>69</v>
      </c>
      <c r="AY1455" t="s">
        <v>32055</v>
      </c>
      <c r="AZ1455" t="s">
        <v>32056</v>
      </c>
      <c r="BA1455" t="s">
        <v>255</v>
      </c>
      <c r="BB1455">
        <v>1998</v>
      </c>
      <c r="BC1455">
        <v>47</v>
      </c>
      <c r="BD1455">
        <v>3</v>
      </c>
      <c r="BE1455">
        <v>2</v>
      </c>
      <c r="BF1455" t="s">
        <v>69</v>
      </c>
      <c r="BG1455" t="s">
        <v>114</v>
      </c>
      <c r="BH1455" t="s">
        <v>69</v>
      </c>
      <c r="BI1455">
        <v>355</v>
      </c>
      <c r="BJ1455">
        <v>360</v>
      </c>
      <c r="BK1455" t="s">
        <v>69</v>
      </c>
      <c r="BL1455" t="s">
        <v>69</v>
      </c>
      <c r="BM1455" t="s">
        <v>69</v>
      </c>
      <c r="BN1455" t="s">
        <v>69</v>
      </c>
      <c r="BO1455" t="s">
        <v>69</v>
      </c>
      <c r="BP1455">
        <v>6</v>
      </c>
      <c r="BQ1455" t="s">
        <v>32057</v>
      </c>
      <c r="BR1455" t="s">
        <v>8548</v>
      </c>
      <c r="BS1455" t="s">
        <v>30897</v>
      </c>
      <c r="BT1455" t="s">
        <v>32058</v>
      </c>
      <c r="BU1455" t="s">
        <v>32059</v>
      </c>
      <c r="BV1455" t="s">
        <v>69</v>
      </c>
      <c r="BW1455" t="s">
        <v>69</v>
      </c>
      <c r="BX1455" t="s">
        <v>69</v>
      </c>
      <c r="BY1455" t="s">
        <v>69</v>
      </c>
      <c r="BZ1455" t="s">
        <v>8526</v>
      </c>
      <c r="CA1455" t="str">
        <f>HYPERLINK("https%3A%2F%2Fwww.webofscience.com%2Fwos%2Fwoscc%2Ffull-record%2FWOS:000078121900011","View Full Record in Web of Science")</f>
        <v>View Full Record in Web of Science</v>
      </c>
    </row>
    <row r="1456" spans="2:79" ht="12.5" x14ac:dyDescent="0.25">
      <c r="B1456" t="s">
        <v>8495</v>
      </c>
      <c r="D1456" s="7" t="s">
        <v>32933</v>
      </c>
      <c r="E1456" s="7"/>
      <c r="F1456" s="7"/>
      <c r="G1456" s="7"/>
      <c r="H1456" t="s">
        <v>67</v>
      </c>
      <c r="I1456" t="s">
        <v>5940</v>
      </c>
      <c r="J1456" t="s">
        <v>69</v>
      </c>
      <c r="K1456" t="s">
        <v>69</v>
      </c>
      <c r="L1456" t="s">
        <v>69</v>
      </c>
      <c r="M1456" t="s">
        <v>5940</v>
      </c>
      <c r="N1456" t="s">
        <v>69</v>
      </c>
      <c r="O1456" t="s">
        <v>69</v>
      </c>
      <c r="P1456" t="s">
        <v>5941</v>
      </c>
      <c r="Q1456" t="s">
        <v>151</v>
      </c>
      <c r="R1456" t="s">
        <v>69</v>
      </c>
      <c r="S1456" t="s">
        <v>69</v>
      </c>
      <c r="T1456" t="s">
        <v>8505</v>
      </c>
      <c r="U1456" t="s">
        <v>8442</v>
      </c>
      <c r="V1456" t="s">
        <v>69</v>
      </c>
      <c r="W1456" t="s">
        <v>69</v>
      </c>
      <c r="X1456" t="s">
        <v>69</v>
      </c>
      <c r="Y1456" t="s">
        <v>69</v>
      </c>
      <c r="Z1456" t="s">
        <v>69</v>
      </c>
      <c r="AA1456" t="s">
        <v>31048</v>
      </c>
      <c r="AB1456" t="s">
        <v>69</v>
      </c>
      <c r="AC1456" t="s">
        <v>5942</v>
      </c>
      <c r="AD1456" t="s">
        <v>31049</v>
      </c>
      <c r="AE1456" t="s">
        <v>69</v>
      </c>
      <c r="AF1456" t="s">
        <v>31050</v>
      </c>
      <c r="AG1456" t="s">
        <v>31051</v>
      </c>
      <c r="AH1456" t="s">
        <v>31052</v>
      </c>
      <c r="AI1456" t="s">
        <v>31053</v>
      </c>
      <c r="AJ1456" t="s">
        <v>69</v>
      </c>
      <c r="AK1456" t="s">
        <v>69</v>
      </c>
      <c r="AL1456" t="s">
        <v>69</v>
      </c>
      <c r="AM1456" t="s">
        <v>69</v>
      </c>
      <c r="AN1456">
        <v>1</v>
      </c>
      <c r="AO1456">
        <v>66</v>
      </c>
      <c r="AP1456">
        <v>66</v>
      </c>
      <c r="AQ1456">
        <v>4</v>
      </c>
      <c r="AR1456">
        <v>21</v>
      </c>
      <c r="AS1456" t="s">
        <v>9145</v>
      </c>
      <c r="AT1456" t="s">
        <v>8637</v>
      </c>
      <c r="AU1456" t="s">
        <v>9146</v>
      </c>
      <c r="AV1456" t="s">
        <v>154</v>
      </c>
      <c r="AW1456" t="s">
        <v>69</v>
      </c>
      <c r="AX1456" t="s">
        <v>69</v>
      </c>
      <c r="AY1456" t="s">
        <v>12762</v>
      </c>
      <c r="AZ1456" t="s">
        <v>12763</v>
      </c>
      <c r="BA1456" t="s">
        <v>381</v>
      </c>
      <c r="BB1456">
        <v>2004</v>
      </c>
      <c r="BC1456">
        <v>8</v>
      </c>
      <c r="BD1456">
        <v>5</v>
      </c>
      <c r="BE1456" t="s">
        <v>69</v>
      </c>
      <c r="BF1456" t="s">
        <v>69</v>
      </c>
      <c r="BG1456" t="s">
        <v>69</v>
      </c>
      <c r="BH1456" t="s">
        <v>69</v>
      </c>
      <c r="BI1456">
        <v>483</v>
      </c>
      <c r="BJ1456">
        <v>491</v>
      </c>
      <c r="BK1456" t="s">
        <v>69</v>
      </c>
      <c r="BL1456" t="s">
        <v>5943</v>
      </c>
      <c r="BM1456" t="str">
        <f>HYPERLINK("http://dx.doi.org/10.1016/j.rser.2003.12.009","http://dx.doi.org/10.1016/j.rser.2003.12.009")</f>
        <v>http://dx.doi.org/10.1016/j.rser.2003.12.009</v>
      </c>
      <c r="BN1456" t="s">
        <v>69</v>
      </c>
      <c r="BO1456" t="s">
        <v>69</v>
      </c>
      <c r="BP1456">
        <v>9</v>
      </c>
      <c r="BQ1456" t="s">
        <v>9931</v>
      </c>
      <c r="BR1456" t="s">
        <v>8548</v>
      </c>
      <c r="BS1456" t="s">
        <v>9932</v>
      </c>
      <c r="BT1456" t="s">
        <v>31054</v>
      </c>
      <c r="BU1456" t="s">
        <v>5944</v>
      </c>
      <c r="BV1456" t="s">
        <v>69</v>
      </c>
      <c r="BW1456" t="s">
        <v>69</v>
      </c>
      <c r="BX1456" t="s">
        <v>69</v>
      </c>
      <c r="BY1456" t="s">
        <v>69</v>
      </c>
      <c r="BZ1456" t="s">
        <v>8526</v>
      </c>
      <c r="CA1456" t="str">
        <f>HYPERLINK("https%3A%2F%2Fwww.webofscience.com%2Fwos%2Fwoscc%2Ffull-record%2FWOS:000224114100004","View Full Record in Web of Science")</f>
        <v>View Full Record in Web of Science</v>
      </c>
    </row>
    <row r="1457" spans="2:79" ht="12.5" x14ac:dyDescent="0.25">
      <c r="B1457" t="s">
        <v>8495</v>
      </c>
      <c r="D1457" s="7" t="s">
        <v>32933</v>
      </c>
      <c r="E1457" s="7"/>
      <c r="F1457" s="7"/>
      <c r="G1457" s="7"/>
      <c r="H1457" t="s">
        <v>67</v>
      </c>
      <c r="I1457" t="s">
        <v>6042</v>
      </c>
      <c r="J1457" t="s">
        <v>69</v>
      </c>
      <c r="K1457" t="s">
        <v>69</v>
      </c>
      <c r="L1457" t="s">
        <v>69</v>
      </c>
      <c r="M1457" t="s">
        <v>6043</v>
      </c>
      <c r="N1457" t="s">
        <v>69</v>
      </c>
      <c r="O1457" t="s">
        <v>69</v>
      </c>
      <c r="P1457" t="s">
        <v>6044</v>
      </c>
      <c r="Q1457" t="s">
        <v>6045</v>
      </c>
      <c r="R1457" t="s">
        <v>69</v>
      </c>
      <c r="S1457" t="s">
        <v>69</v>
      </c>
      <c r="T1457" t="s">
        <v>10071</v>
      </c>
      <c r="U1457" t="s">
        <v>8506</v>
      </c>
      <c r="V1457" t="s">
        <v>69</v>
      </c>
      <c r="W1457" t="s">
        <v>69</v>
      </c>
      <c r="X1457" t="s">
        <v>69</v>
      </c>
      <c r="Y1457" t="s">
        <v>69</v>
      </c>
      <c r="Z1457" t="s">
        <v>69</v>
      </c>
      <c r="AA1457" t="s">
        <v>25819</v>
      </c>
      <c r="AB1457" t="s">
        <v>69</v>
      </c>
      <c r="AC1457" t="s">
        <v>6046</v>
      </c>
      <c r="AD1457" t="s">
        <v>25820</v>
      </c>
      <c r="AE1457" t="s">
        <v>69</v>
      </c>
      <c r="AF1457" t="s">
        <v>25821</v>
      </c>
      <c r="AG1457" t="s">
        <v>69</v>
      </c>
      <c r="AH1457" t="s">
        <v>69</v>
      </c>
      <c r="AI1457" t="s">
        <v>69</v>
      </c>
      <c r="AJ1457" t="s">
        <v>69</v>
      </c>
      <c r="AK1457" t="s">
        <v>69</v>
      </c>
      <c r="AL1457" t="s">
        <v>69</v>
      </c>
      <c r="AM1457" t="s">
        <v>69</v>
      </c>
      <c r="AN1457">
        <v>31</v>
      </c>
      <c r="AO1457">
        <v>0</v>
      </c>
      <c r="AP1457">
        <v>0</v>
      </c>
      <c r="AQ1457">
        <v>0</v>
      </c>
      <c r="AR1457">
        <v>0</v>
      </c>
      <c r="AS1457" t="s">
        <v>16203</v>
      </c>
      <c r="AT1457" t="s">
        <v>16204</v>
      </c>
      <c r="AU1457" t="s">
        <v>16205</v>
      </c>
      <c r="AV1457" t="s">
        <v>6047</v>
      </c>
      <c r="AW1457" t="s">
        <v>6048</v>
      </c>
      <c r="AX1457" t="s">
        <v>69</v>
      </c>
      <c r="AY1457" t="s">
        <v>25822</v>
      </c>
      <c r="AZ1457" t="s">
        <v>25823</v>
      </c>
      <c r="BA1457" t="s">
        <v>1053</v>
      </c>
      <c r="BB1457">
        <v>2012</v>
      </c>
      <c r="BC1457">
        <v>72</v>
      </c>
      <c r="BD1457">
        <v>256</v>
      </c>
      <c r="BE1457" t="s">
        <v>69</v>
      </c>
      <c r="BF1457" t="s">
        <v>69</v>
      </c>
      <c r="BG1457" t="s">
        <v>69</v>
      </c>
      <c r="BH1457" t="s">
        <v>69</v>
      </c>
      <c r="BI1457">
        <v>771</v>
      </c>
      <c r="BJ1457">
        <v>797</v>
      </c>
      <c r="BK1457" t="s">
        <v>69</v>
      </c>
      <c r="BL1457" t="s">
        <v>6049</v>
      </c>
      <c r="BM1457" t="str">
        <f>HYPERLINK("http://dx.doi.org/10.3989/revindias.2012.25","http://dx.doi.org/10.3989/revindias.2012.25")</f>
        <v>http://dx.doi.org/10.3989/revindias.2012.25</v>
      </c>
      <c r="BN1457" t="s">
        <v>69</v>
      </c>
      <c r="BO1457" t="s">
        <v>69</v>
      </c>
      <c r="BP1457">
        <v>27</v>
      </c>
      <c r="BQ1457" t="s">
        <v>18520</v>
      </c>
      <c r="BR1457" t="s">
        <v>11207</v>
      </c>
      <c r="BS1457" t="s">
        <v>18520</v>
      </c>
      <c r="BT1457" t="s">
        <v>25824</v>
      </c>
      <c r="BU1457" t="s">
        <v>6050</v>
      </c>
      <c r="BV1457" t="s">
        <v>69</v>
      </c>
      <c r="BW1457" t="s">
        <v>12220</v>
      </c>
      <c r="BX1457" t="s">
        <v>69</v>
      </c>
      <c r="BY1457" t="s">
        <v>69</v>
      </c>
      <c r="BZ1457" t="s">
        <v>8526</v>
      </c>
      <c r="CA1457" t="str">
        <f>HYPERLINK("https%3A%2F%2Fwww.webofscience.com%2Fwos%2Fwoscc%2Ffull-record%2FWOS:000209003600006","View Full Record in Web of Science")</f>
        <v>View Full Record in Web of Science</v>
      </c>
    </row>
    <row r="1458" spans="2:79" ht="12.5" x14ac:dyDescent="0.25">
      <c r="B1458" t="s">
        <v>8495</v>
      </c>
      <c r="D1458" s="7" t="s">
        <v>32933</v>
      </c>
      <c r="E1458" s="7"/>
      <c r="F1458" s="7"/>
      <c r="G1458" s="7"/>
      <c r="H1458" t="s">
        <v>67</v>
      </c>
      <c r="I1458" t="s">
        <v>2278</v>
      </c>
      <c r="J1458" t="s">
        <v>69</v>
      </c>
      <c r="K1458" t="s">
        <v>69</v>
      </c>
      <c r="L1458" t="s">
        <v>69</v>
      </c>
      <c r="M1458" t="s">
        <v>2279</v>
      </c>
      <c r="N1458" t="s">
        <v>69</v>
      </c>
      <c r="O1458" t="s">
        <v>69</v>
      </c>
      <c r="P1458" t="s">
        <v>2280</v>
      </c>
      <c r="Q1458" t="s">
        <v>352</v>
      </c>
      <c r="R1458" t="s">
        <v>69</v>
      </c>
      <c r="S1458" t="s">
        <v>69</v>
      </c>
      <c r="T1458" t="s">
        <v>8505</v>
      </c>
      <c r="U1458" t="s">
        <v>8506</v>
      </c>
      <c r="V1458" t="s">
        <v>69</v>
      </c>
      <c r="W1458" t="s">
        <v>69</v>
      </c>
      <c r="X1458" t="s">
        <v>69</v>
      </c>
      <c r="Y1458" t="s">
        <v>69</v>
      </c>
      <c r="Z1458" t="s">
        <v>69</v>
      </c>
      <c r="AA1458" t="s">
        <v>17351</v>
      </c>
      <c r="AB1458" t="s">
        <v>17352</v>
      </c>
      <c r="AC1458" t="s">
        <v>2281</v>
      </c>
      <c r="AD1458" t="s">
        <v>17353</v>
      </c>
      <c r="AE1458" t="s">
        <v>69</v>
      </c>
      <c r="AF1458" t="s">
        <v>17354</v>
      </c>
      <c r="AG1458" t="s">
        <v>17355</v>
      </c>
      <c r="AH1458" t="s">
        <v>17356</v>
      </c>
      <c r="AI1458" t="s">
        <v>2282</v>
      </c>
      <c r="AJ1458" t="s">
        <v>17357</v>
      </c>
      <c r="AK1458" t="s">
        <v>17358</v>
      </c>
      <c r="AL1458" t="s">
        <v>17359</v>
      </c>
      <c r="AM1458" t="s">
        <v>69</v>
      </c>
      <c r="AN1458">
        <v>51</v>
      </c>
      <c r="AO1458">
        <v>7</v>
      </c>
      <c r="AP1458">
        <v>7</v>
      </c>
      <c r="AQ1458">
        <v>9</v>
      </c>
      <c r="AR1458">
        <v>62</v>
      </c>
      <c r="AS1458" t="s">
        <v>8924</v>
      </c>
      <c r="AT1458" t="s">
        <v>8925</v>
      </c>
      <c r="AU1458" t="s">
        <v>8926</v>
      </c>
      <c r="AV1458" t="s">
        <v>69</v>
      </c>
      <c r="AW1458" t="s">
        <v>354</v>
      </c>
      <c r="AX1458" t="s">
        <v>69</v>
      </c>
      <c r="AY1458" t="s">
        <v>8958</v>
      </c>
      <c r="AZ1458" t="s">
        <v>8434</v>
      </c>
      <c r="BA1458" t="s">
        <v>1245</v>
      </c>
      <c r="BB1458">
        <v>2019</v>
      </c>
      <c r="BC1458">
        <v>11</v>
      </c>
      <c r="BD1458">
        <v>8</v>
      </c>
      <c r="BE1458" t="s">
        <v>69</v>
      </c>
      <c r="BF1458" t="s">
        <v>69</v>
      </c>
      <c r="BG1458" t="s">
        <v>69</v>
      </c>
      <c r="BH1458" t="s">
        <v>69</v>
      </c>
      <c r="BI1458" t="s">
        <v>69</v>
      </c>
      <c r="BJ1458" t="s">
        <v>69</v>
      </c>
      <c r="BK1458">
        <v>2216</v>
      </c>
      <c r="BL1458" t="s">
        <v>2283</v>
      </c>
      <c r="BM1458" t="str">
        <f>HYPERLINK("http://dx.doi.org/10.3390/su11082216","http://dx.doi.org/10.3390/su11082216")</f>
        <v>http://dx.doi.org/10.3390/su11082216</v>
      </c>
      <c r="BN1458" t="s">
        <v>69</v>
      </c>
      <c r="BO1458" t="s">
        <v>69</v>
      </c>
      <c r="BP1458">
        <v>16</v>
      </c>
      <c r="BQ1458" t="s">
        <v>8960</v>
      </c>
      <c r="BR1458" t="s">
        <v>8523</v>
      </c>
      <c r="BS1458" t="s">
        <v>8961</v>
      </c>
      <c r="BT1458" t="s">
        <v>17360</v>
      </c>
      <c r="BU1458" t="s">
        <v>2284</v>
      </c>
      <c r="BV1458" t="s">
        <v>69</v>
      </c>
      <c r="BW1458" t="s">
        <v>17361</v>
      </c>
      <c r="BX1458" t="s">
        <v>69</v>
      </c>
      <c r="BY1458" t="s">
        <v>69</v>
      </c>
      <c r="BZ1458" t="s">
        <v>8526</v>
      </c>
      <c r="CA1458" t="str">
        <f>HYPERLINK("https%3A%2F%2Fwww.webofscience.com%2Fwos%2Fwoscc%2Ffull-record%2FWOS:000467752200029","View Full Record in Web of Science")</f>
        <v>View Full Record in Web of Science</v>
      </c>
    </row>
    <row r="1459" spans="2:79" ht="12.5" x14ac:dyDescent="0.25">
      <c r="B1459" t="s">
        <v>8495</v>
      </c>
      <c r="D1459" s="22" t="s">
        <v>32931</v>
      </c>
      <c r="E1459" s="7"/>
      <c r="F1459" s="7"/>
      <c r="G1459" s="7"/>
      <c r="H1459" t="s">
        <v>67</v>
      </c>
      <c r="I1459" t="s">
        <v>11211</v>
      </c>
      <c r="J1459" t="s">
        <v>69</v>
      </c>
      <c r="K1459" t="s">
        <v>69</v>
      </c>
      <c r="L1459" t="s">
        <v>69</v>
      </c>
      <c r="M1459" t="s">
        <v>11212</v>
      </c>
      <c r="N1459" t="s">
        <v>69</v>
      </c>
      <c r="O1459" t="s">
        <v>69</v>
      </c>
      <c r="P1459" t="s">
        <v>11213</v>
      </c>
      <c r="Q1459" t="s">
        <v>8256</v>
      </c>
      <c r="R1459" t="s">
        <v>69</v>
      </c>
      <c r="S1459" t="s">
        <v>69</v>
      </c>
      <c r="T1459" t="s">
        <v>8505</v>
      </c>
      <c r="U1459" t="s">
        <v>8506</v>
      </c>
      <c r="V1459" t="s">
        <v>69</v>
      </c>
      <c r="W1459" t="s">
        <v>69</v>
      </c>
      <c r="X1459" t="s">
        <v>69</v>
      </c>
      <c r="Y1459" t="s">
        <v>69</v>
      </c>
      <c r="Z1459" t="s">
        <v>69</v>
      </c>
      <c r="AA1459" t="s">
        <v>11214</v>
      </c>
      <c r="AB1459" t="s">
        <v>11215</v>
      </c>
      <c r="AC1459" t="s">
        <v>11216</v>
      </c>
      <c r="AD1459" t="s">
        <v>11217</v>
      </c>
      <c r="AE1459" t="s">
        <v>69</v>
      </c>
      <c r="AF1459" t="s">
        <v>11218</v>
      </c>
      <c r="AG1459" t="s">
        <v>11219</v>
      </c>
      <c r="AH1459" t="s">
        <v>69</v>
      </c>
      <c r="AI1459" t="s">
        <v>11220</v>
      </c>
      <c r="AJ1459" t="s">
        <v>11221</v>
      </c>
      <c r="AK1459" t="s">
        <v>11222</v>
      </c>
      <c r="AL1459" t="s">
        <v>11223</v>
      </c>
      <c r="AM1459" t="s">
        <v>69</v>
      </c>
      <c r="AN1459">
        <v>69</v>
      </c>
      <c r="AO1459">
        <v>6</v>
      </c>
      <c r="AP1459">
        <v>6</v>
      </c>
      <c r="AQ1459">
        <v>16</v>
      </c>
      <c r="AR1459">
        <v>25</v>
      </c>
      <c r="AS1459" t="s">
        <v>8924</v>
      </c>
      <c r="AT1459" t="s">
        <v>8925</v>
      </c>
      <c r="AU1459" t="s">
        <v>8926</v>
      </c>
      <c r="AV1459" t="s">
        <v>69</v>
      </c>
      <c r="AW1459" t="s">
        <v>8258</v>
      </c>
      <c r="AX1459" t="s">
        <v>69</v>
      </c>
      <c r="AY1459" t="s">
        <v>8927</v>
      </c>
      <c r="AZ1459" t="s">
        <v>8928</v>
      </c>
      <c r="BA1459" t="s">
        <v>381</v>
      </c>
      <c r="BB1459">
        <v>2021</v>
      </c>
      <c r="BC1459">
        <v>10</v>
      </c>
      <c r="BD1459">
        <v>10</v>
      </c>
      <c r="BE1459" t="s">
        <v>69</v>
      </c>
      <c r="BF1459" t="s">
        <v>69</v>
      </c>
      <c r="BG1459" t="s">
        <v>69</v>
      </c>
      <c r="BH1459" t="s">
        <v>69</v>
      </c>
      <c r="BI1459" t="s">
        <v>69</v>
      </c>
      <c r="BJ1459" t="s">
        <v>69</v>
      </c>
      <c r="BK1459">
        <v>1002</v>
      </c>
      <c r="BL1459" t="s">
        <v>11224</v>
      </c>
      <c r="BM1459" t="str">
        <f>HYPERLINK("http://dx.doi.org/10.3390/land10101002","http://dx.doi.org/10.3390/land10101002")</f>
        <v>http://dx.doi.org/10.3390/land10101002</v>
      </c>
      <c r="BN1459" t="s">
        <v>69</v>
      </c>
      <c r="BO1459" t="s">
        <v>69</v>
      </c>
      <c r="BP1459">
        <v>29</v>
      </c>
      <c r="BQ1459" t="s">
        <v>8660</v>
      </c>
      <c r="BR1459" t="s">
        <v>8661</v>
      </c>
      <c r="BS1459" t="s">
        <v>8662</v>
      </c>
      <c r="BT1459" t="s">
        <v>11225</v>
      </c>
      <c r="BU1459" t="s">
        <v>11226</v>
      </c>
      <c r="BV1459" t="s">
        <v>69</v>
      </c>
      <c r="BW1459" t="s">
        <v>8931</v>
      </c>
      <c r="BX1459" t="s">
        <v>69</v>
      </c>
      <c r="BY1459" t="s">
        <v>69</v>
      </c>
      <c r="BZ1459" t="s">
        <v>8526</v>
      </c>
      <c r="CA1459" t="str">
        <f>HYPERLINK("https%3A%2F%2Fwww.webofscience.com%2Fwos%2Fwoscc%2Ffull-record%2FWOS:000717082300001","View Full Record in Web of Science")</f>
        <v>View Full Record in Web of Science</v>
      </c>
    </row>
    <row r="1460" spans="2:79" ht="12.5" x14ac:dyDescent="0.25">
      <c r="B1460" t="s">
        <v>8495</v>
      </c>
      <c r="D1460" s="22" t="s">
        <v>32931</v>
      </c>
      <c r="E1460" s="7"/>
      <c r="F1460" s="7"/>
      <c r="G1460" s="7"/>
      <c r="H1460" t="s">
        <v>67</v>
      </c>
      <c r="I1460" t="s">
        <v>9752</v>
      </c>
      <c r="J1460" t="s">
        <v>69</v>
      </c>
      <c r="K1460" t="s">
        <v>69</v>
      </c>
      <c r="L1460" t="s">
        <v>69</v>
      </c>
      <c r="M1460" t="s">
        <v>9753</v>
      </c>
      <c r="N1460" t="s">
        <v>69</v>
      </c>
      <c r="O1460" t="s">
        <v>69</v>
      </c>
      <c r="P1460" t="s">
        <v>9754</v>
      </c>
      <c r="Q1460" t="s">
        <v>8256</v>
      </c>
      <c r="R1460" t="s">
        <v>69</v>
      </c>
      <c r="S1460" t="s">
        <v>69</v>
      </c>
      <c r="T1460" t="s">
        <v>8505</v>
      </c>
      <c r="U1460" t="s">
        <v>8506</v>
      </c>
      <c r="V1460" t="s">
        <v>69</v>
      </c>
      <c r="W1460" t="s">
        <v>69</v>
      </c>
      <c r="X1460" t="s">
        <v>69</v>
      </c>
      <c r="Y1460" t="s">
        <v>69</v>
      </c>
      <c r="Z1460" t="s">
        <v>69</v>
      </c>
      <c r="AA1460" t="s">
        <v>9755</v>
      </c>
      <c r="AB1460" t="s">
        <v>9756</v>
      </c>
      <c r="AC1460" t="s">
        <v>9757</v>
      </c>
      <c r="AD1460" t="s">
        <v>9758</v>
      </c>
      <c r="AE1460" t="s">
        <v>69</v>
      </c>
      <c r="AF1460" t="s">
        <v>9759</v>
      </c>
      <c r="AG1460" t="s">
        <v>9760</v>
      </c>
      <c r="AH1460" t="s">
        <v>69</v>
      </c>
      <c r="AI1460" t="s">
        <v>9761</v>
      </c>
      <c r="AJ1460" t="s">
        <v>9762</v>
      </c>
      <c r="AK1460" t="s">
        <v>9763</v>
      </c>
      <c r="AL1460" t="s">
        <v>9764</v>
      </c>
      <c r="AM1460" t="s">
        <v>69</v>
      </c>
      <c r="AN1460">
        <v>153</v>
      </c>
      <c r="AO1460">
        <v>3</v>
      </c>
      <c r="AP1460">
        <v>3</v>
      </c>
      <c r="AQ1460">
        <v>18</v>
      </c>
      <c r="AR1460">
        <v>18</v>
      </c>
      <c r="AS1460" t="s">
        <v>8924</v>
      </c>
      <c r="AT1460" t="s">
        <v>8925</v>
      </c>
      <c r="AU1460" t="s">
        <v>8926</v>
      </c>
      <c r="AV1460" t="s">
        <v>69</v>
      </c>
      <c r="AW1460" t="s">
        <v>8258</v>
      </c>
      <c r="AX1460" t="s">
        <v>69</v>
      </c>
      <c r="AY1460" t="s">
        <v>8927</v>
      </c>
      <c r="AZ1460" t="s">
        <v>8928</v>
      </c>
      <c r="BA1460" t="s">
        <v>94</v>
      </c>
      <c r="BB1460">
        <v>2022</v>
      </c>
      <c r="BC1460">
        <v>11</v>
      </c>
      <c r="BD1460">
        <v>3</v>
      </c>
      <c r="BE1460" t="s">
        <v>69</v>
      </c>
      <c r="BF1460" t="s">
        <v>69</v>
      </c>
      <c r="BG1460" t="s">
        <v>69</v>
      </c>
      <c r="BH1460" t="s">
        <v>69</v>
      </c>
      <c r="BI1460" t="s">
        <v>69</v>
      </c>
      <c r="BJ1460" t="s">
        <v>69</v>
      </c>
      <c r="BK1460">
        <v>415</v>
      </c>
      <c r="BL1460" t="s">
        <v>9765</v>
      </c>
      <c r="BM1460" t="str">
        <f>HYPERLINK("http://dx.doi.org/10.3390/land11030415","http://dx.doi.org/10.3390/land11030415")</f>
        <v>http://dx.doi.org/10.3390/land11030415</v>
      </c>
      <c r="BN1460" t="s">
        <v>69</v>
      </c>
      <c r="BO1460" t="s">
        <v>69</v>
      </c>
      <c r="BP1460">
        <v>34</v>
      </c>
      <c r="BQ1460" t="s">
        <v>8660</v>
      </c>
      <c r="BR1460" t="s">
        <v>8661</v>
      </c>
      <c r="BS1460" t="s">
        <v>8662</v>
      </c>
      <c r="BT1460" t="s">
        <v>9766</v>
      </c>
      <c r="BU1460" t="s">
        <v>9767</v>
      </c>
      <c r="BV1460" t="s">
        <v>69</v>
      </c>
      <c r="BW1460" t="s">
        <v>8931</v>
      </c>
      <c r="BX1460" t="s">
        <v>69</v>
      </c>
      <c r="BY1460" t="s">
        <v>69</v>
      </c>
      <c r="BZ1460" t="s">
        <v>8526</v>
      </c>
      <c r="CA1460" t="str">
        <f>HYPERLINK("https%3A%2F%2Fwww.webofscience.com%2Fwos%2Fwoscc%2Ffull-record%2FWOS:000775021400001","View Full Record in Web of Science")</f>
        <v>View Full Record in Web of Science</v>
      </c>
    </row>
    <row r="1461" spans="2:79" ht="12.5" x14ac:dyDescent="0.25">
      <c r="B1461" t="s">
        <v>8495</v>
      </c>
      <c r="D1461" s="7" t="s">
        <v>32933</v>
      </c>
      <c r="E1461" s="7"/>
      <c r="F1461" s="7"/>
      <c r="G1461" s="7"/>
      <c r="H1461" t="s">
        <v>67</v>
      </c>
      <c r="I1461" t="s">
        <v>6608</v>
      </c>
      <c r="J1461" t="s">
        <v>69</v>
      </c>
      <c r="K1461" t="s">
        <v>69</v>
      </c>
      <c r="L1461" t="s">
        <v>69</v>
      </c>
      <c r="M1461" t="s">
        <v>6609</v>
      </c>
      <c r="N1461" t="s">
        <v>69</v>
      </c>
      <c r="O1461" t="s">
        <v>69</v>
      </c>
      <c r="P1461" t="s">
        <v>6610</v>
      </c>
      <c r="Q1461" t="s">
        <v>6611</v>
      </c>
      <c r="R1461" t="s">
        <v>69</v>
      </c>
      <c r="S1461" t="s">
        <v>69</v>
      </c>
      <c r="T1461" t="s">
        <v>8505</v>
      </c>
      <c r="U1461" t="s">
        <v>8506</v>
      </c>
      <c r="V1461" t="s">
        <v>69</v>
      </c>
      <c r="W1461" t="s">
        <v>69</v>
      </c>
      <c r="X1461" t="s">
        <v>69</v>
      </c>
      <c r="Y1461" t="s">
        <v>69</v>
      </c>
      <c r="Z1461" t="s">
        <v>69</v>
      </c>
      <c r="AA1461" t="s">
        <v>22559</v>
      </c>
      <c r="AB1461" t="s">
        <v>69</v>
      </c>
      <c r="AC1461" t="s">
        <v>6612</v>
      </c>
      <c r="AD1461" t="s">
        <v>22560</v>
      </c>
      <c r="AE1461" t="s">
        <v>69</v>
      </c>
      <c r="AF1461" t="s">
        <v>22561</v>
      </c>
      <c r="AG1461" t="s">
        <v>22562</v>
      </c>
      <c r="AH1461" t="s">
        <v>69</v>
      </c>
      <c r="AI1461" t="s">
        <v>69</v>
      </c>
      <c r="AJ1461" t="s">
        <v>69</v>
      </c>
      <c r="AK1461" t="s">
        <v>69</v>
      </c>
      <c r="AL1461" t="s">
        <v>69</v>
      </c>
      <c r="AM1461" t="s">
        <v>69</v>
      </c>
      <c r="AN1461">
        <v>10</v>
      </c>
      <c r="AO1461">
        <v>8</v>
      </c>
      <c r="AP1461">
        <v>9</v>
      </c>
      <c r="AQ1461">
        <v>1</v>
      </c>
      <c r="AR1461">
        <v>16</v>
      </c>
      <c r="AS1461" t="s">
        <v>8865</v>
      </c>
      <c r="AT1461" t="s">
        <v>8612</v>
      </c>
      <c r="AU1461" t="s">
        <v>22341</v>
      </c>
      <c r="AV1461" t="s">
        <v>6613</v>
      </c>
      <c r="AW1461" t="s">
        <v>6614</v>
      </c>
      <c r="AX1461" t="s">
        <v>69</v>
      </c>
      <c r="AY1461" t="s">
        <v>6611</v>
      </c>
      <c r="AZ1461" t="s">
        <v>22563</v>
      </c>
      <c r="BA1461" t="s">
        <v>933</v>
      </c>
      <c r="BB1461">
        <v>2015</v>
      </c>
      <c r="BC1461">
        <v>12</v>
      </c>
      <c r="BD1461">
        <v>4</v>
      </c>
      <c r="BE1461" t="s">
        <v>69</v>
      </c>
      <c r="BF1461" t="s">
        <v>69</v>
      </c>
      <c r="BG1461" t="s">
        <v>114</v>
      </c>
      <c r="BH1461" t="s">
        <v>69</v>
      </c>
      <c r="BI1461">
        <v>576</v>
      </c>
      <c r="BJ1461">
        <v>580</v>
      </c>
      <c r="BK1461" t="s">
        <v>69</v>
      </c>
      <c r="BL1461" t="s">
        <v>6615</v>
      </c>
      <c r="BM1461" t="str">
        <f>HYPERLINK("http://dx.doi.org/10.1080/14747731.2015.1033173","http://dx.doi.org/10.1080/14747731.2015.1033173")</f>
        <v>http://dx.doi.org/10.1080/14747731.2015.1033173</v>
      </c>
      <c r="BN1461" t="s">
        <v>69</v>
      </c>
      <c r="BO1461" t="s">
        <v>69</v>
      </c>
      <c r="BP1461">
        <v>5</v>
      </c>
      <c r="BQ1461" t="s">
        <v>22564</v>
      </c>
      <c r="BR1461" t="s">
        <v>8661</v>
      </c>
      <c r="BS1461" t="s">
        <v>22565</v>
      </c>
      <c r="BT1461" t="s">
        <v>22566</v>
      </c>
      <c r="BU1461" t="s">
        <v>6616</v>
      </c>
      <c r="BV1461" t="s">
        <v>69</v>
      </c>
      <c r="BW1461" t="s">
        <v>69</v>
      </c>
      <c r="BX1461" t="s">
        <v>69</v>
      </c>
      <c r="BY1461" t="s">
        <v>69</v>
      </c>
      <c r="BZ1461" t="s">
        <v>8526</v>
      </c>
      <c r="CA1461" t="str">
        <f>HYPERLINK("https%3A%2F%2Fwww.webofscience.com%2Fwos%2Fwoscc%2Ffull-record%2FWOS:000356236600011","View Full Record in Web of Science")</f>
        <v>View Full Record in Web of Science</v>
      </c>
    </row>
    <row r="1462" spans="2:79" ht="12.5" x14ac:dyDescent="0.25">
      <c r="B1462" t="s">
        <v>8495</v>
      </c>
      <c r="D1462" s="7" t="s">
        <v>32933</v>
      </c>
      <c r="E1462" s="7"/>
      <c r="F1462" s="7"/>
      <c r="G1462" s="7"/>
      <c r="H1462" t="s">
        <v>67</v>
      </c>
      <c r="I1462" t="s">
        <v>8210</v>
      </c>
      <c r="J1462" t="s">
        <v>69</v>
      </c>
      <c r="K1462" t="s">
        <v>69</v>
      </c>
      <c r="L1462" t="s">
        <v>69</v>
      </c>
      <c r="M1462" t="s">
        <v>8211</v>
      </c>
      <c r="N1462" t="s">
        <v>69</v>
      </c>
      <c r="O1462" t="s">
        <v>69</v>
      </c>
      <c r="P1462" t="s">
        <v>8212</v>
      </c>
      <c r="Q1462" t="s">
        <v>2027</v>
      </c>
      <c r="R1462" t="s">
        <v>69</v>
      </c>
      <c r="S1462" t="s">
        <v>69</v>
      </c>
      <c r="T1462" t="s">
        <v>8505</v>
      </c>
      <c r="U1462" t="s">
        <v>8506</v>
      </c>
      <c r="V1462" t="s">
        <v>69</v>
      </c>
      <c r="W1462" t="s">
        <v>69</v>
      </c>
      <c r="X1462" t="s">
        <v>69</v>
      </c>
      <c r="Y1462" t="s">
        <v>69</v>
      </c>
      <c r="Z1462" t="s">
        <v>69</v>
      </c>
      <c r="AA1462" t="s">
        <v>29206</v>
      </c>
      <c r="AB1462" t="s">
        <v>29207</v>
      </c>
      <c r="AC1462" t="s">
        <v>8213</v>
      </c>
      <c r="AD1462" t="s">
        <v>29208</v>
      </c>
      <c r="AE1462" t="s">
        <v>69</v>
      </c>
      <c r="AF1462" t="s">
        <v>29209</v>
      </c>
      <c r="AG1462" t="s">
        <v>29210</v>
      </c>
      <c r="AH1462" t="s">
        <v>69</v>
      </c>
      <c r="AI1462" t="s">
        <v>69</v>
      </c>
      <c r="AJ1462" t="s">
        <v>69</v>
      </c>
      <c r="AK1462" t="s">
        <v>69</v>
      </c>
      <c r="AL1462" t="s">
        <v>69</v>
      </c>
      <c r="AM1462" t="s">
        <v>69</v>
      </c>
      <c r="AN1462">
        <v>69</v>
      </c>
      <c r="AO1462">
        <v>85</v>
      </c>
      <c r="AP1462">
        <v>93</v>
      </c>
      <c r="AQ1462">
        <v>4</v>
      </c>
      <c r="AR1462">
        <v>94</v>
      </c>
      <c r="AS1462" t="s">
        <v>17140</v>
      </c>
      <c r="AT1462" t="s">
        <v>8517</v>
      </c>
      <c r="AU1462" t="s">
        <v>17141</v>
      </c>
      <c r="AV1462" t="s">
        <v>2029</v>
      </c>
      <c r="AW1462" t="s">
        <v>69</v>
      </c>
      <c r="AX1462" t="s">
        <v>69</v>
      </c>
      <c r="AY1462" t="s">
        <v>2027</v>
      </c>
      <c r="AZ1462" t="s">
        <v>15875</v>
      </c>
      <c r="BA1462" t="s">
        <v>84</v>
      </c>
      <c r="BB1462">
        <v>2008</v>
      </c>
      <c r="BC1462">
        <v>28</v>
      </c>
      <c r="BD1462">
        <v>7</v>
      </c>
      <c r="BE1462" t="s">
        <v>69</v>
      </c>
      <c r="BF1462" t="s">
        <v>69</v>
      </c>
      <c r="BG1462" t="s">
        <v>69</v>
      </c>
      <c r="BH1462" t="s">
        <v>69</v>
      </c>
      <c r="BI1462">
        <v>436</v>
      </c>
      <c r="BJ1462">
        <v>449</v>
      </c>
      <c r="BK1462" t="s">
        <v>69</v>
      </c>
      <c r="BL1462" t="s">
        <v>8214</v>
      </c>
      <c r="BM1462" t="str">
        <f>HYPERLINK("http://dx.doi.org/10.1016/j.technovation.2008.02.003","http://dx.doi.org/10.1016/j.technovation.2008.02.003")</f>
        <v>http://dx.doi.org/10.1016/j.technovation.2008.02.003</v>
      </c>
      <c r="BN1462" t="s">
        <v>69</v>
      </c>
      <c r="BO1462" t="s">
        <v>69</v>
      </c>
      <c r="BP1462">
        <v>14</v>
      </c>
      <c r="BQ1462" t="s">
        <v>15876</v>
      </c>
      <c r="BR1462" t="s">
        <v>8523</v>
      </c>
      <c r="BS1462" t="s">
        <v>15877</v>
      </c>
      <c r="BT1462" t="s">
        <v>29211</v>
      </c>
      <c r="BU1462" t="s">
        <v>8215</v>
      </c>
      <c r="BV1462" t="s">
        <v>69</v>
      </c>
      <c r="BW1462" t="s">
        <v>69</v>
      </c>
      <c r="BX1462" t="s">
        <v>69</v>
      </c>
      <c r="BY1462" t="s">
        <v>69</v>
      </c>
      <c r="BZ1462" t="s">
        <v>8526</v>
      </c>
      <c r="CA1462" t="str">
        <f>HYPERLINK("https%3A%2F%2Fwww.webofscience.com%2Fwos%2Fwoscc%2Ffull-record%2FWOS:000257236200004","View Full Record in Web of Science")</f>
        <v>View Full Record in Web of Science</v>
      </c>
    </row>
    <row r="1463" spans="2:79" ht="12.5" x14ac:dyDescent="0.25">
      <c r="B1463" t="s">
        <v>8495</v>
      </c>
      <c r="D1463" s="22" t="s">
        <v>32931</v>
      </c>
      <c r="E1463" s="7"/>
      <c r="F1463" s="7"/>
      <c r="G1463" s="7"/>
      <c r="H1463" t="s">
        <v>67</v>
      </c>
      <c r="I1463" t="s">
        <v>20339</v>
      </c>
      <c r="J1463" t="s">
        <v>69</v>
      </c>
      <c r="K1463" t="s">
        <v>69</v>
      </c>
      <c r="L1463" t="s">
        <v>69</v>
      </c>
      <c r="M1463" t="s">
        <v>20340</v>
      </c>
      <c r="N1463" t="s">
        <v>69</v>
      </c>
      <c r="O1463" t="s">
        <v>69</v>
      </c>
      <c r="P1463" t="s">
        <v>20341</v>
      </c>
      <c r="Q1463" t="s">
        <v>20342</v>
      </c>
      <c r="R1463" t="s">
        <v>69</v>
      </c>
      <c r="S1463" t="s">
        <v>69</v>
      </c>
      <c r="T1463" t="s">
        <v>8505</v>
      </c>
      <c r="U1463" t="s">
        <v>8506</v>
      </c>
      <c r="V1463" t="s">
        <v>69</v>
      </c>
      <c r="W1463" t="s">
        <v>69</v>
      </c>
      <c r="X1463" t="s">
        <v>69</v>
      </c>
      <c r="Y1463" t="s">
        <v>69</v>
      </c>
      <c r="Z1463" t="s">
        <v>69</v>
      </c>
      <c r="AA1463" t="s">
        <v>69</v>
      </c>
      <c r="AB1463" t="s">
        <v>20343</v>
      </c>
      <c r="AC1463" t="s">
        <v>20344</v>
      </c>
      <c r="AD1463" t="s">
        <v>20345</v>
      </c>
      <c r="AE1463" t="s">
        <v>69</v>
      </c>
      <c r="AF1463" t="s">
        <v>20346</v>
      </c>
      <c r="AG1463" t="s">
        <v>20347</v>
      </c>
      <c r="AH1463" t="s">
        <v>69</v>
      </c>
      <c r="AI1463" t="s">
        <v>20348</v>
      </c>
      <c r="AJ1463" t="s">
        <v>69</v>
      </c>
      <c r="AK1463" t="s">
        <v>69</v>
      </c>
      <c r="AL1463" t="s">
        <v>69</v>
      </c>
      <c r="AM1463" t="s">
        <v>69</v>
      </c>
      <c r="AN1463">
        <v>10</v>
      </c>
      <c r="AO1463">
        <v>0</v>
      </c>
      <c r="AP1463">
        <v>0</v>
      </c>
      <c r="AQ1463">
        <v>1</v>
      </c>
      <c r="AR1463">
        <v>2</v>
      </c>
      <c r="AS1463" t="s">
        <v>8846</v>
      </c>
      <c r="AT1463" t="s">
        <v>8847</v>
      </c>
      <c r="AU1463" t="s">
        <v>8848</v>
      </c>
      <c r="AV1463" t="s">
        <v>20349</v>
      </c>
      <c r="AW1463" t="s">
        <v>20350</v>
      </c>
      <c r="AX1463" t="s">
        <v>69</v>
      </c>
      <c r="AY1463" t="s">
        <v>20351</v>
      </c>
      <c r="AZ1463" t="s">
        <v>20352</v>
      </c>
      <c r="BA1463" t="s">
        <v>155</v>
      </c>
      <c r="BB1463">
        <v>2017</v>
      </c>
      <c r="BC1463">
        <v>14</v>
      </c>
      <c r="BD1463">
        <v>3</v>
      </c>
      <c r="BE1463" t="s">
        <v>69</v>
      </c>
      <c r="BF1463" t="s">
        <v>69</v>
      </c>
      <c r="BG1463" t="s">
        <v>69</v>
      </c>
      <c r="BH1463" t="s">
        <v>69</v>
      </c>
      <c r="BI1463">
        <v>200</v>
      </c>
      <c r="BJ1463">
        <v>204</v>
      </c>
      <c r="BK1463" t="s">
        <v>69</v>
      </c>
      <c r="BL1463" t="s">
        <v>20353</v>
      </c>
      <c r="BM1463" t="str">
        <f>HYPERLINK("http://dx.doi.org/10.1111/tct.12542","http://dx.doi.org/10.1111/tct.12542")</f>
        <v>http://dx.doi.org/10.1111/tct.12542</v>
      </c>
      <c r="BN1463" t="s">
        <v>69</v>
      </c>
      <c r="BO1463" t="s">
        <v>69</v>
      </c>
      <c r="BP1463">
        <v>5</v>
      </c>
      <c r="BQ1463" t="s">
        <v>20354</v>
      </c>
      <c r="BR1463" t="s">
        <v>8573</v>
      </c>
      <c r="BS1463" t="s">
        <v>20355</v>
      </c>
      <c r="BT1463" t="s">
        <v>20356</v>
      </c>
      <c r="BU1463" t="s">
        <v>20357</v>
      </c>
      <c r="BV1463">
        <v>27325356</v>
      </c>
      <c r="BW1463" t="s">
        <v>69</v>
      </c>
      <c r="BX1463" t="s">
        <v>69</v>
      </c>
      <c r="BY1463" t="s">
        <v>69</v>
      </c>
      <c r="BZ1463" t="s">
        <v>8526</v>
      </c>
      <c r="CA1463" t="str">
        <f>HYPERLINK("https%3A%2F%2Fwww.webofscience.com%2Fwos%2Fwoscc%2Ffull-record%2FWOS:000401236600010","View Full Record in Web of Science")</f>
        <v>View Full Record in Web of Science</v>
      </c>
    </row>
    <row r="1464" spans="2:79" ht="12.5" x14ac:dyDescent="0.25">
      <c r="B1464" t="s">
        <v>8495</v>
      </c>
      <c r="D1464" s="22" t="s">
        <v>32931</v>
      </c>
      <c r="E1464" s="7"/>
      <c r="F1464" s="7"/>
      <c r="G1464" s="7"/>
      <c r="H1464" t="s">
        <v>67</v>
      </c>
      <c r="I1464" t="s">
        <v>12255</v>
      </c>
      <c r="J1464" t="s">
        <v>69</v>
      </c>
      <c r="K1464" t="s">
        <v>69</v>
      </c>
      <c r="L1464" t="s">
        <v>69</v>
      </c>
      <c r="M1464" t="s">
        <v>12256</v>
      </c>
      <c r="N1464" t="s">
        <v>69</v>
      </c>
      <c r="O1464" t="s">
        <v>69</v>
      </c>
      <c r="P1464" t="s">
        <v>12257</v>
      </c>
      <c r="Q1464" t="s">
        <v>12258</v>
      </c>
      <c r="R1464" t="s">
        <v>69</v>
      </c>
      <c r="S1464" t="s">
        <v>69</v>
      </c>
      <c r="T1464" t="s">
        <v>8505</v>
      </c>
      <c r="U1464" t="s">
        <v>8506</v>
      </c>
      <c r="V1464" t="s">
        <v>69</v>
      </c>
      <c r="W1464" t="s">
        <v>69</v>
      </c>
      <c r="X1464" t="s">
        <v>69</v>
      </c>
      <c r="Y1464" t="s">
        <v>69</v>
      </c>
      <c r="Z1464" t="s">
        <v>69</v>
      </c>
      <c r="AA1464" t="s">
        <v>69</v>
      </c>
      <c r="AB1464" t="s">
        <v>12259</v>
      </c>
      <c r="AC1464" t="s">
        <v>12260</v>
      </c>
      <c r="AD1464" t="s">
        <v>12261</v>
      </c>
      <c r="AE1464" t="s">
        <v>69</v>
      </c>
      <c r="AF1464" t="s">
        <v>12262</v>
      </c>
      <c r="AG1464" t="s">
        <v>12263</v>
      </c>
      <c r="AH1464" t="s">
        <v>69</v>
      </c>
      <c r="AI1464" t="s">
        <v>12264</v>
      </c>
      <c r="AJ1464" t="s">
        <v>12265</v>
      </c>
      <c r="AK1464" t="s">
        <v>12265</v>
      </c>
      <c r="AL1464" t="s">
        <v>12266</v>
      </c>
      <c r="AM1464" t="s">
        <v>69</v>
      </c>
      <c r="AN1464">
        <v>114</v>
      </c>
      <c r="AO1464">
        <v>0</v>
      </c>
      <c r="AP1464">
        <v>0</v>
      </c>
      <c r="AQ1464">
        <v>6</v>
      </c>
      <c r="AR1464">
        <v>9</v>
      </c>
      <c r="AS1464" t="s">
        <v>9978</v>
      </c>
      <c r="AT1464" t="s">
        <v>9979</v>
      </c>
      <c r="AU1464" t="s">
        <v>9980</v>
      </c>
      <c r="AV1464" t="s">
        <v>12267</v>
      </c>
      <c r="AW1464" t="s">
        <v>12268</v>
      </c>
      <c r="AX1464" t="s">
        <v>69</v>
      </c>
      <c r="AY1464" t="s">
        <v>12269</v>
      </c>
      <c r="AZ1464" t="s">
        <v>12270</v>
      </c>
      <c r="BA1464" t="s">
        <v>586</v>
      </c>
      <c r="BB1464">
        <v>2021</v>
      </c>
      <c r="BC1464">
        <v>46</v>
      </c>
      <c r="BD1464">
        <v>2</v>
      </c>
      <c r="BE1464" t="s">
        <v>69</v>
      </c>
      <c r="BF1464" t="s">
        <v>69</v>
      </c>
      <c r="BG1464" t="s">
        <v>69</v>
      </c>
      <c r="BH1464" t="s">
        <v>69</v>
      </c>
      <c r="BI1464">
        <v>407</v>
      </c>
      <c r="BJ1464">
        <v>434</v>
      </c>
      <c r="BK1464" t="s">
        <v>12271</v>
      </c>
      <c r="BL1464" t="s">
        <v>12272</v>
      </c>
      <c r="BM1464" t="str">
        <f>HYPERLINK("http://dx.doi.org/10.1017/lsi.2020.36","http://dx.doi.org/10.1017/lsi.2020.36")</f>
        <v>http://dx.doi.org/10.1017/lsi.2020.36</v>
      </c>
      <c r="BN1464" t="s">
        <v>69</v>
      </c>
      <c r="BO1464" t="s">
        <v>69</v>
      </c>
      <c r="BP1464">
        <v>28</v>
      </c>
      <c r="BQ1464" t="s">
        <v>8452</v>
      </c>
      <c r="BR1464" t="s">
        <v>8661</v>
      </c>
      <c r="BS1464" t="s">
        <v>10084</v>
      </c>
      <c r="BT1464" t="s">
        <v>12273</v>
      </c>
      <c r="BU1464" t="s">
        <v>12274</v>
      </c>
      <c r="BV1464" t="s">
        <v>69</v>
      </c>
      <c r="BW1464" t="s">
        <v>69</v>
      </c>
      <c r="BX1464" t="s">
        <v>69</v>
      </c>
      <c r="BY1464" t="s">
        <v>69</v>
      </c>
      <c r="BZ1464" t="s">
        <v>8526</v>
      </c>
      <c r="CA1464" t="str">
        <f>HYPERLINK("https%3A%2F%2Fwww.webofscience.com%2Fwos%2Fwoscc%2Ffull-record%2FWOS:000639834700005","View Full Record in Web of Science")</f>
        <v>View Full Record in Web of Science</v>
      </c>
    </row>
    <row r="1465" spans="2:79" ht="12.5" x14ac:dyDescent="0.25">
      <c r="B1465" t="s">
        <v>8495</v>
      </c>
      <c r="D1465" s="22" t="s">
        <v>32931</v>
      </c>
      <c r="E1465" s="7"/>
      <c r="F1465" s="7"/>
      <c r="G1465" s="7"/>
      <c r="H1465" t="s">
        <v>67</v>
      </c>
      <c r="I1465" t="s">
        <v>13319</v>
      </c>
      <c r="J1465" t="s">
        <v>69</v>
      </c>
      <c r="K1465" t="s">
        <v>69</v>
      </c>
      <c r="L1465" t="s">
        <v>69</v>
      </c>
      <c r="M1465" t="s">
        <v>13320</v>
      </c>
      <c r="N1465" t="s">
        <v>69</v>
      </c>
      <c r="O1465" t="s">
        <v>69</v>
      </c>
      <c r="P1465" t="s">
        <v>13321</v>
      </c>
      <c r="Q1465" t="s">
        <v>10506</v>
      </c>
      <c r="R1465" t="s">
        <v>69</v>
      </c>
      <c r="S1465" t="s">
        <v>69</v>
      </c>
      <c r="T1465" t="s">
        <v>8505</v>
      </c>
      <c r="U1465" t="s">
        <v>8442</v>
      </c>
      <c r="V1465" t="s">
        <v>69</v>
      </c>
      <c r="W1465" t="s">
        <v>69</v>
      </c>
      <c r="X1465" t="s">
        <v>69</v>
      </c>
      <c r="Y1465" t="s">
        <v>69</v>
      </c>
      <c r="Z1465" t="s">
        <v>69</v>
      </c>
      <c r="AA1465" t="s">
        <v>13322</v>
      </c>
      <c r="AB1465" t="s">
        <v>13323</v>
      </c>
      <c r="AC1465" t="s">
        <v>13324</v>
      </c>
      <c r="AD1465" t="s">
        <v>13325</v>
      </c>
      <c r="AE1465" t="s">
        <v>69</v>
      </c>
      <c r="AF1465" t="s">
        <v>13326</v>
      </c>
      <c r="AG1465" t="s">
        <v>13327</v>
      </c>
      <c r="AH1465" t="s">
        <v>13328</v>
      </c>
      <c r="AI1465" t="s">
        <v>13329</v>
      </c>
      <c r="AJ1465" t="s">
        <v>13330</v>
      </c>
      <c r="AK1465" t="s">
        <v>13331</v>
      </c>
      <c r="AL1465" t="s">
        <v>13332</v>
      </c>
      <c r="AM1465" t="s">
        <v>69</v>
      </c>
      <c r="AN1465">
        <v>78</v>
      </c>
      <c r="AO1465">
        <v>16</v>
      </c>
      <c r="AP1465">
        <v>16</v>
      </c>
      <c r="AQ1465">
        <v>5</v>
      </c>
      <c r="AR1465">
        <v>24</v>
      </c>
      <c r="AS1465" t="s">
        <v>10517</v>
      </c>
      <c r="AT1465" t="s">
        <v>10518</v>
      </c>
      <c r="AU1465" t="s">
        <v>10519</v>
      </c>
      <c r="AV1465" t="s">
        <v>10520</v>
      </c>
      <c r="AW1465" t="s">
        <v>69</v>
      </c>
      <c r="AX1465" t="s">
        <v>69</v>
      </c>
      <c r="AY1465" t="s">
        <v>10521</v>
      </c>
      <c r="AZ1465" t="s">
        <v>10522</v>
      </c>
      <c r="BA1465" t="s">
        <v>13333</v>
      </c>
      <c r="BB1465">
        <v>2021</v>
      </c>
      <c r="BC1465">
        <v>23</v>
      </c>
      <c r="BD1465">
        <v>1</v>
      </c>
      <c r="BE1465" t="s">
        <v>69</v>
      </c>
      <c r="BF1465" t="s">
        <v>69</v>
      </c>
      <c r="BG1465" t="s">
        <v>69</v>
      </c>
      <c r="BH1465" t="s">
        <v>69</v>
      </c>
      <c r="BI1465" t="s">
        <v>69</v>
      </c>
      <c r="BJ1465" t="s">
        <v>69</v>
      </c>
      <c r="BK1465" t="s">
        <v>13334</v>
      </c>
      <c r="BL1465" t="s">
        <v>13335</v>
      </c>
      <c r="BM1465" t="str">
        <f>HYPERLINK("http://dx.doi.org/10.2196/23775","http://dx.doi.org/10.2196/23775")</f>
        <v>http://dx.doi.org/10.2196/23775</v>
      </c>
      <c r="BN1465" t="s">
        <v>69</v>
      </c>
      <c r="BO1465" t="s">
        <v>69</v>
      </c>
      <c r="BP1465">
        <v>15</v>
      </c>
      <c r="BQ1465" t="s">
        <v>10525</v>
      </c>
      <c r="BR1465" t="s">
        <v>8523</v>
      </c>
      <c r="BS1465" t="s">
        <v>10525</v>
      </c>
      <c r="BT1465" t="s">
        <v>13336</v>
      </c>
      <c r="BU1465" t="s">
        <v>13337</v>
      </c>
      <c r="BV1465">
        <v>33434141</v>
      </c>
      <c r="BW1465" t="s">
        <v>9352</v>
      </c>
      <c r="BX1465" t="s">
        <v>69</v>
      </c>
      <c r="BY1465" t="s">
        <v>69</v>
      </c>
      <c r="BZ1465" t="s">
        <v>8526</v>
      </c>
      <c r="CA1465" t="str">
        <f>HYPERLINK("https%3A%2F%2Fwww.webofscience.com%2Fwos%2Fwoscc%2Ffull-record%2FWOS:000612134900001","View Full Record in Web of Science")</f>
        <v>View Full Record in Web of Science</v>
      </c>
    </row>
    <row r="1466" spans="2:79" ht="12.5" x14ac:dyDescent="0.25">
      <c r="B1466" t="s">
        <v>8495</v>
      </c>
      <c r="D1466" s="7" t="s">
        <v>32933</v>
      </c>
      <c r="E1466" s="7"/>
      <c r="F1466" s="7"/>
      <c r="G1466" s="7"/>
      <c r="H1466" t="s">
        <v>67</v>
      </c>
      <c r="I1466" t="s">
        <v>405</v>
      </c>
      <c r="J1466" t="s">
        <v>69</v>
      </c>
      <c r="K1466" t="s">
        <v>69</v>
      </c>
      <c r="L1466" t="s">
        <v>69</v>
      </c>
      <c r="M1466" t="s">
        <v>406</v>
      </c>
      <c r="N1466" t="s">
        <v>69</v>
      </c>
      <c r="O1466" t="s">
        <v>69</v>
      </c>
      <c r="P1466" t="s">
        <v>407</v>
      </c>
      <c r="Q1466" t="s">
        <v>408</v>
      </c>
      <c r="R1466" t="s">
        <v>69</v>
      </c>
      <c r="S1466" t="s">
        <v>69</v>
      </c>
      <c r="T1466" t="s">
        <v>8505</v>
      </c>
      <c r="U1466" t="s">
        <v>8506</v>
      </c>
      <c r="V1466" t="s">
        <v>69</v>
      </c>
      <c r="W1466" t="s">
        <v>69</v>
      </c>
      <c r="X1466" t="s">
        <v>69</v>
      </c>
      <c r="Y1466" t="s">
        <v>69</v>
      </c>
      <c r="Z1466" t="s">
        <v>69</v>
      </c>
      <c r="AA1466" t="s">
        <v>19350</v>
      </c>
      <c r="AB1466" t="s">
        <v>19351</v>
      </c>
      <c r="AC1466" t="s">
        <v>409</v>
      </c>
      <c r="AD1466" t="s">
        <v>19352</v>
      </c>
      <c r="AE1466" t="s">
        <v>69</v>
      </c>
      <c r="AF1466" t="s">
        <v>19353</v>
      </c>
      <c r="AG1466" t="s">
        <v>19354</v>
      </c>
      <c r="AH1466" t="s">
        <v>19355</v>
      </c>
      <c r="AI1466" t="s">
        <v>19356</v>
      </c>
      <c r="AJ1466" t="s">
        <v>69</v>
      </c>
      <c r="AK1466" t="s">
        <v>69</v>
      </c>
      <c r="AL1466" t="s">
        <v>69</v>
      </c>
      <c r="AM1466" t="s">
        <v>69</v>
      </c>
      <c r="AN1466">
        <v>60</v>
      </c>
      <c r="AO1466">
        <v>16</v>
      </c>
      <c r="AP1466">
        <v>16</v>
      </c>
      <c r="AQ1466">
        <v>10</v>
      </c>
      <c r="AR1466">
        <v>62</v>
      </c>
      <c r="AS1466" t="s">
        <v>8586</v>
      </c>
      <c r="AT1466" t="s">
        <v>8587</v>
      </c>
      <c r="AU1466" t="s">
        <v>8588</v>
      </c>
      <c r="AV1466" t="s">
        <v>410</v>
      </c>
      <c r="AW1466" t="s">
        <v>411</v>
      </c>
      <c r="AX1466" t="s">
        <v>69</v>
      </c>
      <c r="AY1466" t="s">
        <v>9125</v>
      </c>
      <c r="AZ1466" t="s">
        <v>9126</v>
      </c>
      <c r="BA1466" t="s">
        <v>69</v>
      </c>
      <c r="BB1466">
        <v>2018</v>
      </c>
      <c r="BC1466">
        <v>25</v>
      </c>
      <c r="BD1466">
        <v>11</v>
      </c>
      <c r="BE1466" t="s">
        <v>69</v>
      </c>
      <c r="BF1466" t="s">
        <v>69</v>
      </c>
      <c r="BG1466" t="s">
        <v>69</v>
      </c>
      <c r="BH1466" t="s">
        <v>69</v>
      </c>
      <c r="BI1466">
        <v>1454</v>
      </c>
      <c r="BJ1466">
        <v>1474</v>
      </c>
      <c r="BK1466" t="s">
        <v>69</v>
      </c>
      <c r="BL1466" t="s">
        <v>412</v>
      </c>
      <c r="BM1466" t="str">
        <f>HYPERLINK("http://dx.doi.org/10.1108/ECAM-09-2016-0205","http://dx.doi.org/10.1108/ECAM-09-2016-0205")</f>
        <v>http://dx.doi.org/10.1108/ECAM-09-2016-0205</v>
      </c>
      <c r="BN1466" t="s">
        <v>69</v>
      </c>
      <c r="BO1466" t="s">
        <v>69</v>
      </c>
      <c r="BP1466">
        <v>21</v>
      </c>
      <c r="BQ1466" t="s">
        <v>9128</v>
      </c>
      <c r="BR1466" t="s">
        <v>8523</v>
      </c>
      <c r="BS1466" t="s">
        <v>9129</v>
      </c>
      <c r="BT1466" t="s">
        <v>19357</v>
      </c>
      <c r="BU1466" t="s">
        <v>413</v>
      </c>
      <c r="BV1466" t="s">
        <v>69</v>
      </c>
      <c r="BW1466" t="s">
        <v>69</v>
      </c>
      <c r="BX1466" t="s">
        <v>69</v>
      </c>
      <c r="BY1466" t="s">
        <v>69</v>
      </c>
      <c r="BZ1466" t="s">
        <v>8526</v>
      </c>
      <c r="CA1466" t="str">
        <f>HYPERLINK("https%3A%2F%2Fwww.webofscience.com%2Fwos%2Fwoscc%2Ffull-record%2FWOS:000447885000003","View Full Record in Web of Science")</f>
        <v>View Full Record in Web of Science</v>
      </c>
    </row>
    <row r="1467" spans="2:79" ht="12.5" x14ac:dyDescent="0.25">
      <c r="B1467" t="s">
        <v>8495</v>
      </c>
      <c r="D1467" s="7" t="s">
        <v>32933</v>
      </c>
      <c r="E1467" s="7"/>
      <c r="F1467" s="7"/>
      <c r="G1467" s="7"/>
      <c r="H1467" t="s">
        <v>67</v>
      </c>
      <c r="I1467" t="s">
        <v>2630</v>
      </c>
      <c r="J1467" t="s">
        <v>69</v>
      </c>
      <c r="K1467" t="s">
        <v>69</v>
      </c>
      <c r="L1467" t="s">
        <v>69</v>
      </c>
      <c r="M1467" t="s">
        <v>2631</v>
      </c>
      <c r="N1467" t="s">
        <v>69</v>
      </c>
      <c r="O1467" t="s">
        <v>69</v>
      </c>
      <c r="P1467" t="s">
        <v>2632</v>
      </c>
      <c r="Q1467" t="s">
        <v>823</v>
      </c>
      <c r="R1467" t="s">
        <v>69</v>
      </c>
      <c r="S1467" t="s">
        <v>69</v>
      </c>
      <c r="T1467" t="s">
        <v>8505</v>
      </c>
      <c r="U1467" t="s">
        <v>8506</v>
      </c>
      <c r="V1467" t="s">
        <v>69</v>
      </c>
      <c r="W1467" t="s">
        <v>69</v>
      </c>
      <c r="X1467" t="s">
        <v>69</v>
      </c>
      <c r="Y1467" t="s">
        <v>69</v>
      </c>
      <c r="Z1467" t="s">
        <v>69</v>
      </c>
      <c r="AA1467" t="s">
        <v>20566</v>
      </c>
      <c r="AB1467" t="s">
        <v>20567</v>
      </c>
      <c r="AC1467" t="s">
        <v>2633</v>
      </c>
      <c r="AD1467" t="s">
        <v>20568</v>
      </c>
      <c r="AE1467" t="s">
        <v>69</v>
      </c>
      <c r="AF1467" t="s">
        <v>20569</v>
      </c>
      <c r="AG1467" t="s">
        <v>20570</v>
      </c>
      <c r="AH1467" t="s">
        <v>69</v>
      </c>
      <c r="AI1467" t="s">
        <v>69</v>
      </c>
      <c r="AJ1467" t="s">
        <v>20571</v>
      </c>
      <c r="AK1467" t="s">
        <v>20572</v>
      </c>
      <c r="AL1467" t="s">
        <v>20573</v>
      </c>
      <c r="AM1467" t="s">
        <v>69</v>
      </c>
      <c r="AN1467">
        <v>109</v>
      </c>
      <c r="AO1467">
        <v>3</v>
      </c>
      <c r="AP1467">
        <v>4</v>
      </c>
      <c r="AQ1467">
        <v>3</v>
      </c>
      <c r="AR1467">
        <v>32</v>
      </c>
      <c r="AS1467" t="s">
        <v>9047</v>
      </c>
      <c r="AT1467" t="s">
        <v>9048</v>
      </c>
      <c r="AU1467" t="s">
        <v>9049</v>
      </c>
      <c r="AV1467" t="s">
        <v>825</v>
      </c>
      <c r="AW1467" t="s">
        <v>826</v>
      </c>
      <c r="AX1467" t="s">
        <v>69</v>
      </c>
      <c r="AY1467" t="s">
        <v>15917</v>
      </c>
      <c r="AZ1467" t="s">
        <v>15918</v>
      </c>
      <c r="BA1467" t="s">
        <v>191</v>
      </c>
      <c r="BB1467">
        <v>2017</v>
      </c>
      <c r="BC1467">
        <v>189</v>
      </c>
      <c r="BD1467">
        <v>2</v>
      </c>
      <c r="BE1467" t="s">
        <v>69</v>
      </c>
      <c r="BF1467" t="s">
        <v>69</v>
      </c>
      <c r="BG1467" t="s">
        <v>69</v>
      </c>
      <c r="BH1467" t="s">
        <v>69</v>
      </c>
      <c r="BI1467" t="s">
        <v>69</v>
      </c>
      <c r="BJ1467" t="s">
        <v>69</v>
      </c>
      <c r="BK1467">
        <v>60</v>
      </c>
      <c r="BL1467" t="s">
        <v>2634</v>
      </c>
      <c r="BM1467" t="str">
        <f>HYPERLINK("http://dx.doi.org/10.1007/s10661-016-5731-3","http://dx.doi.org/10.1007/s10661-016-5731-3")</f>
        <v>http://dx.doi.org/10.1007/s10661-016-5731-3</v>
      </c>
      <c r="BN1467" t="s">
        <v>69</v>
      </c>
      <c r="BO1467" t="s">
        <v>69</v>
      </c>
      <c r="BP1467">
        <v>18</v>
      </c>
      <c r="BQ1467" t="s">
        <v>8717</v>
      </c>
      <c r="BR1467" t="s">
        <v>8523</v>
      </c>
      <c r="BS1467" t="s">
        <v>8662</v>
      </c>
      <c r="BT1467" t="s">
        <v>20574</v>
      </c>
      <c r="BU1467" t="s">
        <v>2635</v>
      </c>
      <c r="BV1467">
        <v>28097613</v>
      </c>
      <c r="BW1467" t="s">
        <v>69</v>
      </c>
      <c r="BX1467" t="s">
        <v>69</v>
      </c>
      <c r="BY1467" t="s">
        <v>69</v>
      </c>
      <c r="BZ1467" t="s">
        <v>8526</v>
      </c>
      <c r="CA1467" t="str">
        <f>HYPERLINK("https%3A%2F%2Fwww.webofscience.com%2Fwos%2Fwoscc%2Ffull-record%2FWOS:000393645800015","View Full Record in Web of Science")</f>
        <v>View Full Record in Web of Science</v>
      </c>
    </row>
    <row r="1468" spans="2:79" ht="12.5" x14ac:dyDescent="0.25">
      <c r="B1468" t="s">
        <v>8495</v>
      </c>
      <c r="D1468" s="7" t="s">
        <v>32933</v>
      </c>
      <c r="E1468" s="7"/>
      <c r="F1468" s="7"/>
      <c r="G1468" s="7"/>
      <c r="H1468" t="s">
        <v>67</v>
      </c>
      <c r="I1468" t="s">
        <v>2586</v>
      </c>
      <c r="J1468" t="s">
        <v>69</v>
      </c>
      <c r="K1468" t="s">
        <v>69</v>
      </c>
      <c r="L1468" t="s">
        <v>69</v>
      </c>
      <c r="M1468" t="s">
        <v>2587</v>
      </c>
      <c r="N1468" t="s">
        <v>69</v>
      </c>
      <c r="O1468" t="s">
        <v>69</v>
      </c>
      <c r="P1468" t="s">
        <v>2588</v>
      </c>
      <c r="Q1468" t="s">
        <v>2589</v>
      </c>
      <c r="R1468" t="s">
        <v>69</v>
      </c>
      <c r="S1468" t="s">
        <v>69</v>
      </c>
      <c r="T1468" t="s">
        <v>8505</v>
      </c>
      <c r="U1468" t="s">
        <v>8506</v>
      </c>
      <c r="V1468" t="s">
        <v>69</v>
      </c>
      <c r="W1468" t="s">
        <v>69</v>
      </c>
      <c r="X1468" t="s">
        <v>69</v>
      </c>
      <c r="Y1468" t="s">
        <v>69</v>
      </c>
      <c r="Z1468" t="s">
        <v>69</v>
      </c>
      <c r="AA1468" t="s">
        <v>20158</v>
      </c>
      <c r="AB1468" t="s">
        <v>20159</v>
      </c>
      <c r="AC1468" t="s">
        <v>2590</v>
      </c>
      <c r="AD1468" t="s">
        <v>20160</v>
      </c>
      <c r="AE1468" t="s">
        <v>69</v>
      </c>
      <c r="AF1468" t="s">
        <v>20161</v>
      </c>
      <c r="AG1468" t="s">
        <v>20162</v>
      </c>
      <c r="AH1468" t="s">
        <v>69</v>
      </c>
      <c r="AI1468" t="s">
        <v>69</v>
      </c>
      <c r="AJ1468" t="s">
        <v>20163</v>
      </c>
      <c r="AK1468" t="s">
        <v>20164</v>
      </c>
      <c r="AL1468" t="s">
        <v>20165</v>
      </c>
      <c r="AM1468" t="s">
        <v>69</v>
      </c>
      <c r="AN1468">
        <v>60</v>
      </c>
      <c r="AO1468">
        <v>6</v>
      </c>
      <c r="AP1468">
        <v>6</v>
      </c>
      <c r="AQ1468">
        <v>1</v>
      </c>
      <c r="AR1468">
        <v>15</v>
      </c>
      <c r="AS1468" t="s">
        <v>2589</v>
      </c>
      <c r="AT1468" t="s">
        <v>20166</v>
      </c>
      <c r="AU1468" t="s">
        <v>20167</v>
      </c>
      <c r="AV1468" t="s">
        <v>2591</v>
      </c>
      <c r="AW1468" t="s">
        <v>69</v>
      </c>
      <c r="AX1468" t="s">
        <v>69</v>
      </c>
      <c r="AY1468" t="s">
        <v>20168</v>
      </c>
      <c r="AZ1468" t="s">
        <v>20169</v>
      </c>
      <c r="BA1468" t="s">
        <v>84</v>
      </c>
      <c r="BB1468">
        <v>2017</v>
      </c>
      <c r="BC1468">
        <v>11</v>
      </c>
      <c r="BD1468">
        <v>2</v>
      </c>
      <c r="BE1468" t="s">
        <v>69</v>
      </c>
      <c r="BF1468" t="s">
        <v>69</v>
      </c>
      <c r="BG1468" t="s">
        <v>69</v>
      </c>
      <c r="BH1468" t="s">
        <v>69</v>
      </c>
      <c r="BI1468">
        <v>17</v>
      </c>
      <c r="BJ1468">
        <v>32</v>
      </c>
      <c r="BK1468" t="s">
        <v>69</v>
      </c>
      <c r="BL1468" t="s">
        <v>69</v>
      </c>
      <c r="BM1468" t="s">
        <v>69</v>
      </c>
      <c r="BN1468" t="s">
        <v>69</v>
      </c>
      <c r="BO1468" t="s">
        <v>69</v>
      </c>
      <c r="BP1468">
        <v>16</v>
      </c>
      <c r="BQ1468" t="s">
        <v>8834</v>
      </c>
      <c r="BR1468" t="s">
        <v>8548</v>
      </c>
      <c r="BS1468" t="s">
        <v>8834</v>
      </c>
      <c r="BT1468" t="s">
        <v>20170</v>
      </c>
      <c r="BU1468" t="s">
        <v>2592</v>
      </c>
      <c r="BV1468" t="s">
        <v>69</v>
      </c>
      <c r="BW1468" t="s">
        <v>69</v>
      </c>
      <c r="BX1468" t="s">
        <v>69</v>
      </c>
      <c r="BY1468" t="s">
        <v>69</v>
      </c>
      <c r="BZ1468" t="s">
        <v>8526</v>
      </c>
      <c r="CA1468" t="str">
        <f>HYPERLINK("https%3A%2F%2Fwww.webofscience.com%2Fwos%2Fwoscc%2Ffull-record%2FWOS:000412706300003","View Full Record in Web of Science")</f>
        <v>View Full Record in Web of Science</v>
      </c>
    </row>
    <row r="1469" spans="2:79" ht="12.5" x14ac:dyDescent="0.25">
      <c r="B1469" t="s">
        <v>8495</v>
      </c>
      <c r="D1469" s="7" t="s">
        <v>32933</v>
      </c>
      <c r="E1469" s="7"/>
      <c r="F1469" s="7"/>
      <c r="G1469" s="7"/>
      <c r="H1469" t="s">
        <v>67</v>
      </c>
      <c r="I1469" t="s">
        <v>1091</v>
      </c>
      <c r="J1469" t="s">
        <v>69</v>
      </c>
      <c r="K1469" t="s">
        <v>69</v>
      </c>
      <c r="L1469" t="s">
        <v>69</v>
      </c>
      <c r="M1469" t="s">
        <v>1092</v>
      </c>
      <c r="N1469" t="s">
        <v>69</v>
      </c>
      <c r="O1469" t="s">
        <v>69</v>
      </c>
      <c r="P1469" t="s">
        <v>1093</v>
      </c>
      <c r="Q1469" t="s">
        <v>715</v>
      </c>
      <c r="R1469" t="s">
        <v>69</v>
      </c>
      <c r="S1469" t="s">
        <v>69</v>
      </c>
      <c r="T1469" t="s">
        <v>8505</v>
      </c>
      <c r="U1469" t="s">
        <v>8506</v>
      </c>
      <c r="V1469" t="s">
        <v>69</v>
      </c>
      <c r="W1469" t="s">
        <v>69</v>
      </c>
      <c r="X1469" t="s">
        <v>69</v>
      </c>
      <c r="Y1469" t="s">
        <v>69</v>
      </c>
      <c r="Z1469" t="s">
        <v>69</v>
      </c>
      <c r="AA1469" t="s">
        <v>19042</v>
      </c>
      <c r="AB1469" t="s">
        <v>19043</v>
      </c>
      <c r="AC1469" t="s">
        <v>1094</v>
      </c>
      <c r="AD1469" t="s">
        <v>19044</v>
      </c>
      <c r="AE1469" t="s">
        <v>69</v>
      </c>
      <c r="AF1469" t="s">
        <v>19045</v>
      </c>
      <c r="AG1469" t="s">
        <v>19046</v>
      </c>
      <c r="AH1469" t="s">
        <v>19047</v>
      </c>
      <c r="AI1469" t="s">
        <v>19048</v>
      </c>
      <c r="AJ1469" t="s">
        <v>69</v>
      </c>
      <c r="AK1469" t="s">
        <v>69</v>
      </c>
      <c r="AL1469" t="s">
        <v>69</v>
      </c>
      <c r="AM1469" t="s">
        <v>69</v>
      </c>
      <c r="AN1469">
        <v>85</v>
      </c>
      <c r="AO1469">
        <v>32</v>
      </c>
      <c r="AP1469">
        <v>32</v>
      </c>
      <c r="AQ1469">
        <v>4</v>
      </c>
      <c r="AR1469">
        <v>73</v>
      </c>
      <c r="AS1469" t="s">
        <v>8846</v>
      </c>
      <c r="AT1469" t="s">
        <v>8847</v>
      </c>
      <c r="AU1469" t="s">
        <v>8848</v>
      </c>
      <c r="AV1469" t="s">
        <v>719</v>
      </c>
      <c r="AW1469" t="s">
        <v>720</v>
      </c>
      <c r="AX1469" t="s">
        <v>69</v>
      </c>
      <c r="AY1469" t="s">
        <v>9110</v>
      </c>
      <c r="AZ1469" t="s">
        <v>9111</v>
      </c>
      <c r="BA1469" t="s">
        <v>94</v>
      </c>
      <c r="BB1469">
        <v>2018</v>
      </c>
      <c r="BC1469">
        <v>27</v>
      </c>
      <c r="BD1469">
        <v>3</v>
      </c>
      <c r="BE1469" t="s">
        <v>69</v>
      </c>
      <c r="BF1469" t="s">
        <v>69</v>
      </c>
      <c r="BG1469" t="s">
        <v>69</v>
      </c>
      <c r="BH1469" t="s">
        <v>69</v>
      </c>
      <c r="BI1469">
        <v>282</v>
      </c>
      <c r="BJ1469">
        <v>299</v>
      </c>
      <c r="BK1469" t="s">
        <v>69</v>
      </c>
      <c r="BL1469" t="s">
        <v>1095</v>
      </c>
      <c r="BM1469" t="str">
        <f>HYPERLINK("http://dx.doi.org/10.1002/bse.1999","http://dx.doi.org/10.1002/bse.1999")</f>
        <v>http://dx.doi.org/10.1002/bse.1999</v>
      </c>
      <c r="BN1469" t="s">
        <v>69</v>
      </c>
      <c r="BO1469" t="s">
        <v>69</v>
      </c>
      <c r="BP1469">
        <v>18</v>
      </c>
      <c r="BQ1469" t="s">
        <v>9113</v>
      </c>
      <c r="BR1469" t="s">
        <v>8661</v>
      </c>
      <c r="BS1469" t="s">
        <v>9114</v>
      </c>
      <c r="BT1469" t="s">
        <v>19049</v>
      </c>
      <c r="BU1469" t="s">
        <v>1096</v>
      </c>
      <c r="BV1469" t="s">
        <v>69</v>
      </c>
      <c r="BW1469" t="s">
        <v>69</v>
      </c>
      <c r="BX1469" t="s">
        <v>69</v>
      </c>
      <c r="BY1469" t="s">
        <v>69</v>
      </c>
      <c r="BZ1469" t="s">
        <v>8526</v>
      </c>
      <c r="CA1469" t="str">
        <f>HYPERLINK("https%3A%2F%2Fwww.webofscience.com%2Fwos%2Fwoscc%2Ffull-record%2FWOS:000426762900002","View Full Record in Web of Science")</f>
        <v>View Full Record in Web of Science</v>
      </c>
    </row>
    <row r="1470" spans="2:79" ht="12.5" x14ac:dyDescent="0.25">
      <c r="B1470" t="s">
        <v>8495</v>
      </c>
      <c r="D1470" s="7" t="s">
        <v>32933</v>
      </c>
      <c r="E1470" s="7"/>
      <c r="F1470" s="7"/>
      <c r="G1470" s="7"/>
      <c r="H1470" t="s">
        <v>67</v>
      </c>
      <c r="I1470" t="s">
        <v>3103</v>
      </c>
      <c r="J1470" t="s">
        <v>69</v>
      </c>
      <c r="K1470" t="s">
        <v>69</v>
      </c>
      <c r="L1470" t="s">
        <v>69</v>
      </c>
      <c r="M1470" t="s">
        <v>3104</v>
      </c>
      <c r="N1470" t="s">
        <v>69</v>
      </c>
      <c r="O1470" t="s">
        <v>69</v>
      </c>
      <c r="P1470" t="s">
        <v>3105</v>
      </c>
      <c r="Q1470" t="s">
        <v>3106</v>
      </c>
      <c r="R1470" t="s">
        <v>69</v>
      </c>
      <c r="S1470" t="s">
        <v>69</v>
      </c>
      <c r="T1470" t="s">
        <v>8505</v>
      </c>
      <c r="U1470" t="s">
        <v>8506</v>
      </c>
      <c r="V1470" t="s">
        <v>69</v>
      </c>
      <c r="W1470" t="s">
        <v>69</v>
      </c>
      <c r="X1470" t="s">
        <v>69</v>
      </c>
      <c r="Y1470" t="s">
        <v>69</v>
      </c>
      <c r="Z1470" t="s">
        <v>69</v>
      </c>
      <c r="AA1470" t="s">
        <v>23325</v>
      </c>
      <c r="AB1470" t="s">
        <v>23326</v>
      </c>
      <c r="AC1470" t="s">
        <v>3107</v>
      </c>
      <c r="AD1470" t="s">
        <v>23327</v>
      </c>
      <c r="AE1470" t="s">
        <v>69</v>
      </c>
      <c r="AF1470" t="s">
        <v>23328</v>
      </c>
      <c r="AG1470" t="s">
        <v>23329</v>
      </c>
      <c r="AH1470" t="s">
        <v>69</v>
      </c>
      <c r="AI1470" t="s">
        <v>69</v>
      </c>
      <c r="AJ1470" t="s">
        <v>69</v>
      </c>
      <c r="AK1470" t="s">
        <v>69</v>
      </c>
      <c r="AL1470" t="s">
        <v>69</v>
      </c>
      <c r="AM1470" t="s">
        <v>69</v>
      </c>
      <c r="AN1470">
        <v>161</v>
      </c>
      <c r="AO1470">
        <v>11</v>
      </c>
      <c r="AP1470">
        <v>11</v>
      </c>
      <c r="AQ1470">
        <v>1</v>
      </c>
      <c r="AR1470">
        <v>44</v>
      </c>
      <c r="AS1470" t="s">
        <v>8586</v>
      </c>
      <c r="AT1470" t="s">
        <v>8587</v>
      </c>
      <c r="AU1470" t="s">
        <v>8588</v>
      </c>
      <c r="AV1470" t="s">
        <v>3108</v>
      </c>
      <c r="AW1470" t="s">
        <v>3109</v>
      </c>
      <c r="AX1470" t="s">
        <v>69</v>
      </c>
      <c r="AY1470" t="s">
        <v>9537</v>
      </c>
      <c r="AZ1470" t="s">
        <v>9538</v>
      </c>
      <c r="BA1470" t="s">
        <v>69</v>
      </c>
      <c r="BB1470">
        <v>2015</v>
      </c>
      <c r="BC1470">
        <v>11</v>
      </c>
      <c r="BD1470">
        <v>4</v>
      </c>
      <c r="BE1470" t="s">
        <v>69</v>
      </c>
      <c r="BF1470" t="s">
        <v>69</v>
      </c>
      <c r="BG1470" t="s">
        <v>69</v>
      </c>
      <c r="BH1470" t="s">
        <v>69</v>
      </c>
      <c r="BI1470">
        <v>780</v>
      </c>
      <c r="BJ1470" t="s">
        <v>219</v>
      </c>
      <c r="BK1470" t="s">
        <v>69</v>
      </c>
      <c r="BL1470" t="s">
        <v>3110</v>
      </c>
      <c r="BM1470" t="str">
        <f>HYPERLINK("http://dx.doi.org/10.1108/SRJ-06-2014-0071","http://dx.doi.org/10.1108/SRJ-06-2014-0071")</f>
        <v>http://dx.doi.org/10.1108/SRJ-06-2014-0071</v>
      </c>
      <c r="BN1470" t="s">
        <v>69</v>
      </c>
      <c r="BO1470" t="s">
        <v>69</v>
      </c>
      <c r="BP1470">
        <v>52</v>
      </c>
      <c r="BQ1470" t="s">
        <v>9410</v>
      </c>
      <c r="BR1470" t="s">
        <v>8573</v>
      </c>
      <c r="BS1470" t="s">
        <v>8594</v>
      </c>
      <c r="BT1470" t="s">
        <v>23330</v>
      </c>
      <c r="BU1470" t="s">
        <v>3111</v>
      </c>
      <c r="BV1470" t="s">
        <v>69</v>
      </c>
      <c r="BW1470" t="s">
        <v>10995</v>
      </c>
      <c r="BX1470" t="s">
        <v>69</v>
      </c>
      <c r="BY1470" t="s">
        <v>69</v>
      </c>
      <c r="BZ1470" t="s">
        <v>8526</v>
      </c>
      <c r="CA1470" t="str">
        <f>HYPERLINK("https%3A%2F%2Fwww.webofscience.com%2Fwos%2Fwoscc%2Ffull-record%2FWOS:000212543800010","View Full Record in Web of Science")</f>
        <v>View Full Record in Web of Science</v>
      </c>
    </row>
    <row r="1471" spans="2:79" x14ac:dyDescent="0.3">
      <c r="B1471" t="s">
        <v>8495</v>
      </c>
      <c r="D1471" s="13" t="s">
        <v>33024</v>
      </c>
      <c r="H1471" t="s">
        <v>67</v>
      </c>
      <c r="I1471" t="s">
        <v>322</v>
      </c>
      <c r="J1471" t="s">
        <v>69</v>
      </c>
      <c r="K1471" t="s">
        <v>69</v>
      </c>
      <c r="L1471" t="s">
        <v>69</v>
      </c>
      <c r="M1471" t="s">
        <v>323</v>
      </c>
      <c r="N1471" t="s">
        <v>69</v>
      </c>
      <c r="O1471" t="s">
        <v>69</v>
      </c>
      <c r="P1471" s="2" t="s">
        <v>324</v>
      </c>
      <c r="Q1471" t="s">
        <v>72</v>
      </c>
      <c r="R1471" t="s">
        <v>69</v>
      </c>
      <c r="S1471" t="s">
        <v>69</v>
      </c>
      <c r="T1471" t="s">
        <v>8505</v>
      </c>
      <c r="U1471" t="s">
        <v>8506</v>
      </c>
      <c r="V1471" t="s">
        <v>69</v>
      </c>
      <c r="W1471" t="s">
        <v>69</v>
      </c>
      <c r="X1471" t="s">
        <v>69</v>
      </c>
      <c r="Y1471" t="s">
        <v>69</v>
      </c>
      <c r="Z1471" t="s">
        <v>69</v>
      </c>
      <c r="AA1471" t="s">
        <v>16016</v>
      </c>
      <c r="AB1471" t="s">
        <v>16017</v>
      </c>
      <c r="AC1471" t="s">
        <v>325</v>
      </c>
      <c r="AD1471" t="s">
        <v>16018</v>
      </c>
      <c r="AE1471" t="s">
        <v>69</v>
      </c>
      <c r="AF1471" t="s">
        <v>16019</v>
      </c>
      <c r="AG1471" t="s">
        <v>16020</v>
      </c>
      <c r="AH1471" t="s">
        <v>69</v>
      </c>
      <c r="AI1471" t="s">
        <v>16021</v>
      </c>
      <c r="AJ1471" t="s">
        <v>69</v>
      </c>
      <c r="AK1471" t="s">
        <v>69</v>
      </c>
      <c r="AL1471" t="s">
        <v>69</v>
      </c>
      <c r="AM1471" t="s">
        <v>69</v>
      </c>
      <c r="AN1471">
        <v>32</v>
      </c>
      <c r="AO1471">
        <v>0</v>
      </c>
      <c r="AP1471">
        <v>0</v>
      </c>
      <c r="AQ1471">
        <v>2</v>
      </c>
      <c r="AR1471">
        <v>22</v>
      </c>
      <c r="AS1471" t="s">
        <v>16022</v>
      </c>
      <c r="AT1471" t="s">
        <v>16023</v>
      </c>
      <c r="AU1471" t="s">
        <v>16024</v>
      </c>
      <c r="AV1471" t="s">
        <v>74</v>
      </c>
      <c r="AW1471" t="s">
        <v>326</v>
      </c>
      <c r="AX1471" t="s">
        <v>69</v>
      </c>
      <c r="AY1471" t="s">
        <v>16022</v>
      </c>
      <c r="AZ1471" t="s">
        <v>16025</v>
      </c>
      <c r="BA1471" t="s">
        <v>69</v>
      </c>
      <c r="BB1471">
        <v>2020</v>
      </c>
      <c r="BC1471">
        <v>45</v>
      </c>
      <c r="BD1471">
        <v>4</v>
      </c>
      <c r="BE1471" t="s">
        <v>69</v>
      </c>
      <c r="BF1471" t="s">
        <v>69</v>
      </c>
      <c r="BG1471" t="s">
        <v>69</v>
      </c>
      <c r="BH1471" t="s">
        <v>69</v>
      </c>
      <c r="BI1471">
        <v>373</v>
      </c>
      <c r="BJ1471">
        <v>386</v>
      </c>
      <c r="BK1471" t="s">
        <v>69</v>
      </c>
      <c r="BL1471" t="s">
        <v>327</v>
      </c>
      <c r="BM1471" t="str">
        <f>HYPERLINK("http://dx.doi.org/10.1108/OHI-05-2020-0037","http://dx.doi.org/10.1108/OHI-05-2020-0037")</f>
        <v>http://dx.doi.org/10.1108/OHI-05-2020-0037</v>
      </c>
      <c r="BN1471" t="s">
        <v>69</v>
      </c>
      <c r="BO1471" t="s">
        <v>69</v>
      </c>
      <c r="BP1471">
        <v>14</v>
      </c>
      <c r="BQ1471" t="s">
        <v>16026</v>
      </c>
      <c r="BR1471" t="s">
        <v>12201</v>
      </c>
      <c r="BS1471" t="s">
        <v>16027</v>
      </c>
      <c r="BT1471" t="s">
        <v>16028</v>
      </c>
      <c r="BU1471" t="s">
        <v>328</v>
      </c>
      <c r="BV1471" t="s">
        <v>69</v>
      </c>
      <c r="BW1471" t="s">
        <v>16029</v>
      </c>
      <c r="BX1471" t="s">
        <v>69</v>
      </c>
      <c r="BY1471" t="s">
        <v>69</v>
      </c>
      <c r="BZ1471" t="s">
        <v>8526</v>
      </c>
      <c r="CA1471" t="str">
        <f>HYPERLINK("https%3A%2F%2Fwww.webofscience.com%2Fwos%2Fwoscc%2Ffull-record%2FWOS:000603391500002","View Full Record in Web of Science")</f>
        <v>View Full Record in Web of Science</v>
      </c>
    </row>
    <row r="1472" spans="2:79" ht="12.5" x14ac:dyDescent="0.25">
      <c r="B1472" t="s">
        <v>8495</v>
      </c>
      <c r="D1472" s="7" t="s">
        <v>32933</v>
      </c>
      <c r="E1472" s="7"/>
      <c r="F1472" s="7"/>
      <c r="G1472" s="7"/>
      <c r="H1472" t="s">
        <v>67</v>
      </c>
      <c r="I1472" t="s">
        <v>8274</v>
      </c>
      <c r="J1472" t="s">
        <v>69</v>
      </c>
      <c r="K1472" t="s">
        <v>69</v>
      </c>
      <c r="L1472" t="s">
        <v>69</v>
      </c>
      <c r="M1472" t="s">
        <v>8275</v>
      </c>
      <c r="N1472" t="s">
        <v>69</v>
      </c>
      <c r="O1472" t="s">
        <v>69</v>
      </c>
      <c r="P1472" t="s">
        <v>8276</v>
      </c>
      <c r="Q1472" t="s">
        <v>179</v>
      </c>
      <c r="R1472" t="s">
        <v>69</v>
      </c>
      <c r="S1472" t="s">
        <v>69</v>
      </c>
      <c r="T1472" t="s">
        <v>8505</v>
      </c>
      <c r="U1472" t="s">
        <v>8506</v>
      </c>
      <c r="V1472" t="s">
        <v>69</v>
      </c>
      <c r="W1472" t="s">
        <v>69</v>
      </c>
      <c r="X1472" t="s">
        <v>69</v>
      </c>
      <c r="Y1472" t="s">
        <v>69</v>
      </c>
      <c r="Z1472" t="s">
        <v>69</v>
      </c>
      <c r="AA1472" t="s">
        <v>29499</v>
      </c>
      <c r="AB1472" t="s">
        <v>29500</v>
      </c>
      <c r="AC1472" t="s">
        <v>8277</v>
      </c>
      <c r="AD1472" t="s">
        <v>29501</v>
      </c>
      <c r="AE1472" t="s">
        <v>69</v>
      </c>
      <c r="AF1472" t="s">
        <v>29502</v>
      </c>
      <c r="AG1472" t="s">
        <v>29503</v>
      </c>
      <c r="AH1472" t="s">
        <v>69</v>
      </c>
      <c r="AI1472" t="s">
        <v>69</v>
      </c>
      <c r="AJ1472" t="s">
        <v>69</v>
      </c>
      <c r="AK1472" t="s">
        <v>69</v>
      </c>
      <c r="AL1472" t="s">
        <v>69</v>
      </c>
      <c r="AM1472" t="s">
        <v>69</v>
      </c>
      <c r="AN1472">
        <v>58</v>
      </c>
      <c r="AO1472">
        <v>8</v>
      </c>
      <c r="AP1472">
        <v>8</v>
      </c>
      <c r="AQ1472">
        <v>0</v>
      </c>
      <c r="AR1472">
        <v>18</v>
      </c>
      <c r="AS1472" t="s">
        <v>9047</v>
      </c>
      <c r="AT1472" t="s">
        <v>8693</v>
      </c>
      <c r="AU1472" t="s">
        <v>11784</v>
      </c>
      <c r="AV1472" t="s">
        <v>181</v>
      </c>
      <c r="AW1472" t="s">
        <v>182</v>
      </c>
      <c r="AX1472" t="s">
        <v>69</v>
      </c>
      <c r="AY1472" t="s">
        <v>17432</v>
      </c>
      <c r="AZ1472" t="s">
        <v>17433</v>
      </c>
      <c r="BA1472" t="s">
        <v>75</v>
      </c>
      <c r="BB1472">
        <v>2007</v>
      </c>
      <c r="BC1472">
        <v>40</v>
      </c>
      <c r="BD1472">
        <v>6</v>
      </c>
      <c r="BE1472" t="s">
        <v>69</v>
      </c>
      <c r="BF1472" t="s">
        <v>69</v>
      </c>
      <c r="BG1472" t="s">
        <v>69</v>
      </c>
      <c r="BH1472" t="s">
        <v>69</v>
      </c>
      <c r="BI1472">
        <v>853</v>
      </c>
      <c r="BJ1472">
        <v>865</v>
      </c>
      <c r="BK1472" t="s">
        <v>69</v>
      </c>
      <c r="BL1472" t="s">
        <v>8278</v>
      </c>
      <c r="BM1472" t="str">
        <f>HYPERLINK("http://dx.doi.org/10.1007/s00267-007-9005-2","http://dx.doi.org/10.1007/s00267-007-9005-2")</f>
        <v>http://dx.doi.org/10.1007/s00267-007-9005-2</v>
      </c>
      <c r="BN1472" t="s">
        <v>69</v>
      </c>
      <c r="BO1472" t="s">
        <v>69</v>
      </c>
      <c r="BP1472">
        <v>13</v>
      </c>
      <c r="BQ1472" t="s">
        <v>8717</v>
      </c>
      <c r="BR1472" t="s">
        <v>8523</v>
      </c>
      <c r="BS1472" t="s">
        <v>8662</v>
      </c>
      <c r="BT1472" t="s">
        <v>29504</v>
      </c>
      <c r="BU1472" t="s">
        <v>8279</v>
      </c>
      <c r="BV1472">
        <v>17846831</v>
      </c>
      <c r="BW1472" t="s">
        <v>69</v>
      </c>
      <c r="BX1472" t="s">
        <v>69</v>
      </c>
      <c r="BY1472" t="s">
        <v>69</v>
      </c>
      <c r="BZ1472" t="s">
        <v>8526</v>
      </c>
      <c r="CA1472" t="str">
        <f>HYPERLINK("https%3A%2F%2Fwww.webofscience.com%2Fwos%2Fwoscc%2Ffull-record%2FWOS:000251224800004","View Full Record in Web of Science")</f>
        <v>View Full Record in Web of Science</v>
      </c>
    </row>
    <row r="1473" spans="2:79" ht="12.5" x14ac:dyDescent="0.25">
      <c r="B1473" t="s">
        <v>8495</v>
      </c>
      <c r="D1473" s="22" t="s">
        <v>32931</v>
      </c>
      <c r="E1473" s="7"/>
      <c r="F1473" s="7"/>
      <c r="G1473" s="7"/>
      <c r="H1473" t="s">
        <v>67</v>
      </c>
      <c r="I1473" t="s">
        <v>10650</v>
      </c>
      <c r="J1473" t="s">
        <v>69</v>
      </c>
      <c r="K1473" t="s">
        <v>69</v>
      </c>
      <c r="L1473" t="s">
        <v>69</v>
      </c>
      <c r="M1473" t="s">
        <v>10651</v>
      </c>
      <c r="N1473" t="s">
        <v>69</v>
      </c>
      <c r="O1473" t="s">
        <v>69</v>
      </c>
      <c r="P1473" t="s">
        <v>10652</v>
      </c>
      <c r="Q1473" t="s">
        <v>10653</v>
      </c>
      <c r="R1473" t="s">
        <v>69</v>
      </c>
      <c r="S1473" t="s">
        <v>69</v>
      </c>
      <c r="T1473" t="s">
        <v>8505</v>
      </c>
      <c r="U1473" t="s">
        <v>8506</v>
      </c>
      <c r="V1473" t="s">
        <v>69</v>
      </c>
      <c r="W1473" t="s">
        <v>69</v>
      </c>
      <c r="X1473" t="s">
        <v>69</v>
      </c>
      <c r="Y1473" t="s">
        <v>69</v>
      </c>
      <c r="Z1473" t="s">
        <v>69</v>
      </c>
      <c r="AA1473" t="s">
        <v>10654</v>
      </c>
      <c r="AB1473" t="s">
        <v>10655</v>
      </c>
      <c r="AC1473" t="s">
        <v>10656</v>
      </c>
      <c r="AD1473" t="s">
        <v>10657</v>
      </c>
      <c r="AE1473" t="s">
        <v>69</v>
      </c>
      <c r="AF1473" t="s">
        <v>10658</v>
      </c>
      <c r="AG1473" t="s">
        <v>10659</v>
      </c>
      <c r="AH1473" t="s">
        <v>10660</v>
      </c>
      <c r="AI1473" t="s">
        <v>10661</v>
      </c>
      <c r="AJ1473" t="s">
        <v>10662</v>
      </c>
      <c r="AK1473" t="s">
        <v>10662</v>
      </c>
      <c r="AL1473" t="s">
        <v>10663</v>
      </c>
      <c r="AM1473" t="s">
        <v>69</v>
      </c>
      <c r="AN1473">
        <v>94</v>
      </c>
      <c r="AO1473">
        <v>3</v>
      </c>
      <c r="AP1473">
        <v>3</v>
      </c>
      <c r="AQ1473">
        <v>13</v>
      </c>
      <c r="AR1473">
        <v>25</v>
      </c>
      <c r="AS1473" t="s">
        <v>8516</v>
      </c>
      <c r="AT1473" t="s">
        <v>8517</v>
      </c>
      <c r="AU1473" t="s">
        <v>8518</v>
      </c>
      <c r="AV1473" t="s">
        <v>10664</v>
      </c>
      <c r="AW1473" t="s">
        <v>69</v>
      </c>
      <c r="AX1473" t="s">
        <v>69</v>
      </c>
      <c r="AY1473" t="s">
        <v>10665</v>
      </c>
      <c r="AZ1473" t="s">
        <v>10666</v>
      </c>
      <c r="BA1473" t="s">
        <v>191</v>
      </c>
      <c r="BB1473">
        <v>2022</v>
      </c>
      <c r="BC1473">
        <v>53</v>
      </c>
      <c r="BD1473" t="s">
        <v>69</v>
      </c>
      <c r="BE1473" t="s">
        <v>69</v>
      </c>
      <c r="BF1473" t="s">
        <v>69</v>
      </c>
      <c r="BG1473" t="s">
        <v>69</v>
      </c>
      <c r="BH1473" t="s">
        <v>69</v>
      </c>
      <c r="BI1473" t="s">
        <v>69</v>
      </c>
      <c r="BJ1473" t="s">
        <v>69</v>
      </c>
      <c r="BK1473">
        <v>101386</v>
      </c>
      <c r="BL1473" t="s">
        <v>10667</v>
      </c>
      <c r="BM1473" t="str">
        <f>HYPERLINK("http://dx.doi.org/10.1016/j.ecoser.2021.101386","http://dx.doi.org/10.1016/j.ecoser.2021.101386")</f>
        <v>http://dx.doi.org/10.1016/j.ecoser.2021.101386</v>
      </c>
      <c r="BN1473" t="s">
        <v>69</v>
      </c>
      <c r="BO1473" t="s">
        <v>10646</v>
      </c>
      <c r="BP1473">
        <v>11</v>
      </c>
      <c r="BQ1473" t="s">
        <v>10668</v>
      </c>
      <c r="BR1473" t="s">
        <v>8523</v>
      </c>
      <c r="BS1473" t="s">
        <v>8662</v>
      </c>
      <c r="BT1473" t="s">
        <v>10669</v>
      </c>
      <c r="BU1473" t="s">
        <v>10670</v>
      </c>
      <c r="BV1473" t="s">
        <v>69</v>
      </c>
      <c r="BW1473" t="s">
        <v>8622</v>
      </c>
      <c r="BX1473" t="s">
        <v>69</v>
      </c>
      <c r="BY1473" t="s">
        <v>69</v>
      </c>
      <c r="BZ1473" t="s">
        <v>8526</v>
      </c>
      <c r="CA1473" t="str">
        <f>HYPERLINK("https%3A%2F%2Fwww.webofscience.com%2Fwos%2Fwoscc%2Ffull-record%2FWOS:000728755800003","View Full Record in Web of Science")</f>
        <v>View Full Record in Web of Science</v>
      </c>
    </row>
    <row r="1474" spans="2:79" ht="12.5" x14ac:dyDescent="0.25">
      <c r="B1474" t="s">
        <v>8495</v>
      </c>
      <c r="D1474" s="7" t="s">
        <v>32933</v>
      </c>
      <c r="E1474" s="7"/>
      <c r="F1474" s="7"/>
      <c r="G1474" s="7"/>
      <c r="H1474" t="s">
        <v>67</v>
      </c>
      <c r="I1474" t="s">
        <v>8297</v>
      </c>
      <c r="J1474" t="s">
        <v>69</v>
      </c>
      <c r="K1474" t="s">
        <v>69</v>
      </c>
      <c r="L1474" t="s">
        <v>69</v>
      </c>
      <c r="M1474" t="s">
        <v>8298</v>
      </c>
      <c r="N1474" t="s">
        <v>69</v>
      </c>
      <c r="O1474" t="s">
        <v>69</v>
      </c>
      <c r="P1474" t="s">
        <v>8299</v>
      </c>
      <c r="Q1474" t="s">
        <v>7713</v>
      </c>
      <c r="R1474" t="s">
        <v>69</v>
      </c>
      <c r="S1474" t="s">
        <v>69</v>
      </c>
      <c r="T1474" t="s">
        <v>8505</v>
      </c>
      <c r="U1474" t="s">
        <v>8506</v>
      </c>
      <c r="V1474" t="s">
        <v>69</v>
      </c>
      <c r="W1474" t="s">
        <v>69</v>
      </c>
      <c r="X1474" t="s">
        <v>69</v>
      </c>
      <c r="Y1474" t="s">
        <v>69</v>
      </c>
      <c r="Z1474" t="s">
        <v>69</v>
      </c>
      <c r="AA1474" t="s">
        <v>30064</v>
      </c>
      <c r="AB1474" t="s">
        <v>69</v>
      </c>
      <c r="AC1474" t="s">
        <v>8300</v>
      </c>
      <c r="AD1474" t="s">
        <v>30065</v>
      </c>
      <c r="AE1474" t="s">
        <v>69</v>
      </c>
      <c r="AF1474" t="s">
        <v>30066</v>
      </c>
      <c r="AG1474" t="s">
        <v>69</v>
      </c>
      <c r="AH1474" t="s">
        <v>69</v>
      </c>
      <c r="AI1474" t="s">
        <v>69</v>
      </c>
      <c r="AJ1474" t="s">
        <v>69</v>
      </c>
      <c r="AK1474" t="s">
        <v>69</v>
      </c>
      <c r="AL1474" t="s">
        <v>69</v>
      </c>
      <c r="AM1474" t="s">
        <v>69</v>
      </c>
      <c r="AN1474">
        <v>6</v>
      </c>
      <c r="AO1474">
        <v>3</v>
      </c>
      <c r="AP1474">
        <v>3</v>
      </c>
      <c r="AQ1474">
        <v>0</v>
      </c>
      <c r="AR1474">
        <v>3</v>
      </c>
      <c r="AS1474" t="s">
        <v>9047</v>
      </c>
      <c r="AT1474" t="s">
        <v>9048</v>
      </c>
      <c r="AU1474" t="s">
        <v>9049</v>
      </c>
      <c r="AV1474" t="s">
        <v>7715</v>
      </c>
      <c r="AW1474" t="s">
        <v>69</v>
      </c>
      <c r="AX1474" t="s">
        <v>69</v>
      </c>
      <c r="AY1474" t="s">
        <v>9225</v>
      </c>
      <c r="AZ1474" t="s">
        <v>9226</v>
      </c>
      <c r="BA1474" t="s">
        <v>373</v>
      </c>
      <c r="BB1474">
        <v>2007</v>
      </c>
      <c r="BC1474">
        <v>21</v>
      </c>
      <c r="BD1474">
        <v>1</v>
      </c>
      <c r="BE1474" t="s">
        <v>69</v>
      </c>
      <c r="BF1474" t="s">
        <v>69</v>
      </c>
      <c r="BG1474" t="s">
        <v>69</v>
      </c>
      <c r="BH1474" t="s">
        <v>69</v>
      </c>
      <c r="BI1474">
        <v>63</v>
      </c>
      <c r="BJ1474">
        <v>77</v>
      </c>
      <c r="BK1474" t="s">
        <v>69</v>
      </c>
      <c r="BL1474" t="s">
        <v>8301</v>
      </c>
      <c r="BM1474" t="str">
        <f>HYPERLINK("http://dx.doi.org/10.1007/s11269-006-9041-3","http://dx.doi.org/10.1007/s11269-006-9041-3")</f>
        <v>http://dx.doi.org/10.1007/s11269-006-9041-3</v>
      </c>
      <c r="BN1474" t="s">
        <v>69</v>
      </c>
      <c r="BO1474" t="s">
        <v>69</v>
      </c>
      <c r="BP1474">
        <v>15</v>
      </c>
      <c r="BQ1474" t="s">
        <v>9229</v>
      </c>
      <c r="BR1474" t="s">
        <v>8548</v>
      </c>
      <c r="BS1474" t="s">
        <v>9230</v>
      </c>
      <c r="BT1474" t="s">
        <v>30067</v>
      </c>
      <c r="BU1474" t="s">
        <v>8302</v>
      </c>
      <c r="BV1474" t="s">
        <v>69</v>
      </c>
      <c r="BW1474" t="s">
        <v>69</v>
      </c>
      <c r="BX1474" t="s">
        <v>69</v>
      </c>
      <c r="BY1474" t="s">
        <v>69</v>
      </c>
      <c r="BZ1474" t="s">
        <v>8526</v>
      </c>
      <c r="CA1474" t="str">
        <f>HYPERLINK("https%3A%2F%2Fwww.webofscience.com%2Fwos%2Fwoscc%2Ffull-record%2FWOS:000243142400006","View Full Record in Web of Science")</f>
        <v>View Full Record in Web of Science</v>
      </c>
    </row>
    <row r="1475" spans="2:79" ht="12.5" x14ac:dyDescent="0.25">
      <c r="B1475" t="s">
        <v>8495</v>
      </c>
      <c r="D1475" s="7" t="s">
        <v>32933</v>
      </c>
      <c r="E1475" s="7"/>
      <c r="F1475" s="7"/>
      <c r="G1475" s="7"/>
      <c r="H1475" t="s">
        <v>67</v>
      </c>
      <c r="I1475" t="s">
        <v>6150</v>
      </c>
      <c r="J1475" t="s">
        <v>69</v>
      </c>
      <c r="K1475" t="s">
        <v>69</v>
      </c>
      <c r="L1475" t="s">
        <v>69</v>
      </c>
      <c r="M1475" t="s">
        <v>6151</v>
      </c>
      <c r="N1475" t="s">
        <v>69</v>
      </c>
      <c r="O1475" t="s">
        <v>69</v>
      </c>
      <c r="P1475" t="s">
        <v>6152</v>
      </c>
      <c r="Q1475" t="s">
        <v>352</v>
      </c>
      <c r="R1475" t="s">
        <v>69</v>
      </c>
      <c r="S1475" t="s">
        <v>69</v>
      </c>
      <c r="T1475" t="s">
        <v>8505</v>
      </c>
      <c r="U1475" t="s">
        <v>8506</v>
      </c>
      <c r="V1475" t="s">
        <v>69</v>
      </c>
      <c r="W1475" t="s">
        <v>69</v>
      </c>
      <c r="X1475" t="s">
        <v>69</v>
      </c>
      <c r="Y1475" t="s">
        <v>69</v>
      </c>
      <c r="Z1475" t="s">
        <v>69</v>
      </c>
      <c r="AA1475" t="s">
        <v>20060</v>
      </c>
      <c r="AB1475" t="s">
        <v>20061</v>
      </c>
      <c r="AC1475" t="s">
        <v>6153</v>
      </c>
      <c r="AD1475" t="s">
        <v>20062</v>
      </c>
      <c r="AE1475" t="s">
        <v>69</v>
      </c>
      <c r="AF1475" t="s">
        <v>20063</v>
      </c>
      <c r="AG1475" t="s">
        <v>15717</v>
      </c>
      <c r="AH1475" t="s">
        <v>6154</v>
      </c>
      <c r="AI1475" t="s">
        <v>6155</v>
      </c>
      <c r="AJ1475" t="s">
        <v>20064</v>
      </c>
      <c r="AK1475" t="s">
        <v>20065</v>
      </c>
      <c r="AL1475" t="s">
        <v>20066</v>
      </c>
      <c r="AM1475" t="s">
        <v>69</v>
      </c>
      <c r="AN1475">
        <v>107</v>
      </c>
      <c r="AO1475">
        <v>19</v>
      </c>
      <c r="AP1475">
        <v>19</v>
      </c>
      <c r="AQ1475">
        <v>26</v>
      </c>
      <c r="AR1475">
        <v>113</v>
      </c>
      <c r="AS1475" t="s">
        <v>8924</v>
      </c>
      <c r="AT1475" t="s">
        <v>8925</v>
      </c>
      <c r="AU1475" t="s">
        <v>8926</v>
      </c>
      <c r="AV1475" t="s">
        <v>69</v>
      </c>
      <c r="AW1475" t="s">
        <v>354</v>
      </c>
      <c r="AX1475" t="s">
        <v>69</v>
      </c>
      <c r="AY1475" t="s">
        <v>8958</v>
      </c>
      <c r="AZ1475" t="s">
        <v>8434</v>
      </c>
      <c r="BA1475" t="s">
        <v>255</v>
      </c>
      <c r="BB1475">
        <v>2017</v>
      </c>
      <c r="BC1475">
        <v>9</v>
      </c>
      <c r="BD1475">
        <v>9</v>
      </c>
      <c r="BE1475" t="s">
        <v>69</v>
      </c>
      <c r="BF1475" t="s">
        <v>69</v>
      </c>
      <c r="BG1475" t="s">
        <v>69</v>
      </c>
      <c r="BH1475" t="s">
        <v>69</v>
      </c>
      <c r="BI1475" t="s">
        <v>69</v>
      </c>
      <c r="BJ1475" t="s">
        <v>69</v>
      </c>
      <c r="BK1475">
        <v>1640</v>
      </c>
      <c r="BL1475" t="s">
        <v>6156</v>
      </c>
      <c r="BM1475" t="str">
        <f>HYPERLINK("http://dx.doi.org/10.3390/su9091640","http://dx.doi.org/10.3390/su9091640")</f>
        <v>http://dx.doi.org/10.3390/su9091640</v>
      </c>
      <c r="BN1475" t="s">
        <v>69</v>
      </c>
      <c r="BO1475" t="s">
        <v>69</v>
      </c>
      <c r="BP1475">
        <v>21</v>
      </c>
      <c r="BQ1475" t="s">
        <v>8960</v>
      </c>
      <c r="BR1475" t="s">
        <v>8523</v>
      </c>
      <c r="BS1475" t="s">
        <v>8961</v>
      </c>
      <c r="BT1475" t="s">
        <v>20067</v>
      </c>
      <c r="BU1475" t="s">
        <v>6157</v>
      </c>
      <c r="BV1475" t="s">
        <v>69</v>
      </c>
      <c r="BW1475" t="s">
        <v>11853</v>
      </c>
      <c r="BX1475" t="s">
        <v>69</v>
      </c>
      <c r="BY1475" t="s">
        <v>69</v>
      </c>
      <c r="BZ1475" t="s">
        <v>8526</v>
      </c>
      <c r="CA1475" t="str">
        <f>HYPERLINK("https%3A%2F%2Fwww.webofscience.com%2Fwos%2Fwoscc%2Ffull-record%2FWOS:000411621200139","View Full Record in Web of Science")</f>
        <v>View Full Record in Web of Science</v>
      </c>
    </row>
    <row r="1476" spans="2:79" ht="12.5" x14ac:dyDescent="0.25">
      <c r="B1476" t="s">
        <v>8495</v>
      </c>
      <c r="D1476" s="7" t="s">
        <v>32933</v>
      </c>
      <c r="E1476" s="7"/>
      <c r="F1476" s="7"/>
      <c r="G1476" s="7"/>
      <c r="H1476" t="s">
        <v>67</v>
      </c>
      <c r="I1476" t="s">
        <v>249</v>
      </c>
      <c r="J1476" t="s">
        <v>69</v>
      </c>
      <c r="K1476" t="s">
        <v>69</v>
      </c>
      <c r="L1476" t="s">
        <v>69</v>
      </c>
      <c r="M1476" t="s">
        <v>250</v>
      </c>
      <c r="N1476" t="s">
        <v>69</v>
      </c>
      <c r="O1476" t="s">
        <v>69</v>
      </c>
      <c r="P1476" t="s">
        <v>251</v>
      </c>
      <c r="Q1476" t="s">
        <v>252</v>
      </c>
      <c r="R1476" t="s">
        <v>69</v>
      </c>
      <c r="S1476" t="s">
        <v>69</v>
      </c>
      <c r="T1476" t="s">
        <v>8505</v>
      </c>
      <c r="U1476" t="s">
        <v>8506</v>
      </c>
      <c r="V1476" t="s">
        <v>69</v>
      </c>
      <c r="W1476" t="s">
        <v>69</v>
      </c>
      <c r="X1476" t="s">
        <v>69</v>
      </c>
      <c r="Y1476" t="s">
        <v>69</v>
      </c>
      <c r="Z1476" t="s">
        <v>69</v>
      </c>
      <c r="AA1476" t="s">
        <v>16772</v>
      </c>
      <c r="AB1476" t="s">
        <v>16773</v>
      </c>
      <c r="AC1476" t="s">
        <v>253</v>
      </c>
      <c r="AD1476" t="s">
        <v>16774</v>
      </c>
      <c r="AE1476" t="s">
        <v>69</v>
      </c>
      <c r="AF1476" t="s">
        <v>16775</v>
      </c>
      <c r="AG1476" t="s">
        <v>16776</v>
      </c>
      <c r="AH1476" t="s">
        <v>69</v>
      </c>
      <c r="AI1476" t="s">
        <v>16777</v>
      </c>
      <c r="AJ1476" t="s">
        <v>16778</v>
      </c>
      <c r="AK1476" t="s">
        <v>16779</v>
      </c>
      <c r="AL1476" t="s">
        <v>16780</v>
      </c>
      <c r="AM1476" t="s">
        <v>69</v>
      </c>
      <c r="AN1476">
        <v>40</v>
      </c>
      <c r="AO1476">
        <v>3</v>
      </c>
      <c r="AP1476">
        <v>3</v>
      </c>
      <c r="AQ1476">
        <v>0</v>
      </c>
      <c r="AR1476">
        <v>3</v>
      </c>
      <c r="AS1476" t="s">
        <v>8924</v>
      </c>
      <c r="AT1476" t="s">
        <v>8925</v>
      </c>
      <c r="AU1476" t="s">
        <v>8926</v>
      </c>
      <c r="AV1476" t="s">
        <v>69</v>
      </c>
      <c r="AW1476" t="s">
        <v>254</v>
      </c>
      <c r="AX1476" t="s">
        <v>69</v>
      </c>
      <c r="AY1476" t="s">
        <v>252</v>
      </c>
      <c r="AZ1476" t="s">
        <v>12251</v>
      </c>
      <c r="BA1476" t="s">
        <v>255</v>
      </c>
      <c r="BB1476">
        <v>2019</v>
      </c>
      <c r="BC1476">
        <v>10</v>
      </c>
      <c r="BD1476">
        <v>9</v>
      </c>
      <c r="BE1476" t="s">
        <v>69</v>
      </c>
      <c r="BF1476" t="s">
        <v>69</v>
      </c>
      <c r="BG1476" t="s">
        <v>69</v>
      </c>
      <c r="BH1476" t="s">
        <v>69</v>
      </c>
      <c r="BI1476" t="s">
        <v>69</v>
      </c>
      <c r="BJ1476" t="s">
        <v>69</v>
      </c>
      <c r="BK1476">
        <v>801</v>
      </c>
      <c r="BL1476" t="s">
        <v>256</v>
      </c>
      <c r="BM1476" t="str">
        <f>HYPERLINK("http://dx.doi.org/10.3390/f10090801","http://dx.doi.org/10.3390/f10090801")</f>
        <v>http://dx.doi.org/10.3390/f10090801</v>
      </c>
      <c r="BN1476" t="s">
        <v>69</v>
      </c>
      <c r="BO1476" t="s">
        <v>69</v>
      </c>
      <c r="BP1476">
        <v>16</v>
      </c>
      <c r="BQ1476" t="s">
        <v>8453</v>
      </c>
      <c r="BR1476" t="s">
        <v>8548</v>
      </c>
      <c r="BS1476" t="s">
        <v>8453</v>
      </c>
      <c r="BT1476" t="s">
        <v>16781</v>
      </c>
      <c r="BU1476" t="s">
        <v>257</v>
      </c>
      <c r="BV1476" t="s">
        <v>69</v>
      </c>
      <c r="BW1476" t="s">
        <v>8812</v>
      </c>
      <c r="BX1476" t="s">
        <v>69</v>
      </c>
      <c r="BY1476" t="s">
        <v>69</v>
      </c>
      <c r="BZ1476" t="s">
        <v>8526</v>
      </c>
      <c r="CA1476" t="str">
        <f>HYPERLINK("https%3A%2F%2Fwww.webofscience.com%2Fwos%2Fwoscc%2Ffull-record%2FWOS:000487978700016","View Full Record in Web of Science")</f>
        <v>View Full Record in Web of Science</v>
      </c>
    </row>
    <row r="1477" spans="2:79" ht="12.5" x14ac:dyDescent="0.25">
      <c r="B1477" t="s">
        <v>8495</v>
      </c>
      <c r="D1477" s="7" t="s">
        <v>32933</v>
      </c>
      <c r="E1477" s="7"/>
      <c r="F1477" s="7"/>
      <c r="G1477" s="7"/>
      <c r="H1477" t="s">
        <v>67</v>
      </c>
      <c r="I1477" t="s">
        <v>4396</v>
      </c>
      <c r="J1477" t="s">
        <v>69</v>
      </c>
      <c r="K1477" t="s">
        <v>69</v>
      </c>
      <c r="L1477" t="s">
        <v>69</v>
      </c>
      <c r="M1477" t="s">
        <v>4397</v>
      </c>
      <c r="N1477" t="s">
        <v>69</v>
      </c>
      <c r="O1477" t="s">
        <v>69</v>
      </c>
      <c r="P1477" s="3" t="s">
        <v>4398</v>
      </c>
      <c r="Q1477" t="s">
        <v>4399</v>
      </c>
      <c r="R1477" t="s">
        <v>69</v>
      </c>
      <c r="S1477" t="s">
        <v>69</v>
      </c>
      <c r="T1477" t="s">
        <v>8505</v>
      </c>
      <c r="U1477" t="s">
        <v>8506</v>
      </c>
      <c r="V1477" t="s">
        <v>69</v>
      </c>
      <c r="W1477" t="s">
        <v>69</v>
      </c>
      <c r="X1477" t="s">
        <v>69</v>
      </c>
      <c r="Y1477" t="s">
        <v>69</v>
      </c>
      <c r="Z1477" t="s">
        <v>69</v>
      </c>
      <c r="AA1477" t="s">
        <v>20242</v>
      </c>
      <c r="AB1477" t="s">
        <v>69</v>
      </c>
      <c r="AC1477" t="s">
        <v>4400</v>
      </c>
      <c r="AD1477" t="s">
        <v>20243</v>
      </c>
      <c r="AE1477" t="s">
        <v>69</v>
      </c>
      <c r="AF1477" t="s">
        <v>20244</v>
      </c>
      <c r="AG1477" t="s">
        <v>20245</v>
      </c>
      <c r="AH1477" t="s">
        <v>69</v>
      </c>
      <c r="AI1477" t="s">
        <v>69</v>
      </c>
      <c r="AJ1477" t="s">
        <v>69</v>
      </c>
      <c r="AK1477" t="s">
        <v>69</v>
      </c>
      <c r="AL1477" t="s">
        <v>69</v>
      </c>
      <c r="AM1477" t="s">
        <v>69</v>
      </c>
      <c r="AN1477">
        <v>27</v>
      </c>
      <c r="AO1477">
        <v>5</v>
      </c>
      <c r="AP1477">
        <v>5</v>
      </c>
      <c r="AQ1477">
        <v>0</v>
      </c>
      <c r="AR1477">
        <v>11</v>
      </c>
      <c r="AS1477" t="s">
        <v>13217</v>
      </c>
      <c r="AT1477" t="s">
        <v>13218</v>
      </c>
      <c r="AU1477" t="s">
        <v>13219</v>
      </c>
      <c r="AV1477" t="s">
        <v>4401</v>
      </c>
      <c r="AW1477" t="s">
        <v>69</v>
      </c>
      <c r="AX1477" t="s">
        <v>69</v>
      </c>
      <c r="AY1477" t="s">
        <v>13220</v>
      </c>
      <c r="AZ1477" t="s">
        <v>13221</v>
      </c>
      <c r="BA1477" t="s">
        <v>4402</v>
      </c>
      <c r="BB1477">
        <v>2017</v>
      </c>
      <c r="BC1477">
        <v>10</v>
      </c>
      <c r="BD1477">
        <v>2</v>
      </c>
      <c r="BE1477" t="s">
        <v>69</v>
      </c>
      <c r="BF1477" t="s">
        <v>69</v>
      </c>
      <c r="BG1477" t="s">
        <v>114</v>
      </c>
      <c r="BH1477" t="s">
        <v>69</v>
      </c>
      <c r="BI1477">
        <v>303</v>
      </c>
      <c r="BJ1477">
        <v>321</v>
      </c>
      <c r="BK1477" t="s">
        <v>69</v>
      </c>
      <c r="BL1477" t="s">
        <v>69</v>
      </c>
      <c r="BM1477" t="s">
        <v>69</v>
      </c>
      <c r="BN1477" t="s">
        <v>69</v>
      </c>
      <c r="BO1477" t="s">
        <v>69</v>
      </c>
      <c r="BP1477">
        <v>19</v>
      </c>
      <c r="BQ1477" t="s">
        <v>13222</v>
      </c>
      <c r="BR1477" t="s">
        <v>8523</v>
      </c>
      <c r="BS1477" t="s">
        <v>11438</v>
      </c>
      <c r="BT1477" t="s">
        <v>20241</v>
      </c>
      <c r="BU1477" t="s">
        <v>4403</v>
      </c>
      <c r="BV1477" t="s">
        <v>69</v>
      </c>
      <c r="BW1477" t="s">
        <v>69</v>
      </c>
      <c r="BX1477" t="s">
        <v>69</v>
      </c>
      <c r="BY1477" t="s">
        <v>69</v>
      </c>
      <c r="BZ1477" t="s">
        <v>8526</v>
      </c>
      <c r="CA1477" t="str">
        <f>HYPERLINK("https%3A%2F%2Fwww.webofscience.com%2Fwos%2Fwoscc%2Ffull-record%2FWOS:000403232300007","View Full Record in Web of Science")</f>
        <v>View Full Record in Web of Science</v>
      </c>
    </row>
    <row r="1478" spans="2:79" ht="12.5" x14ac:dyDescent="0.25">
      <c r="B1478" t="s">
        <v>8495</v>
      </c>
      <c r="D1478" s="22" t="s">
        <v>32931</v>
      </c>
      <c r="E1478" s="7"/>
      <c r="F1478" s="7"/>
      <c r="G1478" s="7"/>
      <c r="H1478" t="s">
        <v>67</v>
      </c>
      <c r="I1478" t="s">
        <v>12056</v>
      </c>
      <c r="J1478" t="s">
        <v>69</v>
      </c>
      <c r="K1478" t="s">
        <v>69</v>
      </c>
      <c r="L1478" t="s">
        <v>69</v>
      </c>
      <c r="M1478" t="s">
        <v>12057</v>
      </c>
      <c r="N1478" t="s">
        <v>69</v>
      </c>
      <c r="O1478" t="s">
        <v>69</v>
      </c>
      <c r="P1478" t="s">
        <v>12058</v>
      </c>
      <c r="Q1478" t="s">
        <v>12038</v>
      </c>
      <c r="R1478" t="s">
        <v>69</v>
      </c>
      <c r="S1478" t="s">
        <v>69</v>
      </c>
      <c r="T1478" t="s">
        <v>12039</v>
      </c>
      <c r="U1478" t="s">
        <v>8506</v>
      </c>
      <c r="V1478" t="s">
        <v>69</v>
      </c>
      <c r="W1478" t="s">
        <v>69</v>
      </c>
      <c r="X1478" t="s">
        <v>69</v>
      </c>
      <c r="Y1478" t="s">
        <v>69</v>
      </c>
      <c r="Z1478" t="s">
        <v>69</v>
      </c>
      <c r="AA1478" t="s">
        <v>12059</v>
      </c>
      <c r="AB1478" t="s">
        <v>69</v>
      </c>
      <c r="AC1478" t="s">
        <v>12060</v>
      </c>
      <c r="AD1478" t="s">
        <v>12061</v>
      </c>
      <c r="AE1478" t="s">
        <v>69</v>
      </c>
      <c r="AF1478" t="s">
        <v>12062</v>
      </c>
      <c r="AG1478" t="s">
        <v>12063</v>
      </c>
      <c r="AH1478" t="s">
        <v>69</v>
      </c>
      <c r="AI1478" t="s">
        <v>69</v>
      </c>
      <c r="AJ1478" t="s">
        <v>69</v>
      </c>
      <c r="AK1478" t="s">
        <v>69</v>
      </c>
      <c r="AL1478" t="s">
        <v>69</v>
      </c>
      <c r="AM1478" t="s">
        <v>69</v>
      </c>
      <c r="AN1478">
        <v>7</v>
      </c>
      <c r="AO1478">
        <v>0</v>
      </c>
      <c r="AP1478">
        <v>0</v>
      </c>
      <c r="AQ1478">
        <v>1</v>
      </c>
      <c r="AR1478">
        <v>2</v>
      </c>
      <c r="AS1478" t="s">
        <v>12046</v>
      </c>
      <c r="AT1478" t="s">
        <v>12047</v>
      </c>
      <c r="AU1478" t="s">
        <v>12048</v>
      </c>
      <c r="AV1478" t="s">
        <v>12049</v>
      </c>
      <c r="AW1478" t="s">
        <v>12050</v>
      </c>
      <c r="AX1478" t="s">
        <v>69</v>
      </c>
      <c r="AY1478" t="s">
        <v>12051</v>
      </c>
      <c r="AZ1478" t="s">
        <v>12052</v>
      </c>
      <c r="BA1478" t="s">
        <v>155</v>
      </c>
      <c r="BB1478">
        <v>2021</v>
      </c>
      <c r="BC1478">
        <v>11</v>
      </c>
      <c r="BD1478">
        <v>1</v>
      </c>
      <c r="BE1478" t="s">
        <v>69</v>
      </c>
      <c r="BF1478" t="s">
        <v>69</v>
      </c>
      <c r="BG1478" t="s">
        <v>69</v>
      </c>
      <c r="BH1478" t="s">
        <v>69</v>
      </c>
      <c r="BI1478">
        <v>189</v>
      </c>
      <c r="BJ1478">
        <v>200</v>
      </c>
      <c r="BK1478" t="s">
        <v>69</v>
      </c>
      <c r="BL1478" t="s">
        <v>12064</v>
      </c>
      <c r="BM1478" t="str">
        <f>HYPERLINK("http://dx.doi.org/10.7251/EMC2101189A","http://dx.doi.org/10.7251/EMC2101189A")</f>
        <v>http://dx.doi.org/10.7251/EMC2101189A</v>
      </c>
      <c r="BN1478" t="s">
        <v>69</v>
      </c>
      <c r="BO1478" t="s">
        <v>69</v>
      </c>
      <c r="BP1478">
        <v>12</v>
      </c>
      <c r="BQ1478" t="s">
        <v>8444</v>
      </c>
      <c r="BR1478" t="s">
        <v>8573</v>
      </c>
      <c r="BS1478" t="s">
        <v>8594</v>
      </c>
      <c r="BT1478" t="s">
        <v>12054</v>
      </c>
      <c r="BU1478" t="s">
        <v>12065</v>
      </c>
      <c r="BV1478" t="s">
        <v>69</v>
      </c>
      <c r="BW1478" t="s">
        <v>8931</v>
      </c>
      <c r="BX1478" t="s">
        <v>69</v>
      </c>
      <c r="BY1478" t="s">
        <v>69</v>
      </c>
      <c r="BZ1478" t="s">
        <v>8526</v>
      </c>
      <c r="CA1478" t="str">
        <f>HYPERLINK("https%3A%2F%2Fwww.webofscience.com%2Fwos%2Fwoscc%2Ffull-record%2FWOS:000667273000013","View Full Record in Web of Science")</f>
        <v>View Full Record in Web of Science</v>
      </c>
    </row>
    <row r="1479" spans="2:79" ht="12.5" x14ac:dyDescent="0.25">
      <c r="B1479" t="s">
        <v>8495</v>
      </c>
      <c r="D1479" s="22" t="s">
        <v>32931</v>
      </c>
      <c r="E1479" s="7"/>
      <c r="F1479" s="7"/>
      <c r="G1479" s="7"/>
      <c r="H1479" t="s">
        <v>67</v>
      </c>
      <c r="I1479" t="s">
        <v>2775</v>
      </c>
      <c r="J1479" t="s">
        <v>69</v>
      </c>
      <c r="K1479" t="s">
        <v>69</v>
      </c>
      <c r="L1479" t="s">
        <v>69</v>
      </c>
      <c r="M1479" t="s">
        <v>2776</v>
      </c>
      <c r="N1479" t="s">
        <v>69</v>
      </c>
      <c r="O1479" t="s">
        <v>69</v>
      </c>
      <c r="P1479" t="s">
        <v>2777</v>
      </c>
      <c r="Q1479" t="s">
        <v>2778</v>
      </c>
      <c r="R1479" t="s">
        <v>69</v>
      </c>
      <c r="S1479" t="s">
        <v>69</v>
      </c>
      <c r="T1479" t="s">
        <v>8505</v>
      </c>
      <c r="U1479" t="s">
        <v>8442</v>
      </c>
      <c r="V1479" t="s">
        <v>69</v>
      </c>
      <c r="W1479" t="s">
        <v>69</v>
      </c>
      <c r="X1479" t="s">
        <v>69</v>
      </c>
      <c r="Y1479" t="s">
        <v>69</v>
      </c>
      <c r="Z1479" t="s">
        <v>69</v>
      </c>
      <c r="AA1479" t="s">
        <v>21122</v>
      </c>
      <c r="AB1479" t="s">
        <v>21123</v>
      </c>
      <c r="AC1479" t="s">
        <v>2779</v>
      </c>
      <c r="AD1479" t="s">
        <v>21124</v>
      </c>
      <c r="AE1479" t="s">
        <v>69</v>
      </c>
      <c r="AF1479" t="s">
        <v>21125</v>
      </c>
      <c r="AG1479" t="s">
        <v>21126</v>
      </c>
      <c r="AH1479" t="s">
        <v>2780</v>
      </c>
      <c r="AI1479" t="s">
        <v>2781</v>
      </c>
      <c r="AJ1479" t="s">
        <v>69</v>
      </c>
      <c r="AK1479" t="s">
        <v>69</v>
      </c>
      <c r="AL1479" t="s">
        <v>69</v>
      </c>
      <c r="AM1479" t="s">
        <v>69</v>
      </c>
      <c r="AN1479">
        <v>68</v>
      </c>
      <c r="AO1479">
        <v>19</v>
      </c>
      <c r="AP1479">
        <v>19</v>
      </c>
      <c r="AQ1479">
        <v>2</v>
      </c>
      <c r="AR1479">
        <v>31</v>
      </c>
      <c r="AS1479" t="s">
        <v>21127</v>
      </c>
      <c r="AT1479" t="s">
        <v>8763</v>
      </c>
      <c r="AU1479" t="s">
        <v>21128</v>
      </c>
      <c r="AV1479" t="s">
        <v>2782</v>
      </c>
      <c r="AW1479" t="s">
        <v>69</v>
      </c>
      <c r="AX1479" t="s">
        <v>69</v>
      </c>
      <c r="AY1479" t="s">
        <v>21129</v>
      </c>
      <c r="AZ1479" t="s">
        <v>21130</v>
      </c>
      <c r="BA1479" t="s">
        <v>75</v>
      </c>
      <c r="BB1479">
        <v>2016</v>
      </c>
      <c r="BC1479">
        <v>58</v>
      </c>
      <c r="BD1479" t="s">
        <v>69</v>
      </c>
      <c r="BE1479" t="s">
        <v>69</v>
      </c>
      <c r="BF1479" t="s">
        <v>69</v>
      </c>
      <c r="BG1479" t="s">
        <v>69</v>
      </c>
      <c r="BH1479" t="s">
        <v>69</v>
      </c>
      <c r="BI1479">
        <v>133</v>
      </c>
      <c r="BJ1479">
        <v>139</v>
      </c>
      <c r="BK1479" t="s">
        <v>69</v>
      </c>
      <c r="BL1479" t="s">
        <v>2783</v>
      </c>
      <c r="BM1479" t="str">
        <f>HYPERLINK("http://dx.doi.org/10.1016/j.tifs.2016.10.025","http://dx.doi.org/10.1016/j.tifs.2016.10.025")</f>
        <v>http://dx.doi.org/10.1016/j.tifs.2016.10.025</v>
      </c>
      <c r="BN1479" t="s">
        <v>69</v>
      </c>
      <c r="BO1479" t="s">
        <v>69</v>
      </c>
      <c r="BP1479">
        <v>7</v>
      </c>
      <c r="BQ1479" t="s">
        <v>17221</v>
      </c>
      <c r="BR1479" t="s">
        <v>8523</v>
      </c>
      <c r="BS1479" t="s">
        <v>17221</v>
      </c>
      <c r="BT1479" t="s">
        <v>21131</v>
      </c>
      <c r="BU1479" t="s">
        <v>2784</v>
      </c>
      <c r="BV1479" t="s">
        <v>69</v>
      </c>
      <c r="BW1479" t="s">
        <v>69</v>
      </c>
      <c r="BX1479" t="s">
        <v>69</v>
      </c>
      <c r="BY1479" t="s">
        <v>69</v>
      </c>
      <c r="BZ1479" t="s">
        <v>8526</v>
      </c>
      <c r="CA1479" t="str">
        <f>HYPERLINK("https%3A%2F%2Fwww.webofscience.com%2Fwos%2Fwoscc%2Ffull-record%2FWOS:000390728000011","View Full Record in Web of Science")</f>
        <v>View Full Record in Web of Science</v>
      </c>
    </row>
    <row r="1480" spans="2:79" ht="12.5" x14ac:dyDescent="0.25">
      <c r="B1480" t="s">
        <v>8495</v>
      </c>
      <c r="D1480" s="22" t="s">
        <v>32931</v>
      </c>
      <c r="E1480" s="7"/>
      <c r="F1480" s="7"/>
      <c r="G1480" s="7"/>
      <c r="H1480" t="s">
        <v>67</v>
      </c>
      <c r="I1480" t="s">
        <v>3551</v>
      </c>
      <c r="J1480" t="s">
        <v>69</v>
      </c>
      <c r="K1480" t="s">
        <v>69</v>
      </c>
      <c r="L1480" t="s">
        <v>69</v>
      </c>
      <c r="M1480" t="s">
        <v>3552</v>
      </c>
      <c r="N1480" t="s">
        <v>69</v>
      </c>
      <c r="O1480" t="s">
        <v>69</v>
      </c>
      <c r="P1480" t="s">
        <v>3553</v>
      </c>
      <c r="Q1480" t="s">
        <v>3554</v>
      </c>
      <c r="R1480" t="s">
        <v>69</v>
      </c>
      <c r="S1480" t="s">
        <v>69</v>
      </c>
      <c r="T1480" t="s">
        <v>8505</v>
      </c>
      <c r="U1480" t="s">
        <v>8506</v>
      </c>
      <c r="V1480" t="s">
        <v>69</v>
      </c>
      <c r="W1480" t="s">
        <v>69</v>
      </c>
      <c r="X1480" t="s">
        <v>69</v>
      </c>
      <c r="Y1480" t="s">
        <v>69</v>
      </c>
      <c r="Z1480" t="s">
        <v>69</v>
      </c>
      <c r="AA1480" t="s">
        <v>27791</v>
      </c>
      <c r="AB1480" t="s">
        <v>69</v>
      </c>
      <c r="AC1480" t="s">
        <v>3555</v>
      </c>
      <c r="AD1480" t="s">
        <v>27792</v>
      </c>
      <c r="AE1480" t="s">
        <v>69</v>
      </c>
      <c r="AF1480" t="s">
        <v>27793</v>
      </c>
      <c r="AG1480" t="s">
        <v>27794</v>
      </c>
      <c r="AH1480" t="s">
        <v>3556</v>
      </c>
      <c r="AI1480" t="s">
        <v>3557</v>
      </c>
      <c r="AJ1480" t="s">
        <v>69</v>
      </c>
      <c r="AK1480" t="s">
        <v>69</v>
      </c>
      <c r="AL1480" t="s">
        <v>69</v>
      </c>
      <c r="AM1480" t="s">
        <v>69</v>
      </c>
      <c r="AN1480">
        <v>11</v>
      </c>
      <c r="AO1480">
        <v>6</v>
      </c>
      <c r="AP1480">
        <v>6</v>
      </c>
      <c r="AQ1480">
        <v>1</v>
      </c>
      <c r="AR1480">
        <v>5</v>
      </c>
      <c r="AS1480" t="s">
        <v>27795</v>
      </c>
      <c r="AT1480" t="s">
        <v>26039</v>
      </c>
      <c r="AU1480" t="s">
        <v>27796</v>
      </c>
      <c r="AV1480" t="s">
        <v>3558</v>
      </c>
      <c r="AW1480" t="s">
        <v>69</v>
      </c>
      <c r="AX1480" t="s">
        <v>69</v>
      </c>
      <c r="AY1480" t="s">
        <v>27797</v>
      </c>
      <c r="AZ1480" t="s">
        <v>27798</v>
      </c>
      <c r="BA1480" t="s">
        <v>586</v>
      </c>
      <c r="BB1480">
        <v>2010</v>
      </c>
      <c r="BC1480">
        <v>2</v>
      </c>
      <c r="BD1480">
        <v>2</v>
      </c>
      <c r="BE1480" t="s">
        <v>69</v>
      </c>
      <c r="BF1480" t="s">
        <v>69</v>
      </c>
      <c r="BG1480" t="s">
        <v>69</v>
      </c>
      <c r="BH1480" t="s">
        <v>69</v>
      </c>
      <c r="BI1480">
        <v>145</v>
      </c>
      <c r="BJ1480">
        <v>152</v>
      </c>
      <c r="BK1480" t="s">
        <v>69</v>
      </c>
      <c r="BL1480" t="s">
        <v>3559</v>
      </c>
      <c r="BM1480" t="str">
        <f>HYPERLINK("http://dx.doi.org/10.1198/sbr.2009.0036","http://dx.doi.org/10.1198/sbr.2009.0036")</f>
        <v>http://dx.doi.org/10.1198/sbr.2009.0036</v>
      </c>
      <c r="BN1480" t="s">
        <v>69</v>
      </c>
      <c r="BO1480" t="s">
        <v>69</v>
      </c>
      <c r="BP1480">
        <v>8</v>
      </c>
      <c r="BQ1480" t="s">
        <v>27799</v>
      </c>
      <c r="BR1480" t="s">
        <v>8548</v>
      </c>
      <c r="BS1480" t="s">
        <v>27800</v>
      </c>
      <c r="BT1480" t="s">
        <v>27801</v>
      </c>
      <c r="BU1480" t="s">
        <v>3560</v>
      </c>
      <c r="BV1480" t="s">
        <v>69</v>
      </c>
      <c r="BW1480" t="s">
        <v>69</v>
      </c>
      <c r="BX1480" t="s">
        <v>69</v>
      </c>
      <c r="BY1480" t="s">
        <v>69</v>
      </c>
      <c r="BZ1480" t="s">
        <v>8526</v>
      </c>
      <c r="CA1480" t="str">
        <f>HYPERLINK("https%3A%2F%2Fwww.webofscience.com%2Fwos%2Fwoscc%2Ffull-record%2FWOS:000292680300002","View Full Record in Web of Science")</f>
        <v>View Full Record in Web of Science</v>
      </c>
    </row>
    <row r="1481" spans="2:79" ht="12.5" x14ac:dyDescent="0.25">
      <c r="B1481" t="s">
        <v>8495</v>
      </c>
      <c r="D1481" s="22" t="s">
        <v>32931</v>
      </c>
      <c r="E1481" s="7"/>
      <c r="F1481" s="7"/>
      <c r="G1481" s="7"/>
      <c r="H1481" t="s">
        <v>67</v>
      </c>
      <c r="I1481" t="s">
        <v>25839</v>
      </c>
      <c r="J1481" t="s">
        <v>69</v>
      </c>
      <c r="K1481" t="s">
        <v>69</v>
      </c>
      <c r="L1481" t="s">
        <v>69</v>
      </c>
      <c r="M1481" t="s">
        <v>25840</v>
      </c>
      <c r="N1481" t="s">
        <v>69</v>
      </c>
      <c r="O1481" t="s">
        <v>69</v>
      </c>
      <c r="P1481" t="s">
        <v>25841</v>
      </c>
      <c r="Q1481" t="s">
        <v>25842</v>
      </c>
      <c r="R1481" t="s">
        <v>69</v>
      </c>
      <c r="S1481" t="s">
        <v>69</v>
      </c>
      <c r="T1481" t="s">
        <v>8505</v>
      </c>
      <c r="U1481" t="s">
        <v>8506</v>
      </c>
      <c r="V1481" t="s">
        <v>69</v>
      </c>
      <c r="W1481" t="s">
        <v>69</v>
      </c>
      <c r="X1481" t="s">
        <v>69</v>
      </c>
      <c r="Y1481" t="s">
        <v>69</v>
      </c>
      <c r="Z1481" t="s">
        <v>69</v>
      </c>
      <c r="AA1481" t="s">
        <v>25843</v>
      </c>
      <c r="AB1481" t="s">
        <v>25844</v>
      </c>
      <c r="AC1481" t="s">
        <v>25845</v>
      </c>
      <c r="AD1481" t="s">
        <v>25846</v>
      </c>
      <c r="AE1481" t="s">
        <v>69</v>
      </c>
      <c r="AF1481" t="s">
        <v>25847</v>
      </c>
      <c r="AG1481" t="s">
        <v>25848</v>
      </c>
      <c r="AH1481" t="s">
        <v>69</v>
      </c>
      <c r="AI1481" t="s">
        <v>69</v>
      </c>
      <c r="AJ1481" t="s">
        <v>69</v>
      </c>
      <c r="AK1481" t="s">
        <v>69</v>
      </c>
      <c r="AL1481" t="s">
        <v>69</v>
      </c>
      <c r="AM1481" t="s">
        <v>69</v>
      </c>
      <c r="AN1481">
        <v>35</v>
      </c>
      <c r="AO1481">
        <v>0</v>
      </c>
      <c r="AP1481">
        <v>0</v>
      </c>
      <c r="AQ1481">
        <v>1</v>
      </c>
      <c r="AR1481">
        <v>2</v>
      </c>
      <c r="AS1481" t="s">
        <v>21110</v>
      </c>
      <c r="AT1481" t="s">
        <v>8847</v>
      </c>
      <c r="AU1481" t="s">
        <v>8848</v>
      </c>
      <c r="AV1481" t="s">
        <v>25849</v>
      </c>
      <c r="AW1481" t="s">
        <v>69</v>
      </c>
      <c r="AX1481" t="s">
        <v>69</v>
      </c>
      <c r="AY1481" t="s">
        <v>25850</v>
      </c>
      <c r="AZ1481" t="s">
        <v>25851</v>
      </c>
      <c r="BA1481" t="s">
        <v>201</v>
      </c>
      <c r="BB1481">
        <v>2012</v>
      </c>
      <c r="BC1481">
        <v>80</v>
      </c>
      <c r="BD1481">
        <v>2</v>
      </c>
      <c r="BE1481" t="s">
        <v>69</v>
      </c>
      <c r="BF1481" t="s">
        <v>69</v>
      </c>
      <c r="BG1481" t="s">
        <v>69</v>
      </c>
      <c r="BH1481" t="s">
        <v>69</v>
      </c>
      <c r="BI1481">
        <v>205</v>
      </c>
      <c r="BJ1481">
        <v>218</v>
      </c>
      <c r="BK1481" t="s">
        <v>69</v>
      </c>
      <c r="BL1481" t="s">
        <v>25852</v>
      </c>
      <c r="BM1481" t="str">
        <f>HYPERLINK("http://dx.doi.org/10.1111/j.1751-5823.2011.00165.x","http://dx.doi.org/10.1111/j.1751-5823.2011.00165.x")</f>
        <v>http://dx.doi.org/10.1111/j.1751-5823.2011.00165.x</v>
      </c>
      <c r="BN1481" t="s">
        <v>69</v>
      </c>
      <c r="BO1481" t="s">
        <v>69</v>
      </c>
      <c r="BP1481">
        <v>14</v>
      </c>
      <c r="BQ1481" t="s">
        <v>25853</v>
      </c>
      <c r="BR1481" t="s">
        <v>8548</v>
      </c>
      <c r="BS1481" t="s">
        <v>25854</v>
      </c>
      <c r="BT1481" t="s">
        <v>25855</v>
      </c>
      <c r="BU1481" t="s">
        <v>25856</v>
      </c>
      <c r="BV1481" t="s">
        <v>69</v>
      </c>
      <c r="BW1481" t="s">
        <v>69</v>
      </c>
      <c r="BX1481" t="s">
        <v>69</v>
      </c>
      <c r="BY1481" t="s">
        <v>69</v>
      </c>
      <c r="BZ1481" t="s">
        <v>8526</v>
      </c>
      <c r="CA1481" t="str">
        <f>HYPERLINK("https%3A%2F%2Fwww.webofscience.com%2Fwos%2Fwoscc%2Ffull-record%2FWOS:000306999900001","View Full Record in Web of Science")</f>
        <v>View Full Record in Web of Science</v>
      </c>
    </row>
    <row r="1482" spans="2:79" ht="12.5" x14ac:dyDescent="0.25">
      <c r="B1482" t="s">
        <v>8495</v>
      </c>
      <c r="D1482" s="7" t="s">
        <v>32933</v>
      </c>
      <c r="E1482" s="7"/>
      <c r="F1482" s="7"/>
      <c r="G1482" s="7"/>
      <c r="H1482" t="s">
        <v>67</v>
      </c>
      <c r="I1482" t="s">
        <v>5431</v>
      </c>
      <c r="J1482" t="s">
        <v>69</v>
      </c>
      <c r="K1482" t="s">
        <v>69</v>
      </c>
      <c r="L1482" t="s">
        <v>69</v>
      </c>
      <c r="M1482" t="s">
        <v>5432</v>
      </c>
      <c r="N1482" t="s">
        <v>69</v>
      </c>
      <c r="O1482" t="s">
        <v>69</v>
      </c>
      <c r="P1482" t="s">
        <v>5433</v>
      </c>
      <c r="Q1482" t="s">
        <v>1522</v>
      </c>
      <c r="R1482" t="s">
        <v>69</v>
      </c>
      <c r="S1482" t="s">
        <v>69</v>
      </c>
      <c r="T1482" t="s">
        <v>8505</v>
      </c>
      <c r="U1482" t="s">
        <v>8442</v>
      </c>
      <c r="V1482" t="s">
        <v>69</v>
      </c>
      <c r="W1482" t="s">
        <v>69</v>
      </c>
      <c r="X1482" t="s">
        <v>69</v>
      </c>
      <c r="Y1482" t="s">
        <v>69</v>
      </c>
      <c r="Z1482" t="s">
        <v>69</v>
      </c>
      <c r="AA1482" t="s">
        <v>14025</v>
      </c>
      <c r="AB1482" t="s">
        <v>14026</v>
      </c>
      <c r="AC1482" t="s">
        <v>5434</v>
      </c>
      <c r="AD1482" t="s">
        <v>14027</v>
      </c>
      <c r="AE1482" t="s">
        <v>69</v>
      </c>
      <c r="AF1482" t="s">
        <v>14028</v>
      </c>
      <c r="AG1482" t="s">
        <v>14029</v>
      </c>
      <c r="AH1482" t="s">
        <v>14030</v>
      </c>
      <c r="AI1482" t="s">
        <v>14031</v>
      </c>
      <c r="AJ1482" t="s">
        <v>69</v>
      </c>
      <c r="AK1482" t="s">
        <v>69</v>
      </c>
      <c r="AL1482" t="s">
        <v>69</v>
      </c>
      <c r="AM1482" t="s">
        <v>69</v>
      </c>
      <c r="AN1482">
        <v>108</v>
      </c>
      <c r="AO1482">
        <v>3</v>
      </c>
      <c r="AP1482">
        <v>3</v>
      </c>
      <c r="AQ1482">
        <v>2</v>
      </c>
      <c r="AR1482">
        <v>10</v>
      </c>
      <c r="AS1482" t="s">
        <v>8563</v>
      </c>
      <c r="AT1482" t="s">
        <v>8564</v>
      </c>
      <c r="AU1482" t="s">
        <v>8565</v>
      </c>
      <c r="AV1482" t="s">
        <v>1525</v>
      </c>
      <c r="AW1482" t="s">
        <v>1526</v>
      </c>
      <c r="AX1482" t="s">
        <v>69</v>
      </c>
      <c r="AY1482" t="s">
        <v>14032</v>
      </c>
      <c r="AZ1482" t="s">
        <v>14033</v>
      </c>
      <c r="BA1482" t="s">
        <v>373</v>
      </c>
      <c r="BB1482">
        <v>2021</v>
      </c>
      <c r="BC1482">
        <v>26</v>
      </c>
      <c r="BD1482">
        <v>1</v>
      </c>
      <c r="BE1482" t="s">
        <v>69</v>
      </c>
      <c r="BF1482" t="s">
        <v>69</v>
      </c>
      <c r="BG1482" t="s">
        <v>69</v>
      </c>
      <c r="BH1482" t="s">
        <v>69</v>
      </c>
      <c r="BI1482">
        <v>26</v>
      </c>
      <c r="BJ1482">
        <v>49</v>
      </c>
      <c r="BK1482" t="s">
        <v>69</v>
      </c>
      <c r="BL1482" t="s">
        <v>5435</v>
      </c>
      <c r="BM1482" t="str">
        <f>HYPERLINK("http://dx.doi.org/10.1007/s11367-020-01839-0","http://dx.doi.org/10.1007/s11367-020-01839-0")</f>
        <v>http://dx.doi.org/10.1007/s11367-020-01839-0</v>
      </c>
      <c r="BN1482" t="s">
        <v>69</v>
      </c>
      <c r="BO1482" t="s">
        <v>1867</v>
      </c>
      <c r="BP1482">
        <v>24</v>
      </c>
      <c r="BQ1482" t="s">
        <v>8743</v>
      </c>
      <c r="BR1482" t="s">
        <v>8548</v>
      </c>
      <c r="BS1482" t="s">
        <v>8744</v>
      </c>
      <c r="BT1482" t="s">
        <v>14034</v>
      </c>
      <c r="BU1482" t="s">
        <v>5436</v>
      </c>
      <c r="BV1482" t="s">
        <v>69</v>
      </c>
      <c r="BW1482" t="s">
        <v>69</v>
      </c>
      <c r="BX1482" t="s">
        <v>69</v>
      </c>
      <c r="BY1482" t="s">
        <v>69</v>
      </c>
      <c r="BZ1482" t="s">
        <v>8526</v>
      </c>
      <c r="CA1482" t="str">
        <f>HYPERLINK("https%3A%2F%2Fwww.webofscience.com%2Fwos%2Fwoscc%2Ffull-record%2FWOS:000590014300001","View Full Record in Web of Science")</f>
        <v>View Full Record in Web of Science</v>
      </c>
    </row>
    <row r="1483" spans="2:79" ht="12.5" x14ac:dyDescent="0.25">
      <c r="B1483" t="s">
        <v>8495</v>
      </c>
      <c r="D1483" s="22" t="s">
        <v>32931</v>
      </c>
      <c r="E1483" s="7"/>
      <c r="F1483" s="7"/>
      <c r="G1483" s="7"/>
      <c r="H1483" t="s">
        <v>67</v>
      </c>
      <c r="I1483" t="s">
        <v>10725</v>
      </c>
      <c r="J1483" t="s">
        <v>69</v>
      </c>
      <c r="K1483" t="s">
        <v>69</v>
      </c>
      <c r="L1483" t="s">
        <v>69</v>
      </c>
      <c r="M1483" t="s">
        <v>10726</v>
      </c>
      <c r="N1483" t="s">
        <v>69</v>
      </c>
      <c r="O1483" t="s">
        <v>69</v>
      </c>
      <c r="P1483" t="s">
        <v>10727</v>
      </c>
      <c r="Q1483" t="s">
        <v>10728</v>
      </c>
      <c r="R1483" t="s">
        <v>69</v>
      </c>
      <c r="S1483" t="s">
        <v>69</v>
      </c>
      <c r="T1483" t="s">
        <v>8505</v>
      </c>
      <c r="U1483" t="s">
        <v>8556</v>
      </c>
      <c r="V1483" t="s">
        <v>69</v>
      </c>
      <c r="W1483" t="s">
        <v>69</v>
      </c>
      <c r="X1483" t="s">
        <v>69</v>
      </c>
      <c r="Y1483" t="s">
        <v>69</v>
      </c>
      <c r="Z1483" t="s">
        <v>69</v>
      </c>
      <c r="AA1483" t="s">
        <v>10729</v>
      </c>
      <c r="AB1483" t="s">
        <v>69</v>
      </c>
      <c r="AC1483" t="s">
        <v>10730</v>
      </c>
      <c r="AD1483" t="s">
        <v>10731</v>
      </c>
      <c r="AE1483" t="s">
        <v>69</v>
      </c>
      <c r="AF1483" t="s">
        <v>10732</v>
      </c>
      <c r="AG1483" t="s">
        <v>10733</v>
      </c>
      <c r="AH1483" t="s">
        <v>69</v>
      </c>
      <c r="AI1483" t="s">
        <v>10734</v>
      </c>
      <c r="AJ1483" t="s">
        <v>10735</v>
      </c>
      <c r="AK1483" t="s">
        <v>10736</v>
      </c>
      <c r="AL1483" t="s">
        <v>10737</v>
      </c>
      <c r="AM1483" t="s">
        <v>69</v>
      </c>
      <c r="AN1483">
        <v>54</v>
      </c>
      <c r="AO1483">
        <v>0</v>
      </c>
      <c r="AP1483">
        <v>0</v>
      </c>
      <c r="AQ1483">
        <v>1</v>
      </c>
      <c r="AR1483">
        <v>1</v>
      </c>
      <c r="AS1483" t="s">
        <v>8865</v>
      </c>
      <c r="AT1483" t="s">
        <v>8612</v>
      </c>
      <c r="AU1483" t="s">
        <v>8866</v>
      </c>
      <c r="AV1483" t="s">
        <v>10738</v>
      </c>
      <c r="AW1483" t="s">
        <v>10739</v>
      </c>
      <c r="AX1483" t="s">
        <v>69</v>
      </c>
      <c r="AY1483" t="s">
        <v>10740</v>
      </c>
      <c r="AZ1483" t="s">
        <v>10741</v>
      </c>
      <c r="BA1483" t="s">
        <v>69</v>
      </c>
      <c r="BB1483" t="s">
        <v>69</v>
      </c>
      <c r="BC1483" t="s">
        <v>69</v>
      </c>
      <c r="BD1483" t="s">
        <v>69</v>
      </c>
      <c r="BE1483" t="s">
        <v>69</v>
      </c>
      <c r="BF1483" t="s">
        <v>69</v>
      </c>
      <c r="BG1483" t="s">
        <v>69</v>
      </c>
      <c r="BH1483" t="s">
        <v>69</v>
      </c>
      <c r="BI1483" t="s">
        <v>69</v>
      </c>
      <c r="BJ1483" t="s">
        <v>69</v>
      </c>
      <c r="BK1483" t="s">
        <v>69</v>
      </c>
      <c r="BL1483" t="s">
        <v>10742</v>
      </c>
      <c r="BM1483" t="str">
        <f>HYPERLINK("http://dx.doi.org/10.1080/20421338.2021.1992076","http://dx.doi.org/10.1080/20421338.2021.1992076")</f>
        <v>http://dx.doi.org/10.1080/20421338.2021.1992076</v>
      </c>
      <c r="BN1483" t="s">
        <v>69</v>
      </c>
      <c r="BO1483" t="s">
        <v>10646</v>
      </c>
      <c r="BP1483">
        <v>11</v>
      </c>
      <c r="BQ1483" t="s">
        <v>8619</v>
      </c>
      <c r="BR1483" t="s">
        <v>8573</v>
      </c>
      <c r="BS1483" t="s">
        <v>8620</v>
      </c>
      <c r="BT1483" t="s">
        <v>10743</v>
      </c>
      <c r="BU1483" t="s">
        <v>10744</v>
      </c>
      <c r="BV1483" t="s">
        <v>69</v>
      </c>
      <c r="BW1483" t="s">
        <v>69</v>
      </c>
      <c r="BX1483" t="s">
        <v>69</v>
      </c>
      <c r="BY1483" t="s">
        <v>69</v>
      </c>
      <c r="BZ1483" t="s">
        <v>8526</v>
      </c>
      <c r="CA1483" t="str">
        <f>HYPERLINK("https%3A%2F%2Fwww.webofscience.com%2Fwos%2Fwoscc%2Ffull-record%2FWOS:000723045600001","View Full Record in Web of Science")</f>
        <v>View Full Record in Web of Science</v>
      </c>
    </row>
    <row r="1484" spans="2:79" x14ac:dyDescent="0.3">
      <c r="B1484" t="s">
        <v>8495</v>
      </c>
      <c r="D1484" s="13" t="s">
        <v>32985</v>
      </c>
      <c r="H1484" t="s">
        <v>67</v>
      </c>
      <c r="I1484" t="s">
        <v>6924</v>
      </c>
      <c r="J1484" t="s">
        <v>69</v>
      </c>
      <c r="K1484" t="s">
        <v>69</v>
      </c>
      <c r="L1484" t="s">
        <v>69</v>
      </c>
      <c r="M1484" s="4" t="s">
        <v>6925</v>
      </c>
      <c r="N1484" t="s">
        <v>69</v>
      </c>
      <c r="O1484" t="s">
        <v>69</v>
      </c>
      <c r="P1484" s="6" t="s">
        <v>6926</v>
      </c>
      <c r="Q1484" t="s">
        <v>6927</v>
      </c>
      <c r="R1484" t="s">
        <v>69</v>
      </c>
      <c r="S1484" t="s">
        <v>69</v>
      </c>
      <c r="T1484" t="s">
        <v>8505</v>
      </c>
      <c r="U1484" t="s">
        <v>8506</v>
      </c>
      <c r="V1484" t="s">
        <v>69</v>
      </c>
      <c r="W1484" t="s">
        <v>69</v>
      </c>
      <c r="X1484" t="s">
        <v>69</v>
      </c>
      <c r="Y1484" t="s">
        <v>69</v>
      </c>
      <c r="Z1484" t="s">
        <v>69</v>
      </c>
      <c r="AA1484" t="s">
        <v>14849</v>
      </c>
      <c r="AB1484" t="s">
        <v>69</v>
      </c>
      <c r="AC1484" t="s">
        <v>6928</v>
      </c>
      <c r="AD1484" t="s">
        <v>14850</v>
      </c>
      <c r="AE1484" t="s">
        <v>69</v>
      </c>
      <c r="AF1484" t="s">
        <v>14851</v>
      </c>
      <c r="AG1484" t="s">
        <v>14852</v>
      </c>
      <c r="AH1484" t="s">
        <v>69</v>
      </c>
      <c r="AI1484" t="s">
        <v>69</v>
      </c>
      <c r="AJ1484" t="s">
        <v>14853</v>
      </c>
      <c r="AK1484" t="s">
        <v>14854</v>
      </c>
      <c r="AL1484" t="s">
        <v>14855</v>
      </c>
      <c r="AM1484" t="s">
        <v>69</v>
      </c>
      <c r="AN1484">
        <v>8</v>
      </c>
      <c r="AO1484">
        <v>1</v>
      </c>
      <c r="AP1484">
        <v>1</v>
      </c>
      <c r="AQ1484">
        <v>0</v>
      </c>
      <c r="AR1484">
        <v>2</v>
      </c>
      <c r="AS1484" t="s">
        <v>14856</v>
      </c>
      <c r="AT1484" t="s">
        <v>11131</v>
      </c>
      <c r="AU1484" t="s">
        <v>14857</v>
      </c>
      <c r="AV1484" t="s">
        <v>6929</v>
      </c>
      <c r="AW1484" t="s">
        <v>6930</v>
      </c>
      <c r="AX1484" t="s">
        <v>69</v>
      </c>
      <c r="AY1484" t="s">
        <v>14858</v>
      </c>
      <c r="AZ1484" t="s">
        <v>14859</v>
      </c>
      <c r="BA1484" t="s">
        <v>84</v>
      </c>
      <c r="BB1484">
        <v>2020</v>
      </c>
      <c r="BC1484">
        <v>9</v>
      </c>
      <c r="BD1484">
        <v>4</v>
      </c>
      <c r="BE1484" t="s">
        <v>69</v>
      </c>
      <c r="BF1484" t="s">
        <v>69</v>
      </c>
      <c r="BG1484" t="s">
        <v>69</v>
      </c>
      <c r="BH1484" t="s">
        <v>69</v>
      </c>
      <c r="BI1484" t="s">
        <v>69</v>
      </c>
      <c r="BJ1484" t="s">
        <v>69</v>
      </c>
      <c r="BK1484" t="s">
        <v>6931</v>
      </c>
      <c r="BL1484" t="s">
        <v>6932</v>
      </c>
      <c r="BM1484" t="str">
        <f>HYPERLINK("http://dx.doi.org/10.1002/wene.372","http://dx.doi.org/10.1002/wene.372")</f>
        <v>http://dx.doi.org/10.1002/wene.372</v>
      </c>
      <c r="BN1484" t="s">
        <v>69</v>
      </c>
      <c r="BO1484" t="s">
        <v>69</v>
      </c>
      <c r="BP1484">
        <v>9</v>
      </c>
      <c r="BQ1484" t="s">
        <v>9164</v>
      </c>
      <c r="BR1484" t="s">
        <v>8548</v>
      </c>
      <c r="BS1484" t="s">
        <v>9164</v>
      </c>
      <c r="BT1484" t="s">
        <v>14860</v>
      </c>
      <c r="BU1484" t="s">
        <v>6933</v>
      </c>
      <c r="BV1484" t="s">
        <v>69</v>
      </c>
      <c r="BW1484" t="s">
        <v>69</v>
      </c>
      <c r="BX1484" t="s">
        <v>69</v>
      </c>
      <c r="BY1484" t="s">
        <v>69</v>
      </c>
      <c r="BZ1484" t="s">
        <v>8526</v>
      </c>
      <c r="CA1484" t="str">
        <f>HYPERLINK("https%3A%2F%2Fwww.webofscience.com%2Fwos%2Fwoscc%2Ffull-record%2FWOS:000540506700002","View Full Record in Web of Science")</f>
        <v>View Full Record in Web of Science</v>
      </c>
    </row>
    <row r="1485" spans="2:79" ht="12.5" x14ac:dyDescent="0.25">
      <c r="B1485" t="s">
        <v>8495</v>
      </c>
      <c r="D1485" s="22" t="s">
        <v>32931</v>
      </c>
      <c r="E1485" s="7"/>
      <c r="F1485" s="7"/>
      <c r="G1485" s="7"/>
      <c r="H1485" t="s">
        <v>67</v>
      </c>
      <c r="I1485" t="s">
        <v>12639</v>
      </c>
      <c r="J1485" t="s">
        <v>69</v>
      </c>
      <c r="K1485" t="s">
        <v>69</v>
      </c>
      <c r="L1485" t="s">
        <v>69</v>
      </c>
      <c r="M1485" t="s">
        <v>12640</v>
      </c>
      <c r="N1485" t="s">
        <v>69</v>
      </c>
      <c r="O1485" t="s">
        <v>69</v>
      </c>
      <c r="P1485" t="s">
        <v>12641</v>
      </c>
      <c r="Q1485" t="s">
        <v>352</v>
      </c>
      <c r="R1485" t="s">
        <v>69</v>
      </c>
      <c r="S1485" t="s">
        <v>69</v>
      </c>
      <c r="T1485" t="s">
        <v>8505</v>
      </c>
      <c r="U1485" t="s">
        <v>8506</v>
      </c>
      <c r="V1485" t="s">
        <v>69</v>
      </c>
      <c r="W1485" t="s">
        <v>69</v>
      </c>
      <c r="X1485" t="s">
        <v>69</v>
      </c>
      <c r="Y1485" t="s">
        <v>69</v>
      </c>
      <c r="Z1485" t="s">
        <v>69</v>
      </c>
      <c r="AA1485" t="s">
        <v>12642</v>
      </c>
      <c r="AB1485" t="s">
        <v>69</v>
      </c>
      <c r="AC1485" t="s">
        <v>12643</v>
      </c>
      <c r="AD1485" t="s">
        <v>12644</v>
      </c>
      <c r="AE1485" t="s">
        <v>69</v>
      </c>
      <c r="AF1485" t="s">
        <v>12645</v>
      </c>
      <c r="AG1485" t="s">
        <v>12646</v>
      </c>
      <c r="AH1485" t="s">
        <v>12647</v>
      </c>
      <c r="AI1485" t="s">
        <v>12648</v>
      </c>
      <c r="AJ1485" t="s">
        <v>69</v>
      </c>
      <c r="AK1485" t="s">
        <v>69</v>
      </c>
      <c r="AL1485" t="s">
        <v>69</v>
      </c>
      <c r="AM1485" t="s">
        <v>69</v>
      </c>
      <c r="AN1485">
        <v>39</v>
      </c>
      <c r="AO1485">
        <v>1</v>
      </c>
      <c r="AP1485">
        <v>1</v>
      </c>
      <c r="AQ1485">
        <v>3</v>
      </c>
      <c r="AR1485">
        <v>9</v>
      </c>
      <c r="AS1485" t="s">
        <v>8924</v>
      </c>
      <c r="AT1485" t="s">
        <v>8925</v>
      </c>
      <c r="AU1485" t="s">
        <v>8926</v>
      </c>
      <c r="AV1485" t="s">
        <v>69</v>
      </c>
      <c r="AW1485" t="s">
        <v>354</v>
      </c>
      <c r="AX1485" t="s">
        <v>69</v>
      </c>
      <c r="AY1485" t="s">
        <v>8958</v>
      </c>
      <c r="AZ1485" t="s">
        <v>8434</v>
      </c>
      <c r="BA1485" t="s">
        <v>246</v>
      </c>
      <c r="BB1485">
        <v>2021</v>
      </c>
      <c r="BC1485">
        <v>13</v>
      </c>
      <c r="BD1485">
        <v>7</v>
      </c>
      <c r="BE1485" t="s">
        <v>69</v>
      </c>
      <c r="BF1485" t="s">
        <v>69</v>
      </c>
      <c r="BG1485" t="s">
        <v>69</v>
      </c>
      <c r="BH1485" t="s">
        <v>69</v>
      </c>
      <c r="BI1485" t="s">
        <v>69</v>
      </c>
      <c r="BJ1485" t="s">
        <v>69</v>
      </c>
      <c r="BK1485">
        <v>3948</v>
      </c>
      <c r="BL1485" t="s">
        <v>12649</v>
      </c>
      <c r="BM1485" t="str">
        <f>HYPERLINK("http://dx.doi.org/10.3390/su13073948","http://dx.doi.org/10.3390/su13073948")</f>
        <v>http://dx.doi.org/10.3390/su13073948</v>
      </c>
      <c r="BN1485" t="s">
        <v>69</v>
      </c>
      <c r="BO1485" t="s">
        <v>69</v>
      </c>
      <c r="BP1485">
        <v>16</v>
      </c>
      <c r="BQ1485" t="s">
        <v>8960</v>
      </c>
      <c r="BR1485" t="s">
        <v>8523</v>
      </c>
      <c r="BS1485" t="s">
        <v>8961</v>
      </c>
      <c r="BT1485" t="s">
        <v>12650</v>
      </c>
      <c r="BU1485" t="s">
        <v>12651</v>
      </c>
      <c r="BV1485" t="s">
        <v>69</v>
      </c>
      <c r="BW1485" t="s">
        <v>9352</v>
      </c>
      <c r="BX1485" t="s">
        <v>69</v>
      </c>
      <c r="BY1485" t="s">
        <v>69</v>
      </c>
      <c r="BZ1485" t="s">
        <v>8526</v>
      </c>
      <c r="CA1485" t="str">
        <f>HYPERLINK("https%3A%2F%2Fwww.webofscience.com%2Fwos%2Fwoscc%2Ffull-record%2FWOS:000638929300001","View Full Record in Web of Science")</f>
        <v>View Full Record in Web of Science</v>
      </c>
    </row>
    <row r="1486" spans="2:79" ht="12.5" x14ac:dyDescent="0.25">
      <c r="B1486" t="s">
        <v>8495</v>
      </c>
      <c r="D1486" s="7" t="s">
        <v>32933</v>
      </c>
      <c r="E1486" s="7"/>
      <c r="F1486" s="7"/>
      <c r="G1486" s="7"/>
      <c r="H1486" t="s">
        <v>67</v>
      </c>
      <c r="I1486" t="s">
        <v>3665</v>
      </c>
      <c r="J1486" t="s">
        <v>69</v>
      </c>
      <c r="K1486" t="s">
        <v>69</v>
      </c>
      <c r="L1486" t="s">
        <v>69</v>
      </c>
      <c r="M1486" t="s">
        <v>3666</v>
      </c>
      <c r="N1486" t="s">
        <v>69</v>
      </c>
      <c r="O1486" t="s">
        <v>69</v>
      </c>
      <c r="P1486" t="s">
        <v>3667</v>
      </c>
      <c r="Q1486" t="s">
        <v>2027</v>
      </c>
      <c r="R1486" t="s">
        <v>69</v>
      </c>
      <c r="S1486" t="s">
        <v>69</v>
      </c>
      <c r="T1486" t="s">
        <v>8505</v>
      </c>
      <c r="U1486" t="s">
        <v>8506</v>
      </c>
      <c r="V1486" t="s">
        <v>69</v>
      </c>
      <c r="W1486" t="s">
        <v>69</v>
      </c>
      <c r="X1486" t="s">
        <v>69</v>
      </c>
      <c r="Y1486" t="s">
        <v>69</v>
      </c>
      <c r="Z1486" t="s">
        <v>69</v>
      </c>
      <c r="AA1486" t="s">
        <v>29175</v>
      </c>
      <c r="AB1486" t="s">
        <v>29176</v>
      </c>
      <c r="AC1486" t="s">
        <v>3668</v>
      </c>
      <c r="AD1486" t="s">
        <v>29177</v>
      </c>
      <c r="AE1486" t="s">
        <v>69</v>
      </c>
      <c r="AF1486" t="s">
        <v>29178</v>
      </c>
      <c r="AG1486" t="s">
        <v>29179</v>
      </c>
      <c r="AH1486" t="s">
        <v>3669</v>
      </c>
      <c r="AI1486" t="s">
        <v>3670</v>
      </c>
      <c r="AJ1486" t="s">
        <v>29180</v>
      </c>
      <c r="AK1486" t="s">
        <v>29181</v>
      </c>
      <c r="AL1486" t="s">
        <v>29182</v>
      </c>
      <c r="AM1486" t="s">
        <v>69</v>
      </c>
      <c r="AN1486">
        <v>47</v>
      </c>
      <c r="AO1486">
        <v>39</v>
      </c>
      <c r="AP1486">
        <v>41</v>
      </c>
      <c r="AQ1486">
        <v>1</v>
      </c>
      <c r="AR1486">
        <v>28</v>
      </c>
      <c r="AS1486" t="s">
        <v>8516</v>
      </c>
      <c r="AT1486" t="s">
        <v>8517</v>
      </c>
      <c r="AU1486" t="s">
        <v>8518</v>
      </c>
      <c r="AV1486" t="s">
        <v>2029</v>
      </c>
      <c r="AW1486" t="s">
        <v>2030</v>
      </c>
      <c r="AX1486" t="s">
        <v>69</v>
      </c>
      <c r="AY1486" t="s">
        <v>2027</v>
      </c>
      <c r="AZ1486" t="s">
        <v>15875</v>
      </c>
      <c r="BA1486" t="s">
        <v>201</v>
      </c>
      <c r="BB1486">
        <v>2008</v>
      </c>
      <c r="BC1486">
        <v>28</v>
      </c>
      <c r="BD1486">
        <v>8</v>
      </c>
      <c r="BE1486" t="s">
        <v>69</v>
      </c>
      <c r="BF1486" t="s">
        <v>69</v>
      </c>
      <c r="BG1486" t="s">
        <v>69</v>
      </c>
      <c r="BH1486" t="s">
        <v>69</v>
      </c>
      <c r="BI1486">
        <v>485</v>
      </c>
      <c r="BJ1486">
        <v>494</v>
      </c>
      <c r="BK1486" t="s">
        <v>69</v>
      </c>
      <c r="BL1486" t="s">
        <v>3671</v>
      </c>
      <c r="BM1486" t="str">
        <f>HYPERLINK("http://dx.doi.org/10.1016/j.technovation.2008.02.005","http://dx.doi.org/10.1016/j.technovation.2008.02.005")</f>
        <v>http://dx.doi.org/10.1016/j.technovation.2008.02.005</v>
      </c>
      <c r="BN1486" t="s">
        <v>69</v>
      </c>
      <c r="BO1486" t="s">
        <v>69</v>
      </c>
      <c r="BP1486">
        <v>10</v>
      </c>
      <c r="BQ1486" t="s">
        <v>15876</v>
      </c>
      <c r="BR1486" t="s">
        <v>8523</v>
      </c>
      <c r="BS1486" t="s">
        <v>15877</v>
      </c>
      <c r="BT1486" t="s">
        <v>29183</v>
      </c>
      <c r="BU1486" t="s">
        <v>3672</v>
      </c>
      <c r="BV1486" t="s">
        <v>69</v>
      </c>
      <c r="BW1486" t="s">
        <v>69</v>
      </c>
      <c r="BX1486" t="s">
        <v>69</v>
      </c>
      <c r="BY1486" t="s">
        <v>69</v>
      </c>
      <c r="BZ1486" t="s">
        <v>8526</v>
      </c>
      <c r="CA1486" t="str">
        <f>HYPERLINK("https%3A%2F%2Fwww.webofscience.com%2Fwos%2Fwoscc%2Ffull-record%2FWOS:000258707100002","View Full Record in Web of Science")</f>
        <v>View Full Record in Web of Science</v>
      </c>
    </row>
    <row r="1487" spans="2:79" ht="12.5" x14ac:dyDescent="0.25">
      <c r="B1487" t="s">
        <v>8495</v>
      </c>
      <c r="D1487" s="22" t="s">
        <v>32931</v>
      </c>
      <c r="E1487" s="7"/>
      <c r="F1487" s="7"/>
      <c r="G1487" s="7"/>
      <c r="H1487" t="s">
        <v>67</v>
      </c>
      <c r="I1487" t="s">
        <v>13693</v>
      </c>
      <c r="J1487" t="s">
        <v>69</v>
      </c>
      <c r="K1487" t="s">
        <v>69</v>
      </c>
      <c r="L1487" t="s">
        <v>69</v>
      </c>
      <c r="M1487" t="s">
        <v>13694</v>
      </c>
      <c r="N1487" t="s">
        <v>69</v>
      </c>
      <c r="O1487" t="s">
        <v>69</v>
      </c>
      <c r="P1487" t="s">
        <v>13695</v>
      </c>
      <c r="Q1487" t="s">
        <v>7133</v>
      </c>
      <c r="R1487" t="s">
        <v>69</v>
      </c>
      <c r="S1487" t="s">
        <v>69</v>
      </c>
      <c r="T1487" t="s">
        <v>8505</v>
      </c>
      <c r="U1487" t="s">
        <v>8442</v>
      </c>
      <c r="V1487" t="s">
        <v>69</v>
      </c>
      <c r="W1487" t="s">
        <v>69</v>
      </c>
      <c r="X1487" t="s">
        <v>69</v>
      </c>
      <c r="Y1487" t="s">
        <v>69</v>
      </c>
      <c r="Z1487" t="s">
        <v>69</v>
      </c>
      <c r="AA1487" t="s">
        <v>13696</v>
      </c>
      <c r="AB1487" t="s">
        <v>69</v>
      </c>
      <c r="AC1487" t="s">
        <v>13697</v>
      </c>
      <c r="AD1487" t="s">
        <v>13698</v>
      </c>
      <c r="AE1487" t="s">
        <v>69</v>
      </c>
      <c r="AF1487" t="s">
        <v>13699</v>
      </c>
      <c r="AG1487" t="s">
        <v>69</v>
      </c>
      <c r="AH1487" t="s">
        <v>69</v>
      </c>
      <c r="AI1487" t="s">
        <v>69</v>
      </c>
      <c r="AJ1487" t="s">
        <v>69</v>
      </c>
      <c r="AK1487" t="s">
        <v>69</v>
      </c>
      <c r="AL1487" t="s">
        <v>69</v>
      </c>
      <c r="AM1487" t="s">
        <v>69</v>
      </c>
      <c r="AN1487">
        <v>2</v>
      </c>
      <c r="AO1487">
        <v>0</v>
      </c>
      <c r="AP1487">
        <v>0</v>
      </c>
      <c r="AQ1487">
        <v>1</v>
      </c>
      <c r="AR1487">
        <v>4</v>
      </c>
      <c r="AS1487" t="s">
        <v>13700</v>
      </c>
      <c r="AT1487" t="s">
        <v>13701</v>
      </c>
      <c r="AU1487" t="s">
        <v>13702</v>
      </c>
      <c r="AV1487" t="s">
        <v>7135</v>
      </c>
      <c r="AW1487" t="s">
        <v>69</v>
      </c>
      <c r="AX1487" t="s">
        <v>69</v>
      </c>
      <c r="AY1487" t="s">
        <v>13703</v>
      </c>
      <c r="AZ1487" t="s">
        <v>13704</v>
      </c>
      <c r="BA1487" t="s">
        <v>69</v>
      </c>
      <c r="BB1487">
        <v>2021</v>
      </c>
      <c r="BC1487">
        <v>33</v>
      </c>
      <c r="BD1487" t="s">
        <v>69</v>
      </c>
      <c r="BE1487" t="s">
        <v>69</v>
      </c>
      <c r="BF1487">
        <v>3</v>
      </c>
      <c r="BG1487" t="s">
        <v>69</v>
      </c>
      <c r="BH1487" t="s">
        <v>69</v>
      </c>
      <c r="BI1487">
        <v>107</v>
      </c>
      <c r="BJ1487">
        <v>116</v>
      </c>
      <c r="BK1487" t="s">
        <v>69</v>
      </c>
      <c r="BL1487" t="s">
        <v>69</v>
      </c>
      <c r="BM1487" t="s">
        <v>69</v>
      </c>
      <c r="BN1487" t="s">
        <v>69</v>
      </c>
      <c r="BO1487" t="s">
        <v>69</v>
      </c>
      <c r="BP1487">
        <v>10</v>
      </c>
      <c r="BQ1487" t="s">
        <v>9332</v>
      </c>
      <c r="BR1487" t="s">
        <v>8523</v>
      </c>
      <c r="BS1487" t="s">
        <v>9332</v>
      </c>
      <c r="BT1487" t="s">
        <v>13705</v>
      </c>
      <c r="BU1487" t="s">
        <v>13706</v>
      </c>
      <c r="BV1487">
        <v>34010260</v>
      </c>
      <c r="BW1487" t="s">
        <v>69</v>
      </c>
      <c r="BX1487" t="s">
        <v>69</v>
      </c>
      <c r="BY1487" t="s">
        <v>69</v>
      </c>
      <c r="BZ1487" t="s">
        <v>8526</v>
      </c>
      <c r="CA1487" t="str">
        <f>HYPERLINK("https%3A%2F%2Fwww.webofscience.com%2Fwos%2Fwoscc%2Ffull-record%2FWOS:000667177200011","View Full Record in Web of Science")</f>
        <v>View Full Record in Web of Science</v>
      </c>
    </row>
    <row r="1488" spans="2:79" x14ac:dyDescent="0.3">
      <c r="B1488" t="s">
        <v>8495</v>
      </c>
      <c r="D1488" s="12" t="s">
        <v>32966</v>
      </c>
      <c r="H1488" t="s">
        <v>67</v>
      </c>
      <c r="I1488" t="s">
        <v>5013</v>
      </c>
      <c r="J1488" t="s">
        <v>69</v>
      </c>
      <c r="K1488" t="s">
        <v>69</v>
      </c>
      <c r="L1488" t="s">
        <v>69</v>
      </c>
      <c r="M1488" s="3" t="s">
        <v>5014</v>
      </c>
      <c r="N1488" t="s">
        <v>69</v>
      </c>
      <c r="O1488" t="s">
        <v>69</v>
      </c>
      <c r="P1488" s="2" t="s">
        <v>5015</v>
      </c>
      <c r="Q1488" t="s">
        <v>5016</v>
      </c>
      <c r="R1488" t="s">
        <v>69</v>
      </c>
      <c r="S1488" t="s">
        <v>69</v>
      </c>
      <c r="T1488" t="s">
        <v>10071</v>
      </c>
      <c r="U1488" t="s">
        <v>8506</v>
      </c>
      <c r="V1488" t="s">
        <v>69</v>
      </c>
      <c r="W1488" t="s">
        <v>69</v>
      </c>
      <c r="X1488" t="s">
        <v>69</v>
      </c>
      <c r="Y1488" t="s">
        <v>69</v>
      </c>
      <c r="Z1488" t="s">
        <v>69</v>
      </c>
      <c r="AA1488" t="s">
        <v>26723</v>
      </c>
      <c r="AB1488" t="s">
        <v>69</v>
      </c>
      <c r="AC1488" t="s">
        <v>5017</v>
      </c>
      <c r="AD1488" t="s">
        <v>26724</v>
      </c>
      <c r="AE1488" t="s">
        <v>69</v>
      </c>
      <c r="AF1488" t="s">
        <v>69</v>
      </c>
      <c r="AG1488" t="s">
        <v>26725</v>
      </c>
      <c r="AH1488" t="s">
        <v>69</v>
      </c>
      <c r="AI1488" t="s">
        <v>69</v>
      </c>
      <c r="AJ1488" t="s">
        <v>69</v>
      </c>
      <c r="AK1488" t="s">
        <v>69</v>
      </c>
      <c r="AL1488" t="s">
        <v>69</v>
      </c>
      <c r="AM1488" t="s">
        <v>69</v>
      </c>
      <c r="AN1488">
        <v>4</v>
      </c>
      <c r="AO1488">
        <v>0</v>
      </c>
      <c r="AP1488">
        <v>0</v>
      </c>
      <c r="AQ1488">
        <v>0</v>
      </c>
      <c r="AR1488">
        <v>1</v>
      </c>
      <c r="AS1488" t="s">
        <v>26726</v>
      </c>
      <c r="AT1488" t="s">
        <v>11466</v>
      </c>
      <c r="AU1488" t="s">
        <v>26727</v>
      </c>
      <c r="AV1488" t="s">
        <v>5018</v>
      </c>
      <c r="AW1488" t="s">
        <v>69</v>
      </c>
      <c r="AX1488" t="s">
        <v>69</v>
      </c>
      <c r="AY1488" t="s">
        <v>26728</v>
      </c>
      <c r="AZ1488" t="s">
        <v>26729</v>
      </c>
      <c r="BA1488" t="s">
        <v>3964</v>
      </c>
      <c r="BB1488">
        <v>2011</v>
      </c>
      <c r="BC1488">
        <v>17</v>
      </c>
      <c r="BD1488">
        <v>4</v>
      </c>
      <c r="BE1488" t="s">
        <v>69</v>
      </c>
      <c r="BF1488" t="s">
        <v>69</v>
      </c>
      <c r="BG1488" t="s">
        <v>69</v>
      </c>
      <c r="BH1488" t="s">
        <v>69</v>
      </c>
      <c r="BI1488">
        <v>692</v>
      </c>
      <c r="BJ1488">
        <v>707</v>
      </c>
      <c r="BK1488" t="s">
        <v>69</v>
      </c>
      <c r="BL1488" t="s">
        <v>69</v>
      </c>
      <c r="BM1488" t="s">
        <v>69</v>
      </c>
      <c r="BN1488" t="s">
        <v>69</v>
      </c>
      <c r="BO1488" t="s">
        <v>69</v>
      </c>
      <c r="BP1488">
        <v>16</v>
      </c>
      <c r="BQ1488" t="s">
        <v>26730</v>
      </c>
      <c r="BR1488" t="s">
        <v>8661</v>
      </c>
      <c r="BS1488" t="s">
        <v>8594</v>
      </c>
      <c r="BT1488" t="s">
        <v>26731</v>
      </c>
      <c r="BU1488" t="s">
        <v>5019</v>
      </c>
      <c r="BV1488" t="s">
        <v>69</v>
      </c>
      <c r="BW1488" t="s">
        <v>69</v>
      </c>
      <c r="BX1488" t="s">
        <v>69</v>
      </c>
      <c r="BY1488" t="s">
        <v>69</v>
      </c>
      <c r="BZ1488" t="s">
        <v>8526</v>
      </c>
      <c r="CA1488" t="str">
        <f>HYPERLINK("https%3A%2F%2Fwww.webofscience.com%2Fwos%2Fwoscc%2Ffull-record%2FWOS:000305050500010","View Full Record in Web of Science")</f>
        <v>View Full Record in Web of Science</v>
      </c>
    </row>
    <row r="1489" spans="2:79" ht="12.5" x14ac:dyDescent="0.25">
      <c r="B1489" t="s">
        <v>8495</v>
      </c>
      <c r="D1489" s="7" t="s">
        <v>32933</v>
      </c>
      <c r="E1489" s="7"/>
      <c r="F1489" s="7"/>
      <c r="G1489" s="7"/>
      <c r="H1489" t="s">
        <v>67</v>
      </c>
      <c r="I1489" t="s">
        <v>2448</v>
      </c>
      <c r="J1489" t="s">
        <v>69</v>
      </c>
      <c r="K1489" t="s">
        <v>69</v>
      </c>
      <c r="L1489" t="s">
        <v>69</v>
      </c>
      <c r="M1489" t="s">
        <v>2449</v>
      </c>
      <c r="N1489" t="s">
        <v>69</v>
      </c>
      <c r="O1489" t="s">
        <v>69</v>
      </c>
      <c r="P1489" t="s">
        <v>2450</v>
      </c>
      <c r="Q1489" t="s">
        <v>1251</v>
      </c>
      <c r="R1489" t="s">
        <v>69</v>
      </c>
      <c r="S1489" t="s">
        <v>69</v>
      </c>
      <c r="T1489" t="s">
        <v>8505</v>
      </c>
      <c r="U1489" t="s">
        <v>8506</v>
      </c>
      <c r="V1489" t="s">
        <v>69</v>
      </c>
      <c r="W1489" t="s">
        <v>69</v>
      </c>
      <c r="X1489" t="s">
        <v>69</v>
      </c>
      <c r="Y1489" t="s">
        <v>69</v>
      </c>
      <c r="Z1489" t="s">
        <v>69</v>
      </c>
      <c r="AA1489" t="s">
        <v>19321</v>
      </c>
      <c r="AB1489" t="s">
        <v>19322</v>
      </c>
      <c r="AC1489" t="s">
        <v>2451</v>
      </c>
      <c r="AD1489" t="s">
        <v>19323</v>
      </c>
      <c r="AE1489" t="s">
        <v>69</v>
      </c>
      <c r="AF1489" t="s">
        <v>19324</v>
      </c>
      <c r="AG1489" t="s">
        <v>19325</v>
      </c>
      <c r="AH1489" t="s">
        <v>19326</v>
      </c>
      <c r="AI1489" t="s">
        <v>19327</v>
      </c>
      <c r="AJ1489" t="s">
        <v>69</v>
      </c>
      <c r="AK1489" t="s">
        <v>69</v>
      </c>
      <c r="AL1489" t="s">
        <v>69</v>
      </c>
      <c r="AM1489" t="s">
        <v>69</v>
      </c>
      <c r="AN1489">
        <v>82</v>
      </c>
      <c r="AO1489">
        <v>7</v>
      </c>
      <c r="AP1489">
        <v>7</v>
      </c>
      <c r="AQ1489">
        <v>0</v>
      </c>
      <c r="AR1489">
        <v>20</v>
      </c>
      <c r="AS1489" t="s">
        <v>8586</v>
      </c>
      <c r="AT1489" t="s">
        <v>8587</v>
      </c>
      <c r="AU1489" t="s">
        <v>8588</v>
      </c>
      <c r="AV1489" t="s">
        <v>1254</v>
      </c>
      <c r="AW1489" t="s">
        <v>1255</v>
      </c>
      <c r="AX1489" t="s">
        <v>69</v>
      </c>
      <c r="AY1489" t="s">
        <v>1251</v>
      </c>
      <c r="AZ1489" t="s">
        <v>19328</v>
      </c>
      <c r="BA1489" t="s">
        <v>69</v>
      </c>
      <c r="BB1489">
        <v>2018</v>
      </c>
      <c r="BC1489">
        <v>31</v>
      </c>
      <c r="BD1489">
        <v>2</v>
      </c>
      <c r="BE1489" t="s">
        <v>69</v>
      </c>
      <c r="BF1489" t="s">
        <v>69</v>
      </c>
      <c r="BG1489" t="s">
        <v>69</v>
      </c>
      <c r="BH1489" t="s">
        <v>69</v>
      </c>
      <c r="BI1489">
        <v>114</v>
      </c>
      <c r="BJ1489">
        <v>136</v>
      </c>
      <c r="BK1489" t="s">
        <v>69</v>
      </c>
      <c r="BL1489" t="s">
        <v>2452</v>
      </c>
      <c r="BM1489" t="str">
        <f>HYPERLINK("http://dx.doi.org/10.1108/BL-09-2017-0029","http://dx.doi.org/10.1108/BL-09-2017-0029")</f>
        <v>http://dx.doi.org/10.1108/BL-09-2017-0029</v>
      </c>
      <c r="BN1489" t="s">
        <v>69</v>
      </c>
      <c r="BO1489" t="s">
        <v>69</v>
      </c>
      <c r="BP1489">
        <v>23</v>
      </c>
      <c r="BQ1489" t="s">
        <v>11010</v>
      </c>
      <c r="BR1489" t="s">
        <v>8573</v>
      </c>
      <c r="BS1489" t="s">
        <v>11010</v>
      </c>
      <c r="BT1489" t="s">
        <v>19329</v>
      </c>
      <c r="BU1489" t="s">
        <v>2453</v>
      </c>
      <c r="BV1489" t="s">
        <v>69</v>
      </c>
      <c r="BW1489" t="s">
        <v>9292</v>
      </c>
      <c r="BX1489" t="s">
        <v>69</v>
      </c>
      <c r="BY1489" t="s">
        <v>69</v>
      </c>
      <c r="BZ1489" t="s">
        <v>8526</v>
      </c>
      <c r="CA1489" t="str">
        <f>HYPERLINK("https%3A%2F%2Fwww.webofscience.com%2Fwos%2Fwoscc%2Ffull-record%2FWOS:000435558000002","View Full Record in Web of Science")</f>
        <v>View Full Record in Web of Science</v>
      </c>
    </row>
    <row r="1490" spans="2:79" ht="12.5" x14ac:dyDescent="0.25">
      <c r="B1490" t="s">
        <v>8495</v>
      </c>
      <c r="D1490" s="7" t="s">
        <v>32933</v>
      </c>
      <c r="E1490" s="7"/>
      <c r="F1490" s="7"/>
      <c r="G1490" s="7"/>
      <c r="H1490" t="s">
        <v>67</v>
      </c>
      <c r="I1490" t="s">
        <v>445</v>
      </c>
      <c r="J1490" t="s">
        <v>69</v>
      </c>
      <c r="K1490" t="s">
        <v>69</v>
      </c>
      <c r="L1490" t="s">
        <v>69</v>
      </c>
      <c r="M1490" t="s">
        <v>446</v>
      </c>
      <c r="N1490" t="s">
        <v>69</v>
      </c>
      <c r="O1490" t="s">
        <v>69</v>
      </c>
      <c r="P1490" t="s">
        <v>447</v>
      </c>
      <c r="Q1490" t="s">
        <v>436</v>
      </c>
      <c r="R1490" t="s">
        <v>69</v>
      </c>
      <c r="S1490" t="s">
        <v>69</v>
      </c>
      <c r="T1490" t="s">
        <v>8505</v>
      </c>
      <c r="U1490" t="s">
        <v>8506</v>
      </c>
      <c r="V1490" t="s">
        <v>69</v>
      </c>
      <c r="W1490" t="s">
        <v>69</v>
      </c>
      <c r="X1490" t="s">
        <v>69</v>
      </c>
      <c r="Y1490" t="s">
        <v>69</v>
      </c>
      <c r="Z1490" t="s">
        <v>69</v>
      </c>
      <c r="AA1490" t="s">
        <v>21068</v>
      </c>
      <c r="AB1490" t="s">
        <v>21069</v>
      </c>
      <c r="AC1490" t="s">
        <v>448</v>
      </c>
      <c r="AD1490" t="s">
        <v>21070</v>
      </c>
      <c r="AE1490" t="s">
        <v>69</v>
      </c>
      <c r="AF1490" t="s">
        <v>21071</v>
      </c>
      <c r="AG1490" t="s">
        <v>21072</v>
      </c>
      <c r="AH1490" t="s">
        <v>449</v>
      </c>
      <c r="AI1490" t="s">
        <v>450</v>
      </c>
      <c r="AJ1490" t="s">
        <v>69</v>
      </c>
      <c r="AK1490" t="s">
        <v>69</v>
      </c>
      <c r="AL1490" t="s">
        <v>69</v>
      </c>
      <c r="AM1490" t="s">
        <v>69</v>
      </c>
      <c r="AN1490">
        <v>37</v>
      </c>
      <c r="AO1490">
        <v>108</v>
      </c>
      <c r="AP1490">
        <v>108</v>
      </c>
      <c r="AQ1490">
        <v>10</v>
      </c>
      <c r="AR1490">
        <v>196</v>
      </c>
      <c r="AS1490" t="s">
        <v>8636</v>
      </c>
      <c r="AT1490" t="s">
        <v>8637</v>
      </c>
      <c r="AU1490" t="s">
        <v>8638</v>
      </c>
      <c r="AV1490" t="s">
        <v>440</v>
      </c>
      <c r="AW1490" t="s">
        <v>441</v>
      </c>
      <c r="AX1490" t="s">
        <v>69</v>
      </c>
      <c r="AY1490" t="s">
        <v>8639</v>
      </c>
      <c r="AZ1490" t="s">
        <v>8640</v>
      </c>
      <c r="BA1490" t="s">
        <v>451</v>
      </c>
      <c r="BB1490">
        <v>2017</v>
      </c>
      <c r="BC1490">
        <v>140</v>
      </c>
      <c r="BD1490" t="s">
        <v>69</v>
      </c>
      <c r="BE1490">
        <v>1</v>
      </c>
      <c r="BF1490" t="s">
        <v>69</v>
      </c>
      <c r="BG1490" t="s">
        <v>114</v>
      </c>
      <c r="BH1490" t="s">
        <v>69</v>
      </c>
      <c r="BI1490">
        <v>349</v>
      </c>
      <c r="BJ1490">
        <v>358</v>
      </c>
      <c r="BK1490" t="s">
        <v>69</v>
      </c>
      <c r="BL1490" t="s">
        <v>452</v>
      </c>
      <c r="BM1490" t="str">
        <f>HYPERLINK("http://dx.doi.org/10.1016/j.jclepro.2015.12.085","http://dx.doi.org/10.1016/j.jclepro.2015.12.085")</f>
        <v>http://dx.doi.org/10.1016/j.jclepro.2015.12.085</v>
      </c>
      <c r="BN1490" t="s">
        <v>69</v>
      </c>
      <c r="BO1490" t="s">
        <v>69</v>
      </c>
      <c r="BP1490">
        <v>10</v>
      </c>
      <c r="BQ1490" t="s">
        <v>8643</v>
      </c>
      <c r="BR1490" t="s">
        <v>8548</v>
      </c>
      <c r="BS1490" t="s">
        <v>8644</v>
      </c>
      <c r="BT1490" t="s">
        <v>21073</v>
      </c>
      <c r="BU1490" t="s">
        <v>453</v>
      </c>
      <c r="BV1490" t="s">
        <v>69</v>
      </c>
      <c r="BW1490" t="s">
        <v>9292</v>
      </c>
      <c r="BX1490" t="s">
        <v>69</v>
      </c>
      <c r="BY1490" t="s">
        <v>69</v>
      </c>
      <c r="BZ1490" t="s">
        <v>8526</v>
      </c>
      <c r="CA1490" t="str">
        <f>HYPERLINK("https%3A%2F%2Fwww.webofscience.com%2Fwos%2Fwoscc%2Ffull-record%2FWOS:000388775100032","View Full Record in Web of Science")</f>
        <v>View Full Record in Web of Science</v>
      </c>
    </row>
    <row r="1491" spans="2:79" ht="12.5" x14ac:dyDescent="0.25">
      <c r="B1491" t="s">
        <v>8495</v>
      </c>
      <c r="D1491" s="22" t="s">
        <v>32931</v>
      </c>
      <c r="E1491" s="7"/>
      <c r="F1491" s="7"/>
      <c r="G1491" s="7"/>
      <c r="H1491" t="s">
        <v>67</v>
      </c>
      <c r="I1491" t="s">
        <v>9510</v>
      </c>
      <c r="J1491" t="s">
        <v>69</v>
      </c>
      <c r="K1491" t="s">
        <v>69</v>
      </c>
      <c r="L1491" t="s">
        <v>69</v>
      </c>
      <c r="M1491" t="s">
        <v>9511</v>
      </c>
      <c r="N1491" t="s">
        <v>69</v>
      </c>
      <c r="O1491" t="s">
        <v>69</v>
      </c>
      <c r="P1491" t="s">
        <v>9512</v>
      </c>
      <c r="Q1491" t="s">
        <v>9513</v>
      </c>
      <c r="R1491" t="s">
        <v>69</v>
      </c>
      <c r="S1491" t="s">
        <v>69</v>
      </c>
      <c r="T1491" t="s">
        <v>8505</v>
      </c>
      <c r="U1491" t="s">
        <v>8506</v>
      </c>
      <c r="V1491" t="s">
        <v>69</v>
      </c>
      <c r="W1491" t="s">
        <v>69</v>
      </c>
      <c r="X1491" t="s">
        <v>69</v>
      </c>
      <c r="Y1491" t="s">
        <v>69</v>
      </c>
      <c r="Z1491" t="s">
        <v>69</v>
      </c>
      <c r="AA1491" t="s">
        <v>9514</v>
      </c>
      <c r="AB1491" t="s">
        <v>9515</v>
      </c>
      <c r="AC1491" t="s">
        <v>9516</v>
      </c>
      <c r="AD1491" t="s">
        <v>9517</v>
      </c>
      <c r="AE1491" t="s">
        <v>69</v>
      </c>
      <c r="AF1491" t="s">
        <v>9518</v>
      </c>
      <c r="AG1491" t="s">
        <v>9519</v>
      </c>
      <c r="AH1491" t="s">
        <v>69</v>
      </c>
      <c r="AI1491" t="s">
        <v>9520</v>
      </c>
      <c r="AJ1491" t="s">
        <v>69</v>
      </c>
      <c r="AK1491" t="s">
        <v>69</v>
      </c>
      <c r="AL1491" t="s">
        <v>69</v>
      </c>
      <c r="AM1491" t="s">
        <v>69</v>
      </c>
      <c r="AN1491">
        <v>82</v>
      </c>
      <c r="AO1491">
        <v>1</v>
      </c>
      <c r="AP1491">
        <v>1</v>
      </c>
      <c r="AQ1491">
        <v>1</v>
      </c>
      <c r="AR1491">
        <v>1</v>
      </c>
      <c r="AS1491" t="s">
        <v>8762</v>
      </c>
      <c r="AT1491" t="s">
        <v>8763</v>
      </c>
      <c r="AU1491" t="s">
        <v>8764</v>
      </c>
      <c r="AV1491" t="s">
        <v>9521</v>
      </c>
      <c r="AW1491" t="s">
        <v>9522</v>
      </c>
      <c r="AX1491" t="s">
        <v>69</v>
      </c>
      <c r="AY1491" t="s">
        <v>9523</v>
      </c>
      <c r="AZ1491" t="s">
        <v>9524</v>
      </c>
      <c r="BA1491" t="s">
        <v>586</v>
      </c>
      <c r="BB1491">
        <v>2022</v>
      </c>
      <c r="BC1491">
        <v>11</v>
      </c>
      <c r="BD1491">
        <v>2</v>
      </c>
      <c r="BE1491" t="s">
        <v>69</v>
      </c>
      <c r="BF1491" t="s">
        <v>69</v>
      </c>
      <c r="BG1491" t="s">
        <v>114</v>
      </c>
      <c r="BH1491" t="s">
        <v>69</v>
      </c>
      <c r="BI1491">
        <v>171</v>
      </c>
      <c r="BJ1491">
        <v>197</v>
      </c>
      <c r="BK1491" t="s">
        <v>69</v>
      </c>
      <c r="BL1491" t="s">
        <v>9525</v>
      </c>
      <c r="BM1491" t="str">
        <f>HYPERLINK("http://dx.doi.org/10.1177/2046147X221081178","http://dx.doi.org/10.1177/2046147X221081178")</f>
        <v>http://dx.doi.org/10.1177/2046147X221081178</v>
      </c>
      <c r="BN1491" t="s">
        <v>69</v>
      </c>
      <c r="BO1491" t="s">
        <v>9485</v>
      </c>
      <c r="BP1491">
        <v>27</v>
      </c>
      <c r="BQ1491" t="s">
        <v>8443</v>
      </c>
      <c r="BR1491" t="s">
        <v>8573</v>
      </c>
      <c r="BS1491" t="s">
        <v>8443</v>
      </c>
      <c r="BT1491" t="s">
        <v>9526</v>
      </c>
      <c r="BU1491" t="s">
        <v>9527</v>
      </c>
      <c r="BV1491" t="s">
        <v>69</v>
      </c>
      <c r="BW1491" t="s">
        <v>69</v>
      </c>
      <c r="BX1491" t="s">
        <v>69</v>
      </c>
      <c r="BY1491" t="s">
        <v>69</v>
      </c>
      <c r="BZ1491" t="s">
        <v>8526</v>
      </c>
      <c r="CA1491" t="str">
        <f>HYPERLINK("https%3A%2F%2Fwww.webofscience.com%2Fwos%2Fwoscc%2Ffull-record%2FWOS:000775982900001","View Full Record in Web of Science")</f>
        <v>View Full Record in Web of Science</v>
      </c>
    </row>
    <row r="1492" spans="2:79" ht="12.5" x14ac:dyDescent="0.25">
      <c r="B1492" t="s">
        <v>8495</v>
      </c>
      <c r="D1492" s="7" t="s">
        <v>32933</v>
      </c>
      <c r="E1492" s="7"/>
      <c r="F1492" s="7"/>
      <c r="G1492" s="7"/>
      <c r="H1492" t="s">
        <v>67</v>
      </c>
      <c r="I1492" t="s">
        <v>8162</v>
      </c>
      <c r="J1492" t="s">
        <v>69</v>
      </c>
      <c r="K1492" t="s">
        <v>69</v>
      </c>
      <c r="L1492" t="s">
        <v>69</v>
      </c>
      <c r="M1492" t="s">
        <v>8163</v>
      </c>
      <c r="N1492" t="s">
        <v>69</v>
      </c>
      <c r="O1492" t="s">
        <v>69</v>
      </c>
      <c r="P1492" t="s">
        <v>8164</v>
      </c>
      <c r="Q1492" t="s">
        <v>8165</v>
      </c>
      <c r="R1492" t="s">
        <v>69</v>
      </c>
      <c r="S1492" t="s">
        <v>69</v>
      </c>
      <c r="T1492" t="s">
        <v>8505</v>
      </c>
      <c r="U1492" t="s">
        <v>8506</v>
      </c>
      <c r="V1492" t="s">
        <v>69</v>
      </c>
      <c r="W1492" t="s">
        <v>69</v>
      </c>
      <c r="X1492" t="s">
        <v>69</v>
      </c>
      <c r="Y1492" t="s">
        <v>69</v>
      </c>
      <c r="Z1492" t="s">
        <v>69</v>
      </c>
      <c r="AA1492" t="s">
        <v>27140</v>
      </c>
      <c r="AB1492" t="s">
        <v>69</v>
      </c>
      <c r="AC1492" t="s">
        <v>8166</v>
      </c>
      <c r="AD1492" t="s">
        <v>27141</v>
      </c>
      <c r="AE1492" t="s">
        <v>69</v>
      </c>
      <c r="AF1492" t="s">
        <v>27142</v>
      </c>
      <c r="AG1492" t="s">
        <v>27143</v>
      </c>
      <c r="AH1492" t="s">
        <v>69</v>
      </c>
      <c r="AI1492" t="s">
        <v>69</v>
      </c>
      <c r="AJ1492" t="s">
        <v>69</v>
      </c>
      <c r="AK1492" t="s">
        <v>69</v>
      </c>
      <c r="AL1492" t="s">
        <v>69</v>
      </c>
      <c r="AM1492" t="s">
        <v>69</v>
      </c>
      <c r="AN1492">
        <v>6</v>
      </c>
      <c r="AO1492">
        <v>31</v>
      </c>
      <c r="AP1492">
        <v>33</v>
      </c>
      <c r="AQ1492">
        <v>0</v>
      </c>
      <c r="AR1492">
        <v>11</v>
      </c>
      <c r="AS1492" t="s">
        <v>8563</v>
      </c>
      <c r="AT1492" t="s">
        <v>8564</v>
      </c>
      <c r="AU1492" t="s">
        <v>8565</v>
      </c>
      <c r="AV1492" t="s">
        <v>8167</v>
      </c>
      <c r="AW1492" t="s">
        <v>69</v>
      </c>
      <c r="AX1492" t="s">
        <v>69</v>
      </c>
      <c r="AY1492" t="s">
        <v>27144</v>
      </c>
      <c r="AZ1492" t="s">
        <v>27145</v>
      </c>
      <c r="BA1492" t="s">
        <v>94</v>
      </c>
      <c r="BB1492">
        <v>2011</v>
      </c>
      <c r="BC1492">
        <v>9</v>
      </c>
      <c r="BD1492">
        <v>1</v>
      </c>
      <c r="BE1492" t="s">
        <v>69</v>
      </c>
      <c r="BF1492" t="s">
        <v>69</v>
      </c>
      <c r="BG1492" t="s">
        <v>114</v>
      </c>
      <c r="BH1492" t="s">
        <v>69</v>
      </c>
      <c r="BI1492">
        <v>79</v>
      </c>
      <c r="BJ1492">
        <v>88</v>
      </c>
      <c r="BK1492" t="s">
        <v>69</v>
      </c>
      <c r="BL1492" t="s">
        <v>8168</v>
      </c>
      <c r="BM1492" t="str">
        <f>HYPERLINK("http://dx.doi.org/10.1007/s10333-010-0242-2","http://dx.doi.org/10.1007/s10333-010-0242-2")</f>
        <v>http://dx.doi.org/10.1007/s10333-010-0242-2</v>
      </c>
      <c r="BN1492" t="s">
        <v>69</v>
      </c>
      <c r="BO1492" t="s">
        <v>69</v>
      </c>
      <c r="BP1492">
        <v>10</v>
      </c>
      <c r="BQ1492" t="s">
        <v>27146</v>
      </c>
      <c r="BR1492" t="s">
        <v>8548</v>
      </c>
      <c r="BS1492" t="s">
        <v>8450</v>
      </c>
      <c r="BT1492" t="s">
        <v>27147</v>
      </c>
      <c r="BU1492" t="s">
        <v>8169</v>
      </c>
      <c r="BV1492" t="s">
        <v>69</v>
      </c>
      <c r="BW1492" t="s">
        <v>69</v>
      </c>
      <c r="BX1492" t="s">
        <v>69</v>
      </c>
      <c r="BY1492" t="s">
        <v>69</v>
      </c>
      <c r="BZ1492" t="s">
        <v>8526</v>
      </c>
      <c r="CA1492" t="str">
        <f>HYPERLINK("https%3A%2F%2Fwww.webofscience.com%2Fwos%2Fwoscc%2Ffull-record%2FWOS:000288176100009","View Full Record in Web of Science")</f>
        <v>View Full Record in Web of Science</v>
      </c>
    </row>
    <row r="1493" spans="2:79" ht="12.5" x14ac:dyDescent="0.25">
      <c r="B1493" t="s">
        <v>8495</v>
      </c>
      <c r="D1493" s="22" t="s">
        <v>32931</v>
      </c>
      <c r="E1493" s="7"/>
      <c r="F1493" s="7"/>
      <c r="G1493" s="7"/>
      <c r="H1493" t="s">
        <v>67</v>
      </c>
      <c r="I1493" t="s">
        <v>28864</v>
      </c>
      <c r="J1493" t="s">
        <v>69</v>
      </c>
      <c r="K1493" t="s">
        <v>69</v>
      </c>
      <c r="L1493" t="s">
        <v>69</v>
      </c>
      <c r="M1493" t="s">
        <v>28865</v>
      </c>
      <c r="N1493" t="s">
        <v>69</v>
      </c>
      <c r="O1493" t="s">
        <v>69</v>
      </c>
      <c r="P1493" t="s">
        <v>28866</v>
      </c>
      <c r="Q1493" t="s">
        <v>28867</v>
      </c>
      <c r="R1493" t="s">
        <v>69</v>
      </c>
      <c r="S1493" t="s">
        <v>69</v>
      </c>
      <c r="T1493" t="s">
        <v>8505</v>
      </c>
      <c r="U1493" t="s">
        <v>8506</v>
      </c>
      <c r="V1493" t="s">
        <v>69</v>
      </c>
      <c r="W1493" t="s">
        <v>69</v>
      </c>
      <c r="X1493" t="s">
        <v>69</v>
      </c>
      <c r="Y1493" t="s">
        <v>69</v>
      </c>
      <c r="Z1493" t="s">
        <v>69</v>
      </c>
      <c r="AA1493" t="s">
        <v>28868</v>
      </c>
      <c r="AB1493" t="s">
        <v>69</v>
      </c>
      <c r="AC1493" t="s">
        <v>28869</v>
      </c>
      <c r="AD1493" t="s">
        <v>28870</v>
      </c>
      <c r="AE1493" t="s">
        <v>69</v>
      </c>
      <c r="AF1493" t="s">
        <v>28871</v>
      </c>
      <c r="AG1493" t="s">
        <v>28872</v>
      </c>
      <c r="AH1493" t="s">
        <v>69</v>
      </c>
      <c r="AI1493" t="s">
        <v>28873</v>
      </c>
      <c r="AJ1493" t="s">
        <v>69</v>
      </c>
      <c r="AK1493" t="s">
        <v>69</v>
      </c>
      <c r="AL1493" t="s">
        <v>69</v>
      </c>
      <c r="AM1493" t="s">
        <v>69</v>
      </c>
      <c r="AN1493">
        <v>32</v>
      </c>
      <c r="AO1493">
        <v>7</v>
      </c>
      <c r="AP1493">
        <v>8</v>
      </c>
      <c r="AQ1493">
        <v>0</v>
      </c>
      <c r="AR1493">
        <v>1</v>
      </c>
      <c r="AS1493" t="s">
        <v>15611</v>
      </c>
      <c r="AT1493" t="s">
        <v>10924</v>
      </c>
      <c r="AU1493" t="s">
        <v>15612</v>
      </c>
      <c r="AV1493" t="s">
        <v>28874</v>
      </c>
      <c r="AW1493" t="s">
        <v>28875</v>
      </c>
      <c r="AX1493" t="s">
        <v>69</v>
      </c>
      <c r="AY1493" t="s">
        <v>28876</v>
      </c>
      <c r="AZ1493" t="s">
        <v>28877</v>
      </c>
      <c r="BA1493" t="s">
        <v>69</v>
      </c>
      <c r="BB1493">
        <v>2009</v>
      </c>
      <c r="BC1493">
        <v>23</v>
      </c>
      <c r="BD1493">
        <v>4</v>
      </c>
      <c r="BE1493" t="s">
        <v>69</v>
      </c>
      <c r="BF1493" t="s">
        <v>69</v>
      </c>
      <c r="BG1493" t="s">
        <v>69</v>
      </c>
      <c r="BH1493" t="s">
        <v>69</v>
      </c>
      <c r="BI1493">
        <v>430</v>
      </c>
      <c r="BJ1493">
        <v>450</v>
      </c>
      <c r="BK1493" t="s">
        <v>69</v>
      </c>
      <c r="BL1493" t="s">
        <v>28878</v>
      </c>
      <c r="BM1493" t="str">
        <f>HYPERLINK("http://dx.doi.org/10.1080/15427520903013431","http://dx.doi.org/10.1080/15427520903013431")</f>
        <v>http://dx.doi.org/10.1080/15427520903013431</v>
      </c>
      <c r="BN1493" t="s">
        <v>69</v>
      </c>
      <c r="BO1493" t="s">
        <v>69</v>
      </c>
      <c r="BP1493">
        <v>21</v>
      </c>
      <c r="BQ1493" t="s">
        <v>28879</v>
      </c>
      <c r="BR1493" t="s">
        <v>8573</v>
      </c>
      <c r="BS1493" t="s">
        <v>28880</v>
      </c>
      <c r="BT1493" t="s">
        <v>28881</v>
      </c>
      <c r="BU1493" t="s">
        <v>28882</v>
      </c>
      <c r="BV1493" t="s">
        <v>69</v>
      </c>
      <c r="BW1493" t="s">
        <v>69</v>
      </c>
      <c r="BX1493" t="s">
        <v>69</v>
      </c>
      <c r="BY1493" t="s">
        <v>69</v>
      </c>
      <c r="BZ1493" t="s">
        <v>8526</v>
      </c>
      <c r="CA1493" t="str">
        <f>HYPERLINK("https%3A%2F%2Fwww.webofscience.com%2Fwos%2Fwoscc%2Ffull-record%2FWOS:000452690300007","View Full Record in Web of Science")</f>
        <v>View Full Record in Web of Science</v>
      </c>
    </row>
    <row r="1494" spans="2:79" ht="12.5" x14ac:dyDescent="0.25">
      <c r="B1494" t="s">
        <v>8495</v>
      </c>
      <c r="D1494" s="7" t="s">
        <v>32933</v>
      </c>
      <c r="E1494" s="7"/>
      <c r="F1494" s="7"/>
      <c r="G1494" s="7"/>
      <c r="H1494" t="s">
        <v>67</v>
      </c>
      <c r="I1494" t="s">
        <v>2613</v>
      </c>
      <c r="J1494" t="s">
        <v>69</v>
      </c>
      <c r="K1494" t="s">
        <v>69</v>
      </c>
      <c r="L1494" t="s">
        <v>69</v>
      </c>
      <c r="M1494" t="s">
        <v>2614</v>
      </c>
      <c r="N1494" t="s">
        <v>69</v>
      </c>
      <c r="O1494" t="s">
        <v>69</v>
      </c>
      <c r="P1494" t="s">
        <v>2615</v>
      </c>
      <c r="Q1494" t="s">
        <v>881</v>
      </c>
      <c r="R1494" t="s">
        <v>69</v>
      </c>
      <c r="S1494" t="s">
        <v>69</v>
      </c>
      <c r="T1494" t="s">
        <v>8505</v>
      </c>
      <c r="U1494" t="s">
        <v>8506</v>
      </c>
      <c r="V1494" t="s">
        <v>69</v>
      </c>
      <c r="W1494" t="s">
        <v>69</v>
      </c>
      <c r="X1494" t="s">
        <v>69</v>
      </c>
      <c r="Y1494" t="s">
        <v>69</v>
      </c>
      <c r="Z1494" t="s">
        <v>69</v>
      </c>
      <c r="AA1494" t="s">
        <v>20401</v>
      </c>
      <c r="AB1494" t="s">
        <v>20402</v>
      </c>
      <c r="AC1494" t="s">
        <v>2616</v>
      </c>
      <c r="AD1494" t="s">
        <v>20403</v>
      </c>
      <c r="AE1494" t="s">
        <v>69</v>
      </c>
      <c r="AF1494" t="s">
        <v>20404</v>
      </c>
      <c r="AG1494" t="s">
        <v>20405</v>
      </c>
      <c r="AH1494" t="s">
        <v>2617</v>
      </c>
      <c r="AI1494" t="s">
        <v>2618</v>
      </c>
      <c r="AJ1494" t="s">
        <v>20406</v>
      </c>
      <c r="AK1494" t="s">
        <v>20407</v>
      </c>
      <c r="AL1494" t="s">
        <v>20408</v>
      </c>
      <c r="AM1494" t="s">
        <v>69</v>
      </c>
      <c r="AN1494">
        <v>85</v>
      </c>
      <c r="AO1494">
        <v>65</v>
      </c>
      <c r="AP1494">
        <v>65</v>
      </c>
      <c r="AQ1494">
        <v>2</v>
      </c>
      <c r="AR1494">
        <v>62</v>
      </c>
      <c r="AS1494" t="s">
        <v>8516</v>
      </c>
      <c r="AT1494" t="s">
        <v>8517</v>
      </c>
      <c r="AU1494" t="s">
        <v>8518</v>
      </c>
      <c r="AV1494" t="s">
        <v>883</v>
      </c>
      <c r="AW1494" t="s">
        <v>884</v>
      </c>
      <c r="AX1494" t="s">
        <v>69</v>
      </c>
      <c r="AY1494" t="s">
        <v>12415</v>
      </c>
      <c r="AZ1494" t="s">
        <v>12416</v>
      </c>
      <c r="BA1494" t="s">
        <v>586</v>
      </c>
      <c r="BB1494">
        <v>2017</v>
      </c>
      <c r="BC1494">
        <v>120</v>
      </c>
      <c r="BD1494" t="s">
        <v>69</v>
      </c>
      <c r="BE1494" t="s">
        <v>69</v>
      </c>
      <c r="BF1494" t="s">
        <v>69</v>
      </c>
      <c r="BG1494" t="s">
        <v>69</v>
      </c>
      <c r="BH1494" t="s">
        <v>69</v>
      </c>
      <c r="BI1494">
        <v>219</v>
      </c>
      <c r="BJ1494">
        <v>229</v>
      </c>
      <c r="BK1494" t="s">
        <v>69</v>
      </c>
      <c r="BL1494" t="s">
        <v>2619</v>
      </c>
      <c r="BM1494" t="str">
        <f>HYPERLINK("http://dx.doi.org/10.1016/j.resconrec.2016.12.014","http://dx.doi.org/10.1016/j.resconrec.2016.12.014")</f>
        <v>http://dx.doi.org/10.1016/j.resconrec.2016.12.014</v>
      </c>
      <c r="BN1494" t="s">
        <v>69</v>
      </c>
      <c r="BO1494" t="s">
        <v>69</v>
      </c>
      <c r="BP1494">
        <v>11</v>
      </c>
      <c r="BQ1494" t="s">
        <v>8743</v>
      </c>
      <c r="BR1494" t="s">
        <v>8548</v>
      </c>
      <c r="BS1494" t="s">
        <v>8744</v>
      </c>
      <c r="BT1494" t="s">
        <v>20409</v>
      </c>
      <c r="BU1494" t="s">
        <v>2620</v>
      </c>
      <c r="BV1494" t="s">
        <v>69</v>
      </c>
      <c r="BW1494" t="s">
        <v>69</v>
      </c>
      <c r="BX1494" t="s">
        <v>69</v>
      </c>
      <c r="BY1494" t="s">
        <v>69</v>
      </c>
      <c r="BZ1494" t="s">
        <v>8526</v>
      </c>
      <c r="CA1494" t="str">
        <f>HYPERLINK("https%3A%2F%2Fwww.webofscience.com%2Fwos%2Fwoscc%2Ffull-record%2FWOS:000395616300020","View Full Record in Web of Science")</f>
        <v>View Full Record in Web of Science</v>
      </c>
    </row>
    <row r="1495" spans="2:79" x14ac:dyDescent="0.3">
      <c r="B1495" t="s">
        <v>8495</v>
      </c>
      <c r="D1495" s="9" t="s">
        <v>32954</v>
      </c>
      <c r="E1495" s="9" t="s">
        <v>33116</v>
      </c>
      <c r="F1495" s="9" t="s">
        <v>8491</v>
      </c>
      <c r="G1495" s="9" t="s">
        <v>8491</v>
      </c>
      <c r="H1495" t="s">
        <v>67</v>
      </c>
      <c r="I1495" t="s">
        <v>22685</v>
      </c>
      <c r="J1495" t="s">
        <v>69</v>
      </c>
      <c r="K1495" t="s">
        <v>69</v>
      </c>
      <c r="L1495" t="s">
        <v>69</v>
      </c>
      <c r="M1495" t="s">
        <v>22686</v>
      </c>
      <c r="N1495" t="s">
        <v>69</v>
      </c>
      <c r="O1495" t="s">
        <v>69</v>
      </c>
      <c r="P1495" t="s">
        <v>22687</v>
      </c>
      <c r="Q1495" t="s">
        <v>22688</v>
      </c>
      <c r="R1495" t="s">
        <v>69</v>
      </c>
      <c r="S1495" t="s">
        <v>69</v>
      </c>
      <c r="T1495" t="s">
        <v>12534</v>
      </c>
      <c r="U1495" t="s">
        <v>8506</v>
      </c>
      <c r="V1495" t="s">
        <v>69</v>
      </c>
      <c r="W1495" t="s">
        <v>69</v>
      </c>
      <c r="X1495" t="s">
        <v>69</v>
      </c>
      <c r="Y1495" t="s">
        <v>69</v>
      </c>
      <c r="Z1495" t="s">
        <v>69</v>
      </c>
      <c r="AA1495" t="s">
        <v>22689</v>
      </c>
      <c r="AB1495" t="s">
        <v>69</v>
      </c>
      <c r="AC1495" t="s">
        <v>22690</v>
      </c>
      <c r="AD1495" t="s">
        <v>22691</v>
      </c>
      <c r="AE1495" t="s">
        <v>69</v>
      </c>
      <c r="AF1495" t="s">
        <v>22692</v>
      </c>
      <c r="AG1495" t="s">
        <v>22693</v>
      </c>
      <c r="AH1495" t="s">
        <v>69</v>
      </c>
      <c r="AI1495" t="s">
        <v>69</v>
      </c>
      <c r="AJ1495" t="s">
        <v>69</v>
      </c>
      <c r="AK1495" t="s">
        <v>69</v>
      </c>
      <c r="AL1495" t="s">
        <v>69</v>
      </c>
      <c r="AM1495" t="s">
        <v>69</v>
      </c>
      <c r="AN1495">
        <v>5</v>
      </c>
      <c r="AO1495">
        <v>0</v>
      </c>
      <c r="AP1495">
        <v>0</v>
      </c>
      <c r="AQ1495">
        <v>3</v>
      </c>
      <c r="AR1495">
        <v>12</v>
      </c>
      <c r="AS1495" t="s">
        <v>22694</v>
      </c>
      <c r="AT1495" t="s">
        <v>22695</v>
      </c>
      <c r="AU1495" t="s">
        <v>22696</v>
      </c>
      <c r="AV1495" t="s">
        <v>22697</v>
      </c>
      <c r="AW1495" t="s">
        <v>22698</v>
      </c>
      <c r="AX1495" t="s">
        <v>69</v>
      </c>
      <c r="AY1495" t="s">
        <v>22699</v>
      </c>
      <c r="AZ1495" t="s">
        <v>22700</v>
      </c>
      <c r="BA1495" t="s">
        <v>155</v>
      </c>
      <c r="BB1495">
        <v>2015</v>
      </c>
      <c r="BC1495">
        <v>132</v>
      </c>
      <c r="BD1495">
        <v>3</v>
      </c>
      <c r="BE1495" t="s">
        <v>69</v>
      </c>
      <c r="BF1495" t="s">
        <v>69</v>
      </c>
      <c r="BG1495" t="s">
        <v>69</v>
      </c>
      <c r="BH1495" t="s">
        <v>69</v>
      </c>
      <c r="BI1495">
        <v>185</v>
      </c>
      <c r="BJ1495">
        <v>188</v>
      </c>
      <c r="BK1495" t="s">
        <v>69</v>
      </c>
      <c r="BL1495" t="s">
        <v>22701</v>
      </c>
      <c r="BM1495" t="str">
        <f>HYPERLINK("http://dx.doi.org/10.1007/s00502-015-0295-4","http://dx.doi.org/10.1007/s00502-015-0295-4")</f>
        <v>http://dx.doi.org/10.1007/s00502-015-0295-4</v>
      </c>
      <c r="BN1495" t="s">
        <v>69</v>
      </c>
      <c r="BO1495" t="s">
        <v>69</v>
      </c>
      <c r="BP1495">
        <v>4</v>
      </c>
      <c r="BQ1495" t="s">
        <v>22702</v>
      </c>
      <c r="BR1495" t="s">
        <v>8573</v>
      </c>
      <c r="BS1495" t="s">
        <v>8445</v>
      </c>
      <c r="BT1495" t="s">
        <v>22703</v>
      </c>
      <c r="BU1495" t="s">
        <v>22704</v>
      </c>
      <c r="BV1495" t="s">
        <v>69</v>
      </c>
      <c r="BW1495" t="s">
        <v>69</v>
      </c>
      <c r="BX1495" t="s">
        <v>69</v>
      </c>
      <c r="BY1495" t="s">
        <v>69</v>
      </c>
      <c r="BZ1495" t="s">
        <v>8526</v>
      </c>
      <c r="CA1495" t="str">
        <f>HYPERLINK("https%3A%2F%2Fwww.webofscience.com%2Fwos%2Fwoscc%2Ffull-record%2FWOS:000356800600011","View Full Record in Web of Science")</f>
        <v>View Full Record in Web of Science</v>
      </c>
    </row>
    <row r="1496" spans="2:79" ht="12.5" x14ac:dyDescent="0.25">
      <c r="B1496" t="s">
        <v>8495</v>
      </c>
      <c r="D1496" s="7" t="s">
        <v>32933</v>
      </c>
      <c r="E1496" s="7"/>
      <c r="F1496" s="7"/>
      <c r="G1496" s="7"/>
      <c r="H1496" t="s">
        <v>67</v>
      </c>
      <c r="I1496" t="s">
        <v>2917</v>
      </c>
      <c r="J1496" t="s">
        <v>69</v>
      </c>
      <c r="K1496" t="s">
        <v>69</v>
      </c>
      <c r="L1496" t="s">
        <v>69</v>
      </c>
      <c r="M1496" t="s">
        <v>2918</v>
      </c>
      <c r="N1496" t="s">
        <v>69</v>
      </c>
      <c r="O1496" t="s">
        <v>69</v>
      </c>
      <c r="P1496" t="s">
        <v>2919</v>
      </c>
      <c r="Q1496" t="s">
        <v>2920</v>
      </c>
      <c r="R1496" t="s">
        <v>69</v>
      </c>
      <c r="S1496" t="s">
        <v>69</v>
      </c>
      <c r="T1496" t="s">
        <v>8505</v>
      </c>
      <c r="U1496" t="s">
        <v>8506</v>
      </c>
      <c r="V1496" t="s">
        <v>69</v>
      </c>
      <c r="W1496" t="s">
        <v>69</v>
      </c>
      <c r="X1496" t="s">
        <v>69</v>
      </c>
      <c r="Y1496" t="s">
        <v>69</v>
      </c>
      <c r="Z1496" t="s">
        <v>69</v>
      </c>
      <c r="AA1496" t="s">
        <v>21962</v>
      </c>
      <c r="AB1496" t="s">
        <v>21963</v>
      </c>
      <c r="AC1496" t="s">
        <v>2921</v>
      </c>
      <c r="AD1496" t="s">
        <v>21964</v>
      </c>
      <c r="AE1496" t="s">
        <v>69</v>
      </c>
      <c r="AF1496" t="s">
        <v>21965</v>
      </c>
      <c r="AG1496" t="s">
        <v>21966</v>
      </c>
      <c r="AH1496" t="s">
        <v>69</v>
      </c>
      <c r="AI1496" t="s">
        <v>69</v>
      </c>
      <c r="AJ1496" t="s">
        <v>69</v>
      </c>
      <c r="AK1496" t="s">
        <v>69</v>
      </c>
      <c r="AL1496" t="s">
        <v>69</v>
      </c>
      <c r="AM1496" t="s">
        <v>69</v>
      </c>
      <c r="AN1496">
        <v>90</v>
      </c>
      <c r="AO1496">
        <v>2</v>
      </c>
      <c r="AP1496">
        <v>2</v>
      </c>
      <c r="AQ1496">
        <v>0</v>
      </c>
      <c r="AR1496">
        <v>8</v>
      </c>
      <c r="AS1496" t="s">
        <v>8586</v>
      </c>
      <c r="AT1496" t="s">
        <v>8587</v>
      </c>
      <c r="AU1496" t="s">
        <v>8588</v>
      </c>
      <c r="AV1496" t="s">
        <v>2922</v>
      </c>
      <c r="AW1496" t="s">
        <v>2923</v>
      </c>
      <c r="AX1496" t="s">
        <v>69</v>
      </c>
      <c r="AY1496" t="s">
        <v>21967</v>
      </c>
      <c r="AZ1496" t="s">
        <v>21968</v>
      </c>
      <c r="BA1496" t="s">
        <v>69</v>
      </c>
      <c r="BB1496">
        <v>2016</v>
      </c>
      <c r="BC1496">
        <v>18</v>
      </c>
      <c r="BD1496">
        <v>2</v>
      </c>
      <c r="BE1496" t="s">
        <v>69</v>
      </c>
      <c r="BF1496" t="s">
        <v>69</v>
      </c>
      <c r="BG1496" t="s">
        <v>69</v>
      </c>
      <c r="BH1496" t="s">
        <v>69</v>
      </c>
      <c r="BI1496">
        <v>211</v>
      </c>
      <c r="BJ1496">
        <v>231</v>
      </c>
      <c r="BK1496" t="s">
        <v>69</v>
      </c>
      <c r="BL1496" t="s">
        <v>2924</v>
      </c>
      <c r="BM1496" t="str">
        <f>HYPERLINK("http://dx.doi.org/10.1108/JRME-07-2015-0037","http://dx.doi.org/10.1108/JRME-07-2015-0037")</f>
        <v>http://dx.doi.org/10.1108/JRME-07-2015-0037</v>
      </c>
      <c r="BN1496" t="s">
        <v>69</v>
      </c>
      <c r="BO1496" t="s">
        <v>69</v>
      </c>
      <c r="BP1496">
        <v>21</v>
      </c>
      <c r="BQ1496" t="s">
        <v>8444</v>
      </c>
      <c r="BR1496" t="s">
        <v>8573</v>
      </c>
      <c r="BS1496" t="s">
        <v>8594</v>
      </c>
      <c r="BT1496" t="s">
        <v>21969</v>
      </c>
      <c r="BU1496" t="s">
        <v>2925</v>
      </c>
      <c r="BV1496" t="s">
        <v>69</v>
      </c>
      <c r="BW1496" t="s">
        <v>9292</v>
      </c>
      <c r="BX1496" t="s">
        <v>69</v>
      </c>
      <c r="BY1496" t="s">
        <v>69</v>
      </c>
      <c r="BZ1496" t="s">
        <v>8526</v>
      </c>
      <c r="CA1496" t="str">
        <f>HYPERLINK("https%3A%2F%2Fwww.webofscience.com%2Fwos%2Fwoscc%2Ffull-record%2FWOS:000392185100004","View Full Record in Web of Science")</f>
        <v>View Full Record in Web of Science</v>
      </c>
    </row>
    <row r="1497" spans="2:79" ht="12.5" x14ac:dyDescent="0.25">
      <c r="B1497" t="s">
        <v>8495</v>
      </c>
      <c r="D1497" s="22" t="s">
        <v>32931</v>
      </c>
      <c r="E1497" s="7"/>
      <c r="F1497" s="7"/>
      <c r="G1497" s="7"/>
      <c r="H1497" t="s">
        <v>67</v>
      </c>
      <c r="I1497" t="s">
        <v>24803</v>
      </c>
      <c r="J1497" t="s">
        <v>69</v>
      </c>
      <c r="K1497" t="s">
        <v>69</v>
      </c>
      <c r="L1497" t="s">
        <v>69</v>
      </c>
      <c r="M1497" t="s">
        <v>24804</v>
      </c>
      <c r="N1497" t="s">
        <v>69</v>
      </c>
      <c r="O1497" t="s">
        <v>69</v>
      </c>
      <c r="P1497" t="s">
        <v>24805</v>
      </c>
      <c r="Q1497" t="s">
        <v>24806</v>
      </c>
      <c r="R1497" t="s">
        <v>69</v>
      </c>
      <c r="S1497" t="s">
        <v>69</v>
      </c>
      <c r="T1497" t="s">
        <v>8505</v>
      </c>
      <c r="U1497" t="s">
        <v>8506</v>
      </c>
      <c r="V1497" t="s">
        <v>69</v>
      </c>
      <c r="W1497" t="s">
        <v>69</v>
      </c>
      <c r="X1497" t="s">
        <v>69</v>
      </c>
      <c r="Y1497" t="s">
        <v>69</v>
      </c>
      <c r="Z1497" t="s">
        <v>69</v>
      </c>
      <c r="AA1497" t="s">
        <v>69</v>
      </c>
      <c r="AB1497" t="s">
        <v>24807</v>
      </c>
      <c r="AC1497" t="s">
        <v>24808</v>
      </c>
      <c r="AD1497" t="s">
        <v>24809</v>
      </c>
      <c r="AE1497" t="s">
        <v>69</v>
      </c>
      <c r="AF1497" t="s">
        <v>24810</v>
      </c>
      <c r="AG1497" t="s">
        <v>24811</v>
      </c>
      <c r="AH1497" t="s">
        <v>69</v>
      </c>
      <c r="AI1497" t="s">
        <v>69</v>
      </c>
      <c r="AJ1497" t="s">
        <v>24812</v>
      </c>
      <c r="AK1497" t="s">
        <v>24813</v>
      </c>
      <c r="AL1497" t="s">
        <v>24814</v>
      </c>
      <c r="AM1497" t="s">
        <v>69</v>
      </c>
      <c r="AN1497">
        <v>33</v>
      </c>
      <c r="AO1497">
        <v>8</v>
      </c>
      <c r="AP1497">
        <v>8</v>
      </c>
      <c r="AQ1497">
        <v>0</v>
      </c>
      <c r="AR1497">
        <v>9</v>
      </c>
      <c r="AS1497" t="s">
        <v>21242</v>
      </c>
      <c r="AT1497" t="s">
        <v>21243</v>
      </c>
      <c r="AU1497" t="s">
        <v>21244</v>
      </c>
      <c r="AV1497" t="s">
        <v>24815</v>
      </c>
      <c r="AW1497" t="s">
        <v>24816</v>
      </c>
      <c r="AX1497" t="s">
        <v>69</v>
      </c>
      <c r="AY1497" t="s">
        <v>24817</v>
      </c>
      <c r="AZ1497" t="s">
        <v>24818</v>
      </c>
      <c r="BA1497" t="s">
        <v>84</v>
      </c>
      <c r="BB1497">
        <v>2013</v>
      </c>
      <c r="BC1497">
        <v>6</v>
      </c>
      <c r="BD1497">
        <v>3</v>
      </c>
      <c r="BE1497" t="s">
        <v>69</v>
      </c>
      <c r="BF1497" t="s">
        <v>69</v>
      </c>
      <c r="BG1497" t="s">
        <v>69</v>
      </c>
      <c r="BH1497" t="s">
        <v>69</v>
      </c>
      <c r="BI1497">
        <v>161</v>
      </c>
      <c r="BJ1497">
        <v>170</v>
      </c>
      <c r="BK1497" t="s">
        <v>69</v>
      </c>
      <c r="BL1497" t="s">
        <v>24819</v>
      </c>
      <c r="BM1497" t="str">
        <f>HYPERLINK("http://dx.doi.org/10.3928/19404921-20130122-01","http://dx.doi.org/10.3928/19404921-20130122-01")</f>
        <v>http://dx.doi.org/10.3928/19404921-20130122-01</v>
      </c>
      <c r="BN1497" t="s">
        <v>69</v>
      </c>
      <c r="BO1497" t="s">
        <v>69</v>
      </c>
      <c r="BP1497">
        <v>10</v>
      </c>
      <c r="BQ1497" t="s">
        <v>16902</v>
      </c>
      <c r="BR1497" t="s">
        <v>8523</v>
      </c>
      <c r="BS1497" t="s">
        <v>16902</v>
      </c>
      <c r="BT1497" t="s">
        <v>24820</v>
      </c>
      <c r="BU1497" t="s">
        <v>24821</v>
      </c>
      <c r="BV1497">
        <v>23350535</v>
      </c>
      <c r="BW1497" t="s">
        <v>69</v>
      </c>
      <c r="BX1497" t="s">
        <v>69</v>
      </c>
      <c r="BY1497" t="s">
        <v>69</v>
      </c>
      <c r="BZ1497" t="s">
        <v>8526</v>
      </c>
      <c r="CA1497" t="str">
        <f>HYPERLINK("https%3A%2F%2Fwww.webofscience.com%2Fwos%2Fwoscc%2Ffull-record%2FWOS:000328201900003","View Full Record in Web of Science")</f>
        <v>View Full Record in Web of Science</v>
      </c>
    </row>
    <row r="1498" spans="2:79" ht="12.5" x14ac:dyDescent="0.25">
      <c r="B1498" t="s">
        <v>8495</v>
      </c>
      <c r="D1498" s="7" t="s">
        <v>32933</v>
      </c>
      <c r="E1498" s="7"/>
      <c r="F1498" s="7"/>
      <c r="G1498" s="7"/>
      <c r="H1498" t="s">
        <v>67</v>
      </c>
      <c r="I1498" t="s">
        <v>734</v>
      </c>
      <c r="J1498" t="s">
        <v>69</v>
      </c>
      <c r="K1498" t="s">
        <v>69</v>
      </c>
      <c r="L1498" t="s">
        <v>69</v>
      </c>
      <c r="M1498" t="s">
        <v>735</v>
      </c>
      <c r="N1498" t="s">
        <v>69</v>
      </c>
      <c r="O1498" t="s">
        <v>69</v>
      </c>
      <c r="P1498" t="s">
        <v>736</v>
      </c>
      <c r="Q1498" t="s">
        <v>632</v>
      </c>
      <c r="R1498" t="s">
        <v>69</v>
      </c>
      <c r="S1498" t="s">
        <v>69</v>
      </c>
      <c r="T1498" t="s">
        <v>8505</v>
      </c>
      <c r="U1498" t="s">
        <v>8506</v>
      </c>
      <c r="V1498" t="s">
        <v>69</v>
      </c>
      <c r="W1498" t="s">
        <v>69</v>
      </c>
      <c r="X1498" t="s">
        <v>69</v>
      </c>
      <c r="Y1498" t="s">
        <v>69</v>
      </c>
      <c r="Z1498" t="s">
        <v>69</v>
      </c>
      <c r="AA1498" t="s">
        <v>15205</v>
      </c>
      <c r="AB1498" t="s">
        <v>15206</v>
      </c>
      <c r="AC1498" t="s">
        <v>737</v>
      </c>
      <c r="AD1498" t="s">
        <v>15207</v>
      </c>
      <c r="AE1498" t="s">
        <v>69</v>
      </c>
      <c r="AF1498" t="s">
        <v>15208</v>
      </c>
      <c r="AG1498" t="s">
        <v>15209</v>
      </c>
      <c r="AH1498" t="s">
        <v>738</v>
      </c>
      <c r="AI1498" t="s">
        <v>739</v>
      </c>
      <c r="AJ1498" t="s">
        <v>69</v>
      </c>
      <c r="AK1498" t="s">
        <v>69</v>
      </c>
      <c r="AL1498" t="s">
        <v>69</v>
      </c>
      <c r="AM1498" t="s">
        <v>69</v>
      </c>
      <c r="AN1498">
        <v>100</v>
      </c>
      <c r="AO1498">
        <v>72</v>
      </c>
      <c r="AP1498">
        <v>72</v>
      </c>
      <c r="AQ1498">
        <v>24</v>
      </c>
      <c r="AR1498">
        <v>131</v>
      </c>
      <c r="AS1498" t="s">
        <v>8516</v>
      </c>
      <c r="AT1498" t="s">
        <v>8517</v>
      </c>
      <c r="AU1498" t="s">
        <v>8518</v>
      </c>
      <c r="AV1498" t="s">
        <v>634</v>
      </c>
      <c r="AW1498" t="s">
        <v>635</v>
      </c>
      <c r="AX1498" t="s">
        <v>69</v>
      </c>
      <c r="AY1498" t="s">
        <v>8714</v>
      </c>
      <c r="AZ1498" t="s">
        <v>8715</v>
      </c>
      <c r="BA1498" t="s">
        <v>740</v>
      </c>
      <c r="BB1498">
        <v>2020</v>
      </c>
      <c r="BC1498">
        <v>716</v>
      </c>
      <c r="BD1498" t="s">
        <v>69</v>
      </c>
      <c r="BE1498" t="s">
        <v>69</v>
      </c>
      <c r="BF1498" t="s">
        <v>69</v>
      </c>
      <c r="BG1498" t="s">
        <v>69</v>
      </c>
      <c r="BH1498" t="s">
        <v>69</v>
      </c>
      <c r="BI1498" t="s">
        <v>69</v>
      </c>
      <c r="BJ1498" t="s">
        <v>69</v>
      </c>
      <c r="BK1498">
        <v>137088</v>
      </c>
      <c r="BL1498" t="s">
        <v>741</v>
      </c>
      <c r="BM1498" t="str">
        <f>HYPERLINK("http://dx.doi.org/10.1016/j.scitotenv.2020.137088","http://dx.doi.org/10.1016/j.scitotenv.2020.137088")</f>
        <v>http://dx.doi.org/10.1016/j.scitotenv.2020.137088</v>
      </c>
      <c r="BN1498" t="s">
        <v>69</v>
      </c>
      <c r="BO1498" t="s">
        <v>69</v>
      </c>
      <c r="BP1498">
        <v>13</v>
      </c>
      <c r="BQ1498" t="s">
        <v>8717</v>
      </c>
      <c r="BR1498" t="s">
        <v>8523</v>
      </c>
      <c r="BS1498" t="s">
        <v>8662</v>
      </c>
      <c r="BT1498" t="s">
        <v>15210</v>
      </c>
      <c r="BU1498" t="s">
        <v>742</v>
      </c>
      <c r="BV1498">
        <v>32059326</v>
      </c>
      <c r="BW1498" t="s">
        <v>69</v>
      </c>
      <c r="BX1498" t="s">
        <v>15211</v>
      </c>
      <c r="BY1498" t="s">
        <v>15212</v>
      </c>
      <c r="BZ1498" t="s">
        <v>8526</v>
      </c>
      <c r="CA1498" t="str">
        <f>HYPERLINK("https%3A%2F%2Fwww.webofscience.com%2Fwos%2Fwoscc%2Ffull-record%2FWOS:000519987300132","View Full Record in Web of Science")</f>
        <v>View Full Record in Web of Science</v>
      </c>
    </row>
    <row r="1499" spans="2:79" ht="12.5" x14ac:dyDescent="0.25">
      <c r="B1499" t="s">
        <v>8495</v>
      </c>
      <c r="D1499" s="22" t="s">
        <v>32931</v>
      </c>
      <c r="E1499" s="7"/>
      <c r="F1499" s="7"/>
      <c r="G1499" s="7"/>
      <c r="H1499" t="s">
        <v>67</v>
      </c>
      <c r="I1499" t="s">
        <v>18168</v>
      </c>
      <c r="J1499" t="s">
        <v>69</v>
      </c>
      <c r="K1499" t="s">
        <v>69</v>
      </c>
      <c r="L1499" t="s">
        <v>69</v>
      </c>
      <c r="M1499" t="s">
        <v>18169</v>
      </c>
      <c r="N1499" t="s">
        <v>69</v>
      </c>
      <c r="O1499" t="s">
        <v>69</v>
      </c>
      <c r="P1499" t="s">
        <v>18170</v>
      </c>
      <c r="Q1499" t="s">
        <v>18171</v>
      </c>
      <c r="R1499" t="s">
        <v>69</v>
      </c>
      <c r="S1499" t="s">
        <v>69</v>
      </c>
      <c r="T1499" t="s">
        <v>8505</v>
      </c>
      <c r="U1499" t="s">
        <v>8506</v>
      </c>
      <c r="V1499" t="s">
        <v>69</v>
      </c>
      <c r="W1499" t="s">
        <v>69</v>
      </c>
      <c r="X1499" t="s">
        <v>69</v>
      </c>
      <c r="Y1499" t="s">
        <v>69</v>
      </c>
      <c r="Z1499" t="s">
        <v>69</v>
      </c>
      <c r="AA1499" t="s">
        <v>18172</v>
      </c>
      <c r="AB1499" t="s">
        <v>69</v>
      </c>
      <c r="AC1499" t="s">
        <v>18173</v>
      </c>
      <c r="AD1499" t="s">
        <v>18174</v>
      </c>
      <c r="AE1499" t="s">
        <v>69</v>
      </c>
      <c r="AF1499" t="s">
        <v>18175</v>
      </c>
      <c r="AG1499" t="s">
        <v>18176</v>
      </c>
      <c r="AH1499" t="s">
        <v>18177</v>
      </c>
      <c r="AI1499" t="s">
        <v>18178</v>
      </c>
      <c r="AJ1499" t="s">
        <v>18179</v>
      </c>
      <c r="AK1499" t="s">
        <v>18180</v>
      </c>
      <c r="AL1499" t="s">
        <v>18181</v>
      </c>
      <c r="AM1499" t="s">
        <v>69</v>
      </c>
      <c r="AN1499">
        <v>20</v>
      </c>
      <c r="AO1499">
        <v>18</v>
      </c>
      <c r="AP1499">
        <v>18</v>
      </c>
      <c r="AQ1499">
        <v>2</v>
      </c>
      <c r="AR1499">
        <v>40</v>
      </c>
      <c r="AS1499" t="s">
        <v>8734</v>
      </c>
      <c r="AT1499" t="s">
        <v>8735</v>
      </c>
      <c r="AU1499" t="s">
        <v>8736</v>
      </c>
      <c r="AV1499" t="s">
        <v>18182</v>
      </c>
      <c r="AW1499" t="s">
        <v>18183</v>
      </c>
      <c r="AX1499" t="s">
        <v>69</v>
      </c>
      <c r="AY1499" t="s">
        <v>18184</v>
      </c>
      <c r="AZ1499" t="s">
        <v>18185</v>
      </c>
      <c r="BA1499" t="s">
        <v>274</v>
      </c>
      <c r="BB1499">
        <v>2018</v>
      </c>
      <c r="BC1499">
        <v>95</v>
      </c>
      <c r="BD1499">
        <v>11</v>
      </c>
      <c r="BE1499" t="s">
        <v>69</v>
      </c>
      <c r="BF1499" t="s">
        <v>69</v>
      </c>
      <c r="BG1499" t="s">
        <v>69</v>
      </c>
      <c r="BH1499" t="s">
        <v>69</v>
      </c>
      <c r="BI1499">
        <v>1939</v>
      </c>
      <c r="BJ1499">
        <v>1946</v>
      </c>
      <c r="BK1499" t="s">
        <v>69</v>
      </c>
      <c r="BL1499" t="s">
        <v>18186</v>
      </c>
      <c r="BM1499" t="str">
        <f>HYPERLINK("http://dx.doi.org/10.1021/acs.jchemed.8b00188","http://dx.doi.org/10.1021/acs.jchemed.8b00188")</f>
        <v>http://dx.doi.org/10.1021/acs.jchemed.8b00188</v>
      </c>
      <c r="BN1499" t="s">
        <v>69</v>
      </c>
      <c r="BO1499" t="s">
        <v>69</v>
      </c>
      <c r="BP1499">
        <v>8</v>
      </c>
      <c r="BQ1499" t="s">
        <v>18187</v>
      </c>
      <c r="BR1499" t="s">
        <v>8523</v>
      </c>
      <c r="BS1499" t="s">
        <v>18188</v>
      </c>
      <c r="BT1499" t="s">
        <v>18189</v>
      </c>
      <c r="BU1499" t="s">
        <v>18190</v>
      </c>
      <c r="BV1499" t="s">
        <v>69</v>
      </c>
      <c r="BW1499" t="s">
        <v>69</v>
      </c>
      <c r="BX1499" t="s">
        <v>69</v>
      </c>
      <c r="BY1499" t="s">
        <v>69</v>
      </c>
      <c r="BZ1499" t="s">
        <v>8526</v>
      </c>
      <c r="CA1499" t="str">
        <f>HYPERLINK("https%3A%2F%2Fwww.webofscience.com%2Fwos%2Fwoscc%2Ffull-record%2FWOS:000451246800005","View Full Record in Web of Science")</f>
        <v>View Full Record in Web of Science</v>
      </c>
    </row>
    <row r="1500" spans="2:79" ht="12.5" x14ac:dyDescent="0.25">
      <c r="B1500" t="s">
        <v>8495</v>
      </c>
      <c r="D1500" s="7" t="s">
        <v>32933</v>
      </c>
      <c r="E1500" s="7"/>
      <c r="F1500" s="7"/>
      <c r="G1500" s="7"/>
      <c r="H1500" t="s">
        <v>67</v>
      </c>
      <c r="I1500" t="s">
        <v>2769</v>
      </c>
      <c r="J1500" t="s">
        <v>69</v>
      </c>
      <c r="K1500" t="s">
        <v>69</v>
      </c>
      <c r="L1500" t="s">
        <v>69</v>
      </c>
      <c r="M1500" t="s">
        <v>2770</v>
      </c>
      <c r="N1500" t="s">
        <v>69</v>
      </c>
      <c r="O1500" t="s">
        <v>69</v>
      </c>
      <c r="P1500" t="s">
        <v>2771</v>
      </c>
      <c r="Q1500" t="s">
        <v>1602</v>
      </c>
      <c r="R1500" t="s">
        <v>69</v>
      </c>
      <c r="S1500" t="s">
        <v>69</v>
      </c>
      <c r="T1500" t="s">
        <v>8505</v>
      </c>
      <c r="U1500" t="s">
        <v>8506</v>
      </c>
      <c r="V1500" t="s">
        <v>69</v>
      </c>
      <c r="W1500" t="s">
        <v>69</v>
      </c>
      <c r="X1500" t="s">
        <v>69</v>
      </c>
      <c r="Y1500" t="s">
        <v>69</v>
      </c>
      <c r="Z1500" t="s">
        <v>69</v>
      </c>
      <c r="AA1500" t="s">
        <v>21178</v>
      </c>
      <c r="AB1500" t="s">
        <v>21179</v>
      </c>
      <c r="AC1500" t="s">
        <v>2772</v>
      </c>
      <c r="AD1500" t="s">
        <v>21180</v>
      </c>
      <c r="AE1500" t="s">
        <v>69</v>
      </c>
      <c r="AF1500" t="s">
        <v>21181</v>
      </c>
      <c r="AG1500" t="s">
        <v>21182</v>
      </c>
      <c r="AH1500" t="s">
        <v>69</v>
      </c>
      <c r="AI1500" t="s">
        <v>69</v>
      </c>
      <c r="AJ1500" t="s">
        <v>21183</v>
      </c>
      <c r="AK1500" t="s">
        <v>21183</v>
      </c>
      <c r="AL1500" t="s">
        <v>21184</v>
      </c>
      <c r="AM1500" t="s">
        <v>69</v>
      </c>
      <c r="AN1500">
        <v>53</v>
      </c>
      <c r="AO1500">
        <v>11</v>
      </c>
      <c r="AP1500">
        <v>11</v>
      </c>
      <c r="AQ1500">
        <v>2</v>
      </c>
      <c r="AR1500">
        <v>15</v>
      </c>
      <c r="AS1500" t="s">
        <v>8762</v>
      </c>
      <c r="AT1500" t="s">
        <v>8763</v>
      </c>
      <c r="AU1500" t="s">
        <v>8764</v>
      </c>
      <c r="AV1500" t="s">
        <v>1604</v>
      </c>
      <c r="AW1500" t="s">
        <v>2269</v>
      </c>
      <c r="AX1500" t="s">
        <v>69</v>
      </c>
      <c r="AY1500" t="s">
        <v>15091</v>
      </c>
      <c r="AZ1500" t="s">
        <v>15092</v>
      </c>
      <c r="BA1500" t="s">
        <v>75</v>
      </c>
      <c r="BB1500">
        <v>2016</v>
      </c>
      <c r="BC1500">
        <v>53</v>
      </c>
      <c r="BD1500">
        <v>16</v>
      </c>
      <c r="BE1500" t="s">
        <v>69</v>
      </c>
      <c r="BF1500" t="s">
        <v>69</v>
      </c>
      <c r="BG1500" t="s">
        <v>69</v>
      </c>
      <c r="BH1500" t="s">
        <v>69</v>
      </c>
      <c r="BI1500">
        <v>3423</v>
      </c>
      <c r="BJ1500">
        <v>3438</v>
      </c>
      <c r="BK1500" t="s">
        <v>69</v>
      </c>
      <c r="BL1500" t="s">
        <v>2773</v>
      </c>
      <c r="BM1500" t="str">
        <f>HYPERLINK("http://dx.doi.org/10.1177/0042098015613206","http://dx.doi.org/10.1177/0042098015613206")</f>
        <v>http://dx.doi.org/10.1177/0042098015613206</v>
      </c>
      <c r="BN1500" t="s">
        <v>69</v>
      </c>
      <c r="BO1500" t="s">
        <v>69</v>
      </c>
      <c r="BP1500">
        <v>16</v>
      </c>
      <c r="BQ1500" t="s">
        <v>15093</v>
      </c>
      <c r="BR1500" t="s">
        <v>8661</v>
      </c>
      <c r="BS1500" t="s">
        <v>15094</v>
      </c>
      <c r="BT1500" t="s">
        <v>21185</v>
      </c>
      <c r="BU1500" t="s">
        <v>2774</v>
      </c>
      <c r="BV1500" t="s">
        <v>69</v>
      </c>
      <c r="BW1500" t="s">
        <v>69</v>
      </c>
      <c r="BX1500" t="s">
        <v>69</v>
      </c>
      <c r="BY1500" t="s">
        <v>69</v>
      </c>
      <c r="BZ1500" t="s">
        <v>8526</v>
      </c>
      <c r="CA1500" t="str">
        <f>HYPERLINK("https%3A%2F%2Fwww.webofscience.com%2Fwos%2Fwoscc%2Ffull-record%2FWOS:000387499700004","View Full Record in Web of Science")</f>
        <v>View Full Record in Web of Science</v>
      </c>
    </row>
    <row r="1501" spans="2:79" ht="12.5" x14ac:dyDescent="0.25">
      <c r="B1501" t="s">
        <v>8495</v>
      </c>
      <c r="D1501" s="22" t="s">
        <v>32931</v>
      </c>
      <c r="E1501" s="7"/>
      <c r="F1501" s="7"/>
      <c r="G1501" s="7"/>
      <c r="H1501" t="s">
        <v>67</v>
      </c>
      <c r="I1501" t="s">
        <v>12275</v>
      </c>
      <c r="J1501" t="s">
        <v>69</v>
      </c>
      <c r="K1501" t="s">
        <v>69</v>
      </c>
      <c r="L1501" t="s">
        <v>69</v>
      </c>
      <c r="M1501" t="s">
        <v>12276</v>
      </c>
      <c r="N1501" t="s">
        <v>69</v>
      </c>
      <c r="O1501" t="s">
        <v>69</v>
      </c>
      <c r="P1501" t="s">
        <v>12277</v>
      </c>
      <c r="Q1501" t="s">
        <v>12278</v>
      </c>
      <c r="R1501" t="s">
        <v>69</v>
      </c>
      <c r="S1501" t="s">
        <v>69</v>
      </c>
      <c r="T1501" t="s">
        <v>8505</v>
      </c>
      <c r="U1501" t="s">
        <v>8506</v>
      </c>
      <c r="V1501" t="s">
        <v>69</v>
      </c>
      <c r="W1501" t="s">
        <v>69</v>
      </c>
      <c r="X1501" t="s">
        <v>69</v>
      </c>
      <c r="Y1501" t="s">
        <v>69</v>
      </c>
      <c r="Z1501" t="s">
        <v>69</v>
      </c>
      <c r="AA1501" t="s">
        <v>12279</v>
      </c>
      <c r="AB1501" t="s">
        <v>12280</v>
      </c>
      <c r="AC1501" t="s">
        <v>12281</v>
      </c>
      <c r="AD1501" t="s">
        <v>12282</v>
      </c>
      <c r="AE1501" t="s">
        <v>69</v>
      </c>
      <c r="AF1501" t="s">
        <v>12283</v>
      </c>
      <c r="AG1501" t="s">
        <v>12284</v>
      </c>
      <c r="AH1501" t="s">
        <v>12285</v>
      </c>
      <c r="AI1501" t="s">
        <v>12286</v>
      </c>
      <c r="AJ1501" t="s">
        <v>69</v>
      </c>
      <c r="AK1501" t="s">
        <v>69</v>
      </c>
      <c r="AL1501" t="s">
        <v>69</v>
      </c>
      <c r="AM1501" t="s">
        <v>69</v>
      </c>
      <c r="AN1501">
        <v>31</v>
      </c>
      <c r="AO1501">
        <v>0</v>
      </c>
      <c r="AP1501">
        <v>0</v>
      </c>
      <c r="AQ1501">
        <v>2</v>
      </c>
      <c r="AR1501">
        <v>13</v>
      </c>
      <c r="AS1501" t="s">
        <v>12287</v>
      </c>
      <c r="AT1501" t="s">
        <v>12288</v>
      </c>
      <c r="AU1501" t="s">
        <v>12289</v>
      </c>
      <c r="AV1501" t="s">
        <v>12290</v>
      </c>
      <c r="AW1501" t="s">
        <v>12291</v>
      </c>
      <c r="AX1501" t="s">
        <v>69</v>
      </c>
      <c r="AY1501" t="s">
        <v>12292</v>
      </c>
      <c r="AZ1501" t="s">
        <v>12293</v>
      </c>
      <c r="BA1501" t="s">
        <v>586</v>
      </c>
      <c r="BB1501">
        <v>2021</v>
      </c>
      <c r="BC1501">
        <v>9</v>
      </c>
      <c r="BD1501" t="s">
        <v>69</v>
      </c>
      <c r="BE1501" t="s">
        <v>69</v>
      </c>
      <c r="BF1501" t="s">
        <v>69</v>
      </c>
      <c r="BG1501" t="s">
        <v>114</v>
      </c>
      <c r="BH1501" t="s">
        <v>69</v>
      </c>
      <c r="BI1501" t="s">
        <v>69</v>
      </c>
      <c r="BJ1501" t="s">
        <v>69</v>
      </c>
      <c r="BK1501" t="s">
        <v>12294</v>
      </c>
      <c r="BL1501" t="s">
        <v>12295</v>
      </c>
      <c r="BM1501" t="str">
        <f>HYPERLINK("http://dx.doi.org/10.20511/pyr2021.v9nSPE3.1135","http://dx.doi.org/10.20511/pyr2021.v9nSPE3.1135")</f>
        <v>http://dx.doi.org/10.20511/pyr2021.v9nSPE3.1135</v>
      </c>
      <c r="BN1501" t="s">
        <v>69</v>
      </c>
      <c r="BO1501" t="s">
        <v>69</v>
      </c>
      <c r="BP1501">
        <v>8</v>
      </c>
      <c r="BQ1501" t="s">
        <v>11114</v>
      </c>
      <c r="BR1501" t="s">
        <v>8573</v>
      </c>
      <c r="BS1501" t="s">
        <v>9001</v>
      </c>
      <c r="BT1501" t="s">
        <v>12296</v>
      </c>
      <c r="BU1501" t="s">
        <v>12298</v>
      </c>
      <c r="BV1501" t="s">
        <v>69</v>
      </c>
      <c r="BW1501" t="s">
        <v>12297</v>
      </c>
      <c r="BX1501" t="s">
        <v>69</v>
      </c>
      <c r="BY1501" t="s">
        <v>69</v>
      </c>
      <c r="BZ1501" t="s">
        <v>8526</v>
      </c>
      <c r="CA1501" t="str">
        <f>HYPERLINK("https%3A%2F%2Fwww.webofscience.com%2Fwos%2Fwoscc%2Ffull-record%2FWOS:000631706900012","View Full Record in Web of Science")</f>
        <v>View Full Record in Web of Science</v>
      </c>
    </row>
    <row r="1502" spans="2:79" ht="12.5" x14ac:dyDescent="0.25">
      <c r="B1502" t="s">
        <v>8495</v>
      </c>
      <c r="D1502" s="22" t="s">
        <v>32931</v>
      </c>
      <c r="E1502" s="7"/>
      <c r="F1502" s="7"/>
      <c r="G1502" s="7"/>
      <c r="H1502" t="s">
        <v>67</v>
      </c>
      <c r="I1502" t="s">
        <v>29194</v>
      </c>
      <c r="J1502" t="s">
        <v>69</v>
      </c>
      <c r="K1502" t="s">
        <v>69</v>
      </c>
      <c r="L1502" t="s">
        <v>69</v>
      </c>
      <c r="M1502" t="s">
        <v>29195</v>
      </c>
      <c r="N1502" t="s">
        <v>69</v>
      </c>
      <c r="O1502" t="s">
        <v>69</v>
      </c>
      <c r="P1502" t="s">
        <v>29196</v>
      </c>
      <c r="Q1502" t="s">
        <v>14732</v>
      </c>
      <c r="R1502" t="s">
        <v>69</v>
      </c>
      <c r="S1502" t="s">
        <v>69</v>
      </c>
      <c r="T1502" t="s">
        <v>8505</v>
      </c>
      <c r="U1502" t="s">
        <v>8506</v>
      </c>
      <c r="V1502" t="s">
        <v>69</v>
      </c>
      <c r="W1502" t="s">
        <v>69</v>
      </c>
      <c r="X1502" t="s">
        <v>69</v>
      </c>
      <c r="Y1502" t="s">
        <v>69</v>
      </c>
      <c r="Z1502" t="s">
        <v>69</v>
      </c>
      <c r="AA1502" t="s">
        <v>29197</v>
      </c>
      <c r="AB1502" t="s">
        <v>29198</v>
      </c>
      <c r="AC1502" t="s">
        <v>29199</v>
      </c>
      <c r="AD1502" t="s">
        <v>29200</v>
      </c>
      <c r="AE1502" t="s">
        <v>69</v>
      </c>
      <c r="AF1502" t="s">
        <v>29201</v>
      </c>
      <c r="AG1502" t="s">
        <v>29202</v>
      </c>
      <c r="AH1502" t="s">
        <v>69</v>
      </c>
      <c r="AI1502" t="s">
        <v>69</v>
      </c>
      <c r="AJ1502" t="s">
        <v>69</v>
      </c>
      <c r="AK1502" t="s">
        <v>69</v>
      </c>
      <c r="AL1502" t="s">
        <v>69</v>
      </c>
      <c r="AM1502" t="s">
        <v>69</v>
      </c>
      <c r="AN1502">
        <v>34</v>
      </c>
      <c r="AO1502">
        <v>4</v>
      </c>
      <c r="AP1502">
        <v>5</v>
      </c>
      <c r="AQ1502">
        <v>0</v>
      </c>
      <c r="AR1502">
        <v>4</v>
      </c>
      <c r="AS1502" t="s">
        <v>8846</v>
      </c>
      <c r="AT1502" t="s">
        <v>8847</v>
      </c>
      <c r="AU1502" t="s">
        <v>8848</v>
      </c>
      <c r="AV1502" t="s">
        <v>14741</v>
      </c>
      <c r="AW1502" t="s">
        <v>14742</v>
      </c>
      <c r="AX1502" t="s">
        <v>69</v>
      </c>
      <c r="AY1502" t="s">
        <v>14743</v>
      </c>
      <c r="AZ1502" t="s">
        <v>14744</v>
      </c>
      <c r="BA1502" t="s">
        <v>84</v>
      </c>
      <c r="BB1502">
        <v>2008</v>
      </c>
      <c r="BC1502">
        <v>78</v>
      </c>
      <c r="BD1502">
        <v>7</v>
      </c>
      <c r="BE1502" t="s">
        <v>69</v>
      </c>
      <c r="BF1502" t="s">
        <v>69</v>
      </c>
      <c r="BG1502" t="s">
        <v>69</v>
      </c>
      <c r="BH1502" t="s">
        <v>69</v>
      </c>
      <c r="BI1502">
        <v>389</v>
      </c>
      <c r="BJ1502">
        <v>396</v>
      </c>
      <c r="BK1502" t="s">
        <v>69</v>
      </c>
      <c r="BL1502" t="s">
        <v>29203</v>
      </c>
      <c r="BM1502" t="str">
        <f>HYPERLINK("http://dx.doi.org/10.1111/j.1746-1561.2008.00319.x","http://dx.doi.org/10.1111/j.1746-1561.2008.00319.x")</f>
        <v>http://dx.doi.org/10.1111/j.1746-1561.2008.00319.x</v>
      </c>
      <c r="BN1502" t="s">
        <v>69</v>
      </c>
      <c r="BO1502" t="s">
        <v>69</v>
      </c>
      <c r="BP1502">
        <v>8</v>
      </c>
      <c r="BQ1502" t="s">
        <v>14746</v>
      </c>
      <c r="BR1502" t="s">
        <v>8523</v>
      </c>
      <c r="BS1502" t="s">
        <v>14747</v>
      </c>
      <c r="BT1502" t="s">
        <v>29204</v>
      </c>
      <c r="BU1502" t="s">
        <v>29205</v>
      </c>
      <c r="BV1502">
        <v>18611214</v>
      </c>
      <c r="BW1502" t="s">
        <v>69</v>
      </c>
      <c r="BX1502" t="s">
        <v>69</v>
      </c>
      <c r="BY1502" t="s">
        <v>69</v>
      </c>
      <c r="BZ1502" t="s">
        <v>8526</v>
      </c>
      <c r="CA1502" t="str">
        <f>HYPERLINK("https%3A%2F%2Fwww.webofscience.com%2Fwos%2Fwoscc%2Ffull-record%2FWOS:000256971100005","View Full Record in Web of Science")</f>
        <v>View Full Record in Web of Science</v>
      </c>
    </row>
    <row r="1503" spans="2:79" ht="12.5" x14ac:dyDescent="0.25">
      <c r="B1503" t="s">
        <v>8495</v>
      </c>
      <c r="D1503" s="22" t="s">
        <v>32931</v>
      </c>
      <c r="E1503" s="7"/>
      <c r="F1503" s="7"/>
      <c r="G1503" s="7"/>
      <c r="H1503" t="s">
        <v>67</v>
      </c>
      <c r="I1503" t="s">
        <v>11350</v>
      </c>
      <c r="J1503" t="s">
        <v>69</v>
      </c>
      <c r="K1503" t="s">
        <v>69</v>
      </c>
      <c r="L1503" t="s">
        <v>69</v>
      </c>
      <c r="M1503" t="s">
        <v>11351</v>
      </c>
      <c r="N1503" t="s">
        <v>69</v>
      </c>
      <c r="O1503" t="s">
        <v>69</v>
      </c>
      <c r="P1503" t="s">
        <v>11352</v>
      </c>
      <c r="Q1503" t="s">
        <v>11353</v>
      </c>
      <c r="R1503" t="s">
        <v>69</v>
      </c>
      <c r="S1503" t="s">
        <v>69</v>
      </c>
      <c r="T1503" t="s">
        <v>8505</v>
      </c>
      <c r="U1503" t="s">
        <v>9035</v>
      </c>
      <c r="V1503" t="s">
        <v>69</v>
      </c>
      <c r="W1503" t="s">
        <v>69</v>
      </c>
      <c r="X1503" t="s">
        <v>69</v>
      </c>
      <c r="Y1503" t="s">
        <v>69</v>
      </c>
      <c r="Z1503" t="s">
        <v>69</v>
      </c>
      <c r="AA1503" t="s">
        <v>11354</v>
      </c>
      <c r="AB1503" t="s">
        <v>69</v>
      </c>
      <c r="AC1503" t="s">
        <v>11355</v>
      </c>
      <c r="AD1503" t="s">
        <v>11356</v>
      </c>
      <c r="AE1503" t="s">
        <v>69</v>
      </c>
      <c r="AF1503" t="s">
        <v>11357</v>
      </c>
      <c r="AG1503" t="s">
        <v>11358</v>
      </c>
      <c r="AH1503" t="s">
        <v>69</v>
      </c>
      <c r="AI1503" t="s">
        <v>11359</v>
      </c>
      <c r="AJ1503" t="s">
        <v>69</v>
      </c>
      <c r="AK1503" t="s">
        <v>69</v>
      </c>
      <c r="AL1503" t="s">
        <v>69</v>
      </c>
      <c r="AM1503" t="s">
        <v>69</v>
      </c>
      <c r="AN1503">
        <v>52</v>
      </c>
      <c r="AO1503">
        <v>1</v>
      </c>
      <c r="AP1503">
        <v>1</v>
      </c>
      <c r="AQ1503">
        <v>24</v>
      </c>
      <c r="AR1503">
        <v>32</v>
      </c>
      <c r="AS1503" t="s">
        <v>11360</v>
      </c>
      <c r="AT1503" t="s">
        <v>11361</v>
      </c>
      <c r="AU1503" t="s">
        <v>11362</v>
      </c>
      <c r="AV1503" t="s">
        <v>11363</v>
      </c>
      <c r="AW1503" t="s">
        <v>11364</v>
      </c>
      <c r="AX1503" t="s">
        <v>69</v>
      </c>
      <c r="AY1503" t="s">
        <v>11365</v>
      </c>
      <c r="AZ1503" t="s">
        <v>11366</v>
      </c>
      <c r="BA1503" t="s">
        <v>69</v>
      </c>
      <c r="BB1503" t="s">
        <v>69</v>
      </c>
      <c r="BC1503" t="s">
        <v>69</v>
      </c>
      <c r="BD1503" t="s">
        <v>69</v>
      </c>
      <c r="BE1503" t="s">
        <v>69</v>
      </c>
      <c r="BF1503" t="s">
        <v>69</v>
      </c>
      <c r="BG1503" t="s">
        <v>69</v>
      </c>
      <c r="BH1503" t="s">
        <v>69</v>
      </c>
      <c r="BI1503" t="s">
        <v>69</v>
      </c>
      <c r="BJ1503" t="s">
        <v>69</v>
      </c>
      <c r="BK1503" t="s">
        <v>69</v>
      </c>
      <c r="BL1503" t="s">
        <v>11367</v>
      </c>
      <c r="BM1503" t="str">
        <f>HYPERLINK("http://dx.doi.org/10.1515/reveh-2021-0092","http://dx.doi.org/10.1515/reveh-2021-0092")</f>
        <v>http://dx.doi.org/10.1515/reveh-2021-0092</v>
      </c>
      <c r="BN1503" t="s">
        <v>69</v>
      </c>
      <c r="BO1503" t="s">
        <v>11299</v>
      </c>
      <c r="BP1503">
        <v>8</v>
      </c>
      <c r="BQ1503" t="s">
        <v>10595</v>
      </c>
      <c r="BR1503" t="s">
        <v>8548</v>
      </c>
      <c r="BS1503" t="s">
        <v>10596</v>
      </c>
      <c r="BT1503" t="s">
        <v>11368</v>
      </c>
      <c r="BU1503" t="s">
        <v>11369</v>
      </c>
      <c r="BV1503">
        <v>34529904</v>
      </c>
      <c r="BW1503" t="s">
        <v>69</v>
      </c>
      <c r="BX1503" t="s">
        <v>69</v>
      </c>
      <c r="BY1503" t="s">
        <v>69</v>
      </c>
      <c r="BZ1503" t="s">
        <v>8526</v>
      </c>
      <c r="CA1503" t="str">
        <f>HYPERLINK("https%3A%2F%2Fwww.webofscience.com%2Fwos%2Fwoscc%2Ffull-record%2FWOS:000739610900001","View Full Record in Web of Science")</f>
        <v>View Full Record in Web of Science</v>
      </c>
    </row>
    <row r="1504" spans="2:79" ht="12.5" x14ac:dyDescent="0.25">
      <c r="B1504" t="s">
        <v>8495</v>
      </c>
      <c r="D1504" s="22" t="s">
        <v>32931</v>
      </c>
      <c r="E1504" s="7"/>
      <c r="F1504" s="7"/>
      <c r="G1504" s="7"/>
      <c r="H1504" t="s">
        <v>67</v>
      </c>
      <c r="I1504" t="s">
        <v>31441</v>
      </c>
      <c r="J1504" t="s">
        <v>69</v>
      </c>
      <c r="K1504" t="s">
        <v>69</v>
      </c>
      <c r="L1504" t="s">
        <v>69</v>
      </c>
      <c r="M1504" t="s">
        <v>31441</v>
      </c>
      <c r="N1504" t="s">
        <v>69</v>
      </c>
      <c r="O1504" t="s">
        <v>69</v>
      </c>
      <c r="P1504" t="s">
        <v>31442</v>
      </c>
      <c r="Q1504" t="s">
        <v>31443</v>
      </c>
      <c r="R1504" t="s">
        <v>69</v>
      </c>
      <c r="S1504" t="s">
        <v>69</v>
      </c>
      <c r="T1504" t="s">
        <v>8505</v>
      </c>
      <c r="U1504" t="s">
        <v>8506</v>
      </c>
      <c r="V1504" t="s">
        <v>69</v>
      </c>
      <c r="W1504" t="s">
        <v>69</v>
      </c>
      <c r="X1504" t="s">
        <v>69</v>
      </c>
      <c r="Y1504" t="s">
        <v>69</v>
      </c>
      <c r="Z1504" t="s">
        <v>69</v>
      </c>
      <c r="AA1504" t="s">
        <v>69</v>
      </c>
      <c r="AB1504" t="s">
        <v>69</v>
      </c>
      <c r="AC1504" t="s">
        <v>31444</v>
      </c>
      <c r="AD1504" t="s">
        <v>69</v>
      </c>
      <c r="AE1504" t="s">
        <v>69</v>
      </c>
      <c r="AF1504" t="s">
        <v>69</v>
      </c>
      <c r="AG1504" t="s">
        <v>69</v>
      </c>
      <c r="AH1504" t="s">
        <v>69</v>
      </c>
      <c r="AI1504" t="s">
        <v>69</v>
      </c>
      <c r="AJ1504" t="s">
        <v>69</v>
      </c>
      <c r="AK1504" t="s">
        <v>69</v>
      </c>
      <c r="AL1504" t="s">
        <v>69</v>
      </c>
      <c r="AM1504" t="s">
        <v>69</v>
      </c>
      <c r="AN1504">
        <v>8</v>
      </c>
      <c r="AO1504">
        <v>0</v>
      </c>
      <c r="AP1504">
        <v>0</v>
      </c>
      <c r="AQ1504">
        <v>0</v>
      </c>
      <c r="AR1504">
        <v>0</v>
      </c>
      <c r="AS1504" t="s">
        <v>31445</v>
      </c>
      <c r="AT1504" t="s">
        <v>31446</v>
      </c>
      <c r="AU1504" t="s">
        <v>31447</v>
      </c>
      <c r="AV1504" t="s">
        <v>31448</v>
      </c>
      <c r="AW1504" t="s">
        <v>69</v>
      </c>
      <c r="AX1504" t="s">
        <v>69</v>
      </c>
      <c r="AY1504" t="s">
        <v>31449</v>
      </c>
      <c r="AZ1504" t="s">
        <v>31450</v>
      </c>
      <c r="BA1504" t="s">
        <v>155</v>
      </c>
      <c r="BB1504">
        <v>2002</v>
      </c>
      <c r="BC1504">
        <v>41</v>
      </c>
      <c r="BD1504">
        <v>3</v>
      </c>
      <c r="BE1504" t="s">
        <v>69</v>
      </c>
      <c r="BF1504" t="s">
        <v>69</v>
      </c>
      <c r="BG1504" t="s">
        <v>69</v>
      </c>
      <c r="BH1504" t="s">
        <v>69</v>
      </c>
      <c r="BI1504">
        <v>179</v>
      </c>
      <c r="BJ1504">
        <v>186</v>
      </c>
      <c r="BK1504" t="s">
        <v>69</v>
      </c>
      <c r="BL1504" t="s">
        <v>69</v>
      </c>
      <c r="BM1504" t="s">
        <v>69</v>
      </c>
      <c r="BN1504" t="s">
        <v>69</v>
      </c>
      <c r="BO1504" t="s">
        <v>69</v>
      </c>
      <c r="BP1504">
        <v>8</v>
      </c>
      <c r="BQ1504" t="s">
        <v>12508</v>
      </c>
      <c r="BR1504" t="s">
        <v>8548</v>
      </c>
      <c r="BS1504" t="s">
        <v>12508</v>
      </c>
      <c r="BT1504" t="s">
        <v>31451</v>
      </c>
      <c r="BU1504" t="s">
        <v>31452</v>
      </c>
      <c r="BV1504" t="s">
        <v>69</v>
      </c>
      <c r="BW1504" t="s">
        <v>69</v>
      </c>
      <c r="BX1504" t="s">
        <v>69</v>
      </c>
      <c r="BY1504" t="s">
        <v>69</v>
      </c>
      <c r="BZ1504" t="s">
        <v>8526</v>
      </c>
      <c r="CA1504" t="str">
        <f>HYPERLINK("https%3A%2F%2Fwww.webofscience.com%2Fwos%2Fwoscc%2Ffull-record%2FWOS:000176765400011","View Full Record in Web of Science")</f>
        <v>View Full Record in Web of Science</v>
      </c>
    </row>
    <row r="1505" spans="2:79" ht="12.5" x14ac:dyDescent="0.25">
      <c r="B1505" t="s">
        <v>8495</v>
      </c>
      <c r="D1505" s="22" t="s">
        <v>32931</v>
      </c>
      <c r="E1505" s="7"/>
      <c r="F1505" s="7"/>
      <c r="G1505" s="7"/>
      <c r="H1505" t="s">
        <v>67</v>
      </c>
      <c r="I1505" t="s">
        <v>10767</v>
      </c>
      <c r="J1505" t="s">
        <v>69</v>
      </c>
      <c r="K1505" t="s">
        <v>69</v>
      </c>
      <c r="L1505" t="s">
        <v>69</v>
      </c>
      <c r="M1505" t="s">
        <v>10768</v>
      </c>
      <c r="N1505" t="s">
        <v>69</v>
      </c>
      <c r="O1505" t="s">
        <v>69</v>
      </c>
      <c r="P1505" t="s">
        <v>10769</v>
      </c>
      <c r="Q1505" t="s">
        <v>2475</v>
      </c>
      <c r="R1505" t="s">
        <v>69</v>
      </c>
      <c r="S1505" t="s">
        <v>69</v>
      </c>
      <c r="T1505" t="s">
        <v>8505</v>
      </c>
      <c r="U1505" t="s">
        <v>8556</v>
      </c>
      <c r="V1505" t="s">
        <v>69</v>
      </c>
      <c r="W1505" t="s">
        <v>69</v>
      </c>
      <c r="X1505" t="s">
        <v>69</v>
      </c>
      <c r="Y1505" t="s">
        <v>69</v>
      </c>
      <c r="Z1505" t="s">
        <v>69</v>
      </c>
      <c r="AA1505" t="s">
        <v>10770</v>
      </c>
      <c r="AB1505" t="s">
        <v>10771</v>
      </c>
      <c r="AC1505" t="s">
        <v>10772</v>
      </c>
      <c r="AD1505" t="s">
        <v>10773</v>
      </c>
      <c r="AE1505" t="s">
        <v>69</v>
      </c>
      <c r="AF1505" t="s">
        <v>10774</v>
      </c>
      <c r="AG1505" t="s">
        <v>10775</v>
      </c>
      <c r="AH1505" t="s">
        <v>69</v>
      </c>
      <c r="AI1505" t="s">
        <v>69</v>
      </c>
      <c r="AJ1505" t="s">
        <v>69</v>
      </c>
      <c r="AK1505" t="s">
        <v>69</v>
      </c>
      <c r="AL1505" t="s">
        <v>69</v>
      </c>
      <c r="AM1505" t="s">
        <v>69</v>
      </c>
      <c r="AN1505">
        <v>82</v>
      </c>
      <c r="AO1505">
        <v>1</v>
      </c>
      <c r="AP1505">
        <v>1</v>
      </c>
      <c r="AQ1505">
        <v>3</v>
      </c>
      <c r="AR1505">
        <v>6</v>
      </c>
      <c r="AS1505" t="s">
        <v>8586</v>
      </c>
      <c r="AT1505" t="s">
        <v>8587</v>
      </c>
      <c r="AU1505" t="s">
        <v>8588</v>
      </c>
      <c r="AV1505" t="s">
        <v>2479</v>
      </c>
      <c r="AW1505" t="s">
        <v>69</v>
      </c>
      <c r="AX1505" t="s">
        <v>69</v>
      </c>
      <c r="AY1505" t="s">
        <v>9888</v>
      </c>
      <c r="AZ1505" t="s">
        <v>9889</v>
      </c>
      <c r="BA1505" t="s">
        <v>69</v>
      </c>
      <c r="BB1505" t="s">
        <v>69</v>
      </c>
      <c r="BC1505" t="s">
        <v>69</v>
      </c>
      <c r="BD1505" t="s">
        <v>69</v>
      </c>
      <c r="BE1505" t="s">
        <v>69</v>
      </c>
      <c r="BF1505" t="s">
        <v>69</v>
      </c>
      <c r="BG1505" t="s">
        <v>69</v>
      </c>
      <c r="BH1505" t="s">
        <v>69</v>
      </c>
      <c r="BI1505" t="s">
        <v>69</v>
      </c>
      <c r="BJ1505" t="s">
        <v>69</v>
      </c>
      <c r="BK1505" t="s">
        <v>69</v>
      </c>
      <c r="BL1505" t="s">
        <v>10776</v>
      </c>
      <c r="BM1505" t="str">
        <f>HYPERLINK("http://dx.doi.org/10.1108/JEDT-09-2021-0458","http://dx.doi.org/10.1108/JEDT-09-2021-0458")</f>
        <v>http://dx.doi.org/10.1108/JEDT-09-2021-0458</v>
      </c>
      <c r="BN1505" t="s">
        <v>69</v>
      </c>
      <c r="BO1505" t="s">
        <v>10646</v>
      </c>
      <c r="BP1505">
        <v>24</v>
      </c>
      <c r="BQ1505" t="s">
        <v>9891</v>
      </c>
      <c r="BR1505" t="s">
        <v>8573</v>
      </c>
      <c r="BS1505" t="s">
        <v>8445</v>
      </c>
      <c r="BT1505" t="s">
        <v>10777</v>
      </c>
      <c r="BU1505" t="s">
        <v>10778</v>
      </c>
      <c r="BV1505" t="s">
        <v>69</v>
      </c>
      <c r="BW1505" t="s">
        <v>69</v>
      </c>
      <c r="BX1505" t="s">
        <v>69</v>
      </c>
      <c r="BY1505" t="s">
        <v>69</v>
      </c>
      <c r="BZ1505" t="s">
        <v>8526</v>
      </c>
      <c r="CA1505" t="str">
        <f>HYPERLINK("https%3A%2F%2Fwww.webofscience.com%2Fwos%2Fwoscc%2Ffull-record%2FWOS:000721977500001","View Full Record in Web of Science")</f>
        <v>View Full Record in Web of Science</v>
      </c>
    </row>
    <row r="1506" spans="2:79" ht="12.5" x14ac:dyDescent="0.25">
      <c r="B1506" t="s">
        <v>8495</v>
      </c>
      <c r="D1506" s="7" t="s">
        <v>32933</v>
      </c>
      <c r="E1506" s="7"/>
      <c r="F1506" s="7"/>
      <c r="G1506" s="7"/>
      <c r="H1506" t="s">
        <v>67</v>
      </c>
      <c r="I1506" t="s">
        <v>433</v>
      </c>
      <c r="J1506" t="s">
        <v>69</v>
      </c>
      <c r="K1506" t="s">
        <v>69</v>
      </c>
      <c r="L1506" t="s">
        <v>69</v>
      </c>
      <c r="M1506" t="s">
        <v>434</v>
      </c>
      <c r="N1506" t="s">
        <v>69</v>
      </c>
      <c r="O1506" t="s">
        <v>69</v>
      </c>
      <c r="P1506" t="s">
        <v>435</v>
      </c>
      <c r="Q1506" t="s">
        <v>436</v>
      </c>
      <c r="R1506" t="s">
        <v>69</v>
      </c>
      <c r="S1506" t="s">
        <v>69</v>
      </c>
      <c r="T1506" t="s">
        <v>8505</v>
      </c>
      <c r="U1506" t="s">
        <v>8506</v>
      </c>
      <c r="V1506" t="s">
        <v>69</v>
      </c>
      <c r="W1506" t="s">
        <v>69</v>
      </c>
      <c r="X1506" t="s">
        <v>69</v>
      </c>
      <c r="Y1506" t="s">
        <v>69</v>
      </c>
      <c r="Z1506" t="s">
        <v>69</v>
      </c>
      <c r="AA1506" t="s">
        <v>20595</v>
      </c>
      <c r="AB1506" t="s">
        <v>20596</v>
      </c>
      <c r="AC1506" t="s">
        <v>437</v>
      </c>
      <c r="AD1506" t="s">
        <v>20597</v>
      </c>
      <c r="AE1506" t="s">
        <v>69</v>
      </c>
      <c r="AF1506" t="s">
        <v>20598</v>
      </c>
      <c r="AG1506" t="s">
        <v>20599</v>
      </c>
      <c r="AH1506" t="s">
        <v>438</v>
      </c>
      <c r="AI1506" t="s">
        <v>439</v>
      </c>
      <c r="AJ1506" t="s">
        <v>20600</v>
      </c>
      <c r="AK1506" t="s">
        <v>20600</v>
      </c>
      <c r="AL1506" t="s">
        <v>20601</v>
      </c>
      <c r="AM1506" t="s">
        <v>69</v>
      </c>
      <c r="AN1506">
        <v>67</v>
      </c>
      <c r="AO1506">
        <v>38</v>
      </c>
      <c r="AP1506">
        <v>38</v>
      </c>
      <c r="AQ1506">
        <v>12</v>
      </c>
      <c r="AR1506">
        <v>135</v>
      </c>
      <c r="AS1506" t="s">
        <v>8636</v>
      </c>
      <c r="AT1506" t="s">
        <v>8637</v>
      </c>
      <c r="AU1506" t="s">
        <v>8638</v>
      </c>
      <c r="AV1506" t="s">
        <v>440</v>
      </c>
      <c r="AW1506" t="s">
        <v>441</v>
      </c>
      <c r="AX1506" t="s">
        <v>69</v>
      </c>
      <c r="AY1506" t="s">
        <v>8639</v>
      </c>
      <c r="AZ1506" t="s">
        <v>8640</v>
      </c>
      <c r="BA1506" t="s">
        <v>442</v>
      </c>
      <c r="BB1506">
        <v>2017</v>
      </c>
      <c r="BC1506">
        <v>142</v>
      </c>
      <c r="BD1506" t="s">
        <v>69</v>
      </c>
      <c r="BE1506">
        <v>4</v>
      </c>
      <c r="BF1506" t="s">
        <v>69</v>
      </c>
      <c r="BG1506" t="s">
        <v>69</v>
      </c>
      <c r="BH1506" t="s">
        <v>69</v>
      </c>
      <c r="BI1506">
        <v>2925</v>
      </c>
      <c r="BJ1506">
        <v>2934</v>
      </c>
      <c r="BK1506" t="s">
        <v>69</v>
      </c>
      <c r="BL1506" t="s">
        <v>443</v>
      </c>
      <c r="BM1506" t="str">
        <f>HYPERLINK("http://dx.doi.org/10.1016/j.jclepro.2016.10.178","http://dx.doi.org/10.1016/j.jclepro.2016.10.178")</f>
        <v>http://dx.doi.org/10.1016/j.jclepro.2016.10.178</v>
      </c>
      <c r="BN1506" t="s">
        <v>69</v>
      </c>
      <c r="BO1506" t="s">
        <v>69</v>
      </c>
      <c r="BP1506">
        <v>10</v>
      </c>
      <c r="BQ1506" t="s">
        <v>8643</v>
      </c>
      <c r="BR1506" t="s">
        <v>8523</v>
      </c>
      <c r="BS1506" t="s">
        <v>8644</v>
      </c>
      <c r="BT1506" t="s">
        <v>20602</v>
      </c>
      <c r="BU1506" t="s">
        <v>444</v>
      </c>
      <c r="BV1506" t="s">
        <v>69</v>
      </c>
      <c r="BW1506" t="s">
        <v>69</v>
      </c>
      <c r="BX1506" t="s">
        <v>69</v>
      </c>
      <c r="BY1506" t="s">
        <v>69</v>
      </c>
      <c r="BZ1506" t="s">
        <v>8526</v>
      </c>
      <c r="CA1506" t="str">
        <f>HYPERLINK("https%3A%2F%2Fwww.webofscience.com%2Fwos%2Fwoscc%2Ffull-record%2FWOS:000391516300048","View Full Record in Web of Science")</f>
        <v>View Full Record in Web of Science</v>
      </c>
    </row>
    <row r="1507" spans="2:79" ht="12.5" x14ac:dyDescent="0.25">
      <c r="B1507" t="s">
        <v>8495</v>
      </c>
      <c r="D1507" s="7" t="s">
        <v>32933</v>
      </c>
      <c r="E1507" s="7"/>
      <c r="F1507" s="7"/>
      <c r="G1507" s="7"/>
      <c r="H1507" t="s">
        <v>67</v>
      </c>
      <c r="I1507" t="s">
        <v>5102</v>
      </c>
      <c r="J1507" t="s">
        <v>69</v>
      </c>
      <c r="K1507" t="s">
        <v>69</v>
      </c>
      <c r="L1507" t="s">
        <v>69</v>
      </c>
      <c r="M1507" t="s">
        <v>5103</v>
      </c>
      <c r="N1507" t="s">
        <v>69</v>
      </c>
      <c r="O1507" t="s">
        <v>69</v>
      </c>
      <c r="P1507" t="s">
        <v>5104</v>
      </c>
      <c r="Q1507" t="s">
        <v>5105</v>
      </c>
      <c r="R1507" t="s">
        <v>69</v>
      </c>
      <c r="S1507" t="s">
        <v>69</v>
      </c>
      <c r="T1507" t="s">
        <v>8505</v>
      </c>
      <c r="U1507" t="s">
        <v>8506</v>
      </c>
      <c r="V1507" t="s">
        <v>69</v>
      </c>
      <c r="W1507" t="s">
        <v>69</v>
      </c>
      <c r="X1507" t="s">
        <v>69</v>
      </c>
      <c r="Y1507" t="s">
        <v>69</v>
      </c>
      <c r="Z1507" t="s">
        <v>69</v>
      </c>
      <c r="AA1507" t="s">
        <v>23770</v>
      </c>
      <c r="AB1507" t="s">
        <v>69</v>
      </c>
      <c r="AC1507" t="s">
        <v>5106</v>
      </c>
      <c r="AD1507" t="s">
        <v>23771</v>
      </c>
      <c r="AE1507" t="s">
        <v>69</v>
      </c>
      <c r="AF1507" t="s">
        <v>23772</v>
      </c>
      <c r="AG1507" t="s">
        <v>23773</v>
      </c>
      <c r="AH1507" t="s">
        <v>69</v>
      </c>
      <c r="AI1507" t="s">
        <v>69</v>
      </c>
      <c r="AJ1507" t="s">
        <v>69</v>
      </c>
      <c r="AK1507" t="s">
        <v>69</v>
      </c>
      <c r="AL1507" t="s">
        <v>69</v>
      </c>
      <c r="AM1507" t="s">
        <v>69</v>
      </c>
      <c r="AN1507">
        <v>24</v>
      </c>
      <c r="AO1507">
        <v>2</v>
      </c>
      <c r="AP1507">
        <v>2</v>
      </c>
      <c r="AQ1507">
        <v>3</v>
      </c>
      <c r="AR1507">
        <v>30</v>
      </c>
      <c r="AS1507" t="s">
        <v>9047</v>
      </c>
      <c r="AT1507" t="s">
        <v>8693</v>
      </c>
      <c r="AU1507" t="s">
        <v>16643</v>
      </c>
      <c r="AV1507" t="s">
        <v>5107</v>
      </c>
      <c r="AW1507" t="s">
        <v>5108</v>
      </c>
      <c r="AX1507" t="s">
        <v>69</v>
      </c>
      <c r="AY1507" t="s">
        <v>23774</v>
      </c>
      <c r="AZ1507" t="s">
        <v>23775</v>
      </c>
      <c r="BA1507" t="s">
        <v>155</v>
      </c>
      <c r="BB1507">
        <v>2014</v>
      </c>
      <c r="BC1507">
        <v>18</v>
      </c>
      <c r="BD1507">
        <v>3</v>
      </c>
      <c r="BE1507" t="s">
        <v>69</v>
      </c>
      <c r="BF1507" t="s">
        <v>69</v>
      </c>
      <c r="BG1507" t="s">
        <v>69</v>
      </c>
      <c r="BH1507" t="s">
        <v>69</v>
      </c>
      <c r="BI1507">
        <v>227</v>
      </c>
      <c r="BJ1507">
        <v>247</v>
      </c>
      <c r="BK1507" t="s">
        <v>69</v>
      </c>
      <c r="BL1507" t="s">
        <v>5109</v>
      </c>
      <c r="BM1507" t="str">
        <f>HYPERLINK("http://dx.doi.org/10.1007/s11852-014-0310-7","http://dx.doi.org/10.1007/s11852-014-0310-7")</f>
        <v>http://dx.doi.org/10.1007/s11852-014-0310-7</v>
      </c>
      <c r="BN1507" t="s">
        <v>69</v>
      </c>
      <c r="BO1507" t="s">
        <v>69</v>
      </c>
      <c r="BP1507">
        <v>21</v>
      </c>
      <c r="BQ1507" t="s">
        <v>23776</v>
      </c>
      <c r="BR1507" t="s">
        <v>8548</v>
      </c>
      <c r="BS1507" t="s">
        <v>23777</v>
      </c>
      <c r="BT1507" t="s">
        <v>23778</v>
      </c>
      <c r="BU1507" t="s">
        <v>5110</v>
      </c>
      <c r="BV1507" t="s">
        <v>69</v>
      </c>
      <c r="BW1507" t="s">
        <v>69</v>
      </c>
      <c r="BX1507" t="s">
        <v>69</v>
      </c>
      <c r="BY1507" t="s">
        <v>69</v>
      </c>
      <c r="BZ1507" t="s">
        <v>8526</v>
      </c>
      <c r="CA1507" t="str">
        <f>HYPERLINK("https%3A%2F%2Fwww.webofscience.com%2Fwos%2Fwoscc%2Ffull-record%2FWOS:000336739500008","View Full Record in Web of Science")</f>
        <v>View Full Record in Web of Science</v>
      </c>
    </row>
    <row r="1508" spans="2:79" x14ac:dyDescent="0.3">
      <c r="B1508" t="s">
        <v>8495</v>
      </c>
      <c r="D1508" s="9" t="s">
        <v>32954</v>
      </c>
      <c r="E1508" s="9" t="s">
        <v>33137</v>
      </c>
      <c r="F1508" s="9" t="s">
        <v>8491</v>
      </c>
      <c r="G1508" s="9" t="s">
        <v>8490</v>
      </c>
      <c r="H1508" t="s">
        <v>67</v>
      </c>
      <c r="I1508" t="s">
        <v>19336</v>
      </c>
      <c r="J1508" t="s">
        <v>69</v>
      </c>
      <c r="K1508" t="s">
        <v>69</v>
      </c>
      <c r="L1508" t="s">
        <v>69</v>
      </c>
      <c r="M1508" t="s">
        <v>19337</v>
      </c>
      <c r="N1508" t="s">
        <v>69</v>
      </c>
      <c r="O1508" t="s">
        <v>69</v>
      </c>
      <c r="P1508" t="s">
        <v>19338</v>
      </c>
      <c r="Q1508" t="s">
        <v>715</v>
      </c>
      <c r="R1508" t="s">
        <v>69</v>
      </c>
      <c r="S1508" t="s">
        <v>69</v>
      </c>
      <c r="T1508" t="s">
        <v>8505</v>
      </c>
      <c r="U1508" t="s">
        <v>8506</v>
      </c>
      <c r="V1508" t="s">
        <v>69</v>
      </c>
      <c r="W1508" t="s">
        <v>69</v>
      </c>
      <c r="X1508" t="s">
        <v>69</v>
      </c>
      <c r="Y1508" t="s">
        <v>69</v>
      </c>
      <c r="Z1508" t="s">
        <v>69</v>
      </c>
      <c r="AA1508" t="s">
        <v>19339</v>
      </c>
      <c r="AB1508" t="s">
        <v>19340</v>
      </c>
      <c r="AC1508" t="s">
        <v>19341</v>
      </c>
      <c r="AD1508" t="s">
        <v>19342</v>
      </c>
      <c r="AE1508" t="s">
        <v>69</v>
      </c>
      <c r="AF1508" t="s">
        <v>19343</v>
      </c>
      <c r="AG1508" t="s">
        <v>19344</v>
      </c>
      <c r="AH1508" t="s">
        <v>19345</v>
      </c>
      <c r="AI1508" t="s">
        <v>19346</v>
      </c>
      <c r="AJ1508" t="s">
        <v>69</v>
      </c>
      <c r="AK1508" t="s">
        <v>69</v>
      </c>
      <c r="AL1508" t="s">
        <v>69</v>
      </c>
      <c r="AM1508" t="s">
        <v>69</v>
      </c>
      <c r="AN1508">
        <v>50</v>
      </c>
      <c r="AO1508">
        <v>38</v>
      </c>
      <c r="AP1508">
        <v>38</v>
      </c>
      <c r="AQ1508">
        <v>3</v>
      </c>
      <c r="AR1508">
        <v>44</v>
      </c>
      <c r="AS1508" t="s">
        <v>8846</v>
      </c>
      <c r="AT1508" t="s">
        <v>8847</v>
      </c>
      <c r="AU1508" t="s">
        <v>8848</v>
      </c>
      <c r="AV1508" t="s">
        <v>719</v>
      </c>
      <c r="AW1508" t="s">
        <v>720</v>
      </c>
      <c r="AX1508" t="s">
        <v>69</v>
      </c>
      <c r="AY1508" t="s">
        <v>9110</v>
      </c>
      <c r="AZ1508" t="s">
        <v>9111</v>
      </c>
      <c r="BA1508" t="s">
        <v>373</v>
      </c>
      <c r="BB1508">
        <v>2018</v>
      </c>
      <c r="BC1508">
        <v>27</v>
      </c>
      <c r="BD1508">
        <v>1</v>
      </c>
      <c r="BE1508" t="s">
        <v>69</v>
      </c>
      <c r="BF1508" t="s">
        <v>69</v>
      </c>
      <c r="BG1508" t="s">
        <v>69</v>
      </c>
      <c r="BH1508" t="s">
        <v>69</v>
      </c>
      <c r="BI1508">
        <v>100</v>
      </c>
      <c r="BJ1508">
        <v>116</v>
      </c>
      <c r="BK1508" t="s">
        <v>69</v>
      </c>
      <c r="BL1508" t="s">
        <v>19347</v>
      </c>
      <c r="BM1508" t="str">
        <f>HYPERLINK("http://dx.doi.org/10.1002/bse.1987","http://dx.doi.org/10.1002/bse.1987")</f>
        <v>http://dx.doi.org/10.1002/bse.1987</v>
      </c>
      <c r="BN1508" t="s">
        <v>69</v>
      </c>
      <c r="BO1508" t="s">
        <v>69</v>
      </c>
      <c r="BP1508">
        <v>17</v>
      </c>
      <c r="BQ1508" t="s">
        <v>9113</v>
      </c>
      <c r="BR1508" t="s">
        <v>8661</v>
      </c>
      <c r="BS1508" t="s">
        <v>9114</v>
      </c>
      <c r="BT1508" t="s">
        <v>19348</v>
      </c>
      <c r="BU1508" t="s">
        <v>19349</v>
      </c>
      <c r="BV1508" t="s">
        <v>69</v>
      </c>
      <c r="BW1508" t="s">
        <v>9292</v>
      </c>
      <c r="BX1508" t="s">
        <v>69</v>
      </c>
      <c r="BY1508" t="s">
        <v>69</v>
      </c>
      <c r="BZ1508" t="s">
        <v>8526</v>
      </c>
      <c r="CA1508" t="str">
        <f>HYPERLINK("https%3A%2F%2Fwww.webofscience.com%2Fwos%2Fwoscc%2Ffull-record%2FWOS:000425820100007","View Full Record in Web of Science")</f>
        <v>View Full Record in Web of Science</v>
      </c>
    </row>
    <row r="1509" spans="2:79" ht="12.5" x14ac:dyDescent="0.25">
      <c r="B1509" t="s">
        <v>8495</v>
      </c>
      <c r="D1509" s="7" t="s">
        <v>32933</v>
      </c>
      <c r="E1509" s="7"/>
      <c r="F1509" s="7"/>
      <c r="G1509" s="7"/>
      <c r="H1509" t="s">
        <v>67</v>
      </c>
      <c r="I1509" t="s">
        <v>7354</v>
      </c>
      <c r="J1509" t="s">
        <v>69</v>
      </c>
      <c r="K1509" t="s">
        <v>69</v>
      </c>
      <c r="L1509" t="s">
        <v>69</v>
      </c>
      <c r="M1509" t="s">
        <v>7355</v>
      </c>
      <c r="N1509" t="s">
        <v>69</v>
      </c>
      <c r="O1509" t="s">
        <v>69</v>
      </c>
      <c r="P1509" t="s">
        <v>7356</v>
      </c>
      <c r="Q1509" t="s">
        <v>7357</v>
      </c>
      <c r="R1509" t="s">
        <v>69</v>
      </c>
      <c r="S1509" t="s">
        <v>69</v>
      </c>
      <c r="T1509" t="s">
        <v>8505</v>
      </c>
      <c r="U1509" t="s">
        <v>8506</v>
      </c>
      <c r="V1509" t="s">
        <v>69</v>
      </c>
      <c r="W1509" t="s">
        <v>69</v>
      </c>
      <c r="X1509" t="s">
        <v>69</v>
      </c>
      <c r="Y1509" t="s">
        <v>69</v>
      </c>
      <c r="Z1509" t="s">
        <v>69</v>
      </c>
      <c r="AA1509" t="s">
        <v>17677</v>
      </c>
      <c r="AB1509" t="s">
        <v>17678</v>
      </c>
      <c r="AC1509" t="s">
        <v>7358</v>
      </c>
      <c r="AD1509" t="s">
        <v>17679</v>
      </c>
      <c r="AE1509" t="s">
        <v>69</v>
      </c>
      <c r="AF1509" t="s">
        <v>17680</v>
      </c>
      <c r="AG1509" t="s">
        <v>17681</v>
      </c>
      <c r="AH1509" t="s">
        <v>69</v>
      </c>
      <c r="AI1509" t="s">
        <v>69</v>
      </c>
      <c r="AJ1509" t="s">
        <v>69</v>
      </c>
      <c r="AK1509" t="s">
        <v>69</v>
      </c>
      <c r="AL1509" t="s">
        <v>69</v>
      </c>
      <c r="AM1509" t="s">
        <v>69</v>
      </c>
      <c r="AN1509">
        <v>20</v>
      </c>
      <c r="AO1509">
        <v>0</v>
      </c>
      <c r="AP1509">
        <v>0</v>
      </c>
      <c r="AQ1509">
        <v>2</v>
      </c>
      <c r="AR1509">
        <v>14</v>
      </c>
      <c r="AS1509" t="s">
        <v>17682</v>
      </c>
      <c r="AT1509" t="s">
        <v>17683</v>
      </c>
      <c r="AU1509" t="s">
        <v>17684</v>
      </c>
      <c r="AV1509" t="s">
        <v>7359</v>
      </c>
      <c r="AW1509" t="s">
        <v>7360</v>
      </c>
      <c r="AX1509" t="s">
        <v>69</v>
      </c>
      <c r="AY1509" t="s">
        <v>17685</v>
      </c>
      <c r="AZ1509" t="s">
        <v>17686</v>
      </c>
      <c r="BA1509" t="s">
        <v>69</v>
      </c>
      <c r="BB1509">
        <v>2019</v>
      </c>
      <c r="BC1509">
        <v>10</v>
      </c>
      <c r="BD1509">
        <v>15</v>
      </c>
      <c r="BE1509" t="s">
        <v>69</v>
      </c>
      <c r="BF1509" t="s">
        <v>69</v>
      </c>
      <c r="BG1509" t="s">
        <v>69</v>
      </c>
      <c r="BH1509" t="s">
        <v>69</v>
      </c>
      <c r="BI1509" t="s">
        <v>69</v>
      </c>
      <c r="BJ1509" t="s">
        <v>69</v>
      </c>
      <c r="BK1509" t="s">
        <v>7361</v>
      </c>
      <c r="BL1509" t="s">
        <v>7362</v>
      </c>
      <c r="BM1509" t="str">
        <f>HYPERLINK("http://dx.doi.org/10.14456/ITJEMAST.2019.209","http://dx.doi.org/10.14456/ITJEMAST.2019.209")</f>
        <v>http://dx.doi.org/10.14456/ITJEMAST.2019.209</v>
      </c>
      <c r="BN1509" t="s">
        <v>69</v>
      </c>
      <c r="BO1509" t="s">
        <v>69</v>
      </c>
      <c r="BP1509">
        <v>15</v>
      </c>
      <c r="BQ1509" t="s">
        <v>8619</v>
      </c>
      <c r="BR1509" t="s">
        <v>8573</v>
      </c>
      <c r="BS1509" t="s">
        <v>8620</v>
      </c>
      <c r="BT1509" t="s">
        <v>17687</v>
      </c>
      <c r="BU1509" t="s">
        <v>7363</v>
      </c>
      <c r="BV1509" t="s">
        <v>69</v>
      </c>
      <c r="BW1509" t="s">
        <v>69</v>
      </c>
      <c r="BX1509" t="s">
        <v>69</v>
      </c>
      <c r="BY1509" t="s">
        <v>69</v>
      </c>
      <c r="BZ1509" t="s">
        <v>8526</v>
      </c>
      <c r="CA1509" t="str">
        <f>HYPERLINK("https%3A%2F%2Fwww.webofscience.com%2Fwos%2Fwoscc%2Ffull-record%2FWOS:000494643500015","View Full Record in Web of Science")</f>
        <v>View Full Record in Web of Science</v>
      </c>
    </row>
    <row r="1510" spans="2:79" ht="12.5" x14ac:dyDescent="0.25">
      <c r="B1510" t="s">
        <v>8495</v>
      </c>
      <c r="D1510" s="7" t="s">
        <v>32933</v>
      </c>
      <c r="E1510" s="7"/>
      <c r="F1510" s="7"/>
      <c r="G1510" s="7"/>
      <c r="H1510" t="s">
        <v>67</v>
      </c>
      <c r="I1510" t="s">
        <v>3500</v>
      </c>
      <c r="J1510" t="s">
        <v>69</v>
      </c>
      <c r="K1510" t="s">
        <v>69</v>
      </c>
      <c r="L1510" t="s">
        <v>69</v>
      </c>
      <c r="M1510" t="s">
        <v>3501</v>
      </c>
      <c r="N1510" t="s">
        <v>69</v>
      </c>
      <c r="O1510" t="s">
        <v>69</v>
      </c>
      <c r="P1510" t="s">
        <v>3502</v>
      </c>
      <c r="Q1510" t="s">
        <v>3503</v>
      </c>
      <c r="R1510" t="s">
        <v>69</v>
      </c>
      <c r="S1510" t="s">
        <v>69</v>
      </c>
      <c r="T1510" t="s">
        <v>8505</v>
      </c>
      <c r="U1510" t="s">
        <v>8506</v>
      </c>
      <c r="V1510" t="s">
        <v>69</v>
      </c>
      <c r="W1510" t="s">
        <v>69</v>
      </c>
      <c r="X1510" t="s">
        <v>69</v>
      </c>
      <c r="Y1510" t="s">
        <v>69</v>
      </c>
      <c r="Z1510" t="s">
        <v>69</v>
      </c>
      <c r="AA1510" t="s">
        <v>69</v>
      </c>
      <c r="AB1510" t="s">
        <v>27572</v>
      </c>
      <c r="AC1510" t="s">
        <v>3504</v>
      </c>
      <c r="AD1510" t="s">
        <v>27573</v>
      </c>
      <c r="AE1510" t="s">
        <v>69</v>
      </c>
      <c r="AF1510" t="s">
        <v>27574</v>
      </c>
      <c r="AG1510" t="s">
        <v>27575</v>
      </c>
      <c r="AH1510" t="s">
        <v>3505</v>
      </c>
      <c r="AI1510" t="s">
        <v>3506</v>
      </c>
      <c r="AJ1510" t="s">
        <v>27576</v>
      </c>
      <c r="AK1510" t="s">
        <v>27577</v>
      </c>
      <c r="AL1510" t="s">
        <v>27578</v>
      </c>
      <c r="AM1510" t="s">
        <v>69</v>
      </c>
      <c r="AN1510">
        <v>17</v>
      </c>
      <c r="AO1510">
        <v>19</v>
      </c>
      <c r="AP1510">
        <v>19</v>
      </c>
      <c r="AQ1510">
        <v>0</v>
      </c>
      <c r="AR1510">
        <v>0</v>
      </c>
      <c r="AS1510" t="s">
        <v>27579</v>
      </c>
      <c r="AT1510" t="s">
        <v>8763</v>
      </c>
      <c r="AU1510" t="s">
        <v>9179</v>
      </c>
      <c r="AV1510" t="s">
        <v>3507</v>
      </c>
      <c r="AW1510" t="s">
        <v>69</v>
      </c>
      <c r="AX1510" t="s">
        <v>69</v>
      </c>
      <c r="AY1510" t="s">
        <v>21379</v>
      </c>
      <c r="AZ1510" t="s">
        <v>21380</v>
      </c>
      <c r="BA1510" t="s">
        <v>75</v>
      </c>
      <c r="BB1510">
        <v>2010</v>
      </c>
      <c r="BC1510">
        <v>36</v>
      </c>
      <c r="BD1510">
        <v>12</v>
      </c>
      <c r="BE1510" t="s">
        <v>69</v>
      </c>
      <c r="BF1510" t="s">
        <v>69</v>
      </c>
      <c r="BG1510" t="s">
        <v>69</v>
      </c>
      <c r="BH1510" t="s">
        <v>69</v>
      </c>
      <c r="BI1510">
        <v>741</v>
      </c>
      <c r="BJ1510">
        <v>745</v>
      </c>
      <c r="BK1510" t="s">
        <v>69</v>
      </c>
      <c r="BL1510" t="s">
        <v>3508</v>
      </c>
      <c r="BM1510" t="str">
        <f>HYPERLINK("http://dx.doi.org/10.1136/jme.2010.037440","http://dx.doi.org/10.1136/jme.2010.037440")</f>
        <v>http://dx.doi.org/10.1136/jme.2010.037440</v>
      </c>
      <c r="BN1510" t="s">
        <v>69</v>
      </c>
      <c r="BO1510" t="s">
        <v>69</v>
      </c>
      <c r="BP1510">
        <v>5</v>
      </c>
      <c r="BQ1510" t="s">
        <v>21382</v>
      </c>
      <c r="BR1510" t="s">
        <v>8523</v>
      </c>
      <c r="BS1510" t="s">
        <v>21383</v>
      </c>
      <c r="BT1510" t="s">
        <v>27580</v>
      </c>
      <c r="BU1510" t="s">
        <v>3509</v>
      </c>
      <c r="BV1510">
        <v>20940174</v>
      </c>
      <c r="BW1510" t="s">
        <v>9292</v>
      </c>
      <c r="BX1510" t="s">
        <v>69</v>
      </c>
      <c r="BY1510" t="s">
        <v>69</v>
      </c>
      <c r="BZ1510" t="s">
        <v>8526</v>
      </c>
      <c r="CA1510" t="str">
        <f>HYPERLINK("https%3A%2F%2Fwww.webofscience.com%2Fwos%2Fwoscc%2Ffull-record%2FWOS:000285190000005","View Full Record in Web of Science")</f>
        <v>View Full Record in Web of Science</v>
      </c>
    </row>
    <row r="1511" spans="2:79" ht="12.5" x14ac:dyDescent="0.25">
      <c r="B1511" t="s">
        <v>8495</v>
      </c>
      <c r="D1511" s="7" t="s">
        <v>32933</v>
      </c>
      <c r="E1511" s="7"/>
      <c r="F1511" s="7"/>
      <c r="G1511" s="7"/>
      <c r="H1511" t="s">
        <v>67</v>
      </c>
      <c r="I1511" t="s">
        <v>1266</v>
      </c>
      <c r="J1511" t="s">
        <v>69</v>
      </c>
      <c r="K1511" t="s">
        <v>69</v>
      </c>
      <c r="L1511" t="s">
        <v>69</v>
      </c>
      <c r="M1511" t="s">
        <v>1267</v>
      </c>
      <c r="N1511" t="s">
        <v>69</v>
      </c>
      <c r="O1511" t="s">
        <v>69</v>
      </c>
      <c r="P1511" t="s">
        <v>1268</v>
      </c>
      <c r="Q1511" t="s">
        <v>417</v>
      </c>
      <c r="R1511" t="s">
        <v>69</v>
      </c>
      <c r="S1511" t="s">
        <v>69</v>
      </c>
      <c r="T1511" t="s">
        <v>8505</v>
      </c>
      <c r="U1511" t="s">
        <v>8506</v>
      </c>
      <c r="V1511" t="s">
        <v>69</v>
      </c>
      <c r="W1511" t="s">
        <v>69</v>
      </c>
      <c r="X1511" t="s">
        <v>69</v>
      </c>
      <c r="Y1511" t="s">
        <v>69</v>
      </c>
      <c r="Z1511" t="s">
        <v>69</v>
      </c>
      <c r="AA1511" t="s">
        <v>22538</v>
      </c>
      <c r="AB1511" t="s">
        <v>22539</v>
      </c>
      <c r="AC1511" t="s">
        <v>1269</v>
      </c>
      <c r="AD1511" t="s">
        <v>22540</v>
      </c>
      <c r="AE1511" t="s">
        <v>69</v>
      </c>
      <c r="AF1511" t="s">
        <v>22541</v>
      </c>
      <c r="AG1511" t="s">
        <v>22542</v>
      </c>
      <c r="AH1511" t="s">
        <v>69</v>
      </c>
      <c r="AI1511" t="s">
        <v>69</v>
      </c>
      <c r="AJ1511" t="s">
        <v>22543</v>
      </c>
      <c r="AK1511" t="s">
        <v>22543</v>
      </c>
      <c r="AL1511" t="s">
        <v>22544</v>
      </c>
      <c r="AM1511" t="s">
        <v>69</v>
      </c>
      <c r="AN1511">
        <v>129</v>
      </c>
      <c r="AO1511">
        <v>9</v>
      </c>
      <c r="AP1511">
        <v>9</v>
      </c>
      <c r="AQ1511">
        <v>3</v>
      </c>
      <c r="AR1511">
        <v>22</v>
      </c>
      <c r="AS1511" t="s">
        <v>9145</v>
      </c>
      <c r="AT1511" t="s">
        <v>8637</v>
      </c>
      <c r="AU1511" t="s">
        <v>9146</v>
      </c>
      <c r="AV1511" t="s">
        <v>419</v>
      </c>
      <c r="AW1511" t="s">
        <v>420</v>
      </c>
      <c r="AX1511" t="s">
        <v>69</v>
      </c>
      <c r="AY1511" t="s">
        <v>417</v>
      </c>
      <c r="AZ1511" t="s">
        <v>8482</v>
      </c>
      <c r="BA1511" t="s">
        <v>201</v>
      </c>
      <c r="BB1511">
        <v>2015</v>
      </c>
      <c r="BC1511">
        <v>64</v>
      </c>
      <c r="BD1511" t="s">
        <v>69</v>
      </c>
      <c r="BE1511" t="s">
        <v>69</v>
      </c>
      <c r="BF1511" t="s">
        <v>69</v>
      </c>
      <c r="BG1511" t="s">
        <v>69</v>
      </c>
      <c r="BH1511" t="s">
        <v>69</v>
      </c>
      <c r="BI1511">
        <v>168</v>
      </c>
      <c r="BJ1511">
        <v>181</v>
      </c>
      <c r="BK1511" t="s">
        <v>69</v>
      </c>
      <c r="BL1511" t="s">
        <v>1270</v>
      </c>
      <c r="BM1511" t="str">
        <f>HYPERLINK("http://dx.doi.org/10.1016/j.geoforum.2015.06.020","http://dx.doi.org/10.1016/j.geoforum.2015.06.020")</f>
        <v>http://dx.doi.org/10.1016/j.geoforum.2015.06.020</v>
      </c>
      <c r="BN1511" t="s">
        <v>69</v>
      </c>
      <c r="BO1511" t="s">
        <v>69</v>
      </c>
      <c r="BP1511">
        <v>14</v>
      </c>
      <c r="BQ1511" t="s">
        <v>8446</v>
      </c>
      <c r="BR1511" t="s">
        <v>8661</v>
      </c>
      <c r="BS1511" t="s">
        <v>8446</v>
      </c>
      <c r="BT1511" t="s">
        <v>22545</v>
      </c>
      <c r="BU1511" t="s">
        <v>1271</v>
      </c>
      <c r="BV1511" t="s">
        <v>69</v>
      </c>
      <c r="BW1511" t="s">
        <v>69</v>
      </c>
      <c r="BX1511" t="s">
        <v>69</v>
      </c>
      <c r="BY1511" t="s">
        <v>69</v>
      </c>
      <c r="BZ1511" t="s">
        <v>8526</v>
      </c>
      <c r="CA1511" t="str">
        <f>HYPERLINK("https%3A%2F%2Fwww.webofscience.com%2Fwos%2Fwoscc%2Ffull-record%2FWOS:000359887800017","View Full Record in Web of Science")</f>
        <v>View Full Record in Web of Science</v>
      </c>
    </row>
    <row r="1512" spans="2:79" ht="12.5" x14ac:dyDescent="0.25">
      <c r="B1512" t="s">
        <v>8495</v>
      </c>
      <c r="D1512" s="22" t="s">
        <v>32931</v>
      </c>
      <c r="E1512" s="7"/>
      <c r="F1512" s="7"/>
      <c r="G1512" s="7"/>
      <c r="H1512" t="s">
        <v>67</v>
      </c>
      <c r="I1512" t="s">
        <v>10853</v>
      </c>
      <c r="J1512" t="s">
        <v>69</v>
      </c>
      <c r="K1512" t="s">
        <v>69</v>
      </c>
      <c r="L1512" t="s">
        <v>69</v>
      </c>
      <c r="M1512" t="s">
        <v>10854</v>
      </c>
      <c r="N1512" t="s">
        <v>69</v>
      </c>
      <c r="O1512" t="s">
        <v>69</v>
      </c>
      <c r="P1512" t="s">
        <v>10855</v>
      </c>
      <c r="Q1512" t="s">
        <v>10856</v>
      </c>
      <c r="R1512" t="s">
        <v>69</v>
      </c>
      <c r="S1512" t="s">
        <v>69</v>
      </c>
      <c r="T1512" t="s">
        <v>8505</v>
      </c>
      <c r="U1512" t="s">
        <v>8506</v>
      </c>
      <c r="V1512" t="s">
        <v>69</v>
      </c>
      <c r="W1512" t="s">
        <v>69</v>
      </c>
      <c r="X1512" t="s">
        <v>69</v>
      </c>
      <c r="Y1512" t="s">
        <v>69</v>
      </c>
      <c r="Z1512" t="s">
        <v>69</v>
      </c>
      <c r="AA1512" t="s">
        <v>10857</v>
      </c>
      <c r="AB1512" t="s">
        <v>69</v>
      </c>
      <c r="AC1512" t="s">
        <v>10858</v>
      </c>
      <c r="AD1512" t="s">
        <v>10859</v>
      </c>
      <c r="AE1512" t="s">
        <v>69</v>
      </c>
      <c r="AF1512" t="s">
        <v>10860</v>
      </c>
      <c r="AG1512" t="s">
        <v>10861</v>
      </c>
      <c r="AH1512" t="s">
        <v>69</v>
      </c>
      <c r="AI1512" t="s">
        <v>69</v>
      </c>
      <c r="AJ1512" t="s">
        <v>69</v>
      </c>
      <c r="AK1512" t="s">
        <v>69</v>
      </c>
      <c r="AL1512" t="s">
        <v>69</v>
      </c>
      <c r="AM1512" t="s">
        <v>69</v>
      </c>
      <c r="AN1512">
        <v>13</v>
      </c>
      <c r="AO1512">
        <v>0</v>
      </c>
      <c r="AP1512">
        <v>0</v>
      </c>
      <c r="AQ1512">
        <v>5</v>
      </c>
      <c r="AR1512">
        <v>5</v>
      </c>
      <c r="AS1512" t="s">
        <v>10862</v>
      </c>
      <c r="AT1512" t="s">
        <v>10863</v>
      </c>
      <c r="AU1512" t="s">
        <v>10864</v>
      </c>
      <c r="AV1512" t="s">
        <v>10865</v>
      </c>
      <c r="AW1512" t="s">
        <v>10866</v>
      </c>
      <c r="AX1512" t="s">
        <v>69</v>
      </c>
      <c r="AY1512" t="s">
        <v>10867</v>
      </c>
      <c r="AZ1512" t="s">
        <v>10868</v>
      </c>
      <c r="BA1512" t="s">
        <v>274</v>
      </c>
      <c r="BB1512">
        <v>2021</v>
      </c>
      <c r="BC1512">
        <v>241</v>
      </c>
      <c r="BD1512" t="s">
        <v>69</v>
      </c>
      <c r="BE1512" t="s">
        <v>69</v>
      </c>
      <c r="BF1512" t="s">
        <v>69</v>
      </c>
      <c r="BG1512" t="s">
        <v>69</v>
      </c>
      <c r="BH1512" t="s">
        <v>69</v>
      </c>
      <c r="BI1512">
        <v>294</v>
      </c>
      <c r="BJ1512">
        <v>303</v>
      </c>
      <c r="BK1512" t="s">
        <v>69</v>
      </c>
      <c r="BL1512" t="s">
        <v>10869</v>
      </c>
      <c r="BM1512" t="str">
        <f>HYPERLINK("http://dx.doi.org/10.5004/dwt.2021.27783","http://dx.doi.org/10.5004/dwt.2021.27783")</f>
        <v>http://dx.doi.org/10.5004/dwt.2021.27783</v>
      </c>
      <c r="BN1512" t="s">
        <v>69</v>
      </c>
      <c r="BO1512" t="s">
        <v>69</v>
      </c>
      <c r="BP1512">
        <v>10</v>
      </c>
      <c r="BQ1512" t="s">
        <v>10870</v>
      </c>
      <c r="BR1512" t="s">
        <v>8548</v>
      </c>
      <c r="BS1512" t="s">
        <v>9230</v>
      </c>
      <c r="BT1512" t="s">
        <v>10871</v>
      </c>
      <c r="BU1512" t="s">
        <v>10872</v>
      </c>
      <c r="BV1512" t="s">
        <v>69</v>
      </c>
      <c r="BW1512" t="s">
        <v>69</v>
      </c>
      <c r="BX1512" t="s">
        <v>69</v>
      </c>
      <c r="BY1512" t="s">
        <v>69</v>
      </c>
      <c r="BZ1512" t="s">
        <v>8526</v>
      </c>
      <c r="CA1512" t="str">
        <f>HYPERLINK("https%3A%2F%2Fwww.webofscience.com%2Fwos%2Fwoscc%2Ffull-record%2FWOS:000747867400035","View Full Record in Web of Science")</f>
        <v>View Full Record in Web of Science</v>
      </c>
    </row>
    <row r="1513" spans="2:79" ht="12.5" x14ac:dyDescent="0.25">
      <c r="B1513" t="s">
        <v>8495</v>
      </c>
      <c r="D1513" s="22" t="s">
        <v>32931</v>
      </c>
      <c r="E1513" s="7"/>
      <c r="F1513" s="7"/>
      <c r="G1513" s="7"/>
      <c r="H1513" t="s">
        <v>67</v>
      </c>
      <c r="I1513" t="s">
        <v>21553</v>
      </c>
      <c r="J1513" t="s">
        <v>69</v>
      </c>
      <c r="K1513" t="s">
        <v>69</v>
      </c>
      <c r="L1513" t="s">
        <v>69</v>
      </c>
      <c r="M1513" t="s">
        <v>21554</v>
      </c>
      <c r="N1513" t="s">
        <v>69</v>
      </c>
      <c r="O1513" t="s">
        <v>69</v>
      </c>
      <c r="P1513" t="s">
        <v>21555</v>
      </c>
      <c r="Q1513" t="s">
        <v>21556</v>
      </c>
      <c r="R1513" t="s">
        <v>69</v>
      </c>
      <c r="S1513" t="s">
        <v>69</v>
      </c>
      <c r="T1513" t="s">
        <v>10071</v>
      </c>
      <c r="U1513" t="s">
        <v>8506</v>
      </c>
      <c r="V1513" t="s">
        <v>69</v>
      </c>
      <c r="W1513" t="s">
        <v>69</v>
      </c>
      <c r="X1513" t="s">
        <v>69</v>
      </c>
      <c r="Y1513" t="s">
        <v>69</v>
      </c>
      <c r="Z1513" t="s">
        <v>69</v>
      </c>
      <c r="AA1513" t="s">
        <v>21557</v>
      </c>
      <c r="AB1513" t="s">
        <v>21558</v>
      </c>
      <c r="AC1513" t="s">
        <v>21559</v>
      </c>
      <c r="AD1513" t="s">
        <v>21560</v>
      </c>
      <c r="AE1513" t="s">
        <v>69</v>
      </c>
      <c r="AF1513" t="s">
        <v>21561</v>
      </c>
      <c r="AG1513" t="s">
        <v>21562</v>
      </c>
      <c r="AH1513" t="s">
        <v>21563</v>
      </c>
      <c r="AI1513" t="s">
        <v>21564</v>
      </c>
      <c r="AJ1513" t="s">
        <v>69</v>
      </c>
      <c r="AK1513" t="s">
        <v>69</v>
      </c>
      <c r="AL1513" t="s">
        <v>69</v>
      </c>
      <c r="AM1513" t="s">
        <v>69</v>
      </c>
      <c r="AN1513">
        <v>30</v>
      </c>
      <c r="AO1513">
        <v>1</v>
      </c>
      <c r="AP1513">
        <v>1</v>
      </c>
      <c r="AQ1513">
        <v>0</v>
      </c>
      <c r="AR1513">
        <v>8</v>
      </c>
      <c r="AS1513" t="s">
        <v>21565</v>
      </c>
      <c r="AT1513" t="s">
        <v>21566</v>
      </c>
      <c r="AU1513" t="s">
        <v>21567</v>
      </c>
      <c r="AV1513" t="s">
        <v>21568</v>
      </c>
      <c r="AW1513" t="s">
        <v>21569</v>
      </c>
      <c r="AX1513" t="s">
        <v>69</v>
      </c>
      <c r="AY1513" t="s">
        <v>21570</v>
      </c>
      <c r="AZ1513" t="s">
        <v>21571</v>
      </c>
      <c r="BA1513" t="s">
        <v>84</v>
      </c>
      <c r="BB1513">
        <v>2016</v>
      </c>
      <c r="BC1513">
        <v>44</v>
      </c>
      <c r="BD1513">
        <v>3</v>
      </c>
      <c r="BE1513" t="s">
        <v>69</v>
      </c>
      <c r="BF1513" t="s">
        <v>69</v>
      </c>
      <c r="BG1513" t="s">
        <v>69</v>
      </c>
      <c r="BH1513" t="s">
        <v>69</v>
      </c>
      <c r="BI1513">
        <v>649</v>
      </c>
      <c r="BJ1513">
        <v>656</v>
      </c>
      <c r="BK1513" t="s">
        <v>69</v>
      </c>
      <c r="BL1513" t="s">
        <v>21572</v>
      </c>
      <c r="BM1513" t="str">
        <f>HYPERLINK("http://dx.doi.org/10.3856/vol44-issue3-fulltext-24","http://dx.doi.org/10.3856/vol44-issue3-fulltext-24")</f>
        <v>http://dx.doi.org/10.3856/vol44-issue3-fulltext-24</v>
      </c>
      <c r="BN1513" t="s">
        <v>69</v>
      </c>
      <c r="BO1513" t="s">
        <v>69</v>
      </c>
      <c r="BP1513">
        <v>8</v>
      </c>
      <c r="BQ1513" t="s">
        <v>9055</v>
      </c>
      <c r="BR1513" t="s">
        <v>8548</v>
      </c>
      <c r="BS1513" t="s">
        <v>9055</v>
      </c>
      <c r="BT1513" t="s">
        <v>21573</v>
      </c>
      <c r="BU1513" t="s">
        <v>21574</v>
      </c>
      <c r="BV1513" t="s">
        <v>69</v>
      </c>
      <c r="BW1513" t="s">
        <v>8931</v>
      </c>
      <c r="BX1513" t="s">
        <v>69</v>
      </c>
      <c r="BY1513" t="s">
        <v>69</v>
      </c>
      <c r="BZ1513" t="s">
        <v>8526</v>
      </c>
      <c r="CA1513" t="str">
        <f>HYPERLINK("https%3A%2F%2Fwww.webofscience.com%2Fwos%2Fwoscc%2Ffull-record%2FWOS:000383769200024","View Full Record in Web of Science")</f>
        <v>View Full Record in Web of Science</v>
      </c>
    </row>
    <row r="1514" spans="2:79" ht="12.5" x14ac:dyDescent="0.25">
      <c r="B1514" t="s">
        <v>8495</v>
      </c>
      <c r="D1514" s="7" t="s">
        <v>32933</v>
      </c>
      <c r="E1514" s="7"/>
      <c r="F1514" s="7"/>
      <c r="G1514" s="7"/>
      <c r="H1514" t="s">
        <v>67</v>
      </c>
      <c r="I1514" t="s">
        <v>1776</v>
      </c>
      <c r="J1514" t="s">
        <v>69</v>
      </c>
      <c r="K1514" t="s">
        <v>69</v>
      </c>
      <c r="L1514" t="s">
        <v>69</v>
      </c>
      <c r="M1514" t="s">
        <v>1776</v>
      </c>
      <c r="N1514" t="s">
        <v>69</v>
      </c>
      <c r="O1514" t="s">
        <v>69</v>
      </c>
      <c r="P1514" t="s">
        <v>1777</v>
      </c>
      <c r="Q1514" t="s">
        <v>1506</v>
      </c>
      <c r="R1514" t="s">
        <v>69</v>
      </c>
      <c r="S1514" t="s">
        <v>69</v>
      </c>
      <c r="T1514" t="s">
        <v>8505</v>
      </c>
      <c r="U1514" t="s">
        <v>15797</v>
      </c>
      <c r="V1514" t="s">
        <v>1778</v>
      </c>
      <c r="W1514" t="s">
        <v>1779</v>
      </c>
      <c r="X1514" t="s">
        <v>1780</v>
      </c>
      <c r="Y1514" t="s">
        <v>69</v>
      </c>
      <c r="Z1514" t="s">
        <v>1781</v>
      </c>
      <c r="AA1514" t="s">
        <v>69</v>
      </c>
      <c r="AB1514" t="s">
        <v>69</v>
      </c>
      <c r="AC1514" t="s">
        <v>1782</v>
      </c>
      <c r="AD1514" t="s">
        <v>32044</v>
      </c>
      <c r="AE1514" t="s">
        <v>69</v>
      </c>
      <c r="AF1514" t="s">
        <v>69</v>
      </c>
      <c r="AG1514" t="s">
        <v>69</v>
      </c>
      <c r="AH1514" t="s">
        <v>69</v>
      </c>
      <c r="AI1514" t="s">
        <v>69</v>
      </c>
      <c r="AJ1514" t="s">
        <v>69</v>
      </c>
      <c r="AK1514" t="s">
        <v>69</v>
      </c>
      <c r="AL1514" t="s">
        <v>69</v>
      </c>
      <c r="AM1514" t="s">
        <v>69</v>
      </c>
      <c r="AN1514">
        <v>10</v>
      </c>
      <c r="AO1514">
        <v>27</v>
      </c>
      <c r="AP1514">
        <v>27</v>
      </c>
      <c r="AQ1514">
        <v>1</v>
      </c>
      <c r="AR1514">
        <v>26</v>
      </c>
      <c r="AS1514" t="s">
        <v>31715</v>
      </c>
      <c r="AT1514" t="s">
        <v>9048</v>
      </c>
      <c r="AU1514" t="s">
        <v>31716</v>
      </c>
      <c r="AV1514" t="s">
        <v>1508</v>
      </c>
      <c r="AW1514" t="s">
        <v>69</v>
      </c>
      <c r="AX1514" t="s">
        <v>69</v>
      </c>
      <c r="AY1514" t="s">
        <v>15520</v>
      </c>
      <c r="AZ1514" t="s">
        <v>15521</v>
      </c>
      <c r="BA1514" t="s">
        <v>381</v>
      </c>
      <c r="BB1514">
        <v>1998</v>
      </c>
      <c r="BC1514">
        <v>17</v>
      </c>
      <c r="BD1514">
        <v>13</v>
      </c>
      <c r="BE1514" t="s">
        <v>69</v>
      </c>
      <c r="BF1514" t="s">
        <v>69</v>
      </c>
      <c r="BG1514" t="s">
        <v>69</v>
      </c>
      <c r="BH1514" t="s">
        <v>69</v>
      </c>
      <c r="BI1514">
        <v>1499</v>
      </c>
      <c r="BJ1514">
        <v>1507</v>
      </c>
      <c r="BK1514" t="s">
        <v>69</v>
      </c>
      <c r="BL1514" t="s">
        <v>1783</v>
      </c>
      <c r="BM1514" t="str">
        <f>HYPERLINK("http://dx.doi.org/10.1023/A:1006044130990","http://dx.doi.org/10.1023/A:1006044130990")</f>
        <v>http://dx.doi.org/10.1023/A:1006044130990</v>
      </c>
      <c r="BN1514" t="s">
        <v>69</v>
      </c>
      <c r="BO1514" t="s">
        <v>69</v>
      </c>
      <c r="BP1514">
        <v>9</v>
      </c>
      <c r="BQ1514" t="s">
        <v>15523</v>
      </c>
      <c r="BR1514" t="s">
        <v>31324</v>
      </c>
      <c r="BS1514" t="s">
        <v>15524</v>
      </c>
      <c r="BT1514" t="s">
        <v>32045</v>
      </c>
      <c r="BU1514" t="s">
        <v>1784</v>
      </c>
      <c r="BV1514" t="s">
        <v>69</v>
      </c>
      <c r="BW1514" t="s">
        <v>69</v>
      </c>
      <c r="BX1514" t="s">
        <v>69</v>
      </c>
      <c r="BY1514" t="s">
        <v>69</v>
      </c>
      <c r="BZ1514" t="s">
        <v>8526</v>
      </c>
      <c r="CA1514" t="str">
        <f>HYPERLINK("https%3A%2F%2Fwww.webofscience.com%2Fwos%2Fwoscc%2Ffull-record%2FWOS:000076350700010","View Full Record in Web of Science")</f>
        <v>View Full Record in Web of Science</v>
      </c>
    </row>
    <row r="1515" spans="2:79" ht="12.5" x14ac:dyDescent="0.25">
      <c r="B1515" t="s">
        <v>8495</v>
      </c>
      <c r="D1515" s="7" t="s">
        <v>32933</v>
      </c>
      <c r="E1515" s="7"/>
      <c r="F1515" s="7"/>
      <c r="G1515" s="7"/>
      <c r="H1515" t="s">
        <v>67</v>
      </c>
      <c r="I1515" t="s">
        <v>974</v>
      </c>
      <c r="J1515" t="s">
        <v>69</v>
      </c>
      <c r="K1515" t="s">
        <v>69</v>
      </c>
      <c r="L1515" t="s">
        <v>69</v>
      </c>
      <c r="M1515" t="s">
        <v>975</v>
      </c>
      <c r="N1515" t="s">
        <v>69</v>
      </c>
      <c r="O1515" t="s">
        <v>69</v>
      </c>
      <c r="P1515" t="s">
        <v>976</v>
      </c>
      <c r="Q1515" t="s">
        <v>977</v>
      </c>
      <c r="R1515" t="s">
        <v>69</v>
      </c>
      <c r="S1515" t="s">
        <v>69</v>
      </c>
      <c r="T1515" t="s">
        <v>8505</v>
      </c>
      <c r="U1515" t="s">
        <v>8506</v>
      </c>
      <c r="V1515" t="s">
        <v>69</v>
      </c>
      <c r="W1515" t="s">
        <v>69</v>
      </c>
      <c r="X1515" t="s">
        <v>69</v>
      </c>
      <c r="Y1515" t="s">
        <v>69</v>
      </c>
      <c r="Z1515" t="s">
        <v>69</v>
      </c>
      <c r="AA1515" t="s">
        <v>17618</v>
      </c>
      <c r="AB1515" t="s">
        <v>69</v>
      </c>
      <c r="AC1515" t="s">
        <v>978</v>
      </c>
      <c r="AD1515" t="s">
        <v>17619</v>
      </c>
      <c r="AE1515" t="s">
        <v>69</v>
      </c>
      <c r="AF1515" t="s">
        <v>17620</v>
      </c>
      <c r="AG1515" t="s">
        <v>17621</v>
      </c>
      <c r="AH1515" t="s">
        <v>979</v>
      </c>
      <c r="AI1515" t="s">
        <v>980</v>
      </c>
      <c r="AJ1515" t="s">
        <v>69</v>
      </c>
      <c r="AK1515" t="s">
        <v>69</v>
      </c>
      <c r="AL1515" t="s">
        <v>69</v>
      </c>
      <c r="AM1515" t="s">
        <v>69</v>
      </c>
      <c r="AN1515">
        <v>12</v>
      </c>
      <c r="AO1515">
        <v>3</v>
      </c>
      <c r="AP1515">
        <v>3</v>
      </c>
      <c r="AQ1515">
        <v>0</v>
      </c>
      <c r="AR1515">
        <v>6</v>
      </c>
      <c r="AS1515" t="s">
        <v>8865</v>
      </c>
      <c r="AT1515" t="s">
        <v>8612</v>
      </c>
      <c r="AU1515" t="s">
        <v>8866</v>
      </c>
      <c r="AV1515" t="s">
        <v>981</v>
      </c>
      <c r="AW1515" t="s">
        <v>982</v>
      </c>
      <c r="AX1515" t="s">
        <v>69</v>
      </c>
      <c r="AY1515" t="s">
        <v>17622</v>
      </c>
      <c r="AZ1515" t="s">
        <v>17623</v>
      </c>
      <c r="BA1515" t="s">
        <v>837</v>
      </c>
      <c r="BB1515">
        <v>2019</v>
      </c>
      <c r="BC1515">
        <v>29</v>
      </c>
      <c r="BD1515">
        <v>1</v>
      </c>
      <c r="BE1515" t="s">
        <v>69</v>
      </c>
      <c r="BF1515" t="s">
        <v>69</v>
      </c>
      <c r="BG1515" t="s">
        <v>114</v>
      </c>
      <c r="BH1515" t="s">
        <v>69</v>
      </c>
      <c r="BI1515">
        <v>1</v>
      </c>
      <c r="BJ1515">
        <v>6</v>
      </c>
      <c r="BK1515" t="s">
        <v>69</v>
      </c>
      <c r="BL1515" t="s">
        <v>983</v>
      </c>
      <c r="BM1515" t="str">
        <f>HYPERLINK("http://dx.doi.org/10.1080/21639159.2018.1552533","http://dx.doi.org/10.1080/21639159.2018.1552533")</f>
        <v>http://dx.doi.org/10.1080/21639159.2018.1552533</v>
      </c>
      <c r="BN1515" t="s">
        <v>69</v>
      </c>
      <c r="BO1515" t="s">
        <v>69</v>
      </c>
      <c r="BP1515">
        <v>6</v>
      </c>
      <c r="BQ1515" t="s">
        <v>8444</v>
      </c>
      <c r="BR1515" t="s">
        <v>8573</v>
      </c>
      <c r="BS1515" t="s">
        <v>8594</v>
      </c>
      <c r="BT1515" t="s">
        <v>17624</v>
      </c>
      <c r="BU1515" t="s">
        <v>984</v>
      </c>
      <c r="BV1515" t="s">
        <v>69</v>
      </c>
      <c r="BW1515" t="s">
        <v>69</v>
      </c>
      <c r="BX1515" t="s">
        <v>69</v>
      </c>
      <c r="BY1515" t="s">
        <v>69</v>
      </c>
      <c r="BZ1515" t="s">
        <v>8526</v>
      </c>
      <c r="CA1515" t="str">
        <f>HYPERLINK("https%3A%2F%2Fwww.webofscience.com%2Fwos%2Fwoscc%2Ffull-record%2FWOS:000455851500001","View Full Record in Web of Science")</f>
        <v>View Full Record in Web of Science</v>
      </c>
    </row>
    <row r="1516" spans="2:79" x14ac:dyDescent="0.3">
      <c r="B1516" t="s">
        <v>8495</v>
      </c>
      <c r="D1516" s="9" t="s">
        <v>32954</v>
      </c>
      <c r="E1516" s="9" t="s">
        <v>33163</v>
      </c>
      <c r="F1516" s="9" t="s">
        <v>8491</v>
      </c>
      <c r="G1516" s="9" t="s">
        <v>8490</v>
      </c>
      <c r="H1516" t="s">
        <v>67</v>
      </c>
      <c r="I1516" t="s">
        <v>24558</v>
      </c>
      <c r="J1516" t="s">
        <v>69</v>
      </c>
      <c r="K1516" t="s">
        <v>69</v>
      </c>
      <c r="L1516" t="s">
        <v>69</v>
      </c>
      <c r="M1516" t="s">
        <v>24559</v>
      </c>
      <c r="N1516" t="s">
        <v>69</v>
      </c>
      <c r="O1516" t="s">
        <v>69</v>
      </c>
      <c r="P1516" t="s">
        <v>24560</v>
      </c>
      <c r="Q1516" t="s">
        <v>715</v>
      </c>
      <c r="R1516" t="s">
        <v>69</v>
      </c>
      <c r="S1516" t="s">
        <v>69</v>
      </c>
      <c r="T1516" t="s">
        <v>8505</v>
      </c>
      <c r="U1516" t="s">
        <v>8506</v>
      </c>
      <c r="V1516" t="s">
        <v>69</v>
      </c>
      <c r="W1516" t="s">
        <v>69</v>
      </c>
      <c r="X1516" t="s">
        <v>69</v>
      </c>
      <c r="Y1516" t="s">
        <v>69</v>
      </c>
      <c r="Z1516" t="s">
        <v>69</v>
      </c>
      <c r="AA1516" t="s">
        <v>24561</v>
      </c>
      <c r="AB1516" t="s">
        <v>24562</v>
      </c>
      <c r="AC1516" t="s">
        <v>24563</v>
      </c>
      <c r="AD1516" t="s">
        <v>24564</v>
      </c>
      <c r="AE1516" t="s">
        <v>69</v>
      </c>
      <c r="AF1516" t="s">
        <v>24565</v>
      </c>
      <c r="AG1516" t="s">
        <v>24566</v>
      </c>
      <c r="AH1516" t="s">
        <v>24567</v>
      </c>
      <c r="AI1516" t="s">
        <v>24568</v>
      </c>
      <c r="AJ1516" t="s">
        <v>69</v>
      </c>
      <c r="AK1516" t="s">
        <v>69</v>
      </c>
      <c r="AL1516" t="s">
        <v>69</v>
      </c>
      <c r="AM1516" t="s">
        <v>69</v>
      </c>
      <c r="AN1516">
        <v>58</v>
      </c>
      <c r="AO1516">
        <v>125</v>
      </c>
      <c r="AP1516">
        <v>130</v>
      </c>
      <c r="AQ1516">
        <v>4</v>
      </c>
      <c r="AR1516">
        <v>68</v>
      </c>
      <c r="AS1516" t="s">
        <v>8846</v>
      </c>
      <c r="AT1516" t="s">
        <v>8847</v>
      </c>
      <c r="AU1516" t="s">
        <v>8848</v>
      </c>
      <c r="AV1516" t="s">
        <v>719</v>
      </c>
      <c r="AW1516" t="s">
        <v>720</v>
      </c>
      <c r="AX1516" t="s">
        <v>69</v>
      </c>
      <c r="AY1516" t="s">
        <v>9110</v>
      </c>
      <c r="AZ1516" t="s">
        <v>9111</v>
      </c>
      <c r="BA1516" t="s">
        <v>274</v>
      </c>
      <c r="BB1516">
        <v>2013</v>
      </c>
      <c r="BC1516">
        <v>22</v>
      </c>
      <c r="BD1516">
        <v>7</v>
      </c>
      <c r="BE1516" t="s">
        <v>69</v>
      </c>
      <c r="BF1516" t="s">
        <v>69</v>
      </c>
      <c r="BG1516" t="s">
        <v>69</v>
      </c>
      <c r="BH1516" t="s">
        <v>69</v>
      </c>
      <c r="BI1516">
        <v>484</v>
      </c>
      <c r="BJ1516">
        <v>500</v>
      </c>
      <c r="BK1516" t="s">
        <v>69</v>
      </c>
      <c r="BL1516" t="s">
        <v>24569</v>
      </c>
      <c r="BM1516" t="str">
        <f>HYPERLINK("http://dx.doi.org/10.1002/bse.1764","http://dx.doi.org/10.1002/bse.1764")</f>
        <v>http://dx.doi.org/10.1002/bse.1764</v>
      </c>
      <c r="BN1516" t="s">
        <v>69</v>
      </c>
      <c r="BO1516" t="s">
        <v>69</v>
      </c>
      <c r="BP1516">
        <v>17</v>
      </c>
      <c r="BQ1516" t="s">
        <v>9113</v>
      </c>
      <c r="BR1516" t="s">
        <v>8661</v>
      </c>
      <c r="BS1516" t="s">
        <v>9114</v>
      </c>
      <c r="BT1516" t="s">
        <v>24570</v>
      </c>
      <c r="BU1516" t="s">
        <v>24571</v>
      </c>
      <c r="BV1516" t="s">
        <v>69</v>
      </c>
      <c r="BW1516" t="s">
        <v>69</v>
      </c>
      <c r="BX1516" t="s">
        <v>69</v>
      </c>
      <c r="BY1516" t="s">
        <v>69</v>
      </c>
      <c r="BZ1516" t="s">
        <v>8526</v>
      </c>
      <c r="CA1516" t="str">
        <f>HYPERLINK("https%3A%2F%2Fwww.webofscience.com%2Fwos%2Fwoscc%2Ffull-record%2FWOS:000326969500005","View Full Record in Web of Science")</f>
        <v>View Full Record in Web of Science</v>
      </c>
    </row>
    <row r="1517" spans="2:79" ht="12.5" x14ac:dyDescent="0.25">
      <c r="B1517" t="s">
        <v>8495</v>
      </c>
      <c r="D1517" s="22" t="s">
        <v>32931</v>
      </c>
      <c r="E1517" s="7"/>
      <c r="F1517" s="7"/>
      <c r="G1517" s="7"/>
      <c r="H1517" t="s">
        <v>67</v>
      </c>
      <c r="I1517" t="s">
        <v>10198</v>
      </c>
      <c r="J1517" t="s">
        <v>69</v>
      </c>
      <c r="K1517" t="s">
        <v>69</v>
      </c>
      <c r="L1517" t="s">
        <v>69</v>
      </c>
      <c r="M1517" t="s">
        <v>10199</v>
      </c>
      <c r="N1517" t="s">
        <v>69</v>
      </c>
      <c r="O1517" t="s">
        <v>69</v>
      </c>
      <c r="P1517" t="s">
        <v>10200</v>
      </c>
      <c r="Q1517" t="s">
        <v>10201</v>
      </c>
      <c r="R1517" t="s">
        <v>69</v>
      </c>
      <c r="S1517" t="s">
        <v>69</v>
      </c>
      <c r="T1517" t="s">
        <v>8505</v>
      </c>
      <c r="U1517" t="s">
        <v>8506</v>
      </c>
      <c r="V1517" t="s">
        <v>69</v>
      </c>
      <c r="W1517" t="s">
        <v>69</v>
      </c>
      <c r="X1517" t="s">
        <v>69</v>
      </c>
      <c r="Y1517" t="s">
        <v>69</v>
      </c>
      <c r="Z1517" t="s">
        <v>69</v>
      </c>
      <c r="AA1517" t="s">
        <v>10202</v>
      </c>
      <c r="AB1517" t="s">
        <v>10203</v>
      </c>
      <c r="AC1517" t="s">
        <v>10204</v>
      </c>
      <c r="AD1517" t="s">
        <v>10205</v>
      </c>
      <c r="AE1517" t="s">
        <v>69</v>
      </c>
      <c r="AF1517" t="s">
        <v>10206</v>
      </c>
      <c r="AG1517" t="s">
        <v>10207</v>
      </c>
      <c r="AH1517" t="s">
        <v>69</v>
      </c>
      <c r="AI1517" t="s">
        <v>10208</v>
      </c>
      <c r="AJ1517" t="s">
        <v>10209</v>
      </c>
      <c r="AK1517" t="s">
        <v>10210</v>
      </c>
      <c r="AL1517" t="s">
        <v>10211</v>
      </c>
      <c r="AM1517" t="s">
        <v>69</v>
      </c>
      <c r="AN1517">
        <v>36</v>
      </c>
      <c r="AO1517">
        <v>0</v>
      </c>
      <c r="AP1517">
        <v>0</v>
      </c>
      <c r="AQ1517">
        <v>1</v>
      </c>
      <c r="AR1517">
        <v>1</v>
      </c>
      <c r="AS1517" t="s">
        <v>10212</v>
      </c>
      <c r="AT1517" t="s">
        <v>10213</v>
      </c>
      <c r="AU1517" t="s">
        <v>10214</v>
      </c>
      <c r="AV1517" t="s">
        <v>10215</v>
      </c>
      <c r="AW1517" t="s">
        <v>10216</v>
      </c>
      <c r="AX1517" t="s">
        <v>69</v>
      </c>
      <c r="AY1517" t="s">
        <v>10217</v>
      </c>
      <c r="AZ1517" t="s">
        <v>10218</v>
      </c>
      <c r="BA1517" t="s">
        <v>69</v>
      </c>
      <c r="BB1517">
        <v>2022</v>
      </c>
      <c r="BC1517">
        <v>51</v>
      </c>
      <c r="BD1517" t="s">
        <v>69</v>
      </c>
      <c r="BE1517" t="s">
        <v>69</v>
      </c>
      <c r="BF1517" t="s">
        <v>69</v>
      </c>
      <c r="BG1517" t="s">
        <v>69</v>
      </c>
      <c r="BH1517" t="s">
        <v>69</v>
      </c>
      <c r="BI1517" t="s">
        <v>69</v>
      </c>
      <c r="BJ1517" t="s">
        <v>69</v>
      </c>
      <c r="BK1517" t="s">
        <v>10219</v>
      </c>
      <c r="BL1517" t="s">
        <v>10220</v>
      </c>
      <c r="BM1517" t="str">
        <f>HYPERLINK("http://dx.doi.org/10.37496/rbz5120210049","http://dx.doi.org/10.37496/rbz5120210049")</f>
        <v>http://dx.doi.org/10.37496/rbz5120210049</v>
      </c>
      <c r="BN1517" t="s">
        <v>69</v>
      </c>
      <c r="BO1517" t="s">
        <v>69</v>
      </c>
      <c r="BP1517">
        <v>15</v>
      </c>
      <c r="BQ1517" t="s">
        <v>10221</v>
      </c>
      <c r="BR1517" t="s">
        <v>8548</v>
      </c>
      <c r="BS1517" t="s">
        <v>10222</v>
      </c>
      <c r="BT1517" t="s">
        <v>10223</v>
      </c>
      <c r="BU1517" t="s">
        <v>10224</v>
      </c>
      <c r="BV1517" t="s">
        <v>69</v>
      </c>
      <c r="BW1517" t="s">
        <v>8931</v>
      </c>
      <c r="BX1517" t="s">
        <v>69</v>
      </c>
      <c r="BY1517" t="s">
        <v>69</v>
      </c>
      <c r="BZ1517" t="s">
        <v>8526</v>
      </c>
      <c r="CA1517" t="str">
        <f>HYPERLINK("https%3A%2F%2Fwww.webofscience.com%2Fwos%2Fwoscc%2Ffull-record%2FWOS:000797011400001","View Full Record in Web of Science")</f>
        <v>View Full Record in Web of Science</v>
      </c>
    </row>
    <row r="1518" spans="2:79" ht="12.5" x14ac:dyDescent="0.25">
      <c r="B1518" t="s">
        <v>8495</v>
      </c>
      <c r="D1518" s="7" t="s">
        <v>32933</v>
      </c>
      <c r="E1518" s="7"/>
      <c r="F1518" s="7"/>
      <c r="G1518" s="7"/>
      <c r="H1518" t="s">
        <v>67</v>
      </c>
      <c r="I1518" t="s">
        <v>5540</v>
      </c>
      <c r="J1518" t="s">
        <v>69</v>
      </c>
      <c r="K1518" t="s">
        <v>69</v>
      </c>
      <c r="L1518" t="s">
        <v>69</v>
      </c>
      <c r="M1518" t="s">
        <v>5541</v>
      </c>
      <c r="N1518" t="s">
        <v>69</v>
      </c>
      <c r="O1518" t="s">
        <v>69</v>
      </c>
      <c r="P1518" t="s">
        <v>5542</v>
      </c>
      <c r="Q1518" t="s">
        <v>5543</v>
      </c>
      <c r="R1518" t="s">
        <v>69</v>
      </c>
      <c r="S1518" t="s">
        <v>69</v>
      </c>
      <c r="T1518" t="s">
        <v>8505</v>
      </c>
      <c r="U1518" t="s">
        <v>8506</v>
      </c>
      <c r="V1518" t="s">
        <v>69</v>
      </c>
      <c r="W1518" t="s">
        <v>69</v>
      </c>
      <c r="X1518" t="s">
        <v>69</v>
      </c>
      <c r="Y1518" t="s">
        <v>69</v>
      </c>
      <c r="Z1518" t="s">
        <v>69</v>
      </c>
      <c r="AA1518" t="s">
        <v>69</v>
      </c>
      <c r="AB1518" t="s">
        <v>69</v>
      </c>
      <c r="AC1518" t="s">
        <v>5544</v>
      </c>
      <c r="AD1518" t="s">
        <v>25745</v>
      </c>
      <c r="AE1518" t="s">
        <v>69</v>
      </c>
      <c r="AF1518" t="s">
        <v>69</v>
      </c>
      <c r="AG1518" t="s">
        <v>69</v>
      </c>
      <c r="AH1518" t="s">
        <v>69</v>
      </c>
      <c r="AI1518" t="s">
        <v>69</v>
      </c>
      <c r="AJ1518" t="s">
        <v>69</v>
      </c>
      <c r="AK1518" t="s">
        <v>69</v>
      </c>
      <c r="AL1518" t="s">
        <v>69</v>
      </c>
      <c r="AM1518" t="s">
        <v>69</v>
      </c>
      <c r="AN1518">
        <v>7</v>
      </c>
      <c r="AO1518">
        <v>145</v>
      </c>
      <c r="AP1518">
        <v>147</v>
      </c>
      <c r="AQ1518">
        <v>8</v>
      </c>
      <c r="AR1518">
        <v>88</v>
      </c>
      <c r="AS1518" t="s">
        <v>25746</v>
      </c>
      <c r="AT1518" t="s">
        <v>9979</v>
      </c>
      <c r="AU1518" t="s">
        <v>25747</v>
      </c>
      <c r="AV1518" t="s">
        <v>5545</v>
      </c>
      <c r="AW1518" t="s">
        <v>69</v>
      </c>
      <c r="AX1518" t="s">
        <v>69</v>
      </c>
      <c r="AY1518" t="s">
        <v>25748</v>
      </c>
      <c r="AZ1518" t="s">
        <v>25749</v>
      </c>
      <c r="BA1518" t="s">
        <v>1710</v>
      </c>
      <c r="BB1518">
        <v>2012</v>
      </c>
      <c r="BC1518">
        <v>53</v>
      </c>
      <c r="BD1518">
        <v>2</v>
      </c>
      <c r="BE1518" t="s">
        <v>69</v>
      </c>
      <c r="BF1518" t="s">
        <v>69</v>
      </c>
      <c r="BG1518" t="s">
        <v>69</v>
      </c>
      <c r="BH1518" t="s">
        <v>69</v>
      </c>
      <c r="BI1518">
        <v>69</v>
      </c>
      <c r="BJ1518" t="s">
        <v>219</v>
      </c>
      <c r="BK1518" t="s">
        <v>69</v>
      </c>
      <c r="BL1518" t="s">
        <v>69</v>
      </c>
      <c r="BM1518" t="s">
        <v>69</v>
      </c>
      <c r="BN1518" t="s">
        <v>69</v>
      </c>
      <c r="BO1518" t="s">
        <v>69</v>
      </c>
      <c r="BP1518">
        <v>8</v>
      </c>
      <c r="BQ1518" t="s">
        <v>8791</v>
      </c>
      <c r="BR1518" t="s">
        <v>8661</v>
      </c>
      <c r="BS1518" t="s">
        <v>8594</v>
      </c>
      <c r="BT1518" t="s">
        <v>25750</v>
      </c>
      <c r="BU1518" t="s">
        <v>5546</v>
      </c>
      <c r="BV1518" t="s">
        <v>69</v>
      </c>
      <c r="BW1518" t="s">
        <v>69</v>
      </c>
      <c r="BX1518" t="s">
        <v>69</v>
      </c>
      <c r="BY1518" t="s">
        <v>69</v>
      </c>
      <c r="BZ1518" t="s">
        <v>8526</v>
      </c>
      <c r="CA1518" t="str">
        <f>HYPERLINK("https%3A%2F%2Fwww.webofscience.com%2Fwos%2Fwoscc%2Ffull-record%2FWOS:000299025000011","View Full Record in Web of Science")</f>
        <v>View Full Record in Web of Science</v>
      </c>
    </row>
    <row r="1519" spans="2:79" ht="12.5" x14ac:dyDescent="0.25">
      <c r="B1519" t="s">
        <v>8495</v>
      </c>
      <c r="D1519" s="22" t="s">
        <v>32931</v>
      </c>
      <c r="E1519" s="7"/>
      <c r="F1519" s="7"/>
      <c r="G1519" s="7"/>
      <c r="H1519" t="s">
        <v>67</v>
      </c>
      <c r="I1519" t="s">
        <v>25512</v>
      </c>
      <c r="J1519" t="s">
        <v>69</v>
      </c>
      <c r="K1519" t="s">
        <v>69</v>
      </c>
      <c r="L1519" t="s">
        <v>69</v>
      </c>
      <c r="M1519" t="s">
        <v>25513</v>
      </c>
      <c r="N1519" t="s">
        <v>69</v>
      </c>
      <c r="O1519" t="s">
        <v>69</v>
      </c>
      <c r="P1519" t="s">
        <v>25514</v>
      </c>
      <c r="Q1519" t="s">
        <v>25515</v>
      </c>
      <c r="R1519" t="s">
        <v>69</v>
      </c>
      <c r="S1519" t="s">
        <v>69</v>
      </c>
      <c r="T1519" t="s">
        <v>10071</v>
      </c>
      <c r="U1519" t="s">
        <v>8506</v>
      </c>
      <c r="V1519" t="s">
        <v>69</v>
      </c>
      <c r="W1519" t="s">
        <v>69</v>
      </c>
      <c r="X1519" t="s">
        <v>69</v>
      </c>
      <c r="Y1519" t="s">
        <v>69</v>
      </c>
      <c r="Z1519" t="s">
        <v>69</v>
      </c>
      <c r="AA1519" t="s">
        <v>25516</v>
      </c>
      <c r="AB1519" t="s">
        <v>69</v>
      </c>
      <c r="AC1519" t="s">
        <v>25517</v>
      </c>
      <c r="AD1519" t="s">
        <v>25518</v>
      </c>
      <c r="AE1519" t="s">
        <v>69</v>
      </c>
      <c r="AF1519" t="s">
        <v>25519</v>
      </c>
      <c r="AG1519" t="s">
        <v>23244</v>
      </c>
      <c r="AH1519" t="s">
        <v>23245</v>
      </c>
      <c r="AI1519" t="s">
        <v>23246</v>
      </c>
      <c r="AJ1519" t="s">
        <v>69</v>
      </c>
      <c r="AK1519" t="s">
        <v>69</v>
      </c>
      <c r="AL1519" t="s">
        <v>69</v>
      </c>
      <c r="AM1519" t="s">
        <v>69</v>
      </c>
      <c r="AN1519">
        <v>34</v>
      </c>
      <c r="AO1519">
        <v>0</v>
      </c>
      <c r="AP1519">
        <v>0</v>
      </c>
      <c r="AQ1519">
        <v>0</v>
      </c>
      <c r="AR1519">
        <v>0</v>
      </c>
      <c r="AS1519" t="s">
        <v>25520</v>
      </c>
      <c r="AT1519" t="s">
        <v>21566</v>
      </c>
      <c r="AU1519" t="s">
        <v>25521</v>
      </c>
      <c r="AV1519" t="s">
        <v>25522</v>
      </c>
      <c r="AW1519" t="s">
        <v>69</v>
      </c>
      <c r="AX1519" t="s">
        <v>69</v>
      </c>
      <c r="AY1519" t="s">
        <v>25523</v>
      </c>
      <c r="AZ1519" t="s">
        <v>25524</v>
      </c>
      <c r="BA1519" t="s">
        <v>69</v>
      </c>
      <c r="BB1519">
        <v>2013</v>
      </c>
      <c r="BC1519">
        <v>52</v>
      </c>
      <c r="BD1519">
        <v>1</v>
      </c>
      <c r="BE1519" t="s">
        <v>69</v>
      </c>
      <c r="BF1519" t="s">
        <v>69</v>
      </c>
      <c r="BG1519" t="s">
        <v>69</v>
      </c>
      <c r="BH1519" t="s">
        <v>69</v>
      </c>
      <c r="BI1519">
        <v>31</v>
      </c>
      <c r="BJ1519">
        <v>67</v>
      </c>
      <c r="BK1519" t="s">
        <v>69</v>
      </c>
      <c r="BL1519" t="s">
        <v>69</v>
      </c>
      <c r="BM1519" t="s">
        <v>69</v>
      </c>
      <c r="BN1519" t="s">
        <v>69</v>
      </c>
      <c r="BO1519" t="s">
        <v>69</v>
      </c>
      <c r="BP1519">
        <v>37</v>
      </c>
      <c r="BQ1519" t="s">
        <v>9290</v>
      </c>
      <c r="BR1519" t="s">
        <v>8573</v>
      </c>
      <c r="BS1519" t="s">
        <v>9290</v>
      </c>
      <c r="BT1519" t="s">
        <v>25525</v>
      </c>
      <c r="BU1519" t="s">
        <v>25526</v>
      </c>
      <c r="BV1519" t="s">
        <v>69</v>
      </c>
      <c r="BW1519" t="s">
        <v>69</v>
      </c>
      <c r="BX1519" t="s">
        <v>69</v>
      </c>
      <c r="BY1519" t="s">
        <v>69</v>
      </c>
      <c r="BZ1519" t="s">
        <v>8526</v>
      </c>
      <c r="CA1519" t="str">
        <f>HYPERLINK("https%3A%2F%2Fwww.webofscience.com%2Fwos%2Fwoscc%2Ffull-record%2FWOS:000215610500003","View Full Record in Web of Science")</f>
        <v>View Full Record in Web of Science</v>
      </c>
    </row>
    <row r="1520" spans="2:79" ht="12.5" x14ac:dyDescent="0.25">
      <c r="B1520" t="s">
        <v>8495</v>
      </c>
      <c r="D1520" s="7" t="s">
        <v>32933</v>
      </c>
      <c r="E1520" s="7"/>
      <c r="F1520" s="7"/>
      <c r="G1520" s="7"/>
      <c r="H1520" t="s">
        <v>67</v>
      </c>
      <c r="I1520" t="s">
        <v>1395</v>
      </c>
      <c r="J1520" t="s">
        <v>69</v>
      </c>
      <c r="K1520" t="s">
        <v>69</v>
      </c>
      <c r="L1520" t="s">
        <v>69</v>
      </c>
      <c r="M1520" t="s">
        <v>1396</v>
      </c>
      <c r="N1520" t="s">
        <v>69</v>
      </c>
      <c r="O1520" t="s">
        <v>69</v>
      </c>
      <c r="P1520" t="s">
        <v>1397</v>
      </c>
      <c r="Q1520" t="s">
        <v>436</v>
      </c>
      <c r="R1520" t="s">
        <v>69</v>
      </c>
      <c r="S1520" t="s">
        <v>69</v>
      </c>
      <c r="T1520" t="s">
        <v>8505</v>
      </c>
      <c r="U1520" t="s">
        <v>8506</v>
      </c>
      <c r="V1520" t="s">
        <v>69</v>
      </c>
      <c r="W1520" t="s">
        <v>69</v>
      </c>
      <c r="X1520" t="s">
        <v>69</v>
      </c>
      <c r="Y1520" t="s">
        <v>69</v>
      </c>
      <c r="Z1520" t="s">
        <v>69</v>
      </c>
      <c r="AA1520" t="s">
        <v>24081</v>
      </c>
      <c r="AB1520" t="s">
        <v>69</v>
      </c>
      <c r="AC1520" t="s">
        <v>1398</v>
      </c>
      <c r="AD1520" t="s">
        <v>24082</v>
      </c>
      <c r="AE1520" t="s">
        <v>69</v>
      </c>
      <c r="AF1520" t="s">
        <v>24083</v>
      </c>
      <c r="AG1520" t="s">
        <v>24084</v>
      </c>
      <c r="AH1520" t="s">
        <v>69</v>
      </c>
      <c r="AI1520" t="s">
        <v>1399</v>
      </c>
      <c r="AJ1520" t="s">
        <v>69</v>
      </c>
      <c r="AK1520" t="s">
        <v>69</v>
      </c>
      <c r="AL1520" t="s">
        <v>69</v>
      </c>
      <c r="AM1520" t="s">
        <v>69</v>
      </c>
      <c r="AN1520">
        <v>22</v>
      </c>
      <c r="AO1520">
        <v>8</v>
      </c>
      <c r="AP1520">
        <v>8</v>
      </c>
      <c r="AQ1520">
        <v>2</v>
      </c>
      <c r="AR1520">
        <v>23</v>
      </c>
      <c r="AS1520" t="s">
        <v>8636</v>
      </c>
      <c r="AT1520" t="s">
        <v>8637</v>
      </c>
      <c r="AU1520" t="s">
        <v>8638</v>
      </c>
      <c r="AV1520" t="s">
        <v>440</v>
      </c>
      <c r="AW1520" t="s">
        <v>441</v>
      </c>
      <c r="AX1520" t="s">
        <v>69</v>
      </c>
      <c r="AY1520" t="s">
        <v>8639</v>
      </c>
      <c r="AZ1520" t="s">
        <v>8640</v>
      </c>
      <c r="BA1520" t="s">
        <v>451</v>
      </c>
      <c r="BB1520">
        <v>2014</v>
      </c>
      <c r="BC1520">
        <v>62</v>
      </c>
      <c r="BD1520" t="s">
        <v>69</v>
      </c>
      <c r="BE1520" t="s">
        <v>69</v>
      </c>
      <c r="BF1520" t="s">
        <v>69</v>
      </c>
      <c r="BG1520" t="s">
        <v>69</v>
      </c>
      <c r="BH1520" t="s">
        <v>69</v>
      </c>
      <c r="BI1520">
        <v>128</v>
      </c>
      <c r="BJ1520">
        <v>133</v>
      </c>
      <c r="BK1520" t="s">
        <v>69</v>
      </c>
      <c r="BL1520" t="s">
        <v>1400</v>
      </c>
      <c r="BM1520" t="str">
        <f>HYPERLINK("http://dx.doi.org/10.1016/j.jclepro.2013.03.019","http://dx.doi.org/10.1016/j.jclepro.2013.03.019")</f>
        <v>http://dx.doi.org/10.1016/j.jclepro.2013.03.019</v>
      </c>
      <c r="BN1520" t="s">
        <v>69</v>
      </c>
      <c r="BO1520" t="s">
        <v>69</v>
      </c>
      <c r="BP1520">
        <v>6</v>
      </c>
      <c r="BQ1520" t="s">
        <v>8643</v>
      </c>
      <c r="BR1520" t="s">
        <v>8548</v>
      </c>
      <c r="BS1520" t="s">
        <v>8644</v>
      </c>
      <c r="BT1520" t="s">
        <v>24085</v>
      </c>
      <c r="BU1520" t="s">
        <v>1401</v>
      </c>
      <c r="BV1520" t="s">
        <v>69</v>
      </c>
      <c r="BW1520" t="s">
        <v>69</v>
      </c>
      <c r="BX1520" t="s">
        <v>69</v>
      </c>
      <c r="BY1520" t="s">
        <v>69</v>
      </c>
      <c r="BZ1520" t="s">
        <v>8526</v>
      </c>
      <c r="CA1520" t="str">
        <f>HYPERLINK("https%3A%2F%2Fwww.webofscience.com%2Fwos%2Fwoscc%2Ffull-record%2FWOS:000328314400015","View Full Record in Web of Science")</f>
        <v>View Full Record in Web of Science</v>
      </c>
    </row>
    <row r="1521" spans="2:79" ht="12.5" x14ac:dyDescent="0.25">
      <c r="B1521" t="s">
        <v>8495</v>
      </c>
      <c r="D1521" s="7" t="s">
        <v>32933</v>
      </c>
      <c r="E1521" s="7"/>
      <c r="F1521" s="7"/>
      <c r="G1521" s="7"/>
      <c r="H1521" t="s">
        <v>67</v>
      </c>
      <c r="I1521" t="s">
        <v>1357</v>
      </c>
      <c r="J1521" t="s">
        <v>69</v>
      </c>
      <c r="K1521" t="s">
        <v>69</v>
      </c>
      <c r="L1521" t="s">
        <v>69</v>
      </c>
      <c r="M1521" t="s">
        <v>1358</v>
      </c>
      <c r="N1521" t="s">
        <v>69</v>
      </c>
      <c r="O1521" t="s">
        <v>69</v>
      </c>
      <c r="P1521" t="s">
        <v>1359</v>
      </c>
      <c r="Q1521" t="s">
        <v>1360</v>
      </c>
      <c r="R1521" t="s">
        <v>69</v>
      </c>
      <c r="S1521" t="s">
        <v>69</v>
      </c>
      <c r="T1521" t="s">
        <v>8505</v>
      </c>
      <c r="U1521" t="s">
        <v>8506</v>
      </c>
      <c r="V1521" t="s">
        <v>69</v>
      </c>
      <c r="W1521" t="s">
        <v>69</v>
      </c>
      <c r="X1521" t="s">
        <v>69</v>
      </c>
      <c r="Y1521" t="s">
        <v>69</v>
      </c>
      <c r="Z1521" t="s">
        <v>69</v>
      </c>
      <c r="AA1521" t="s">
        <v>23830</v>
      </c>
      <c r="AB1521" t="s">
        <v>23831</v>
      </c>
      <c r="AC1521" t="s">
        <v>1361</v>
      </c>
      <c r="AD1521" t="s">
        <v>23832</v>
      </c>
      <c r="AE1521" t="s">
        <v>69</v>
      </c>
      <c r="AF1521" t="s">
        <v>23833</v>
      </c>
      <c r="AG1521" t="s">
        <v>23629</v>
      </c>
      <c r="AH1521" t="s">
        <v>1362</v>
      </c>
      <c r="AI1521" t="s">
        <v>1363</v>
      </c>
      <c r="AJ1521" t="s">
        <v>23834</v>
      </c>
      <c r="AK1521" t="s">
        <v>23834</v>
      </c>
      <c r="AL1521" t="s">
        <v>23835</v>
      </c>
      <c r="AM1521" t="s">
        <v>69</v>
      </c>
      <c r="AN1521">
        <v>70</v>
      </c>
      <c r="AO1521">
        <v>170</v>
      </c>
      <c r="AP1521">
        <v>180</v>
      </c>
      <c r="AQ1521">
        <v>25</v>
      </c>
      <c r="AR1521">
        <v>175</v>
      </c>
      <c r="AS1521" t="s">
        <v>8636</v>
      </c>
      <c r="AT1521" t="s">
        <v>8637</v>
      </c>
      <c r="AU1521" t="s">
        <v>8638</v>
      </c>
      <c r="AV1521" t="s">
        <v>1364</v>
      </c>
      <c r="AW1521" t="s">
        <v>1365</v>
      </c>
      <c r="AX1521" t="s">
        <v>69</v>
      </c>
      <c r="AY1521" t="s">
        <v>9698</v>
      </c>
      <c r="AZ1521" t="s">
        <v>9699</v>
      </c>
      <c r="BA1521" t="s">
        <v>586</v>
      </c>
      <c r="BB1521">
        <v>2014</v>
      </c>
      <c r="BC1521">
        <v>39</v>
      </c>
      <c r="BD1521" t="s">
        <v>69</v>
      </c>
      <c r="BE1521" t="s">
        <v>69</v>
      </c>
      <c r="BF1521" t="s">
        <v>69</v>
      </c>
      <c r="BG1521" t="s">
        <v>69</v>
      </c>
      <c r="BH1521" t="s">
        <v>69</v>
      </c>
      <c r="BI1521">
        <v>25</v>
      </c>
      <c r="BJ1521">
        <v>34</v>
      </c>
      <c r="BK1521" t="s">
        <v>69</v>
      </c>
      <c r="BL1521" t="s">
        <v>1366</v>
      </c>
      <c r="BM1521" t="str">
        <f>HYPERLINK("http://dx.doi.org/10.1016/j.envsci.2014.02.003","http://dx.doi.org/10.1016/j.envsci.2014.02.003")</f>
        <v>http://dx.doi.org/10.1016/j.envsci.2014.02.003</v>
      </c>
      <c r="BN1521" t="s">
        <v>69</v>
      </c>
      <c r="BO1521" t="s">
        <v>69</v>
      </c>
      <c r="BP1521">
        <v>10</v>
      </c>
      <c r="BQ1521" t="s">
        <v>8717</v>
      </c>
      <c r="BR1521" t="s">
        <v>8548</v>
      </c>
      <c r="BS1521" t="s">
        <v>8662</v>
      </c>
      <c r="BT1521" t="s">
        <v>23836</v>
      </c>
      <c r="BU1521" t="s">
        <v>1367</v>
      </c>
      <c r="BV1521" t="s">
        <v>69</v>
      </c>
      <c r="BW1521" t="s">
        <v>69</v>
      </c>
      <c r="BX1521" t="s">
        <v>69</v>
      </c>
      <c r="BY1521" t="s">
        <v>69</v>
      </c>
      <c r="BZ1521" t="s">
        <v>8526</v>
      </c>
      <c r="CA1521" t="str">
        <f>HYPERLINK("https%3A%2F%2Fwww.webofscience.com%2Fwos%2Fwoscc%2Ffull-record%2FWOS:000336948800003","View Full Record in Web of Science")</f>
        <v>View Full Record in Web of Science</v>
      </c>
    </row>
    <row r="1522" spans="2:79" ht="12.5" x14ac:dyDescent="0.25">
      <c r="B1522" t="s">
        <v>8495</v>
      </c>
      <c r="D1522" s="7" t="s">
        <v>32933</v>
      </c>
      <c r="E1522" s="7"/>
      <c r="F1522" s="7"/>
      <c r="G1522" s="7"/>
      <c r="H1522" t="s">
        <v>67</v>
      </c>
      <c r="I1522" t="s">
        <v>4492</v>
      </c>
      <c r="J1522" t="s">
        <v>69</v>
      </c>
      <c r="K1522" t="s">
        <v>69</v>
      </c>
      <c r="L1522" t="s">
        <v>69</v>
      </c>
      <c r="M1522" t="s">
        <v>4493</v>
      </c>
      <c r="N1522" t="s">
        <v>69</v>
      </c>
      <c r="O1522" t="s">
        <v>69</v>
      </c>
      <c r="P1522" t="s">
        <v>4494</v>
      </c>
      <c r="Q1522" t="s">
        <v>4495</v>
      </c>
      <c r="R1522" t="s">
        <v>69</v>
      </c>
      <c r="S1522" t="s">
        <v>69</v>
      </c>
      <c r="T1522" t="s">
        <v>8505</v>
      </c>
      <c r="U1522" t="s">
        <v>15797</v>
      </c>
      <c r="V1522" t="s">
        <v>4496</v>
      </c>
      <c r="W1522" t="s">
        <v>4497</v>
      </c>
      <c r="X1522" t="s">
        <v>4498</v>
      </c>
      <c r="Y1522" t="s">
        <v>69</v>
      </c>
      <c r="Z1522" t="s">
        <v>69</v>
      </c>
      <c r="AA1522" t="s">
        <v>23072</v>
      </c>
      <c r="AB1522" t="s">
        <v>69</v>
      </c>
      <c r="AC1522" t="s">
        <v>4499</v>
      </c>
      <c r="AD1522" t="s">
        <v>23073</v>
      </c>
      <c r="AE1522" t="s">
        <v>69</v>
      </c>
      <c r="AF1522" t="s">
        <v>23074</v>
      </c>
      <c r="AG1522" t="s">
        <v>23075</v>
      </c>
      <c r="AH1522" t="s">
        <v>69</v>
      </c>
      <c r="AI1522" t="s">
        <v>23076</v>
      </c>
      <c r="AJ1522" t="s">
        <v>23077</v>
      </c>
      <c r="AK1522" t="s">
        <v>23078</v>
      </c>
      <c r="AL1522" t="s">
        <v>23079</v>
      </c>
      <c r="AM1522" t="s">
        <v>69</v>
      </c>
      <c r="AN1522">
        <v>34</v>
      </c>
      <c r="AO1522">
        <v>6</v>
      </c>
      <c r="AP1522">
        <v>6</v>
      </c>
      <c r="AQ1522">
        <v>1</v>
      </c>
      <c r="AR1522">
        <v>9</v>
      </c>
      <c r="AS1522" t="s">
        <v>23080</v>
      </c>
      <c r="AT1522" t="s">
        <v>16384</v>
      </c>
      <c r="AU1522" t="s">
        <v>23081</v>
      </c>
      <c r="AV1522" t="s">
        <v>4500</v>
      </c>
      <c r="AW1522" t="s">
        <v>4501</v>
      </c>
      <c r="AX1522" t="s">
        <v>69</v>
      </c>
      <c r="AY1522" t="s">
        <v>4495</v>
      </c>
      <c r="AZ1522" t="s">
        <v>8485</v>
      </c>
      <c r="BA1522" t="s">
        <v>69</v>
      </c>
      <c r="BB1522">
        <v>2015</v>
      </c>
      <c r="BC1522">
        <v>41</v>
      </c>
      <c r="BD1522">
        <v>2</v>
      </c>
      <c r="BE1522" t="s">
        <v>69</v>
      </c>
      <c r="BF1522" t="s">
        <v>69</v>
      </c>
      <c r="BG1522" t="s">
        <v>114</v>
      </c>
      <c r="BH1522" t="s">
        <v>69</v>
      </c>
      <c r="BI1522">
        <v>222</v>
      </c>
      <c r="BJ1522">
        <v>231</v>
      </c>
      <c r="BK1522" t="s">
        <v>69</v>
      </c>
      <c r="BL1522" t="s">
        <v>4502</v>
      </c>
      <c r="BM1522" t="str">
        <f>HYPERLINK("http://dx.doi.org/10.4314/wsa.v41i2.07","http://dx.doi.org/10.4314/wsa.v41i2.07")</f>
        <v>http://dx.doi.org/10.4314/wsa.v41i2.07</v>
      </c>
      <c r="BN1522" t="s">
        <v>69</v>
      </c>
      <c r="BO1522" t="s">
        <v>69</v>
      </c>
      <c r="BP1522">
        <v>10</v>
      </c>
      <c r="BQ1522" t="s">
        <v>9096</v>
      </c>
      <c r="BR1522" t="s">
        <v>15808</v>
      </c>
      <c r="BS1522" t="s">
        <v>9096</v>
      </c>
      <c r="BT1522" t="s">
        <v>23082</v>
      </c>
      <c r="BU1522" t="s">
        <v>4503</v>
      </c>
      <c r="BV1522" t="s">
        <v>69</v>
      </c>
      <c r="BW1522" t="s">
        <v>11853</v>
      </c>
      <c r="BX1522" t="s">
        <v>69</v>
      </c>
      <c r="BY1522" t="s">
        <v>69</v>
      </c>
      <c r="BZ1522" t="s">
        <v>8526</v>
      </c>
      <c r="CA1522" t="str">
        <f>HYPERLINK("https%3A%2F%2Fwww.webofscience.com%2Fwos%2Fwoscc%2Ffull-record%2FWOS:000355986500007","View Full Record in Web of Science")</f>
        <v>View Full Record in Web of Science</v>
      </c>
    </row>
    <row r="1523" spans="2:79" ht="12.5" x14ac:dyDescent="0.25">
      <c r="B1523" t="s">
        <v>8495</v>
      </c>
      <c r="D1523" s="22" t="s">
        <v>32931</v>
      </c>
      <c r="E1523" s="7"/>
      <c r="F1523" s="7"/>
      <c r="G1523" s="7"/>
      <c r="H1523" t="s">
        <v>67</v>
      </c>
      <c r="I1523" t="s">
        <v>17847</v>
      </c>
      <c r="J1523" t="s">
        <v>69</v>
      </c>
      <c r="K1523" t="s">
        <v>69</v>
      </c>
      <c r="L1523" t="s">
        <v>69</v>
      </c>
      <c r="M1523" t="s">
        <v>17848</v>
      </c>
      <c r="N1523" t="s">
        <v>69</v>
      </c>
      <c r="O1523" t="s">
        <v>69</v>
      </c>
      <c r="P1523" t="s">
        <v>17849</v>
      </c>
      <c r="Q1523" t="s">
        <v>17652</v>
      </c>
      <c r="R1523" t="s">
        <v>69</v>
      </c>
      <c r="S1523" t="s">
        <v>69</v>
      </c>
      <c r="T1523" t="s">
        <v>8505</v>
      </c>
      <c r="U1523" t="s">
        <v>8506</v>
      </c>
      <c r="V1523" t="s">
        <v>69</v>
      </c>
      <c r="W1523" t="s">
        <v>69</v>
      </c>
      <c r="X1523" t="s">
        <v>69</v>
      </c>
      <c r="Y1523" t="s">
        <v>69</v>
      </c>
      <c r="Z1523" t="s">
        <v>69</v>
      </c>
      <c r="AA1523" t="s">
        <v>17850</v>
      </c>
      <c r="AB1523" t="s">
        <v>17851</v>
      </c>
      <c r="AC1523" t="s">
        <v>17852</v>
      </c>
      <c r="AD1523" t="s">
        <v>17853</v>
      </c>
      <c r="AE1523" t="s">
        <v>69</v>
      </c>
      <c r="AF1523" t="s">
        <v>17854</v>
      </c>
      <c r="AG1523" t="s">
        <v>17855</v>
      </c>
      <c r="AH1523" t="s">
        <v>17856</v>
      </c>
      <c r="AI1523" t="s">
        <v>69</v>
      </c>
      <c r="AJ1523" t="s">
        <v>17857</v>
      </c>
      <c r="AK1523" t="s">
        <v>17857</v>
      </c>
      <c r="AL1523" t="s">
        <v>17858</v>
      </c>
      <c r="AM1523" t="s">
        <v>69</v>
      </c>
      <c r="AN1523">
        <v>33</v>
      </c>
      <c r="AO1523">
        <v>1</v>
      </c>
      <c r="AP1523">
        <v>1</v>
      </c>
      <c r="AQ1523">
        <v>1</v>
      </c>
      <c r="AR1523">
        <v>5</v>
      </c>
      <c r="AS1523" t="s">
        <v>17659</v>
      </c>
      <c r="AT1523" t="s">
        <v>14820</v>
      </c>
      <c r="AU1523" t="s">
        <v>17660</v>
      </c>
      <c r="AV1523" t="s">
        <v>17661</v>
      </c>
      <c r="AW1523" t="s">
        <v>69</v>
      </c>
      <c r="AX1523" t="s">
        <v>69</v>
      </c>
      <c r="AY1523" t="s">
        <v>17662</v>
      </c>
      <c r="AZ1523" t="s">
        <v>17663</v>
      </c>
      <c r="BA1523" t="s">
        <v>69</v>
      </c>
      <c r="BB1523">
        <v>2019</v>
      </c>
      <c r="BC1523">
        <v>21</v>
      </c>
      <c r="BD1523">
        <v>2</v>
      </c>
      <c r="BE1523" t="s">
        <v>69</v>
      </c>
      <c r="BF1523" t="s">
        <v>69</v>
      </c>
      <c r="BG1523" t="s">
        <v>69</v>
      </c>
      <c r="BH1523" t="s">
        <v>69</v>
      </c>
      <c r="BI1523">
        <v>277</v>
      </c>
      <c r="BJ1523">
        <v>293</v>
      </c>
      <c r="BK1523" t="s">
        <v>69</v>
      </c>
      <c r="BL1523" t="s">
        <v>69</v>
      </c>
      <c r="BM1523" t="s">
        <v>69</v>
      </c>
      <c r="BN1523" t="s">
        <v>69</v>
      </c>
      <c r="BO1523" t="s">
        <v>69</v>
      </c>
      <c r="BP1523">
        <v>17</v>
      </c>
      <c r="BQ1523" t="s">
        <v>17664</v>
      </c>
      <c r="BR1523" t="s">
        <v>8548</v>
      </c>
      <c r="BS1523" t="s">
        <v>8450</v>
      </c>
      <c r="BT1523" t="s">
        <v>17859</v>
      </c>
      <c r="BU1523" t="s">
        <v>17860</v>
      </c>
      <c r="BV1523" t="s">
        <v>69</v>
      </c>
      <c r="BW1523" t="s">
        <v>69</v>
      </c>
      <c r="BX1523" t="s">
        <v>69</v>
      </c>
      <c r="BY1523" t="s">
        <v>69</v>
      </c>
      <c r="BZ1523" t="s">
        <v>8526</v>
      </c>
      <c r="CA1523" t="str">
        <f>HYPERLINK("https%3A%2F%2Fwww.webofscience.com%2Fwos%2Fwoscc%2Ffull-record%2FWOS:000464857900004","View Full Record in Web of Science")</f>
        <v>View Full Record in Web of Science</v>
      </c>
    </row>
    <row r="1524" spans="2:79" ht="12.5" x14ac:dyDescent="0.25">
      <c r="B1524" t="s">
        <v>8495</v>
      </c>
      <c r="D1524" s="7" t="s">
        <v>32933</v>
      </c>
      <c r="E1524" s="7"/>
      <c r="F1524" s="7"/>
      <c r="G1524" s="7"/>
      <c r="H1524" t="s">
        <v>67</v>
      </c>
      <c r="I1524" t="s">
        <v>8303</v>
      </c>
      <c r="J1524" t="s">
        <v>69</v>
      </c>
      <c r="K1524" t="s">
        <v>69</v>
      </c>
      <c r="L1524" t="s">
        <v>69</v>
      </c>
      <c r="M1524" t="s">
        <v>8304</v>
      </c>
      <c r="N1524" t="s">
        <v>69</v>
      </c>
      <c r="O1524" t="s">
        <v>69</v>
      </c>
      <c r="P1524" t="s">
        <v>8305</v>
      </c>
      <c r="Q1524" t="s">
        <v>8306</v>
      </c>
      <c r="R1524" t="s">
        <v>69</v>
      </c>
      <c r="S1524" t="s">
        <v>69</v>
      </c>
      <c r="T1524" t="s">
        <v>8505</v>
      </c>
      <c r="U1524" t="s">
        <v>8506</v>
      </c>
      <c r="V1524" t="s">
        <v>69</v>
      </c>
      <c r="W1524" t="s">
        <v>69</v>
      </c>
      <c r="X1524" t="s">
        <v>69</v>
      </c>
      <c r="Y1524" t="s">
        <v>69</v>
      </c>
      <c r="Z1524" t="s">
        <v>69</v>
      </c>
      <c r="AA1524" t="s">
        <v>28919</v>
      </c>
      <c r="AB1524" t="s">
        <v>28920</v>
      </c>
      <c r="AC1524" t="s">
        <v>8307</v>
      </c>
      <c r="AD1524" t="s">
        <v>25759</v>
      </c>
      <c r="AE1524" t="s">
        <v>69</v>
      </c>
      <c r="AF1524" t="s">
        <v>28921</v>
      </c>
      <c r="AG1524" t="s">
        <v>28922</v>
      </c>
      <c r="AH1524" t="s">
        <v>69</v>
      </c>
      <c r="AI1524" t="s">
        <v>69</v>
      </c>
      <c r="AJ1524" t="s">
        <v>69</v>
      </c>
      <c r="AK1524" t="s">
        <v>69</v>
      </c>
      <c r="AL1524" t="s">
        <v>69</v>
      </c>
      <c r="AM1524" t="s">
        <v>69</v>
      </c>
      <c r="AN1524">
        <v>26</v>
      </c>
      <c r="AO1524">
        <v>86</v>
      </c>
      <c r="AP1524">
        <v>88</v>
      </c>
      <c r="AQ1524">
        <v>3</v>
      </c>
      <c r="AR1524">
        <v>48</v>
      </c>
      <c r="AS1524" t="s">
        <v>8865</v>
      </c>
      <c r="AT1524" t="s">
        <v>8612</v>
      </c>
      <c r="AU1524" t="s">
        <v>22341</v>
      </c>
      <c r="AV1524" t="s">
        <v>8308</v>
      </c>
      <c r="AW1524" t="s">
        <v>69</v>
      </c>
      <c r="AX1524" t="s">
        <v>69</v>
      </c>
      <c r="AY1524" t="s">
        <v>28923</v>
      </c>
      <c r="AZ1524" t="s">
        <v>28924</v>
      </c>
      <c r="BA1524" t="s">
        <v>69</v>
      </c>
      <c r="BB1524">
        <v>2009</v>
      </c>
      <c r="BC1524">
        <v>75</v>
      </c>
      <c r="BD1524">
        <v>4</v>
      </c>
      <c r="BE1524" t="s">
        <v>69</v>
      </c>
      <c r="BF1524" t="s">
        <v>69</v>
      </c>
      <c r="BG1524" t="s">
        <v>69</v>
      </c>
      <c r="BH1524" t="s">
        <v>69</v>
      </c>
      <c r="BI1524">
        <v>424</v>
      </c>
      <c r="BJ1524">
        <v>440</v>
      </c>
      <c r="BK1524" t="s">
        <v>69</v>
      </c>
      <c r="BL1524" t="s">
        <v>8309</v>
      </c>
      <c r="BM1524" t="str">
        <f>HYPERLINK("http://dx.doi.org/10.1080/01944360903148174","http://dx.doi.org/10.1080/01944360903148174")</f>
        <v>http://dx.doi.org/10.1080/01944360903148174</v>
      </c>
      <c r="BN1524" t="s">
        <v>69</v>
      </c>
      <c r="BO1524" t="s">
        <v>69</v>
      </c>
      <c r="BP1524">
        <v>17</v>
      </c>
      <c r="BQ1524" t="s">
        <v>9944</v>
      </c>
      <c r="BR1524" t="s">
        <v>8661</v>
      </c>
      <c r="BS1524" t="s">
        <v>9945</v>
      </c>
      <c r="BT1524" t="s">
        <v>28925</v>
      </c>
      <c r="BU1524" t="s">
        <v>8310</v>
      </c>
      <c r="BV1524" t="s">
        <v>69</v>
      </c>
      <c r="BW1524" t="s">
        <v>69</v>
      </c>
      <c r="BX1524" t="s">
        <v>69</v>
      </c>
      <c r="BY1524" t="s">
        <v>69</v>
      </c>
      <c r="BZ1524" t="s">
        <v>8526</v>
      </c>
      <c r="CA1524" t="str">
        <f>HYPERLINK("https%3A%2F%2Fwww.webofscience.com%2Fwos%2Fwoscc%2Ffull-record%2FWOS:000271018500003","View Full Record in Web of Science")</f>
        <v>View Full Record in Web of Science</v>
      </c>
    </row>
    <row r="1525" spans="2:79" ht="12.5" x14ac:dyDescent="0.25">
      <c r="B1525" t="s">
        <v>8495</v>
      </c>
      <c r="D1525" s="22" t="s">
        <v>32931</v>
      </c>
      <c r="E1525" s="7"/>
      <c r="F1525" s="7"/>
      <c r="G1525" s="7"/>
      <c r="H1525" t="s">
        <v>67</v>
      </c>
      <c r="I1525" t="s">
        <v>24880</v>
      </c>
      <c r="J1525" t="s">
        <v>69</v>
      </c>
      <c r="K1525" t="s">
        <v>69</v>
      </c>
      <c r="L1525" t="s">
        <v>69</v>
      </c>
      <c r="M1525" t="s">
        <v>24881</v>
      </c>
      <c r="N1525" t="s">
        <v>69</v>
      </c>
      <c r="O1525" t="s">
        <v>69</v>
      </c>
      <c r="P1525" t="s">
        <v>24882</v>
      </c>
      <c r="Q1525" t="s">
        <v>24883</v>
      </c>
      <c r="R1525" t="s">
        <v>69</v>
      </c>
      <c r="S1525" t="s">
        <v>69</v>
      </c>
      <c r="T1525" t="s">
        <v>8505</v>
      </c>
      <c r="U1525" t="s">
        <v>8506</v>
      </c>
      <c r="V1525" t="s">
        <v>69</v>
      </c>
      <c r="W1525" t="s">
        <v>69</v>
      </c>
      <c r="X1525" t="s">
        <v>69</v>
      </c>
      <c r="Y1525" t="s">
        <v>69</v>
      </c>
      <c r="Z1525" t="s">
        <v>69</v>
      </c>
      <c r="AA1525" t="s">
        <v>24884</v>
      </c>
      <c r="AB1525" t="s">
        <v>69</v>
      </c>
      <c r="AC1525" t="s">
        <v>24885</v>
      </c>
      <c r="AD1525" t="s">
        <v>24886</v>
      </c>
      <c r="AE1525" t="s">
        <v>69</v>
      </c>
      <c r="AF1525" t="s">
        <v>24887</v>
      </c>
      <c r="AG1525" t="s">
        <v>24888</v>
      </c>
      <c r="AH1525" t="s">
        <v>69</v>
      </c>
      <c r="AI1525" t="s">
        <v>69</v>
      </c>
      <c r="AJ1525" t="s">
        <v>69</v>
      </c>
      <c r="AK1525" t="s">
        <v>69</v>
      </c>
      <c r="AL1525" t="s">
        <v>69</v>
      </c>
      <c r="AM1525" t="s">
        <v>69</v>
      </c>
      <c r="AN1525">
        <v>15</v>
      </c>
      <c r="AO1525">
        <v>0</v>
      </c>
      <c r="AP1525">
        <v>0</v>
      </c>
      <c r="AQ1525">
        <v>0</v>
      </c>
      <c r="AR1525">
        <v>0</v>
      </c>
      <c r="AS1525" t="s">
        <v>8636</v>
      </c>
      <c r="AT1525" t="s">
        <v>8637</v>
      </c>
      <c r="AU1525" t="s">
        <v>8638</v>
      </c>
      <c r="AV1525" t="s">
        <v>24889</v>
      </c>
      <c r="AW1525" t="s">
        <v>24890</v>
      </c>
      <c r="AX1525" t="s">
        <v>69</v>
      </c>
      <c r="AY1525" t="s">
        <v>24891</v>
      </c>
      <c r="AZ1525" t="s">
        <v>24892</v>
      </c>
      <c r="BA1525" t="s">
        <v>84</v>
      </c>
      <c r="BB1525">
        <v>2013</v>
      </c>
      <c r="BC1525">
        <v>11</v>
      </c>
      <c r="BD1525">
        <v>2</v>
      </c>
      <c r="BE1525" t="s">
        <v>69</v>
      </c>
      <c r="BF1525" t="s">
        <v>69</v>
      </c>
      <c r="BG1525" t="s">
        <v>69</v>
      </c>
      <c r="BH1525" t="s">
        <v>69</v>
      </c>
      <c r="BI1525">
        <v>55</v>
      </c>
      <c r="BJ1525">
        <v>65</v>
      </c>
      <c r="BK1525" t="s">
        <v>69</v>
      </c>
      <c r="BL1525" t="s">
        <v>24893</v>
      </c>
      <c r="BM1525" t="str">
        <f>HYPERLINK("http://dx.doi.org/10.1016/j.ijme.2013.01.001","http://dx.doi.org/10.1016/j.ijme.2013.01.001")</f>
        <v>http://dx.doi.org/10.1016/j.ijme.2013.01.001</v>
      </c>
      <c r="BN1525" t="s">
        <v>69</v>
      </c>
      <c r="BO1525" t="s">
        <v>69</v>
      </c>
      <c r="BP1525">
        <v>11</v>
      </c>
      <c r="BQ1525" t="s">
        <v>24894</v>
      </c>
      <c r="BR1525" t="s">
        <v>8573</v>
      </c>
      <c r="BS1525" t="s">
        <v>24895</v>
      </c>
      <c r="BT1525" t="s">
        <v>24896</v>
      </c>
      <c r="BU1525" t="s">
        <v>24897</v>
      </c>
      <c r="BV1525" t="s">
        <v>69</v>
      </c>
      <c r="BW1525" t="s">
        <v>69</v>
      </c>
      <c r="BX1525" t="s">
        <v>69</v>
      </c>
      <c r="BY1525" t="s">
        <v>69</v>
      </c>
      <c r="BZ1525" t="s">
        <v>8526</v>
      </c>
      <c r="CA1525" t="str">
        <f>HYPERLINK("https%3A%2F%2Fwww.webofscience.com%2Fwos%2Fwoscc%2Ffull-record%2FWOS:000438419500001","View Full Record in Web of Science")</f>
        <v>View Full Record in Web of Science</v>
      </c>
    </row>
    <row r="1526" spans="2:79" x14ac:dyDescent="0.3">
      <c r="B1526" t="s">
        <v>8495</v>
      </c>
      <c r="D1526" s="9" t="s">
        <v>32963</v>
      </c>
      <c r="E1526" s="9" t="s">
        <v>33110</v>
      </c>
      <c r="F1526" s="10" t="s">
        <v>8490</v>
      </c>
      <c r="G1526" s="9" t="s">
        <v>8490</v>
      </c>
      <c r="H1526" t="s">
        <v>67</v>
      </c>
      <c r="I1526" t="s">
        <v>20692</v>
      </c>
      <c r="J1526" t="s">
        <v>69</v>
      </c>
      <c r="K1526" t="s">
        <v>69</v>
      </c>
      <c r="L1526" t="s">
        <v>69</v>
      </c>
      <c r="M1526" t="s">
        <v>20693</v>
      </c>
      <c r="N1526" t="s">
        <v>69</v>
      </c>
      <c r="O1526" t="s">
        <v>69</v>
      </c>
      <c r="P1526" t="s">
        <v>20694</v>
      </c>
      <c r="Q1526" t="s">
        <v>929</v>
      </c>
      <c r="R1526" t="s">
        <v>69</v>
      </c>
      <c r="S1526" t="s">
        <v>69</v>
      </c>
      <c r="T1526" t="s">
        <v>8505</v>
      </c>
      <c r="U1526" t="s">
        <v>8506</v>
      </c>
      <c r="V1526" t="s">
        <v>69</v>
      </c>
      <c r="W1526" t="s">
        <v>69</v>
      </c>
      <c r="X1526" t="s">
        <v>69</v>
      </c>
      <c r="Y1526" t="s">
        <v>69</v>
      </c>
      <c r="Z1526" t="s">
        <v>69</v>
      </c>
      <c r="AA1526" t="s">
        <v>20695</v>
      </c>
      <c r="AB1526" t="s">
        <v>20696</v>
      </c>
      <c r="AC1526" t="s">
        <v>20697</v>
      </c>
      <c r="AD1526" t="s">
        <v>20698</v>
      </c>
      <c r="AE1526" t="s">
        <v>69</v>
      </c>
      <c r="AF1526" t="s">
        <v>20699</v>
      </c>
      <c r="AG1526" t="s">
        <v>20700</v>
      </c>
      <c r="AH1526" t="s">
        <v>20701</v>
      </c>
      <c r="AI1526" t="s">
        <v>20702</v>
      </c>
      <c r="AJ1526" t="s">
        <v>20703</v>
      </c>
      <c r="AK1526" t="s">
        <v>20704</v>
      </c>
      <c r="AL1526" t="s">
        <v>20705</v>
      </c>
      <c r="AM1526" t="s">
        <v>69</v>
      </c>
      <c r="AN1526">
        <v>52</v>
      </c>
      <c r="AO1526">
        <v>7</v>
      </c>
      <c r="AP1526">
        <v>7</v>
      </c>
      <c r="AQ1526">
        <v>0</v>
      </c>
      <c r="AR1526">
        <v>19</v>
      </c>
      <c r="AS1526" t="s">
        <v>8865</v>
      </c>
      <c r="AT1526" t="s">
        <v>8612</v>
      </c>
      <c r="AU1526" t="s">
        <v>8866</v>
      </c>
      <c r="AV1526" t="s">
        <v>931</v>
      </c>
      <c r="AW1526" t="s">
        <v>932</v>
      </c>
      <c r="AX1526" t="s">
        <v>69</v>
      </c>
      <c r="AY1526" t="s">
        <v>15975</v>
      </c>
      <c r="AZ1526" t="s">
        <v>15976</v>
      </c>
      <c r="BA1526" t="s">
        <v>69</v>
      </c>
      <c r="BB1526">
        <v>2017</v>
      </c>
      <c r="BC1526">
        <v>35</v>
      </c>
      <c r="BD1526">
        <v>4</v>
      </c>
      <c r="BE1526" t="s">
        <v>69</v>
      </c>
      <c r="BF1526" t="s">
        <v>69</v>
      </c>
      <c r="BG1526" t="s">
        <v>69</v>
      </c>
      <c r="BH1526" t="s">
        <v>69</v>
      </c>
      <c r="BI1526">
        <v>325</v>
      </c>
      <c r="BJ1526">
        <v>339</v>
      </c>
      <c r="BK1526" t="s">
        <v>69</v>
      </c>
      <c r="BL1526" t="s">
        <v>20706</v>
      </c>
      <c r="BM1526" t="str">
        <f>HYPERLINK("http://dx.doi.org/10.1080/14615517.2017.1354641","http://dx.doi.org/10.1080/14615517.2017.1354641")</f>
        <v>http://dx.doi.org/10.1080/14615517.2017.1354641</v>
      </c>
      <c r="BN1526" t="s">
        <v>69</v>
      </c>
      <c r="BO1526" t="s">
        <v>69</v>
      </c>
      <c r="BP1526">
        <v>15</v>
      </c>
      <c r="BQ1526" t="s">
        <v>8660</v>
      </c>
      <c r="BR1526" t="s">
        <v>8661</v>
      </c>
      <c r="BS1526" t="s">
        <v>8662</v>
      </c>
      <c r="BT1526" t="s">
        <v>20707</v>
      </c>
      <c r="BU1526" t="s">
        <v>20708</v>
      </c>
      <c r="BV1526" t="s">
        <v>69</v>
      </c>
      <c r="BW1526" t="s">
        <v>69</v>
      </c>
      <c r="BX1526" t="s">
        <v>69</v>
      </c>
      <c r="BY1526" t="s">
        <v>69</v>
      </c>
      <c r="BZ1526" t="s">
        <v>8526</v>
      </c>
      <c r="CA1526" t="str">
        <f>HYPERLINK("https%3A%2F%2Fwww.webofscience.com%2Fwos%2Fwoscc%2Ffull-record%2FWOS:000416918700006","View Full Record in Web of Science")</f>
        <v>View Full Record in Web of Science</v>
      </c>
    </row>
    <row r="1527" spans="2:79" x14ac:dyDescent="0.3">
      <c r="B1527" t="s">
        <v>8495</v>
      </c>
      <c r="D1527" s="9" t="s">
        <v>32954</v>
      </c>
      <c r="E1527" s="9" t="s">
        <v>33118</v>
      </c>
      <c r="F1527" s="9" t="s">
        <v>8491</v>
      </c>
      <c r="G1527" s="9" t="s">
        <v>8490</v>
      </c>
      <c r="H1527" t="s">
        <v>67</v>
      </c>
      <c r="I1527" t="s">
        <v>30416</v>
      </c>
      <c r="J1527" t="s">
        <v>69</v>
      </c>
      <c r="K1527" t="s">
        <v>69</v>
      </c>
      <c r="L1527" t="s">
        <v>69</v>
      </c>
      <c r="M1527" t="s">
        <v>30417</v>
      </c>
      <c r="N1527" t="s">
        <v>69</v>
      </c>
      <c r="O1527" t="s">
        <v>69</v>
      </c>
      <c r="P1527" t="s">
        <v>30418</v>
      </c>
      <c r="Q1527" t="s">
        <v>27956</v>
      </c>
      <c r="R1527" t="s">
        <v>69</v>
      </c>
      <c r="S1527" t="s">
        <v>69</v>
      </c>
      <c r="T1527" t="s">
        <v>8505</v>
      </c>
      <c r="U1527" t="s">
        <v>8506</v>
      </c>
      <c r="V1527" t="s">
        <v>69</v>
      </c>
      <c r="W1527" t="s">
        <v>69</v>
      </c>
      <c r="X1527" t="s">
        <v>69</v>
      </c>
      <c r="Y1527" t="s">
        <v>69</v>
      </c>
      <c r="Z1527" t="s">
        <v>69</v>
      </c>
      <c r="AA1527" t="s">
        <v>30419</v>
      </c>
      <c r="AB1527" t="s">
        <v>69</v>
      </c>
      <c r="AC1527" t="s">
        <v>30420</v>
      </c>
      <c r="AD1527" t="s">
        <v>30421</v>
      </c>
      <c r="AE1527" t="s">
        <v>69</v>
      </c>
      <c r="AF1527" t="s">
        <v>30422</v>
      </c>
      <c r="AG1527" t="s">
        <v>30423</v>
      </c>
      <c r="AH1527" t="s">
        <v>69</v>
      </c>
      <c r="AI1527" t="s">
        <v>69</v>
      </c>
      <c r="AJ1527" t="s">
        <v>69</v>
      </c>
      <c r="AK1527" t="s">
        <v>69</v>
      </c>
      <c r="AL1527" t="s">
        <v>69</v>
      </c>
      <c r="AM1527" t="s">
        <v>69</v>
      </c>
      <c r="AN1527">
        <v>21</v>
      </c>
      <c r="AO1527">
        <v>100</v>
      </c>
      <c r="AP1527">
        <v>101</v>
      </c>
      <c r="AQ1527">
        <v>0</v>
      </c>
      <c r="AR1527">
        <v>2</v>
      </c>
      <c r="AS1527" t="s">
        <v>8865</v>
      </c>
      <c r="AT1527" t="s">
        <v>8612</v>
      </c>
      <c r="AU1527" t="s">
        <v>8866</v>
      </c>
      <c r="AV1527" t="s">
        <v>27962</v>
      </c>
      <c r="AW1527" t="s">
        <v>27963</v>
      </c>
      <c r="AX1527" t="s">
        <v>69</v>
      </c>
      <c r="AY1527" t="s">
        <v>27964</v>
      </c>
      <c r="AZ1527" t="s">
        <v>27965</v>
      </c>
      <c r="BA1527" t="s">
        <v>69</v>
      </c>
      <c r="BB1527">
        <v>2006</v>
      </c>
      <c r="BC1527">
        <v>24</v>
      </c>
      <c r="BD1527">
        <v>2</v>
      </c>
      <c r="BE1527" t="s">
        <v>69</v>
      </c>
      <c r="BF1527" t="s">
        <v>69</v>
      </c>
      <c r="BG1527" t="s">
        <v>69</v>
      </c>
      <c r="BH1527" t="s">
        <v>69</v>
      </c>
      <c r="BI1527">
        <v>113</v>
      </c>
      <c r="BJ1527">
        <v>120</v>
      </c>
      <c r="BK1527" t="s">
        <v>69</v>
      </c>
      <c r="BL1527" t="s">
        <v>30424</v>
      </c>
      <c r="BM1527" t="str">
        <f>HYPERLINK("http://dx.doi.org/10.1080/01446190500204804","http://dx.doi.org/10.1080/01446190500204804")</f>
        <v>http://dx.doi.org/10.1080/01446190500204804</v>
      </c>
      <c r="BN1527" t="s">
        <v>69</v>
      </c>
      <c r="BO1527" t="s">
        <v>69</v>
      </c>
      <c r="BP1527">
        <v>8</v>
      </c>
      <c r="BQ1527" t="s">
        <v>8444</v>
      </c>
      <c r="BR1527" t="s">
        <v>8573</v>
      </c>
      <c r="BS1527" t="s">
        <v>8594</v>
      </c>
      <c r="BT1527" t="s">
        <v>30425</v>
      </c>
      <c r="BU1527" t="s">
        <v>30426</v>
      </c>
      <c r="BV1527" t="s">
        <v>69</v>
      </c>
      <c r="BW1527" t="s">
        <v>69</v>
      </c>
      <c r="BX1527" t="s">
        <v>69</v>
      </c>
      <c r="BY1527" t="s">
        <v>69</v>
      </c>
      <c r="BZ1527" t="s">
        <v>8526</v>
      </c>
      <c r="CA1527" t="str">
        <f>HYPERLINK("https%3A%2F%2Fwww.webofscience.com%2Fwos%2Fwoscc%2Ffull-record%2FWOS:000213193500002","View Full Record in Web of Science")</f>
        <v>View Full Record in Web of Science</v>
      </c>
    </row>
    <row r="1528" spans="2:79" ht="12.5" x14ac:dyDescent="0.25">
      <c r="B1528" t="s">
        <v>8495</v>
      </c>
      <c r="D1528" s="22" t="s">
        <v>32931</v>
      </c>
      <c r="E1528" s="7"/>
      <c r="F1528" s="7"/>
      <c r="G1528" s="7"/>
      <c r="H1528" t="s">
        <v>67</v>
      </c>
      <c r="I1528" t="s">
        <v>13169</v>
      </c>
      <c r="J1528" t="s">
        <v>69</v>
      </c>
      <c r="K1528" t="s">
        <v>69</v>
      </c>
      <c r="L1528" t="s">
        <v>69</v>
      </c>
      <c r="M1528" t="s">
        <v>13170</v>
      </c>
      <c r="N1528" t="s">
        <v>69</v>
      </c>
      <c r="O1528" t="s">
        <v>69</v>
      </c>
      <c r="P1528" t="s">
        <v>13171</v>
      </c>
      <c r="Q1528" t="s">
        <v>13172</v>
      </c>
      <c r="R1528" t="s">
        <v>69</v>
      </c>
      <c r="S1528" t="s">
        <v>69</v>
      </c>
      <c r="T1528" t="s">
        <v>8505</v>
      </c>
      <c r="U1528" t="s">
        <v>8506</v>
      </c>
      <c r="V1528" t="s">
        <v>69</v>
      </c>
      <c r="W1528" t="s">
        <v>69</v>
      </c>
      <c r="X1528" t="s">
        <v>69</v>
      </c>
      <c r="Y1528" t="s">
        <v>69</v>
      </c>
      <c r="Z1528" t="s">
        <v>69</v>
      </c>
      <c r="AA1528" t="s">
        <v>13173</v>
      </c>
      <c r="AB1528" t="s">
        <v>69</v>
      </c>
      <c r="AC1528" t="s">
        <v>13174</v>
      </c>
      <c r="AD1528" t="s">
        <v>13175</v>
      </c>
      <c r="AE1528" t="s">
        <v>69</v>
      </c>
      <c r="AF1528" t="s">
        <v>13176</v>
      </c>
      <c r="AG1528" t="s">
        <v>13177</v>
      </c>
      <c r="AH1528" t="s">
        <v>69</v>
      </c>
      <c r="AI1528" t="s">
        <v>69</v>
      </c>
      <c r="AJ1528" t="s">
        <v>69</v>
      </c>
      <c r="AK1528" t="s">
        <v>69</v>
      </c>
      <c r="AL1528" t="s">
        <v>69</v>
      </c>
      <c r="AM1528" t="s">
        <v>69</v>
      </c>
      <c r="AN1528">
        <v>43</v>
      </c>
      <c r="AO1528">
        <v>2</v>
      </c>
      <c r="AP1528">
        <v>2</v>
      </c>
      <c r="AQ1528">
        <v>2</v>
      </c>
      <c r="AR1528">
        <v>4</v>
      </c>
      <c r="AS1528" t="s">
        <v>13178</v>
      </c>
      <c r="AT1528" t="s">
        <v>13179</v>
      </c>
      <c r="AU1528" t="s">
        <v>13180</v>
      </c>
      <c r="AV1528" t="s">
        <v>13181</v>
      </c>
      <c r="AW1528" t="s">
        <v>13182</v>
      </c>
      <c r="AX1528" t="s">
        <v>69</v>
      </c>
      <c r="AY1528" t="s">
        <v>13183</v>
      </c>
      <c r="AZ1528" t="s">
        <v>13184</v>
      </c>
      <c r="BA1528" t="s">
        <v>191</v>
      </c>
      <c r="BB1528">
        <v>2021</v>
      </c>
      <c r="BC1528">
        <v>18</v>
      </c>
      <c r="BD1528">
        <v>1</v>
      </c>
      <c r="BE1528" t="s">
        <v>69</v>
      </c>
      <c r="BF1528" t="s">
        <v>69</v>
      </c>
      <c r="BG1528" t="s">
        <v>69</v>
      </c>
      <c r="BH1528" t="s">
        <v>69</v>
      </c>
      <c r="BI1528">
        <v>7</v>
      </c>
      <c r="BJ1528">
        <v>14</v>
      </c>
      <c r="BK1528" t="s">
        <v>69</v>
      </c>
      <c r="BL1528" t="s">
        <v>69</v>
      </c>
      <c r="BM1528" t="s">
        <v>69</v>
      </c>
      <c r="BN1528" t="s">
        <v>69</v>
      </c>
      <c r="BO1528" t="s">
        <v>69</v>
      </c>
      <c r="BP1528">
        <v>8</v>
      </c>
      <c r="BQ1528" t="s">
        <v>8452</v>
      </c>
      <c r="BR1528" t="s">
        <v>8573</v>
      </c>
      <c r="BS1528" t="s">
        <v>10084</v>
      </c>
      <c r="BT1528" t="s">
        <v>13185</v>
      </c>
      <c r="BU1528" t="s">
        <v>13186</v>
      </c>
      <c r="BV1528" t="s">
        <v>69</v>
      </c>
      <c r="BW1528" t="s">
        <v>69</v>
      </c>
      <c r="BX1528" t="s">
        <v>69</v>
      </c>
      <c r="BY1528" t="s">
        <v>69</v>
      </c>
      <c r="BZ1528" t="s">
        <v>8526</v>
      </c>
      <c r="CA1528" t="str">
        <f>HYPERLINK("https%3A%2F%2Fwww.webofscience.com%2Fwos%2Fwoscc%2Ffull-record%2FWOS:000623568700002","View Full Record in Web of Science")</f>
        <v>View Full Record in Web of Science</v>
      </c>
    </row>
    <row r="1529" spans="2:79" x14ac:dyDescent="0.3">
      <c r="B1529" t="s">
        <v>8495</v>
      </c>
      <c r="D1529" s="9" t="s">
        <v>32954</v>
      </c>
      <c r="E1529" s="9" t="s">
        <v>33164</v>
      </c>
      <c r="F1529" s="9" t="s">
        <v>8491</v>
      </c>
      <c r="G1529" s="9" t="s">
        <v>8490</v>
      </c>
      <c r="H1529" t="s">
        <v>67</v>
      </c>
      <c r="I1529" t="s">
        <v>11889</v>
      </c>
      <c r="J1529" t="s">
        <v>69</v>
      </c>
      <c r="K1529" t="s">
        <v>69</v>
      </c>
      <c r="L1529" t="s">
        <v>69</v>
      </c>
      <c r="M1529" t="s">
        <v>11890</v>
      </c>
      <c r="N1529" t="s">
        <v>69</v>
      </c>
      <c r="O1529" t="s">
        <v>69</v>
      </c>
      <c r="P1529" t="s">
        <v>11891</v>
      </c>
      <c r="Q1529" t="s">
        <v>352</v>
      </c>
      <c r="R1529" t="s">
        <v>69</v>
      </c>
      <c r="S1529" t="s">
        <v>69</v>
      </c>
      <c r="T1529" t="s">
        <v>8505</v>
      </c>
      <c r="U1529" t="s">
        <v>8506</v>
      </c>
      <c r="V1529" t="s">
        <v>69</v>
      </c>
      <c r="W1529" t="s">
        <v>69</v>
      </c>
      <c r="X1529" t="s">
        <v>69</v>
      </c>
      <c r="Y1529" t="s">
        <v>69</v>
      </c>
      <c r="Z1529" t="s">
        <v>69</v>
      </c>
      <c r="AA1529" t="s">
        <v>11892</v>
      </c>
      <c r="AB1529" t="s">
        <v>69</v>
      </c>
      <c r="AC1529" t="s">
        <v>11893</v>
      </c>
      <c r="AD1529" t="s">
        <v>11894</v>
      </c>
      <c r="AE1529" t="s">
        <v>69</v>
      </c>
      <c r="AF1529" t="s">
        <v>11895</v>
      </c>
      <c r="AG1529" t="s">
        <v>11896</v>
      </c>
      <c r="AH1529" t="s">
        <v>69</v>
      </c>
      <c r="AI1529" t="s">
        <v>11897</v>
      </c>
      <c r="AJ1529" t="s">
        <v>11898</v>
      </c>
      <c r="AK1529" t="s">
        <v>11899</v>
      </c>
      <c r="AL1529" t="s">
        <v>11900</v>
      </c>
      <c r="AM1529" t="s">
        <v>69</v>
      </c>
      <c r="AN1529">
        <v>29</v>
      </c>
      <c r="AO1529">
        <v>1</v>
      </c>
      <c r="AP1529">
        <v>1</v>
      </c>
      <c r="AQ1529">
        <v>9</v>
      </c>
      <c r="AR1529">
        <v>17</v>
      </c>
      <c r="AS1529" t="s">
        <v>8924</v>
      </c>
      <c r="AT1529" t="s">
        <v>8925</v>
      </c>
      <c r="AU1529" t="s">
        <v>8926</v>
      </c>
      <c r="AV1529" t="s">
        <v>69</v>
      </c>
      <c r="AW1529" t="s">
        <v>354</v>
      </c>
      <c r="AX1529" t="s">
        <v>69</v>
      </c>
      <c r="AY1529" t="s">
        <v>8958</v>
      </c>
      <c r="AZ1529" t="s">
        <v>8434</v>
      </c>
      <c r="BA1529" t="s">
        <v>84</v>
      </c>
      <c r="BB1529">
        <v>2021</v>
      </c>
      <c r="BC1529">
        <v>13</v>
      </c>
      <c r="BD1529">
        <v>14</v>
      </c>
      <c r="BE1529" t="s">
        <v>69</v>
      </c>
      <c r="BF1529" t="s">
        <v>69</v>
      </c>
      <c r="BG1529" t="s">
        <v>69</v>
      </c>
      <c r="BH1529" t="s">
        <v>69</v>
      </c>
      <c r="BI1529" t="s">
        <v>69</v>
      </c>
      <c r="BJ1529" t="s">
        <v>69</v>
      </c>
      <c r="BK1529">
        <v>7604</v>
      </c>
      <c r="BL1529" t="s">
        <v>11901</v>
      </c>
      <c r="BM1529" t="str">
        <f>HYPERLINK("http://dx.doi.org/10.3390/su13147604","http://dx.doi.org/10.3390/su13147604")</f>
        <v>http://dx.doi.org/10.3390/su13147604</v>
      </c>
      <c r="BN1529" t="s">
        <v>69</v>
      </c>
      <c r="BO1529" t="s">
        <v>69</v>
      </c>
      <c r="BP1529">
        <v>12</v>
      </c>
      <c r="BQ1529" t="s">
        <v>8960</v>
      </c>
      <c r="BR1529" t="s">
        <v>8523</v>
      </c>
      <c r="BS1529" t="s">
        <v>8961</v>
      </c>
      <c r="BT1529" t="s">
        <v>11902</v>
      </c>
      <c r="BU1529" t="s">
        <v>11903</v>
      </c>
      <c r="BV1529" t="s">
        <v>69</v>
      </c>
      <c r="BW1529" t="s">
        <v>9352</v>
      </c>
      <c r="BX1529" t="s">
        <v>69</v>
      </c>
      <c r="BY1529" t="s">
        <v>69</v>
      </c>
      <c r="BZ1529" t="s">
        <v>8526</v>
      </c>
      <c r="CA1529" t="str">
        <f>HYPERLINK("https%3A%2F%2Fwww.webofscience.com%2Fwos%2Fwoscc%2Ffull-record%2FWOS:000676957800001","View Full Record in Web of Science")</f>
        <v>View Full Record in Web of Science</v>
      </c>
    </row>
    <row r="1530" spans="2:79" ht="12.5" x14ac:dyDescent="0.25">
      <c r="B1530" t="s">
        <v>8495</v>
      </c>
      <c r="D1530" s="7" t="s">
        <v>32933</v>
      </c>
      <c r="E1530" s="7"/>
      <c r="F1530" s="7"/>
      <c r="G1530" s="7"/>
      <c r="H1530" t="s">
        <v>67</v>
      </c>
      <c r="I1530" t="s">
        <v>4939</v>
      </c>
      <c r="J1530" t="s">
        <v>69</v>
      </c>
      <c r="K1530" t="s">
        <v>69</v>
      </c>
      <c r="L1530" t="s">
        <v>69</v>
      </c>
      <c r="M1530" t="s">
        <v>4939</v>
      </c>
      <c r="N1530" t="s">
        <v>69</v>
      </c>
      <c r="O1530" t="s">
        <v>69</v>
      </c>
      <c r="P1530" t="s">
        <v>4940</v>
      </c>
      <c r="Q1530" t="s">
        <v>4941</v>
      </c>
      <c r="R1530" t="s">
        <v>69</v>
      </c>
      <c r="S1530" t="s">
        <v>69</v>
      </c>
      <c r="T1530" t="s">
        <v>8505</v>
      </c>
      <c r="U1530" t="s">
        <v>8506</v>
      </c>
      <c r="V1530" t="s">
        <v>69</v>
      </c>
      <c r="W1530" t="s">
        <v>69</v>
      </c>
      <c r="X1530" t="s">
        <v>69</v>
      </c>
      <c r="Y1530" t="s">
        <v>69</v>
      </c>
      <c r="Z1530" t="s">
        <v>69</v>
      </c>
      <c r="AA1530" t="s">
        <v>69</v>
      </c>
      <c r="AB1530" t="s">
        <v>69</v>
      </c>
      <c r="AC1530" t="s">
        <v>4942</v>
      </c>
      <c r="AD1530" t="s">
        <v>31903</v>
      </c>
      <c r="AE1530" t="s">
        <v>69</v>
      </c>
      <c r="AF1530" t="s">
        <v>31904</v>
      </c>
      <c r="AG1530" t="s">
        <v>69</v>
      </c>
      <c r="AH1530" t="s">
        <v>69</v>
      </c>
      <c r="AI1530" t="s">
        <v>69</v>
      </c>
      <c r="AJ1530" t="s">
        <v>69</v>
      </c>
      <c r="AK1530" t="s">
        <v>69</v>
      </c>
      <c r="AL1530" t="s">
        <v>69</v>
      </c>
      <c r="AM1530" t="s">
        <v>69</v>
      </c>
      <c r="AN1530">
        <v>0</v>
      </c>
      <c r="AO1530">
        <v>1</v>
      </c>
      <c r="AP1530">
        <v>1</v>
      </c>
      <c r="AQ1530">
        <v>0</v>
      </c>
      <c r="AR1530">
        <v>0</v>
      </c>
      <c r="AS1530" t="s">
        <v>31905</v>
      </c>
      <c r="AT1530" t="s">
        <v>8637</v>
      </c>
      <c r="AU1530" t="s">
        <v>31286</v>
      </c>
      <c r="AV1530" t="s">
        <v>4943</v>
      </c>
      <c r="AW1530" t="s">
        <v>69</v>
      </c>
      <c r="AX1530" t="s">
        <v>69</v>
      </c>
      <c r="AY1530" t="s">
        <v>31906</v>
      </c>
      <c r="AZ1530" t="s">
        <v>31907</v>
      </c>
      <c r="BA1530" t="s">
        <v>381</v>
      </c>
      <c r="BB1530">
        <v>1999</v>
      </c>
      <c r="BC1530">
        <v>48</v>
      </c>
      <c r="BD1530">
        <v>5</v>
      </c>
      <c r="BE1530" t="s">
        <v>69</v>
      </c>
      <c r="BF1530" t="s">
        <v>69</v>
      </c>
      <c r="BG1530" t="s">
        <v>69</v>
      </c>
      <c r="BH1530" t="s">
        <v>69</v>
      </c>
      <c r="BI1530">
        <v>186</v>
      </c>
      <c r="BJ1530">
        <v>190</v>
      </c>
      <c r="BK1530" t="s">
        <v>69</v>
      </c>
      <c r="BL1530" t="s">
        <v>31908</v>
      </c>
      <c r="BM1530" t="str">
        <f>HYPERLINK("http://dx.doi.org/10.2166/aqua.1999.0020","http://dx.doi.org/10.2166/aqua.1999.0020")</f>
        <v>http://dx.doi.org/10.2166/aqua.1999.0020</v>
      </c>
      <c r="BN1530" t="s">
        <v>69</v>
      </c>
      <c r="BO1530" t="s">
        <v>69</v>
      </c>
      <c r="BP1530">
        <v>5</v>
      </c>
      <c r="BQ1530" t="s">
        <v>9229</v>
      </c>
      <c r="BR1530" t="s">
        <v>8548</v>
      </c>
      <c r="BS1530" t="s">
        <v>9230</v>
      </c>
      <c r="BT1530" t="s">
        <v>31909</v>
      </c>
      <c r="BU1530" t="s">
        <v>4944</v>
      </c>
      <c r="BV1530" t="s">
        <v>69</v>
      </c>
      <c r="BW1530" t="s">
        <v>69</v>
      </c>
      <c r="BX1530" t="s">
        <v>69</v>
      </c>
      <c r="BY1530" t="s">
        <v>69</v>
      </c>
      <c r="BZ1530" t="s">
        <v>8526</v>
      </c>
      <c r="CA1530" t="str">
        <f>HYPERLINK("https%3A%2F%2Fwww.webofscience.com%2Fwos%2Fwoscc%2Ffull-record%2FWOS:000083211800002","View Full Record in Web of Science")</f>
        <v>View Full Record in Web of Science</v>
      </c>
    </row>
    <row r="1531" spans="2:79" ht="12.5" x14ac:dyDescent="0.25">
      <c r="B1531" t="s">
        <v>8495</v>
      </c>
      <c r="D1531" s="7" t="s">
        <v>32933</v>
      </c>
      <c r="E1531" s="7"/>
      <c r="F1531" s="7"/>
      <c r="G1531" s="7"/>
      <c r="H1531" t="s">
        <v>67</v>
      </c>
      <c r="I1531" t="s">
        <v>7197</v>
      </c>
      <c r="J1531" t="s">
        <v>69</v>
      </c>
      <c r="K1531" t="s">
        <v>69</v>
      </c>
      <c r="L1531" t="s">
        <v>69</v>
      </c>
      <c r="M1531" t="s">
        <v>7198</v>
      </c>
      <c r="N1531" t="s">
        <v>69</v>
      </c>
      <c r="O1531" t="s">
        <v>69</v>
      </c>
      <c r="P1531" t="s">
        <v>7199</v>
      </c>
      <c r="Q1531" t="s">
        <v>7200</v>
      </c>
      <c r="R1531" t="s">
        <v>69</v>
      </c>
      <c r="S1531" t="s">
        <v>69</v>
      </c>
      <c r="T1531" t="s">
        <v>8505</v>
      </c>
      <c r="U1531" t="s">
        <v>8506</v>
      </c>
      <c r="V1531" t="s">
        <v>69</v>
      </c>
      <c r="W1531" t="s">
        <v>69</v>
      </c>
      <c r="X1531" t="s">
        <v>69</v>
      </c>
      <c r="Y1531" t="s">
        <v>69</v>
      </c>
      <c r="Z1531" t="s">
        <v>69</v>
      </c>
      <c r="AA1531" t="s">
        <v>21717</v>
      </c>
      <c r="AB1531" t="s">
        <v>69</v>
      </c>
      <c r="AC1531" t="s">
        <v>7201</v>
      </c>
      <c r="AD1531" t="s">
        <v>21718</v>
      </c>
      <c r="AE1531" t="s">
        <v>69</v>
      </c>
      <c r="AF1531" t="s">
        <v>21719</v>
      </c>
      <c r="AG1531" t="s">
        <v>21720</v>
      </c>
      <c r="AH1531" t="s">
        <v>69</v>
      </c>
      <c r="AI1531" t="s">
        <v>69</v>
      </c>
      <c r="AJ1531" t="s">
        <v>69</v>
      </c>
      <c r="AK1531" t="s">
        <v>69</v>
      </c>
      <c r="AL1531" t="s">
        <v>69</v>
      </c>
      <c r="AM1531" t="s">
        <v>69</v>
      </c>
      <c r="AN1531">
        <v>4</v>
      </c>
      <c r="AO1531">
        <v>2</v>
      </c>
      <c r="AP1531">
        <v>2</v>
      </c>
      <c r="AQ1531">
        <v>0</v>
      </c>
      <c r="AR1531">
        <v>22</v>
      </c>
      <c r="AS1531" t="s">
        <v>9203</v>
      </c>
      <c r="AT1531" t="s">
        <v>8763</v>
      </c>
      <c r="AU1531" t="s">
        <v>9204</v>
      </c>
      <c r="AV1531" t="s">
        <v>7202</v>
      </c>
      <c r="AW1531" t="s">
        <v>7203</v>
      </c>
      <c r="AX1531" t="s">
        <v>69</v>
      </c>
      <c r="AY1531" t="s">
        <v>9348</v>
      </c>
      <c r="AZ1531" t="s">
        <v>9349</v>
      </c>
      <c r="BA1531" t="s">
        <v>7204</v>
      </c>
      <c r="BB1531">
        <v>2016</v>
      </c>
      <c r="BC1531">
        <v>74</v>
      </c>
      <c r="BD1531" t="s">
        <v>69</v>
      </c>
      <c r="BE1531" t="s">
        <v>69</v>
      </c>
      <c r="BF1531" t="s">
        <v>69</v>
      </c>
      <c r="BG1531" t="s">
        <v>69</v>
      </c>
      <c r="BH1531" t="s">
        <v>69</v>
      </c>
      <c r="BI1531" t="s">
        <v>69</v>
      </c>
      <c r="BJ1531" t="s">
        <v>69</v>
      </c>
      <c r="BK1531">
        <v>15</v>
      </c>
      <c r="BL1531" t="s">
        <v>7205</v>
      </c>
      <c r="BM1531" t="str">
        <f>HYPERLINK("http://dx.doi.org/10.1186/s13690-016-0128-x","http://dx.doi.org/10.1186/s13690-016-0128-x")</f>
        <v>http://dx.doi.org/10.1186/s13690-016-0128-x</v>
      </c>
      <c r="BN1531" t="s">
        <v>69</v>
      </c>
      <c r="BO1531" t="s">
        <v>69</v>
      </c>
      <c r="BP1531">
        <v>4</v>
      </c>
      <c r="BQ1531" t="s">
        <v>8810</v>
      </c>
      <c r="BR1531" t="s">
        <v>8573</v>
      </c>
      <c r="BS1531" t="s">
        <v>8810</v>
      </c>
      <c r="BT1531" t="s">
        <v>21721</v>
      </c>
      <c r="BU1531" t="s">
        <v>7206</v>
      </c>
      <c r="BV1531">
        <v>27127626</v>
      </c>
      <c r="BW1531" t="s">
        <v>9352</v>
      </c>
      <c r="BX1531" t="s">
        <v>69</v>
      </c>
      <c r="BY1531" t="s">
        <v>69</v>
      </c>
      <c r="BZ1531" t="s">
        <v>8526</v>
      </c>
      <c r="CA1531" t="str">
        <f>HYPERLINK("https%3A%2F%2Fwww.webofscience.com%2Fwos%2Fwoscc%2Ffull-record%2FWOS:000377525500001","View Full Record in Web of Science")</f>
        <v>View Full Record in Web of Science</v>
      </c>
    </row>
    <row r="1532" spans="2:79" ht="12.5" x14ac:dyDescent="0.25">
      <c r="B1532" t="s">
        <v>8495</v>
      </c>
      <c r="D1532" s="7" t="s">
        <v>32933</v>
      </c>
      <c r="E1532" s="7"/>
      <c r="F1532" s="7"/>
      <c r="G1532" s="7"/>
      <c r="H1532" t="s">
        <v>67</v>
      </c>
      <c r="I1532" t="s">
        <v>6781</v>
      </c>
      <c r="J1532" t="s">
        <v>69</v>
      </c>
      <c r="K1532" t="s">
        <v>69</v>
      </c>
      <c r="L1532" t="s">
        <v>69</v>
      </c>
      <c r="M1532" t="s">
        <v>6782</v>
      </c>
      <c r="N1532" t="s">
        <v>69</v>
      </c>
      <c r="O1532" t="s">
        <v>69</v>
      </c>
      <c r="P1532" t="s">
        <v>6783</v>
      </c>
      <c r="Q1532" t="s">
        <v>6784</v>
      </c>
      <c r="R1532" t="s">
        <v>69</v>
      </c>
      <c r="S1532" t="s">
        <v>69</v>
      </c>
      <c r="T1532" t="s">
        <v>8505</v>
      </c>
      <c r="U1532" t="s">
        <v>8506</v>
      </c>
      <c r="V1532" t="s">
        <v>69</v>
      </c>
      <c r="W1532" t="s">
        <v>69</v>
      </c>
      <c r="X1532" t="s">
        <v>69</v>
      </c>
      <c r="Y1532" t="s">
        <v>69</v>
      </c>
      <c r="Z1532" t="s">
        <v>69</v>
      </c>
      <c r="AA1532" t="s">
        <v>16226</v>
      </c>
      <c r="AB1532" t="s">
        <v>16227</v>
      </c>
      <c r="AC1532" t="s">
        <v>6785</v>
      </c>
      <c r="AD1532" t="s">
        <v>16228</v>
      </c>
      <c r="AE1532" t="s">
        <v>69</v>
      </c>
      <c r="AF1532" t="s">
        <v>16229</v>
      </c>
      <c r="AG1532" t="s">
        <v>16230</v>
      </c>
      <c r="AH1532" t="s">
        <v>6786</v>
      </c>
      <c r="AI1532" t="s">
        <v>6787</v>
      </c>
      <c r="AJ1532" t="s">
        <v>16231</v>
      </c>
      <c r="AK1532" t="s">
        <v>16232</v>
      </c>
      <c r="AL1532" t="s">
        <v>16233</v>
      </c>
      <c r="AM1532" t="s">
        <v>69</v>
      </c>
      <c r="AN1532">
        <v>32</v>
      </c>
      <c r="AO1532">
        <v>2</v>
      </c>
      <c r="AP1532">
        <v>2</v>
      </c>
      <c r="AQ1532">
        <v>9</v>
      </c>
      <c r="AR1532">
        <v>20</v>
      </c>
      <c r="AS1532" t="s">
        <v>16234</v>
      </c>
      <c r="AT1532" t="s">
        <v>16235</v>
      </c>
      <c r="AU1532" t="s">
        <v>16236</v>
      </c>
      <c r="AV1532" t="s">
        <v>6788</v>
      </c>
      <c r="AW1532" t="s">
        <v>6789</v>
      </c>
      <c r="AX1532" t="s">
        <v>69</v>
      </c>
      <c r="AY1532" t="s">
        <v>16237</v>
      </c>
      <c r="AZ1532" t="s">
        <v>16238</v>
      </c>
      <c r="BA1532" t="s">
        <v>69</v>
      </c>
      <c r="BB1532">
        <v>2020</v>
      </c>
      <c r="BC1532">
        <v>61</v>
      </c>
      <c r="BD1532">
        <v>133</v>
      </c>
      <c r="BE1532" t="s">
        <v>69</v>
      </c>
      <c r="BF1532" t="s">
        <v>69</v>
      </c>
      <c r="BG1532" t="s">
        <v>69</v>
      </c>
      <c r="BH1532" t="s">
        <v>69</v>
      </c>
      <c r="BI1532">
        <v>91</v>
      </c>
      <c r="BJ1532">
        <v>98</v>
      </c>
      <c r="BK1532" t="s">
        <v>69</v>
      </c>
      <c r="BL1532" t="s">
        <v>6790</v>
      </c>
      <c r="BM1532" t="str">
        <f>HYPERLINK("http://dx.doi.org/10.17402/404","http://dx.doi.org/10.17402/404")</f>
        <v>http://dx.doi.org/10.17402/404</v>
      </c>
      <c r="BN1532" t="s">
        <v>69</v>
      </c>
      <c r="BO1532" t="s">
        <v>69</v>
      </c>
      <c r="BP1532">
        <v>8</v>
      </c>
      <c r="BQ1532" t="s">
        <v>16239</v>
      </c>
      <c r="BR1532" t="s">
        <v>8573</v>
      </c>
      <c r="BS1532" t="s">
        <v>8445</v>
      </c>
      <c r="BT1532" t="s">
        <v>16240</v>
      </c>
      <c r="BU1532" t="s">
        <v>6791</v>
      </c>
      <c r="BV1532" t="s">
        <v>69</v>
      </c>
      <c r="BW1532" t="s">
        <v>69</v>
      </c>
      <c r="BX1532" t="s">
        <v>69</v>
      </c>
      <c r="BY1532" t="s">
        <v>69</v>
      </c>
      <c r="BZ1532" t="s">
        <v>8526</v>
      </c>
      <c r="CA1532" t="str">
        <f>HYPERLINK("https%3A%2F%2Fwww.webofscience.com%2Fwos%2Fwoscc%2Ffull-record%2FWOS:000523293400012","View Full Record in Web of Science")</f>
        <v>View Full Record in Web of Science</v>
      </c>
    </row>
    <row r="1533" spans="2:79" ht="12.5" x14ac:dyDescent="0.25">
      <c r="B1533" t="s">
        <v>8495</v>
      </c>
      <c r="D1533" s="22" t="s">
        <v>32931</v>
      </c>
      <c r="E1533" s="7"/>
      <c r="F1533" s="7"/>
      <c r="G1533" s="7"/>
      <c r="H1533" t="s">
        <v>67</v>
      </c>
      <c r="I1533" t="s">
        <v>16389</v>
      </c>
      <c r="J1533" t="s">
        <v>69</v>
      </c>
      <c r="K1533" t="s">
        <v>69</v>
      </c>
      <c r="L1533" t="s">
        <v>69</v>
      </c>
      <c r="M1533" t="s">
        <v>16390</v>
      </c>
      <c r="N1533" t="s">
        <v>69</v>
      </c>
      <c r="O1533" t="s">
        <v>69</v>
      </c>
      <c r="P1533" t="s">
        <v>16391</v>
      </c>
      <c r="Q1533" t="s">
        <v>16392</v>
      </c>
      <c r="R1533" t="s">
        <v>69</v>
      </c>
      <c r="S1533" t="s">
        <v>69</v>
      </c>
      <c r="T1533" t="s">
        <v>8505</v>
      </c>
      <c r="U1533" t="s">
        <v>8506</v>
      </c>
      <c r="V1533" t="s">
        <v>69</v>
      </c>
      <c r="W1533" t="s">
        <v>69</v>
      </c>
      <c r="X1533" t="s">
        <v>69</v>
      </c>
      <c r="Y1533" t="s">
        <v>69</v>
      </c>
      <c r="Z1533" t="s">
        <v>69</v>
      </c>
      <c r="AA1533" t="s">
        <v>16393</v>
      </c>
      <c r="AB1533" t="s">
        <v>16394</v>
      </c>
      <c r="AC1533" t="s">
        <v>16395</v>
      </c>
      <c r="AD1533" t="s">
        <v>16396</v>
      </c>
      <c r="AE1533" t="s">
        <v>69</v>
      </c>
      <c r="AF1533" t="s">
        <v>16397</v>
      </c>
      <c r="AG1533" t="s">
        <v>16398</v>
      </c>
      <c r="AH1533" t="s">
        <v>16399</v>
      </c>
      <c r="AI1533" t="s">
        <v>16400</v>
      </c>
      <c r="AJ1533" t="s">
        <v>69</v>
      </c>
      <c r="AK1533" t="s">
        <v>69</v>
      </c>
      <c r="AL1533" t="s">
        <v>69</v>
      </c>
      <c r="AM1533" t="s">
        <v>69</v>
      </c>
      <c r="AN1533">
        <v>89</v>
      </c>
      <c r="AO1533">
        <v>17</v>
      </c>
      <c r="AP1533">
        <v>17</v>
      </c>
      <c r="AQ1533">
        <v>1</v>
      </c>
      <c r="AR1533">
        <v>13</v>
      </c>
      <c r="AS1533" t="s">
        <v>8516</v>
      </c>
      <c r="AT1533" t="s">
        <v>8517</v>
      </c>
      <c r="AU1533" t="s">
        <v>8518</v>
      </c>
      <c r="AV1533" t="s">
        <v>16401</v>
      </c>
      <c r="AW1533" t="s">
        <v>16402</v>
      </c>
      <c r="AX1533" t="s">
        <v>69</v>
      </c>
      <c r="AY1533" t="s">
        <v>16403</v>
      </c>
      <c r="AZ1533" t="s">
        <v>16404</v>
      </c>
      <c r="BA1533" t="s">
        <v>75</v>
      </c>
      <c r="BB1533">
        <v>2019</v>
      </c>
      <c r="BC1533">
        <v>53</v>
      </c>
      <c r="BD1533" t="s">
        <v>69</v>
      </c>
      <c r="BE1533" t="s">
        <v>69</v>
      </c>
      <c r="BF1533" t="s">
        <v>69</v>
      </c>
      <c r="BG1533" t="s">
        <v>69</v>
      </c>
      <c r="BH1533" t="s">
        <v>69</v>
      </c>
      <c r="BI1533">
        <v>57</v>
      </c>
      <c r="BJ1533">
        <v>70</v>
      </c>
      <c r="BK1533" t="s">
        <v>69</v>
      </c>
      <c r="BL1533" t="s">
        <v>16405</v>
      </c>
      <c r="BM1533" t="str">
        <f>HYPERLINK("http://dx.doi.org/10.1016/j.esd.2019.08.003","http://dx.doi.org/10.1016/j.esd.2019.08.003")</f>
        <v>http://dx.doi.org/10.1016/j.esd.2019.08.003</v>
      </c>
      <c r="BN1533" t="s">
        <v>69</v>
      </c>
      <c r="BO1533" t="s">
        <v>69</v>
      </c>
      <c r="BP1533">
        <v>14</v>
      </c>
      <c r="BQ1533" t="s">
        <v>9931</v>
      </c>
      <c r="BR1533" t="s">
        <v>8523</v>
      </c>
      <c r="BS1533" t="s">
        <v>9932</v>
      </c>
      <c r="BT1533" t="s">
        <v>16406</v>
      </c>
      <c r="BU1533" t="s">
        <v>16407</v>
      </c>
      <c r="BV1533" t="s">
        <v>69</v>
      </c>
      <c r="BW1533" t="s">
        <v>10995</v>
      </c>
      <c r="BX1533" t="s">
        <v>69</v>
      </c>
      <c r="BY1533" t="s">
        <v>69</v>
      </c>
      <c r="BZ1533" t="s">
        <v>8526</v>
      </c>
      <c r="CA1533" t="str">
        <f>HYPERLINK("https%3A%2F%2Fwww.webofscience.com%2Fwos%2Fwoscc%2Ffull-record%2FWOS:000505180700004","View Full Record in Web of Science")</f>
        <v>View Full Record in Web of Science</v>
      </c>
    </row>
    <row r="1534" spans="2:79" ht="12.5" x14ac:dyDescent="0.25">
      <c r="B1534" t="s">
        <v>8495</v>
      </c>
      <c r="D1534" s="7" t="s">
        <v>32933</v>
      </c>
      <c r="E1534" s="7"/>
      <c r="F1534" s="7"/>
      <c r="G1534" s="7"/>
      <c r="H1534" t="s">
        <v>67</v>
      </c>
      <c r="I1534" t="s">
        <v>6731</v>
      </c>
      <c r="J1534" t="s">
        <v>69</v>
      </c>
      <c r="K1534" t="s">
        <v>69</v>
      </c>
      <c r="L1534" t="s">
        <v>69</v>
      </c>
      <c r="M1534" t="s">
        <v>6731</v>
      </c>
      <c r="N1534" t="s">
        <v>69</v>
      </c>
      <c r="O1534" t="s">
        <v>69</v>
      </c>
      <c r="P1534" t="s">
        <v>6732</v>
      </c>
      <c r="Q1534" t="s">
        <v>100</v>
      </c>
      <c r="R1534" t="s">
        <v>69</v>
      </c>
      <c r="S1534" t="s">
        <v>69</v>
      </c>
      <c r="T1534" t="s">
        <v>8505</v>
      </c>
      <c r="U1534" t="s">
        <v>15797</v>
      </c>
      <c r="V1534" t="s">
        <v>6733</v>
      </c>
      <c r="W1534" t="s">
        <v>6734</v>
      </c>
      <c r="X1534" t="s">
        <v>6735</v>
      </c>
      <c r="Y1534" t="s">
        <v>6736</v>
      </c>
      <c r="Z1534" t="s">
        <v>69</v>
      </c>
      <c r="AA1534" t="s">
        <v>31326</v>
      </c>
      <c r="AB1534" t="s">
        <v>69</v>
      </c>
      <c r="AC1534" t="s">
        <v>6737</v>
      </c>
      <c r="AD1534" t="s">
        <v>31327</v>
      </c>
      <c r="AE1534" t="s">
        <v>69</v>
      </c>
      <c r="AF1534" t="s">
        <v>31328</v>
      </c>
      <c r="AG1534" t="s">
        <v>69</v>
      </c>
      <c r="AH1534" t="s">
        <v>69</v>
      </c>
      <c r="AI1534" t="s">
        <v>69</v>
      </c>
      <c r="AJ1534" t="s">
        <v>69</v>
      </c>
      <c r="AK1534" t="s">
        <v>69</v>
      </c>
      <c r="AL1534" t="s">
        <v>69</v>
      </c>
      <c r="AM1534" t="s">
        <v>69</v>
      </c>
      <c r="AN1534">
        <v>0</v>
      </c>
      <c r="AO1534">
        <v>1</v>
      </c>
      <c r="AP1534">
        <v>1</v>
      </c>
      <c r="AQ1534">
        <v>0</v>
      </c>
      <c r="AR1534">
        <v>24</v>
      </c>
      <c r="AS1534" t="s">
        <v>31329</v>
      </c>
      <c r="AT1534" t="s">
        <v>8763</v>
      </c>
      <c r="AU1534" t="s">
        <v>15468</v>
      </c>
      <c r="AV1534" t="s">
        <v>102</v>
      </c>
      <c r="AW1534" t="s">
        <v>69</v>
      </c>
      <c r="AX1534" t="s">
        <v>69</v>
      </c>
      <c r="AY1534" t="s">
        <v>15469</v>
      </c>
      <c r="AZ1534" t="s">
        <v>15470</v>
      </c>
      <c r="BA1534" t="s">
        <v>69</v>
      </c>
      <c r="BB1534">
        <v>2003</v>
      </c>
      <c r="BC1534">
        <v>47</v>
      </c>
      <c r="BD1534" t="s">
        <v>3849</v>
      </c>
      <c r="BE1534" t="s">
        <v>69</v>
      </c>
      <c r="BF1534" t="s">
        <v>69</v>
      </c>
      <c r="BG1534" t="s">
        <v>69</v>
      </c>
      <c r="BH1534" t="s">
        <v>69</v>
      </c>
      <c r="BI1534">
        <v>73</v>
      </c>
      <c r="BJ1534">
        <v>79</v>
      </c>
      <c r="BK1534" t="s">
        <v>69</v>
      </c>
      <c r="BL1534" t="s">
        <v>31330</v>
      </c>
      <c r="BM1534" t="str">
        <f>HYPERLINK("http://dx.doi.org/10.2166/wst.2003.0673","http://dx.doi.org/10.2166/wst.2003.0673")</f>
        <v>http://dx.doi.org/10.2166/wst.2003.0673</v>
      </c>
      <c r="BN1534" t="s">
        <v>69</v>
      </c>
      <c r="BO1534" t="s">
        <v>69</v>
      </c>
      <c r="BP1534">
        <v>7</v>
      </c>
      <c r="BQ1534" t="s">
        <v>10687</v>
      </c>
      <c r="BR1534" t="s">
        <v>29550</v>
      </c>
      <c r="BS1534" t="s">
        <v>10688</v>
      </c>
      <c r="BT1534" t="s">
        <v>31331</v>
      </c>
      <c r="BU1534" t="s">
        <v>6738</v>
      </c>
      <c r="BV1534">
        <v>12793664</v>
      </c>
      <c r="BW1534" t="s">
        <v>69</v>
      </c>
      <c r="BX1534" t="s">
        <v>69</v>
      </c>
      <c r="BY1534" t="s">
        <v>69</v>
      </c>
      <c r="BZ1534" t="s">
        <v>8526</v>
      </c>
      <c r="CA1534" t="str">
        <f>HYPERLINK("https%3A%2F%2Fwww.webofscience.com%2Fwos%2Fwoscc%2Ffull-record%2FWOS:000183453700010","View Full Record in Web of Science")</f>
        <v>View Full Record in Web of Science</v>
      </c>
    </row>
    <row r="1535" spans="2:79" ht="12.5" x14ac:dyDescent="0.25">
      <c r="B1535" t="s">
        <v>8495</v>
      </c>
      <c r="D1535" s="7" t="s">
        <v>32933</v>
      </c>
      <c r="E1535" s="7"/>
      <c r="F1535" s="7"/>
      <c r="G1535" s="7"/>
      <c r="H1535" t="s">
        <v>67</v>
      </c>
      <c r="I1535" t="s">
        <v>3020</v>
      </c>
      <c r="J1535" t="s">
        <v>69</v>
      </c>
      <c r="K1535" t="s">
        <v>69</v>
      </c>
      <c r="L1535" t="s">
        <v>69</v>
      </c>
      <c r="M1535" t="s">
        <v>3021</v>
      </c>
      <c r="N1535" t="s">
        <v>69</v>
      </c>
      <c r="O1535" t="s">
        <v>69</v>
      </c>
      <c r="P1535" t="s">
        <v>3022</v>
      </c>
      <c r="Q1535" t="s">
        <v>790</v>
      </c>
      <c r="R1535" t="s">
        <v>69</v>
      </c>
      <c r="S1535" t="s">
        <v>69</v>
      </c>
      <c r="T1535" t="s">
        <v>8505</v>
      </c>
      <c r="U1535" t="s">
        <v>8506</v>
      </c>
      <c r="V1535" t="s">
        <v>69</v>
      </c>
      <c r="W1535" t="s">
        <v>69</v>
      </c>
      <c r="X1535" t="s">
        <v>69</v>
      </c>
      <c r="Y1535" t="s">
        <v>69</v>
      </c>
      <c r="Z1535" t="s">
        <v>69</v>
      </c>
      <c r="AA1535" t="s">
        <v>22567</v>
      </c>
      <c r="AB1535" t="s">
        <v>22568</v>
      </c>
      <c r="AC1535" t="s">
        <v>3023</v>
      </c>
      <c r="AD1535" t="s">
        <v>22569</v>
      </c>
      <c r="AE1535" t="s">
        <v>69</v>
      </c>
      <c r="AF1535" t="s">
        <v>22570</v>
      </c>
      <c r="AG1535" t="s">
        <v>20103</v>
      </c>
      <c r="AH1535" t="s">
        <v>69</v>
      </c>
      <c r="AI1535" t="s">
        <v>69</v>
      </c>
      <c r="AJ1535" t="s">
        <v>22571</v>
      </c>
      <c r="AK1535" t="s">
        <v>22571</v>
      </c>
      <c r="AL1535" t="s">
        <v>22572</v>
      </c>
      <c r="AM1535" t="s">
        <v>69</v>
      </c>
      <c r="AN1535">
        <v>55</v>
      </c>
      <c r="AO1535">
        <v>18</v>
      </c>
      <c r="AP1535">
        <v>18</v>
      </c>
      <c r="AQ1535">
        <v>0</v>
      </c>
      <c r="AR1535">
        <v>18</v>
      </c>
      <c r="AS1535" t="s">
        <v>8846</v>
      </c>
      <c r="AT1535" t="s">
        <v>8847</v>
      </c>
      <c r="AU1535" t="s">
        <v>8848</v>
      </c>
      <c r="AV1535" t="s">
        <v>792</v>
      </c>
      <c r="AW1535" t="s">
        <v>793</v>
      </c>
      <c r="AX1535" t="s">
        <v>69</v>
      </c>
      <c r="AY1535" t="s">
        <v>15534</v>
      </c>
      <c r="AZ1535" t="s">
        <v>15535</v>
      </c>
      <c r="BA1535" t="s">
        <v>84</v>
      </c>
      <c r="BB1535">
        <v>2015</v>
      </c>
      <c r="BC1535">
        <v>15</v>
      </c>
      <c r="BD1535">
        <v>3</v>
      </c>
      <c r="BE1535" t="s">
        <v>69</v>
      </c>
      <c r="BF1535" t="s">
        <v>69</v>
      </c>
      <c r="BG1535" t="s">
        <v>114</v>
      </c>
      <c r="BH1535" t="s">
        <v>69</v>
      </c>
      <c r="BI1535">
        <v>307</v>
      </c>
      <c r="BJ1535">
        <v>324</v>
      </c>
      <c r="BK1535" t="s">
        <v>69</v>
      </c>
      <c r="BL1535" t="s">
        <v>3024</v>
      </c>
      <c r="BM1535" t="str">
        <f>HYPERLINK("http://dx.doi.org/10.1111/glob.12080","http://dx.doi.org/10.1111/glob.12080")</f>
        <v>http://dx.doi.org/10.1111/glob.12080</v>
      </c>
      <c r="BN1535" t="s">
        <v>69</v>
      </c>
      <c r="BO1535" t="s">
        <v>69</v>
      </c>
      <c r="BP1535">
        <v>18</v>
      </c>
      <c r="BQ1535" t="s">
        <v>15536</v>
      </c>
      <c r="BR1535" t="s">
        <v>8661</v>
      </c>
      <c r="BS1535" t="s">
        <v>15536</v>
      </c>
      <c r="BT1535" t="s">
        <v>22573</v>
      </c>
      <c r="BU1535" t="s">
        <v>3025</v>
      </c>
      <c r="BV1535" t="s">
        <v>69</v>
      </c>
      <c r="BW1535" t="s">
        <v>8746</v>
      </c>
      <c r="BX1535" t="s">
        <v>69</v>
      </c>
      <c r="BY1535" t="s">
        <v>69</v>
      </c>
      <c r="BZ1535" t="s">
        <v>8526</v>
      </c>
      <c r="CA1535" t="str">
        <f>HYPERLINK("https%3A%2F%2Fwww.webofscience.com%2Fwos%2Fwoscc%2Ffull-record%2FWOS:000356006500003","View Full Record in Web of Science")</f>
        <v>View Full Record in Web of Science</v>
      </c>
    </row>
    <row r="1536" spans="2:79" ht="12.5" x14ac:dyDescent="0.25">
      <c r="B1536" t="s">
        <v>8495</v>
      </c>
      <c r="D1536" s="22" t="s">
        <v>32931</v>
      </c>
      <c r="E1536" s="7"/>
      <c r="F1536" s="7"/>
      <c r="G1536" s="7"/>
      <c r="H1536" t="s">
        <v>67</v>
      </c>
      <c r="I1536" t="s">
        <v>9826</v>
      </c>
      <c r="J1536" t="s">
        <v>69</v>
      </c>
      <c r="K1536" t="s">
        <v>69</v>
      </c>
      <c r="L1536" t="s">
        <v>69</v>
      </c>
      <c r="M1536" t="s">
        <v>9827</v>
      </c>
      <c r="N1536" t="s">
        <v>69</v>
      </c>
      <c r="O1536" t="s">
        <v>69</v>
      </c>
      <c r="P1536" t="s">
        <v>9828</v>
      </c>
      <c r="Q1536" t="s">
        <v>436</v>
      </c>
      <c r="R1536" t="s">
        <v>69</v>
      </c>
      <c r="S1536" t="s">
        <v>69</v>
      </c>
      <c r="T1536" t="s">
        <v>8505</v>
      </c>
      <c r="U1536" t="s">
        <v>8506</v>
      </c>
      <c r="V1536" t="s">
        <v>69</v>
      </c>
      <c r="W1536" t="s">
        <v>69</v>
      </c>
      <c r="X1536" t="s">
        <v>69</v>
      </c>
      <c r="Y1536" t="s">
        <v>69</v>
      </c>
      <c r="Z1536" t="s">
        <v>69</v>
      </c>
      <c r="AA1536" t="s">
        <v>9829</v>
      </c>
      <c r="AB1536" t="s">
        <v>9830</v>
      </c>
      <c r="AC1536" t="s">
        <v>9831</v>
      </c>
      <c r="AD1536" t="s">
        <v>9832</v>
      </c>
      <c r="AE1536" t="s">
        <v>69</v>
      </c>
      <c r="AF1536" t="s">
        <v>9833</v>
      </c>
      <c r="AG1536" t="s">
        <v>9834</v>
      </c>
      <c r="AH1536" t="s">
        <v>9835</v>
      </c>
      <c r="AI1536" t="s">
        <v>9836</v>
      </c>
      <c r="AJ1536" t="s">
        <v>9837</v>
      </c>
      <c r="AK1536" t="s">
        <v>9838</v>
      </c>
      <c r="AL1536" t="s">
        <v>9839</v>
      </c>
      <c r="AM1536" t="s">
        <v>69</v>
      </c>
      <c r="AN1536">
        <v>55</v>
      </c>
      <c r="AO1536">
        <v>0</v>
      </c>
      <c r="AP1536">
        <v>0</v>
      </c>
      <c r="AQ1536">
        <v>1</v>
      </c>
      <c r="AR1536">
        <v>1</v>
      </c>
      <c r="AS1536" t="s">
        <v>8636</v>
      </c>
      <c r="AT1536" t="s">
        <v>8637</v>
      </c>
      <c r="AU1536" t="s">
        <v>8638</v>
      </c>
      <c r="AV1536" t="s">
        <v>440</v>
      </c>
      <c r="AW1536" t="s">
        <v>441</v>
      </c>
      <c r="AX1536" t="s">
        <v>69</v>
      </c>
      <c r="AY1536" t="s">
        <v>8639</v>
      </c>
      <c r="AZ1536" t="s">
        <v>8640</v>
      </c>
      <c r="BA1536" t="s">
        <v>5487</v>
      </c>
      <c r="BB1536">
        <v>2022</v>
      </c>
      <c r="BC1536">
        <v>337</v>
      </c>
      <c r="BD1536" t="s">
        <v>69</v>
      </c>
      <c r="BE1536" t="s">
        <v>69</v>
      </c>
      <c r="BF1536" t="s">
        <v>69</v>
      </c>
      <c r="BG1536" t="s">
        <v>69</v>
      </c>
      <c r="BH1536" t="s">
        <v>69</v>
      </c>
      <c r="BI1536" t="s">
        <v>69</v>
      </c>
      <c r="BJ1536" t="s">
        <v>69</v>
      </c>
      <c r="BK1536">
        <v>130496</v>
      </c>
      <c r="BL1536" t="s">
        <v>9840</v>
      </c>
      <c r="BM1536" t="str">
        <f>HYPERLINK("http://dx.doi.org/10.1016/j.jclepro.2022.130496","http://dx.doi.org/10.1016/j.jclepro.2022.130496")</f>
        <v>http://dx.doi.org/10.1016/j.jclepro.2022.130496</v>
      </c>
      <c r="BN1536" t="s">
        <v>69</v>
      </c>
      <c r="BO1536" t="s">
        <v>69</v>
      </c>
      <c r="BP1536">
        <v>19</v>
      </c>
      <c r="BQ1536" t="s">
        <v>8643</v>
      </c>
      <c r="BR1536" t="s">
        <v>8523</v>
      </c>
      <c r="BS1536" t="s">
        <v>8644</v>
      </c>
      <c r="BT1536" t="s">
        <v>9841</v>
      </c>
      <c r="BU1536" t="s">
        <v>9842</v>
      </c>
      <c r="BV1536" t="s">
        <v>69</v>
      </c>
      <c r="BW1536" t="s">
        <v>8622</v>
      </c>
      <c r="BX1536" t="s">
        <v>69</v>
      </c>
      <c r="BY1536" t="s">
        <v>69</v>
      </c>
      <c r="BZ1536" t="s">
        <v>8526</v>
      </c>
      <c r="CA1536" t="str">
        <f>HYPERLINK("https%3A%2F%2Fwww.webofscience.com%2Fwos%2Fwoscc%2Ffull-record%2FWOS:000771528500002","View Full Record in Web of Science")</f>
        <v>View Full Record in Web of Science</v>
      </c>
    </row>
    <row r="1537" spans="1:79" ht="12.5" x14ac:dyDescent="0.25">
      <c r="B1537" t="s">
        <v>8495</v>
      </c>
      <c r="D1537" s="7" t="s">
        <v>32933</v>
      </c>
      <c r="E1537" s="7"/>
      <c r="F1537" s="7"/>
      <c r="G1537" s="7"/>
      <c r="H1537" t="s">
        <v>67</v>
      </c>
      <c r="I1537" t="s">
        <v>5966</v>
      </c>
      <c r="J1537" t="s">
        <v>69</v>
      </c>
      <c r="K1537" t="s">
        <v>69</v>
      </c>
      <c r="L1537" t="s">
        <v>69</v>
      </c>
      <c r="M1537" t="s">
        <v>5967</v>
      </c>
      <c r="N1537" t="s">
        <v>69</v>
      </c>
      <c r="O1537" t="s">
        <v>69</v>
      </c>
      <c r="P1537" t="s">
        <v>5968</v>
      </c>
      <c r="Q1537" t="s">
        <v>352</v>
      </c>
      <c r="R1537" t="s">
        <v>69</v>
      </c>
      <c r="S1537" t="s">
        <v>69</v>
      </c>
      <c r="T1537" t="s">
        <v>8505</v>
      </c>
      <c r="U1537" t="s">
        <v>8506</v>
      </c>
      <c r="V1537" t="s">
        <v>69</v>
      </c>
      <c r="W1537" t="s">
        <v>69</v>
      </c>
      <c r="X1537" t="s">
        <v>69</v>
      </c>
      <c r="Y1537" t="s">
        <v>69</v>
      </c>
      <c r="Z1537" t="s">
        <v>69</v>
      </c>
      <c r="AA1537" t="s">
        <v>19020</v>
      </c>
      <c r="AB1537" t="s">
        <v>19021</v>
      </c>
      <c r="AC1537" t="s">
        <v>5969</v>
      </c>
      <c r="AD1537" t="s">
        <v>19022</v>
      </c>
      <c r="AE1537" t="s">
        <v>69</v>
      </c>
      <c r="AF1537" t="s">
        <v>19023</v>
      </c>
      <c r="AG1537" t="s">
        <v>19024</v>
      </c>
      <c r="AH1537" t="s">
        <v>5970</v>
      </c>
      <c r="AI1537" t="s">
        <v>5971</v>
      </c>
      <c r="AJ1537" t="s">
        <v>19025</v>
      </c>
      <c r="AK1537" t="s">
        <v>19026</v>
      </c>
      <c r="AL1537" t="s">
        <v>19027</v>
      </c>
      <c r="AM1537" t="s">
        <v>69</v>
      </c>
      <c r="AN1537">
        <v>139</v>
      </c>
      <c r="AO1537">
        <v>12</v>
      </c>
      <c r="AP1537">
        <v>12</v>
      </c>
      <c r="AQ1537">
        <v>6</v>
      </c>
      <c r="AR1537">
        <v>55</v>
      </c>
      <c r="AS1537" t="s">
        <v>8924</v>
      </c>
      <c r="AT1537" t="s">
        <v>8925</v>
      </c>
      <c r="AU1537" t="s">
        <v>8926</v>
      </c>
      <c r="AV1537" t="s">
        <v>69</v>
      </c>
      <c r="AW1537" t="s">
        <v>354</v>
      </c>
      <c r="AX1537" t="s">
        <v>69</v>
      </c>
      <c r="AY1537" t="s">
        <v>8958</v>
      </c>
      <c r="AZ1537" t="s">
        <v>8434</v>
      </c>
      <c r="BA1537" t="s">
        <v>246</v>
      </c>
      <c r="BB1537">
        <v>2018</v>
      </c>
      <c r="BC1537">
        <v>10</v>
      </c>
      <c r="BD1537">
        <v>4</v>
      </c>
      <c r="BE1537" t="s">
        <v>69</v>
      </c>
      <c r="BF1537" t="s">
        <v>69</v>
      </c>
      <c r="BG1537" t="s">
        <v>69</v>
      </c>
      <c r="BH1537" t="s">
        <v>69</v>
      </c>
      <c r="BI1537" t="s">
        <v>69</v>
      </c>
      <c r="BJ1537" t="s">
        <v>69</v>
      </c>
      <c r="BK1537">
        <v>1204</v>
      </c>
      <c r="BL1537" t="s">
        <v>5972</v>
      </c>
      <c r="BM1537" t="str">
        <f>HYPERLINK("http://dx.doi.org/10.3390/su10041204","http://dx.doi.org/10.3390/su10041204")</f>
        <v>http://dx.doi.org/10.3390/su10041204</v>
      </c>
      <c r="BN1537" t="s">
        <v>69</v>
      </c>
      <c r="BO1537" t="s">
        <v>69</v>
      </c>
      <c r="BP1537">
        <v>22</v>
      </c>
      <c r="BQ1537" t="s">
        <v>8960</v>
      </c>
      <c r="BR1537" t="s">
        <v>8523</v>
      </c>
      <c r="BS1537" t="s">
        <v>8961</v>
      </c>
      <c r="BT1537" t="s">
        <v>18998</v>
      </c>
      <c r="BU1537" t="s">
        <v>5973</v>
      </c>
      <c r="BV1537" t="s">
        <v>69</v>
      </c>
      <c r="BW1537" t="s">
        <v>12220</v>
      </c>
      <c r="BX1537" t="s">
        <v>69</v>
      </c>
      <c r="BY1537" t="s">
        <v>69</v>
      </c>
      <c r="BZ1537" t="s">
        <v>8526</v>
      </c>
      <c r="CA1537" t="str">
        <f>HYPERLINK("https%3A%2F%2Fwww.webofscience.com%2Fwos%2Fwoscc%2Ffull-record%2FWOS:000435188000308","View Full Record in Web of Science")</f>
        <v>View Full Record in Web of Science</v>
      </c>
    </row>
    <row r="1538" spans="1:79" x14ac:dyDescent="0.3">
      <c r="A1538" t="s">
        <v>8408</v>
      </c>
      <c r="B1538" t="s">
        <v>8495</v>
      </c>
      <c r="D1538" s="10" t="s">
        <v>33194</v>
      </c>
      <c r="F1538" s="10" t="s">
        <v>8490</v>
      </c>
      <c r="H1538" t="s">
        <v>67</v>
      </c>
      <c r="I1538" t="s">
        <v>6250</v>
      </c>
      <c r="J1538" t="s">
        <v>69</v>
      </c>
      <c r="K1538" t="s">
        <v>69</v>
      </c>
      <c r="L1538" t="s">
        <v>69</v>
      </c>
      <c r="M1538" s="2" t="s">
        <v>6251</v>
      </c>
      <c r="N1538" t="s">
        <v>69</v>
      </c>
      <c r="O1538" t="s">
        <v>69</v>
      </c>
      <c r="P1538" s="2" t="s">
        <v>6252</v>
      </c>
      <c r="Q1538" t="s">
        <v>6253</v>
      </c>
      <c r="R1538" t="s">
        <v>69</v>
      </c>
      <c r="S1538" t="s">
        <v>69</v>
      </c>
      <c r="T1538" t="s">
        <v>8505</v>
      </c>
      <c r="U1538" t="s">
        <v>8506</v>
      </c>
      <c r="V1538" t="s">
        <v>69</v>
      </c>
      <c r="W1538" t="s">
        <v>69</v>
      </c>
      <c r="X1538" t="s">
        <v>69</v>
      </c>
      <c r="Y1538" t="s">
        <v>69</v>
      </c>
      <c r="Z1538" t="s">
        <v>69</v>
      </c>
      <c r="AA1538" t="s">
        <v>13840</v>
      </c>
      <c r="AB1538" t="s">
        <v>13841</v>
      </c>
      <c r="AC1538" t="s">
        <v>6254</v>
      </c>
      <c r="AD1538" t="s">
        <v>13842</v>
      </c>
      <c r="AE1538" t="s">
        <v>69</v>
      </c>
      <c r="AF1538" t="s">
        <v>13843</v>
      </c>
      <c r="AG1538" t="s">
        <v>13844</v>
      </c>
      <c r="AH1538" t="s">
        <v>69</v>
      </c>
      <c r="AI1538" t="s">
        <v>13845</v>
      </c>
      <c r="AJ1538" t="s">
        <v>69</v>
      </c>
      <c r="AK1538" t="s">
        <v>69</v>
      </c>
      <c r="AL1538" t="s">
        <v>69</v>
      </c>
      <c r="AM1538" t="s">
        <v>69</v>
      </c>
      <c r="AN1538">
        <v>63</v>
      </c>
      <c r="AO1538">
        <v>2</v>
      </c>
      <c r="AP1538">
        <v>2</v>
      </c>
      <c r="AQ1538">
        <v>0</v>
      </c>
      <c r="AR1538">
        <v>7</v>
      </c>
      <c r="AS1538" t="s">
        <v>8846</v>
      </c>
      <c r="AT1538" t="s">
        <v>8847</v>
      </c>
      <c r="AU1538" t="s">
        <v>8848</v>
      </c>
      <c r="AV1538" t="s">
        <v>6255</v>
      </c>
      <c r="AW1538" t="s">
        <v>6256</v>
      </c>
      <c r="AX1538" t="s">
        <v>69</v>
      </c>
      <c r="AY1538" t="s">
        <v>11971</v>
      </c>
      <c r="AZ1538" t="s">
        <v>11972</v>
      </c>
      <c r="BA1538" t="s">
        <v>373</v>
      </c>
      <c r="BB1538">
        <v>2021</v>
      </c>
      <c r="BC1538">
        <v>15</v>
      </c>
      <c r="BD1538">
        <v>1</v>
      </c>
      <c r="BE1538" t="s">
        <v>69</v>
      </c>
      <c r="BF1538" t="s">
        <v>69</v>
      </c>
      <c r="BG1538" t="s">
        <v>69</v>
      </c>
      <c r="BH1538" t="s">
        <v>69</v>
      </c>
      <c r="BI1538">
        <v>226</v>
      </c>
      <c r="BJ1538">
        <v>242</v>
      </c>
      <c r="BK1538" t="s">
        <v>69</v>
      </c>
      <c r="BL1538" t="s">
        <v>6257</v>
      </c>
      <c r="BM1538" t="str">
        <f>HYPERLINK("http://dx.doi.org/10.1111/rego.12284","http://dx.doi.org/10.1111/rego.12284")</f>
        <v>http://dx.doi.org/10.1111/rego.12284</v>
      </c>
      <c r="BN1538" t="s">
        <v>69</v>
      </c>
      <c r="BO1538" t="s">
        <v>69</v>
      </c>
      <c r="BP1538">
        <v>17</v>
      </c>
      <c r="BQ1538" t="s">
        <v>11974</v>
      </c>
      <c r="BR1538" t="s">
        <v>8661</v>
      </c>
      <c r="BS1538" t="s">
        <v>10440</v>
      </c>
      <c r="BT1538" t="s">
        <v>13846</v>
      </c>
      <c r="BU1538" t="s">
        <v>6258</v>
      </c>
      <c r="BV1538" t="s">
        <v>69</v>
      </c>
      <c r="BW1538" t="s">
        <v>8746</v>
      </c>
      <c r="BX1538" t="s">
        <v>69</v>
      </c>
      <c r="BY1538" t="s">
        <v>69</v>
      </c>
      <c r="BZ1538" t="s">
        <v>8526</v>
      </c>
      <c r="CA1538" t="str">
        <f>HYPERLINK("https%3A%2F%2Fwww.webofscience.com%2Fwos%2Fwoscc%2Ffull-record%2FWOS:000604196300013","View Full Record in Web of Science")</f>
        <v>View Full Record in Web of Science</v>
      </c>
    </row>
    <row r="1539" spans="1:79" ht="12.5" x14ac:dyDescent="0.25">
      <c r="B1539" t="s">
        <v>8495</v>
      </c>
      <c r="D1539" s="22" t="s">
        <v>32931</v>
      </c>
      <c r="E1539" s="7"/>
      <c r="F1539" s="7"/>
      <c r="G1539" s="7"/>
      <c r="H1539" t="s">
        <v>67</v>
      </c>
      <c r="I1539" t="s">
        <v>26836</v>
      </c>
      <c r="J1539" t="s">
        <v>69</v>
      </c>
      <c r="K1539" t="s">
        <v>69</v>
      </c>
      <c r="L1539" t="s">
        <v>69</v>
      </c>
      <c r="M1539" t="s">
        <v>26837</v>
      </c>
      <c r="N1539" t="s">
        <v>69</v>
      </c>
      <c r="O1539" t="s">
        <v>69</v>
      </c>
      <c r="P1539" t="s">
        <v>26838</v>
      </c>
      <c r="Q1539" t="s">
        <v>12317</v>
      </c>
      <c r="R1539" t="s">
        <v>69</v>
      </c>
      <c r="S1539" t="s">
        <v>69</v>
      </c>
      <c r="T1539" t="s">
        <v>8505</v>
      </c>
      <c r="U1539" t="s">
        <v>8506</v>
      </c>
      <c r="V1539" t="s">
        <v>69</v>
      </c>
      <c r="W1539" t="s">
        <v>69</v>
      </c>
      <c r="X1539" t="s">
        <v>69</v>
      </c>
      <c r="Y1539" t="s">
        <v>69</v>
      </c>
      <c r="Z1539" t="s">
        <v>69</v>
      </c>
      <c r="AA1539" t="s">
        <v>69</v>
      </c>
      <c r="AB1539" t="s">
        <v>26839</v>
      </c>
      <c r="AC1539" t="s">
        <v>26840</v>
      </c>
      <c r="AD1539" t="s">
        <v>26841</v>
      </c>
      <c r="AE1539" t="s">
        <v>69</v>
      </c>
      <c r="AF1539" t="s">
        <v>26842</v>
      </c>
      <c r="AG1539" t="s">
        <v>26843</v>
      </c>
      <c r="AH1539" t="s">
        <v>26844</v>
      </c>
      <c r="AI1539" t="s">
        <v>26845</v>
      </c>
      <c r="AJ1539" t="s">
        <v>69</v>
      </c>
      <c r="AK1539" t="s">
        <v>69</v>
      </c>
      <c r="AL1539" t="s">
        <v>69</v>
      </c>
      <c r="AM1539" t="s">
        <v>69</v>
      </c>
      <c r="AN1539">
        <v>39</v>
      </c>
      <c r="AO1539">
        <v>12</v>
      </c>
      <c r="AP1539">
        <v>12</v>
      </c>
      <c r="AQ1539">
        <v>0</v>
      </c>
      <c r="AR1539">
        <v>11</v>
      </c>
      <c r="AS1539" t="s">
        <v>18749</v>
      </c>
      <c r="AT1539" t="s">
        <v>8763</v>
      </c>
      <c r="AU1539" t="s">
        <v>18750</v>
      </c>
      <c r="AV1539" t="s">
        <v>12325</v>
      </c>
      <c r="AW1539" t="s">
        <v>69</v>
      </c>
      <c r="AX1539" t="s">
        <v>69</v>
      </c>
      <c r="AY1539" t="s">
        <v>12326</v>
      </c>
      <c r="AZ1539" t="s">
        <v>12327</v>
      </c>
      <c r="BA1539" t="s">
        <v>2406</v>
      </c>
      <c r="BB1539">
        <v>2011</v>
      </c>
      <c r="BC1539">
        <v>11</v>
      </c>
      <c r="BD1539" t="s">
        <v>69</v>
      </c>
      <c r="BE1539" t="s">
        <v>69</v>
      </c>
      <c r="BF1539" t="s">
        <v>69</v>
      </c>
      <c r="BG1539" t="s">
        <v>69</v>
      </c>
      <c r="BH1539" t="s">
        <v>69</v>
      </c>
      <c r="BI1539" t="s">
        <v>69</v>
      </c>
      <c r="BJ1539" t="s">
        <v>69</v>
      </c>
      <c r="BK1539">
        <v>200</v>
      </c>
      <c r="BL1539" t="s">
        <v>26846</v>
      </c>
      <c r="BM1539" t="str">
        <f>HYPERLINK("http://dx.doi.org/10.1186/1472-6963-11-200","http://dx.doi.org/10.1186/1472-6963-11-200")</f>
        <v>http://dx.doi.org/10.1186/1472-6963-11-200</v>
      </c>
      <c r="BN1539" t="s">
        <v>69</v>
      </c>
      <c r="BO1539" t="s">
        <v>69</v>
      </c>
      <c r="BP1539">
        <v>10</v>
      </c>
      <c r="BQ1539" t="s">
        <v>9209</v>
      </c>
      <c r="BR1539" t="s">
        <v>8523</v>
      </c>
      <c r="BS1539" t="s">
        <v>9209</v>
      </c>
      <c r="BT1539" t="s">
        <v>26847</v>
      </c>
      <c r="BU1539" t="s">
        <v>26848</v>
      </c>
      <c r="BV1539">
        <v>21854634</v>
      </c>
      <c r="BW1539" t="s">
        <v>14771</v>
      </c>
      <c r="BX1539" t="s">
        <v>69</v>
      </c>
      <c r="BY1539" t="s">
        <v>69</v>
      </c>
      <c r="BZ1539" t="s">
        <v>8526</v>
      </c>
      <c r="CA1539" t="str">
        <f>HYPERLINK("https%3A%2F%2Fwww.webofscience.com%2Fwos%2Fwoscc%2Ffull-record%2FWOS:000294736000001","View Full Record in Web of Science")</f>
        <v>View Full Record in Web of Science</v>
      </c>
    </row>
    <row r="1540" spans="1:79" ht="12.5" x14ac:dyDescent="0.25">
      <c r="B1540" t="s">
        <v>8495</v>
      </c>
      <c r="D1540" s="22" t="s">
        <v>32931</v>
      </c>
      <c r="E1540" s="7"/>
      <c r="F1540" s="7"/>
      <c r="G1540" s="7"/>
      <c r="H1540" t="s">
        <v>67</v>
      </c>
      <c r="I1540" t="s">
        <v>32070</v>
      </c>
      <c r="J1540" t="s">
        <v>69</v>
      </c>
      <c r="K1540" t="s">
        <v>69</v>
      </c>
      <c r="L1540" t="s">
        <v>69</v>
      </c>
      <c r="M1540" t="s">
        <v>32070</v>
      </c>
      <c r="N1540" t="s">
        <v>69</v>
      </c>
      <c r="O1540" t="s">
        <v>69</v>
      </c>
      <c r="P1540" t="s">
        <v>32071</v>
      </c>
      <c r="Q1540" t="s">
        <v>32072</v>
      </c>
      <c r="R1540" t="s">
        <v>69</v>
      </c>
      <c r="S1540" t="s">
        <v>69</v>
      </c>
      <c r="T1540" t="s">
        <v>8505</v>
      </c>
      <c r="U1540" t="s">
        <v>8506</v>
      </c>
      <c r="V1540" t="s">
        <v>69</v>
      </c>
      <c r="W1540" t="s">
        <v>69</v>
      </c>
      <c r="X1540" t="s">
        <v>69</v>
      </c>
      <c r="Y1540" t="s">
        <v>69</v>
      </c>
      <c r="Z1540" t="s">
        <v>69</v>
      </c>
      <c r="AA1540" t="s">
        <v>32073</v>
      </c>
      <c r="AB1540" t="s">
        <v>69</v>
      </c>
      <c r="AC1540" t="s">
        <v>32074</v>
      </c>
      <c r="AD1540" t="s">
        <v>69</v>
      </c>
      <c r="AE1540" t="s">
        <v>69</v>
      </c>
      <c r="AF1540" t="s">
        <v>32075</v>
      </c>
      <c r="AG1540" t="s">
        <v>69</v>
      </c>
      <c r="AH1540" t="s">
        <v>69</v>
      </c>
      <c r="AI1540" t="s">
        <v>69</v>
      </c>
      <c r="AJ1540" t="s">
        <v>69</v>
      </c>
      <c r="AK1540" t="s">
        <v>69</v>
      </c>
      <c r="AL1540" t="s">
        <v>69</v>
      </c>
      <c r="AM1540" t="s">
        <v>69</v>
      </c>
      <c r="AN1540">
        <v>6</v>
      </c>
      <c r="AO1540">
        <v>1</v>
      </c>
      <c r="AP1540">
        <v>1</v>
      </c>
      <c r="AQ1540">
        <v>0</v>
      </c>
      <c r="AR1540">
        <v>15</v>
      </c>
      <c r="AS1540" t="s">
        <v>32076</v>
      </c>
      <c r="AT1540" t="s">
        <v>32077</v>
      </c>
      <c r="AU1540" t="s">
        <v>32078</v>
      </c>
      <c r="AV1540" t="s">
        <v>32079</v>
      </c>
      <c r="AW1540" t="s">
        <v>69</v>
      </c>
      <c r="AX1540" t="s">
        <v>69</v>
      </c>
      <c r="AY1540" t="s">
        <v>32080</v>
      </c>
      <c r="AZ1540" t="s">
        <v>32081</v>
      </c>
      <c r="BA1540" t="s">
        <v>1226</v>
      </c>
      <c r="BB1540">
        <v>1998</v>
      </c>
      <c r="BC1540">
        <v>6</v>
      </c>
      <c r="BD1540">
        <v>4</v>
      </c>
      <c r="BE1540" t="s">
        <v>69</v>
      </c>
      <c r="BF1540" t="s">
        <v>69</v>
      </c>
      <c r="BG1540" t="s">
        <v>69</v>
      </c>
      <c r="BH1540" t="s">
        <v>69</v>
      </c>
      <c r="BI1540">
        <v>165</v>
      </c>
      <c r="BJ1540">
        <v>169</v>
      </c>
      <c r="BK1540" t="s">
        <v>69</v>
      </c>
      <c r="BL1540" t="s">
        <v>69</v>
      </c>
      <c r="BM1540" t="s">
        <v>69</v>
      </c>
      <c r="BN1540" t="s">
        <v>69</v>
      </c>
      <c r="BO1540" t="s">
        <v>69</v>
      </c>
      <c r="BP1540">
        <v>5</v>
      </c>
      <c r="BQ1540" t="s">
        <v>14769</v>
      </c>
      <c r="BR1540" t="s">
        <v>8548</v>
      </c>
      <c r="BS1540" t="s">
        <v>14769</v>
      </c>
      <c r="BT1540" t="s">
        <v>32082</v>
      </c>
      <c r="BU1540" t="s">
        <v>32083</v>
      </c>
      <c r="BV1540" t="s">
        <v>69</v>
      </c>
      <c r="BW1540" t="s">
        <v>69</v>
      </c>
      <c r="BX1540" t="s">
        <v>69</v>
      </c>
      <c r="BY1540" t="s">
        <v>69</v>
      </c>
      <c r="BZ1540" t="s">
        <v>8526</v>
      </c>
      <c r="CA1540" t="str">
        <f>HYPERLINK("https%3A%2F%2Fwww.webofscience.com%2Fwos%2Fwoscc%2Ffull-record%2FWOS:000074601000005","View Full Record in Web of Science")</f>
        <v>View Full Record in Web of Science</v>
      </c>
    </row>
    <row r="1541" spans="1:79" ht="12.5" x14ac:dyDescent="0.25">
      <c r="B1541" t="s">
        <v>8495</v>
      </c>
      <c r="D1541" s="7" t="s">
        <v>32933</v>
      </c>
      <c r="E1541" s="7"/>
      <c r="F1541" s="7"/>
      <c r="G1541" s="7"/>
      <c r="H1541" t="s">
        <v>67</v>
      </c>
      <c r="I1541" t="s">
        <v>1640</v>
      </c>
      <c r="J1541" t="s">
        <v>69</v>
      </c>
      <c r="K1541" t="s">
        <v>69</v>
      </c>
      <c r="L1541" t="s">
        <v>69</v>
      </c>
      <c r="M1541" t="s">
        <v>1640</v>
      </c>
      <c r="N1541" t="s">
        <v>69</v>
      </c>
      <c r="O1541" t="s">
        <v>69</v>
      </c>
      <c r="P1541" t="s">
        <v>1641</v>
      </c>
      <c r="Q1541" t="s">
        <v>1642</v>
      </c>
      <c r="R1541" t="s">
        <v>69</v>
      </c>
      <c r="S1541" t="s">
        <v>69</v>
      </c>
      <c r="T1541" t="s">
        <v>8505</v>
      </c>
      <c r="U1541" t="s">
        <v>8506</v>
      </c>
      <c r="V1541" t="s">
        <v>69</v>
      </c>
      <c r="W1541" t="s">
        <v>69</v>
      </c>
      <c r="X1541" t="s">
        <v>69</v>
      </c>
      <c r="Y1541" t="s">
        <v>69</v>
      </c>
      <c r="Z1541" t="s">
        <v>69</v>
      </c>
      <c r="AA1541" t="s">
        <v>30594</v>
      </c>
      <c r="AB1541" t="s">
        <v>30595</v>
      </c>
      <c r="AC1541" t="s">
        <v>1643</v>
      </c>
      <c r="AD1541" t="s">
        <v>30596</v>
      </c>
      <c r="AE1541" t="s">
        <v>69</v>
      </c>
      <c r="AF1541" t="s">
        <v>30597</v>
      </c>
      <c r="AG1541" t="s">
        <v>30598</v>
      </c>
      <c r="AH1541" t="s">
        <v>30599</v>
      </c>
      <c r="AI1541" t="s">
        <v>30600</v>
      </c>
      <c r="AJ1541" t="s">
        <v>69</v>
      </c>
      <c r="AK1541" t="s">
        <v>69</v>
      </c>
      <c r="AL1541" t="s">
        <v>69</v>
      </c>
      <c r="AM1541" t="s">
        <v>69</v>
      </c>
      <c r="AN1541">
        <v>83</v>
      </c>
      <c r="AO1541">
        <v>136</v>
      </c>
      <c r="AP1541">
        <v>146</v>
      </c>
      <c r="AQ1541">
        <v>1</v>
      </c>
      <c r="AR1541">
        <v>63</v>
      </c>
      <c r="AS1541" t="s">
        <v>8636</v>
      </c>
      <c r="AT1541" t="s">
        <v>8637</v>
      </c>
      <c r="AU1541" t="s">
        <v>8638</v>
      </c>
      <c r="AV1541" t="s">
        <v>1644</v>
      </c>
      <c r="AW1541" t="s">
        <v>1645</v>
      </c>
      <c r="AX1541" t="s">
        <v>69</v>
      </c>
      <c r="AY1541" t="s">
        <v>16744</v>
      </c>
      <c r="AZ1541" t="s">
        <v>16745</v>
      </c>
      <c r="BA1541" t="s">
        <v>381</v>
      </c>
      <c r="BB1541">
        <v>2005</v>
      </c>
      <c r="BC1541">
        <v>125</v>
      </c>
      <c r="BD1541">
        <v>4</v>
      </c>
      <c r="BE1541" t="s">
        <v>69</v>
      </c>
      <c r="BF1541" t="s">
        <v>69</v>
      </c>
      <c r="BG1541" t="s">
        <v>69</v>
      </c>
      <c r="BH1541" t="s">
        <v>69</v>
      </c>
      <c r="BI1541">
        <v>441</v>
      </c>
      <c r="BJ1541">
        <v>458</v>
      </c>
      <c r="BK1541" t="s">
        <v>69</v>
      </c>
      <c r="BL1541" t="s">
        <v>1646</v>
      </c>
      <c r="BM1541" t="str">
        <f>HYPERLINK("http://dx.doi.org/10.1016/j.biocon.2005.04.019","http://dx.doi.org/10.1016/j.biocon.2005.04.019")</f>
        <v>http://dx.doi.org/10.1016/j.biocon.2005.04.019</v>
      </c>
      <c r="BN1541" t="s">
        <v>69</v>
      </c>
      <c r="BO1541" t="s">
        <v>69</v>
      </c>
      <c r="BP1541">
        <v>18</v>
      </c>
      <c r="BQ1541" t="s">
        <v>16747</v>
      </c>
      <c r="BR1541" t="s">
        <v>8523</v>
      </c>
      <c r="BS1541" t="s">
        <v>15452</v>
      </c>
      <c r="BT1541" t="s">
        <v>30601</v>
      </c>
      <c r="BU1541" t="s">
        <v>1647</v>
      </c>
      <c r="BV1541" t="s">
        <v>69</v>
      </c>
      <c r="BW1541" t="s">
        <v>69</v>
      </c>
      <c r="BX1541" t="s">
        <v>69</v>
      </c>
      <c r="BY1541" t="s">
        <v>69</v>
      </c>
      <c r="BZ1541" t="s">
        <v>8526</v>
      </c>
      <c r="CA1541" t="str">
        <f>HYPERLINK("https%3A%2F%2Fwww.webofscience.com%2Fwos%2Fwoscc%2Ffull-record%2FWOS:000230447100004","View Full Record in Web of Science")</f>
        <v>View Full Record in Web of Science</v>
      </c>
    </row>
    <row r="1542" spans="1:79" ht="12.5" x14ac:dyDescent="0.25">
      <c r="B1542" t="s">
        <v>8495</v>
      </c>
      <c r="D1542" s="7" t="s">
        <v>32933</v>
      </c>
      <c r="E1542" s="7"/>
      <c r="F1542" s="7"/>
      <c r="G1542" s="7"/>
      <c r="H1542" t="s">
        <v>67</v>
      </c>
      <c r="I1542" t="s">
        <v>1976</v>
      </c>
      <c r="J1542" t="s">
        <v>69</v>
      </c>
      <c r="K1542" t="s">
        <v>69</v>
      </c>
      <c r="L1542" t="s">
        <v>69</v>
      </c>
      <c r="M1542" t="s">
        <v>1977</v>
      </c>
      <c r="N1542" t="s">
        <v>69</v>
      </c>
      <c r="O1542" t="s">
        <v>69</v>
      </c>
      <c r="P1542" t="s">
        <v>1978</v>
      </c>
      <c r="Q1542" t="s">
        <v>1979</v>
      </c>
      <c r="R1542" t="s">
        <v>69</v>
      </c>
      <c r="S1542" t="s">
        <v>69</v>
      </c>
      <c r="T1542" t="s">
        <v>8505</v>
      </c>
      <c r="U1542" t="s">
        <v>8442</v>
      </c>
      <c r="V1542" t="s">
        <v>69</v>
      </c>
      <c r="W1542" t="s">
        <v>69</v>
      </c>
      <c r="X1542" t="s">
        <v>69</v>
      </c>
      <c r="Y1542" t="s">
        <v>69</v>
      </c>
      <c r="Z1542" t="s">
        <v>69</v>
      </c>
      <c r="AA1542" t="s">
        <v>15152</v>
      </c>
      <c r="AB1542" t="s">
        <v>15153</v>
      </c>
      <c r="AC1542" t="s">
        <v>1980</v>
      </c>
      <c r="AD1542" t="s">
        <v>15154</v>
      </c>
      <c r="AE1542" t="s">
        <v>69</v>
      </c>
      <c r="AF1542" t="s">
        <v>15155</v>
      </c>
      <c r="AG1542" t="s">
        <v>15156</v>
      </c>
      <c r="AH1542" t="s">
        <v>1981</v>
      </c>
      <c r="AI1542" t="s">
        <v>1982</v>
      </c>
      <c r="AJ1542" t="s">
        <v>15157</v>
      </c>
      <c r="AK1542" t="s">
        <v>15158</v>
      </c>
      <c r="AL1542" t="s">
        <v>15159</v>
      </c>
      <c r="AM1542" t="s">
        <v>69</v>
      </c>
      <c r="AN1542">
        <v>146</v>
      </c>
      <c r="AO1542">
        <v>12</v>
      </c>
      <c r="AP1542">
        <v>12</v>
      </c>
      <c r="AQ1542">
        <v>12</v>
      </c>
      <c r="AR1542">
        <v>59</v>
      </c>
      <c r="AS1542" t="s">
        <v>9047</v>
      </c>
      <c r="AT1542" t="s">
        <v>9048</v>
      </c>
      <c r="AU1542" t="s">
        <v>9049</v>
      </c>
      <c r="AV1542" t="s">
        <v>1983</v>
      </c>
      <c r="AW1542" t="s">
        <v>1984</v>
      </c>
      <c r="AX1542" t="s">
        <v>69</v>
      </c>
      <c r="AY1542" t="s">
        <v>15160</v>
      </c>
      <c r="AZ1542" t="s">
        <v>15161</v>
      </c>
      <c r="BA1542" t="s">
        <v>274</v>
      </c>
      <c r="BB1542">
        <v>2020</v>
      </c>
      <c r="BC1542">
        <v>42</v>
      </c>
      <c r="BD1542">
        <v>11</v>
      </c>
      <c r="BE1542" t="s">
        <v>69</v>
      </c>
      <c r="BF1542" t="s">
        <v>69</v>
      </c>
      <c r="BG1542" t="s">
        <v>69</v>
      </c>
      <c r="BH1542" t="s">
        <v>69</v>
      </c>
      <c r="BI1542">
        <v>3481</v>
      </c>
      <c r="BJ1542">
        <v>3505</v>
      </c>
      <c r="BK1542" t="s">
        <v>69</v>
      </c>
      <c r="BL1542" t="s">
        <v>1985</v>
      </c>
      <c r="BM1542" t="str">
        <f>HYPERLINK("http://dx.doi.org/10.1007/s10653-020-00594-3","http://dx.doi.org/10.1007/s10653-020-00594-3")</f>
        <v>http://dx.doi.org/10.1007/s10653-020-00594-3</v>
      </c>
      <c r="BN1542" t="s">
        <v>69</v>
      </c>
      <c r="BO1542" t="s">
        <v>732</v>
      </c>
      <c r="BP1542">
        <v>25</v>
      </c>
      <c r="BQ1542" t="s">
        <v>15162</v>
      </c>
      <c r="BR1542" t="s">
        <v>8523</v>
      </c>
      <c r="BS1542" t="s">
        <v>15163</v>
      </c>
      <c r="BT1542" t="s">
        <v>15164</v>
      </c>
      <c r="BU1542" t="s">
        <v>1986</v>
      </c>
      <c r="BV1542">
        <v>32435924</v>
      </c>
      <c r="BW1542" t="s">
        <v>69</v>
      </c>
      <c r="BX1542" t="s">
        <v>69</v>
      </c>
      <c r="BY1542" t="s">
        <v>69</v>
      </c>
      <c r="BZ1542" t="s">
        <v>8526</v>
      </c>
      <c r="CA1542" t="str">
        <f>HYPERLINK("https%3A%2F%2Fwww.webofscience.com%2Fwos%2Fwoscc%2Ffull-record%2FWOS:000534446400001","View Full Record in Web of Science")</f>
        <v>View Full Record in Web of Science</v>
      </c>
    </row>
    <row r="1543" spans="1:79" ht="12.5" x14ac:dyDescent="0.25">
      <c r="B1543" t="s">
        <v>8495</v>
      </c>
      <c r="D1543" s="7" t="s">
        <v>32933</v>
      </c>
      <c r="E1543" s="7"/>
      <c r="F1543" s="7"/>
      <c r="G1543" s="7"/>
      <c r="H1543" t="s">
        <v>67</v>
      </c>
      <c r="I1543" t="s">
        <v>5530</v>
      </c>
      <c r="J1543" t="s">
        <v>69</v>
      </c>
      <c r="K1543" t="s">
        <v>69</v>
      </c>
      <c r="L1543" t="s">
        <v>69</v>
      </c>
      <c r="M1543" t="s">
        <v>5531</v>
      </c>
      <c r="N1543" t="s">
        <v>69</v>
      </c>
      <c r="O1543" t="s">
        <v>69</v>
      </c>
      <c r="P1543" t="s">
        <v>5532</v>
      </c>
      <c r="Q1543" t="s">
        <v>5533</v>
      </c>
      <c r="R1543" t="s">
        <v>69</v>
      </c>
      <c r="S1543" t="s">
        <v>69</v>
      </c>
      <c r="T1543" t="s">
        <v>8505</v>
      </c>
      <c r="U1543" t="s">
        <v>8506</v>
      </c>
      <c r="V1543" t="s">
        <v>69</v>
      </c>
      <c r="W1543" t="s">
        <v>69</v>
      </c>
      <c r="X1543" t="s">
        <v>69</v>
      </c>
      <c r="Y1543" t="s">
        <v>69</v>
      </c>
      <c r="Z1543" t="s">
        <v>69</v>
      </c>
      <c r="AA1543" t="s">
        <v>15811</v>
      </c>
      <c r="AB1543" t="s">
        <v>15812</v>
      </c>
      <c r="AC1543" t="s">
        <v>5534</v>
      </c>
      <c r="AD1543" t="s">
        <v>15813</v>
      </c>
      <c r="AE1543" t="s">
        <v>69</v>
      </c>
      <c r="AF1543" t="s">
        <v>15814</v>
      </c>
      <c r="AG1543" t="s">
        <v>15815</v>
      </c>
      <c r="AH1543" t="s">
        <v>15816</v>
      </c>
      <c r="AI1543" t="s">
        <v>15817</v>
      </c>
      <c r="AJ1543" t="s">
        <v>15818</v>
      </c>
      <c r="AK1543" t="s">
        <v>15819</v>
      </c>
      <c r="AL1543" t="s">
        <v>15820</v>
      </c>
      <c r="AM1543" t="s">
        <v>69</v>
      </c>
      <c r="AN1543">
        <v>54</v>
      </c>
      <c r="AO1543">
        <v>6</v>
      </c>
      <c r="AP1543">
        <v>6</v>
      </c>
      <c r="AQ1543">
        <v>1</v>
      </c>
      <c r="AR1543">
        <v>7</v>
      </c>
      <c r="AS1543" t="s">
        <v>15821</v>
      </c>
      <c r="AT1543" t="s">
        <v>8735</v>
      </c>
      <c r="AU1543" t="s">
        <v>15822</v>
      </c>
      <c r="AV1543" t="s">
        <v>5535</v>
      </c>
      <c r="AW1543" t="s">
        <v>5536</v>
      </c>
      <c r="AX1543" t="s">
        <v>69</v>
      </c>
      <c r="AY1543" t="s">
        <v>15823</v>
      </c>
      <c r="AZ1543" t="s">
        <v>15824</v>
      </c>
      <c r="BA1543" t="s">
        <v>191</v>
      </c>
      <c r="BB1543">
        <v>2020</v>
      </c>
      <c r="BC1543">
        <v>56</v>
      </c>
      <c r="BD1543">
        <v>2</v>
      </c>
      <c r="BE1543" t="s">
        <v>69</v>
      </c>
      <c r="BF1543" t="s">
        <v>69</v>
      </c>
      <c r="BG1543" t="s">
        <v>69</v>
      </c>
      <c r="BH1543" t="s">
        <v>69</v>
      </c>
      <c r="BI1543" t="s">
        <v>69</v>
      </c>
      <c r="BJ1543" t="s">
        <v>69</v>
      </c>
      <c r="BK1543" t="s">
        <v>5537</v>
      </c>
      <c r="BL1543" t="s">
        <v>5538</v>
      </c>
      <c r="BM1543" t="str">
        <f>HYPERLINK("http://dx.doi.org/10.1029/2019WR026694","http://dx.doi.org/10.1029/2019WR026694")</f>
        <v>http://dx.doi.org/10.1029/2019WR026694</v>
      </c>
      <c r="BN1543" t="s">
        <v>69</v>
      </c>
      <c r="BO1543" t="s">
        <v>69</v>
      </c>
      <c r="BP1543">
        <v>16</v>
      </c>
      <c r="BQ1543" t="s">
        <v>15825</v>
      </c>
      <c r="BR1543" t="s">
        <v>8523</v>
      </c>
      <c r="BS1543" t="s">
        <v>15826</v>
      </c>
      <c r="BT1543" t="s">
        <v>15827</v>
      </c>
      <c r="BU1543" t="s">
        <v>5539</v>
      </c>
      <c r="BV1543" t="s">
        <v>69</v>
      </c>
      <c r="BW1543" t="s">
        <v>10423</v>
      </c>
      <c r="BX1543" t="s">
        <v>69</v>
      </c>
      <c r="BY1543" t="s">
        <v>69</v>
      </c>
      <c r="BZ1543" t="s">
        <v>8526</v>
      </c>
      <c r="CA1543" t="str">
        <f>HYPERLINK("https%3A%2F%2Fwww.webofscience.com%2Fwos%2Fwoscc%2Ffull-record%2FWOS:000535672800060","View Full Record in Web of Science")</f>
        <v>View Full Record in Web of Science</v>
      </c>
    </row>
    <row r="1544" spans="1:79" x14ac:dyDescent="0.3">
      <c r="B1544" t="s">
        <v>8495</v>
      </c>
      <c r="D1544" s="9" t="s">
        <v>32954</v>
      </c>
      <c r="E1544" s="9" t="s">
        <v>33165</v>
      </c>
      <c r="F1544" s="9" t="s">
        <v>8491</v>
      </c>
      <c r="G1544" s="9" t="s">
        <v>8490</v>
      </c>
      <c r="H1544" t="s">
        <v>67</v>
      </c>
      <c r="I1544" t="s">
        <v>25075</v>
      </c>
      <c r="J1544" t="s">
        <v>69</v>
      </c>
      <c r="K1544" t="s">
        <v>69</v>
      </c>
      <c r="L1544" t="s">
        <v>69</v>
      </c>
      <c r="M1544" t="s">
        <v>25076</v>
      </c>
      <c r="N1544" t="s">
        <v>69</v>
      </c>
      <c r="O1544" t="s">
        <v>69</v>
      </c>
      <c r="P1544" t="s">
        <v>25077</v>
      </c>
      <c r="Q1544" t="s">
        <v>3336</v>
      </c>
      <c r="R1544" t="s">
        <v>69</v>
      </c>
      <c r="S1544" t="s">
        <v>69</v>
      </c>
      <c r="T1544" t="s">
        <v>8505</v>
      </c>
      <c r="U1544" t="s">
        <v>8506</v>
      </c>
      <c r="V1544" t="s">
        <v>69</v>
      </c>
      <c r="W1544" t="s">
        <v>69</v>
      </c>
      <c r="X1544" t="s">
        <v>69</v>
      </c>
      <c r="Y1544" t="s">
        <v>69</v>
      </c>
      <c r="Z1544" t="s">
        <v>69</v>
      </c>
      <c r="AA1544" t="s">
        <v>25078</v>
      </c>
      <c r="AB1544" t="s">
        <v>25079</v>
      </c>
      <c r="AC1544" t="s">
        <v>25080</v>
      </c>
      <c r="AD1544" t="s">
        <v>25081</v>
      </c>
      <c r="AE1544" t="s">
        <v>69</v>
      </c>
      <c r="AF1544" t="s">
        <v>25082</v>
      </c>
      <c r="AG1544" t="s">
        <v>25083</v>
      </c>
      <c r="AH1544" t="s">
        <v>25084</v>
      </c>
      <c r="AI1544" t="s">
        <v>25085</v>
      </c>
      <c r="AJ1544" t="s">
        <v>69</v>
      </c>
      <c r="AK1544" t="s">
        <v>69</v>
      </c>
      <c r="AL1544" t="s">
        <v>69</v>
      </c>
      <c r="AM1544" t="s">
        <v>69</v>
      </c>
      <c r="AN1544">
        <v>41</v>
      </c>
      <c r="AO1544">
        <v>37</v>
      </c>
      <c r="AP1544">
        <v>37</v>
      </c>
      <c r="AQ1544">
        <v>0</v>
      </c>
      <c r="AR1544">
        <v>21</v>
      </c>
      <c r="AS1544" t="s">
        <v>17140</v>
      </c>
      <c r="AT1544" t="s">
        <v>8517</v>
      </c>
      <c r="AU1544" t="s">
        <v>17141</v>
      </c>
      <c r="AV1544" t="s">
        <v>3339</v>
      </c>
      <c r="AW1544" t="s">
        <v>3340</v>
      </c>
      <c r="AX1544" t="s">
        <v>69</v>
      </c>
      <c r="AY1544" t="s">
        <v>25086</v>
      </c>
      <c r="AZ1544" t="s">
        <v>25087</v>
      </c>
      <c r="BA1544" t="s">
        <v>246</v>
      </c>
      <c r="BB1544">
        <v>2013</v>
      </c>
      <c r="BC1544">
        <v>88</v>
      </c>
      <c r="BD1544" t="s">
        <v>69</v>
      </c>
      <c r="BE1544" t="s">
        <v>69</v>
      </c>
      <c r="BF1544" t="s">
        <v>69</v>
      </c>
      <c r="BG1544" t="s">
        <v>69</v>
      </c>
      <c r="BH1544" t="s">
        <v>69</v>
      </c>
      <c r="BI1544">
        <v>206</v>
      </c>
      <c r="BJ1544">
        <v>213</v>
      </c>
      <c r="BK1544" t="s">
        <v>69</v>
      </c>
      <c r="BL1544" t="s">
        <v>25088</v>
      </c>
      <c r="BM1544" t="str">
        <f>HYPERLINK("http://dx.doi.org/10.1016/j.ecolecon.2012.12.015","http://dx.doi.org/10.1016/j.ecolecon.2012.12.015")</f>
        <v>http://dx.doi.org/10.1016/j.ecolecon.2012.12.015</v>
      </c>
      <c r="BN1544" t="s">
        <v>69</v>
      </c>
      <c r="BO1544" t="s">
        <v>69</v>
      </c>
      <c r="BP1544">
        <v>8</v>
      </c>
      <c r="BQ1544" t="s">
        <v>25089</v>
      </c>
      <c r="BR1544" t="s">
        <v>8523</v>
      </c>
      <c r="BS1544" t="s">
        <v>25090</v>
      </c>
      <c r="BT1544" t="s">
        <v>25091</v>
      </c>
      <c r="BU1544" t="s">
        <v>25092</v>
      </c>
      <c r="BV1544" t="s">
        <v>69</v>
      </c>
      <c r="BW1544" t="s">
        <v>69</v>
      </c>
      <c r="BX1544" t="s">
        <v>69</v>
      </c>
      <c r="BY1544" t="s">
        <v>69</v>
      </c>
      <c r="BZ1544" t="s">
        <v>8526</v>
      </c>
      <c r="CA1544" t="str">
        <f>HYPERLINK("https%3A%2F%2Fwww.webofscience.com%2Fwos%2Fwoscc%2Ffull-record%2FWOS:000317709100026","View Full Record in Web of Science")</f>
        <v>View Full Record in Web of Science</v>
      </c>
    </row>
    <row r="1545" spans="1:79" ht="12.5" x14ac:dyDescent="0.25">
      <c r="B1545" t="s">
        <v>8495</v>
      </c>
      <c r="D1545" s="22" t="s">
        <v>32931</v>
      </c>
      <c r="E1545" s="7"/>
      <c r="F1545" s="7"/>
      <c r="G1545" s="7"/>
      <c r="H1545" t="s">
        <v>67</v>
      </c>
      <c r="I1545" t="s">
        <v>23779</v>
      </c>
      <c r="J1545" t="s">
        <v>69</v>
      </c>
      <c r="K1545" t="s">
        <v>69</v>
      </c>
      <c r="L1545" t="s">
        <v>69</v>
      </c>
      <c r="M1545" t="s">
        <v>23780</v>
      </c>
      <c r="N1545" t="s">
        <v>69</v>
      </c>
      <c r="O1545" t="s">
        <v>69</v>
      </c>
      <c r="P1545" t="s">
        <v>23781</v>
      </c>
      <c r="Q1545" t="s">
        <v>23782</v>
      </c>
      <c r="R1545" t="s">
        <v>69</v>
      </c>
      <c r="S1545" t="s">
        <v>69</v>
      </c>
      <c r="T1545" t="s">
        <v>8505</v>
      </c>
      <c r="U1545" t="s">
        <v>8506</v>
      </c>
      <c r="V1545" t="s">
        <v>69</v>
      </c>
      <c r="W1545" t="s">
        <v>69</v>
      </c>
      <c r="X1545" t="s">
        <v>69</v>
      </c>
      <c r="Y1545" t="s">
        <v>69</v>
      </c>
      <c r="Z1545" t="s">
        <v>69</v>
      </c>
      <c r="AA1545" t="s">
        <v>23783</v>
      </c>
      <c r="AB1545" t="s">
        <v>23784</v>
      </c>
      <c r="AC1545" t="s">
        <v>23785</v>
      </c>
      <c r="AD1545" t="s">
        <v>23786</v>
      </c>
      <c r="AE1545" t="s">
        <v>69</v>
      </c>
      <c r="AF1545" t="s">
        <v>23787</v>
      </c>
      <c r="AG1545" t="s">
        <v>23788</v>
      </c>
      <c r="AH1545" t="s">
        <v>23789</v>
      </c>
      <c r="AI1545" t="s">
        <v>23790</v>
      </c>
      <c r="AJ1545" t="s">
        <v>69</v>
      </c>
      <c r="AK1545" t="s">
        <v>69</v>
      </c>
      <c r="AL1545" t="s">
        <v>69</v>
      </c>
      <c r="AM1545" t="s">
        <v>69</v>
      </c>
      <c r="AN1545">
        <v>53</v>
      </c>
      <c r="AO1545">
        <v>0</v>
      </c>
      <c r="AP1545">
        <v>0</v>
      </c>
      <c r="AQ1545">
        <v>0</v>
      </c>
      <c r="AR1545">
        <v>1</v>
      </c>
      <c r="AS1545" t="s">
        <v>11360</v>
      </c>
      <c r="AT1545" t="s">
        <v>11361</v>
      </c>
      <c r="AU1545" t="s">
        <v>11362</v>
      </c>
      <c r="AV1545" t="s">
        <v>23791</v>
      </c>
      <c r="AW1545" t="s">
        <v>69</v>
      </c>
      <c r="AX1545" t="s">
        <v>69</v>
      </c>
      <c r="AY1545" t="s">
        <v>23792</v>
      </c>
      <c r="AZ1545" t="s">
        <v>23793</v>
      </c>
      <c r="BA1545" t="s">
        <v>155</v>
      </c>
      <c r="BB1545">
        <v>2014</v>
      </c>
      <c r="BC1545">
        <v>14</v>
      </c>
      <c r="BD1545">
        <v>2</v>
      </c>
      <c r="BE1545" t="s">
        <v>69</v>
      </c>
      <c r="BF1545" t="s">
        <v>69</v>
      </c>
      <c r="BG1545" t="s">
        <v>69</v>
      </c>
      <c r="BH1545" t="s">
        <v>69</v>
      </c>
      <c r="BI1545">
        <v>265</v>
      </c>
      <c r="BJ1545">
        <v>286</v>
      </c>
      <c r="BK1545" t="s">
        <v>69</v>
      </c>
      <c r="BL1545" t="s">
        <v>23794</v>
      </c>
      <c r="BM1545" t="str">
        <f>HYPERLINK("http://dx.doi.org/10.1515/gej-2013-0055","http://dx.doi.org/10.1515/gej-2013-0055")</f>
        <v>http://dx.doi.org/10.1515/gej-2013-0055</v>
      </c>
      <c r="BN1545" t="s">
        <v>69</v>
      </c>
      <c r="BO1545" t="s">
        <v>69</v>
      </c>
      <c r="BP1545">
        <v>22</v>
      </c>
      <c r="BQ1545" t="s">
        <v>9726</v>
      </c>
      <c r="BR1545" t="s">
        <v>8573</v>
      </c>
      <c r="BS1545" t="s">
        <v>8594</v>
      </c>
      <c r="BT1545" t="s">
        <v>23795</v>
      </c>
      <c r="BU1545" t="s">
        <v>23796</v>
      </c>
      <c r="BV1545" t="s">
        <v>69</v>
      </c>
      <c r="BW1545" t="s">
        <v>69</v>
      </c>
      <c r="BX1545" t="s">
        <v>69</v>
      </c>
      <c r="BY1545" t="s">
        <v>69</v>
      </c>
      <c r="BZ1545" t="s">
        <v>8526</v>
      </c>
      <c r="CA1545" t="str">
        <f>HYPERLINK("https%3A%2F%2Fwww.webofscience.com%2Fwos%2Fwoscc%2Ffull-record%2FWOS:000442229300007","View Full Record in Web of Science")</f>
        <v>View Full Record in Web of Science</v>
      </c>
    </row>
    <row r="1546" spans="1:79" ht="12.5" x14ac:dyDescent="0.25">
      <c r="B1546" t="s">
        <v>8495</v>
      </c>
      <c r="D1546" s="7" t="s">
        <v>32933</v>
      </c>
      <c r="E1546" s="7"/>
      <c r="F1546" s="7"/>
      <c r="G1546" s="7"/>
      <c r="H1546" t="s">
        <v>67</v>
      </c>
      <c r="I1546" t="s">
        <v>7836</v>
      </c>
      <c r="J1546" t="s">
        <v>69</v>
      </c>
      <c r="K1546" t="s">
        <v>69</v>
      </c>
      <c r="L1546" t="s">
        <v>69</v>
      </c>
      <c r="M1546" t="s">
        <v>7837</v>
      </c>
      <c r="N1546" t="s">
        <v>69</v>
      </c>
      <c r="O1546" t="s">
        <v>69</v>
      </c>
      <c r="P1546" t="s">
        <v>7838</v>
      </c>
      <c r="Q1546" t="s">
        <v>3722</v>
      </c>
      <c r="R1546" t="s">
        <v>69</v>
      </c>
      <c r="S1546" t="s">
        <v>69</v>
      </c>
      <c r="T1546" t="s">
        <v>8505</v>
      </c>
      <c r="U1546" t="s">
        <v>8506</v>
      </c>
      <c r="V1546" t="s">
        <v>69</v>
      </c>
      <c r="W1546" t="s">
        <v>69</v>
      </c>
      <c r="X1546" t="s">
        <v>69</v>
      </c>
      <c r="Y1546" t="s">
        <v>69</v>
      </c>
      <c r="Z1546" t="s">
        <v>69</v>
      </c>
      <c r="AA1546" t="s">
        <v>25126</v>
      </c>
      <c r="AB1546" t="s">
        <v>4739</v>
      </c>
      <c r="AC1546" t="s">
        <v>7839</v>
      </c>
      <c r="AD1546" t="s">
        <v>25127</v>
      </c>
      <c r="AE1546" t="s">
        <v>69</v>
      </c>
      <c r="AF1546" t="s">
        <v>25128</v>
      </c>
      <c r="AG1546" t="s">
        <v>69</v>
      </c>
      <c r="AH1546" t="s">
        <v>69</v>
      </c>
      <c r="AI1546" t="s">
        <v>69</v>
      </c>
      <c r="AJ1546" t="s">
        <v>69</v>
      </c>
      <c r="AK1546" t="s">
        <v>69</v>
      </c>
      <c r="AL1546" t="s">
        <v>69</v>
      </c>
      <c r="AM1546" t="s">
        <v>69</v>
      </c>
      <c r="AN1546">
        <v>19</v>
      </c>
      <c r="AO1546">
        <v>1</v>
      </c>
      <c r="AP1546">
        <v>1</v>
      </c>
      <c r="AQ1546">
        <v>0</v>
      </c>
      <c r="AR1546">
        <v>4</v>
      </c>
      <c r="AS1546" t="s">
        <v>13195</v>
      </c>
      <c r="AT1546" t="s">
        <v>13196</v>
      </c>
      <c r="AU1546" t="s">
        <v>13197</v>
      </c>
      <c r="AV1546" t="s">
        <v>3724</v>
      </c>
      <c r="AW1546" t="s">
        <v>7840</v>
      </c>
      <c r="AX1546" t="s">
        <v>69</v>
      </c>
      <c r="AY1546" t="s">
        <v>25129</v>
      </c>
      <c r="AZ1546" t="s">
        <v>25130</v>
      </c>
      <c r="BA1546" t="s">
        <v>94</v>
      </c>
      <c r="BB1546">
        <v>2013</v>
      </c>
      <c r="BC1546">
        <v>166</v>
      </c>
      <c r="BD1546">
        <v>1</v>
      </c>
      <c r="BE1546" t="s">
        <v>69</v>
      </c>
      <c r="BF1546" t="s">
        <v>69</v>
      </c>
      <c r="BG1546" t="s">
        <v>69</v>
      </c>
      <c r="BH1546" t="s">
        <v>69</v>
      </c>
      <c r="BI1546">
        <v>45</v>
      </c>
      <c r="BJ1546">
        <v>52</v>
      </c>
      <c r="BK1546" t="s">
        <v>69</v>
      </c>
      <c r="BL1546" t="s">
        <v>7841</v>
      </c>
      <c r="BM1546" t="str">
        <f>HYPERLINK("http://dx.doi.org/10.1680/muen.11.00039","http://dx.doi.org/10.1680/muen.11.00039")</f>
        <v>http://dx.doi.org/10.1680/muen.11.00039</v>
      </c>
      <c r="BN1546" t="s">
        <v>69</v>
      </c>
      <c r="BO1546" t="s">
        <v>69</v>
      </c>
      <c r="BP1546">
        <v>8</v>
      </c>
      <c r="BQ1546" t="s">
        <v>13537</v>
      </c>
      <c r="BR1546" t="s">
        <v>8548</v>
      </c>
      <c r="BS1546" t="s">
        <v>8445</v>
      </c>
      <c r="BT1546" t="s">
        <v>25131</v>
      </c>
      <c r="BU1546" t="s">
        <v>7842</v>
      </c>
      <c r="BV1546" t="s">
        <v>69</v>
      </c>
      <c r="BW1546" t="s">
        <v>69</v>
      </c>
      <c r="BX1546" t="s">
        <v>69</v>
      </c>
      <c r="BY1546" t="s">
        <v>69</v>
      </c>
      <c r="BZ1546" t="s">
        <v>8526</v>
      </c>
      <c r="CA1546" t="str">
        <f>HYPERLINK("https%3A%2F%2Fwww.webofscience.com%2Fwos%2Fwoscc%2Ffull-record%2FWOS:000322062400006","View Full Record in Web of Science")</f>
        <v>View Full Record in Web of Science</v>
      </c>
    </row>
    <row r="1547" spans="1:79" ht="12.5" x14ac:dyDescent="0.25">
      <c r="B1547" t="s">
        <v>8495</v>
      </c>
      <c r="D1547" s="7" t="s">
        <v>32933</v>
      </c>
      <c r="E1547" s="7"/>
      <c r="F1547" s="7"/>
      <c r="G1547" s="7"/>
      <c r="H1547" t="s">
        <v>67</v>
      </c>
      <c r="I1547" t="s">
        <v>4192</v>
      </c>
      <c r="J1547" t="s">
        <v>69</v>
      </c>
      <c r="K1547" t="s">
        <v>69</v>
      </c>
      <c r="L1547" t="s">
        <v>69</v>
      </c>
      <c r="M1547" t="s">
        <v>4192</v>
      </c>
      <c r="N1547" t="s">
        <v>69</v>
      </c>
      <c r="O1547" t="s">
        <v>69</v>
      </c>
      <c r="P1547" t="s">
        <v>4193</v>
      </c>
      <c r="Q1547" t="s">
        <v>3658</v>
      </c>
      <c r="R1547" t="s">
        <v>69</v>
      </c>
      <c r="S1547" t="s">
        <v>69</v>
      </c>
      <c r="T1547" t="s">
        <v>8505</v>
      </c>
      <c r="U1547" t="s">
        <v>15797</v>
      </c>
      <c r="V1547" t="s">
        <v>4194</v>
      </c>
      <c r="W1547">
        <v>1995</v>
      </c>
      <c r="X1547" t="s">
        <v>4195</v>
      </c>
      <c r="Y1547" t="s">
        <v>4196</v>
      </c>
      <c r="Z1547" t="s">
        <v>69</v>
      </c>
      <c r="AA1547" t="s">
        <v>69</v>
      </c>
      <c r="AB1547" t="s">
        <v>69</v>
      </c>
      <c r="AC1547" t="s">
        <v>4197</v>
      </c>
      <c r="AD1547" t="s">
        <v>69</v>
      </c>
      <c r="AE1547" t="s">
        <v>69</v>
      </c>
      <c r="AF1547" t="s">
        <v>32333</v>
      </c>
      <c r="AG1547" t="s">
        <v>69</v>
      </c>
      <c r="AH1547" t="s">
        <v>69</v>
      </c>
      <c r="AI1547" t="s">
        <v>69</v>
      </c>
      <c r="AJ1547" t="s">
        <v>69</v>
      </c>
      <c r="AK1547" t="s">
        <v>69</v>
      </c>
      <c r="AL1547" t="s">
        <v>69</v>
      </c>
      <c r="AM1547" t="s">
        <v>69</v>
      </c>
      <c r="AN1547">
        <v>23</v>
      </c>
      <c r="AO1547">
        <v>8</v>
      </c>
      <c r="AP1547">
        <v>8</v>
      </c>
      <c r="AQ1547">
        <v>2</v>
      </c>
      <c r="AR1547">
        <v>4</v>
      </c>
      <c r="AS1547" t="s">
        <v>8865</v>
      </c>
      <c r="AT1547" t="s">
        <v>8612</v>
      </c>
      <c r="AU1547" t="s">
        <v>22341</v>
      </c>
      <c r="AV1547" t="s">
        <v>3660</v>
      </c>
      <c r="AW1547" t="s">
        <v>69</v>
      </c>
      <c r="AX1547" t="s">
        <v>69</v>
      </c>
      <c r="AY1547" t="s">
        <v>17632</v>
      </c>
      <c r="AZ1547" t="s">
        <v>17633</v>
      </c>
      <c r="BA1547" t="s">
        <v>69</v>
      </c>
      <c r="BB1547">
        <v>1997</v>
      </c>
      <c r="BC1547">
        <v>8</v>
      </c>
      <c r="BD1547">
        <v>2</v>
      </c>
      <c r="BE1547" t="s">
        <v>69</v>
      </c>
      <c r="BF1547" t="s">
        <v>69</v>
      </c>
      <c r="BG1547" t="s">
        <v>69</v>
      </c>
      <c r="BH1547" t="s">
        <v>69</v>
      </c>
      <c r="BI1547">
        <v>135</v>
      </c>
      <c r="BJ1547">
        <v>152</v>
      </c>
      <c r="BK1547" t="s">
        <v>69</v>
      </c>
      <c r="BL1547" t="s">
        <v>4198</v>
      </c>
      <c r="BM1547" t="str">
        <f>HYPERLINK("http://dx.doi.org/10.1207/s1532768xjepc0802_3","http://dx.doi.org/10.1207/s1532768xjepc0802_3")</f>
        <v>http://dx.doi.org/10.1207/s1532768xjepc0802_3</v>
      </c>
      <c r="BN1547" t="s">
        <v>69</v>
      </c>
      <c r="BO1547" t="s">
        <v>69</v>
      </c>
      <c r="BP1547">
        <v>18</v>
      </c>
      <c r="BQ1547" t="s">
        <v>11114</v>
      </c>
      <c r="BR1547" t="s">
        <v>18588</v>
      </c>
      <c r="BS1547" t="s">
        <v>9001</v>
      </c>
      <c r="BT1547" t="s">
        <v>32334</v>
      </c>
      <c r="BU1547" t="s">
        <v>4199</v>
      </c>
      <c r="BV1547" t="s">
        <v>69</v>
      </c>
      <c r="BW1547" t="s">
        <v>69</v>
      </c>
      <c r="BX1547" t="s">
        <v>69</v>
      </c>
      <c r="BY1547" t="s">
        <v>69</v>
      </c>
      <c r="BZ1547" t="s">
        <v>8526</v>
      </c>
      <c r="CA1547" t="str">
        <f>HYPERLINK("https%3A%2F%2Fwww.webofscience.com%2Fwos%2Fwoscc%2Ffull-record%2FWOS:A1997WZ39000003","View Full Record in Web of Science")</f>
        <v>View Full Record in Web of Science</v>
      </c>
    </row>
    <row r="1548" spans="1:79" ht="12.5" x14ac:dyDescent="0.25">
      <c r="B1548" t="s">
        <v>8495</v>
      </c>
      <c r="D1548" s="7" t="s">
        <v>32933</v>
      </c>
      <c r="E1548" s="7"/>
      <c r="F1548" s="7"/>
      <c r="G1548" s="7"/>
      <c r="H1548" t="s">
        <v>67</v>
      </c>
      <c r="I1548" t="s">
        <v>2313</v>
      </c>
      <c r="J1548" t="s">
        <v>69</v>
      </c>
      <c r="K1548" t="s">
        <v>69</v>
      </c>
      <c r="L1548" t="s">
        <v>69</v>
      </c>
      <c r="M1548" t="s">
        <v>2314</v>
      </c>
      <c r="N1548" t="s">
        <v>69</v>
      </c>
      <c r="O1548" t="s">
        <v>69</v>
      </c>
      <c r="P1548" t="s">
        <v>2315</v>
      </c>
      <c r="Q1548" t="s">
        <v>2316</v>
      </c>
      <c r="R1548" t="s">
        <v>69</v>
      </c>
      <c r="S1548" t="s">
        <v>69</v>
      </c>
      <c r="T1548" t="s">
        <v>8505</v>
      </c>
      <c r="U1548" t="s">
        <v>8506</v>
      </c>
      <c r="V1548" t="s">
        <v>69</v>
      </c>
      <c r="W1548" t="s">
        <v>69</v>
      </c>
      <c r="X1548" t="s">
        <v>69</v>
      </c>
      <c r="Y1548" t="s">
        <v>69</v>
      </c>
      <c r="Z1548" t="s">
        <v>69</v>
      </c>
      <c r="AA1548" t="s">
        <v>17861</v>
      </c>
      <c r="AB1548" t="s">
        <v>17862</v>
      </c>
      <c r="AC1548" t="s">
        <v>2317</v>
      </c>
      <c r="AD1548" t="s">
        <v>17863</v>
      </c>
      <c r="AE1548" t="s">
        <v>69</v>
      </c>
      <c r="AF1548" t="s">
        <v>17864</v>
      </c>
      <c r="AG1548" t="s">
        <v>17865</v>
      </c>
      <c r="AH1548" t="s">
        <v>17866</v>
      </c>
      <c r="AI1548" t="s">
        <v>17867</v>
      </c>
      <c r="AJ1548" t="s">
        <v>69</v>
      </c>
      <c r="AK1548" t="s">
        <v>69</v>
      </c>
      <c r="AL1548" t="s">
        <v>69</v>
      </c>
      <c r="AM1548" t="s">
        <v>69</v>
      </c>
      <c r="AN1548">
        <v>8</v>
      </c>
      <c r="AO1548">
        <v>10</v>
      </c>
      <c r="AP1548">
        <v>11</v>
      </c>
      <c r="AQ1548">
        <v>1</v>
      </c>
      <c r="AR1548">
        <v>13</v>
      </c>
      <c r="AS1548" t="s">
        <v>17868</v>
      </c>
      <c r="AT1548" t="s">
        <v>15886</v>
      </c>
      <c r="AU1548" t="s">
        <v>17869</v>
      </c>
      <c r="AV1548" t="s">
        <v>2318</v>
      </c>
      <c r="AW1548" t="s">
        <v>69</v>
      </c>
      <c r="AX1548" t="s">
        <v>69</v>
      </c>
      <c r="AY1548" t="s">
        <v>17870</v>
      </c>
      <c r="AZ1548" t="s">
        <v>17871</v>
      </c>
      <c r="BA1548" t="s">
        <v>69</v>
      </c>
      <c r="BB1548">
        <v>2019</v>
      </c>
      <c r="BC1548">
        <v>20</v>
      </c>
      <c r="BD1548">
        <v>1</v>
      </c>
      <c r="BE1548" t="s">
        <v>69</v>
      </c>
      <c r="BF1548" t="s">
        <v>69</v>
      </c>
      <c r="BG1548" t="s">
        <v>69</v>
      </c>
      <c r="BH1548" t="s">
        <v>69</v>
      </c>
      <c r="BI1548">
        <v>206</v>
      </c>
      <c r="BJ1548">
        <v>213</v>
      </c>
      <c r="BK1548" t="s">
        <v>69</v>
      </c>
      <c r="BL1548" t="s">
        <v>69</v>
      </c>
      <c r="BM1548" t="s">
        <v>69</v>
      </c>
      <c r="BN1548" t="s">
        <v>69</v>
      </c>
      <c r="BO1548" t="s">
        <v>69</v>
      </c>
      <c r="BP1548">
        <v>8</v>
      </c>
      <c r="BQ1548" t="s">
        <v>8717</v>
      </c>
      <c r="BR1548" t="s">
        <v>8548</v>
      </c>
      <c r="BS1548" t="s">
        <v>8662</v>
      </c>
      <c r="BT1548" t="s">
        <v>17872</v>
      </c>
      <c r="BU1548" t="s">
        <v>2319</v>
      </c>
      <c r="BV1548" t="s">
        <v>69</v>
      </c>
      <c r="BW1548" t="s">
        <v>69</v>
      </c>
      <c r="BX1548" t="s">
        <v>69</v>
      </c>
      <c r="BY1548" t="s">
        <v>69</v>
      </c>
      <c r="BZ1548" t="s">
        <v>8526</v>
      </c>
      <c r="CA1548" t="str">
        <f>HYPERLINK("https%3A%2F%2Fwww.webofscience.com%2Fwos%2Fwoscc%2Ffull-record%2FWOS:000463406800023","View Full Record in Web of Science")</f>
        <v>View Full Record in Web of Science</v>
      </c>
    </row>
    <row r="1549" spans="1:79" x14ac:dyDescent="0.3">
      <c r="B1549" t="s">
        <v>8495</v>
      </c>
      <c r="D1549" s="12" t="s">
        <v>33027</v>
      </c>
      <c r="H1549" t="s">
        <v>67</v>
      </c>
      <c r="I1549" t="s">
        <v>4292</v>
      </c>
      <c r="J1549" t="s">
        <v>69</v>
      </c>
      <c r="K1549" t="s">
        <v>69</v>
      </c>
      <c r="L1549" t="s">
        <v>69</v>
      </c>
      <c r="M1549" s="3" t="s">
        <v>4292</v>
      </c>
      <c r="N1549" t="s">
        <v>69</v>
      </c>
      <c r="O1549" t="s">
        <v>69</v>
      </c>
      <c r="P1549" s="2" t="s">
        <v>4293</v>
      </c>
      <c r="Q1549" t="s">
        <v>4294</v>
      </c>
      <c r="R1549" t="s">
        <v>69</v>
      </c>
      <c r="S1549" t="s">
        <v>69</v>
      </c>
      <c r="T1549" t="s">
        <v>8505</v>
      </c>
      <c r="U1549" t="s">
        <v>8506</v>
      </c>
      <c r="V1549" t="s">
        <v>69</v>
      </c>
      <c r="W1549" t="s">
        <v>69</v>
      </c>
      <c r="X1549" t="s">
        <v>69</v>
      </c>
      <c r="Y1549" t="s">
        <v>69</v>
      </c>
      <c r="Z1549" t="s">
        <v>69</v>
      </c>
      <c r="AA1549" t="s">
        <v>69</v>
      </c>
      <c r="AB1549" t="s">
        <v>69</v>
      </c>
      <c r="AC1549" t="s">
        <v>4295</v>
      </c>
      <c r="AD1549" t="s">
        <v>69</v>
      </c>
      <c r="AE1549" t="s">
        <v>69</v>
      </c>
      <c r="AF1549" t="s">
        <v>32579</v>
      </c>
      <c r="AG1549" t="s">
        <v>69</v>
      </c>
      <c r="AH1549" t="s">
        <v>4296</v>
      </c>
      <c r="AI1549" t="s">
        <v>4297</v>
      </c>
      <c r="AJ1549" t="s">
        <v>69</v>
      </c>
      <c r="AK1549" t="s">
        <v>69</v>
      </c>
      <c r="AL1549" t="s">
        <v>69</v>
      </c>
      <c r="AM1549" t="s">
        <v>69</v>
      </c>
      <c r="AN1549">
        <v>41</v>
      </c>
      <c r="AO1549">
        <v>13</v>
      </c>
      <c r="AP1549">
        <v>13</v>
      </c>
      <c r="AQ1549">
        <v>0</v>
      </c>
      <c r="AR1549">
        <v>4</v>
      </c>
      <c r="AS1549" t="s">
        <v>32580</v>
      </c>
      <c r="AT1549" t="s">
        <v>32581</v>
      </c>
      <c r="AU1549" t="s">
        <v>32582</v>
      </c>
      <c r="AV1549" t="s">
        <v>4298</v>
      </c>
      <c r="AW1549" t="s">
        <v>69</v>
      </c>
      <c r="AX1549" t="s">
        <v>69</v>
      </c>
      <c r="AY1549" t="s">
        <v>32583</v>
      </c>
      <c r="AZ1549" t="s">
        <v>32584</v>
      </c>
      <c r="BA1549" t="s">
        <v>155</v>
      </c>
      <c r="BB1549">
        <v>1995</v>
      </c>
      <c r="BC1549">
        <v>25</v>
      </c>
      <c r="BD1549">
        <v>2</v>
      </c>
      <c r="BE1549" t="s">
        <v>69</v>
      </c>
      <c r="BF1549" t="s">
        <v>69</v>
      </c>
      <c r="BG1549" t="s">
        <v>69</v>
      </c>
      <c r="BH1549" t="s">
        <v>69</v>
      </c>
      <c r="BI1549">
        <v>119</v>
      </c>
      <c r="BJ1549">
        <v>135</v>
      </c>
      <c r="BK1549" t="s">
        <v>69</v>
      </c>
      <c r="BL1549" t="s">
        <v>4299</v>
      </c>
      <c r="BM1549" t="str">
        <f>HYPERLINK("http://dx.doi.org/10.1177/027507409502500202","http://dx.doi.org/10.1177/027507409502500202")</f>
        <v>http://dx.doi.org/10.1177/027507409502500202</v>
      </c>
      <c r="BN1549" t="s">
        <v>69</v>
      </c>
      <c r="BO1549" t="s">
        <v>69</v>
      </c>
      <c r="BP1549">
        <v>17</v>
      </c>
      <c r="BQ1549" t="s">
        <v>12182</v>
      </c>
      <c r="BR1549" t="s">
        <v>8661</v>
      </c>
      <c r="BS1549" t="s">
        <v>12182</v>
      </c>
      <c r="BT1549" t="s">
        <v>32585</v>
      </c>
      <c r="BU1549" t="s">
        <v>4300</v>
      </c>
      <c r="BV1549" t="s">
        <v>69</v>
      </c>
      <c r="BW1549" t="s">
        <v>69</v>
      </c>
      <c r="BX1549" t="s">
        <v>69</v>
      </c>
      <c r="BY1549" t="s">
        <v>69</v>
      </c>
      <c r="BZ1549" t="s">
        <v>8526</v>
      </c>
      <c r="CA1549" t="str">
        <f>HYPERLINK("https%3A%2F%2Fwww.webofscience.com%2Fwos%2Fwoscc%2Ffull-record%2FWOS:A1995RY11100002","View Full Record in Web of Science")</f>
        <v>View Full Record in Web of Science</v>
      </c>
    </row>
    <row r="1550" spans="1:79" x14ac:dyDescent="0.3">
      <c r="B1550" t="s">
        <v>8495</v>
      </c>
      <c r="D1550" s="9" t="s">
        <v>32972</v>
      </c>
      <c r="E1550" s="9" t="s">
        <v>33158</v>
      </c>
      <c r="F1550" s="10" t="s">
        <v>8490</v>
      </c>
      <c r="G1550" s="9" t="s">
        <v>8490</v>
      </c>
      <c r="H1550" t="s">
        <v>67</v>
      </c>
      <c r="I1550" t="s">
        <v>14796</v>
      </c>
      <c r="J1550" t="s">
        <v>69</v>
      </c>
      <c r="K1550" t="s">
        <v>69</v>
      </c>
      <c r="L1550" t="s">
        <v>69</v>
      </c>
      <c r="M1550" t="s">
        <v>14797</v>
      </c>
      <c r="N1550" t="s">
        <v>69</v>
      </c>
      <c r="O1550" t="s">
        <v>69</v>
      </c>
      <c r="P1550" t="s">
        <v>14798</v>
      </c>
      <c r="Q1550" t="s">
        <v>14799</v>
      </c>
      <c r="R1550" t="s">
        <v>69</v>
      </c>
      <c r="S1550" t="s">
        <v>69</v>
      </c>
      <c r="T1550" t="s">
        <v>14800</v>
      </c>
      <c r="U1550" t="s">
        <v>8506</v>
      </c>
      <c r="V1550" t="s">
        <v>69</v>
      </c>
      <c r="W1550" t="s">
        <v>69</v>
      </c>
      <c r="X1550" t="s">
        <v>69</v>
      </c>
      <c r="Y1550" t="s">
        <v>69</v>
      </c>
      <c r="Z1550" t="s">
        <v>69</v>
      </c>
      <c r="AA1550" t="s">
        <v>14801</v>
      </c>
      <c r="AB1550" t="s">
        <v>69</v>
      </c>
      <c r="AC1550" t="s">
        <v>14802</v>
      </c>
      <c r="AD1550" t="s">
        <v>14803</v>
      </c>
      <c r="AE1550" t="s">
        <v>69</v>
      </c>
      <c r="AF1550" t="s">
        <v>14804</v>
      </c>
      <c r="AG1550" t="s">
        <v>69</v>
      </c>
      <c r="AH1550" t="s">
        <v>69</v>
      </c>
      <c r="AI1550" t="s">
        <v>69</v>
      </c>
      <c r="AJ1550" t="s">
        <v>69</v>
      </c>
      <c r="AK1550" t="s">
        <v>69</v>
      </c>
      <c r="AL1550" t="s">
        <v>69</v>
      </c>
      <c r="AM1550" t="s">
        <v>69</v>
      </c>
      <c r="AN1550">
        <v>45</v>
      </c>
      <c r="AO1550">
        <v>0</v>
      </c>
      <c r="AP1550">
        <v>0</v>
      </c>
      <c r="AQ1550">
        <v>0</v>
      </c>
      <c r="AR1550">
        <v>0</v>
      </c>
      <c r="AS1550" t="s">
        <v>14805</v>
      </c>
      <c r="AT1550" t="s">
        <v>14806</v>
      </c>
      <c r="AU1550" t="s">
        <v>14807</v>
      </c>
      <c r="AV1550" t="s">
        <v>14808</v>
      </c>
      <c r="AW1550" t="s">
        <v>69</v>
      </c>
      <c r="AX1550" t="s">
        <v>69</v>
      </c>
      <c r="AY1550" t="s">
        <v>14809</v>
      </c>
      <c r="AZ1550" t="s">
        <v>14810</v>
      </c>
      <c r="BA1550" t="s">
        <v>84</v>
      </c>
      <c r="BB1550">
        <v>2020</v>
      </c>
      <c r="BC1550">
        <v>11</v>
      </c>
      <c r="BD1550">
        <v>2</v>
      </c>
      <c r="BE1550" t="s">
        <v>69</v>
      </c>
      <c r="BF1550" t="s">
        <v>69</v>
      </c>
      <c r="BG1550" t="s">
        <v>69</v>
      </c>
      <c r="BH1550" t="s">
        <v>69</v>
      </c>
      <c r="BI1550" t="s">
        <v>69</v>
      </c>
      <c r="BJ1550" t="s">
        <v>69</v>
      </c>
      <c r="BK1550" t="s">
        <v>69</v>
      </c>
      <c r="BL1550" t="s">
        <v>14811</v>
      </c>
      <c r="BM1550" t="str">
        <f>HYPERLINK("http://dx.doi.org/10.4000/developpementdurable.17493","http://dx.doi.org/10.4000/developpementdurable.17493")</f>
        <v>http://dx.doi.org/10.4000/developpementdurable.17493</v>
      </c>
      <c r="BN1550" t="s">
        <v>69</v>
      </c>
      <c r="BO1550" t="s">
        <v>69</v>
      </c>
      <c r="BP1550">
        <v>19</v>
      </c>
      <c r="BQ1550" t="s">
        <v>8446</v>
      </c>
      <c r="BR1550" t="s">
        <v>8573</v>
      </c>
      <c r="BS1550" t="s">
        <v>8446</v>
      </c>
      <c r="BT1550" t="s">
        <v>14812</v>
      </c>
      <c r="BU1550" t="s">
        <v>14813</v>
      </c>
      <c r="BV1550" t="s">
        <v>69</v>
      </c>
      <c r="BW1550" t="s">
        <v>11853</v>
      </c>
      <c r="BX1550" t="s">
        <v>69</v>
      </c>
      <c r="BY1550" t="s">
        <v>69</v>
      </c>
      <c r="BZ1550" t="s">
        <v>8526</v>
      </c>
      <c r="CA1550" t="str">
        <f>HYPERLINK("https%3A%2F%2Fwww.webofscience.com%2Fwos%2Fwoscc%2Ffull-record%2FWOS:000589507600009","View Full Record in Web of Science")</f>
        <v>View Full Record in Web of Science</v>
      </c>
    </row>
    <row r="1551" spans="1:79" ht="12.5" x14ac:dyDescent="0.25">
      <c r="B1551" t="s">
        <v>8495</v>
      </c>
      <c r="D1551" s="7" t="s">
        <v>32933</v>
      </c>
      <c r="E1551" s="7"/>
      <c r="F1551" s="7"/>
      <c r="G1551" s="7"/>
      <c r="H1551" t="s">
        <v>67</v>
      </c>
      <c r="I1551" t="s">
        <v>3927</v>
      </c>
      <c r="J1551" t="s">
        <v>69</v>
      </c>
      <c r="K1551" t="s">
        <v>69</v>
      </c>
      <c r="L1551" t="s">
        <v>69</v>
      </c>
      <c r="M1551" t="s">
        <v>3927</v>
      </c>
      <c r="N1551" t="s">
        <v>69</v>
      </c>
      <c r="O1551" t="s">
        <v>69</v>
      </c>
      <c r="P1551" t="s">
        <v>3928</v>
      </c>
      <c r="Q1551" t="s">
        <v>3929</v>
      </c>
      <c r="R1551" t="s">
        <v>69</v>
      </c>
      <c r="S1551" t="s">
        <v>69</v>
      </c>
      <c r="T1551" t="s">
        <v>8505</v>
      </c>
      <c r="U1551" t="s">
        <v>8506</v>
      </c>
      <c r="V1551" t="s">
        <v>69</v>
      </c>
      <c r="W1551" t="s">
        <v>69</v>
      </c>
      <c r="X1551" t="s">
        <v>69</v>
      </c>
      <c r="Y1551" t="s">
        <v>69</v>
      </c>
      <c r="Z1551" t="s">
        <v>69</v>
      </c>
      <c r="AA1551" t="s">
        <v>30925</v>
      </c>
      <c r="AB1551" t="s">
        <v>30926</v>
      </c>
      <c r="AC1551" t="s">
        <v>3930</v>
      </c>
      <c r="AD1551" t="s">
        <v>30927</v>
      </c>
      <c r="AE1551" t="s">
        <v>69</v>
      </c>
      <c r="AF1551" t="s">
        <v>30928</v>
      </c>
      <c r="AG1551" t="s">
        <v>30929</v>
      </c>
      <c r="AH1551" t="s">
        <v>69</v>
      </c>
      <c r="AI1551" t="s">
        <v>69</v>
      </c>
      <c r="AJ1551" t="s">
        <v>69</v>
      </c>
      <c r="AK1551" t="s">
        <v>69</v>
      </c>
      <c r="AL1551" t="s">
        <v>69</v>
      </c>
      <c r="AM1551" t="s">
        <v>69</v>
      </c>
      <c r="AN1551">
        <v>58</v>
      </c>
      <c r="AO1551">
        <v>13</v>
      </c>
      <c r="AP1551">
        <v>13</v>
      </c>
      <c r="AQ1551">
        <v>0</v>
      </c>
      <c r="AR1551">
        <v>22</v>
      </c>
      <c r="AS1551" t="s">
        <v>13509</v>
      </c>
      <c r="AT1551" t="s">
        <v>13510</v>
      </c>
      <c r="AU1551" t="s">
        <v>13511</v>
      </c>
      <c r="AV1551" t="s">
        <v>3931</v>
      </c>
      <c r="AW1551" t="s">
        <v>3932</v>
      </c>
      <c r="AX1551" t="s">
        <v>69</v>
      </c>
      <c r="AY1551" t="s">
        <v>28096</v>
      </c>
      <c r="AZ1551" t="s">
        <v>28097</v>
      </c>
      <c r="BA1551" t="s">
        <v>69</v>
      </c>
      <c r="BB1551">
        <v>2005</v>
      </c>
      <c r="BC1551">
        <v>29</v>
      </c>
      <c r="BD1551" t="s">
        <v>336</v>
      </c>
      <c r="BE1551" t="s">
        <v>69</v>
      </c>
      <c r="BF1551" t="s">
        <v>69</v>
      </c>
      <c r="BG1551" t="s">
        <v>69</v>
      </c>
      <c r="BH1551" t="s">
        <v>69</v>
      </c>
      <c r="BI1551">
        <v>21</v>
      </c>
      <c r="BJ1551">
        <v>39</v>
      </c>
      <c r="BK1551" t="s">
        <v>69</v>
      </c>
      <c r="BL1551" t="s">
        <v>3933</v>
      </c>
      <c r="BM1551" t="str">
        <f>HYPERLINK("http://dx.doi.org/10.1504/IJTM.2005.006003","http://dx.doi.org/10.1504/IJTM.2005.006003")</f>
        <v>http://dx.doi.org/10.1504/IJTM.2005.006003</v>
      </c>
      <c r="BN1551" t="s">
        <v>69</v>
      </c>
      <c r="BO1551" t="s">
        <v>69</v>
      </c>
      <c r="BP1551">
        <v>19</v>
      </c>
      <c r="BQ1551" t="s">
        <v>28099</v>
      </c>
      <c r="BR1551" t="s">
        <v>8523</v>
      </c>
      <c r="BS1551" t="s">
        <v>15877</v>
      </c>
      <c r="BT1551" t="s">
        <v>30930</v>
      </c>
      <c r="BU1551" t="s">
        <v>3934</v>
      </c>
      <c r="BV1551" t="s">
        <v>69</v>
      </c>
      <c r="BW1551" t="s">
        <v>69</v>
      </c>
      <c r="BX1551" t="s">
        <v>69</v>
      </c>
      <c r="BY1551" t="s">
        <v>69</v>
      </c>
      <c r="BZ1551" t="s">
        <v>8526</v>
      </c>
      <c r="CA1551" t="str">
        <f>HYPERLINK("https%3A%2F%2Fwww.webofscience.com%2Fwos%2Fwoscc%2Ffull-record%2FWOS:000227397300003","View Full Record in Web of Science")</f>
        <v>View Full Record in Web of Science</v>
      </c>
    </row>
    <row r="1552" spans="1:79" ht="12.5" x14ac:dyDescent="0.25">
      <c r="B1552" t="s">
        <v>8495</v>
      </c>
      <c r="D1552" s="7" t="s">
        <v>32933</v>
      </c>
      <c r="E1552" s="7"/>
      <c r="F1552" s="7"/>
      <c r="G1552" s="7"/>
      <c r="H1552" t="s">
        <v>67</v>
      </c>
      <c r="I1552" t="s">
        <v>8338</v>
      </c>
      <c r="J1552" t="s">
        <v>69</v>
      </c>
      <c r="K1552" t="s">
        <v>69</v>
      </c>
      <c r="L1552" t="s">
        <v>69</v>
      </c>
      <c r="M1552" t="s">
        <v>8338</v>
      </c>
      <c r="N1552" t="s">
        <v>69</v>
      </c>
      <c r="O1552" t="s">
        <v>69</v>
      </c>
      <c r="P1552" t="s">
        <v>8339</v>
      </c>
      <c r="Q1552" t="s">
        <v>3929</v>
      </c>
      <c r="R1552" t="s">
        <v>69</v>
      </c>
      <c r="S1552" t="s">
        <v>69</v>
      </c>
      <c r="T1552" t="s">
        <v>8505</v>
      </c>
      <c r="U1552" t="s">
        <v>8506</v>
      </c>
      <c r="V1552" t="s">
        <v>69</v>
      </c>
      <c r="W1552" t="s">
        <v>69</v>
      </c>
      <c r="X1552" t="s">
        <v>69</v>
      </c>
      <c r="Y1552" t="s">
        <v>69</v>
      </c>
      <c r="Z1552" t="s">
        <v>69</v>
      </c>
      <c r="AA1552" t="s">
        <v>32696</v>
      </c>
      <c r="AB1552" t="s">
        <v>69</v>
      </c>
      <c r="AC1552" t="s">
        <v>8340</v>
      </c>
      <c r="AD1552" t="s">
        <v>32697</v>
      </c>
      <c r="AE1552" t="s">
        <v>69</v>
      </c>
      <c r="AF1552" t="s">
        <v>32698</v>
      </c>
      <c r="AG1552" t="s">
        <v>69</v>
      </c>
      <c r="AH1552" t="s">
        <v>69</v>
      </c>
      <c r="AI1552" t="s">
        <v>69</v>
      </c>
      <c r="AJ1552" t="s">
        <v>69</v>
      </c>
      <c r="AK1552" t="s">
        <v>69</v>
      </c>
      <c r="AL1552" t="s">
        <v>69</v>
      </c>
      <c r="AM1552" t="s">
        <v>69</v>
      </c>
      <c r="AN1552">
        <v>35</v>
      </c>
      <c r="AO1552">
        <v>3</v>
      </c>
      <c r="AP1552">
        <v>3</v>
      </c>
      <c r="AQ1552">
        <v>3</v>
      </c>
      <c r="AR1552">
        <v>11</v>
      </c>
      <c r="AS1552" t="s">
        <v>13509</v>
      </c>
      <c r="AT1552" t="s">
        <v>31871</v>
      </c>
      <c r="AU1552" t="s">
        <v>32530</v>
      </c>
      <c r="AV1552" t="s">
        <v>3931</v>
      </c>
      <c r="AW1552" t="s">
        <v>69</v>
      </c>
      <c r="AX1552" t="s">
        <v>69</v>
      </c>
      <c r="AY1552" t="s">
        <v>28096</v>
      </c>
      <c r="AZ1552" t="s">
        <v>28097</v>
      </c>
      <c r="BA1552" t="s">
        <v>69</v>
      </c>
      <c r="BB1552">
        <v>1994</v>
      </c>
      <c r="BC1552">
        <v>9</v>
      </c>
      <c r="BD1552">
        <v>2</v>
      </c>
      <c r="BE1552" t="s">
        <v>69</v>
      </c>
      <c r="BF1552" t="s">
        <v>69</v>
      </c>
      <c r="BG1552" t="s">
        <v>69</v>
      </c>
      <c r="BH1552" t="s">
        <v>69</v>
      </c>
      <c r="BI1552">
        <v>196</v>
      </c>
      <c r="BJ1552">
        <v>212</v>
      </c>
      <c r="BK1552" t="s">
        <v>69</v>
      </c>
      <c r="BL1552" t="s">
        <v>69</v>
      </c>
      <c r="BM1552" t="s">
        <v>69</v>
      </c>
      <c r="BN1552" t="s">
        <v>69</v>
      </c>
      <c r="BO1552" t="s">
        <v>69</v>
      </c>
      <c r="BP1552">
        <v>17</v>
      </c>
      <c r="BQ1552" t="s">
        <v>28099</v>
      </c>
      <c r="BR1552" t="s">
        <v>8548</v>
      </c>
      <c r="BS1552" t="s">
        <v>15877</v>
      </c>
      <c r="BT1552" t="s">
        <v>32699</v>
      </c>
      <c r="BU1552" t="s">
        <v>8341</v>
      </c>
      <c r="BV1552" t="s">
        <v>69</v>
      </c>
      <c r="BW1552" t="s">
        <v>69</v>
      </c>
      <c r="BX1552" t="s">
        <v>69</v>
      </c>
      <c r="BY1552" t="s">
        <v>69</v>
      </c>
      <c r="BZ1552" t="s">
        <v>8526</v>
      </c>
      <c r="CA1552" t="str">
        <f>HYPERLINK("https%3A%2F%2Fwww.webofscience.com%2Fwos%2Fwoscc%2Ffull-record%2FWOS:A1994NY53700004","View Full Record in Web of Science")</f>
        <v>View Full Record in Web of Science</v>
      </c>
    </row>
    <row r="1553" spans="2:79" ht="12.5" x14ac:dyDescent="0.25">
      <c r="B1553" t="s">
        <v>8495</v>
      </c>
      <c r="D1553" s="7" t="s">
        <v>32933</v>
      </c>
      <c r="E1553" s="7"/>
      <c r="F1553" s="7"/>
      <c r="G1553" s="7"/>
      <c r="H1553" t="s">
        <v>67</v>
      </c>
      <c r="I1553" t="s">
        <v>3159</v>
      </c>
      <c r="J1553" t="s">
        <v>69</v>
      </c>
      <c r="K1553" t="s">
        <v>69</v>
      </c>
      <c r="L1553" t="s">
        <v>69</v>
      </c>
      <c r="M1553" t="s">
        <v>3160</v>
      </c>
      <c r="N1553" t="s">
        <v>69</v>
      </c>
      <c r="O1553" t="s">
        <v>69</v>
      </c>
      <c r="P1553" t="s">
        <v>3161</v>
      </c>
      <c r="Q1553" t="s">
        <v>3162</v>
      </c>
      <c r="R1553" t="s">
        <v>69</v>
      </c>
      <c r="S1553" t="s">
        <v>69</v>
      </c>
      <c r="T1553" t="s">
        <v>8505</v>
      </c>
      <c r="U1553" t="s">
        <v>8506</v>
      </c>
      <c r="V1553" t="s">
        <v>69</v>
      </c>
      <c r="W1553" t="s">
        <v>69</v>
      </c>
      <c r="X1553" t="s">
        <v>69</v>
      </c>
      <c r="Y1553" t="s">
        <v>69</v>
      </c>
      <c r="Z1553" t="s">
        <v>69</v>
      </c>
      <c r="AA1553" t="s">
        <v>23387</v>
      </c>
      <c r="AB1553" t="s">
        <v>23388</v>
      </c>
      <c r="AC1553" t="s">
        <v>3163</v>
      </c>
      <c r="AD1553" t="s">
        <v>23389</v>
      </c>
      <c r="AE1553" t="s">
        <v>69</v>
      </c>
      <c r="AF1553" t="s">
        <v>23390</v>
      </c>
      <c r="AG1553" t="s">
        <v>23391</v>
      </c>
      <c r="AH1553" t="s">
        <v>69</v>
      </c>
      <c r="AI1553" t="s">
        <v>69</v>
      </c>
      <c r="AJ1553" t="s">
        <v>23392</v>
      </c>
      <c r="AK1553" t="s">
        <v>23393</v>
      </c>
      <c r="AL1553" t="s">
        <v>23394</v>
      </c>
      <c r="AM1553" t="s">
        <v>69</v>
      </c>
      <c r="AN1553">
        <v>25</v>
      </c>
      <c r="AO1553">
        <v>22</v>
      </c>
      <c r="AP1553">
        <v>34</v>
      </c>
      <c r="AQ1553">
        <v>9</v>
      </c>
      <c r="AR1553">
        <v>99</v>
      </c>
      <c r="AS1553" t="s">
        <v>9047</v>
      </c>
      <c r="AT1553" t="s">
        <v>8693</v>
      </c>
      <c r="AU1553" t="s">
        <v>16643</v>
      </c>
      <c r="AV1553" t="s">
        <v>3164</v>
      </c>
      <c r="AW1553" t="s">
        <v>3165</v>
      </c>
      <c r="AX1553" t="s">
        <v>69</v>
      </c>
      <c r="AY1553" t="s">
        <v>23382</v>
      </c>
      <c r="AZ1553" t="s">
        <v>23383</v>
      </c>
      <c r="BA1553" t="s">
        <v>75</v>
      </c>
      <c r="BB1553">
        <v>2014</v>
      </c>
      <c r="BC1553">
        <v>72</v>
      </c>
      <c r="BD1553">
        <v>11</v>
      </c>
      <c r="BE1553" t="s">
        <v>69</v>
      </c>
      <c r="BF1553" t="s">
        <v>69</v>
      </c>
      <c r="BG1553" t="s">
        <v>69</v>
      </c>
      <c r="BH1553" t="s">
        <v>69</v>
      </c>
      <c r="BI1553">
        <v>4483</v>
      </c>
      <c r="BJ1553">
        <v>4489</v>
      </c>
      <c r="BK1553" t="s">
        <v>69</v>
      </c>
      <c r="BL1553" t="s">
        <v>3166</v>
      </c>
      <c r="BM1553" t="str">
        <f>HYPERLINK("http://dx.doi.org/10.1007/s12665-014-3348-9","http://dx.doi.org/10.1007/s12665-014-3348-9")</f>
        <v>http://dx.doi.org/10.1007/s12665-014-3348-9</v>
      </c>
      <c r="BN1553" t="s">
        <v>69</v>
      </c>
      <c r="BO1553" t="s">
        <v>69</v>
      </c>
      <c r="BP1553">
        <v>7</v>
      </c>
      <c r="BQ1553" t="s">
        <v>23384</v>
      </c>
      <c r="BR1553" t="s">
        <v>8548</v>
      </c>
      <c r="BS1553" t="s">
        <v>23385</v>
      </c>
      <c r="BT1553" t="s">
        <v>23395</v>
      </c>
      <c r="BU1553" t="s">
        <v>3167</v>
      </c>
      <c r="BV1553" t="s">
        <v>69</v>
      </c>
      <c r="BW1553" t="s">
        <v>69</v>
      </c>
      <c r="BX1553" t="s">
        <v>69</v>
      </c>
      <c r="BY1553" t="s">
        <v>69</v>
      </c>
      <c r="BZ1553" t="s">
        <v>8526</v>
      </c>
      <c r="CA1553" t="str">
        <f>HYPERLINK("https%3A%2F%2Fwww.webofscience.com%2Fwos%2Fwoscc%2Ffull-record%2FWOS:000344737300024","View Full Record in Web of Science")</f>
        <v>View Full Record in Web of Science</v>
      </c>
    </row>
    <row r="1554" spans="2:79" ht="12.5" x14ac:dyDescent="0.25">
      <c r="B1554" t="s">
        <v>8495</v>
      </c>
      <c r="D1554" s="7" t="s">
        <v>32933</v>
      </c>
      <c r="E1554" s="7"/>
      <c r="F1554" s="7"/>
      <c r="G1554" s="7"/>
      <c r="H1554" t="s">
        <v>67</v>
      </c>
      <c r="I1554" t="s">
        <v>8155</v>
      </c>
      <c r="J1554" t="s">
        <v>69</v>
      </c>
      <c r="K1554" t="s">
        <v>69</v>
      </c>
      <c r="L1554" t="s">
        <v>69</v>
      </c>
      <c r="M1554" t="s">
        <v>8156</v>
      </c>
      <c r="N1554" t="s">
        <v>69</v>
      </c>
      <c r="O1554" t="s">
        <v>69</v>
      </c>
      <c r="P1554" t="s">
        <v>8157</v>
      </c>
      <c r="Q1554" t="s">
        <v>4097</v>
      </c>
      <c r="R1554" t="s">
        <v>69</v>
      </c>
      <c r="S1554" t="s">
        <v>69</v>
      </c>
      <c r="T1554" t="s">
        <v>8505</v>
      </c>
      <c r="U1554" t="s">
        <v>8506</v>
      </c>
      <c r="V1554" t="s">
        <v>69</v>
      </c>
      <c r="W1554" t="s">
        <v>69</v>
      </c>
      <c r="X1554" t="s">
        <v>69</v>
      </c>
      <c r="Y1554" t="s">
        <v>69</v>
      </c>
      <c r="Z1554" t="s">
        <v>69</v>
      </c>
      <c r="AA1554" t="s">
        <v>19759</v>
      </c>
      <c r="AB1554" t="s">
        <v>19760</v>
      </c>
      <c r="AC1554" t="s">
        <v>8158</v>
      </c>
      <c r="AD1554" t="s">
        <v>19761</v>
      </c>
      <c r="AE1554" t="s">
        <v>69</v>
      </c>
      <c r="AF1554" t="s">
        <v>19762</v>
      </c>
      <c r="AG1554" t="s">
        <v>19763</v>
      </c>
      <c r="AH1554" t="s">
        <v>19764</v>
      </c>
      <c r="AI1554" t="s">
        <v>19765</v>
      </c>
      <c r="AJ1554" t="s">
        <v>19766</v>
      </c>
      <c r="AK1554" t="s">
        <v>19767</v>
      </c>
      <c r="AL1554" t="s">
        <v>19768</v>
      </c>
      <c r="AM1554" t="s">
        <v>69</v>
      </c>
      <c r="AN1554">
        <v>40</v>
      </c>
      <c r="AO1554">
        <v>8</v>
      </c>
      <c r="AP1554">
        <v>8</v>
      </c>
      <c r="AQ1554">
        <v>0</v>
      </c>
      <c r="AR1554">
        <v>23</v>
      </c>
      <c r="AS1554" t="s">
        <v>8846</v>
      </c>
      <c r="AT1554" t="s">
        <v>8847</v>
      </c>
      <c r="AU1554" t="s">
        <v>8848</v>
      </c>
      <c r="AV1554" t="s">
        <v>4099</v>
      </c>
      <c r="AW1554" t="s">
        <v>8159</v>
      </c>
      <c r="AX1554" t="s">
        <v>69</v>
      </c>
      <c r="AY1554" t="s">
        <v>19769</v>
      </c>
      <c r="AZ1554" t="s">
        <v>19770</v>
      </c>
      <c r="BA1554" t="s">
        <v>75</v>
      </c>
      <c r="BB1554">
        <v>2017</v>
      </c>
      <c r="BC1554">
        <v>33</v>
      </c>
      <c r="BD1554">
        <v>4</v>
      </c>
      <c r="BE1554" t="s">
        <v>69</v>
      </c>
      <c r="BF1554" t="s">
        <v>69</v>
      </c>
      <c r="BG1554" t="s">
        <v>69</v>
      </c>
      <c r="BH1554" t="s">
        <v>69</v>
      </c>
      <c r="BI1554">
        <v>568</v>
      </c>
      <c r="BJ1554">
        <v>582</v>
      </c>
      <c r="BK1554" t="s">
        <v>69</v>
      </c>
      <c r="BL1554" t="s">
        <v>8160</v>
      </c>
      <c r="BM1554" t="str">
        <f>HYPERLINK("http://dx.doi.org/10.1111/sum.12383","http://dx.doi.org/10.1111/sum.12383")</f>
        <v>http://dx.doi.org/10.1111/sum.12383</v>
      </c>
      <c r="BN1554" t="s">
        <v>69</v>
      </c>
      <c r="BO1554" t="s">
        <v>69</v>
      </c>
      <c r="BP1554">
        <v>15</v>
      </c>
      <c r="BQ1554" t="s">
        <v>17154</v>
      </c>
      <c r="BR1554" t="s">
        <v>8548</v>
      </c>
      <c r="BS1554" t="s">
        <v>8450</v>
      </c>
      <c r="BT1554" t="s">
        <v>19771</v>
      </c>
      <c r="BU1554" t="s">
        <v>8161</v>
      </c>
      <c r="BV1554" t="s">
        <v>69</v>
      </c>
      <c r="BW1554" t="s">
        <v>69</v>
      </c>
      <c r="BX1554" t="s">
        <v>69</v>
      </c>
      <c r="BY1554" t="s">
        <v>69</v>
      </c>
      <c r="BZ1554" t="s">
        <v>8526</v>
      </c>
      <c r="CA1554" t="str">
        <f>HYPERLINK("https%3A%2F%2Fwww.webofscience.com%2Fwos%2Fwoscc%2Ffull-record%2FWOS:000418422500006","View Full Record in Web of Science")</f>
        <v>View Full Record in Web of Science</v>
      </c>
    </row>
    <row r="1555" spans="2:79" ht="12.5" x14ac:dyDescent="0.25">
      <c r="B1555" t="s">
        <v>8495</v>
      </c>
      <c r="D1555" s="7" t="s">
        <v>32933</v>
      </c>
      <c r="E1555" s="7"/>
      <c r="F1555" s="7"/>
      <c r="G1555" s="7"/>
      <c r="H1555" t="s">
        <v>67</v>
      </c>
      <c r="I1555" t="s">
        <v>4184</v>
      </c>
      <c r="J1555" t="s">
        <v>69</v>
      </c>
      <c r="K1555" t="s">
        <v>69</v>
      </c>
      <c r="L1555" t="s">
        <v>69</v>
      </c>
      <c r="M1555" t="s">
        <v>4184</v>
      </c>
      <c r="N1555" t="s">
        <v>69</v>
      </c>
      <c r="O1555" t="s">
        <v>69</v>
      </c>
      <c r="P1555" t="s">
        <v>4185</v>
      </c>
      <c r="Q1555" t="s">
        <v>4186</v>
      </c>
      <c r="R1555" t="s">
        <v>69</v>
      </c>
      <c r="S1555" t="s">
        <v>69</v>
      </c>
      <c r="T1555" t="s">
        <v>8505</v>
      </c>
      <c r="U1555" t="s">
        <v>8506</v>
      </c>
      <c r="V1555" t="s">
        <v>69</v>
      </c>
      <c r="W1555" t="s">
        <v>69</v>
      </c>
      <c r="X1555" t="s">
        <v>69</v>
      </c>
      <c r="Y1555" t="s">
        <v>69</v>
      </c>
      <c r="Z1555" t="s">
        <v>69</v>
      </c>
      <c r="AA1555" t="s">
        <v>32229</v>
      </c>
      <c r="AB1555" t="s">
        <v>32230</v>
      </c>
      <c r="AC1555" t="s">
        <v>4187</v>
      </c>
      <c r="AD1555" t="s">
        <v>69</v>
      </c>
      <c r="AE1555" t="s">
        <v>69</v>
      </c>
      <c r="AF1555" t="s">
        <v>32231</v>
      </c>
      <c r="AG1555" t="s">
        <v>69</v>
      </c>
      <c r="AH1555" t="s">
        <v>69</v>
      </c>
      <c r="AI1555" t="s">
        <v>69</v>
      </c>
      <c r="AJ1555" t="s">
        <v>69</v>
      </c>
      <c r="AK1555" t="s">
        <v>69</v>
      </c>
      <c r="AL1555" t="s">
        <v>69</v>
      </c>
      <c r="AM1555" t="s">
        <v>69</v>
      </c>
      <c r="AN1555">
        <v>53</v>
      </c>
      <c r="AO1555">
        <v>60</v>
      </c>
      <c r="AP1555">
        <v>60</v>
      </c>
      <c r="AQ1555">
        <v>1</v>
      </c>
      <c r="AR1555">
        <v>14</v>
      </c>
      <c r="AS1555" t="s">
        <v>8865</v>
      </c>
      <c r="AT1555" t="s">
        <v>8612</v>
      </c>
      <c r="AU1555" t="s">
        <v>8866</v>
      </c>
      <c r="AV1555" t="s">
        <v>4188</v>
      </c>
      <c r="AW1555" t="s">
        <v>4189</v>
      </c>
      <c r="AX1555" t="s">
        <v>69</v>
      </c>
      <c r="AY1555" t="s">
        <v>30270</v>
      </c>
      <c r="AZ1555" t="s">
        <v>30271</v>
      </c>
      <c r="BA1555" t="s">
        <v>201</v>
      </c>
      <c r="BB1555">
        <v>1997</v>
      </c>
      <c r="BC1555">
        <v>31</v>
      </c>
      <c r="BD1555">
        <v>6</v>
      </c>
      <c r="BE1555" t="s">
        <v>69</v>
      </c>
      <c r="BF1555" t="s">
        <v>69</v>
      </c>
      <c r="BG1555" t="s">
        <v>69</v>
      </c>
      <c r="BH1555" t="s">
        <v>69</v>
      </c>
      <c r="BI1555">
        <v>545</v>
      </c>
      <c r="BJ1555">
        <v>557</v>
      </c>
      <c r="BK1555" t="s">
        <v>69</v>
      </c>
      <c r="BL1555" t="s">
        <v>4190</v>
      </c>
      <c r="BM1555" t="str">
        <f>HYPERLINK("http://dx.doi.org/10.1080/00343409750131686","http://dx.doi.org/10.1080/00343409750131686")</f>
        <v>http://dx.doi.org/10.1080/00343409750131686</v>
      </c>
      <c r="BN1555" t="s">
        <v>69</v>
      </c>
      <c r="BO1555" t="s">
        <v>69</v>
      </c>
      <c r="BP1555">
        <v>13</v>
      </c>
      <c r="BQ1555" t="s">
        <v>30272</v>
      </c>
      <c r="BR1555" t="s">
        <v>8661</v>
      </c>
      <c r="BS1555" t="s">
        <v>30273</v>
      </c>
      <c r="BT1555" t="s">
        <v>32232</v>
      </c>
      <c r="BU1555" t="s">
        <v>4191</v>
      </c>
      <c r="BV1555" t="s">
        <v>69</v>
      </c>
      <c r="BW1555" t="s">
        <v>69</v>
      </c>
      <c r="BX1555" t="s">
        <v>69</v>
      </c>
      <c r="BY1555" t="s">
        <v>69</v>
      </c>
      <c r="BZ1555" t="s">
        <v>8526</v>
      </c>
      <c r="CA1555" t="str">
        <f>HYPERLINK("https%3A%2F%2Fwww.webofscience.com%2Fwos%2Fwoscc%2Ffull-record%2FWOS:A1997XV03000001","View Full Record in Web of Science")</f>
        <v>View Full Record in Web of Science</v>
      </c>
    </row>
    <row r="1556" spans="2:79" ht="12.5" x14ac:dyDescent="0.25">
      <c r="B1556" t="s">
        <v>8495</v>
      </c>
      <c r="D1556" s="22" t="s">
        <v>32931</v>
      </c>
      <c r="E1556" s="7"/>
      <c r="F1556" s="7"/>
      <c r="G1556" s="7"/>
      <c r="H1556" t="s">
        <v>67</v>
      </c>
      <c r="I1556" t="s">
        <v>27599</v>
      </c>
      <c r="J1556" t="s">
        <v>69</v>
      </c>
      <c r="K1556" t="s">
        <v>69</v>
      </c>
      <c r="L1556" t="s">
        <v>69</v>
      </c>
      <c r="M1556" t="s">
        <v>27600</v>
      </c>
      <c r="N1556" t="s">
        <v>69</v>
      </c>
      <c r="O1556" t="s">
        <v>69</v>
      </c>
      <c r="P1556" t="s">
        <v>27601</v>
      </c>
      <c r="Q1556" t="s">
        <v>27602</v>
      </c>
      <c r="R1556" t="s">
        <v>69</v>
      </c>
      <c r="S1556" t="s">
        <v>69</v>
      </c>
      <c r="T1556" t="s">
        <v>8505</v>
      </c>
      <c r="U1556" t="s">
        <v>8506</v>
      </c>
      <c r="V1556" t="s">
        <v>69</v>
      </c>
      <c r="W1556" t="s">
        <v>69</v>
      </c>
      <c r="X1556" t="s">
        <v>69</v>
      </c>
      <c r="Y1556" t="s">
        <v>69</v>
      </c>
      <c r="Z1556" t="s">
        <v>69</v>
      </c>
      <c r="AA1556" t="s">
        <v>27603</v>
      </c>
      <c r="AB1556" t="s">
        <v>27604</v>
      </c>
      <c r="AC1556" t="s">
        <v>27605</v>
      </c>
      <c r="AD1556" t="s">
        <v>27606</v>
      </c>
      <c r="AE1556" t="s">
        <v>69</v>
      </c>
      <c r="AF1556" t="s">
        <v>27607</v>
      </c>
      <c r="AG1556" t="s">
        <v>27608</v>
      </c>
      <c r="AH1556" t="s">
        <v>69</v>
      </c>
      <c r="AI1556" t="s">
        <v>27609</v>
      </c>
      <c r="AJ1556" t="s">
        <v>27610</v>
      </c>
      <c r="AK1556" t="s">
        <v>27611</v>
      </c>
      <c r="AL1556" t="s">
        <v>69</v>
      </c>
      <c r="AM1556" t="s">
        <v>69</v>
      </c>
      <c r="AN1556">
        <v>16</v>
      </c>
      <c r="AO1556">
        <v>4</v>
      </c>
      <c r="AP1556">
        <v>4</v>
      </c>
      <c r="AQ1556">
        <v>0</v>
      </c>
      <c r="AR1556">
        <v>2</v>
      </c>
      <c r="AS1556" t="s">
        <v>8846</v>
      </c>
      <c r="AT1556" t="s">
        <v>8847</v>
      </c>
      <c r="AU1556" t="s">
        <v>8848</v>
      </c>
      <c r="AV1556" t="s">
        <v>27612</v>
      </c>
      <c r="AW1556" t="s">
        <v>27613</v>
      </c>
      <c r="AX1556" t="s">
        <v>69</v>
      </c>
      <c r="AY1556" t="s">
        <v>27614</v>
      </c>
      <c r="AZ1556" t="s">
        <v>27615</v>
      </c>
      <c r="BA1556" t="s">
        <v>274</v>
      </c>
      <c r="BB1556">
        <v>2010</v>
      </c>
      <c r="BC1556">
        <v>15</v>
      </c>
      <c r="BD1556">
        <v>11</v>
      </c>
      <c r="BE1556" t="s">
        <v>69</v>
      </c>
      <c r="BF1556" t="s">
        <v>69</v>
      </c>
      <c r="BG1556" t="s">
        <v>69</v>
      </c>
      <c r="BH1556" t="s">
        <v>69</v>
      </c>
      <c r="BI1556">
        <v>1395</v>
      </c>
      <c r="BJ1556">
        <v>1400</v>
      </c>
      <c r="BK1556" t="s">
        <v>69</v>
      </c>
      <c r="BL1556" t="s">
        <v>27616</v>
      </c>
      <c r="BM1556" t="str">
        <f>HYPERLINK("http://dx.doi.org/10.1111/j.1365-3156.2010.02636.x","http://dx.doi.org/10.1111/j.1365-3156.2010.02636.x")</f>
        <v>http://dx.doi.org/10.1111/j.1365-3156.2010.02636.x</v>
      </c>
      <c r="BN1556" t="s">
        <v>69</v>
      </c>
      <c r="BO1556" t="s">
        <v>69</v>
      </c>
      <c r="BP1556">
        <v>6</v>
      </c>
      <c r="BQ1556" t="s">
        <v>8907</v>
      </c>
      <c r="BR1556" t="s">
        <v>8548</v>
      </c>
      <c r="BS1556" t="s">
        <v>8907</v>
      </c>
      <c r="BT1556" t="s">
        <v>27617</v>
      </c>
      <c r="BU1556" t="s">
        <v>27618</v>
      </c>
      <c r="BV1556">
        <v>20955500</v>
      </c>
      <c r="BW1556" t="s">
        <v>69</v>
      </c>
      <c r="BX1556" t="s">
        <v>69</v>
      </c>
      <c r="BY1556" t="s">
        <v>69</v>
      </c>
      <c r="BZ1556" t="s">
        <v>8526</v>
      </c>
      <c r="CA1556" t="str">
        <f>HYPERLINK("https%3A%2F%2Fwww.webofscience.com%2Fwos%2Fwoscc%2Ffull-record%2FWOS:000283169000018","View Full Record in Web of Science")</f>
        <v>View Full Record in Web of Science</v>
      </c>
    </row>
    <row r="1557" spans="2:79" ht="12.5" x14ac:dyDescent="0.25">
      <c r="B1557" t="s">
        <v>8495</v>
      </c>
      <c r="D1557" s="7" t="s">
        <v>32933</v>
      </c>
      <c r="E1557" s="7"/>
      <c r="F1557" s="7"/>
      <c r="G1557" s="7"/>
      <c r="H1557" t="s">
        <v>67</v>
      </c>
      <c r="I1557" t="s">
        <v>4904</v>
      </c>
      <c r="J1557" t="s">
        <v>69</v>
      </c>
      <c r="K1557" t="s">
        <v>69</v>
      </c>
      <c r="L1557" t="s">
        <v>69</v>
      </c>
      <c r="M1557" t="s">
        <v>4905</v>
      </c>
      <c r="N1557" t="s">
        <v>69</v>
      </c>
      <c r="O1557" t="s">
        <v>69</v>
      </c>
      <c r="P1557" t="s">
        <v>4906</v>
      </c>
      <c r="Q1557" t="s">
        <v>4907</v>
      </c>
      <c r="R1557" t="s">
        <v>69</v>
      </c>
      <c r="S1557" t="s">
        <v>69</v>
      </c>
      <c r="T1557" t="s">
        <v>8505</v>
      </c>
      <c r="U1557" t="s">
        <v>8506</v>
      </c>
      <c r="V1557" t="s">
        <v>69</v>
      </c>
      <c r="W1557" t="s">
        <v>69</v>
      </c>
      <c r="X1557" t="s">
        <v>69</v>
      </c>
      <c r="Y1557" t="s">
        <v>69</v>
      </c>
      <c r="Z1557" t="s">
        <v>69</v>
      </c>
      <c r="AA1557" t="s">
        <v>15472</v>
      </c>
      <c r="AB1557" t="s">
        <v>69</v>
      </c>
      <c r="AC1557" t="s">
        <v>4908</v>
      </c>
      <c r="AD1557" t="s">
        <v>15473</v>
      </c>
      <c r="AE1557" t="s">
        <v>69</v>
      </c>
      <c r="AF1557" t="s">
        <v>15474</v>
      </c>
      <c r="AG1557" t="s">
        <v>15475</v>
      </c>
      <c r="AH1557" t="s">
        <v>69</v>
      </c>
      <c r="AI1557" t="s">
        <v>69</v>
      </c>
      <c r="AJ1557" t="s">
        <v>69</v>
      </c>
      <c r="AK1557" t="s">
        <v>69</v>
      </c>
      <c r="AL1557" t="s">
        <v>69</v>
      </c>
      <c r="AM1557" t="s">
        <v>69</v>
      </c>
      <c r="AN1557">
        <v>20</v>
      </c>
      <c r="AO1557">
        <v>15</v>
      </c>
      <c r="AP1557">
        <v>16</v>
      </c>
      <c r="AQ1557">
        <v>1</v>
      </c>
      <c r="AR1557">
        <v>18</v>
      </c>
      <c r="AS1557" t="s">
        <v>13023</v>
      </c>
      <c r="AT1557" t="s">
        <v>13024</v>
      </c>
      <c r="AU1557" t="s">
        <v>13025</v>
      </c>
      <c r="AV1557" t="s">
        <v>4909</v>
      </c>
      <c r="AW1557" t="s">
        <v>4910</v>
      </c>
      <c r="AX1557" t="s">
        <v>69</v>
      </c>
      <c r="AY1557" t="s">
        <v>13026</v>
      </c>
      <c r="AZ1557" t="s">
        <v>13027</v>
      </c>
      <c r="BA1557" t="s">
        <v>246</v>
      </c>
      <c r="BB1557">
        <v>2020</v>
      </c>
      <c r="BC1557">
        <v>309</v>
      </c>
      <c r="BD1557" t="s">
        <v>69</v>
      </c>
      <c r="BE1557" t="s">
        <v>69</v>
      </c>
      <c r="BF1557" t="s">
        <v>69</v>
      </c>
      <c r="BG1557" t="s">
        <v>69</v>
      </c>
      <c r="BH1557" t="s">
        <v>69</v>
      </c>
      <c r="BI1557" t="s">
        <v>69</v>
      </c>
      <c r="BJ1557" t="s">
        <v>69</v>
      </c>
      <c r="BK1557">
        <v>110148</v>
      </c>
      <c r="BL1557" t="s">
        <v>4911</v>
      </c>
      <c r="BM1557" t="str">
        <f>HYPERLINK("http://dx.doi.org/10.1016/j.forsciint.2020.110148","http://dx.doi.org/10.1016/j.forsciint.2020.110148")</f>
        <v>http://dx.doi.org/10.1016/j.forsciint.2020.110148</v>
      </c>
      <c r="BN1557" t="s">
        <v>69</v>
      </c>
      <c r="BO1557" t="s">
        <v>69</v>
      </c>
      <c r="BP1557">
        <v>8</v>
      </c>
      <c r="BQ1557" t="s">
        <v>13030</v>
      </c>
      <c r="BR1557" t="s">
        <v>8548</v>
      </c>
      <c r="BS1557" t="s">
        <v>13031</v>
      </c>
      <c r="BT1557" t="s">
        <v>15476</v>
      </c>
      <c r="BU1557" t="s">
        <v>4912</v>
      </c>
      <c r="BV1557">
        <v>32114189</v>
      </c>
      <c r="BW1557" t="s">
        <v>69</v>
      </c>
      <c r="BX1557" t="s">
        <v>69</v>
      </c>
      <c r="BY1557" t="s">
        <v>69</v>
      </c>
      <c r="BZ1557" t="s">
        <v>8526</v>
      </c>
      <c r="CA1557" t="str">
        <f>HYPERLINK("https%3A%2F%2Fwww.webofscience.com%2Fwos%2Fwoscc%2Ffull-record%2FWOS:000544880700022","View Full Record in Web of Science")</f>
        <v>View Full Record in Web of Science</v>
      </c>
    </row>
    <row r="1558" spans="2:79" x14ac:dyDescent="0.3">
      <c r="B1558" t="s">
        <v>8495</v>
      </c>
      <c r="D1558" s="9" t="s">
        <v>32954</v>
      </c>
      <c r="E1558" s="9" t="s">
        <v>33167</v>
      </c>
      <c r="F1558" s="9" t="s">
        <v>8491</v>
      </c>
      <c r="G1558" s="9" t="s">
        <v>8490</v>
      </c>
      <c r="H1558" t="s">
        <v>67</v>
      </c>
      <c r="I1558" t="s">
        <v>25157</v>
      </c>
      <c r="J1558" t="s">
        <v>69</v>
      </c>
      <c r="K1558" t="s">
        <v>69</v>
      </c>
      <c r="L1558" t="s">
        <v>69</v>
      </c>
      <c r="M1558" t="s">
        <v>25158</v>
      </c>
      <c r="N1558" t="s">
        <v>69</v>
      </c>
      <c r="O1558" t="s">
        <v>69</v>
      </c>
      <c r="P1558" t="s">
        <v>25159</v>
      </c>
      <c r="Q1558" t="s">
        <v>25160</v>
      </c>
      <c r="R1558" t="s">
        <v>69</v>
      </c>
      <c r="S1558" t="s">
        <v>69</v>
      </c>
      <c r="T1558" t="s">
        <v>8505</v>
      </c>
      <c r="U1558" t="s">
        <v>8442</v>
      </c>
      <c r="V1558" t="s">
        <v>69</v>
      </c>
      <c r="W1558" t="s">
        <v>69</v>
      </c>
      <c r="X1558" t="s">
        <v>69</v>
      </c>
      <c r="Y1558" t="s">
        <v>69</v>
      </c>
      <c r="Z1558" t="s">
        <v>69</v>
      </c>
      <c r="AA1558" t="s">
        <v>25161</v>
      </c>
      <c r="AB1558" t="s">
        <v>25162</v>
      </c>
      <c r="AC1558" t="s">
        <v>25163</v>
      </c>
      <c r="AD1558" t="s">
        <v>25164</v>
      </c>
      <c r="AE1558" t="s">
        <v>69</v>
      </c>
      <c r="AF1558" t="s">
        <v>25165</v>
      </c>
      <c r="AG1558" t="s">
        <v>25166</v>
      </c>
      <c r="AH1558" t="s">
        <v>69</v>
      </c>
      <c r="AI1558" t="s">
        <v>69</v>
      </c>
      <c r="AJ1558" t="s">
        <v>25167</v>
      </c>
      <c r="AK1558" t="s">
        <v>25167</v>
      </c>
      <c r="AL1558" t="s">
        <v>25168</v>
      </c>
      <c r="AM1558" t="s">
        <v>69</v>
      </c>
      <c r="AN1558">
        <v>63</v>
      </c>
      <c r="AO1558">
        <v>8</v>
      </c>
      <c r="AP1558">
        <v>8</v>
      </c>
      <c r="AQ1558">
        <v>0</v>
      </c>
      <c r="AR1558">
        <v>62</v>
      </c>
      <c r="AS1558" t="s">
        <v>9047</v>
      </c>
      <c r="AT1558" t="s">
        <v>9048</v>
      </c>
      <c r="AU1558" t="s">
        <v>9049</v>
      </c>
      <c r="AV1558" t="s">
        <v>25169</v>
      </c>
      <c r="AW1558" t="s">
        <v>25170</v>
      </c>
      <c r="AX1558" t="s">
        <v>69</v>
      </c>
      <c r="AY1558" t="s">
        <v>25171</v>
      </c>
      <c r="AZ1558" t="s">
        <v>25172</v>
      </c>
      <c r="BA1558" t="s">
        <v>94</v>
      </c>
      <c r="BB1558">
        <v>2013</v>
      </c>
      <c r="BC1558">
        <v>22</v>
      </c>
      <c r="BD1558">
        <v>3</v>
      </c>
      <c r="BE1558" t="s">
        <v>69</v>
      </c>
      <c r="BF1558" t="s">
        <v>69</v>
      </c>
      <c r="BG1558" t="s">
        <v>69</v>
      </c>
      <c r="BH1558" t="s">
        <v>69</v>
      </c>
      <c r="BI1558">
        <v>545</v>
      </c>
      <c r="BJ1558">
        <v>565</v>
      </c>
      <c r="BK1558" t="s">
        <v>69</v>
      </c>
      <c r="BL1558" t="s">
        <v>25173</v>
      </c>
      <c r="BM1558" t="str">
        <f>HYPERLINK("http://dx.doi.org/10.1007/s10531-013-0443-2","http://dx.doi.org/10.1007/s10531-013-0443-2")</f>
        <v>http://dx.doi.org/10.1007/s10531-013-0443-2</v>
      </c>
      <c r="BN1558" t="s">
        <v>69</v>
      </c>
      <c r="BO1558" t="s">
        <v>69</v>
      </c>
      <c r="BP1558">
        <v>21</v>
      </c>
      <c r="BQ1558" t="s">
        <v>16747</v>
      </c>
      <c r="BR1558" t="s">
        <v>8523</v>
      </c>
      <c r="BS1558" t="s">
        <v>15452</v>
      </c>
      <c r="BT1558" t="s">
        <v>25174</v>
      </c>
      <c r="BU1558" t="s">
        <v>25175</v>
      </c>
      <c r="BV1558" t="s">
        <v>69</v>
      </c>
      <c r="BW1558" t="s">
        <v>69</v>
      </c>
      <c r="BX1558" t="s">
        <v>69</v>
      </c>
      <c r="BY1558" t="s">
        <v>69</v>
      </c>
      <c r="BZ1558" t="s">
        <v>8526</v>
      </c>
      <c r="CA1558" t="str">
        <f>HYPERLINK("https%3A%2F%2Fwww.webofscience.com%2Fwos%2Fwoscc%2Ffull-record%2FWOS:000315488800001","View Full Record in Web of Science")</f>
        <v>View Full Record in Web of Science</v>
      </c>
    </row>
    <row r="1559" spans="2:79" ht="12.5" x14ac:dyDescent="0.25">
      <c r="B1559" t="s">
        <v>8495</v>
      </c>
      <c r="D1559" s="22" t="s">
        <v>32931</v>
      </c>
      <c r="E1559" s="7"/>
      <c r="F1559" s="7"/>
      <c r="G1559" s="7"/>
      <c r="H1559" t="s">
        <v>67</v>
      </c>
      <c r="I1559" t="s">
        <v>26487</v>
      </c>
      <c r="J1559" t="s">
        <v>69</v>
      </c>
      <c r="K1559" t="s">
        <v>69</v>
      </c>
      <c r="L1559" t="s">
        <v>69</v>
      </c>
      <c r="M1559" t="s">
        <v>26488</v>
      </c>
      <c r="N1559" t="s">
        <v>69</v>
      </c>
      <c r="O1559" t="s">
        <v>69</v>
      </c>
      <c r="P1559" t="s">
        <v>26489</v>
      </c>
      <c r="Q1559" t="s">
        <v>26490</v>
      </c>
      <c r="R1559" t="s">
        <v>69</v>
      </c>
      <c r="S1559" t="s">
        <v>69</v>
      </c>
      <c r="T1559" t="s">
        <v>8505</v>
      </c>
      <c r="U1559" t="s">
        <v>8506</v>
      </c>
      <c r="V1559" t="s">
        <v>69</v>
      </c>
      <c r="W1559" t="s">
        <v>69</v>
      </c>
      <c r="X1559" t="s">
        <v>69</v>
      </c>
      <c r="Y1559" t="s">
        <v>69</v>
      </c>
      <c r="Z1559" t="s">
        <v>69</v>
      </c>
      <c r="AA1559" t="s">
        <v>26491</v>
      </c>
      <c r="AB1559" t="s">
        <v>26492</v>
      </c>
      <c r="AC1559" t="s">
        <v>26493</v>
      </c>
      <c r="AD1559" t="s">
        <v>26494</v>
      </c>
      <c r="AE1559" t="s">
        <v>69</v>
      </c>
      <c r="AF1559" t="s">
        <v>26495</v>
      </c>
      <c r="AG1559" t="s">
        <v>26496</v>
      </c>
      <c r="AH1559" t="s">
        <v>69</v>
      </c>
      <c r="AI1559" t="s">
        <v>69</v>
      </c>
      <c r="AJ1559" t="s">
        <v>69</v>
      </c>
      <c r="AK1559" t="s">
        <v>69</v>
      </c>
      <c r="AL1559" t="s">
        <v>69</v>
      </c>
      <c r="AM1559" t="s">
        <v>69</v>
      </c>
      <c r="AN1559">
        <v>109</v>
      </c>
      <c r="AO1559">
        <v>11</v>
      </c>
      <c r="AP1559">
        <v>11</v>
      </c>
      <c r="AQ1559">
        <v>0</v>
      </c>
      <c r="AR1559">
        <v>0</v>
      </c>
      <c r="AS1559" t="s">
        <v>8586</v>
      </c>
      <c r="AT1559" t="s">
        <v>8587</v>
      </c>
      <c r="AU1559" t="s">
        <v>8588</v>
      </c>
      <c r="AV1559" t="s">
        <v>26497</v>
      </c>
      <c r="AW1559" t="s">
        <v>26498</v>
      </c>
      <c r="AX1559" t="s">
        <v>69</v>
      </c>
      <c r="AY1559" t="s">
        <v>26499</v>
      </c>
      <c r="AZ1559" t="s">
        <v>26500</v>
      </c>
      <c r="BA1559" t="s">
        <v>69</v>
      </c>
      <c r="BB1559">
        <v>2012</v>
      </c>
      <c r="BC1559">
        <v>8</v>
      </c>
      <c r="BD1559">
        <v>3</v>
      </c>
      <c r="BE1559" t="s">
        <v>69</v>
      </c>
      <c r="BF1559" t="s">
        <v>69</v>
      </c>
      <c r="BG1559" t="s">
        <v>114</v>
      </c>
      <c r="BH1559" t="s">
        <v>69</v>
      </c>
      <c r="BI1559">
        <v>403</v>
      </c>
      <c r="BJ1559">
        <v>430</v>
      </c>
      <c r="BK1559" t="s">
        <v>69</v>
      </c>
      <c r="BL1559" t="s">
        <v>26501</v>
      </c>
      <c r="BM1559" t="str">
        <f>HYPERLINK("http://dx.doi.org/10.1108/18325911211258362","http://dx.doi.org/10.1108/18325911211258362")</f>
        <v>http://dx.doi.org/10.1108/18325911211258362</v>
      </c>
      <c r="BN1559" t="s">
        <v>69</v>
      </c>
      <c r="BO1559" t="s">
        <v>69</v>
      </c>
      <c r="BP1559">
        <v>28</v>
      </c>
      <c r="BQ1559" t="s">
        <v>9749</v>
      </c>
      <c r="BR1559" t="s">
        <v>8573</v>
      </c>
      <c r="BS1559" t="s">
        <v>8594</v>
      </c>
      <c r="BT1559" t="s">
        <v>26502</v>
      </c>
      <c r="BU1559" t="s">
        <v>26503</v>
      </c>
      <c r="BV1559" t="s">
        <v>69</v>
      </c>
      <c r="BW1559" t="s">
        <v>69</v>
      </c>
      <c r="BX1559" t="s">
        <v>69</v>
      </c>
      <c r="BY1559" t="s">
        <v>69</v>
      </c>
      <c r="BZ1559" t="s">
        <v>8526</v>
      </c>
      <c r="CA1559" t="str">
        <f>HYPERLINK("https%3A%2F%2Fwww.webofscience.com%2Fwos%2Fwoscc%2Ffull-record%2FWOS:000211669300008","View Full Record in Web of Science")</f>
        <v>View Full Record in Web of Science</v>
      </c>
    </row>
    <row r="1560" spans="2:79" x14ac:dyDescent="0.3">
      <c r="B1560" t="s">
        <v>8495</v>
      </c>
      <c r="D1560" s="9" t="s">
        <v>32954</v>
      </c>
      <c r="E1560" s="9" t="s">
        <v>33094</v>
      </c>
      <c r="F1560" s="10" t="s">
        <v>8490</v>
      </c>
      <c r="G1560" s="9" t="s">
        <v>8490</v>
      </c>
      <c r="H1560" t="s">
        <v>67</v>
      </c>
      <c r="I1560" t="s">
        <v>9935</v>
      </c>
      <c r="J1560" t="s">
        <v>69</v>
      </c>
      <c r="K1560" t="s">
        <v>69</v>
      </c>
      <c r="L1560" t="s">
        <v>69</v>
      </c>
      <c r="M1560" t="s">
        <v>9936</v>
      </c>
      <c r="N1560" t="s">
        <v>69</v>
      </c>
      <c r="O1560" t="s">
        <v>69</v>
      </c>
      <c r="P1560" t="s">
        <v>9937</v>
      </c>
      <c r="Q1560" t="s">
        <v>9938</v>
      </c>
      <c r="R1560" t="s">
        <v>69</v>
      </c>
      <c r="S1560" t="s">
        <v>69</v>
      </c>
      <c r="T1560" t="s">
        <v>8505</v>
      </c>
      <c r="U1560" t="s">
        <v>50</v>
      </c>
      <c r="V1560" t="s">
        <v>69</v>
      </c>
      <c r="W1560" t="s">
        <v>69</v>
      </c>
      <c r="X1560" t="s">
        <v>69</v>
      </c>
      <c r="Y1560" t="s">
        <v>69</v>
      </c>
      <c r="Z1560" t="s">
        <v>69</v>
      </c>
      <c r="AA1560" t="s">
        <v>9939</v>
      </c>
      <c r="AB1560" t="s">
        <v>69</v>
      </c>
      <c r="AC1560" t="s">
        <v>69</v>
      </c>
      <c r="AD1560" t="s">
        <v>69</v>
      </c>
      <c r="AE1560" t="s">
        <v>69</v>
      </c>
      <c r="AF1560" t="s">
        <v>69</v>
      </c>
      <c r="AG1560" t="s">
        <v>69</v>
      </c>
      <c r="AH1560" t="s">
        <v>69</v>
      </c>
      <c r="AI1560" t="s">
        <v>69</v>
      </c>
      <c r="AJ1560" t="s">
        <v>69</v>
      </c>
      <c r="AK1560" t="s">
        <v>69</v>
      </c>
      <c r="AL1560" t="s">
        <v>69</v>
      </c>
      <c r="AM1560" t="s">
        <v>69</v>
      </c>
      <c r="AN1560">
        <v>0</v>
      </c>
      <c r="AO1560">
        <v>0</v>
      </c>
      <c r="AP1560">
        <v>0</v>
      </c>
      <c r="AQ1560">
        <v>0</v>
      </c>
      <c r="AR1560">
        <v>0</v>
      </c>
      <c r="AS1560" t="s">
        <v>9554</v>
      </c>
      <c r="AT1560" t="s">
        <v>9555</v>
      </c>
      <c r="AU1560" t="s">
        <v>9556</v>
      </c>
      <c r="AV1560" t="s">
        <v>9940</v>
      </c>
      <c r="AW1560" t="s">
        <v>9941</v>
      </c>
      <c r="AX1560" t="s">
        <v>69</v>
      </c>
      <c r="AY1560" t="s">
        <v>9942</v>
      </c>
      <c r="AZ1560" t="s">
        <v>9943</v>
      </c>
      <c r="BA1560" t="s">
        <v>191</v>
      </c>
      <c r="BB1560">
        <v>2022</v>
      </c>
      <c r="BC1560">
        <v>37</v>
      </c>
      <c r="BD1560">
        <v>1</v>
      </c>
      <c r="BE1560" t="s">
        <v>69</v>
      </c>
      <c r="BF1560" t="s">
        <v>69</v>
      </c>
      <c r="BG1560" t="s">
        <v>69</v>
      </c>
      <c r="BH1560">
        <v>2019</v>
      </c>
      <c r="BI1560">
        <v>111</v>
      </c>
      <c r="BJ1560">
        <v>111</v>
      </c>
      <c r="BK1560" t="s">
        <v>69</v>
      </c>
      <c r="BL1560" t="s">
        <v>69</v>
      </c>
      <c r="BM1560" t="s">
        <v>69</v>
      </c>
      <c r="BN1560" t="s">
        <v>69</v>
      </c>
      <c r="BO1560" t="s">
        <v>69</v>
      </c>
      <c r="BP1560">
        <v>1</v>
      </c>
      <c r="BQ1560" t="s">
        <v>9944</v>
      </c>
      <c r="BR1560" t="s">
        <v>8661</v>
      </c>
      <c r="BS1560" t="s">
        <v>9945</v>
      </c>
      <c r="BT1560" t="s">
        <v>9946</v>
      </c>
      <c r="BU1560" t="s">
        <v>9947</v>
      </c>
      <c r="BV1560" t="s">
        <v>69</v>
      </c>
      <c r="BW1560" t="s">
        <v>69</v>
      </c>
      <c r="BX1560" t="s">
        <v>69</v>
      </c>
      <c r="BY1560" t="s">
        <v>69</v>
      </c>
      <c r="BZ1560" t="s">
        <v>8526</v>
      </c>
      <c r="CA1560" t="str">
        <f>HYPERLINK("https%3A%2F%2Fwww.webofscience.com%2Fwos%2Fwoscc%2Ffull-record%2FWOS:000767392200021","View Full Record in Web of Science")</f>
        <v>View Full Record in Web of Science</v>
      </c>
    </row>
    <row r="1561" spans="2:79" ht="12.5" x14ac:dyDescent="0.25">
      <c r="B1561" t="s">
        <v>8495</v>
      </c>
      <c r="D1561" s="7" t="s">
        <v>32933</v>
      </c>
      <c r="E1561" s="7"/>
      <c r="F1561" s="7"/>
      <c r="G1561" s="7"/>
      <c r="H1561" t="s">
        <v>67</v>
      </c>
      <c r="I1561" t="s">
        <v>3899</v>
      </c>
      <c r="J1561" t="s">
        <v>69</v>
      </c>
      <c r="K1561" t="s">
        <v>69</v>
      </c>
      <c r="L1561" t="s">
        <v>69</v>
      </c>
      <c r="M1561" t="s">
        <v>3899</v>
      </c>
      <c r="N1561" t="s">
        <v>69</v>
      </c>
      <c r="O1561" t="s">
        <v>69</v>
      </c>
      <c r="P1561" t="s">
        <v>3900</v>
      </c>
      <c r="Q1561" t="s">
        <v>3901</v>
      </c>
      <c r="R1561" t="s">
        <v>69</v>
      </c>
      <c r="S1561" t="s">
        <v>69</v>
      </c>
      <c r="T1561" t="s">
        <v>8505</v>
      </c>
      <c r="U1561" t="s">
        <v>15797</v>
      </c>
      <c r="V1561" t="s">
        <v>3902</v>
      </c>
      <c r="W1561" t="s">
        <v>3903</v>
      </c>
      <c r="X1561" t="s">
        <v>3904</v>
      </c>
      <c r="Y1561" t="s">
        <v>69</v>
      </c>
      <c r="Z1561" t="s">
        <v>3905</v>
      </c>
      <c r="AA1561" t="s">
        <v>30697</v>
      </c>
      <c r="AB1561" t="s">
        <v>30698</v>
      </c>
      <c r="AC1561" t="s">
        <v>3906</v>
      </c>
      <c r="AD1561" t="s">
        <v>30699</v>
      </c>
      <c r="AE1561" t="s">
        <v>69</v>
      </c>
      <c r="AF1561" t="s">
        <v>30700</v>
      </c>
      <c r="AG1561" t="s">
        <v>30701</v>
      </c>
      <c r="AH1561" t="s">
        <v>3907</v>
      </c>
      <c r="AI1561" t="s">
        <v>30702</v>
      </c>
      <c r="AJ1561" t="s">
        <v>69</v>
      </c>
      <c r="AK1561" t="s">
        <v>69</v>
      </c>
      <c r="AL1561" t="s">
        <v>69</v>
      </c>
      <c r="AM1561" t="s">
        <v>69</v>
      </c>
      <c r="AN1561">
        <v>48</v>
      </c>
      <c r="AO1561">
        <v>160</v>
      </c>
      <c r="AP1561">
        <v>172</v>
      </c>
      <c r="AQ1561">
        <v>0</v>
      </c>
      <c r="AR1561">
        <v>40</v>
      </c>
      <c r="AS1561" t="s">
        <v>30703</v>
      </c>
      <c r="AT1561" t="s">
        <v>8763</v>
      </c>
      <c r="AU1561" t="s">
        <v>25199</v>
      </c>
      <c r="AV1561" t="s">
        <v>3908</v>
      </c>
      <c r="AW1561" t="s">
        <v>69</v>
      </c>
      <c r="AX1561" t="s">
        <v>69</v>
      </c>
      <c r="AY1561" t="s">
        <v>30704</v>
      </c>
      <c r="AZ1561" t="s">
        <v>30705</v>
      </c>
      <c r="BA1561" t="s">
        <v>3909</v>
      </c>
      <c r="BB1561">
        <v>2005</v>
      </c>
      <c r="BC1561">
        <v>360</v>
      </c>
      <c r="BD1561">
        <v>1454</v>
      </c>
      <c r="BE1561" t="s">
        <v>69</v>
      </c>
      <c r="BF1561" t="s">
        <v>69</v>
      </c>
      <c r="BG1561" t="s">
        <v>69</v>
      </c>
      <c r="BH1561" t="s">
        <v>69</v>
      </c>
      <c r="BI1561">
        <v>221</v>
      </c>
      <c r="BJ1561">
        <v>228</v>
      </c>
      <c r="BK1561" t="s">
        <v>69</v>
      </c>
      <c r="BL1561" t="s">
        <v>3910</v>
      </c>
      <c r="BM1561" t="str">
        <f>HYPERLINK("http://dx.doi.org/10.1098/rstb.2004.1599","http://dx.doi.org/10.1098/rstb.2004.1599")</f>
        <v>http://dx.doi.org/10.1098/rstb.2004.1599</v>
      </c>
      <c r="BN1561" t="s">
        <v>69</v>
      </c>
      <c r="BO1561" t="s">
        <v>69</v>
      </c>
      <c r="BP1561">
        <v>8</v>
      </c>
      <c r="BQ1561" t="s">
        <v>24555</v>
      </c>
      <c r="BR1561" t="s">
        <v>29550</v>
      </c>
      <c r="BS1561" t="s">
        <v>24556</v>
      </c>
      <c r="BT1561" t="s">
        <v>30706</v>
      </c>
      <c r="BU1561" t="s">
        <v>3911</v>
      </c>
      <c r="BV1561">
        <v>15814341</v>
      </c>
      <c r="BW1561" t="s">
        <v>10423</v>
      </c>
      <c r="BX1561" t="s">
        <v>69</v>
      </c>
      <c r="BY1561" t="s">
        <v>69</v>
      </c>
      <c r="BZ1561" t="s">
        <v>8526</v>
      </c>
      <c r="CA1561" t="str">
        <f>HYPERLINK("https%3A%2F%2Fwww.webofscience.com%2Fwos%2Fwoscc%2Ffull-record%2FWOS:000228214600001","View Full Record in Web of Science")</f>
        <v>View Full Record in Web of Science</v>
      </c>
    </row>
    <row r="1562" spans="2:79" ht="12.5" x14ac:dyDescent="0.25">
      <c r="B1562" t="s">
        <v>8495</v>
      </c>
      <c r="D1562" s="7" t="s">
        <v>32933</v>
      </c>
      <c r="E1562" s="7"/>
      <c r="F1562" s="7"/>
      <c r="G1562" s="7"/>
      <c r="H1562" t="s">
        <v>67</v>
      </c>
      <c r="I1562" t="s">
        <v>1313</v>
      </c>
      <c r="J1562" t="s">
        <v>69</v>
      </c>
      <c r="K1562" t="s">
        <v>69</v>
      </c>
      <c r="L1562" t="s">
        <v>69</v>
      </c>
      <c r="M1562" t="s">
        <v>1314</v>
      </c>
      <c r="N1562" t="s">
        <v>69</v>
      </c>
      <c r="O1562" t="s">
        <v>69</v>
      </c>
      <c r="P1562" t="s">
        <v>1315</v>
      </c>
      <c r="Q1562" t="s">
        <v>1316</v>
      </c>
      <c r="R1562" t="s">
        <v>69</v>
      </c>
      <c r="S1562" t="s">
        <v>69</v>
      </c>
      <c r="T1562" t="s">
        <v>8505</v>
      </c>
      <c r="U1562" t="s">
        <v>8506</v>
      </c>
      <c r="V1562" t="s">
        <v>69</v>
      </c>
      <c r="W1562" t="s">
        <v>69</v>
      </c>
      <c r="X1562" t="s">
        <v>69</v>
      </c>
      <c r="Y1562" t="s">
        <v>69</v>
      </c>
      <c r="Z1562" t="s">
        <v>69</v>
      </c>
      <c r="AA1562" t="s">
        <v>69</v>
      </c>
      <c r="AB1562" t="s">
        <v>19521</v>
      </c>
      <c r="AC1562" t="s">
        <v>1317</v>
      </c>
      <c r="AD1562" t="s">
        <v>23094</v>
      </c>
      <c r="AE1562" t="s">
        <v>69</v>
      </c>
      <c r="AF1562" t="s">
        <v>23095</v>
      </c>
      <c r="AG1562" t="s">
        <v>23096</v>
      </c>
      <c r="AH1562" t="s">
        <v>69</v>
      </c>
      <c r="AI1562" t="s">
        <v>69</v>
      </c>
      <c r="AJ1562" t="s">
        <v>69</v>
      </c>
      <c r="AK1562" t="s">
        <v>69</v>
      </c>
      <c r="AL1562" t="s">
        <v>69</v>
      </c>
      <c r="AM1562" t="s">
        <v>69</v>
      </c>
      <c r="AN1562">
        <v>28</v>
      </c>
      <c r="AO1562">
        <v>24</v>
      </c>
      <c r="AP1562">
        <v>26</v>
      </c>
      <c r="AQ1562">
        <v>4</v>
      </c>
      <c r="AR1562">
        <v>108</v>
      </c>
      <c r="AS1562" t="s">
        <v>8692</v>
      </c>
      <c r="AT1562" t="s">
        <v>8693</v>
      </c>
      <c r="AU1562" t="s">
        <v>8694</v>
      </c>
      <c r="AV1562" t="s">
        <v>1318</v>
      </c>
      <c r="AW1562" t="s">
        <v>1319</v>
      </c>
      <c r="AX1562" t="s">
        <v>69</v>
      </c>
      <c r="AY1562" t="s">
        <v>23097</v>
      </c>
      <c r="AZ1562" t="s">
        <v>23098</v>
      </c>
      <c r="BA1562" t="s">
        <v>602</v>
      </c>
      <c r="BB1562">
        <v>2015</v>
      </c>
      <c r="BC1562">
        <v>44</v>
      </c>
      <c r="BD1562">
        <v>1</v>
      </c>
      <c r="BE1562" t="s">
        <v>69</v>
      </c>
      <c r="BF1562" t="s">
        <v>69</v>
      </c>
      <c r="BG1562" t="s">
        <v>69</v>
      </c>
      <c r="BH1562" t="s">
        <v>69</v>
      </c>
      <c r="BI1562">
        <v>47</v>
      </c>
      <c r="BJ1562" t="s">
        <v>219</v>
      </c>
      <c r="BK1562" t="s">
        <v>69</v>
      </c>
      <c r="BL1562" t="s">
        <v>1320</v>
      </c>
      <c r="BM1562" t="str">
        <f>HYPERLINK("http://dx.doi.org/10.1016/j.orgdyn.2014.11.006","http://dx.doi.org/10.1016/j.orgdyn.2014.11.006")</f>
        <v>http://dx.doi.org/10.1016/j.orgdyn.2014.11.006</v>
      </c>
      <c r="BN1562" t="s">
        <v>69</v>
      </c>
      <c r="BO1562" t="s">
        <v>69</v>
      </c>
      <c r="BP1562">
        <v>11</v>
      </c>
      <c r="BQ1562" t="s">
        <v>23099</v>
      </c>
      <c r="BR1562" t="s">
        <v>8661</v>
      </c>
      <c r="BS1562" t="s">
        <v>23100</v>
      </c>
      <c r="BT1562" t="s">
        <v>23101</v>
      </c>
      <c r="BU1562" t="s">
        <v>1321</v>
      </c>
      <c r="BV1562" t="s">
        <v>69</v>
      </c>
      <c r="BW1562" t="s">
        <v>69</v>
      </c>
      <c r="BX1562" t="s">
        <v>69</v>
      </c>
      <c r="BY1562" t="s">
        <v>69</v>
      </c>
      <c r="BZ1562" t="s">
        <v>8526</v>
      </c>
      <c r="CA1562" t="str">
        <f>HYPERLINK("https%3A%2F%2Fwww.webofscience.com%2Fwos%2Fwoscc%2Ffull-record%2FWOS:000351193600006","View Full Record in Web of Science")</f>
        <v>View Full Record in Web of Science</v>
      </c>
    </row>
    <row r="1563" spans="2:79" ht="12.5" x14ac:dyDescent="0.25">
      <c r="B1563" t="s">
        <v>8495</v>
      </c>
      <c r="D1563" s="22" t="s">
        <v>32931</v>
      </c>
      <c r="E1563" s="7"/>
      <c r="F1563" s="7"/>
      <c r="G1563" s="7"/>
      <c r="H1563" t="s">
        <v>67</v>
      </c>
      <c r="I1563" t="s">
        <v>11318</v>
      </c>
      <c r="J1563" t="s">
        <v>69</v>
      </c>
      <c r="K1563" t="s">
        <v>69</v>
      </c>
      <c r="L1563" t="s">
        <v>69</v>
      </c>
      <c r="M1563" t="s">
        <v>11319</v>
      </c>
      <c r="N1563" t="s">
        <v>69</v>
      </c>
      <c r="O1563" t="s">
        <v>69</v>
      </c>
      <c r="P1563" t="s">
        <v>11320</v>
      </c>
      <c r="Q1563" t="s">
        <v>859</v>
      </c>
      <c r="R1563" t="s">
        <v>69</v>
      </c>
      <c r="S1563" t="s">
        <v>69</v>
      </c>
      <c r="T1563" t="s">
        <v>8505</v>
      </c>
      <c r="U1563" t="s">
        <v>8506</v>
      </c>
      <c r="V1563" t="s">
        <v>69</v>
      </c>
      <c r="W1563" t="s">
        <v>69</v>
      </c>
      <c r="X1563" t="s">
        <v>69</v>
      </c>
      <c r="Y1563" t="s">
        <v>69</v>
      </c>
      <c r="Z1563" t="s">
        <v>69</v>
      </c>
      <c r="AA1563" t="s">
        <v>69</v>
      </c>
      <c r="AB1563" t="s">
        <v>11321</v>
      </c>
      <c r="AC1563" t="s">
        <v>11322</v>
      </c>
      <c r="AD1563" t="s">
        <v>11323</v>
      </c>
      <c r="AE1563" t="s">
        <v>69</v>
      </c>
      <c r="AF1563" t="s">
        <v>11324</v>
      </c>
      <c r="AG1563" t="s">
        <v>11325</v>
      </c>
      <c r="AH1563" t="s">
        <v>69</v>
      </c>
      <c r="AI1563" t="s">
        <v>11326</v>
      </c>
      <c r="AJ1563" t="s">
        <v>11327</v>
      </c>
      <c r="AK1563" t="s">
        <v>11327</v>
      </c>
      <c r="AL1563" t="s">
        <v>11328</v>
      </c>
      <c r="AM1563" t="s">
        <v>69</v>
      </c>
      <c r="AN1563">
        <v>35</v>
      </c>
      <c r="AO1563">
        <v>1</v>
      </c>
      <c r="AP1563">
        <v>1</v>
      </c>
      <c r="AQ1563">
        <v>2</v>
      </c>
      <c r="AR1563">
        <v>2</v>
      </c>
      <c r="AS1563" t="s">
        <v>11130</v>
      </c>
      <c r="AT1563" t="s">
        <v>11131</v>
      </c>
      <c r="AU1563" t="s">
        <v>11132</v>
      </c>
      <c r="AV1563" t="s">
        <v>862</v>
      </c>
      <c r="AW1563" t="s">
        <v>69</v>
      </c>
      <c r="AX1563" t="s">
        <v>69</v>
      </c>
      <c r="AY1563" t="s">
        <v>859</v>
      </c>
      <c r="AZ1563" t="s">
        <v>11133</v>
      </c>
      <c r="BA1563" t="s">
        <v>11329</v>
      </c>
      <c r="BB1563">
        <v>2021</v>
      </c>
      <c r="BC1563">
        <v>16</v>
      </c>
      <c r="BD1563">
        <v>9</v>
      </c>
      <c r="BE1563" t="s">
        <v>69</v>
      </c>
      <c r="BF1563" t="s">
        <v>69</v>
      </c>
      <c r="BG1563" t="s">
        <v>69</v>
      </c>
      <c r="BH1563" t="s">
        <v>69</v>
      </c>
      <c r="BI1563" t="s">
        <v>69</v>
      </c>
      <c r="BJ1563" t="s">
        <v>69</v>
      </c>
      <c r="BK1563" t="s">
        <v>11330</v>
      </c>
      <c r="BL1563" t="s">
        <v>11331</v>
      </c>
      <c r="BM1563" t="str">
        <f>HYPERLINK("http://dx.doi.org/10.1371/journal.pone.0257802","http://dx.doi.org/10.1371/journal.pone.0257802")</f>
        <v>http://dx.doi.org/10.1371/journal.pone.0257802</v>
      </c>
      <c r="BN1563" t="s">
        <v>69</v>
      </c>
      <c r="BO1563" t="s">
        <v>69</v>
      </c>
      <c r="BP1563">
        <v>21</v>
      </c>
      <c r="BQ1563" t="s">
        <v>8619</v>
      </c>
      <c r="BR1563" t="s">
        <v>8548</v>
      </c>
      <c r="BS1563" t="s">
        <v>8620</v>
      </c>
      <c r="BT1563" t="s">
        <v>11332</v>
      </c>
      <c r="BU1563" t="s">
        <v>11334</v>
      </c>
      <c r="BV1563">
        <v>34559846</v>
      </c>
      <c r="BW1563" t="s">
        <v>11333</v>
      </c>
      <c r="BX1563" t="s">
        <v>69</v>
      </c>
      <c r="BY1563" t="s">
        <v>69</v>
      </c>
      <c r="BZ1563" t="s">
        <v>8526</v>
      </c>
      <c r="CA1563" t="str">
        <f>HYPERLINK("https%3A%2F%2Fwww.webofscience.com%2Fwos%2Fwoscc%2Ffull-record%2FWOS:000754657900045","View Full Record in Web of Science")</f>
        <v>View Full Record in Web of Science</v>
      </c>
    </row>
    <row r="1564" spans="2:79" ht="12.5" x14ac:dyDescent="0.25">
      <c r="B1564" t="s">
        <v>8495</v>
      </c>
      <c r="D1564" s="7" t="s">
        <v>32933</v>
      </c>
      <c r="E1564" s="7"/>
      <c r="F1564" s="7"/>
      <c r="G1564" s="7"/>
      <c r="H1564" t="s">
        <v>67</v>
      </c>
      <c r="I1564" t="s">
        <v>6025</v>
      </c>
      <c r="J1564" t="s">
        <v>69</v>
      </c>
      <c r="K1564" t="s">
        <v>69</v>
      </c>
      <c r="L1564" t="s">
        <v>69</v>
      </c>
      <c r="M1564" t="s">
        <v>6026</v>
      </c>
      <c r="N1564" t="s">
        <v>69</v>
      </c>
      <c r="O1564" t="s">
        <v>69</v>
      </c>
      <c r="P1564" t="s">
        <v>6027</v>
      </c>
      <c r="Q1564" t="s">
        <v>6028</v>
      </c>
      <c r="R1564" t="s">
        <v>69</v>
      </c>
      <c r="S1564" t="s">
        <v>69</v>
      </c>
      <c r="T1564" t="s">
        <v>8505</v>
      </c>
      <c r="U1564" t="s">
        <v>8506</v>
      </c>
      <c r="V1564" t="s">
        <v>69</v>
      </c>
      <c r="W1564" t="s">
        <v>69</v>
      </c>
      <c r="X1564" t="s">
        <v>69</v>
      </c>
      <c r="Y1564" t="s">
        <v>69</v>
      </c>
      <c r="Z1564" t="s">
        <v>69</v>
      </c>
      <c r="AA1564" t="s">
        <v>23583</v>
      </c>
      <c r="AB1564" t="s">
        <v>23584</v>
      </c>
      <c r="AC1564" t="s">
        <v>6029</v>
      </c>
      <c r="AD1564" t="s">
        <v>23585</v>
      </c>
      <c r="AE1564" t="s">
        <v>69</v>
      </c>
      <c r="AF1564" t="s">
        <v>23586</v>
      </c>
      <c r="AG1564" t="s">
        <v>23587</v>
      </c>
      <c r="AH1564" t="s">
        <v>69</v>
      </c>
      <c r="AI1564" t="s">
        <v>23588</v>
      </c>
      <c r="AJ1564" t="s">
        <v>69</v>
      </c>
      <c r="AK1564" t="s">
        <v>69</v>
      </c>
      <c r="AL1564" t="s">
        <v>69</v>
      </c>
      <c r="AM1564" t="s">
        <v>69</v>
      </c>
      <c r="AN1564">
        <v>46</v>
      </c>
      <c r="AO1564">
        <v>5</v>
      </c>
      <c r="AP1564">
        <v>6</v>
      </c>
      <c r="AQ1564">
        <v>0</v>
      </c>
      <c r="AR1564">
        <v>17</v>
      </c>
      <c r="AS1564" t="s">
        <v>23589</v>
      </c>
      <c r="AT1564" t="s">
        <v>13443</v>
      </c>
      <c r="AU1564" t="s">
        <v>23590</v>
      </c>
      <c r="AV1564" t="s">
        <v>6030</v>
      </c>
      <c r="AW1564" t="s">
        <v>6031</v>
      </c>
      <c r="AX1564" t="s">
        <v>69</v>
      </c>
      <c r="AY1564" t="s">
        <v>23591</v>
      </c>
      <c r="AZ1564" t="s">
        <v>23592</v>
      </c>
      <c r="BA1564" t="s">
        <v>255</v>
      </c>
      <c r="BB1564">
        <v>2014</v>
      </c>
      <c r="BC1564">
        <v>46</v>
      </c>
      <c r="BD1564" t="s">
        <v>69</v>
      </c>
      <c r="BE1564" t="s">
        <v>69</v>
      </c>
      <c r="BF1564" t="s">
        <v>69</v>
      </c>
      <c r="BG1564" t="s">
        <v>69</v>
      </c>
      <c r="BH1564" t="s">
        <v>69</v>
      </c>
      <c r="BI1564">
        <v>203</v>
      </c>
      <c r="BJ1564">
        <v>215</v>
      </c>
      <c r="BK1564" t="s">
        <v>69</v>
      </c>
      <c r="BL1564" t="s">
        <v>69</v>
      </c>
      <c r="BM1564" t="s">
        <v>69</v>
      </c>
      <c r="BN1564" t="s">
        <v>69</v>
      </c>
      <c r="BO1564" t="s">
        <v>69</v>
      </c>
      <c r="BP1564">
        <v>13</v>
      </c>
      <c r="BQ1564" t="s">
        <v>10299</v>
      </c>
      <c r="BR1564" t="s">
        <v>8661</v>
      </c>
      <c r="BS1564" t="s">
        <v>10279</v>
      </c>
      <c r="BT1564" t="s">
        <v>23593</v>
      </c>
      <c r="BU1564" t="s">
        <v>6032</v>
      </c>
      <c r="BV1564" t="s">
        <v>69</v>
      </c>
      <c r="BW1564" t="s">
        <v>69</v>
      </c>
      <c r="BX1564" t="s">
        <v>69</v>
      </c>
      <c r="BY1564" t="s">
        <v>69</v>
      </c>
      <c r="BZ1564" t="s">
        <v>8526</v>
      </c>
      <c r="CA1564" t="str">
        <f>HYPERLINK("https%3A%2F%2Fwww.webofscience.com%2Fwos%2Fwoscc%2Ffull-record%2FWOS:000342729200015","View Full Record in Web of Science")</f>
        <v>View Full Record in Web of Science</v>
      </c>
    </row>
    <row r="1565" spans="2:79" ht="12.5" x14ac:dyDescent="0.25">
      <c r="B1565" t="s">
        <v>8495</v>
      </c>
      <c r="D1565" s="7" t="s">
        <v>32933</v>
      </c>
      <c r="E1565" s="7"/>
      <c r="F1565" s="7"/>
      <c r="G1565" s="7"/>
      <c r="H1565" t="s">
        <v>67</v>
      </c>
      <c r="I1565" t="s">
        <v>7565</v>
      </c>
      <c r="J1565" t="s">
        <v>69</v>
      </c>
      <c r="K1565" t="s">
        <v>69</v>
      </c>
      <c r="L1565" t="s">
        <v>69</v>
      </c>
      <c r="M1565" t="s">
        <v>7566</v>
      </c>
      <c r="N1565" t="s">
        <v>69</v>
      </c>
      <c r="O1565" t="s">
        <v>69</v>
      </c>
      <c r="P1565" t="s">
        <v>7567</v>
      </c>
      <c r="Q1565" t="s">
        <v>1969</v>
      </c>
      <c r="R1565" t="s">
        <v>69</v>
      </c>
      <c r="S1565" t="s">
        <v>69</v>
      </c>
      <c r="T1565" t="s">
        <v>8505</v>
      </c>
      <c r="U1565" t="s">
        <v>8506</v>
      </c>
      <c r="V1565" t="s">
        <v>69</v>
      </c>
      <c r="W1565" t="s">
        <v>69</v>
      </c>
      <c r="X1565" t="s">
        <v>69</v>
      </c>
      <c r="Y1565" t="s">
        <v>69</v>
      </c>
      <c r="Z1565" t="s">
        <v>69</v>
      </c>
      <c r="AA1565" t="s">
        <v>16715</v>
      </c>
      <c r="AB1565" t="s">
        <v>16716</v>
      </c>
      <c r="AC1565" t="s">
        <v>7568</v>
      </c>
      <c r="AD1565" t="s">
        <v>16717</v>
      </c>
      <c r="AE1565" t="s">
        <v>69</v>
      </c>
      <c r="AF1565" t="s">
        <v>16718</v>
      </c>
      <c r="AG1565" t="s">
        <v>16719</v>
      </c>
      <c r="AH1565" t="s">
        <v>7569</v>
      </c>
      <c r="AI1565" t="s">
        <v>7570</v>
      </c>
      <c r="AJ1565" t="s">
        <v>69</v>
      </c>
      <c r="AK1565" t="s">
        <v>69</v>
      </c>
      <c r="AL1565" t="s">
        <v>69</v>
      </c>
      <c r="AM1565" t="s">
        <v>69</v>
      </c>
      <c r="AN1565">
        <v>94</v>
      </c>
      <c r="AO1565">
        <v>6</v>
      </c>
      <c r="AP1565">
        <v>6</v>
      </c>
      <c r="AQ1565">
        <v>4</v>
      </c>
      <c r="AR1565">
        <v>44</v>
      </c>
      <c r="AS1565" t="s">
        <v>8586</v>
      </c>
      <c r="AT1565" t="s">
        <v>8587</v>
      </c>
      <c r="AU1565" t="s">
        <v>8588</v>
      </c>
      <c r="AV1565" t="s">
        <v>1971</v>
      </c>
      <c r="AW1565" t="s">
        <v>1972</v>
      </c>
      <c r="AX1565" t="s">
        <v>69</v>
      </c>
      <c r="AY1565" t="s">
        <v>15149</v>
      </c>
      <c r="AZ1565" t="s">
        <v>15150</v>
      </c>
      <c r="BA1565" t="s">
        <v>7571</v>
      </c>
      <c r="BB1565">
        <v>2019</v>
      </c>
      <c r="BC1565">
        <v>30</v>
      </c>
      <c r="BD1565">
        <v>6</v>
      </c>
      <c r="BE1565" t="s">
        <v>69</v>
      </c>
      <c r="BF1565" t="s">
        <v>69</v>
      </c>
      <c r="BG1565" t="s">
        <v>69</v>
      </c>
      <c r="BH1565" t="s">
        <v>69</v>
      </c>
      <c r="BI1565">
        <v>1238</v>
      </c>
      <c r="BJ1565">
        <v>1255</v>
      </c>
      <c r="BK1565" t="s">
        <v>69</v>
      </c>
      <c r="BL1565" t="s">
        <v>7572</v>
      </c>
      <c r="BM1565" t="str">
        <f>HYPERLINK("http://dx.doi.org/10.1108/MEQ-12-2018-0208","http://dx.doi.org/10.1108/MEQ-12-2018-0208")</f>
        <v>http://dx.doi.org/10.1108/MEQ-12-2018-0208</v>
      </c>
      <c r="BN1565" t="s">
        <v>69</v>
      </c>
      <c r="BO1565" t="s">
        <v>69</v>
      </c>
      <c r="BP1565">
        <v>18</v>
      </c>
      <c r="BQ1565" t="s">
        <v>8660</v>
      </c>
      <c r="BR1565" t="s">
        <v>8573</v>
      </c>
      <c r="BS1565" t="s">
        <v>8662</v>
      </c>
      <c r="BT1565" t="s">
        <v>16720</v>
      </c>
      <c r="BU1565" t="s">
        <v>7573</v>
      </c>
      <c r="BV1565" t="s">
        <v>69</v>
      </c>
      <c r="BW1565" t="s">
        <v>69</v>
      </c>
      <c r="BX1565" t="s">
        <v>69</v>
      </c>
      <c r="BY1565" t="s">
        <v>69</v>
      </c>
      <c r="BZ1565" t="s">
        <v>8526</v>
      </c>
      <c r="CA1565" t="str">
        <f>HYPERLINK("https%3A%2F%2Fwww.webofscience.com%2Fwos%2Fwoscc%2Ffull-record%2FWOS:000483657400001","View Full Record in Web of Science")</f>
        <v>View Full Record in Web of Science</v>
      </c>
    </row>
    <row r="1566" spans="2:79" ht="12.5" x14ac:dyDescent="0.25">
      <c r="B1566" t="s">
        <v>8495</v>
      </c>
      <c r="D1566" s="7" t="s">
        <v>32933</v>
      </c>
      <c r="E1566" s="7"/>
      <c r="F1566" s="7"/>
      <c r="G1566" s="7"/>
      <c r="H1566" t="s">
        <v>67</v>
      </c>
      <c r="I1566" t="s">
        <v>5599</v>
      </c>
      <c r="J1566" t="s">
        <v>69</v>
      </c>
      <c r="K1566" t="s">
        <v>69</v>
      </c>
      <c r="L1566" t="s">
        <v>69</v>
      </c>
      <c r="M1566" t="s">
        <v>5600</v>
      </c>
      <c r="N1566" t="s">
        <v>69</v>
      </c>
      <c r="O1566" t="s">
        <v>69</v>
      </c>
      <c r="P1566" t="s">
        <v>5601</v>
      </c>
      <c r="Q1566" t="s">
        <v>632</v>
      </c>
      <c r="R1566" t="s">
        <v>69</v>
      </c>
      <c r="S1566" t="s">
        <v>69</v>
      </c>
      <c r="T1566" t="s">
        <v>8505</v>
      </c>
      <c r="U1566" t="s">
        <v>8506</v>
      </c>
      <c r="V1566" t="s">
        <v>69</v>
      </c>
      <c r="W1566" t="s">
        <v>69</v>
      </c>
      <c r="X1566" t="s">
        <v>69</v>
      </c>
      <c r="Y1566" t="s">
        <v>69</v>
      </c>
      <c r="Z1566" t="s">
        <v>69</v>
      </c>
      <c r="AA1566" t="s">
        <v>23625</v>
      </c>
      <c r="AB1566" t="s">
        <v>23626</v>
      </c>
      <c r="AC1566" t="s">
        <v>5602</v>
      </c>
      <c r="AD1566" t="s">
        <v>23627</v>
      </c>
      <c r="AE1566" t="s">
        <v>69</v>
      </c>
      <c r="AF1566" t="s">
        <v>23628</v>
      </c>
      <c r="AG1566" t="s">
        <v>23629</v>
      </c>
      <c r="AH1566" t="s">
        <v>1362</v>
      </c>
      <c r="AI1566" t="s">
        <v>5603</v>
      </c>
      <c r="AJ1566" t="s">
        <v>23630</v>
      </c>
      <c r="AK1566" t="s">
        <v>23631</v>
      </c>
      <c r="AL1566" t="s">
        <v>23632</v>
      </c>
      <c r="AM1566" t="s">
        <v>69</v>
      </c>
      <c r="AN1566">
        <v>79</v>
      </c>
      <c r="AO1566">
        <v>32</v>
      </c>
      <c r="AP1566">
        <v>34</v>
      </c>
      <c r="AQ1566">
        <v>9</v>
      </c>
      <c r="AR1566">
        <v>81</v>
      </c>
      <c r="AS1566" t="s">
        <v>8516</v>
      </c>
      <c r="AT1566" t="s">
        <v>8517</v>
      </c>
      <c r="AU1566" t="s">
        <v>8518</v>
      </c>
      <c r="AV1566" t="s">
        <v>634</v>
      </c>
      <c r="AW1566" t="s">
        <v>635</v>
      </c>
      <c r="AX1566" t="s">
        <v>69</v>
      </c>
      <c r="AY1566" t="s">
        <v>8714</v>
      </c>
      <c r="AZ1566" t="s">
        <v>8715</v>
      </c>
      <c r="BA1566" t="s">
        <v>5604</v>
      </c>
      <c r="BB1566">
        <v>2014</v>
      </c>
      <c r="BC1566">
        <v>490</v>
      </c>
      <c r="BD1566" t="s">
        <v>69</v>
      </c>
      <c r="BE1566" t="s">
        <v>69</v>
      </c>
      <c r="BF1566" t="s">
        <v>69</v>
      </c>
      <c r="BG1566" t="s">
        <v>69</v>
      </c>
      <c r="BH1566" t="s">
        <v>69</v>
      </c>
      <c r="BI1566">
        <v>905</v>
      </c>
      <c r="BJ1566">
        <v>913</v>
      </c>
      <c r="BK1566" t="s">
        <v>69</v>
      </c>
      <c r="BL1566" t="s">
        <v>5605</v>
      </c>
      <c r="BM1566" t="str">
        <f>HYPERLINK("http://dx.doi.org/10.1016/j.scitotenv.2014.05.059","http://dx.doi.org/10.1016/j.scitotenv.2014.05.059")</f>
        <v>http://dx.doi.org/10.1016/j.scitotenv.2014.05.059</v>
      </c>
      <c r="BN1566" t="s">
        <v>69</v>
      </c>
      <c r="BO1566" t="s">
        <v>69</v>
      </c>
      <c r="BP1566">
        <v>9</v>
      </c>
      <c r="BQ1566" t="s">
        <v>8717</v>
      </c>
      <c r="BR1566" t="s">
        <v>8548</v>
      </c>
      <c r="BS1566" t="s">
        <v>8662</v>
      </c>
      <c r="BT1566" t="s">
        <v>23633</v>
      </c>
      <c r="BU1566" t="s">
        <v>5606</v>
      </c>
      <c r="BV1566">
        <v>24908650</v>
      </c>
      <c r="BW1566" t="s">
        <v>69</v>
      </c>
      <c r="BX1566" t="s">
        <v>69</v>
      </c>
      <c r="BY1566" t="s">
        <v>69</v>
      </c>
      <c r="BZ1566" t="s">
        <v>8526</v>
      </c>
      <c r="CA1566" t="str">
        <f>HYPERLINK("https%3A%2F%2Fwww.webofscience.com%2Fwos%2Fwoscc%2Ffull-record%2FWOS:000347293800096","View Full Record in Web of Science")</f>
        <v>View Full Record in Web of Science</v>
      </c>
    </row>
    <row r="1567" spans="2:79" ht="12.5" x14ac:dyDescent="0.25">
      <c r="B1567" t="s">
        <v>8495</v>
      </c>
      <c r="D1567" s="7" t="s">
        <v>32933</v>
      </c>
      <c r="E1567" s="7"/>
      <c r="F1567" s="7"/>
      <c r="G1567" s="7"/>
      <c r="H1567" t="s">
        <v>67</v>
      </c>
      <c r="I1567" t="s">
        <v>168</v>
      </c>
      <c r="J1567" t="s">
        <v>69</v>
      </c>
      <c r="K1567" t="s">
        <v>69</v>
      </c>
      <c r="L1567" t="s">
        <v>69</v>
      </c>
      <c r="M1567" t="s">
        <v>169</v>
      </c>
      <c r="N1567" t="s">
        <v>69</v>
      </c>
      <c r="O1567" t="s">
        <v>69</v>
      </c>
      <c r="P1567" t="s">
        <v>170</v>
      </c>
      <c r="Q1567" t="s">
        <v>171</v>
      </c>
      <c r="R1567" t="s">
        <v>69</v>
      </c>
      <c r="S1567" t="s">
        <v>69</v>
      </c>
      <c r="T1567" t="s">
        <v>12534</v>
      </c>
      <c r="U1567" t="s">
        <v>8506</v>
      </c>
      <c r="V1567" t="s">
        <v>69</v>
      </c>
      <c r="W1567" t="s">
        <v>69</v>
      </c>
      <c r="X1567" t="s">
        <v>69</v>
      </c>
      <c r="Y1567" t="s">
        <v>69</v>
      </c>
      <c r="Z1567" t="s">
        <v>69</v>
      </c>
      <c r="AA1567" t="s">
        <v>69</v>
      </c>
      <c r="AB1567" t="s">
        <v>69</v>
      </c>
      <c r="AC1567" t="s">
        <v>172</v>
      </c>
      <c r="AD1567" t="s">
        <v>29298</v>
      </c>
      <c r="AE1567" t="s">
        <v>69</v>
      </c>
      <c r="AF1567" t="s">
        <v>69</v>
      </c>
      <c r="AG1567" t="s">
        <v>69</v>
      </c>
      <c r="AH1567" t="s">
        <v>69</v>
      </c>
      <c r="AI1567" t="s">
        <v>69</v>
      </c>
      <c r="AJ1567" t="s">
        <v>69</v>
      </c>
      <c r="AK1567" t="s">
        <v>69</v>
      </c>
      <c r="AL1567" t="s">
        <v>69</v>
      </c>
      <c r="AM1567" t="s">
        <v>69</v>
      </c>
      <c r="AN1567">
        <v>6</v>
      </c>
      <c r="AO1567">
        <v>0</v>
      </c>
      <c r="AP1567">
        <v>0</v>
      </c>
      <c r="AQ1567">
        <v>0</v>
      </c>
      <c r="AR1567">
        <v>3</v>
      </c>
      <c r="AS1567" t="s">
        <v>21110</v>
      </c>
      <c r="AT1567" t="s">
        <v>26670</v>
      </c>
      <c r="AU1567" t="s">
        <v>26671</v>
      </c>
      <c r="AV1567" t="s">
        <v>173</v>
      </c>
      <c r="AW1567" t="s">
        <v>69</v>
      </c>
      <c r="AX1567" t="s">
        <v>69</v>
      </c>
      <c r="AY1567" t="s">
        <v>171</v>
      </c>
      <c r="AZ1567" t="s">
        <v>29299</v>
      </c>
      <c r="BA1567" t="s">
        <v>94</v>
      </c>
      <c r="BB1567">
        <v>2008</v>
      </c>
      <c r="BC1567">
        <v>77</v>
      </c>
      <c r="BD1567">
        <v>3</v>
      </c>
      <c r="BE1567" t="s">
        <v>69</v>
      </c>
      <c r="BF1567" t="s">
        <v>69</v>
      </c>
      <c r="BG1567" t="s">
        <v>69</v>
      </c>
      <c r="BH1567" t="s">
        <v>69</v>
      </c>
      <c r="BI1567">
        <v>133</v>
      </c>
      <c r="BJ1567">
        <v>147</v>
      </c>
      <c r="BK1567" t="s">
        <v>69</v>
      </c>
      <c r="BL1567" t="s">
        <v>174</v>
      </c>
      <c r="BM1567" t="str">
        <f>HYPERLINK("http://dx.doi.org/10.1002/stab.200810017","http://dx.doi.org/10.1002/stab.200810017")</f>
        <v>http://dx.doi.org/10.1002/stab.200810017</v>
      </c>
      <c r="BN1567" t="s">
        <v>69</v>
      </c>
      <c r="BO1567" t="s">
        <v>69</v>
      </c>
      <c r="BP1567">
        <v>15</v>
      </c>
      <c r="BQ1567" t="s">
        <v>11242</v>
      </c>
      <c r="BR1567" t="s">
        <v>8548</v>
      </c>
      <c r="BS1567" t="s">
        <v>8549</v>
      </c>
      <c r="BT1567" t="s">
        <v>29300</v>
      </c>
      <c r="BU1567" t="s">
        <v>175</v>
      </c>
      <c r="BV1567" t="s">
        <v>69</v>
      </c>
      <c r="BW1567" t="s">
        <v>69</v>
      </c>
      <c r="BX1567" t="s">
        <v>69</v>
      </c>
      <c r="BY1567" t="s">
        <v>69</v>
      </c>
      <c r="BZ1567" t="s">
        <v>8526</v>
      </c>
      <c r="CA1567" t="str">
        <f>HYPERLINK("https%3A%2F%2Fwww.webofscience.com%2Fwos%2Fwoscc%2Ffull-record%2FWOS:000255402500001","View Full Record in Web of Science")</f>
        <v>View Full Record in Web of Science</v>
      </c>
    </row>
    <row r="1568" spans="2:79" ht="12.5" x14ac:dyDescent="0.25">
      <c r="B1568" t="s">
        <v>8495</v>
      </c>
      <c r="D1568" s="22" t="s">
        <v>32931</v>
      </c>
      <c r="E1568" s="7"/>
      <c r="F1568" s="7"/>
      <c r="G1568" s="7"/>
      <c r="H1568" t="s">
        <v>67</v>
      </c>
      <c r="I1568" t="s">
        <v>20720</v>
      </c>
      <c r="J1568" t="s">
        <v>69</v>
      </c>
      <c r="K1568" t="s">
        <v>69</v>
      </c>
      <c r="L1568" t="s">
        <v>69</v>
      </c>
      <c r="M1568" t="s">
        <v>20721</v>
      </c>
      <c r="N1568" t="s">
        <v>69</v>
      </c>
      <c r="O1568" t="s">
        <v>69</v>
      </c>
      <c r="P1568" t="s">
        <v>20722</v>
      </c>
      <c r="Q1568" t="s">
        <v>19555</v>
      </c>
      <c r="R1568" t="s">
        <v>69</v>
      </c>
      <c r="S1568" t="s">
        <v>69</v>
      </c>
      <c r="T1568" t="s">
        <v>8505</v>
      </c>
      <c r="U1568" t="s">
        <v>8506</v>
      </c>
      <c r="V1568" t="s">
        <v>69</v>
      </c>
      <c r="W1568" t="s">
        <v>69</v>
      </c>
      <c r="X1568" t="s">
        <v>69</v>
      </c>
      <c r="Y1568" t="s">
        <v>69</v>
      </c>
      <c r="Z1568" t="s">
        <v>69</v>
      </c>
      <c r="AA1568" t="s">
        <v>20723</v>
      </c>
      <c r="AB1568" t="s">
        <v>20724</v>
      </c>
      <c r="AC1568" t="s">
        <v>20725</v>
      </c>
      <c r="AD1568" t="s">
        <v>20726</v>
      </c>
      <c r="AE1568" t="s">
        <v>69</v>
      </c>
      <c r="AF1568" t="s">
        <v>20727</v>
      </c>
      <c r="AG1568" t="s">
        <v>20728</v>
      </c>
      <c r="AH1568" t="s">
        <v>69</v>
      </c>
      <c r="AI1568" t="s">
        <v>69</v>
      </c>
      <c r="AJ1568" t="s">
        <v>69</v>
      </c>
      <c r="AK1568" t="s">
        <v>69</v>
      </c>
      <c r="AL1568" t="s">
        <v>69</v>
      </c>
      <c r="AM1568" t="s">
        <v>69</v>
      </c>
      <c r="AN1568">
        <v>42</v>
      </c>
      <c r="AO1568">
        <v>1</v>
      </c>
      <c r="AP1568">
        <v>1</v>
      </c>
      <c r="AQ1568">
        <v>0</v>
      </c>
      <c r="AR1568">
        <v>6</v>
      </c>
      <c r="AS1568" t="s">
        <v>8586</v>
      </c>
      <c r="AT1568" t="s">
        <v>8587</v>
      </c>
      <c r="AU1568" t="s">
        <v>8588</v>
      </c>
      <c r="AV1568" t="s">
        <v>19564</v>
      </c>
      <c r="AW1568" t="s">
        <v>19565</v>
      </c>
      <c r="AX1568" t="s">
        <v>69</v>
      </c>
      <c r="AY1568" t="s">
        <v>19566</v>
      </c>
      <c r="AZ1568" t="s">
        <v>19567</v>
      </c>
      <c r="BA1568" t="s">
        <v>69</v>
      </c>
      <c r="BB1568">
        <v>2017</v>
      </c>
      <c r="BC1568">
        <v>40</v>
      </c>
      <c r="BD1568">
        <v>11</v>
      </c>
      <c r="BE1568" t="s">
        <v>69</v>
      </c>
      <c r="BF1568" t="s">
        <v>69</v>
      </c>
      <c r="BG1568" t="s">
        <v>69</v>
      </c>
      <c r="BH1568" t="s">
        <v>69</v>
      </c>
      <c r="BI1568">
        <v>1142</v>
      </c>
      <c r="BJ1568">
        <v>1162</v>
      </c>
      <c r="BK1568" t="s">
        <v>69</v>
      </c>
      <c r="BL1568" t="s">
        <v>20729</v>
      </c>
      <c r="BM1568" t="str">
        <f>HYPERLINK("http://dx.doi.org/10.1108/MRR-07-2016-0176","http://dx.doi.org/10.1108/MRR-07-2016-0176")</f>
        <v>http://dx.doi.org/10.1108/MRR-07-2016-0176</v>
      </c>
      <c r="BN1568" t="s">
        <v>69</v>
      </c>
      <c r="BO1568" t="s">
        <v>69</v>
      </c>
      <c r="BP1568">
        <v>21</v>
      </c>
      <c r="BQ1568" t="s">
        <v>9410</v>
      </c>
      <c r="BR1568" t="s">
        <v>8573</v>
      </c>
      <c r="BS1568" t="s">
        <v>8594</v>
      </c>
      <c r="BT1568" t="s">
        <v>20730</v>
      </c>
      <c r="BU1568" t="s">
        <v>20731</v>
      </c>
      <c r="BV1568" t="s">
        <v>69</v>
      </c>
      <c r="BW1568" t="s">
        <v>10995</v>
      </c>
      <c r="BX1568" t="s">
        <v>69</v>
      </c>
      <c r="BY1568" t="s">
        <v>69</v>
      </c>
      <c r="BZ1568" t="s">
        <v>8526</v>
      </c>
      <c r="CA1568" t="str">
        <f>HYPERLINK("https%3A%2F%2Fwww.webofscience.com%2Fwos%2Fwoscc%2Ffull-record%2FWOS:000416322800001","View Full Record in Web of Science")</f>
        <v>View Full Record in Web of Science</v>
      </c>
    </row>
    <row r="1569" spans="2:79" ht="12.5" x14ac:dyDescent="0.25">
      <c r="B1569" t="s">
        <v>8495</v>
      </c>
      <c r="D1569" s="7" t="s">
        <v>32933</v>
      </c>
      <c r="E1569" s="7"/>
      <c r="F1569" s="7"/>
      <c r="G1569" s="7"/>
      <c r="H1569" t="s">
        <v>67</v>
      </c>
      <c r="I1569" t="s">
        <v>1790</v>
      </c>
      <c r="J1569" t="s">
        <v>69</v>
      </c>
      <c r="K1569" t="s">
        <v>69</v>
      </c>
      <c r="L1569" t="s">
        <v>69</v>
      </c>
      <c r="M1569" t="s">
        <v>1790</v>
      </c>
      <c r="N1569" t="s">
        <v>69</v>
      </c>
      <c r="O1569" t="s">
        <v>69</v>
      </c>
      <c r="P1569" t="s">
        <v>1791</v>
      </c>
      <c r="Q1569" t="s">
        <v>1792</v>
      </c>
      <c r="R1569" t="s">
        <v>69</v>
      </c>
      <c r="S1569" t="s">
        <v>69</v>
      </c>
      <c r="T1569" t="s">
        <v>8505</v>
      </c>
      <c r="U1569" t="s">
        <v>8442</v>
      </c>
      <c r="V1569" t="s">
        <v>69</v>
      </c>
      <c r="W1569" t="s">
        <v>69</v>
      </c>
      <c r="X1569" t="s">
        <v>69</v>
      </c>
      <c r="Y1569" t="s">
        <v>69</v>
      </c>
      <c r="Z1569" t="s">
        <v>69</v>
      </c>
      <c r="AA1569" t="s">
        <v>32562</v>
      </c>
      <c r="AB1569" t="s">
        <v>32563</v>
      </c>
      <c r="AC1569" t="s">
        <v>1793</v>
      </c>
      <c r="AD1569" t="s">
        <v>69</v>
      </c>
      <c r="AE1569" t="s">
        <v>69</v>
      </c>
      <c r="AF1569" t="s">
        <v>32564</v>
      </c>
      <c r="AG1569" t="s">
        <v>69</v>
      </c>
      <c r="AH1569" t="s">
        <v>69</v>
      </c>
      <c r="AI1569" t="s">
        <v>69</v>
      </c>
      <c r="AJ1569" t="s">
        <v>69</v>
      </c>
      <c r="AK1569" t="s">
        <v>69</v>
      </c>
      <c r="AL1569" t="s">
        <v>69</v>
      </c>
      <c r="AM1569" t="s">
        <v>69</v>
      </c>
      <c r="AN1569">
        <v>181</v>
      </c>
      <c r="AO1569">
        <v>63</v>
      </c>
      <c r="AP1569">
        <v>65</v>
      </c>
      <c r="AQ1569">
        <v>2</v>
      </c>
      <c r="AR1569">
        <v>42</v>
      </c>
      <c r="AS1569" t="s">
        <v>32565</v>
      </c>
      <c r="AT1569" t="s">
        <v>32566</v>
      </c>
      <c r="AU1569" t="s">
        <v>32567</v>
      </c>
      <c r="AV1569" t="s">
        <v>1794</v>
      </c>
      <c r="AW1569" t="s">
        <v>69</v>
      </c>
      <c r="AX1569" t="s">
        <v>69</v>
      </c>
      <c r="AY1569" t="s">
        <v>32568</v>
      </c>
      <c r="AZ1569" t="s">
        <v>32569</v>
      </c>
      <c r="BA1569" t="s">
        <v>619</v>
      </c>
      <c r="BB1569">
        <v>1995</v>
      </c>
      <c r="BC1569">
        <v>6</v>
      </c>
      <c r="BD1569">
        <v>6</v>
      </c>
      <c r="BE1569" t="s">
        <v>69</v>
      </c>
      <c r="BF1569" t="s">
        <v>69</v>
      </c>
      <c r="BG1569" t="s">
        <v>69</v>
      </c>
      <c r="BH1569" t="s">
        <v>69</v>
      </c>
      <c r="BI1569">
        <v>603</v>
      </c>
      <c r="BJ1569">
        <v>627</v>
      </c>
      <c r="BK1569" t="s">
        <v>69</v>
      </c>
      <c r="BL1569" t="s">
        <v>1795</v>
      </c>
      <c r="BM1569" t="str">
        <f>HYPERLINK("http://dx.doi.org/10.1287/orsc.6.6.603","http://dx.doi.org/10.1287/orsc.6.6.603")</f>
        <v>http://dx.doi.org/10.1287/orsc.6.6.603</v>
      </c>
      <c r="BN1569" t="s">
        <v>69</v>
      </c>
      <c r="BO1569" t="s">
        <v>69</v>
      </c>
      <c r="BP1569">
        <v>25</v>
      </c>
      <c r="BQ1569" t="s">
        <v>9410</v>
      </c>
      <c r="BR1569" t="s">
        <v>8661</v>
      </c>
      <c r="BS1569" t="s">
        <v>8594</v>
      </c>
      <c r="BT1569" t="s">
        <v>32570</v>
      </c>
      <c r="BU1569" t="s">
        <v>1796</v>
      </c>
      <c r="BV1569" t="s">
        <v>69</v>
      </c>
      <c r="BW1569" t="s">
        <v>69</v>
      </c>
      <c r="BX1569" t="s">
        <v>69</v>
      </c>
      <c r="BY1569" t="s">
        <v>69</v>
      </c>
      <c r="BZ1569" t="s">
        <v>8526</v>
      </c>
      <c r="CA1569" t="str">
        <f>HYPERLINK("https%3A%2F%2Fwww.webofscience.com%2Fwos%2Fwoscc%2Ffull-record%2FWOS:A1995TR17700001","View Full Record in Web of Science")</f>
        <v>View Full Record in Web of Science</v>
      </c>
    </row>
    <row r="1570" spans="2:79" ht="12.5" x14ac:dyDescent="0.25">
      <c r="B1570" t="s">
        <v>8495</v>
      </c>
      <c r="D1570" s="7" t="s">
        <v>32933</v>
      </c>
      <c r="E1570" s="7"/>
      <c r="F1570" s="7"/>
      <c r="G1570" s="7"/>
      <c r="H1570" t="s">
        <v>67</v>
      </c>
      <c r="I1570" t="s">
        <v>3408</v>
      </c>
      <c r="J1570" t="s">
        <v>69</v>
      </c>
      <c r="K1570" t="s">
        <v>69</v>
      </c>
      <c r="L1570" t="s">
        <v>69</v>
      </c>
      <c r="M1570" t="s">
        <v>3409</v>
      </c>
      <c r="N1570" t="s">
        <v>69</v>
      </c>
      <c r="O1570" t="s">
        <v>69</v>
      </c>
      <c r="P1570" t="s">
        <v>3410</v>
      </c>
      <c r="Q1570" t="s">
        <v>3411</v>
      </c>
      <c r="R1570" t="s">
        <v>69</v>
      </c>
      <c r="S1570" t="s">
        <v>69</v>
      </c>
      <c r="T1570" t="s">
        <v>8505</v>
      </c>
      <c r="U1570" t="s">
        <v>8506</v>
      </c>
      <c r="V1570" t="s">
        <v>69</v>
      </c>
      <c r="W1570" t="s">
        <v>69</v>
      </c>
      <c r="X1570" t="s">
        <v>69</v>
      </c>
      <c r="Y1570" t="s">
        <v>69</v>
      </c>
      <c r="Z1570" t="s">
        <v>69</v>
      </c>
      <c r="AA1570" t="s">
        <v>26349</v>
      </c>
      <c r="AB1570" t="s">
        <v>26350</v>
      </c>
      <c r="AC1570" t="s">
        <v>3412</v>
      </c>
      <c r="AD1570" t="s">
        <v>26351</v>
      </c>
      <c r="AE1570" t="s">
        <v>69</v>
      </c>
      <c r="AF1570" t="s">
        <v>26352</v>
      </c>
      <c r="AG1570" t="s">
        <v>26353</v>
      </c>
      <c r="AH1570" t="s">
        <v>3413</v>
      </c>
      <c r="AI1570" t="s">
        <v>3414</v>
      </c>
      <c r="AJ1570" t="s">
        <v>69</v>
      </c>
      <c r="AK1570" t="s">
        <v>69</v>
      </c>
      <c r="AL1570" t="s">
        <v>69</v>
      </c>
      <c r="AM1570" t="s">
        <v>69</v>
      </c>
      <c r="AN1570">
        <v>47</v>
      </c>
      <c r="AO1570">
        <v>7</v>
      </c>
      <c r="AP1570">
        <v>7</v>
      </c>
      <c r="AQ1570">
        <v>2</v>
      </c>
      <c r="AR1570">
        <v>7</v>
      </c>
      <c r="AS1570" t="s">
        <v>26354</v>
      </c>
      <c r="AT1570" t="s">
        <v>26355</v>
      </c>
      <c r="AU1570" t="s">
        <v>26356</v>
      </c>
      <c r="AV1570" t="s">
        <v>3415</v>
      </c>
      <c r="AW1570" t="s">
        <v>3416</v>
      </c>
      <c r="AX1570" t="s">
        <v>69</v>
      </c>
      <c r="AY1570" t="s">
        <v>26357</v>
      </c>
      <c r="AZ1570" t="s">
        <v>26358</v>
      </c>
      <c r="BA1570" t="s">
        <v>373</v>
      </c>
      <c r="BB1570">
        <v>2012</v>
      </c>
      <c r="BC1570">
        <v>10</v>
      </c>
      <c r="BD1570">
        <v>1</v>
      </c>
      <c r="BE1570">
        <v>2</v>
      </c>
      <c r="BF1570" t="s">
        <v>69</v>
      </c>
      <c r="BG1570" t="s">
        <v>69</v>
      </c>
      <c r="BH1570" t="s">
        <v>69</v>
      </c>
      <c r="BI1570">
        <v>1031</v>
      </c>
      <c r="BJ1570">
        <v>1038</v>
      </c>
      <c r="BK1570" t="s">
        <v>69</v>
      </c>
      <c r="BL1570" t="s">
        <v>69</v>
      </c>
      <c r="BM1570" t="s">
        <v>69</v>
      </c>
      <c r="BN1570" t="s">
        <v>69</v>
      </c>
      <c r="BO1570" t="s">
        <v>69</v>
      </c>
      <c r="BP1570">
        <v>8</v>
      </c>
      <c r="BQ1570" t="s">
        <v>17221</v>
      </c>
      <c r="BR1570" t="s">
        <v>8548</v>
      </c>
      <c r="BS1570" t="s">
        <v>17221</v>
      </c>
      <c r="BT1570" t="s">
        <v>26359</v>
      </c>
      <c r="BU1570" t="s">
        <v>3417</v>
      </c>
      <c r="BV1570" t="s">
        <v>69</v>
      </c>
      <c r="BW1570" t="s">
        <v>69</v>
      </c>
      <c r="BX1570" t="s">
        <v>69</v>
      </c>
      <c r="BY1570" t="s">
        <v>69</v>
      </c>
      <c r="BZ1570" t="s">
        <v>8526</v>
      </c>
      <c r="CA1570" t="str">
        <f>HYPERLINK("https%3A%2F%2Fwww.webofscience.com%2Fwos%2Fwoscc%2Ffull-record%2FWOS:000300924300085","View Full Record in Web of Science")</f>
        <v>View Full Record in Web of Science</v>
      </c>
    </row>
    <row r="1571" spans="2:79" ht="12.5" x14ac:dyDescent="0.25">
      <c r="B1571" t="s">
        <v>8495</v>
      </c>
      <c r="D1571" s="7" t="s">
        <v>32933</v>
      </c>
      <c r="E1571" s="7"/>
      <c r="F1571" s="7"/>
      <c r="G1571" s="7"/>
      <c r="H1571" t="s">
        <v>67</v>
      </c>
      <c r="I1571" t="s">
        <v>5380</v>
      </c>
      <c r="J1571" t="s">
        <v>69</v>
      </c>
      <c r="K1571" t="s">
        <v>69</v>
      </c>
      <c r="L1571" t="s">
        <v>69</v>
      </c>
      <c r="M1571" t="s">
        <v>5381</v>
      </c>
      <c r="N1571" t="s">
        <v>69</v>
      </c>
      <c r="O1571" t="s">
        <v>69</v>
      </c>
      <c r="P1571" t="s">
        <v>5382</v>
      </c>
      <c r="Q1571" t="s">
        <v>5383</v>
      </c>
      <c r="R1571" t="s">
        <v>69</v>
      </c>
      <c r="S1571" t="s">
        <v>69</v>
      </c>
      <c r="T1571" t="s">
        <v>12534</v>
      </c>
      <c r="U1571" t="s">
        <v>8506</v>
      </c>
      <c r="V1571" t="s">
        <v>69</v>
      </c>
      <c r="W1571" t="s">
        <v>69</v>
      </c>
      <c r="X1571" t="s">
        <v>69</v>
      </c>
      <c r="Y1571" t="s">
        <v>69</v>
      </c>
      <c r="Z1571" t="s">
        <v>69</v>
      </c>
      <c r="AA1571" t="s">
        <v>69</v>
      </c>
      <c r="AB1571" t="s">
        <v>27166</v>
      </c>
      <c r="AC1571" t="s">
        <v>5384</v>
      </c>
      <c r="AD1571" t="s">
        <v>27167</v>
      </c>
      <c r="AE1571" t="s">
        <v>69</v>
      </c>
      <c r="AF1571" t="s">
        <v>27168</v>
      </c>
      <c r="AG1571" t="s">
        <v>69</v>
      </c>
      <c r="AH1571" t="s">
        <v>69</v>
      </c>
      <c r="AI1571" t="s">
        <v>5385</v>
      </c>
      <c r="AJ1571" t="s">
        <v>69</v>
      </c>
      <c r="AK1571" t="s">
        <v>69</v>
      </c>
      <c r="AL1571" t="s">
        <v>69</v>
      </c>
      <c r="AM1571" t="s">
        <v>69</v>
      </c>
      <c r="AN1571">
        <v>23</v>
      </c>
      <c r="AO1571">
        <v>0</v>
      </c>
      <c r="AP1571">
        <v>0</v>
      </c>
      <c r="AQ1571">
        <v>0</v>
      </c>
      <c r="AR1571">
        <v>4</v>
      </c>
      <c r="AS1571" t="s">
        <v>27169</v>
      </c>
      <c r="AT1571" t="s">
        <v>11361</v>
      </c>
      <c r="AU1571" t="s">
        <v>27170</v>
      </c>
      <c r="AV1571" t="s">
        <v>5386</v>
      </c>
      <c r="AW1571" t="s">
        <v>5387</v>
      </c>
      <c r="AX1571" t="s">
        <v>69</v>
      </c>
      <c r="AY1571" t="s">
        <v>5383</v>
      </c>
      <c r="AZ1571" t="s">
        <v>27171</v>
      </c>
      <c r="BA1571" t="s">
        <v>2031</v>
      </c>
      <c r="BB1571">
        <v>2011</v>
      </c>
      <c r="BC1571">
        <v>61</v>
      </c>
      <c r="BD1571" t="s">
        <v>4267</v>
      </c>
      <c r="BE1571" t="s">
        <v>69</v>
      </c>
      <c r="BF1571" t="s">
        <v>69</v>
      </c>
      <c r="BG1571" t="s">
        <v>69</v>
      </c>
      <c r="BH1571" t="s">
        <v>69</v>
      </c>
      <c r="BI1571">
        <v>301</v>
      </c>
      <c r="BJ1571" t="s">
        <v>219</v>
      </c>
      <c r="BK1571" t="s">
        <v>69</v>
      </c>
      <c r="BL1571" t="s">
        <v>69</v>
      </c>
      <c r="BM1571" t="s">
        <v>69</v>
      </c>
      <c r="BN1571" t="s">
        <v>69</v>
      </c>
      <c r="BO1571" t="s">
        <v>69</v>
      </c>
      <c r="BP1571">
        <v>10</v>
      </c>
      <c r="BQ1571" t="s">
        <v>13241</v>
      </c>
      <c r="BR1571" t="s">
        <v>8661</v>
      </c>
      <c r="BS1571" t="s">
        <v>10084</v>
      </c>
      <c r="BT1571" t="s">
        <v>27172</v>
      </c>
      <c r="BU1571" t="s">
        <v>5388</v>
      </c>
      <c r="BV1571" t="s">
        <v>69</v>
      </c>
      <c r="BW1571" t="s">
        <v>69</v>
      </c>
      <c r="BX1571" t="s">
        <v>69</v>
      </c>
      <c r="BY1571" t="s">
        <v>69</v>
      </c>
      <c r="BZ1571" t="s">
        <v>8526</v>
      </c>
      <c r="CA1571" t="str">
        <f>HYPERLINK("https%3A%2F%2Fwww.webofscience.com%2Fwos%2Fwoscc%2Ffull-record%2FWOS:000209059600022","View Full Record in Web of Science")</f>
        <v>View Full Record in Web of Science</v>
      </c>
    </row>
    <row r="1572" spans="2:79" ht="12.5" x14ac:dyDescent="0.25">
      <c r="B1572" t="s">
        <v>8495</v>
      </c>
      <c r="D1572" s="22" t="s">
        <v>32931</v>
      </c>
      <c r="E1572" s="7"/>
      <c r="F1572" s="7"/>
      <c r="G1572" s="7"/>
      <c r="H1572" t="s">
        <v>67</v>
      </c>
      <c r="I1572" t="s">
        <v>12801</v>
      </c>
      <c r="J1572" t="s">
        <v>69</v>
      </c>
      <c r="K1572" t="s">
        <v>69</v>
      </c>
      <c r="L1572" t="s">
        <v>69</v>
      </c>
      <c r="M1572" t="s">
        <v>12802</v>
      </c>
      <c r="N1572" t="s">
        <v>69</v>
      </c>
      <c r="O1572" t="s">
        <v>69</v>
      </c>
      <c r="P1572" t="s">
        <v>12803</v>
      </c>
      <c r="Q1572" t="s">
        <v>715</v>
      </c>
      <c r="R1572" t="s">
        <v>69</v>
      </c>
      <c r="S1572" t="s">
        <v>69</v>
      </c>
      <c r="T1572" t="s">
        <v>8505</v>
      </c>
      <c r="U1572" t="s">
        <v>8506</v>
      </c>
      <c r="V1572" t="s">
        <v>69</v>
      </c>
      <c r="W1572" t="s">
        <v>69</v>
      </c>
      <c r="X1572" t="s">
        <v>69</v>
      </c>
      <c r="Y1572" t="s">
        <v>69</v>
      </c>
      <c r="Z1572" t="s">
        <v>69</v>
      </c>
      <c r="AA1572" t="s">
        <v>12804</v>
      </c>
      <c r="AB1572" t="s">
        <v>12805</v>
      </c>
      <c r="AC1572" t="s">
        <v>12806</v>
      </c>
      <c r="AD1572" t="s">
        <v>12807</v>
      </c>
      <c r="AE1572" t="s">
        <v>69</v>
      </c>
      <c r="AF1572" t="s">
        <v>12808</v>
      </c>
      <c r="AG1572" t="s">
        <v>12809</v>
      </c>
      <c r="AH1572" t="s">
        <v>12810</v>
      </c>
      <c r="AI1572" t="s">
        <v>12811</v>
      </c>
      <c r="AJ1572" t="s">
        <v>12812</v>
      </c>
      <c r="AK1572" t="s">
        <v>11597</v>
      </c>
      <c r="AL1572" t="s">
        <v>12813</v>
      </c>
      <c r="AM1572" t="s">
        <v>69</v>
      </c>
      <c r="AN1572">
        <v>88</v>
      </c>
      <c r="AO1572">
        <v>1</v>
      </c>
      <c r="AP1572">
        <v>1</v>
      </c>
      <c r="AQ1572">
        <v>2</v>
      </c>
      <c r="AR1572">
        <v>9</v>
      </c>
      <c r="AS1572" t="s">
        <v>8846</v>
      </c>
      <c r="AT1572" t="s">
        <v>8847</v>
      </c>
      <c r="AU1572" t="s">
        <v>8848</v>
      </c>
      <c r="AV1572" t="s">
        <v>719</v>
      </c>
      <c r="AW1572" t="s">
        <v>720</v>
      </c>
      <c r="AX1572" t="s">
        <v>69</v>
      </c>
      <c r="AY1572" t="s">
        <v>9110</v>
      </c>
      <c r="AZ1572" t="s">
        <v>9111</v>
      </c>
      <c r="BA1572" t="s">
        <v>586</v>
      </c>
      <c r="BB1572">
        <v>2021</v>
      </c>
      <c r="BC1572">
        <v>30</v>
      </c>
      <c r="BD1572">
        <v>4</v>
      </c>
      <c r="BE1572" t="s">
        <v>69</v>
      </c>
      <c r="BF1572" t="s">
        <v>69</v>
      </c>
      <c r="BG1572" t="s">
        <v>69</v>
      </c>
      <c r="BH1572" t="s">
        <v>69</v>
      </c>
      <c r="BI1572">
        <v>1623</v>
      </c>
      <c r="BJ1572">
        <v>1643</v>
      </c>
      <c r="BK1572" t="s">
        <v>69</v>
      </c>
      <c r="BL1572" t="s">
        <v>12814</v>
      </c>
      <c r="BM1572" t="str">
        <f>HYPERLINK("http://dx.doi.org/10.1002/bse.2698","http://dx.doi.org/10.1002/bse.2698")</f>
        <v>http://dx.doi.org/10.1002/bse.2698</v>
      </c>
      <c r="BN1572" t="s">
        <v>69</v>
      </c>
      <c r="BO1572" t="s">
        <v>12704</v>
      </c>
      <c r="BP1572">
        <v>21</v>
      </c>
      <c r="BQ1572" t="s">
        <v>9113</v>
      </c>
      <c r="BR1572" t="s">
        <v>8661</v>
      </c>
      <c r="BS1572" t="s">
        <v>9114</v>
      </c>
      <c r="BT1572" t="s">
        <v>12815</v>
      </c>
      <c r="BU1572" t="s">
        <v>12816</v>
      </c>
      <c r="BV1572" t="s">
        <v>69</v>
      </c>
      <c r="BW1572" t="s">
        <v>8746</v>
      </c>
      <c r="BX1572" t="s">
        <v>69</v>
      </c>
      <c r="BY1572" t="s">
        <v>69</v>
      </c>
      <c r="BZ1572" t="s">
        <v>8526</v>
      </c>
      <c r="CA1572" t="str">
        <f>HYPERLINK("https%3A%2F%2Fwww.webofscience.com%2Fwos%2Fwoscc%2Ffull-record%2FWOS:000626845700001","View Full Record in Web of Science")</f>
        <v>View Full Record in Web of Science</v>
      </c>
    </row>
    <row r="1573" spans="2:79" ht="12.5" x14ac:dyDescent="0.25">
      <c r="B1573" t="s">
        <v>8495</v>
      </c>
      <c r="D1573" s="22" t="s">
        <v>32931</v>
      </c>
      <c r="E1573" s="7"/>
      <c r="F1573" s="7"/>
      <c r="G1573" s="7"/>
      <c r="H1573" t="s">
        <v>67</v>
      </c>
      <c r="I1573" t="s">
        <v>22360</v>
      </c>
      <c r="J1573" t="s">
        <v>69</v>
      </c>
      <c r="K1573" t="s">
        <v>69</v>
      </c>
      <c r="L1573" t="s">
        <v>69</v>
      </c>
      <c r="M1573" t="s">
        <v>22361</v>
      </c>
      <c r="N1573" t="s">
        <v>69</v>
      </c>
      <c r="O1573" t="s">
        <v>69</v>
      </c>
      <c r="P1573" t="s">
        <v>22362</v>
      </c>
      <c r="Q1573" t="s">
        <v>22363</v>
      </c>
      <c r="R1573" t="s">
        <v>69</v>
      </c>
      <c r="S1573" t="s">
        <v>69</v>
      </c>
      <c r="T1573" t="s">
        <v>8505</v>
      </c>
      <c r="U1573" t="s">
        <v>8506</v>
      </c>
      <c r="V1573" t="s">
        <v>69</v>
      </c>
      <c r="W1573" t="s">
        <v>69</v>
      </c>
      <c r="X1573" t="s">
        <v>69</v>
      </c>
      <c r="Y1573" t="s">
        <v>69</v>
      </c>
      <c r="Z1573" t="s">
        <v>69</v>
      </c>
      <c r="AA1573" t="s">
        <v>22364</v>
      </c>
      <c r="AB1573" t="s">
        <v>16652</v>
      </c>
      <c r="AC1573" t="s">
        <v>22365</v>
      </c>
      <c r="AD1573" t="s">
        <v>22366</v>
      </c>
      <c r="AE1573" t="s">
        <v>69</v>
      </c>
      <c r="AF1573" t="s">
        <v>22367</v>
      </c>
      <c r="AG1573" t="s">
        <v>22368</v>
      </c>
      <c r="AH1573" t="s">
        <v>22369</v>
      </c>
      <c r="AI1573" t="s">
        <v>22370</v>
      </c>
      <c r="AJ1573" t="s">
        <v>22371</v>
      </c>
      <c r="AK1573" t="s">
        <v>22372</v>
      </c>
      <c r="AL1573" t="s">
        <v>22373</v>
      </c>
      <c r="AM1573" t="s">
        <v>69</v>
      </c>
      <c r="AN1573">
        <v>38</v>
      </c>
      <c r="AO1573">
        <v>4</v>
      </c>
      <c r="AP1573">
        <v>4</v>
      </c>
      <c r="AQ1573">
        <v>0</v>
      </c>
      <c r="AR1573">
        <v>4</v>
      </c>
      <c r="AS1573" t="s">
        <v>16416</v>
      </c>
      <c r="AT1573" t="s">
        <v>16417</v>
      </c>
      <c r="AU1573" t="s">
        <v>16418</v>
      </c>
      <c r="AV1573" t="s">
        <v>22374</v>
      </c>
      <c r="AW1573" t="s">
        <v>22375</v>
      </c>
      <c r="AX1573" t="s">
        <v>69</v>
      </c>
      <c r="AY1573" t="s">
        <v>22376</v>
      </c>
      <c r="AZ1573" t="s">
        <v>22377</v>
      </c>
      <c r="BA1573" t="s">
        <v>274</v>
      </c>
      <c r="BB1573">
        <v>2015</v>
      </c>
      <c r="BC1573">
        <v>17</v>
      </c>
      <c r="BD1573">
        <v>4</v>
      </c>
      <c r="BE1573" t="s">
        <v>69</v>
      </c>
      <c r="BF1573" t="s">
        <v>69</v>
      </c>
      <c r="BG1573" t="s">
        <v>69</v>
      </c>
      <c r="BH1573" t="s">
        <v>69</v>
      </c>
      <c r="BI1573">
        <v>270</v>
      </c>
      <c r="BJ1573">
        <v>290</v>
      </c>
      <c r="BK1573" t="s">
        <v>69</v>
      </c>
      <c r="BL1573" t="s">
        <v>22378</v>
      </c>
      <c r="BM1573" t="str">
        <f>HYPERLINK("http://dx.doi.org/10.1057/cpcs.2015.16","http://dx.doi.org/10.1057/cpcs.2015.16")</f>
        <v>http://dx.doi.org/10.1057/cpcs.2015.16</v>
      </c>
      <c r="BN1573" t="s">
        <v>69</v>
      </c>
      <c r="BO1573" t="s">
        <v>69</v>
      </c>
      <c r="BP1573">
        <v>21</v>
      </c>
      <c r="BQ1573" t="s">
        <v>19122</v>
      </c>
      <c r="BR1573" t="s">
        <v>8573</v>
      </c>
      <c r="BS1573" t="s">
        <v>19122</v>
      </c>
      <c r="BT1573" t="s">
        <v>22379</v>
      </c>
      <c r="BU1573" t="s">
        <v>22380</v>
      </c>
      <c r="BV1573" t="s">
        <v>69</v>
      </c>
      <c r="BW1573" t="s">
        <v>69</v>
      </c>
      <c r="BX1573" t="s">
        <v>69</v>
      </c>
      <c r="BY1573" t="s">
        <v>69</v>
      </c>
      <c r="BZ1573" t="s">
        <v>8526</v>
      </c>
      <c r="CA1573" t="str">
        <f>HYPERLINK("https%3A%2F%2Fwww.webofscience.com%2Fwos%2Fwoscc%2Ffull-record%2FWOS:000409610900004","View Full Record in Web of Science")</f>
        <v>View Full Record in Web of Science</v>
      </c>
    </row>
    <row r="1574" spans="2:79" x14ac:dyDescent="0.3">
      <c r="B1574" t="s">
        <v>8495</v>
      </c>
      <c r="D1574" s="9" t="s">
        <v>32954</v>
      </c>
      <c r="F1574" s="9" t="s">
        <v>8491</v>
      </c>
      <c r="G1574" s="9" t="s">
        <v>8490</v>
      </c>
      <c r="H1574" t="s">
        <v>67</v>
      </c>
      <c r="I1574" t="s">
        <v>16821</v>
      </c>
      <c r="J1574" t="s">
        <v>69</v>
      </c>
      <c r="K1574" t="s">
        <v>69</v>
      </c>
      <c r="L1574" t="s">
        <v>69</v>
      </c>
      <c r="M1574" t="s">
        <v>16822</v>
      </c>
      <c r="N1574" t="s">
        <v>69</v>
      </c>
      <c r="O1574" t="s">
        <v>69</v>
      </c>
      <c r="P1574" t="s">
        <v>16823</v>
      </c>
      <c r="Q1574" t="s">
        <v>582</v>
      </c>
      <c r="R1574" t="s">
        <v>69</v>
      </c>
      <c r="S1574" t="s">
        <v>69</v>
      </c>
      <c r="T1574" t="s">
        <v>8505</v>
      </c>
      <c r="U1574" t="s">
        <v>8506</v>
      </c>
      <c r="V1574" t="s">
        <v>69</v>
      </c>
      <c r="W1574" t="s">
        <v>69</v>
      </c>
      <c r="X1574" t="s">
        <v>69</v>
      </c>
      <c r="Y1574" t="s">
        <v>69</v>
      </c>
      <c r="Z1574" t="s">
        <v>69</v>
      </c>
      <c r="AA1574" t="s">
        <v>16824</v>
      </c>
      <c r="AB1574" t="s">
        <v>16825</v>
      </c>
      <c r="AC1574" t="s">
        <v>16826</v>
      </c>
      <c r="AD1574" t="s">
        <v>16827</v>
      </c>
      <c r="AE1574" t="s">
        <v>69</v>
      </c>
      <c r="AF1574" t="s">
        <v>16828</v>
      </c>
      <c r="AG1574" t="s">
        <v>16829</v>
      </c>
      <c r="AH1574" t="s">
        <v>69</v>
      </c>
      <c r="AI1574" t="s">
        <v>69</v>
      </c>
      <c r="AJ1574" t="s">
        <v>16830</v>
      </c>
      <c r="AK1574" t="s">
        <v>16830</v>
      </c>
      <c r="AL1574" t="s">
        <v>16831</v>
      </c>
      <c r="AM1574" t="s">
        <v>69</v>
      </c>
      <c r="AN1574">
        <v>67</v>
      </c>
      <c r="AO1574">
        <v>1</v>
      </c>
      <c r="AP1574">
        <v>1</v>
      </c>
      <c r="AQ1574">
        <v>0</v>
      </c>
      <c r="AR1574">
        <v>9</v>
      </c>
      <c r="AS1574" t="s">
        <v>8692</v>
      </c>
      <c r="AT1574" t="s">
        <v>8693</v>
      </c>
      <c r="AU1574" t="s">
        <v>8694</v>
      </c>
      <c r="AV1574" t="s">
        <v>584</v>
      </c>
      <c r="AW1574" t="s">
        <v>585</v>
      </c>
      <c r="AX1574" t="s">
        <v>69</v>
      </c>
      <c r="AY1574" t="s">
        <v>8695</v>
      </c>
      <c r="AZ1574" t="s">
        <v>8696</v>
      </c>
      <c r="BA1574" t="s">
        <v>255</v>
      </c>
      <c r="BB1574">
        <v>2019</v>
      </c>
      <c r="BC1574">
        <v>78</v>
      </c>
      <c r="BD1574" t="s">
        <v>69</v>
      </c>
      <c r="BE1574" t="s">
        <v>69</v>
      </c>
      <c r="BF1574" t="s">
        <v>69</v>
      </c>
      <c r="BG1574" t="s">
        <v>69</v>
      </c>
      <c r="BH1574" t="s">
        <v>69</v>
      </c>
      <c r="BI1574" t="s">
        <v>69</v>
      </c>
      <c r="BJ1574" t="s">
        <v>69</v>
      </c>
      <c r="BK1574">
        <v>106280</v>
      </c>
      <c r="BL1574" t="s">
        <v>16832</v>
      </c>
      <c r="BM1574" t="str">
        <f>HYPERLINK("http://dx.doi.org/10.1016/j.eiar.2019.106280","http://dx.doi.org/10.1016/j.eiar.2019.106280")</f>
        <v>http://dx.doi.org/10.1016/j.eiar.2019.106280</v>
      </c>
      <c r="BN1574" t="s">
        <v>69</v>
      </c>
      <c r="BO1574" t="s">
        <v>69</v>
      </c>
      <c r="BP1574">
        <v>11</v>
      </c>
      <c r="BQ1574" t="s">
        <v>8660</v>
      </c>
      <c r="BR1574" t="s">
        <v>8661</v>
      </c>
      <c r="BS1574" t="s">
        <v>8662</v>
      </c>
      <c r="BT1574" t="s">
        <v>16833</v>
      </c>
      <c r="BU1574" t="s">
        <v>16834</v>
      </c>
      <c r="BV1574" t="s">
        <v>69</v>
      </c>
      <c r="BW1574" t="s">
        <v>69</v>
      </c>
      <c r="BX1574" t="s">
        <v>69</v>
      </c>
      <c r="BY1574" t="s">
        <v>69</v>
      </c>
      <c r="BZ1574" t="s">
        <v>8526</v>
      </c>
      <c r="CA1574" t="str">
        <f>HYPERLINK("https%3A%2F%2Fwww.webofscience.com%2Fwos%2Fwoscc%2Ffull-record%2FWOS:000482513300002","View Full Record in Web of Science")</f>
        <v>View Full Record in Web of Science</v>
      </c>
    </row>
    <row r="1575" spans="2:79" ht="12.5" x14ac:dyDescent="0.25">
      <c r="B1575" t="s">
        <v>8495</v>
      </c>
      <c r="D1575" s="7" t="s">
        <v>32933</v>
      </c>
      <c r="E1575" s="7"/>
      <c r="F1575" s="7"/>
      <c r="G1575" s="7"/>
      <c r="H1575" t="s">
        <v>67</v>
      </c>
      <c r="I1575" t="s">
        <v>1290</v>
      </c>
      <c r="J1575" t="s">
        <v>69</v>
      </c>
      <c r="K1575" t="s">
        <v>69</v>
      </c>
      <c r="L1575" t="s">
        <v>69</v>
      </c>
      <c r="M1575" t="s">
        <v>1291</v>
      </c>
      <c r="N1575" t="s">
        <v>69</v>
      </c>
      <c r="O1575" t="s">
        <v>69</v>
      </c>
      <c r="P1575" t="s">
        <v>1292</v>
      </c>
      <c r="Q1575" t="s">
        <v>1293</v>
      </c>
      <c r="R1575" t="s">
        <v>69</v>
      </c>
      <c r="S1575" t="s">
        <v>69</v>
      </c>
      <c r="T1575" t="s">
        <v>8505</v>
      </c>
      <c r="U1575" t="s">
        <v>8506</v>
      </c>
      <c r="V1575" t="s">
        <v>69</v>
      </c>
      <c r="W1575" t="s">
        <v>69</v>
      </c>
      <c r="X1575" t="s">
        <v>69</v>
      </c>
      <c r="Y1575" t="s">
        <v>69</v>
      </c>
      <c r="Z1575" t="s">
        <v>69</v>
      </c>
      <c r="AA1575" t="s">
        <v>22881</v>
      </c>
      <c r="AB1575" t="s">
        <v>22882</v>
      </c>
      <c r="AC1575" t="s">
        <v>1294</v>
      </c>
      <c r="AD1575" t="s">
        <v>22883</v>
      </c>
      <c r="AE1575" t="s">
        <v>69</v>
      </c>
      <c r="AF1575" t="s">
        <v>22884</v>
      </c>
      <c r="AG1575" t="s">
        <v>69</v>
      </c>
      <c r="AH1575" t="s">
        <v>1295</v>
      </c>
      <c r="AI1575" t="s">
        <v>69</v>
      </c>
      <c r="AJ1575" t="s">
        <v>22885</v>
      </c>
      <c r="AK1575" t="s">
        <v>22885</v>
      </c>
      <c r="AL1575" t="s">
        <v>22886</v>
      </c>
      <c r="AM1575" t="s">
        <v>69</v>
      </c>
      <c r="AN1575">
        <v>121</v>
      </c>
      <c r="AO1575">
        <v>159</v>
      </c>
      <c r="AP1575">
        <v>166</v>
      </c>
      <c r="AQ1575">
        <v>20</v>
      </c>
      <c r="AR1575">
        <v>122</v>
      </c>
      <c r="AS1575" t="s">
        <v>22887</v>
      </c>
      <c r="AT1575" t="s">
        <v>22888</v>
      </c>
      <c r="AU1575" t="s">
        <v>22889</v>
      </c>
      <c r="AV1575" t="s">
        <v>1296</v>
      </c>
      <c r="AW1575" t="s">
        <v>1297</v>
      </c>
      <c r="AX1575" t="s">
        <v>69</v>
      </c>
      <c r="AY1575" t="s">
        <v>22890</v>
      </c>
      <c r="AZ1575" t="s">
        <v>22891</v>
      </c>
      <c r="BA1575" t="s">
        <v>191</v>
      </c>
      <c r="BB1575">
        <v>2015</v>
      </c>
      <c r="BC1575">
        <v>34</v>
      </c>
      <c r="BD1575">
        <v>1</v>
      </c>
      <c r="BE1575" t="s">
        <v>69</v>
      </c>
      <c r="BF1575" t="s">
        <v>69</v>
      </c>
      <c r="BG1575" t="s">
        <v>69</v>
      </c>
      <c r="BH1575" t="s">
        <v>69</v>
      </c>
      <c r="BI1575">
        <v>163</v>
      </c>
      <c r="BJ1575">
        <v>198</v>
      </c>
      <c r="BK1575" t="s">
        <v>69</v>
      </c>
      <c r="BL1575" t="s">
        <v>1298</v>
      </c>
      <c r="BM1575" t="str">
        <f>HYPERLINK("http://dx.doi.org/10.2308/ajpt-50849","http://dx.doi.org/10.2308/ajpt-50849")</f>
        <v>http://dx.doi.org/10.2308/ajpt-50849</v>
      </c>
      <c r="BN1575" t="s">
        <v>69</v>
      </c>
      <c r="BO1575" t="s">
        <v>69</v>
      </c>
      <c r="BP1575">
        <v>36</v>
      </c>
      <c r="BQ1575" t="s">
        <v>9749</v>
      </c>
      <c r="BR1575" t="s">
        <v>8661</v>
      </c>
      <c r="BS1575" t="s">
        <v>8594</v>
      </c>
      <c r="BT1575" t="s">
        <v>22892</v>
      </c>
      <c r="BU1575" t="s">
        <v>1299</v>
      </c>
      <c r="BV1575" t="s">
        <v>69</v>
      </c>
      <c r="BW1575" t="s">
        <v>69</v>
      </c>
      <c r="BX1575" t="s">
        <v>69</v>
      </c>
      <c r="BY1575" t="s">
        <v>69</v>
      </c>
      <c r="BZ1575" t="s">
        <v>8526</v>
      </c>
      <c r="CA1575" t="str">
        <f>HYPERLINK("https%3A%2F%2Fwww.webofscience.com%2Fwos%2Fwoscc%2Ffull-record%2FWOS:000349803700008","View Full Record in Web of Science")</f>
        <v>View Full Record in Web of Science</v>
      </c>
    </row>
    <row r="1576" spans="2:79" ht="12.5" x14ac:dyDescent="0.25">
      <c r="B1576" t="s">
        <v>8495</v>
      </c>
      <c r="D1576" s="7" t="s">
        <v>32933</v>
      </c>
      <c r="E1576" s="7"/>
      <c r="F1576" s="7"/>
      <c r="G1576" s="7"/>
      <c r="H1576" t="s">
        <v>67</v>
      </c>
      <c r="I1576" t="s">
        <v>1688</v>
      </c>
      <c r="J1576" t="s">
        <v>69</v>
      </c>
      <c r="K1576" t="s">
        <v>69</v>
      </c>
      <c r="L1576" t="s">
        <v>69</v>
      </c>
      <c r="M1576" t="s">
        <v>1688</v>
      </c>
      <c r="N1576" t="s">
        <v>69</v>
      </c>
      <c r="O1576" t="s">
        <v>69</v>
      </c>
      <c r="P1576" t="s">
        <v>1689</v>
      </c>
      <c r="Q1576" t="s">
        <v>1690</v>
      </c>
      <c r="R1576" t="s">
        <v>69</v>
      </c>
      <c r="S1576" t="s">
        <v>69</v>
      </c>
      <c r="T1576" t="s">
        <v>8505</v>
      </c>
      <c r="U1576" t="s">
        <v>8506</v>
      </c>
      <c r="V1576" t="s">
        <v>69</v>
      </c>
      <c r="W1576" t="s">
        <v>69</v>
      </c>
      <c r="X1576" t="s">
        <v>69</v>
      </c>
      <c r="Y1576" t="s">
        <v>69</v>
      </c>
      <c r="Z1576" t="s">
        <v>69</v>
      </c>
      <c r="AA1576" t="s">
        <v>31428</v>
      </c>
      <c r="AB1576" t="s">
        <v>31429</v>
      </c>
      <c r="AC1576" t="s">
        <v>1691</v>
      </c>
      <c r="AD1576" t="s">
        <v>31430</v>
      </c>
      <c r="AE1576" t="s">
        <v>69</v>
      </c>
      <c r="AF1576" t="s">
        <v>31431</v>
      </c>
      <c r="AG1576" t="s">
        <v>69</v>
      </c>
      <c r="AH1576" t="s">
        <v>69</v>
      </c>
      <c r="AI1576" t="s">
        <v>69</v>
      </c>
      <c r="AJ1576" t="s">
        <v>69</v>
      </c>
      <c r="AK1576" t="s">
        <v>69</v>
      </c>
      <c r="AL1576" t="s">
        <v>69</v>
      </c>
      <c r="AM1576" t="s">
        <v>69</v>
      </c>
      <c r="AN1576">
        <v>16</v>
      </c>
      <c r="AO1576">
        <v>38</v>
      </c>
      <c r="AP1576">
        <v>38</v>
      </c>
      <c r="AQ1576">
        <v>0</v>
      </c>
      <c r="AR1576">
        <v>6</v>
      </c>
      <c r="AS1576" t="s">
        <v>31432</v>
      </c>
      <c r="AT1576" t="s">
        <v>31433</v>
      </c>
      <c r="AU1576" t="s">
        <v>31434</v>
      </c>
      <c r="AV1576" t="s">
        <v>1692</v>
      </c>
      <c r="AW1576" t="s">
        <v>69</v>
      </c>
      <c r="AX1576" t="s">
        <v>69</v>
      </c>
      <c r="AY1576" t="s">
        <v>14598</v>
      </c>
      <c r="AZ1576" t="s">
        <v>14599</v>
      </c>
      <c r="BA1576" t="s">
        <v>155</v>
      </c>
      <c r="BB1576">
        <v>2002</v>
      </c>
      <c r="BC1576">
        <v>36</v>
      </c>
      <c r="BD1576">
        <v>3</v>
      </c>
      <c r="BE1576" t="s">
        <v>69</v>
      </c>
      <c r="BF1576" t="s">
        <v>69</v>
      </c>
      <c r="BG1576" t="s">
        <v>69</v>
      </c>
      <c r="BH1576" t="s">
        <v>69</v>
      </c>
      <c r="BI1576">
        <v>290</v>
      </c>
      <c r="BJ1576">
        <v>296</v>
      </c>
      <c r="BK1576" t="s">
        <v>69</v>
      </c>
      <c r="BL1576" t="s">
        <v>1693</v>
      </c>
      <c r="BM1576" t="str">
        <f>HYPERLINK("http://dx.doi.org/10.1046/j.1440-1614.2002.01036.x","http://dx.doi.org/10.1046/j.1440-1614.2002.01036.x")</f>
        <v>http://dx.doi.org/10.1046/j.1440-1614.2002.01036.x</v>
      </c>
      <c r="BN1576" t="s">
        <v>69</v>
      </c>
      <c r="BO1576" t="s">
        <v>69</v>
      </c>
      <c r="BP1576">
        <v>7</v>
      </c>
      <c r="BQ1576" t="s">
        <v>9332</v>
      </c>
      <c r="BR1576" t="s">
        <v>8523</v>
      </c>
      <c r="BS1576" t="s">
        <v>9332</v>
      </c>
      <c r="BT1576" t="s">
        <v>31435</v>
      </c>
      <c r="BU1576" t="s">
        <v>1694</v>
      </c>
      <c r="BV1576">
        <v>12060177</v>
      </c>
      <c r="BW1576" t="s">
        <v>69</v>
      </c>
      <c r="BX1576" t="s">
        <v>69</v>
      </c>
      <c r="BY1576" t="s">
        <v>69</v>
      </c>
      <c r="BZ1576" t="s">
        <v>8526</v>
      </c>
      <c r="CA1576" t="str">
        <f>HYPERLINK("https%3A%2F%2Fwww.webofscience.com%2Fwos%2Fwoscc%2Ffull-record%2FWOS:000176169700002","View Full Record in Web of Science")</f>
        <v>View Full Record in Web of Science</v>
      </c>
    </row>
    <row r="1577" spans="2:79" ht="12.5" x14ac:dyDescent="0.25">
      <c r="B1577" t="s">
        <v>8495</v>
      </c>
      <c r="D1577" s="7" t="s">
        <v>32933</v>
      </c>
      <c r="E1577" s="7"/>
      <c r="F1577" s="7"/>
      <c r="G1577" s="7"/>
      <c r="H1577" t="s">
        <v>67</v>
      </c>
      <c r="I1577" t="s">
        <v>4729</v>
      </c>
      <c r="J1577" t="s">
        <v>69</v>
      </c>
      <c r="K1577" t="s">
        <v>69</v>
      </c>
      <c r="L1577" t="s">
        <v>69</v>
      </c>
      <c r="M1577" t="s">
        <v>4729</v>
      </c>
      <c r="N1577" t="s">
        <v>69</v>
      </c>
      <c r="O1577" t="s">
        <v>69</v>
      </c>
      <c r="P1577" t="s">
        <v>4730</v>
      </c>
      <c r="Q1577" t="s">
        <v>4731</v>
      </c>
      <c r="R1577" t="s">
        <v>69</v>
      </c>
      <c r="S1577" t="s">
        <v>69</v>
      </c>
      <c r="T1577" t="s">
        <v>8505</v>
      </c>
      <c r="U1577" t="s">
        <v>8506</v>
      </c>
      <c r="V1577" t="s">
        <v>69</v>
      </c>
      <c r="W1577" t="s">
        <v>69</v>
      </c>
      <c r="X1577" t="s">
        <v>69</v>
      </c>
      <c r="Y1577" t="s">
        <v>69</v>
      </c>
      <c r="Z1577" t="s">
        <v>69</v>
      </c>
      <c r="AA1577" t="s">
        <v>69</v>
      </c>
      <c r="AB1577" t="s">
        <v>69</v>
      </c>
      <c r="AC1577" t="s">
        <v>4732</v>
      </c>
      <c r="AD1577" t="s">
        <v>32084</v>
      </c>
      <c r="AE1577" t="s">
        <v>69</v>
      </c>
      <c r="AF1577" t="s">
        <v>32085</v>
      </c>
      <c r="AG1577" t="s">
        <v>69</v>
      </c>
      <c r="AH1577" t="s">
        <v>69</v>
      </c>
      <c r="AI1577" t="s">
        <v>69</v>
      </c>
      <c r="AJ1577" t="s">
        <v>69</v>
      </c>
      <c r="AK1577" t="s">
        <v>69</v>
      </c>
      <c r="AL1577" t="s">
        <v>69</v>
      </c>
      <c r="AM1577" t="s">
        <v>69</v>
      </c>
      <c r="AN1577">
        <v>9</v>
      </c>
      <c r="AO1577">
        <v>5</v>
      </c>
      <c r="AP1577">
        <v>5</v>
      </c>
      <c r="AQ1577">
        <v>0</v>
      </c>
      <c r="AR1577">
        <v>0</v>
      </c>
      <c r="AS1577" t="s">
        <v>32086</v>
      </c>
      <c r="AT1577" t="s">
        <v>31433</v>
      </c>
      <c r="AU1577" t="s">
        <v>32087</v>
      </c>
      <c r="AV1577" t="s">
        <v>4733</v>
      </c>
      <c r="AW1577" t="s">
        <v>69</v>
      </c>
      <c r="AX1577" t="s">
        <v>69</v>
      </c>
      <c r="AY1577" t="s">
        <v>32088</v>
      </c>
      <c r="AZ1577" t="s">
        <v>32089</v>
      </c>
      <c r="BA1577" t="s">
        <v>94</v>
      </c>
      <c r="BB1577">
        <v>1998</v>
      </c>
      <c r="BC1577">
        <v>33</v>
      </c>
      <c r="BD1577">
        <v>1</v>
      </c>
      <c r="BE1577" t="s">
        <v>69</v>
      </c>
      <c r="BF1577" t="s">
        <v>69</v>
      </c>
      <c r="BG1577" t="s">
        <v>69</v>
      </c>
      <c r="BH1577" t="s">
        <v>69</v>
      </c>
      <c r="BI1577">
        <v>68</v>
      </c>
      <c r="BJ1577">
        <v>75</v>
      </c>
      <c r="BK1577" t="s">
        <v>69</v>
      </c>
      <c r="BL1577" t="s">
        <v>4734</v>
      </c>
      <c r="BM1577" t="str">
        <f>HYPERLINK("http://dx.doi.org/10.1080/00050069808257268","http://dx.doi.org/10.1080/00050069808257268")</f>
        <v>http://dx.doi.org/10.1080/00050069808257268</v>
      </c>
      <c r="BN1577" t="s">
        <v>69</v>
      </c>
      <c r="BO1577" t="s">
        <v>69</v>
      </c>
      <c r="BP1577">
        <v>8</v>
      </c>
      <c r="BQ1577" t="s">
        <v>9000</v>
      </c>
      <c r="BR1577" t="s">
        <v>8661</v>
      </c>
      <c r="BS1577" t="s">
        <v>9001</v>
      </c>
      <c r="BT1577" t="s">
        <v>32090</v>
      </c>
      <c r="BU1577" t="s">
        <v>4735</v>
      </c>
      <c r="BV1577" t="s">
        <v>69</v>
      </c>
      <c r="BW1577" t="s">
        <v>69</v>
      </c>
      <c r="BX1577" t="s">
        <v>69</v>
      </c>
      <c r="BY1577" t="s">
        <v>69</v>
      </c>
      <c r="BZ1577" t="s">
        <v>8526</v>
      </c>
      <c r="CA1577" t="str">
        <f>HYPERLINK("https%3A%2F%2Fwww.webofscience.com%2Fwos%2Fwoscc%2Ffull-record%2FWOS:000078728500015","View Full Record in Web of Science")</f>
        <v>View Full Record in Web of Science</v>
      </c>
    </row>
    <row r="1578" spans="2:79" x14ac:dyDescent="0.3">
      <c r="B1578" t="s">
        <v>8495</v>
      </c>
      <c r="D1578" s="9" t="s">
        <v>32954</v>
      </c>
      <c r="E1578" s="9" t="s">
        <v>33143</v>
      </c>
      <c r="F1578" s="9" t="s">
        <v>8491</v>
      </c>
      <c r="G1578" s="9" t="s">
        <v>8490</v>
      </c>
      <c r="H1578" t="s">
        <v>67</v>
      </c>
      <c r="I1578" t="s">
        <v>8683</v>
      </c>
      <c r="J1578" t="s">
        <v>69</v>
      </c>
      <c r="K1578" t="s">
        <v>69</v>
      </c>
      <c r="L1578" t="s">
        <v>69</v>
      </c>
      <c r="M1578" t="s">
        <v>8684</v>
      </c>
      <c r="N1578" t="s">
        <v>69</v>
      </c>
      <c r="O1578" t="s">
        <v>69</v>
      </c>
      <c r="P1578" t="s">
        <v>8685</v>
      </c>
      <c r="Q1578" t="s">
        <v>582</v>
      </c>
      <c r="R1578" t="s">
        <v>69</v>
      </c>
      <c r="S1578" t="s">
        <v>69</v>
      </c>
      <c r="T1578" t="s">
        <v>8505</v>
      </c>
      <c r="U1578" t="s">
        <v>8506</v>
      </c>
      <c r="V1578" t="s">
        <v>69</v>
      </c>
      <c r="W1578" t="s">
        <v>69</v>
      </c>
      <c r="X1578" t="s">
        <v>69</v>
      </c>
      <c r="Y1578" t="s">
        <v>69</v>
      </c>
      <c r="Z1578" t="s">
        <v>69</v>
      </c>
      <c r="AA1578" t="s">
        <v>8686</v>
      </c>
      <c r="AB1578" t="s">
        <v>8687</v>
      </c>
      <c r="AC1578" t="s">
        <v>8688</v>
      </c>
      <c r="AD1578" t="s">
        <v>8689</v>
      </c>
      <c r="AE1578" t="s">
        <v>69</v>
      </c>
      <c r="AF1578" t="s">
        <v>8690</v>
      </c>
      <c r="AG1578" t="s">
        <v>8691</v>
      </c>
      <c r="AH1578" t="s">
        <v>69</v>
      </c>
      <c r="AI1578" t="s">
        <v>69</v>
      </c>
      <c r="AJ1578" t="s">
        <v>69</v>
      </c>
      <c r="AK1578" t="s">
        <v>69</v>
      </c>
      <c r="AL1578" t="s">
        <v>69</v>
      </c>
      <c r="AM1578" t="s">
        <v>69</v>
      </c>
      <c r="AN1578">
        <v>85</v>
      </c>
      <c r="AO1578">
        <v>0</v>
      </c>
      <c r="AP1578">
        <v>0</v>
      </c>
      <c r="AQ1578">
        <v>0</v>
      </c>
      <c r="AR1578">
        <v>0</v>
      </c>
      <c r="AS1578" t="s">
        <v>8692</v>
      </c>
      <c r="AT1578" t="s">
        <v>8693</v>
      </c>
      <c r="AU1578" t="s">
        <v>8694</v>
      </c>
      <c r="AV1578" t="s">
        <v>584</v>
      </c>
      <c r="AW1578" t="s">
        <v>585</v>
      </c>
      <c r="AX1578" t="s">
        <v>69</v>
      </c>
      <c r="AY1578" t="s">
        <v>8695</v>
      </c>
      <c r="AZ1578" t="s">
        <v>8696</v>
      </c>
      <c r="BA1578" t="s">
        <v>84</v>
      </c>
      <c r="BB1578">
        <v>2022</v>
      </c>
      <c r="BC1578">
        <v>95</v>
      </c>
      <c r="BD1578" t="s">
        <v>69</v>
      </c>
      <c r="BE1578" t="s">
        <v>69</v>
      </c>
      <c r="BF1578" t="s">
        <v>69</v>
      </c>
      <c r="BG1578" t="s">
        <v>69</v>
      </c>
      <c r="BH1578" t="s">
        <v>69</v>
      </c>
      <c r="BI1578" t="s">
        <v>69</v>
      </c>
      <c r="BJ1578" t="s">
        <v>69</v>
      </c>
      <c r="BK1578">
        <v>106786</v>
      </c>
      <c r="BL1578" t="s">
        <v>8697</v>
      </c>
      <c r="BM1578" t="str">
        <f>HYPERLINK("http://dx.doi.org/10.1016/j.eiar.2022.106786","http://dx.doi.org/10.1016/j.eiar.2022.106786")</f>
        <v>http://dx.doi.org/10.1016/j.eiar.2022.106786</v>
      </c>
      <c r="BN1578" t="s">
        <v>69</v>
      </c>
      <c r="BO1578" t="s">
        <v>69</v>
      </c>
      <c r="BP1578">
        <v>9</v>
      </c>
      <c r="BQ1578" t="s">
        <v>8660</v>
      </c>
      <c r="BR1578" t="s">
        <v>8661</v>
      </c>
      <c r="BS1578" t="s">
        <v>8662</v>
      </c>
      <c r="BT1578" t="s">
        <v>8698</v>
      </c>
      <c r="BU1578" t="s">
        <v>8699</v>
      </c>
      <c r="BV1578" t="s">
        <v>69</v>
      </c>
      <c r="BW1578" t="s">
        <v>8622</v>
      </c>
      <c r="BX1578" t="s">
        <v>69</v>
      </c>
      <c r="BY1578" t="s">
        <v>69</v>
      </c>
      <c r="BZ1578" t="s">
        <v>8526</v>
      </c>
      <c r="CA1578" t="str">
        <f>HYPERLINK("https%3A%2F%2Fwww.webofscience.com%2Fwos%2Fwoscc%2Ffull-record%2FWOS:000793470600007","View Full Record in Web of Science")</f>
        <v>View Full Record in Web of Science</v>
      </c>
    </row>
    <row r="1579" spans="2:79" ht="12.5" x14ac:dyDescent="0.25">
      <c r="B1579" t="s">
        <v>8495</v>
      </c>
      <c r="D1579" s="7" t="s">
        <v>32933</v>
      </c>
      <c r="E1579" s="7"/>
      <c r="F1579" s="7"/>
      <c r="G1579" s="7"/>
      <c r="H1579" t="s">
        <v>67</v>
      </c>
      <c r="I1579" t="s">
        <v>2418</v>
      </c>
      <c r="J1579" t="s">
        <v>69</v>
      </c>
      <c r="K1579" t="s">
        <v>69</v>
      </c>
      <c r="L1579" t="s">
        <v>69</v>
      </c>
      <c r="M1579" t="s">
        <v>2419</v>
      </c>
      <c r="N1579" t="s">
        <v>69</v>
      </c>
      <c r="O1579" t="s">
        <v>69</v>
      </c>
      <c r="P1579" t="s">
        <v>2420</v>
      </c>
      <c r="Q1579" t="s">
        <v>352</v>
      </c>
      <c r="R1579" t="s">
        <v>69</v>
      </c>
      <c r="S1579" t="s">
        <v>69</v>
      </c>
      <c r="T1579" t="s">
        <v>8505</v>
      </c>
      <c r="U1579" t="s">
        <v>8506</v>
      </c>
      <c r="V1579" t="s">
        <v>69</v>
      </c>
      <c r="W1579" t="s">
        <v>69</v>
      </c>
      <c r="X1579" t="s">
        <v>69</v>
      </c>
      <c r="Y1579" t="s">
        <v>69</v>
      </c>
      <c r="Z1579" t="s">
        <v>69</v>
      </c>
      <c r="AA1579" t="s">
        <v>18828</v>
      </c>
      <c r="AB1579" t="s">
        <v>18829</v>
      </c>
      <c r="AC1579" t="s">
        <v>2421</v>
      </c>
      <c r="AD1579" t="s">
        <v>18830</v>
      </c>
      <c r="AE1579" t="s">
        <v>69</v>
      </c>
      <c r="AF1579" t="s">
        <v>18831</v>
      </c>
      <c r="AG1579" t="s">
        <v>18832</v>
      </c>
      <c r="AH1579" t="s">
        <v>69</v>
      </c>
      <c r="AI1579" t="s">
        <v>2422</v>
      </c>
      <c r="AJ1579" t="s">
        <v>18833</v>
      </c>
      <c r="AK1579" t="s">
        <v>18834</v>
      </c>
      <c r="AL1579" t="s">
        <v>18835</v>
      </c>
      <c r="AM1579" t="s">
        <v>69</v>
      </c>
      <c r="AN1579">
        <v>86</v>
      </c>
      <c r="AO1579">
        <v>12</v>
      </c>
      <c r="AP1579">
        <v>12</v>
      </c>
      <c r="AQ1579">
        <v>0</v>
      </c>
      <c r="AR1579">
        <v>23</v>
      </c>
      <c r="AS1579" t="s">
        <v>8924</v>
      </c>
      <c r="AT1579" t="s">
        <v>8925</v>
      </c>
      <c r="AU1579" t="s">
        <v>8926</v>
      </c>
      <c r="AV1579" t="s">
        <v>69</v>
      </c>
      <c r="AW1579" t="s">
        <v>354</v>
      </c>
      <c r="AX1579" t="s">
        <v>69</v>
      </c>
      <c r="AY1579" t="s">
        <v>8958</v>
      </c>
      <c r="AZ1579" t="s">
        <v>8434</v>
      </c>
      <c r="BA1579" t="s">
        <v>586</v>
      </c>
      <c r="BB1579">
        <v>2018</v>
      </c>
      <c r="BC1579">
        <v>10</v>
      </c>
      <c r="BD1579">
        <v>5</v>
      </c>
      <c r="BE1579" t="s">
        <v>69</v>
      </c>
      <c r="BF1579" t="s">
        <v>69</v>
      </c>
      <c r="BG1579" t="s">
        <v>69</v>
      </c>
      <c r="BH1579" t="s">
        <v>69</v>
      </c>
      <c r="BI1579" t="s">
        <v>69</v>
      </c>
      <c r="BJ1579" t="s">
        <v>69</v>
      </c>
      <c r="BK1579">
        <v>1420</v>
      </c>
      <c r="BL1579" t="s">
        <v>2423</v>
      </c>
      <c r="BM1579" t="str">
        <f>HYPERLINK("http://dx.doi.org/10.3390/su10051420","http://dx.doi.org/10.3390/su10051420")</f>
        <v>http://dx.doi.org/10.3390/su10051420</v>
      </c>
      <c r="BN1579" t="s">
        <v>69</v>
      </c>
      <c r="BO1579" t="s">
        <v>69</v>
      </c>
      <c r="BP1579">
        <v>19</v>
      </c>
      <c r="BQ1579" t="s">
        <v>8960</v>
      </c>
      <c r="BR1579" t="s">
        <v>8523</v>
      </c>
      <c r="BS1579" t="s">
        <v>8961</v>
      </c>
      <c r="BT1579" t="s">
        <v>18836</v>
      </c>
      <c r="BU1579" t="s">
        <v>2424</v>
      </c>
      <c r="BV1579" t="s">
        <v>69</v>
      </c>
      <c r="BW1579" t="s">
        <v>8812</v>
      </c>
      <c r="BX1579" t="s">
        <v>69</v>
      </c>
      <c r="BY1579" t="s">
        <v>69</v>
      </c>
      <c r="BZ1579" t="s">
        <v>8526</v>
      </c>
      <c r="CA1579" t="str">
        <f>HYPERLINK("https%3A%2F%2Fwww.webofscience.com%2Fwos%2Fwoscc%2Ffull-record%2FWOS:000435587100116","View Full Record in Web of Science")</f>
        <v>View Full Record in Web of Science</v>
      </c>
    </row>
    <row r="1580" spans="2:79" ht="12.5" x14ac:dyDescent="0.25">
      <c r="B1580" t="s">
        <v>8495</v>
      </c>
      <c r="D1580" s="22" t="s">
        <v>32931</v>
      </c>
      <c r="E1580" s="7"/>
      <c r="F1580" s="7"/>
      <c r="G1580" s="7"/>
      <c r="H1580" t="s">
        <v>67</v>
      </c>
      <c r="I1580" t="s">
        <v>32091</v>
      </c>
      <c r="J1580" t="s">
        <v>69</v>
      </c>
      <c r="K1580" t="s">
        <v>69</v>
      </c>
      <c r="L1580" t="s">
        <v>69</v>
      </c>
      <c r="M1580" t="s">
        <v>32091</v>
      </c>
      <c r="N1580" t="s">
        <v>69</v>
      </c>
      <c r="O1580" t="s">
        <v>69</v>
      </c>
      <c r="P1580" t="s">
        <v>32092</v>
      </c>
      <c r="Q1580" t="s">
        <v>32093</v>
      </c>
      <c r="R1580" t="s">
        <v>69</v>
      </c>
      <c r="S1580" t="s">
        <v>69</v>
      </c>
      <c r="T1580" t="s">
        <v>8505</v>
      </c>
      <c r="U1580" t="s">
        <v>8506</v>
      </c>
      <c r="V1580" t="s">
        <v>69</v>
      </c>
      <c r="W1580" t="s">
        <v>69</v>
      </c>
      <c r="X1580" t="s">
        <v>69</v>
      </c>
      <c r="Y1580" t="s">
        <v>69</v>
      </c>
      <c r="Z1580" t="s">
        <v>69</v>
      </c>
      <c r="AA1580" t="s">
        <v>32094</v>
      </c>
      <c r="AB1580" t="s">
        <v>32095</v>
      </c>
      <c r="AC1580" t="s">
        <v>32096</v>
      </c>
      <c r="AD1580" t="s">
        <v>32097</v>
      </c>
      <c r="AE1580" t="s">
        <v>69</v>
      </c>
      <c r="AF1580" t="s">
        <v>32098</v>
      </c>
      <c r="AG1580" t="s">
        <v>69</v>
      </c>
      <c r="AH1580" t="s">
        <v>32099</v>
      </c>
      <c r="AI1580" t="s">
        <v>32100</v>
      </c>
      <c r="AJ1580" t="s">
        <v>69</v>
      </c>
      <c r="AK1580" t="s">
        <v>69</v>
      </c>
      <c r="AL1580" t="s">
        <v>69</v>
      </c>
      <c r="AM1580" t="s">
        <v>69</v>
      </c>
      <c r="AN1580">
        <v>18</v>
      </c>
      <c r="AO1580">
        <v>485</v>
      </c>
      <c r="AP1580">
        <v>504</v>
      </c>
      <c r="AQ1580">
        <v>4</v>
      </c>
      <c r="AR1580">
        <v>234</v>
      </c>
      <c r="AS1580" t="s">
        <v>17140</v>
      </c>
      <c r="AT1580" t="s">
        <v>8517</v>
      </c>
      <c r="AU1580" t="s">
        <v>17141</v>
      </c>
      <c r="AV1580" t="s">
        <v>32101</v>
      </c>
      <c r="AW1580" t="s">
        <v>69</v>
      </c>
      <c r="AX1580" t="s">
        <v>69</v>
      </c>
      <c r="AY1580" t="s">
        <v>32102</v>
      </c>
      <c r="AZ1580" t="s">
        <v>32103</v>
      </c>
      <c r="BA1580" t="s">
        <v>94</v>
      </c>
      <c r="BB1580">
        <v>1998</v>
      </c>
      <c r="BC1580">
        <v>54</v>
      </c>
      <c r="BD1580" t="s">
        <v>4219</v>
      </c>
      <c r="BE1580" t="s">
        <v>69</v>
      </c>
      <c r="BF1580" t="s">
        <v>69</v>
      </c>
      <c r="BG1580" t="s">
        <v>69</v>
      </c>
      <c r="BH1580" t="s">
        <v>69</v>
      </c>
      <c r="BI1580">
        <v>47</v>
      </c>
      <c r="BJ1580">
        <v>78</v>
      </c>
      <c r="BK1580" t="s">
        <v>69</v>
      </c>
      <c r="BL1580" t="s">
        <v>32104</v>
      </c>
      <c r="BM1580" t="str">
        <f>HYPERLINK("http://dx.doi.org/10.1016/S0378-3820(97)00060-X","http://dx.doi.org/10.1016/S0378-3820(97)00060-X")</f>
        <v>http://dx.doi.org/10.1016/S0378-3820(97)00060-X</v>
      </c>
      <c r="BN1580" t="s">
        <v>69</v>
      </c>
      <c r="BO1580" t="s">
        <v>69</v>
      </c>
      <c r="BP1580">
        <v>32</v>
      </c>
      <c r="BQ1580" t="s">
        <v>32105</v>
      </c>
      <c r="BR1580" t="s">
        <v>8548</v>
      </c>
      <c r="BS1580" t="s">
        <v>32106</v>
      </c>
      <c r="BT1580" t="s">
        <v>32107</v>
      </c>
      <c r="BU1580" t="s">
        <v>32108</v>
      </c>
      <c r="BV1580" t="s">
        <v>69</v>
      </c>
      <c r="BW1580" t="s">
        <v>69</v>
      </c>
      <c r="BX1580" t="s">
        <v>69</v>
      </c>
      <c r="BY1580" t="s">
        <v>69</v>
      </c>
      <c r="BZ1580" t="s">
        <v>8526</v>
      </c>
      <c r="CA1580" t="str">
        <f>HYPERLINK("https%3A%2F%2Fwww.webofscience.com%2Fwos%2Fwoscc%2Ffull-record%2FWOS:000074209200004","View Full Record in Web of Science")</f>
        <v>View Full Record in Web of Science</v>
      </c>
    </row>
    <row r="1581" spans="2:79" x14ac:dyDescent="0.3">
      <c r="B1581" t="s">
        <v>8495</v>
      </c>
      <c r="D1581" s="13" t="s">
        <v>32971</v>
      </c>
      <c r="H1581" t="s">
        <v>67</v>
      </c>
      <c r="I1581" t="s">
        <v>6082</v>
      </c>
      <c r="J1581" t="s">
        <v>69</v>
      </c>
      <c r="K1581" t="s">
        <v>69</v>
      </c>
      <c r="L1581" t="s">
        <v>69</v>
      </c>
      <c r="M1581" s="4" t="s">
        <v>6082</v>
      </c>
      <c r="N1581" t="s">
        <v>69</v>
      </c>
      <c r="O1581" t="s">
        <v>69</v>
      </c>
      <c r="P1581" s="2" t="s">
        <v>6083</v>
      </c>
      <c r="Q1581" t="s">
        <v>3321</v>
      </c>
      <c r="R1581" t="s">
        <v>69</v>
      </c>
      <c r="S1581" t="s">
        <v>69</v>
      </c>
      <c r="T1581" t="s">
        <v>8505</v>
      </c>
      <c r="U1581" t="s">
        <v>8506</v>
      </c>
      <c r="V1581" t="s">
        <v>69</v>
      </c>
      <c r="W1581" t="s">
        <v>69</v>
      </c>
      <c r="X1581" t="s">
        <v>69</v>
      </c>
      <c r="Y1581" t="s">
        <v>69</v>
      </c>
      <c r="Z1581" t="s">
        <v>69</v>
      </c>
      <c r="AA1581" t="s">
        <v>30364</v>
      </c>
      <c r="AB1581" t="s">
        <v>30365</v>
      </c>
      <c r="AC1581" t="s">
        <v>6084</v>
      </c>
      <c r="AD1581" t="s">
        <v>30366</v>
      </c>
      <c r="AE1581" t="s">
        <v>69</v>
      </c>
      <c r="AF1581" t="s">
        <v>30367</v>
      </c>
      <c r="AG1581" t="s">
        <v>30368</v>
      </c>
      <c r="AH1581" t="s">
        <v>69</v>
      </c>
      <c r="AI1581" t="s">
        <v>69</v>
      </c>
      <c r="AJ1581" t="s">
        <v>69</v>
      </c>
      <c r="AK1581" t="s">
        <v>69</v>
      </c>
      <c r="AL1581" t="s">
        <v>69</v>
      </c>
      <c r="AM1581" t="s">
        <v>69</v>
      </c>
      <c r="AN1581">
        <v>45</v>
      </c>
      <c r="AO1581">
        <v>127</v>
      </c>
      <c r="AP1581">
        <v>128</v>
      </c>
      <c r="AQ1581">
        <v>1</v>
      </c>
      <c r="AR1581">
        <v>57</v>
      </c>
      <c r="AS1581" t="s">
        <v>8762</v>
      </c>
      <c r="AT1581" t="s">
        <v>8763</v>
      </c>
      <c r="AU1581" t="s">
        <v>8764</v>
      </c>
      <c r="AV1581" t="s">
        <v>3323</v>
      </c>
      <c r="AW1581" t="s">
        <v>6085</v>
      </c>
      <c r="AX1581" t="s">
        <v>69</v>
      </c>
      <c r="AY1581" t="s">
        <v>3321</v>
      </c>
      <c r="AZ1581" t="s">
        <v>25026</v>
      </c>
      <c r="BA1581" t="s">
        <v>94</v>
      </c>
      <c r="BB1581">
        <v>2006</v>
      </c>
      <c r="BC1581">
        <v>13</v>
      </c>
      <c r="BD1581">
        <v>2</v>
      </c>
      <c r="BE1581" t="s">
        <v>69</v>
      </c>
      <c r="BF1581" t="s">
        <v>69</v>
      </c>
      <c r="BG1581" t="s">
        <v>69</v>
      </c>
      <c r="BH1581" t="s">
        <v>69</v>
      </c>
      <c r="BI1581">
        <v>195</v>
      </c>
      <c r="BJ1581">
        <v>224</v>
      </c>
      <c r="BK1581" t="s">
        <v>69</v>
      </c>
      <c r="BL1581" t="s">
        <v>6086</v>
      </c>
      <c r="BM1581" t="str">
        <f>HYPERLINK("http://dx.doi.org/10.1177/1350508406061674","http://dx.doi.org/10.1177/1350508406061674")</f>
        <v>http://dx.doi.org/10.1177/1350508406061674</v>
      </c>
      <c r="BN1581" t="s">
        <v>69</v>
      </c>
      <c r="BO1581" t="s">
        <v>69</v>
      </c>
      <c r="BP1581">
        <v>30</v>
      </c>
      <c r="BQ1581" t="s">
        <v>9410</v>
      </c>
      <c r="BR1581" t="s">
        <v>8661</v>
      </c>
      <c r="BS1581" t="s">
        <v>8594</v>
      </c>
      <c r="BT1581" t="s">
        <v>30369</v>
      </c>
      <c r="BU1581" t="s">
        <v>6087</v>
      </c>
      <c r="BV1581" t="s">
        <v>69</v>
      </c>
      <c r="BW1581" t="s">
        <v>69</v>
      </c>
      <c r="BX1581" t="s">
        <v>69</v>
      </c>
      <c r="BY1581" t="s">
        <v>69</v>
      </c>
      <c r="BZ1581" t="s">
        <v>8526</v>
      </c>
      <c r="CA1581" t="str">
        <f>HYPERLINK("https%3A%2F%2Fwww.webofscience.com%2Fwos%2Fwoscc%2Ffull-record%2FWOS:000236848900002","View Full Record in Web of Science")</f>
        <v>View Full Record in Web of Science</v>
      </c>
    </row>
    <row r="1582" spans="2:79" x14ac:dyDescent="0.3">
      <c r="B1582" t="s">
        <v>8495</v>
      </c>
      <c r="D1582" s="9" t="s">
        <v>32954</v>
      </c>
      <c r="E1582" s="9" t="s">
        <v>33142</v>
      </c>
      <c r="F1582" s="9" t="s">
        <v>8491</v>
      </c>
      <c r="G1582" s="9" t="s">
        <v>8490</v>
      </c>
      <c r="H1582" t="s">
        <v>67</v>
      </c>
      <c r="I1582" t="s">
        <v>8856</v>
      </c>
      <c r="J1582" t="s">
        <v>69</v>
      </c>
      <c r="K1582" t="s">
        <v>69</v>
      </c>
      <c r="L1582" t="s">
        <v>69</v>
      </c>
      <c r="M1582" t="s">
        <v>8857</v>
      </c>
      <c r="N1582" t="s">
        <v>69</v>
      </c>
      <c r="O1582" t="s">
        <v>69</v>
      </c>
      <c r="P1582" t="s">
        <v>8858</v>
      </c>
      <c r="Q1582" t="s">
        <v>967</v>
      </c>
      <c r="R1582" t="s">
        <v>69</v>
      </c>
      <c r="S1582" t="s">
        <v>69</v>
      </c>
      <c r="T1582" t="s">
        <v>8505</v>
      </c>
      <c r="U1582" t="s">
        <v>8556</v>
      </c>
      <c r="V1582" t="s">
        <v>69</v>
      </c>
      <c r="W1582" t="s">
        <v>69</v>
      </c>
      <c r="X1582" t="s">
        <v>69</v>
      </c>
      <c r="Y1582" t="s">
        <v>69</v>
      </c>
      <c r="Z1582" t="s">
        <v>69</v>
      </c>
      <c r="AA1582" t="s">
        <v>8859</v>
      </c>
      <c r="AB1582" t="s">
        <v>8860</v>
      </c>
      <c r="AC1582" t="s">
        <v>8861</v>
      </c>
      <c r="AD1582" t="s">
        <v>8862</v>
      </c>
      <c r="AE1582" t="s">
        <v>69</v>
      </c>
      <c r="AF1582" t="s">
        <v>8863</v>
      </c>
      <c r="AG1582" t="s">
        <v>8864</v>
      </c>
      <c r="AH1582" t="s">
        <v>69</v>
      </c>
      <c r="AI1582" t="s">
        <v>69</v>
      </c>
      <c r="AJ1582" t="s">
        <v>69</v>
      </c>
      <c r="AK1582" t="s">
        <v>69</v>
      </c>
      <c r="AL1582" t="s">
        <v>69</v>
      </c>
      <c r="AM1582" t="s">
        <v>69</v>
      </c>
      <c r="AN1582">
        <v>87</v>
      </c>
      <c r="AO1582">
        <v>0</v>
      </c>
      <c r="AP1582">
        <v>0</v>
      </c>
      <c r="AQ1582">
        <v>0</v>
      </c>
      <c r="AR1582">
        <v>0</v>
      </c>
      <c r="AS1582" t="s">
        <v>8865</v>
      </c>
      <c r="AT1582" t="s">
        <v>8612</v>
      </c>
      <c r="AU1582" t="s">
        <v>8866</v>
      </c>
      <c r="AV1582" t="s">
        <v>969</v>
      </c>
      <c r="AW1582" t="s">
        <v>970</v>
      </c>
      <c r="AX1582" t="s">
        <v>69</v>
      </c>
      <c r="AY1582" t="s">
        <v>8867</v>
      </c>
      <c r="AZ1582" t="s">
        <v>8868</v>
      </c>
      <c r="BA1582" t="s">
        <v>69</v>
      </c>
      <c r="BB1582" t="s">
        <v>69</v>
      </c>
      <c r="BC1582" t="s">
        <v>69</v>
      </c>
      <c r="BD1582" t="s">
        <v>69</v>
      </c>
      <c r="BE1582" t="s">
        <v>69</v>
      </c>
      <c r="BF1582" t="s">
        <v>69</v>
      </c>
      <c r="BG1582" t="s">
        <v>69</v>
      </c>
      <c r="BH1582" t="s">
        <v>69</v>
      </c>
      <c r="BI1582" t="s">
        <v>69</v>
      </c>
      <c r="BJ1582" t="s">
        <v>69</v>
      </c>
      <c r="BK1582" t="s">
        <v>69</v>
      </c>
      <c r="BL1582" t="s">
        <v>8869</v>
      </c>
      <c r="BM1582" t="str">
        <f>HYPERLINK("http://dx.doi.org/10.1080/24694452.2022.2080635","http://dx.doi.org/10.1080/24694452.2022.2080635")</f>
        <v>http://dx.doi.org/10.1080/24694452.2022.2080635</v>
      </c>
      <c r="BN1582" t="s">
        <v>69</v>
      </c>
      <c r="BO1582" t="s">
        <v>8742</v>
      </c>
      <c r="BP1582">
        <v>15</v>
      </c>
      <c r="BQ1582" t="s">
        <v>8446</v>
      </c>
      <c r="BR1582" t="s">
        <v>8661</v>
      </c>
      <c r="BS1582" t="s">
        <v>8446</v>
      </c>
      <c r="BT1582" t="s">
        <v>8870</v>
      </c>
      <c r="BU1582" t="s">
        <v>8871</v>
      </c>
      <c r="BV1582" t="s">
        <v>69</v>
      </c>
      <c r="BW1582" t="s">
        <v>69</v>
      </c>
      <c r="BX1582" t="s">
        <v>69</v>
      </c>
      <c r="BY1582" t="s">
        <v>69</v>
      </c>
      <c r="BZ1582" t="s">
        <v>8526</v>
      </c>
      <c r="CA1582" t="str">
        <f>HYPERLINK("https%3A%2F%2Fwww.webofscience.com%2Fwos%2Fwoscc%2Ffull-record%2FWOS:000830405700001","View Full Record in Web of Science")</f>
        <v>View Full Record in Web of Science</v>
      </c>
    </row>
    <row r="1583" spans="2:79" ht="12.5" x14ac:dyDescent="0.25">
      <c r="B1583" t="s">
        <v>8495</v>
      </c>
      <c r="D1583" s="7" t="s">
        <v>32933</v>
      </c>
      <c r="E1583" s="7"/>
      <c r="F1583" s="7"/>
      <c r="G1583" s="7"/>
      <c r="H1583" t="s">
        <v>67</v>
      </c>
      <c r="I1583" t="s">
        <v>7093</v>
      </c>
      <c r="J1583" t="s">
        <v>69</v>
      </c>
      <c r="K1583" t="s">
        <v>69</v>
      </c>
      <c r="L1583" t="s">
        <v>69</v>
      </c>
      <c r="M1583" t="s">
        <v>7094</v>
      </c>
      <c r="N1583" t="s">
        <v>69</v>
      </c>
      <c r="O1583" t="s">
        <v>69</v>
      </c>
      <c r="P1583" t="s">
        <v>7095</v>
      </c>
      <c r="Q1583" t="s">
        <v>7096</v>
      </c>
      <c r="R1583" t="s">
        <v>69</v>
      </c>
      <c r="S1583" t="s">
        <v>69</v>
      </c>
      <c r="T1583" t="s">
        <v>8505</v>
      </c>
      <c r="U1583" t="s">
        <v>8506</v>
      </c>
      <c r="V1583" t="s">
        <v>69</v>
      </c>
      <c r="W1583" t="s">
        <v>69</v>
      </c>
      <c r="X1583" t="s">
        <v>69</v>
      </c>
      <c r="Y1583" t="s">
        <v>69</v>
      </c>
      <c r="Z1583" t="s">
        <v>69</v>
      </c>
      <c r="AA1583" t="s">
        <v>27927</v>
      </c>
      <c r="AB1583" t="s">
        <v>27928</v>
      </c>
      <c r="AC1583" t="s">
        <v>7097</v>
      </c>
      <c r="AD1583" t="s">
        <v>27929</v>
      </c>
      <c r="AE1583" t="s">
        <v>69</v>
      </c>
      <c r="AF1583" t="s">
        <v>27930</v>
      </c>
      <c r="AG1583" t="s">
        <v>69</v>
      </c>
      <c r="AH1583" t="s">
        <v>27931</v>
      </c>
      <c r="AI1583" t="s">
        <v>27932</v>
      </c>
      <c r="AJ1583" t="s">
        <v>69</v>
      </c>
      <c r="AK1583" t="s">
        <v>69</v>
      </c>
      <c r="AL1583" t="s">
        <v>69</v>
      </c>
      <c r="AM1583" t="s">
        <v>69</v>
      </c>
      <c r="AN1583">
        <v>89</v>
      </c>
      <c r="AO1583">
        <v>13</v>
      </c>
      <c r="AP1583">
        <v>13</v>
      </c>
      <c r="AQ1583">
        <v>2</v>
      </c>
      <c r="AR1583">
        <v>58</v>
      </c>
      <c r="AS1583" t="s">
        <v>8586</v>
      </c>
      <c r="AT1583" t="s">
        <v>8587</v>
      </c>
      <c r="AU1583" t="s">
        <v>8588</v>
      </c>
      <c r="AV1583" t="s">
        <v>7098</v>
      </c>
      <c r="AW1583" t="s">
        <v>7099</v>
      </c>
      <c r="AX1583" t="s">
        <v>69</v>
      </c>
      <c r="AY1583" t="s">
        <v>27933</v>
      </c>
      <c r="AZ1583" t="s">
        <v>27934</v>
      </c>
      <c r="BA1583" t="s">
        <v>69</v>
      </c>
      <c r="BB1583">
        <v>2010</v>
      </c>
      <c r="BC1583">
        <v>5</v>
      </c>
      <c r="BD1583">
        <v>3</v>
      </c>
      <c r="BE1583" t="s">
        <v>69</v>
      </c>
      <c r="BF1583" t="s">
        <v>69</v>
      </c>
      <c r="BG1583" t="s">
        <v>69</v>
      </c>
      <c r="BH1583" t="s">
        <v>69</v>
      </c>
      <c r="BI1583">
        <v>397</v>
      </c>
      <c r="BJ1583">
        <v>421</v>
      </c>
      <c r="BK1583" t="s">
        <v>69</v>
      </c>
      <c r="BL1583" t="s">
        <v>7100</v>
      </c>
      <c r="BM1583" t="str">
        <f>HYPERLINK("http://dx.doi.org/10.1108/17465261011079776","http://dx.doi.org/10.1108/17465261011079776")</f>
        <v>http://dx.doi.org/10.1108/17465261011079776</v>
      </c>
      <c r="BN1583" t="s">
        <v>69</v>
      </c>
      <c r="BO1583" t="s">
        <v>69</v>
      </c>
      <c r="BP1583">
        <v>25</v>
      </c>
      <c r="BQ1583" t="s">
        <v>9410</v>
      </c>
      <c r="BR1583" t="s">
        <v>8661</v>
      </c>
      <c r="BS1583" t="s">
        <v>8594</v>
      </c>
      <c r="BT1583" t="s">
        <v>27935</v>
      </c>
      <c r="BU1583" t="s">
        <v>7101</v>
      </c>
      <c r="BV1583" t="s">
        <v>69</v>
      </c>
      <c r="BW1583" t="s">
        <v>69</v>
      </c>
      <c r="BX1583" t="s">
        <v>69</v>
      </c>
      <c r="BY1583" t="s">
        <v>69</v>
      </c>
      <c r="BZ1583" t="s">
        <v>8526</v>
      </c>
      <c r="CA1583" t="str">
        <f>HYPERLINK("https%3A%2F%2Fwww.webofscience.com%2Fwos%2Fwoscc%2Ffull-record%2FWOS:000284294300007","View Full Record in Web of Science")</f>
        <v>View Full Record in Web of Science</v>
      </c>
    </row>
    <row r="1584" spans="2:79" ht="12.5" x14ac:dyDescent="0.25">
      <c r="B1584" t="s">
        <v>8495</v>
      </c>
      <c r="D1584" s="22" t="s">
        <v>32931</v>
      </c>
      <c r="E1584" s="7"/>
      <c r="F1584" s="7"/>
      <c r="G1584" s="7"/>
      <c r="H1584" t="s">
        <v>67</v>
      </c>
      <c r="I1584" t="s">
        <v>28575</v>
      </c>
      <c r="J1584" t="s">
        <v>69</v>
      </c>
      <c r="K1584" t="s">
        <v>69</v>
      </c>
      <c r="L1584" t="s">
        <v>69</v>
      </c>
      <c r="M1584" t="s">
        <v>28576</v>
      </c>
      <c r="N1584" t="s">
        <v>69</v>
      </c>
      <c r="O1584" t="s">
        <v>69</v>
      </c>
      <c r="P1584" t="s">
        <v>28577</v>
      </c>
      <c r="Q1584" t="s">
        <v>28578</v>
      </c>
      <c r="R1584" t="s">
        <v>69</v>
      </c>
      <c r="S1584" t="s">
        <v>69</v>
      </c>
      <c r="T1584" t="s">
        <v>8505</v>
      </c>
      <c r="U1584" t="s">
        <v>8506</v>
      </c>
      <c r="V1584" t="s">
        <v>69</v>
      </c>
      <c r="W1584" t="s">
        <v>69</v>
      </c>
      <c r="X1584" t="s">
        <v>69</v>
      </c>
      <c r="Y1584" t="s">
        <v>69</v>
      </c>
      <c r="Z1584" t="s">
        <v>69</v>
      </c>
      <c r="AA1584" t="s">
        <v>69</v>
      </c>
      <c r="AB1584" t="s">
        <v>69</v>
      </c>
      <c r="AC1584" t="s">
        <v>28579</v>
      </c>
      <c r="AD1584" t="s">
        <v>28580</v>
      </c>
      <c r="AE1584" t="s">
        <v>69</v>
      </c>
      <c r="AF1584" t="s">
        <v>69</v>
      </c>
      <c r="AG1584" t="s">
        <v>69</v>
      </c>
      <c r="AH1584" t="s">
        <v>69</v>
      </c>
      <c r="AI1584" t="s">
        <v>69</v>
      </c>
      <c r="AJ1584" t="s">
        <v>69</v>
      </c>
      <c r="AK1584" t="s">
        <v>69</v>
      </c>
      <c r="AL1584" t="s">
        <v>69</v>
      </c>
      <c r="AM1584" t="s">
        <v>69</v>
      </c>
      <c r="AN1584">
        <v>9</v>
      </c>
      <c r="AO1584">
        <v>2</v>
      </c>
      <c r="AP1584">
        <v>2</v>
      </c>
      <c r="AQ1584">
        <v>0</v>
      </c>
      <c r="AR1584">
        <v>11</v>
      </c>
      <c r="AS1584" t="s">
        <v>28581</v>
      </c>
      <c r="AT1584" t="s">
        <v>18488</v>
      </c>
      <c r="AU1584" t="s">
        <v>18489</v>
      </c>
      <c r="AV1584" t="s">
        <v>28582</v>
      </c>
      <c r="AW1584" t="s">
        <v>69</v>
      </c>
      <c r="AX1584" t="s">
        <v>69</v>
      </c>
      <c r="AY1584" t="s">
        <v>18492</v>
      </c>
      <c r="AZ1584" t="s">
        <v>18493</v>
      </c>
      <c r="BA1584" t="s">
        <v>94</v>
      </c>
      <c r="BB1584">
        <v>2009</v>
      </c>
      <c r="BC1584">
        <v>109</v>
      </c>
      <c r="BD1584">
        <v>3</v>
      </c>
      <c r="BE1584" t="s">
        <v>69</v>
      </c>
      <c r="BF1584" t="s">
        <v>69</v>
      </c>
      <c r="BG1584" t="s">
        <v>69</v>
      </c>
      <c r="BH1584" t="s">
        <v>69</v>
      </c>
      <c r="BI1584">
        <v>163</v>
      </c>
      <c r="BJ1584">
        <v>168</v>
      </c>
      <c r="BK1584" t="s">
        <v>69</v>
      </c>
      <c r="BL1584" t="s">
        <v>69</v>
      </c>
      <c r="BM1584" t="s">
        <v>69</v>
      </c>
      <c r="BN1584" t="s">
        <v>69</v>
      </c>
      <c r="BO1584" t="s">
        <v>69</v>
      </c>
      <c r="BP1584">
        <v>6</v>
      </c>
      <c r="BQ1584" t="s">
        <v>18495</v>
      </c>
      <c r="BR1584" t="s">
        <v>8548</v>
      </c>
      <c r="BS1584" t="s">
        <v>18495</v>
      </c>
      <c r="BT1584" t="s">
        <v>28583</v>
      </c>
      <c r="BU1584" t="s">
        <v>28584</v>
      </c>
      <c r="BV1584" t="s">
        <v>69</v>
      </c>
      <c r="BW1584" t="s">
        <v>69</v>
      </c>
      <c r="BX1584" t="s">
        <v>69</v>
      </c>
      <c r="BY1584" t="s">
        <v>69</v>
      </c>
      <c r="BZ1584" t="s">
        <v>8526</v>
      </c>
      <c r="CA1584" t="str">
        <f>HYPERLINK("https%3A%2F%2Fwww.webofscience.com%2Fwos%2Fwoscc%2Ffull-record%2FWOS:000269856000004","View Full Record in Web of Science")</f>
        <v>View Full Record in Web of Science</v>
      </c>
    </row>
    <row r="1585" spans="2:79" ht="12.5" x14ac:dyDescent="0.25">
      <c r="B1585" t="s">
        <v>8495</v>
      </c>
      <c r="D1585" s="7" t="s">
        <v>32933</v>
      </c>
      <c r="E1585" s="7"/>
      <c r="F1585" s="7"/>
      <c r="G1585" s="7"/>
      <c r="H1585" t="s">
        <v>67</v>
      </c>
      <c r="I1585" t="s">
        <v>4783</v>
      </c>
      <c r="J1585" t="s">
        <v>69</v>
      </c>
      <c r="K1585" t="s">
        <v>69</v>
      </c>
      <c r="L1585" t="s">
        <v>69</v>
      </c>
      <c r="M1585" t="s">
        <v>4784</v>
      </c>
      <c r="N1585" t="s">
        <v>69</v>
      </c>
      <c r="O1585" t="s">
        <v>69</v>
      </c>
      <c r="P1585" t="s">
        <v>4785</v>
      </c>
      <c r="Q1585" t="s">
        <v>3592</v>
      </c>
      <c r="R1585" t="s">
        <v>69</v>
      </c>
      <c r="S1585" t="s">
        <v>69</v>
      </c>
      <c r="T1585" t="s">
        <v>8505</v>
      </c>
      <c r="U1585" t="s">
        <v>8506</v>
      </c>
      <c r="V1585" t="s">
        <v>69</v>
      </c>
      <c r="W1585" t="s">
        <v>69</v>
      </c>
      <c r="X1585" t="s">
        <v>69</v>
      </c>
      <c r="Y1585" t="s">
        <v>69</v>
      </c>
      <c r="Z1585" t="s">
        <v>69</v>
      </c>
      <c r="AA1585" t="s">
        <v>18065</v>
      </c>
      <c r="AB1585" t="s">
        <v>18066</v>
      </c>
      <c r="AC1585" t="s">
        <v>4786</v>
      </c>
      <c r="AD1585" t="s">
        <v>18067</v>
      </c>
      <c r="AE1585" t="s">
        <v>69</v>
      </c>
      <c r="AF1585" t="s">
        <v>18068</v>
      </c>
      <c r="AG1585" t="s">
        <v>18069</v>
      </c>
      <c r="AH1585" t="s">
        <v>4787</v>
      </c>
      <c r="AI1585" t="s">
        <v>4788</v>
      </c>
      <c r="AJ1585" t="s">
        <v>69</v>
      </c>
      <c r="AK1585" t="s">
        <v>69</v>
      </c>
      <c r="AL1585" t="s">
        <v>69</v>
      </c>
      <c r="AM1585" t="s">
        <v>69</v>
      </c>
      <c r="AN1585">
        <v>105</v>
      </c>
      <c r="AO1585">
        <v>33</v>
      </c>
      <c r="AP1585">
        <v>33</v>
      </c>
      <c r="AQ1585">
        <v>5</v>
      </c>
      <c r="AR1585">
        <v>61</v>
      </c>
      <c r="AS1585" t="s">
        <v>8516</v>
      </c>
      <c r="AT1585" t="s">
        <v>8517</v>
      </c>
      <c r="AU1585" t="s">
        <v>8518</v>
      </c>
      <c r="AV1585" t="s">
        <v>3594</v>
      </c>
      <c r="AW1585" t="s">
        <v>3595</v>
      </c>
      <c r="AX1585" t="s">
        <v>69</v>
      </c>
      <c r="AY1585" t="s">
        <v>8519</v>
      </c>
      <c r="AZ1585" t="s">
        <v>8520</v>
      </c>
      <c r="BA1585" t="s">
        <v>75</v>
      </c>
      <c r="BB1585">
        <v>2018</v>
      </c>
      <c r="BC1585">
        <v>180</v>
      </c>
      <c r="BD1585" t="s">
        <v>69</v>
      </c>
      <c r="BE1585" t="s">
        <v>69</v>
      </c>
      <c r="BF1585" t="s">
        <v>69</v>
      </c>
      <c r="BG1585" t="s">
        <v>69</v>
      </c>
      <c r="BH1585" t="s">
        <v>69</v>
      </c>
      <c r="BI1585">
        <v>262</v>
      </c>
      <c r="BJ1585">
        <v>272</v>
      </c>
      <c r="BK1585" t="s">
        <v>69</v>
      </c>
      <c r="BL1585" t="s">
        <v>4789</v>
      </c>
      <c r="BM1585" t="str">
        <f>HYPERLINK("http://dx.doi.org/10.1016/j.landurbplan.2016.09.025","http://dx.doi.org/10.1016/j.landurbplan.2016.09.025")</f>
        <v>http://dx.doi.org/10.1016/j.landurbplan.2016.09.025</v>
      </c>
      <c r="BN1585" t="s">
        <v>69</v>
      </c>
      <c r="BO1585" t="s">
        <v>69</v>
      </c>
      <c r="BP1585">
        <v>11</v>
      </c>
      <c r="BQ1585" t="s">
        <v>8522</v>
      </c>
      <c r="BR1585" t="s">
        <v>8523</v>
      </c>
      <c r="BS1585" t="s">
        <v>8524</v>
      </c>
      <c r="BT1585" t="s">
        <v>18070</v>
      </c>
      <c r="BU1585" t="s">
        <v>4790</v>
      </c>
      <c r="BV1585" t="s">
        <v>69</v>
      </c>
      <c r="BW1585" t="s">
        <v>69</v>
      </c>
      <c r="BX1585" t="s">
        <v>69</v>
      </c>
      <c r="BY1585" t="s">
        <v>69</v>
      </c>
      <c r="BZ1585" t="s">
        <v>8526</v>
      </c>
      <c r="CA1585" t="str">
        <f>HYPERLINK("https%3A%2F%2Fwww.webofscience.com%2Fwos%2Fwoscc%2Ffull-record%2FWOS:000449896300028","View Full Record in Web of Science")</f>
        <v>View Full Record in Web of Science</v>
      </c>
    </row>
    <row r="1586" spans="2:79" ht="12.5" x14ac:dyDescent="0.25">
      <c r="B1586" t="s">
        <v>8495</v>
      </c>
      <c r="D1586" s="7" t="s">
        <v>32933</v>
      </c>
      <c r="E1586" s="7"/>
      <c r="F1586" s="7"/>
      <c r="G1586" s="7"/>
      <c r="H1586" t="s">
        <v>67</v>
      </c>
      <c r="I1586" t="s">
        <v>2674</v>
      </c>
      <c r="J1586" t="s">
        <v>69</v>
      </c>
      <c r="K1586" t="s">
        <v>69</v>
      </c>
      <c r="L1586" t="s">
        <v>69</v>
      </c>
      <c r="M1586" t="s">
        <v>2675</v>
      </c>
      <c r="N1586" t="s">
        <v>69</v>
      </c>
      <c r="O1586" t="s">
        <v>69</v>
      </c>
      <c r="P1586" t="s">
        <v>2676</v>
      </c>
      <c r="Q1586" t="s">
        <v>582</v>
      </c>
      <c r="R1586" t="s">
        <v>69</v>
      </c>
      <c r="S1586" t="s">
        <v>69</v>
      </c>
      <c r="T1586" t="s">
        <v>8505</v>
      </c>
      <c r="U1586" t="s">
        <v>8506</v>
      </c>
      <c r="V1586" t="s">
        <v>69</v>
      </c>
      <c r="W1586" t="s">
        <v>69</v>
      </c>
      <c r="X1586" t="s">
        <v>69</v>
      </c>
      <c r="Y1586" t="s">
        <v>69</v>
      </c>
      <c r="Z1586" t="s">
        <v>69</v>
      </c>
      <c r="AA1586" t="s">
        <v>21023</v>
      </c>
      <c r="AB1586" t="s">
        <v>21024</v>
      </c>
      <c r="AC1586" t="s">
        <v>2677</v>
      </c>
      <c r="AD1586" t="s">
        <v>21025</v>
      </c>
      <c r="AE1586" t="s">
        <v>69</v>
      </c>
      <c r="AF1586" t="s">
        <v>21026</v>
      </c>
      <c r="AG1586" t="s">
        <v>21027</v>
      </c>
      <c r="AH1586" t="s">
        <v>2678</v>
      </c>
      <c r="AI1586" t="s">
        <v>2679</v>
      </c>
      <c r="AJ1586" t="s">
        <v>21028</v>
      </c>
      <c r="AK1586" t="s">
        <v>21029</v>
      </c>
      <c r="AL1586" t="s">
        <v>21030</v>
      </c>
      <c r="AM1586" t="s">
        <v>69</v>
      </c>
      <c r="AN1586">
        <v>65</v>
      </c>
      <c r="AO1586">
        <v>49</v>
      </c>
      <c r="AP1586">
        <v>50</v>
      </c>
      <c r="AQ1586">
        <v>4</v>
      </c>
      <c r="AR1586">
        <v>52</v>
      </c>
      <c r="AS1586" t="s">
        <v>8692</v>
      </c>
      <c r="AT1586" t="s">
        <v>8693</v>
      </c>
      <c r="AU1586" t="s">
        <v>8694</v>
      </c>
      <c r="AV1586" t="s">
        <v>584</v>
      </c>
      <c r="AW1586" t="s">
        <v>585</v>
      </c>
      <c r="AX1586" t="s">
        <v>69</v>
      </c>
      <c r="AY1586" t="s">
        <v>8695</v>
      </c>
      <c r="AZ1586" t="s">
        <v>8696</v>
      </c>
      <c r="BA1586" t="s">
        <v>373</v>
      </c>
      <c r="BB1586">
        <v>2017</v>
      </c>
      <c r="BC1586">
        <v>62</v>
      </c>
      <c r="BD1586" t="s">
        <v>69</v>
      </c>
      <c r="BE1586" t="s">
        <v>69</v>
      </c>
      <c r="BF1586" t="s">
        <v>69</v>
      </c>
      <c r="BG1586" t="s">
        <v>69</v>
      </c>
      <c r="BH1586" t="s">
        <v>69</v>
      </c>
      <c r="BI1586">
        <v>122</v>
      </c>
      <c r="BJ1586">
        <v>134</v>
      </c>
      <c r="BK1586" t="s">
        <v>69</v>
      </c>
      <c r="BL1586" t="s">
        <v>2680</v>
      </c>
      <c r="BM1586" t="str">
        <f>HYPERLINK("http://dx.doi.org/10.1016/j.eiar.2016.06.008","http://dx.doi.org/10.1016/j.eiar.2016.06.008")</f>
        <v>http://dx.doi.org/10.1016/j.eiar.2016.06.008</v>
      </c>
      <c r="BN1586" t="s">
        <v>69</v>
      </c>
      <c r="BO1586" t="s">
        <v>69</v>
      </c>
      <c r="BP1586">
        <v>13</v>
      </c>
      <c r="BQ1586" t="s">
        <v>8660</v>
      </c>
      <c r="BR1586" t="s">
        <v>8661</v>
      </c>
      <c r="BS1586" t="s">
        <v>8662</v>
      </c>
      <c r="BT1586" t="s">
        <v>21031</v>
      </c>
      <c r="BU1586" t="s">
        <v>2681</v>
      </c>
      <c r="BV1586" t="s">
        <v>69</v>
      </c>
      <c r="BW1586" t="s">
        <v>69</v>
      </c>
      <c r="BX1586" t="s">
        <v>69</v>
      </c>
      <c r="BY1586" t="s">
        <v>69</v>
      </c>
      <c r="BZ1586" t="s">
        <v>8526</v>
      </c>
      <c r="CA1586" t="str">
        <f>HYPERLINK("https%3A%2F%2Fwww.webofscience.com%2Fwos%2Fwoscc%2Ffull-record%2FWOS:000390628900012","View Full Record in Web of Science")</f>
        <v>View Full Record in Web of Science</v>
      </c>
    </row>
    <row r="1587" spans="2:79" ht="12.5" x14ac:dyDescent="0.25">
      <c r="B1587" t="s">
        <v>8495</v>
      </c>
      <c r="D1587" s="7" t="s">
        <v>32933</v>
      </c>
      <c r="E1587" s="7"/>
      <c r="F1587" s="7"/>
      <c r="G1587" s="7"/>
      <c r="H1587" t="s">
        <v>67</v>
      </c>
      <c r="I1587" t="s">
        <v>1695</v>
      </c>
      <c r="J1587" t="s">
        <v>69</v>
      </c>
      <c r="K1587" t="s">
        <v>69</v>
      </c>
      <c r="L1587" t="s">
        <v>69</v>
      </c>
      <c r="M1587" t="s">
        <v>1695</v>
      </c>
      <c r="N1587" t="s">
        <v>69</v>
      </c>
      <c r="O1587" t="s">
        <v>69</v>
      </c>
      <c r="P1587" t="s">
        <v>1696</v>
      </c>
      <c r="Q1587" t="s">
        <v>1697</v>
      </c>
      <c r="R1587" t="s">
        <v>69</v>
      </c>
      <c r="S1587" t="s">
        <v>69</v>
      </c>
      <c r="T1587" t="s">
        <v>8505</v>
      </c>
      <c r="U1587" t="s">
        <v>8506</v>
      </c>
      <c r="V1587" t="s">
        <v>69</v>
      </c>
      <c r="W1587" t="s">
        <v>69</v>
      </c>
      <c r="X1587" t="s">
        <v>69</v>
      </c>
      <c r="Y1587" t="s">
        <v>69</v>
      </c>
      <c r="Z1587" t="s">
        <v>69</v>
      </c>
      <c r="AA1587" t="s">
        <v>69</v>
      </c>
      <c r="AB1587" t="s">
        <v>31484</v>
      </c>
      <c r="AC1587" t="s">
        <v>1698</v>
      </c>
      <c r="AD1587" t="s">
        <v>31485</v>
      </c>
      <c r="AE1587" t="s">
        <v>69</v>
      </c>
      <c r="AF1587" t="s">
        <v>31486</v>
      </c>
      <c r="AG1587" t="s">
        <v>31487</v>
      </c>
      <c r="AH1587" t="s">
        <v>1699</v>
      </c>
      <c r="AI1587" t="s">
        <v>31488</v>
      </c>
      <c r="AJ1587" t="s">
        <v>69</v>
      </c>
      <c r="AK1587" t="s">
        <v>69</v>
      </c>
      <c r="AL1587" t="s">
        <v>69</v>
      </c>
      <c r="AM1587" t="s">
        <v>69</v>
      </c>
      <c r="AN1587">
        <v>42</v>
      </c>
      <c r="AO1587">
        <v>51</v>
      </c>
      <c r="AP1587">
        <v>51</v>
      </c>
      <c r="AQ1587">
        <v>0</v>
      </c>
      <c r="AR1587">
        <v>7</v>
      </c>
      <c r="AS1587" t="s">
        <v>31489</v>
      </c>
      <c r="AT1587" t="s">
        <v>31490</v>
      </c>
      <c r="AU1587" t="s">
        <v>31491</v>
      </c>
      <c r="AV1587" t="s">
        <v>1700</v>
      </c>
      <c r="AW1587" t="s">
        <v>1701</v>
      </c>
      <c r="AX1587" t="s">
        <v>69</v>
      </c>
      <c r="AY1587" t="s">
        <v>31492</v>
      </c>
      <c r="AZ1587" t="s">
        <v>31493</v>
      </c>
      <c r="BA1587" t="s">
        <v>94</v>
      </c>
      <c r="BB1587">
        <v>2002</v>
      </c>
      <c r="BC1587">
        <v>96</v>
      </c>
      <c r="BD1587" t="s">
        <v>69</v>
      </c>
      <c r="BE1587" t="s">
        <v>69</v>
      </c>
      <c r="BF1587">
        <v>1</v>
      </c>
      <c r="BG1587" t="s">
        <v>69</v>
      </c>
      <c r="BH1587" t="s">
        <v>69</v>
      </c>
      <c r="BI1587">
        <v>41</v>
      </c>
      <c r="BJ1587">
        <v>58</v>
      </c>
      <c r="BK1587" t="s">
        <v>69</v>
      </c>
      <c r="BL1587" t="s">
        <v>1702</v>
      </c>
      <c r="BM1587" t="str">
        <f>HYPERLINK("http://dx.doi.org/10.1179/000349802125000646","http://dx.doi.org/10.1179/000349802125000646")</f>
        <v>http://dx.doi.org/10.1179/000349802125000646</v>
      </c>
      <c r="BN1587" t="s">
        <v>69</v>
      </c>
      <c r="BO1587" t="s">
        <v>69</v>
      </c>
      <c r="BP1587">
        <v>18</v>
      </c>
      <c r="BQ1587" t="s">
        <v>31494</v>
      </c>
      <c r="BR1587" t="s">
        <v>8548</v>
      </c>
      <c r="BS1587" t="s">
        <v>31494</v>
      </c>
      <c r="BT1587" t="s">
        <v>31495</v>
      </c>
      <c r="BU1587" t="s">
        <v>1703</v>
      </c>
      <c r="BV1587">
        <v>12081250</v>
      </c>
      <c r="BW1587" t="s">
        <v>69</v>
      </c>
      <c r="BX1587" t="s">
        <v>69</v>
      </c>
      <c r="BY1587" t="s">
        <v>69</v>
      </c>
      <c r="BZ1587" t="s">
        <v>8526</v>
      </c>
      <c r="CA1587" t="str">
        <f>HYPERLINK("https%3A%2F%2Fwww.webofscience.com%2Fwos%2Fwoscc%2Ffull-record%2FWOS:000175180800005","View Full Record in Web of Science")</f>
        <v>View Full Record in Web of Science</v>
      </c>
    </row>
    <row r="1588" spans="2:79" x14ac:dyDescent="0.3">
      <c r="B1588" t="s">
        <v>8495</v>
      </c>
      <c r="D1588" s="9" t="s">
        <v>33040</v>
      </c>
      <c r="E1588" s="9" t="s">
        <v>33128</v>
      </c>
      <c r="F1588" s="10" t="s">
        <v>8490</v>
      </c>
      <c r="G1588" s="9" t="s">
        <v>8490</v>
      </c>
      <c r="H1588" t="s">
        <v>67</v>
      </c>
      <c r="I1588" t="s">
        <v>20095</v>
      </c>
      <c r="J1588" t="s">
        <v>69</v>
      </c>
      <c r="K1588" t="s">
        <v>69</v>
      </c>
      <c r="L1588" t="s">
        <v>69</v>
      </c>
      <c r="M1588" t="s">
        <v>20096</v>
      </c>
      <c r="N1588" t="s">
        <v>69</v>
      </c>
      <c r="O1588" t="s">
        <v>69</v>
      </c>
      <c r="P1588" t="s">
        <v>20097</v>
      </c>
      <c r="Q1588" t="s">
        <v>2017</v>
      </c>
      <c r="R1588" t="s">
        <v>69</v>
      </c>
      <c r="S1588" t="s">
        <v>69</v>
      </c>
      <c r="T1588" t="s">
        <v>8505</v>
      </c>
      <c r="U1588" t="s">
        <v>8506</v>
      </c>
      <c r="V1588" t="s">
        <v>69</v>
      </c>
      <c r="W1588" t="s">
        <v>69</v>
      </c>
      <c r="X1588" t="s">
        <v>69</v>
      </c>
      <c r="Y1588" t="s">
        <v>69</v>
      </c>
      <c r="Z1588" t="s">
        <v>69</v>
      </c>
      <c r="AA1588" t="s">
        <v>20098</v>
      </c>
      <c r="AB1588" t="s">
        <v>20099</v>
      </c>
      <c r="AC1588" t="s">
        <v>20100</v>
      </c>
      <c r="AD1588" t="s">
        <v>20101</v>
      </c>
      <c r="AE1588" t="s">
        <v>69</v>
      </c>
      <c r="AF1588" t="s">
        <v>20102</v>
      </c>
      <c r="AG1588" t="s">
        <v>20103</v>
      </c>
      <c r="AH1588" t="s">
        <v>69</v>
      </c>
      <c r="AI1588" t="s">
        <v>69</v>
      </c>
      <c r="AJ1588" t="s">
        <v>20104</v>
      </c>
      <c r="AK1588" t="s">
        <v>20105</v>
      </c>
      <c r="AL1588" t="s">
        <v>20106</v>
      </c>
      <c r="AM1588" t="s">
        <v>69</v>
      </c>
      <c r="AN1588">
        <v>72</v>
      </c>
      <c r="AO1588">
        <v>30</v>
      </c>
      <c r="AP1588">
        <v>30</v>
      </c>
      <c r="AQ1588">
        <v>0</v>
      </c>
      <c r="AR1588">
        <v>23</v>
      </c>
      <c r="AS1588" t="s">
        <v>9554</v>
      </c>
      <c r="AT1588" t="s">
        <v>9555</v>
      </c>
      <c r="AU1588" t="s">
        <v>9556</v>
      </c>
      <c r="AV1588" t="s">
        <v>2020</v>
      </c>
      <c r="AW1588" t="s">
        <v>2021</v>
      </c>
      <c r="AX1588" t="s">
        <v>69</v>
      </c>
      <c r="AY1588" t="s">
        <v>15699</v>
      </c>
      <c r="AZ1588" t="s">
        <v>15700</v>
      </c>
      <c r="BA1588" t="s">
        <v>201</v>
      </c>
      <c r="BB1588">
        <v>2017</v>
      </c>
      <c r="BC1588">
        <v>49</v>
      </c>
      <c r="BD1588">
        <v>8</v>
      </c>
      <c r="BE1588" t="s">
        <v>69</v>
      </c>
      <c r="BF1588" t="s">
        <v>69</v>
      </c>
      <c r="BG1588" t="s">
        <v>69</v>
      </c>
      <c r="BH1588" t="s">
        <v>69</v>
      </c>
      <c r="BI1588">
        <v>1779</v>
      </c>
      <c r="BJ1588">
        <v>1796</v>
      </c>
      <c r="BK1588" t="s">
        <v>69</v>
      </c>
      <c r="BL1588" t="s">
        <v>20107</v>
      </c>
      <c r="BM1588" t="str">
        <f>HYPERLINK("http://dx.doi.org/10.1177/0308518X16686069","http://dx.doi.org/10.1177/0308518X16686069")</f>
        <v>http://dx.doi.org/10.1177/0308518X16686069</v>
      </c>
      <c r="BN1588" t="s">
        <v>69</v>
      </c>
      <c r="BO1588" t="s">
        <v>69</v>
      </c>
      <c r="BP1588">
        <v>18</v>
      </c>
      <c r="BQ1588" t="s">
        <v>15669</v>
      </c>
      <c r="BR1588" t="s">
        <v>8661</v>
      </c>
      <c r="BS1588" t="s">
        <v>15670</v>
      </c>
      <c r="BT1588" t="s">
        <v>20108</v>
      </c>
      <c r="BU1588" t="s">
        <v>20109</v>
      </c>
      <c r="BV1588" t="s">
        <v>69</v>
      </c>
      <c r="BW1588" t="s">
        <v>69</v>
      </c>
      <c r="BX1588" t="s">
        <v>69</v>
      </c>
      <c r="BY1588" t="s">
        <v>69</v>
      </c>
      <c r="BZ1588" t="s">
        <v>8526</v>
      </c>
      <c r="CA1588" t="str">
        <f>HYPERLINK("https%3A%2F%2Fwww.webofscience.com%2Fwos%2Fwoscc%2Ffull-record%2FWOS:000405876100006","View Full Record in Web of Science")</f>
        <v>View Full Record in Web of Science</v>
      </c>
    </row>
    <row r="1589" spans="2:79" ht="12.5" x14ac:dyDescent="0.25">
      <c r="B1589" t="s">
        <v>8495</v>
      </c>
      <c r="D1589" s="22" t="s">
        <v>32931</v>
      </c>
      <c r="E1589" s="7"/>
      <c r="F1589" s="7"/>
      <c r="G1589" s="7"/>
      <c r="H1589" t="s">
        <v>67</v>
      </c>
      <c r="I1589" t="s">
        <v>12817</v>
      </c>
      <c r="J1589" t="s">
        <v>69</v>
      </c>
      <c r="K1589" t="s">
        <v>69</v>
      </c>
      <c r="L1589" t="s">
        <v>69</v>
      </c>
      <c r="M1589" t="s">
        <v>12818</v>
      </c>
      <c r="N1589" t="s">
        <v>69</v>
      </c>
      <c r="O1589" t="s">
        <v>69</v>
      </c>
      <c r="P1589" t="s">
        <v>12819</v>
      </c>
      <c r="Q1589" t="s">
        <v>12820</v>
      </c>
      <c r="R1589" t="s">
        <v>69</v>
      </c>
      <c r="S1589" t="s">
        <v>69</v>
      </c>
      <c r="T1589" t="s">
        <v>8505</v>
      </c>
      <c r="U1589" t="s">
        <v>8506</v>
      </c>
      <c r="V1589" t="s">
        <v>69</v>
      </c>
      <c r="W1589" t="s">
        <v>69</v>
      </c>
      <c r="X1589" t="s">
        <v>69</v>
      </c>
      <c r="Y1589" t="s">
        <v>69</v>
      </c>
      <c r="Z1589" t="s">
        <v>69</v>
      </c>
      <c r="AA1589" t="s">
        <v>69</v>
      </c>
      <c r="AB1589" t="s">
        <v>69</v>
      </c>
      <c r="AC1589" t="s">
        <v>12821</v>
      </c>
      <c r="AD1589" t="s">
        <v>12822</v>
      </c>
      <c r="AE1589" t="s">
        <v>69</v>
      </c>
      <c r="AF1589" t="s">
        <v>12823</v>
      </c>
      <c r="AG1589" t="s">
        <v>12824</v>
      </c>
      <c r="AH1589" t="s">
        <v>12825</v>
      </c>
      <c r="AI1589" t="s">
        <v>12826</v>
      </c>
      <c r="AJ1589" t="s">
        <v>12827</v>
      </c>
      <c r="AK1589" t="s">
        <v>12828</v>
      </c>
      <c r="AL1589" t="s">
        <v>12829</v>
      </c>
      <c r="AM1589" t="s">
        <v>69</v>
      </c>
      <c r="AN1589">
        <v>40</v>
      </c>
      <c r="AO1589">
        <v>3</v>
      </c>
      <c r="AP1589">
        <v>3</v>
      </c>
      <c r="AQ1589">
        <v>2</v>
      </c>
      <c r="AR1589">
        <v>7</v>
      </c>
      <c r="AS1589" t="s">
        <v>12830</v>
      </c>
      <c r="AT1589" t="s">
        <v>8763</v>
      </c>
      <c r="AU1589" t="s">
        <v>12831</v>
      </c>
      <c r="AV1589" t="s">
        <v>12832</v>
      </c>
      <c r="AW1589" t="s">
        <v>12833</v>
      </c>
      <c r="AX1589" t="s">
        <v>69</v>
      </c>
      <c r="AY1589" t="s">
        <v>12820</v>
      </c>
      <c r="AZ1589" t="s">
        <v>12834</v>
      </c>
      <c r="BA1589" t="s">
        <v>12835</v>
      </c>
      <c r="BB1589">
        <v>2021</v>
      </c>
      <c r="BC1589">
        <v>2021</v>
      </c>
      <c r="BD1589" t="s">
        <v>69</v>
      </c>
      <c r="BE1589" t="s">
        <v>69</v>
      </c>
      <c r="BF1589" t="s">
        <v>69</v>
      </c>
      <c r="BG1589" t="s">
        <v>69</v>
      </c>
      <c r="BH1589" t="s">
        <v>69</v>
      </c>
      <c r="BI1589" t="s">
        <v>69</v>
      </c>
      <c r="BJ1589" t="s">
        <v>69</v>
      </c>
      <c r="BK1589">
        <v>5392170</v>
      </c>
      <c r="BL1589" t="s">
        <v>12836</v>
      </c>
      <c r="BM1589" t="str">
        <f>HYPERLINK("http://dx.doi.org/10.1155/2021/5392170","http://dx.doi.org/10.1155/2021/5392170")</f>
        <v>http://dx.doi.org/10.1155/2021/5392170</v>
      </c>
      <c r="BN1589" t="s">
        <v>69</v>
      </c>
      <c r="BO1589" t="s">
        <v>69</v>
      </c>
      <c r="BP1589">
        <v>17</v>
      </c>
      <c r="BQ1589" t="s">
        <v>12837</v>
      </c>
      <c r="BR1589" t="s">
        <v>8548</v>
      </c>
      <c r="BS1589" t="s">
        <v>12838</v>
      </c>
      <c r="BT1589" t="s">
        <v>12839</v>
      </c>
      <c r="BU1589" t="s">
        <v>12840</v>
      </c>
      <c r="BV1589" t="s">
        <v>69</v>
      </c>
      <c r="BW1589" t="s">
        <v>8931</v>
      </c>
      <c r="BX1589" t="s">
        <v>69</v>
      </c>
      <c r="BY1589" t="s">
        <v>69</v>
      </c>
      <c r="BZ1589" t="s">
        <v>8526</v>
      </c>
      <c r="CA1589" t="str">
        <f>HYPERLINK("https%3A%2F%2Fwww.webofscience.com%2Fwos%2Fwoscc%2Ffull-record%2FWOS:000629355300005","View Full Record in Web of Science")</f>
        <v>View Full Record in Web of Science</v>
      </c>
    </row>
    <row r="1590" spans="2:79" ht="12.5" x14ac:dyDescent="0.25">
      <c r="B1590" t="s">
        <v>8495</v>
      </c>
      <c r="D1590" s="22" t="s">
        <v>32931</v>
      </c>
      <c r="E1590" s="7"/>
      <c r="F1590" s="7"/>
      <c r="G1590" s="7"/>
      <c r="H1590" t="s">
        <v>67</v>
      </c>
      <c r="I1590" t="s">
        <v>26630</v>
      </c>
      <c r="J1590" t="s">
        <v>69</v>
      </c>
      <c r="K1590" t="s">
        <v>69</v>
      </c>
      <c r="L1590" t="s">
        <v>69</v>
      </c>
      <c r="M1590" t="s">
        <v>26631</v>
      </c>
      <c r="N1590" t="s">
        <v>69</v>
      </c>
      <c r="O1590" t="s">
        <v>69</v>
      </c>
      <c r="P1590" t="s">
        <v>26632</v>
      </c>
      <c r="Q1590" t="s">
        <v>26633</v>
      </c>
      <c r="R1590" t="s">
        <v>69</v>
      </c>
      <c r="S1590" t="s">
        <v>69</v>
      </c>
      <c r="T1590" t="s">
        <v>19054</v>
      </c>
      <c r="U1590" t="s">
        <v>8506</v>
      </c>
      <c r="V1590" t="s">
        <v>69</v>
      </c>
      <c r="W1590" t="s">
        <v>69</v>
      </c>
      <c r="X1590" t="s">
        <v>69</v>
      </c>
      <c r="Y1590" t="s">
        <v>69</v>
      </c>
      <c r="Z1590" t="s">
        <v>69</v>
      </c>
      <c r="AA1590" t="s">
        <v>26634</v>
      </c>
      <c r="AB1590" t="s">
        <v>69</v>
      </c>
      <c r="AC1590" t="s">
        <v>26635</v>
      </c>
      <c r="AD1590" t="s">
        <v>26636</v>
      </c>
      <c r="AE1590" t="s">
        <v>69</v>
      </c>
      <c r="AF1590" t="s">
        <v>26637</v>
      </c>
      <c r="AG1590" t="s">
        <v>26638</v>
      </c>
      <c r="AH1590" t="s">
        <v>69</v>
      </c>
      <c r="AI1590" t="s">
        <v>69</v>
      </c>
      <c r="AJ1590" t="s">
        <v>69</v>
      </c>
      <c r="AK1590" t="s">
        <v>69</v>
      </c>
      <c r="AL1590" t="s">
        <v>69</v>
      </c>
      <c r="AM1590" t="s">
        <v>69</v>
      </c>
      <c r="AN1590">
        <v>7</v>
      </c>
      <c r="AO1590">
        <v>0</v>
      </c>
      <c r="AP1590">
        <v>0</v>
      </c>
      <c r="AQ1590">
        <v>0</v>
      </c>
      <c r="AR1590">
        <v>0</v>
      </c>
      <c r="AS1590" t="s">
        <v>26639</v>
      </c>
      <c r="AT1590" t="s">
        <v>26640</v>
      </c>
      <c r="AU1590" t="s">
        <v>26641</v>
      </c>
      <c r="AV1590" t="s">
        <v>26642</v>
      </c>
      <c r="AW1590" t="s">
        <v>69</v>
      </c>
      <c r="AX1590" t="s">
        <v>69</v>
      </c>
      <c r="AY1590" t="s">
        <v>26643</v>
      </c>
      <c r="AZ1590" t="s">
        <v>26644</v>
      </c>
      <c r="BA1590" t="s">
        <v>69</v>
      </c>
      <c r="BB1590">
        <v>2012</v>
      </c>
      <c r="BC1590">
        <v>4</v>
      </c>
      <c r="BD1590" t="s">
        <v>69</v>
      </c>
      <c r="BE1590" t="s">
        <v>69</v>
      </c>
      <c r="BF1590" t="s">
        <v>69</v>
      </c>
      <c r="BG1590" t="s">
        <v>69</v>
      </c>
      <c r="BH1590" t="s">
        <v>69</v>
      </c>
      <c r="BI1590">
        <v>160</v>
      </c>
      <c r="BJ1590">
        <v>170</v>
      </c>
      <c r="BK1590" t="s">
        <v>69</v>
      </c>
      <c r="BL1590" t="s">
        <v>69</v>
      </c>
      <c r="BM1590" t="s">
        <v>69</v>
      </c>
      <c r="BN1590" t="s">
        <v>69</v>
      </c>
      <c r="BO1590" t="s">
        <v>69</v>
      </c>
      <c r="BP1590">
        <v>11</v>
      </c>
      <c r="BQ1590" t="s">
        <v>8449</v>
      </c>
      <c r="BR1590" t="s">
        <v>8573</v>
      </c>
      <c r="BS1590" t="s">
        <v>8449</v>
      </c>
      <c r="BT1590" t="s">
        <v>26645</v>
      </c>
      <c r="BU1590" t="s">
        <v>26646</v>
      </c>
      <c r="BV1590" t="s">
        <v>69</v>
      </c>
      <c r="BW1590" t="s">
        <v>69</v>
      </c>
      <c r="BX1590" t="s">
        <v>69</v>
      </c>
      <c r="BY1590" t="s">
        <v>69</v>
      </c>
      <c r="BZ1590" t="s">
        <v>8526</v>
      </c>
      <c r="CA1590" t="str">
        <f>HYPERLINK("https%3A%2F%2Fwww.webofscience.com%2Fwos%2Fwoscc%2Ffull-record%2FWOS:000421399900021","View Full Record in Web of Science")</f>
        <v>View Full Record in Web of Science</v>
      </c>
    </row>
    <row r="1591" spans="2:79" x14ac:dyDescent="0.3">
      <c r="B1591" t="s">
        <v>8495</v>
      </c>
      <c r="D1591" s="9" t="s">
        <v>32954</v>
      </c>
      <c r="E1591" s="9" t="s">
        <v>33070</v>
      </c>
      <c r="F1591" s="10" t="s">
        <v>8490</v>
      </c>
      <c r="G1591" s="9" t="s">
        <v>8490</v>
      </c>
      <c r="H1591" t="s">
        <v>67</v>
      </c>
      <c r="I1591" t="s">
        <v>11030</v>
      </c>
      <c r="J1591" t="s">
        <v>69</v>
      </c>
      <c r="K1591" t="s">
        <v>69</v>
      </c>
      <c r="L1591" t="s">
        <v>69</v>
      </c>
      <c r="M1591" t="s">
        <v>11031</v>
      </c>
      <c r="N1591" t="s">
        <v>69</v>
      </c>
      <c r="O1591" t="s">
        <v>69</v>
      </c>
      <c r="P1591" t="s">
        <v>11032</v>
      </c>
      <c r="Q1591" t="s">
        <v>1360</v>
      </c>
      <c r="R1591" t="s">
        <v>69</v>
      </c>
      <c r="S1591" t="s">
        <v>69</v>
      </c>
      <c r="T1591" t="s">
        <v>8505</v>
      </c>
      <c r="U1591" t="s">
        <v>8506</v>
      </c>
      <c r="V1591" t="s">
        <v>69</v>
      </c>
      <c r="W1591" t="s">
        <v>69</v>
      </c>
      <c r="X1591" t="s">
        <v>69</v>
      </c>
      <c r="Y1591" t="s">
        <v>69</v>
      </c>
      <c r="Z1591" t="s">
        <v>69</v>
      </c>
      <c r="AA1591" t="s">
        <v>11033</v>
      </c>
      <c r="AB1591" t="s">
        <v>11034</v>
      </c>
      <c r="AC1591" t="s">
        <v>11035</v>
      </c>
      <c r="AD1591" t="s">
        <v>11036</v>
      </c>
      <c r="AE1591" t="s">
        <v>69</v>
      </c>
      <c r="AF1591" t="s">
        <v>11037</v>
      </c>
      <c r="AG1591" t="s">
        <v>11038</v>
      </c>
      <c r="AH1591" t="s">
        <v>11039</v>
      </c>
      <c r="AI1591" t="s">
        <v>11040</v>
      </c>
      <c r="AJ1591" t="s">
        <v>11041</v>
      </c>
      <c r="AK1591" t="s">
        <v>11041</v>
      </c>
      <c r="AL1591" t="s">
        <v>11042</v>
      </c>
      <c r="AM1591" t="s">
        <v>69</v>
      </c>
      <c r="AN1591">
        <v>68</v>
      </c>
      <c r="AO1591">
        <v>1</v>
      </c>
      <c r="AP1591">
        <v>1</v>
      </c>
      <c r="AQ1591">
        <v>7</v>
      </c>
      <c r="AR1591">
        <v>10</v>
      </c>
      <c r="AS1591" t="s">
        <v>8636</v>
      </c>
      <c r="AT1591" t="s">
        <v>8637</v>
      </c>
      <c r="AU1591" t="s">
        <v>8638</v>
      </c>
      <c r="AV1591" t="s">
        <v>1364</v>
      </c>
      <c r="AW1591" t="s">
        <v>1365</v>
      </c>
      <c r="AX1591" t="s">
        <v>69</v>
      </c>
      <c r="AY1591" t="s">
        <v>9698</v>
      </c>
      <c r="AZ1591" t="s">
        <v>9699</v>
      </c>
      <c r="BA1591" t="s">
        <v>373</v>
      </c>
      <c r="BB1591">
        <v>2022</v>
      </c>
      <c r="BC1591">
        <v>127</v>
      </c>
      <c r="BD1591" t="s">
        <v>69</v>
      </c>
      <c r="BE1591" t="s">
        <v>69</v>
      </c>
      <c r="BF1591" t="s">
        <v>69</v>
      </c>
      <c r="BG1591" t="s">
        <v>69</v>
      </c>
      <c r="BH1591" t="s">
        <v>69</v>
      </c>
      <c r="BI1591">
        <v>1</v>
      </c>
      <c r="BJ1591">
        <v>11</v>
      </c>
      <c r="BK1591" t="s">
        <v>69</v>
      </c>
      <c r="BL1591" t="s">
        <v>11043</v>
      </c>
      <c r="BM1591" t="str">
        <f>HYPERLINK("http://dx.doi.org/10.1016/j.envsci.2021.10.012","http://dx.doi.org/10.1016/j.envsci.2021.10.012")</f>
        <v>http://dx.doi.org/10.1016/j.envsci.2021.10.012</v>
      </c>
      <c r="BN1591" t="s">
        <v>69</v>
      </c>
      <c r="BO1591" t="s">
        <v>10991</v>
      </c>
      <c r="BP1591">
        <v>11</v>
      </c>
      <c r="BQ1591" t="s">
        <v>8717</v>
      </c>
      <c r="BR1591" t="s">
        <v>8548</v>
      </c>
      <c r="BS1591" t="s">
        <v>8662</v>
      </c>
      <c r="BT1591" t="s">
        <v>11044</v>
      </c>
      <c r="BU1591" t="s">
        <v>11045</v>
      </c>
      <c r="BV1591" t="s">
        <v>69</v>
      </c>
      <c r="BW1591" t="s">
        <v>9374</v>
      </c>
      <c r="BX1591" t="s">
        <v>69</v>
      </c>
      <c r="BY1591" t="s">
        <v>69</v>
      </c>
      <c r="BZ1591" t="s">
        <v>8526</v>
      </c>
      <c r="CA1591" t="str">
        <f>HYPERLINK("https%3A%2F%2Fwww.webofscience.com%2Fwos%2Fwoscc%2Ffull-record%2FWOS:000714979100001","View Full Record in Web of Science")</f>
        <v>View Full Record in Web of Science</v>
      </c>
    </row>
    <row r="1592" spans="2:79" ht="12.5" x14ac:dyDescent="0.25">
      <c r="B1592" t="s">
        <v>8495</v>
      </c>
      <c r="D1592" s="22" t="s">
        <v>32931</v>
      </c>
      <c r="E1592" s="7"/>
      <c r="F1592" s="7"/>
      <c r="G1592" s="7"/>
      <c r="H1592" t="s">
        <v>67</v>
      </c>
      <c r="I1592" t="s">
        <v>14064</v>
      </c>
      <c r="J1592" t="s">
        <v>69</v>
      </c>
      <c r="K1592" t="s">
        <v>69</v>
      </c>
      <c r="L1592" t="s">
        <v>69</v>
      </c>
      <c r="M1592" t="s">
        <v>14065</v>
      </c>
      <c r="N1592" t="s">
        <v>69</v>
      </c>
      <c r="O1592" t="s">
        <v>69</v>
      </c>
      <c r="P1592" t="s">
        <v>14066</v>
      </c>
      <c r="Q1592" t="s">
        <v>3199</v>
      </c>
      <c r="R1592" t="s">
        <v>69</v>
      </c>
      <c r="S1592" t="s">
        <v>69</v>
      </c>
      <c r="T1592" t="s">
        <v>8505</v>
      </c>
      <c r="U1592" t="s">
        <v>8506</v>
      </c>
      <c r="V1592" t="s">
        <v>69</v>
      </c>
      <c r="W1592" t="s">
        <v>69</v>
      </c>
      <c r="X1592" t="s">
        <v>69</v>
      </c>
      <c r="Y1592" t="s">
        <v>69</v>
      </c>
      <c r="Z1592" t="s">
        <v>69</v>
      </c>
      <c r="AA1592" t="s">
        <v>14067</v>
      </c>
      <c r="AB1592" t="s">
        <v>14068</v>
      </c>
      <c r="AC1592" t="s">
        <v>14069</v>
      </c>
      <c r="AD1592" t="s">
        <v>14070</v>
      </c>
      <c r="AE1592" t="s">
        <v>69</v>
      </c>
      <c r="AF1592" t="s">
        <v>14071</v>
      </c>
      <c r="AG1592" t="s">
        <v>14072</v>
      </c>
      <c r="AH1592" t="s">
        <v>14073</v>
      </c>
      <c r="AI1592" t="s">
        <v>14074</v>
      </c>
      <c r="AJ1592" t="s">
        <v>14075</v>
      </c>
      <c r="AK1592" t="s">
        <v>14076</v>
      </c>
      <c r="AL1592" t="s">
        <v>14077</v>
      </c>
      <c r="AM1592" t="s">
        <v>69</v>
      </c>
      <c r="AN1592">
        <v>79</v>
      </c>
      <c r="AO1592">
        <v>2</v>
      </c>
      <c r="AP1592">
        <v>2</v>
      </c>
      <c r="AQ1592">
        <v>4</v>
      </c>
      <c r="AR1592">
        <v>15</v>
      </c>
      <c r="AS1592" t="s">
        <v>8636</v>
      </c>
      <c r="AT1592" t="s">
        <v>8637</v>
      </c>
      <c r="AU1592" t="s">
        <v>8638</v>
      </c>
      <c r="AV1592" t="s">
        <v>3201</v>
      </c>
      <c r="AW1592" t="s">
        <v>3202</v>
      </c>
      <c r="AX1592" t="s">
        <v>69</v>
      </c>
      <c r="AY1592" t="s">
        <v>14078</v>
      </c>
      <c r="AZ1592" t="s">
        <v>14079</v>
      </c>
      <c r="BA1592" t="s">
        <v>274</v>
      </c>
      <c r="BB1592">
        <v>2020</v>
      </c>
      <c r="BC1592">
        <v>83</v>
      </c>
      <c r="BD1592" t="s">
        <v>69</v>
      </c>
      <c r="BE1592" t="s">
        <v>69</v>
      </c>
      <c r="BF1592" t="s">
        <v>69</v>
      </c>
      <c r="BG1592" t="s">
        <v>69</v>
      </c>
      <c r="BH1592" t="s">
        <v>69</v>
      </c>
      <c r="BI1592" t="s">
        <v>69</v>
      </c>
      <c r="BJ1592" t="s">
        <v>69</v>
      </c>
      <c r="BK1592">
        <v>102272</v>
      </c>
      <c r="BL1592" t="s">
        <v>14080</v>
      </c>
      <c r="BM1592" t="str">
        <f>HYPERLINK("http://dx.doi.org/10.1016/j.polgeo.2020.102272","http://dx.doi.org/10.1016/j.polgeo.2020.102272")</f>
        <v>http://dx.doi.org/10.1016/j.polgeo.2020.102272</v>
      </c>
      <c r="BN1592" t="s">
        <v>69</v>
      </c>
      <c r="BO1592" t="s">
        <v>69</v>
      </c>
      <c r="BP1592">
        <v>12</v>
      </c>
      <c r="BQ1592" t="s">
        <v>14081</v>
      </c>
      <c r="BR1592" t="s">
        <v>8661</v>
      </c>
      <c r="BS1592" t="s">
        <v>14082</v>
      </c>
      <c r="BT1592" t="s">
        <v>14083</v>
      </c>
      <c r="BU1592" t="s">
        <v>14084</v>
      </c>
      <c r="BV1592" t="s">
        <v>69</v>
      </c>
      <c r="BW1592" t="s">
        <v>69</v>
      </c>
      <c r="BX1592" t="s">
        <v>69</v>
      </c>
      <c r="BY1592" t="s">
        <v>69</v>
      </c>
      <c r="BZ1592" t="s">
        <v>8526</v>
      </c>
      <c r="CA1592" t="str">
        <f>HYPERLINK("https%3A%2F%2Fwww.webofscience.com%2Fwos%2Fwoscc%2Ffull-record%2FWOS:000602373100017","View Full Record in Web of Science")</f>
        <v>View Full Record in Web of Science</v>
      </c>
    </row>
    <row r="1593" spans="2:79" ht="12.5" x14ac:dyDescent="0.25">
      <c r="B1593" t="s">
        <v>8495</v>
      </c>
      <c r="D1593" s="7" t="s">
        <v>32933</v>
      </c>
      <c r="E1593" s="7"/>
      <c r="F1593" s="7"/>
      <c r="G1593" s="7"/>
      <c r="H1593" t="s">
        <v>67</v>
      </c>
      <c r="I1593" t="s">
        <v>1473</v>
      </c>
      <c r="J1593" t="s">
        <v>69</v>
      </c>
      <c r="K1593" t="s">
        <v>69</v>
      </c>
      <c r="L1593" t="s">
        <v>69</v>
      </c>
      <c r="M1593" t="s">
        <v>1474</v>
      </c>
      <c r="N1593" t="s">
        <v>69</v>
      </c>
      <c r="O1593" t="s">
        <v>69</v>
      </c>
      <c r="P1593" t="s">
        <v>1475</v>
      </c>
      <c r="Q1593" t="s">
        <v>929</v>
      </c>
      <c r="R1593" t="s">
        <v>69</v>
      </c>
      <c r="S1593" t="s">
        <v>69</v>
      </c>
      <c r="T1593" t="s">
        <v>8505</v>
      </c>
      <c r="U1593" t="s">
        <v>8506</v>
      </c>
      <c r="V1593" t="s">
        <v>69</v>
      </c>
      <c r="W1593" t="s">
        <v>69</v>
      </c>
      <c r="X1593" t="s">
        <v>69</v>
      </c>
      <c r="Y1593" t="s">
        <v>69</v>
      </c>
      <c r="Z1593" t="s">
        <v>69</v>
      </c>
      <c r="AA1593" t="s">
        <v>26439</v>
      </c>
      <c r="AB1593" t="s">
        <v>69</v>
      </c>
      <c r="AC1593" t="s">
        <v>1476</v>
      </c>
      <c r="AD1593" t="s">
        <v>26440</v>
      </c>
      <c r="AE1593" t="s">
        <v>69</v>
      </c>
      <c r="AF1593" t="s">
        <v>26441</v>
      </c>
      <c r="AG1593" t="s">
        <v>26442</v>
      </c>
      <c r="AH1593" t="s">
        <v>18146</v>
      </c>
      <c r="AI1593" t="s">
        <v>18147</v>
      </c>
      <c r="AJ1593" t="s">
        <v>26443</v>
      </c>
      <c r="AK1593" t="s">
        <v>26444</v>
      </c>
      <c r="AL1593" t="s">
        <v>26445</v>
      </c>
      <c r="AM1593" t="s">
        <v>69</v>
      </c>
      <c r="AN1593">
        <v>42</v>
      </c>
      <c r="AO1593">
        <v>30</v>
      </c>
      <c r="AP1593">
        <v>35</v>
      </c>
      <c r="AQ1593">
        <v>0</v>
      </c>
      <c r="AR1593">
        <v>0</v>
      </c>
      <c r="AS1593" t="s">
        <v>8865</v>
      </c>
      <c r="AT1593" t="s">
        <v>8612</v>
      </c>
      <c r="AU1593" t="s">
        <v>8866</v>
      </c>
      <c r="AV1593" t="s">
        <v>931</v>
      </c>
      <c r="AW1593" t="s">
        <v>932</v>
      </c>
      <c r="AX1593" t="s">
        <v>69</v>
      </c>
      <c r="AY1593" t="s">
        <v>15975</v>
      </c>
      <c r="AZ1593" t="s">
        <v>15976</v>
      </c>
      <c r="BA1593" t="s">
        <v>69</v>
      </c>
      <c r="BB1593">
        <v>2012</v>
      </c>
      <c r="BC1593">
        <v>30</v>
      </c>
      <c r="BD1593">
        <v>4</v>
      </c>
      <c r="BE1593" t="s">
        <v>69</v>
      </c>
      <c r="BF1593" t="s">
        <v>69</v>
      </c>
      <c r="BG1593" t="s">
        <v>69</v>
      </c>
      <c r="BH1593" t="s">
        <v>69</v>
      </c>
      <c r="BI1593">
        <v>217</v>
      </c>
      <c r="BJ1593">
        <v>228</v>
      </c>
      <c r="BK1593" t="s">
        <v>69</v>
      </c>
      <c r="BL1593" t="s">
        <v>1477</v>
      </c>
      <c r="BM1593" t="str">
        <f>HYPERLINK("http://dx.doi.org/10.1080/14615517.2012.746828","http://dx.doi.org/10.1080/14615517.2012.746828")</f>
        <v>http://dx.doi.org/10.1080/14615517.2012.746828</v>
      </c>
      <c r="BN1593" t="s">
        <v>69</v>
      </c>
      <c r="BO1593" t="s">
        <v>69</v>
      </c>
      <c r="BP1593">
        <v>12</v>
      </c>
      <c r="BQ1593" t="s">
        <v>8660</v>
      </c>
      <c r="BR1593" t="s">
        <v>8661</v>
      </c>
      <c r="BS1593" t="s">
        <v>8662</v>
      </c>
      <c r="BT1593" t="s">
        <v>26446</v>
      </c>
      <c r="BU1593" t="s">
        <v>1478</v>
      </c>
      <c r="BV1593" t="s">
        <v>69</v>
      </c>
      <c r="BW1593" t="s">
        <v>9374</v>
      </c>
      <c r="BX1593" t="s">
        <v>69</v>
      </c>
      <c r="BY1593" t="s">
        <v>69</v>
      </c>
      <c r="BZ1593" t="s">
        <v>8526</v>
      </c>
      <c r="CA1593" t="str">
        <f>HYPERLINK("https%3A%2F%2Fwww.webofscience.com%2Fwos%2Fwoscc%2Ffull-record%2FWOS:000495582100001","View Full Record in Web of Science")</f>
        <v>View Full Record in Web of Science</v>
      </c>
    </row>
    <row r="1594" spans="2:79" ht="12.5" x14ac:dyDescent="0.25">
      <c r="B1594" t="s">
        <v>8495</v>
      </c>
      <c r="D1594" s="22" t="s">
        <v>32931</v>
      </c>
      <c r="E1594" s="7"/>
      <c r="F1594" s="7"/>
      <c r="G1594" s="7"/>
      <c r="H1594" t="s">
        <v>67</v>
      </c>
      <c r="I1594" t="s">
        <v>28325</v>
      </c>
      <c r="J1594" t="s">
        <v>69</v>
      </c>
      <c r="K1594" t="s">
        <v>69</v>
      </c>
      <c r="L1594" t="s">
        <v>69</v>
      </c>
      <c r="M1594" t="s">
        <v>28326</v>
      </c>
      <c r="N1594" t="s">
        <v>69</v>
      </c>
      <c r="O1594" t="s">
        <v>69</v>
      </c>
      <c r="P1594" t="s">
        <v>28327</v>
      </c>
      <c r="Q1594" t="s">
        <v>28328</v>
      </c>
      <c r="R1594" t="s">
        <v>69</v>
      </c>
      <c r="S1594" t="s">
        <v>69</v>
      </c>
      <c r="T1594" t="s">
        <v>8505</v>
      </c>
      <c r="U1594" t="s">
        <v>8506</v>
      </c>
      <c r="V1594" t="s">
        <v>69</v>
      </c>
      <c r="W1594" t="s">
        <v>69</v>
      </c>
      <c r="X1594" t="s">
        <v>69</v>
      </c>
      <c r="Y1594" t="s">
        <v>69</v>
      </c>
      <c r="Z1594" t="s">
        <v>69</v>
      </c>
      <c r="AA1594" t="s">
        <v>28329</v>
      </c>
      <c r="AB1594" t="s">
        <v>28330</v>
      </c>
      <c r="AC1594" t="s">
        <v>28331</v>
      </c>
      <c r="AD1594" t="s">
        <v>28332</v>
      </c>
      <c r="AE1594" t="s">
        <v>69</v>
      </c>
      <c r="AF1594" t="s">
        <v>28333</v>
      </c>
      <c r="AG1594" t="s">
        <v>28334</v>
      </c>
      <c r="AH1594" t="s">
        <v>28335</v>
      </c>
      <c r="AI1594" t="s">
        <v>28336</v>
      </c>
      <c r="AJ1594" t="s">
        <v>69</v>
      </c>
      <c r="AK1594" t="s">
        <v>69</v>
      </c>
      <c r="AL1594" t="s">
        <v>69</v>
      </c>
      <c r="AM1594" t="s">
        <v>69</v>
      </c>
      <c r="AN1594">
        <v>69</v>
      </c>
      <c r="AO1594">
        <v>30</v>
      </c>
      <c r="AP1594">
        <v>30</v>
      </c>
      <c r="AQ1594">
        <v>1</v>
      </c>
      <c r="AR1594">
        <v>18</v>
      </c>
      <c r="AS1594" t="s">
        <v>9554</v>
      </c>
      <c r="AT1594" t="s">
        <v>9555</v>
      </c>
      <c r="AU1594" t="s">
        <v>9556</v>
      </c>
      <c r="AV1594" t="s">
        <v>28337</v>
      </c>
      <c r="AW1594" t="s">
        <v>69</v>
      </c>
      <c r="AX1594" t="s">
        <v>69</v>
      </c>
      <c r="AY1594" t="s">
        <v>28338</v>
      </c>
      <c r="AZ1594" t="s">
        <v>28339</v>
      </c>
      <c r="BA1594" t="s">
        <v>75</v>
      </c>
      <c r="BB1594">
        <v>2009</v>
      </c>
      <c r="BC1594">
        <v>46</v>
      </c>
      <c r="BD1594">
        <v>4</v>
      </c>
      <c r="BE1594" t="s">
        <v>69</v>
      </c>
      <c r="BF1594" t="s">
        <v>69</v>
      </c>
      <c r="BG1594" t="s">
        <v>69</v>
      </c>
      <c r="BH1594" t="s">
        <v>69</v>
      </c>
      <c r="BI1594">
        <v>1034</v>
      </c>
      <c r="BJ1594">
        <v>1059</v>
      </c>
      <c r="BK1594" t="s">
        <v>69</v>
      </c>
      <c r="BL1594" t="s">
        <v>28340</v>
      </c>
      <c r="BM1594" t="str">
        <f>HYPERLINK("http://dx.doi.org/10.3102/0002831209334843","http://dx.doi.org/10.3102/0002831209334843")</f>
        <v>http://dx.doi.org/10.3102/0002831209334843</v>
      </c>
      <c r="BN1594" t="s">
        <v>69</v>
      </c>
      <c r="BO1594" t="s">
        <v>69</v>
      </c>
      <c r="BP1594">
        <v>26</v>
      </c>
      <c r="BQ1594" t="s">
        <v>9290</v>
      </c>
      <c r="BR1594" t="s">
        <v>8661</v>
      </c>
      <c r="BS1594" t="s">
        <v>9290</v>
      </c>
      <c r="BT1594" t="s">
        <v>28341</v>
      </c>
      <c r="BU1594" t="s">
        <v>28342</v>
      </c>
      <c r="BV1594" t="s">
        <v>69</v>
      </c>
      <c r="BW1594" t="s">
        <v>69</v>
      </c>
      <c r="BX1594" t="s">
        <v>69</v>
      </c>
      <c r="BY1594" t="s">
        <v>69</v>
      </c>
      <c r="BZ1594" t="s">
        <v>8526</v>
      </c>
      <c r="CA1594" t="str">
        <f>HYPERLINK("https%3A%2F%2Fwww.webofscience.com%2Fwos%2Fwoscc%2Ffull-record%2FWOS:000271964600006","View Full Record in Web of Science")</f>
        <v>View Full Record in Web of Science</v>
      </c>
    </row>
    <row r="1595" spans="2:79" ht="12.5" x14ac:dyDescent="0.25">
      <c r="B1595" t="s">
        <v>8495</v>
      </c>
      <c r="D1595" s="7" t="s">
        <v>32933</v>
      </c>
      <c r="E1595" s="7"/>
      <c r="F1595" s="7"/>
      <c r="G1595" s="7"/>
      <c r="H1595" t="s">
        <v>67</v>
      </c>
      <c r="I1595" t="s">
        <v>4034</v>
      </c>
      <c r="J1595" t="s">
        <v>69</v>
      </c>
      <c r="K1595" t="s">
        <v>69</v>
      </c>
      <c r="L1595" t="s">
        <v>69</v>
      </c>
      <c r="M1595" t="s">
        <v>4034</v>
      </c>
      <c r="N1595" t="s">
        <v>69</v>
      </c>
      <c r="O1595" t="s">
        <v>69</v>
      </c>
      <c r="P1595" t="s">
        <v>4035</v>
      </c>
      <c r="Q1595" t="s">
        <v>3658</v>
      </c>
      <c r="R1595" t="s">
        <v>69</v>
      </c>
      <c r="S1595" t="s">
        <v>69</v>
      </c>
      <c r="T1595" t="s">
        <v>8505</v>
      </c>
      <c r="U1595" t="s">
        <v>8506</v>
      </c>
      <c r="V1595" t="s">
        <v>69</v>
      </c>
      <c r="W1595" t="s">
        <v>69</v>
      </c>
      <c r="X1595" t="s">
        <v>69</v>
      </c>
      <c r="Y1595" t="s">
        <v>69</v>
      </c>
      <c r="Z1595" t="s">
        <v>69</v>
      </c>
      <c r="AA1595" t="s">
        <v>69</v>
      </c>
      <c r="AB1595" t="s">
        <v>31500</v>
      </c>
      <c r="AC1595" t="s">
        <v>4036</v>
      </c>
      <c r="AD1595" t="s">
        <v>31501</v>
      </c>
      <c r="AE1595" t="s">
        <v>69</v>
      </c>
      <c r="AF1595" t="s">
        <v>31502</v>
      </c>
      <c r="AG1595" t="s">
        <v>31503</v>
      </c>
      <c r="AH1595" t="s">
        <v>69</v>
      </c>
      <c r="AI1595" t="s">
        <v>69</v>
      </c>
      <c r="AJ1595" t="s">
        <v>69</v>
      </c>
      <c r="AK1595" t="s">
        <v>69</v>
      </c>
      <c r="AL1595" t="s">
        <v>69</v>
      </c>
      <c r="AM1595" t="s">
        <v>69</v>
      </c>
      <c r="AN1595">
        <v>52</v>
      </c>
      <c r="AO1595">
        <v>14</v>
      </c>
      <c r="AP1595">
        <v>14</v>
      </c>
      <c r="AQ1595">
        <v>1</v>
      </c>
      <c r="AR1595">
        <v>6</v>
      </c>
      <c r="AS1595" t="s">
        <v>8865</v>
      </c>
      <c r="AT1595" t="s">
        <v>8612</v>
      </c>
      <c r="AU1595" t="s">
        <v>8866</v>
      </c>
      <c r="AV1595" t="s">
        <v>3660</v>
      </c>
      <c r="AW1595" t="s">
        <v>3661</v>
      </c>
      <c r="AX1595" t="s">
        <v>69</v>
      </c>
      <c r="AY1595" t="s">
        <v>17632</v>
      </c>
      <c r="AZ1595" t="s">
        <v>17633</v>
      </c>
      <c r="BA1595" t="s">
        <v>69</v>
      </c>
      <c r="BB1595">
        <v>2002</v>
      </c>
      <c r="BC1595">
        <v>13</v>
      </c>
      <c r="BD1595">
        <v>3</v>
      </c>
      <c r="BE1595" t="s">
        <v>69</v>
      </c>
      <c r="BF1595" t="s">
        <v>69</v>
      </c>
      <c r="BG1595" t="s">
        <v>69</v>
      </c>
      <c r="BH1595" t="s">
        <v>69</v>
      </c>
      <c r="BI1595">
        <v>151</v>
      </c>
      <c r="BJ1595">
        <v>183</v>
      </c>
      <c r="BK1595" t="s">
        <v>69</v>
      </c>
      <c r="BL1595" t="s">
        <v>4037</v>
      </c>
      <c r="BM1595" t="str">
        <f>HYPERLINK("http://dx.doi.org/10.1207/S1532768XJEPC1303_02","http://dx.doi.org/10.1207/S1532768XJEPC1303_02")</f>
        <v>http://dx.doi.org/10.1207/S1532768XJEPC1303_02</v>
      </c>
      <c r="BN1595" t="s">
        <v>69</v>
      </c>
      <c r="BO1595" t="s">
        <v>69</v>
      </c>
      <c r="BP1595">
        <v>33</v>
      </c>
      <c r="BQ1595" t="s">
        <v>11114</v>
      </c>
      <c r="BR1595" t="s">
        <v>8661</v>
      </c>
      <c r="BS1595" t="s">
        <v>9001</v>
      </c>
      <c r="BT1595" t="s">
        <v>31504</v>
      </c>
      <c r="BU1595" t="s">
        <v>4038</v>
      </c>
      <c r="BV1595" t="s">
        <v>69</v>
      </c>
      <c r="BW1595" t="s">
        <v>69</v>
      </c>
      <c r="BX1595" t="s">
        <v>69</v>
      </c>
      <c r="BY1595" t="s">
        <v>69</v>
      </c>
      <c r="BZ1595" t="s">
        <v>8526</v>
      </c>
      <c r="CA1595" t="str">
        <f>HYPERLINK("https%3A%2F%2Fwww.webofscience.com%2Fwos%2Fwoscc%2Ffull-record%2FWOS:000181818100001","View Full Record in Web of Science")</f>
        <v>View Full Record in Web of Science</v>
      </c>
    </row>
    <row r="1596" spans="2:79" ht="12.5" x14ac:dyDescent="0.25">
      <c r="B1596" t="s">
        <v>8495</v>
      </c>
      <c r="D1596" s="7" t="s">
        <v>32933</v>
      </c>
      <c r="E1596" s="7"/>
      <c r="F1596" s="7"/>
      <c r="G1596" s="7"/>
      <c r="H1596" t="s">
        <v>67</v>
      </c>
      <c r="I1596" t="s">
        <v>2900</v>
      </c>
      <c r="J1596" t="s">
        <v>69</v>
      </c>
      <c r="K1596" t="s">
        <v>69</v>
      </c>
      <c r="L1596" t="s">
        <v>69</v>
      </c>
      <c r="M1596" t="s">
        <v>2901</v>
      </c>
      <c r="N1596" t="s">
        <v>69</v>
      </c>
      <c r="O1596" t="s">
        <v>69</v>
      </c>
      <c r="P1596" t="s">
        <v>2902</v>
      </c>
      <c r="Q1596" t="s">
        <v>2903</v>
      </c>
      <c r="R1596" t="s">
        <v>69</v>
      </c>
      <c r="S1596" t="s">
        <v>69</v>
      </c>
      <c r="T1596" t="s">
        <v>8505</v>
      </c>
      <c r="U1596" t="s">
        <v>8506</v>
      </c>
      <c r="V1596" t="s">
        <v>69</v>
      </c>
      <c r="W1596" t="s">
        <v>69</v>
      </c>
      <c r="X1596" t="s">
        <v>69</v>
      </c>
      <c r="Y1596" t="s">
        <v>69</v>
      </c>
      <c r="Z1596" t="s">
        <v>69</v>
      </c>
      <c r="AA1596" t="s">
        <v>21796</v>
      </c>
      <c r="AB1596" t="s">
        <v>21797</v>
      </c>
      <c r="AC1596" t="s">
        <v>2904</v>
      </c>
      <c r="AD1596" t="s">
        <v>21798</v>
      </c>
      <c r="AE1596" t="s">
        <v>69</v>
      </c>
      <c r="AF1596" t="s">
        <v>21799</v>
      </c>
      <c r="AG1596" t="s">
        <v>21800</v>
      </c>
      <c r="AH1596" t="s">
        <v>69</v>
      </c>
      <c r="AI1596" t="s">
        <v>69</v>
      </c>
      <c r="AJ1596" t="s">
        <v>69</v>
      </c>
      <c r="AK1596" t="s">
        <v>69</v>
      </c>
      <c r="AL1596" t="s">
        <v>69</v>
      </c>
      <c r="AM1596" t="s">
        <v>69</v>
      </c>
      <c r="AN1596">
        <v>20</v>
      </c>
      <c r="AO1596">
        <v>2</v>
      </c>
      <c r="AP1596">
        <v>2</v>
      </c>
      <c r="AQ1596">
        <v>3</v>
      </c>
      <c r="AR1596">
        <v>22</v>
      </c>
      <c r="AS1596" t="s">
        <v>21801</v>
      </c>
      <c r="AT1596" t="s">
        <v>21802</v>
      </c>
      <c r="AU1596" t="s">
        <v>21803</v>
      </c>
      <c r="AV1596" t="s">
        <v>2905</v>
      </c>
      <c r="AW1596" t="s">
        <v>2906</v>
      </c>
      <c r="AX1596" t="s">
        <v>69</v>
      </c>
      <c r="AY1596" t="s">
        <v>21804</v>
      </c>
      <c r="AZ1596" t="s">
        <v>21805</v>
      </c>
      <c r="BA1596" t="s">
        <v>191</v>
      </c>
      <c r="BB1596">
        <v>2016</v>
      </c>
      <c r="BC1596">
        <v>3</v>
      </c>
      <c r="BD1596">
        <v>2</v>
      </c>
      <c r="BE1596" t="s">
        <v>69</v>
      </c>
      <c r="BF1596" t="s">
        <v>69</v>
      </c>
      <c r="BG1596" t="s">
        <v>69</v>
      </c>
      <c r="BH1596" t="s">
        <v>69</v>
      </c>
      <c r="BI1596">
        <v>11</v>
      </c>
      <c r="BJ1596">
        <v>14</v>
      </c>
      <c r="BK1596" t="s">
        <v>69</v>
      </c>
      <c r="BL1596" t="s">
        <v>69</v>
      </c>
      <c r="BM1596" t="s">
        <v>69</v>
      </c>
      <c r="BN1596" t="s">
        <v>69</v>
      </c>
      <c r="BO1596" t="s">
        <v>69</v>
      </c>
      <c r="BP1596">
        <v>4</v>
      </c>
      <c r="BQ1596" t="s">
        <v>8619</v>
      </c>
      <c r="BR1596" t="s">
        <v>8573</v>
      </c>
      <c r="BS1596" t="s">
        <v>8620</v>
      </c>
      <c r="BT1596" t="s">
        <v>21806</v>
      </c>
      <c r="BU1596" t="s">
        <v>2907</v>
      </c>
      <c r="BV1596" t="s">
        <v>69</v>
      </c>
      <c r="BW1596" t="s">
        <v>69</v>
      </c>
      <c r="BX1596" t="s">
        <v>69</v>
      </c>
      <c r="BY1596" t="s">
        <v>69</v>
      </c>
      <c r="BZ1596" t="s">
        <v>8526</v>
      </c>
      <c r="CA1596" t="str">
        <f>HYPERLINK("https%3A%2F%2Fwww.webofscience.com%2Fwos%2Fwoscc%2Ffull-record%2FWOS:000376168700003","View Full Record in Web of Science")</f>
        <v>View Full Record in Web of Science</v>
      </c>
    </row>
    <row r="1597" spans="2:79" ht="12.5" x14ac:dyDescent="0.25">
      <c r="B1597" t="s">
        <v>8495</v>
      </c>
      <c r="D1597" s="7" t="s">
        <v>32933</v>
      </c>
      <c r="E1597" s="7"/>
      <c r="F1597" s="7"/>
      <c r="G1597" s="7"/>
      <c r="H1597" t="s">
        <v>67</v>
      </c>
      <c r="I1597" t="s">
        <v>6360</v>
      </c>
      <c r="J1597" t="s">
        <v>69</v>
      </c>
      <c r="K1597" t="s">
        <v>69</v>
      </c>
      <c r="L1597" t="s">
        <v>69</v>
      </c>
      <c r="M1597" t="s">
        <v>6360</v>
      </c>
      <c r="N1597" t="s">
        <v>69</v>
      </c>
      <c r="O1597" t="s">
        <v>69</v>
      </c>
      <c r="P1597" t="s">
        <v>6361</v>
      </c>
      <c r="Q1597" t="s">
        <v>6362</v>
      </c>
      <c r="R1597" t="s">
        <v>69</v>
      </c>
      <c r="S1597" t="s">
        <v>69</v>
      </c>
      <c r="T1597" t="s">
        <v>8505</v>
      </c>
      <c r="U1597" t="s">
        <v>32836</v>
      </c>
      <c r="V1597" t="s">
        <v>69</v>
      </c>
      <c r="W1597" t="s">
        <v>69</v>
      </c>
      <c r="X1597" t="s">
        <v>69</v>
      </c>
      <c r="Y1597" t="s">
        <v>69</v>
      </c>
      <c r="Z1597" t="s">
        <v>69</v>
      </c>
      <c r="AA1597" t="s">
        <v>69</v>
      </c>
      <c r="AB1597" t="s">
        <v>69</v>
      </c>
      <c r="AC1597" t="s">
        <v>6363</v>
      </c>
      <c r="AD1597" t="s">
        <v>69</v>
      </c>
      <c r="AE1597" t="s">
        <v>69</v>
      </c>
      <c r="AF1597" t="s">
        <v>32837</v>
      </c>
      <c r="AG1597" t="s">
        <v>69</v>
      </c>
      <c r="AH1597" t="s">
        <v>69</v>
      </c>
      <c r="AI1597" t="s">
        <v>69</v>
      </c>
      <c r="AJ1597" t="s">
        <v>69</v>
      </c>
      <c r="AK1597" t="s">
        <v>69</v>
      </c>
      <c r="AL1597" t="s">
        <v>69</v>
      </c>
      <c r="AM1597" t="s">
        <v>69</v>
      </c>
      <c r="AN1597">
        <v>1</v>
      </c>
      <c r="AO1597">
        <v>3</v>
      </c>
      <c r="AP1597">
        <v>3</v>
      </c>
      <c r="AQ1597">
        <v>0</v>
      </c>
      <c r="AR1597">
        <v>0</v>
      </c>
      <c r="AS1597" t="s">
        <v>32838</v>
      </c>
      <c r="AT1597" t="s">
        <v>32839</v>
      </c>
      <c r="AU1597" t="s">
        <v>32840</v>
      </c>
      <c r="AV1597" t="s">
        <v>6364</v>
      </c>
      <c r="AW1597" t="s">
        <v>69</v>
      </c>
      <c r="AX1597" t="s">
        <v>69</v>
      </c>
      <c r="AY1597" t="s">
        <v>32841</v>
      </c>
      <c r="AZ1597" t="s">
        <v>32842</v>
      </c>
      <c r="BA1597" t="s">
        <v>201</v>
      </c>
      <c r="BB1597">
        <v>1992</v>
      </c>
      <c r="BC1597">
        <v>11</v>
      </c>
      <c r="BD1597">
        <v>2</v>
      </c>
      <c r="BE1597" t="s">
        <v>69</v>
      </c>
      <c r="BF1597" t="s">
        <v>69</v>
      </c>
      <c r="BG1597" t="s">
        <v>69</v>
      </c>
      <c r="BH1597" t="s">
        <v>69</v>
      </c>
      <c r="BI1597">
        <v>274</v>
      </c>
      <c r="BJ1597">
        <v>275</v>
      </c>
      <c r="BK1597" t="s">
        <v>69</v>
      </c>
      <c r="BL1597" t="s">
        <v>69</v>
      </c>
      <c r="BM1597" t="s">
        <v>69</v>
      </c>
      <c r="BN1597" t="s">
        <v>69</v>
      </c>
      <c r="BO1597" t="s">
        <v>69</v>
      </c>
      <c r="BP1597">
        <v>2</v>
      </c>
      <c r="BQ1597" t="s">
        <v>32843</v>
      </c>
      <c r="BR1597" t="s">
        <v>8661</v>
      </c>
      <c r="BS1597" t="s">
        <v>32844</v>
      </c>
      <c r="BT1597" t="s">
        <v>32845</v>
      </c>
      <c r="BU1597" t="s">
        <v>6365</v>
      </c>
      <c r="BV1597" t="s">
        <v>69</v>
      </c>
      <c r="BW1597" t="s">
        <v>69</v>
      </c>
      <c r="BX1597" t="s">
        <v>69</v>
      </c>
      <c r="BY1597" t="s">
        <v>69</v>
      </c>
      <c r="BZ1597" t="s">
        <v>8526</v>
      </c>
      <c r="CA1597" t="str">
        <f>HYPERLINK("https%3A%2F%2Fwww.webofscience.com%2Fwos%2Fwoscc%2Ffull-record%2FWOS:A1992JK87400023","View Full Record in Web of Science")</f>
        <v>View Full Record in Web of Science</v>
      </c>
    </row>
    <row r="1598" spans="2:79" x14ac:dyDescent="0.3">
      <c r="B1598" t="s">
        <v>8495</v>
      </c>
      <c r="D1598" s="12" t="s">
        <v>33028</v>
      </c>
      <c r="H1598" t="s">
        <v>67</v>
      </c>
      <c r="I1598" t="s">
        <v>2506</v>
      </c>
      <c r="J1598" t="s">
        <v>69</v>
      </c>
      <c r="K1598" t="s">
        <v>69</v>
      </c>
      <c r="L1598" t="s">
        <v>69</v>
      </c>
      <c r="M1598" s="3" t="s">
        <v>2507</v>
      </c>
      <c r="N1598" t="s">
        <v>69</v>
      </c>
      <c r="O1598" t="s">
        <v>69</v>
      </c>
      <c r="P1598" s="2" t="s">
        <v>2508</v>
      </c>
      <c r="Q1598" t="s">
        <v>2509</v>
      </c>
      <c r="R1598" t="s">
        <v>69</v>
      </c>
      <c r="S1598" t="s">
        <v>69</v>
      </c>
      <c r="T1598" t="s">
        <v>10071</v>
      </c>
      <c r="U1598" t="s">
        <v>8506</v>
      </c>
      <c r="V1598" t="s">
        <v>69</v>
      </c>
      <c r="W1598" t="s">
        <v>69</v>
      </c>
      <c r="X1598" t="s">
        <v>69</v>
      </c>
      <c r="Y1598" t="s">
        <v>69</v>
      </c>
      <c r="Z1598" t="s">
        <v>69</v>
      </c>
      <c r="AA1598" t="s">
        <v>19454</v>
      </c>
      <c r="AB1598" t="s">
        <v>69</v>
      </c>
      <c r="AC1598" t="s">
        <v>2510</v>
      </c>
      <c r="AD1598" t="s">
        <v>19455</v>
      </c>
      <c r="AE1598" t="s">
        <v>69</v>
      </c>
      <c r="AF1598" t="s">
        <v>19456</v>
      </c>
      <c r="AG1598" t="s">
        <v>19457</v>
      </c>
      <c r="AH1598" t="s">
        <v>69</v>
      </c>
      <c r="AI1598" t="s">
        <v>69</v>
      </c>
      <c r="AJ1598" t="s">
        <v>69</v>
      </c>
      <c r="AK1598" t="s">
        <v>69</v>
      </c>
      <c r="AL1598" t="s">
        <v>69</v>
      </c>
      <c r="AM1598" t="s">
        <v>69</v>
      </c>
      <c r="AN1598">
        <v>12</v>
      </c>
      <c r="AO1598">
        <v>0</v>
      </c>
      <c r="AP1598">
        <v>0</v>
      </c>
      <c r="AQ1598">
        <v>0</v>
      </c>
      <c r="AR1598">
        <v>1</v>
      </c>
      <c r="AS1598" t="s">
        <v>19458</v>
      </c>
      <c r="AT1598" t="s">
        <v>19459</v>
      </c>
      <c r="AU1598" t="s">
        <v>19460</v>
      </c>
      <c r="AV1598" t="s">
        <v>2511</v>
      </c>
      <c r="AW1598" t="s">
        <v>69</v>
      </c>
      <c r="AX1598" t="s">
        <v>69</v>
      </c>
      <c r="AY1598" t="s">
        <v>19461</v>
      </c>
      <c r="AZ1598" t="s">
        <v>19462</v>
      </c>
      <c r="BA1598" t="s">
        <v>2512</v>
      </c>
      <c r="BB1598">
        <v>2018</v>
      </c>
      <c r="BC1598">
        <v>10</v>
      </c>
      <c r="BD1598">
        <v>1</v>
      </c>
      <c r="BE1598" t="s">
        <v>69</v>
      </c>
      <c r="BF1598" t="s">
        <v>69</v>
      </c>
      <c r="BG1598" t="s">
        <v>69</v>
      </c>
      <c r="BH1598" t="s">
        <v>69</v>
      </c>
      <c r="BI1598">
        <v>134</v>
      </c>
      <c r="BJ1598">
        <v>142</v>
      </c>
      <c r="BK1598" t="s">
        <v>69</v>
      </c>
      <c r="BL1598" t="s">
        <v>69</v>
      </c>
      <c r="BM1598" t="s">
        <v>69</v>
      </c>
      <c r="BN1598" t="s">
        <v>69</v>
      </c>
      <c r="BO1598" t="s">
        <v>69</v>
      </c>
      <c r="BP1598">
        <v>9</v>
      </c>
      <c r="BQ1598" t="s">
        <v>10299</v>
      </c>
      <c r="BR1598" t="s">
        <v>8573</v>
      </c>
      <c r="BS1598" t="s">
        <v>10279</v>
      </c>
      <c r="BT1598" t="s">
        <v>19463</v>
      </c>
      <c r="BU1598" t="s">
        <v>2513</v>
      </c>
      <c r="BV1598" t="s">
        <v>69</v>
      </c>
      <c r="BW1598" t="s">
        <v>69</v>
      </c>
      <c r="BX1598" t="s">
        <v>69</v>
      </c>
      <c r="BY1598" t="s">
        <v>69</v>
      </c>
      <c r="BZ1598" t="s">
        <v>8526</v>
      </c>
      <c r="CA1598" t="str">
        <f>HYPERLINK("https%3A%2F%2Fwww.webofscience.com%2Fwos%2Fwoscc%2Ffull-record%2FWOS:000437894000019","View Full Record in Web of Science")</f>
        <v>View Full Record in Web of Science</v>
      </c>
    </row>
    <row r="1599" spans="2:79" ht="12.5" x14ac:dyDescent="0.25">
      <c r="B1599" t="s">
        <v>8495</v>
      </c>
      <c r="D1599" s="7" t="s">
        <v>32933</v>
      </c>
      <c r="E1599" s="7"/>
      <c r="F1599" s="7"/>
      <c r="G1599" s="7"/>
      <c r="H1599" t="s">
        <v>67</v>
      </c>
      <c r="I1599" t="s">
        <v>8384</v>
      </c>
      <c r="J1599" t="s">
        <v>69</v>
      </c>
      <c r="K1599" t="s">
        <v>69</v>
      </c>
      <c r="L1599" t="s">
        <v>69</v>
      </c>
      <c r="M1599" t="s">
        <v>8384</v>
      </c>
      <c r="N1599" t="s">
        <v>69</v>
      </c>
      <c r="O1599" t="s">
        <v>69</v>
      </c>
      <c r="P1599" t="s">
        <v>8385</v>
      </c>
      <c r="Q1599" t="s">
        <v>4023</v>
      </c>
      <c r="R1599" t="s">
        <v>69</v>
      </c>
      <c r="S1599" t="s">
        <v>69</v>
      </c>
      <c r="T1599" t="s">
        <v>8505</v>
      </c>
      <c r="U1599" t="s">
        <v>8506</v>
      </c>
      <c r="V1599" t="s">
        <v>69</v>
      </c>
      <c r="W1599" t="s">
        <v>69</v>
      </c>
      <c r="X1599" t="s">
        <v>69</v>
      </c>
      <c r="Y1599" t="s">
        <v>69</v>
      </c>
      <c r="Z1599" t="s">
        <v>69</v>
      </c>
      <c r="AA1599" t="s">
        <v>69</v>
      </c>
      <c r="AB1599" t="s">
        <v>69</v>
      </c>
      <c r="AC1599" t="s">
        <v>8386</v>
      </c>
      <c r="AD1599" t="s">
        <v>32870</v>
      </c>
      <c r="AE1599" t="s">
        <v>69</v>
      </c>
      <c r="AF1599" t="s">
        <v>32871</v>
      </c>
      <c r="AG1599" t="s">
        <v>69</v>
      </c>
      <c r="AH1599" t="s">
        <v>69</v>
      </c>
      <c r="AI1599" t="s">
        <v>69</v>
      </c>
      <c r="AJ1599" t="s">
        <v>69</v>
      </c>
      <c r="AK1599" t="s">
        <v>69</v>
      </c>
      <c r="AL1599" t="s">
        <v>69</v>
      </c>
      <c r="AM1599" t="s">
        <v>69</v>
      </c>
      <c r="AN1599">
        <v>2</v>
      </c>
      <c r="AO1599">
        <v>10</v>
      </c>
      <c r="AP1599">
        <v>10</v>
      </c>
      <c r="AQ1599">
        <v>0</v>
      </c>
      <c r="AR1599">
        <v>10</v>
      </c>
      <c r="AS1599" t="s">
        <v>31418</v>
      </c>
      <c r="AT1599" t="s">
        <v>8763</v>
      </c>
      <c r="AU1599" t="s">
        <v>31844</v>
      </c>
      <c r="AV1599" t="s">
        <v>4025</v>
      </c>
      <c r="AW1599" t="s">
        <v>69</v>
      </c>
      <c r="AX1599" t="s">
        <v>69</v>
      </c>
      <c r="AY1599" t="s">
        <v>13199</v>
      </c>
      <c r="AZ1599" t="s">
        <v>13200</v>
      </c>
      <c r="BA1599" t="s">
        <v>191</v>
      </c>
      <c r="BB1599">
        <v>1992</v>
      </c>
      <c r="BC1599">
        <v>95</v>
      </c>
      <c r="BD1599">
        <v>1</v>
      </c>
      <c r="BE1599" t="s">
        <v>69</v>
      </c>
      <c r="BF1599" t="s">
        <v>69</v>
      </c>
      <c r="BG1599" t="s">
        <v>69</v>
      </c>
      <c r="BH1599" t="s">
        <v>69</v>
      </c>
      <c r="BI1599">
        <v>51</v>
      </c>
      <c r="BJ1599">
        <v>59</v>
      </c>
      <c r="BK1599" t="s">
        <v>69</v>
      </c>
      <c r="BL1599" t="s">
        <v>8387</v>
      </c>
      <c r="BM1599" t="str">
        <f>HYPERLINK("http://dx.doi.org/10.1680/itran.1992.18152","http://dx.doi.org/10.1680/itran.1992.18152")</f>
        <v>http://dx.doi.org/10.1680/itran.1992.18152</v>
      </c>
      <c r="BN1599" t="s">
        <v>69</v>
      </c>
      <c r="BO1599" t="s">
        <v>69</v>
      </c>
      <c r="BP1599">
        <v>9</v>
      </c>
      <c r="BQ1599" t="s">
        <v>13202</v>
      </c>
      <c r="BR1599" t="s">
        <v>8548</v>
      </c>
      <c r="BS1599" t="s">
        <v>9561</v>
      </c>
      <c r="BT1599" t="s">
        <v>32872</v>
      </c>
      <c r="BU1599" t="s">
        <v>8388</v>
      </c>
      <c r="BV1599" t="s">
        <v>69</v>
      </c>
      <c r="BW1599" t="s">
        <v>69</v>
      </c>
      <c r="BX1599" t="s">
        <v>69</v>
      </c>
      <c r="BY1599" t="s">
        <v>69</v>
      </c>
      <c r="BZ1599" t="s">
        <v>8526</v>
      </c>
      <c r="CA1599" t="str">
        <f>HYPERLINK("https%3A%2F%2Fwww.webofscience.com%2Fwos%2Fwoscc%2Ffull-record%2FWOS:A1992HU25100004","View Full Record in Web of Science")</f>
        <v>View Full Record in Web of Science</v>
      </c>
    </row>
    <row r="1600" spans="2:79" ht="12.5" x14ac:dyDescent="0.25">
      <c r="B1600" t="s">
        <v>8495</v>
      </c>
      <c r="D1600" s="7" t="s">
        <v>32933</v>
      </c>
      <c r="E1600" s="7"/>
      <c r="F1600" s="7"/>
      <c r="G1600" s="7"/>
      <c r="H1600" t="s">
        <v>67</v>
      </c>
      <c r="I1600" t="s">
        <v>6700</v>
      </c>
      <c r="J1600" t="s">
        <v>69</v>
      </c>
      <c r="K1600" t="s">
        <v>69</v>
      </c>
      <c r="L1600" t="s">
        <v>69</v>
      </c>
      <c r="M1600" t="s">
        <v>6701</v>
      </c>
      <c r="N1600" t="s">
        <v>69</v>
      </c>
      <c r="O1600" t="s">
        <v>69</v>
      </c>
      <c r="P1600" t="s">
        <v>6702</v>
      </c>
      <c r="Q1600" t="s">
        <v>2107</v>
      </c>
      <c r="R1600" t="s">
        <v>69</v>
      </c>
      <c r="S1600" t="s">
        <v>69</v>
      </c>
      <c r="T1600" t="s">
        <v>8505</v>
      </c>
      <c r="U1600" t="s">
        <v>8506</v>
      </c>
      <c r="V1600" t="s">
        <v>69</v>
      </c>
      <c r="W1600" t="s">
        <v>69</v>
      </c>
      <c r="X1600" t="s">
        <v>69</v>
      </c>
      <c r="Y1600" t="s">
        <v>69</v>
      </c>
      <c r="Z1600" t="s">
        <v>69</v>
      </c>
      <c r="AA1600" t="s">
        <v>14217</v>
      </c>
      <c r="AB1600" t="s">
        <v>14218</v>
      </c>
      <c r="AC1600" t="s">
        <v>6703</v>
      </c>
      <c r="AD1600" t="s">
        <v>14219</v>
      </c>
      <c r="AE1600" t="s">
        <v>69</v>
      </c>
      <c r="AF1600" t="s">
        <v>14220</v>
      </c>
      <c r="AG1600" t="s">
        <v>14221</v>
      </c>
      <c r="AH1600" t="s">
        <v>69</v>
      </c>
      <c r="AI1600" t="s">
        <v>6704</v>
      </c>
      <c r="AJ1600" t="s">
        <v>14222</v>
      </c>
      <c r="AK1600" t="s">
        <v>14223</v>
      </c>
      <c r="AL1600" t="s">
        <v>14224</v>
      </c>
      <c r="AM1600" t="s">
        <v>69</v>
      </c>
      <c r="AN1600">
        <v>94</v>
      </c>
      <c r="AO1600">
        <v>5</v>
      </c>
      <c r="AP1600">
        <v>5</v>
      </c>
      <c r="AQ1600">
        <v>0</v>
      </c>
      <c r="AR1600">
        <v>6</v>
      </c>
      <c r="AS1600" t="s">
        <v>8924</v>
      </c>
      <c r="AT1600" t="s">
        <v>8925</v>
      </c>
      <c r="AU1600" t="s">
        <v>8926</v>
      </c>
      <c r="AV1600" t="s">
        <v>69</v>
      </c>
      <c r="AW1600" t="s">
        <v>2110</v>
      </c>
      <c r="AX1600" t="s">
        <v>69</v>
      </c>
      <c r="AY1600" t="s">
        <v>10592</v>
      </c>
      <c r="AZ1600" t="s">
        <v>10593</v>
      </c>
      <c r="BA1600" t="s">
        <v>381</v>
      </c>
      <c r="BB1600">
        <v>2020</v>
      </c>
      <c r="BC1600">
        <v>17</v>
      </c>
      <c r="BD1600">
        <v>19</v>
      </c>
      <c r="BE1600" t="s">
        <v>69</v>
      </c>
      <c r="BF1600" t="s">
        <v>69</v>
      </c>
      <c r="BG1600" t="s">
        <v>69</v>
      </c>
      <c r="BH1600" t="s">
        <v>69</v>
      </c>
      <c r="BI1600" t="s">
        <v>69</v>
      </c>
      <c r="BJ1600" t="s">
        <v>69</v>
      </c>
      <c r="BK1600">
        <v>7231</v>
      </c>
      <c r="BL1600" t="s">
        <v>6705</v>
      </c>
      <c r="BM1600" t="str">
        <f>HYPERLINK("http://dx.doi.org/10.3390/ijerph17197231","http://dx.doi.org/10.3390/ijerph17197231")</f>
        <v>http://dx.doi.org/10.3390/ijerph17197231</v>
      </c>
      <c r="BN1600" t="s">
        <v>69</v>
      </c>
      <c r="BO1600" t="s">
        <v>69</v>
      </c>
      <c r="BP1600">
        <v>20</v>
      </c>
      <c r="BQ1600" t="s">
        <v>10595</v>
      </c>
      <c r="BR1600" t="s">
        <v>8523</v>
      </c>
      <c r="BS1600" t="s">
        <v>10596</v>
      </c>
      <c r="BT1600" t="s">
        <v>14225</v>
      </c>
      <c r="BU1600" t="s">
        <v>6706</v>
      </c>
      <c r="BV1600">
        <v>33023267</v>
      </c>
      <c r="BW1600" t="s">
        <v>12668</v>
      </c>
      <c r="BX1600" t="s">
        <v>69</v>
      </c>
      <c r="BY1600" t="s">
        <v>69</v>
      </c>
      <c r="BZ1600" t="s">
        <v>8526</v>
      </c>
      <c r="CA1600" t="str">
        <f>HYPERLINK("https%3A%2F%2Fwww.webofscience.com%2Fwos%2Fwoscc%2Ffull-record%2FWOS:000586588400001","View Full Record in Web of Science")</f>
        <v>View Full Record in Web of Science</v>
      </c>
    </row>
    <row r="1601" spans="1:79" x14ac:dyDescent="0.3">
      <c r="A1601" t="s">
        <v>8408</v>
      </c>
      <c r="B1601" t="s">
        <v>8495</v>
      </c>
      <c r="D1601" s="10" t="s">
        <v>33193</v>
      </c>
      <c r="F1601" s="10" t="s">
        <v>8490</v>
      </c>
      <c r="H1601" t="s">
        <v>67</v>
      </c>
      <c r="I1601" t="s">
        <v>4512</v>
      </c>
      <c r="J1601" t="s">
        <v>69</v>
      </c>
      <c r="K1601" t="s">
        <v>69</v>
      </c>
      <c r="L1601" t="s">
        <v>69</v>
      </c>
      <c r="M1601" s="2" t="s">
        <v>4513</v>
      </c>
      <c r="N1601" t="s">
        <v>69</v>
      </c>
      <c r="O1601" t="s">
        <v>69</v>
      </c>
      <c r="P1601" s="6" t="s">
        <v>4514</v>
      </c>
      <c r="Q1601" t="s">
        <v>4515</v>
      </c>
      <c r="R1601" t="s">
        <v>69</v>
      </c>
      <c r="S1601" t="s">
        <v>69</v>
      </c>
      <c r="T1601" t="s">
        <v>8505</v>
      </c>
      <c r="U1601" t="s">
        <v>8506</v>
      </c>
      <c r="V1601" t="s">
        <v>69</v>
      </c>
      <c r="W1601" t="s">
        <v>69</v>
      </c>
      <c r="X1601" t="s">
        <v>69</v>
      </c>
      <c r="Y1601" t="s">
        <v>69</v>
      </c>
      <c r="Z1601" t="s">
        <v>69</v>
      </c>
      <c r="AA1601" t="s">
        <v>17010</v>
      </c>
      <c r="AB1601" t="s">
        <v>4739</v>
      </c>
      <c r="AC1601" t="s">
        <v>4516</v>
      </c>
      <c r="AD1601" t="s">
        <v>17011</v>
      </c>
      <c r="AE1601" t="s">
        <v>69</v>
      </c>
      <c r="AF1601" t="s">
        <v>17012</v>
      </c>
      <c r="AG1601" t="s">
        <v>17013</v>
      </c>
      <c r="AH1601" t="s">
        <v>69</v>
      </c>
      <c r="AI1601" t="s">
        <v>4517</v>
      </c>
      <c r="AJ1601" t="s">
        <v>17014</v>
      </c>
      <c r="AK1601" t="s">
        <v>17014</v>
      </c>
      <c r="AL1601" t="s">
        <v>17015</v>
      </c>
      <c r="AM1601" t="s">
        <v>69</v>
      </c>
      <c r="AN1601">
        <v>36</v>
      </c>
      <c r="AO1601">
        <v>2</v>
      </c>
      <c r="AP1601">
        <v>2</v>
      </c>
      <c r="AQ1601">
        <v>0</v>
      </c>
      <c r="AR1601">
        <v>7</v>
      </c>
      <c r="AS1601" t="s">
        <v>8865</v>
      </c>
      <c r="AT1601" t="s">
        <v>8612</v>
      </c>
      <c r="AU1601" t="s">
        <v>8866</v>
      </c>
      <c r="AV1601" t="s">
        <v>4518</v>
      </c>
      <c r="AW1601" t="s">
        <v>4519</v>
      </c>
      <c r="AX1601" t="s">
        <v>69</v>
      </c>
      <c r="AY1601" t="s">
        <v>17016</v>
      </c>
      <c r="AZ1601" t="s">
        <v>17017</v>
      </c>
      <c r="BA1601" t="s">
        <v>4520</v>
      </c>
      <c r="BB1601">
        <v>2019</v>
      </c>
      <c r="BC1601">
        <v>40</v>
      </c>
      <c r="BD1601">
        <v>12</v>
      </c>
      <c r="BE1601" t="s">
        <v>69</v>
      </c>
      <c r="BF1601" t="s">
        <v>69</v>
      </c>
      <c r="BG1601" t="s">
        <v>69</v>
      </c>
      <c r="BH1601" t="s">
        <v>69</v>
      </c>
      <c r="BI1601">
        <v>2228</v>
      </c>
      <c r="BJ1601">
        <v>2245</v>
      </c>
      <c r="BK1601" t="s">
        <v>69</v>
      </c>
      <c r="BL1601" t="s">
        <v>4521</v>
      </c>
      <c r="BM1601" t="str">
        <f>HYPERLINK("http://dx.doi.org/10.1080/01436597.2019.1636641","http://dx.doi.org/10.1080/01436597.2019.1636641")</f>
        <v>http://dx.doi.org/10.1080/01436597.2019.1636641</v>
      </c>
      <c r="BN1601" t="s">
        <v>69</v>
      </c>
      <c r="BO1601" t="s">
        <v>924</v>
      </c>
      <c r="BP1601">
        <v>18</v>
      </c>
      <c r="BQ1601" t="s">
        <v>17018</v>
      </c>
      <c r="BR1601" t="s">
        <v>8661</v>
      </c>
      <c r="BS1601" t="s">
        <v>17018</v>
      </c>
      <c r="BT1601" t="s">
        <v>17019</v>
      </c>
      <c r="BU1601" t="s">
        <v>4522</v>
      </c>
      <c r="BV1601" t="s">
        <v>69</v>
      </c>
      <c r="BW1601" t="s">
        <v>69</v>
      </c>
      <c r="BX1601" t="s">
        <v>69</v>
      </c>
      <c r="BY1601" t="s">
        <v>69</v>
      </c>
      <c r="BZ1601" t="s">
        <v>8526</v>
      </c>
      <c r="CA1601" t="str">
        <f>HYPERLINK("https%3A%2F%2Fwww.webofscience.com%2Fwos%2Fwoscc%2Ffull-record%2FWOS:000476241400001","View Full Record in Web of Science")</f>
        <v>View Full Record in Web of Science</v>
      </c>
    </row>
    <row r="1602" spans="1:79" ht="12.5" x14ac:dyDescent="0.25">
      <c r="B1602" t="s">
        <v>8495</v>
      </c>
      <c r="D1602" s="7" t="s">
        <v>32933</v>
      </c>
      <c r="E1602" s="7"/>
      <c r="F1602" s="7"/>
      <c r="G1602" s="7"/>
      <c r="H1602" t="s">
        <v>67</v>
      </c>
      <c r="I1602" t="s">
        <v>136</v>
      </c>
      <c r="J1602" t="s">
        <v>69</v>
      </c>
      <c r="K1602" t="s">
        <v>69</v>
      </c>
      <c r="L1602" t="s">
        <v>69</v>
      </c>
      <c r="M1602" t="s">
        <v>137</v>
      </c>
      <c r="N1602" t="s">
        <v>69</v>
      </c>
      <c r="O1602" t="s">
        <v>69</v>
      </c>
      <c r="P1602" t="s">
        <v>138</v>
      </c>
      <c r="Q1602" t="s">
        <v>139</v>
      </c>
      <c r="R1602" t="s">
        <v>69</v>
      </c>
      <c r="S1602" t="s">
        <v>69</v>
      </c>
      <c r="T1602" t="s">
        <v>8505</v>
      </c>
      <c r="U1602" t="s">
        <v>8506</v>
      </c>
      <c r="V1602" t="s">
        <v>69</v>
      </c>
      <c r="W1602" t="s">
        <v>69</v>
      </c>
      <c r="X1602" t="s">
        <v>69</v>
      </c>
      <c r="Y1602" t="s">
        <v>69</v>
      </c>
      <c r="Z1602" t="s">
        <v>69</v>
      </c>
      <c r="AA1602" t="s">
        <v>19598</v>
      </c>
      <c r="AB1602" t="s">
        <v>19599</v>
      </c>
      <c r="AC1602" t="s">
        <v>140</v>
      </c>
      <c r="AD1602" t="s">
        <v>19600</v>
      </c>
      <c r="AE1602" t="s">
        <v>69</v>
      </c>
      <c r="AF1602" t="s">
        <v>19601</v>
      </c>
      <c r="AG1602" t="s">
        <v>19602</v>
      </c>
      <c r="AH1602" t="s">
        <v>141</v>
      </c>
      <c r="AI1602" t="s">
        <v>142</v>
      </c>
      <c r="AJ1602" t="s">
        <v>69</v>
      </c>
      <c r="AK1602" t="s">
        <v>69</v>
      </c>
      <c r="AL1602" t="s">
        <v>69</v>
      </c>
      <c r="AM1602" t="s">
        <v>69</v>
      </c>
      <c r="AN1602">
        <v>66</v>
      </c>
      <c r="AO1602">
        <v>14</v>
      </c>
      <c r="AP1602">
        <v>14</v>
      </c>
      <c r="AQ1602">
        <v>2</v>
      </c>
      <c r="AR1602">
        <v>28</v>
      </c>
      <c r="AS1602" t="s">
        <v>8586</v>
      </c>
      <c r="AT1602" t="s">
        <v>8587</v>
      </c>
      <c r="AU1602" t="s">
        <v>8588</v>
      </c>
      <c r="AV1602" t="s">
        <v>143</v>
      </c>
      <c r="AW1602" t="s">
        <v>144</v>
      </c>
      <c r="AX1602" t="s">
        <v>69</v>
      </c>
      <c r="AY1602" t="s">
        <v>19603</v>
      </c>
      <c r="AZ1602" t="s">
        <v>19604</v>
      </c>
      <c r="BA1602" t="s">
        <v>69</v>
      </c>
      <c r="BB1602">
        <v>2018</v>
      </c>
      <c r="BC1602">
        <v>38</v>
      </c>
      <c r="BD1602" t="s">
        <v>145</v>
      </c>
      <c r="BE1602" t="s">
        <v>69</v>
      </c>
      <c r="BF1602" t="s">
        <v>69</v>
      </c>
      <c r="BG1602" t="s">
        <v>69</v>
      </c>
      <c r="BH1602" t="s">
        <v>69</v>
      </c>
      <c r="BI1602">
        <v>194</v>
      </c>
      <c r="BJ1602">
        <v>209</v>
      </c>
      <c r="BK1602" t="s">
        <v>69</v>
      </c>
      <c r="BL1602" t="s">
        <v>146</v>
      </c>
      <c r="BM1602" t="str">
        <f>HYPERLINK("http://dx.doi.org/10.1108/IJSSP-05-2017-0062","http://dx.doi.org/10.1108/IJSSP-05-2017-0062")</f>
        <v>http://dx.doi.org/10.1108/IJSSP-05-2017-0062</v>
      </c>
      <c r="BN1602" t="s">
        <v>69</v>
      </c>
      <c r="BO1602" t="s">
        <v>69</v>
      </c>
      <c r="BP1602">
        <v>16</v>
      </c>
      <c r="BQ1602" t="s">
        <v>12930</v>
      </c>
      <c r="BR1602" t="s">
        <v>8573</v>
      </c>
      <c r="BS1602" t="s">
        <v>12930</v>
      </c>
      <c r="BT1602" t="s">
        <v>19605</v>
      </c>
      <c r="BU1602" t="s">
        <v>147</v>
      </c>
      <c r="BV1602" t="s">
        <v>69</v>
      </c>
      <c r="BW1602" t="s">
        <v>19606</v>
      </c>
      <c r="BX1602" t="s">
        <v>69</v>
      </c>
      <c r="BY1602" t="s">
        <v>69</v>
      </c>
      <c r="BZ1602" t="s">
        <v>8526</v>
      </c>
      <c r="CA1602" t="str">
        <f>HYPERLINK("https%3A%2F%2Fwww.webofscience.com%2Fwos%2Fwoscc%2Ffull-record%2FWOS:000426881100002","View Full Record in Web of Science")</f>
        <v>View Full Record in Web of Science</v>
      </c>
    </row>
    <row r="1603" spans="1:79" ht="12.5" x14ac:dyDescent="0.25">
      <c r="B1603" t="s">
        <v>8495</v>
      </c>
      <c r="D1603" s="7" t="s">
        <v>32933</v>
      </c>
      <c r="E1603" s="7"/>
      <c r="F1603" s="7"/>
      <c r="G1603" s="7"/>
      <c r="H1603" t="s">
        <v>67</v>
      </c>
      <c r="I1603" t="s">
        <v>723</v>
      </c>
      <c r="J1603" t="s">
        <v>69</v>
      </c>
      <c r="K1603" t="s">
        <v>69</v>
      </c>
      <c r="L1603" t="s">
        <v>69</v>
      </c>
      <c r="M1603" t="s">
        <v>724</v>
      </c>
      <c r="N1603" t="s">
        <v>69</v>
      </c>
      <c r="O1603" t="s">
        <v>69</v>
      </c>
      <c r="P1603" t="s">
        <v>725</v>
      </c>
      <c r="Q1603" t="s">
        <v>726</v>
      </c>
      <c r="R1603" t="s">
        <v>69</v>
      </c>
      <c r="S1603" t="s">
        <v>69</v>
      </c>
      <c r="T1603" t="s">
        <v>8505</v>
      </c>
      <c r="U1603" t="s">
        <v>8506</v>
      </c>
      <c r="V1603" t="s">
        <v>69</v>
      </c>
      <c r="W1603" t="s">
        <v>69</v>
      </c>
      <c r="X1603" t="s">
        <v>69</v>
      </c>
      <c r="Y1603" t="s">
        <v>69</v>
      </c>
      <c r="Z1603" t="s">
        <v>69</v>
      </c>
      <c r="AA1603" t="s">
        <v>15110</v>
      </c>
      <c r="AB1603" t="s">
        <v>15111</v>
      </c>
      <c r="AC1603" t="s">
        <v>727</v>
      </c>
      <c r="AD1603" t="s">
        <v>15112</v>
      </c>
      <c r="AE1603" t="s">
        <v>69</v>
      </c>
      <c r="AF1603" t="s">
        <v>15113</v>
      </c>
      <c r="AG1603" t="s">
        <v>15114</v>
      </c>
      <c r="AH1603" t="s">
        <v>69</v>
      </c>
      <c r="AI1603" t="s">
        <v>728</v>
      </c>
      <c r="AJ1603" t="s">
        <v>15115</v>
      </c>
      <c r="AK1603" t="s">
        <v>15115</v>
      </c>
      <c r="AL1603" t="s">
        <v>15116</v>
      </c>
      <c r="AM1603" t="s">
        <v>69</v>
      </c>
      <c r="AN1603">
        <v>61</v>
      </c>
      <c r="AO1603">
        <v>9</v>
      </c>
      <c r="AP1603">
        <v>9</v>
      </c>
      <c r="AQ1603">
        <v>2</v>
      </c>
      <c r="AR1603">
        <v>13</v>
      </c>
      <c r="AS1603" t="s">
        <v>8865</v>
      </c>
      <c r="AT1603" t="s">
        <v>8612</v>
      </c>
      <c r="AU1603" t="s">
        <v>8866</v>
      </c>
      <c r="AV1603" t="s">
        <v>729</v>
      </c>
      <c r="AW1603" t="s">
        <v>730</v>
      </c>
      <c r="AX1603" t="s">
        <v>69</v>
      </c>
      <c r="AY1603" t="s">
        <v>14684</v>
      </c>
      <c r="AZ1603" t="s">
        <v>14685</v>
      </c>
      <c r="BA1603" t="s">
        <v>364</v>
      </c>
      <c r="BB1603">
        <v>2020</v>
      </c>
      <c r="BC1603">
        <v>22</v>
      </c>
      <c r="BD1603">
        <v>4</v>
      </c>
      <c r="BE1603" t="s">
        <v>69</v>
      </c>
      <c r="BF1603" t="s">
        <v>69</v>
      </c>
      <c r="BG1603" t="s">
        <v>69</v>
      </c>
      <c r="BH1603" t="s">
        <v>69</v>
      </c>
      <c r="BI1603">
        <v>473</v>
      </c>
      <c r="BJ1603">
        <v>485</v>
      </c>
      <c r="BK1603" t="s">
        <v>69</v>
      </c>
      <c r="BL1603" t="s">
        <v>731</v>
      </c>
      <c r="BM1603" t="str">
        <f>HYPERLINK("http://dx.doi.org/10.1080/1523908X.2020.1768832","http://dx.doi.org/10.1080/1523908X.2020.1768832")</f>
        <v>http://dx.doi.org/10.1080/1523908X.2020.1768832</v>
      </c>
      <c r="BN1603" t="s">
        <v>69</v>
      </c>
      <c r="BO1603" t="s">
        <v>732</v>
      </c>
      <c r="BP1603">
        <v>13</v>
      </c>
      <c r="BQ1603" t="s">
        <v>14686</v>
      </c>
      <c r="BR1603" t="s">
        <v>8661</v>
      </c>
      <c r="BS1603" t="s">
        <v>14687</v>
      </c>
      <c r="BT1603" t="s">
        <v>15117</v>
      </c>
      <c r="BU1603" t="s">
        <v>733</v>
      </c>
      <c r="BV1603" t="s">
        <v>69</v>
      </c>
      <c r="BW1603" t="s">
        <v>69</v>
      </c>
      <c r="BX1603" t="s">
        <v>69</v>
      </c>
      <c r="BY1603" t="s">
        <v>69</v>
      </c>
      <c r="BZ1603" t="s">
        <v>8526</v>
      </c>
      <c r="CA1603" t="str">
        <f>HYPERLINK("https%3A%2F%2Fwww.webofscience.com%2Fwos%2Fwoscc%2Ffull-record%2FWOS:000541296200001","View Full Record in Web of Science")</f>
        <v>View Full Record in Web of Science</v>
      </c>
    </row>
    <row r="1604" spans="1:79" ht="12.5" x14ac:dyDescent="0.25">
      <c r="B1604" t="s">
        <v>8495</v>
      </c>
      <c r="D1604" s="7" t="s">
        <v>32933</v>
      </c>
      <c r="E1604" s="7"/>
      <c r="F1604" s="7"/>
      <c r="G1604" s="7"/>
      <c r="H1604" t="s">
        <v>67</v>
      </c>
      <c r="I1604" t="s">
        <v>2697</v>
      </c>
      <c r="J1604" t="s">
        <v>69</v>
      </c>
      <c r="K1604" t="s">
        <v>69</v>
      </c>
      <c r="L1604" t="s">
        <v>69</v>
      </c>
      <c r="M1604" t="s">
        <v>2698</v>
      </c>
      <c r="N1604" t="s">
        <v>69</v>
      </c>
      <c r="O1604" t="s">
        <v>69</v>
      </c>
      <c r="P1604" t="s">
        <v>2699</v>
      </c>
      <c r="Q1604" t="s">
        <v>2700</v>
      </c>
      <c r="R1604" t="s">
        <v>69</v>
      </c>
      <c r="S1604" t="s">
        <v>69</v>
      </c>
      <c r="T1604" t="s">
        <v>8505</v>
      </c>
      <c r="U1604" t="s">
        <v>8506</v>
      </c>
      <c r="V1604" t="s">
        <v>69</v>
      </c>
      <c r="W1604" t="s">
        <v>69</v>
      </c>
      <c r="X1604" t="s">
        <v>69</v>
      </c>
      <c r="Y1604" t="s">
        <v>69</v>
      </c>
      <c r="Z1604" t="s">
        <v>69</v>
      </c>
      <c r="AA1604" t="s">
        <v>20855</v>
      </c>
      <c r="AB1604" t="s">
        <v>69</v>
      </c>
      <c r="AC1604" t="s">
        <v>2701</v>
      </c>
      <c r="AD1604" t="s">
        <v>20856</v>
      </c>
      <c r="AE1604" t="s">
        <v>69</v>
      </c>
      <c r="AF1604" t="s">
        <v>20857</v>
      </c>
      <c r="AG1604" t="s">
        <v>20858</v>
      </c>
      <c r="AH1604" t="s">
        <v>69</v>
      </c>
      <c r="AI1604" t="s">
        <v>69</v>
      </c>
      <c r="AJ1604" t="s">
        <v>69</v>
      </c>
      <c r="AK1604" t="s">
        <v>69</v>
      </c>
      <c r="AL1604" t="s">
        <v>69</v>
      </c>
      <c r="AM1604" t="s">
        <v>69</v>
      </c>
      <c r="AN1604">
        <v>28</v>
      </c>
      <c r="AO1604">
        <v>3</v>
      </c>
      <c r="AP1604">
        <v>3</v>
      </c>
      <c r="AQ1604">
        <v>0</v>
      </c>
      <c r="AR1604">
        <v>9</v>
      </c>
      <c r="AS1604" t="s">
        <v>18352</v>
      </c>
      <c r="AT1604" t="s">
        <v>11277</v>
      </c>
      <c r="AU1604" t="s">
        <v>18353</v>
      </c>
      <c r="AV1604" t="s">
        <v>2702</v>
      </c>
      <c r="AW1604" t="s">
        <v>2703</v>
      </c>
      <c r="AX1604" t="s">
        <v>69</v>
      </c>
      <c r="AY1604" t="s">
        <v>20859</v>
      </c>
      <c r="AZ1604" t="s">
        <v>20860</v>
      </c>
      <c r="BA1604" t="s">
        <v>451</v>
      </c>
      <c r="BB1604">
        <v>2017</v>
      </c>
      <c r="BC1604">
        <v>5</v>
      </c>
      <c r="BD1604">
        <v>1</v>
      </c>
      <c r="BE1604" t="s">
        <v>69</v>
      </c>
      <c r="BF1604" t="s">
        <v>69</v>
      </c>
      <c r="BG1604" t="s">
        <v>69</v>
      </c>
      <c r="BH1604" t="s">
        <v>69</v>
      </c>
      <c r="BI1604">
        <v>7</v>
      </c>
      <c r="BJ1604">
        <v>22</v>
      </c>
      <c r="BK1604" t="s">
        <v>69</v>
      </c>
      <c r="BL1604" t="s">
        <v>2704</v>
      </c>
      <c r="BM1604" t="str">
        <f>HYPERLINK("http://dx.doi.org/10.1386/atr.5.1.7_1","http://dx.doi.org/10.1386/atr.5.1.7_1")</f>
        <v>http://dx.doi.org/10.1386/atr.5.1.7_1</v>
      </c>
      <c r="BN1604" t="s">
        <v>69</v>
      </c>
      <c r="BO1604" t="s">
        <v>69</v>
      </c>
      <c r="BP1604">
        <v>16</v>
      </c>
      <c r="BQ1604" t="s">
        <v>20861</v>
      </c>
      <c r="BR1604" t="s">
        <v>8573</v>
      </c>
      <c r="BS1604" t="s">
        <v>20861</v>
      </c>
      <c r="BT1604" t="s">
        <v>20862</v>
      </c>
      <c r="BU1604" t="s">
        <v>2705</v>
      </c>
      <c r="BV1604" t="s">
        <v>69</v>
      </c>
      <c r="BW1604" t="s">
        <v>69</v>
      </c>
      <c r="BX1604" t="s">
        <v>69</v>
      </c>
      <c r="BY1604" t="s">
        <v>69</v>
      </c>
      <c r="BZ1604" t="s">
        <v>8526</v>
      </c>
      <c r="CA1604" t="str">
        <f>HYPERLINK("https%3A%2F%2Fwww.webofscience.com%2Fwos%2Fwoscc%2Ffull-record%2FWOS:000408612700002","View Full Record in Web of Science")</f>
        <v>View Full Record in Web of Science</v>
      </c>
    </row>
    <row r="1605" spans="1:79" ht="12.5" x14ac:dyDescent="0.25">
      <c r="B1605" t="s">
        <v>8495</v>
      </c>
      <c r="D1605" s="7" t="s">
        <v>32933</v>
      </c>
      <c r="E1605" s="7"/>
      <c r="F1605" s="7"/>
      <c r="G1605" s="7"/>
      <c r="H1605" t="s">
        <v>67</v>
      </c>
      <c r="I1605" t="s">
        <v>7636</v>
      </c>
      <c r="J1605" t="s">
        <v>69</v>
      </c>
      <c r="K1605" t="s">
        <v>69</v>
      </c>
      <c r="L1605" t="s">
        <v>69</v>
      </c>
      <c r="M1605" t="s">
        <v>7637</v>
      </c>
      <c r="N1605" t="s">
        <v>69</v>
      </c>
      <c r="O1605" t="s">
        <v>69</v>
      </c>
      <c r="P1605" s="4" t="s">
        <v>7638</v>
      </c>
      <c r="Q1605" t="s">
        <v>7639</v>
      </c>
      <c r="R1605" t="s">
        <v>69</v>
      </c>
      <c r="S1605" t="s">
        <v>69</v>
      </c>
      <c r="T1605" t="s">
        <v>8505</v>
      </c>
      <c r="U1605" t="s">
        <v>8506</v>
      </c>
      <c r="V1605" t="s">
        <v>69</v>
      </c>
      <c r="W1605" t="s">
        <v>69</v>
      </c>
      <c r="X1605" t="s">
        <v>69</v>
      </c>
      <c r="Y1605" t="s">
        <v>69</v>
      </c>
      <c r="Z1605" t="s">
        <v>69</v>
      </c>
      <c r="AA1605" t="s">
        <v>26312</v>
      </c>
      <c r="AB1605" t="s">
        <v>69</v>
      </c>
      <c r="AC1605" t="s">
        <v>7640</v>
      </c>
      <c r="AD1605" t="s">
        <v>26313</v>
      </c>
      <c r="AE1605" t="s">
        <v>69</v>
      </c>
      <c r="AF1605" t="s">
        <v>26314</v>
      </c>
      <c r="AG1605" t="s">
        <v>26315</v>
      </c>
      <c r="AH1605" t="s">
        <v>69</v>
      </c>
      <c r="AI1605" t="s">
        <v>69</v>
      </c>
      <c r="AJ1605" t="s">
        <v>26316</v>
      </c>
      <c r="AK1605" t="s">
        <v>26316</v>
      </c>
      <c r="AL1605" t="s">
        <v>26317</v>
      </c>
      <c r="AM1605" t="s">
        <v>69</v>
      </c>
      <c r="AN1605">
        <v>30</v>
      </c>
      <c r="AO1605">
        <v>49</v>
      </c>
      <c r="AP1605">
        <v>50</v>
      </c>
      <c r="AQ1605">
        <v>0</v>
      </c>
      <c r="AR1605">
        <v>16</v>
      </c>
      <c r="AS1605" t="s">
        <v>15611</v>
      </c>
      <c r="AT1605" t="s">
        <v>10924</v>
      </c>
      <c r="AU1605" t="s">
        <v>15612</v>
      </c>
      <c r="AV1605" t="s">
        <v>7641</v>
      </c>
      <c r="AW1605" t="s">
        <v>7642</v>
      </c>
      <c r="AX1605" t="s">
        <v>69</v>
      </c>
      <c r="AY1605" t="s">
        <v>26318</v>
      </c>
      <c r="AZ1605" t="s">
        <v>26319</v>
      </c>
      <c r="BA1605" t="s">
        <v>69</v>
      </c>
      <c r="BB1605">
        <v>2012</v>
      </c>
      <c r="BC1605">
        <v>13</v>
      </c>
      <c r="BD1605">
        <v>2</v>
      </c>
      <c r="BE1605" t="s">
        <v>69</v>
      </c>
      <c r="BF1605" t="s">
        <v>69</v>
      </c>
      <c r="BG1605" t="s">
        <v>69</v>
      </c>
      <c r="BH1605" t="s">
        <v>69</v>
      </c>
      <c r="BI1605">
        <v>101</v>
      </c>
      <c r="BJ1605">
        <v>108</v>
      </c>
      <c r="BK1605" t="s">
        <v>69</v>
      </c>
      <c r="BL1605" t="s">
        <v>7643</v>
      </c>
      <c r="BM1605" t="str">
        <f>HYPERLINK("http://dx.doi.org/10.1080/15389588.2011.637097","http://dx.doi.org/10.1080/15389588.2011.637097")</f>
        <v>http://dx.doi.org/10.1080/15389588.2011.637097</v>
      </c>
      <c r="BN1605" t="s">
        <v>69</v>
      </c>
      <c r="BO1605" t="s">
        <v>69</v>
      </c>
      <c r="BP1605">
        <v>8</v>
      </c>
      <c r="BQ1605" t="s">
        <v>26320</v>
      </c>
      <c r="BR1605" t="s">
        <v>8523</v>
      </c>
      <c r="BS1605" t="s">
        <v>26320</v>
      </c>
      <c r="BT1605" t="s">
        <v>26321</v>
      </c>
      <c r="BU1605" t="s">
        <v>7644</v>
      </c>
      <c r="BV1605">
        <v>22458786</v>
      </c>
      <c r="BW1605" t="s">
        <v>69</v>
      </c>
      <c r="BX1605" t="s">
        <v>69</v>
      </c>
      <c r="BY1605" t="s">
        <v>69</v>
      </c>
      <c r="BZ1605" t="s">
        <v>8526</v>
      </c>
      <c r="CA1605" t="str">
        <f>HYPERLINK("https%3A%2F%2Fwww.webofscience.com%2Fwos%2Fwoscc%2Ffull-record%2FWOS:000304242300003","View Full Record in Web of Science")</f>
        <v>View Full Record in Web of Science</v>
      </c>
    </row>
    <row r="1606" spans="1:79" ht="12.5" x14ac:dyDescent="0.25">
      <c r="B1606" t="s">
        <v>8495</v>
      </c>
      <c r="D1606" s="22" t="s">
        <v>32931</v>
      </c>
      <c r="E1606" s="7"/>
      <c r="F1606" s="7"/>
      <c r="G1606" s="7"/>
      <c r="H1606" t="s">
        <v>67</v>
      </c>
      <c r="I1606" t="s">
        <v>18902</v>
      </c>
      <c r="J1606" t="s">
        <v>69</v>
      </c>
      <c r="K1606" t="s">
        <v>69</v>
      </c>
      <c r="L1606" t="s">
        <v>69</v>
      </c>
      <c r="M1606" t="s">
        <v>18903</v>
      </c>
      <c r="N1606" t="s">
        <v>69</v>
      </c>
      <c r="O1606" t="s">
        <v>69</v>
      </c>
      <c r="P1606" t="s">
        <v>18904</v>
      </c>
      <c r="Q1606" t="s">
        <v>18905</v>
      </c>
      <c r="R1606" t="s">
        <v>69</v>
      </c>
      <c r="S1606" t="s">
        <v>69</v>
      </c>
      <c r="T1606" t="s">
        <v>8505</v>
      </c>
      <c r="U1606" t="s">
        <v>8506</v>
      </c>
      <c r="V1606" t="s">
        <v>69</v>
      </c>
      <c r="W1606" t="s">
        <v>69</v>
      </c>
      <c r="X1606" t="s">
        <v>69</v>
      </c>
      <c r="Y1606" t="s">
        <v>69</v>
      </c>
      <c r="Z1606" t="s">
        <v>69</v>
      </c>
      <c r="AA1606" t="s">
        <v>18906</v>
      </c>
      <c r="AB1606" t="s">
        <v>18907</v>
      </c>
      <c r="AC1606" t="s">
        <v>18908</v>
      </c>
      <c r="AD1606" t="s">
        <v>18909</v>
      </c>
      <c r="AE1606" t="s">
        <v>69</v>
      </c>
      <c r="AF1606" t="s">
        <v>18910</v>
      </c>
      <c r="AG1606" t="s">
        <v>18911</v>
      </c>
      <c r="AH1606" t="s">
        <v>69</v>
      </c>
      <c r="AI1606" t="s">
        <v>18912</v>
      </c>
      <c r="AJ1606" t="s">
        <v>69</v>
      </c>
      <c r="AK1606" t="s">
        <v>69</v>
      </c>
      <c r="AL1606" t="s">
        <v>69</v>
      </c>
      <c r="AM1606" t="s">
        <v>69</v>
      </c>
      <c r="AN1606">
        <v>85</v>
      </c>
      <c r="AO1606">
        <v>6</v>
      </c>
      <c r="AP1606">
        <v>7</v>
      </c>
      <c r="AQ1606">
        <v>5</v>
      </c>
      <c r="AR1606">
        <v>59</v>
      </c>
      <c r="AS1606" t="s">
        <v>10352</v>
      </c>
      <c r="AT1606" t="s">
        <v>8637</v>
      </c>
      <c r="AU1606" t="s">
        <v>10353</v>
      </c>
      <c r="AV1606" t="s">
        <v>18913</v>
      </c>
      <c r="AW1606" t="s">
        <v>18914</v>
      </c>
      <c r="AX1606" t="s">
        <v>69</v>
      </c>
      <c r="AY1606" t="s">
        <v>18915</v>
      </c>
      <c r="AZ1606" t="s">
        <v>18916</v>
      </c>
      <c r="BA1606" t="s">
        <v>586</v>
      </c>
      <c r="BB1606">
        <v>2018</v>
      </c>
      <c r="BC1606">
        <v>42</v>
      </c>
      <c r="BD1606">
        <v>3</v>
      </c>
      <c r="BE1606" t="s">
        <v>69</v>
      </c>
      <c r="BF1606" t="s">
        <v>69</v>
      </c>
      <c r="BG1606" t="s">
        <v>69</v>
      </c>
      <c r="BH1606" t="s">
        <v>69</v>
      </c>
      <c r="BI1606">
        <v>729</v>
      </c>
      <c r="BJ1606">
        <v>755</v>
      </c>
      <c r="BK1606" t="s">
        <v>69</v>
      </c>
      <c r="BL1606" t="s">
        <v>18917</v>
      </c>
      <c r="BM1606" t="str">
        <f>HYPERLINK("http://dx.doi.org/10.1093/cje/bex054","http://dx.doi.org/10.1093/cje/bex054")</f>
        <v>http://dx.doi.org/10.1093/cje/bex054</v>
      </c>
      <c r="BN1606" t="s">
        <v>69</v>
      </c>
      <c r="BO1606" t="s">
        <v>69</v>
      </c>
      <c r="BP1606">
        <v>27</v>
      </c>
      <c r="BQ1606" t="s">
        <v>9726</v>
      </c>
      <c r="BR1606" t="s">
        <v>8661</v>
      </c>
      <c r="BS1606" t="s">
        <v>8594</v>
      </c>
      <c r="BT1606" t="s">
        <v>18918</v>
      </c>
      <c r="BU1606" t="s">
        <v>18919</v>
      </c>
      <c r="BV1606" t="s">
        <v>69</v>
      </c>
      <c r="BW1606" t="s">
        <v>9292</v>
      </c>
      <c r="BX1606" t="s">
        <v>69</v>
      </c>
      <c r="BY1606" t="s">
        <v>69</v>
      </c>
      <c r="BZ1606" t="s">
        <v>8526</v>
      </c>
      <c r="CA1606" t="str">
        <f>HYPERLINK("https%3A%2F%2Fwww.webofscience.com%2Fwos%2Fwoscc%2Ffull-record%2FWOS:000431234300006","View Full Record in Web of Science")</f>
        <v>View Full Record in Web of Science</v>
      </c>
    </row>
    <row r="1607" spans="1:79" ht="12.5" x14ac:dyDescent="0.25">
      <c r="B1607" t="s">
        <v>8495</v>
      </c>
      <c r="D1607" s="22" t="s">
        <v>32931</v>
      </c>
      <c r="E1607" s="7"/>
      <c r="F1607" s="7"/>
      <c r="G1607" s="7"/>
      <c r="H1607" t="s">
        <v>67</v>
      </c>
      <c r="I1607" t="s">
        <v>27439</v>
      </c>
      <c r="J1607" t="s">
        <v>69</v>
      </c>
      <c r="K1607" t="s">
        <v>69</v>
      </c>
      <c r="L1607" t="s">
        <v>69</v>
      </c>
      <c r="M1607" t="s">
        <v>27440</v>
      </c>
      <c r="N1607" t="s">
        <v>69</v>
      </c>
      <c r="O1607" t="s">
        <v>69</v>
      </c>
      <c r="P1607" t="s">
        <v>27441</v>
      </c>
      <c r="Q1607" t="s">
        <v>26560</v>
      </c>
      <c r="R1607" t="s">
        <v>69</v>
      </c>
      <c r="S1607" t="s">
        <v>69</v>
      </c>
      <c r="T1607" t="s">
        <v>8505</v>
      </c>
      <c r="U1607" t="s">
        <v>8506</v>
      </c>
      <c r="V1607" t="s">
        <v>69</v>
      </c>
      <c r="W1607" t="s">
        <v>69</v>
      </c>
      <c r="X1607" t="s">
        <v>69</v>
      </c>
      <c r="Y1607" t="s">
        <v>69</v>
      </c>
      <c r="Z1607" t="s">
        <v>69</v>
      </c>
      <c r="AA1607" t="s">
        <v>27442</v>
      </c>
      <c r="AB1607" t="s">
        <v>69</v>
      </c>
      <c r="AC1607" t="s">
        <v>27443</v>
      </c>
      <c r="AD1607" t="s">
        <v>27444</v>
      </c>
      <c r="AE1607" t="s">
        <v>69</v>
      </c>
      <c r="AF1607" t="s">
        <v>27445</v>
      </c>
      <c r="AG1607" t="s">
        <v>27446</v>
      </c>
      <c r="AH1607" t="s">
        <v>69</v>
      </c>
      <c r="AI1607" t="s">
        <v>69</v>
      </c>
      <c r="AJ1607" t="s">
        <v>69</v>
      </c>
      <c r="AK1607" t="s">
        <v>69</v>
      </c>
      <c r="AL1607" t="s">
        <v>69</v>
      </c>
      <c r="AM1607" t="s">
        <v>69</v>
      </c>
      <c r="AN1607">
        <v>3</v>
      </c>
      <c r="AO1607">
        <v>6</v>
      </c>
      <c r="AP1607">
        <v>6</v>
      </c>
      <c r="AQ1607">
        <v>0</v>
      </c>
      <c r="AR1607">
        <v>0</v>
      </c>
      <c r="AS1607" t="s">
        <v>8586</v>
      </c>
      <c r="AT1607" t="s">
        <v>8587</v>
      </c>
      <c r="AU1607" t="s">
        <v>8588</v>
      </c>
      <c r="AV1607" t="s">
        <v>26566</v>
      </c>
      <c r="AW1607" t="s">
        <v>26567</v>
      </c>
      <c r="AX1607" t="s">
        <v>69</v>
      </c>
      <c r="AY1607" t="s">
        <v>26568</v>
      </c>
      <c r="AZ1607" t="s">
        <v>26569</v>
      </c>
      <c r="BA1607" t="s">
        <v>69</v>
      </c>
      <c r="BB1607">
        <v>2011</v>
      </c>
      <c r="BC1607">
        <v>18</v>
      </c>
      <c r="BD1607">
        <v>1</v>
      </c>
      <c r="BE1607" t="s">
        <v>69</v>
      </c>
      <c r="BF1607" t="s">
        <v>69</v>
      </c>
      <c r="BG1607" t="s">
        <v>114</v>
      </c>
      <c r="BH1607" t="s">
        <v>69</v>
      </c>
      <c r="BI1607">
        <v>10</v>
      </c>
      <c r="BJ1607" t="s">
        <v>219</v>
      </c>
      <c r="BK1607" t="s">
        <v>69</v>
      </c>
      <c r="BL1607" t="s">
        <v>27447</v>
      </c>
      <c r="BM1607" t="str">
        <f>HYPERLINK("http://dx.doi.org/10.1108/09696471111095966","http://dx.doi.org/10.1108/09696471111095966")</f>
        <v>http://dx.doi.org/10.1108/09696471111095966</v>
      </c>
      <c r="BN1607" t="s">
        <v>69</v>
      </c>
      <c r="BO1607" t="s">
        <v>69</v>
      </c>
      <c r="BP1607">
        <v>12</v>
      </c>
      <c r="BQ1607" t="s">
        <v>9410</v>
      </c>
      <c r="BR1607" t="s">
        <v>8573</v>
      </c>
      <c r="BS1607" t="s">
        <v>8594</v>
      </c>
      <c r="BT1607" t="s">
        <v>27448</v>
      </c>
      <c r="BU1607" t="s">
        <v>27449</v>
      </c>
      <c r="BV1607" t="s">
        <v>69</v>
      </c>
      <c r="BW1607" t="s">
        <v>69</v>
      </c>
      <c r="BX1607" t="s">
        <v>69</v>
      </c>
      <c r="BY1607" t="s">
        <v>69</v>
      </c>
      <c r="BZ1607" t="s">
        <v>8526</v>
      </c>
      <c r="CA1607" t="str">
        <f>HYPERLINK("https%3A%2F%2Fwww.webofscience.com%2Fwos%2Fwoscc%2Ffull-record%2FWOS:000211577400002","View Full Record in Web of Science")</f>
        <v>View Full Record in Web of Science</v>
      </c>
    </row>
    <row r="1608" spans="1:79" ht="12.5" x14ac:dyDescent="0.25">
      <c r="B1608" t="s">
        <v>8495</v>
      </c>
      <c r="D1608" s="22" t="s">
        <v>32931</v>
      </c>
      <c r="E1608" s="7"/>
      <c r="F1608" s="7"/>
      <c r="G1608" s="7"/>
      <c r="H1608" t="s">
        <v>67</v>
      </c>
      <c r="I1608" t="s">
        <v>9249</v>
      </c>
      <c r="J1608" t="s">
        <v>69</v>
      </c>
      <c r="K1608" t="s">
        <v>69</v>
      </c>
      <c r="L1608" t="s">
        <v>69</v>
      </c>
      <c r="M1608" t="s">
        <v>9250</v>
      </c>
      <c r="N1608" t="s">
        <v>69</v>
      </c>
      <c r="O1608" t="s">
        <v>69</v>
      </c>
      <c r="P1608" t="s">
        <v>9251</v>
      </c>
      <c r="Q1608" t="s">
        <v>9252</v>
      </c>
      <c r="R1608" t="s">
        <v>69</v>
      </c>
      <c r="S1608" t="s">
        <v>69</v>
      </c>
      <c r="T1608" t="s">
        <v>8505</v>
      </c>
      <c r="U1608" t="s">
        <v>9035</v>
      </c>
      <c r="V1608" t="s">
        <v>69</v>
      </c>
      <c r="W1608" t="s">
        <v>69</v>
      </c>
      <c r="X1608" t="s">
        <v>69</v>
      </c>
      <c r="Y1608" t="s">
        <v>69</v>
      </c>
      <c r="Z1608" t="s">
        <v>69</v>
      </c>
      <c r="AA1608" t="s">
        <v>9253</v>
      </c>
      <c r="AB1608" t="s">
        <v>9254</v>
      </c>
      <c r="AC1608" t="s">
        <v>9255</v>
      </c>
      <c r="AD1608" t="s">
        <v>9256</v>
      </c>
      <c r="AE1608" t="s">
        <v>69</v>
      </c>
      <c r="AF1608" t="s">
        <v>9257</v>
      </c>
      <c r="AG1608" t="s">
        <v>9258</v>
      </c>
      <c r="AH1608" t="s">
        <v>9259</v>
      </c>
      <c r="AI1608" t="s">
        <v>9260</v>
      </c>
      <c r="AJ1608" t="s">
        <v>9261</v>
      </c>
      <c r="AK1608" t="s">
        <v>9262</v>
      </c>
      <c r="AL1608" t="s">
        <v>9263</v>
      </c>
      <c r="AM1608" t="s">
        <v>69</v>
      </c>
      <c r="AN1608">
        <v>115</v>
      </c>
      <c r="AO1608">
        <v>0</v>
      </c>
      <c r="AP1608">
        <v>0</v>
      </c>
      <c r="AQ1608">
        <v>6</v>
      </c>
      <c r="AR1608">
        <v>6</v>
      </c>
      <c r="AS1608" t="s">
        <v>8586</v>
      </c>
      <c r="AT1608" t="s">
        <v>8587</v>
      </c>
      <c r="AU1608" t="s">
        <v>8588</v>
      </c>
      <c r="AV1608" t="s">
        <v>9264</v>
      </c>
      <c r="AW1608" t="s">
        <v>9265</v>
      </c>
      <c r="AX1608" t="s">
        <v>69</v>
      </c>
      <c r="AY1608" t="s">
        <v>9266</v>
      </c>
      <c r="AZ1608" t="s">
        <v>9267</v>
      </c>
      <c r="BA1608" t="s">
        <v>69</v>
      </c>
      <c r="BB1608" t="s">
        <v>69</v>
      </c>
      <c r="BC1608" t="s">
        <v>69</v>
      </c>
      <c r="BD1608" t="s">
        <v>69</v>
      </c>
      <c r="BE1608" t="s">
        <v>69</v>
      </c>
      <c r="BF1608" t="s">
        <v>69</v>
      </c>
      <c r="BG1608" t="s">
        <v>69</v>
      </c>
      <c r="BH1608" t="s">
        <v>69</v>
      </c>
      <c r="BI1608" t="s">
        <v>69</v>
      </c>
      <c r="BJ1608" t="s">
        <v>69</v>
      </c>
      <c r="BK1608" t="s">
        <v>69</v>
      </c>
      <c r="BL1608" t="s">
        <v>9268</v>
      </c>
      <c r="BM1608" t="str">
        <f>HYPERLINK("http://dx.doi.org/10.1108/JEEE-12-2021-0455","http://dx.doi.org/10.1108/JEEE-12-2021-0455")</f>
        <v>http://dx.doi.org/10.1108/JEEE-12-2021-0455</v>
      </c>
      <c r="BN1608" t="s">
        <v>69</v>
      </c>
      <c r="BO1608" t="s">
        <v>9228</v>
      </c>
      <c r="BP1608">
        <v>21</v>
      </c>
      <c r="BQ1608" t="s">
        <v>8444</v>
      </c>
      <c r="BR1608" t="s">
        <v>8573</v>
      </c>
      <c r="BS1608" t="s">
        <v>8594</v>
      </c>
      <c r="BT1608" t="s">
        <v>9269</v>
      </c>
      <c r="BU1608" t="s">
        <v>9270</v>
      </c>
      <c r="BV1608" t="s">
        <v>69</v>
      </c>
      <c r="BW1608" t="s">
        <v>69</v>
      </c>
      <c r="BX1608" t="s">
        <v>69</v>
      </c>
      <c r="BY1608" t="s">
        <v>69</v>
      </c>
      <c r="BZ1608" t="s">
        <v>8526</v>
      </c>
      <c r="CA1608" t="str">
        <f>HYPERLINK("https%3A%2F%2Fwww.webofscience.com%2Fwos%2Fwoscc%2Ffull-record%2FWOS:000783838100001","View Full Record in Web of Science")</f>
        <v>View Full Record in Web of Science</v>
      </c>
    </row>
    <row r="1609" spans="1:79" ht="12.5" x14ac:dyDescent="0.25">
      <c r="B1609" t="s">
        <v>8495</v>
      </c>
      <c r="D1609" s="22" t="s">
        <v>32931</v>
      </c>
      <c r="E1609" s="7"/>
      <c r="F1609" s="7"/>
      <c r="G1609" s="7"/>
      <c r="H1609" t="s">
        <v>67</v>
      </c>
      <c r="I1609" t="s">
        <v>8528</v>
      </c>
      <c r="J1609" t="s">
        <v>69</v>
      </c>
      <c r="K1609" t="s">
        <v>69</v>
      </c>
      <c r="L1609" t="s">
        <v>69</v>
      </c>
      <c r="M1609" t="s">
        <v>8529</v>
      </c>
      <c r="N1609" t="s">
        <v>69</v>
      </c>
      <c r="O1609" t="s">
        <v>69</v>
      </c>
      <c r="P1609" t="s">
        <v>8530</v>
      </c>
      <c r="Q1609" t="s">
        <v>8531</v>
      </c>
      <c r="R1609" t="s">
        <v>69</v>
      </c>
      <c r="S1609" t="s">
        <v>69</v>
      </c>
      <c r="T1609" t="s">
        <v>8505</v>
      </c>
      <c r="U1609" t="s">
        <v>8506</v>
      </c>
      <c r="V1609" t="s">
        <v>69</v>
      </c>
      <c r="W1609" t="s">
        <v>69</v>
      </c>
      <c r="X1609" t="s">
        <v>69</v>
      </c>
      <c r="Y1609" t="s">
        <v>69</v>
      </c>
      <c r="Z1609" t="s">
        <v>69</v>
      </c>
      <c r="AA1609" t="s">
        <v>8532</v>
      </c>
      <c r="AB1609" t="s">
        <v>8533</v>
      </c>
      <c r="AC1609" t="s">
        <v>8534</v>
      </c>
      <c r="AD1609" t="s">
        <v>8535</v>
      </c>
      <c r="AE1609" t="s">
        <v>69</v>
      </c>
      <c r="AF1609" t="s">
        <v>8536</v>
      </c>
      <c r="AG1609" t="s">
        <v>8537</v>
      </c>
      <c r="AH1609" t="s">
        <v>69</v>
      </c>
      <c r="AI1609" t="s">
        <v>8538</v>
      </c>
      <c r="AJ1609" t="s">
        <v>69</v>
      </c>
      <c r="AK1609" t="s">
        <v>69</v>
      </c>
      <c r="AL1609" t="s">
        <v>69</v>
      </c>
      <c r="AM1609" t="s">
        <v>69</v>
      </c>
      <c r="AN1609">
        <v>80</v>
      </c>
      <c r="AO1609">
        <v>0</v>
      </c>
      <c r="AP1609">
        <v>0</v>
      </c>
      <c r="AQ1609">
        <v>2</v>
      </c>
      <c r="AR1609">
        <v>2</v>
      </c>
      <c r="AS1609" t="s">
        <v>8539</v>
      </c>
      <c r="AT1609" t="s">
        <v>8540</v>
      </c>
      <c r="AU1609" t="s">
        <v>8541</v>
      </c>
      <c r="AV1609" t="s">
        <v>8542</v>
      </c>
      <c r="AW1609" t="s">
        <v>8543</v>
      </c>
      <c r="AX1609" t="s">
        <v>69</v>
      </c>
      <c r="AY1609" t="s">
        <v>8544</v>
      </c>
      <c r="AZ1609" t="s">
        <v>8545</v>
      </c>
      <c r="BA1609" t="s">
        <v>477</v>
      </c>
      <c r="BB1609">
        <v>2022</v>
      </c>
      <c r="BC1609">
        <v>148</v>
      </c>
      <c r="BD1609">
        <v>9</v>
      </c>
      <c r="BE1609" t="s">
        <v>69</v>
      </c>
      <c r="BF1609" t="s">
        <v>69</v>
      </c>
      <c r="BG1609" t="s">
        <v>69</v>
      </c>
      <c r="BH1609" t="s">
        <v>69</v>
      </c>
      <c r="BI1609" t="s">
        <v>69</v>
      </c>
      <c r="BJ1609" t="s">
        <v>69</v>
      </c>
      <c r="BK1609">
        <v>4022085</v>
      </c>
      <c r="BL1609" t="s">
        <v>8546</v>
      </c>
      <c r="BM1609" t="str">
        <f>HYPERLINK("http://dx.doi.org/10.1061/(ASCE)CO.1943-7862.0002350","http://dx.doi.org/10.1061/(ASCE)CO.1943-7862.0002350")</f>
        <v>http://dx.doi.org/10.1061/(ASCE)CO.1943-7862.0002350</v>
      </c>
      <c r="BN1609" t="s">
        <v>69</v>
      </c>
      <c r="BO1609" t="s">
        <v>69</v>
      </c>
      <c r="BP1609">
        <v>19</v>
      </c>
      <c r="BQ1609" t="s">
        <v>8547</v>
      </c>
      <c r="BR1609" t="s">
        <v>8548</v>
      </c>
      <c r="BS1609" t="s">
        <v>8549</v>
      </c>
      <c r="BT1609" t="s">
        <v>8550</v>
      </c>
      <c r="BU1609" t="s">
        <v>8551</v>
      </c>
      <c r="BV1609" t="s">
        <v>69</v>
      </c>
      <c r="BW1609" t="s">
        <v>69</v>
      </c>
      <c r="BX1609" t="s">
        <v>69</v>
      </c>
      <c r="BY1609" t="s">
        <v>69</v>
      </c>
      <c r="BZ1609" t="s">
        <v>8526</v>
      </c>
      <c r="CA1609" t="str">
        <f>HYPERLINK("https%3A%2F%2Fwww.webofscience.com%2Fwos%2Fwoscc%2Ffull-record%2FWOS:000825748300021","View Full Record in Web of Science")</f>
        <v>View Full Record in Web of Science</v>
      </c>
    </row>
    <row r="1610" spans="1:79" ht="12.5" x14ac:dyDescent="0.25">
      <c r="B1610" t="s">
        <v>8495</v>
      </c>
      <c r="D1610" s="7" t="s">
        <v>32933</v>
      </c>
      <c r="E1610" s="7"/>
      <c r="F1610" s="7"/>
      <c r="G1610" s="7"/>
      <c r="H1610" t="s">
        <v>67</v>
      </c>
      <c r="I1610" t="s">
        <v>7259</v>
      </c>
      <c r="J1610" t="s">
        <v>69</v>
      </c>
      <c r="K1610" t="s">
        <v>69</v>
      </c>
      <c r="L1610" t="s">
        <v>69</v>
      </c>
      <c r="M1610" t="s">
        <v>7260</v>
      </c>
      <c r="N1610" t="s">
        <v>69</v>
      </c>
      <c r="O1610" t="s">
        <v>69</v>
      </c>
      <c r="P1610" t="s">
        <v>7261</v>
      </c>
      <c r="Q1610" t="s">
        <v>7262</v>
      </c>
      <c r="R1610" t="s">
        <v>69</v>
      </c>
      <c r="S1610" t="s">
        <v>69</v>
      </c>
      <c r="T1610" t="s">
        <v>14800</v>
      </c>
      <c r="U1610" t="s">
        <v>8506</v>
      </c>
      <c r="V1610" t="s">
        <v>69</v>
      </c>
      <c r="W1610" t="s">
        <v>69</v>
      </c>
      <c r="X1610" t="s">
        <v>69</v>
      </c>
      <c r="Y1610" t="s">
        <v>69</v>
      </c>
      <c r="Z1610" t="s">
        <v>69</v>
      </c>
      <c r="AA1610" t="s">
        <v>18324</v>
      </c>
      <c r="AB1610" t="s">
        <v>18325</v>
      </c>
      <c r="AC1610" t="s">
        <v>7263</v>
      </c>
      <c r="AD1610" t="s">
        <v>18326</v>
      </c>
      <c r="AE1610" t="s">
        <v>69</v>
      </c>
      <c r="AF1610" t="s">
        <v>18327</v>
      </c>
      <c r="AG1610" t="s">
        <v>18328</v>
      </c>
      <c r="AH1610" t="s">
        <v>69</v>
      </c>
      <c r="AI1610" t="s">
        <v>69</v>
      </c>
      <c r="AJ1610" t="s">
        <v>69</v>
      </c>
      <c r="AK1610" t="s">
        <v>69</v>
      </c>
      <c r="AL1610" t="s">
        <v>69</v>
      </c>
      <c r="AM1610" t="s">
        <v>69</v>
      </c>
      <c r="AN1610">
        <v>30</v>
      </c>
      <c r="AO1610">
        <v>4</v>
      </c>
      <c r="AP1610">
        <v>4</v>
      </c>
      <c r="AQ1610">
        <v>0</v>
      </c>
      <c r="AR1610">
        <v>1</v>
      </c>
      <c r="AS1610" t="s">
        <v>18329</v>
      </c>
      <c r="AT1610" t="s">
        <v>18330</v>
      </c>
      <c r="AU1610" t="s">
        <v>18331</v>
      </c>
      <c r="AV1610" t="s">
        <v>7264</v>
      </c>
      <c r="AW1610" t="s">
        <v>7265</v>
      </c>
      <c r="AX1610" t="s">
        <v>69</v>
      </c>
      <c r="AY1610" t="s">
        <v>18332</v>
      </c>
      <c r="AZ1610" t="s">
        <v>18333</v>
      </c>
      <c r="BA1610" t="s">
        <v>1774</v>
      </c>
      <c r="BB1610">
        <v>2018</v>
      </c>
      <c r="BC1610">
        <v>17</v>
      </c>
      <c r="BD1610">
        <v>5</v>
      </c>
      <c r="BE1610" t="s">
        <v>69</v>
      </c>
      <c r="BF1610" t="s">
        <v>69</v>
      </c>
      <c r="BG1610" t="s">
        <v>69</v>
      </c>
      <c r="BH1610" t="s">
        <v>69</v>
      </c>
      <c r="BI1610">
        <v>467</v>
      </c>
      <c r="BJ1610">
        <v>480</v>
      </c>
      <c r="BK1610" t="s">
        <v>69</v>
      </c>
      <c r="BL1610" t="s">
        <v>7266</v>
      </c>
      <c r="BM1610" t="str">
        <f>HYPERLINK("http://dx.doi.org/10.1684/ers.2018.1220","http://dx.doi.org/10.1684/ers.2018.1220")</f>
        <v>http://dx.doi.org/10.1684/ers.2018.1220</v>
      </c>
      <c r="BN1610" t="s">
        <v>69</v>
      </c>
      <c r="BO1610" t="s">
        <v>69</v>
      </c>
      <c r="BP1610">
        <v>14</v>
      </c>
      <c r="BQ1610" t="s">
        <v>8810</v>
      </c>
      <c r="BR1610" t="s">
        <v>8573</v>
      </c>
      <c r="BS1610" t="s">
        <v>8810</v>
      </c>
      <c r="BT1610" t="s">
        <v>18334</v>
      </c>
      <c r="BU1610" t="s">
        <v>7267</v>
      </c>
      <c r="BV1610" t="s">
        <v>69</v>
      </c>
      <c r="BW1610" t="s">
        <v>69</v>
      </c>
      <c r="BX1610" t="s">
        <v>69</v>
      </c>
      <c r="BY1610" t="s">
        <v>69</v>
      </c>
      <c r="BZ1610" t="s">
        <v>8526</v>
      </c>
      <c r="CA1610" t="str">
        <f>HYPERLINK("https%3A%2F%2Fwww.webofscience.com%2Fwos%2Fwoscc%2Ffull-record%2FWOS:000452912300016","View Full Record in Web of Science")</f>
        <v>View Full Record in Web of Science</v>
      </c>
    </row>
    <row r="1611" spans="1:79" ht="12.5" x14ac:dyDescent="0.25">
      <c r="B1611" t="s">
        <v>8495</v>
      </c>
      <c r="D1611" s="22" t="s">
        <v>32931</v>
      </c>
      <c r="E1611" s="7"/>
      <c r="F1611" s="7"/>
      <c r="G1611" s="7"/>
      <c r="H1611" t="s">
        <v>67</v>
      </c>
      <c r="I1611" t="s">
        <v>27303</v>
      </c>
      <c r="J1611" t="s">
        <v>69</v>
      </c>
      <c r="K1611" t="s">
        <v>69</v>
      </c>
      <c r="L1611" t="s">
        <v>69</v>
      </c>
      <c r="M1611" t="s">
        <v>27304</v>
      </c>
      <c r="N1611" t="s">
        <v>69</v>
      </c>
      <c r="O1611" t="s">
        <v>69</v>
      </c>
      <c r="P1611" t="s">
        <v>27305</v>
      </c>
      <c r="Q1611" t="s">
        <v>27306</v>
      </c>
      <c r="R1611" t="s">
        <v>69</v>
      </c>
      <c r="S1611" t="s">
        <v>69</v>
      </c>
      <c r="T1611" t="s">
        <v>8505</v>
      </c>
      <c r="U1611" t="s">
        <v>8442</v>
      </c>
      <c r="V1611" t="s">
        <v>69</v>
      </c>
      <c r="W1611" t="s">
        <v>69</v>
      </c>
      <c r="X1611" t="s">
        <v>69</v>
      </c>
      <c r="Y1611" t="s">
        <v>69</v>
      </c>
      <c r="Z1611" t="s">
        <v>69</v>
      </c>
      <c r="AA1611" t="s">
        <v>69</v>
      </c>
      <c r="AB1611" t="s">
        <v>27307</v>
      </c>
      <c r="AC1611" t="s">
        <v>27308</v>
      </c>
      <c r="AD1611" t="s">
        <v>27309</v>
      </c>
      <c r="AE1611" t="s">
        <v>69</v>
      </c>
      <c r="AF1611" t="s">
        <v>27310</v>
      </c>
      <c r="AG1611" t="s">
        <v>27022</v>
      </c>
      <c r="AH1611" t="s">
        <v>27311</v>
      </c>
      <c r="AI1611" t="s">
        <v>27024</v>
      </c>
      <c r="AJ1611" t="s">
        <v>27312</v>
      </c>
      <c r="AK1611" t="s">
        <v>27313</v>
      </c>
      <c r="AL1611" t="s">
        <v>69</v>
      </c>
      <c r="AM1611" t="s">
        <v>69</v>
      </c>
      <c r="AN1611">
        <v>36</v>
      </c>
      <c r="AO1611">
        <v>16</v>
      </c>
      <c r="AP1611">
        <v>16</v>
      </c>
      <c r="AQ1611">
        <v>2</v>
      </c>
      <c r="AR1611">
        <v>52</v>
      </c>
      <c r="AS1611" t="s">
        <v>8846</v>
      </c>
      <c r="AT1611" t="s">
        <v>8847</v>
      </c>
      <c r="AU1611" t="s">
        <v>8848</v>
      </c>
      <c r="AV1611" t="s">
        <v>27314</v>
      </c>
      <c r="AW1611" t="s">
        <v>27315</v>
      </c>
      <c r="AX1611" t="s">
        <v>69</v>
      </c>
      <c r="AY1611" t="s">
        <v>27316</v>
      </c>
      <c r="AZ1611" t="s">
        <v>27317</v>
      </c>
      <c r="BA1611" t="s">
        <v>69</v>
      </c>
      <c r="BB1611">
        <v>2011</v>
      </c>
      <c r="BC1611" t="s">
        <v>69</v>
      </c>
      <c r="BD1611">
        <v>1</v>
      </c>
      <c r="BE1611" t="s">
        <v>69</v>
      </c>
      <c r="BF1611" t="s">
        <v>69</v>
      </c>
      <c r="BG1611" t="s">
        <v>69</v>
      </c>
      <c r="BH1611" t="s">
        <v>69</v>
      </c>
      <c r="BI1611" t="s">
        <v>69</v>
      </c>
      <c r="BJ1611" t="s">
        <v>69</v>
      </c>
      <c r="BK1611" t="s">
        <v>27318</v>
      </c>
      <c r="BL1611" t="s">
        <v>27319</v>
      </c>
      <c r="BM1611" t="str">
        <f>HYPERLINK("http://dx.doi.org/10.1002/14651858.CD008315.pub2","http://dx.doi.org/10.1002/14651858.CD008315.pub2")</f>
        <v>http://dx.doi.org/10.1002/14651858.CD008315.pub2</v>
      </c>
      <c r="BN1611" t="s">
        <v>69</v>
      </c>
      <c r="BO1611" t="s">
        <v>69</v>
      </c>
      <c r="BP1611">
        <v>14</v>
      </c>
      <c r="BQ1611" t="s">
        <v>9450</v>
      </c>
      <c r="BR1611" t="s">
        <v>8523</v>
      </c>
      <c r="BS1611" t="s">
        <v>9451</v>
      </c>
      <c r="BT1611" t="s">
        <v>27320</v>
      </c>
      <c r="BU1611" t="s">
        <v>27321</v>
      </c>
      <c r="BV1611">
        <v>21249706</v>
      </c>
      <c r="BW1611" t="s">
        <v>9292</v>
      </c>
      <c r="BX1611" t="s">
        <v>69</v>
      </c>
      <c r="BY1611" t="s">
        <v>69</v>
      </c>
      <c r="BZ1611" t="s">
        <v>8526</v>
      </c>
      <c r="CA1611" t="str">
        <f>HYPERLINK("https%3A%2F%2Fwww.webofscience.com%2Fwos%2Fwoscc%2Ffull-record%2FWOS:000286393200030","View Full Record in Web of Science")</f>
        <v>View Full Record in Web of Science</v>
      </c>
    </row>
    <row r="1612" spans="1:79" ht="12.5" x14ac:dyDescent="0.25">
      <c r="B1612" t="s">
        <v>8495</v>
      </c>
      <c r="D1612" s="22" t="s">
        <v>32931</v>
      </c>
      <c r="E1612" s="7"/>
      <c r="F1612" s="7"/>
      <c r="G1612" s="7"/>
      <c r="H1612" t="s">
        <v>67</v>
      </c>
      <c r="I1612" t="s">
        <v>27015</v>
      </c>
      <c r="J1612" t="s">
        <v>69</v>
      </c>
      <c r="K1612" t="s">
        <v>69</v>
      </c>
      <c r="L1612" t="s">
        <v>69</v>
      </c>
      <c r="M1612" t="s">
        <v>27016</v>
      </c>
      <c r="N1612" t="s">
        <v>69</v>
      </c>
      <c r="O1612" t="s">
        <v>69</v>
      </c>
      <c r="P1612" t="s">
        <v>27017</v>
      </c>
      <c r="Q1612" t="s">
        <v>19267</v>
      </c>
      <c r="R1612" t="s">
        <v>69</v>
      </c>
      <c r="S1612" t="s">
        <v>69</v>
      </c>
      <c r="T1612" t="s">
        <v>8505</v>
      </c>
      <c r="U1612" t="s">
        <v>8442</v>
      </c>
      <c r="V1612" t="s">
        <v>69</v>
      </c>
      <c r="W1612" t="s">
        <v>69</v>
      </c>
      <c r="X1612" t="s">
        <v>69</v>
      </c>
      <c r="Y1612" t="s">
        <v>69</v>
      </c>
      <c r="Z1612" t="s">
        <v>69</v>
      </c>
      <c r="AA1612" t="s">
        <v>69</v>
      </c>
      <c r="AB1612" t="s">
        <v>27018</v>
      </c>
      <c r="AC1612" t="s">
        <v>27019</v>
      </c>
      <c r="AD1612" t="s">
        <v>27020</v>
      </c>
      <c r="AE1612" t="s">
        <v>69</v>
      </c>
      <c r="AF1612" t="s">
        <v>27021</v>
      </c>
      <c r="AG1612" t="s">
        <v>27022</v>
      </c>
      <c r="AH1612" t="s">
        <v>27023</v>
      </c>
      <c r="AI1612" t="s">
        <v>27024</v>
      </c>
      <c r="AJ1612" t="s">
        <v>27025</v>
      </c>
      <c r="AK1612" t="s">
        <v>27025</v>
      </c>
      <c r="AL1612" t="s">
        <v>27026</v>
      </c>
      <c r="AM1612" t="s">
        <v>69</v>
      </c>
      <c r="AN1612">
        <v>22</v>
      </c>
      <c r="AO1612">
        <v>124</v>
      </c>
      <c r="AP1612">
        <v>123</v>
      </c>
      <c r="AQ1612">
        <v>2</v>
      </c>
      <c r="AR1612">
        <v>57</v>
      </c>
      <c r="AS1612" t="s">
        <v>9203</v>
      </c>
      <c r="AT1612" t="s">
        <v>8763</v>
      </c>
      <c r="AU1612" t="s">
        <v>9204</v>
      </c>
      <c r="AV1612" t="s">
        <v>19277</v>
      </c>
      <c r="AW1612" t="s">
        <v>69</v>
      </c>
      <c r="AX1612" t="s">
        <v>69</v>
      </c>
      <c r="AY1612" t="s">
        <v>19278</v>
      </c>
      <c r="AZ1612" t="s">
        <v>19279</v>
      </c>
      <c r="BA1612" t="s">
        <v>4530</v>
      </c>
      <c r="BB1612">
        <v>2011</v>
      </c>
      <c r="BC1612">
        <v>6</v>
      </c>
      <c r="BD1612" t="s">
        <v>69</v>
      </c>
      <c r="BE1612" t="s">
        <v>69</v>
      </c>
      <c r="BF1612" t="s">
        <v>69</v>
      </c>
      <c r="BG1612" t="s">
        <v>69</v>
      </c>
      <c r="BH1612" t="s">
        <v>69</v>
      </c>
      <c r="BI1612" t="s">
        <v>69</v>
      </c>
      <c r="BJ1612" t="s">
        <v>69</v>
      </c>
      <c r="BK1612">
        <v>33</v>
      </c>
      <c r="BL1612" t="s">
        <v>27027</v>
      </c>
      <c r="BM1612" t="str">
        <f>HYPERLINK("http://dx.doi.org/10.1186/1748-5908-6-33","http://dx.doi.org/10.1186/1748-5908-6-33")</f>
        <v>http://dx.doi.org/10.1186/1748-5908-6-33</v>
      </c>
      <c r="BN1612" t="s">
        <v>69</v>
      </c>
      <c r="BO1612" t="s">
        <v>69</v>
      </c>
      <c r="BP1612">
        <v>8</v>
      </c>
      <c r="BQ1612" t="s">
        <v>9809</v>
      </c>
      <c r="BR1612" t="s">
        <v>8523</v>
      </c>
      <c r="BS1612" t="s">
        <v>9209</v>
      </c>
      <c r="BT1612" t="s">
        <v>27028</v>
      </c>
      <c r="BU1612" t="s">
        <v>27029</v>
      </c>
      <c r="BV1612">
        <v>21457579</v>
      </c>
      <c r="BW1612" t="s">
        <v>9352</v>
      </c>
      <c r="BX1612" t="s">
        <v>69</v>
      </c>
      <c r="BY1612" t="s">
        <v>69</v>
      </c>
      <c r="BZ1612" t="s">
        <v>8526</v>
      </c>
      <c r="CA1612" t="str">
        <f>HYPERLINK("https%3A%2F%2Fwww.webofscience.com%2Fwos%2Fwoscc%2Ffull-record%2FWOS:000289794500001","View Full Record in Web of Science")</f>
        <v>View Full Record in Web of Science</v>
      </c>
    </row>
    <row r="1613" spans="1:79" ht="12.5" x14ac:dyDescent="0.25">
      <c r="B1613" t="s">
        <v>8495</v>
      </c>
      <c r="D1613" s="22" t="s">
        <v>32931</v>
      </c>
      <c r="E1613" s="7"/>
      <c r="F1613" s="7"/>
      <c r="G1613" s="7"/>
      <c r="H1613" t="s">
        <v>67</v>
      </c>
      <c r="I1613" t="s">
        <v>14226</v>
      </c>
      <c r="J1613" t="s">
        <v>69</v>
      </c>
      <c r="K1613" t="s">
        <v>69</v>
      </c>
      <c r="L1613" t="s">
        <v>69</v>
      </c>
      <c r="M1613" t="s">
        <v>14227</v>
      </c>
      <c r="N1613" t="s">
        <v>69</v>
      </c>
      <c r="O1613" t="s">
        <v>69</v>
      </c>
      <c r="P1613" t="s">
        <v>14228</v>
      </c>
      <c r="Q1613" t="s">
        <v>1405</v>
      </c>
      <c r="R1613" t="s">
        <v>69</v>
      </c>
      <c r="S1613" t="s">
        <v>69</v>
      </c>
      <c r="T1613" t="s">
        <v>8505</v>
      </c>
      <c r="U1613" t="s">
        <v>8506</v>
      </c>
      <c r="V1613" t="s">
        <v>69</v>
      </c>
      <c r="W1613" t="s">
        <v>69</v>
      </c>
      <c r="X1613" t="s">
        <v>69</v>
      </c>
      <c r="Y1613" t="s">
        <v>69</v>
      </c>
      <c r="Z1613" t="s">
        <v>69</v>
      </c>
      <c r="AA1613" t="s">
        <v>14229</v>
      </c>
      <c r="AB1613" t="s">
        <v>14230</v>
      </c>
      <c r="AC1613" t="s">
        <v>14231</v>
      </c>
      <c r="AD1613" t="s">
        <v>14232</v>
      </c>
      <c r="AE1613" t="s">
        <v>69</v>
      </c>
      <c r="AF1613" t="s">
        <v>14233</v>
      </c>
      <c r="AG1613" t="s">
        <v>14234</v>
      </c>
      <c r="AH1613" t="s">
        <v>14235</v>
      </c>
      <c r="AI1613" t="s">
        <v>14236</v>
      </c>
      <c r="AJ1613" t="s">
        <v>14237</v>
      </c>
      <c r="AK1613" t="s">
        <v>14238</v>
      </c>
      <c r="AL1613" t="s">
        <v>14239</v>
      </c>
      <c r="AM1613" t="s">
        <v>69</v>
      </c>
      <c r="AN1613">
        <v>51</v>
      </c>
      <c r="AO1613">
        <v>6</v>
      </c>
      <c r="AP1613">
        <v>6</v>
      </c>
      <c r="AQ1613">
        <v>2</v>
      </c>
      <c r="AR1613">
        <v>14</v>
      </c>
      <c r="AS1613" t="s">
        <v>8636</v>
      </c>
      <c r="AT1613" t="s">
        <v>8637</v>
      </c>
      <c r="AU1613" t="s">
        <v>8638</v>
      </c>
      <c r="AV1613" t="s">
        <v>1407</v>
      </c>
      <c r="AW1613" t="s">
        <v>1408</v>
      </c>
      <c r="AX1613" t="s">
        <v>69</v>
      </c>
      <c r="AY1613" t="s">
        <v>14240</v>
      </c>
      <c r="AZ1613" t="s">
        <v>8486</v>
      </c>
      <c r="BA1613" t="s">
        <v>381</v>
      </c>
      <c r="BB1613">
        <v>2020</v>
      </c>
      <c r="BC1613">
        <v>145</v>
      </c>
      <c r="BD1613" t="s">
        <v>69</v>
      </c>
      <c r="BE1613" t="s">
        <v>69</v>
      </c>
      <c r="BF1613" t="s">
        <v>69</v>
      </c>
      <c r="BG1613" t="s">
        <v>69</v>
      </c>
      <c r="BH1613" t="s">
        <v>69</v>
      </c>
      <c r="BI1613" t="s">
        <v>69</v>
      </c>
      <c r="BJ1613" t="s">
        <v>69</v>
      </c>
      <c r="BK1613">
        <v>111744</v>
      </c>
      <c r="BL1613" t="s">
        <v>14241</v>
      </c>
      <c r="BM1613" t="str">
        <f>HYPERLINK("http://dx.doi.org/10.1016/j.enpol.2020.111744","http://dx.doi.org/10.1016/j.enpol.2020.111744")</f>
        <v>http://dx.doi.org/10.1016/j.enpol.2020.111744</v>
      </c>
      <c r="BN1613" t="s">
        <v>69</v>
      </c>
      <c r="BO1613" t="s">
        <v>69</v>
      </c>
      <c r="BP1613">
        <v>13</v>
      </c>
      <c r="BQ1613" t="s">
        <v>14242</v>
      </c>
      <c r="BR1613" t="s">
        <v>8523</v>
      </c>
      <c r="BS1613" t="s">
        <v>14243</v>
      </c>
      <c r="BT1613" t="s">
        <v>14244</v>
      </c>
      <c r="BU1613" t="s">
        <v>14245</v>
      </c>
      <c r="BV1613" t="s">
        <v>69</v>
      </c>
      <c r="BW1613" t="s">
        <v>69</v>
      </c>
      <c r="BX1613" t="s">
        <v>69</v>
      </c>
      <c r="BY1613" t="s">
        <v>69</v>
      </c>
      <c r="BZ1613" t="s">
        <v>8526</v>
      </c>
      <c r="CA1613" t="str">
        <f>HYPERLINK("https%3A%2F%2Fwww.webofscience.com%2Fwos%2Fwoscc%2Ffull-record%2FWOS:000579443800029","View Full Record in Web of Science")</f>
        <v>View Full Record in Web of Science</v>
      </c>
    </row>
    <row r="1614" spans="1:79" ht="12.5" x14ac:dyDescent="0.25">
      <c r="B1614" t="s">
        <v>8495</v>
      </c>
      <c r="D1614" s="22" t="s">
        <v>32931</v>
      </c>
      <c r="E1614" s="7"/>
      <c r="F1614" s="7"/>
      <c r="G1614" s="7"/>
      <c r="H1614" t="s">
        <v>67</v>
      </c>
      <c r="I1614" t="s">
        <v>27390</v>
      </c>
      <c r="J1614" t="s">
        <v>69</v>
      </c>
      <c r="K1614" t="s">
        <v>69</v>
      </c>
      <c r="L1614" t="s">
        <v>69</v>
      </c>
      <c r="M1614" t="s">
        <v>27391</v>
      </c>
      <c r="N1614" t="s">
        <v>69</v>
      </c>
      <c r="O1614" t="s">
        <v>69</v>
      </c>
      <c r="P1614" t="s">
        <v>27392</v>
      </c>
      <c r="Q1614" t="s">
        <v>26490</v>
      </c>
      <c r="R1614" t="s">
        <v>69</v>
      </c>
      <c r="S1614" t="s">
        <v>69</v>
      </c>
      <c r="T1614" t="s">
        <v>8505</v>
      </c>
      <c r="U1614" t="s">
        <v>8506</v>
      </c>
      <c r="V1614" t="s">
        <v>69</v>
      </c>
      <c r="W1614" t="s">
        <v>69</v>
      </c>
      <c r="X1614" t="s">
        <v>69</v>
      </c>
      <c r="Y1614" t="s">
        <v>69</v>
      </c>
      <c r="Z1614" t="s">
        <v>69</v>
      </c>
      <c r="AA1614" t="s">
        <v>27393</v>
      </c>
      <c r="AB1614" t="s">
        <v>27394</v>
      </c>
      <c r="AC1614" t="s">
        <v>27395</v>
      </c>
      <c r="AD1614" t="s">
        <v>27396</v>
      </c>
      <c r="AE1614" t="s">
        <v>69</v>
      </c>
      <c r="AF1614" t="s">
        <v>27397</v>
      </c>
      <c r="AG1614" t="s">
        <v>27398</v>
      </c>
      <c r="AH1614" t="s">
        <v>27399</v>
      </c>
      <c r="AI1614" t="s">
        <v>27400</v>
      </c>
      <c r="AJ1614" t="s">
        <v>27401</v>
      </c>
      <c r="AK1614" t="s">
        <v>27401</v>
      </c>
      <c r="AL1614" t="s">
        <v>27402</v>
      </c>
      <c r="AM1614" t="s">
        <v>69</v>
      </c>
      <c r="AN1614">
        <v>76</v>
      </c>
      <c r="AO1614">
        <v>20</v>
      </c>
      <c r="AP1614">
        <v>21</v>
      </c>
      <c r="AQ1614">
        <v>1</v>
      </c>
      <c r="AR1614">
        <v>2</v>
      </c>
      <c r="AS1614" t="s">
        <v>8586</v>
      </c>
      <c r="AT1614" t="s">
        <v>8587</v>
      </c>
      <c r="AU1614" t="s">
        <v>8588</v>
      </c>
      <c r="AV1614" t="s">
        <v>26497</v>
      </c>
      <c r="AW1614" t="s">
        <v>26498</v>
      </c>
      <c r="AX1614" t="s">
        <v>69</v>
      </c>
      <c r="AY1614" t="s">
        <v>26499</v>
      </c>
      <c r="AZ1614" t="s">
        <v>26500</v>
      </c>
      <c r="BA1614" t="s">
        <v>69</v>
      </c>
      <c r="BB1614">
        <v>2011</v>
      </c>
      <c r="BC1614">
        <v>7</v>
      </c>
      <c r="BD1614">
        <v>2</v>
      </c>
      <c r="BE1614" t="s">
        <v>69</v>
      </c>
      <c r="BF1614" t="s">
        <v>69</v>
      </c>
      <c r="BG1614" t="s">
        <v>69</v>
      </c>
      <c r="BH1614" t="s">
        <v>69</v>
      </c>
      <c r="BI1614">
        <v>132</v>
      </c>
      <c r="BJ1614" t="s">
        <v>219</v>
      </c>
      <c r="BK1614" t="s">
        <v>69</v>
      </c>
      <c r="BL1614" t="s">
        <v>27403</v>
      </c>
      <c r="BM1614" t="str">
        <f>HYPERLINK("http://dx.doi.org/10.1108/18325911111139671","http://dx.doi.org/10.1108/18325911111139671")</f>
        <v>http://dx.doi.org/10.1108/18325911111139671</v>
      </c>
      <c r="BN1614" t="s">
        <v>69</v>
      </c>
      <c r="BO1614" t="s">
        <v>69</v>
      </c>
      <c r="BP1614">
        <v>27</v>
      </c>
      <c r="BQ1614" t="s">
        <v>9749</v>
      </c>
      <c r="BR1614" t="s">
        <v>8573</v>
      </c>
      <c r="BS1614" t="s">
        <v>8594</v>
      </c>
      <c r="BT1614" t="s">
        <v>27404</v>
      </c>
      <c r="BU1614" t="s">
        <v>27405</v>
      </c>
      <c r="BV1614" t="s">
        <v>69</v>
      </c>
      <c r="BW1614" t="s">
        <v>9292</v>
      </c>
      <c r="BX1614" t="s">
        <v>69</v>
      </c>
      <c r="BY1614" t="s">
        <v>69</v>
      </c>
      <c r="BZ1614" t="s">
        <v>8526</v>
      </c>
      <c r="CA1614" t="str">
        <f>HYPERLINK("https%3A%2F%2Fwww.webofscience.com%2Fwos%2Fwoscc%2Ffull-record%2FWOS:000211662300002","View Full Record in Web of Science")</f>
        <v>View Full Record in Web of Science</v>
      </c>
    </row>
    <row r="1615" spans="1:79" x14ac:dyDescent="0.3">
      <c r="B1615" t="s">
        <v>8495</v>
      </c>
      <c r="D1615" s="9" t="s">
        <v>32954</v>
      </c>
      <c r="E1615" s="9" t="s">
        <v>33139</v>
      </c>
      <c r="F1615" s="9" t="s">
        <v>8491</v>
      </c>
      <c r="G1615" s="9" t="s">
        <v>8490</v>
      </c>
      <c r="H1615" t="s">
        <v>67</v>
      </c>
      <c r="I1615" t="s">
        <v>29875</v>
      </c>
      <c r="J1615" t="s">
        <v>69</v>
      </c>
      <c r="K1615" t="s">
        <v>69</v>
      </c>
      <c r="L1615" t="s">
        <v>69</v>
      </c>
      <c r="M1615" t="s">
        <v>29876</v>
      </c>
      <c r="N1615" t="s">
        <v>69</v>
      </c>
      <c r="O1615" t="s">
        <v>69</v>
      </c>
      <c r="P1615" t="s">
        <v>29877</v>
      </c>
      <c r="Q1615" t="s">
        <v>688</v>
      </c>
      <c r="R1615" t="s">
        <v>69</v>
      </c>
      <c r="S1615" t="s">
        <v>69</v>
      </c>
      <c r="T1615" t="s">
        <v>8505</v>
      </c>
      <c r="U1615" t="s">
        <v>8506</v>
      </c>
      <c r="V1615" t="s">
        <v>69</v>
      </c>
      <c r="W1615" t="s">
        <v>69</v>
      </c>
      <c r="X1615" t="s">
        <v>69</v>
      </c>
      <c r="Y1615" t="s">
        <v>69</v>
      </c>
      <c r="Z1615" t="s">
        <v>69</v>
      </c>
      <c r="AA1615" t="s">
        <v>29878</v>
      </c>
      <c r="AB1615" t="s">
        <v>69</v>
      </c>
      <c r="AC1615" t="s">
        <v>29879</v>
      </c>
      <c r="AD1615" t="s">
        <v>29880</v>
      </c>
      <c r="AE1615" t="s">
        <v>69</v>
      </c>
      <c r="AF1615" t="s">
        <v>29881</v>
      </c>
      <c r="AG1615" t="s">
        <v>69</v>
      </c>
      <c r="AH1615" t="s">
        <v>29882</v>
      </c>
      <c r="AI1615" t="s">
        <v>29883</v>
      </c>
      <c r="AJ1615" t="s">
        <v>69</v>
      </c>
      <c r="AK1615" t="s">
        <v>69</v>
      </c>
      <c r="AL1615" t="s">
        <v>69</v>
      </c>
      <c r="AM1615" t="s">
        <v>69</v>
      </c>
      <c r="AN1615">
        <v>24</v>
      </c>
      <c r="AO1615">
        <v>9</v>
      </c>
      <c r="AP1615">
        <v>9</v>
      </c>
      <c r="AQ1615">
        <v>0</v>
      </c>
      <c r="AR1615">
        <v>0</v>
      </c>
      <c r="AS1615" t="s">
        <v>14471</v>
      </c>
      <c r="AT1615" t="s">
        <v>14472</v>
      </c>
      <c r="AU1615" t="s">
        <v>14473</v>
      </c>
      <c r="AV1615" t="s">
        <v>690</v>
      </c>
      <c r="AW1615" t="s">
        <v>691</v>
      </c>
      <c r="AX1615" t="s">
        <v>69</v>
      </c>
      <c r="AY1615" t="s">
        <v>14474</v>
      </c>
      <c r="AZ1615" t="s">
        <v>14475</v>
      </c>
      <c r="BA1615" t="s">
        <v>69</v>
      </c>
      <c r="BB1615">
        <v>2007</v>
      </c>
      <c r="BC1615">
        <v>7</v>
      </c>
      <c r="BD1615">
        <v>2</v>
      </c>
      <c r="BE1615" t="s">
        <v>69</v>
      </c>
      <c r="BF1615" t="s">
        <v>69</v>
      </c>
      <c r="BG1615" t="s">
        <v>69</v>
      </c>
      <c r="BH1615" t="s">
        <v>69</v>
      </c>
      <c r="BI1615">
        <v>26</v>
      </c>
      <c r="BJ1615">
        <v>36</v>
      </c>
      <c r="BK1615" t="s">
        <v>69</v>
      </c>
      <c r="BL1615" t="s">
        <v>29884</v>
      </c>
      <c r="BM1615" t="str">
        <f>HYPERLINK("http://dx.doi.org/10.5130/AJCEB.v7i2.2988","http://dx.doi.org/10.5130/AJCEB.v7i2.2988")</f>
        <v>http://dx.doi.org/10.5130/AJCEB.v7i2.2988</v>
      </c>
      <c r="BN1615" t="s">
        <v>69</v>
      </c>
      <c r="BO1615" t="s">
        <v>69</v>
      </c>
      <c r="BP1615">
        <v>11</v>
      </c>
      <c r="BQ1615" t="s">
        <v>9410</v>
      </c>
      <c r="BR1615" t="s">
        <v>8573</v>
      </c>
      <c r="BS1615" t="s">
        <v>8594</v>
      </c>
      <c r="BT1615" t="s">
        <v>29885</v>
      </c>
      <c r="BU1615" t="s">
        <v>29886</v>
      </c>
      <c r="BV1615" t="s">
        <v>69</v>
      </c>
      <c r="BW1615" t="s">
        <v>11853</v>
      </c>
      <c r="BX1615" t="s">
        <v>69</v>
      </c>
      <c r="BY1615" t="s">
        <v>69</v>
      </c>
      <c r="BZ1615" t="s">
        <v>8526</v>
      </c>
      <c r="CA1615" t="str">
        <f>HYPERLINK("https%3A%2F%2Fwww.webofscience.com%2Fwos%2Fwoscc%2Ffull-record%2FWOS:000214180500004","View Full Record in Web of Science")</f>
        <v>View Full Record in Web of Science</v>
      </c>
    </row>
    <row r="1616" spans="1:79" ht="12.5" x14ac:dyDescent="0.25">
      <c r="B1616" t="s">
        <v>8495</v>
      </c>
      <c r="D1616" s="22" t="s">
        <v>32931</v>
      </c>
      <c r="E1616" s="7"/>
      <c r="F1616" s="7"/>
      <c r="G1616" s="7"/>
      <c r="H1616" t="s">
        <v>67</v>
      </c>
      <c r="I1616" t="s">
        <v>24684</v>
      </c>
      <c r="J1616" t="s">
        <v>69</v>
      </c>
      <c r="K1616" t="s">
        <v>69</v>
      </c>
      <c r="L1616" t="s">
        <v>69</v>
      </c>
      <c r="M1616" t="s">
        <v>24685</v>
      </c>
      <c r="N1616" t="s">
        <v>69</v>
      </c>
      <c r="O1616" t="s">
        <v>69</v>
      </c>
      <c r="P1616" t="s">
        <v>24686</v>
      </c>
      <c r="Q1616" t="s">
        <v>24687</v>
      </c>
      <c r="R1616" t="s">
        <v>69</v>
      </c>
      <c r="S1616" t="s">
        <v>69</v>
      </c>
      <c r="T1616" t="s">
        <v>8505</v>
      </c>
      <c r="U1616" t="s">
        <v>8506</v>
      </c>
      <c r="V1616" t="s">
        <v>69</v>
      </c>
      <c r="W1616" t="s">
        <v>69</v>
      </c>
      <c r="X1616" t="s">
        <v>69</v>
      </c>
      <c r="Y1616" t="s">
        <v>69</v>
      </c>
      <c r="Z1616" t="s">
        <v>69</v>
      </c>
      <c r="AA1616" t="s">
        <v>24688</v>
      </c>
      <c r="AB1616" t="s">
        <v>24689</v>
      </c>
      <c r="AC1616" t="s">
        <v>24690</v>
      </c>
      <c r="AD1616" t="s">
        <v>24691</v>
      </c>
      <c r="AE1616" t="s">
        <v>69</v>
      </c>
      <c r="AF1616" t="s">
        <v>24692</v>
      </c>
      <c r="AG1616" t="s">
        <v>24693</v>
      </c>
      <c r="AH1616" t="s">
        <v>69</v>
      </c>
      <c r="AI1616" t="s">
        <v>69</v>
      </c>
      <c r="AJ1616" t="s">
        <v>69</v>
      </c>
      <c r="AK1616" t="s">
        <v>69</v>
      </c>
      <c r="AL1616" t="s">
        <v>69</v>
      </c>
      <c r="AM1616" t="s">
        <v>69</v>
      </c>
      <c r="AN1616">
        <v>49</v>
      </c>
      <c r="AO1616">
        <v>16</v>
      </c>
      <c r="AP1616">
        <v>16</v>
      </c>
      <c r="AQ1616">
        <v>0</v>
      </c>
      <c r="AR1616">
        <v>22</v>
      </c>
      <c r="AS1616" t="s">
        <v>8865</v>
      </c>
      <c r="AT1616" t="s">
        <v>8612</v>
      </c>
      <c r="AU1616" t="s">
        <v>8866</v>
      </c>
      <c r="AV1616" t="s">
        <v>24694</v>
      </c>
      <c r="AW1616" t="s">
        <v>24695</v>
      </c>
      <c r="AX1616" t="s">
        <v>69</v>
      </c>
      <c r="AY1616" t="s">
        <v>24696</v>
      </c>
      <c r="AZ1616" t="s">
        <v>24697</v>
      </c>
      <c r="BA1616" t="s">
        <v>904</v>
      </c>
      <c r="BB1616">
        <v>2013</v>
      </c>
      <c r="BC1616">
        <v>34</v>
      </c>
      <c r="BD1616">
        <v>4</v>
      </c>
      <c r="BE1616" t="s">
        <v>69</v>
      </c>
      <c r="BF1616" t="s">
        <v>69</v>
      </c>
      <c r="BG1616" t="s">
        <v>114</v>
      </c>
      <c r="BH1616" t="s">
        <v>69</v>
      </c>
      <c r="BI1616">
        <v>359</v>
      </c>
      <c r="BJ1616">
        <v>370</v>
      </c>
      <c r="BK1616" t="s">
        <v>69</v>
      </c>
      <c r="BL1616" t="s">
        <v>24698</v>
      </c>
      <c r="BM1616" t="str">
        <f>HYPERLINK("http://dx.doi.org/10.1080/1554477X.2013.835680","http://dx.doi.org/10.1080/1554477X.2013.835680")</f>
        <v>http://dx.doi.org/10.1080/1554477X.2013.835680</v>
      </c>
      <c r="BN1616" t="s">
        <v>69</v>
      </c>
      <c r="BO1616" t="s">
        <v>69</v>
      </c>
      <c r="BP1616">
        <v>12</v>
      </c>
      <c r="BQ1616" t="s">
        <v>24699</v>
      </c>
      <c r="BR1616" t="s">
        <v>8661</v>
      </c>
      <c r="BS1616" t="s">
        <v>24700</v>
      </c>
      <c r="BT1616" t="s">
        <v>24701</v>
      </c>
      <c r="BU1616" t="s">
        <v>24702</v>
      </c>
      <c r="BV1616" t="s">
        <v>69</v>
      </c>
      <c r="BW1616" t="s">
        <v>69</v>
      </c>
      <c r="BX1616" t="s">
        <v>69</v>
      </c>
      <c r="BY1616" t="s">
        <v>69</v>
      </c>
      <c r="BZ1616" t="s">
        <v>8526</v>
      </c>
      <c r="CA1616" t="str">
        <f>HYPERLINK("https%3A%2F%2Fwww.webofscience.com%2Fwos%2Fwoscc%2Ffull-record%2FWOS:000326713100006","View Full Record in Web of Science")</f>
        <v>View Full Record in Web of Science</v>
      </c>
    </row>
    <row r="1617" spans="2:79" ht="12.5" x14ac:dyDescent="0.25">
      <c r="B1617" t="s">
        <v>8495</v>
      </c>
      <c r="D1617" s="7" t="s">
        <v>32933</v>
      </c>
      <c r="E1617" s="7"/>
      <c r="F1617" s="7"/>
      <c r="G1617" s="7"/>
      <c r="H1617" t="s">
        <v>67</v>
      </c>
      <c r="I1617" t="s">
        <v>5215</v>
      </c>
      <c r="J1617" t="s">
        <v>69</v>
      </c>
      <c r="K1617" t="s">
        <v>69</v>
      </c>
      <c r="L1617" t="s">
        <v>69</v>
      </c>
      <c r="M1617" t="s">
        <v>5215</v>
      </c>
      <c r="N1617" t="s">
        <v>69</v>
      </c>
      <c r="O1617" t="s">
        <v>69</v>
      </c>
      <c r="P1617" t="s">
        <v>5216</v>
      </c>
      <c r="Q1617" t="s">
        <v>5217</v>
      </c>
      <c r="R1617" t="s">
        <v>69</v>
      </c>
      <c r="S1617" t="s">
        <v>69</v>
      </c>
      <c r="T1617" t="s">
        <v>8505</v>
      </c>
      <c r="U1617" t="s">
        <v>15797</v>
      </c>
      <c r="V1617" t="s">
        <v>5218</v>
      </c>
      <c r="W1617" t="s">
        <v>5219</v>
      </c>
      <c r="X1617" t="s">
        <v>5220</v>
      </c>
      <c r="Y1617" t="s">
        <v>69</v>
      </c>
      <c r="Z1617" t="s">
        <v>69</v>
      </c>
      <c r="AA1617" t="s">
        <v>31757</v>
      </c>
      <c r="AB1617" t="s">
        <v>69</v>
      </c>
      <c r="AC1617" t="s">
        <v>5221</v>
      </c>
      <c r="AD1617" t="s">
        <v>31758</v>
      </c>
      <c r="AE1617" t="s">
        <v>69</v>
      </c>
      <c r="AF1617" t="s">
        <v>31759</v>
      </c>
      <c r="AG1617" t="s">
        <v>31760</v>
      </c>
      <c r="AH1617" t="s">
        <v>69</v>
      </c>
      <c r="AI1617" t="s">
        <v>69</v>
      </c>
      <c r="AJ1617" t="s">
        <v>69</v>
      </c>
      <c r="AK1617" t="s">
        <v>69</v>
      </c>
      <c r="AL1617" t="s">
        <v>69</v>
      </c>
      <c r="AM1617" t="s">
        <v>69</v>
      </c>
      <c r="AN1617">
        <v>21</v>
      </c>
      <c r="AO1617">
        <v>43</v>
      </c>
      <c r="AP1617">
        <v>44</v>
      </c>
      <c r="AQ1617">
        <v>1</v>
      </c>
      <c r="AR1617">
        <v>15</v>
      </c>
      <c r="AS1617" t="s">
        <v>8636</v>
      </c>
      <c r="AT1617" t="s">
        <v>8637</v>
      </c>
      <c r="AU1617" t="s">
        <v>8638</v>
      </c>
      <c r="AV1617" t="s">
        <v>5222</v>
      </c>
      <c r="AW1617" t="s">
        <v>31761</v>
      </c>
      <c r="AX1617" t="s">
        <v>69</v>
      </c>
      <c r="AY1617" t="s">
        <v>31762</v>
      </c>
      <c r="AZ1617" t="s">
        <v>31763</v>
      </c>
      <c r="BA1617" t="s">
        <v>1053</v>
      </c>
      <c r="BB1617">
        <v>2000</v>
      </c>
      <c r="BC1617">
        <v>19</v>
      </c>
      <c r="BD1617" t="s">
        <v>5223</v>
      </c>
      <c r="BE1617" t="s">
        <v>69</v>
      </c>
      <c r="BF1617" t="s">
        <v>69</v>
      </c>
      <c r="BG1617" t="s">
        <v>69</v>
      </c>
      <c r="BH1617" t="s">
        <v>69</v>
      </c>
      <c r="BI1617">
        <v>637</v>
      </c>
      <c r="BJ1617">
        <v>641</v>
      </c>
      <c r="BK1617" t="s">
        <v>69</v>
      </c>
      <c r="BL1617" t="s">
        <v>5224</v>
      </c>
      <c r="BM1617" t="str">
        <f>HYPERLINK("http://dx.doi.org/10.1016/S0261-2194(00)00084-3","http://dx.doi.org/10.1016/S0261-2194(00)00084-3")</f>
        <v>http://dx.doi.org/10.1016/S0261-2194(00)00084-3</v>
      </c>
      <c r="BN1617" t="s">
        <v>69</v>
      </c>
      <c r="BO1617" t="s">
        <v>69</v>
      </c>
      <c r="BP1617">
        <v>5</v>
      </c>
      <c r="BQ1617" t="s">
        <v>10815</v>
      </c>
      <c r="BR1617" t="s">
        <v>15808</v>
      </c>
      <c r="BS1617" t="s">
        <v>8450</v>
      </c>
      <c r="BT1617" t="s">
        <v>31764</v>
      </c>
      <c r="BU1617" t="s">
        <v>5225</v>
      </c>
      <c r="BV1617" t="s">
        <v>69</v>
      </c>
      <c r="BW1617" t="s">
        <v>69</v>
      </c>
      <c r="BX1617" t="s">
        <v>69</v>
      </c>
      <c r="BY1617" t="s">
        <v>69</v>
      </c>
      <c r="BZ1617" t="s">
        <v>8526</v>
      </c>
      <c r="CA1617" t="str">
        <f>HYPERLINK("https%3A%2F%2Fwww.webofscience.com%2Fwos%2Fwoscc%2Ffull-record%2FWOS:000165301100017","View Full Record in Web of Science")</f>
        <v>View Full Record in Web of Science</v>
      </c>
    </row>
    <row r="1618" spans="2:79" ht="12.5" x14ac:dyDescent="0.25">
      <c r="B1618" t="s">
        <v>8495</v>
      </c>
      <c r="D1618" s="7" t="s">
        <v>32933</v>
      </c>
      <c r="E1618" s="7"/>
      <c r="F1618" s="7"/>
      <c r="G1618" s="7"/>
      <c r="H1618" t="s">
        <v>67</v>
      </c>
      <c r="I1618" t="s">
        <v>1529</v>
      </c>
      <c r="J1618" t="s">
        <v>69</v>
      </c>
      <c r="K1618" t="s">
        <v>69</v>
      </c>
      <c r="L1618" t="s">
        <v>69</v>
      </c>
      <c r="M1618" t="s">
        <v>1530</v>
      </c>
      <c r="N1618" t="s">
        <v>69</v>
      </c>
      <c r="O1618" t="s">
        <v>69</v>
      </c>
      <c r="P1618" t="s">
        <v>1531</v>
      </c>
      <c r="Q1618" t="s">
        <v>1532</v>
      </c>
      <c r="R1618" t="s">
        <v>69</v>
      </c>
      <c r="S1618" t="s">
        <v>69</v>
      </c>
      <c r="T1618" t="s">
        <v>8505</v>
      </c>
      <c r="U1618" t="s">
        <v>8506</v>
      </c>
      <c r="V1618" t="s">
        <v>69</v>
      </c>
      <c r="W1618" t="s">
        <v>69</v>
      </c>
      <c r="X1618" t="s">
        <v>69</v>
      </c>
      <c r="Y1618" t="s">
        <v>69</v>
      </c>
      <c r="Z1618" t="s">
        <v>69</v>
      </c>
      <c r="AA1618" t="s">
        <v>27921</v>
      </c>
      <c r="AB1618" t="s">
        <v>27922</v>
      </c>
      <c r="AC1618" t="s">
        <v>1533</v>
      </c>
      <c r="AD1618" t="s">
        <v>27923</v>
      </c>
      <c r="AE1618" t="s">
        <v>69</v>
      </c>
      <c r="AF1618" t="s">
        <v>27924</v>
      </c>
      <c r="AG1618" t="s">
        <v>27925</v>
      </c>
      <c r="AH1618" t="s">
        <v>1534</v>
      </c>
      <c r="AI1618" t="s">
        <v>1535</v>
      </c>
      <c r="AJ1618" t="s">
        <v>69</v>
      </c>
      <c r="AK1618" t="s">
        <v>69</v>
      </c>
      <c r="AL1618" t="s">
        <v>69</v>
      </c>
      <c r="AM1618" t="s">
        <v>69</v>
      </c>
      <c r="AN1618">
        <v>94</v>
      </c>
      <c r="AO1618">
        <v>41</v>
      </c>
      <c r="AP1618">
        <v>41</v>
      </c>
      <c r="AQ1618">
        <v>1</v>
      </c>
      <c r="AR1618">
        <v>50</v>
      </c>
      <c r="AS1618" t="s">
        <v>8586</v>
      </c>
      <c r="AT1618" t="s">
        <v>8587</v>
      </c>
      <c r="AU1618" t="s">
        <v>8588</v>
      </c>
      <c r="AV1618" t="s">
        <v>1536</v>
      </c>
      <c r="AW1618" t="s">
        <v>1537</v>
      </c>
      <c r="AX1618" t="s">
        <v>69</v>
      </c>
      <c r="AY1618" t="s">
        <v>14061</v>
      </c>
      <c r="AZ1618" t="s">
        <v>14062</v>
      </c>
      <c r="BA1618" t="s">
        <v>69</v>
      </c>
      <c r="BB1618">
        <v>2010</v>
      </c>
      <c r="BC1618">
        <v>23</v>
      </c>
      <c r="BD1618">
        <v>7</v>
      </c>
      <c r="BE1618" t="s">
        <v>69</v>
      </c>
      <c r="BF1618" t="s">
        <v>69</v>
      </c>
      <c r="BG1618" t="s">
        <v>114</v>
      </c>
      <c r="BH1618" t="s">
        <v>69</v>
      </c>
      <c r="BI1618">
        <v>890</v>
      </c>
      <c r="BJ1618">
        <v>919</v>
      </c>
      <c r="BK1618" t="s">
        <v>69</v>
      </c>
      <c r="BL1618" t="s">
        <v>1538</v>
      </c>
      <c r="BM1618" t="str">
        <f>HYPERLINK("http://dx.doi.org/10.1108/09513571011080171","http://dx.doi.org/10.1108/09513571011080171")</f>
        <v>http://dx.doi.org/10.1108/09513571011080171</v>
      </c>
      <c r="BN1618" t="s">
        <v>69</v>
      </c>
      <c r="BO1618" t="s">
        <v>69</v>
      </c>
      <c r="BP1618">
        <v>30</v>
      </c>
      <c r="BQ1618" t="s">
        <v>9749</v>
      </c>
      <c r="BR1618" t="s">
        <v>8661</v>
      </c>
      <c r="BS1618" t="s">
        <v>8594</v>
      </c>
      <c r="BT1618" t="s">
        <v>27926</v>
      </c>
      <c r="BU1618" t="s">
        <v>1539</v>
      </c>
      <c r="BV1618" t="s">
        <v>69</v>
      </c>
      <c r="BW1618" t="s">
        <v>69</v>
      </c>
      <c r="BX1618" t="s">
        <v>69</v>
      </c>
      <c r="BY1618" t="s">
        <v>69</v>
      </c>
      <c r="BZ1618" t="s">
        <v>8526</v>
      </c>
      <c r="CA1618" t="str">
        <f>HYPERLINK("https%3A%2F%2Fwww.webofscience.com%2Fwos%2Fwoscc%2Ffull-record%2FWOS:000208574300005","View Full Record in Web of Science")</f>
        <v>View Full Record in Web of Science</v>
      </c>
    </row>
    <row r="1619" spans="2:79" ht="12.5" x14ac:dyDescent="0.25">
      <c r="B1619" t="s">
        <v>8495</v>
      </c>
      <c r="D1619" s="22" t="s">
        <v>32931</v>
      </c>
      <c r="E1619" s="7"/>
      <c r="F1619" s="7"/>
      <c r="G1619" s="7"/>
      <c r="H1619" t="s">
        <v>67</v>
      </c>
      <c r="I1619" t="s">
        <v>29364</v>
      </c>
      <c r="J1619" t="s">
        <v>69</v>
      </c>
      <c r="K1619" t="s">
        <v>69</v>
      </c>
      <c r="L1619" t="s">
        <v>69</v>
      </c>
      <c r="M1619" t="s">
        <v>29365</v>
      </c>
      <c r="N1619" t="s">
        <v>69</v>
      </c>
      <c r="O1619" t="s">
        <v>69</v>
      </c>
      <c r="P1619" t="s">
        <v>29366</v>
      </c>
      <c r="Q1619" t="s">
        <v>408</v>
      </c>
      <c r="R1619" t="s">
        <v>69</v>
      </c>
      <c r="S1619" t="s">
        <v>69</v>
      </c>
      <c r="T1619" t="s">
        <v>8505</v>
      </c>
      <c r="U1619" t="s">
        <v>8442</v>
      </c>
      <c r="V1619" t="s">
        <v>69</v>
      </c>
      <c r="W1619" t="s">
        <v>69</v>
      </c>
      <c r="X1619" t="s">
        <v>69</v>
      </c>
      <c r="Y1619" t="s">
        <v>69</v>
      </c>
      <c r="Z1619" t="s">
        <v>69</v>
      </c>
      <c r="AA1619" t="s">
        <v>29367</v>
      </c>
      <c r="AB1619" t="s">
        <v>69</v>
      </c>
      <c r="AC1619" t="s">
        <v>29368</v>
      </c>
      <c r="AD1619" t="s">
        <v>29369</v>
      </c>
      <c r="AE1619" t="s">
        <v>69</v>
      </c>
      <c r="AF1619" t="s">
        <v>29370</v>
      </c>
      <c r="AG1619" t="s">
        <v>29371</v>
      </c>
      <c r="AH1619" t="s">
        <v>69</v>
      </c>
      <c r="AI1619" t="s">
        <v>69</v>
      </c>
      <c r="AJ1619" t="s">
        <v>69</v>
      </c>
      <c r="AK1619" t="s">
        <v>69</v>
      </c>
      <c r="AL1619" t="s">
        <v>69</v>
      </c>
      <c r="AM1619" t="s">
        <v>69</v>
      </c>
      <c r="AN1619">
        <v>45</v>
      </c>
      <c r="AO1619">
        <v>8</v>
      </c>
      <c r="AP1619">
        <v>8</v>
      </c>
      <c r="AQ1619">
        <v>0</v>
      </c>
      <c r="AR1619">
        <v>0</v>
      </c>
      <c r="AS1619" t="s">
        <v>8586</v>
      </c>
      <c r="AT1619" t="s">
        <v>8587</v>
      </c>
      <c r="AU1619" t="s">
        <v>8588</v>
      </c>
      <c r="AV1619" t="s">
        <v>410</v>
      </c>
      <c r="AW1619" t="s">
        <v>411</v>
      </c>
      <c r="AX1619" t="s">
        <v>69</v>
      </c>
      <c r="AY1619" t="s">
        <v>9125</v>
      </c>
      <c r="AZ1619" t="s">
        <v>9126</v>
      </c>
      <c r="BA1619" t="s">
        <v>69</v>
      </c>
      <c r="BB1619">
        <v>2008</v>
      </c>
      <c r="BC1619">
        <v>15</v>
      </c>
      <c r="BD1619">
        <v>3</v>
      </c>
      <c r="BE1619" t="s">
        <v>69</v>
      </c>
      <c r="BF1619" t="s">
        <v>69</v>
      </c>
      <c r="BG1619" t="s">
        <v>69</v>
      </c>
      <c r="BH1619" t="s">
        <v>69</v>
      </c>
      <c r="BI1619">
        <v>270</v>
      </c>
      <c r="BJ1619" t="s">
        <v>219</v>
      </c>
      <c r="BK1619" t="s">
        <v>69</v>
      </c>
      <c r="BL1619" t="s">
        <v>29372</v>
      </c>
      <c r="BM1619" t="str">
        <f>HYPERLINK("http://dx.doi.org/10.1108/09699980810867424","http://dx.doi.org/10.1108/09699980810867424")</f>
        <v>http://dx.doi.org/10.1108/09699980810867424</v>
      </c>
      <c r="BN1619" t="s">
        <v>69</v>
      </c>
      <c r="BO1619" t="s">
        <v>69</v>
      </c>
      <c r="BP1619">
        <v>13</v>
      </c>
      <c r="BQ1619" t="s">
        <v>9128</v>
      </c>
      <c r="BR1619" t="s">
        <v>8573</v>
      </c>
      <c r="BS1619" t="s">
        <v>9129</v>
      </c>
      <c r="BT1619" t="s">
        <v>29373</v>
      </c>
      <c r="BU1619" t="s">
        <v>29374</v>
      </c>
      <c r="BV1619" t="s">
        <v>69</v>
      </c>
      <c r="BW1619" t="s">
        <v>69</v>
      </c>
      <c r="BX1619" t="s">
        <v>69</v>
      </c>
      <c r="BY1619" t="s">
        <v>69</v>
      </c>
      <c r="BZ1619" t="s">
        <v>8526</v>
      </c>
      <c r="CA1619" t="str">
        <f>HYPERLINK("https%3A%2F%2Fwww.webofscience.com%2Fwos%2Fwoscc%2Ffull-record%2FWOS:000211618100006","View Full Record in Web of Science")</f>
        <v>View Full Record in Web of Science</v>
      </c>
    </row>
    <row r="1620" spans="2:79" ht="12.5" x14ac:dyDescent="0.25">
      <c r="B1620" t="s">
        <v>8495</v>
      </c>
      <c r="D1620" s="7" t="s">
        <v>32933</v>
      </c>
      <c r="E1620" s="7"/>
      <c r="F1620" s="7"/>
      <c r="G1620" s="7"/>
      <c r="H1620" t="s">
        <v>67</v>
      </c>
      <c r="I1620" t="s">
        <v>5406</v>
      </c>
      <c r="J1620" t="s">
        <v>69</v>
      </c>
      <c r="K1620" t="s">
        <v>69</v>
      </c>
      <c r="L1620" t="s">
        <v>69</v>
      </c>
      <c r="M1620" t="s">
        <v>5407</v>
      </c>
      <c r="N1620" t="s">
        <v>69</v>
      </c>
      <c r="O1620" t="s">
        <v>69</v>
      </c>
      <c r="P1620" t="s">
        <v>5408</v>
      </c>
      <c r="Q1620" t="s">
        <v>5409</v>
      </c>
      <c r="R1620" t="s">
        <v>69</v>
      </c>
      <c r="S1620" t="s">
        <v>69</v>
      </c>
      <c r="T1620" t="s">
        <v>8505</v>
      </c>
      <c r="U1620" t="s">
        <v>8506</v>
      </c>
      <c r="V1620" t="s">
        <v>69</v>
      </c>
      <c r="W1620" t="s">
        <v>69</v>
      </c>
      <c r="X1620" t="s">
        <v>69</v>
      </c>
      <c r="Y1620" t="s">
        <v>69</v>
      </c>
      <c r="Z1620" t="s">
        <v>69</v>
      </c>
      <c r="AA1620" t="s">
        <v>69</v>
      </c>
      <c r="AB1620" t="s">
        <v>29113</v>
      </c>
      <c r="AC1620" t="s">
        <v>5410</v>
      </c>
      <c r="AD1620" t="s">
        <v>29114</v>
      </c>
      <c r="AE1620" t="s">
        <v>69</v>
      </c>
      <c r="AF1620" t="s">
        <v>29115</v>
      </c>
      <c r="AG1620" t="s">
        <v>29116</v>
      </c>
      <c r="AH1620" t="s">
        <v>29117</v>
      </c>
      <c r="AI1620" t="s">
        <v>5411</v>
      </c>
      <c r="AJ1620" t="s">
        <v>69</v>
      </c>
      <c r="AK1620" t="s">
        <v>69</v>
      </c>
      <c r="AL1620" t="s">
        <v>69</v>
      </c>
      <c r="AM1620" t="s">
        <v>69</v>
      </c>
      <c r="AN1620">
        <v>56</v>
      </c>
      <c r="AO1620">
        <v>10</v>
      </c>
      <c r="AP1620">
        <v>10</v>
      </c>
      <c r="AQ1620">
        <v>0</v>
      </c>
      <c r="AR1620">
        <v>10</v>
      </c>
      <c r="AS1620" t="s">
        <v>8846</v>
      </c>
      <c r="AT1620" t="s">
        <v>8847</v>
      </c>
      <c r="AU1620" t="s">
        <v>8848</v>
      </c>
      <c r="AV1620" t="s">
        <v>5412</v>
      </c>
      <c r="AW1620" t="s">
        <v>5413</v>
      </c>
      <c r="AX1620" t="s">
        <v>69</v>
      </c>
      <c r="AY1620" t="s">
        <v>29118</v>
      </c>
      <c r="AZ1620" t="s">
        <v>29119</v>
      </c>
      <c r="BA1620" t="s">
        <v>255</v>
      </c>
      <c r="BB1620">
        <v>2008</v>
      </c>
      <c r="BC1620">
        <v>46</v>
      </c>
      <c r="BD1620">
        <v>4</v>
      </c>
      <c r="BE1620" t="s">
        <v>69</v>
      </c>
      <c r="BF1620" t="s">
        <v>69</v>
      </c>
      <c r="BG1620" t="s">
        <v>69</v>
      </c>
      <c r="BH1620" t="s">
        <v>69</v>
      </c>
      <c r="BI1620">
        <v>787</v>
      </c>
      <c r="BJ1620">
        <v>825</v>
      </c>
      <c r="BK1620" t="s">
        <v>69</v>
      </c>
      <c r="BL1620" t="s">
        <v>5414</v>
      </c>
      <c r="BM1620" t="str">
        <f>HYPERLINK("http://dx.doi.org/10.1111/j.1468-5965.2008.00803.x","http://dx.doi.org/10.1111/j.1468-5965.2008.00803.x")</f>
        <v>http://dx.doi.org/10.1111/j.1468-5965.2008.00803.x</v>
      </c>
      <c r="BN1620" t="s">
        <v>69</v>
      </c>
      <c r="BO1620" t="s">
        <v>69</v>
      </c>
      <c r="BP1620">
        <v>39</v>
      </c>
      <c r="BQ1620" t="s">
        <v>29120</v>
      </c>
      <c r="BR1620" t="s">
        <v>8661</v>
      </c>
      <c r="BS1620" t="s">
        <v>23361</v>
      </c>
      <c r="BT1620" t="s">
        <v>29121</v>
      </c>
      <c r="BU1620" t="s">
        <v>5415</v>
      </c>
      <c r="BV1620" t="s">
        <v>69</v>
      </c>
      <c r="BW1620" t="s">
        <v>69</v>
      </c>
      <c r="BX1620" t="s">
        <v>69</v>
      </c>
      <c r="BY1620" t="s">
        <v>69</v>
      </c>
      <c r="BZ1620" t="s">
        <v>8526</v>
      </c>
      <c r="CA1620" t="str">
        <f>HYPERLINK("https%3A%2F%2Fwww.webofscience.com%2Fwos%2Fwoscc%2Ffull-record%2FWOS:000258214900003","View Full Record in Web of Science")</f>
        <v>View Full Record in Web of Science</v>
      </c>
    </row>
    <row r="1621" spans="2:79" ht="12.5" x14ac:dyDescent="0.25">
      <c r="B1621" t="s">
        <v>8495</v>
      </c>
      <c r="D1621" s="22" t="s">
        <v>32931</v>
      </c>
      <c r="E1621" s="7"/>
      <c r="F1621" s="7"/>
      <c r="G1621" s="7"/>
      <c r="H1621" t="s">
        <v>67</v>
      </c>
      <c r="I1621" t="s">
        <v>28000</v>
      </c>
      <c r="J1621" t="s">
        <v>69</v>
      </c>
      <c r="K1621" t="s">
        <v>69</v>
      </c>
      <c r="L1621" t="s">
        <v>69</v>
      </c>
      <c r="M1621" t="s">
        <v>28001</v>
      </c>
      <c r="N1621" t="s">
        <v>69</v>
      </c>
      <c r="O1621" t="s">
        <v>69</v>
      </c>
      <c r="P1621" t="s">
        <v>28002</v>
      </c>
      <c r="Q1621" t="s">
        <v>14711</v>
      </c>
      <c r="R1621" t="s">
        <v>69</v>
      </c>
      <c r="S1621" t="s">
        <v>69</v>
      </c>
      <c r="T1621" t="s">
        <v>8505</v>
      </c>
      <c r="U1621" t="s">
        <v>8506</v>
      </c>
      <c r="V1621" t="s">
        <v>69</v>
      </c>
      <c r="W1621" t="s">
        <v>69</v>
      </c>
      <c r="X1621" t="s">
        <v>69</v>
      </c>
      <c r="Y1621" t="s">
        <v>69</v>
      </c>
      <c r="Z1621" t="s">
        <v>69</v>
      </c>
      <c r="AA1621" t="s">
        <v>69</v>
      </c>
      <c r="AB1621" t="s">
        <v>28003</v>
      </c>
      <c r="AC1621" t="s">
        <v>28004</v>
      </c>
      <c r="AD1621" t="s">
        <v>28005</v>
      </c>
      <c r="AE1621" t="s">
        <v>69</v>
      </c>
      <c r="AF1621" t="s">
        <v>28006</v>
      </c>
      <c r="AG1621" t="s">
        <v>28007</v>
      </c>
      <c r="AH1621" t="s">
        <v>69</v>
      </c>
      <c r="AI1621" t="s">
        <v>14297</v>
      </c>
      <c r="AJ1621" t="s">
        <v>69</v>
      </c>
      <c r="AK1621" t="s">
        <v>69</v>
      </c>
      <c r="AL1621" t="s">
        <v>69</v>
      </c>
      <c r="AM1621" t="s">
        <v>69</v>
      </c>
      <c r="AN1621">
        <v>64</v>
      </c>
      <c r="AO1621">
        <v>48</v>
      </c>
      <c r="AP1621">
        <v>48</v>
      </c>
      <c r="AQ1621">
        <v>1</v>
      </c>
      <c r="AR1621">
        <v>17</v>
      </c>
      <c r="AS1621" t="s">
        <v>8865</v>
      </c>
      <c r="AT1621" t="s">
        <v>8612</v>
      </c>
      <c r="AU1621" t="s">
        <v>8866</v>
      </c>
      <c r="AV1621" t="s">
        <v>14720</v>
      </c>
      <c r="AW1621" t="s">
        <v>14721</v>
      </c>
      <c r="AX1621" t="s">
        <v>69</v>
      </c>
      <c r="AY1621" t="s">
        <v>14722</v>
      </c>
      <c r="AZ1621" t="s">
        <v>14723</v>
      </c>
      <c r="BA1621" t="s">
        <v>69</v>
      </c>
      <c r="BB1621">
        <v>2010</v>
      </c>
      <c r="BC1621">
        <v>21</v>
      </c>
      <c r="BD1621">
        <v>6</v>
      </c>
      <c r="BE1621" t="s">
        <v>69</v>
      </c>
      <c r="BF1621" t="s">
        <v>69</v>
      </c>
      <c r="BG1621" t="s">
        <v>69</v>
      </c>
      <c r="BH1621" t="s">
        <v>69</v>
      </c>
      <c r="BI1621">
        <v>795</v>
      </c>
      <c r="BJ1621">
        <v>824</v>
      </c>
      <c r="BK1621" t="s">
        <v>28008</v>
      </c>
      <c r="BL1621" t="s">
        <v>28009</v>
      </c>
      <c r="BM1621" t="str">
        <f>HYPERLINK("http://dx.doi.org/10.1080/10409280903475444","http://dx.doi.org/10.1080/10409280903475444")</f>
        <v>http://dx.doi.org/10.1080/10409280903475444</v>
      </c>
      <c r="BN1621" t="s">
        <v>69</v>
      </c>
      <c r="BO1621" t="s">
        <v>69</v>
      </c>
      <c r="BP1621">
        <v>30</v>
      </c>
      <c r="BQ1621" t="s">
        <v>14725</v>
      </c>
      <c r="BR1621" t="s">
        <v>8661</v>
      </c>
      <c r="BS1621" t="s">
        <v>14726</v>
      </c>
      <c r="BT1621" t="s">
        <v>28010</v>
      </c>
      <c r="BU1621" t="s">
        <v>28011</v>
      </c>
      <c r="BV1621" t="s">
        <v>69</v>
      </c>
      <c r="BW1621" t="s">
        <v>69</v>
      </c>
      <c r="BX1621" t="s">
        <v>69</v>
      </c>
      <c r="BY1621" t="s">
        <v>69</v>
      </c>
      <c r="BZ1621" t="s">
        <v>8526</v>
      </c>
      <c r="CA1621" t="str">
        <f>HYPERLINK("https%3A%2F%2Fwww.webofscience.com%2Fwos%2Fwoscc%2Ffull-record%2FWOS:000284888400001","View Full Record in Web of Science")</f>
        <v>View Full Record in Web of Science</v>
      </c>
    </row>
    <row r="1622" spans="2:79" ht="12.5" x14ac:dyDescent="0.25">
      <c r="B1622" t="s">
        <v>8495</v>
      </c>
      <c r="D1622" s="7" t="s">
        <v>32933</v>
      </c>
      <c r="E1622" s="7"/>
      <c r="F1622" s="7"/>
      <c r="G1622" s="7"/>
      <c r="H1622" t="s">
        <v>67</v>
      </c>
      <c r="I1622" t="s">
        <v>7168</v>
      </c>
      <c r="J1622" t="s">
        <v>69</v>
      </c>
      <c r="K1622" t="s">
        <v>69</v>
      </c>
      <c r="L1622" t="s">
        <v>69</v>
      </c>
      <c r="M1622" t="s">
        <v>7169</v>
      </c>
      <c r="N1622" t="s">
        <v>69</v>
      </c>
      <c r="O1622" t="s">
        <v>69</v>
      </c>
      <c r="P1622" t="s">
        <v>7170</v>
      </c>
      <c r="Q1622" t="s">
        <v>7171</v>
      </c>
      <c r="R1622" t="s">
        <v>69</v>
      </c>
      <c r="S1622" t="s">
        <v>69</v>
      </c>
      <c r="T1622" t="s">
        <v>8505</v>
      </c>
      <c r="U1622" t="s">
        <v>8506</v>
      </c>
      <c r="V1622" t="s">
        <v>69</v>
      </c>
      <c r="W1622" t="s">
        <v>69</v>
      </c>
      <c r="X1622" t="s">
        <v>69</v>
      </c>
      <c r="Y1622" t="s">
        <v>69</v>
      </c>
      <c r="Z1622" t="s">
        <v>69</v>
      </c>
      <c r="AA1622" t="s">
        <v>27619</v>
      </c>
      <c r="AB1622" t="s">
        <v>69</v>
      </c>
      <c r="AC1622" t="s">
        <v>7172</v>
      </c>
      <c r="AD1622" t="s">
        <v>27620</v>
      </c>
      <c r="AE1622" t="s">
        <v>69</v>
      </c>
      <c r="AF1622" t="s">
        <v>27621</v>
      </c>
      <c r="AG1622" t="s">
        <v>69</v>
      </c>
      <c r="AH1622" t="s">
        <v>69</v>
      </c>
      <c r="AI1622" t="s">
        <v>69</v>
      </c>
      <c r="AJ1622" t="s">
        <v>69</v>
      </c>
      <c r="AK1622" t="s">
        <v>69</v>
      </c>
      <c r="AL1622" t="s">
        <v>69</v>
      </c>
      <c r="AM1622" t="s">
        <v>69</v>
      </c>
      <c r="AN1622">
        <v>19</v>
      </c>
      <c r="AO1622">
        <v>0</v>
      </c>
      <c r="AP1622">
        <v>0</v>
      </c>
      <c r="AQ1622">
        <v>0</v>
      </c>
      <c r="AR1622">
        <v>7</v>
      </c>
      <c r="AS1622" t="s">
        <v>27622</v>
      </c>
      <c r="AT1622" t="s">
        <v>10141</v>
      </c>
      <c r="AU1622" t="s">
        <v>27623</v>
      </c>
      <c r="AV1622" t="s">
        <v>7173</v>
      </c>
      <c r="AW1622" t="s">
        <v>69</v>
      </c>
      <c r="AX1622" t="s">
        <v>69</v>
      </c>
      <c r="AY1622" t="s">
        <v>27624</v>
      </c>
      <c r="AZ1622" t="s">
        <v>27625</v>
      </c>
      <c r="BA1622" t="s">
        <v>3964</v>
      </c>
      <c r="BB1622">
        <v>2010</v>
      </c>
      <c r="BC1622">
        <v>124</v>
      </c>
      <c r="BD1622">
        <v>4</v>
      </c>
      <c r="BE1622" t="s">
        <v>69</v>
      </c>
      <c r="BF1622" t="s">
        <v>69</v>
      </c>
      <c r="BG1622" t="s">
        <v>69</v>
      </c>
      <c r="BH1622" t="s">
        <v>69</v>
      </c>
      <c r="BI1622">
        <v>321</v>
      </c>
      <c r="BJ1622">
        <v>329</v>
      </c>
      <c r="BK1622" t="s">
        <v>69</v>
      </c>
      <c r="BL1622" t="s">
        <v>7174</v>
      </c>
      <c r="BM1622" t="str">
        <f>HYPERLINK("http://dx.doi.org/10.22621/cfn.v124i4.1104","http://dx.doi.org/10.22621/cfn.v124i4.1104")</f>
        <v>http://dx.doi.org/10.22621/cfn.v124i4.1104</v>
      </c>
      <c r="BN1622" t="s">
        <v>69</v>
      </c>
      <c r="BO1622" t="s">
        <v>69</v>
      </c>
      <c r="BP1622">
        <v>9</v>
      </c>
      <c r="BQ1622" t="s">
        <v>15451</v>
      </c>
      <c r="BR1622" t="s">
        <v>8548</v>
      </c>
      <c r="BS1622" t="s">
        <v>15452</v>
      </c>
      <c r="BT1622" t="s">
        <v>27626</v>
      </c>
      <c r="BU1622" t="s">
        <v>7175</v>
      </c>
      <c r="BV1622" t="s">
        <v>69</v>
      </c>
      <c r="BW1622" t="s">
        <v>9374</v>
      </c>
      <c r="BX1622" t="s">
        <v>69</v>
      </c>
      <c r="BY1622" t="s">
        <v>69</v>
      </c>
      <c r="BZ1622" t="s">
        <v>8526</v>
      </c>
      <c r="CA1622" t="str">
        <f>HYPERLINK("https%3A%2F%2Fwww.webofscience.com%2Fwos%2Fwoscc%2Ffull-record%2FWOS:000294515100007","View Full Record in Web of Science")</f>
        <v>View Full Record in Web of Science</v>
      </c>
    </row>
    <row r="1623" spans="2:79" ht="12.5" x14ac:dyDescent="0.25">
      <c r="B1623" t="s">
        <v>8495</v>
      </c>
      <c r="D1623" s="7" t="s">
        <v>32933</v>
      </c>
      <c r="E1623" s="7"/>
      <c r="F1623" s="7"/>
      <c r="G1623" s="7"/>
      <c r="H1623" t="s">
        <v>67</v>
      </c>
      <c r="I1623" t="s">
        <v>7058</v>
      </c>
      <c r="J1623" t="s">
        <v>69</v>
      </c>
      <c r="K1623" t="s">
        <v>69</v>
      </c>
      <c r="L1623" t="s">
        <v>69</v>
      </c>
      <c r="M1623" t="s">
        <v>7059</v>
      </c>
      <c r="N1623" t="s">
        <v>69</v>
      </c>
      <c r="O1623" t="s">
        <v>69</v>
      </c>
      <c r="P1623" s="3" t="s">
        <v>7060</v>
      </c>
      <c r="Q1623" t="s">
        <v>7061</v>
      </c>
      <c r="R1623" t="s">
        <v>69</v>
      </c>
      <c r="S1623" t="s">
        <v>69</v>
      </c>
      <c r="T1623" t="s">
        <v>8505</v>
      </c>
      <c r="U1623" t="s">
        <v>15797</v>
      </c>
      <c r="V1623" t="s">
        <v>7062</v>
      </c>
      <c r="W1623" t="s">
        <v>7063</v>
      </c>
      <c r="X1623" t="s">
        <v>7064</v>
      </c>
      <c r="Y1623" t="s">
        <v>69</v>
      </c>
      <c r="Z1623" t="s">
        <v>7065</v>
      </c>
      <c r="AA1623" t="s">
        <v>69</v>
      </c>
      <c r="AB1623" t="s">
        <v>28518</v>
      </c>
      <c r="AC1623" t="s">
        <v>7066</v>
      </c>
      <c r="AD1623" t="s">
        <v>28519</v>
      </c>
      <c r="AE1623" t="s">
        <v>69</v>
      </c>
      <c r="AF1623" t="s">
        <v>28520</v>
      </c>
      <c r="AG1623" t="s">
        <v>28521</v>
      </c>
      <c r="AH1623" t="s">
        <v>69</v>
      </c>
      <c r="AI1623" t="s">
        <v>69</v>
      </c>
      <c r="AJ1623" t="s">
        <v>69</v>
      </c>
      <c r="AK1623" t="s">
        <v>69</v>
      </c>
      <c r="AL1623" t="s">
        <v>69</v>
      </c>
      <c r="AM1623" t="s">
        <v>69</v>
      </c>
      <c r="AN1623">
        <v>77</v>
      </c>
      <c r="AO1623">
        <v>97</v>
      </c>
      <c r="AP1623">
        <v>98</v>
      </c>
      <c r="AQ1623">
        <v>5</v>
      </c>
      <c r="AR1623">
        <v>110</v>
      </c>
      <c r="AS1623" t="s">
        <v>9145</v>
      </c>
      <c r="AT1623" t="s">
        <v>8637</v>
      </c>
      <c r="AU1623" t="s">
        <v>9146</v>
      </c>
      <c r="AV1623" t="s">
        <v>7067</v>
      </c>
      <c r="AW1623" t="s">
        <v>7068</v>
      </c>
      <c r="AX1623" t="s">
        <v>69</v>
      </c>
      <c r="AY1623" t="s">
        <v>28522</v>
      </c>
      <c r="AZ1623" t="s">
        <v>28523</v>
      </c>
      <c r="BA1623" t="s">
        <v>7069</v>
      </c>
      <c r="BB1623">
        <v>2009</v>
      </c>
      <c r="BC1623">
        <v>34</v>
      </c>
      <c r="BD1623" t="s">
        <v>145</v>
      </c>
      <c r="BE1623" t="s">
        <v>69</v>
      </c>
      <c r="BF1623" t="s">
        <v>69</v>
      </c>
      <c r="BG1623" t="s">
        <v>69</v>
      </c>
      <c r="BH1623" t="s">
        <v>69</v>
      </c>
      <c r="BI1623">
        <v>469</v>
      </c>
      <c r="BJ1623">
        <v>487</v>
      </c>
      <c r="BK1623" t="s">
        <v>69</v>
      </c>
      <c r="BL1623" t="s">
        <v>7070</v>
      </c>
      <c r="BM1623" t="str">
        <f>HYPERLINK("http://dx.doi.org/10.1016/j.aos.2008.06.002","http://dx.doi.org/10.1016/j.aos.2008.06.002")</f>
        <v>http://dx.doi.org/10.1016/j.aos.2008.06.002</v>
      </c>
      <c r="BN1623" t="s">
        <v>69</v>
      </c>
      <c r="BO1623" t="s">
        <v>69</v>
      </c>
      <c r="BP1623">
        <v>19</v>
      </c>
      <c r="BQ1623" t="s">
        <v>9749</v>
      </c>
      <c r="BR1623" t="s">
        <v>18588</v>
      </c>
      <c r="BS1623" t="s">
        <v>8594</v>
      </c>
      <c r="BT1623" t="s">
        <v>28524</v>
      </c>
      <c r="BU1623" t="s">
        <v>7071</v>
      </c>
      <c r="BV1623" t="s">
        <v>69</v>
      </c>
      <c r="BW1623" t="s">
        <v>69</v>
      </c>
      <c r="BX1623" t="s">
        <v>69</v>
      </c>
      <c r="BY1623" t="s">
        <v>69</v>
      </c>
      <c r="BZ1623" t="s">
        <v>8526</v>
      </c>
      <c r="CA1623" t="str">
        <f>HYPERLINK("https%3A%2F%2Fwww.webofscience.com%2Fwos%2Fwoscc%2Ffull-record%2FWOS:000265739000010","View Full Record in Web of Science")</f>
        <v>View Full Record in Web of Science</v>
      </c>
    </row>
    <row r="1624" spans="2:79" ht="12.5" x14ac:dyDescent="0.25">
      <c r="B1624" t="s">
        <v>8495</v>
      </c>
      <c r="D1624" s="22" t="s">
        <v>32931</v>
      </c>
      <c r="E1624" s="7"/>
      <c r="F1624" s="7"/>
      <c r="G1624" s="7"/>
      <c r="H1624" t="s">
        <v>67</v>
      </c>
      <c r="I1624" t="s">
        <v>8872</v>
      </c>
      <c r="J1624" t="s">
        <v>69</v>
      </c>
      <c r="K1624" t="s">
        <v>69</v>
      </c>
      <c r="L1624" t="s">
        <v>69</v>
      </c>
      <c r="M1624" t="s">
        <v>8873</v>
      </c>
      <c r="N1624" t="s">
        <v>69</v>
      </c>
      <c r="O1624" t="s">
        <v>69</v>
      </c>
      <c r="P1624" t="s">
        <v>8874</v>
      </c>
      <c r="Q1624" t="s">
        <v>8875</v>
      </c>
      <c r="R1624" t="s">
        <v>69</v>
      </c>
      <c r="S1624" t="s">
        <v>69</v>
      </c>
      <c r="T1624" t="s">
        <v>8505</v>
      </c>
      <c r="U1624" t="s">
        <v>8442</v>
      </c>
      <c r="V1624" t="s">
        <v>69</v>
      </c>
      <c r="W1624" t="s">
        <v>69</v>
      </c>
      <c r="X1624" t="s">
        <v>69</v>
      </c>
      <c r="Y1624" t="s">
        <v>69</v>
      </c>
      <c r="Z1624" t="s">
        <v>69</v>
      </c>
      <c r="AA1624" t="s">
        <v>8876</v>
      </c>
      <c r="AB1624" t="s">
        <v>8877</v>
      </c>
      <c r="AC1624" t="s">
        <v>8878</v>
      </c>
      <c r="AD1624" t="s">
        <v>8879</v>
      </c>
      <c r="AE1624" t="s">
        <v>69</v>
      </c>
      <c r="AF1624" t="s">
        <v>8880</v>
      </c>
      <c r="AG1624" t="s">
        <v>8881</v>
      </c>
      <c r="AH1624" t="s">
        <v>69</v>
      </c>
      <c r="AI1624" t="s">
        <v>8882</v>
      </c>
      <c r="AJ1624" t="s">
        <v>69</v>
      </c>
      <c r="AK1624" t="s">
        <v>69</v>
      </c>
      <c r="AL1624" t="s">
        <v>69</v>
      </c>
      <c r="AM1624" t="s">
        <v>69</v>
      </c>
      <c r="AN1624">
        <v>51</v>
      </c>
      <c r="AO1624">
        <v>0</v>
      </c>
      <c r="AP1624">
        <v>0</v>
      </c>
      <c r="AQ1624">
        <v>0</v>
      </c>
      <c r="AR1624">
        <v>0</v>
      </c>
      <c r="AS1624" t="s">
        <v>8846</v>
      </c>
      <c r="AT1624" t="s">
        <v>8847</v>
      </c>
      <c r="AU1624" t="s">
        <v>8848</v>
      </c>
      <c r="AV1624" t="s">
        <v>8883</v>
      </c>
      <c r="AW1624" t="s">
        <v>8884</v>
      </c>
      <c r="AX1624" t="s">
        <v>69</v>
      </c>
      <c r="AY1624" t="s">
        <v>8885</v>
      </c>
      <c r="AZ1624" t="s">
        <v>8886</v>
      </c>
      <c r="BA1624" t="s">
        <v>84</v>
      </c>
      <c r="BB1624">
        <v>2022</v>
      </c>
      <c r="BC1624">
        <v>130</v>
      </c>
      <c r="BD1624">
        <v>1</v>
      </c>
      <c r="BE1624" t="s">
        <v>69</v>
      </c>
      <c r="BF1624" t="s">
        <v>69</v>
      </c>
      <c r="BG1624" t="s">
        <v>69</v>
      </c>
      <c r="BH1624" t="s">
        <v>69</v>
      </c>
      <c r="BI1624">
        <v>18</v>
      </c>
      <c r="BJ1624">
        <v>25</v>
      </c>
      <c r="BK1624" t="s">
        <v>69</v>
      </c>
      <c r="BL1624" t="s">
        <v>8887</v>
      </c>
      <c r="BM1624" t="str">
        <f>HYPERLINK("http://dx.doi.org/10.1111/bju.15770","http://dx.doi.org/10.1111/bju.15770")</f>
        <v>http://dx.doi.org/10.1111/bju.15770</v>
      </c>
      <c r="BN1624" t="s">
        <v>69</v>
      </c>
      <c r="BO1624" t="s">
        <v>8742</v>
      </c>
      <c r="BP1624">
        <v>8</v>
      </c>
      <c r="BQ1624" t="s">
        <v>8888</v>
      </c>
      <c r="BR1624" t="s">
        <v>8548</v>
      </c>
      <c r="BS1624" t="s">
        <v>8888</v>
      </c>
      <c r="BT1624" t="s">
        <v>8889</v>
      </c>
      <c r="BU1624" t="s">
        <v>8890</v>
      </c>
      <c r="BV1624">
        <v>35524768</v>
      </c>
      <c r="BW1624" t="s">
        <v>69</v>
      </c>
      <c r="BX1624" t="s">
        <v>69</v>
      </c>
      <c r="BY1624" t="s">
        <v>69</v>
      </c>
      <c r="BZ1624" t="s">
        <v>8526</v>
      </c>
      <c r="CA1624" t="str">
        <f>HYPERLINK("https%3A%2F%2Fwww.webofscience.com%2Fwos%2Fwoscc%2Ffull-record%2FWOS:000805080900001","View Full Record in Web of Science")</f>
        <v>View Full Record in Web of Science</v>
      </c>
    </row>
    <row r="1625" spans="2:79" x14ac:dyDescent="0.3">
      <c r="B1625" t="s">
        <v>8495</v>
      </c>
      <c r="D1625" s="9" t="s">
        <v>32954</v>
      </c>
      <c r="E1625" s="9" t="s">
        <v>33138</v>
      </c>
      <c r="F1625" s="9" t="s">
        <v>8491</v>
      </c>
      <c r="G1625" s="9" t="s">
        <v>8490</v>
      </c>
      <c r="H1625" t="s">
        <v>67</v>
      </c>
      <c r="I1625" t="s">
        <v>13225</v>
      </c>
      <c r="J1625" t="s">
        <v>69</v>
      </c>
      <c r="K1625" t="s">
        <v>69</v>
      </c>
      <c r="L1625" t="s">
        <v>69</v>
      </c>
      <c r="M1625" t="s">
        <v>13226</v>
      </c>
      <c r="N1625" t="s">
        <v>69</v>
      </c>
      <c r="O1625" t="s">
        <v>69</v>
      </c>
      <c r="P1625" t="s">
        <v>13227</v>
      </c>
      <c r="Q1625" t="s">
        <v>13228</v>
      </c>
      <c r="R1625" t="s">
        <v>69</v>
      </c>
      <c r="S1625" t="s">
        <v>69</v>
      </c>
      <c r="T1625" t="s">
        <v>8505</v>
      </c>
      <c r="U1625" t="s">
        <v>8506</v>
      </c>
      <c r="V1625" t="s">
        <v>69</v>
      </c>
      <c r="W1625" t="s">
        <v>69</v>
      </c>
      <c r="X1625" t="s">
        <v>69</v>
      </c>
      <c r="Y1625" t="s">
        <v>69</v>
      </c>
      <c r="Z1625" t="s">
        <v>69</v>
      </c>
      <c r="AA1625" t="s">
        <v>13229</v>
      </c>
      <c r="AB1625" t="s">
        <v>13230</v>
      </c>
      <c r="AC1625" t="s">
        <v>13231</v>
      </c>
      <c r="AD1625" t="s">
        <v>13232</v>
      </c>
      <c r="AE1625" t="s">
        <v>69</v>
      </c>
      <c r="AF1625" t="s">
        <v>13233</v>
      </c>
      <c r="AG1625" t="s">
        <v>69</v>
      </c>
      <c r="AH1625" t="s">
        <v>69</v>
      </c>
      <c r="AI1625" t="s">
        <v>69</v>
      </c>
      <c r="AJ1625" t="s">
        <v>69</v>
      </c>
      <c r="AK1625" t="s">
        <v>69</v>
      </c>
      <c r="AL1625" t="s">
        <v>69</v>
      </c>
      <c r="AM1625" t="s">
        <v>69</v>
      </c>
      <c r="AN1625">
        <v>43</v>
      </c>
      <c r="AO1625">
        <v>2</v>
      </c>
      <c r="AP1625">
        <v>2</v>
      </c>
      <c r="AQ1625">
        <v>3</v>
      </c>
      <c r="AR1625">
        <v>7</v>
      </c>
      <c r="AS1625" t="s">
        <v>13234</v>
      </c>
      <c r="AT1625" t="s">
        <v>9424</v>
      </c>
      <c r="AU1625" t="s">
        <v>13235</v>
      </c>
      <c r="AV1625" t="s">
        <v>13236</v>
      </c>
      <c r="AW1625" t="s">
        <v>13237</v>
      </c>
      <c r="AX1625" t="s">
        <v>69</v>
      </c>
      <c r="AY1625" t="s">
        <v>13238</v>
      </c>
      <c r="AZ1625" t="s">
        <v>13239</v>
      </c>
      <c r="BA1625" t="s">
        <v>191</v>
      </c>
      <c r="BB1625">
        <v>2021</v>
      </c>
      <c r="BC1625">
        <v>30</v>
      </c>
      <c r="BD1625">
        <v>1</v>
      </c>
      <c r="BE1625" t="s">
        <v>69</v>
      </c>
      <c r="BF1625" t="s">
        <v>69</v>
      </c>
      <c r="BG1625" t="s">
        <v>69</v>
      </c>
      <c r="BH1625" t="s">
        <v>69</v>
      </c>
      <c r="BI1625">
        <v>31</v>
      </c>
      <c r="BJ1625">
        <v>52</v>
      </c>
      <c r="BK1625" t="s">
        <v>69</v>
      </c>
      <c r="BL1625" t="s">
        <v>13240</v>
      </c>
      <c r="BM1625" t="str">
        <f>HYPERLINK("http://dx.doi.org/10.3366/scot.2021.0351","http://dx.doi.org/10.3366/scot.2021.0351")</f>
        <v>http://dx.doi.org/10.3366/scot.2021.0351</v>
      </c>
      <c r="BN1625" t="s">
        <v>69</v>
      </c>
      <c r="BO1625" t="s">
        <v>69</v>
      </c>
      <c r="BP1625">
        <v>22</v>
      </c>
      <c r="BQ1625" t="s">
        <v>13241</v>
      </c>
      <c r="BR1625" t="s">
        <v>8573</v>
      </c>
      <c r="BS1625" t="s">
        <v>10084</v>
      </c>
      <c r="BT1625" t="s">
        <v>13242</v>
      </c>
      <c r="BU1625" t="s">
        <v>13243</v>
      </c>
      <c r="BV1625" t="s">
        <v>69</v>
      </c>
      <c r="BW1625" t="s">
        <v>69</v>
      </c>
      <c r="BX1625" t="s">
        <v>69</v>
      </c>
      <c r="BY1625" t="s">
        <v>69</v>
      </c>
      <c r="BZ1625" t="s">
        <v>8526</v>
      </c>
      <c r="CA1625" t="str">
        <f>HYPERLINK("https%3A%2F%2Fwww.webofscience.com%2Fwos%2Fwoscc%2Ffull-record%2FWOS:000618126800002","View Full Record in Web of Science")</f>
        <v>View Full Record in Web of Science</v>
      </c>
    </row>
    <row r="1626" spans="2:79" ht="12.5" x14ac:dyDescent="0.25">
      <c r="B1626" t="s">
        <v>8495</v>
      </c>
      <c r="D1626" s="7" t="s">
        <v>32933</v>
      </c>
      <c r="E1626" s="7"/>
      <c r="F1626" s="7"/>
      <c r="G1626" s="7"/>
      <c r="H1626" t="s">
        <v>67</v>
      </c>
      <c r="I1626" t="s">
        <v>7549</v>
      </c>
      <c r="J1626" t="s">
        <v>69</v>
      </c>
      <c r="K1626" t="s">
        <v>69</v>
      </c>
      <c r="L1626" t="s">
        <v>69</v>
      </c>
      <c r="M1626" t="s">
        <v>7550</v>
      </c>
      <c r="N1626" t="s">
        <v>69</v>
      </c>
      <c r="O1626" t="s">
        <v>69</v>
      </c>
      <c r="P1626" t="s">
        <v>7551</v>
      </c>
      <c r="Q1626" t="s">
        <v>7552</v>
      </c>
      <c r="R1626" t="s">
        <v>69</v>
      </c>
      <c r="S1626" t="s">
        <v>69</v>
      </c>
      <c r="T1626" t="s">
        <v>8505</v>
      </c>
      <c r="U1626" t="s">
        <v>8506</v>
      </c>
      <c r="V1626" t="s">
        <v>69</v>
      </c>
      <c r="W1626" t="s">
        <v>69</v>
      </c>
      <c r="X1626" t="s">
        <v>69</v>
      </c>
      <c r="Y1626" t="s">
        <v>69</v>
      </c>
      <c r="Z1626" t="s">
        <v>69</v>
      </c>
      <c r="AA1626" t="s">
        <v>17881</v>
      </c>
      <c r="AB1626" t="s">
        <v>17882</v>
      </c>
      <c r="AC1626" t="s">
        <v>7553</v>
      </c>
      <c r="AD1626" t="s">
        <v>17883</v>
      </c>
      <c r="AE1626" t="s">
        <v>69</v>
      </c>
      <c r="AF1626" t="s">
        <v>17884</v>
      </c>
      <c r="AG1626" t="s">
        <v>17885</v>
      </c>
      <c r="AH1626" t="s">
        <v>17886</v>
      </c>
      <c r="AI1626" t="s">
        <v>17887</v>
      </c>
      <c r="AJ1626" t="s">
        <v>17888</v>
      </c>
      <c r="AK1626" t="s">
        <v>17889</v>
      </c>
      <c r="AL1626" t="s">
        <v>17890</v>
      </c>
      <c r="AM1626" t="s">
        <v>69</v>
      </c>
      <c r="AN1626">
        <v>84</v>
      </c>
      <c r="AO1626">
        <v>118</v>
      </c>
      <c r="AP1626">
        <v>124</v>
      </c>
      <c r="AQ1626">
        <v>40</v>
      </c>
      <c r="AR1626">
        <v>148</v>
      </c>
      <c r="AS1626" t="s">
        <v>8924</v>
      </c>
      <c r="AT1626" t="s">
        <v>8925</v>
      </c>
      <c r="AU1626" t="s">
        <v>8926</v>
      </c>
      <c r="AV1626" t="s">
        <v>69</v>
      </c>
      <c r="AW1626" t="s">
        <v>7554</v>
      </c>
      <c r="AX1626" t="s">
        <v>69</v>
      </c>
      <c r="AY1626" t="s">
        <v>17891</v>
      </c>
      <c r="AZ1626" t="s">
        <v>17892</v>
      </c>
      <c r="BA1626" t="s">
        <v>451</v>
      </c>
      <c r="BB1626">
        <v>2019</v>
      </c>
      <c r="BC1626">
        <v>11</v>
      </c>
      <c r="BD1626">
        <v>1</v>
      </c>
      <c r="BE1626" t="s">
        <v>69</v>
      </c>
      <c r="BF1626" t="s">
        <v>69</v>
      </c>
      <c r="BG1626" t="s">
        <v>69</v>
      </c>
      <c r="BH1626" t="s">
        <v>69</v>
      </c>
      <c r="BI1626" t="s">
        <v>69</v>
      </c>
      <c r="BJ1626" t="s">
        <v>69</v>
      </c>
      <c r="BK1626">
        <v>43</v>
      </c>
      <c r="BL1626" t="s">
        <v>7555</v>
      </c>
      <c r="BM1626" t="str">
        <f>HYPERLINK("http://dx.doi.org/10.3390/rs11010043","http://dx.doi.org/10.3390/rs11010043")</f>
        <v>http://dx.doi.org/10.3390/rs11010043</v>
      </c>
      <c r="BN1626" t="s">
        <v>69</v>
      </c>
      <c r="BO1626" t="s">
        <v>69</v>
      </c>
      <c r="BP1626">
        <v>27</v>
      </c>
      <c r="BQ1626" t="s">
        <v>17893</v>
      </c>
      <c r="BR1626" t="s">
        <v>8548</v>
      </c>
      <c r="BS1626" t="s">
        <v>17894</v>
      </c>
      <c r="BT1626" t="s">
        <v>17895</v>
      </c>
      <c r="BU1626" t="s">
        <v>7556</v>
      </c>
      <c r="BV1626" t="s">
        <v>69</v>
      </c>
      <c r="BW1626" t="s">
        <v>12220</v>
      </c>
      <c r="BX1626" t="s">
        <v>15211</v>
      </c>
      <c r="BY1626" t="s">
        <v>15212</v>
      </c>
      <c r="BZ1626" t="s">
        <v>8526</v>
      </c>
      <c r="CA1626" t="str">
        <f>HYPERLINK("https%3A%2F%2Fwww.webofscience.com%2Fwos%2Fwoscc%2Ffull-record%2FWOS:000457935600043","View Full Record in Web of Science")</f>
        <v>View Full Record in Web of Science</v>
      </c>
    </row>
    <row r="1627" spans="2:79" x14ac:dyDescent="0.3">
      <c r="B1627" t="s">
        <v>8495</v>
      </c>
      <c r="D1627" s="9" t="s">
        <v>32954</v>
      </c>
      <c r="E1627" s="9" t="s">
        <v>33137</v>
      </c>
      <c r="F1627" s="9" t="s">
        <v>8491</v>
      </c>
      <c r="G1627" s="9" t="s">
        <v>8490</v>
      </c>
      <c r="H1627" t="s">
        <v>67</v>
      </c>
      <c r="I1627" t="s">
        <v>27322</v>
      </c>
      <c r="J1627" t="s">
        <v>69</v>
      </c>
      <c r="K1627" t="s">
        <v>69</v>
      </c>
      <c r="L1627" t="s">
        <v>69</v>
      </c>
      <c r="M1627" t="s">
        <v>27323</v>
      </c>
      <c r="N1627" t="s">
        <v>69</v>
      </c>
      <c r="O1627" t="s">
        <v>69</v>
      </c>
      <c r="P1627" t="s">
        <v>27324</v>
      </c>
      <c r="Q1627" t="s">
        <v>27325</v>
      </c>
      <c r="R1627" t="s">
        <v>69</v>
      </c>
      <c r="S1627" t="s">
        <v>69</v>
      </c>
      <c r="T1627" t="s">
        <v>8505</v>
      </c>
      <c r="U1627" t="s">
        <v>8506</v>
      </c>
      <c r="V1627" t="s">
        <v>69</v>
      </c>
      <c r="W1627" t="s">
        <v>69</v>
      </c>
      <c r="X1627" t="s">
        <v>69</v>
      </c>
      <c r="Y1627" t="s">
        <v>69</v>
      </c>
      <c r="Z1627" t="s">
        <v>69</v>
      </c>
      <c r="AA1627" t="s">
        <v>27326</v>
      </c>
      <c r="AB1627" t="s">
        <v>27327</v>
      </c>
      <c r="AC1627" t="s">
        <v>27328</v>
      </c>
      <c r="AD1627" t="s">
        <v>27329</v>
      </c>
      <c r="AE1627" t="s">
        <v>69</v>
      </c>
      <c r="AF1627" t="s">
        <v>27330</v>
      </c>
      <c r="AG1627" t="s">
        <v>27331</v>
      </c>
      <c r="AH1627" t="s">
        <v>27332</v>
      </c>
      <c r="AI1627" t="s">
        <v>27333</v>
      </c>
      <c r="AJ1627" t="s">
        <v>69</v>
      </c>
      <c r="AK1627" t="s">
        <v>69</v>
      </c>
      <c r="AL1627" t="s">
        <v>69</v>
      </c>
      <c r="AM1627" t="s">
        <v>69</v>
      </c>
      <c r="AN1627">
        <v>48</v>
      </c>
      <c r="AO1627">
        <v>0</v>
      </c>
      <c r="AP1627">
        <v>0</v>
      </c>
      <c r="AQ1627">
        <v>0</v>
      </c>
      <c r="AR1627">
        <v>0</v>
      </c>
      <c r="AS1627" t="s">
        <v>27334</v>
      </c>
      <c r="AT1627" t="s">
        <v>27335</v>
      </c>
      <c r="AU1627" t="s">
        <v>27336</v>
      </c>
      <c r="AV1627" t="s">
        <v>27337</v>
      </c>
      <c r="AW1627" t="s">
        <v>27338</v>
      </c>
      <c r="AX1627" t="s">
        <v>69</v>
      </c>
      <c r="AY1627" t="s">
        <v>27339</v>
      </c>
      <c r="AZ1627" t="s">
        <v>27340</v>
      </c>
      <c r="BA1627" t="s">
        <v>2512</v>
      </c>
      <c r="BB1627">
        <v>2011</v>
      </c>
      <c r="BC1627">
        <v>13</v>
      </c>
      <c r="BD1627">
        <v>1</v>
      </c>
      <c r="BE1627" t="s">
        <v>69</v>
      </c>
      <c r="BF1627" t="s">
        <v>69</v>
      </c>
      <c r="BG1627" t="s">
        <v>69</v>
      </c>
      <c r="BH1627" t="s">
        <v>69</v>
      </c>
      <c r="BI1627">
        <v>45</v>
      </c>
      <c r="BJ1627">
        <v>64</v>
      </c>
      <c r="BK1627" t="s">
        <v>69</v>
      </c>
      <c r="BL1627" t="s">
        <v>27341</v>
      </c>
      <c r="BM1627" t="str">
        <f>HYPERLINK("http://dx.doi.org/10.22146/gamaijb.5494","http://dx.doi.org/10.22146/gamaijb.5494")</f>
        <v>http://dx.doi.org/10.22146/gamaijb.5494</v>
      </c>
      <c r="BN1627" t="s">
        <v>69</v>
      </c>
      <c r="BO1627" t="s">
        <v>69</v>
      </c>
      <c r="BP1627">
        <v>20</v>
      </c>
      <c r="BQ1627" t="s">
        <v>8444</v>
      </c>
      <c r="BR1627" t="s">
        <v>8573</v>
      </c>
      <c r="BS1627" t="s">
        <v>8594</v>
      </c>
      <c r="BT1627" t="s">
        <v>27342</v>
      </c>
      <c r="BU1627" t="s">
        <v>27343</v>
      </c>
      <c r="BV1627" t="s">
        <v>69</v>
      </c>
      <c r="BW1627" t="s">
        <v>22841</v>
      </c>
      <c r="BX1627" t="s">
        <v>69</v>
      </c>
      <c r="BY1627" t="s">
        <v>69</v>
      </c>
      <c r="BZ1627" t="s">
        <v>8526</v>
      </c>
      <c r="CA1627" t="str">
        <f>HYPERLINK("https%3A%2F%2Fwww.webofscience.com%2Fwos%2Fwoscc%2Ffull-record%2FWOS:000436729200003","View Full Record in Web of Science")</f>
        <v>View Full Record in Web of Science</v>
      </c>
    </row>
    <row r="1628" spans="2:79" ht="12.5" x14ac:dyDescent="0.25">
      <c r="B1628" t="s">
        <v>8495</v>
      </c>
      <c r="D1628" s="22" t="s">
        <v>32931</v>
      </c>
      <c r="E1628" s="7"/>
      <c r="F1628" s="7"/>
      <c r="G1628" s="7"/>
      <c r="H1628" t="s">
        <v>67</v>
      </c>
      <c r="I1628" t="s">
        <v>21825</v>
      </c>
      <c r="J1628" t="s">
        <v>69</v>
      </c>
      <c r="K1628" t="s">
        <v>69</v>
      </c>
      <c r="L1628" t="s">
        <v>69</v>
      </c>
      <c r="M1628" t="s">
        <v>21826</v>
      </c>
      <c r="N1628" t="s">
        <v>69</v>
      </c>
      <c r="O1628" t="s">
        <v>69</v>
      </c>
      <c r="P1628" t="s">
        <v>21827</v>
      </c>
      <c r="Q1628" t="s">
        <v>17054</v>
      </c>
      <c r="R1628" t="s">
        <v>69</v>
      </c>
      <c r="S1628" t="s">
        <v>69</v>
      </c>
      <c r="T1628" t="s">
        <v>8505</v>
      </c>
      <c r="U1628" t="s">
        <v>8506</v>
      </c>
      <c r="V1628" t="s">
        <v>69</v>
      </c>
      <c r="W1628" t="s">
        <v>69</v>
      </c>
      <c r="X1628" t="s">
        <v>69</v>
      </c>
      <c r="Y1628" t="s">
        <v>69</v>
      </c>
      <c r="Z1628" t="s">
        <v>69</v>
      </c>
      <c r="AA1628" t="s">
        <v>21828</v>
      </c>
      <c r="AB1628" t="s">
        <v>21829</v>
      </c>
      <c r="AC1628" t="s">
        <v>21830</v>
      </c>
      <c r="AD1628" t="s">
        <v>21831</v>
      </c>
      <c r="AE1628" t="s">
        <v>69</v>
      </c>
      <c r="AF1628" t="s">
        <v>21832</v>
      </c>
      <c r="AG1628" t="s">
        <v>21833</v>
      </c>
      <c r="AH1628" t="s">
        <v>69</v>
      </c>
      <c r="AI1628" t="s">
        <v>21834</v>
      </c>
      <c r="AJ1628" t="s">
        <v>21835</v>
      </c>
      <c r="AK1628" t="s">
        <v>21836</v>
      </c>
      <c r="AL1628" t="s">
        <v>21837</v>
      </c>
      <c r="AM1628" t="s">
        <v>69</v>
      </c>
      <c r="AN1628">
        <v>19</v>
      </c>
      <c r="AO1628">
        <v>27</v>
      </c>
      <c r="AP1628">
        <v>27</v>
      </c>
      <c r="AQ1628">
        <v>0</v>
      </c>
      <c r="AR1628">
        <v>0</v>
      </c>
      <c r="AS1628" t="s">
        <v>10352</v>
      </c>
      <c r="AT1628" t="s">
        <v>8637</v>
      </c>
      <c r="AU1628" t="s">
        <v>10353</v>
      </c>
      <c r="AV1628" t="s">
        <v>17065</v>
      </c>
      <c r="AW1628" t="s">
        <v>17066</v>
      </c>
      <c r="AX1628" t="s">
        <v>69</v>
      </c>
      <c r="AY1628" t="s">
        <v>17067</v>
      </c>
      <c r="AZ1628" t="s">
        <v>17068</v>
      </c>
      <c r="BA1628" t="s">
        <v>191</v>
      </c>
      <c r="BB1628">
        <v>2016</v>
      </c>
      <c r="BC1628">
        <v>31</v>
      </c>
      <c r="BD1628">
        <v>1</v>
      </c>
      <c r="BE1628" t="s">
        <v>69</v>
      </c>
      <c r="BF1628" t="s">
        <v>69</v>
      </c>
      <c r="BG1628" t="s">
        <v>69</v>
      </c>
      <c r="BH1628" t="s">
        <v>69</v>
      </c>
      <c r="BI1628">
        <v>1</v>
      </c>
      <c r="BJ1628">
        <v>9</v>
      </c>
      <c r="BK1628" t="s">
        <v>69</v>
      </c>
      <c r="BL1628" t="s">
        <v>21838</v>
      </c>
      <c r="BM1628" t="str">
        <f>HYPERLINK("http://dx.doi.org/10.1093/heapol/czv006","http://dx.doi.org/10.1093/heapol/czv006")</f>
        <v>http://dx.doi.org/10.1093/heapol/czv006</v>
      </c>
      <c r="BN1628" t="s">
        <v>69</v>
      </c>
      <c r="BO1628" t="s">
        <v>69</v>
      </c>
      <c r="BP1628">
        <v>9</v>
      </c>
      <c r="BQ1628" t="s">
        <v>9809</v>
      </c>
      <c r="BR1628" t="s">
        <v>8523</v>
      </c>
      <c r="BS1628" t="s">
        <v>9209</v>
      </c>
      <c r="BT1628" t="s">
        <v>21839</v>
      </c>
      <c r="BU1628" t="s">
        <v>21841</v>
      </c>
      <c r="BV1628">
        <v>25797469</v>
      </c>
      <c r="BW1628" t="s">
        <v>21840</v>
      </c>
      <c r="BX1628" t="s">
        <v>69</v>
      </c>
      <c r="BY1628" t="s">
        <v>69</v>
      </c>
      <c r="BZ1628" t="s">
        <v>8526</v>
      </c>
      <c r="CA1628" t="str">
        <f>HYPERLINK("https%3A%2F%2Fwww.webofscience.com%2Fwos%2Fwoscc%2Ffull-record%2FWOS:000374225400001","View Full Record in Web of Science")</f>
        <v>View Full Record in Web of Science</v>
      </c>
    </row>
    <row r="1629" spans="2:79" ht="12.5" x14ac:dyDescent="0.25">
      <c r="B1629" t="s">
        <v>8495</v>
      </c>
      <c r="D1629" s="22" t="s">
        <v>32931</v>
      </c>
      <c r="E1629" s="7"/>
      <c r="F1629" s="7"/>
      <c r="G1629" s="7"/>
      <c r="H1629" t="s">
        <v>67</v>
      </c>
      <c r="I1629" t="s">
        <v>8979</v>
      </c>
      <c r="J1629" t="s">
        <v>69</v>
      </c>
      <c r="K1629" t="s">
        <v>69</v>
      </c>
      <c r="L1629" t="s">
        <v>69</v>
      </c>
      <c r="M1629" t="s">
        <v>8980</v>
      </c>
      <c r="N1629" t="s">
        <v>69</v>
      </c>
      <c r="O1629" t="s">
        <v>69</v>
      </c>
      <c r="P1629" t="s">
        <v>8981</v>
      </c>
      <c r="Q1629" t="s">
        <v>8982</v>
      </c>
      <c r="R1629" t="s">
        <v>69</v>
      </c>
      <c r="S1629" t="s">
        <v>69</v>
      </c>
      <c r="T1629" t="s">
        <v>8505</v>
      </c>
      <c r="U1629" t="s">
        <v>8506</v>
      </c>
      <c r="V1629" t="s">
        <v>69</v>
      </c>
      <c r="W1629" t="s">
        <v>69</v>
      </c>
      <c r="X1629" t="s">
        <v>69</v>
      </c>
      <c r="Y1629" t="s">
        <v>69</v>
      </c>
      <c r="Z1629" t="s">
        <v>69</v>
      </c>
      <c r="AA1629" t="s">
        <v>8983</v>
      </c>
      <c r="AB1629" t="s">
        <v>8984</v>
      </c>
      <c r="AC1629" t="s">
        <v>8985</v>
      </c>
      <c r="AD1629" t="s">
        <v>8986</v>
      </c>
      <c r="AE1629" t="s">
        <v>69</v>
      </c>
      <c r="AF1629" t="s">
        <v>8987</v>
      </c>
      <c r="AG1629" t="s">
        <v>8988</v>
      </c>
      <c r="AH1629" t="s">
        <v>69</v>
      </c>
      <c r="AI1629" t="s">
        <v>69</v>
      </c>
      <c r="AJ1629" t="s">
        <v>8989</v>
      </c>
      <c r="AK1629" t="s">
        <v>8990</v>
      </c>
      <c r="AL1629" t="s">
        <v>8991</v>
      </c>
      <c r="AM1629" t="s">
        <v>69</v>
      </c>
      <c r="AN1629">
        <v>90</v>
      </c>
      <c r="AO1629">
        <v>0</v>
      </c>
      <c r="AP1629">
        <v>0</v>
      </c>
      <c r="AQ1629">
        <v>4</v>
      </c>
      <c r="AR1629">
        <v>4</v>
      </c>
      <c r="AS1629" t="s">
        <v>8992</v>
      </c>
      <c r="AT1629" t="s">
        <v>8993</v>
      </c>
      <c r="AU1629" t="s">
        <v>8994</v>
      </c>
      <c r="AV1629" t="s">
        <v>8995</v>
      </c>
      <c r="AW1629" t="s">
        <v>69</v>
      </c>
      <c r="AX1629" t="s">
        <v>69</v>
      </c>
      <c r="AY1629" t="s">
        <v>8996</v>
      </c>
      <c r="AZ1629" t="s">
        <v>8997</v>
      </c>
      <c r="BA1629" t="s">
        <v>8998</v>
      </c>
      <c r="BB1629">
        <v>2022</v>
      </c>
      <c r="BC1629">
        <v>13</v>
      </c>
      <c r="BD1629" t="s">
        <v>69</v>
      </c>
      <c r="BE1629" t="s">
        <v>69</v>
      </c>
      <c r="BF1629" t="s">
        <v>69</v>
      </c>
      <c r="BG1629" t="s">
        <v>69</v>
      </c>
      <c r="BH1629" t="s">
        <v>69</v>
      </c>
      <c r="BI1629" t="s">
        <v>69</v>
      </c>
      <c r="BJ1629" t="s">
        <v>69</v>
      </c>
      <c r="BK1629">
        <v>850980</v>
      </c>
      <c r="BL1629" t="s">
        <v>8999</v>
      </c>
      <c r="BM1629" t="str">
        <f>HYPERLINK("http://dx.doi.org/10.3389/fpsyg.2022.850980","http://dx.doi.org/10.3389/fpsyg.2022.850980")</f>
        <v>http://dx.doi.org/10.3389/fpsyg.2022.850980</v>
      </c>
      <c r="BN1629" t="s">
        <v>69</v>
      </c>
      <c r="BO1629" t="s">
        <v>69</v>
      </c>
      <c r="BP1629">
        <v>14</v>
      </c>
      <c r="BQ1629" t="s">
        <v>9000</v>
      </c>
      <c r="BR1629" t="s">
        <v>8661</v>
      </c>
      <c r="BS1629" t="s">
        <v>9001</v>
      </c>
      <c r="BT1629" t="s">
        <v>9002</v>
      </c>
      <c r="BU1629" t="s">
        <v>9003</v>
      </c>
      <c r="BV1629">
        <v>35686082</v>
      </c>
      <c r="BW1629" t="s">
        <v>69</v>
      </c>
      <c r="BX1629" t="s">
        <v>69</v>
      </c>
      <c r="BY1629" t="s">
        <v>69</v>
      </c>
      <c r="BZ1629" t="s">
        <v>8526</v>
      </c>
      <c r="CA1629" t="str">
        <f>HYPERLINK("https%3A%2F%2Fwww.webofscience.com%2Fwos%2Fwoscc%2Ffull-record%2FWOS:000807517900001","View Full Record in Web of Science")</f>
        <v>View Full Record in Web of Science</v>
      </c>
    </row>
    <row r="1630" spans="2:79" x14ac:dyDescent="0.3">
      <c r="B1630" t="s">
        <v>8495</v>
      </c>
      <c r="D1630" s="12" t="s">
        <v>33030</v>
      </c>
      <c r="H1630" t="s">
        <v>67</v>
      </c>
      <c r="I1630" t="s">
        <v>4791</v>
      </c>
      <c r="J1630" t="s">
        <v>69</v>
      </c>
      <c r="K1630" t="s">
        <v>69</v>
      </c>
      <c r="L1630" t="s">
        <v>69</v>
      </c>
      <c r="M1630" s="3" t="s">
        <v>4792</v>
      </c>
      <c r="N1630" t="s">
        <v>69</v>
      </c>
      <c r="O1630" t="s">
        <v>69</v>
      </c>
      <c r="P1630" s="2" t="s">
        <v>4793</v>
      </c>
      <c r="Q1630" t="s">
        <v>4711</v>
      </c>
      <c r="R1630" t="s">
        <v>69</v>
      </c>
      <c r="S1630" t="s">
        <v>69</v>
      </c>
      <c r="T1630" t="s">
        <v>8505</v>
      </c>
      <c r="U1630" t="s">
        <v>8506</v>
      </c>
      <c r="V1630" t="s">
        <v>69</v>
      </c>
      <c r="W1630" t="s">
        <v>69</v>
      </c>
      <c r="X1630" t="s">
        <v>69</v>
      </c>
      <c r="Y1630" t="s">
        <v>69</v>
      </c>
      <c r="Z1630" t="s">
        <v>69</v>
      </c>
      <c r="AA1630" t="s">
        <v>69</v>
      </c>
      <c r="AB1630" t="s">
        <v>25758</v>
      </c>
      <c r="AC1630" t="s">
        <v>4794</v>
      </c>
      <c r="AD1630" t="s">
        <v>25759</v>
      </c>
      <c r="AE1630" t="s">
        <v>69</v>
      </c>
      <c r="AF1630" t="s">
        <v>25760</v>
      </c>
      <c r="AG1630" t="s">
        <v>25761</v>
      </c>
      <c r="AH1630" t="s">
        <v>69</v>
      </c>
      <c r="AI1630" t="s">
        <v>69</v>
      </c>
      <c r="AJ1630" t="s">
        <v>69</v>
      </c>
      <c r="AK1630" t="s">
        <v>69</v>
      </c>
      <c r="AL1630" t="s">
        <v>69</v>
      </c>
      <c r="AM1630" t="s">
        <v>69</v>
      </c>
      <c r="AN1630">
        <v>43</v>
      </c>
      <c r="AO1630">
        <v>17</v>
      </c>
      <c r="AP1630">
        <v>17</v>
      </c>
      <c r="AQ1630">
        <v>1</v>
      </c>
      <c r="AR1630">
        <v>113</v>
      </c>
      <c r="AS1630" t="s">
        <v>8636</v>
      </c>
      <c r="AT1630" t="s">
        <v>8637</v>
      </c>
      <c r="AU1630" t="s">
        <v>8638</v>
      </c>
      <c r="AV1630" t="s">
        <v>4714</v>
      </c>
      <c r="AW1630" t="s">
        <v>69</v>
      </c>
      <c r="AX1630" t="s">
        <v>69</v>
      </c>
      <c r="AY1630" t="s">
        <v>4711</v>
      </c>
      <c r="AZ1630" t="s">
        <v>8487</v>
      </c>
      <c r="BA1630" t="s">
        <v>274</v>
      </c>
      <c r="BB1630">
        <v>2012</v>
      </c>
      <c r="BC1630">
        <v>44</v>
      </c>
      <c r="BD1630">
        <v>9</v>
      </c>
      <c r="BE1630" t="s">
        <v>69</v>
      </c>
      <c r="BF1630" t="s">
        <v>69</v>
      </c>
      <c r="BG1630" t="s">
        <v>114</v>
      </c>
      <c r="BH1630" t="s">
        <v>69</v>
      </c>
      <c r="BI1630">
        <v>787</v>
      </c>
      <c r="BJ1630">
        <v>796</v>
      </c>
      <c r="BK1630" t="s">
        <v>69</v>
      </c>
      <c r="BL1630" t="s">
        <v>4795</v>
      </c>
      <c r="BM1630" t="str">
        <f>HYPERLINK("http://dx.doi.org/10.1016/j.futures.2012.07.007","http://dx.doi.org/10.1016/j.futures.2012.07.007")</f>
        <v>http://dx.doi.org/10.1016/j.futures.2012.07.007</v>
      </c>
      <c r="BN1630" t="s">
        <v>69</v>
      </c>
      <c r="BO1630" t="s">
        <v>69</v>
      </c>
      <c r="BP1630">
        <v>10</v>
      </c>
      <c r="BQ1630" t="s">
        <v>25762</v>
      </c>
      <c r="BR1630" t="s">
        <v>8661</v>
      </c>
      <c r="BS1630" t="s">
        <v>10993</v>
      </c>
      <c r="BT1630" t="s">
        <v>25763</v>
      </c>
      <c r="BU1630" t="s">
        <v>4796</v>
      </c>
      <c r="BV1630" t="s">
        <v>69</v>
      </c>
      <c r="BW1630" t="s">
        <v>69</v>
      </c>
      <c r="BX1630" t="s">
        <v>69</v>
      </c>
      <c r="BY1630" t="s">
        <v>69</v>
      </c>
      <c r="BZ1630" t="s">
        <v>8526</v>
      </c>
      <c r="CA1630" t="str">
        <f>HYPERLINK("https%3A%2F%2Fwww.webofscience.com%2Fwos%2Fwoscc%2Ffull-record%2FWOS:000311462100004","View Full Record in Web of Science")</f>
        <v>View Full Record in Web of Science</v>
      </c>
    </row>
    <row r="1631" spans="2:79" ht="12.5" x14ac:dyDescent="0.25">
      <c r="B1631" t="s">
        <v>8495</v>
      </c>
      <c r="D1631" s="22" t="s">
        <v>32931</v>
      </c>
      <c r="E1631" s="7"/>
      <c r="F1631" s="7"/>
      <c r="G1631" s="7"/>
      <c r="H1631" t="s">
        <v>67</v>
      </c>
      <c r="I1631" t="s">
        <v>8597</v>
      </c>
      <c r="J1631" t="s">
        <v>69</v>
      </c>
      <c r="K1631" t="s">
        <v>69</v>
      </c>
      <c r="L1631" t="s">
        <v>69</v>
      </c>
      <c r="M1631" t="s">
        <v>8598</v>
      </c>
      <c r="N1631" t="s">
        <v>69</v>
      </c>
      <c r="O1631" t="s">
        <v>69</v>
      </c>
      <c r="P1631" t="s">
        <v>8599</v>
      </c>
      <c r="Q1631" t="s">
        <v>8600</v>
      </c>
      <c r="R1631" t="s">
        <v>69</v>
      </c>
      <c r="S1631" t="s">
        <v>69</v>
      </c>
      <c r="T1631" t="s">
        <v>8505</v>
      </c>
      <c r="U1631" t="s">
        <v>8556</v>
      </c>
      <c r="V1631" t="s">
        <v>69</v>
      </c>
      <c r="W1631" t="s">
        <v>69</v>
      </c>
      <c r="X1631" t="s">
        <v>69</v>
      </c>
      <c r="Y1631" t="s">
        <v>69</v>
      </c>
      <c r="Z1631" t="s">
        <v>69</v>
      </c>
      <c r="AA1631" t="s">
        <v>8601</v>
      </c>
      <c r="AB1631" t="s">
        <v>8602</v>
      </c>
      <c r="AC1631" t="s">
        <v>8603</v>
      </c>
      <c r="AD1631" t="s">
        <v>8604</v>
      </c>
      <c r="AE1631" t="s">
        <v>69</v>
      </c>
      <c r="AF1631" t="s">
        <v>8605</v>
      </c>
      <c r="AG1631" t="s">
        <v>8606</v>
      </c>
      <c r="AH1631" t="s">
        <v>69</v>
      </c>
      <c r="AI1631" t="s">
        <v>8607</v>
      </c>
      <c r="AJ1631" t="s">
        <v>8608</v>
      </c>
      <c r="AK1631" t="s">
        <v>8609</v>
      </c>
      <c r="AL1631" t="s">
        <v>8610</v>
      </c>
      <c r="AM1631" t="s">
        <v>69</v>
      </c>
      <c r="AN1631">
        <v>104</v>
      </c>
      <c r="AO1631">
        <v>0</v>
      </c>
      <c r="AP1631">
        <v>0</v>
      </c>
      <c r="AQ1631">
        <v>0</v>
      </c>
      <c r="AR1631">
        <v>0</v>
      </c>
      <c r="AS1631" t="s">
        <v>8611</v>
      </c>
      <c r="AT1631" t="s">
        <v>8612</v>
      </c>
      <c r="AU1631" t="s">
        <v>8613</v>
      </c>
      <c r="AV1631" t="s">
        <v>8614</v>
      </c>
      <c r="AW1631" t="s">
        <v>8615</v>
      </c>
      <c r="AX1631" t="s">
        <v>69</v>
      </c>
      <c r="AY1631" t="s">
        <v>8616</v>
      </c>
      <c r="AZ1631" t="s">
        <v>8617</v>
      </c>
      <c r="BA1631" t="s">
        <v>69</v>
      </c>
      <c r="BB1631" t="s">
        <v>69</v>
      </c>
      <c r="BC1631" t="s">
        <v>69</v>
      </c>
      <c r="BD1631" t="s">
        <v>69</v>
      </c>
      <c r="BE1631" t="s">
        <v>69</v>
      </c>
      <c r="BF1631" t="s">
        <v>69</v>
      </c>
      <c r="BG1631" t="s">
        <v>69</v>
      </c>
      <c r="BH1631" t="s">
        <v>69</v>
      </c>
      <c r="BI1631" t="s">
        <v>69</v>
      </c>
      <c r="BJ1631" t="s">
        <v>69</v>
      </c>
      <c r="BK1631" t="s">
        <v>69</v>
      </c>
      <c r="BL1631" t="s">
        <v>8618</v>
      </c>
      <c r="BM1631" t="str">
        <f>HYPERLINK("http://dx.doi.org/10.1080/03036758.2022.2097709","http://dx.doi.org/10.1080/03036758.2022.2097709")</f>
        <v>http://dx.doi.org/10.1080/03036758.2022.2097709</v>
      </c>
      <c r="BN1631" t="s">
        <v>69</v>
      </c>
      <c r="BO1631" t="s">
        <v>8571</v>
      </c>
      <c r="BP1631">
        <v>24</v>
      </c>
      <c r="BQ1631" t="s">
        <v>8619</v>
      </c>
      <c r="BR1631" t="s">
        <v>8548</v>
      </c>
      <c r="BS1631" t="s">
        <v>8620</v>
      </c>
      <c r="BT1631" t="s">
        <v>8621</v>
      </c>
      <c r="BU1631" t="s">
        <v>8623</v>
      </c>
      <c r="BV1631" t="s">
        <v>69</v>
      </c>
      <c r="BW1631" t="s">
        <v>8622</v>
      </c>
      <c r="BX1631" t="s">
        <v>69</v>
      </c>
      <c r="BY1631" t="s">
        <v>69</v>
      </c>
      <c r="BZ1631" t="s">
        <v>8526</v>
      </c>
      <c r="CA1631" t="str">
        <f>HYPERLINK("https%3A%2F%2Fwww.webofscience.com%2Fwos%2Fwoscc%2Ffull-record%2FWOS:000825458900001","View Full Record in Web of Science")</f>
        <v>View Full Record in Web of Science</v>
      </c>
    </row>
    <row r="1632" spans="2:79" ht="12.5" x14ac:dyDescent="0.25">
      <c r="B1632" t="s">
        <v>8495</v>
      </c>
      <c r="D1632" s="22" t="s">
        <v>32931</v>
      </c>
      <c r="E1632" s="7"/>
      <c r="F1632" s="7"/>
      <c r="G1632" s="7"/>
      <c r="H1632" t="s">
        <v>67</v>
      </c>
      <c r="I1632" t="s">
        <v>12114</v>
      </c>
      <c r="J1632" t="s">
        <v>69</v>
      </c>
      <c r="K1632" t="s">
        <v>69</v>
      </c>
      <c r="L1632" t="s">
        <v>69</v>
      </c>
      <c r="M1632" t="s">
        <v>12115</v>
      </c>
      <c r="N1632" t="s">
        <v>69</v>
      </c>
      <c r="O1632" t="s">
        <v>69</v>
      </c>
      <c r="P1632" t="s">
        <v>12116</v>
      </c>
      <c r="Q1632" t="s">
        <v>12117</v>
      </c>
      <c r="R1632" t="s">
        <v>69</v>
      </c>
      <c r="S1632" t="s">
        <v>69</v>
      </c>
      <c r="T1632" t="s">
        <v>8505</v>
      </c>
      <c r="U1632" t="s">
        <v>8506</v>
      </c>
      <c r="V1632" t="s">
        <v>69</v>
      </c>
      <c r="W1632" t="s">
        <v>69</v>
      </c>
      <c r="X1632" t="s">
        <v>69</v>
      </c>
      <c r="Y1632" t="s">
        <v>69</v>
      </c>
      <c r="Z1632" t="s">
        <v>69</v>
      </c>
      <c r="AA1632" t="s">
        <v>12118</v>
      </c>
      <c r="AB1632" t="s">
        <v>12119</v>
      </c>
      <c r="AC1632" t="s">
        <v>12120</v>
      </c>
      <c r="AD1632" t="s">
        <v>12121</v>
      </c>
      <c r="AE1632" t="s">
        <v>69</v>
      </c>
      <c r="AF1632" t="s">
        <v>12122</v>
      </c>
      <c r="AG1632" t="s">
        <v>12123</v>
      </c>
      <c r="AH1632" t="s">
        <v>12124</v>
      </c>
      <c r="AI1632" t="s">
        <v>12125</v>
      </c>
      <c r="AJ1632" t="s">
        <v>69</v>
      </c>
      <c r="AK1632" t="s">
        <v>69</v>
      </c>
      <c r="AL1632" t="s">
        <v>69</v>
      </c>
      <c r="AM1632" t="s">
        <v>69</v>
      </c>
      <c r="AN1632">
        <v>98</v>
      </c>
      <c r="AO1632">
        <v>11</v>
      </c>
      <c r="AP1632">
        <v>11</v>
      </c>
      <c r="AQ1632">
        <v>13</v>
      </c>
      <c r="AR1632">
        <v>34</v>
      </c>
      <c r="AS1632" t="s">
        <v>8846</v>
      </c>
      <c r="AT1632" t="s">
        <v>8847</v>
      </c>
      <c r="AU1632" t="s">
        <v>8848</v>
      </c>
      <c r="AV1632" t="s">
        <v>12126</v>
      </c>
      <c r="AW1632" t="s">
        <v>12127</v>
      </c>
      <c r="AX1632" t="s">
        <v>69</v>
      </c>
      <c r="AY1632" t="s">
        <v>12128</v>
      </c>
      <c r="AZ1632" t="s">
        <v>12129</v>
      </c>
      <c r="BA1632" t="s">
        <v>84</v>
      </c>
      <c r="BB1632">
        <v>2021</v>
      </c>
      <c r="BC1632">
        <v>28</v>
      </c>
      <c r="BD1632">
        <v>4</v>
      </c>
      <c r="BE1632" t="s">
        <v>69</v>
      </c>
      <c r="BF1632" t="s">
        <v>69</v>
      </c>
      <c r="BG1632" t="s">
        <v>69</v>
      </c>
      <c r="BH1632" t="s">
        <v>69</v>
      </c>
      <c r="BI1632">
        <v>1231</v>
      </c>
      <c r="BJ1632">
        <v>1240</v>
      </c>
      <c r="BK1632" t="s">
        <v>69</v>
      </c>
      <c r="BL1632" t="s">
        <v>12130</v>
      </c>
      <c r="BM1632" t="str">
        <f>HYPERLINK("http://dx.doi.org/10.1002/csr.2145","http://dx.doi.org/10.1002/csr.2145")</f>
        <v>http://dx.doi.org/10.1002/csr.2145</v>
      </c>
      <c r="BN1632" t="s">
        <v>69</v>
      </c>
      <c r="BO1632" t="s">
        <v>12111</v>
      </c>
      <c r="BP1632">
        <v>10</v>
      </c>
      <c r="BQ1632" t="s">
        <v>9113</v>
      </c>
      <c r="BR1632" t="s">
        <v>8661</v>
      </c>
      <c r="BS1632" t="s">
        <v>9114</v>
      </c>
      <c r="BT1632" t="s">
        <v>12131</v>
      </c>
      <c r="BU1632" t="s">
        <v>12133</v>
      </c>
      <c r="BV1632">
        <v>34220362</v>
      </c>
      <c r="BW1632" t="s">
        <v>12132</v>
      </c>
      <c r="BX1632" t="s">
        <v>69</v>
      </c>
      <c r="BY1632" t="s">
        <v>69</v>
      </c>
      <c r="BZ1632" t="s">
        <v>8526</v>
      </c>
      <c r="CA1632" t="str">
        <f>HYPERLINK("https%3A%2F%2Fwww.webofscience.com%2Fwos%2Fwoscc%2Ffull-record%2FWOS:000652188400001","View Full Record in Web of Science")</f>
        <v>View Full Record in Web of Science</v>
      </c>
    </row>
    <row r="1633" spans="2:79" ht="12.5" x14ac:dyDescent="0.25">
      <c r="B1633" t="s">
        <v>8495</v>
      </c>
      <c r="D1633" s="22" t="s">
        <v>32931</v>
      </c>
      <c r="E1633" s="7"/>
      <c r="F1633" s="7"/>
      <c r="G1633" s="7"/>
      <c r="H1633" t="s">
        <v>67</v>
      </c>
      <c r="I1633" t="s">
        <v>30798</v>
      </c>
      <c r="J1633" t="s">
        <v>69</v>
      </c>
      <c r="K1633" t="s">
        <v>69</v>
      </c>
      <c r="L1633" t="s">
        <v>69</v>
      </c>
      <c r="M1633" t="s">
        <v>30799</v>
      </c>
      <c r="N1633" t="s">
        <v>69</v>
      </c>
      <c r="O1633" t="s">
        <v>69</v>
      </c>
      <c r="P1633" t="s">
        <v>30800</v>
      </c>
      <c r="Q1633" t="s">
        <v>27956</v>
      </c>
      <c r="R1633" t="s">
        <v>69</v>
      </c>
      <c r="S1633" t="s">
        <v>69</v>
      </c>
      <c r="T1633" t="s">
        <v>8505</v>
      </c>
      <c r="U1633" t="s">
        <v>8506</v>
      </c>
      <c r="V1633" t="s">
        <v>69</v>
      </c>
      <c r="W1633" t="s">
        <v>69</v>
      </c>
      <c r="X1633" t="s">
        <v>69</v>
      </c>
      <c r="Y1633" t="s">
        <v>69</v>
      </c>
      <c r="Z1633" t="s">
        <v>69</v>
      </c>
      <c r="AA1633" t="s">
        <v>30801</v>
      </c>
      <c r="AB1633" t="s">
        <v>69</v>
      </c>
      <c r="AC1633" t="s">
        <v>30802</v>
      </c>
      <c r="AD1633" t="s">
        <v>30803</v>
      </c>
      <c r="AE1633" t="s">
        <v>69</v>
      </c>
      <c r="AF1633" t="s">
        <v>30804</v>
      </c>
      <c r="AG1633" t="s">
        <v>30805</v>
      </c>
      <c r="AH1633" t="s">
        <v>69</v>
      </c>
      <c r="AI1633" t="s">
        <v>69</v>
      </c>
      <c r="AJ1633" t="s">
        <v>69</v>
      </c>
      <c r="AK1633" t="s">
        <v>69</v>
      </c>
      <c r="AL1633" t="s">
        <v>69</v>
      </c>
      <c r="AM1633" t="s">
        <v>69</v>
      </c>
      <c r="AN1633">
        <v>21</v>
      </c>
      <c r="AO1633">
        <v>2</v>
      </c>
      <c r="AP1633">
        <v>2</v>
      </c>
      <c r="AQ1633">
        <v>0</v>
      </c>
      <c r="AR1633">
        <v>2</v>
      </c>
      <c r="AS1633" t="s">
        <v>8865</v>
      </c>
      <c r="AT1633" t="s">
        <v>8612</v>
      </c>
      <c r="AU1633" t="s">
        <v>8866</v>
      </c>
      <c r="AV1633" t="s">
        <v>27962</v>
      </c>
      <c r="AW1633" t="s">
        <v>27963</v>
      </c>
      <c r="AX1633" t="s">
        <v>69</v>
      </c>
      <c r="AY1633" t="s">
        <v>27964</v>
      </c>
      <c r="AZ1633" t="s">
        <v>27965</v>
      </c>
      <c r="BA1633" t="s">
        <v>69</v>
      </c>
      <c r="BB1633">
        <v>2005</v>
      </c>
      <c r="BC1633">
        <v>23</v>
      </c>
      <c r="BD1633">
        <v>10</v>
      </c>
      <c r="BE1633" t="s">
        <v>69</v>
      </c>
      <c r="BF1633" t="s">
        <v>69</v>
      </c>
      <c r="BG1633" t="s">
        <v>114</v>
      </c>
      <c r="BH1633" t="s">
        <v>69</v>
      </c>
      <c r="BI1633">
        <v>1017</v>
      </c>
      <c r="BJ1633">
        <v>1023</v>
      </c>
      <c r="BK1633" t="s">
        <v>69</v>
      </c>
      <c r="BL1633" t="s">
        <v>30806</v>
      </c>
      <c r="BM1633" t="str">
        <f>HYPERLINK("http://dx.doi.org/10.1080/01446190500372429","http://dx.doi.org/10.1080/01446190500372429")</f>
        <v>http://dx.doi.org/10.1080/01446190500372429</v>
      </c>
      <c r="BN1633" t="s">
        <v>69</v>
      </c>
      <c r="BO1633" t="s">
        <v>69</v>
      </c>
      <c r="BP1633">
        <v>7</v>
      </c>
      <c r="BQ1633" t="s">
        <v>8444</v>
      </c>
      <c r="BR1633" t="s">
        <v>8573</v>
      </c>
      <c r="BS1633" t="s">
        <v>8594</v>
      </c>
      <c r="BT1633" t="s">
        <v>30807</v>
      </c>
      <c r="BU1633" t="s">
        <v>30808</v>
      </c>
      <c r="BV1633" t="s">
        <v>69</v>
      </c>
      <c r="BW1633" t="s">
        <v>69</v>
      </c>
      <c r="BX1633" t="s">
        <v>69</v>
      </c>
      <c r="BY1633" t="s">
        <v>69</v>
      </c>
      <c r="BZ1633" t="s">
        <v>8526</v>
      </c>
      <c r="CA1633" t="str">
        <f>HYPERLINK("https%3A%2F%2Fwww.webofscience.com%2Fwos%2Fwoscc%2Ffull-record%2FWOS:000213190500004","View Full Record in Web of Science")</f>
        <v>View Full Record in Web of Science</v>
      </c>
    </row>
    <row r="1634" spans="2:79" ht="12.5" x14ac:dyDescent="0.25">
      <c r="B1634" t="s">
        <v>8495</v>
      </c>
      <c r="D1634" s="7" t="s">
        <v>32933</v>
      </c>
      <c r="E1634" s="7"/>
      <c r="F1634" s="7"/>
      <c r="G1634" s="7"/>
      <c r="H1634" t="s">
        <v>67</v>
      </c>
      <c r="I1634" t="s">
        <v>2431</v>
      </c>
      <c r="J1634" t="s">
        <v>69</v>
      </c>
      <c r="K1634" t="s">
        <v>69</v>
      </c>
      <c r="L1634" t="s">
        <v>69</v>
      </c>
      <c r="M1634" t="s">
        <v>2432</v>
      </c>
      <c r="N1634" t="s">
        <v>69</v>
      </c>
      <c r="O1634" t="s">
        <v>69</v>
      </c>
      <c r="P1634" t="s">
        <v>2433</v>
      </c>
      <c r="Q1634" t="s">
        <v>2434</v>
      </c>
      <c r="R1634" t="s">
        <v>69</v>
      </c>
      <c r="S1634" t="s">
        <v>69</v>
      </c>
      <c r="T1634" t="s">
        <v>8505</v>
      </c>
      <c r="U1634" t="s">
        <v>8506</v>
      </c>
      <c r="V1634" t="s">
        <v>69</v>
      </c>
      <c r="W1634" t="s">
        <v>69</v>
      </c>
      <c r="X1634" t="s">
        <v>69</v>
      </c>
      <c r="Y1634" t="s">
        <v>69</v>
      </c>
      <c r="Z1634" t="s">
        <v>69</v>
      </c>
      <c r="AA1634" t="s">
        <v>69</v>
      </c>
      <c r="AB1634" t="s">
        <v>19256</v>
      </c>
      <c r="AC1634" t="s">
        <v>2435</v>
      </c>
      <c r="AD1634" t="s">
        <v>19257</v>
      </c>
      <c r="AE1634" t="s">
        <v>69</v>
      </c>
      <c r="AF1634" t="s">
        <v>19258</v>
      </c>
      <c r="AG1634" t="s">
        <v>19259</v>
      </c>
      <c r="AH1634" t="s">
        <v>69</v>
      </c>
      <c r="AI1634" t="s">
        <v>19260</v>
      </c>
      <c r="AJ1634" t="s">
        <v>69</v>
      </c>
      <c r="AK1634" t="s">
        <v>69</v>
      </c>
      <c r="AL1634" t="s">
        <v>69</v>
      </c>
      <c r="AM1634" t="s">
        <v>69</v>
      </c>
      <c r="AN1634">
        <v>45</v>
      </c>
      <c r="AO1634">
        <v>5</v>
      </c>
      <c r="AP1634">
        <v>5</v>
      </c>
      <c r="AQ1634">
        <v>1</v>
      </c>
      <c r="AR1634">
        <v>8</v>
      </c>
      <c r="AS1634" t="s">
        <v>16416</v>
      </c>
      <c r="AT1634" t="s">
        <v>16417</v>
      </c>
      <c r="AU1634" t="s">
        <v>16418</v>
      </c>
      <c r="AV1634" t="s">
        <v>69</v>
      </c>
      <c r="AW1634" t="s">
        <v>2436</v>
      </c>
      <c r="AX1634" t="s">
        <v>69</v>
      </c>
      <c r="AY1634" t="s">
        <v>19261</v>
      </c>
      <c r="AZ1634" t="s">
        <v>19262</v>
      </c>
      <c r="BA1634" t="s">
        <v>2437</v>
      </c>
      <c r="BB1634">
        <v>2018</v>
      </c>
      <c r="BC1634">
        <v>4</v>
      </c>
      <c r="BD1634" t="s">
        <v>69</v>
      </c>
      <c r="BE1634" t="s">
        <v>69</v>
      </c>
      <c r="BF1634" t="s">
        <v>69</v>
      </c>
      <c r="BG1634" t="s">
        <v>69</v>
      </c>
      <c r="BH1634" t="s">
        <v>69</v>
      </c>
      <c r="BI1634" t="s">
        <v>69</v>
      </c>
      <c r="BJ1634" t="s">
        <v>69</v>
      </c>
      <c r="BK1634">
        <v>3</v>
      </c>
      <c r="BL1634" t="s">
        <v>2438</v>
      </c>
      <c r="BM1634" t="str">
        <f>HYPERLINK("http://dx.doi.org/10.1057/s41599-017-0056-6","http://dx.doi.org/10.1057/s41599-017-0056-6")</f>
        <v>http://dx.doi.org/10.1057/s41599-017-0056-6</v>
      </c>
      <c r="BN1634" t="s">
        <v>69</v>
      </c>
      <c r="BO1634" t="s">
        <v>69</v>
      </c>
      <c r="BP1634">
        <v>5</v>
      </c>
      <c r="BQ1634" t="s">
        <v>10299</v>
      </c>
      <c r="BR1634" t="s">
        <v>8573</v>
      </c>
      <c r="BS1634" t="s">
        <v>10279</v>
      </c>
      <c r="BT1634" t="s">
        <v>19263</v>
      </c>
      <c r="BU1634" t="s">
        <v>2439</v>
      </c>
      <c r="BV1634" t="s">
        <v>69</v>
      </c>
      <c r="BW1634" t="s">
        <v>9352</v>
      </c>
      <c r="BX1634" t="s">
        <v>69</v>
      </c>
      <c r="BY1634" t="s">
        <v>69</v>
      </c>
      <c r="BZ1634" t="s">
        <v>8526</v>
      </c>
      <c r="CA1634" t="str">
        <f>HYPERLINK("https%3A%2F%2Fwww.webofscience.com%2Fwos%2Fwoscc%2Ffull-record%2FWOS:000440810600003","View Full Record in Web of Science")</f>
        <v>View Full Record in Web of Science</v>
      </c>
    </row>
    <row r="1635" spans="2:79" ht="12.5" x14ac:dyDescent="0.25">
      <c r="B1635" t="s">
        <v>8495</v>
      </c>
      <c r="D1635" s="7" t="s">
        <v>32933</v>
      </c>
      <c r="E1635" s="7"/>
      <c r="F1635" s="7"/>
      <c r="G1635" s="7"/>
      <c r="H1635" t="s">
        <v>67</v>
      </c>
      <c r="I1635" t="s">
        <v>3309</v>
      </c>
      <c r="J1635" t="s">
        <v>69</v>
      </c>
      <c r="K1635" t="s">
        <v>69</v>
      </c>
      <c r="L1635" t="s">
        <v>69</v>
      </c>
      <c r="M1635" t="s">
        <v>3310</v>
      </c>
      <c r="N1635" t="s">
        <v>69</v>
      </c>
      <c r="O1635" t="s">
        <v>69</v>
      </c>
      <c r="P1635" t="s">
        <v>3311</v>
      </c>
      <c r="Q1635" t="s">
        <v>3312</v>
      </c>
      <c r="R1635" t="s">
        <v>69</v>
      </c>
      <c r="S1635" t="s">
        <v>69</v>
      </c>
      <c r="T1635" t="s">
        <v>8505</v>
      </c>
      <c r="U1635" t="s">
        <v>8506</v>
      </c>
      <c r="V1635" t="s">
        <v>69</v>
      </c>
      <c r="W1635" t="s">
        <v>69</v>
      </c>
      <c r="X1635" t="s">
        <v>69</v>
      </c>
      <c r="Y1635" t="s">
        <v>69</v>
      </c>
      <c r="Z1635" t="s">
        <v>69</v>
      </c>
      <c r="AA1635" t="s">
        <v>24828</v>
      </c>
      <c r="AB1635" t="s">
        <v>24829</v>
      </c>
      <c r="AC1635" t="s">
        <v>3313</v>
      </c>
      <c r="AD1635" t="s">
        <v>24830</v>
      </c>
      <c r="AE1635" t="s">
        <v>69</v>
      </c>
      <c r="AF1635" t="s">
        <v>24831</v>
      </c>
      <c r="AG1635" t="s">
        <v>24832</v>
      </c>
      <c r="AH1635" t="s">
        <v>69</v>
      </c>
      <c r="AI1635" t="s">
        <v>69</v>
      </c>
      <c r="AJ1635" t="s">
        <v>69</v>
      </c>
      <c r="AK1635" t="s">
        <v>69</v>
      </c>
      <c r="AL1635" t="s">
        <v>69</v>
      </c>
      <c r="AM1635" t="s">
        <v>69</v>
      </c>
      <c r="AN1635">
        <v>73</v>
      </c>
      <c r="AO1635">
        <v>32</v>
      </c>
      <c r="AP1635">
        <v>32</v>
      </c>
      <c r="AQ1635">
        <v>3</v>
      </c>
      <c r="AR1635">
        <v>56</v>
      </c>
      <c r="AS1635" t="s">
        <v>8846</v>
      </c>
      <c r="AT1635" t="s">
        <v>8847</v>
      </c>
      <c r="AU1635" t="s">
        <v>8848</v>
      </c>
      <c r="AV1635" t="s">
        <v>3314</v>
      </c>
      <c r="AW1635" t="s">
        <v>3315</v>
      </c>
      <c r="AX1635" t="s">
        <v>69</v>
      </c>
      <c r="AY1635" t="s">
        <v>17518</v>
      </c>
      <c r="AZ1635" t="s">
        <v>17519</v>
      </c>
      <c r="BA1635" t="s">
        <v>84</v>
      </c>
      <c r="BB1635">
        <v>2013</v>
      </c>
      <c r="BC1635">
        <v>37</v>
      </c>
      <c r="BD1635">
        <v>4</v>
      </c>
      <c r="BE1635" t="s">
        <v>69</v>
      </c>
      <c r="BF1635" t="s">
        <v>69</v>
      </c>
      <c r="BG1635" t="s">
        <v>69</v>
      </c>
      <c r="BH1635" t="s">
        <v>69</v>
      </c>
      <c r="BI1635">
        <v>1254</v>
      </c>
      <c r="BJ1635">
        <v>1272</v>
      </c>
      <c r="BK1635" t="s">
        <v>69</v>
      </c>
      <c r="BL1635" t="s">
        <v>3316</v>
      </c>
      <c r="BM1635" t="str">
        <f>HYPERLINK("http://dx.doi.org/10.1111/j.1468-2427.2012.01126.x","http://dx.doi.org/10.1111/j.1468-2427.2012.01126.x")</f>
        <v>http://dx.doi.org/10.1111/j.1468-2427.2012.01126.x</v>
      </c>
      <c r="BN1635" t="s">
        <v>69</v>
      </c>
      <c r="BO1635" t="s">
        <v>69</v>
      </c>
      <c r="BP1635">
        <v>19</v>
      </c>
      <c r="BQ1635" t="s">
        <v>17520</v>
      </c>
      <c r="BR1635" t="s">
        <v>8661</v>
      </c>
      <c r="BS1635" t="s">
        <v>17521</v>
      </c>
      <c r="BT1635" t="s">
        <v>24833</v>
      </c>
      <c r="BU1635" t="s">
        <v>3317</v>
      </c>
      <c r="BV1635" t="s">
        <v>69</v>
      </c>
      <c r="BW1635" t="s">
        <v>69</v>
      </c>
      <c r="BX1635" t="s">
        <v>69</v>
      </c>
      <c r="BY1635" t="s">
        <v>69</v>
      </c>
      <c r="BZ1635" t="s">
        <v>8526</v>
      </c>
      <c r="CA1635" t="str">
        <f>HYPERLINK("https%3A%2F%2Fwww.webofscience.com%2Fwos%2Fwoscc%2Ffull-record%2FWOS:000320725500008","View Full Record in Web of Science")</f>
        <v>View Full Record in Web of Science</v>
      </c>
    </row>
    <row r="1636" spans="2:79" ht="12.5" x14ac:dyDescent="0.25">
      <c r="B1636" t="s">
        <v>8495</v>
      </c>
      <c r="D1636" s="7" t="s">
        <v>32933</v>
      </c>
      <c r="E1636" s="7"/>
      <c r="F1636" s="7"/>
      <c r="G1636" s="7"/>
      <c r="H1636" t="s">
        <v>67</v>
      </c>
      <c r="I1636" t="s">
        <v>5258</v>
      </c>
      <c r="J1636" t="s">
        <v>69</v>
      </c>
      <c r="K1636" t="s">
        <v>69</v>
      </c>
      <c r="L1636" t="s">
        <v>69</v>
      </c>
      <c r="M1636" t="s">
        <v>5259</v>
      </c>
      <c r="N1636" t="s">
        <v>69</v>
      </c>
      <c r="O1636" t="s">
        <v>69</v>
      </c>
      <c r="P1636" t="s">
        <v>5260</v>
      </c>
      <c r="Q1636" t="s">
        <v>5261</v>
      </c>
      <c r="R1636" t="s">
        <v>69</v>
      </c>
      <c r="S1636" t="s">
        <v>69</v>
      </c>
      <c r="T1636" t="s">
        <v>8505</v>
      </c>
      <c r="U1636" t="s">
        <v>8506</v>
      </c>
      <c r="V1636" t="s">
        <v>69</v>
      </c>
      <c r="W1636" t="s">
        <v>69</v>
      </c>
      <c r="X1636" t="s">
        <v>69</v>
      </c>
      <c r="Y1636" t="s">
        <v>69</v>
      </c>
      <c r="Z1636" t="s">
        <v>69</v>
      </c>
      <c r="AA1636" t="s">
        <v>15197</v>
      </c>
      <c r="AB1636" t="s">
        <v>15198</v>
      </c>
      <c r="AC1636" t="s">
        <v>5262</v>
      </c>
      <c r="AD1636" t="s">
        <v>15199</v>
      </c>
      <c r="AE1636" t="s">
        <v>69</v>
      </c>
      <c r="AF1636" t="s">
        <v>15200</v>
      </c>
      <c r="AG1636" t="s">
        <v>15201</v>
      </c>
      <c r="AH1636" t="s">
        <v>69</v>
      </c>
      <c r="AI1636" t="s">
        <v>69</v>
      </c>
      <c r="AJ1636" t="s">
        <v>69</v>
      </c>
      <c r="AK1636" t="s">
        <v>69</v>
      </c>
      <c r="AL1636" t="s">
        <v>69</v>
      </c>
      <c r="AM1636" t="s">
        <v>69</v>
      </c>
      <c r="AN1636">
        <v>34</v>
      </c>
      <c r="AO1636">
        <v>1</v>
      </c>
      <c r="AP1636">
        <v>1</v>
      </c>
      <c r="AQ1636">
        <v>0</v>
      </c>
      <c r="AR1636">
        <v>0</v>
      </c>
      <c r="AS1636" t="s">
        <v>8846</v>
      </c>
      <c r="AT1636" t="s">
        <v>8847</v>
      </c>
      <c r="AU1636" t="s">
        <v>8848</v>
      </c>
      <c r="AV1636" t="s">
        <v>5263</v>
      </c>
      <c r="AW1636" t="s">
        <v>5264</v>
      </c>
      <c r="AX1636" t="s">
        <v>69</v>
      </c>
      <c r="AY1636" t="s">
        <v>15202</v>
      </c>
      <c r="AZ1636" t="s">
        <v>15203</v>
      </c>
      <c r="BA1636" t="s">
        <v>201</v>
      </c>
      <c r="BB1636">
        <v>2020</v>
      </c>
      <c r="BC1636">
        <v>36</v>
      </c>
      <c r="BD1636">
        <v>3</v>
      </c>
      <c r="BE1636" t="s">
        <v>69</v>
      </c>
      <c r="BF1636" t="s">
        <v>69</v>
      </c>
      <c r="BG1636" t="s">
        <v>69</v>
      </c>
      <c r="BH1636" t="s">
        <v>69</v>
      </c>
      <c r="BI1636">
        <v>415</v>
      </c>
      <c r="BJ1636">
        <v>429</v>
      </c>
      <c r="BK1636" t="s">
        <v>69</v>
      </c>
      <c r="BL1636" t="s">
        <v>5265</v>
      </c>
      <c r="BM1636" t="str">
        <f>HYPERLINK("http://dx.doi.org/10.1111/bjp.12546","http://dx.doi.org/10.1111/bjp.12546")</f>
        <v>http://dx.doi.org/10.1111/bjp.12546</v>
      </c>
      <c r="BN1636" t="s">
        <v>69</v>
      </c>
      <c r="BO1636" t="s">
        <v>732</v>
      </c>
      <c r="BP1636">
        <v>15</v>
      </c>
      <c r="BQ1636" t="s">
        <v>9332</v>
      </c>
      <c r="BR1636" t="s">
        <v>8573</v>
      </c>
      <c r="BS1636" t="s">
        <v>9332</v>
      </c>
      <c r="BT1636" t="s">
        <v>15204</v>
      </c>
      <c r="BU1636" t="s">
        <v>5266</v>
      </c>
      <c r="BV1636" t="s">
        <v>69</v>
      </c>
      <c r="BW1636" t="s">
        <v>69</v>
      </c>
      <c r="BX1636" t="s">
        <v>69</v>
      </c>
      <c r="BY1636" t="s">
        <v>69</v>
      </c>
      <c r="BZ1636" t="s">
        <v>8526</v>
      </c>
      <c r="CA1636" t="str">
        <f>HYPERLINK("https%3A%2F%2Fwww.webofscience.com%2Fwos%2Fwoscc%2Ffull-record%2FWOS:000531177400001","View Full Record in Web of Science")</f>
        <v>View Full Record in Web of Science</v>
      </c>
    </row>
    <row r="1637" spans="2:79" ht="12.5" x14ac:dyDescent="0.25">
      <c r="B1637" t="s">
        <v>8495</v>
      </c>
      <c r="D1637" s="7" t="s">
        <v>32933</v>
      </c>
      <c r="E1637" s="7"/>
      <c r="F1637" s="7"/>
      <c r="G1637" s="7"/>
      <c r="H1637" t="s">
        <v>67</v>
      </c>
      <c r="I1637" t="s">
        <v>3149</v>
      </c>
      <c r="J1637" t="s">
        <v>69</v>
      </c>
      <c r="K1637" t="s">
        <v>69</v>
      </c>
      <c r="L1637" t="s">
        <v>69</v>
      </c>
      <c r="M1637" t="s">
        <v>3150</v>
      </c>
      <c r="N1637" t="s">
        <v>69</v>
      </c>
      <c r="O1637" t="s">
        <v>69</v>
      </c>
      <c r="P1637" t="s">
        <v>3151</v>
      </c>
      <c r="Q1637" t="s">
        <v>3152</v>
      </c>
      <c r="R1637" t="s">
        <v>69</v>
      </c>
      <c r="S1637" t="s">
        <v>69</v>
      </c>
      <c r="T1637" t="s">
        <v>8505</v>
      </c>
      <c r="U1637" t="s">
        <v>8506</v>
      </c>
      <c r="V1637" t="s">
        <v>69</v>
      </c>
      <c r="W1637" t="s">
        <v>69</v>
      </c>
      <c r="X1637" t="s">
        <v>69</v>
      </c>
      <c r="Y1637" t="s">
        <v>69</v>
      </c>
      <c r="Z1637" t="s">
        <v>69</v>
      </c>
      <c r="AA1637" t="s">
        <v>23192</v>
      </c>
      <c r="AB1637" t="s">
        <v>23193</v>
      </c>
      <c r="AC1637" t="s">
        <v>3153</v>
      </c>
      <c r="AD1637" t="s">
        <v>23194</v>
      </c>
      <c r="AE1637" t="s">
        <v>69</v>
      </c>
      <c r="AF1637" t="s">
        <v>23195</v>
      </c>
      <c r="AG1637" t="s">
        <v>23196</v>
      </c>
      <c r="AH1637" t="s">
        <v>69</v>
      </c>
      <c r="AI1637" t="s">
        <v>3154</v>
      </c>
      <c r="AJ1637" t="s">
        <v>69</v>
      </c>
      <c r="AK1637" t="s">
        <v>69</v>
      </c>
      <c r="AL1637" t="s">
        <v>69</v>
      </c>
      <c r="AM1637" t="s">
        <v>69</v>
      </c>
      <c r="AN1637">
        <v>78</v>
      </c>
      <c r="AO1637">
        <v>10</v>
      </c>
      <c r="AP1637">
        <v>10</v>
      </c>
      <c r="AQ1637">
        <v>1</v>
      </c>
      <c r="AR1637">
        <v>8</v>
      </c>
      <c r="AS1637" t="s">
        <v>8586</v>
      </c>
      <c r="AT1637" t="s">
        <v>8587</v>
      </c>
      <c r="AU1637" t="s">
        <v>8588</v>
      </c>
      <c r="AV1637" t="s">
        <v>3155</v>
      </c>
      <c r="AW1637" t="s">
        <v>3156</v>
      </c>
      <c r="AX1637" t="s">
        <v>69</v>
      </c>
      <c r="AY1637" t="s">
        <v>23197</v>
      </c>
      <c r="AZ1637" t="s">
        <v>23198</v>
      </c>
      <c r="BA1637" t="s">
        <v>69</v>
      </c>
      <c r="BB1637">
        <v>2015</v>
      </c>
      <c r="BC1637">
        <v>11</v>
      </c>
      <c r="BD1637">
        <v>4</v>
      </c>
      <c r="BE1637" t="s">
        <v>69</v>
      </c>
      <c r="BF1637" t="s">
        <v>69</v>
      </c>
      <c r="BG1637" t="s">
        <v>69</v>
      </c>
      <c r="BH1637" t="s">
        <v>69</v>
      </c>
      <c r="BI1637">
        <v>531</v>
      </c>
      <c r="BJ1637" t="s">
        <v>219</v>
      </c>
      <c r="BK1637" t="s">
        <v>69</v>
      </c>
      <c r="BL1637" t="s">
        <v>3157</v>
      </c>
      <c r="BM1637" t="str">
        <f>HYPERLINK("http://dx.doi.org/10.1108/IJMF-01-2015-0005","http://dx.doi.org/10.1108/IJMF-01-2015-0005")</f>
        <v>http://dx.doi.org/10.1108/IJMF-01-2015-0005</v>
      </c>
      <c r="BN1637" t="s">
        <v>69</v>
      </c>
      <c r="BO1637" t="s">
        <v>69</v>
      </c>
      <c r="BP1637">
        <v>18</v>
      </c>
      <c r="BQ1637" t="s">
        <v>9749</v>
      </c>
      <c r="BR1637" t="s">
        <v>8573</v>
      </c>
      <c r="BS1637" t="s">
        <v>8594</v>
      </c>
      <c r="BT1637" t="s">
        <v>23199</v>
      </c>
      <c r="BU1637" t="s">
        <v>3158</v>
      </c>
      <c r="BV1637" t="s">
        <v>69</v>
      </c>
      <c r="BW1637" t="s">
        <v>69</v>
      </c>
      <c r="BX1637" t="s">
        <v>69</v>
      </c>
      <c r="BY1637" t="s">
        <v>69</v>
      </c>
      <c r="BZ1637" t="s">
        <v>8526</v>
      </c>
      <c r="CA1637" t="str">
        <f>HYPERLINK("https%3A%2F%2Fwww.webofscience.com%2Fwos%2Fwoscc%2Ffull-record%2FWOS:000212467800008","View Full Record in Web of Science")</f>
        <v>View Full Record in Web of Science</v>
      </c>
    </row>
    <row r="1638" spans="2:79" ht="12.5" x14ac:dyDescent="0.25">
      <c r="B1638" t="s">
        <v>8495</v>
      </c>
      <c r="D1638" s="7" t="s">
        <v>32933</v>
      </c>
      <c r="E1638" s="7"/>
      <c r="F1638" s="7"/>
      <c r="G1638" s="7"/>
      <c r="H1638" t="s">
        <v>67</v>
      </c>
      <c r="I1638" t="s">
        <v>5317</v>
      </c>
      <c r="J1638" t="s">
        <v>69</v>
      </c>
      <c r="K1638" t="s">
        <v>69</v>
      </c>
      <c r="L1638" t="s">
        <v>69</v>
      </c>
      <c r="M1638" t="s">
        <v>5318</v>
      </c>
      <c r="N1638" t="s">
        <v>69</v>
      </c>
      <c r="O1638" t="s">
        <v>69</v>
      </c>
      <c r="P1638" t="s">
        <v>5319</v>
      </c>
      <c r="Q1638" t="s">
        <v>5320</v>
      </c>
      <c r="R1638" t="s">
        <v>69</v>
      </c>
      <c r="S1638" t="s">
        <v>69</v>
      </c>
      <c r="T1638" t="s">
        <v>8505</v>
      </c>
      <c r="U1638" t="s">
        <v>8506</v>
      </c>
      <c r="V1638" t="s">
        <v>69</v>
      </c>
      <c r="W1638" t="s">
        <v>69</v>
      </c>
      <c r="X1638" t="s">
        <v>69</v>
      </c>
      <c r="Y1638" t="s">
        <v>69</v>
      </c>
      <c r="Z1638" t="s">
        <v>69</v>
      </c>
      <c r="AA1638" t="s">
        <v>30163</v>
      </c>
      <c r="AB1638" t="s">
        <v>30164</v>
      </c>
      <c r="AC1638" t="s">
        <v>5321</v>
      </c>
      <c r="AD1638" t="s">
        <v>30165</v>
      </c>
      <c r="AE1638" t="s">
        <v>69</v>
      </c>
      <c r="AF1638" t="s">
        <v>30166</v>
      </c>
      <c r="AG1638" t="s">
        <v>30167</v>
      </c>
      <c r="AH1638" t="s">
        <v>30168</v>
      </c>
      <c r="AI1638" t="s">
        <v>30169</v>
      </c>
      <c r="AJ1638" t="s">
        <v>30170</v>
      </c>
      <c r="AK1638" t="s">
        <v>30171</v>
      </c>
      <c r="AL1638" t="s">
        <v>69</v>
      </c>
      <c r="AM1638" t="s">
        <v>69</v>
      </c>
      <c r="AN1638">
        <v>59</v>
      </c>
      <c r="AO1638">
        <v>344</v>
      </c>
      <c r="AP1638">
        <v>382</v>
      </c>
      <c r="AQ1638">
        <v>5</v>
      </c>
      <c r="AR1638">
        <v>275</v>
      </c>
      <c r="AS1638" t="s">
        <v>8846</v>
      </c>
      <c r="AT1638" t="s">
        <v>8847</v>
      </c>
      <c r="AU1638" t="s">
        <v>8848</v>
      </c>
      <c r="AV1638" t="s">
        <v>5322</v>
      </c>
      <c r="AW1638" t="s">
        <v>5323</v>
      </c>
      <c r="AX1638" t="s">
        <v>69</v>
      </c>
      <c r="AY1638" t="s">
        <v>30172</v>
      </c>
      <c r="AZ1638" t="s">
        <v>30173</v>
      </c>
      <c r="BA1638" t="s">
        <v>201</v>
      </c>
      <c r="BB1638">
        <v>2006</v>
      </c>
      <c r="BC1638">
        <v>43</v>
      </c>
      <c r="BD1638">
        <v>4</v>
      </c>
      <c r="BE1638" t="s">
        <v>69</v>
      </c>
      <c r="BF1638" t="s">
        <v>69</v>
      </c>
      <c r="BG1638" t="s">
        <v>69</v>
      </c>
      <c r="BH1638" t="s">
        <v>69</v>
      </c>
      <c r="BI1638">
        <v>617</v>
      </c>
      <c r="BJ1638">
        <v>627</v>
      </c>
      <c r="BK1638" t="s">
        <v>69</v>
      </c>
      <c r="BL1638" t="s">
        <v>5324</v>
      </c>
      <c r="BM1638" t="str">
        <f>HYPERLINK("http://dx.doi.org/10.1111/j.1365-2664.2006.01188.x","http://dx.doi.org/10.1111/j.1365-2664.2006.01188.x")</f>
        <v>http://dx.doi.org/10.1111/j.1365-2664.2006.01188.x</v>
      </c>
      <c r="BN1638" t="s">
        <v>69</v>
      </c>
      <c r="BO1638" t="s">
        <v>69</v>
      </c>
      <c r="BP1638">
        <v>11</v>
      </c>
      <c r="BQ1638" t="s">
        <v>15451</v>
      </c>
      <c r="BR1638" t="s">
        <v>8548</v>
      </c>
      <c r="BS1638" t="s">
        <v>15452</v>
      </c>
      <c r="BT1638" t="s">
        <v>30174</v>
      </c>
      <c r="BU1638" t="s">
        <v>5325</v>
      </c>
      <c r="BV1638" t="s">
        <v>69</v>
      </c>
      <c r="BW1638" t="s">
        <v>10423</v>
      </c>
      <c r="BX1638" t="s">
        <v>69</v>
      </c>
      <c r="BY1638" t="s">
        <v>69</v>
      </c>
      <c r="BZ1638" t="s">
        <v>8526</v>
      </c>
      <c r="CA1638" t="str">
        <f>HYPERLINK("https%3A%2F%2Fwww.webofscience.com%2Fwos%2Fwoscc%2Ffull-record%2FWOS:000238487200002","View Full Record in Web of Science")</f>
        <v>View Full Record in Web of Science</v>
      </c>
    </row>
    <row r="1639" spans="2:79" ht="12.5" x14ac:dyDescent="0.25">
      <c r="B1639" t="s">
        <v>8495</v>
      </c>
      <c r="D1639" s="7" t="s">
        <v>32933</v>
      </c>
      <c r="E1639" s="7"/>
      <c r="F1639" s="7"/>
      <c r="G1639" s="7"/>
      <c r="H1639" t="s">
        <v>67</v>
      </c>
      <c r="I1639" t="s">
        <v>7687</v>
      </c>
      <c r="J1639" t="s">
        <v>69</v>
      </c>
      <c r="K1639" t="s">
        <v>69</v>
      </c>
      <c r="L1639" t="s">
        <v>69</v>
      </c>
      <c r="M1639" t="s">
        <v>7688</v>
      </c>
      <c r="N1639" t="s">
        <v>69</v>
      </c>
      <c r="O1639" t="s">
        <v>69</v>
      </c>
      <c r="P1639" t="s">
        <v>7689</v>
      </c>
      <c r="Q1639" t="s">
        <v>1109</v>
      </c>
      <c r="R1639" t="s">
        <v>69</v>
      </c>
      <c r="S1639" t="s">
        <v>69</v>
      </c>
      <c r="T1639" t="s">
        <v>8505</v>
      </c>
      <c r="U1639" t="s">
        <v>8506</v>
      </c>
      <c r="V1639" t="s">
        <v>69</v>
      </c>
      <c r="W1639" t="s">
        <v>69</v>
      </c>
      <c r="X1639" t="s">
        <v>69</v>
      </c>
      <c r="Y1639" t="s">
        <v>69</v>
      </c>
      <c r="Z1639" t="s">
        <v>69</v>
      </c>
      <c r="AA1639" t="s">
        <v>19284</v>
      </c>
      <c r="AB1639" t="s">
        <v>19285</v>
      </c>
      <c r="AC1639" t="s">
        <v>7690</v>
      </c>
      <c r="AD1639" t="s">
        <v>19286</v>
      </c>
      <c r="AE1639" t="s">
        <v>69</v>
      </c>
      <c r="AF1639" t="s">
        <v>19287</v>
      </c>
      <c r="AG1639" t="s">
        <v>19288</v>
      </c>
      <c r="AH1639" t="s">
        <v>69</v>
      </c>
      <c r="AI1639" t="s">
        <v>69</v>
      </c>
      <c r="AJ1639" t="s">
        <v>69</v>
      </c>
      <c r="AK1639" t="s">
        <v>69</v>
      </c>
      <c r="AL1639" t="s">
        <v>69</v>
      </c>
      <c r="AM1639" t="s">
        <v>69</v>
      </c>
      <c r="AN1639">
        <v>29</v>
      </c>
      <c r="AO1639">
        <v>0</v>
      </c>
      <c r="AP1639">
        <v>0</v>
      </c>
      <c r="AQ1639">
        <v>0</v>
      </c>
      <c r="AR1639">
        <v>5</v>
      </c>
      <c r="AS1639" t="s">
        <v>8865</v>
      </c>
      <c r="AT1639" t="s">
        <v>8612</v>
      </c>
      <c r="AU1639" t="s">
        <v>8866</v>
      </c>
      <c r="AV1639" t="s">
        <v>1111</v>
      </c>
      <c r="AW1639" t="s">
        <v>1112</v>
      </c>
      <c r="AX1639" t="s">
        <v>69</v>
      </c>
      <c r="AY1639" t="s">
        <v>19289</v>
      </c>
      <c r="AZ1639" t="s">
        <v>19290</v>
      </c>
      <c r="BA1639" t="s">
        <v>69</v>
      </c>
      <c r="BB1639">
        <v>2018</v>
      </c>
      <c r="BC1639">
        <v>16</v>
      </c>
      <c r="BD1639">
        <v>4</v>
      </c>
      <c r="BE1639" t="s">
        <v>69</v>
      </c>
      <c r="BF1639" t="s">
        <v>69</v>
      </c>
      <c r="BG1639" t="s">
        <v>69</v>
      </c>
      <c r="BH1639" t="s">
        <v>69</v>
      </c>
      <c r="BI1639">
        <v>289</v>
      </c>
      <c r="BJ1639">
        <v>298</v>
      </c>
      <c r="BK1639" t="s">
        <v>69</v>
      </c>
      <c r="BL1639" t="s">
        <v>7691</v>
      </c>
      <c r="BM1639" t="str">
        <f>HYPERLINK("http://dx.doi.org/10.1080/10042857.2018.1545404","http://dx.doi.org/10.1080/10042857.2018.1545404")</f>
        <v>http://dx.doi.org/10.1080/10042857.2018.1545404</v>
      </c>
      <c r="BN1639" t="s">
        <v>69</v>
      </c>
      <c r="BO1639" t="s">
        <v>69</v>
      </c>
      <c r="BP1639">
        <v>10</v>
      </c>
      <c r="BQ1639" t="s">
        <v>8660</v>
      </c>
      <c r="BR1639" t="s">
        <v>8573</v>
      </c>
      <c r="BS1639" t="s">
        <v>8662</v>
      </c>
      <c r="BT1639" t="s">
        <v>19291</v>
      </c>
      <c r="BU1639" t="s">
        <v>7692</v>
      </c>
      <c r="BV1639" t="s">
        <v>69</v>
      </c>
      <c r="BW1639" t="s">
        <v>69</v>
      </c>
      <c r="BX1639" t="s">
        <v>69</v>
      </c>
      <c r="BY1639" t="s">
        <v>69</v>
      </c>
      <c r="BZ1639" t="s">
        <v>8526</v>
      </c>
      <c r="CA1639" t="str">
        <f>HYPERLINK("https%3A%2F%2Fwww.webofscience.com%2Fwos%2Fwoscc%2Ffull-record%2FWOS:000469819400001","View Full Record in Web of Science")</f>
        <v>View Full Record in Web of Science</v>
      </c>
    </row>
    <row r="1640" spans="2:79" ht="12.5" x14ac:dyDescent="0.25">
      <c r="B1640" t="s">
        <v>8495</v>
      </c>
      <c r="D1640" s="22" t="s">
        <v>32931</v>
      </c>
      <c r="E1640" s="7"/>
      <c r="F1640" s="7"/>
      <c r="G1640" s="7"/>
      <c r="H1640" t="s">
        <v>67</v>
      </c>
      <c r="I1640" t="s">
        <v>25543</v>
      </c>
      <c r="J1640" t="s">
        <v>69</v>
      </c>
      <c r="K1640" t="s">
        <v>69</v>
      </c>
      <c r="L1640" t="s">
        <v>69</v>
      </c>
      <c r="M1640" t="s">
        <v>25544</v>
      </c>
      <c r="N1640" t="s">
        <v>69</v>
      </c>
      <c r="O1640" t="s">
        <v>69</v>
      </c>
      <c r="P1640" t="s">
        <v>25545</v>
      </c>
      <c r="Q1640" t="s">
        <v>25546</v>
      </c>
      <c r="R1640" t="s">
        <v>69</v>
      </c>
      <c r="S1640" t="s">
        <v>69</v>
      </c>
      <c r="T1640" t="s">
        <v>8505</v>
      </c>
      <c r="U1640" t="s">
        <v>8506</v>
      </c>
      <c r="V1640" t="s">
        <v>69</v>
      </c>
      <c r="W1640" t="s">
        <v>69</v>
      </c>
      <c r="X1640" t="s">
        <v>69</v>
      </c>
      <c r="Y1640" t="s">
        <v>69</v>
      </c>
      <c r="Z1640" t="s">
        <v>69</v>
      </c>
      <c r="AA1640" t="s">
        <v>25547</v>
      </c>
      <c r="AB1640" t="s">
        <v>69</v>
      </c>
      <c r="AC1640" t="s">
        <v>25548</v>
      </c>
      <c r="AD1640" t="s">
        <v>69</v>
      </c>
      <c r="AE1640" t="s">
        <v>69</v>
      </c>
      <c r="AF1640" t="s">
        <v>69</v>
      </c>
      <c r="AG1640" t="s">
        <v>25549</v>
      </c>
      <c r="AH1640" t="s">
        <v>25550</v>
      </c>
      <c r="AI1640" t="s">
        <v>25551</v>
      </c>
      <c r="AJ1640" t="s">
        <v>69</v>
      </c>
      <c r="AK1640" t="s">
        <v>69</v>
      </c>
      <c r="AL1640" t="s">
        <v>69</v>
      </c>
      <c r="AM1640" t="s">
        <v>69</v>
      </c>
      <c r="AN1640">
        <v>30</v>
      </c>
      <c r="AO1640">
        <v>3</v>
      </c>
      <c r="AP1640">
        <v>3</v>
      </c>
      <c r="AQ1640">
        <v>0</v>
      </c>
      <c r="AR1640">
        <v>0</v>
      </c>
      <c r="AS1640" t="s">
        <v>25552</v>
      </c>
      <c r="AT1640" t="s">
        <v>24390</v>
      </c>
      <c r="AU1640" t="s">
        <v>25553</v>
      </c>
      <c r="AV1640" t="s">
        <v>25554</v>
      </c>
      <c r="AW1640" t="s">
        <v>69</v>
      </c>
      <c r="AX1640" t="s">
        <v>69</v>
      </c>
      <c r="AY1640" t="s">
        <v>25555</v>
      </c>
      <c r="AZ1640" t="s">
        <v>25556</v>
      </c>
      <c r="BA1640" t="s">
        <v>69</v>
      </c>
      <c r="BB1640">
        <v>2013</v>
      </c>
      <c r="BC1640">
        <v>58</v>
      </c>
      <c r="BD1640">
        <v>2</v>
      </c>
      <c r="BE1640" t="s">
        <v>69</v>
      </c>
      <c r="BF1640" t="s">
        <v>69</v>
      </c>
      <c r="BG1640" t="s">
        <v>69</v>
      </c>
      <c r="BH1640" t="s">
        <v>69</v>
      </c>
      <c r="BI1640">
        <v>163</v>
      </c>
      <c r="BJ1640">
        <v>183</v>
      </c>
      <c r="BK1640" t="s">
        <v>69</v>
      </c>
      <c r="BL1640" t="s">
        <v>69</v>
      </c>
      <c r="BM1640" t="s">
        <v>69</v>
      </c>
      <c r="BN1640" t="s">
        <v>69</v>
      </c>
      <c r="BO1640" t="s">
        <v>69</v>
      </c>
      <c r="BP1640">
        <v>21</v>
      </c>
      <c r="BQ1640" t="s">
        <v>9749</v>
      </c>
      <c r="BR1640" t="s">
        <v>8573</v>
      </c>
      <c r="BS1640" t="s">
        <v>8594</v>
      </c>
      <c r="BT1640" t="s">
        <v>25557</v>
      </c>
      <c r="BU1640" t="s">
        <v>25558</v>
      </c>
      <c r="BV1640" t="s">
        <v>69</v>
      </c>
      <c r="BW1640" t="s">
        <v>69</v>
      </c>
      <c r="BX1640" t="s">
        <v>69</v>
      </c>
      <c r="BY1640" t="s">
        <v>69</v>
      </c>
      <c r="BZ1640" t="s">
        <v>8526</v>
      </c>
      <c r="CA1640" t="str">
        <f>HYPERLINK("https%3A%2F%2Fwww.webofscience.com%2Fwos%2Fwoscc%2Ffull-record%2FWOS:000420556700004","View Full Record in Web of Science")</f>
        <v>View Full Record in Web of Science</v>
      </c>
    </row>
    <row r="1641" spans="2:79" ht="12.5" x14ac:dyDescent="0.25">
      <c r="B1641" t="s">
        <v>8495</v>
      </c>
      <c r="D1641" s="7" t="s">
        <v>32933</v>
      </c>
      <c r="E1641" s="7"/>
      <c r="F1641" s="7"/>
      <c r="G1641" s="7"/>
      <c r="H1641" t="s">
        <v>67</v>
      </c>
      <c r="I1641" t="s">
        <v>6014</v>
      </c>
      <c r="J1641" t="s">
        <v>69</v>
      </c>
      <c r="K1641" t="s">
        <v>69</v>
      </c>
      <c r="L1641" t="s">
        <v>69</v>
      </c>
      <c r="M1641" t="s">
        <v>6015</v>
      </c>
      <c r="N1641" t="s">
        <v>69</v>
      </c>
      <c r="O1641" t="s">
        <v>69</v>
      </c>
      <c r="P1641" t="s">
        <v>6016</v>
      </c>
      <c r="Q1641" t="s">
        <v>6017</v>
      </c>
      <c r="R1641" t="s">
        <v>69</v>
      </c>
      <c r="S1641" t="s">
        <v>69</v>
      </c>
      <c r="T1641" t="s">
        <v>8505</v>
      </c>
      <c r="U1641" t="s">
        <v>8506</v>
      </c>
      <c r="V1641" t="s">
        <v>69</v>
      </c>
      <c r="W1641" t="s">
        <v>69</v>
      </c>
      <c r="X1641" t="s">
        <v>69</v>
      </c>
      <c r="Y1641" t="s">
        <v>69</v>
      </c>
      <c r="Z1641" t="s">
        <v>69</v>
      </c>
      <c r="AA1641" t="s">
        <v>15454</v>
      </c>
      <c r="AB1641" t="s">
        <v>15455</v>
      </c>
      <c r="AC1641" t="s">
        <v>6018</v>
      </c>
      <c r="AD1641" t="s">
        <v>15456</v>
      </c>
      <c r="AE1641" t="s">
        <v>69</v>
      </c>
      <c r="AF1641" t="s">
        <v>15457</v>
      </c>
      <c r="AG1641" t="s">
        <v>15458</v>
      </c>
      <c r="AH1641" t="s">
        <v>6019</v>
      </c>
      <c r="AI1641" t="s">
        <v>6020</v>
      </c>
      <c r="AJ1641" t="s">
        <v>69</v>
      </c>
      <c r="AK1641" t="s">
        <v>69</v>
      </c>
      <c r="AL1641" t="s">
        <v>69</v>
      </c>
      <c r="AM1641" t="s">
        <v>69</v>
      </c>
      <c r="AN1641">
        <v>57</v>
      </c>
      <c r="AO1641">
        <v>1</v>
      </c>
      <c r="AP1641">
        <v>1</v>
      </c>
      <c r="AQ1641">
        <v>1</v>
      </c>
      <c r="AR1641">
        <v>7</v>
      </c>
      <c r="AS1641" t="s">
        <v>8846</v>
      </c>
      <c r="AT1641" t="s">
        <v>8847</v>
      </c>
      <c r="AU1641" t="s">
        <v>8848</v>
      </c>
      <c r="AV1641" t="s">
        <v>6021</v>
      </c>
      <c r="AW1641" t="s">
        <v>6022</v>
      </c>
      <c r="AX1641" t="s">
        <v>69</v>
      </c>
      <c r="AY1641" t="s">
        <v>15459</v>
      </c>
      <c r="AZ1641" t="s">
        <v>15460</v>
      </c>
      <c r="BA1641" t="s">
        <v>246</v>
      </c>
      <c r="BB1641">
        <v>2020</v>
      </c>
      <c r="BC1641">
        <v>39</v>
      </c>
      <c r="BD1641">
        <v>3</v>
      </c>
      <c r="BE1641" t="s">
        <v>69</v>
      </c>
      <c r="BF1641" t="s">
        <v>69</v>
      </c>
      <c r="BG1641" t="s">
        <v>69</v>
      </c>
      <c r="BH1641" t="s">
        <v>69</v>
      </c>
      <c r="BI1641">
        <v>533</v>
      </c>
      <c r="BJ1641">
        <v>550</v>
      </c>
      <c r="BK1641" t="s">
        <v>69</v>
      </c>
      <c r="BL1641" t="s">
        <v>6023</v>
      </c>
      <c r="BM1641" t="str">
        <f>HYPERLINK("http://dx.doi.org/10.1002/for.2640","http://dx.doi.org/10.1002/for.2640")</f>
        <v>http://dx.doi.org/10.1002/for.2640</v>
      </c>
      <c r="BN1641" t="s">
        <v>69</v>
      </c>
      <c r="BO1641" t="s">
        <v>69</v>
      </c>
      <c r="BP1641">
        <v>18</v>
      </c>
      <c r="BQ1641" t="s">
        <v>15461</v>
      </c>
      <c r="BR1641" t="s">
        <v>8661</v>
      </c>
      <c r="BS1641" t="s">
        <v>8594</v>
      </c>
      <c r="BT1641" t="s">
        <v>15462</v>
      </c>
      <c r="BU1641" t="s">
        <v>6024</v>
      </c>
      <c r="BV1641" t="s">
        <v>69</v>
      </c>
      <c r="BW1641" t="s">
        <v>69</v>
      </c>
      <c r="BX1641" t="s">
        <v>69</v>
      </c>
      <c r="BY1641" t="s">
        <v>69</v>
      </c>
      <c r="BZ1641" t="s">
        <v>8526</v>
      </c>
      <c r="CA1641" t="str">
        <f>HYPERLINK("https%3A%2F%2Fwww.webofscience.com%2Fwos%2Fwoscc%2Ffull-record%2FWOS:000599720400011","View Full Record in Web of Science")</f>
        <v>View Full Record in Web of Science</v>
      </c>
    </row>
    <row r="1642" spans="2:79" ht="12.5" x14ac:dyDescent="0.25">
      <c r="B1642" t="s">
        <v>8495</v>
      </c>
      <c r="D1642" s="22" t="s">
        <v>32931</v>
      </c>
      <c r="E1642" s="7"/>
      <c r="F1642" s="7"/>
      <c r="G1642" s="7"/>
      <c r="H1642" t="s">
        <v>67</v>
      </c>
      <c r="I1642" t="s">
        <v>9862</v>
      </c>
      <c r="J1642" t="s">
        <v>69</v>
      </c>
      <c r="K1642" t="s">
        <v>69</v>
      </c>
      <c r="L1642" t="s">
        <v>69</v>
      </c>
      <c r="M1642" t="s">
        <v>9863</v>
      </c>
      <c r="N1642" t="s">
        <v>69</v>
      </c>
      <c r="O1642" t="s">
        <v>69</v>
      </c>
      <c r="P1642" t="s">
        <v>9864</v>
      </c>
      <c r="Q1642" t="s">
        <v>9865</v>
      </c>
      <c r="R1642" t="s">
        <v>69</v>
      </c>
      <c r="S1642" t="s">
        <v>69</v>
      </c>
      <c r="T1642" t="s">
        <v>8505</v>
      </c>
      <c r="U1642" t="s">
        <v>8556</v>
      </c>
      <c r="V1642" t="s">
        <v>69</v>
      </c>
      <c r="W1642" t="s">
        <v>69</v>
      </c>
      <c r="X1642" t="s">
        <v>69</v>
      </c>
      <c r="Y1642" t="s">
        <v>69</v>
      </c>
      <c r="Z1642" t="s">
        <v>69</v>
      </c>
      <c r="AA1642" t="s">
        <v>9866</v>
      </c>
      <c r="AB1642" t="s">
        <v>9867</v>
      </c>
      <c r="AC1642" t="s">
        <v>9868</v>
      </c>
      <c r="AD1642" t="s">
        <v>9869</v>
      </c>
      <c r="AE1642" t="s">
        <v>69</v>
      </c>
      <c r="AF1642" t="s">
        <v>9870</v>
      </c>
      <c r="AG1642" t="s">
        <v>9871</v>
      </c>
      <c r="AH1642" t="s">
        <v>69</v>
      </c>
      <c r="AI1642" t="s">
        <v>9872</v>
      </c>
      <c r="AJ1642" t="s">
        <v>69</v>
      </c>
      <c r="AK1642" t="s">
        <v>69</v>
      </c>
      <c r="AL1642" t="s">
        <v>69</v>
      </c>
      <c r="AM1642" t="s">
        <v>69</v>
      </c>
      <c r="AN1642">
        <v>94</v>
      </c>
      <c r="AO1642">
        <v>0</v>
      </c>
      <c r="AP1642">
        <v>0</v>
      </c>
      <c r="AQ1642">
        <v>4</v>
      </c>
      <c r="AR1642">
        <v>4</v>
      </c>
      <c r="AS1642" t="s">
        <v>8586</v>
      </c>
      <c r="AT1642" t="s">
        <v>8587</v>
      </c>
      <c r="AU1642" t="s">
        <v>8588</v>
      </c>
      <c r="AV1642" t="s">
        <v>9873</v>
      </c>
      <c r="AW1642" t="s">
        <v>9874</v>
      </c>
      <c r="AX1642" t="s">
        <v>69</v>
      </c>
      <c r="AY1642" t="s">
        <v>9875</v>
      </c>
      <c r="AZ1642" t="s">
        <v>9876</v>
      </c>
      <c r="BA1642" t="s">
        <v>69</v>
      </c>
      <c r="BB1642" t="s">
        <v>69</v>
      </c>
      <c r="BC1642" t="s">
        <v>69</v>
      </c>
      <c r="BD1642" t="s">
        <v>69</v>
      </c>
      <c r="BE1642" t="s">
        <v>69</v>
      </c>
      <c r="BF1642" t="s">
        <v>69</v>
      </c>
      <c r="BG1642" t="s">
        <v>69</v>
      </c>
      <c r="BH1642" t="s">
        <v>69</v>
      </c>
      <c r="BI1642" t="s">
        <v>69</v>
      </c>
      <c r="BJ1642" t="s">
        <v>69</v>
      </c>
      <c r="BK1642" t="s">
        <v>69</v>
      </c>
      <c r="BL1642" t="s">
        <v>9877</v>
      </c>
      <c r="BM1642" t="str">
        <f>HYPERLINK("http://dx.doi.org/10.1108/JSBED-11-2021-0437","http://dx.doi.org/10.1108/JSBED-11-2021-0437")</f>
        <v>http://dx.doi.org/10.1108/JSBED-11-2021-0437</v>
      </c>
      <c r="BN1642" t="s">
        <v>69</v>
      </c>
      <c r="BO1642" t="s">
        <v>9808</v>
      </c>
      <c r="BP1642">
        <v>27</v>
      </c>
      <c r="BQ1642" t="s">
        <v>8444</v>
      </c>
      <c r="BR1642" t="s">
        <v>8573</v>
      </c>
      <c r="BS1642" t="s">
        <v>8594</v>
      </c>
      <c r="BT1642" t="s">
        <v>9878</v>
      </c>
      <c r="BU1642" t="s">
        <v>9879</v>
      </c>
      <c r="BV1642" t="s">
        <v>69</v>
      </c>
      <c r="BW1642" t="s">
        <v>69</v>
      </c>
      <c r="BX1642" t="s">
        <v>69</v>
      </c>
      <c r="BY1642" t="s">
        <v>69</v>
      </c>
      <c r="BZ1642" t="s">
        <v>8526</v>
      </c>
      <c r="CA1642" t="str">
        <f>HYPERLINK("https%3A%2F%2Fwww.webofscience.com%2Fwos%2Fwoscc%2Ffull-record%2FWOS:000758233100001","View Full Record in Web of Science")</f>
        <v>View Full Record in Web of Science</v>
      </c>
    </row>
    <row r="1643" spans="2:79" ht="12.5" x14ac:dyDescent="0.25">
      <c r="B1643" t="s">
        <v>8495</v>
      </c>
      <c r="D1643" s="22" t="s">
        <v>32931</v>
      </c>
      <c r="E1643" s="7"/>
      <c r="F1643" s="7"/>
      <c r="G1643" s="7"/>
      <c r="H1643" t="s">
        <v>67</v>
      </c>
      <c r="I1643" t="s">
        <v>12352</v>
      </c>
      <c r="J1643" t="s">
        <v>69</v>
      </c>
      <c r="K1643" t="s">
        <v>69</v>
      </c>
      <c r="L1643" t="s">
        <v>69</v>
      </c>
      <c r="M1643" t="s">
        <v>12353</v>
      </c>
      <c r="N1643" t="s">
        <v>69</v>
      </c>
      <c r="O1643" t="s">
        <v>69</v>
      </c>
      <c r="P1643" t="s">
        <v>12354</v>
      </c>
      <c r="Q1643" t="s">
        <v>5238</v>
      </c>
      <c r="R1643" t="s">
        <v>69</v>
      </c>
      <c r="S1643" t="s">
        <v>69</v>
      </c>
      <c r="T1643" t="s">
        <v>8505</v>
      </c>
      <c r="U1643" t="s">
        <v>8506</v>
      </c>
      <c r="V1643" t="s">
        <v>69</v>
      </c>
      <c r="W1643" t="s">
        <v>69</v>
      </c>
      <c r="X1643" t="s">
        <v>69</v>
      </c>
      <c r="Y1643" t="s">
        <v>69</v>
      </c>
      <c r="Z1643" t="s">
        <v>69</v>
      </c>
      <c r="AA1643" t="s">
        <v>12355</v>
      </c>
      <c r="AB1643" t="s">
        <v>12356</v>
      </c>
      <c r="AC1643" t="s">
        <v>12357</v>
      </c>
      <c r="AD1643" t="s">
        <v>12358</v>
      </c>
      <c r="AE1643" t="s">
        <v>69</v>
      </c>
      <c r="AF1643" t="s">
        <v>12359</v>
      </c>
      <c r="AG1643" t="s">
        <v>12360</v>
      </c>
      <c r="AH1643" t="s">
        <v>69</v>
      </c>
      <c r="AI1643" t="s">
        <v>12361</v>
      </c>
      <c r="AJ1643" t="s">
        <v>69</v>
      </c>
      <c r="AK1643" t="s">
        <v>69</v>
      </c>
      <c r="AL1643" t="s">
        <v>69</v>
      </c>
      <c r="AM1643" t="s">
        <v>69</v>
      </c>
      <c r="AN1643">
        <v>68</v>
      </c>
      <c r="AO1643">
        <v>0</v>
      </c>
      <c r="AP1643">
        <v>0</v>
      </c>
      <c r="AQ1643">
        <v>0</v>
      </c>
      <c r="AR1643">
        <v>6</v>
      </c>
      <c r="AS1643" t="s">
        <v>9047</v>
      </c>
      <c r="AT1643" t="s">
        <v>9048</v>
      </c>
      <c r="AU1643" t="s">
        <v>9049</v>
      </c>
      <c r="AV1643" t="s">
        <v>5240</v>
      </c>
      <c r="AW1643" t="s">
        <v>12362</v>
      </c>
      <c r="AX1643" t="s">
        <v>69</v>
      </c>
      <c r="AY1643" t="s">
        <v>12363</v>
      </c>
      <c r="AZ1643" t="s">
        <v>12364</v>
      </c>
      <c r="BA1643" t="s">
        <v>75</v>
      </c>
      <c r="BB1643">
        <v>2021</v>
      </c>
      <c r="BC1643">
        <v>20</v>
      </c>
      <c r="BD1643">
        <v>4</v>
      </c>
      <c r="BE1643" t="s">
        <v>69</v>
      </c>
      <c r="BF1643" t="s">
        <v>69</v>
      </c>
      <c r="BG1643" t="s">
        <v>69</v>
      </c>
      <c r="BH1643" t="s">
        <v>69</v>
      </c>
      <c r="BI1643">
        <v>517</v>
      </c>
      <c r="BJ1643">
        <v>542</v>
      </c>
      <c r="BK1643" t="s">
        <v>69</v>
      </c>
      <c r="BL1643" t="s">
        <v>12365</v>
      </c>
      <c r="BM1643" t="str">
        <f>HYPERLINK("http://dx.doi.org/10.1007/s11842-021-09479-4","http://dx.doi.org/10.1007/s11842-021-09479-4")</f>
        <v>http://dx.doi.org/10.1007/s11842-021-09479-4</v>
      </c>
      <c r="BN1643" t="s">
        <v>69</v>
      </c>
      <c r="BO1643" t="s">
        <v>12312</v>
      </c>
      <c r="BP1643">
        <v>26</v>
      </c>
      <c r="BQ1643" t="s">
        <v>8453</v>
      </c>
      <c r="BR1643" t="s">
        <v>8548</v>
      </c>
      <c r="BS1643" t="s">
        <v>8453</v>
      </c>
      <c r="BT1643" t="s">
        <v>12366</v>
      </c>
      <c r="BU1643" t="s">
        <v>12367</v>
      </c>
      <c r="BV1643" t="s">
        <v>69</v>
      </c>
      <c r="BW1643" t="s">
        <v>69</v>
      </c>
      <c r="BX1643" t="s">
        <v>69</v>
      </c>
      <c r="BY1643" t="s">
        <v>69</v>
      </c>
      <c r="BZ1643" t="s">
        <v>8526</v>
      </c>
      <c r="CA1643" t="str">
        <f>HYPERLINK("https%3A%2F%2Fwww.webofscience.com%2Fwos%2Fwoscc%2Ffull-record%2FWOS:000644773000001","View Full Record in Web of Science")</f>
        <v>View Full Record in Web of Science</v>
      </c>
    </row>
    <row r="1644" spans="2:79" ht="12.5" x14ac:dyDescent="0.25">
      <c r="B1644" t="s">
        <v>8495</v>
      </c>
      <c r="D1644" s="22" t="s">
        <v>32931</v>
      </c>
      <c r="E1644" s="7"/>
      <c r="F1644" s="7"/>
      <c r="G1644" s="7"/>
      <c r="H1644" t="s">
        <v>67</v>
      </c>
      <c r="I1644" t="s">
        <v>10873</v>
      </c>
      <c r="J1644" t="s">
        <v>69</v>
      </c>
      <c r="K1644" t="s">
        <v>69</v>
      </c>
      <c r="L1644" t="s">
        <v>69</v>
      </c>
      <c r="M1644" t="s">
        <v>10874</v>
      </c>
      <c r="N1644" t="s">
        <v>69</v>
      </c>
      <c r="O1644" t="s">
        <v>69</v>
      </c>
      <c r="P1644" t="s">
        <v>10875</v>
      </c>
      <c r="Q1644" t="s">
        <v>7227</v>
      </c>
      <c r="R1644" t="s">
        <v>69</v>
      </c>
      <c r="S1644" t="s">
        <v>69</v>
      </c>
      <c r="T1644" t="s">
        <v>8505</v>
      </c>
      <c r="U1644" t="s">
        <v>8506</v>
      </c>
      <c r="V1644" t="s">
        <v>69</v>
      </c>
      <c r="W1644" t="s">
        <v>69</v>
      </c>
      <c r="X1644" t="s">
        <v>69</v>
      </c>
      <c r="Y1644" t="s">
        <v>69</v>
      </c>
      <c r="Z1644" t="s">
        <v>69</v>
      </c>
      <c r="AA1644" t="s">
        <v>10876</v>
      </c>
      <c r="AB1644" t="s">
        <v>10877</v>
      </c>
      <c r="AC1644" t="s">
        <v>10878</v>
      </c>
      <c r="AD1644" t="s">
        <v>10879</v>
      </c>
      <c r="AE1644" t="s">
        <v>69</v>
      </c>
      <c r="AF1644" t="s">
        <v>10880</v>
      </c>
      <c r="AG1644" t="s">
        <v>10881</v>
      </c>
      <c r="AH1644" t="s">
        <v>10882</v>
      </c>
      <c r="AI1644" t="s">
        <v>10883</v>
      </c>
      <c r="AJ1644" t="s">
        <v>10884</v>
      </c>
      <c r="AK1644" t="s">
        <v>10885</v>
      </c>
      <c r="AL1644" t="s">
        <v>10886</v>
      </c>
      <c r="AM1644" t="s">
        <v>69</v>
      </c>
      <c r="AN1644">
        <v>46</v>
      </c>
      <c r="AO1644">
        <v>0</v>
      </c>
      <c r="AP1644">
        <v>0</v>
      </c>
      <c r="AQ1644">
        <v>1</v>
      </c>
      <c r="AR1644">
        <v>1</v>
      </c>
      <c r="AS1644" t="s">
        <v>8924</v>
      </c>
      <c r="AT1644" t="s">
        <v>8925</v>
      </c>
      <c r="AU1644" t="s">
        <v>8926</v>
      </c>
      <c r="AV1644" t="s">
        <v>69</v>
      </c>
      <c r="AW1644" t="s">
        <v>7231</v>
      </c>
      <c r="AX1644" t="s">
        <v>69</v>
      </c>
      <c r="AY1644" t="s">
        <v>7227</v>
      </c>
      <c r="AZ1644" t="s">
        <v>9162</v>
      </c>
      <c r="BA1644" t="s">
        <v>274</v>
      </c>
      <c r="BB1644">
        <v>2021</v>
      </c>
      <c r="BC1644">
        <v>14</v>
      </c>
      <c r="BD1644">
        <v>22</v>
      </c>
      <c r="BE1644" t="s">
        <v>69</v>
      </c>
      <c r="BF1644" t="s">
        <v>69</v>
      </c>
      <c r="BG1644" t="s">
        <v>69</v>
      </c>
      <c r="BH1644" t="s">
        <v>69</v>
      </c>
      <c r="BI1644" t="s">
        <v>69</v>
      </c>
      <c r="BJ1644" t="s">
        <v>69</v>
      </c>
      <c r="BK1644">
        <v>7474</v>
      </c>
      <c r="BL1644" t="s">
        <v>10887</v>
      </c>
      <c r="BM1644" t="str">
        <f>HYPERLINK("http://dx.doi.org/10.3390/en14227474","http://dx.doi.org/10.3390/en14227474")</f>
        <v>http://dx.doi.org/10.3390/en14227474</v>
      </c>
      <c r="BN1644" t="s">
        <v>69</v>
      </c>
      <c r="BO1644" t="s">
        <v>69</v>
      </c>
      <c r="BP1644">
        <v>17</v>
      </c>
      <c r="BQ1644" t="s">
        <v>9164</v>
      </c>
      <c r="BR1644" t="s">
        <v>8523</v>
      </c>
      <c r="BS1644" t="s">
        <v>9164</v>
      </c>
      <c r="BT1644" t="s">
        <v>10888</v>
      </c>
      <c r="BU1644" t="s">
        <v>10889</v>
      </c>
      <c r="BV1644" t="s">
        <v>69</v>
      </c>
      <c r="BW1644" t="s">
        <v>8931</v>
      </c>
      <c r="BX1644" t="s">
        <v>69</v>
      </c>
      <c r="BY1644" t="s">
        <v>69</v>
      </c>
      <c r="BZ1644" t="s">
        <v>8526</v>
      </c>
      <c r="CA1644" t="str">
        <f>HYPERLINK("https%3A%2F%2Fwww.webofscience.com%2Fwos%2Fwoscc%2Ffull-record%2FWOS:000724150000001","View Full Record in Web of Science")</f>
        <v>View Full Record in Web of Science</v>
      </c>
    </row>
    <row r="1645" spans="2:79" x14ac:dyDescent="0.3">
      <c r="B1645" t="s">
        <v>8495</v>
      </c>
      <c r="D1645" s="9" t="s">
        <v>32954</v>
      </c>
      <c r="E1645" s="9" t="s">
        <v>33136</v>
      </c>
      <c r="F1645" s="9" t="s">
        <v>8491</v>
      </c>
      <c r="G1645" s="9" t="s">
        <v>8490</v>
      </c>
      <c r="H1645" t="s">
        <v>67</v>
      </c>
      <c r="I1645" t="s">
        <v>10225</v>
      </c>
      <c r="J1645" t="s">
        <v>69</v>
      </c>
      <c r="K1645" t="s">
        <v>69</v>
      </c>
      <c r="L1645" t="s">
        <v>69</v>
      </c>
      <c r="M1645" t="s">
        <v>10226</v>
      </c>
      <c r="N1645" t="s">
        <v>69</v>
      </c>
      <c r="O1645" t="s">
        <v>69</v>
      </c>
      <c r="P1645" t="s">
        <v>10227</v>
      </c>
      <c r="Q1645" t="s">
        <v>2088</v>
      </c>
      <c r="R1645" t="s">
        <v>69</v>
      </c>
      <c r="S1645" t="s">
        <v>69</v>
      </c>
      <c r="T1645" t="s">
        <v>8505</v>
      </c>
      <c r="U1645" t="s">
        <v>8506</v>
      </c>
      <c r="V1645" t="s">
        <v>69</v>
      </c>
      <c r="W1645" t="s">
        <v>69</v>
      </c>
      <c r="X1645" t="s">
        <v>69</v>
      </c>
      <c r="Y1645" t="s">
        <v>69</v>
      </c>
      <c r="Z1645" t="s">
        <v>69</v>
      </c>
      <c r="AA1645" t="s">
        <v>10228</v>
      </c>
      <c r="AB1645" t="s">
        <v>10229</v>
      </c>
      <c r="AC1645" t="s">
        <v>10230</v>
      </c>
      <c r="AD1645" t="s">
        <v>10231</v>
      </c>
      <c r="AE1645" t="s">
        <v>69</v>
      </c>
      <c r="AF1645" t="s">
        <v>10232</v>
      </c>
      <c r="AG1645" t="s">
        <v>10233</v>
      </c>
      <c r="AH1645" t="s">
        <v>10234</v>
      </c>
      <c r="AI1645" t="s">
        <v>10235</v>
      </c>
      <c r="AJ1645" t="s">
        <v>10236</v>
      </c>
      <c r="AK1645" t="s">
        <v>69</v>
      </c>
      <c r="AL1645" t="s">
        <v>10237</v>
      </c>
      <c r="AM1645" t="s">
        <v>69</v>
      </c>
      <c r="AN1645">
        <v>59</v>
      </c>
      <c r="AO1645">
        <v>1</v>
      </c>
      <c r="AP1645">
        <v>1</v>
      </c>
      <c r="AQ1645">
        <v>0</v>
      </c>
      <c r="AR1645">
        <v>0</v>
      </c>
      <c r="AS1645" t="s">
        <v>10238</v>
      </c>
      <c r="AT1645" t="s">
        <v>10239</v>
      </c>
      <c r="AU1645" t="s">
        <v>10240</v>
      </c>
      <c r="AV1645" t="s">
        <v>2092</v>
      </c>
      <c r="AW1645" t="s">
        <v>69</v>
      </c>
      <c r="AX1645" t="s">
        <v>69</v>
      </c>
      <c r="AY1645" t="s">
        <v>10241</v>
      </c>
      <c r="AZ1645" t="s">
        <v>10242</v>
      </c>
      <c r="BA1645" t="s">
        <v>69</v>
      </c>
      <c r="BB1645">
        <v>2022</v>
      </c>
      <c r="BC1645">
        <v>7</v>
      </c>
      <c r="BD1645">
        <v>1</v>
      </c>
      <c r="BE1645" t="s">
        <v>69</v>
      </c>
      <c r="BF1645" t="s">
        <v>69</v>
      </c>
      <c r="BG1645" t="s">
        <v>69</v>
      </c>
      <c r="BH1645" t="s">
        <v>69</v>
      </c>
      <c r="BI1645">
        <v>321</v>
      </c>
      <c r="BJ1645">
        <v>335</v>
      </c>
      <c r="BK1645" t="s">
        <v>69</v>
      </c>
      <c r="BL1645" t="s">
        <v>10243</v>
      </c>
      <c r="BM1645" t="str">
        <f>HYPERLINK("http://dx.doi.org/10.17645/up.v7i1.4749","http://dx.doi.org/10.17645/up.v7i1.4749")</f>
        <v>http://dx.doi.org/10.17645/up.v7i1.4749</v>
      </c>
      <c r="BN1645" t="s">
        <v>69</v>
      </c>
      <c r="BO1645" t="s">
        <v>69</v>
      </c>
      <c r="BP1645">
        <v>15</v>
      </c>
      <c r="BQ1645" t="s">
        <v>8475</v>
      </c>
      <c r="BR1645" t="s">
        <v>8573</v>
      </c>
      <c r="BS1645" t="s">
        <v>8475</v>
      </c>
      <c r="BT1645" t="s">
        <v>10244</v>
      </c>
      <c r="BU1645" t="s">
        <v>10245</v>
      </c>
      <c r="BV1645" t="s">
        <v>69</v>
      </c>
      <c r="BW1645" t="s">
        <v>8812</v>
      </c>
      <c r="BX1645" t="s">
        <v>69</v>
      </c>
      <c r="BY1645" t="s">
        <v>69</v>
      </c>
      <c r="BZ1645" t="s">
        <v>8526</v>
      </c>
      <c r="CA1645" t="str">
        <f>HYPERLINK("https%3A%2F%2Fwww.webofscience.com%2Fwos%2Fwoscc%2Ffull-record%2FWOS:000782643600011","View Full Record in Web of Science")</f>
        <v>View Full Record in Web of Science</v>
      </c>
    </row>
    <row r="1646" spans="2:79" ht="12.5" x14ac:dyDescent="0.25">
      <c r="B1646" t="s">
        <v>8495</v>
      </c>
      <c r="D1646" s="7" t="s">
        <v>32933</v>
      </c>
      <c r="E1646" s="7"/>
      <c r="F1646" s="7"/>
      <c r="G1646" s="7"/>
      <c r="H1646" t="s">
        <v>67</v>
      </c>
      <c r="I1646" t="s">
        <v>1553</v>
      </c>
      <c r="J1646" t="s">
        <v>69</v>
      </c>
      <c r="K1646" t="s">
        <v>69</v>
      </c>
      <c r="L1646" t="s">
        <v>69</v>
      </c>
      <c r="M1646" t="s">
        <v>1554</v>
      </c>
      <c r="N1646" t="s">
        <v>69</v>
      </c>
      <c r="O1646" t="s">
        <v>69</v>
      </c>
      <c r="P1646" t="s">
        <v>1555</v>
      </c>
      <c r="Q1646" t="s">
        <v>1556</v>
      </c>
      <c r="R1646" t="s">
        <v>69</v>
      </c>
      <c r="S1646" t="s">
        <v>69</v>
      </c>
      <c r="T1646" t="s">
        <v>8505</v>
      </c>
      <c r="U1646" t="s">
        <v>8506</v>
      </c>
      <c r="V1646" t="s">
        <v>69</v>
      </c>
      <c r="W1646" t="s">
        <v>69</v>
      </c>
      <c r="X1646" t="s">
        <v>69</v>
      </c>
      <c r="Y1646" t="s">
        <v>69</v>
      </c>
      <c r="Z1646" t="s">
        <v>69</v>
      </c>
      <c r="AA1646" t="s">
        <v>69</v>
      </c>
      <c r="AB1646" t="s">
        <v>69</v>
      </c>
      <c r="AC1646" t="s">
        <v>1557</v>
      </c>
      <c r="AD1646" t="s">
        <v>28714</v>
      </c>
      <c r="AE1646" t="s">
        <v>69</v>
      </c>
      <c r="AF1646" t="s">
        <v>28715</v>
      </c>
      <c r="AG1646" t="s">
        <v>69</v>
      </c>
      <c r="AH1646" t="s">
        <v>69</v>
      </c>
      <c r="AI1646" t="s">
        <v>1558</v>
      </c>
      <c r="AJ1646" t="s">
        <v>69</v>
      </c>
      <c r="AK1646" t="s">
        <v>69</v>
      </c>
      <c r="AL1646" t="s">
        <v>69</v>
      </c>
      <c r="AM1646" t="s">
        <v>69</v>
      </c>
      <c r="AN1646">
        <v>20</v>
      </c>
      <c r="AO1646">
        <v>6</v>
      </c>
      <c r="AP1646">
        <v>6</v>
      </c>
      <c r="AQ1646">
        <v>2</v>
      </c>
      <c r="AR1646">
        <v>12</v>
      </c>
      <c r="AS1646" t="s">
        <v>8865</v>
      </c>
      <c r="AT1646" t="s">
        <v>8612</v>
      </c>
      <c r="AU1646" t="s">
        <v>22341</v>
      </c>
      <c r="AV1646" t="s">
        <v>1559</v>
      </c>
      <c r="AW1646" t="s">
        <v>1560</v>
      </c>
      <c r="AX1646" t="s">
        <v>69</v>
      </c>
      <c r="AY1646" t="s">
        <v>28716</v>
      </c>
      <c r="AZ1646" t="s">
        <v>28717</v>
      </c>
      <c r="BA1646" t="s">
        <v>69</v>
      </c>
      <c r="BB1646">
        <v>2009</v>
      </c>
      <c r="BC1646">
        <v>22</v>
      </c>
      <c r="BD1646">
        <v>1</v>
      </c>
      <c r="BE1646" t="s">
        <v>69</v>
      </c>
      <c r="BF1646" t="s">
        <v>69</v>
      </c>
      <c r="BG1646" t="s">
        <v>69</v>
      </c>
      <c r="BH1646" t="s">
        <v>69</v>
      </c>
      <c r="BI1646">
        <v>147</v>
      </c>
      <c r="BJ1646">
        <v>161</v>
      </c>
      <c r="BK1646" t="s">
        <v>69</v>
      </c>
      <c r="BL1646" t="s">
        <v>1561</v>
      </c>
      <c r="BM1646" t="str">
        <f>HYPERLINK("http://dx.doi.org/10.1080/09557570802683888","http://dx.doi.org/10.1080/09557570802683888")</f>
        <v>http://dx.doi.org/10.1080/09557570802683888</v>
      </c>
      <c r="BN1646" t="s">
        <v>69</v>
      </c>
      <c r="BO1646" t="s">
        <v>69</v>
      </c>
      <c r="BP1646">
        <v>15</v>
      </c>
      <c r="BQ1646" t="s">
        <v>16728</v>
      </c>
      <c r="BR1646" t="s">
        <v>8661</v>
      </c>
      <c r="BS1646" t="s">
        <v>16729</v>
      </c>
      <c r="BT1646" t="s">
        <v>28718</v>
      </c>
      <c r="BU1646" t="s">
        <v>1562</v>
      </c>
      <c r="BV1646" t="s">
        <v>69</v>
      </c>
      <c r="BW1646" t="s">
        <v>69</v>
      </c>
      <c r="BX1646" t="s">
        <v>69</v>
      </c>
      <c r="BY1646" t="s">
        <v>69</v>
      </c>
      <c r="BZ1646" t="s">
        <v>8526</v>
      </c>
      <c r="CA1646" t="str">
        <f>HYPERLINK("https%3A%2F%2Fwww.webofscience.com%2Fwos%2Fwoscc%2Ffull-record%2FWOS:000265877800010","View Full Record in Web of Science")</f>
        <v>View Full Record in Web of Science</v>
      </c>
    </row>
    <row r="1647" spans="2:79" x14ac:dyDescent="0.3">
      <c r="B1647" t="s">
        <v>8495</v>
      </c>
      <c r="D1647" s="9" t="s">
        <v>33031</v>
      </c>
      <c r="E1647" s="9" t="s">
        <v>33135</v>
      </c>
      <c r="F1647" s="9" t="s">
        <v>8491</v>
      </c>
      <c r="G1647" s="9" t="s">
        <v>8490</v>
      </c>
      <c r="H1647" t="s">
        <v>67</v>
      </c>
      <c r="I1647" t="s">
        <v>28194</v>
      </c>
      <c r="J1647" t="s">
        <v>69</v>
      </c>
      <c r="K1647" t="s">
        <v>69</v>
      </c>
      <c r="L1647" t="s">
        <v>69</v>
      </c>
      <c r="M1647" t="s">
        <v>28195</v>
      </c>
      <c r="N1647" t="s">
        <v>69</v>
      </c>
      <c r="O1647" t="s">
        <v>69</v>
      </c>
      <c r="P1647" t="s">
        <v>28196</v>
      </c>
      <c r="Q1647" t="s">
        <v>19555</v>
      </c>
      <c r="R1647" t="s">
        <v>69</v>
      </c>
      <c r="S1647" t="s">
        <v>69</v>
      </c>
      <c r="T1647" t="s">
        <v>8505</v>
      </c>
      <c r="U1647" t="s">
        <v>8506</v>
      </c>
      <c r="V1647" t="s">
        <v>69</v>
      </c>
      <c r="W1647" t="s">
        <v>69</v>
      </c>
      <c r="X1647" t="s">
        <v>69</v>
      </c>
      <c r="Y1647" t="s">
        <v>69</v>
      </c>
      <c r="Z1647" t="s">
        <v>69</v>
      </c>
      <c r="AA1647" t="s">
        <v>28197</v>
      </c>
      <c r="AB1647" t="s">
        <v>69</v>
      </c>
      <c r="AC1647" t="s">
        <v>28198</v>
      </c>
      <c r="AD1647" t="s">
        <v>28199</v>
      </c>
      <c r="AE1647" t="s">
        <v>69</v>
      </c>
      <c r="AF1647" t="s">
        <v>28200</v>
      </c>
      <c r="AG1647" t="s">
        <v>28201</v>
      </c>
      <c r="AH1647" t="s">
        <v>69</v>
      </c>
      <c r="AI1647" t="s">
        <v>69</v>
      </c>
      <c r="AJ1647" t="s">
        <v>69</v>
      </c>
      <c r="AK1647" t="s">
        <v>69</v>
      </c>
      <c r="AL1647" t="s">
        <v>69</v>
      </c>
      <c r="AM1647" t="s">
        <v>69</v>
      </c>
      <c r="AN1647">
        <v>70</v>
      </c>
      <c r="AO1647">
        <v>38</v>
      </c>
      <c r="AP1647">
        <v>39</v>
      </c>
      <c r="AQ1647">
        <v>0</v>
      </c>
      <c r="AR1647">
        <v>1</v>
      </c>
      <c r="AS1647" t="s">
        <v>8586</v>
      </c>
      <c r="AT1647" t="s">
        <v>8587</v>
      </c>
      <c r="AU1647" t="s">
        <v>8588</v>
      </c>
      <c r="AV1647" t="s">
        <v>19564</v>
      </c>
      <c r="AW1647" t="s">
        <v>19565</v>
      </c>
      <c r="AX1647" t="s">
        <v>69</v>
      </c>
      <c r="AY1647" t="s">
        <v>19566</v>
      </c>
      <c r="AZ1647" t="s">
        <v>19567</v>
      </c>
      <c r="BA1647" t="s">
        <v>69</v>
      </c>
      <c r="BB1647">
        <v>2010</v>
      </c>
      <c r="BC1647">
        <v>33</v>
      </c>
      <c r="BD1647">
        <v>11</v>
      </c>
      <c r="BE1647" t="s">
        <v>69</v>
      </c>
      <c r="BF1647" t="s">
        <v>69</v>
      </c>
      <c r="BG1647" t="s">
        <v>114</v>
      </c>
      <c r="BH1647" t="s">
        <v>69</v>
      </c>
      <c r="BI1647">
        <v>1022</v>
      </c>
      <c r="BJ1647">
        <v>1041</v>
      </c>
      <c r="BK1647" t="s">
        <v>69</v>
      </c>
      <c r="BL1647" t="s">
        <v>28202</v>
      </c>
      <c r="BM1647" t="str">
        <f>HYPERLINK("http://dx.doi.org/10.1108/01409171011085877","http://dx.doi.org/10.1108/01409171011085877")</f>
        <v>http://dx.doi.org/10.1108/01409171011085877</v>
      </c>
      <c r="BN1647" t="s">
        <v>69</v>
      </c>
      <c r="BO1647" t="s">
        <v>69</v>
      </c>
      <c r="BP1647">
        <v>20</v>
      </c>
      <c r="BQ1647" t="s">
        <v>9410</v>
      </c>
      <c r="BR1647" t="s">
        <v>8573</v>
      </c>
      <c r="BS1647" t="s">
        <v>8594</v>
      </c>
      <c r="BT1647" t="s">
        <v>28203</v>
      </c>
      <c r="BU1647" t="s">
        <v>28204</v>
      </c>
      <c r="BV1647" t="s">
        <v>69</v>
      </c>
      <c r="BW1647" t="s">
        <v>69</v>
      </c>
      <c r="BX1647" t="s">
        <v>69</v>
      </c>
      <c r="BY1647" t="s">
        <v>69</v>
      </c>
      <c r="BZ1647" t="s">
        <v>8526</v>
      </c>
      <c r="CA1647" t="str">
        <f>HYPERLINK("https%3A%2F%2Fwww.webofscience.com%2Fwos%2Fwoscc%2Ffull-record%2FWOS:000213401700002","View Full Record in Web of Science")</f>
        <v>View Full Record in Web of Science</v>
      </c>
    </row>
    <row r="1648" spans="2:79" ht="12.5" x14ac:dyDescent="0.25">
      <c r="B1648" t="s">
        <v>8495</v>
      </c>
      <c r="D1648" s="22" t="s">
        <v>32931</v>
      </c>
      <c r="E1648" s="7"/>
      <c r="F1648" s="7"/>
      <c r="G1648" s="7"/>
      <c r="H1648" t="s">
        <v>67</v>
      </c>
      <c r="I1648" t="s">
        <v>26590</v>
      </c>
      <c r="J1648" t="s">
        <v>69</v>
      </c>
      <c r="K1648" t="s">
        <v>69</v>
      </c>
      <c r="L1648" t="s">
        <v>69</v>
      </c>
      <c r="M1648" t="s">
        <v>26591</v>
      </c>
      <c r="N1648" t="s">
        <v>69</v>
      </c>
      <c r="O1648" t="s">
        <v>69</v>
      </c>
      <c r="P1648" t="s">
        <v>26592</v>
      </c>
      <c r="Q1648" t="s">
        <v>26593</v>
      </c>
      <c r="R1648" t="s">
        <v>69</v>
      </c>
      <c r="S1648" t="s">
        <v>69</v>
      </c>
      <c r="T1648" t="s">
        <v>8505</v>
      </c>
      <c r="U1648" t="s">
        <v>8506</v>
      </c>
      <c r="V1648" t="s">
        <v>69</v>
      </c>
      <c r="W1648" t="s">
        <v>69</v>
      </c>
      <c r="X1648" t="s">
        <v>69</v>
      </c>
      <c r="Y1648" t="s">
        <v>69</v>
      </c>
      <c r="Z1648" t="s">
        <v>69</v>
      </c>
      <c r="AA1648" t="s">
        <v>69</v>
      </c>
      <c r="AB1648" t="s">
        <v>26594</v>
      </c>
      <c r="AC1648" t="s">
        <v>26595</v>
      </c>
      <c r="AD1648" t="s">
        <v>26596</v>
      </c>
      <c r="AE1648" t="s">
        <v>69</v>
      </c>
      <c r="AF1648" t="s">
        <v>26597</v>
      </c>
      <c r="AG1648" t="s">
        <v>26598</v>
      </c>
      <c r="AH1648" t="s">
        <v>26599</v>
      </c>
      <c r="AI1648" t="s">
        <v>26600</v>
      </c>
      <c r="AJ1648" t="s">
        <v>69</v>
      </c>
      <c r="AK1648" t="s">
        <v>69</v>
      </c>
      <c r="AL1648" t="s">
        <v>69</v>
      </c>
      <c r="AM1648" t="s">
        <v>69</v>
      </c>
      <c r="AN1648">
        <v>95</v>
      </c>
      <c r="AO1648">
        <v>25</v>
      </c>
      <c r="AP1648">
        <v>26</v>
      </c>
      <c r="AQ1648">
        <v>0</v>
      </c>
      <c r="AR1648">
        <v>7</v>
      </c>
      <c r="AS1648" t="s">
        <v>18730</v>
      </c>
      <c r="AT1648" t="s">
        <v>18731</v>
      </c>
      <c r="AU1648" t="s">
        <v>18732</v>
      </c>
      <c r="AV1648" t="s">
        <v>26601</v>
      </c>
      <c r="AW1648" t="s">
        <v>26602</v>
      </c>
      <c r="AX1648" t="s">
        <v>69</v>
      </c>
      <c r="AY1648" t="s">
        <v>26603</v>
      </c>
      <c r="AZ1648" t="s">
        <v>26604</v>
      </c>
      <c r="BA1648" t="s">
        <v>69</v>
      </c>
      <c r="BB1648">
        <v>2012</v>
      </c>
      <c r="BC1648">
        <v>38</v>
      </c>
      <c r="BD1648">
        <v>2</v>
      </c>
      <c r="BE1648" t="s">
        <v>69</v>
      </c>
      <c r="BF1648" t="s">
        <v>69</v>
      </c>
      <c r="BG1648" t="s">
        <v>69</v>
      </c>
      <c r="BH1648" t="s">
        <v>69</v>
      </c>
      <c r="BI1648" t="s">
        <v>69</v>
      </c>
      <c r="BJ1648" t="s">
        <v>69</v>
      </c>
      <c r="BK1648">
        <v>993</v>
      </c>
      <c r="BL1648" t="s">
        <v>26605</v>
      </c>
      <c r="BM1648" t="str">
        <f>HYPERLINK("http://dx.doi.org/10.4102/sajip.v38i2.993","http://dx.doi.org/10.4102/sajip.v38i2.993")</f>
        <v>http://dx.doi.org/10.4102/sajip.v38i2.993</v>
      </c>
      <c r="BN1648" t="s">
        <v>69</v>
      </c>
      <c r="BO1648" t="s">
        <v>69</v>
      </c>
      <c r="BP1648">
        <v>9</v>
      </c>
      <c r="BQ1648" t="s">
        <v>15649</v>
      </c>
      <c r="BR1648" t="s">
        <v>8573</v>
      </c>
      <c r="BS1648" t="s">
        <v>9001</v>
      </c>
      <c r="BT1648" t="s">
        <v>26606</v>
      </c>
      <c r="BU1648" t="s">
        <v>26607</v>
      </c>
      <c r="BV1648" t="s">
        <v>69</v>
      </c>
      <c r="BW1648" t="s">
        <v>12220</v>
      </c>
      <c r="BX1648" t="s">
        <v>69</v>
      </c>
      <c r="BY1648" t="s">
        <v>69</v>
      </c>
      <c r="BZ1648" t="s">
        <v>8526</v>
      </c>
      <c r="CA1648" t="str">
        <f>HYPERLINK("https%3A%2F%2Fwww.webofscience.com%2Fwos%2Fwoscc%2Ffull-record%2FWOS:000217105100016","View Full Record in Web of Science")</f>
        <v>View Full Record in Web of Science</v>
      </c>
    </row>
    <row r="1649" spans="1:79" ht="12.5" x14ac:dyDescent="0.25">
      <c r="B1649" t="s">
        <v>8495</v>
      </c>
      <c r="D1649" s="22" t="s">
        <v>32931</v>
      </c>
      <c r="E1649" s="7"/>
      <c r="F1649" s="7"/>
      <c r="G1649" s="7"/>
      <c r="H1649" t="s">
        <v>67</v>
      </c>
      <c r="I1649" t="s">
        <v>26954</v>
      </c>
      <c r="J1649" t="s">
        <v>69</v>
      </c>
      <c r="K1649" t="s">
        <v>69</v>
      </c>
      <c r="L1649" t="s">
        <v>69</v>
      </c>
      <c r="M1649" t="s">
        <v>26955</v>
      </c>
      <c r="N1649" t="s">
        <v>69</v>
      </c>
      <c r="O1649" t="s">
        <v>69</v>
      </c>
      <c r="P1649" t="s">
        <v>26956</v>
      </c>
      <c r="Q1649" t="s">
        <v>26957</v>
      </c>
      <c r="R1649" t="s">
        <v>69</v>
      </c>
      <c r="S1649" t="s">
        <v>69</v>
      </c>
      <c r="T1649" t="s">
        <v>8505</v>
      </c>
      <c r="U1649" t="s">
        <v>8506</v>
      </c>
      <c r="V1649" t="s">
        <v>69</v>
      </c>
      <c r="W1649" t="s">
        <v>69</v>
      </c>
      <c r="X1649" t="s">
        <v>69</v>
      </c>
      <c r="Y1649" t="s">
        <v>69</v>
      </c>
      <c r="Z1649" t="s">
        <v>69</v>
      </c>
      <c r="AA1649" t="s">
        <v>26958</v>
      </c>
      <c r="AB1649" t="s">
        <v>26959</v>
      </c>
      <c r="AC1649" t="s">
        <v>26960</v>
      </c>
      <c r="AD1649" t="s">
        <v>26961</v>
      </c>
      <c r="AE1649" t="s">
        <v>69</v>
      </c>
      <c r="AF1649" t="s">
        <v>26962</v>
      </c>
      <c r="AG1649" t="s">
        <v>26963</v>
      </c>
      <c r="AH1649" t="s">
        <v>69</v>
      </c>
      <c r="AI1649" t="s">
        <v>26964</v>
      </c>
      <c r="AJ1649" t="s">
        <v>69</v>
      </c>
      <c r="AK1649" t="s">
        <v>69</v>
      </c>
      <c r="AL1649" t="s">
        <v>69</v>
      </c>
      <c r="AM1649" t="s">
        <v>69</v>
      </c>
      <c r="AN1649">
        <v>22</v>
      </c>
      <c r="AO1649">
        <v>2</v>
      </c>
      <c r="AP1649">
        <v>2</v>
      </c>
      <c r="AQ1649">
        <v>1</v>
      </c>
      <c r="AR1649">
        <v>10</v>
      </c>
      <c r="AS1649" t="s">
        <v>9145</v>
      </c>
      <c r="AT1649" t="s">
        <v>8637</v>
      </c>
      <c r="AU1649" t="s">
        <v>9146</v>
      </c>
      <c r="AV1649" t="s">
        <v>26965</v>
      </c>
      <c r="AW1649" t="s">
        <v>26966</v>
      </c>
      <c r="AX1649" t="s">
        <v>69</v>
      </c>
      <c r="AY1649" t="s">
        <v>26967</v>
      </c>
      <c r="AZ1649" t="s">
        <v>26968</v>
      </c>
      <c r="BA1649" t="s">
        <v>155</v>
      </c>
      <c r="BB1649">
        <v>2011</v>
      </c>
      <c r="BC1649">
        <v>42</v>
      </c>
      <c r="BD1649">
        <v>3</v>
      </c>
      <c r="BE1649" t="s">
        <v>69</v>
      </c>
      <c r="BF1649" t="s">
        <v>69</v>
      </c>
      <c r="BG1649" t="s">
        <v>69</v>
      </c>
      <c r="BH1649" t="s">
        <v>69</v>
      </c>
      <c r="BI1649">
        <v>215</v>
      </c>
      <c r="BJ1649">
        <v>222</v>
      </c>
      <c r="BK1649" t="s">
        <v>69</v>
      </c>
      <c r="BL1649" t="s">
        <v>26969</v>
      </c>
      <c r="BM1649" t="str">
        <f>HYPERLINK("http://dx.doi.org/10.1016/j.jsr.2011.03.005","http://dx.doi.org/10.1016/j.jsr.2011.03.005")</f>
        <v>http://dx.doi.org/10.1016/j.jsr.2011.03.005</v>
      </c>
      <c r="BN1649" t="s">
        <v>69</v>
      </c>
      <c r="BO1649" t="s">
        <v>69</v>
      </c>
      <c r="BP1649">
        <v>8</v>
      </c>
      <c r="BQ1649" t="s">
        <v>22583</v>
      </c>
      <c r="BR1649" t="s">
        <v>8661</v>
      </c>
      <c r="BS1649" t="s">
        <v>22584</v>
      </c>
      <c r="BT1649" t="s">
        <v>26970</v>
      </c>
      <c r="BU1649" t="s">
        <v>26971</v>
      </c>
      <c r="BV1649">
        <v>21855693</v>
      </c>
      <c r="BW1649" t="s">
        <v>69</v>
      </c>
      <c r="BX1649" t="s">
        <v>69</v>
      </c>
      <c r="BY1649" t="s">
        <v>69</v>
      </c>
      <c r="BZ1649" t="s">
        <v>8526</v>
      </c>
      <c r="CA1649" t="str">
        <f>HYPERLINK("https%3A%2F%2Fwww.webofscience.com%2Fwos%2Fwoscc%2Ffull-record%2FWOS:000294934900009","View Full Record in Web of Science")</f>
        <v>View Full Record in Web of Science</v>
      </c>
    </row>
    <row r="1650" spans="1:79" ht="12.5" x14ac:dyDescent="0.25">
      <c r="B1650" t="s">
        <v>8495</v>
      </c>
      <c r="D1650" s="22" t="s">
        <v>32931</v>
      </c>
      <c r="E1650" s="7"/>
      <c r="F1650" s="7"/>
      <c r="G1650" s="7"/>
      <c r="H1650" t="s">
        <v>67</v>
      </c>
      <c r="I1650" t="s">
        <v>11869</v>
      </c>
      <c r="J1650" t="s">
        <v>69</v>
      </c>
      <c r="K1650" t="s">
        <v>69</v>
      </c>
      <c r="L1650" t="s">
        <v>69</v>
      </c>
      <c r="M1650" t="s">
        <v>11870</v>
      </c>
      <c r="N1650" t="s">
        <v>69</v>
      </c>
      <c r="O1650" t="s">
        <v>69</v>
      </c>
      <c r="P1650" t="s">
        <v>11871</v>
      </c>
      <c r="Q1650" t="s">
        <v>11872</v>
      </c>
      <c r="R1650" t="s">
        <v>69</v>
      </c>
      <c r="S1650" t="s">
        <v>69</v>
      </c>
      <c r="T1650" t="s">
        <v>8505</v>
      </c>
      <c r="U1650" t="s">
        <v>8506</v>
      </c>
      <c r="V1650" t="s">
        <v>69</v>
      </c>
      <c r="W1650" t="s">
        <v>69</v>
      </c>
      <c r="X1650" t="s">
        <v>69</v>
      </c>
      <c r="Y1650" t="s">
        <v>69</v>
      </c>
      <c r="Z1650" t="s">
        <v>69</v>
      </c>
      <c r="AA1650" t="s">
        <v>11873</v>
      </c>
      <c r="AB1650" t="s">
        <v>11874</v>
      </c>
      <c r="AC1650" t="s">
        <v>11875</v>
      </c>
      <c r="AD1650" t="s">
        <v>11876</v>
      </c>
      <c r="AE1650" t="s">
        <v>69</v>
      </c>
      <c r="AF1650" t="s">
        <v>11877</v>
      </c>
      <c r="AG1650" t="s">
        <v>11878</v>
      </c>
      <c r="AH1650" t="s">
        <v>69</v>
      </c>
      <c r="AI1650" t="s">
        <v>69</v>
      </c>
      <c r="AJ1650" t="s">
        <v>69</v>
      </c>
      <c r="AK1650" t="s">
        <v>69</v>
      </c>
      <c r="AL1650" t="s">
        <v>69</v>
      </c>
      <c r="AM1650" t="s">
        <v>69</v>
      </c>
      <c r="AN1650">
        <v>30</v>
      </c>
      <c r="AO1650">
        <v>1</v>
      </c>
      <c r="AP1650">
        <v>1</v>
      </c>
      <c r="AQ1650">
        <v>0</v>
      </c>
      <c r="AR1650">
        <v>0</v>
      </c>
      <c r="AS1650" t="s">
        <v>10923</v>
      </c>
      <c r="AT1650" t="s">
        <v>10924</v>
      </c>
      <c r="AU1650" t="s">
        <v>10925</v>
      </c>
      <c r="AV1650" t="s">
        <v>11879</v>
      </c>
      <c r="AW1650" t="s">
        <v>11880</v>
      </c>
      <c r="AX1650" t="s">
        <v>69</v>
      </c>
      <c r="AY1650" t="s">
        <v>11881</v>
      </c>
      <c r="AZ1650" t="s">
        <v>11882</v>
      </c>
      <c r="BA1650" t="s">
        <v>5888</v>
      </c>
      <c r="BB1650">
        <v>2021</v>
      </c>
      <c r="BC1650">
        <v>17</v>
      </c>
      <c r="BD1650">
        <v>3</v>
      </c>
      <c r="BE1650" t="s">
        <v>69</v>
      </c>
      <c r="BF1650" t="s">
        <v>69</v>
      </c>
      <c r="BG1650" t="s">
        <v>69</v>
      </c>
      <c r="BH1650" t="s">
        <v>69</v>
      </c>
      <c r="BI1650" t="s">
        <v>11883</v>
      </c>
      <c r="BJ1650" t="s">
        <v>11884</v>
      </c>
      <c r="BK1650" t="s">
        <v>69</v>
      </c>
      <c r="BL1650" t="s">
        <v>11885</v>
      </c>
      <c r="BM1650" t="str">
        <f>HYPERLINK("http://dx.doi.org/10.1097/JFN.0000000000000337","http://dx.doi.org/10.1097/JFN.0000000000000337")</f>
        <v>http://dx.doi.org/10.1097/JFN.0000000000000337</v>
      </c>
      <c r="BN1650" t="s">
        <v>69</v>
      </c>
      <c r="BO1650" t="s">
        <v>69</v>
      </c>
      <c r="BP1650">
        <v>10</v>
      </c>
      <c r="BQ1650" t="s">
        <v>11886</v>
      </c>
      <c r="BR1650" t="s">
        <v>8523</v>
      </c>
      <c r="BS1650" t="s">
        <v>11886</v>
      </c>
      <c r="BT1650" t="s">
        <v>11887</v>
      </c>
      <c r="BU1650" t="s">
        <v>11888</v>
      </c>
      <c r="BV1650">
        <v>34132652</v>
      </c>
      <c r="BW1650" t="s">
        <v>9292</v>
      </c>
      <c r="BX1650" t="s">
        <v>69</v>
      </c>
      <c r="BY1650" t="s">
        <v>69</v>
      </c>
      <c r="BZ1650" t="s">
        <v>8526</v>
      </c>
      <c r="CA1650" t="str">
        <f>HYPERLINK("https%3A%2F%2Fwww.webofscience.com%2Fwos%2Fwoscc%2Ffull-record%2FWOS:000692193300001","View Full Record in Web of Science")</f>
        <v>View Full Record in Web of Science</v>
      </c>
    </row>
    <row r="1651" spans="1:79" ht="12.5" x14ac:dyDescent="0.25">
      <c r="B1651" t="s">
        <v>8495</v>
      </c>
      <c r="D1651" s="22" t="s">
        <v>32931</v>
      </c>
      <c r="E1651" s="7"/>
      <c r="F1651" s="7"/>
      <c r="G1651" s="7"/>
      <c r="H1651" t="s">
        <v>67</v>
      </c>
      <c r="I1651" t="s">
        <v>12670</v>
      </c>
      <c r="J1651" t="s">
        <v>69</v>
      </c>
      <c r="K1651" t="s">
        <v>69</v>
      </c>
      <c r="L1651" t="s">
        <v>69</v>
      </c>
      <c r="M1651" t="s">
        <v>12671</v>
      </c>
      <c r="N1651" t="s">
        <v>69</v>
      </c>
      <c r="O1651" t="s">
        <v>69</v>
      </c>
      <c r="P1651" t="s">
        <v>12672</v>
      </c>
      <c r="Q1651" t="s">
        <v>12673</v>
      </c>
      <c r="R1651" t="s">
        <v>69</v>
      </c>
      <c r="S1651" t="s">
        <v>69</v>
      </c>
      <c r="T1651" t="s">
        <v>8505</v>
      </c>
      <c r="U1651" t="s">
        <v>8442</v>
      </c>
      <c r="V1651" t="s">
        <v>69</v>
      </c>
      <c r="W1651" t="s">
        <v>69</v>
      </c>
      <c r="X1651" t="s">
        <v>69</v>
      </c>
      <c r="Y1651" t="s">
        <v>69</v>
      </c>
      <c r="Z1651" t="s">
        <v>69</v>
      </c>
      <c r="AA1651" t="s">
        <v>12674</v>
      </c>
      <c r="AB1651" t="s">
        <v>12675</v>
      </c>
      <c r="AC1651" t="s">
        <v>12676</v>
      </c>
      <c r="AD1651" t="s">
        <v>12677</v>
      </c>
      <c r="AE1651" t="s">
        <v>69</v>
      </c>
      <c r="AF1651" t="s">
        <v>12678</v>
      </c>
      <c r="AG1651" t="s">
        <v>12679</v>
      </c>
      <c r="AH1651" t="s">
        <v>69</v>
      </c>
      <c r="AI1651" t="s">
        <v>69</v>
      </c>
      <c r="AJ1651" t="s">
        <v>9499</v>
      </c>
      <c r="AK1651" t="s">
        <v>9499</v>
      </c>
      <c r="AL1651" t="s">
        <v>12680</v>
      </c>
      <c r="AM1651" t="s">
        <v>69</v>
      </c>
      <c r="AN1651">
        <v>17</v>
      </c>
      <c r="AO1651">
        <v>0</v>
      </c>
      <c r="AP1651">
        <v>0</v>
      </c>
      <c r="AQ1651">
        <v>2</v>
      </c>
      <c r="AR1651">
        <v>6</v>
      </c>
      <c r="AS1651" t="s">
        <v>9203</v>
      </c>
      <c r="AT1651" t="s">
        <v>8763</v>
      </c>
      <c r="AU1651" t="s">
        <v>9204</v>
      </c>
      <c r="AV1651" t="s">
        <v>12681</v>
      </c>
      <c r="AW1651" t="s">
        <v>12682</v>
      </c>
      <c r="AX1651" t="s">
        <v>69</v>
      </c>
      <c r="AY1651" t="s">
        <v>12683</v>
      </c>
      <c r="AZ1651" t="s">
        <v>12684</v>
      </c>
      <c r="BA1651" t="s">
        <v>12685</v>
      </c>
      <c r="BB1651">
        <v>2021</v>
      </c>
      <c r="BC1651">
        <v>47</v>
      </c>
      <c r="BD1651">
        <v>1</v>
      </c>
      <c r="BE1651" t="s">
        <v>69</v>
      </c>
      <c r="BF1651" t="s">
        <v>69</v>
      </c>
      <c r="BG1651" t="s">
        <v>69</v>
      </c>
      <c r="BH1651" t="s">
        <v>69</v>
      </c>
      <c r="BI1651" t="s">
        <v>69</v>
      </c>
      <c r="BJ1651" t="s">
        <v>69</v>
      </c>
      <c r="BK1651">
        <v>76</v>
      </c>
      <c r="BL1651" t="s">
        <v>12686</v>
      </c>
      <c r="BM1651" t="str">
        <f>HYPERLINK("http://dx.doi.org/10.1186/s13052-021-01031-6","http://dx.doi.org/10.1186/s13052-021-01031-6")</f>
        <v>http://dx.doi.org/10.1186/s13052-021-01031-6</v>
      </c>
      <c r="BN1651" t="s">
        <v>69</v>
      </c>
      <c r="BO1651" t="s">
        <v>69</v>
      </c>
      <c r="BP1651">
        <v>5</v>
      </c>
      <c r="BQ1651" t="s">
        <v>12687</v>
      </c>
      <c r="BR1651" t="s">
        <v>8548</v>
      </c>
      <c r="BS1651" t="s">
        <v>12687</v>
      </c>
      <c r="BT1651" t="s">
        <v>12688</v>
      </c>
      <c r="BU1651" t="s">
        <v>12689</v>
      </c>
      <c r="BV1651">
        <v>33766070</v>
      </c>
      <c r="BW1651" t="s">
        <v>9352</v>
      </c>
      <c r="BX1651" t="s">
        <v>69</v>
      </c>
      <c r="BY1651" t="s">
        <v>69</v>
      </c>
      <c r="BZ1651" t="s">
        <v>8526</v>
      </c>
      <c r="CA1651" t="str">
        <f>HYPERLINK("https%3A%2F%2Fwww.webofscience.com%2Fwos%2Fwoscc%2Ffull-record%2FWOS:000635199300004","View Full Record in Web of Science")</f>
        <v>View Full Record in Web of Science</v>
      </c>
    </row>
    <row r="1652" spans="1:79" ht="12.5" x14ac:dyDescent="0.25">
      <c r="B1652" t="s">
        <v>8495</v>
      </c>
      <c r="D1652" s="22" t="s">
        <v>32931</v>
      </c>
      <c r="E1652" s="7"/>
      <c r="F1652" s="7"/>
      <c r="G1652" s="7"/>
      <c r="H1652" t="s">
        <v>67</v>
      </c>
      <c r="I1652" t="s">
        <v>21688</v>
      </c>
      <c r="J1652" t="s">
        <v>69</v>
      </c>
      <c r="K1652" t="s">
        <v>69</v>
      </c>
      <c r="L1652" t="s">
        <v>69</v>
      </c>
      <c r="M1652" t="s">
        <v>21689</v>
      </c>
      <c r="N1652" t="s">
        <v>69</v>
      </c>
      <c r="O1652" t="s">
        <v>69</v>
      </c>
      <c r="P1652" t="s">
        <v>21690</v>
      </c>
      <c r="Q1652" t="s">
        <v>9491</v>
      </c>
      <c r="R1652" t="s">
        <v>69</v>
      </c>
      <c r="S1652" t="s">
        <v>69</v>
      </c>
      <c r="T1652" t="s">
        <v>8505</v>
      </c>
      <c r="U1652" t="s">
        <v>8506</v>
      </c>
      <c r="V1652" t="s">
        <v>69</v>
      </c>
      <c r="W1652" t="s">
        <v>69</v>
      </c>
      <c r="X1652" t="s">
        <v>69</v>
      </c>
      <c r="Y1652" t="s">
        <v>69</v>
      </c>
      <c r="Z1652" t="s">
        <v>69</v>
      </c>
      <c r="AA1652" t="s">
        <v>21691</v>
      </c>
      <c r="AB1652" t="s">
        <v>21692</v>
      </c>
      <c r="AC1652" t="s">
        <v>21693</v>
      </c>
      <c r="AD1652" t="s">
        <v>21694</v>
      </c>
      <c r="AE1652" t="s">
        <v>69</v>
      </c>
      <c r="AF1652" t="s">
        <v>21695</v>
      </c>
      <c r="AG1652" t="s">
        <v>21696</v>
      </c>
      <c r="AH1652" t="s">
        <v>69</v>
      </c>
      <c r="AI1652" t="s">
        <v>21697</v>
      </c>
      <c r="AJ1652" t="s">
        <v>69</v>
      </c>
      <c r="AK1652" t="s">
        <v>69</v>
      </c>
      <c r="AL1652" t="s">
        <v>69</v>
      </c>
      <c r="AM1652" t="s">
        <v>69</v>
      </c>
      <c r="AN1652">
        <v>44</v>
      </c>
      <c r="AO1652">
        <v>25</v>
      </c>
      <c r="AP1652">
        <v>25</v>
      </c>
      <c r="AQ1652">
        <v>1</v>
      </c>
      <c r="AR1652">
        <v>29</v>
      </c>
      <c r="AS1652" t="s">
        <v>8846</v>
      </c>
      <c r="AT1652" t="s">
        <v>8847</v>
      </c>
      <c r="AU1652" t="s">
        <v>8848</v>
      </c>
      <c r="AV1652" t="s">
        <v>9501</v>
      </c>
      <c r="AW1652" t="s">
        <v>9502</v>
      </c>
      <c r="AX1652" t="s">
        <v>69</v>
      </c>
      <c r="AY1652" t="s">
        <v>9503</v>
      </c>
      <c r="AZ1652" t="s">
        <v>9504</v>
      </c>
      <c r="BA1652" t="s">
        <v>586</v>
      </c>
      <c r="BB1652">
        <v>2016</v>
      </c>
      <c r="BC1652">
        <v>24</v>
      </c>
      <c r="BD1652">
        <v>4</v>
      </c>
      <c r="BE1652" t="s">
        <v>69</v>
      </c>
      <c r="BF1652" t="s">
        <v>69</v>
      </c>
      <c r="BG1652" t="s">
        <v>69</v>
      </c>
      <c r="BH1652" t="s">
        <v>69</v>
      </c>
      <c r="BI1652">
        <v>512</v>
      </c>
      <c r="BJ1652">
        <v>523</v>
      </c>
      <c r="BK1652" t="s">
        <v>69</v>
      </c>
      <c r="BL1652" t="s">
        <v>21698</v>
      </c>
      <c r="BM1652" t="str">
        <f>HYPERLINK("http://dx.doi.org/10.1111/jonm.12351","http://dx.doi.org/10.1111/jonm.12351")</f>
        <v>http://dx.doi.org/10.1111/jonm.12351</v>
      </c>
      <c r="BN1652" t="s">
        <v>69</v>
      </c>
      <c r="BO1652" t="s">
        <v>69</v>
      </c>
      <c r="BP1652">
        <v>12</v>
      </c>
      <c r="BQ1652" t="s">
        <v>9506</v>
      </c>
      <c r="BR1652" t="s">
        <v>8523</v>
      </c>
      <c r="BS1652" t="s">
        <v>9507</v>
      </c>
      <c r="BT1652" t="s">
        <v>21699</v>
      </c>
      <c r="BU1652" t="s">
        <v>21700</v>
      </c>
      <c r="BV1652">
        <v>26667389</v>
      </c>
      <c r="BW1652" t="s">
        <v>69</v>
      </c>
      <c r="BX1652" t="s">
        <v>69</v>
      </c>
      <c r="BY1652" t="s">
        <v>69</v>
      </c>
      <c r="BZ1652" t="s">
        <v>8526</v>
      </c>
      <c r="CA1652" t="str">
        <f>HYPERLINK("https%3A%2F%2Fwww.webofscience.com%2Fwos%2Fwoscc%2Ffull-record%2FWOS:000375780500010","View Full Record in Web of Science")</f>
        <v>View Full Record in Web of Science</v>
      </c>
    </row>
    <row r="1653" spans="1:79" ht="12.5" x14ac:dyDescent="0.25">
      <c r="B1653" t="s">
        <v>8495</v>
      </c>
      <c r="D1653" s="22" t="s">
        <v>32931</v>
      </c>
      <c r="E1653" s="7"/>
      <c r="F1653" s="7"/>
      <c r="G1653" s="7"/>
      <c r="H1653" t="s">
        <v>67</v>
      </c>
      <c r="I1653" t="s">
        <v>23518</v>
      </c>
      <c r="J1653" t="s">
        <v>69</v>
      </c>
      <c r="K1653" t="s">
        <v>69</v>
      </c>
      <c r="L1653" t="s">
        <v>69</v>
      </c>
      <c r="M1653" t="s">
        <v>23519</v>
      </c>
      <c r="N1653" t="s">
        <v>69</v>
      </c>
      <c r="O1653" t="s">
        <v>69</v>
      </c>
      <c r="P1653" t="s">
        <v>23520</v>
      </c>
      <c r="Q1653" t="s">
        <v>23521</v>
      </c>
      <c r="R1653" t="s">
        <v>69</v>
      </c>
      <c r="S1653" t="s">
        <v>69</v>
      </c>
      <c r="T1653" t="s">
        <v>8505</v>
      </c>
      <c r="U1653" t="s">
        <v>8506</v>
      </c>
      <c r="V1653" t="s">
        <v>69</v>
      </c>
      <c r="W1653" t="s">
        <v>69</v>
      </c>
      <c r="X1653" t="s">
        <v>69</v>
      </c>
      <c r="Y1653" t="s">
        <v>69</v>
      </c>
      <c r="Z1653" t="s">
        <v>69</v>
      </c>
      <c r="AA1653" t="s">
        <v>23522</v>
      </c>
      <c r="AB1653" t="s">
        <v>23523</v>
      </c>
      <c r="AC1653" t="s">
        <v>23524</v>
      </c>
      <c r="AD1653" t="s">
        <v>23525</v>
      </c>
      <c r="AE1653" t="s">
        <v>69</v>
      </c>
      <c r="AF1653" t="s">
        <v>23526</v>
      </c>
      <c r="AG1653" t="s">
        <v>23527</v>
      </c>
      <c r="AH1653" t="s">
        <v>69</v>
      </c>
      <c r="AI1653" t="s">
        <v>69</v>
      </c>
      <c r="AJ1653" t="s">
        <v>69</v>
      </c>
      <c r="AK1653" t="s">
        <v>69</v>
      </c>
      <c r="AL1653" t="s">
        <v>69</v>
      </c>
      <c r="AM1653" t="s">
        <v>69</v>
      </c>
      <c r="AN1653">
        <v>32</v>
      </c>
      <c r="AO1653">
        <v>1</v>
      </c>
      <c r="AP1653">
        <v>2</v>
      </c>
      <c r="AQ1653">
        <v>0</v>
      </c>
      <c r="AR1653">
        <v>15</v>
      </c>
      <c r="AS1653" t="s">
        <v>10923</v>
      </c>
      <c r="AT1653" t="s">
        <v>10924</v>
      </c>
      <c r="AU1653" t="s">
        <v>10925</v>
      </c>
      <c r="AV1653" t="s">
        <v>23528</v>
      </c>
      <c r="AW1653" t="s">
        <v>23529</v>
      </c>
      <c r="AX1653" t="s">
        <v>69</v>
      </c>
      <c r="AY1653" t="s">
        <v>23530</v>
      </c>
      <c r="AZ1653" t="s">
        <v>23531</v>
      </c>
      <c r="BA1653" t="s">
        <v>381</v>
      </c>
      <c r="BB1653">
        <v>2014</v>
      </c>
      <c r="BC1653">
        <v>35</v>
      </c>
      <c r="BD1653">
        <v>10</v>
      </c>
      <c r="BE1653" t="s">
        <v>69</v>
      </c>
      <c r="BF1653" t="s">
        <v>69</v>
      </c>
      <c r="BG1653" t="s">
        <v>69</v>
      </c>
      <c r="BH1653" t="s">
        <v>69</v>
      </c>
      <c r="BI1653">
        <v>1052</v>
      </c>
      <c r="BJ1653">
        <v>1057</v>
      </c>
      <c r="BK1653" t="s">
        <v>69</v>
      </c>
      <c r="BL1653" t="s">
        <v>23532</v>
      </c>
      <c r="BM1653" t="str">
        <f>HYPERLINK("http://dx.doi.org/10.1097/MNM.0000000000000161","http://dx.doi.org/10.1097/MNM.0000000000000161")</f>
        <v>http://dx.doi.org/10.1097/MNM.0000000000000161</v>
      </c>
      <c r="BN1653" t="s">
        <v>69</v>
      </c>
      <c r="BO1653" t="s">
        <v>69</v>
      </c>
      <c r="BP1653">
        <v>6</v>
      </c>
      <c r="BQ1653" t="s">
        <v>14443</v>
      </c>
      <c r="BR1653" t="s">
        <v>8523</v>
      </c>
      <c r="BS1653" t="s">
        <v>14443</v>
      </c>
      <c r="BT1653" t="s">
        <v>23533</v>
      </c>
      <c r="BU1653" t="s">
        <v>23534</v>
      </c>
      <c r="BV1653">
        <v>25024000</v>
      </c>
      <c r="BW1653" t="s">
        <v>69</v>
      </c>
      <c r="BX1653" t="s">
        <v>69</v>
      </c>
      <c r="BY1653" t="s">
        <v>69</v>
      </c>
      <c r="BZ1653" t="s">
        <v>8526</v>
      </c>
      <c r="CA1653" t="str">
        <f>HYPERLINK("https%3A%2F%2Fwww.webofscience.com%2Fwos%2Fwoscc%2Ffull-record%2FWOS:000342693600010","View Full Record in Web of Science")</f>
        <v>View Full Record in Web of Science</v>
      </c>
    </row>
    <row r="1654" spans="1:79" ht="12.5" x14ac:dyDescent="0.25">
      <c r="B1654" t="s">
        <v>8495</v>
      </c>
      <c r="D1654" s="7" t="s">
        <v>32933</v>
      </c>
      <c r="E1654" s="7"/>
      <c r="F1654" s="7"/>
      <c r="G1654" s="7"/>
      <c r="H1654" t="s">
        <v>67</v>
      </c>
      <c r="I1654" t="s">
        <v>2551</v>
      </c>
      <c r="J1654" t="s">
        <v>69</v>
      </c>
      <c r="K1654" t="s">
        <v>69</v>
      </c>
      <c r="L1654" t="s">
        <v>69</v>
      </c>
      <c r="M1654" t="s">
        <v>2552</v>
      </c>
      <c r="N1654" t="s">
        <v>69</v>
      </c>
      <c r="O1654" t="s">
        <v>69</v>
      </c>
      <c r="P1654" t="s">
        <v>2553</v>
      </c>
      <c r="Q1654" t="s">
        <v>2554</v>
      </c>
      <c r="R1654" t="s">
        <v>69</v>
      </c>
      <c r="S1654" t="s">
        <v>69</v>
      </c>
      <c r="T1654" t="s">
        <v>8505</v>
      </c>
      <c r="U1654" t="s">
        <v>8506</v>
      </c>
      <c r="V1654" t="s">
        <v>69</v>
      </c>
      <c r="W1654" t="s">
        <v>69</v>
      </c>
      <c r="X1654" t="s">
        <v>69</v>
      </c>
      <c r="Y1654" t="s">
        <v>69</v>
      </c>
      <c r="Z1654" t="s">
        <v>69</v>
      </c>
      <c r="AA1654" t="s">
        <v>69</v>
      </c>
      <c r="AB1654" t="s">
        <v>19920</v>
      </c>
      <c r="AC1654" t="s">
        <v>2555</v>
      </c>
      <c r="AD1654" t="s">
        <v>19921</v>
      </c>
      <c r="AE1654" t="s">
        <v>69</v>
      </c>
      <c r="AF1654" t="s">
        <v>19922</v>
      </c>
      <c r="AG1654" t="s">
        <v>19923</v>
      </c>
      <c r="AH1654" t="s">
        <v>69</v>
      </c>
      <c r="AI1654" t="s">
        <v>69</v>
      </c>
      <c r="AJ1654" t="s">
        <v>69</v>
      </c>
      <c r="AK1654" t="s">
        <v>69</v>
      </c>
      <c r="AL1654" t="s">
        <v>69</v>
      </c>
      <c r="AM1654" t="s">
        <v>69</v>
      </c>
      <c r="AN1654">
        <v>31</v>
      </c>
      <c r="AO1654">
        <v>3</v>
      </c>
      <c r="AP1654">
        <v>3</v>
      </c>
      <c r="AQ1654">
        <v>0</v>
      </c>
      <c r="AR1654">
        <v>2</v>
      </c>
      <c r="AS1654" t="s">
        <v>8636</v>
      </c>
      <c r="AT1654" t="s">
        <v>8637</v>
      </c>
      <c r="AU1654" t="s">
        <v>8638</v>
      </c>
      <c r="AV1654" t="s">
        <v>2556</v>
      </c>
      <c r="AW1654" t="s">
        <v>2557</v>
      </c>
      <c r="AX1654" t="s">
        <v>69</v>
      </c>
      <c r="AY1654" t="s">
        <v>19924</v>
      </c>
      <c r="AZ1654" t="s">
        <v>19925</v>
      </c>
      <c r="BA1654" t="s">
        <v>381</v>
      </c>
      <c r="BB1654">
        <v>2017</v>
      </c>
      <c r="BC1654">
        <v>65</v>
      </c>
      <c r="BD1654" t="s">
        <v>69</v>
      </c>
      <c r="BE1654" t="s">
        <v>69</v>
      </c>
      <c r="BF1654" t="s">
        <v>69</v>
      </c>
      <c r="BG1654" t="s">
        <v>69</v>
      </c>
      <c r="BH1654" t="s">
        <v>69</v>
      </c>
      <c r="BI1654">
        <v>118</v>
      </c>
      <c r="BJ1654">
        <v>126</v>
      </c>
      <c r="BK1654" t="s">
        <v>69</v>
      </c>
      <c r="BL1654" t="s">
        <v>2558</v>
      </c>
      <c r="BM1654" t="str">
        <f>HYPERLINK("http://dx.doi.org/10.1016/j.jairtraman.2017.09.012","http://dx.doi.org/10.1016/j.jairtraman.2017.09.012")</f>
        <v>http://dx.doi.org/10.1016/j.jairtraman.2017.09.012</v>
      </c>
      <c r="BN1654" t="s">
        <v>69</v>
      </c>
      <c r="BO1654" t="s">
        <v>69</v>
      </c>
      <c r="BP1654">
        <v>9</v>
      </c>
      <c r="BQ1654" t="s">
        <v>16486</v>
      </c>
      <c r="BR1654" t="s">
        <v>8661</v>
      </c>
      <c r="BS1654" t="s">
        <v>16486</v>
      </c>
      <c r="BT1654" t="s">
        <v>19926</v>
      </c>
      <c r="BU1654" t="s">
        <v>2559</v>
      </c>
      <c r="BV1654" t="s">
        <v>69</v>
      </c>
      <c r="BW1654" t="s">
        <v>69</v>
      </c>
      <c r="BX1654" t="s">
        <v>69</v>
      </c>
      <c r="BY1654" t="s">
        <v>69</v>
      </c>
      <c r="BZ1654" t="s">
        <v>8526</v>
      </c>
      <c r="CA1654" t="str">
        <f>HYPERLINK("https%3A%2F%2Fwww.webofscience.com%2Fwos%2Fwoscc%2Ffull-record%2FWOS:000414885600013","View Full Record in Web of Science")</f>
        <v>View Full Record in Web of Science</v>
      </c>
    </row>
    <row r="1655" spans="1:79" ht="12.5" x14ac:dyDescent="0.25">
      <c r="B1655" t="s">
        <v>8495</v>
      </c>
      <c r="D1655" s="7" t="s">
        <v>32933</v>
      </c>
      <c r="E1655" s="7"/>
      <c r="F1655" s="7"/>
      <c r="G1655" s="7"/>
      <c r="H1655" t="s">
        <v>67</v>
      </c>
      <c r="I1655" t="s">
        <v>7919</v>
      </c>
      <c r="J1655" t="s">
        <v>69</v>
      </c>
      <c r="K1655" t="s">
        <v>69</v>
      </c>
      <c r="L1655" t="s">
        <v>69</v>
      </c>
      <c r="M1655" t="s">
        <v>7920</v>
      </c>
      <c r="N1655" t="s">
        <v>69</v>
      </c>
      <c r="O1655" t="s">
        <v>69</v>
      </c>
      <c r="P1655" s="4" t="s">
        <v>7921</v>
      </c>
      <c r="Q1655" t="s">
        <v>7922</v>
      </c>
      <c r="R1655" t="s">
        <v>69</v>
      </c>
      <c r="S1655" t="s">
        <v>69</v>
      </c>
      <c r="T1655" t="s">
        <v>8505</v>
      </c>
      <c r="U1655" t="s">
        <v>8506</v>
      </c>
      <c r="V1655" t="s">
        <v>69</v>
      </c>
      <c r="W1655" t="s">
        <v>69</v>
      </c>
      <c r="X1655" t="s">
        <v>69</v>
      </c>
      <c r="Y1655" t="s">
        <v>69</v>
      </c>
      <c r="Z1655" t="s">
        <v>69</v>
      </c>
      <c r="AA1655" t="s">
        <v>26288</v>
      </c>
      <c r="AB1655" t="s">
        <v>26289</v>
      </c>
      <c r="AC1655" t="s">
        <v>7923</v>
      </c>
      <c r="AD1655" t="s">
        <v>26290</v>
      </c>
      <c r="AE1655" t="s">
        <v>69</v>
      </c>
      <c r="AF1655" t="s">
        <v>26291</v>
      </c>
      <c r="AG1655" t="s">
        <v>26292</v>
      </c>
      <c r="AH1655" t="s">
        <v>69</v>
      </c>
      <c r="AI1655" t="s">
        <v>69</v>
      </c>
      <c r="AJ1655" t="s">
        <v>69</v>
      </c>
      <c r="AK1655" t="s">
        <v>69</v>
      </c>
      <c r="AL1655" t="s">
        <v>69</v>
      </c>
      <c r="AM1655" t="s">
        <v>69</v>
      </c>
      <c r="AN1655">
        <v>47</v>
      </c>
      <c r="AO1655">
        <v>7</v>
      </c>
      <c r="AP1655">
        <v>8</v>
      </c>
      <c r="AQ1655">
        <v>6</v>
      </c>
      <c r="AR1655">
        <v>37</v>
      </c>
      <c r="AS1655" t="s">
        <v>26293</v>
      </c>
      <c r="AT1655" t="s">
        <v>14458</v>
      </c>
      <c r="AU1655" t="s">
        <v>26294</v>
      </c>
      <c r="AV1655" t="s">
        <v>7924</v>
      </c>
      <c r="AW1655" t="s">
        <v>69</v>
      </c>
      <c r="AX1655" t="s">
        <v>69</v>
      </c>
      <c r="AY1655" t="s">
        <v>26295</v>
      </c>
      <c r="AZ1655" t="s">
        <v>26296</v>
      </c>
      <c r="BA1655" t="s">
        <v>69</v>
      </c>
      <c r="BB1655">
        <v>2012</v>
      </c>
      <c r="BC1655">
        <v>29</v>
      </c>
      <c r="BD1655">
        <v>1</v>
      </c>
      <c r="BE1655" t="s">
        <v>69</v>
      </c>
      <c r="BF1655" t="s">
        <v>69</v>
      </c>
      <c r="BG1655" t="s">
        <v>69</v>
      </c>
      <c r="BH1655" t="s">
        <v>69</v>
      </c>
      <c r="BI1655">
        <v>301</v>
      </c>
      <c r="BJ1655">
        <v>320</v>
      </c>
      <c r="BK1655" t="s">
        <v>69</v>
      </c>
      <c r="BL1655" t="s">
        <v>7925</v>
      </c>
      <c r="BM1655" t="str">
        <f>HYPERLINK("http://dx.doi.org/10.4305/METU.JFA.2012.1.17","http://dx.doi.org/10.4305/METU.JFA.2012.1.17")</f>
        <v>http://dx.doi.org/10.4305/METU.JFA.2012.1.17</v>
      </c>
      <c r="BN1655" t="s">
        <v>69</v>
      </c>
      <c r="BO1655" t="s">
        <v>69</v>
      </c>
      <c r="BP1655">
        <v>20</v>
      </c>
      <c r="BQ1655" t="s">
        <v>8449</v>
      </c>
      <c r="BR1655" t="s">
        <v>11207</v>
      </c>
      <c r="BS1655" t="s">
        <v>8449</v>
      </c>
      <c r="BT1655" t="s">
        <v>26297</v>
      </c>
      <c r="BU1655" t="s">
        <v>7926</v>
      </c>
      <c r="BV1655" t="s">
        <v>69</v>
      </c>
      <c r="BW1655" t="s">
        <v>19019</v>
      </c>
      <c r="BX1655" t="s">
        <v>69</v>
      </c>
      <c r="BY1655" t="s">
        <v>69</v>
      </c>
      <c r="BZ1655" t="s">
        <v>8526</v>
      </c>
      <c r="CA1655" t="str">
        <f>HYPERLINK("https%3A%2F%2Fwww.webofscience.com%2Fwos%2Fwoscc%2Ffull-record%2FWOS:000306454200019","View Full Record in Web of Science")</f>
        <v>View Full Record in Web of Science</v>
      </c>
    </row>
    <row r="1656" spans="1:79" ht="12.5" x14ac:dyDescent="0.25">
      <c r="B1656" t="s">
        <v>8495</v>
      </c>
      <c r="D1656" s="22" t="s">
        <v>32931</v>
      </c>
      <c r="E1656" s="7"/>
      <c r="F1656" s="7"/>
      <c r="G1656" s="7"/>
      <c r="H1656" t="s">
        <v>67</v>
      </c>
      <c r="I1656" t="s">
        <v>97</v>
      </c>
      <c r="J1656" t="s">
        <v>69</v>
      </c>
      <c r="K1656" t="s">
        <v>69</v>
      </c>
      <c r="L1656" t="s">
        <v>69</v>
      </c>
      <c r="M1656" t="s">
        <v>29968</v>
      </c>
      <c r="N1656" t="s">
        <v>69</v>
      </c>
      <c r="O1656" t="s">
        <v>69</v>
      </c>
      <c r="P1656" t="s">
        <v>29969</v>
      </c>
      <c r="Q1656" t="s">
        <v>29970</v>
      </c>
      <c r="R1656" t="s">
        <v>69</v>
      </c>
      <c r="S1656" t="s">
        <v>69</v>
      </c>
      <c r="T1656" t="s">
        <v>8505</v>
      </c>
      <c r="U1656" t="s">
        <v>15797</v>
      </c>
      <c r="V1656" t="s">
        <v>29971</v>
      </c>
      <c r="W1656" t="s">
        <v>29972</v>
      </c>
      <c r="X1656" t="s">
        <v>29973</v>
      </c>
      <c r="Y1656" t="s">
        <v>29974</v>
      </c>
      <c r="Z1656" t="s">
        <v>69</v>
      </c>
      <c r="AA1656" t="s">
        <v>69</v>
      </c>
      <c r="AB1656" t="s">
        <v>29975</v>
      </c>
      <c r="AC1656" t="s">
        <v>29976</v>
      </c>
      <c r="AD1656" t="s">
        <v>29977</v>
      </c>
      <c r="AE1656" t="s">
        <v>69</v>
      </c>
      <c r="AF1656" t="s">
        <v>29978</v>
      </c>
      <c r="AG1656" t="s">
        <v>29979</v>
      </c>
      <c r="AH1656" t="s">
        <v>29980</v>
      </c>
      <c r="AI1656" t="s">
        <v>29981</v>
      </c>
      <c r="AJ1656" t="s">
        <v>69</v>
      </c>
      <c r="AK1656" t="s">
        <v>69</v>
      </c>
      <c r="AL1656" t="s">
        <v>69</v>
      </c>
      <c r="AM1656" t="s">
        <v>69</v>
      </c>
      <c r="AN1656">
        <v>22</v>
      </c>
      <c r="AO1656">
        <v>9</v>
      </c>
      <c r="AP1656">
        <v>9</v>
      </c>
      <c r="AQ1656">
        <v>0</v>
      </c>
      <c r="AR1656">
        <v>12</v>
      </c>
      <c r="AS1656" t="s">
        <v>29982</v>
      </c>
      <c r="AT1656" t="s">
        <v>9979</v>
      </c>
      <c r="AU1656" t="s">
        <v>29983</v>
      </c>
      <c r="AV1656" t="s">
        <v>29984</v>
      </c>
      <c r="AW1656" t="s">
        <v>29985</v>
      </c>
      <c r="AX1656" t="s">
        <v>69</v>
      </c>
      <c r="AY1656" t="s">
        <v>29986</v>
      </c>
      <c r="AZ1656" t="s">
        <v>29987</v>
      </c>
      <c r="BA1656" t="s">
        <v>69</v>
      </c>
      <c r="BB1656">
        <v>2007</v>
      </c>
      <c r="BC1656">
        <v>9</v>
      </c>
      <c r="BD1656">
        <v>9</v>
      </c>
      <c r="BE1656" t="s">
        <v>69</v>
      </c>
      <c r="BF1656" t="s">
        <v>69</v>
      </c>
      <c r="BG1656" t="s">
        <v>69</v>
      </c>
      <c r="BH1656" t="s">
        <v>69</v>
      </c>
      <c r="BI1656">
        <v>931</v>
      </c>
      <c r="BJ1656">
        <v>942</v>
      </c>
      <c r="BK1656" t="s">
        <v>69</v>
      </c>
      <c r="BL1656" t="s">
        <v>29988</v>
      </c>
      <c r="BM1656" t="str">
        <f>HYPERLINK("http://dx.doi.org/10.1039/b7066117c","http://dx.doi.org/10.1039/b7066117c")</f>
        <v>http://dx.doi.org/10.1039/b7066117c</v>
      </c>
      <c r="BN1656" t="s">
        <v>69</v>
      </c>
      <c r="BO1656" t="s">
        <v>69</v>
      </c>
      <c r="BP1656">
        <v>12</v>
      </c>
      <c r="BQ1656" t="s">
        <v>29989</v>
      </c>
      <c r="BR1656" t="s">
        <v>15808</v>
      </c>
      <c r="BS1656" t="s">
        <v>29990</v>
      </c>
      <c r="BT1656" t="s">
        <v>29991</v>
      </c>
      <c r="BU1656" t="s">
        <v>29992</v>
      </c>
      <c r="BV1656">
        <v>17726553</v>
      </c>
      <c r="BW1656" t="s">
        <v>69</v>
      </c>
      <c r="BX1656" t="s">
        <v>69</v>
      </c>
      <c r="BY1656" t="s">
        <v>69</v>
      </c>
      <c r="BZ1656" t="s">
        <v>8526</v>
      </c>
      <c r="CA1656" t="str">
        <f>HYPERLINK("https%3A%2F%2Fwww.webofscience.com%2Fwos%2Fwoscc%2Ffull-record%2FWOS:000249111000004","View Full Record in Web of Science")</f>
        <v>View Full Record in Web of Science</v>
      </c>
    </row>
    <row r="1657" spans="1:79" ht="12.5" x14ac:dyDescent="0.25">
      <c r="B1657" t="s">
        <v>8495</v>
      </c>
      <c r="D1657" s="22" t="s">
        <v>32931</v>
      </c>
      <c r="E1657" s="7"/>
      <c r="F1657" s="7"/>
      <c r="G1657" s="7"/>
      <c r="H1657" t="s">
        <v>67</v>
      </c>
      <c r="I1657" t="s">
        <v>28658</v>
      </c>
      <c r="J1657" t="s">
        <v>69</v>
      </c>
      <c r="K1657" t="s">
        <v>69</v>
      </c>
      <c r="L1657" t="s">
        <v>69</v>
      </c>
      <c r="M1657" t="s">
        <v>28659</v>
      </c>
      <c r="N1657" t="s">
        <v>69</v>
      </c>
      <c r="O1657" t="s">
        <v>69</v>
      </c>
      <c r="P1657" t="s">
        <v>28660</v>
      </c>
      <c r="Q1657" t="s">
        <v>28661</v>
      </c>
      <c r="R1657" t="s">
        <v>69</v>
      </c>
      <c r="S1657" t="s">
        <v>69</v>
      </c>
      <c r="T1657" t="s">
        <v>8505</v>
      </c>
      <c r="U1657" t="s">
        <v>8506</v>
      </c>
      <c r="V1657" t="s">
        <v>69</v>
      </c>
      <c r="W1657" t="s">
        <v>69</v>
      </c>
      <c r="X1657" t="s">
        <v>69</v>
      </c>
      <c r="Y1657" t="s">
        <v>69</v>
      </c>
      <c r="Z1657" t="s">
        <v>69</v>
      </c>
      <c r="AA1657" t="s">
        <v>28662</v>
      </c>
      <c r="AB1657" t="s">
        <v>69</v>
      </c>
      <c r="AC1657" t="s">
        <v>28663</v>
      </c>
      <c r="AD1657" t="s">
        <v>28664</v>
      </c>
      <c r="AE1657" t="s">
        <v>69</v>
      </c>
      <c r="AF1657" t="s">
        <v>28665</v>
      </c>
      <c r="AG1657" t="s">
        <v>28666</v>
      </c>
      <c r="AH1657" t="s">
        <v>28667</v>
      </c>
      <c r="AI1657" t="s">
        <v>69</v>
      </c>
      <c r="AJ1657" t="s">
        <v>69</v>
      </c>
      <c r="AK1657" t="s">
        <v>69</v>
      </c>
      <c r="AL1657" t="s">
        <v>69</v>
      </c>
      <c r="AM1657" t="s">
        <v>69</v>
      </c>
      <c r="AN1657">
        <v>13</v>
      </c>
      <c r="AO1657">
        <v>44</v>
      </c>
      <c r="AP1657">
        <v>49</v>
      </c>
      <c r="AQ1657">
        <v>0</v>
      </c>
      <c r="AR1657">
        <v>12</v>
      </c>
      <c r="AS1657" t="s">
        <v>28668</v>
      </c>
      <c r="AT1657" t="s">
        <v>8763</v>
      </c>
      <c r="AU1657" t="s">
        <v>28669</v>
      </c>
      <c r="AV1657" t="s">
        <v>28670</v>
      </c>
      <c r="AW1657" t="s">
        <v>28671</v>
      </c>
      <c r="AX1657" t="s">
        <v>69</v>
      </c>
      <c r="AY1657" t="s">
        <v>28672</v>
      </c>
      <c r="AZ1657" t="s">
        <v>28673</v>
      </c>
      <c r="BA1657" t="s">
        <v>373</v>
      </c>
      <c r="BB1657">
        <v>2009</v>
      </c>
      <c r="BC1657">
        <v>91</v>
      </c>
      <c r="BD1657">
        <v>1</v>
      </c>
      <c r="BE1657" t="s">
        <v>69</v>
      </c>
      <c r="BF1657" t="s">
        <v>69</v>
      </c>
      <c r="BG1657" t="s">
        <v>69</v>
      </c>
      <c r="BH1657" t="s">
        <v>69</v>
      </c>
      <c r="BI1657">
        <v>12</v>
      </c>
      <c r="BJ1657">
        <v>17</v>
      </c>
      <c r="BK1657" t="s">
        <v>69</v>
      </c>
      <c r="BL1657" t="s">
        <v>28674</v>
      </c>
      <c r="BM1657" t="str">
        <f>HYPERLINK("http://dx.doi.org/10.1308/003588409X359213","http://dx.doi.org/10.1308/003588409X359213")</f>
        <v>http://dx.doi.org/10.1308/003588409X359213</v>
      </c>
      <c r="BN1657" t="s">
        <v>69</v>
      </c>
      <c r="BO1657" t="s">
        <v>69</v>
      </c>
      <c r="BP1657">
        <v>6</v>
      </c>
      <c r="BQ1657" t="s">
        <v>11956</v>
      </c>
      <c r="BR1657" t="s">
        <v>8548</v>
      </c>
      <c r="BS1657" t="s">
        <v>11956</v>
      </c>
      <c r="BT1657" t="s">
        <v>28675</v>
      </c>
      <c r="BU1657" t="s">
        <v>28676</v>
      </c>
      <c r="BV1657">
        <v>18990263</v>
      </c>
      <c r="BW1657" t="s">
        <v>10423</v>
      </c>
      <c r="BX1657" t="s">
        <v>69</v>
      </c>
      <c r="BY1657" t="s">
        <v>69</v>
      </c>
      <c r="BZ1657" t="s">
        <v>8526</v>
      </c>
      <c r="CA1657" t="str">
        <f>HYPERLINK("https%3A%2F%2Fwww.webofscience.com%2Fwos%2Fwoscc%2Ffull-record%2FWOS:000262914000005","View Full Record in Web of Science")</f>
        <v>View Full Record in Web of Science</v>
      </c>
    </row>
    <row r="1658" spans="1:79" ht="12.5" x14ac:dyDescent="0.25">
      <c r="B1658" t="s">
        <v>8495</v>
      </c>
      <c r="D1658" s="7" t="s">
        <v>32933</v>
      </c>
      <c r="E1658" s="7"/>
      <c r="F1658" s="7"/>
      <c r="G1658" s="7"/>
      <c r="H1658" t="s">
        <v>67</v>
      </c>
      <c r="I1658" t="s">
        <v>3692</v>
      </c>
      <c r="J1658" t="s">
        <v>69</v>
      </c>
      <c r="K1658" t="s">
        <v>69</v>
      </c>
      <c r="L1658" t="s">
        <v>69</v>
      </c>
      <c r="M1658" t="s">
        <v>3693</v>
      </c>
      <c r="N1658" t="s">
        <v>69</v>
      </c>
      <c r="O1658" t="s">
        <v>69</v>
      </c>
      <c r="P1658" t="s">
        <v>3694</v>
      </c>
      <c r="Q1658" t="s">
        <v>3601</v>
      </c>
      <c r="R1658" t="s">
        <v>69</v>
      </c>
      <c r="S1658" t="s">
        <v>69</v>
      </c>
      <c r="T1658" t="s">
        <v>8505</v>
      </c>
      <c r="U1658" t="s">
        <v>15797</v>
      </c>
      <c r="V1658" t="s">
        <v>3695</v>
      </c>
      <c r="W1658" t="s">
        <v>3696</v>
      </c>
      <c r="X1658" t="s">
        <v>3697</v>
      </c>
      <c r="Y1658" t="s">
        <v>29544</v>
      </c>
      <c r="Z1658" t="s">
        <v>69</v>
      </c>
      <c r="AA1658" t="s">
        <v>29545</v>
      </c>
      <c r="AB1658" t="s">
        <v>29546</v>
      </c>
      <c r="AC1658" t="s">
        <v>3698</v>
      </c>
      <c r="AD1658" t="s">
        <v>29547</v>
      </c>
      <c r="AE1658" t="s">
        <v>69</v>
      </c>
      <c r="AF1658" t="s">
        <v>29548</v>
      </c>
      <c r="AG1658" t="s">
        <v>29549</v>
      </c>
      <c r="AH1658" t="s">
        <v>69</v>
      </c>
      <c r="AI1658" t="s">
        <v>3699</v>
      </c>
      <c r="AJ1658" t="s">
        <v>69</v>
      </c>
      <c r="AK1658" t="s">
        <v>69</v>
      </c>
      <c r="AL1658" t="s">
        <v>69</v>
      </c>
      <c r="AM1658" t="s">
        <v>69</v>
      </c>
      <c r="AN1658">
        <v>16</v>
      </c>
      <c r="AO1658">
        <v>36</v>
      </c>
      <c r="AP1658">
        <v>36</v>
      </c>
      <c r="AQ1658">
        <v>2</v>
      </c>
      <c r="AR1658">
        <v>30</v>
      </c>
      <c r="AS1658" t="s">
        <v>28353</v>
      </c>
      <c r="AT1658" t="s">
        <v>28354</v>
      </c>
      <c r="AU1658" t="s">
        <v>28355</v>
      </c>
      <c r="AV1658" t="s">
        <v>3603</v>
      </c>
      <c r="AW1658" t="s">
        <v>69</v>
      </c>
      <c r="AX1658" t="s">
        <v>69</v>
      </c>
      <c r="AY1658" t="s">
        <v>28356</v>
      </c>
      <c r="AZ1658" t="s">
        <v>28357</v>
      </c>
      <c r="BA1658" t="s">
        <v>274</v>
      </c>
      <c r="BB1658">
        <v>2007</v>
      </c>
      <c r="BC1658">
        <v>63</v>
      </c>
      <c r="BD1658">
        <v>11</v>
      </c>
      <c r="BE1658" t="s">
        <v>69</v>
      </c>
      <c r="BF1658" t="s">
        <v>69</v>
      </c>
      <c r="BG1658" t="s">
        <v>69</v>
      </c>
      <c r="BH1658" t="s">
        <v>69</v>
      </c>
      <c r="BI1658">
        <v>1062</v>
      </c>
      <c r="BJ1658">
        <v>1068</v>
      </c>
      <c r="BK1658" t="s">
        <v>69</v>
      </c>
      <c r="BL1658" t="s">
        <v>3700</v>
      </c>
      <c r="BM1658" t="str">
        <f>HYPERLINK("http://dx.doi.org/10.1002/ps.1461","http://dx.doi.org/10.1002/ps.1461")</f>
        <v>http://dx.doi.org/10.1002/ps.1461</v>
      </c>
      <c r="BN1658" t="s">
        <v>69</v>
      </c>
      <c r="BO1658" t="s">
        <v>69</v>
      </c>
      <c r="BP1658">
        <v>7</v>
      </c>
      <c r="BQ1658" t="s">
        <v>28358</v>
      </c>
      <c r="BR1658" t="s">
        <v>29550</v>
      </c>
      <c r="BS1658" t="s">
        <v>28359</v>
      </c>
      <c r="BT1658" t="s">
        <v>29551</v>
      </c>
      <c r="BU1658" t="s">
        <v>3701</v>
      </c>
      <c r="BV1658">
        <v>17879983</v>
      </c>
      <c r="BW1658" t="s">
        <v>69</v>
      </c>
      <c r="BX1658" t="s">
        <v>69</v>
      </c>
      <c r="BY1658" t="s">
        <v>69</v>
      </c>
      <c r="BZ1658" t="s">
        <v>8526</v>
      </c>
      <c r="CA1658" t="str">
        <f>HYPERLINK("https%3A%2F%2Fwww.webofscience.com%2Fwos%2Fwoscc%2Ffull-record%2FWOS:000250436000004","View Full Record in Web of Science")</f>
        <v>View Full Record in Web of Science</v>
      </c>
    </row>
    <row r="1659" spans="1:79" ht="12.5" x14ac:dyDescent="0.25">
      <c r="B1659" t="s">
        <v>8495</v>
      </c>
      <c r="D1659" s="22" t="s">
        <v>32931</v>
      </c>
      <c r="E1659" s="7"/>
      <c r="F1659" s="7"/>
      <c r="G1659" s="7"/>
      <c r="H1659" t="s">
        <v>67</v>
      </c>
      <c r="I1659" t="s">
        <v>11227</v>
      </c>
      <c r="J1659" t="s">
        <v>69</v>
      </c>
      <c r="K1659" t="s">
        <v>69</v>
      </c>
      <c r="L1659" t="s">
        <v>69</v>
      </c>
      <c r="M1659" t="s">
        <v>11228</v>
      </c>
      <c r="N1659" t="s">
        <v>69</v>
      </c>
      <c r="O1659" t="s">
        <v>69</v>
      </c>
      <c r="P1659" t="s">
        <v>11229</v>
      </c>
      <c r="Q1659" t="s">
        <v>2009</v>
      </c>
      <c r="R1659" t="s">
        <v>69</v>
      </c>
      <c r="S1659" t="s">
        <v>69</v>
      </c>
      <c r="T1659" t="s">
        <v>8505</v>
      </c>
      <c r="U1659" t="s">
        <v>8506</v>
      </c>
      <c r="V1659" t="s">
        <v>69</v>
      </c>
      <c r="W1659" t="s">
        <v>69</v>
      </c>
      <c r="X1659" t="s">
        <v>69</v>
      </c>
      <c r="Y1659" t="s">
        <v>69</v>
      </c>
      <c r="Z1659" t="s">
        <v>69</v>
      </c>
      <c r="AA1659" t="s">
        <v>11230</v>
      </c>
      <c r="AB1659" t="s">
        <v>11231</v>
      </c>
      <c r="AC1659" t="s">
        <v>11232</v>
      </c>
      <c r="AD1659" t="s">
        <v>11233</v>
      </c>
      <c r="AE1659" t="s">
        <v>69</v>
      </c>
      <c r="AF1659" t="s">
        <v>11234</v>
      </c>
      <c r="AG1659" t="s">
        <v>11235</v>
      </c>
      <c r="AH1659" t="s">
        <v>69</v>
      </c>
      <c r="AI1659" t="s">
        <v>11236</v>
      </c>
      <c r="AJ1659" t="s">
        <v>11237</v>
      </c>
      <c r="AK1659" t="s">
        <v>11238</v>
      </c>
      <c r="AL1659" t="s">
        <v>11239</v>
      </c>
      <c r="AM1659" t="s">
        <v>69</v>
      </c>
      <c r="AN1659">
        <v>52</v>
      </c>
      <c r="AO1659">
        <v>2</v>
      </c>
      <c r="AP1659">
        <v>2</v>
      </c>
      <c r="AQ1659">
        <v>53</v>
      </c>
      <c r="AR1659">
        <v>85</v>
      </c>
      <c r="AS1659" t="s">
        <v>8924</v>
      </c>
      <c r="AT1659" t="s">
        <v>8925</v>
      </c>
      <c r="AU1659" t="s">
        <v>8926</v>
      </c>
      <c r="AV1659" t="s">
        <v>69</v>
      </c>
      <c r="AW1659" t="s">
        <v>2011</v>
      </c>
      <c r="AX1659" t="s">
        <v>69</v>
      </c>
      <c r="AY1659" t="s">
        <v>11240</v>
      </c>
      <c r="AZ1659" t="s">
        <v>11240</v>
      </c>
      <c r="BA1659" t="s">
        <v>381</v>
      </c>
      <c r="BB1659">
        <v>2021</v>
      </c>
      <c r="BC1659">
        <v>11</v>
      </c>
      <c r="BD1659">
        <v>10</v>
      </c>
      <c r="BE1659" t="s">
        <v>69</v>
      </c>
      <c r="BF1659" t="s">
        <v>69</v>
      </c>
      <c r="BG1659" t="s">
        <v>69</v>
      </c>
      <c r="BH1659" t="s">
        <v>69</v>
      </c>
      <c r="BI1659" t="s">
        <v>69</v>
      </c>
      <c r="BJ1659" t="s">
        <v>69</v>
      </c>
      <c r="BK1659">
        <v>444</v>
      </c>
      <c r="BL1659" t="s">
        <v>11241</v>
      </c>
      <c r="BM1659" t="str">
        <f>HYPERLINK("http://dx.doi.org/10.3390/buildings11100444","http://dx.doi.org/10.3390/buildings11100444")</f>
        <v>http://dx.doi.org/10.3390/buildings11100444</v>
      </c>
      <c r="BN1659" t="s">
        <v>69</v>
      </c>
      <c r="BO1659" t="s">
        <v>69</v>
      </c>
      <c r="BP1659">
        <v>21</v>
      </c>
      <c r="BQ1659" t="s">
        <v>11242</v>
      </c>
      <c r="BR1659" t="s">
        <v>8548</v>
      </c>
      <c r="BS1659" t="s">
        <v>8549</v>
      </c>
      <c r="BT1659" t="s">
        <v>11243</v>
      </c>
      <c r="BU1659" t="s">
        <v>11244</v>
      </c>
      <c r="BV1659" t="s">
        <v>69</v>
      </c>
      <c r="BW1659" t="s">
        <v>9352</v>
      </c>
      <c r="BX1659" t="s">
        <v>69</v>
      </c>
      <c r="BY1659" t="s">
        <v>69</v>
      </c>
      <c r="BZ1659" t="s">
        <v>8526</v>
      </c>
      <c r="CA1659" t="str">
        <f>HYPERLINK("https%3A%2F%2Fwww.webofscience.com%2Fwos%2Fwoscc%2Ffull-record%2FWOS:000713097400001","View Full Record in Web of Science")</f>
        <v>View Full Record in Web of Science</v>
      </c>
    </row>
    <row r="1660" spans="1:79" x14ac:dyDescent="0.3">
      <c r="A1660" t="s">
        <v>8408</v>
      </c>
      <c r="B1660" t="s">
        <v>8495</v>
      </c>
      <c r="D1660" s="10" t="s">
        <v>33181</v>
      </c>
      <c r="F1660" s="10" t="s">
        <v>8490</v>
      </c>
      <c r="H1660" t="s">
        <v>67</v>
      </c>
      <c r="I1660" t="s">
        <v>2735</v>
      </c>
      <c r="J1660" t="s">
        <v>69</v>
      </c>
      <c r="K1660" t="s">
        <v>69</v>
      </c>
      <c r="L1660" t="s">
        <v>69</v>
      </c>
      <c r="M1660" s="2" t="s">
        <v>2736</v>
      </c>
      <c r="N1660" t="s">
        <v>69</v>
      </c>
      <c r="O1660" t="s">
        <v>69</v>
      </c>
      <c r="P1660" s="2" t="s">
        <v>2737</v>
      </c>
      <c r="Q1660" t="s">
        <v>582</v>
      </c>
      <c r="R1660" t="s">
        <v>69</v>
      </c>
      <c r="S1660" t="s">
        <v>69</v>
      </c>
      <c r="T1660" t="s">
        <v>8505</v>
      </c>
      <c r="U1660" t="s">
        <v>8506</v>
      </c>
      <c r="V1660" t="s">
        <v>69</v>
      </c>
      <c r="W1660" t="s">
        <v>69</v>
      </c>
      <c r="X1660" t="s">
        <v>69</v>
      </c>
      <c r="Y1660" t="s">
        <v>69</v>
      </c>
      <c r="Z1660" t="s">
        <v>69</v>
      </c>
      <c r="AA1660" t="s">
        <v>21032</v>
      </c>
      <c r="AB1660" t="s">
        <v>21033</v>
      </c>
      <c r="AC1660" t="s">
        <v>2738</v>
      </c>
      <c r="AD1660" t="s">
        <v>21034</v>
      </c>
      <c r="AE1660" t="s">
        <v>69</v>
      </c>
      <c r="AF1660" t="s">
        <v>21035</v>
      </c>
      <c r="AG1660" t="s">
        <v>21036</v>
      </c>
      <c r="AH1660" t="s">
        <v>18146</v>
      </c>
      <c r="AI1660" t="s">
        <v>18147</v>
      </c>
      <c r="AJ1660" t="s">
        <v>69</v>
      </c>
      <c r="AK1660" t="s">
        <v>69</v>
      </c>
      <c r="AL1660" t="s">
        <v>69</v>
      </c>
      <c r="AM1660" t="s">
        <v>69</v>
      </c>
      <c r="AN1660">
        <v>82</v>
      </c>
      <c r="AO1660">
        <v>35</v>
      </c>
      <c r="AP1660">
        <v>38</v>
      </c>
      <c r="AQ1660">
        <v>0</v>
      </c>
      <c r="AR1660">
        <v>45</v>
      </c>
      <c r="AS1660" t="s">
        <v>8692</v>
      </c>
      <c r="AT1660" t="s">
        <v>8693</v>
      </c>
      <c r="AU1660" t="s">
        <v>8694</v>
      </c>
      <c r="AV1660" t="s">
        <v>584</v>
      </c>
      <c r="AW1660" t="s">
        <v>585</v>
      </c>
      <c r="AX1660" t="s">
        <v>69</v>
      </c>
      <c r="AY1660" t="s">
        <v>8695</v>
      </c>
      <c r="AZ1660" t="s">
        <v>8696</v>
      </c>
      <c r="BA1660" t="s">
        <v>373</v>
      </c>
      <c r="BB1660">
        <v>2017</v>
      </c>
      <c r="BC1660">
        <v>62</v>
      </c>
      <c r="BD1660" t="s">
        <v>69</v>
      </c>
      <c r="BE1660" t="s">
        <v>69</v>
      </c>
      <c r="BF1660" t="s">
        <v>69</v>
      </c>
      <c r="BG1660" t="s">
        <v>69</v>
      </c>
      <c r="BH1660" t="s">
        <v>69</v>
      </c>
      <c r="BI1660">
        <v>195</v>
      </c>
      <c r="BJ1660">
        <v>204</v>
      </c>
      <c r="BK1660" t="s">
        <v>69</v>
      </c>
      <c r="BL1660" t="s">
        <v>2739</v>
      </c>
      <c r="BM1660" t="str">
        <f>HYPERLINK("http://dx.doi.org/10.1016/j.eiar.2016.06.001","http://dx.doi.org/10.1016/j.eiar.2016.06.001")</f>
        <v>http://dx.doi.org/10.1016/j.eiar.2016.06.001</v>
      </c>
      <c r="BN1660" t="s">
        <v>69</v>
      </c>
      <c r="BO1660" t="s">
        <v>69</v>
      </c>
      <c r="BP1660">
        <v>10</v>
      </c>
      <c r="BQ1660" t="s">
        <v>8660</v>
      </c>
      <c r="BR1660" t="s">
        <v>8661</v>
      </c>
      <c r="BS1660" t="s">
        <v>8662</v>
      </c>
      <c r="BT1660" t="s">
        <v>21031</v>
      </c>
      <c r="BU1660" t="s">
        <v>2740</v>
      </c>
      <c r="BV1660" t="s">
        <v>69</v>
      </c>
      <c r="BW1660" t="s">
        <v>69</v>
      </c>
      <c r="BX1660" t="s">
        <v>69</v>
      </c>
      <c r="BY1660" t="s">
        <v>69</v>
      </c>
      <c r="BZ1660" t="s">
        <v>8526</v>
      </c>
      <c r="CA1660" t="str">
        <f>HYPERLINK("https%3A%2F%2Fwww.webofscience.com%2Fwos%2Fwoscc%2Ffull-record%2FWOS:000390628900019","View Full Record in Web of Science")</f>
        <v>View Full Record in Web of Science</v>
      </c>
    </row>
    <row r="1661" spans="1:79" ht="12.5" x14ac:dyDescent="0.25">
      <c r="B1661" t="s">
        <v>8495</v>
      </c>
      <c r="D1661" s="7" t="s">
        <v>32933</v>
      </c>
      <c r="E1661" s="7"/>
      <c r="F1661" s="7"/>
      <c r="G1661" s="7"/>
      <c r="H1661" t="s">
        <v>67</v>
      </c>
      <c r="I1661" t="s">
        <v>5288</v>
      </c>
      <c r="J1661" t="s">
        <v>69</v>
      </c>
      <c r="K1661" t="s">
        <v>69</v>
      </c>
      <c r="L1661" t="s">
        <v>69</v>
      </c>
      <c r="M1661" t="s">
        <v>5289</v>
      </c>
      <c r="N1661" t="s">
        <v>69</v>
      </c>
      <c r="O1661" t="s">
        <v>69</v>
      </c>
      <c r="P1661" s="3" t="s">
        <v>5290</v>
      </c>
      <c r="Q1661" t="s">
        <v>5291</v>
      </c>
      <c r="R1661" t="s">
        <v>69</v>
      </c>
      <c r="S1661" t="s">
        <v>69</v>
      </c>
      <c r="T1661" t="s">
        <v>8505</v>
      </c>
      <c r="U1661" t="s">
        <v>8506</v>
      </c>
      <c r="V1661" t="s">
        <v>69</v>
      </c>
      <c r="W1661" t="s">
        <v>69</v>
      </c>
      <c r="X1661" t="s">
        <v>69</v>
      </c>
      <c r="Y1661" t="s">
        <v>69</v>
      </c>
      <c r="Z1661" t="s">
        <v>69</v>
      </c>
      <c r="AA1661" t="s">
        <v>22900</v>
      </c>
      <c r="AB1661" t="s">
        <v>22901</v>
      </c>
      <c r="AC1661" t="s">
        <v>5292</v>
      </c>
      <c r="AD1661" t="s">
        <v>22902</v>
      </c>
      <c r="AE1661" t="s">
        <v>69</v>
      </c>
      <c r="AF1661" t="s">
        <v>22903</v>
      </c>
      <c r="AG1661" t="s">
        <v>22904</v>
      </c>
      <c r="AH1661" t="s">
        <v>69</v>
      </c>
      <c r="AI1661" t="s">
        <v>5293</v>
      </c>
      <c r="AJ1661" t="s">
        <v>69</v>
      </c>
      <c r="AK1661" t="s">
        <v>69</v>
      </c>
      <c r="AL1661" t="s">
        <v>69</v>
      </c>
      <c r="AM1661" t="s">
        <v>69</v>
      </c>
      <c r="AN1661">
        <v>126</v>
      </c>
      <c r="AO1661">
        <v>97</v>
      </c>
      <c r="AP1661">
        <v>100</v>
      </c>
      <c r="AQ1661">
        <v>8</v>
      </c>
      <c r="AR1661">
        <v>167</v>
      </c>
      <c r="AS1661" t="s">
        <v>9047</v>
      </c>
      <c r="AT1661" t="s">
        <v>8693</v>
      </c>
      <c r="AU1661" t="s">
        <v>11784</v>
      </c>
      <c r="AV1661" t="s">
        <v>5294</v>
      </c>
      <c r="AW1661" t="s">
        <v>5295</v>
      </c>
      <c r="AX1661" t="s">
        <v>69</v>
      </c>
      <c r="AY1661" t="s">
        <v>22905</v>
      </c>
      <c r="AZ1661" t="s">
        <v>22906</v>
      </c>
      <c r="BA1661" t="s">
        <v>191</v>
      </c>
      <c r="BB1661">
        <v>2015</v>
      </c>
      <c r="BC1661">
        <v>40</v>
      </c>
      <c r="BD1661">
        <v>1</v>
      </c>
      <c r="BE1661" t="s">
        <v>69</v>
      </c>
      <c r="BF1661" t="s">
        <v>69</v>
      </c>
      <c r="BG1661" t="s">
        <v>69</v>
      </c>
      <c r="BH1661" t="s">
        <v>69</v>
      </c>
      <c r="BI1661">
        <v>138</v>
      </c>
      <c r="BJ1661">
        <v>160</v>
      </c>
      <c r="BK1661" t="s">
        <v>69</v>
      </c>
      <c r="BL1661" t="s">
        <v>5296</v>
      </c>
      <c r="BM1661" t="str">
        <f>HYPERLINK("http://dx.doi.org/10.1007/s10961-014-9333-3","http://dx.doi.org/10.1007/s10961-014-9333-3")</f>
        <v>http://dx.doi.org/10.1007/s10961-014-9333-3</v>
      </c>
      <c r="BN1661" t="s">
        <v>69</v>
      </c>
      <c r="BO1661" t="s">
        <v>69</v>
      </c>
      <c r="BP1661">
        <v>23</v>
      </c>
      <c r="BQ1661" t="s">
        <v>16177</v>
      </c>
      <c r="BR1661" t="s">
        <v>8661</v>
      </c>
      <c r="BS1661" t="s">
        <v>9129</v>
      </c>
      <c r="BT1661" t="s">
        <v>22907</v>
      </c>
      <c r="BU1661" t="s">
        <v>5297</v>
      </c>
      <c r="BV1661" t="s">
        <v>69</v>
      </c>
      <c r="BW1661" t="s">
        <v>9292</v>
      </c>
      <c r="BX1661" t="s">
        <v>69</v>
      </c>
      <c r="BY1661" t="s">
        <v>69</v>
      </c>
      <c r="BZ1661" t="s">
        <v>8526</v>
      </c>
      <c r="CA1661" t="str">
        <f>HYPERLINK("https%3A%2F%2Fwww.webofscience.com%2Fwos%2Fwoscc%2Ffull-record%2FWOS:000348192600007","View Full Record in Web of Science")</f>
        <v>View Full Record in Web of Science</v>
      </c>
    </row>
    <row r="1662" spans="1:79" ht="12.5" x14ac:dyDescent="0.25">
      <c r="B1662" t="s">
        <v>8495</v>
      </c>
      <c r="D1662" s="22" t="s">
        <v>32931</v>
      </c>
      <c r="E1662" s="7"/>
      <c r="F1662" s="7"/>
      <c r="G1662" s="7"/>
      <c r="H1662" t="s">
        <v>67</v>
      </c>
      <c r="I1662" t="s">
        <v>18458</v>
      </c>
      <c r="J1662" t="s">
        <v>69</v>
      </c>
      <c r="K1662" t="s">
        <v>69</v>
      </c>
      <c r="L1662" t="s">
        <v>69</v>
      </c>
      <c r="M1662" t="s">
        <v>18459</v>
      </c>
      <c r="N1662" t="s">
        <v>69</v>
      </c>
      <c r="O1662" t="s">
        <v>69</v>
      </c>
      <c r="P1662" t="s">
        <v>18460</v>
      </c>
      <c r="Q1662" t="s">
        <v>18461</v>
      </c>
      <c r="R1662" t="s">
        <v>69</v>
      </c>
      <c r="S1662" t="s">
        <v>69</v>
      </c>
      <c r="T1662" t="s">
        <v>8505</v>
      </c>
      <c r="U1662" t="s">
        <v>8506</v>
      </c>
      <c r="V1662" t="s">
        <v>69</v>
      </c>
      <c r="W1662" t="s">
        <v>69</v>
      </c>
      <c r="X1662" t="s">
        <v>69</v>
      </c>
      <c r="Y1662" t="s">
        <v>69</v>
      </c>
      <c r="Z1662" t="s">
        <v>69</v>
      </c>
      <c r="AA1662" t="s">
        <v>18462</v>
      </c>
      <c r="AB1662" t="s">
        <v>18463</v>
      </c>
      <c r="AC1662" t="s">
        <v>18464</v>
      </c>
      <c r="AD1662" t="s">
        <v>18465</v>
      </c>
      <c r="AE1662" t="s">
        <v>69</v>
      </c>
      <c r="AF1662" t="s">
        <v>18466</v>
      </c>
      <c r="AG1662" t="s">
        <v>18467</v>
      </c>
      <c r="AH1662" t="s">
        <v>18468</v>
      </c>
      <c r="AI1662" t="s">
        <v>18469</v>
      </c>
      <c r="AJ1662" t="s">
        <v>69</v>
      </c>
      <c r="AK1662" t="s">
        <v>69</v>
      </c>
      <c r="AL1662" t="s">
        <v>69</v>
      </c>
      <c r="AM1662" t="s">
        <v>69</v>
      </c>
      <c r="AN1662">
        <v>156</v>
      </c>
      <c r="AO1662">
        <v>5</v>
      </c>
      <c r="AP1662">
        <v>5</v>
      </c>
      <c r="AQ1662">
        <v>0</v>
      </c>
      <c r="AR1662">
        <v>12</v>
      </c>
      <c r="AS1662" t="s">
        <v>18470</v>
      </c>
      <c r="AT1662" t="s">
        <v>8637</v>
      </c>
      <c r="AU1662" t="s">
        <v>18471</v>
      </c>
      <c r="AV1662" t="s">
        <v>18472</v>
      </c>
      <c r="AW1662" t="s">
        <v>69</v>
      </c>
      <c r="AX1662" t="s">
        <v>69</v>
      </c>
      <c r="AY1662" t="s">
        <v>18473</v>
      </c>
      <c r="AZ1662" t="s">
        <v>18474</v>
      </c>
      <c r="BA1662" t="s">
        <v>201</v>
      </c>
      <c r="BB1662">
        <v>2018</v>
      </c>
      <c r="BC1662">
        <v>34</v>
      </c>
      <c r="BD1662">
        <v>4</v>
      </c>
      <c r="BE1662" t="s">
        <v>69</v>
      </c>
      <c r="BF1662" t="s">
        <v>69</v>
      </c>
      <c r="BG1662" t="s">
        <v>69</v>
      </c>
      <c r="BH1662" t="s">
        <v>69</v>
      </c>
      <c r="BI1662">
        <v>677</v>
      </c>
      <c r="BJ1662">
        <v>700</v>
      </c>
      <c r="BK1662" t="s">
        <v>69</v>
      </c>
      <c r="BL1662" t="s">
        <v>18475</v>
      </c>
      <c r="BM1662" t="str">
        <f>HYPERLINK("http://dx.doi.org/10.1016/j.clsr.2018.05.006","http://dx.doi.org/10.1016/j.clsr.2018.05.006")</f>
        <v>http://dx.doi.org/10.1016/j.clsr.2018.05.006</v>
      </c>
      <c r="BN1662" t="s">
        <v>69</v>
      </c>
      <c r="BO1662" t="s">
        <v>69</v>
      </c>
      <c r="BP1662">
        <v>24</v>
      </c>
      <c r="BQ1662" t="s">
        <v>8452</v>
      </c>
      <c r="BR1662" t="s">
        <v>8661</v>
      </c>
      <c r="BS1662" t="s">
        <v>10084</v>
      </c>
      <c r="BT1662" t="s">
        <v>18476</v>
      </c>
      <c r="BU1662" t="s">
        <v>18477</v>
      </c>
      <c r="BV1662" t="s">
        <v>69</v>
      </c>
      <c r="BW1662" t="s">
        <v>69</v>
      </c>
      <c r="BX1662" t="s">
        <v>69</v>
      </c>
      <c r="BY1662" t="s">
        <v>69</v>
      </c>
      <c r="BZ1662" t="s">
        <v>8526</v>
      </c>
      <c r="CA1662" t="str">
        <f>HYPERLINK("https%3A%2F%2Fwww.webofscience.com%2Fwos%2Fwoscc%2Ffull-record%2FWOS:000441655000003","View Full Record in Web of Science")</f>
        <v>View Full Record in Web of Science</v>
      </c>
    </row>
    <row r="1663" spans="1:79" ht="12.5" x14ac:dyDescent="0.25">
      <c r="B1663" t="s">
        <v>8495</v>
      </c>
      <c r="D1663" s="22" t="s">
        <v>32931</v>
      </c>
      <c r="E1663" s="7"/>
      <c r="F1663" s="7"/>
      <c r="G1663" s="7"/>
      <c r="H1663" t="s">
        <v>67</v>
      </c>
      <c r="I1663" t="s">
        <v>15256</v>
      </c>
      <c r="J1663" t="s">
        <v>69</v>
      </c>
      <c r="K1663" t="s">
        <v>69</v>
      </c>
      <c r="L1663" t="s">
        <v>69</v>
      </c>
      <c r="M1663" t="s">
        <v>15257</v>
      </c>
      <c r="N1663" t="s">
        <v>69</v>
      </c>
      <c r="O1663" t="s">
        <v>69</v>
      </c>
      <c r="P1663" t="s">
        <v>15258</v>
      </c>
      <c r="Q1663" t="s">
        <v>3097</v>
      </c>
      <c r="R1663" t="s">
        <v>69</v>
      </c>
      <c r="S1663" t="s">
        <v>69</v>
      </c>
      <c r="T1663" t="s">
        <v>8505</v>
      </c>
      <c r="U1663" t="s">
        <v>8506</v>
      </c>
      <c r="V1663" t="s">
        <v>69</v>
      </c>
      <c r="W1663" t="s">
        <v>69</v>
      </c>
      <c r="X1663" t="s">
        <v>69</v>
      </c>
      <c r="Y1663" t="s">
        <v>69</v>
      </c>
      <c r="Z1663" t="s">
        <v>69</v>
      </c>
      <c r="AA1663" t="s">
        <v>15259</v>
      </c>
      <c r="AB1663" t="s">
        <v>15260</v>
      </c>
      <c r="AC1663" t="s">
        <v>15261</v>
      </c>
      <c r="AD1663" t="s">
        <v>15262</v>
      </c>
      <c r="AE1663" t="s">
        <v>69</v>
      </c>
      <c r="AF1663" t="s">
        <v>15263</v>
      </c>
      <c r="AG1663" t="s">
        <v>15264</v>
      </c>
      <c r="AH1663" t="s">
        <v>69</v>
      </c>
      <c r="AI1663" t="s">
        <v>69</v>
      </c>
      <c r="AJ1663" t="s">
        <v>15265</v>
      </c>
      <c r="AK1663" t="s">
        <v>15265</v>
      </c>
      <c r="AL1663" t="s">
        <v>15266</v>
      </c>
      <c r="AM1663" t="s">
        <v>69</v>
      </c>
      <c r="AN1663">
        <v>43</v>
      </c>
      <c r="AO1663">
        <v>0</v>
      </c>
      <c r="AP1663">
        <v>0</v>
      </c>
      <c r="AQ1663">
        <v>1</v>
      </c>
      <c r="AR1663">
        <v>5</v>
      </c>
      <c r="AS1663" t="s">
        <v>8586</v>
      </c>
      <c r="AT1663" t="s">
        <v>8587</v>
      </c>
      <c r="AU1663" t="s">
        <v>8588</v>
      </c>
      <c r="AV1663" t="s">
        <v>3099</v>
      </c>
      <c r="AW1663" t="s">
        <v>3100</v>
      </c>
      <c r="AX1663" t="s">
        <v>69</v>
      </c>
      <c r="AY1663" t="s">
        <v>15267</v>
      </c>
      <c r="AZ1663" t="s">
        <v>15268</v>
      </c>
      <c r="BA1663" t="s">
        <v>2003</v>
      </c>
      <c r="BB1663">
        <v>2020</v>
      </c>
      <c r="BC1663">
        <v>38</v>
      </c>
      <c r="BD1663">
        <v>5</v>
      </c>
      <c r="BE1663" t="s">
        <v>69</v>
      </c>
      <c r="BF1663" t="s">
        <v>69</v>
      </c>
      <c r="BG1663" t="s">
        <v>114</v>
      </c>
      <c r="BH1663" t="s">
        <v>69</v>
      </c>
      <c r="BI1663">
        <v>435</v>
      </c>
      <c r="BJ1663">
        <v>447</v>
      </c>
      <c r="BK1663" t="s">
        <v>69</v>
      </c>
      <c r="BL1663" t="s">
        <v>15269</v>
      </c>
      <c r="BM1663" t="str">
        <f>HYPERLINK("http://dx.doi.org/10.1108/JPIF-01-2020-0013","http://dx.doi.org/10.1108/JPIF-01-2020-0013")</f>
        <v>http://dx.doi.org/10.1108/JPIF-01-2020-0013</v>
      </c>
      <c r="BN1663" t="s">
        <v>69</v>
      </c>
      <c r="BO1663" t="s">
        <v>732</v>
      </c>
      <c r="BP1663">
        <v>13</v>
      </c>
      <c r="BQ1663" t="s">
        <v>9749</v>
      </c>
      <c r="BR1663" t="s">
        <v>8573</v>
      </c>
      <c r="BS1663" t="s">
        <v>8594</v>
      </c>
      <c r="BT1663" t="s">
        <v>15270</v>
      </c>
      <c r="BU1663" t="s">
        <v>15271</v>
      </c>
      <c r="BV1663" t="s">
        <v>69</v>
      </c>
      <c r="BW1663" t="s">
        <v>9292</v>
      </c>
      <c r="BX1663" t="s">
        <v>69</v>
      </c>
      <c r="BY1663" t="s">
        <v>69</v>
      </c>
      <c r="BZ1663" t="s">
        <v>8526</v>
      </c>
      <c r="CA1663" t="str">
        <f>HYPERLINK("https%3A%2F%2Fwww.webofscience.com%2Fwos%2Fwoscc%2Ffull-record%2FWOS:000529700500001","View Full Record in Web of Science")</f>
        <v>View Full Record in Web of Science</v>
      </c>
    </row>
    <row r="1664" spans="1:79" ht="12.5" x14ac:dyDescent="0.25">
      <c r="B1664" t="s">
        <v>8495</v>
      </c>
      <c r="D1664" s="7" t="s">
        <v>32933</v>
      </c>
      <c r="E1664" s="7"/>
      <c r="F1664" s="7"/>
      <c r="G1664" s="7"/>
      <c r="H1664" t="s">
        <v>67</v>
      </c>
      <c r="I1664" t="s">
        <v>4269</v>
      </c>
      <c r="J1664" t="s">
        <v>69</v>
      </c>
      <c r="K1664" t="s">
        <v>69</v>
      </c>
      <c r="L1664" t="s">
        <v>69</v>
      </c>
      <c r="M1664" t="s">
        <v>4269</v>
      </c>
      <c r="N1664" t="s">
        <v>69</v>
      </c>
      <c r="O1664" t="s">
        <v>69</v>
      </c>
      <c r="P1664" t="s">
        <v>4270</v>
      </c>
      <c r="Q1664" t="s">
        <v>4271</v>
      </c>
      <c r="R1664" t="s">
        <v>69</v>
      </c>
      <c r="S1664" t="s">
        <v>69</v>
      </c>
      <c r="T1664" t="s">
        <v>8505</v>
      </c>
      <c r="U1664" t="s">
        <v>8506</v>
      </c>
      <c r="V1664" t="s">
        <v>69</v>
      </c>
      <c r="W1664" t="s">
        <v>69</v>
      </c>
      <c r="X1664" t="s">
        <v>69</v>
      </c>
      <c r="Y1664" t="s">
        <v>69</v>
      </c>
      <c r="Z1664" t="s">
        <v>69</v>
      </c>
      <c r="AA1664" t="s">
        <v>69</v>
      </c>
      <c r="AB1664" t="s">
        <v>69</v>
      </c>
      <c r="AC1664" t="s">
        <v>4272</v>
      </c>
      <c r="AD1664" t="s">
        <v>69</v>
      </c>
      <c r="AE1664" t="s">
        <v>69</v>
      </c>
      <c r="AF1664" t="s">
        <v>32546</v>
      </c>
      <c r="AG1664" t="s">
        <v>69</v>
      </c>
      <c r="AH1664" t="s">
        <v>69</v>
      </c>
      <c r="AI1664" t="s">
        <v>69</v>
      </c>
      <c r="AJ1664" t="s">
        <v>69</v>
      </c>
      <c r="AK1664" t="s">
        <v>69</v>
      </c>
      <c r="AL1664" t="s">
        <v>69</v>
      </c>
      <c r="AM1664" t="s">
        <v>69</v>
      </c>
      <c r="AN1664">
        <v>22</v>
      </c>
      <c r="AO1664">
        <v>10</v>
      </c>
      <c r="AP1664">
        <v>10</v>
      </c>
      <c r="AQ1664">
        <v>0</v>
      </c>
      <c r="AR1664">
        <v>5</v>
      </c>
      <c r="AS1664" t="s">
        <v>32547</v>
      </c>
      <c r="AT1664" t="s">
        <v>32548</v>
      </c>
      <c r="AU1664" t="s">
        <v>32549</v>
      </c>
      <c r="AV1664" t="s">
        <v>4273</v>
      </c>
      <c r="AW1664" t="s">
        <v>69</v>
      </c>
      <c r="AX1664" t="s">
        <v>69</v>
      </c>
      <c r="AY1664" t="s">
        <v>32550</v>
      </c>
      <c r="AZ1664" t="s">
        <v>32551</v>
      </c>
      <c r="BA1664" t="s">
        <v>75</v>
      </c>
      <c r="BB1664">
        <v>1995</v>
      </c>
      <c r="BC1664">
        <v>68</v>
      </c>
      <c r="BD1664" t="s">
        <v>69</v>
      </c>
      <c r="BE1664">
        <v>4</v>
      </c>
      <c r="BF1664" t="s">
        <v>69</v>
      </c>
      <c r="BG1664" t="s">
        <v>69</v>
      </c>
      <c r="BH1664" t="s">
        <v>69</v>
      </c>
      <c r="BI1664">
        <v>291</v>
      </c>
      <c r="BJ1664">
        <v>300</v>
      </c>
      <c r="BK1664" t="s">
        <v>69</v>
      </c>
      <c r="BL1664" t="s">
        <v>4274</v>
      </c>
      <c r="BM1664" t="str">
        <f>HYPERLINK("http://dx.doi.org/10.1111/j.2044-8325.1995.tb00588.x","http://dx.doi.org/10.1111/j.2044-8325.1995.tb00588.x")</f>
        <v>http://dx.doi.org/10.1111/j.2044-8325.1995.tb00588.x</v>
      </c>
      <c r="BN1664" t="s">
        <v>69</v>
      </c>
      <c r="BO1664" t="s">
        <v>69</v>
      </c>
      <c r="BP1664">
        <v>10</v>
      </c>
      <c r="BQ1664" t="s">
        <v>32552</v>
      </c>
      <c r="BR1664" t="s">
        <v>8661</v>
      </c>
      <c r="BS1664" t="s">
        <v>32553</v>
      </c>
      <c r="BT1664" t="s">
        <v>32554</v>
      </c>
      <c r="BU1664" t="s">
        <v>4275</v>
      </c>
      <c r="BV1664" t="s">
        <v>69</v>
      </c>
      <c r="BW1664" t="s">
        <v>69</v>
      </c>
      <c r="BX1664" t="s">
        <v>69</v>
      </c>
      <c r="BY1664" t="s">
        <v>69</v>
      </c>
      <c r="BZ1664" t="s">
        <v>8526</v>
      </c>
      <c r="CA1664" t="str">
        <f>HYPERLINK("https%3A%2F%2Fwww.webofscience.com%2Fwos%2Fwoscc%2Ffull-record%2FWOS:A1995TJ57500002","View Full Record in Web of Science")</f>
        <v>View Full Record in Web of Science</v>
      </c>
    </row>
    <row r="1665" spans="2:79" ht="12.5" x14ac:dyDescent="0.25">
      <c r="B1665" t="s">
        <v>8495</v>
      </c>
      <c r="D1665" s="22" t="s">
        <v>32931</v>
      </c>
      <c r="E1665" s="7"/>
      <c r="F1665" s="7"/>
      <c r="G1665" s="7"/>
      <c r="H1665" t="s">
        <v>67</v>
      </c>
      <c r="I1665" t="s">
        <v>19639</v>
      </c>
      <c r="J1665" t="s">
        <v>69</v>
      </c>
      <c r="K1665" t="s">
        <v>69</v>
      </c>
      <c r="L1665" t="s">
        <v>69</v>
      </c>
      <c r="M1665" t="s">
        <v>19640</v>
      </c>
      <c r="N1665" t="s">
        <v>69</v>
      </c>
      <c r="O1665" t="s">
        <v>69</v>
      </c>
      <c r="P1665" t="s">
        <v>19641</v>
      </c>
      <c r="Q1665" t="s">
        <v>19642</v>
      </c>
      <c r="R1665" t="s">
        <v>69</v>
      </c>
      <c r="S1665" t="s">
        <v>69</v>
      </c>
      <c r="T1665" t="s">
        <v>8505</v>
      </c>
      <c r="U1665" t="s">
        <v>10174</v>
      </c>
      <c r="V1665" t="s">
        <v>69</v>
      </c>
      <c r="W1665" t="s">
        <v>69</v>
      </c>
      <c r="X1665" t="s">
        <v>69</v>
      </c>
      <c r="Y1665" t="s">
        <v>69</v>
      </c>
      <c r="Z1665" t="s">
        <v>69</v>
      </c>
      <c r="AA1665" t="s">
        <v>19643</v>
      </c>
      <c r="AB1665" t="s">
        <v>19644</v>
      </c>
      <c r="AC1665" t="s">
        <v>19645</v>
      </c>
      <c r="AD1665" t="s">
        <v>19646</v>
      </c>
      <c r="AE1665" t="s">
        <v>69</v>
      </c>
      <c r="AF1665" t="s">
        <v>19647</v>
      </c>
      <c r="AG1665" t="s">
        <v>19648</v>
      </c>
      <c r="AH1665" t="s">
        <v>69</v>
      </c>
      <c r="AI1665" t="s">
        <v>69</v>
      </c>
      <c r="AJ1665" t="s">
        <v>69</v>
      </c>
      <c r="AK1665" t="s">
        <v>69</v>
      </c>
      <c r="AL1665" t="s">
        <v>69</v>
      </c>
      <c r="AM1665" t="s">
        <v>69</v>
      </c>
      <c r="AN1665">
        <v>12</v>
      </c>
      <c r="AO1665">
        <v>11</v>
      </c>
      <c r="AP1665">
        <v>11</v>
      </c>
      <c r="AQ1665">
        <v>0</v>
      </c>
      <c r="AR1665">
        <v>7</v>
      </c>
      <c r="AS1665" t="s">
        <v>8611</v>
      </c>
      <c r="AT1665" t="s">
        <v>8612</v>
      </c>
      <c r="AU1665" t="s">
        <v>8613</v>
      </c>
      <c r="AV1665" t="s">
        <v>19649</v>
      </c>
      <c r="AW1665" t="s">
        <v>19650</v>
      </c>
      <c r="AX1665" t="s">
        <v>69</v>
      </c>
      <c r="AY1665" t="s">
        <v>19651</v>
      </c>
      <c r="AZ1665" t="s">
        <v>19652</v>
      </c>
      <c r="BA1665" t="s">
        <v>69</v>
      </c>
      <c r="BB1665">
        <v>2018</v>
      </c>
      <c r="BC1665">
        <v>20</v>
      </c>
      <c r="BD1665">
        <v>1</v>
      </c>
      <c r="BE1665" t="s">
        <v>69</v>
      </c>
      <c r="BF1665" t="s">
        <v>69</v>
      </c>
      <c r="BG1665" t="s">
        <v>114</v>
      </c>
      <c r="BH1665" t="s">
        <v>69</v>
      </c>
      <c r="BI1665">
        <v>34</v>
      </c>
      <c r="BJ1665">
        <v>38</v>
      </c>
      <c r="BK1665" t="s">
        <v>69</v>
      </c>
      <c r="BL1665" t="s">
        <v>19653</v>
      </c>
      <c r="BM1665" t="str">
        <f>HYPERLINK("http://dx.doi.org/10.1080/17549507.2018.1422023","http://dx.doi.org/10.1080/17549507.2018.1422023")</f>
        <v>http://dx.doi.org/10.1080/17549507.2018.1422023</v>
      </c>
      <c r="BN1665" t="s">
        <v>69</v>
      </c>
      <c r="BO1665" t="s">
        <v>69</v>
      </c>
      <c r="BP1665">
        <v>5</v>
      </c>
      <c r="BQ1665" t="s">
        <v>19654</v>
      </c>
      <c r="BR1665" t="s">
        <v>8523</v>
      </c>
      <c r="BS1665" t="s">
        <v>19654</v>
      </c>
      <c r="BT1665" t="s">
        <v>19655</v>
      </c>
      <c r="BU1665" t="s">
        <v>19656</v>
      </c>
      <c r="BV1665">
        <v>29355390</v>
      </c>
      <c r="BW1665" t="s">
        <v>9374</v>
      </c>
      <c r="BX1665" t="s">
        <v>69</v>
      </c>
      <c r="BY1665" t="s">
        <v>69</v>
      </c>
      <c r="BZ1665" t="s">
        <v>8526</v>
      </c>
      <c r="CA1665" t="str">
        <f>HYPERLINK("https%3A%2F%2Fwww.webofscience.com%2Fwos%2Fwoscc%2Ffull-record%2FWOS:000425771500007","View Full Record in Web of Science")</f>
        <v>View Full Record in Web of Science</v>
      </c>
    </row>
    <row r="1666" spans="2:79" x14ac:dyDescent="0.3">
      <c r="B1666" t="s">
        <v>8495</v>
      </c>
      <c r="D1666" s="12" t="s">
        <v>33033</v>
      </c>
      <c r="H1666" t="s">
        <v>67</v>
      </c>
      <c r="I1666" t="s">
        <v>4648</v>
      </c>
      <c r="J1666" t="s">
        <v>69</v>
      </c>
      <c r="K1666" t="s">
        <v>69</v>
      </c>
      <c r="L1666" t="s">
        <v>69</v>
      </c>
      <c r="M1666" s="3" t="s">
        <v>4648</v>
      </c>
      <c r="N1666" t="s">
        <v>69</v>
      </c>
      <c r="O1666" t="s">
        <v>69</v>
      </c>
      <c r="P1666" s="2" t="s">
        <v>4649</v>
      </c>
      <c r="Q1666" t="s">
        <v>4650</v>
      </c>
      <c r="R1666" t="s">
        <v>69</v>
      </c>
      <c r="S1666" t="s">
        <v>69</v>
      </c>
      <c r="T1666" t="s">
        <v>8505</v>
      </c>
      <c r="U1666" t="s">
        <v>15797</v>
      </c>
      <c r="V1666" t="s">
        <v>4651</v>
      </c>
      <c r="W1666">
        <v>2001</v>
      </c>
      <c r="X1666" t="s">
        <v>4652</v>
      </c>
      <c r="Y1666" t="s">
        <v>69</v>
      </c>
      <c r="Z1666" t="s">
        <v>69</v>
      </c>
      <c r="AA1666" t="s">
        <v>69</v>
      </c>
      <c r="AB1666" t="s">
        <v>22653</v>
      </c>
      <c r="AC1666" t="s">
        <v>4653</v>
      </c>
      <c r="AD1666" t="s">
        <v>31319</v>
      </c>
      <c r="AE1666" t="s">
        <v>69</v>
      </c>
      <c r="AF1666" t="s">
        <v>31320</v>
      </c>
      <c r="AG1666" t="s">
        <v>69</v>
      </c>
      <c r="AH1666" t="s">
        <v>69</v>
      </c>
      <c r="AI1666" t="s">
        <v>69</v>
      </c>
      <c r="AJ1666" t="s">
        <v>69</v>
      </c>
      <c r="AK1666" t="s">
        <v>69</v>
      </c>
      <c r="AL1666" t="s">
        <v>69</v>
      </c>
      <c r="AM1666" t="s">
        <v>69</v>
      </c>
      <c r="AN1666">
        <v>15</v>
      </c>
      <c r="AO1666">
        <v>3</v>
      </c>
      <c r="AP1666">
        <v>3</v>
      </c>
      <c r="AQ1666">
        <v>0</v>
      </c>
      <c r="AR1666">
        <v>8</v>
      </c>
      <c r="AS1666" t="s">
        <v>31321</v>
      </c>
      <c r="AT1666" t="s">
        <v>31322</v>
      </c>
      <c r="AU1666" t="s">
        <v>31323</v>
      </c>
      <c r="AV1666" t="s">
        <v>4654</v>
      </c>
      <c r="AW1666" t="s">
        <v>69</v>
      </c>
      <c r="AX1666" t="s">
        <v>69</v>
      </c>
      <c r="AY1666" t="s">
        <v>29478</v>
      </c>
      <c r="AZ1666" t="s">
        <v>29479</v>
      </c>
      <c r="BA1666" t="s">
        <v>373</v>
      </c>
      <c r="BB1666">
        <v>2003</v>
      </c>
      <c r="BC1666">
        <v>23</v>
      </c>
      <c r="BD1666">
        <v>1</v>
      </c>
      <c r="BE1666" t="s">
        <v>69</v>
      </c>
      <c r="BF1666" t="s">
        <v>69</v>
      </c>
      <c r="BG1666" t="s">
        <v>69</v>
      </c>
      <c r="BH1666" t="s">
        <v>69</v>
      </c>
      <c r="BI1666">
        <v>95</v>
      </c>
      <c r="BJ1666">
        <v>118</v>
      </c>
      <c r="BK1666" t="s">
        <v>69</v>
      </c>
      <c r="BL1666" t="s">
        <v>4655</v>
      </c>
      <c r="BM1666" t="str">
        <f>HYPERLINK("http://dx.doi.org/10.1080/02642060412331300802","http://dx.doi.org/10.1080/02642060412331300802")</f>
        <v>http://dx.doi.org/10.1080/02642060412331300802</v>
      </c>
      <c r="BN1666" t="s">
        <v>69</v>
      </c>
      <c r="BO1666" t="s">
        <v>69</v>
      </c>
      <c r="BP1666">
        <v>24</v>
      </c>
      <c r="BQ1666" t="s">
        <v>9410</v>
      </c>
      <c r="BR1666" t="s">
        <v>31324</v>
      </c>
      <c r="BS1666" t="s">
        <v>8594</v>
      </c>
      <c r="BT1666" t="s">
        <v>31325</v>
      </c>
      <c r="BU1666" t="s">
        <v>4656</v>
      </c>
      <c r="BV1666" t="s">
        <v>69</v>
      </c>
      <c r="BW1666" t="s">
        <v>69</v>
      </c>
      <c r="BX1666" t="s">
        <v>69</v>
      </c>
      <c r="BY1666" t="s">
        <v>69</v>
      </c>
      <c r="BZ1666" t="s">
        <v>8526</v>
      </c>
      <c r="CA1666" t="str">
        <f>HYPERLINK("https%3A%2F%2Fwww.webofscience.com%2Fwos%2Fwoscc%2Ffull-record%2FWOS:000180842600007","View Full Record in Web of Science")</f>
        <v>View Full Record in Web of Science</v>
      </c>
    </row>
    <row r="1667" spans="2:79" ht="12.5" x14ac:dyDescent="0.25">
      <c r="B1667" t="s">
        <v>8495</v>
      </c>
      <c r="D1667" s="22" t="s">
        <v>32931</v>
      </c>
      <c r="E1667" s="7"/>
      <c r="F1667" s="7"/>
      <c r="G1667" s="7"/>
      <c r="H1667" t="s">
        <v>67</v>
      </c>
      <c r="I1667" t="s">
        <v>14708</v>
      </c>
      <c r="J1667" t="s">
        <v>69</v>
      </c>
      <c r="K1667" t="s">
        <v>69</v>
      </c>
      <c r="L1667" t="s">
        <v>69</v>
      </c>
      <c r="M1667" t="s">
        <v>14709</v>
      </c>
      <c r="N1667" t="s">
        <v>69</v>
      </c>
      <c r="O1667" t="s">
        <v>69</v>
      </c>
      <c r="P1667" t="s">
        <v>14710</v>
      </c>
      <c r="Q1667" t="s">
        <v>14711</v>
      </c>
      <c r="R1667" t="s">
        <v>69</v>
      </c>
      <c r="S1667" t="s">
        <v>69</v>
      </c>
      <c r="T1667" t="s">
        <v>8505</v>
      </c>
      <c r="U1667" t="s">
        <v>8506</v>
      </c>
      <c r="V1667" t="s">
        <v>69</v>
      </c>
      <c r="W1667" t="s">
        <v>69</v>
      </c>
      <c r="X1667" t="s">
        <v>69</v>
      </c>
      <c r="Y1667" t="s">
        <v>69</v>
      </c>
      <c r="Z1667" t="s">
        <v>69</v>
      </c>
      <c r="AA1667" t="s">
        <v>69</v>
      </c>
      <c r="AB1667" t="s">
        <v>14712</v>
      </c>
      <c r="AC1667" t="s">
        <v>14713</v>
      </c>
      <c r="AD1667" t="s">
        <v>14714</v>
      </c>
      <c r="AE1667" t="s">
        <v>69</v>
      </c>
      <c r="AF1667" t="s">
        <v>14715</v>
      </c>
      <c r="AG1667" t="s">
        <v>14716</v>
      </c>
      <c r="AH1667" t="s">
        <v>69</v>
      </c>
      <c r="AI1667" t="s">
        <v>14717</v>
      </c>
      <c r="AJ1667" t="s">
        <v>14718</v>
      </c>
      <c r="AK1667" t="s">
        <v>14718</v>
      </c>
      <c r="AL1667" t="s">
        <v>14719</v>
      </c>
      <c r="AM1667" t="s">
        <v>69</v>
      </c>
      <c r="AN1667">
        <v>88</v>
      </c>
      <c r="AO1667">
        <v>14</v>
      </c>
      <c r="AP1667">
        <v>14</v>
      </c>
      <c r="AQ1667">
        <v>7</v>
      </c>
      <c r="AR1667">
        <v>19</v>
      </c>
      <c r="AS1667" t="s">
        <v>8865</v>
      </c>
      <c r="AT1667" t="s">
        <v>8612</v>
      </c>
      <c r="AU1667" t="s">
        <v>8866</v>
      </c>
      <c r="AV1667" t="s">
        <v>14720</v>
      </c>
      <c r="AW1667" t="s">
        <v>14721</v>
      </c>
      <c r="AX1667" t="s">
        <v>69</v>
      </c>
      <c r="AY1667" t="s">
        <v>14722</v>
      </c>
      <c r="AZ1667" t="s">
        <v>14723</v>
      </c>
      <c r="BA1667" t="s">
        <v>891</v>
      </c>
      <c r="BB1667">
        <v>2020</v>
      </c>
      <c r="BC1667">
        <v>31</v>
      </c>
      <c r="BD1667">
        <v>7</v>
      </c>
      <c r="BE1667" t="s">
        <v>69</v>
      </c>
      <c r="BF1667" t="s">
        <v>69</v>
      </c>
      <c r="BG1667" t="s">
        <v>114</v>
      </c>
      <c r="BH1667" t="s">
        <v>69</v>
      </c>
      <c r="BI1667">
        <v>1133</v>
      </c>
      <c r="BJ1667">
        <v>1150</v>
      </c>
      <c r="BK1667" t="s">
        <v>69</v>
      </c>
      <c r="BL1667" t="s">
        <v>14724</v>
      </c>
      <c r="BM1667" t="str">
        <f>HYPERLINK("http://dx.doi.org/10.1080/10409289.2020.1785267","http://dx.doi.org/10.1080/10409289.2020.1785267")</f>
        <v>http://dx.doi.org/10.1080/10409289.2020.1785267</v>
      </c>
      <c r="BN1667" t="s">
        <v>69</v>
      </c>
      <c r="BO1667" t="s">
        <v>702</v>
      </c>
      <c r="BP1667">
        <v>18</v>
      </c>
      <c r="BQ1667" t="s">
        <v>14725</v>
      </c>
      <c r="BR1667" t="s">
        <v>8661</v>
      </c>
      <c r="BS1667" t="s">
        <v>14726</v>
      </c>
      <c r="BT1667" t="s">
        <v>14727</v>
      </c>
      <c r="BU1667" t="s">
        <v>14728</v>
      </c>
      <c r="BV1667" t="s">
        <v>69</v>
      </c>
      <c r="BW1667" t="s">
        <v>69</v>
      </c>
      <c r="BX1667" t="s">
        <v>69</v>
      </c>
      <c r="BY1667" t="s">
        <v>69</v>
      </c>
      <c r="BZ1667" t="s">
        <v>8526</v>
      </c>
      <c r="CA1667" t="str">
        <f>HYPERLINK("https%3A%2F%2Fwww.webofscience.com%2Fwos%2Fwoscc%2Ffull-record%2FWOS:000547646600001","View Full Record in Web of Science")</f>
        <v>View Full Record in Web of Science</v>
      </c>
    </row>
    <row r="1668" spans="2:79" ht="12.5" x14ac:dyDescent="0.25">
      <c r="B1668" t="s">
        <v>8495</v>
      </c>
      <c r="D1668" s="22" t="s">
        <v>32931</v>
      </c>
      <c r="E1668" s="7"/>
      <c r="F1668" s="7"/>
      <c r="G1668" s="7"/>
      <c r="H1668" t="s">
        <v>67</v>
      </c>
      <c r="I1668" t="s">
        <v>25452</v>
      </c>
      <c r="J1668" t="s">
        <v>69</v>
      </c>
      <c r="K1668" t="s">
        <v>69</v>
      </c>
      <c r="L1668" t="s">
        <v>69</v>
      </c>
      <c r="M1668" t="s">
        <v>25453</v>
      </c>
      <c r="N1668" t="s">
        <v>69</v>
      </c>
      <c r="O1668" t="s">
        <v>69</v>
      </c>
      <c r="P1668" t="s">
        <v>25454</v>
      </c>
      <c r="Q1668" t="s">
        <v>25455</v>
      </c>
      <c r="R1668" t="s">
        <v>69</v>
      </c>
      <c r="S1668" t="s">
        <v>69</v>
      </c>
      <c r="T1668" t="s">
        <v>8505</v>
      </c>
      <c r="U1668" t="s">
        <v>8506</v>
      </c>
      <c r="V1668" t="s">
        <v>69</v>
      </c>
      <c r="W1668" t="s">
        <v>69</v>
      </c>
      <c r="X1668" t="s">
        <v>69</v>
      </c>
      <c r="Y1668" t="s">
        <v>69</v>
      </c>
      <c r="Z1668" t="s">
        <v>69</v>
      </c>
      <c r="AA1668" t="s">
        <v>25456</v>
      </c>
      <c r="AB1668" t="s">
        <v>25457</v>
      </c>
      <c r="AC1668" t="s">
        <v>25458</v>
      </c>
      <c r="AD1668" t="s">
        <v>25459</v>
      </c>
      <c r="AE1668" t="s">
        <v>69</v>
      </c>
      <c r="AF1668" t="s">
        <v>25460</v>
      </c>
      <c r="AG1668" t="s">
        <v>25461</v>
      </c>
      <c r="AH1668" t="s">
        <v>69</v>
      </c>
      <c r="AI1668" t="s">
        <v>25462</v>
      </c>
      <c r="AJ1668" t="s">
        <v>25463</v>
      </c>
      <c r="AK1668" t="s">
        <v>25464</v>
      </c>
      <c r="AL1668" t="s">
        <v>25465</v>
      </c>
      <c r="AM1668" t="s">
        <v>69</v>
      </c>
      <c r="AN1668">
        <v>36</v>
      </c>
      <c r="AO1668">
        <v>23</v>
      </c>
      <c r="AP1668">
        <v>23</v>
      </c>
      <c r="AQ1668">
        <v>0</v>
      </c>
      <c r="AR1668">
        <v>3</v>
      </c>
      <c r="AS1668" t="s">
        <v>8865</v>
      </c>
      <c r="AT1668" t="s">
        <v>8612</v>
      </c>
      <c r="AU1668" t="s">
        <v>8866</v>
      </c>
      <c r="AV1668" t="s">
        <v>25466</v>
      </c>
      <c r="AW1668" t="s">
        <v>25467</v>
      </c>
      <c r="AX1668" t="s">
        <v>69</v>
      </c>
      <c r="AY1668" t="s">
        <v>25468</v>
      </c>
      <c r="AZ1668" t="s">
        <v>25469</v>
      </c>
      <c r="BA1668" t="s">
        <v>69</v>
      </c>
      <c r="BB1668">
        <v>2013</v>
      </c>
      <c r="BC1668">
        <v>5</v>
      </c>
      <c r="BD1668">
        <v>3</v>
      </c>
      <c r="BE1668" t="s">
        <v>69</v>
      </c>
      <c r="BF1668" t="s">
        <v>69</v>
      </c>
      <c r="BG1668" t="s">
        <v>69</v>
      </c>
      <c r="BH1668" t="s">
        <v>69</v>
      </c>
      <c r="BI1668">
        <v>270</v>
      </c>
      <c r="BJ1668">
        <v>288</v>
      </c>
      <c r="BK1668" t="s">
        <v>69</v>
      </c>
      <c r="BL1668" t="s">
        <v>25470</v>
      </c>
      <c r="BM1668" t="str">
        <f>HYPERLINK("http://dx.doi.org/10.1080/19407963.2013.789354","http://dx.doi.org/10.1080/19407963.2013.789354")</f>
        <v>http://dx.doi.org/10.1080/19407963.2013.789354</v>
      </c>
      <c r="BN1668" t="s">
        <v>69</v>
      </c>
      <c r="BO1668" t="s">
        <v>69</v>
      </c>
      <c r="BP1668">
        <v>19</v>
      </c>
      <c r="BQ1668" t="s">
        <v>10278</v>
      </c>
      <c r="BR1668" t="s">
        <v>8573</v>
      </c>
      <c r="BS1668" t="s">
        <v>10279</v>
      </c>
      <c r="BT1668" t="s">
        <v>25471</v>
      </c>
      <c r="BU1668" t="s">
        <v>25472</v>
      </c>
      <c r="BV1668" t="s">
        <v>69</v>
      </c>
      <c r="BW1668" t="s">
        <v>69</v>
      </c>
      <c r="BX1668" t="s">
        <v>69</v>
      </c>
      <c r="BY1668" t="s">
        <v>69</v>
      </c>
      <c r="BZ1668" t="s">
        <v>8526</v>
      </c>
      <c r="CA1668" t="str">
        <f>HYPERLINK("https%3A%2F%2Fwww.webofscience.com%2Fwos%2Fwoscc%2Ffull-record%2FWOS:000214520100004","View Full Record in Web of Science")</f>
        <v>View Full Record in Web of Science</v>
      </c>
    </row>
    <row r="1669" spans="2:79" ht="12.5" x14ac:dyDescent="0.25">
      <c r="B1669" t="s">
        <v>8495</v>
      </c>
      <c r="D1669" s="7" t="s">
        <v>32933</v>
      </c>
      <c r="E1669" s="7"/>
      <c r="F1669" s="7"/>
      <c r="G1669" s="7"/>
      <c r="H1669" t="s">
        <v>67</v>
      </c>
      <c r="I1669" t="s">
        <v>7797</v>
      </c>
      <c r="J1669" t="s">
        <v>69</v>
      </c>
      <c r="K1669" t="s">
        <v>69</v>
      </c>
      <c r="L1669" t="s">
        <v>69</v>
      </c>
      <c r="M1669" t="s">
        <v>7797</v>
      </c>
      <c r="N1669" t="s">
        <v>69</v>
      </c>
      <c r="O1669" t="s">
        <v>69</v>
      </c>
      <c r="P1669" s="3" t="s">
        <v>7798</v>
      </c>
      <c r="Q1669" t="s">
        <v>7799</v>
      </c>
      <c r="R1669" t="s">
        <v>69</v>
      </c>
      <c r="S1669" t="s">
        <v>69</v>
      </c>
      <c r="T1669" t="s">
        <v>8505</v>
      </c>
      <c r="U1669" t="s">
        <v>8506</v>
      </c>
      <c r="V1669" t="s">
        <v>69</v>
      </c>
      <c r="W1669" t="s">
        <v>69</v>
      </c>
      <c r="X1669" t="s">
        <v>69</v>
      </c>
      <c r="Y1669" t="s">
        <v>69</v>
      </c>
      <c r="Z1669" t="s">
        <v>69</v>
      </c>
      <c r="AA1669" t="s">
        <v>69</v>
      </c>
      <c r="AB1669" t="s">
        <v>69</v>
      </c>
      <c r="AC1669" t="s">
        <v>7800</v>
      </c>
      <c r="AD1669" t="s">
        <v>31229</v>
      </c>
      <c r="AE1669" t="s">
        <v>69</v>
      </c>
      <c r="AF1669" t="s">
        <v>31230</v>
      </c>
      <c r="AG1669" t="s">
        <v>69</v>
      </c>
      <c r="AH1669" t="s">
        <v>69</v>
      </c>
      <c r="AI1669" t="s">
        <v>7801</v>
      </c>
      <c r="AJ1669" t="s">
        <v>69</v>
      </c>
      <c r="AK1669" t="s">
        <v>69</v>
      </c>
      <c r="AL1669" t="s">
        <v>69</v>
      </c>
      <c r="AM1669" t="s">
        <v>69</v>
      </c>
      <c r="AN1669">
        <v>43</v>
      </c>
      <c r="AO1669">
        <v>2</v>
      </c>
      <c r="AP1669">
        <v>2</v>
      </c>
      <c r="AQ1669">
        <v>0</v>
      </c>
      <c r="AR1669">
        <v>4</v>
      </c>
      <c r="AS1669" t="s">
        <v>31231</v>
      </c>
      <c r="AT1669" t="s">
        <v>27668</v>
      </c>
      <c r="AU1669" t="s">
        <v>31232</v>
      </c>
      <c r="AV1669" t="s">
        <v>7802</v>
      </c>
      <c r="AW1669" t="s">
        <v>69</v>
      </c>
      <c r="AX1669" t="s">
        <v>69</v>
      </c>
      <c r="AY1669" t="s">
        <v>31233</v>
      </c>
      <c r="AZ1669" t="s">
        <v>31234</v>
      </c>
      <c r="BA1669" t="s">
        <v>586</v>
      </c>
      <c r="BB1669">
        <v>2003</v>
      </c>
      <c r="BC1669">
        <v>37</v>
      </c>
      <c r="BD1669" t="s">
        <v>69</v>
      </c>
      <c r="BE1669">
        <v>2</v>
      </c>
      <c r="BF1669" t="s">
        <v>69</v>
      </c>
      <c r="BG1669" t="s">
        <v>69</v>
      </c>
      <c r="BH1669" t="s">
        <v>69</v>
      </c>
      <c r="BI1669">
        <v>157</v>
      </c>
      <c r="BJ1669">
        <v>199</v>
      </c>
      <c r="BK1669" t="s">
        <v>69</v>
      </c>
      <c r="BL1669" t="s">
        <v>69</v>
      </c>
      <c r="BM1669" t="s">
        <v>69</v>
      </c>
      <c r="BN1669" t="s">
        <v>69</v>
      </c>
      <c r="BO1669" t="s">
        <v>69</v>
      </c>
      <c r="BP1669">
        <v>43</v>
      </c>
      <c r="BQ1669" t="s">
        <v>15300</v>
      </c>
      <c r="BR1669" t="s">
        <v>8661</v>
      </c>
      <c r="BS1669" t="s">
        <v>15301</v>
      </c>
      <c r="BT1669" t="s">
        <v>31235</v>
      </c>
      <c r="BU1669" t="s">
        <v>7803</v>
      </c>
      <c r="BV1669" t="s">
        <v>69</v>
      </c>
      <c r="BW1669" t="s">
        <v>69</v>
      </c>
      <c r="BX1669" t="s">
        <v>69</v>
      </c>
      <c r="BY1669" t="s">
        <v>69</v>
      </c>
      <c r="BZ1669" t="s">
        <v>8526</v>
      </c>
      <c r="CA1669" t="str">
        <f>HYPERLINK("https%3A%2F%2Fwww.webofscience.com%2Fwos%2Fwoscc%2Ffull-record%2FWOS:000222697800002","View Full Record in Web of Science")</f>
        <v>View Full Record in Web of Science</v>
      </c>
    </row>
    <row r="1670" spans="2:79" x14ac:dyDescent="0.3">
      <c r="B1670" t="s">
        <v>8495</v>
      </c>
      <c r="D1670" s="12" t="s">
        <v>33034</v>
      </c>
      <c r="H1670" t="s">
        <v>67</v>
      </c>
      <c r="I1670" t="s">
        <v>8247</v>
      </c>
      <c r="J1670" t="s">
        <v>69</v>
      </c>
      <c r="K1670" t="s">
        <v>69</v>
      </c>
      <c r="L1670" t="s">
        <v>69</v>
      </c>
      <c r="M1670" s="3" t="s">
        <v>8247</v>
      </c>
      <c r="N1670" t="s">
        <v>69</v>
      </c>
      <c r="O1670" t="s">
        <v>69</v>
      </c>
      <c r="P1670" s="11" t="s">
        <v>8248</v>
      </c>
      <c r="Q1670" t="s">
        <v>8249</v>
      </c>
      <c r="R1670" t="s">
        <v>69</v>
      </c>
      <c r="S1670" t="s">
        <v>69</v>
      </c>
      <c r="T1670" t="s">
        <v>8505</v>
      </c>
      <c r="U1670" t="s">
        <v>8506</v>
      </c>
      <c r="V1670" t="s">
        <v>69</v>
      </c>
      <c r="W1670" t="s">
        <v>69</v>
      </c>
      <c r="X1670" t="s">
        <v>69</v>
      </c>
      <c r="Y1670" t="s">
        <v>69</v>
      </c>
      <c r="Z1670" t="s">
        <v>69</v>
      </c>
      <c r="AA1670" t="s">
        <v>69</v>
      </c>
      <c r="AB1670" t="s">
        <v>69</v>
      </c>
      <c r="AC1670" t="s">
        <v>69</v>
      </c>
      <c r="AD1670" t="s">
        <v>69</v>
      </c>
      <c r="AE1670" t="s">
        <v>69</v>
      </c>
      <c r="AF1670" t="s">
        <v>32586</v>
      </c>
      <c r="AG1670" t="s">
        <v>69</v>
      </c>
      <c r="AH1670" t="s">
        <v>69</v>
      </c>
      <c r="AI1670" t="s">
        <v>69</v>
      </c>
      <c r="AJ1670" t="s">
        <v>69</v>
      </c>
      <c r="AK1670" t="s">
        <v>69</v>
      </c>
      <c r="AL1670" t="s">
        <v>69</v>
      </c>
      <c r="AM1670" t="s">
        <v>69</v>
      </c>
      <c r="AN1670">
        <v>7</v>
      </c>
      <c r="AO1670">
        <v>1</v>
      </c>
      <c r="AP1670">
        <v>1</v>
      </c>
      <c r="AQ1670">
        <v>0</v>
      </c>
      <c r="AR1670">
        <v>0</v>
      </c>
      <c r="AS1670" t="s">
        <v>32587</v>
      </c>
      <c r="AT1670" t="s">
        <v>32588</v>
      </c>
      <c r="AU1670" t="s">
        <v>32589</v>
      </c>
      <c r="AV1670" t="s">
        <v>8250</v>
      </c>
      <c r="AW1670" t="s">
        <v>69</v>
      </c>
      <c r="AX1670" t="s">
        <v>69</v>
      </c>
      <c r="AY1670" t="s">
        <v>8249</v>
      </c>
      <c r="AZ1670" t="s">
        <v>32590</v>
      </c>
      <c r="BA1670" t="s">
        <v>1628</v>
      </c>
      <c r="BB1670">
        <v>1995</v>
      </c>
      <c r="BC1670">
        <v>30</v>
      </c>
      <c r="BD1670">
        <v>2</v>
      </c>
      <c r="BE1670" t="s">
        <v>69</v>
      </c>
      <c r="BF1670" t="s">
        <v>69</v>
      </c>
      <c r="BG1670" t="s">
        <v>69</v>
      </c>
      <c r="BH1670" t="s">
        <v>69</v>
      </c>
      <c r="BI1670">
        <v>42</v>
      </c>
      <c r="BJ1670">
        <v>55</v>
      </c>
      <c r="BK1670" t="s">
        <v>69</v>
      </c>
      <c r="BL1670" t="s">
        <v>8251</v>
      </c>
      <c r="BM1670" t="str">
        <f>HYPERLINK("http://dx.doi.org/10.1353/eir.1995.0037","http://dx.doi.org/10.1353/eir.1995.0037")</f>
        <v>http://dx.doi.org/10.1353/eir.1995.0037</v>
      </c>
      <c r="BN1670" t="s">
        <v>69</v>
      </c>
      <c r="BO1670" t="s">
        <v>69</v>
      </c>
      <c r="BP1670">
        <v>14</v>
      </c>
      <c r="BQ1670" t="s">
        <v>11206</v>
      </c>
      <c r="BR1670" t="s">
        <v>11207</v>
      </c>
      <c r="BS1670" t="s">
        <v>11208</v>
      </c>
      <c r="BT1670" t="s">
        <v>32591</v>
      </c>
      <c r="BU1670" t="s">
        <v>8252</v>
      </c>
      <c r="BV1670" t="s">
        <v>69</v>
      </c>
      <c r="BW1670" t="s">
        <v>69</v>
      </c>
      <c r="BX1670" t="s">
        <v>69</v>
      </c>
      <c r="BY1670" t="s">
        <v>69</v>
      </c>
      <c r="BZ1670" t="s">
        <v>8526</v>
      </c>
      <c r="CA1670" t="str">
        <f>HYPERLINK("https%3A%2F%2Fwww.webofscience.com%2Fwos%2Fwoscc%2Ffull-record%2FWOS:A1995RR18200003","View Full Record in Web of Science")</f>
        <v>View Full Record in Web of Science</v>
      </c>
    </row>
    <row r="1671" spans="2:79" ht="12.5" x14ac:dyDescent="0.25">
      <c r="B1671" t="s">
        <v>8495</v>
      </c>
      <c r="D1671" s="7" t="s">
        <v>32933</v>
      </c>
      <c r="E1671" s="7"/>
      <c r="F1671" s="7"/>
      <c r="G1671" s="7"/>
      <c r="H1671" t="s">
        <v>67</v>
      </c>
      <c r="I1671" t="s">
        <v>106</v>
      </c>
      <c r="J1671" t="s">
        <v>69</v>
      </c>
      <c r="K1671" t="s">
        <v>69</v>
      </c>
      <c r="L1671" t="s">
        <v>69</v>
      </c>
      <c r="M1671" t="s">
        <v>107</v>
      </c>
      <c r="N1671" t="s">
        <v>69</v>
      </c>
      <c r="O1671" t="s">
        <v>69</v>
      </c>
      <c r="P1671" s="1" t="s">
        <v>108</v>
      </c>
      <c r="Q1671" t="s">
        <v>109</v>
      </c>
      <c r="R1671" t="s">
        <v>69</v>
      </c>
      <c r="S1671" t="s">
        <v>69</v>
      </c>
      <c r="T1671" t="s">
        <v>8505</v>
      </c>
      <c r="U1671" t="s">
        <v>8506</v>
      </c>
      <c r="V1671" t="s">
        <v>69</v>
      </c>
      <c r="W1671" t="s">
        <v>69</v>
      </c>
      <c r="X1671" t="s">
        <v>69</v>
      </c>
      <c r="Y1671" t="s">
        <v>69</v>
      </c>
      <c r="Z1671" t="s">
        <v>69</v>
      </c>
      <c r="AA1671" t="s">
        <v>19444</v>
      </c>
      <c r="AB1671" t="s">
        <v>19445</v>
      </c>
      <c r="AC1671" t="s">
        <v>110</v>
      </c>
      <c r="AD1671" t="s">
        <v>19446</v>
      </c>
      <c r="AE1671" t="s">
        <v>69</v>
      </c>
      <c r="AF1671" t="s">
        <v>19447</v>
      </c>
      <c r="AG1671" t="s">
        <v>19448</v>
      </c>
      <c r="AH1671" t="s">
        <v>111</v>
      </c>
      <c r="AI1671" t="s">
        <v>19449</v>
      </c>
      <c r="AJ1671" t="s">
        <v>19450</v>
      </c>
      <c r="AK1671" t="s">
        <v>19451</v>
      </c>
      <c r="AL1671" t="s">
        <v>19452</v>
      </c>
      <c r="AM1671" t="s">
        <v>69</v>
      </c>
      <c r="AN1671">
        <v>60</v>
      </c>
      <c r="AO1671">
        <v>14</v>
      </c>
      <c r="AP1671">
        <v>14</v>
      </c>
      <c r="AQ1671">
        <v>3</v>
      </c>
      <c r="AR1671">
        <v>7</v>
      </c>
      <c r="AS1671" t="s">
        <v>8611</v>
      </c>
      <c r="AT1671" t="s">
        <v>8612</v>
      </c>
      <c r="AU1671" t="s">
        <v>8613</v>
      </c>
      <c r="AV1671" t="s">
        <v>112</v>
      </c>
      <c r="AW1671" t="s">
        <v>113</v>
      </c>
      <c r="AX1671" t="s">
        <v>69</v>
      </c>
      <c r="AY1671" t="s">
        <v>17784</v>
      </c>
      <c r="AZ1671" t="s">
        <v>17785</v>
      </c>
      <c r="BA1671" t="s">
        <v>69</v>
      </c>
      <c r="BB1671">
        <v>2018</v>
      </c>
      <c r="BC1671">
        <v>16</v>
      </c>
      <c r="BD1671">
        <v>3</v>
      </c>
      <c r="BE1671" t="s">
        <v>69</v>
      </c>
      <c r="BF1671" t="s">
        <v>69</v>
      </c>
      <c r="BG1671" t="s">
        <v>114</v>
      </c>
      <c r="BH1671" t="s">
        <v>69</v>
      </c>
      <c r="BI1671">
        <v>315</v>
      </c>
      <c r="BJ1671">
        <v>328</v>
      </c>
      <c r="BK1671" t="s">
        <v>69</v>
      </c>
      <c r="BL1671" t="s">
        <v>115</v>
      </c>
      <c r="BM1671" t="str">
        <f>HYPERLINK("http://dx.doi.org/10.1080/15715124.2017.1387127","http://dx.doi.org/10.1080/15715124.2017.1387127")</f>
        <v>http://dx.doi.org/10.1080/15715124.2017.1387127</v>
      </c>
      <c r="BN1671" t="s">
        <v>69</v>
      </c>
      <c r="BO1671" t="s">
        <v>69</v>
      </c>
      <c r="BP1671">
        <v>14</v>
      </c>
      <c r="BQ1671" t="s">
        <v>9096</v>
      </c>
      <c r="BR1671" t="s">
        <v>8573</v>
      </c>
      <c r="BS1671" t="s">
        <v>9096</v>
      </c>
      <c r="BT1671" t="s">
        <v>19453</v>
      </c>
      <c r="BU1671" t="s">
        <v>116</v>
      </c>
      <c r="BV1671" t="s">
        <v>69</v>
      </c>
      <c r="BW1671" t="s">
        <v>69</v>
      </c>
      <c r="BX1671" t="s">
        <v>69</v>
      </c>
      <c r="BY1671" t="s">
        <v>69</v>
      </c>
      <c r="BZ1671" t="s">
        <v>8526</v>
      </c>
      <c r="CA1671" t="str">
        <f>HYPERLINK("https%3A%2F%2Fwww.webofscience.com%2Fwos%2Fwoscc%2Ffull-record%2FWOS:000438352100007","View Full Record in Web of Science")</f>
        <v>View Full Record in Web of Science</v>
      </c>
    </row>
    <row r="1672" spans="2:79" ht="12.5" x14ac:dyDescent="0.25">
      <c r="B1672" t="s">
        <v>8495</v>
      </c>
      <c r="D1672" s="22" t="s">
        <v>32931</v>
      </c>
      <c r="E1672" s="7"/>
      <c r="F1672" s="7"/>
      <c r="G1672" s="7"/>
      <c r="H1672" t="s">
        <v>67</v>
      </c>
      <c r="I1672" t="s">
        <v>18600</v>
      </c>
      <c r="J1672" t="s">
        <v>69</v>
      </c>
      <c r="K1672" t="s">
        <v>69</v>
      </c>
      <c r="L1672" t="s">
        <v>69</v>
      </c>
      <c r="M1672" t="s">
        <v>18601</v>
      </c>
      <c r="N1672" t="s">
        <v>69</v>
      </c>
      <c r="O1672" t="s">
        <v>69</v>
      </c>
      <c r="P1672" t="s">
        <v>18602</v>
      </c>
      <c r="Q1672" t="s">
        <v>18603</v>
      </c>
      <c r="R1672" t="s">
        <v>69</v>
      </c>
      <c r="S1672" t="s">
        <v>69</v>
      </c>
      <c r="T1672" t="s">
        <v>8505</v>
      </c>
      <c r="U1672" t="s">
        <v>8506</v>
      </c>
      <c r="V1672" t="s">
        <v>69</v>
      </c>
      <c r="W1672" t="s">
        <v>69</v>
      </c>
      <c r="X1672" t="s">
        <v>69</v>
      </c>
      <c r="Y1672" t="s">
        <v>69</v>
      </c>
      <c r="Z1672" t="s">
        <v>69</v>
      </c>
      <c r="AA1672" t="s">
        <v>18604</v>
      </c>
      <c r="AB1672" t="s">
        <v>69</v>
      </c>
      <c r="AC1672" t="s">
        <v>18605</v>
      </c>
      <c r="AD1672" t="s">
        <v>18606</v>
      </c>
      <c r="AE1672" t="s">
        <v>69</v>
      </c>
      <c r="AF1672" t="s">
        <v>18607</v>
      </c>
      <c r="AG1672" t="s">
        <v>69</v>
      </c>
      <c r="AH1672" t="s">
        <v>69</v>
      </c>
      <c r="AI1672" t="s">
        <v>69</v>
      </c>
      <c r="AJ1672" t="s">
        <v>69</v>
      </c>
      <c r="AK1672" t="s">
        <v>69</v>
      </c>
      <c r="AL1672" t="s">
        <v>69</v>
      </c>
      <c r="AM1672" t="s">
        <v>69</v>
      </c>
      <c r="AN1672">
        <v>3</v>
      </c>
      <c r="AO1672">
        <v>0</v>
      </c>
      <c r="AP1672">
        <v>0</v>
      </c>
      <c r="AQ1672">
        <v>2</v>
      </c>
      <c r="AR1672">
        <v>13</v>
      </c>
      <c r="AS1672" t="s">
        <v>14856</v>
      </c>
      <c r="AT1672" t="s">
        <v>11131</v>
      </c>
      <c r="AU1672" t="s">
        <v>14857</v>
      </c>
      <c r="AV1672" t="s">
        <v>18608</v>
      </c>
      <c r="AW1672" t="s">
        <v>18609</v>
      </c>
      <c r="AX1672" t="s">
        <v>69</v>
      </c>
      <c r="AY1672" t="s">
        <v>18610</v>
      </c>
      <c r="AZ1672" t="s">
        <v>18611</v>
      </c>
      <c r="BA1672" t="s">
        <v>1226</v>
      </c>
      <c r="BB1672">
        <v>2018</v>
      </c>
      <c r="BC1672">
        <v>88</v>
      </c>
      <c r="BD1672">
        <v>4</v>
      </c>
      <c r="BE1672" t="s">
        <v>69</v>
      </c>
      <c r="BF1672" t="s">
        <v>69</v>
      </c>
      <c r="BG1672" t="s">
        <v>114</v>
      </c>
      <c r="BH1672" t="s">
        <v>69</v>
      </c>
      <c r="BI1672">
        <v>112</v>
      </c>
      <c r="BJ1672">
        <v>119</v>
      </c>
      <c r="BK1672" t="s">
        <v>69</v>
      </c>
      <c r="BL1672" t="s">
        <v>18612</v>
      </c>
      <c r="BM1672" t="str">
        <f>HYPERLINK("http://dx.doi.org/10.1002/ad.2328","http://dx.doi.org/10.1002/ad.2328")</f>
        <v>http://dx.doi.org/10.1002/ad.2328</v>
      </c>
      <c r="BN1672" t="s">
        <v>69</v>
      </c>
      <c r="BO1672" t="s">
        <v>69</v>
      </c>
      <c r="BP1672">
        <v>8</v>
      </c>
      <c r="BQ1672" t="s">
        <v>8449</v>
      </c>
      <c r="BR1672" t="s">
        <v>11207</v>
      </c>
      <c r="BS1672" t="s">
        <v>8449</v>
      </c>
      <c r="BT1672" t="s">
        <v>18613</v>
      </c>
      <c r="BU1672" t="s">
        <v>18614</v>
      </c>
      <c r="BV1672" t="s">
        <v>69</v>
      </c>
      <c r="BW1672" t="s">
        <v>69</v>
      </c>
      <c r="BX1672" t="s">
        <v>69</v>
      </c>
      <c r="BY1672" t="s">
        <v>69</v>
      </c>
      <c r="BZ1672" t="s">
        <v>8526</v>
      </c>
      <c r="CA1672" t="str">
        <f>HYPERLINK("https%3A%2F%2Fwww.webofscience.com%2Fwos%2Fwoscc%2Ffull-record%2FWOS:000436933600015","View Full Record in Web of Science")</f>
        <v>View Full Record in Web of Science</v>
      </c>
    </row>
    <row r="1673" spans="2:79" ht="12.5" x14ac:dyDescent="0.25">
      <c r="B1673" t="s">
        <v>8495</v>
      </c>
      <c r="D1673" s="22" t="s">
        <v>32931</v>
      </c>
      <c r="E1673" s="7"/>
      <c r="F1673" s="7"/>
      <c r="G1673" s="7"/>
      <c r="H1673" t="s">
        <v>67</v>
      </c>
      <c r="I1673" t="s">
        <v>27657</v>
      </c>
      <c r="J1673" t="s">
        <v>69</v>
      </c>
      <c r="K1673" t="s">
        <v>69</v>
      </c>
      <c r="L1673" t="s">
        <v>69</v>
      </c>
      <c r="M1673" t="s">
        <v>27658</v>
      </c>
      <c r="N1673" t="s">
        <v>69</v>
      </c>
      <c r="O1673" t="s">
        <v>69</v>
      </c>
      <c r="P1673" t="s">
        <v>27659</v>
      </c>
      <c r="Q1673" t="s">
        <v>27660</v>
      </c>
      <c r="R1673" t="s">
        <v>69</v>
      </c>
      <c r="S1673" t="s">
        <v>69</v>
      </c>
      <c r="T1673" t="s">
        <v>8505</v>
      </c>
      <c r="U1673" t="s">
        <v>8506</v>
      </c>
      <c r="V1673" t="s">
        <v>69</v>
      </c>
      <c r="W1673" t="s">
        <v>69</v>
      </c>
      <c r="X1673" t="s">
        <v>69</v>
      </c>
      <c r="Y1673" t="s">
        <v>69</v>
      </c>
      <c r="Z1673" t="s">
        <v>69</v>
      </c>
      <c r="AA1673" t="s">
        <v>27661</v>
      </c>
      <c r="AB1673" t="s">
        <v>27662</v>
      </c>
      <c r="AC1673" t="s">
        <v>27663</v>
      </c>
      <c r="AD1673" t="s">
        <v>27664</v>
      </c>
      <c r="AE1673" t="s">
        <v>69</v>
      </c>
      <c r="AF1673" t="s">
        <v>27665</v>
      </c>
      <c r="AG1673" t="s">
        <v>27666</v>
      </c>
      <c r="AH1673" t="s">
        <v>69</v>
      </c>
      <c r="AI1673" t="s">
        <v>69</v>
      </c>
      <c r="AJ1673" t="s">
        <v>69</v>
      </c>
      <c r="AK1673" t="s">
        <v>69</v>
      </c>
      <c r="AL1673" t="s">
        <v>69</v>
      </c>
      <c r="AM1673" t="s">
        <v>69</v>
      </c>
      <c r="AN1673">
        <v>98</v>
      </c>
      <c r="AO1673">
        <v>3</v>
      </c>
      <c r="AP1673">
        <v>3</v>
      </c>
      <c r="AQ1673">
        <v>0</v>
      </c>
      <c r="AR1673">
        <v>7</v>
      </c>
      <c r="AS1673" t="s">
        <v>27667</v>
      </c>
      <c r="AT1673" t="s">
        <v>27668</v>
      </c>
      <c r="AU1673" t="s">
        <v>27669</v>
      </c>
      <c r="AV1673" t="s">
        <v>27670</v>
      </c>
      <c r="AW1673" t="s">
        <v>27671</v>
      </c>
      <c r="AX1673" t="s">
        <v>69</v>
      </c>
      <c r="AY1673" t="s">
        <v>27672</v>
      </c>
      <c r="AZ1673" t="s">
        <v>27673</v>
      </c>
      <c r="BA1673" t="s">
        <v>201</v>
      </c>
      <c r="BB1673">
        <v>2010</v>
      </c>
      <c r="BC1673">
        <v>10</v>
      </c>
      <c r="BD1673">
        <v>3</v>
      </c>
      <c r="BE1673" t="s">
        <v>69</v>
      </c>
      <c r="BF1673" t="s">
        <v>69</v>
      </c>
      <c r="BG1673" t="s">
        <v>69</v>
      </c>
      <c r="BH1673" t="s">
        <v>69</v>
      </c>
      <c r="BI1673">
        <v>269</v>
      </c>
      <c r="BJ1673">
        <v>278</v>
      </c>
      <c r="BK1673" t="s">
        <v>69</v>
      </c>
      <c r="BL1673" t="s">
        <v>27674</v>
      </c>
      <c r="BM1673" t="str">
        <f>HYPERLINK("http://dx.doi.org/10.1144/1467-7873/09-233","http://dx.doi.org/10.1144/1467-7873/09-233")</f>
        <v>http://dx.doi.org/10.1144/1467-7873/09-233</v>
      </c>
      <c r="BN1673" t="s">
        <v>69</v>
      </c>
      <c r="BO1673" t="s">
        <v>69</v>
      </c>
      <c r="BP1673">
        <v>10</v>
      </c>
      <c r="BQ1673" t="s">
        <v>23600</v>
      </c>
      <c r="BR1673" t="s">
        <v>8548</v>
      </c>
      <c r="BS1673" t="s">
        <v>23600</v>
      </c>
      <c r="BT1673" t="s">
        <v>27675</v>
      </c>
      <c r="BU1673" t="s">
        <v>27676</v>
      </c>
      <c r="BV1673" t="s">
        <v>69</v>
      </c>
      <c r="BW1673" t="s">
        <v>69</v>
      </c>
      <c r="BX1673" t="s">
        <v>69</v>
      </c>
      <c r="BY1673" t="s">
        <v>69</v>
      </c>
      <c r="BZ1673" t="s">
        <v>8526</v>
      </c>
      <c r="CA1673" t="str">
        <f>HYPERLINK("https%3A%2F%2Fwww.webofscience.com%2Fwos%2Fwoscc%2Ffull-record%2FWOS:000281603500006","View Full Record in Web of Science")</f>
        <v>View Full Record in Web of Science</v>
      </c>
    </row>
    <row r="1674" spans="2:79" ht="12.5" x14ac:dyDescent="0.25">
      <c r="B1674" t="s">
        <v>8495</v>
      </c>
      <c r="D1674" s="7" t="s">
        <v>32933</v>
      </c>
      <c r="E1674" s="7"/>
      <c r="F1674" s="7"/>
      <c r="G1674" s="7"/>
      <c r="H1674" t="s">
        <v>67</v>
      </c>
      <c r="I1674" t="s">
        <v>6198</v>
      </c>
      <c r="J1674" t="s">
        <v>69</v>
      </c>
      <c r="K1674" t="s">
        <v>69</v>
      </c>
      <c r="L1674" t="s">
        <v>69</v>
      </c>
      <c r="M1674" t="s">
        <v>6199</v>
      </c>
      <c r="N1674" t="s">
        <v>69</v>
      </c>
      <c r="O1674" t="s">
        <v>69</v>
      </c>
      <c r="P1674" t="s">
        <v>6200</v>
      </c>
      <c r="Q1674" t="s">
        <v>457</v>
      </c>
      <c r="R1674" t="s">
        <v>69</v>
      </c>
      <c r="S1674" t="s">
        <v>69</v>
      </c>
      <c r="T1674" t="s">
        <v>8505</v>
      </c>
      <c r="U1674" t="s">
        <v>8506</v>
      </c>
      <c r="V1674" t="s">
        <v>69</v>
      </c>
      <c r="W1674" t="s">
        <v>69</v>
      </c>
      <c r="X1674" t="s">
        <v>69</v>
      </c>
      <c r="Y1674" t="s">
        <v>69</v>
      </c>
      <c r="Z1674" t="s">
        <v>69</v>
      </c>
      <c r="AA1674" t="s">
        <v>17195</v>
      </c>
      <c r="AB1674" t="s">
        <v>17196</v>
      </c>
      <c r="AC1674" t="s">
        <v>6201</v>
      </c>
      <c r="AD1674" t="s">
        <v>17197</v>
      </c>
      <c r="AE1674" t="s">
        <v>69</v>
      </c>
      <c r="AF1674" t="s">
        <v>17198</v>
      </c>
      <c r="AG1674" t="s">
        <v>17199</v>
      </c>
      <c r="AH1674" t="s">
        <v>6202</v>
      </c>
      <c r="AI1674" t="s">
        <v>6203</v>
      </c>
      <c r="AJ1674" t="s">
        <v>17200</v>
      </c>
      <c r="AK1674" t="s">
        <v>17201</v>
      </c>
      <c r="AL1674" t="s">
        <v>17202</v>
      </c>
      <c r="AM1674" t="s">
        <v>69</v>
      </c>
      <c r="AN1674">
        <v>89</v>
      </c>
      <c r="AO1674">
        <v>3</v>
      </c>
      <c r="AP1674">
        <v>3</v>
      </c>
      <c r="AQ1674">
        <v>2</v>
      </c>
      <c r="AR1674">
        <v>6</v>
      </c>
      <c r="AS1674" t="s">
        <v>17203</v>
      </c>
      <c r="AT1674" t="s">
        <v>17204</v>
      </c>
      <c r="AU1674" t="s">
        <v>17205</v>
      </c>
      <c r="AV1674" t="s">
        <v>461</v>
      </c>
      <c r="AW1674" t="s">
        <v>462</v>
      </c>
      <c r="AX1674" t="s">
        <v>69</v>
      </c>
      <c r="AY1674" t="s">
        <v>17206</v>
      </c>
      <c r="AZ1674" t="s">
        <v>17207</v>
      </c>
      <c r="BA1674" t="s">
        <v>155</v>
      </c>
      <c r="BB1674">
        <v>2019</v>
      </c>
      <c r="BC1674">
        <v>21</v>
      </c>
      <c r="BD1674">
        <v>2</v>
      </c>
      <c r="BE1674" t="s">
        <v>69</v>
      </c>
      <c r="BF1674" t="s">
        <v>69</v>
      </c>
      <c r="BG1674" t="s">
        <v>69</v>
      </c>
      <c r="BH1674" t="s">
        <v>69</v>
      </c>
      <c r="BI1674">
        <v>238</v>
      </c>
      <c r="BJ1674">
        <v>253</v>
      </c>
      <c r="BK1674" t="s">
        <v>69</v>
      </c>
      <c r="BL1674" t="s">
        <v>6204</v>
      </c>
      <c r="BM1674" t="str">
        <f>HYPERLINK("http://dx.doi.org/10.1505/146554819826606522","http://dx.doi.org/10.1505/146554819826606522")</f>
        <v>http://dx.doi.org/10.1505/146554819826606522</v>
      </c>
      <c r="BN1674" t="s">
        <v>69</v>
      </c>
      <c r="BO1674" t="s">
        <v>69</v>
      </c>
      <c r="BP1674">
        <v>16</v>
      </c>
      <c r="BQ1674" t="s">
        <v>8453</v>
      </c>
      <c r="BR1674" t="s">
        <v>8523</v>
      </c>
      <c r="BS1674" t="s">
        <v>8453</v>
      </c>
      <c r="BT1674" t="s">
        <v>17208</v>
      </c>
      <c r="BU1674" t="s">
        <v>6205</v>
      </c>
      <c r="BV1674" t="s">
        <v>69</v>
      </c>
      <c r="BW1674" t="s">
        <v>8622</v>
      </c>
      <c r="BX1674" t="s">
        <v>69</v>
      </c>
      <c r="BY1674" t="s">
        <v>69</v>
      </c>
      <c r="BZ1674" t="s">
        <v>8526</v>
      </c>
      <c r="CA1674" t="str">
        <f>HYPERLINK("https%3A%2F%2Fwww.webofscience.com%2Fwos%2Fwoscc%2Ffull-record%2FWOS:000471806900008","View Full Record in Web of Science")</f>
        <v>View Full Record in Web of Science</v>
      </c>
    </row>
    <row r="1675" spans="2:79" ht="12.5" x14ac:dyDescent="0.25">
      <c r="B1675" t="s">
        <v>8495</v>
      </c>
      <c r="D1675" s="22" t="s">
        <v>32931</v>
      </c>
      <c r="E1675" s="7"/>
      <c r="F1675" s="7"/>
      <c r="G1675" s="7"/>
      <c r="H1675" t="s">
        <v>67</v>
      </c>
      <c r="I1675" t="s">
        <v>19823</v>
      </c>
      <c r="J1675" t="s">
        <v>69</v>
      </c>
      <c r="K1675" t="s">
        <v>69</v>
      </c>
      <c r="L1675" t="s">
        <v>69</v>
      </c>
      <c r="M1675" t="s">
        <v>19824</v>
      </c>
      <c r="N1675" t="s">
        <v>69</v>
      </c>
      <c r="O1675" t="s">
        <v>69</v>
      </c>
      <c r="P1675" t="s">
        <v>19825</v>
      </c>
      <c r="Q1675" t="s">
        <v>19826</v>
      </c>
      <c r="R1675" t="s">
        <v>69</v>
      </c>
      <c r="S1675" t="s">
        <v>69</v>
      </c>
      <c r="T1675" t="s">
        <v>8505</v>
      </c>
      <c r="U1675" t="s">
        <v>8506</v>
      </c>
      <c r="V1675" t="s">
        <v>69</v>
      </c>
      <c r="W1675" t="s">
        <v>69</v>
      </c>
      <c r="X1675" t="s">
        <v>69</v>
      </c>
      <c r="Y1675" t="s">
        <v>69</v>
      </c>
      <c r="Z1675" t="s">
        <v>69</v>
      </c>
      <c r="AA1675" t="s">
        <v>19827</v>
      </c>
      <c r="AB1675" t="s">
        <v>19828</v>
      </c>
      <c r="AC1675" t="s">
        <v>19829</v>
      </c>
      <c r="AD1675" t="s">
        <v>19830</v>
      </c>
      <c r="AE1675" t="s">
        <v>69</v>
      </c>
      <c r="AF1675" t="s">
        <v>19831</v>
      </c>
      <c r="AG1675" t="s">
        <v>19832</v>
      </c>
      <c r="AH1675" t="s">
        <v>19833</v>
      </c>
      <c r="AI1675" t="s">
        <v>19834</v>
      </c>
      <c r="AJ1675" t="s">
        <v>69</v>
      </c>
      <c r="AK1675" t="s">
        <v>69</v>
      </c>
      <c r="AL1675" t="s">
        <v>69</v>
      </c>
      <c r="AM1675" t="s">
        <v>69</v>
      </c>
      <c r="AN1675">
        <v>75</v>
      </c>
      <c r="AO1675">
        <v>4</v>
      </c>
      <c r="AP1675">
        <v>4</v>
      </c>
      <c r="AQ1675">
        <v>2</v>
      </c>
      <c r="AR1675">
        <v>9</v>
      </c>
      <c r="AS1675" t="s">
        <v>16416</v>
      </c>
      <c r="AT1675" t="s">
        <v>16417</v>
      </c>
      <c r="AU1675" t="s">
        <v>16418</v>
      </c>
      <c r="AV1675" t="s">
        <v>19835</v>
      </c>
      <c r="AW1675" t="s">
        <v>19836</v>
      </c>
      <c r="AX1675" t="s">
        <v>69</v>
      </c>
      <c r="AY1675" t="s">
        <v>19837</v>
      </c>
      <c r="AZ1675" t="s">
        <v>19838</v>
      </c>
      <c r="BA1675" t="s">
        <v>274</v>
      </c>
      <c r="BB1675">
        <v>2017</v>
      </c>
      <c r="BC1675">
        <v>13</v>
      </c>
      <c r="BD1675">
        <v>4</v>
      </c>
      <c r="BE1675" t="s">
        <v>69</v>
      </c>
      <c r="BF1675" t="s">
        <v>69</v>
      </c>
      <c r="BG1675" t="s">
        <v>69</v>
      </c>
      <c r="BH1675" t="s">
        <v>69</v>
      </c>
      <c r="BI1675">
        <v>348</v>
      </c>
      <c r="BJ1675">
        <v>359</v>
      </c>
      <c r="BK1675" t="s">
        <v>69</v>
      </c>
      <c r="BL1675" t="s">
        <v>19839</v>
      </c>
      <c r="BM1675" t="str">
        <f>HYPERLINK("http://dx.doi.org/10.1057/s41254-016-0051-5","http://dx.doi.org/10.1057/s41254-016-0051-5")</f>
        <v>http://dx.doi.org/10.1057/s41254-016-0051-5</v>
      </c>
      <c r="BN1675" t="s">
        <v>69</v>
      </c>
      <c r="BO1675" t="s">
        <v>69</v>
      </c>
      <c r="BP1675">
        <v>12</v>
      </c>
      <c r="BQ1675" t="s">
        <v>10278</v>
      </c>
      <c r="BR1675" t="s">
        <v>8573</v>
      </c>
      <c r="BS1675" t="s">
        <v>10279</v>
      </c>
      <c r="BT1675" t="s">
        <v>19840</v>
      </c>
      <c r="BU1675" t="s">
        <v>19841</v>
      </c>
      <c r="BV1675" t="s">
        <v>69</v>
      </c>
      <c r="BW1675" t="s">
        <v>69</v>
      </c>
      <c r="BX1675" t="s">
        <v>69</v>
      </c>
      <c r="BY1675" t="s">
        <v>69</v>
      </c>
      <c r="BZ1675" t="s">
        <v>8526</v>
      </c>
      <c r="CA1675" t="str">
        <f>HYPERLINK("https%3A%2F%2Fwww.webofscience.com%2Fwos%2Fwoscc%2Ffull-record%2FWOS:000413188100006","View Full Record in Web of Science")</f>
        <v>View Full Record in Web of Science</v>
      </c>
    </row>
    <row r="1676" spans="2:79" x14ac:dyDescent="0.3">
      <c r="C1676" s="7" t="s">
        <v>8458</v>
      </c>
      <c r="F1676" s="10" t="s">
        <v>8490</v>
      </c>
      <c r="I1676" t="s">
        <v>8465</v>
      </c>
      <c r="P1676" s="7" t="s">
        <v>8466</v>
      </c>
      <c r="Q1676" s="7" t="s">
        <v>8467</v>
      </c>
      <c r="AC1676" s="7" t="s">
        <v>33212</v>
      </c>
      <c r="BB1676">
        <v>2017</v>
      </c>
      <c r="BM1676" s="23" t="s">
        <v>8468</v>
      </c>
    </row>
    <row r="1677" spans="2:79" ht="12.5" x14ac:dyDescent="0.25">
      <c r="B1677" t="s">
        <v>8495</v>
      </c>
      <c r="D1677" s="7" t="s">
        <v>32933</v>
      </c>
      <c r="E1677" s="7"/>
      <c r="F1677" s="7"/>
      <c r="G1677" s="7"/>
      <c r="H1677" t="s">
        <v>67</v>
      </c>
      <c r="I1677" t="s">
        <v>5899</v>
      </c>
      <c r="J1677" t="s">
        <v>69</v>
      </c>
      <c r="K1677" t="s">
        <v>69</v>
      </c>
      <c r="L1677" t="s">
        <v>69</v>
      </c>
      <c r="M1677" t="s">
        <v>5900</v>
      </c>
      <c r="N1677" t="s">
        <v>69</v>
      </c>
      <c r="O1677" t="s">
        <v>69</v>
      </c>
      <c r="P1677" t="s">
        <v>5901</v>
      </c>
      <c r="Q1677" t="s">
        <v>5902</v>
      </c>
      <c r="R1677" t="s">
        <v>69</v>
      </c>
      <c r="S1677" t="s">
        <v>69</v>
      </c>
      <c r="T1677" t="s">
        <v>14800</v>
      </c>
      <c r="U1677" t="s">
        <v>8506</v>
      </c>
      <c r="V1677" t="s">
        <v>69</v>
      </c>
      <c r="W1677" t="s">
        <v>69</v>
      </c>
      <c r="X1677" t="s">
        <v>69</v>
      </c>
      <c r="Y1677" t="s">
        <v>69</v>
      </c>
      <c r="Z1677" t="s">
        <v>69</v>
      </c>
      <c r="AA1677" t="s">
        <v>69</v>
      </c>
      <c r="AB1677" t="s">
        <v>69</v>
      </c>
      <c r="AC1677" t="s">
        <v>5903</v>
      </c>
      <c r="AD1677" t="s">
        <v>69</v>
      </c>
      <c r="AE1677" t="s">
        <v>69</v>
      </c>
      <c r="AF1677" t="s">
        <v>69</v>
      </c>
      <c r="AG1677" t="s">
        <v>69</v>
      </c>
      <c r="AH1677" t="s">
        <v>69</v>
      </c>
      <c r="AI1677" t="s">
        <v>69</v>
      </c>
      <c r="AJ1677" t="s">
        <v>69</v>
      </c>
      <c r="AK1677" t="s">
        <v>69</v>
      </c>
      <c r="AL1677" t="s">
        <v>69</v>
      </c>
      <c r="AM1677" t="s">
        <v>69</v>
      </c>
      <c r="AN1677">
        <v>50</v>
      </c>
      <c r="AO1677">
        <v>2</v>
      </c>
      <c r="AP1677">
        <v>2</v>
      </c>
      <c r="AQ1677">
        <v>0</v>
      </c>
      <c r="AR1677">
        <v>0</v>
      </c>
      <c r="AS1677" t="s">
        <v>25799</v>
      </c>
      <c r="AT1677" t="s">
        <v>21341</v>
      </c>
      <c r="AU1677" t="s">
        <v>25800</v>
      </c>
      <c r="AV1677" t="s">
        <v>5904</v>
      </c>
      <c r="AW1677" t="s">
        <v>69</v>
      </c>
      <c r="AX1677" t="s">
        <v>69</v>
      </c>
      <c r="AY1677" t="s">
        <v>25801</v>
      </c>
      <c r="AZ1677" t="s">
        <v>25802</v>
      </c>
      <c r="BA1677" t="s">
        <v>255</v>
      </c>
      <c r="BB1677">
        <v>2012</v>
      </c>
      <c r="BC1677" t="s">
        <v>69</v>
      </c>
      <c r="BD1677">
        <v>194</v>
      </c>
      <c r="BE1677" t="s">
        <v>69</v>
      </c>
      <c r="BF1677" t="s">
        <v>69</v>
      </c>
      <c r="BG1677" t="s">
        <v>69</v>
      </c>
      <c r="BH1677" t="s">
        <v>69</v>
      </c>
      <c r="BI1677">
        <v>32</v>
      </c>
      <c r="BJ1677" t="s">
        <v>219</v>
      </c>
      <c r="BK1677" t="s">
        <v>69</v>
      </c>
      <c r="BL1677" t="s">
        <v>69</v>
      </c>
      <c r="BM1677" t="s">
        <v>69</v>
      </c>
      <c r="BN1677" t="s">
        <v>69</v>
      </c>
      <c r="BO1677" t="s">
        <v>69</v>
      </c>
      <c r="BP1677">
        <v>21</v>
      </c>
      <c r="BQ1677" t="s">
        <v>10299</v>
      </c>
      <c r="BR1677" t="s">
        <v>8661</v>
      </c>
      <c r="BS1677" t="s">
        <v>10279</v>
      </c>
      <c r="BT1677" t="s">
        <v>25803</v>
      </c>
      <c r="BU1677" t="s">
        <v>5905</v>
      </c>
      <c r="BV1677" t="s">
        <v>69</v>
      </c>
      <c r="BW1677" t="s">
        <v>69</v>
      </c>
      <c r="BX1677" t="s">
        <v>69</v>
      </c>
      <c r="BY1677" t="s">
        <v>69</v>
      </c>
      <c r="BZ1677" t="s">
        <v>8526</v>
      </c>
      <c r="CA1677" t="str">
        <f>HYPERLINK("https%3A%2F%2Fwww.webofscience.com%2Fwos%2Fwoscc%2Ffull-record%2FWOS:000309896700003","View Full Record in Web of Science")</f>
        <v>View Full Record in Web of Science</v>
      </c>
    </row>
    <row r="1678" spans="2:79" x14ac:dyDescent="0.3">
      <c r="B1678" t="s">
        <v>8495</v>
      </c>
      <c r="D1678" s="9" t="s">
        <v>32954</v>
      </c>
      <c r="E1678" s="9" t="s">
        <v>33133</v>
      </c>
      <c r="F1678" s="9" t="s">
        <v>8491</v>
      </c>
      <c r="G1678" s="9" t="s">
        <v>8490</v>
      </c>
      <c r="H1678" t="s">
        <v>67</v>
      </c>
      <c r="I1678" t="s">
        <v>10087</v>
      </c>
      <c r="J1678" t="s">
        <v>69</v>
      </c>
      <c r="K1678" t="s">
        <v>69</v>
      </c>
      <c r="L1678" t="s">
        <v>69</v>
      </c>
      <c r="M1678" t="s">
        <v>10088</v>
      </c>
      <c r="N1678" t="s">
        <v>69</v>
      </c>
      <c r="O1678" t="s">
        <v>69</v>
      </c>
      <c r="P1678" t="s">
        <v>10089</v>
      </c>
      <c r="Q1678" t="s">
        <v>10090</v>
      </c>
      <c r="R1678" t="s">
        <v>69</v>
      </c>
      <c r="S1678" t="s">
        <v>69</v>
      </c>
      <c r="T1678" t="s">
        <v>8505</v>
      </c>
      <c r="U1678" t="s">
        <v>8506</v>
      </c>
      <c r="V1678" t="s">
        <v>69</v>
      </c>
      <c r="W1678" t="s">
        <v>69</v>
      </c>
      <c r="X1678" t="s">
        <v>69</v>
      </c>
      <c r="Y1678" t="s">
        <v>69</v>
      </c>
      <c r="Z1678" t="s">
        <v>69</v>
      </c>
      <c r="AA1678" t="s">
        <v>10091</v>
      </c>
      <c r="AB1678" t="s">
        <v>10092</v>
      </c>
      <c r="AC1678" t="s">
        <v>10093</v>
      </c>
      <c r="AD1678" t="s">
        <v>10094</v>
      </c>
      <c r="AE1678" t="s">
        <v>69</v>
      </c>
      <c r="AF1678" t="s">
        <v>10095</v>
      </c>
      <c r="AG1678" t="s">
        <v>10096</v>
      </c>
      <c r="AH1678" t="s">
        <v>69</v>
      </c>
      <c r="AI1678" t="s">
        <v>69</v>
      </c>
      <c r="AJ1678" t="s">
        <v>69</v>
      </c>
      <c r="AK1678" t="s">
        <v>69</v>
      </c>
      <c r="AL1678" t="s">
        <v>69</v>
      </c>
      <c r="AM1678" t="s">
        <v>69</v>
      </c>
      <c r="AN1678">
        <v>55</v>
      </c>
      <c r="AO1678">
        <v>0</v>
      </c>
      <c r="AP1678">
        <v>0</v>
      </c>
      <c r="AQ1678">
        <v>0</v>
      </c>
      <c r="AR1678">
        <v>0</v>
      </c>
      <c r="AS1678" t="s">
        <v>10097</v>
      </c>
      <c r="AT1678" t="s">
        <v>10098</v>
      </c>
      <c r="AU1678" t="s">
        <v>10099</v>
      </c>
      <c r="AV1678" t="s">
        <v>10100</v>
      </c>
      <c r="AW1678" t="s">
        <v>10101</v>
      </c>
      <c r="AX1678" t="s">
        <v>69</v>
      </c>
      <c r="AY1678" t="s">
        <v>10102</v>
      </c>
      <c r="AZ1678" t="s">
        <v>10103</v>
      </c>
      <c r="BA1678" t="s">
        <v>69</v>
      </c>
      <c r="BB1678">
        <v>2022</v>
      </c>
      <c r="BC1678">
        <v>27</v>
      </c>
      <c r="BD1678">
        <v>1</v>
      </c>
      <c r="BE1678" t="s">
        <v>69</v>
      </c>
      <c r="BF1678" t="s">
        <v>69</v>
      </c>
      <c r="BG1678" t="s">
        <v>69</v>
      </c>
      <c r="BH1678" t="s">
        <v>69</v>
      </c>
      <c r="BI1678">
        <v>173</v>
      </c>
      <c r="BJ1678">
        <v>188</v>
      </c>
      <c r="BK1678" t="s">
        <v>69</v>
      </c>
      <c r="BL1678" t="s">
        <v>10104</v>
      </c>
      <c r="BM1678" t="str">
        <f>HYPERLINK("http://dx.doi.org/10.21315/jcdc2022.27.1.10","http://dx.doi.org/10.21315/jcdc2022.27.1.10")</f>
        <v>http://dx.doi.org/10.21315/jcdc2022.27.1.10</v>
      </c>
      <c r="BN1678" t="s">
        <v>69</v>
      </c>
      <c r="BO1678" t="s">
        <v>69</v>
      </c>
      <c r="BP1678">
        <v>16</v>
      </c>
      <c r="BQ1678" t="s">
        <v>10105</v>
      </c>
      <c r="BR1678" t="s">
        <v>8573</v>
      </c>
      <c r="BS1678" t="s">
        <v>10105</v>
      </c>
      <c r="BT1678" t="s">
        <v>10106</v>
      </c>
      <c r="BU1678" t="s">
        <v>10107</v>
      </c>
      <c r="BV1678" t="s">
        <v>69</v>
      </c>
      <c r="BW1678" t="s">
        <v>8931</v>
      </c>
      <c r="BX1678" t="s">
        <v>69</v>
      </c>
      <c r="BY1678" t="s">
        <v>69</v>
      </c>
      <c r="BZ1678" t="s">
        <v>8526</v>
      </c>
      <c r="CA1678" t="str">
        <f>HYPERLINK("https%3A%2F%2Fwww.webofscience.com%2Fwos%2Fwoscc%2Ffull-record%2FWOS:000822267100010","View Full Record in Web of Science")</f>
        <v>View Full Record in Web of Science</v>
      </c>
    </row>
    <row r="1679" spans="2:79" ht="12.5" x14ac:dyDescent="0.25">
      <c r="B1679" t="s">
        <v>8495</v>
      </c>
      <c r="D1679" s="22" t="s">
        <v>32931</v>
      </c>
      <c r="E1679" s="7"/>
      <c r="F1679" s="7"/>
      <c r="G1679" s="7"/>
      <c r="H1679" t="s">
        <v>67</v>
      </c>
      <c r="I1679" t="s">
        <v>11977</v>
      </c>
      <c r="J1679" t="s">
        <v>69</v>
      </c>
      <c r="K1679" t="s">
        <v>69</v>
      </c>
      <c r="L1679" t="s">
        <v>69</v>
      </c>
      <c r="M1679" t="s">
        <v>11978</v>
      </c>
      <c r="N1679" t="s">
        <v>69</v>
      </c>
      <c r="O1679" t="s">
        <v>69</v>
      </c>
      <c r="P1679" t="s">
        <v>11979</v>
      </c>
      <c r="Q1679" t="s">
        <v>5162</v>
      </c>
      <c r="R1679" t="s">
        <v>69</v>
      </c>
      <c r="S1679" t="s">
        <v>69</v>
      </c>
      <c r="T1679" t="s">
        <v>8505</v>
      </c>
      <c r="U1679" t="s">
        <v>8506</v>
      </c>
      <c r="V1679" t="s">
        <v>69</v>
      </c>
      <c r="W1679" t="s">
        <v>69</v>
      </c>
      <c r="X1679" t="s">
        <v>69</v>
      </c>
      <c r="Y1679" t="s">
        <v>69</v>
      </c>
      <c r="Z1679" t="s">
        <v>69</v>
      </c>
      <c r="AA1679" t="s">
        <v>11980</v>
      </c>
      <c r="AB1679" t="s">
        <v>69</v>
      </c>
      <c r="AC1679" t="s">
        <v>11981</v>
      </c>
      <c r="AD1679" t="s">
        <v>11982</v>
      </c>
      <c r="AE1679" t="s">
        <v>69</v>
      </c>
      <c r="AF1679" t="s">
        <v>11983</v>
      </c>
      <c r="AG1679" t="s">
        <v>11984</v>
      </c>
      <c r="AH1679" t="s">
        <v>11985</v>
      </c>
      <c r="AI1679" t="s">
        <v>11986</v>
      </c>
      <c r="AJ1679" t="s">
        <v>69</v>
      </c>
      <c r="AK1679" t="s">
        <v>69</v>
      </c>
      <c r="AL1679" t="s">
        <v>69</v>
      </c>
      <c r="AM1679" t="s">
        <v>69</v>
      </c>
      <c r="AN1679">
        <v>22</v>
      </c>
      <c r="AO1679">
        <v>1</v>
      </c>
      <c r="AP1679">
        <v>1</v>
      </c>
      <c r="AQ1679">
        <v>2</v>
      </c>
      <c r="AR1679">
        <v>5</v>
      </c>
      <c r="AS1679" t="s">
        <v>8636</v>
      </c>
      <c r="AT1679" t="s">
        <v>8637</v>
      </c>
      <c r="AU1679" t="s">
        <v>8638</v>
      </c>
      <c r="AV1679" t="s">
        <v>5164</v>
      </c>
      <c r="AW1679" t="s">
        <v>5165</v>
      </c>
      <c r="AX1679" t="s">
        <v>69</v>
      </c>
      <c r="AY1679" t="s">
        <v>11987</v>
      </c>
      <c r="AZ1679" t="s">
        <v>11988</v>
      </c>
      <c r="BA1679" t="s">
        <v>255</v>
      </c>
      <c r="BB1679">
        <v>2021</v>
      </c>
      <c r="BC1679">
        <v>131</v>
      </c>
      <c r="BD1679" t="s">
        <v>69</v>
      </c>
      <c r="BE1679" t="s">
        <v>69</v>
      </c>
      <c r="BF1679" t="s">
        <v>69</v>
      </c>
      <c r="BG1679" t="s">
        <v>69</v>
      </c>
      <c r="BH1679" t="s">
        <v>69</v>
      </c>
      <c r="BI1679" t="s">
        <v>69</v>
      </c>
      <c r="BJ1679" t="s">
        <v>69</v>
      </c>
      <c r="BK1679">
        <v>104612</v>
      </c>
      <c r="BL1679" t="s">
        <v>11989</v>
      </c>
      <c r="BM1679" t="str">
        <f>HYPERLINK("http://dx.doi.org/10.1016/j.marpol.2021.104612","http://dx.doi.org/10.1016/j.marpol.2021.104612")</f>
        <v>http://dx.doi.org/10.1016/j.marpol.2021.104612</v>
      </c>
      <c r="BN1679" t="s">
        <v>69</v>
      </c>
      <c r="BO1679" t="s">
        <v>11920</v>
      </c>
      <c r="BP1679">
        <v>4</v>
      </c>
      <c r="BQ1679" t="s">
        <v>11990</v>
      </c>
      <c r="BR1679" t="s">
        <v>8661</v>
      </c>
      <c r="BS1679" t="s">
        <v>11991</v>
      </c>
      <c r="BT1679" t="s">
        <v>11992</v>
      </c>
      <c r="BU1679" t="s">
        <v>11993</v>
      </c>
      <c r="BV1679" t="s">
        <v>69</v>
      </c>
      <c r="BW1679" t="s">
        <v>10995</v>
      </c>
      <c r="BX1679" t="s">
        <v>69</v>
      </c>
      <c r="BY1679" t="s">
        <v>69</v>
      </c>
      <c r="BZ1679" t="s">
        <v>8526</v>
      </c>
      <c r="CA1679" t="str">
        <f>HYPERLINK("https%3A%2F%2Fwww.webofscience.com%2Fwos%2Fwoscc%2Ffull-record%2FWOS:000683462900021","View Full Record in Web of Science")</f>
        <v>View Full Record in Web of Science</v>
      </c>
    </row>
    <row r="1680" spans="2:79" ht="12.5" x14ac:dyDescent="0.25">
      <c r="B1680" t="s">
        <v>8495</v>
      </c>
      <c r="D1680" s="22" t="s">
        <v>32931</v>
      </c>
      <c r="E1680" s="7"/>
      <c r="F1680" s="7"/>
      <c r="G1680" s="7"/>
      <c r="H1680" t="s">
        <v>67</v>
      </c>
      <c r="I1680" t="s">
        <v>25275</v>
      </c>
      <c r="J1680" t="s">
        <v>69</v>
      </c>
      <c r="K1680" t="s">
        <v>69</v>
      </c>
      <c r="L1680" t="s">
        <v>69</v>
      </c>
      <c r="M1680" t="s">
        <v>25276</v>
      </c>
      <c r="N1680" t="s">
        <v>69</v>
      </c>
      <c r="O1680" t="s">
        <v>69</v>
      </c>
      <c r="P1680" t="s">
        <v>25277</v>
      </c>
      <c r="Q1680" t="s">
        <v>6384</v>
      </c>
      <c r="R1680" t="s">
        <v>69</v>
      </c>
      <c r="S1680" t="s">
        <v>69</v>
      </c>
      <c r="T1680" t="s">
        <v>8505</v>
      </c>
      <c r="U1680" t="s">
        <v>8506</v>
      </c>
      <c r="V1680" t="s">
        <v>69</v>
      </c>
      <c r="W1680" t="s">
        <v>69</v>
      </c>
      <c r="X1680" t="s">
        <v>69</v>
      </c>
      <c r="Y1680" t="s">
        <v>69</v>
      </c>
      <c r="Z1680" t="s">
        <v>69</v>
      </c>
      <c r="AA1680" t="s">
        <v>25278</v>
      </c>
      <c r="AB1680" t="s">
        <v>25279</v>
      </c>
      <c r="AC1680" t="s">
        <v>25280</v>
      </c>
      <c r="AD1680" t="s">
        <v>25281</v>
      </c>
      <c r="AE1680" t="s">
        <v>69</v>
      </c>
      <c r="AF1680" t="s">
        <v>25282</v>
      </c>
      <c r="AG1680" t="s">
        <v>25283</v>
      </c>
      <c r="AH1680" t="s">
        <v>25284</v>
      </c>
      <c r="AI1680" t="s">
        <v>25285</v>
      </c>
      <c r="AJ1680" t="s">
        <v>69</v>
      </c>
      <c r="AK1680" t="s">
        <v>69</v>
      </c>
      <c r="AL1680" t="s">
        <v>69</v>
      </c>
      <c r="AM1680" t="s">
        <v>69</v>
      </c>
      <c r="AN1680">
        <v>36</v>
      </c>
      <c r="AO1680">
        <v>4</v>
      </c>
      <c r="AP1680">
        <v>5</v>
      </c>
      <c r="AQ1680">
        <v>0</v>
      </c>
      <c r="AR1680">
        <v>8</v>
      </c>
      <c r="AS1680" t="s">
        <v>8586</v>
      </c>
      <c r="AT1680" t="s">
        <v>8587</v>
      </c>
      <c r="AU1680" t="s">
        <v>8588</v>
      </c>
      <c r="AV1680" t="s">
        <v>6388</v>
      </c>
      <c r="AW1680" t="s">
        <v>6389</v>
      </c>
      <c r="AX1680" t="s">
        <v>69</v>
      </c>
      <c r="AY1680" t="s">
        <v>22185</v>
      </c>
      <c r="AZ1680" t="s">
        <v>22186</v>
      </c>
      <c r="BA1680" t="s">
        <v>69</v>
      </c>
      <c r="BB1680">
        <v>2013</v>
      </c>
      <c r="BC1680">
        <v>26</v>
      </c>
      <c r="BD1680">
        <v>1</v>
      </c>
      <c r="BE1680" t="s">
        <v>69</v>
      </c>
      <c r="BF1680" t="s">
        <v>69</v>
      </c>
      <c r="BG1680" t="s">
        <v>69</v>
      </c>
      <c r="BH1680" t="s">
        <v>69</v>
      </c>
      <c r="BI1680">
        <v>170</v>
      </c>
      <c r="BJ1680">
        <v>188</v>
      </c>
      <c r="BK1680" t="s">
        <v>69</v>
      </c>
      <c r="BL1680" t="s">
        <v>25286</v>
      </c>
      <c r="BM1680" t="str">
        <f>HYPERLINK("http://dx.doi.org/10.1108/ARLA-05-2013-0044","http://dx.doi.org/10.1108/ARLA-05-2013-0044")</f>
        <v>http://dx.doi.org/10.1108/ARLA-05-2013-0044</v>
      </c>
      <c r="BN1680" t="s">
        <v>69</v>
      </c>
      <c r="BO1680" t="s">
        <v>69</v>
      </c>
      <c r="BP1680">
        <v>19</v>
      </c>
      <c r="BQ1680" t="s">
        <v>8791</v>
      </c>
      <c r="BR1680" t="s">
        <v>8661</v>
      </c>
      <c r="BS1680" t="s">
        <v>8594</v>
      </c>
      <c r="BT1680" t="s">
        <v>25287</v>
      </c>
      <c r="BU1680" t="s">
        <v>25288</v>
      </c>
      <c r="BV1680" t="s">
        <v>69</v>
      </c>
      <c r="BW1680" t="s">
        <v>69</v>
      </c>
      <c r="BX1680" t="s">
        <v>69</v>
      </c>
      <c r="BY1680" t="s">
        <v>69</v>
      </c>
      <c r="BZ1680" t="s">
        <v>8526</v>
      </c>
      <c r="CA1680" t="str">
        <f>HYPERLINK("https%3A%2F%2Fwww.webofscience.com%2Fwos%2Fwoscc%2Ffull-record%2FWOS:000325909900008","View Full Record in Web of Science")</f>
        <v>View Full Record in Web of Science</v>
      </c>
    </row>
    <row r="1681" spans="2:79" ht="12.5" x14ac:dyDescent="0.25">
      <c r="B1681" t="s">
        <v>8495</v>
      </c>
      <c r="D1681" s="7" t="s">
        <v>32933</v>
      </c>
      <c r="E1681" s="7"/>
      <c r="F1681" s="7"/>
      <c r="G1681" s="7"/>
      <c r="H1681" t="s">
        <v>67</v>
      </c>
      <c r="I1681" t="s">
        <v>5159</v>
      </c>
      <c r="J1681" t="s">
        <v>69</v>
      </c>
      <c r="K1681" t="s">
        <v>69</v>
      </c>
      <c r="L1681" t="s">
        <v>69</v>
      </c>
      <c r="M1681" t="s">
        <v>5160</v>
      </c>
      <c r="N1681" t="s">
        <v>69</v>
      </c>
      <c r="O1681" t="s">
        <v>69</v>
      </c>
      <c r="P1681" t="s">
        <v>5161</v>
      </c>
      <c r="Q1681" t="s">
        <v>5162</v>
      </c>
      <c r="R1681" t="s">
        <v>69</v>
      </c>
      <c r="S1681" t="s">
        <v>69</v>
      </c>
      <c r="T1681" t="s">
        <v>8505</v>
      </c>
      <c r="U1681" t="s">
        <v>8506</v>
      </c>
      <c r="V1681" t="s">
        <v>69</v>
      </c>
      <c r="W1681" t="s">
        <v>69</v>
      </c>
      <c r="X1681" t="s">
        <v>69</v>
      </c>
      <c r="Y1681" t="s">
        <v>69</v>
      </c>
      <c r="Z1681" t="s">
        <v>69</v>
      </c>
      <c r="AA1681" t="s">
        <v>21591</v>
      </c>
      <c r="AB1681" t="s">
        <v>21592</v>
      </c>
      <c r="AC1681" t="s">
        <v>5163</v>
      </c>
      <c r="AD1681" t="s">
        <v>21593</v>
      </c>
      <c r="AE1681" t="s">
        <v>69</v>
      </c>
      <c r="AF1681" t="s">
        <v>21594</v>
      </c>
      <c r="AG1681" t="s">
        <v>21595</v>
      </c>
      <c r="AH1681" t="s">
        <v>21596</v>
      </c>
      <c r="AI1681" t="s">
        <v>21597</v>
      </c>
      <c r="AJ1681" t="s">
        <v>21598</v>
      </c>
      <c r="AK1681" t="s">
        <v>21599</v>
      </c>
      <c r="AL1681" t="s">
        <v>21600</v>
      </c>
      <c r="AM1681" t="s">
        <v>69</v>
      </c>
      <c r="AN1681">
        <v>65</v>
      </c>
      <c r="AO1681">
        <v>27</v>
      </c>
      <c r="AP1681">
        <v>27</v>
      </c>
      <c r="AQ1681">
        <v>2</v>
      </c>
      <c r="AR1681">
        <v>22</v>
      </c>
      <c r="AS1681" t="s">
        <v>8636</v>
      </c>
      <c r="AT1681" t="s">
        <v>8637</v>
      </c>
      <c r="AU1681" t="s">
        <v>8638</v>
      </c>
      <c r="AV1681" t="s">
        <v>5164</v>
      </c>
      <c r="AW1681" t="s">
        <v>5165</v>
      </c>
      <c r="AX1681" t="s">
        <v>69</v>
      </c>
      <c r="AY1681" t="s">
        <v>11987</v>
      </c>
      <c r="AZ1681" t="s">
        <v>11988</v>
      </c>
      <c r="BA1681" t="s">
        <v>84</v>
      </c>
      <c r="BB1681">
        <v>2016</v>
      </c>
      <c r="BC1681">
        <v>69</v>
      </c>
      <c r="BD1681" t="s">
        <v>69</v>
      </c>
      <c r="BE1681" t="s">
        <v>69</v>
      </c>
      <c r="BF1681" t="s">
        <v>69</v>
      </c>
      <c r="BG1681" t="s">
        <v>69</v>
      </c>
      <c r="BH1681" t="s">
        <v>69</v>
      </c>
      <c r="BI1681">
        <v>146</v>
      </c>
      <c r="BJ1681">
        <v>158</v>
      </c>
      <c r="BK1681" t="s">
        <v>69</v>
      </c>
      <c r="BL1681" t="s">
        <v>5166</v>
      </c>
      <c r="BM1681" t="str">
        <f>HYPERLINK("http://dx.doi.org/10.1016/j.marpol.2016.04.012","http://dx.doi.org/10.1016/j.marpol.2016.04.012")</f>
        <v>http://dx.doi.org/10.1016/j.marpol.2016.04.012</v>
      </c>
      <c r="BN1681" t="s">
        <v>69</v>
      </c>
      <c r="BO1681" t="s">
        <v>69</v>
      </c>
      <c r="BP1681">
        <v>13</v>
      </c>
      <c r="BQ1681" t="s">
        <v>11990</v>
      </c>
      <c r="BR1681" t="s">
        <v>8661</v>
      </c>
      <c r="BS1681" t="s">
        <v>11991</v>
      </c>
      <c r="BT1681" t="s">
        <v>21601</v>
      </c>
      <c r="BU1681" t="s">
        <v>5167</v>
      </c>
      <c r="BV1681" t="s">
        <v>69</v>
      </c>
      <c r="BW1681" t="s">
        <v>10995</v>
      </c>
      <c r="BX1681" t="s">
        <v>69</v>
      </c>
      <c r="BY1681" t="s">
        <v>69</v>
      </c>
      <c r="BZ1681" t="s">
        <v>8526</v>
      </c>
      <c r="CA1681" t="str">
        <f>HYPERLINK("https%3A%2F%2Fwww.webofscience.com%2Fwos%2Fwoscc%2Ffull-record%2FWOS:000377228800016","View Full Record in Web of Science")</f>
        <v>View Full Record in Web of Science</v>
      </c>
    </row>
    <row r="1682" spans="2:79" x14ac:dyDescent="0.3">
      <c r="B1682" t="s">
        <v>8495</v>
      </c>
      <c r="D1682" s="12" t="s">
        <v>32971</v>
      </c>
      <c r="H1682" t="s">
        <v>67</v>
      </c>
      <c r="I1682" t="s">
        <v>7600</v>
      </c>
      <c r="J1682" t="s">
        <v>69</v>
      </c>
      <c r="K1682" t="s">
        <v>69</v>
      </c>
      <c r="L1682" t="s">
        <v>69</v>
      </c>
      <c r="M1682" s="3" t="s">
        <v>7601</v>
      </c>
      <c r="N1682" t="s">
        <v>69</v>
      </c>
      <c r="O1682" t="s">
        <v>69</v>
      </c>
      <c r="P1682" s="2" t="s">
        <v>7602</v>
      </c>
      <c r="Q1682" t="s">
        <v>7603</v>
      </c>
      <c r="R1682" t="s">
        <v>69</v>
      </c>
      <c r="S1682" t="s">
        <v>69</v>
      </c>
      <c r="T1682" t="s">
        <v>8505</v>
      </c>
      <c r="U1682" t="s">
        <v>8506</v>
      </c>
      <c r="V1682" t="s">
        <v>69</v>
      </c>
      <c r="W1682" t="s">
        <v>69</v>
      </c>
      <c r="X1682" t="s">
        <v>69</v>
      </c>
      <c r="Y1682" t="s">
        <v>69</v>
      </c>
      <c r="Z1682" t="s">
        <v>69</v>
      </c>
      <c r="AA1682" t="s">
        <v>69</v>
      </c>
      <c r="AB1682" t="s">
        <v>69</v>
      </c>
      <c r="AC1682" t="s">
        <v>7604</v>
      </c>
      <c r="AD1682" t="s">
        <v>27125</v>
      </c>
      <c r="AE1682" t="s">
        <v>69</v>
      </c>
      <c r="AF1682" t="s">
        <v>69</v>
      </c>
      <c r="AG1682" t="s">
        <v>69</v>
      </c>
      <c r="AH1682" t="s">
        <v>69</v>
      </c>
      <c r="AI1682" t="s">
        <v>69</v>
      </c>
      <c r="AJ1682" t="s">
        <v>69</v>
      </c>
      <c r="AK1682" t="s">
        <v>69</v>
      </c>
      <c r="AL1682" t="s">
        <v>69</v>
      </c>
      <c r="AM1682" t="s">
        <v>69</v>
      </c>
      <c r="AN1682">
        <v>17</v>
      </c>
      <c r="AO1682">
        <v>2</v>
      </c>
      <c r="AP1682">
        <v>2</v>
      </c>
      <c r="AQ1682">
        <v>0</v>
      </c>
      <c r="AR1682">
        <v>0</v>
      </c>
      <c r="AS1682" t="s">
        <v>21110</v>
      </c>
      <c r="AT1682" t="s">
        <v>26670</v>
      </c>
      <c r="AU1682" t="s">
        <v>26671</v>
      </c>
      <c r="AV1682" t="s">
        <v>7605</v>
      </c>
      <c r="AW1682" t="s">
        <v>69</v>
      </c>
      <c r="AX1682" t="s">
        <v>69</v>
      </c>
      <c r="AY1682" t="s">
        <v>27126</v>
      </c>
      <c r="AZ1682" t="s">
        <v>27127</v>
      </c>
      <c r="BA1682" t="s">
        <v>94</v>
      </c>
      <c r="BB1682">
        <v>2011</v>
      </c>
      <c r="BC1682">
        <v>13</v>
      </c>
      <c r="BD1682">
        <v>1</v>
      </c>
      <c r="BE1682" t="s">
        <v>69</v>
      </c>
      <c r="BF1682" t="s">
        <v>69</v>
      </c>
      <c r="BG1682" t="s">
        <v>69</v>
      </c>
      <c r="BH1682" t="s">
        <v>69</v>
      </c>
      <c r="BI1682">
        <v>18</v>
      </c>
      <c r="BJ1682">
        <v>23</v>
      </c>
      <c r="BK1682" t="s">
        <v>69</v>
      </c>
      <c r="BL1682" t="s">
        <v>7606</v>
      </c>
      <c r="BM1682" t="str">
        <f>HYPERLINK("http://dx.doi.org/10.1111/j.1468-2486.2010.00994.x","http://dx.doi.org/10.1111/j.1468-2486.2010.00994.x")</f>
        <v>http://dx.doi.org/10.1111/j.1468-2486.2010.00994.x</v>
      </c>
      <c r="BN1682" t="s">
        <v>69</v>
      </c>
      <c r="BO1682" t="s">
        <v>69</v>
      </c>
      <c r="BP1682">
        <v>6</v>
      </c>
      <c r="BQ1682" t="s">
        <v>16728</v>
      </c>
      <c r="BR1682" t="s">
        <v>8661</v>
      </c>
      <c r="BS1682" t="s">
        <v>16729</v>
      </c>
      <c r="BT1682" t="s">
        <v>27128</v>
      </c>
      <c r="BU1682" t="s">
        <v>7607</v>
      </c>
      <c r="BV1682" t="s">
        <v>69</v>
      </c>
      <c r="BW1682" t="s">
        <v>69</v>
      </c>
      <c r="BX1682" t="s">
        <v>69</v>
      </c>
      <c r="BY1682" t="s">
        <v>69</v>
      </c>
      <c r="BZ1682" t="s">
        <v>8526</v>
      </c>
      <c r="CA1682" t="str">
        <f>HYPERLINK("https%3A%2F%2Fwww.webofscience.com%2Fwos%2Fwoscc%2Ffull-record%2FWOS:000288026500004","View Full Record in Web of Science")</f>
        <v>View Full Record in Web of Science</v>
      </c>
    </row>
    <row r="1683" spans="2:79" ht="12.5" x14ac:dyDescent="0.25">
      <c r="B1683" t="s">
        <v>8495</v>
      </c>
      <c r="D1683" s="7" t="s">
        <v>32933</v>
      </c>
      <c r="E1683" s="7"/>
      <c r="F1683" s="7"/>
      <c r="G1683" s="7"/>
      <c r="H1683" t="s">
        <v>67</v>
      </c>
      <c r="I1683" t="s">
        <v>534</v>
      </c>
      <c r="J1683" t="s">
        <v>69</v>
      </c>
      <c r="K1683" t="s">
        <v>69</v>
      </c>
      <c r="L1683" t="s">
        <v>69</v>
      </c>
      <c r="M1683" t="s">
        <v>535</v>
      </c>
      <c r="N1683" t="s">
        <v>69</v>
      </c>
      <c r="O1683" t="s">
        <v>69</v>
      </c>
      <c r="P1683" t="s">
        <v>536</v>
      </c>
      <c r="Q1683" t="s">
        <v>537</v>
      </c>
      <c r="R1683" t="s">
        <v>69</v>
      </c>
      <c r="S1683" t="s">
        <v>69</v>
      </c>
      <c r="T1683" t="s">
        <v>8505</v>
      </c>
      <c r="U1683" t="s">
        <v>8506</v>
      </c>
      <c r="V1683" t="s">
        <v>69</v>
      </c>
      <c r="W1683" t="s">
        <v>69</v>
      </c>
      <c r="X1683" t="s">
        <v>69</v>
      </c>
      <c r="Y1683" t="s">
        <v>69</v>
      </c>
      <c r="Z1683" t="s">
        <v>69</v>
      </c>
      <c r="AA1683" t="s">
        <v>25699</v>
      </c>
      <c r="AB1683" t="s">
        <v>25700</v>
      </c>
      <c r="AC1683" t="s">
        <v>538</v>
      </c>
      <c r="AD1683" t="s">
        <v>25701</v>
      </c>
      <c r="AE1683" t="s">
        <v>69</v>
      </c>
      <c r="AF1683" t="s">
        <v>25702</v>
      </c>
      <c r="AG1683" t="s">
        <v>25703</v>
      </c>
      <c r="AH1683" t="s">
        <v>539</v>
      </c>
      <c r="AI1683" t="s">
        <v>540</v>
      </c>
      <c r="AJ1683" t="s">
        <v>25704</v>
      </c>
      <c r="AK1683" t="s">
        <v>25705</v>
      </c>
      <c r="AL1683" t="s">
        <v>25706</v>
      </c>
      <c r="AM1683" t="s">
        <v>69</v>
      </c>
      <c r="AN1683">
        <v>33</v>
      </c>
      <c r="AO1683">
        <v>7</v>
      </c>
      <c r="AP1683">
        <v>7</v>
      </c>
      <c r="AQ1683">
        <v>1</v>
      </c>
      <c r="AR1683">
        <v>7</v>
      </c>
      <c r="AS1683" t="s">
        <v>8516</v>
      </c>
      <c r="AT1683" t="s">
        <v>8517</v>
      </c>
      <c r="AU1683" t="s">
        <v>8518</v>
      </c>
      <c r="AV1683" t="s">
        <v>541</v>
      </c>
      <c r="AW1683" t="s">
        <v>542</v>
      </c>
      <c r="AX1683" t="s">
        <v>69</v>
      </c>
      <c r="AY1683" t="s">
        <v>25707</v>
      </c>
      <c r="AZ1683" t="s">
        <v>25708</v>
      </c>
      <c r="BA1683" t="s">
        <v>75</v>
      </c>
      <c r="BB1683">
        <v>2012</v>
      </c>
      <c r="BC1683">
        <v>5</v>
      </c>
      <c r="BD1683" t="s">
        <v>69</v>
      </c>
      <c r="BE1683" t="s">
        <v>69</v>
      </c>
      <c r="BF1683" t="s">
        <v>69</v>
      </c>
      <c r="BG1683" t="s">
        <v>114</v>
      </c>
      <c r="BH1683" t="s">
        <v>69</v>
      </c>
      <c r="BI1683">
        <v>30</v>
      </c>
      <c r="BJ1683">
        <v>36</v>
      </c>
      <c r="BK1683" t="s">
        <v>69</v>
      </c>
      <c r="BL1683" t="s">
        <v>543</v>
      </c>
      <c r="BM1683" t="str">
        <f>HYPERLINK("http://dx.doi.org/10.1016/j.scs.2012.05.006","http://dx.doi.org/10.1016/j.scs.2012.05.006")</f>
        <v>http://dx.doi.org/10.1016/j.scs.2012.05.006</v>
      </c>
      <c r="BN1683" t="s">
        <v>69</v>
      </c>
      <c r="BO1683" t="s">
        <v>69</v>
      </c>
      <c r="BP1683">
        <v>7</v>
      </c>
      <c r="BQ1683" t="s">
        <v>25709</v>
      </c>
      <c r="BR1683" t="s">
        <v>8548</v>
      </c>
      <c r="BS1683" t="s">
        <v>25710</v>
      </c>
      <c r="BT1683" t="s">
        <v>25711</v>
      </c>
      <c r="BU1683" t="s">
        <v>544</v>
      </c>
      <c r="BV1683" t="s">
        <v>69</v>
      </c>
      <c r="BW1683" t="s">
        <v>69</v>
      </c>
      <c r="BX1683" t="s">
        <v>69</v>
      </c>
      <c r="BY1683" t="s">
        <v>69</v>
      </c>
      <c r="BZ1683" t="s">
        <v>8526</v>
      </c>
      <c r="CA1683" t="str">
        <f>HYPERLINK("https%3A%2F%2Fwww.webofscience.com%2Fwos%2Fwoscc%2Ffull-record%2FWOS:000209554000007","View Full Record in Web of Science")</f>
        <v>View Full Record in Web of Science</v>
      </c>
    </row>
    <row r="1684" spans="2:79" ht="12.5" x14ac:dyDescent="0.25">
      <c r="B1684" t="s">
        <v>8495</v>
      </c>
      <c r="D1684" s="7" t="s">
        <v>32933</v>
      </c>
      <c r="E1684" s="7"/>
      <c r="F1684" s="7"/>
      <c r="G1684" s="7"/>
      <c r="H1684" t="s">
        <v>67</v>
      </c>
      <c r="I1684" t="s">
        <v>2244</v>
      </c>
      <c r="J1684" t="s">
        <v>69</v>
      </c>
      <c r="K1684" t="s">
        <v>69</v>
      </c>
      <c r="L1684" t="s">
        <v>69</v>
      </c>
      <c r="M1684" t="s">
        <v>2245</v>
      </c>
      <c r="N1684" t="s">
        <v>69</v>
      </c>
      <c r="O1684" t="s">
        <v>69</v>
      </c>
      <c r="P1684" t="s">
        <v>2246</v>
      </c>
      <c r="Q1684" t="s">
        <v>2247</v>
      </c>
      <c r="R1684" t="s">
        <v>69</v>
      </c>
      <c r="S1684" t="s">
        <v>69</v>
      </c>
      <c r="T1684" t="s">
        <v>8505</v>
      </c>
      <c r="U1684" t="s">
        <v>8442</v>
      </c>
      <c r="V1684" t="s">
        <v>69</v>
      </c>
      <c r="W1684" t="s">
        <v>69</v>
      </c>
      <c r="X1684" t="s">
        <v>69</v>
      </c>
      <c r="Y1684" t="s">
        <v>69</v>
      </c>
      <c r="Z1684" t="s">
        <v>69</v>
      </c>
      <c r="AA1684" t="s">
        <v>17236</v>
      </c>
      <c r="AB1684" t="s">
        <v>17237</v>
      </c>
      <c r="AC1684" t="s">
        <v>2248</v>
      </c>
      <c r="AD1684" t="s">
        <v>17238</v>
      </c>
      <c r="AE1684" t="s">
        <v>69</v>
      </c>
      <c r="AF1684" t="s">
        <v>17239</v>
      </c>
      <c r="AG1684" t="s">
        <v>17240</v>
      </c>
      <c r="AH1684" t="s">
        <v>2249</v>
      </c>
      <c r="AI1684" t="s">
        <v>17241</v>
      </c>
      <c r="AJ1684" t="s">
        <v>17242</v>
      </c>
      <c r="AK1684" t="s">
        <v>17242</v>
      </c>
      <c r="AL1684" t="s">
        <v>17243</v>
      </c>
      <c r="AM1684" t="s">
        <v>69</v>
      </c>
      <c r="AN1684">
        <v>88</v>
      </c>
      <c r="AO1684">
        <v>48</v>
      </c>
      <c r="AP1684">
        <v>48</v>
      </c>
      <c r="AQ1684">
        <v>8</v>
      </c>
      <c r="AR1684">
        <v>27</v>
      </c>
      <c r="AS1684" t="s">
        <v>17244</v>
      </c>
      <c r="AT1684" t="s">
        <v>17245</v>
      </c>
      <c r="AU1684" t="s">
        <v>17246</v>
      </c>
      <c r="AV1684" t="s">
        <v>2250</v>
      </c>
      <c r="AW1684" t="s">
        <v>2251</v>
      </c>
      <c r="AX1684" t="s">
        <v>69</v>
      </c>
      <c r="AY1684" t="s">
        <v>17247</v>
      </c>
      <c r="AZ1684" t="s">
        <v>17248</v>
      </c>
      <c r="BA1684" t="s">
        <v>2252</v>
      </c>
      <c r="BB1684">
        <v>2019</v>
      </c>
      <c r="BC1684">
        <v>32</v>
      </c>
      <c r="BD1684" t="s">
        <v>69</v>
      </c>
      <c r="BE1684" t="s">
        <v>69</v>
      </c>
      <c r="BF1684" t="s">
        <v>69</v>
      </c>
      <c r="BG1684" t="s">
        <v>69</v>
      </c>
      <c r="BH1684" t="s">
        <v>69</v>
      </c>
      <c r="BI1684" t="s">
        <v>69</v>
      </c>
      <c r="BJ1684" t="s">
        <v>69</v>
      </c>
      <c r="BK1684">
        <v>13</v>
      </c>
      <c r="BL1684" t="s">
        <v>2253</v>
      </c>
      <c r="BM1684" t="str">
        <f>HYPERLINK("http://dx.doi.org/10.1051/alr/2019012","http://dx.doi.org/10.1051/alr/2019012")</f>
        <v>http://dx.doi.org/10.1051/alr/2019012</v>
      </c>
      <c r="BN1684" t="s">
        <v>69</v>
      </c>
      <c r="BO1684" t="s">
        <v>69</v>
      </c>
      <c r="BP1684">
        <v>9</v>
      </c>
      <c r="BQ1684" t="s">
        <v>9055</v>
      </c>
      <c r="BR1684" t="s">
        <v>8548</v>
      </c>
      <c r="BS1684" t="s">
        <v>9055</v>
      </c>
      <c r="BT1684" t="s">
        <v>17249</v>
      </c>
      <c r="BU1684" t="s">
        <v>2254</v>
      </c>
      <c r="BV1684" t="s">
        <v>69</v>
      </c>
      <c r="BW1684" t="s">
        <v>17250</v>
      </c>
      <c r="BX1684" t="s">
        <v>69</v>
      </c>
      <c r="BY1684" t="s">
        <v>69</v>
      </c>
      <c r="BZ1684" t="s">
        <v>8526</v>
      </c>
      <c r="CA1684" t="str">
        <f>HYPERLINK("https%3A%2F%2Fwww.webofscience.com%2Fwos%2Fwoscc%2Ffull-record%2FWOS:000469825200001","View Full Record in Web of Science")</f>
        <v>View Full Record in Web of Science</v>
      </c>
    </row>
    <row r="1685" spans="2:79" ht="12.5" x14ac:dyDescent="0.25">
      <c r="B1685" t="s">
        <v>8495</v>
      </c>
      <c r="D1685" s="7" t="s">
        <v>32933</v>
      </c>
      <c r="E1685" s="7"/>
      <c r="F1685" s="7"/>
      <c r="G1685" s="7"/>
      <c r="H1685" t="s">
        <v>67</v>
      </c>
      <c r="I1685" t="s">
        <v>7254</v>
      </c>
      <c r="J1685" t="s">
        <v>69</v>
      </c>
      <c r="K1685" t="s">
        <v>69</v>
      </c>
      <c r="L1685" t="s">
        <v>69</v>
      </c>
      <c r="M1685" t="s">
        <v>7254</v>
      </c>
      <c r="N1685" t="s">
        <v>69</v>
      </c>
      <c r="O1685" t="s">
        <v>69</v>
      </c>
      <c r="P1685" t="s">
        <v>7255</v>
      </c>
      <c r="Q1685" t="s">
        <v>591</v>
      </c>
      <c r="R1685" t="s">
        <v>69</v>
      </c>
      <c r="S1685" t="s">
        <v>69</v>
      </c>
      <c r="T1685" t="s">
        <v>8505</v>
      </c>
      <c r="U1685" t="s">
        <v>8506</v>
      </c>
      <c r="V1685" t="s">
        <v>69</v>
      </c>
      <c r="W1685" t="s">
        <v>69</v>
      </c>
      <c r="X1685" t="s">
        <v>69</v>
      </c>
      <c r="Y1685" t="s">
        <v>69</v>
      </c>
      <c r="Z1685" t="s">
        <v>69</v>
      </c>
      <c r="AA1685" t="s">
        <v>69</v>
      </c>
      <c r="AB1685" t="s">
        <v>69</v>
      </c>
      <c r="AC1685" t="s">
        <v>7256</v>
      </c>
      <c r="AD1685" t="s">
        <v>69</v>
      </c>
      <c r="AE1685" t="s">
        <v>69</v>
      </c>
      <c r="AF1685" t="s">
        <v>69</v>
      </c>
      <c r="AG1685" t="s">
        <v>69</v>
      </c>
      <c r="AH1685" t="s">
        <v>69</v>
      </c>
      <c r="AI1685" t="s">
        <v>69</v>
      </c>
      <c r="AJ1685" t="s">
        <v>69</v>
      </c>
      <c r="AK1685" t="s">
        <v>69</v>
      </c>
      <c r="AL1685" t="s">
        <v>69</v>
      </c>
      <c r="AM1685" t="s">
        <v>69</v>
      </c>
      <c r="AN1685">
        <v>0</v>
      </c>
      <c r="AO1685">
        <v>0</v>
      </c>
      <c r="AP1685">
        <v>0</v>
      </c>
      <c r="AQ1685">
        <v>0</v>
      </c>
      <c r="AR1685">
        <v>2</v>
      </c>
      <c r="AS1685" t="s">
        <v>32700</v>
      </c>
      <c r="AT1685" t="s">
        <v>32701</v>
      </c>
      <c r="AU1685" t="s">
        <v>32702</v>
      </c>
      <c r="AV1685" t="s">
        <v>593</v>
      </c>
      <c r="AW1685" t="s">
        <v>69</v>
      </c>
      <c r="AX1685" t="s">
        <v>69</v>
      </c>
      <c r="AY1685" t="s">
        <v>32036</v>
      </c>
      <c r="AZ1685" t="s">
        <v>32037</v>
      </c>
      <c r="BA1685" t="s">
        <v>69</v>
      </c>
      <c r="BB1685">
        <v>1994</v>
      </c>
      <c r="BC1685">
        <v>4</v>
      </c>
      <c r="BD1685">
        <v>3</v>
      </c>
      <c r="BE1685" t="s">
        <v>69</v>
      </c>
      <c r="BF1685" t="s">
        <v>69</v>
      </c>
      <c r="BG1685" t="s">
        <v>69</v>
      </c>
      <c r="BH1685" t="s">
        <v>69</v>
      </c>
      <c r="BI1685">
        <v>91</v>
      </c>
      <c r="BJ1685">
        <v>102</v>
      </c>
      <c r="BK1685" t="s">
        <v>69</v>
      </c>
      <c r="BL1685" t="s">
        <v>7257</v>
      </c>
      <c r="BM1685" t="str">
        <f>HYPERLINK("http://dx.doi.org/10.1300/J064v04n03_07","http://dx.doi.org/10.1300/J064v04n03_07")</f>
        <v>http://dx.doi.org/10.1300/J064v04n03_07</v>
      </c>
      <c r="BN1685" t="s">
        <v>69</v>
      </c>
      <c r="BO1685" t="s">
        <v>69</v>
      </c>
      <c r="BP1685">
        <v>12</v>
      </c>
      <c r="BQ1685" t="s">
        <v>17664</v>
      </c>
      <c r="BR1685" t="s">
        <v>8548</v>
      </c>
      <c r="BS1685" t="s">
        <v>8450</v>
      </c>
      <c r="BT1685" t="s">
        <v>32703</v>
      </c>
      <c r="BU1685" t="s">
        <v>7258</v>
      </c>
      <c r="BV1685" t="s">
        <v>69</v>
      </c>
      <c r="BW1685" t="s">
        <v>69</v>
      </c>
      <c r="BX1685" t="s">
        <v>69</v>
      </c>
      <c r="BY1685" t="s">
        <v>69</v>
      </c>
      <c r="BZ1685" t="s">
        <v>8526</v>
      </c>
      <c r="CA1685" t="str">
        <f>HYPERLINK("https%3A%2F%2Fwww.webofscience.com%2Fwos%2Fwoscc%2Ffull-record%2FWOS:A1994NY66500006","View Full Record in Web of Science")</f>
        <v>View Full Record in Web of Science</v>
      </c>
    </row>
    <row r="1686" spans="2:79" ht="12.5" x14ac:dyDescent="0.25">
      <c r="B1686" t="s">
        <v>8495</v>
      </c>
      <c r="D1686" s="7" t="s">
        <v>32933</v>
      </c>
      <c r="E1686" s="7"/>
      <c r="F1686" s="7"/>
      <c r="G1686" s="7"/>
      <c r="H1686" t="s">
        <v>67</v>
      </c>
      <c r="I1686" t="s">
        <v>1590</v>
      </c>
      <c r="J1686" t="s">
        <v>69</v>
      </c>
      <c r="K1686" t="s">
        <v>69</v>
      </c>
      <c r="L1686" t="s">
        <v>69</v>
      </c>
      <c r="M1686" t="s">
        <v>1591</v>
      </c>
      <c r="N1686" t="s">
        <v>69</v>
      </c>
      <c r="O1686" t="s">
        <v>69</v>
      </c>
      <c r="P1686" t="s">
        <v>1592</v>
      </c>
      <c r="Q1686" t="s">
        <v>1593</v>
      </c>
      <c r="R1686" t="s">
        <v>69</v>
      </c>
      <c r="S1686" t="s">
        <v>69</v>
      </c>
      <c r="T1686" t="s">
        <v>8505</v>
      </c>
      <c r="U1686" t="s">
        <v>8506</v>
      </c>
      <c r="V1686" t="s">
        <v>69</v>
      </c>
      <c r="W1686" t="s">
        <v>69</v>
      </c>
      <c r="X1686" t="s">
        <v>69</v>
      </c>
      <c r="Y1686" t="s">
        <v>69</v>
      </c>
      <c r="Z1686" t="s">
        <v>69</v>
      </c>
      <c r="AA1686" t="s">
        <v>69</v>
      </c>
      <c r="AB1686" t="s">
        <v>69</v>
      </c>
      <c r="AC1686" t="s">
        <v>1594</v>
      </c>
      <c r="AD1686" t="s">
        <v>29866</v>
      </c>
      <c r="AE1686" t="s">
        <v>69</v>
      </c>
      <c r="AF1686" t="s">
        <v>29867</v>
      </c>
      <c r="AG1686" t="s">
        <v>29868</v>
      </c>
      <c r="AH1686" t="s">
        <v>69</v>
      </c>
      <c r="AI1686" t="s">
        <v>69</v>
      </c>
      <c r="AJ1686" t="s">
        <v>29869</v>
      </c>
      <c r="AK1686" t="s">
        <v>29870</v>
      </c>
      <c r="AL1686" t="s">
        <v>69</v>
      </c>
      <c r="AM1686" t="s">
        <v>69</v>
      </c>
      <c r="AN1686">
        <v>33</v>
      </c>
      <c r="AO1686">
        <v>37</v>
      </c>
      <c r="AP1686">
        <v>37</v>
      </c>
      <c r="AQ1686">
        <v>0</v>
      </c>
      <c r="AR1686">
        <v>21</v>
      </c>
      <c r="AS1686" t="s">
        <v>9145</v>
      </c>
      <c r="AT1686" t="s">
        <v>8637</v>
      </c>
      <c r="AU1686" t="s">
        <v>9146</v>
      </c>
      <c r="AV1686" t="s">
        <v>1595</v>
      </c>
      <c r="AW1686" t="s">
        <v>1596</v>
      </c>
      <c r="AX1686" t="s">
        <v>69</v>
      </c>
      <c r="AY1686" t="s">
        <v>29871</v>
      </c>
      <c r="AZ1686" t="s">
        <v>29872</v>
      </c>
      <c r="BA1686" t="s">
        <v>373</v>
      </c>
      <c r="BB1686">
        <v>2007</v>
      </c>
      <c r="BC1686">
        <v>42</v>
      </c>
      <c r="BD1686">
        <v>1</v>
      </c>
      <c r="BE1686" t="s">
        <v>69</v>
      </c>
      <c r="BF1686" t="s">
        <v>69</v>
      </c>
      <c r="BG1686" t="s">
        <v>69</v>
      </c>
      <c r="BH1686" t="s">
        <v>69</v>
      </c>
      <c r="BI1686">
        <v>495</v>
      </c>
      <c r="BJ1686">
        <v>506</v>
      </c>
      <c r="BK1686" t="s">
        <v>69</v>
      </c>
      <c r="BL1686" t="s">
        <v>1597</v>
      </c>
      <c r="BM1686" t="str">
        <f>HYPERLINK("http://dx.doi.org/10.1016/j.buildenv.2005.08.032","http://dx.doi.org/10.1016/j.buildenv.2005.08.032")</f>
        <v>http://dx.doi.org/10.1016/j.buildenv.2005.08.032</v>
      </c>
      <c r="BN1686" t="s">
        <v>69</v>
      </c>
      <c r="BO1686" t="s">
        <v>69</v>
      </c>
      <c r="BP1686">
        <v>12</v>
      </c>
      <c r="BQ1686" t="s">
        <v>29873</v>
      </c>
      <c r="BR1686" t="s">
        <v>8548</v>
      </c>
      <c r="BS1686" t="s">
        <v>8549</v>
      </c>
      <c r="BT1686" t="s">
        <v>29874</v>
      </c>
      <c r="BU1686" t="s">
        <v>1598</v>
      </c>
      <c r="BV1686" t="s">
        <v>69</v>
      </c>
      <c r="BW1686" t="s">
        <v>69</v>
      </c>
      <c r="BX1686" t="s">
        <v>69</v>
      </c>
      <c r="BY1686" t="s">
        <v>69</v>
      </c>
      <c r="BZ1686" t="s">
        <v>8526</v>
      </c>
      <c r="CA1686" t="str">
        <f>HYPERLINK("https%3A%2F%2Fwww.webofscience.com%2Fwos%2Fwoscc%2Ffull-record%2FWOS:000241590600050","View Full Record in Web of Science")</f>
        <v>View Full Record in Web of Science</v>
      </c>
    </row>
    <row r="1687" spans="2:79" ht="12.5" x14ac:dyDescent="0.25">
      <c r="B1687" t="s">
        <v>8495</v>
      </c>
      <c r="D1687" s="7" t="s">
        <v>32933</v>
      </c>
      <c r="E1687" s="7"/>
      <c r="F1687" s="7"/>
      <c r="G1687" s="7"/>
      <c r="H1687" t="s">
        <v>67</v>
      </c>
      <c r="I1687" t="s">
        <v>3142</v>
      </c>
      <c r="J1687" t="s">
        <v>69</v>
      </c>
      <c r="K1687" t="s">
        <v>69</v>
      </c>
      <c r="L1687" t="s">
        <v>69</v>
      </c>
      <c r="M1687" t="s">
        <v>3143</v>
      </c>
      <c r="N1687" t="s">
        <v>69</v>
      </c>
      <c r="O1687" t="s">
        <v>69</v>
      </c>
      <c r="P1687" t="s">
        <v>3189</v>
      </c>
      <c r="Q1687" t="s">
        <v>3190</v>
      </c>
      <c r="R1687" t="s">
        <v>69</v>
      </c>
      <c r="S1687" t="s">
        <v>69</v>
      </c>
      <c r="T1687" t="s">
        <v>8505</v>
      </c>
      <c r="U1687" t="s">
        <v>8506</v>
      </c>
      <c r="V1687" t="s">
        <v>69</v>
      </c>
      <c r="W1687" t="s">
        <v>69</v>
      </c>
      <c r="X1687" t="s">
        <v>69</v>
      </c>
      <c r="Y1687" t="s">
        <v>69</v>
      </c>
      <c r="Z1687" t="s">
        <v>69</v>
      </c>
      <c r="AA1687" t="s">
        <v>69</v>
      </c>
      <c r="AB1687" t="s">
        <v>69</v>
      </c>
      <c r="AC1687" t="s">
        <v>3191</v>
      </c>
      <c r="AD1687" t="s">
        <v>23667</v>
      </c>
      <c r="AE1687" t="s">
        <v>69</v>
      </c>
      <c r="AF1687" t="s">
        <v>23668</v>
      </c>
      <c r="AG1687" t="s">
        <v>23669</v>
      </c>
      <c r="AH1687" t="s">
        <v>69</v>
      </c>
      <c r="AI1687" t="s">
        <v>69</v>
      </c>
      <c r="AJ1687" t="s">
        <v>69</v>
      </c>
      <c r="AK1687" t="s">
        <v>69</v>
      </c>
      <c r="AL1687" t="s">
        <v>69</v>
      </c>
      <c r="AM1687" t="s">
        <v>69</v>
      </c>
      <c r="AN1687">
        <v>50</v>
      </c>
      <c r="AO1687">
        <v>30</v>
      </c>
      <c r="AP1687">
        <v>30</v>
      </c>
      <c r="AQ1687">
        <v>1</v>
      </c>
      <c r="AR1687">
        <v>32</v>
      </c>
      <c r="AS1687" t="s">
        <v>20053</v>
      </c>
      <c r="AT1687" t="s">
        <v>20054</v>
      </c>
      <c r="AU1687" t="s">
        <v>20055</v>
      </c>
      <c r="AV1687" t="s">
        <v>3192</v>
      </c>
      <c r="AW1687" t="s">
        <v>3193</v>
      </c>
      <c r="AX1687" t="s">
        <v>69</v>
      </c>
      <c r="AY1687" t="s">
        <v>23670</v>
      </c>
      <c r="AZ1687" t="s">
        <v>23671</v>
      </c>
      <c r="BA1687" t="s">
        <v>201</v>
      </c>
      <c r="BB1687">
        <v>2014</v>
      </c>
      <c r="BC1687">
        <v>64</v>
      </c>
      <c r="BD1687">
        <v>4</v>
      </c>
      <c r="BE1687" t="s">
        <v>69</v>
      </c>
      <c r="BF1687" t="s">
        <v>69</v>
      </c>
      <c r="BG1687" t="s">
        <v>69</v>
      </c>
      <c r="BH1687" t="s">
        <v>69</v>
      </c>
      <c r="BI1687">
        <v>743</v>
      </c>
      <c r="BJ1687">
        <v>763</v>
      </c>
      <c r="BK1687" t="s">
        <v>69</v>
      </c>
      <c r="BL1687" t="s">
        <v>3194</v>
      </c>
      <c r="BM1687" t="str">
        <f>HYPERLINK("http://dx.doi.org/10.1111/jcom.12078","http://dx.doi.org/10.1111/jcom.12078")</f>
        <v>http://dx.doi.org/10.1111/jcom.12078</v>
      </c>
      <c r="BN1687" t="s">
        <v>69</v>
      </c>
      <c r="BO1687" t="s">
        <v>69</v>
      </c>
      <c r="BP1687">
        <v>21</v>
      </c>
      <c r="BQ1687" t="s">
        <v>8443</v>
      </c>
      <c r="BR1687" t="s">
        <v>8661</v>
      </c>
      <c r="BS1687" t="s">
        <v>8443</v>
      </c>
      <c r="BT1687" t="s">
        <v>23672</v>
      </c>
      <c r="BU1687" t="s">
        <v>3195</v>
      </c>
      <c r="BV1687" t="s">
        <v>69</v>
      </c>
      <c r="BW1687" t="s">
        <v>10423</v>
      </c>
      <c r="BX1687" t="s">
        <v>69</v>
      </c>
      <c r="BY1687" t="s">
        <v>69</v>
      </c>
      <c r="BZ1687" t="s">
        <v>8526</v>
      </c>
      <c r="CA1687" t="str">
        <f>HYPERLINK("https%3A%2F%2Fwww.webofscience.com%2Fwos%2Fwoscc%2Ffull-record%2FWOS:000340540900009","View Full Record in Web of Science")</f>
        <v>View Full Record in Web of Science</v>
      </c>
    </row>
    <row r="1688" spans="2:79" ht="12.5" x14ac:dyDescent="0.25">
      <c r="B1688" t="s">
        <v>8495</v>
      </c>
      <c r="D1688" s="22" t="s">
        <v>32931</v>
      </c>
      <c r="E1688" s="7"/>
      <c r="F1688" s="7"/>
      <c r="G1688" s="7"/>
      <c r="H1688" t="s">
        <v>67</v>
      </c>
      <c r="I1688" t="s">
        <v>20410</v>
      </c>
      <c r="J1688" t="s">
        <v>69</v>
      </c>
      <c r="K1688" t="s">
        <v>69</v>
      </c>
      <c r="L1688" t="s">
        <v>69</v>
      </c>
      <c r="M1688" t="s">
        <v>20411</v>
      </c>
      <c r="N1688" t="s">
        <v>69</v>
      </c>
      <c r="O1688" t="s">
        <v>69</v>
      </c>
      <c r="P1688" t="s">
        <v>20412</v>
      </c>
      <c r="Q1688" t="s">
        <v>20413</v>
      </c>
      <c r="R1688" t="s">
        <v>69</v>
      </c>
      <c r="S1688" t="s">
        <v>69</v>
      </c>
      <c r="T1688" t="s">
        <v>10071</v>
      </c>
      <c r="U1688" t="s">
        <v>8506</v>
      </c>
      <c r="V1688" t="s">
        <v>69</v>
      </c>
      <c r="W1688" t="s">
        <v>69</v>
      </c>
      <c r="X1688" t="s">
        <v>69</v>
      </c>
      <c r="Y1688" t="s">
        <v>69</v>
      </c>
      <c r="Z1688" t="s">
        <v>69</v>
      </c>
      <c r="AA1688" t="s">
        <v>20414</v>
      </c>
      <c r="AB1688" t="s">
        <v>69</v>
      </c>
      <c r="AC1688" t="s">
        <v>20415</v>
      </c>
      <c r="AD1688" t="s">
        <v>20416</v>
      </c>
      <c r="AE1688" t="s">
        <v>69</v>
      </c>
      <c r="AF1688" t="s">
        <v>20417</v>
      </c>
      <c r="AG1688" t="s">
        <v>20418</v>
      </c>
      <c r="AH1688" t="s">
        <v>69</v>
      </c>
      <c r="AI1688" t="s">
        <v>69</v>
      </c>
      <c r="AJ1688" t="s">
        <v>69</v>
      </c>
      <c r="AK1688" t="s">
        <v>69</v>
      </c>
      <c r="AL1688" t="s">
        <v>69</v>
      </c>
      <c r="AM1688" t="s">
        <v>69</v>
      </c>
      <c r="AN1688">
        <v>23</v>
      </c>
      <c r="AO1688">
        <v>7</v>
      </c>
      <c r="AP1688">
        <v>11</v>
      </c>
      <c r="AQ1688">
        <v>0</v>
      </c>
      <c r="AR1688">
        <v>7</v>
      </c>
      <c r="AS1688" t="s">
        <v>20419</v>
      </c>
      <c r="AT1688" t="s">
        <v>20420</v>
      </c>
      <c r="AU1688" t="s">
        <v>20421</v>
      </c>
      <c r="AV1688" t="s">
        <v>20422</v>
      </c>
      <c r="AW1688" t="s">
        <v>69</v>
      </c>
      <c r="AX1688" t="s">
        <v>69</v>
      </c>
      <c r="AY1688" t="s">
        <v>20423</v>
      </c>
      <c r="AZ1688" t="s">
        <v>20424</v>
      </c>
      <c r="BA1688" t="s">
        <v>18801</v>
      </c>
      <c r="BB1688">
        <v>2017</v>
      </c>
      <c r="BC1688">
        <v>62</v>
      </c>
      <c r="BD1688">
        <v>230</v>
      </c>
      <c r="BE1688" t="s">
        <v>69</v>
      </c>
      <c r="BF1688" t="s">
        <v>69</v>
      </c>
      <c r="BG1688" t="s">
        <v>69</v>
      </c>
      <c r="BH1688" t="s">
        <v>69</v>
      </c>
      <c r="BI1688">
        <v>197</v>
      </c>
      <c r="BJ1688">
        <v>219</v>
      </c>
      <c r="BK1688" t="s">
        <v>69</v>
      </c>
      <c r="BL1688" t="s">
        <v>20425</v>
      </c>
      <c r="BM1688" t="str">
        <f>HYPERLINK("http://dx.doi.org/10.1016/S0185-1918(17)30021-1","http://dx.doi.org/10.1016/S0185-1918(17)30021-1")</f>
        <v>http://dx.doi.org/10.1016/S0185-1918(17)30021-1</v>
      </c>
      <c r="BN1688" t="s">
        <v>69</v>
      </c>
      <c r="BO1688" t="s">
        <v>69</v>
      </c>
      <c r="BP1688">
        <v>23</v>
      </c>
      <c r="BQ1688" t="s">
        <v>10299</v>
      </c>
      <c r="BR1688" t="s">
        <v>8573</v>
      </c>
      <c r="BS1688" t="s">
        <v>10279</v>
      </c>
      <c r="BT1688" t="s">
        <v>20426</v>
      </c>
      <c r="BU1688" t="s">
        <v>20427</v>
      </c>
      <c r="BV1688" t="s">
        <v>69</v>
      </c>
      <c r="BW1688" t="s">
        <v>11853</v>
      </c>
      <c r="BX1688" t="s">
        <v>69</v>
      </c>
      <c r="BY1688" t="s">
        <v>69</v>
      </c>
      <c r="BZ1688" t="s">
        <v>8526</v>
      </c>
      <c r="CA1688" t="str">
        <f>HYPERLINK("https%3A%2F%2Fwww.webofscience.com%2Fwos%2Fwoscc%2Ffull-record%2FWOS:000411573300007","View Full Record in Web of Science")</f>
        <v>View Full Record in Web of Science</v>
      </c>
    </row>
    <row r="1689" spans="2:79" ht="12.5" x14ac:dyDescent="0.25">
      <c r="B1689" t="s">
        <v>8495</v>
      </c>
      <c r="D1689" s="7" t="s">
        <v>32933</v>
      </c>
      <c r="E1689" s="7"/>
      <c r="F1689" s="7"/>
      <c r="G1689" s="7"/>
      <c r="H1689" t="s">
        <v>67</v>
      </c>
      <c r="I1689" t="s">
        <v>3884</v>
      </c>
      <c r="J1689" t="s">
        <v>69</v>
      </c>
      <c r="K1689" t="s">
        <v>69</v>
      </c>
      <c r="L1689" t="s">
        <v>69</v>
      </c>
      <c r="M1689" t="s">
        <v>3884</v>
      </c>
      <c r="N1689" t="s">
        <v>69</v>
      </c>
      <c r="O1689" t="s">
        <v>69</v>
      </c>
      <c r="P1689" t="s">
        <v>3885</v>
      </c>
      <c r="Q1689" t="s">
        <v>3886</v>
      </c>
      <c r="R1689" t="s">
        <v>69</v>
      </c>
      <c r="S1689" t="s">
        <v>69</v>
      </c>
      <c r="T1689" t="s">
        <v>8505</v>
      </c>
      <c r="U1689" t="s">
        <v>8506</v>
      </c>
      <c r="V1689" t="s">
        <v>69</v>
      </c>
      <c r="W1689" t="s">
        <v>69</v>
      </c>
      <c r="X1689" t="s">
        <v>69</v>
      </c>
      <c r="Y1689" t="s">
        <v>69</v>
      </c>
      <c r="Z1689" t="s">
        <v>69</v>
      </c>
      <c r="AA1689" t="s">
        <v>30582</v>
      </c>
      <c r="AB1689" t="s">
        <v>69</v>
      </c>
      <c r="AC1689" t="s">
        <v>3887</v>
      </c>
      <c r="AD1689" t="s">
        <v>30583</v>
      </c>
      <c r="AE1689" t="s">
        <v>69</v>
      </c>
      <c r="AF1689" t="s">
        <v>30584</v>
      </c>
      <c r="AG1689" t="s">
        <v>69</v>
      </c>
      <c r="AH1689" t="s">
        <v>69</v>
      </c>
      <c r="AI1689" t="s">
        <v>69</v>
      </c>
      <c r="AJ1689" t="s">
        <v>69</v>
      </c>
      <c r="AK1689" t="s">
        <v>69</v>
      </c>
      <c r="AL1689" t="s">
        <v>69</v>
      </c>
      <c r="AM1689" t="s">
        <v>69</v>
      </c>
      <c r="AN1689">
        <v>17</v>
      </c>
      <c r="AO1689">
        <v>316</v>
      </c>
      <c r="AP1689">
        <v>324</v>
      </c>
      <c r="AQ1689">
        <v>7</v>
      </c>
      <c r="AR1689">
        <v>43</v>
      </c>
      <c r="AS1689" t="s">
        <v>8762</v>
      </c>
      <c r="AT1689" t="s">
        <v>8763</v>
      </c>
      <c r="AU1689" t="s">
        <v>8764</v>
      </c>
      <c r="AV1689" t="s">
        <v>3888</v>
      </c>
      <c r="AW1689" t="s">
        <v>69</v>
      </c>
      <c r="AX1689" t="s">
        <v>69</v>
      </c>
      <c r="AY1689" t="s">
        <v>30585</v>
      </c>
      <c r="AZ1689" t="s">
        <v>30586</v>
      </c>
      <c r="BA1689" t="s">
        <v>75</v>
      </c>
      <c r="BB1689">
        <v>2005</v>
      </c>
      <c r="BC1689">
        <v>22</v>
      </c>
      <c r="BD1689">
        <v>6</v>
      </c>
      <c r="BE1689" t="s">
        <v>69</v>
      </c>
      <c r="BF1689" t="s">
        <v>69</v>
      </c>
      <c r="BG1689" t="s">
        <v>69</v>
      </c>
      <c r="BH1689" t="s">
        <v>69</v>
      </c>
      <c r="BI1689">
        <v>31</v>
      </c>
      <c r="BJ1689" t="s">
        <v>219</v>
      </c>
      <c r="BK1689" t="s">
        <v>69</v>
      </c>
      <c r="BL1689" t="s">
        <v>3889</v>
      </c>
      <c r="BM1689" t="str">
        <f>HYPERLINK("http://dx.doi.org/10.1177/0263276405059413","http://dx.doi.org/10.1177/0263276405059413")</f>
        <v>http://dx.doi.org/10.1177/0263276405059413</v>
      </c>
      <c r="BN1689" t="s">
        <v>69</v>
      </c>
      <c r="BO1689" t="s">
        <v>69</v>
      </c>
      <c r="BP1689">
        <v>22</v>
      </c>
      <c r="BQ1689" t="s">
        <v>30587</v>
      </c>
      <c r="BR1689" t="s">
        <v>8661</v>
      </c>
      <c r="BS1689" t="s">
        <v>30587</v>
      </c>
      <c r="BT1689" t="s">
        <v>30588</v>
      </c>
      <c r="BU1689" t="s">
        <v>3890</v>
      </c>
      <c r="BV1689" t="s">
        <v>69</v>
      </c>
      <c r="BW1689" t="s">
        <v>69</v>
      </c>
      <c r="BX1689" t="s">
        <v>69</v>
      </c>
      <c r="BY1689" t="s">
        <v>69</v>
      </c>
      <c r="BZ1689" t="s">
        <v>8526</v>
      </c>
      <c r="CA1689" t="str">
        <f>HYPERLINK("https%3A%2F%2Fwww.webofscience.com%2Fwos%2Fwoscc%2Ffull-record%2FWOS:000233907900003","View Full Record in Web of Science")</f>
        <v>View Full Record in Web of Science</v>
      </c>
    </row>
    <row r="1690" spans="2:79" x14ac:dyDescent="0.3">
      <c r="B1690" t="s">
        <v>8495</v>
      </c>
      <c r="D1690" s="9" t="s">
        <v>33013</v>
      </c>
      <c r="H1690" t="s">
        <v>67</v>
      </c>
      <c r="I1690" t="s">
        <v>3884</v>
      </c>
      <c r="J1690" t="s">
        <v>69</v>
      </c>
      <c r="K1690" t="s">
        <v>69</v>
      </c>
      <c r="L1690" t="s">
        <v>69</v>
      </c>
      <c r="M1690" t="s">
        <v>30936</v>
      </c>
      <c r="N1690" t="s">
        <v>69</v>
      </c>
      <c r="O1690" t="s">
        <v>69</v>
      </c>
      <c r="P1690" t="s">
        <v>30937</v>
      </c>
      <c r="Q1690" t="s">
        <v>30938</v>
      </c>
      <c r="R1690" t="s">
        <v>69</v>
      </c>
      <c r="S1690" t="s">
        <v>69</v>
      </c>
      <c r="T1690" t="s">
        <v>10071</v>
      </c>
      <c r="U1690" t="s">
        <v>8506</v>
      </c>
      <c r="V1690" t="s">
        <v>69</v>
      </c>
      <c r="W1690" t="s">
        <v>69</v>
      </c>
      <c r="X1690" t="s">
        <v>69</v>
      </c>
      <c r="Y1690" t="s">
        <v>69</v>
      </c>
      <c r="Z1690" t="s">
        <v>69</v>
      </c>
      <c r="AA1690" t="s">
        <v>30939</v>
      </c>
      <c r="AB1690" t="s">
        <v>69</v>
      </c>
      <c r="AC1690" t="s">
        <v>30940</v>
      </c>
      <c r="AD1690" t="s">
        <v>30941</v>
      </c>
      <c r="AE1690" t="s">
        <v>69</v>
      </c>
      <c r="AF1690" t="s">
        <v>30584</v>
      </c>
      <c r="AG1690" t="s">
        <v>69</v>
      </c>
      <c r="AH1690" t="s">
        <v>69</v>
      </c>
      <c r="AI1690" t="s">
        <v>69</v>
      </c>
      <c r="AJ1690" t="s">
        <v>69</v>
      </c>
      <c r="AK1690" t="s">
        <v>69</v>
      </c>
      <c r="AL1690" t="s">
        <v>69</v>
      </c>
      <c r="AM1690" t="s">
        <v>69</v>
      </c>
      <c r="AN1690">
        <v>11</v>
      </c>
      <c r="AO1690">
        <v>6</v>
      </c>
      <c r="AP1690">
        <v>6</v>
      </c>
      <c r="AQ1690">
        <v>0</v>
      </c>
      <c r="AR1690">
        <v>0</v>
      </c>
      <c r="AS1690" t="s">
        <v>30942</v>
      </c>
      <c r="AT1690" t="s">
        <v>13577</v>
      </c>
      <c r="AU1690" t="s">
        <v>30943</v>
      </c>
      <c r="AV1690" t="s">
        <v>30944</v>
      </c>
      <c r="AW1690" t="s">
        <v>69</v>
      </c>
      <c r="AX1690" t="s">
        <v>69</v>
      </c>
      <c r="AY1690" t="s">
        <v>30945</v>
      </c>
      <c r="AZ1690" t="s">
        <v>30946</v>
      </c>
      <c r="BA1690" t="s">
        <v>69</v>
      </c>
      <c r="BB1690">
        <v>2005</v>
      </c>
      <c r="BC1690">
        <v>78</v>
      </c>
      <c r="BD1690" t="s">
        <v>69</v>
      </c>
      <c r="BE1690" t="s">
        <v>69</v>
      </c>
      <c r="BF1690" t="s">
        <v>69</v>
      </c>
      <c r="BG1690" t="s">
        <v>69</v>
      </c>
      <c r="BH1690" t="s">
        <v>69</v>
      </c>
      <c r="BI1690">
        <v>11</v>
      </c>
      <c r="BJ1690">
        <v>29</v>
      </c>
      <c r="BK1690" t="s">
        <v>69</v>
      </c>
      <c r="BL1690" t="s">
        <v>30947</v>
      </c>
      <c r="BM1690" t="str">
        <f>HYPERLINK("http://dx.doi.org/10.5565/rev/papers/v78n0.840","http://dx.doi.org/10.5565/rev/papers/v78n0.840")</f>
        <v>http://dx.doi.org/10.5565/rev/papers/v78n0.840</v>
      </c>
      <c r="BN1690" t="s">
        <v>69</v>
      </c>
      <c r="BO1690" t="s">
        <v>69</v>
      </c>
      <c r="BP1690">
        <v>19</v>
      </c>
      <c r="BQ1690" t="s">
        <v>12930</v>
      </c>
      <c r="BR1690" t="s">
        <v>8573</v>
      </c>
      <c r="BS1690" t="s">
        <v>12930</v>
      </c>
      <c r="BT1690" t="s">
        <v>30948</v>
      </c>
      <c r="BU1690" t="s">
        <v>30949</v>
      </c>
      <c r="BV1690" t="s">
        <v>69</v>
      </c>
      <c r="BW1690" t="s">
        <v>11853</v>
      </c>
      <c r="BX1690" t="s">
        <v>69</v>
      </c>
      <c r="BY1690" t="s">
        <v>69</v>
      </c>
      <c r="BZ1690" t="s">
        <v>8526</v>
      </c>
      <c r="CA1690" t="str">
        <f>HYPERLINK("https%3A%2F%2Fwww.webofscience.com%2Fwos%2Fwoscc%2Ffull-record%2FWOS:000219494200002","View Full Record in Web of Science")</f>
        <v>View Full Record in Web of Science</v>
      </c>
    </row>
    <row r="1691" spans="2:79" ht="12.5" x14ac:dyDescent="0.25">
      <c r="B1691" t="s">
        <v>8495</v>
      </c>
      <c r="D1691" s="22" t="s">
        <v>32931</v>
      </c>
      <c r="E1691" s="7"/>
      <c r="F1691" s="7"/>
      <c r="G1691" s="7"/>
      <c r="H1691" t="s">
        <v>67</v>
      </c>
      <c r="I1691" t="s">
        <v>23941</v>
      </c>
      <c r="J1691" t="s">
        <v>69</v>
      </c>
      <c r="K1691" t="s">
        <v>69</v>
      </c>
      <c r="L1691" t="s">
        <v>69</v>
      </c>
      <c r="M1691" t="s">
        <v>23942</v>
      </c>
      <c r="N1691" t="s">
        <v>69</v>
      </c>
      <c r="O1691" t="s">
        <v>69</v>
      </c>
      <c r="P1691" t="s">
        <v>23943</v>
      </c>
      <c r="Q1691" t="s">
        <v>14494</v>
      </c>
      <c r="R1691" t="s">
        <v>69</v>
      </c>
      <c r="S1691" t="s">
        <v>69</v>
      </c>
      <c r="T1691" t="s">
        <v>8505</v>
      </c>
      <c r="U1691" t="s">
        <v>8506</v>
      </c>
      <c r="V1691" t="s">
        <v>69</v>
      </c>
      <c r="W1691" t="s">
        <v>69</v>
      </c>
      <c r="X1691" t="s">
        <v>69</v>
      </c>
      <c r="Y1691" t="s">
        <v>69</v>
      </c>
      <c r="Z1691" t="s">
        <v>69</v>
      </c>
      <c r="AA1691" t="s">
        <v>69</v>
      </c>
      <c r="AB1691" t="s">
        <v>69</v>
      </c>
      <c r="AC1691" t="s">
        <v>23944</v>
      </c>
      <c r="AD1691" t="s">
        <v>23945</v>
      </c>
      <c r="AE1691" t="s">
        <v>69</v>
      </c>
      <c r="AF1691" t="s">
        <v>23946</v>
      </c>
      <c r="AG1691" t="s">
        <v>23947</v>
      </c>
      <c r="AH1691" t="s">
        <v>69</v>
      </c>
      <c r="AI1691" t="s">
        <v>23948</v>
      </c>
      <c r="AJ1691" t="s">
        <v>69</v>
      </c>
      <c r="AK1691" t="s">
        <v>69</v>
      </c>
      <c r="AL1691" t="s">
        <v>69</v>
      </c>
      <c r="AM1691" t="s">
        <v>69</v>
      </c>
      <c r="AN1691">
        <v>9</v>
      </c>
      <c r="AO1691">
        <v>3</v>
      </c>
      <c r="AP1691">
        <v>3</v>
      </c>
      <c r="AQ1691">
        <v>0</v>
      </c>
      <c r="AR1691">
        <v>1</v>
      </c>
      <c r="AS1691" t="s">
        <v>14489</v>
      </c>
      <c r="AT1691" t="s">
        <v>14490</v>
      </c>
      <c r="AU1691" t="s">
        <v>14491</v>
      </c>
      <c r="AV1691" t="s">
        <v>14492</v>
      </c>
      <c r="AW1691" t="s">
        <v>14493</v>
      </c>
      <c r="AX1691" t="s">
        <v>69</v>
      </c>
      <c r="AY1691" t="s">
        <v>14494</v>
      </c>
      <c r="AZ1691" t="s">
        <v>14495</v>
      </c>
      <c r="BA1691" t="s">
        <v>94</v>
      </c>
      <c r="BB1691">
        <v>2014</v>
      </c>
      <c r="BC1691">
        <v>2</v>
      </c>
      <c r="BD1691">
        <v>1</v>
      </c>
      <c r="BE1691" t="s">
        <v>69</v>
      </c>
      <c r="BF1691" t="s">
        <v>69</v>
      </c>
      <c r="BG1691" t="s">
        <v>69</v>
      </c>
      <c r="BH1691" t="s">
        <v>69</v>
      </c>
      <c r="BI1691">
        <v>23</v>
      </c>
      <c r="BJ1691">
        <v>29</v>
      </c>
      <c r="BK1691" t="s">
        <v>69</v>
      </c>
      <c r="BL1691" t="s">
        <v>23949</v>
      </c>
      <c r="BM1691" t="str">
        <f>HYPERLINK("http://dx.doi.org/10.1089/space.2013.0041","http://dx.doi.org/10.1089/space.2013.0041")</f>
        <v>http://dx.doi.org/10.1089/space.2013.0041</v>
      </c>
      <c r="BN1691" t="s">
        <v>69</v>
      </c>
      <c r="BO1691" t="s">
        <v>69</v>
      </c>
      <c r="BP1691">
        <v>7</v>
      </c>
      <c r="BQ1691" t="s">
        <v>14497</v>
      </c>
      <c r="BR1691" t="s">
        <v>8573</v>
      </c>
      <c r="BS1691" t="s">
        <v>8445</v>
      </c>
      <c r="BT1691" t="s">
        <v>23950</v>
      </c>
      <c r="BU1691" t="s">
        <v>23951</v>
      </c>
      <c r="BV1691" t="s">
        <v>69</v>
      </c>
      <c r="BW1691" t="s">
        <v>69</v>
      </c>
      <c r="BX1691" t="s">
        <v>69</v>
      </c>
      <c r="BY1691" t="s">
        <v>69</v>
      </c>
      <c r="BZ1691" t="s">
        <v>8526</v>
      </c>
      <c r="CA1691" t="str">
        <f>HYPERLINK("https%3A%2F%2Fwww.webofscience.com%2Fwos%2Fwoscc%2Ffull-record%2FWOS:000217518800005","View Full Record in Web of Science")</f>
        <v>View Full Record in Web of Science</v>
      </c>
    </row>
    <row r="1692" spans="2:79" ht="12.5" x14ac:dyDescent="0.25">
      <c r="B1692" t="s">
        <v>8495</v>
      </c>
      <c r="D1692" s="22" t="s">
        <v>32931</v>
      </c>
      <c r="E1692" s="7"/>
      <c r="F1692" s="7"/>
      <c r="G1692" s="7"/>
      <c r="H1692" t="s">
        <v>67</v>
      </c>
      <c r="I1692" t="s">
        <v>17166</v>
      </c>
      <c r="J1692" t="s">
        <v>69</v>
      </c>
      <c r="K1692" t="s">
        <v>69</v>
      </c>
      <c r="L1692" t="s">
        <v>69</v>
      </c>
      <c r="M1692" t="s">
        <v>17167</v>
      </c>
      <c r="N1692" t="s">
        <v>69</v>
      </c>
      <c r="O1692" t="s">
        <v>69</v>
      </c>
      <c r="P1692" t="s">
        <v>17168</v>
      </c>
      <c r="Q1692" t="s">
        <v>17169</v>
      </c>
      <c r="R1692" t="s">
        <v>69</v>
      </c>
      <c r="S1692" t="s">
        <v>69</v>
      </c>
      <c r="T1692" t="s">
        <v>8505</v>
      </c>
      <c r="U1692" t="s">
        <v>8506</v>
      </c>
      <c r="V1692" t="s">
        <v>69</v>
      </c>
      <c r="W1692" t="s">
        <v>69</v>
      </c>
      <c r="X1692" t="s">
        <v>69</v>
      </c>
      <c r="Y1692" t="s">
        <v>69</v>
      </c>
      <c r="Z1692" t="s">
        <v>69</v>
      </c>
      <c r="AA1692" t="s">
        <v>17170</v>
      </c>
      <c r="AB1692" t="s">
        <v>17171</v>
      </c>
      <c r="AC1692" t="s">
        <v>17172</v>
      </c>
      <c r="AD1692" t="s">
        <v>17173</v>
      </c>
      <c r="AE1692" t="s">
        <v>69</v>
      </c>
      <c r="AF1692" t="s">
        <v>17174</v>
      </c>
      <c r="AG1692" t="s">
        <v>17175</v>
      </c>
      <c r="AH1692" t="s">
        <v>17176</v>
      </c>
      <c r="AI1692" t="s">
        <v>17177</v>
      </c>
      <c r="AJ1692" t="s">
        <v>17178</v>
      </c>
      <c r="AK1692" t="s">
        <v>17178</v>
      </c>
      <c r="AL1692" t="s">
        <v>17178</v>
      </c>
      <c r="AM1692" t="s">
        <v>69</v>
      </c>
      <c r="AN1692">
        <v>63</v>
      </c>
      <c r="AO1692">
        <v>4</v>
      </c>
      <c r="AP1692">
        <v>4</v>
      </c>
      <c r="AQ1692">
        <v>1</v>
      </c>
      <c r="AR1692">
        <v>8</v>
      </c>
      <c r="AS1692" t="s">
        <v>8846</v>
      </c>
      <c r="AT1692" t="s">
        <v>8847</v>
      </c>
      <c r="AU1692" t="s">
        <v>8848</v>
      </c>
      <c r="AV1692" t="s">
        <v>17179</v>
      </c>
      <c r="AW1692" t="s">
        <v>17180</v>
      </c>
      <c r="AX1692" t="s">
        <v>69</v>
      </c>
      <c r="AY1692" t="s">
        <v>17181</v>
      </c>
      <c r="AZ1692" t="s">
        <v>17182</v>
      </c>
      <c r="BA1692" t="s">
        <v>155</v>
      </c>
      <c r="BB1692">
        <v>2019</v>
      </c>
      <c r="BC1692">
        <v>26</v>
      </c>
      <c r="BD1692" t="s">
        <v>1726</v>
      </c>
      <c r="BE1692" t="s">
        <v>69</v>
      </c>
      <c r="BF1692" t="s">
        <v>69</v>
      </c>
      <c r="BG1692" t="s">
        <v>69</v>
      </c>
      <c r="BH1692" t="s">
        <v>69</v>
      </c>
      <c r="BI1692">
        <v>117</v>
      </c>
      <c r="BJ1692">
        <v>130</v>
      </c>
      <c r="BK1692" t="s">
        <v>69</v>
      </c>
      <c r="BL1692" t="s">
        <v>17183</v>
      </c>
      <c r="BM1692" t="str">
        <f>HYPERLINK("http://dx.doi.org/10.1111/jpm.12533","http://dx.doi.org/10.1111/jpm.12533")</f>
        <v>http://dx.doi.org/10.1111/jpm.12533</v>
      </c>
      <c r="BN1692" t="s">
        <v>69</v>
      </c>
      <c r="BO1692" t="s">
        <v>69</v>
      </c>
      <c r="BP1692">
        <v>14</v>
      </c>
      <c r="BQ1692" t="s">
        <v>16597</v>
      </c>
      <c r="BR1692" t="s">
        <v>8523</v>
      </c>
      <c r="BS1692" t="s">
        <v>16597</v>
      </c>
      <c r="BT1692" t="s">
        <v>17184</v>
      </c>
      <c r="BU1692" t="s">
        <v>17185</v>
      </c>
      <c r="BV1692">
        <v>31145532</v>
      </c>
      <c r="BW1692" t="s">
        <v>9292</v>
      </c>
      <c r="BX1692" t="s">
        <v>69</v>
      </c>
      <c r="BY1692" t="s">
        <v>69</v>
      </c>
      <c r="BZ1692" t="s">
        <v>8526</v>
      </c>
      <c r="CA1692" t="str">
        <f>HYPERLINK("https%3A%2F%2Fwww.webofscience.com%2Fwos%2Fwoscc%2Ffull-record%2FWOS:000475620800002","View Full Record in Web of Science")</f>
        <v>View Full Record in Web of Science</v>
      </c>
    </row>
    <row r="1693" spans="2:79" ht="12.5" x14ac:dyDescent="0.25">
      <c r="B1693" t="s">
        <v>8495</v>
      </c>
      <c r="D1693" s="22" t="s">
        <v>32931</v>
      </c>
      <c r="E1693" s="7"/>
      <c r="F1693" s="7"/>
      <c r="G1693" s="7"/>
      <c r="H1693" t="s">
        <v>67</v>
      </c>
      <c r="I1693" t="s">
        <v>31388</v>
      </c>
      <c r="J1693" t="s">
        <v>69</v>
      </c>
      <c r="K1693" t="s">
        <v>69</v>
      </c>
      <c r="L1693" t="s">
        <v>69</v>
      </c>
      <c r="M1693" t="s">
        <v>31388</v>
      </c>
      <c r="N1693" t="s">
        <v>69</v>
      </c>
      <c r="O1693" t="s">
        <v>69</v>
      </c>
      <c r="P1693" t="s">
        <v>31389</v>
      </c>
      <c r="Q1693" t="s">
        <v>31390</v>
      </c>
      <c r="R1693" t="s">
        <v>69</v>
      </c>
      <c r="S1693" t="s">
        <v>69</v>
      </c>
      <c r="T1693" t="s">
        <v>8505</v>
      </c>
      <c r="U1693" t="s">
        <v>8506</v>
      </c>
      <c r="V1693" t="s">
        <v>69</v>
      </c>
      <c r="W1693" t="s">
        <v>69</v>
      </c>
      <c r="X1693" t="s">
        <v>69</v>
      </c>
      <c r="Y1693" t="s">
        <v>69</v>
      </c>
      <c r="Z1693" t="s">
        <v>69</v>
      </c>
      <c r="AA1693" t="s">
        <v>31391</v>
      </c>
      <c r="AB1693" t="s">
        <v>31392</v>
      </c>
      <c r="AC1693" t="s">
        <v>31393</v>
      </c>
      <c r="AD1693" t="s">
        <v>31394</v>
      </c>
      <c r="AE1693" t="s">
        <v>69</v>
      </c>
      <c r="AF1693" t="s">
        <v>31395</v>
      </c>
      <c r="AG1693" t="s">
        <v>69</v>
      </c>
      <c r="AH1693" t="s">
        <v>69</v>
      </c>
      <c r="AI1693" t="s">
        <v>69</v>
      </c>
      <c r="AJ1693" t="s">
        <v>69</v>
      </c>
      <c r="AK1693" t="s">
        <v>69</v>
      </c>
      <c r="AL1693" t="s">
        <v>69</v>
      </c>
      <c r="AM1693" t="s">
        <v>69</v>
      </c>
      <c r="AN1693">
        <v>34</v>
      </c>
      <c r="AO1693">
        <v>3</v>
      </c>
      <c r="AP1693">
        <v>3</v>
      </c>
      <c r="AQ1693">
        <v>0</v>
      </c>
      <c r="AR1693">
        <v>2</v>
      </c>
      <c r="AS1693" t="s">
        <v>31134</v>
      </c>
      <c r="AT1693" t="s">
        <v>8847</v>
      </c>
      <c r="AU1693" t="s">
        <v>31135</v>
      </c>
      <c r="AV1693" t="s">
        <v>31396</v>
      </c>
      <c r="AW1693" t="s">
        <v>69</v>
      </c>
      <c r="AX1693" t="s">
        <v>69</v>
      </c>
      <c r="AY1693" t="s">
        <v>31397</v>
      </c>
      <c r="AZ1693" t="s">
        <v>31398</v>
      </c>
      <c r="BA1693" t="s">
        <v>381</v>
      </c>
      <c r="BB1693">
        <v>2002</v>
      </c>
      <c r="BC1693">
        <v>18</v>
      </c>
      <c r="BD1693">
        <v>4</v>
      </c>
      <c r="BE1693" t="s">
        <v>69</v>
      </c>
      <c r="BF1693" t="s">
        <v>69</v>
      </c>
      <c r="BG1693" t="s">
        <v>69</v>
      </c>
      <c r="BH1693" t="s">
        <v>69</v>
      </c>
      <c r="BI1693">
        <v>161</v>
      </c>
      <c r="BJ1693">
        <v>172</v>
      </c>
      <c r="BK1693" t="s">
        <v>69</v>
      </c>
      <c r="BL1693" t="s">
        <v>31399</v>
      </c>
      <c r="BM1693" t="str">
        <f>HYPERLINK("http://dx.doi.org/10.1002/smi.943","http://dx.doi.org/10.1002/smi.943")</f>
        <v>http://dx.doi.org/10.1002/smi.943</v>
      </c>
      <c r="BN1693" t="s">
        <v>69</v>
      </c>
      <c r="BO1693" t="s">
        <v>69</v>
      </c>
      <c r="BP1693">
        <v>12</v>
      </c>
      <c r="BQ1693" t="s">
        <v>31400</v>
      </c>
      <c r="BR1693" t="s">
        <v>8523</v>
      </c>
      <c r="BS1693" t="s">
        <v>31401</v>
      </c>
      <c r="BT1693" t="s">
        <v>31402</v>
      </c>
      <c r="BU1693" t="s">
        <v>31403</v>
      </c>
      <c r="BV1693" t="s">
        <v>69</v>
      </c>
      <c r="BW1693" t="s">
        <v>69</v>
      </c>
      <c r="BX1693" t="s">
        <v>69</v>
      </c>
      <c r="BY1693" t="s">
        <v>69</v>
      </c>
      <c r="BZ1693" t="s">
        <v>8526</v>
      </c>
      <c r="CA1693" t="str">
        <f>HYPERLINK("https%3A%2F%2Fwww.webofscience.com%2Fwos%2Fwoscc%2Ffull-record%2FWOS:000178654200003","View Full Record in Web of Science")</f>
        <v>View Full Record in Web of Science</v>
      </c>
    </row>
    <row r="1694" spans="2:79" ht="12.5" x14ac:dyDescent="0.25">
      <c r="B1694" t="s">
        <v>8495</v>
      </c>
      <c r="D1694" s="7" t="s">
        <v>32933</v>
      </c>
      <c r="E1694" s="7"/>
      <c r="F1694" s="7"/>
      <c r="G1694" s="7"/>
      <c r="H1694" t="s">
        <v>67</v>
      </c>
      <c r="I1694" t="s">
        <v>1667</v>
      </c>
      <c r="J1694" t="s">
        <v>69</v>
      </c>
      <c r="K1694" t="s">
        <v>69</v>
      </c>
      <c r="L1694" t="s">
        <v>69</v>
      </c>
      <c r="M1694" t="s">
        <v>1667</v>
      </c>
      <c r="N1694" t="s">
        <v>69</v>
      </c>
      <c r="O1694" t="s">
        <v>69</v>
      </c>
      <c r="P1694" s="3" t="s">
        <v>1668</v>
      </c>
      <c r="Q1694" t="s">
        <v>1669</v>
      </c>
      <c r="R1694" t="s">
        <v>69</v>
      </c>
      <c r="S1694" t="s">
        <v>69</v>
      </c>
      <c r="T1694" t="s">
        <v>8505</v>
      </c>
      <c r="U1694" t="s">
        <v>8506</v>
      </c>
      <c r="V1694" t="s">
        <v>69</v>
      </c>
      <c r="W1694" t="s">
        <v>69</v>
      </c>
      <c r="X1694" t="s">
        <v>69</v>
      </c>
      <c r="Y1694" t="s">
        <v>69</v>
      </c>
      <c r="Z1694" t="s">
        <v>69</v>
      </c>
      <c r="AA1694" t="s">
        <v>31094</v>
      </c>
      <c r="AB1694" t="s">
        <v>31095</v>
      </c>
      <c r="AC1694" t="s">
        <v>1670</v>
      </c>
      <c r="AD1694" t="s">
        <v>31096</v>
      </c>
      <c r="AE1694" t="s">
        <v>69</v>
      </c>
      <c r="AF1694" t="s">
        <v>31097</v>
      </c>
      <c r="AG1694" t="s">
        <v>28093</v>
      </c>
      <c r="AH1694" t="s">
        <v>31098</v>
      </c>
      <c r="AI1694" t="s">
        <v>1671</v>
      </c>
      <c r="AJ1694" t="s">
        <v>69</v>
      </c>
      <c r="AK1694" t="s">
        <v>69</v>
      </c>
      <c r="AL1694" t="s">
        <v>69</v>
      </c>
      <c r="AM1694" t="s">
        <v>69</v>
      </c>
      <c r="AN1694">
        <v>20</v>
      </c>
      <c r="AO1694">
        <v>35</v>
      </c>
      <c r="AP1694">
        <v>35</v>
      </c>
      <c r="AQ1694">
        <v>0</v>
      </c>
      <c r="AR1694">
        <v>7</v>
      </c>
      <c r="AS1694" t="s">
        <v>17140</v>
      </c>
      <c r="AT1694" t="s">
        <v>8517</v>
      </c>
      <c r="AU1694" t="s">
        <v>17141</v>
      </c>
      <c r="AV1694" t="s">
        <v>1672</v>
      </c>
      <c r="AW1694" t="s">
        <v>1673</v>
      </c>
      <c r="AX1694" t="s">
        <v>69</v>
      </c>
      <c r="AY1694" t="s">
        <v>31099</v>
      </c>
      <c r="AZ1694" t="s">
        <v>31100</v>
      </c>
      <c r="BA1694" t="s">
        <v>246</v>
      </c>
      <c r="BB1694">
        <v>2004</v>
      </c>
      <c r="BC1694">
        <v>33</v>
      </c>
      <c r="BD1694">
        <v>4</v>
      </c>
      <c r="BE1694" t="s">
        <v>69</v>
      </c>
      <c r="BF1694" t="s">
        <v>69</v>
      </c>
      <c r="BG1694" t="s">
        <v>69</v>
      </c>
      <c r="BH1694" t="s">
        <v>69</v>
      </c>
      <c r="BI1694">
        <v>315</v>
      </c>
      <c r="BJ1694">
        <v>326</v>
      </c>
      <c r="BK1694" t="s">
        <v>69</v>
      </c>
      <c r="BL1694" t="s">
        <v>1674</v>
      </c>
      <c r="BM1694" t="str">
        <f>HYPERLINK("http://dx.doi.org/10.1016/j.ergon.2003.10.005","http://dx.doi.org/10.1016/j.ergon.2003.10.005")</f>
        <v>http://dx.doi.org/10.1016/j.ergon.2003.10.005</v>
      </c>
      <c r="BN1694" t="s">
        <v>69</v>
      </c>
      <c r="BO1694" t="s">
        <v>69</v>
      </c>
      <c r="BP1694">
        <v>12</v>
      </c>
      <c r="BQ1694" t="s">
        <v>31101</v>
      </c>
      <c r="BR1694" t="s">
        <v>8523</v>
      </c>
      <c r="BS1694" t="s">
        <v>8445</v>
      </c>
      <c r="BT1694" t="s">
        <v>31102</v>
      </c>
      <c r="BU1694" t="s">
        <v>1675</v>
      </c>
      <c r="BV1694" t="s">
        <v>69</v>
      </c>
      <c r="BW1694" t="s">
        <v>69</v>
      </c>
      <c r="BX1694" t="s">
        <v>69</v>
      </c>
      <c r="BY1694" t="s">
        <v>69</v>
      </c>
      <c r="BZ1694" t="s">
        <v>8526</v>
      </c>
      <c r="CA1694" t="str">
        <f>HYPERLINK("https%3A%2F%2Fwww.webofscience.com%2Fwos%2Fwoscc%2Ffull-record%2FWOS:000220162200003","View Full Record in Web of Science")</f>
        <v>View Full Record in Web of Science</v>
      </c>
    </row>
    <row r="1695" spans="2:79" ht="12.5" x14ac:dyDescent="0.25">
      <c r="B1695" t="s">
        <v>8495</v>
      </c>
      <c r="D1695" s="22" t="s">
        <v>32931</v>
      </c>
      <c r="E1695" s="7"/>
      <c r="F1695" s="7"/>
      <c r="G1695" s="7"/>
      <c r="H1695" t="s">
        <v>67</v>
      </c>
      <c r="I1695" t="s">
        <v>26322</v>
      </c>
      <c r="J1695" t="s">
        <v>69</v>
      </c>
      <c r="K1695" t="s">
        <v>69</v>
      </c>
      <c r="L1695" t="s">
        <v>69</v>
      </c>
      <c r="M1695" t="s">
        <v>26323</v>
      </c>
      <c r="N1695" t="s">
        <v>69</v>
      </c>
      <c r="O1695" t="s">
        <v>69</v>
      </c>
      <c r="P1695" t="s">
        <v>26324</v>
      </c>
      <c r="Q1695" t="s">
        <v>26325</v>
      </c>
      <c r="R1695" t="s">
        <v>69</v>
      </c>
      <c r="S1695" t="s">
        <v>69</v>
      </c>
      <c r="T1695" t="s">
        <v>8505</v>
      </c>
      <c r="U1695" t="s">
        <v>8506</v>
      </c>
      <c r="V1695" t="s">
        <v>69</v>
      </c>
      <c r="W1695" t="s">
        <v>69</v>
      </c>
      <c r="X1695" t="s">
        <v>69</v>
      </c>
      <c r="Y1695" t="s">
        <v>69</v>
      </c>
      <c r="Z1695" t="s">
        <v>69</v>
      </c>
      <c r="AA1695" t="s">
        <v>26326</v>
      </c>
      <c r="AB1695" t="s">
        <v>69</v>
      </c>
      <c r="AC1695" t="s">
        <v>26327</v>
      </c>
      <c r="AD1695" t="s">
        <v>26328</v>
      </c>
      <c r="AE1695" t="s">
        <v>69</v>
      </c>
      <c r="AF1695" t="s">
        <v>26329</v>
      </c>
      <c r="AG1695" t="s">
        <v>69</v>
      </c>
      <c r="AH1695" t="s">
        <v>69</v>
      </c>
      <c r="AI1695" t="s">
        <v>69</v>
      </c>
      <c r="AJ1695" t="s">
        <v>69</v>
      </c>
      <c r="AK1695" t="s">
        <v>69</v>
      </c>
      <c r="AL1695" t="s">
        <v>69</v>
      </c>
      <c r="AM1695" t="s">
        <v>69</v>
      </c>
      <c r="AN1695">
        <v>7</v>
      </c>
      <c r="AO1695">
        <v>0</v>
      </c>
      <c r="AP1695">
        <v>0</v>
      </c>
      <c r="AQ1695">
        <v>0</v>
      </c>
      <c r="AR1695">
        <v>8</v>
      </c>
      <c r="AS1695" t="s">
        <v>26330</v>
      </c>
      <c r="AT1695" t="s">
        <v>23319</v>
      </c>
      <c r="AU1695" t="s">
        <v>26331</v>
      </c>
      <c r="AV1695" t="s">
        <v>26332</v>
      </c>
      <c r="AW1695" t="s">
        <v>69</v>
      </c>
      <c r="AX1695" t="s">
        <v>69</v>
      </c>
      <c r="AY1695" t="s">
        <v>26333</v>
      </c>
      <c r="AZ1695" t="s">
        <v>26334</v>
      </c>
      <c r="BA1695" t="s">
        <v>69</v>
      </c>
      <c r="BB1695">
        <v>2012</v>
      </c>
      <c r="BC1695">
        <v>17</v>
      </c>
      <c r="BD1695">
        <v>6</v>
      </c>
      <c r="BE1695" t="s">
        <v>69</v>
      </c>
      <c r="BF1695" t="s">
        <v>69</v>
      </c>
      <c r="BG1695" t="s">
        <v>69</v>
      </c>
      <c r="BH1695" t="s">
        <v>69</v>
      </c>
      <c r="BI1695">
        <v>131</v>
      </c>
      <c r="BJ1695">
        <v>134</v>
      </c>
      <c r="BK1695" t="s">
        <v>69</v>
      </c>
      <c r="BL1695" t="s">
        <v>69</v>
      </c>
      <c r="BM1695" t="s">
        <v>69</v>
      </c>
      <c r="BN1695" t="s">
        <v>69</v>
      </c>
      <c r="BO1695" t="s">
        <v>69</v>
      </c>
      <c r="BP1695">
        <v>4</v>
      </c>
      <c r="BQ1695" t="s">
        <v>18899</v>
      </c>
      <c r="BR1695" t="s">
        <v>8548</v>
      </c>
      <c r="BS1695" t="s">
        <v>18899</v>
      </c>
      <c r="BT1695" t="s">
        <v>26335</v>
      </c>
      <c r="BU1695" t="s">
        <v>26336</v>
      </c>
      <c r="BV1695" t="s">
        <v>69</v>
      </c>
      <c r="BW1695" t="s">
        <v>69</v>
      </c>
      <c r="BX1695" t="s">
        <v>69</v>
      </c>
      <c r="BY1695" t="s">
        <v>69</v>
      </c>
      <c r="BZ1695" t="s">
        <v>8526</v>
      </c>
      <c r="CA1695" t="str">
        <f>HYPERLINK("https%3A%2F%2Fwww.webofscience.com%2Fwos%2Fwoscc%2Ffull-record%2FWOS:000302988700028","View Full Record in Web of Science")</f>
        <v>View Full Record in Web of Science</v>
      </c>
    </row>
    <row r="1696" spans="2:79" ht="12.5" x14ac:dyDescent="0.25">
      <c r="B1696" t="s">
        <v>8495</v>
      </c>
      <c r="D1696" s="22" t="s">
        <v>33013</v>
      </c>
      <c r="E1696" s="7"/>
      <c r="F1696" s="7"/>
      <c r="G1696" s="7"/>
      <c r="H1696" t="s">
        <v>67</v>
      </c>
      <c r="I1696" t="s">
        <v>26322</v>
      </c>
      <c r="J1696" t="s">
        <v>69</v>
      </c>
      <c r="K1696" t="s">
        <v>69</v>
      </c>
      <c r="L1696" t="s">
        <v>69</v>
      </c>
      <c r="M1696" t="s">
        <v>26323</v>
      </c>
      <c r="N1696" t="s">
        <v>69</v>
      </c>
      <c r="O1696" t="s">
        <v>69</v>
      </c>
      <c r="P1696" t="s">
        <v>26324</v>
      </c>
      <c r="Q1696" t="s">
        <v>26325</v>
      </c>
      <c r="R1696" t="s">
        <v>69</v>
      </c>
      <c r="S1696" t="s">
        <v>69</v>
      </c>
      <c r="T1696" t="s">
        <v>8505</v>
      </c>
      <c r="U1696" t="s">
        <v>8506</v>
      </c>
      <c r="V1696" t="s">
        <v>69</v>
      </c>
      <c r="W1696" t="s">
        <v>69</v>
      </c>
      <c r="X1696" t="s">
        <v>69</v>
      </c>
      <c r="Y1696" t="s">
        <v>69</v>
      </c>
      <c r="Z1696" t="s">
        <v>69</v>
      </c>
      <c r="AA1696" t="s">
        <v>26326</v>
      </c>
      <c r="AB1696" t="s">
        <v>69</v>
      </c>
      <c r="AC1696" t="s">
        <v>26360</v>
      </c>
      <c r="AD1696" t="s">
        <v>26328</v>
      </c>
      <c r="AE1696" t="s">
        <v>69</v>
      </c>
      <c r="AF1696" t="s">
        <v>26329</v>
      </c>
      <c r="AG1696" t="s">
        <v>69</v>
      </c>
      <c r="AH1696" t="s">
        <v>69</v>
      </c>
      <c r="AI1696" t="s">
        <v>69</v>
      </c>
      <c r="AJ1696" t="s">
        <v>69</v>
      </c>
      <c r="AK1696" t="s">
        <v>69</v>
      </c>
      <c r="AL1696" t="s">
        <v>69</v>
      </c>
      <c r="AM1696" t="s">
        <v>69</v>
      </c>
      <c r="AN1696">
        <v>8</v>
      </c>
      <c r="AO1696">
        <v>0</v>
      </c>
      <c r="AP1696">
        <v>0</v>
      </c>
      <c r="AQ1696">
        <v>0</v>
      </c>
      <c r="AR1696">
        <v>8</v>
      </c>
      <c r="AS1696" t="s">
        <v>26330</v>
      </c>
      <c r="AT1696" t="s">
        <v>23319</v>
      </c>
      <c r="AU1696" t="s">
        <v>26331</v>
      </c>
      <c r="AV1696" t="s">
        <v>26332</v>
      </c>
      <c r="AW1696" t="s">
        <v>69</v>
      </c>
      <c r="AX1696" t="s">
        <v>69</v>
      </c>
      <c r="AY1696" t="s">
        <v>26333</v>
      </c>
      <c r="AZ1696" t="s">
        <v>26334</v>
      </c>
      <c r="BA1696" t="s">
        <v>69</v>
      </c>
      <c r="BB1696">
        <v>2012</v>
      </c>
      <c r="BC1696">
        <v>17</v>
      </c>
      <c r="BD1696">
        <v>4</v>
      </c>
      <c r="BE1696" t="s">
        <v>69</v>
      </c>
      <c r="BF1696" t="s">
        <v>69</v>
      </c>
      <c r="BG1696" t="s">
        <v>69</v>
      </c>
      <c r="BH1696" t="s">
        <v>69</v>
      </c>
      <c r="BI1696">
        <v>53</v>
      </c>
      <c r="BJ1696">
        <v>56</v>
      </c>
      <c r="BK1696" t="s">
        <v>69</v>
      </c>
      <c r="BL1696" t="s">
        <v>69</v>
      </c>
      <c r="BM1696" t="s">
        <v>69</v>
      </c>
      <c r="BN1696" t="s">
        <v>69</v>
      </c>
      <c r="BO1696" t="s">
        <v>69</v>
      </c>
      <c r="BP1696">
        <v>4</v>
      </c>
      <c r="BQ1696" t="s">
        <v>18899</v>
      </c>
      <c r="BR1696" t="s">
        <v>8548</v>
      </c>
      <c r="BS1696" t="s">
        <v>18899</v>
      </c>
      <c r="BT1696" t="s">
        <v>26361</v>
      </c>
      <c r="BU1696" t="s">
        <v>26362</v>
      </c>
      <c r="BV1696" t="s">
        <v>69</v>
      </c>
      <c r="BW1696" t="s">
        <v>69</v>
      </c>
      <c r="BX1696" t="s">
        <v>69</v>
      </c>
      <c r="BY1696" t="s">
        <v>69</v>
      </c>
      <c r="BZ1696" t="s">
        <v>8526</v>
      </c>
      <c r="CA1696" t="str">
        <f>HYPERLINK("https%3A%2F%2Fwww.webofscience.com%2Fwos%2Fwoscc%2Ffull-record%2FWOS:000300590900009","View Full Record in Web of Science")</f>
        <v>View Full Record in Web of Science</v>
      </c>
    </row>
    <row r="1697" spans="1:79" ht="12.5" x14ac:dyDescent="0.25">
      <c r="B1697" t="s">
        <v>8495</v>
      </c>
      <c r="D1697" s="22" t="s">
        <v>32931</v>
      </c>
      <c r="E1697" s="7"/>
      <c r="F1697" s="7"/>
      <c r="G1697" s="7"/>
      <c r="H1697" t="s">
        <v>67</v>
      </c>
      <c r="I1697" t="s">
        <v>9314</v>
      </c>
      <c r="J1697" t="s">
        <v>69</v>
      </c>
      <c r="K1697" t="s">
        <v>69</v>
      </c>
      <c r="L1697" t="s">
        <v>69</v>
      </c>
      <c r="M1697" t="s">
        <v>9315</v>
      </c>
      <c r="N1697" t="s">
        <v>69</v>
      </c>
      <c r="O1697" t="s">
        <v>69</v>
      </c>
      <c r="P1697" t="s">
        <v>9316</v>
      </c>
      <c r="Q1697" t="s">
        <v>9317</v>
      </c>
      <c r="R1697" t="s">
        <v>69</v>
      </c>
      <c r="S1697" t="s">
        <v>69</v>
      </c>
      <c r="T1697" t="s">
        <v>8505</v>
      </c>
      <c r="U1697" t="s">
        <v>8506</v>
      </c>
      <c r="V1697" t="s">
        <v>69</v>
      </c>
      <c r="W1697" t="s">
        <v>69</v>
      </c>
      <c r="X1697" t="s">
        <v>69</v>
      </c>
      <c r="Y1697" t="s">
        <v>69</v>
      </c>
      <c r="Z1697" t="s">
        <v>69</v>
      </c>
      <c r="AA1697" t="s">
        <v>9318</v>
      </c>
      <c r="AB1697" t="s">
        <v>9319</v>
      </c>
      <c r="AC1697" t="s">
        <v>9320</v>
      </c>
      <c r="AD1697" t="s">
        <v>9321</v>
      </c>
      <c r="AE1697" t="s">
        <v>69</v>
      </c>
      <c r="AF1697" t="s">
        <v>9322</v>
      </c>
      <c r="AG1697" t="s">
        <v>9323</v>
      </c>
      <c r="AH1697" t="s">
        <v>69</v>
      </c>
      <c r="AI1697" t="s">
        <v>69</v>
      </c>
      <c r="AJ1697" t="s">
        <v>9324</v>
      </c>
      <c r="AK1697" t="s">
        <v>9325</v>
      </c>
      <c r="AL1697" t="s">
        <v>9326</v>
      </c>
      <c r="AM1697" t="s">
        <v>69</v>
      </c>
      <c r="AN1697">
        <v>52</v>
      </c>
      <c r="AO1697">
        <v>0</v>
      </c>
      <c r="AP1697">
        <v>0</v>
      </c>
      <c r="AQ1697">
        <v>2</v>
      </c>
      <c r="AR1697">
        <v>2</v>
      </c>
      <c r="AS1697" t="s">
        <v>8992</v>
      </c>
      <c r="AT1697" t="s">
        <v>8993</v>
      </c>
      <c r="AU1697" t="s">
        <v>8994</v>
      </c>
      <c r="AV1697" t="s">
        <v>9327</v>
      </c>
      <c r="AW1697" t="s">
        <v>69</v>
      </c>
      <c r="AX1697" t="s">
        <v>69</v>
      </c>
      <c r="AY1697" t="s">
        <v>9328</v>
      </c>
      <c r="AZ1697" t="s">
        <v>9329</v>
      </c>
      <c r="BA1697" t="s">
        <v>9330</v>
      </c>
      <c r="BB1697">
        <v>2022</v>
      </c>
      <c r="BC1697">
        <v>13</v>
      </c>
      <c r="BD1697" t="s">
        <v>69</v>
      </c>
      <c r="BE1697" t="s">
        <v>69</v>
      </c>
      <c r="BF1697" t="s">
        <v>69</v>
      </c>
      <c r="BG1697" t="s">
        <v>69</v>
      </c>
      <c r="BH1697" t="s">
        <v>69</v>
      </c>
      <c r="BI1697" t="s">
        <v>69</v>
      </c>
      <c r="BJ1697" t="s">
        <v>69</v>
      </c>
      <c r="BK1697">
        <v>801065</v>
      </c>
      <c r="BL1697" t="s">
        <v>9331</v>
      </c>
      <c r="BM1697" t="str">
        <f>HYPERLINK("http://dx.doi.org/10.3389/fpsyt.2022.801065","http://dx.doi.org/10.3389/fpsyt.2022.801065")</f>
        <v>http://dx.doi.org/10.3389/fpsyt.2022.801065</v>
      </c>
      <c r="BN1697" t="s">
        <v>69</v>
      </c>
      <c r="BO1697" t="s">
        <v>69</v>
      </c>
      <c r="BP1697">
        <v>11</v>
      </c>
      <c r="BQ1697" t="s">
        <v>9332</v>
      </c>
      <c r="BR1697" t="s">
        <v>8523</v>
      </c>
      <c r="BS1697" t="s">
        <v>9332</v>
      </c>
      <c r="BT1697" t="s">
        <v>9333</v>
      </c>
      <c r="BU1697" t="s">
        <v>9334</v>
      </c>
      <c r="BV1697">
        <v>35463487</v>
      </c>
      <c r="BW1697" t="s">
        <v>8812</v>
      </c>
      <c r="BX1697" t="s">
        <v>69</v>
      </c>
      <c r="BY1697" t="s">
        <v>69</v>
      </c>
      <c r="BZ1697" t="s">
        <v>8526</v>
      </c>
      <c r="CA1697" t="str">
        <f>HYPERLINK("https%3A%2F%2Fwww.webofscience.com%2Fwos%2Fwoscc%2Ffull-record%2FWOS:000792229800001","View Full Record in Web of Science")</f>
        <v>View Full Record in Web of Science</v>
      </c>
    </row>
    <row r="1698" spans="1:79" ht="12.5" x14ac:dyDescent="0.25">
      <c r="B1698" t="s">
        <v>8495</v>
      </c>
      <c r="D1698" s="22" t="s">
        <v>32931</v>
      </c>
      <c r="E1698" s="7"/>
      <c r="F1698" s="7"/>
      <c r="G1698" s="7"/>
      <c r="H1698" t="s">
        <v>67</v>
      </c>
      <c r="I1698" t="s">
        <v>19213</v>
      </c>
      <c r="J1698" t="s">
        <v>69</v>
      </c>
      <c r="K1698" t="s">
        <v>69</v>
      </c>
      <c r="L1698" t="s">
        <v>69</v>
      </c>
      <c r="M1698" t="s">
        <v>19214</v>
      </c>
      <c r="N1698" t="s">
        <v>69</v>
      </c>
      <c r="O1698" t="s">
        <v>69</v>
      </c>
      <c r="P1698" t="s">
        <v>19215</v>
      </c>
      <c r="Q1698" t="s">
        <v>19216</v>
      </c>
      <c r="R1698" t="s">
        <v>69</v>
      </c>
      <c r="S1698" t="s">
        <v>69</v>
      </c>
      <c r="T1698" t="s">
        <v>8505</v>
      </c>
      <c r="U1698" t="s">
        <v>8506</v>
      </c>
      <c r="V1698" t="s">
        <v>69</v>
      </c>
      <c r="W1698" t="s">
        <v>69</v>
      </c>
      <c r="X1698" t="s">
        <v>69</v>
      </c>
      <c r="Y1698" t="s">
        <v>69</v>
      </c>
      <c r="Z1698" t="s">
        <v>69</v>
      </c>
      <c r="AA1698" t="s">
        <v>19217</v>
      </c>
      <c r="AB1698" t="s">
        <v>19218</v>
      </c>
      <c r="AC1698" t="s">
        <v>19219</v>
      </c>
      <c r="AD1698" t="s">
        <v>19220</v>
      </c>
      <c r="AE1698" t="s">
        <v>69</v>
      </c>
      <c r="AF1698" t="s">
        <v>19221</v>
      </c>
      <c r="AG1698" t="s">
        <v>19222</v>
      </c>
      <c r="AH1698" t="s">
        <v>69</v>
      </c>
      <c r="AI1698" t="s">
        <v>19223</v>
      </c>
      <c r="AJ1698" t="s">
        <v>69</v>
      </c>
      <c r="AK1698" t="s">
        <v>69</v>
      </c>
      <c r="AL1698" t="s">
        <v>69</v>
      </c>
      <c r="AM1698" t="s">
        <v>69</v>
      </c>
      <c r="AN1698">
        <v>18</v>
      </c>
      <c r="AO1698">
        <v>2</v>
      </c>
      <c r="AP1698">
        <v>2</v>
      </c>
      <c r="AQ1698">
        <v>0</v>
      </c>
      <c r="AR1698">
        <v>6</v>
      </c>
      <c r="AS1698" t="s">
        <v>9047</v>
      </c>
      <c r="AT1698" t="s">
        <v>8693</v>
      </c>
      <c r="AU1698" t="s">
        <v>16643</v>
      </c>
      <c r="AV1698" t="s">
        <v>19224</v>
      </c>
      <c r="AW1698" t="s">
        <v>19225</v>
      </c>
      <c r="AX1698" t="s">
        <v>69</v>
      </c>
      <c r="AY1698" t="s">
        <v>19226</v>
      </c>
      <c r="AZ1698" t="s">
        <v>19227</v>
      </c>
      <c r="BA1698" t="s">
        <v>191</v>
      </c>
      <c r="BB1698">
        <v>2018</v>
      </c>
      <c r="BC1698">
        <v>39</v>
      </c>
      <c r="BD1698">
        <v>2</v>
      </c>
      <c r="BE1698" t="s">
        <v>69</v>
      </c>
      <c r="BF1698" t="s">
        <v>69</v>
      </c>
      <c r="BG1698" t="s">
        <v>69</v>
      </c>
      <c r="BH1698" t="s">
        <v>69</v>
      </c>
      <c r="BI1698">
        <v>307</v>
      </c>
      <c r="BJ1698">
        <v>314</v>
      </c>
      <c r="BK1698" t="s">
        <v>69</v>
      </c>
      <c r="BL1698" t="s">
        <v>19228</v>
      </c>
      <c r="BM1698" t="str">
        <f>HYPERLINK("http://dx.doi.org/10.1007/s00246-017-1756-9","http://dx.doi.org/10.1007/s00246-017-1756-9")</f>
        <v>http://dx.doi.org/10.1007/s00246-017-1756-9</v>
      </c>
      <c r="BN1698" t="s">
        <v>69</v>
      </c>
      <c r="BO1698" t="s">
        <v>69</v>
      </c>
      <c r="BP1698">
        <v>8</v>
      </c>
      <c r="BQ1698" t="s">
        <v>16366</v>
      </c>
      <c r="BR1698" t="s">
        <v>8548</v>
      </c>
      <c r="BS1698" t="s">
        <v>16367</v>
      </c>
      <c r="BT1698" t="s">
        <v>19229</v>
      </c>
      <c r="BU1698" t="s">
        <v>19230</v>
      </c>
      <c r="BV1698">
        <v>29147800</v>
      </c>
      <c r="BW1698" t="s">
        <v>69</v>
      </c>
      <c r="BX1698" t="s">
        <v>69</v>
      </c>
      <c r="BY1698" t="s">
        <v>69</v>
      </c>
      <c r="BZ1698" t="s">
        <v>8526</v>
      </c>
      <c r="CA1698" t="str">
        <f>HYPERLINK("https%3A%2F%2Fwww.webofscience.com%2Fwos%2Fwoscc%2Ffull-record%2FWOS:000424275400012","View Full Record in Web of Science")</f>
        <v>View Full Record in Web of Science</v>
      </c>
    </row>
    <row r="1699" spans="1:79" ht="12.5" x14ac:dyDescent="0.25">
      <c r="B1699" t="s">
        <v>8495</v>
      </c>
      <c r="D1699" s="7" t="s">
        <v>32933</v>
      </c>
      <c r="E1699" s="7"/>
      <c r="F1699" s="7"/>
      <c r="G1699" s="7"/>
      <c r="H1699" t="s">
        <v>67</v>
      </c>
      <c r="I1699" t="s">
        <v>1581</v>
      </c>
      <c r="J1699" t="s">
        <v>69</v>
      </c>
      <c r="K1699" t="s">
        <v>69</v>
      </c>
      <c r="L1699" t="s">
        <v>69</v>
      </c>
      <c r="M1699" t="s">
        <v>1582</v>
      </c>
      <c r="N1699" t="s">
        <v>69</v>
      </c>
      <c r="O1699" t="s">
        <v>69</v>
      </c>
      <c r="P1699" t="s">
        <v>1583</v>
      </c>
      <c r="Q1699" t="s">
        <v>1584</v>
      </c>
      <c r="R1699" t="s">
        <v>69</v>
      </c>
      <c r="S1699" t="s">
        <v>69</v>
      </c>
      <c r="T1699" t="s">
        <v>8505</v>
      </c>
      <c r="U1699" t="s">
        <v>8506</v>
      </c>
      <c r="V1699" t="s">
        <v>69</v>
      </c>
      <c r="W1699" t="s">
        <v>69</v>
      </c>
      <c r="X1699" t="s">
        <v>69</v>
      </c>
      <c r="Y1699" t="s">
        <v>69</v>
      </c>
      <c r="Z1699" t="s">
        <v>69</v>
      </c>
      <c r="AA1699" t="s">
        <v>69</v>
      </c>
      <c r="AB1699" t="s">
        <v>69</v>
      </c>
      <c r="AC1699" t="s">
        <v>1585</v>
      </c>
      <c r="AD1699" t="s">
        <v>29433</v>
      </c>
      <c r="AE1699" t="s">
        <v>69</v>
      </c>
      <c r="AF1699" t="s">
        <v>29434</v>
      </c>
      <c r="AG1699" t="s">
        <v>29435</v>
      </c>
      <c r="AH1699" t="s">
        <v>69</v>
      </c>
      <c r="AI1699" t="s">
        <v>69</v>
      </c>
      <c r="AJ1699" t="s">
        <v>69</v>
      </c>
      <c r="AK1699" t="s">
        <v>69</v>
      </c>
      <c r="AL1699" t="s">
        <v>69</v>
      </c>
      <c r="AM1699" t="s">
        <v>69</v>
      </c>
      <c r="AN1699">
        <v>81</v>
      </c>
      <c r="AO1699">
        <v>6</v>
      </c>
      <c r="AP1699">
        <v>6</v>
      </c>
      <c r="AQ1699">
        <v>4</v>
      </c>
      <c r="AR1699">
        <v>13</v>
      </c>
      <c r="AS1699" t="s">
        <v>8865</v>
      </c>
      <c r="AT1699" t="s">
        <v>8612</v>
      </c>
      <c r="AU1699" t="s">
        <v>8866</v>
      </c>
      <c r="AV1699" t="s">
        <v>1586</v>
      </c>
      <c r="AW1699" t="s">
        <v>1587</v>
      </c>
      <c r="AX1699" t="s">
        <v>69</v>
      </c>
      <c r="AY1699" t="s">
        <v>29436</v>
      </c>
      <c r="AZ1699" t="s">
        <v>29437</v>
      </c>
      <c r="BA1699" t="s">
        <v>69</v>
      </c>
      <c r="BB1699">
        <v>2008</v>
      </c>
      <c r="BC1699">
        <v>20</v>
      </c>
      <c r="BD1699">
        <v>1</v>
      </c>
      <c r="BE1699" t="s">
        <v>69</v>
      </c>
      <c r="BF1699" t="s">
        <v>69</v>
      </c>
      <c r="BG1699" t="s">
        <v>69</v>
      </c>
      <c r="BH1699" t="s">
        <v>69</v>
      </c>
      <c r="BI1699">
        <v>20</v>
      </c>
      <c r="BJ1699">
        <v>48</v>
      </c>
      <c r="BK1699" t="s">
        <v>69</v>
      </c>
      <c r="BL1699" t="s">
        <v>1588</v>
      </c>
      <c r="BM1699" t="str">
        <f>HYPERLINK("http://dx.doi.org/10.1080/10627260701727002","http://dx.doi.org/10.1080/10627260701727002")</f>
        <v>http://dx.doi.org/10.1080/10627260701727002</v>
      </c>
      <c r="BN1699" t="s">
        <v>69</v>
      </c>
      <c r="BO1699" t="s">
        <v>69</v>
      </c>
      <c r="BP1699">
        <v>29</v>
      </c>
      <c r="BQ1699" t="s">
        <v>8443</v>
      </c>
      <c r="BR1699" t="s">
        <v>8661</v>
      </c>
      <c r="BS1699" t="s">
        <v>8443</v>
      </c>
      <c r="BT1699" t="s">
        <v>29438</v>
      </c>
      <c r="BU1699" t="s">
        <v>1589</v>
      </c>
      <c r="BV1699" t="s">
        <v>69</v>
      </c>
      <c r="BW1699" t="s">
        <v>69</v>
      </c>
      <c r="BX1699" t="s">
        <v>69</v>
      </c>
      <c r="BY1699" t="s">
        <v>69</v>
      </c>
      <c r="BZ1699" t="s">
        <v>8526</v>
      </c>
      <c r="CA1699" t="str">
        <f>HYPERLINK("https%3A%2F%2Fwww.webofscience.com%2Fwos%2Fwoscc%2Ffull-record%2FWOS:000260804800002","View Full Record in Web of Science")</f>
        <v>View Full Record in Web of Science</v>
      </c>
    </row>
    <row r="1700" spans="1:79" x14ac:dyDescent="0.3">
      <c r="A1700" t="s">
        <v>8408</v>
      </c>
      <c r="B1700" t="s">
        <v>8495</v>
      </c>
      <c r="D1700" s="10" t="s">
        <v>33192</v>
      </c>
      <c r="F1700" s="10" t="s">
        <v>8490</v>
      </c>
      <c r="H1700" t="s">
        <v>67</v>
      </c>
      <c r="I1700" t="s">
        <v>4504</v>
      </c>
      <c r="J1700" t="s">
        <v>69</v>
      </c>
      <c r="K1700" t="s">
        <v>69</v>
      </c>
      <c r="L1700" t="s">
        <v>69</v>
      </c>
      <c r="M1700" s="2" t="s">
        <v>4505</v>
      </c>
      <c r="N1700" t="s">
        <v>69</v>
      </c>
      <c r="O1700" t="s">
        <v>69</v>
      </c>
      <c r="P1700" s="2" t="s">
        <v>4506</v>
      </c>
      <c r="Q1700" t="s">
        <v>726</v>
      </c>
      <c r="R1700" t="s">
        <v>69</v>
      </c>
      <c r="S1700" t="s">
        <v>69</v>
      </c>
      <c r="T1700" t="s">
        <v>8505</v>
      </c>
      <c r="U1700" t="s">
        <v>8506</v>
      </c>
      <c r="V1700" t="s">
        <v>69</v>
      </c>
      <c r="W1700" t="s">
        <v>69</v>
      </c>
      <c r="X1700" t="s">
        <v>69</v>
      </c>
      <c r="Y1700" t="s">
        <v>69</v>
      </c>
      <c r="Z1700" t="s">
        <v>69</v>
      </c>
      <c r="AA1700" t="s">
        <v>17469</v>
      </c>
      <c r="AB1700" t="s">
        <v>17470</v>
      </c>
      <c r="AC1700" t="s">
        <v>4507</v>
      </c>
      <c r="AD1700" t="s">
        <v>17471</v>
      </c>
      <c r="AE1700" t="s">
        <v>69</v>
      </c>
      <c r="AF1700" t="s">
        <v>17472</v>
      </c>
      <c r="AG1700" t="s">
        <v>10432</v>
      </c>
      <c r="AH1700" t="s">
        <v>4508</v>
      </c>
      <c r="AI1700" t="s">
        <v>4509</v>
      </c>
      <c r="AJ1700" t="s">
        <v>69</v>
      </c>
      <c r="AK1700" t="s">
        <v>69</v>
      </c>
      <c r="AL1700" t="s">
        <v>69</v>
      </c>
      <c r="AM1700" t="s">
        <v>69</v>
      </c>
      <c r="AN1700">
        <v>60</v>
      </c>
      <c r="AO1700">
        <v>6</v>
      </c>
      <c r="AP1700">
        <v>6</v>
      </c>
      <c r="AQ1700">
        <v>0</v>
      </c>
      <c r="AR1700">
        <v>38</v>
      </c>
      <c r="AS1700" t="s">
        <v>8865</v>
      </c>
      <c r="AT1700" t="s">
        <v>8612</v>
      </c>
      <c r="AU1700" t="s">
        <v>8866</v>
      </c>
      <c r="AV1700" t="s">
        <v>729</v>
      </c>
      <c r="AW1700" t="s">
        <v>730</v>
      </c>
      <c r="AX1700" t="s">
        <v>69</v>
      </c>
      <c r="AY1700" t="s">
        <v>14684</v>
      </c>
      <c r="AZ1700" t="s">
        <v>14685</v>
      </c>
      <c r="BA1700" t="s">
        <v>971</v>
      </c>
      <c r="BB1700">
        <v>2019</v>
      </c>
      <c r="BC1700">
        <v>21</v>
      </c>
      <c r="BD1700">
        <v>2</v>
      </c>
      <c r="BE1700" t="s">
        <v>69</v>
      </c>
      <c r="BF1700" t="s">
        <v>69</v>
      </c>
      <c r="BG1700" t="s">
        <v>69</v>
      </c>
      <c r="BH1700" t="s">
        <v>69</v>
      </c>
      <c r="BI1700">
        <v>153</v>
      </c>
      <c r="BJ1700">
        <v>173</v>
      </c>
      <c r="BK1700" t="s">
        <v>69</v>
      </c>
      <c r="BL1700" t="s">
        <v>4510</v>
      </c>
      <c r="BM1700" t="str">
        <f>HYPERLINK("http://dx.doi.org/10.1080/1523908X.2019.1566061","http://dx.doi.org/10.1080/1523908X.2019.1566061")</f>
        <v>http://dx.doi.org/10.1080/1523908X.2019.1566061</v>
      </c>
      <c r="BN1700" t="s">
        <v>69</v>
      </c>
      <c r="BO1700" t="s">
        <v>69</v>
      </c>
      <c r="BP1700">
        <v>21</v>
      </c>
      <c r="BQ1700" t="s">
        <v>14686</v>
      </c>
      <c r="BR1700" t="s">
        <v>8661</v>
      </c>
      <c r="BS1700" t="s">
        <v>14687</v>
      </c>
      <c r="BT1700" t="s">
        <v>17473</v>
      </c>
      <c r="BU1700" t="s">
        <v>4511</v>
      </c>
      <c r="BV1700" t="s">
        <v>69</v>
      </c>
      <c r="BW1700" t="s">
        <v>69</v>
      </c>
      <c r="BX1700" t="s">
        <v>69</v>
      </c>
      <c r="BY1700" t="s">
        <v>69</v>
      </c>
      <c r="BZ1700" t="s">
        <v>8526</v>
      </c>
      <c r="CA1700" t="str">
        <f>HYPERLINK("https%3A%2F%2Fwww.webofscience.com%2Fwos%2Fwoscc%2Ffull-record%2FWOS:000459159800003","View Full Record in Web of Science")</f>
        <v>View Full Record in Web of Science</v>
      </c>
    </row>
    <row r="1701" spans="1:79" ht="12.5" x14ac:dyDescent="0.25">
      <c r="B1701" t="s">
        <v>8495</v>
      </c>
      <c r="D1701" s="7" t="s">
        <v>32933</v>
      </c>
      <c r="E1701" s="7"/>
      <c r="F1701" s="7"/>
      <c r="G1701" s="7"/>
      <c r="H1701" t="s">
        <v>67</v>
      </c>
      <c r="I1701" t="s">
        <v>3935</v>
      </c>
      <c r="J1701" t="s">
        <v>69</v>
      </c>
      <c r="K1701" t="s">
        <v>69</v>
      </c>
      <c r="L1701" t="s">
        <v>69</v>
      </c>
      <c r="M1701" t="s">
        <v>3935</v>
      </c>
      <c r="N1701" t="s">
        <v>69</v>
      </c>
      <c r="O1701" t="s">
        <v>69</v>
      </c>
      <c r="P1701" t="s">
        <v>3936</v>
      </c>
      <c r="Q1701" t="s">
        <v>3807</v>
      </c>
      <c r="R1701" t="s">
        <v>69</v>
      </c>
      <c r="S1701" t="s">
        <v>69</v>
      </c>
      <c r="T1701" t="s">
        <v>8505</v>
      </c>
      <c r="U1701" t="s">
        <v>8442</v>
      </c>
      <c r="V1701" t="s">
        <v>69</v>
      </c>
      <c r="W1701" t="s">
        <v>69</v>
      </c>
      <c r="X1701" t="s">
        <v>69</v>
      </c>
      <c r="Y1701" t="s">
        <v>69</v>
      </c>
      <c r="Z1701" t="s">
        <v>69</v>
      </c>
      <c r="AA1701" t="s">
        <v>69</v>
      </c>
      <c r="AB1701" t="s">
        <v>31045</v>
      </c>
      <c r="AC1701" t="s">
        <v>3937</v>
      </c>
      <c r="AD1701" t="s">
        <v>31040</v>
      </c>
      <c r="AE1701" t="s">
        <v>69</v>
      </c>
      <c r="AF1701" t="s">
        <v>31046</v>
      </c>
      <c r="AG1701" t="s">
        <v>31047</v>
      </c>
      <c r="AH1701" t="s">
        <v>31043</v>
      </c>
      <c r="AI1701" t="s">
        <v>69</v>
      </c>
      <c r="AJ1701" t="s">
        <v>69</v>
      </c>
      <c r="AK1701" t="s">
        <v>69</v>
      </c>
      <c r="AL1701" t="s">
        <v>69</v>
      </c>
      <c r="AM1701" t="s">
        <v>69</v>
      </c>
      <c r="AN1701">
        <v>119</v>
      </c>
      <c r="AO1701">
        <v>38</v>
      </c>
      <c r="AP1701">
        <v>38</v>
      </c>
      <c r="AQ1701">
        <v>0</v>
      </c>
      <c r="AR1701">
        <v>4</v>
      </c>
      <c r="AS1701" t="s">
        <v>9178</v>
      </c>
      <c r="AT1701" t="s">
        <v>8763</v>
      </c>
      <c r="AU1701" t="s">
        <v>9179</v>
      </c>
      <c r="AV1701" t="s">
        <v>3809</v>
      </c>
      <c r="AW1701" t="s">
        <v>3810</v>
      </c>
      <c r="AX1701" t="s">
        <v>69</v>
      </c>
      <c r="AY1701" t="s">
        <v>25897</v>
      </c>
      <c r="AZ1701" t="s">
        <v>25898</v>
      </c>
      <c r="BA1701" t="s">
        <v>75</v>
      </c>
      <c r="BB1701">
        <v>2004</v>
      </c>
      <c r="BC1701">
        <v>13</v>
      </c>
      <c r="BD1701" t="s">
        <v>69</v>
      </c>
      <c r="BE1701" t="s">
        <v>69</v>
      </c>
      <c r="BF1701">
        <v>2</v>
      </c>
      <c r="BG1701" t="s">
        <v>69</v>
      </c>
      <c r="BH1701" t="s">
        <v>69</v>
      </c>
      <c r="BI1701">
        <v>71</v>
      </c>
      <c r="BJ1701">
        <v>78</v>
      </c>
      <c r="BK1701" t="s">
        <v>69</v>
      </c>
      <c r="BL1701" t="s">
        <v>3938</v>
      </c>
      <c r="BM1701" t="str">
        <f>HYPERLINK("http://dx.doi.org/10.1136/tc.2004.009324","http://dx.doi.org/10.1136/tc.2004.009324")</f>
        <v>http://dx.doi.org/10.1136/tc.2004.009324</v>
      </c>
      <c r="BN1701" t="s">
        <v>69</v>
      </c>
      <c r="BO1701" t="s">
        <v>69</v>
      </c>
      <c r="BP1701">
        <v>8</v>
      </c>
      <c r="BQ1701" t="s">
        <v>25899</v>
      </c>
      <c r="BR1701" t="s">
        <v>8548</v>
      </c>
      <c r="BS1701" t="s">
        <v>25899</v>
      </c>
      <c r="BT1701" t="s">
        <v>31044</v>
      </c>
      <c r="BU1701" t="s">
        <v>3939</v>
      </c>
      <c r="BV1701" t="s">
        <v>69</v>
      </c>
      <c r="BW1701" t="s">
        <v>11793</v>
      </c>
      <c r="BX1701" t="s">
        <v>69</v>
      </c>
      <c r="BY1701" t="s">
        <v>69</v>
      </c>
      <c r="BZ1701" t="s">
        <v>8526</v>
      </c>
      <c r="CA1701" t="str">
        <f>HYPERLINK("https%3A%2F%2Fwww.webofscience.com%2Fwos%2Fwoscc%2Ffull-record%2FWOS:000225734100011","View Full Record in Web of Science")</f>
        <v>View Full Record in Web of Science</v>
      </c>
    </row>
    <row r="1702" spans="1:79" ht="12.5" x14ac:dyDescent="0.25">
      <c r="B1702" t="s">
        <v>8495</v>
      </c>
      <c r="D1702" s="7" t="s">
        <v>32933</v>
      </c>
      <c r="E1702" s="7"/>
      <c r="F1702" s="7"/>
      <c r="G1702" s="7"/>
      <c r="H1702" t="s">
        <v>67</v>
      </c>
      <c r="I1702" t="s">
        <v>4143</v>
      </c>
      <c r="J1702" t="s">
        <v>69</v>
      </c>
      <c r="K1702" t="s">
        <v>69</v>
      </c>
      <c r="L1702" t="s">
        <v>69</v>
      </c>
      <c r="M1702" t="s">
        <v>4143</v>
      </c>
      <c r="N1702" t="s">
        <v>69</v>
      </c>
      <c r="O1702" t="s">
        <v>69</v>
      </c>
      <c r="P1702" t="s">
        <v>4144</v>
      </c>
      <c r="Q1702" t="s">
        <v>4145</v>
      </c>
      <c r="R1702" t="s">
        <v>69</v>
      </c>
      <c r="S1702" t="s">
        <v>69</v>
      </c>
      <c r="T1702" t="s">
        <v>8505</v>
      </c>
      <c r="U1702" t="s">
        <v>8506</v>
      </c>
      <c r="V1702" t="s">
        <v>69</v>
      </c>
      <c r="W1702" t="s">
        <v>69</v>
      </c>
      <c r="X1702" t="s">
        <v>69</v>
      </c>
      <c r="Y1702" t="s">
        <v>69</v>
      </c>
      <c r="Z1702" t="s">
        <v>69</v>
      </c>
      <c r="AA1702" t="s">
        <v>31982</v>
      </c>
      <c r="AB1702" t="s">
        <v>69</v>
      </c>
      <c r="AC1702" t="s">
        <v>4146</v>
      </c>
      <c r="AD1702" t="s">
        <v>31983</v>
      </c>
      <c r="AE1702" t="s">
        <v>69</v>
      </c>
      <c r="AF1702" t="s">
        <v>31984</v>
      </c>
      <c r="AG1702" t="s">
        <v>69</v>
      </c>
      <c r="AH1702" t="s">
        <v>69</v>
      </c>
      <c r="AI1702" t="s">
        <v>69</v>
      </c>
      <c r="AJ1702" t="s">
        <v>69</v>
      </c>
      <c r="AK1702" t="s">
        <v>69</v>
      </c>
      <c r="AL1702" t="s">
        <v>69</v>
      </c>
      <c r="AM1702" t="s">
        <v>69</v>
      </c>
      <c r="AN1702">
        <v>3</v>
      </c>
      <c r="AO1702">
        <v>3</v>
      </c>
      <c r="AP1702">
        <v>3</v>
      </c>
      <c r="AQ1702">
        <v>0</v>
      </c>
      <c r="AR1702">
        <v>1</v>
      </c>
      <c r="AS1702" t="s">
        <v>31642</v>
      </c>
      <c r="AT1702" t="s">
        <v>10924</v>
      </c>
      <c r="AU1702" t="s">
        <v>31643</v>
      </c>
      <c r="AV1702" t="s">
        <v>4147</v>
      </c>
      <c r="AW1702" t="s">
        <v>69</v>
      </c>
      <c r="AX1702" t="s">
        <v>69</v>
      </c>
      <c r="AY1702" t="s">
        <v>31985</v>
      </c>
      <c r="AZ1702" t="s">
        <v>31986</v>
      </c>
      <c r="BA1702" t="s">
        <v>586</v>
      </c>
      <c r="BB1702">
        <v>1999</v>
      </c>
      <c r="BC1702">
        <v>12</v>
      </c>
      <c r="BD1702">
        <v>2</v>
      </c>
      <c r="BE1702" t="s">
        <v>69</v>
      </c>
      <c r="BF1702" t="s">
        <v>69</v>
      </c>
      <c r="BG1702" t="s">
        <v>69</v>
      </c>
      <c r="BH1702" t="s">
        <v>69</v>
      </c>
      <c r="BI1702">
        <v>87</v>
      </c>
      <c r="BJ1702">
        <v>93</v>
      </c>
      <c r="BK1702" t="s">
        <v>69</v>
      </c>
      <c r="BL1702" t="s">
        <v>4148</v>
      </c>
      <c r="BM1702" t="str">
        <f>HYPERLINK("http://dx.doi.org/10.1007/BF03168847","http://dx.doi.org/10.1007/BF03168847")</f>
        <v>http://dx.doi.org/10.1007/BF03168847</v>
      </c>
      <c r="BN1702" t="s">
        <v>69</v>
      </c>
      <c r="BO1702" t="s">
        <v>69</v>
      </c>
      <c r="BP1702">
        <v>7</v>
      </c>
      <c r="BQ1702" t="s">
        <v>14443</v>
      </c>
      <c r="BR1702" t="s">
        <v>8548</v>
      </c>
      <c r="BS1702" t="s">
        <v>14443</v>
      </c>
      <c r="BT1702" t="s">
        <v>31987</v>
      </c>
      <c r="BU1702" t="s">
        <v>4149</v>
      </c>
      <c r="BV1702">
        <v>10342251</v>
      </c>
      <c r="BW1702" t="s">
        <v>10423</v>
      </c>
      <c r="BX1702" t="s">
        <v>69</v>
      </c>
      <c r="BY1702" t="s">
        <v>69</v>
      </c>
      <c r="BZ1702" t="s">
        <v>8526</v>
      </c>
      <c r="CA1702" t="str">
        <f>HYPERLINK("https%3A%2F%2Fwww.webofscience.com%2Fwos%2Fwoscc%2Ffull-record%2FWOS:000080296500006","View Full Record in Web of Science")</f>
        <v>View Full Record in Web of Science</v>
      </c>
    </row>
    <row r="1703" spans="1:79" ht="12.5" x14ac:dyDescent="0.25">
      <c r="B1703" t="s">
        <v>8495</v>
      </c>
      <c r="D1703" s="7" t="s">
        <v>32933</v>
      </c>
      <c r="E1703" s="7"/>
      <c r="F1703" s="7"/>
      <c r="G1703" s="7"/>
      <c r="H1703" t="s">
        <v>67</v>
      </c>
      <c r="I1703" t="s">
        <v>4207</v>
      </c>
      <c r="J1703" t="s">
        <v>69</v>
      </c>
      <c r="K1703" t="s">
        <v>69</v>
      </c>
      <c r="L1703" t="s">
        <v>69</v>
      </c>
      <c r="M1703" t="s">
        <v>4207</v>
      </c>
      <c r="N1703" t="s">
        <v>69</v>
      </c>
      <c r="O1703" t="s">
        <v>69</v>
      </c>
      <c r="P1703" t="s">
        <v>4208</v>
      </c>
      <c r="Q1703" t="s">
        <v>4209</v>
      </c>
      <c r="R1703" t="s">
        <v>69</v>
      </c>
      <c r="S1703" t="s">
        <v>69</v>
      </c>
      <c r="T1703" t="s">
        <v>8505</v>
      </c>
      <c r="U1703" t="s">
        <v>8506</v>
      </c>
      <c r="V1703" t="s">
        <v>69</v>
      </c>
      <c r="W1703" t="s">
        <v>69</v>
      </c>
      <c r="X1703" t="s">
        <v>69</v>
      </c>
      <c r="Y1703" t="s">
        <v>69</v>
      </c>
      <c r="Z1703" t="s">
        <v>69</v>
      </c>
      <c r="AA1703" t="s">
        <v>32322</v>
      </c>
      <c r="AB1703" t="s">
        <v>69</v>
      </c>
      <c r="AC1703" t="s">
        <v>4210</v>
      </c>
      <c r="AD1703" t="s">
        <v>32323</v>
      </c>
      <c r="AE1703" t="s">
        <v>69</v>
      </c>
      <c r="AF1703" t="s">
        <v>32324</v>
      </c>
      <c r="AG1703" t="s">
        <v>69</v>
      </c>
      <c r="AH1703" t="s">
        <v>69</v>
      </c>
      <c r="AI1703" t="s">
        <v>69</v>
      </c>
      <c r="AJ1703" t="s">
        <v>69</v>
      </c>
      <c r="AK1703" t="s">
        <v>69</v>
      </c>
      <c r="AL1703" t="s">
        <v>69</v>
      </c>
      <c r="AM1703" t="s">
        <v>69</v>
      </c>
      <c r="AN1703">
        <v>18</v>
      </c>
      <c r="AO1703">
        <v>5</v>
      </c>
      <c r="AP1703">
        <v>5</v>
      </c>
      <c r="AQ1703">
        <v>0</v>
      </c>
      <c r="AR1703">
        <v>5</v>
      </c>
      <c r="AS1703" t="s">
        <v>32325</v>
      </c>
      <c r="AT1703" t="s">
        <v>32326</v>
      </c>
      <c r="AU1703" t="s">
        <v>32327</v>
      </c>
      <c r="AV1703" t="s">
        <v>4211</v>
      </c>
      <c r="AW1703" t="s">
        <v>69</v>
      </c>
      <c r="AX1703" t="s">
        <v>69</v>
      </c>
      <c r="AY1703" t="s">
        <v>32328</v>
      </c>
      <c r="AZ1703" t="s">
        <v>32329</v>
      </c>
      <c r="BA1703" t="s">
        <v>69</v>
      </c>
      <c r="BB1703">
        <v>1997</v>
      </c>
      <c r="BC1703">
        <v>33</v>
      </c>
      <c r="BD1703" t="s">
        <v>69</v>
      </c>
      <c r="BE1703" t="s">
        <v>69</v>
      </c>
      <c r="BF1703" t="s">
        <v>69</v>
      </c>
      <c r="BG1703" t="s">
        <v>69</v>
      </c>
      <c r="BH1703" t="s">
        <v>69</v>
      </c>
      <c r="BI1703">
        <v>45</v>
      </c>
      <c r="BJ1703">
        <v>69</v>
      </c>
      <c r="BK1703" t="s">
        <v>69</v>
      </c>
      <c r="BL1703" t="s">
        <v>69</v>
      </c>
      <c r="BM1703" t="s">
        <v>69</v>
      </c>
      <c r="BN1703" t="s">
        <v>69</v>
      </c>
      <c r="BO1703" t="s">
        <v>69</v>
      </c>
      <c r="BP1703">
        <v>25</v>
      </c>
      <c r="BQ1703" t="s">
        <v>15451</v>
      </c>
      <c r="BR1703" t="s">
        <v>8548</v>
      </c>
      <c r="BS1703" t="s">
        <v>15452</v>
      </c>
      <c r="BT1703" t="s">
        <v>32330</v>
      </c>
      <c r="BU1703" t="s">
        <v>4212</v>
      </c>
      <c r="BV1703" t="s">
        <v>69</v>
      </c>
      <c r="BW1703" t="s">
        <v>69</v>
      </c>
      <c r="BX1703" t="s">
        <v>69</v>
      </c>
      <c r="BY1703" t="s">
        <v>69</v>
      </c>
      <c r="BZ1703" t="s">
        <v>8526</v>
      </c>
      <c r="CA1703" t="str">
        <f>HYPERLINK("https%3A%2F%2Fwww.webofscience.com%2Fwos%2Fwoscc%2Ffull-record%2FWOS:000075795700006","View Full Record in Web of Science")</f>
        <v>View Full Record in Web of Science</v>
      </c>
    </row>
    <row r="1704" spans="1:79" ht="12.5" x14ac:dyDescent="0.25">
      <c r="B1704" t="s">
        <v>8495</v>
      </c>
      <c r="D1704" s="22" t="s">
        <v>32931</v>
      </c>
      <c r="E1704" s="7"/>
      <c r="F1704" s="7"/>
      <c r="G1704" s="7"/>
      <c r="H1704" t="s">
        <v>67</v>
      </c>
      <c r="I1704" t="s">
        <v>26884</v>
      </c>
      <c r="J1704" t="s">
        <v>69</v>
      </c>
      <c r="K1704" t="s">
        <v>69</v>
      </c>
      <c r="L1704" t="s">
        <v>69</v>
      </c>
      <c r="M1704" t="s">
        <v>26885</v>
      </c>
      <c r="N1704" t="s">
        <v>69</v>
      </c>
      <c r="O1704" t="s">
        <v>69</v>
      </c>
      <c r="P1704" t="s">
        <v>26886</v>
      </c>
      <c r="Q1704" t="s">
        <v>26887</v>
      </c>
      <c r="R1704" t="s">
        <v>69</v>
      </c>
      <c r="S1704" t="s">
        <v>69</v>
      </c>
      <c r="T1704" t="s">
        <v>8505</v>
      </c>
      <c r="U1704" t="s">
        <v>8442</v>
      </c>
      <c r="V1704" t="s">
        <v>69</v>
      </c>
      <c r="W1704" t="s">
        <v>69</v>
      </c>
      <c r="X1704" t="s">
        <v>69</v>
      </c>
      <c r="Y1704" t="s">
        <v>69</v>
      </c>
      <c r="Z1704" t="s">
        <v>69</v>
      </c>
      <c r="AA1704" t="s">
        <v>26888</v>
      </c>
      <c r="AB1704" t="s">
        <v>26889</v>
      </c>
      <c r="AC1704" t="s">
        <v>26890</v>
      </c>
      <c r="AD1704" t="s">
        <v>26891</v>
      </c>
      <c r="AE1704" t="s">
        <v>69</v>
      </c>
      <c r="AF1704" t="s">
        <v>26892</v>
      </c>
      <c r="AG1704" t="s">
        <v>26893</v>
      </c>
      <c r="AH1704" t="s">
        <v>69</v>
      </c>
      <c r="AI1704" t="s">
        <v>69</v>
      </c>
      <c r="AJ1704" t="s">
        <v>69</v>
      </c>
      <c r="AK1704" t="s">
        <v>69</v>
      </c>
      <c r="AL1704" t="s">
        <v>69</v>
      </c>
      <c r="AM1704" t="s">
        <v>69</v>
      </c>
      <c r="AN1704">
        <v>37</v>
      </c>
      <c r="AO1704">
        <v>2</v>
      </c>
      <c r="AP1704">
        <v>2</v>
      </c>
      <c r="AQ1704">
        <v>0</v>
      </c>
      <c r="AR1704">
        <v>14</v>
      </c>
      <c r="AS1704" t="s">
        <v>26894</v>
      </c>
      <c r="AT1704" t="s">
        <v>23459</v>
      </c>
      <c r="AU1704" t="s">
        <v>26895</v>
      </c>
      <c r="AV1704" t="s">
        <v>26896</v>
      </c>
      <c r="AW1704" t="s">
        <v>26897</v>
      </c>
      <c r="AX1704" t="s">
        <v>69</v>
      </c>
      <c r="AY1704" t="s">
        <v>26898</v>
      </c>
      <c r="AZ1704" t="s">
        <v>26899</v>
      </c>
      <c r="BA1704" t="s">
        <v>1226</v>
      </c>
      <c r="BB1704">
        <v>2011</v>
      </c>
      <c r="BC1704">
        <v>20</v>
      </c>
      <c r="BD1704">
        <v>4</v>
      </c>
      <c r="BE1704" t="s">
        <v>69</v>
      </c>
      <c r="BF1704" t="s">
        <v>69</v>
      </c>
      <c r="BG1704" t="s">
        <v>69</v>
      </c>
      <c r="BH1704" t="s">
        <v>69</v>
      </c>
      <c r="BI1704">
        <v>513</v>
      </c>
      <c r="BJ1704">
        <v>520</v>
      </c>
      <c r="BK1704" t="s">
        <v>69</v>
      </c>
      <c r="BL1704" t="s">
        <v>69</v>
      </c>
      <c r="BM1704" t="s">
        <v>69</v>
      </c>
      <c r="BN1704" t="s">
        <v>69</v>
      </c>
      <c r="BO1704" t="s">
        <v>69</v>
      </c>
      <c r="BP1704">
        <v>8</v>
      </c>
      <c r="BQ1704" t="s">
        <v>20354</v>
      </c>
      <c r="BR1704" t="s">
        <v>8548</v>
      </c>
      <c r="BS1704" t="s">
        <v>20355</v>
      </c>
      <c r="BT1704" t="s">
        <v>26900</v>
      </c>
      <c r="BU1704" t="s">
        <v>26901</v>
      </c>
      <c r="BV1704" t="s">
        <v>69</v>
      </c>
      <c r="BW1704" t="s">
        <v>69</v>
      </c>
      <c r="BX1704" t="s">
        <v>69</v>
      </c>
      <c r="BY1704" t="s">
        <v>69</v>
      </c>
      <c r="BZ1704" t="s">
        <v>8526</v>
      </c>
      <c r="CA1704" t="str">
        <f>HYPERLINK("https%3A%2F%2Fwww.webofscience.com%2Fwos%2Fwoscc%2Ffull-record%2FWOS:000296474800015","View Full Record in Web of Science")</f>
        <v>View Full Record in Web of Science</v>
      </c>
    </row>
    <row r="1705" spans="1:79" x14ac:dyDescent="0.3">
      <c r="B1705" t="s">
        <v>8495</v>
      </c>
      <c r="D1705" s="12" t="s">
        <v>33036</v>
      </c>
      <c r="H1705" t="s">
        <v>67</v>
      </c>
      <c r="I1705" t="s">
        <v>8370</v>
      </c>
      <c r="J1705" t="s">
        <v>69</v>
      </c>
      <c r="K1705" t="s">
        <v>69</v>
      </c>
      <c r="L1705" t="s">
        <v>69</v>
      </c>
      <c r="M1705" s="3" t="s">
        <v>8370</v>
      </c>
      <c r="N1705" t="s">
        <v>69</v>
      </c>
      <c r="O1705" t="s">
        <v>69</v>
      </c>
      <c r="P1705" s="11" t="s">
        <v>8371</v>
      </c>
      <c r="Q1705" t="s">
        <v>8372</v>
      </c>
      <c r="R1705" t="s">
        <v>69</v>
      </c>
      <c r="S1705" t="s">
        <v>69</v>
      </c>
      <c r="T1705" t="s">
        <v>8505</v>
      </c>
      <c r="U1705" t="s">
        <v>8506</v>
      </c>
      <c r="V1705" t="s">
        <v>69</v>
      </c>
      <c r="W1705" t="s">
        <v>69</v>
      </c>
      <c r="X1705" t="s">
        <v>69</v>
      </c>
      <c r="Y1705" t="s">
        <v>69</v>
      </c>
      <c r="Z1705" t="s">
        <v>69</v>
      </c>
      <c r="AA1705" t="s">
        <v>69</v>
      </c>
      <c r="AB1705" t="s">
        <v>32828</v>
      </c>
      <c r="AC1705" t="s">
        <v>8373</v>
      </c>
      <c r="AD1705" t="s">
        <v>32829</v>
      </c>
      <c r="AE1705" t="s">
        <v>69</v>
      </c>
      <c r="AF1705" t="s">
        <v>69</v>
      </c>
      <c r="AG1705" t="s">
        <v>69</v>
      </c>
      <c r="AH1705" t="s">
        <v>69</v>
      </c>
      <c r="AI1705" t="s">
        <v>69</v>
      </c>
      <c r="AJ1705" t="s">
        <v>69</v>
      </c>
      <c r="AK1705" t="s">
        <v>69</v>
      </c>
      <c r="AL1705" t="s">
        <v>69</v>
      </c>
      <c r="AM1705" t="s">
        <v>69</v>
      </c>
      <c r="AN1705">
        <v>84</v>
      </c>
      <c r="AO1705">
        <v>105</v>
      </c>
      <c r="AP1705">
        <v>108</v>
      </c>
      <c r="AQ1705">
        <v>1</v>
      </c>
      <c r="AR1705">
        <v>18</v>
      </c>
      <c r="AS1705" t="s">
        <v>32830</v>
      </c>
      <c r="AT1705" t="s">
        <v>32831</v>
      </c>
      <c r="AU1705" t="s">
        <v>32832</v>
      </c>
      <c r="AV1705" t="s">
        <v>8374</v>
      </c>
      <c r="AW1705" t="s">
        <v>69</v>
      </c>
      <c r="AX1705" t="s">
        <v>69</v>
      </c>
      <c r="AY1705" t="s">
        <v>32833</v>
      </c>
      <c r="AZ1705" t="s">
        <v>32834</v>
      </c>
      <c r="BA1705" t="s">
        <v>69</v>
      </c>
      <c r="BB1705">
        <v>1993</v>
      </c>
      <c r="BC1705">
        <v>15</v>
      </c>
      <c r="BD1705">
        <v>1</v>
      </c>
      <c r="BE1705" t="s">
        <v>69</v>
      </c>
      <c r="BF1705" t="s">
        <v>69</v>
      </c>
      <c r="BG1705" t="s">
        <v>69</v>
      </c>
      <c r="BH1705" t="s">
        <v>69</v>
      </c>
      <c r="BI1705">
        <v>29</v>
      </c>
      <c r="BJ1705">
        <v>53</v>
      </c>
      <c r="BK1705" t="s">
        <v>69</v>
      </c>
      <c r="BL1705" t="s">
        <v>8375</v>
      </c>
      <c r="BM1705" t="str">
        <f>HYPERLINK("http://dx.doi.org/10.1111/j.1467-9906.1993.tb00301.x","http://dx.doi.org/10.1111/j.1467-9906.1993.tb00301.x")</f>
        <v>http://dx.doi.org/10.1111/j.1467-9906.1993.tb00301.x</v>
      </c>
      <c r="BN1705" t="s">
        <v>69</v>
      </c>
      <c r="BO1705" t="s">
        <v>69</v>
      </c>
      <c r="BP1705">
        <v>25</v>
      </c>
      <c r="BQ1705" t="s">
        <v>8475</v>
      </c>
      <c r="BR1705" t="s">
        <v>8661</v>
      </c>
      <c r="BS1705" t="s">
        <v>8475</v>
      </c>
      <c r="BT1705" t="s">
        <v>32835</v>
      </c>
      <c r="BU1705" t="s">
        <v>8376</v>
      </c>
      <c r="BV1705" t="s">
        <v>69</v>
      </c>
      <c r="BW1705" t="s">
        <v>69</v>
      </c>
      <c r="BX1705" t="s">
        <v>69</v>
      </c>
      <c r="BY1705" t="s">
        <v>69</v>
      </c>
      <c r="BZ1705" t="s">
        <v>8526</v>
      </c>
      <c r="CA1705" t="str">
        <f>HYPERLINK("https%3A%2F%2Fwww.webofscience.com%2Fwos%2Fwoscc%2Ffull-record%2FWOS:A1993LT76700003","View Full Record in Web of Science")</f>
        <v>View Full Record in Web of Science</v>
      </c>
    </row>
    <row r="1706" spans="1:79" ht="12.5" x14ac:dyDescent="0.25">
      <c r="B1706" t="s">
        <v>8495</v>
      </c>
      <c r="D1706" s="22" t="s">
        <v>32931</v>
      </c>
      <c r="E1706" s="7"/>
      <c r="F1706" s="7"/>
      <c r="G1706" s="7"/>
      <c r="H1706" t="s">
        <v>67</v>
      </c>
      <c r="I1706" t="s">
        <v>17362</v>
      </c>
      <c r="J1706" t="s">
        <v>69</v>
      </c>
      <c r="K1706" t="s">
        <v>69</v>
      </c>
      <c r="L1706" t="s">
        <v>69</v>
      </c>
      <c r="M1706" t="s">
        <v>17363</v>
      </c>
      <c r="N1706" t="s">
        <v>69</v>
      </c>
      <c r="O1706" t="s">
        <v>69</v>
      </c>
      <c r="P1706" t="s">
        <v>17364</v>
      </c>
      <c r="Q1706" t="s">
        <v>12317</v>
      </c>
      <c r="R1706" t="s">
        <v>69</v>
      </c>
      <c r="S1706" t="s">
        <v>69</v>
      </c>
      <c r="T1706" t="s">
        <v>8505</v>
      </c>
      <c r="U1706" t="s">
        <v>8506</v>
      </c>
      <c r="V1706" t="s">
        <v>69</v>
      </c>
      <c r="W1706" t="s">
        <v>69</v>
      </c>
      <c r="X1706" t="s">
        <v>69</v>
      </c>
      <c r="Y1706" t="s">
        <v>69</v>
      </c>
      <c r="Z1706" t="s">
        <v>69</v>
      </c>
      <c r="AA1706" t="s">
        <v>17365</v>
      </c>
      <c r="AB1706" t="s">
        <v>17366</v>
      </c>
      <c r="AC1706" t="s">
        <v>17367</v>
      </c>
      <c r="AD1706" t="s">
        <v>17368</v>
      </c>
      <c r="AE1706" t="s">
        <v>69</v>
      </c>
      <c r="AF1706" t="s">
        <v>17369</v>
      </c>
      <c r="AG1706" t="s">
        <v>17370</v>
      </c>
      <c r="AH1706" t="s">
        <v>69</v>
      </c>
      <c r="AI1706" t="s">
        <v>17371</v>
      </c>
      <c r="AJ1706" t="s">
        <v>69</v>
      </c>
      <c r="AK1706" t="s">
        <v>69</v>
      </c>
      <c r="AL1706" t="s">
        <v>69</v>
      </c>
      <c r="AM1706" t="s">
        <v>69</v>
      </c>
      <c r="AN1706">
        <v>63</v>
      </c>
      <c r="AO1706">
        <v>16</v>
      </c>
      <c r="AP1706">
        <v>17</v>
      </c>
      <c r="AQ1706">
        <v>0</v>
      </c>
      <c r="AR1706">
        <v>10</v>
      </c>
      <c r="AS1706" t="s">
        <v>9203</v>
      </c>
      <c r="AT1706" t="s">
        <v>8763</v>
      </c>
      <c r="AU1706" t="s">
        <v>9204</v>
      </c>
      <c r="AV1706" t="s">
        <v>12325</v>
      </c>
      <c r="AW1706" t="s">
        <v>69</v>
      </c>
      <c r="AX1706" t="s">
        <v>69</v>
      </c>
      <c r="AY1706" t="s">
        <v>12326</v>
      </c>
      <c r="AZ1706" t="s">
        <v>12327</v>
      </c>
      <c r="BA1706" t="s">
        <v>1245</v>
      </c>
      <c r="BB1706">
        <v>2019</v>
      </c>
      <c r="BC1706">
        <v>19</v>
      </c>
      <c r="BD1706" t="s">
        <v>69</v>
      </c>
      <c r="BE1706" t="s">
        <v>69</v>
      </c>
      <c r="BF1706" t="s">
        <v>69</v>
      </c>
      <c r="BG1706" t="s">
        <v>69</v>
      </c>
      <c r="BH1706" t="s">
        <v>69</v>
      </c>
      <c r="BI1706" t="s">
        <v>69</v>
      </c>
      <c r="BJ1706" t="s">
        <v>69</v>
      </c>
      <c r="BK1706">
        <v>212</v>
      </c>
      <c r="BL1706" t="s">
        <v>17372</v>
      </c>
      <c r="BM1706" t="str">
        <f>HYPERLINK("http://dx.doi.org/10.1186/s12913-019-4044-y","http://dx.doi.org/10.1186/s12913-019-4044-y")</f>
        <v>http://dx.doi.org/10.1186/s12913-019-4044-y</v>
      </c>
      <c r="BN1706" t="s">
        <v>69</v>
      </c>
      <c r="BO1706" t="s">
        <v>69</v>
      </c>
      <c r="BP1706">
        <v>10</v>
      </c>
      <c r="BQ1706" t="s">
        <v>9209</v>
      </c>
      <c r="BR1706" t="s">
        <v>8523</v>
      </c>
      <c r="BS1706" t="s">
        <v>9209</v>
      </c>
      <c r="BT1706" t="s">
        <v>17373</v>
      </c>
      <c r="BU1706" t="s">
        <v>17374</v>
      </c>
      <c r="BV1706">
        <v>30940153</v>
      </c>
      <c r="BW1706" t="s">
        <v>9352</v>
      </c>
      <c r="BX1706" t="s">
        <v>69</v>
      </c>
      <c r="BY1706" t="s">
        <v>69</v>
      </c>
      <c r="BZ1706" t="s">
        <v>8526</v>
      </c>
      <c r="CA1706" t="str">
        <f>HYPERLINK("https%3A%2F%2Fwww.webofscience.com%2Fwos%2Fwoscc%2Ffull-record%2FWOS:000463670900003","View Full Record in Web of Science")</f>
        <v>View Full Record in Web of Science</v>
      </c>
    </row>
    <row r="1707" spans="1:79" ht="12.5" x14ac:dyDescent="0.25">
      <c r="B1707" t="s">
        <v>8495</v>
      </c>
      <c r="D1707" s="7" t="s">
        <v>32933</v>
      </c>
      <c r="E1707" s="7"/>
      <c r="F1707" s="7"/>
      <c r="G1707" s="7"/>
      <c r="H1707" t="s">
        <v>67</v>
      </c>
      <c r="I1707" t="s">
        <v>7880</v>
      </c>
      <c r="J1707" t="s">
        <v>69</v>
      </c>
      <c r="K1707" t="s">
        <v>69</v>
      </c>
      <c r="L1707" t="s">
        <v>69</v>
      </c>
      <c r="M1707" t="s">
        <v>7881</v>
      </c>
      <c r="N1707" t="s">
        <v>69</v>
      </c>
      <c r="O1707" t="s">
        <v>69</v>
      </c>
      <c r="P1707" t="s">
        <v>7882</v>
      </c>
      <c r="Q1707" t="s">
        <v>7883</v>
      </c>
      <c r="R1707" t="s">
        <v>69</v>
      </c>
      <c r="S1707" t="s">
        <v>69</v>
      </c>
      <c r="T1707" t="s">
        <v>8505</v>
      </c>
      <c r="U1707" t="s">
        <v>15797</v>
      </c>
      <c r="V1707" t="s">
        <v>7884</v>
      </c>
      <c r="W1707" t="s">
        <v>7885</v>
      </c>
      <c r="X1707" t="s">
        <v>7886</v>
      </c>
      <c r="Y1707" t="s">
        <v>27767</v>
      </c>
      <c r="Z1707" t="s">
        <v>69</v>
      </c>
      <c r="AA1707" t="s">
        <v>27768</v>
      </c>
      <c r="AB1707" t="s">
        <v>27769</v>
      </c>
      <c r="AC1707" t="s">
        <v>7887</v>
      </c>
      <c r="AD1707" t="s">
        <v>27770</v>
      </c>
      <c r="AE1707" t="s">
        <v>69</v>
      </c>
      <c r="AF1707" t="s">
        <v>27771</v>
      </c>
      <c r="AG1707" t="s">
        <v>27772</v>
      </c>
      <c r="AH1707" t="s">
        <v>7888</v>
      </c>
      <c r="AI1707" t="s">
        <v>7889</v>
      </c>
      <c r="AJ1707" t="s">
        <v>69</v>
      </c>
      <c r="AK1707" t="s">
        <v>69</v>
      </c>
      <c r="AL1707" t="s">
        <v>69</v>
      </c>
      <c r="AM1707" t="s">
        <v>69</v>
      </c>
      <c r="AN1707">
        <v>33</v>
      </c>
      <c r="AO1707">
        <v>19</v>
      </c>
      <c r="AP1707">
        <v>20</v>
      </c>
      <c r="AQ1707">
        <v>2</v>
      </c>
      <c r="AR1707">
        <v>27</v>
      </c>
      <c r="AS1707" t="s">
        <v>27773</v>
      </c>
      <c r="AT1707" t="s">
        <v>27774</v>
      </c>
      <c r="AU1707" t="s">
        <v>27775</v>
      </c>
      <c r="AV1707" t="s">
        <v>7890</v>
      </c>
      <c r="AW1707" t="s">
        <v>7891</v>
      </c>
      <c r="AX1707" t="s">
        <v>69</v>
      </c>
      <c r="AY1707" t="s">
        <v>7883</v>
      </c>
      <c r="AZ1707" t="s">
        <v>27776</v>
      </c>
      <c r="BA1707" t="s">
        <v>155</v>
      </c>
      <c r="BB1707">
        <v>2010</v>
      </c>
      <c r="BC1707">
        <v>29</v>
      </c>
      <c r="BD1707">
        <v>1</v>
      </c>
      <c r="BE1707" t="s">
        <v>69</v>
      </c>
      <c r="BF1707" t="s">
        <v>69</v>
      </c>
      <c r="BG1707" t="s">
        <v>69</v>
      </c>
      <c r="BH1707" t="s">
        <v>69</v>
      </c>
      <c r="BI1707">
        <v>93</v>
      </c>
      <c r="BJ1707">
        <v>104</v>
      </c>
      <c r="BK1707" t="s">
        <v>69</v>
      </c>
      <c r="BL1707" t="s">
        <v>69</v>
      </c>
      <c r="BM1707" t="s">
        <v>69</v>
      </c>
      <c r="BN1707" t="s">
        <v>69</v>
      </c>
      <c r="BO1707" t="s">
        <v>69</v>
      </c>
      <c r="BP1707">
        <v>12</v>
      </c>
      <c r="BQ1707" t="s">
        <v>27777</v>
      </c>
      <c r="BR1707" t="s">
        <v>15808</v>
      </c>
      <c r="BS1707" t="s">
        <v>27778</v>
      </c>
      <c r="BT1707" t="s">
        <v>27779</v>
      </c>
      <c r="BU1707" t="s">
        <v>7892</v>
      </c>
      <c r="BV1707" t="s">
        <v>69</v>
      </c>
      <c r="BW1707" t="s">
        <v>69</v>
      </c>
      <c r="BX1707" t="s">
        <v>69</v>
      </c>
      <c r="BY1707" t="s">
        <v>69</v>
      </c>
      <c r="BZ1707" t="s">
        <v>8526</v>
      </c>
      <c r="CA1707" t="str">
        <f>HYPERLINK("https%3A%2F%2Fwww.webofscience.com%2Fwos%2Fwoscc%2Ffull-record%2FWOS:000279136800007","View Full Record in Web of Science")</f>
        <v>View Full Record in Web of Science</v>
      </c>
    </row>
    <row r="1708" spans="1:79" ht="12.5" x14ac:dyDescent="0.25">
      <c r="B1708" t="s">
        <v>8495</v>
      </c>
      <c r="D1708" s="7" t="s">
        <v>32933</v>
      </c>
      <c r="E1708" s="7"/>
      <c r="F1708" s="7"/>
      <c r="G1708" s="7"/>
      <c r="H1708" t="s">
        <v>67</v>
      </c>
      <c r="I1708" t="s">
        <v>4051</v>
      </c>
      <c r="J1708" t="s">
        <v>69</v>
      </c>
      <c r="K1708" t="s">
        <v>69</v>
      </c>
      <c r="L1708" t="s">
        <v>69</v>
      </c>
      <c r="M1708" t="s">
        <v>4051</v>
      </c>
      <c r="N1708" t="s">
        <v>69</v>
      </c>
      <c r="O1708" t="s">
        <v>69</v>
      </c>
      <c r="P1708" t="s">
        <v>4052</v>
      </c>
      <c r="Q1708" t="s">
        <v>4053</v>
      </c>
      <c r="R1708" t="s">
        <v>69</v>
      </c>
      <c r="S1708" t="s">
        <v>69</v>
      </c>
      <c r="T1708" t="s">
        <v>8505</v>
      </c>
      <c r="U1708" t="s">
        <v>8506</v>
      </c>
      <c r="V1708" t="s">
        <v>69</v>
      </c>
      <c r="W1708" t="s">
        <v>69</v>
      </c>
      <c r="X1708" t="s">
        <v>69</v>
      </c>
      <c r="Y1708" t="s">
        <v>69</v>
      </c>
      <c r="Z1708" t="s">
        <v>69</v>
      </c>
      <c r="AA1708" t="s">
        <v>31571</v>
      </c>
      <c r="AB1708" t="s">
        <v>31572</v>
      </c>
      <c r="AC1708" t="s">
        <v>4054</v>
      </c>
      <c r="AD1708" t="s">
        <v>31573</v>
      </c>
      <c r="AE1708" t="s">
        <v>69</v>
      </c>
      <c r="AF1708" t="s">
        <v>31574</v>
      </c>
      <c r="AG1708" t="s">
        <v>31575</v>
      </c>
      <c r="AH1708" t="s">
        <v>69</v>
      </c>
      <c r="AI1708" t="s">
        <v>31576</v>
      </c>
      <c r="AJ1708" t="s">
        <v>69</v>
      </c>
      <c r="AK1708" t="s">
        <v>69</v>
      </c>
      <c r="AL1708" t="s">
        <v>69</v>
      </c>
      <c r="AM1708" t="s">
        <v>69</v>
      </c>
      <c r="AN1708">
        <v>44</v>
      </c>
      <c r="AO1708">
        <v>19</v>
      </c>
      <c r="AP1708">
        <v>20</v>
      </c>
      <c r="AQ1708">
        <v>0</v>
      </c>
      <c r="AR1708">
        <v>10</v>
      </c>
      <c r="AS1708" t="s">
        <v>8762</v>
      </c>
      <c r="AT1708" t="s">
        <v>8763</v>
      </c>
      <c r="AU1708" t="s">
        <v>8764</v>
      </c>
      <c r="AV1708" t="s">
        <v>4055</v>
      </c>
      <c r="AW1708" t="s">
        <v>69</v>
      </c>
      <c r="AX1708" t="s">
        <v>69</v>
      </c>
      <c r="AY1708" t="s">
        <v>31577</v>
      </c>
      <c r="AZ1708" t="s">
        <v>31578</v>
      </c>
      <c r="BA1708" t="s">
        <v>255</v>
      </c>
      <c r="BB1708">
        <v>2001</v>
      </c>
      <c r="BC1708">
        <v>121</v>
      </c>
      <c r="BD1708">
        <v>3</v>
      </c>
      <c r="BE1708" t="s">
        <v>69</v>
      </c>
      <c r="BF1708" t="s">
        <v>69</v>
      </c>
      <c r="BG1708" t="s">
        <v>69</v>
      </c>
      <c r="BH1708" t="s">
        <v>69</v>
      </c>
      <c r="BI1708">
        <v>177</v>
      </c>
      <c r="BJ1708">
        <v>184</v>
      </c>
      <c r="BK1708" t="s">
        <v>69</v>
      </c>
      <c r="BL1708" t="s">
        <v>4056</v>
      </c>
      <c r="BM1708" t="str">
        <f>HYPERLINK("http://dx.doi.org/10.1177/146642400112100315","http://dx.doi.org/10.1177/146642400112100315")</f>
        <v>http://dx.doi.org/10.1177/146642400112100315</v>
      </c>
      <c r="BN1708" t="s">
        <v>69</v>
      </c>
      <c r="BO1708" t="s">
        <v>69</v>
      </c>
      <c r="BP1708">
        <v>8</v>
      </c>
      <c r="BQ1708" t="s">
        <v>8810</v>
      </c>
      <c r="BR1708" t="s">
        <v>8661</v>
      </c>
      <c r="BS1708" t="s">
        <v>8810</v>
      </c>
      <c r="BT1708" t="s">
        <v>31579</v>
      </c>
      <c r="BU1708" t="s">
        <v>4057</v>
      </c>
      <c r="BV1708">
        <v>11688305</v>
      </c>
      <c r="BW1708" t="s">
        <v>69</v>
      </c>
      <c r="BX1708" t="s">
        <v>69</v>
      </c>
      <c r="BY1708" t="s">
        <v>69</v>
      </c>
      <c r="BZ1708" t="s">
        <v>8526</v>
      </c>
      <c r="CA1708" t="str">
        <f>HYPERLINK("https%3A%2F%2Fwww.webofscience.com%2Fwos%2Fwoscc%2Ffull-record%2FWOS:000173680700015","View Full Record in Web of Science")</f>
        <v>View Full Record in Web of Science</v>
      </c>
    </row>
    <row r="1709" spans="1:79" ht="12.5" x14ac:dyDescent="0.25">
      <c r="B1709" t="s">
        <v>8495</v>
      </c>
      <c r="D1709" s="7" t="s">
        <v>32933</v>
      </c>
      <c r="E1709" s="7"/>
      <c r="F1709" s="7"/>
      <c r="G1709" s="7"/>
      <c r="H1709" t="s">
        <v>67</v>
      </c>
      <c r="I1709" t="s">
        <v>4797</v>
      </c>
      <c r="J1709" t="s">
        <v>69</v>
      </c>
      <c r="K1709" t="s">
        <v>69</v>
      </c>
      <c r="L1709" t="s">
        <v>69</v>
      </c>
      <c r="M1709" t="s">
        <v>4798</v>
      </c>
      <c r="N1709" t="s">
        <v>69</v>
      </c>
      <c r="O1709" t="s">
        <v>69</v>
      </c>
      <c r="P1709" s="3" t="s">
        <v>4799</v>
      </c>
      <c r="Q1709" t="s">
        <v>4800</v>
      </c>
      <c r="R1709" t="s">
        <v>69</v>
      </c>
      <c r="S1709" t="s">
        <v>69</v>
      </c>
      <c r="T1709" t="s">
        <v>8505</v>
      </c>
      <c r="U1709" t="s">
        <v>8506</v>
      </c>
      <c r="V1709" t="s">
        <v>69</v>
      </c>
      <c r="W1709" t="s">
        <v>69</v>
      </c>
      <c r="X1709" t="s">
        <v>69</v>
      </c>
      <c r="Y1709" t="s">
        <v>69</v>
      </c>
      <c r="Z1709" t="s">
        <v>69</v>
      </c>
      <c r="AA1709" t="s">
        <v>22936</v>
      </c>
      <c r="AB1709" t="s">
        <v>22937</v>
      </c>
      <c r="AC1709" t="s">
        <v>4801</v>
      </c>
      <c r="AD1709" t="s">
        <v>22938</v>
      </c>
      <c r="AE1709" t="s">
        <v>69</v>
      </c>
      <c r="AF1709" t="s">
        <v>22939</v>
      </c>
      <c r="AG1709" t="s">
        <v>22940</v>
      </c>
      <c r="AH1709" t="s">
        <v>4802</v>
      </c>
      <c r="AI1709" t="s">
        <v>69</v>
      </c>
      <c r="AJ1709" t="s">
        <v>69</v>
      </c>
      <c r="AK1709" t="s">
        <v>69</v>
      </c>
      <c r="AL1709" t="s">
        <v>69</v>
      </c>
      <c r="AM1709" t="s">
        <v>69</v>
      </c>
      <c r="AN1709">
        <v>15</v>
      </c>
      <c r="AO1709">
        <v>2</v>
      </c>
      <c r="AP1709">
        <v>2</v>
      </c>
      <c r="AQ1709">
        <v>0</v>
      </c>
      <c r="AR1709">
        <v>7</v>
      </c>
      <c r="AS1709" t="s">
        <v>22941</v>
      </c>
      <c r="AT1709" t="s">
        <v>22942</v>
      </c>
      <c r="AU1709" t="s">
        <v>22943</v>
      </c>
      <c r="AV1709" t="s">
        <v>4803</v>
      </c>
      <c r="AW1709" t="s">
        <v>4804</v>
      </c>
      <c r="AX1709" t="s">
        <v>69</v>
      </c>
      <c r="AY1709" t="s">
        <v>22944</v>
      </c>
      <c r="AZ1709" t="s">
        <v>22945</v>
      </c>
      <c r="BA1709" t="s">
        <v>69</v>
      </c>
      <c r="BB1709">
        <v>2015</v>
      </c>
      <c r="BC1709" t="s">
        <v>69</v>
      </c>
      <c r="BD1709" t="s">
        <v>69</v>
      </c>
      <c r="BE1709" t="s">
        <v>69</v>
      </c>
      <c r="BF1709" t="s">
        <v>69</v>
      </c>
      <c r="BG1709" t="s">
        <v>114</v>
      </c>
      <c r="BH1709" t="s">
        <v>69</v>
      </c>
      <c r="BI1709">
        <v>103</v>
      </c>
      <c r="BJ1709">
        <v>122</v>
      </c>
      <c r="BK1709" t="s">
        <v>69</v>
      </c>
      <c r="BL1709" t="s">
        <v>4805</v>
      </c>
      <c r="BM1709" t="str">
        <f>HYPERLINK("http://dx.doi.org/10.6092/1970-9870/3655","http://dx.doi.org/10.6092/1970-9870/3655")</f>
        <v>http://dx.doi.org/10.6092/1970-9870/3655</v>
      </c>
      <c r="BN1709" t="s">
        <v>69</v>
      </c>
      <c r="BO1709" t="s">
        <v>69</v>
      </c>
      <c r="BP1709">
        <v>20</v>
      </c>
      <c r="BQ1709" t="s">
        <v>8475</v>
      </c>
      <c r="BR1709" t="s">
        <v>8573</v>
      </c>
      <c r="BS1709" t="s">
        <v>8475</v>
      </c>
      <c r="BT1709" t="s">
        <v>22946</v>
      </c>
      <c r="BU1709" t="s">
        <v>4806</v>
      </c>
      <c r="BV1709" t="s">
        <v>69</v>
      </c>
      <c r="BW1709" t="s">
        <v>69</v>
      </c>
      <c r="BX1709" t="s">
        <v>69</v>
      </c>
      <c r="BY1709" t="s">
        <v>69</v>
      </c>
      <c r="BZ1709" t="s">
        <v>8526</v>
      </c>
      <c r="CA1709" t="str">
        <f>HYPERLINK("https%3A%2F%2Fwww.webofscience.com%2Fwos%2Fwoscc%2Ffull-record%2FWOS:000384506000007","View Full Record in Web of Science")</f>
        <v>View Full Record in Web of Science</v>
      </c>
    </row>
    <row r="1710" spans="1:79" ht="12.5" x14ac:dyDescent="0.25">
      <c r="B1710" t="s">
        <v>8495</v>
      </c>
      <c r="D1710" s="22" t="s">
        <v>32931</v>
      </c>
      <c r="E1710" s="7"/>
      <c r="F1710" s="7"/>
      <c r="G1710" s="7"/>
      <c r="H1710" t="s">
        <v>67</v>
      </c>
      <c r="I1710" t="s">
        <v>19050</v>
      </c>
      <c r="J1710" t="s">
        <v>69</v>
      </c>
      <c r="K1710" t="s">
        <v>69</v>
      </c>
      <c r="L1710" t="s">
        <v>69</v>
      </c>
      <c r="M1710" t="s">
        <v>19051</v>
      </c>
      <c r="N1710" t="s">
        <v>69</v>
      </c>
      <c r="O1710" t="s">
        <v>69</v>
      </c>
      <c r="P1710" t="s">
        <v>19052</v>
      </c>
      <c r="Q1710" t="s">
        <v>19053</v>
      </c>
      <c r="R1710" t="s">
        <v>69</v>
      </c>
      <c r="S1710" t="s">
        <v>69</v>
      </c>
      <c r="T1710" t="s">
        <v>19054</v>
      </c>
      <c r="U1710" t="s">
        <v>8506</v>
      </c>
      <c r="V1710" t="s">
        <v>69</v>
      </c>
      <c r="W1710" t="s">
        <v>69</v>
      </c>
      <c r="X1710" t="s">
        <v>69</v>
      </c>
      <c r="Y1710" t="s">
        <v>69</v>
      </c>
      <c r="Z1710" t="s">
        <v>69</v>
      </c>
      <c r="AA1710" t="s">
        <v>19055</v>
      </c>
      <c r="AB1710" t="s">
        <v>69</v>
      </c>
      <c r="AC1710" t="s">
        <v>19056</v>
      </c>
      <c r="AD1710" t="s">
        <v>19057</v>
      </c>
      <c r="AE1710" t="s">
        <v>69</v>
      </c>
      <c r="AF1710" t="s">
        <v>19058</v>
      </c>
      <c r="AG1710" t="s">
        <v>19059</v>
      </c>
      <c r="AH1710" t="s">
        <v>69</v>
      </c>
      <c r="AI1710" t="s">
        <v>69</v>
      </c>
      <c r="AJ1710" t="s">
        <v>69</v>
      </c>
      <c r="AK1710" t="s">
        <v>69</v>
      </c>
      <c r="AL1710" t="s">
        <v>69</v>
      </c>
      <c r="AM1710" t="s">
        <v>69</v>
      </c>
      <c r="AN1710">
        <v>7</v>
      </c>
      <c r="AO1710">
        <v>0</v>
      </c>
      <c r="AP1710">
        <v>0</v>
      </c>
      <c r="AQ1710">
        <v>0</v>
      </c>
      <c r="AR1710">
        <v>0</v>
      </c>
      <c r="AS1710" t="s">
        <v>19060</v>
      </c>
      <c r="AT1710" t="s">
        <v>10161</v>
      </c>
      <c r="AU1710" t="s">
        <v>19061</v>
      </c>
      <c r="AV1710" t="s">
        <v>19062</v>
      </c>
      <c r="AW1710" t="s">
        <v>19063</v>
      </c>
      <c r="AX1710" t="s">
        <v>69</v>
      </c>
      <c r="AY1710" t="s">
        <v>19064</v>
      </c>
      <c r="AZ1710" t="s">
        <v>19065</v>
      </c>
      <c r="BA1710" t="s">
        <v>1425</v>
      </c>
      <c r="BB1710">
        <v>2018</v>
      </c>
      <c r="BC1710">
        <v>34</v>
      </c>
      <c r="BD1710">
        <v>68</v>
      </c>
      <c r="BE1710" t="s">
        <v>69</v>
      </c>
      <c r="BF1710" t="s">
        <v>69</v>
      </c>
      <c r="BG1710" t="s">
        <v>69</v>
      </c>
      <c r="BH1710" t="s">
        <v>69</v>
      </c>
      <c r="BI1710">
        <v>289</v>
      </c>
      <c r="BJ1710">
        <v>303</v>
      </c>
      <c r="BK1710" t="s">
        <v>69</v>
      </c>
      <c r="BL1710" t="s">
        <v>19066</v>
      </c>
      <c r="BM1710" t="str">
        <f>HYPERLINK("http://dx.doi.org/10.1590/0104-4060.57815","http://dx.doi.org/10.1590/0104-4060.57815")</f>
        <v>http://dx.doi.org/10.1590/0104-4060.57815</v>
      </c>
      <c r="BN1710" t="s">
        <v>69</v>
      </c>
      <c r="BO1710" t="s">
        <v>69</v>
      </c>
      <c r="BP1710">
        <v>15</v>
      </c>
      <c r="BQ1710" t="s">
        <v>9290</v>
      </c>
      <c r="BR1710" t="s">
        <v>8573</v>
      </c>
      <c r="BS1710" t="s">
        <v>9290</v>
      </c>
      <c r="BT1710" t="s">
        <v>19067</v>
      </c>
      <c r="BU1710" t="s">
        <v>19068</v>
      </c>
      <c r="BV1710" t="s">
        <v>69</v>
      </c>
      <c r="BW1710" t="s">
        <v>9352</v>
      </c>
      <c r="BX1710" t="s">
        <v>69</v>
      </c>
      <c r="BY1710" t="s">
        <v>69</v>
      </c>
      <c r="BZ1710" t="s">
        <v>8526</v>
      </c>
      <c r="CA1710" t="str">
        <f>HYPERLINK("https%3A%2F%2Fwww.webofscience.com%2Fwos%2Fwoscc%2Ffull-record%2FWOS:000430468600017","View Full Record in Web of Science")</f>
        <v>View Full Record in Web of Science</v>
      </c>
    </row>
    <row r="1711" spans="1:79" ht="12.5" x14ac:dyDescent="0.25">
      <c r="B1711" t="s">
        <v>8495</v>
      </c>
      <c r="D1711" s="7" t="s">
        <v>32933</v>
      </c>
      <c r="E1711" s="7"/>
      <c r="F1711" s="7"/>
      <c r="G1711" s="7"/>
      <c r="H1711" t="s">
        <v>67</v>
      </c>
      <c r="I1711" t="s">
        <v>5360</v>
      </c>
      <c r="J1711" t="s">
        <v>69</v>
      </c>
      <c r="K1711" t="s">
        <v>69</v>
      </c>
      <c r="L1711" t="s">
        <v>69</v>
      </c>
      <c r="M1711" t="s">
        <v>5361</v>
      </c>
      <c r="N1711" t="s">
        <v>69</v>
      </c>
      <c r="O1711" t="s">
        <v>69</v>
      </c>
      <c r="P1711" t="s">
        <v>5362</v>
      </c>
      <c r="Q1711" t="s">
        <v>1128</v>
      </c>
      <c r="R1711" t="s">
        <v>69</v>
      </c>
      <c r="S1711" t="s">
        <v>69</v>
      </c>
      <c r="T1711" t="s">
        <v>8505</v>
      </c>
      <c r="U1711" t="s">
        <v>8506</v>
      </c>
      <c r="V1711" t="s">
        <v>69</v>
      </c>
      <c r="W1711" t="s">
        <v>69</v>
      </c>
      <c r="X1711" t="s">
        <v>69</v>
      </c>
      <c r="Y1711" t="s">
        <v>69</v>
      </c>
      <c r="Z1711" t="s">
        <v>69</v>
      </c>
      <c r="AA1711" t="s">
        <v>28343</v>
      </c>
      <c r="AB1711" t="s">
        <v>69</v>
      </c>
      <c r="AC1711" t="s">
        <v>5363</v>
      </c>
      <c r="AD1711" t="s">
        <v>28344</v>
      </c>
      <c r="AE1711" t="s">
        <v>69</v>
      </c>
      <c r="AF1711" t="s">
        <v>28345</v>
      </c>
      <c r="AG1711" t="s">
        <v>28346</v>
      </c>
      <c r="AH1711" t="s">
        <v>5364</v>
      </c>
      <c r="AI1711" t="s">
        <v>5365</v>
      </c>
      <c r="AJ1711" t="s">
        <v>69</v>
      </c>
      <c r="AK1711" t="s">
        <v>69</v>
      </c>
      <c r="AL1711" t="s">
        <v>69</v>
      </c>
      <c r="AM1711" t="s">
        <v>69</v>
      </c>
      <c r="AN1711">
        <v>42</v>
      </c>
      <c r="AO1711">
        <v>68</v>
      </c>
      <c r="AP1711">
        <v>68</v>
      </c>
      <c r="AQ1711">
        <v>1</v>
      </c>
      <c r="AR1711">
        <v>18</v>
      </c>
      <c r="AS1711" t="s">
        <v>8636</v>
      </c>
      <c r="AT1711" t="s">
        <v>8637</v>
      </c>
      <c r="AU1711" t="s">
        <v>8638</v>
      </c>
      <c r="AV1711" t="s">
        <v>1130</v>
      </c>
      <c r="AW1711" t="s">
        <v>69</v>
      </c>
      <c r="AX1711" t="s">
        <v>69</v>
      </c>
      <c r="AY1711" t="s">
        <v>1128</v>
      </c>
      <c r="AZ1711" t="s">
        <v>8658</v>
      </c>
      <c r="BA1711" t="s">
        <v>75</v>
      </c>
      <c r="BB1711">
        <v>2009</v>
      </c>
      <c r="BC1711">
        <v>26</v>
      </c>
      <c r="BD1711" t="s">
        <v>69</v>
      </c>
      <c r="BE1711" t="s">
        <v>69</v>
      </c>
      <c r="BF1711">
        <v>1</v>
      </c>
      <c r="BG1711" t="s">
        <v>114</v>
      </c>
      <c r="BH1711" t="s">
        <v>69</v>
      </c>
      <c r="BI1711" t="s">
        <v>5366</v>
      </c>
      <c r="BJ1711" t="s">
        <v>5367</v>
      </c>
      <c r="BK1711" t="s">
        <v>69</v>
      </c>
      <c r="BL1711" t="s">
        <v>5368</v>
      </c>
      <c r="BM1711" t="str">
        <f>HYPERLINK("http://dx.doi.org/10.1016/j.landusepol.2009.08.014","http://dx.doi.org/10.1016/j.landusepol.2009.08.014")</f>
        <v>http://dx.doi.org/10.1016/j.landusepol.2009.08.014</v>
      </c>
      <c r="BN1711" t="s">
        <v>69</v>
      </c>
      <c r="BO1711" t="s">
        <v>69</v>
      </c>
      <c r="BP1711">
        <v>9</v>
      </c>
      <c r="BQ1711" t="s">
        <v>8660</v>
      </c>
      <c r="BR1711" t="s">
        <v>8661</v>
      </c>
      <c r="BS1711" t="s">
        <v>8662</v>
      </c>
      <c r="BT1711" t="s">
        <v>28347</v>
      </c>
      <c r="BU1711" t="s">
        <v>5369</v>
      </c>
      <c r="BV1711" t="s">
        <v>69</v>
      </c>
      <c r="BW1711" t="s">
        <v>69</v>
      </c>
      <c r="BX1711" t="s">
        <v>69</v>
      </c>
      <c r="BY1711" t="s">
        <v>69</v>
      </c>
      <c r="BZ1711" t="s">
        <v>8526</v>
      </c>
      <c r="CA1711" t="str">
        <f>HYPERLINK("https%3A%2F%2Fwww.webofscience.com%2Fwos%2Fwoscc%2Ffull-record%2FWOS:000275223500032","View Full Record in Web of Science")</f>
        <v>View Full Record in Web of Science</v>
      </c>
    </row>
    <row r="1712" spans="1:79" ht="12.5" x14ac:dyDescent="0.25">
      <c r="B1712" t="s">
        <v>8495</v>
      </c>
      <c r="D1712" s="22" t="s">
        <v>32931</v>
      </c>
      <c r="E1712" s="7"/>
      <c r="F1712" s="7"/>
      <c r="G1712" s="7"/>
      <c r="H1712" t="s">
        <v>67</v>
      </c>
      <c r="I1712" t="s">
        <v>11117</v>
      </c>
      <c r="J1712" t="s">
        <v>69</v>
      </c>
      <c r="K1712" t="s">
        <v>69</v>
      </c>
      <c r="L1712" t="s">
        <v>69</v>
      </c>
      <c r="M1712" t="s">
        <v>11118</v>
      </c>
      <c r="N1712" t="s">
        <v>69</v>
      </c>
      <c r="O1712" t="s">
        <v>69</v>
      </c>
      <c r="P1712" t="s">
        <v>11119</v>
      </c>
      <c r="Q1712" t="s">
        <v>859</v>
      </c>
      <c r="R1712" t="s">
        <v>69</v>
      </c>
      <c r="S1712" t="s">
        <v>69</v>
      </c>
      <c r="T1712" t="s">
        <v>8505</v>
      </c>
      <c r="U1712" t="s">
        <v>8506</v>
      </c>
      <c r="V1712" t="s">
        <v>69</v>
      </c>
      <c r="W1712" t="s">
        <v>69</v>
      </c>
      <c r="X1712" t="s">
        <v>69</v>
      </c>
      <c r="Y1712" t="s">
        <v>69</v>
      </c>
      <c r="Z1712" t="s">
        <v>69</v>
      </c>
      <c r="AA1712" t="s">
        <v>69</v>
      </c>
      <c r="AB1712" t="s">
        <v>11120</v>
      </c>
      <c r="AC1712" t="s">
        <v>11121</v>
      </c>
      <c r="AD1712" t="s">
        <v>11122</v>
      </c>
      <c r="AE1712" t="s">
        <v>69</v>
      </c>
      <c r="AF1712" t="s">
        <v>11123</v>
      </c>
      <c r="AG1712" t="s">
        <v>11124</v>
      </c>
      <c r="AH1712" t="s">
        <v>11125</v>
      </c>
      <c r="AI1712" t="s">
        <v>11126</v>
      </c>
      <c r="AJ1712" t="s">
        <v>11127</v>
      </c>
      <c r="AK1712" t="s">
        <v>11128</v>
      </c>
      <c r="AL1712" t="s">
        <v>11129</v>
      </c>
      <c r="AM1712" t="s">
        <v>69</v>
      </c>
      <c r="AN1712">
        <v>62</v>
      </c>
      <c r="AO1712">
        <v>1</v>
      </c>
      <c r="AP1712">
        <v>1</v>
      </c>
      <c r="AQ1712">
        <v>1</v>
      </c>
      <c r="AR1712">
        <v>1</v>
      </c>
      <c r="AS1712" t="s">
        <v>11130</v>
      </c>
      <c r="AT1712" t="s">
        <v>11131</v>
      </c>
      <c r="AU1712" t="s">
        <v>11132</v>
      </c>
      <c r="AV1712" t="s">
        <v>862</v>
      </c>
      <c r="AW1712" t="s">
        <v>69</v>
      </c>
      <c r="AX1712" t="s">
        <v>69</v>
      </c>
      <c r="AY1712" t="s">
        <v>859</v>
      </c>
      <c r="AZ1712" t="s">
        <v>11133</v>
      </c>
      <c r="BA1712" t="s">
        <v>11134</v>
      </c>
      <c r="BB1712">
        <v>2021</v>
      </c>
      <c r="BC1712">
        <v>16</v>
      </c>
      <c r="BD1712">
        <v>10</v>
      </c>
      <c r="BE1712" t="s">
        <v>69</v>
      </c>
      <c r="BF1712" t="s">
        <v>69</v>
      </c>
      <c r="BG1712" t="s">
        <v>69</v>
      </c>
      <c r="BH1712" t="s">
        <v>69</v>
      </c>
      <c r="BI1712" t="s">
        <v>69</v>
      </c>
      <c r="BJ1712" t="s">
        <v>69</v>
      </c>
      <c r="BK1712" t="s">
        <v>11135</v>
      </c>
      <c r="BL1712" t="s">
        <v>11136</v>
      </c>
      <c r="BM1712" t="str">
        <f>HYPERLINK("http://dx.doi.org/10.1371/journal.pone.0258366","http://dx.doi.org/10.1371/journal.pone.0258366")</f>
        <v>http://dx.doi.org/10.1371/journal.pone.0258366</v>
      </c>
      <c r="BN1712" t="s">
        <v>69</v>
      </c>
      <c r="BO1712" t="s">
        <v>69</v>
      </c>
      <c r="BP1712">
        <v>14</v>
      </c>
      <c r="BQ1712" t="s">
        <v>8619</v>
      </c>
      <c r="BR1712" t="s">
        <v>8548</v>
      </c>
      <c r="BS1712" t="s">
        <v>8620</v>
      </c>
      <c r="BT1712" t="s">
        <v>11137</v>
      </c>
      <c r="BU1712" t="s">
        <v>11138</v>
      </c>
      <c r="BV1712">
        <v>34624054</v>
      </c>
      <c r="BW1712" t="s">
        <v>9352</v>
      </c>
      <c r="BX1712" t="s">
        <v>69</v>
      </c>
      <c r="BY1712" t="s">
        <v>69</v>
      </c>
      <c r="BZ1712" t="s">
        <v>8526</v>
      </c>
      <c r="CA1712" t="str">
        <f>HYPERLINK("https%3A%2F%2Fwww.webofscience.com%2Fwos%2Fwoscc%2Ffull-record%2FWOS:000755691200033","View Full Record in Web of Science")</f>
        <v>View Full Record in Web of Science</v>
      </c>
    </row>
    <row r="1713" spans="2:79" ht="12.5" x14ac:dyDescent="0.25">
      <c r="B1713" t="s">
        <v>8495</v>
      </c>
      <c r="D1713" s="22" t="s">
        <v>32931</v>
      </c>
      <c r="E1713" s="7"/>
      <c r="F1713" s="7"/>
      <c r="G1713" s="7"/>
      <c r="H1713" t="s">
        <v>67</v>
      </c>
      <c r="I1713" t="s">
        <v>26363</v>
      </c>
      <c r="J1713" t="s">
        <v>69</v>
      </c>
      <c r="K1713" t="s">
        <v>69</v>
      </c>
      <c r="L1713" t="s">
        <v>69</v>
      </c>
      <c r="M1713" t="s">
        <v>26364</v>
      </c>
      <c r="N1713" t="s">
        <v>69</v>
      </c>
      <c r="O1713" t="s">
        <v>69</v>
      </c>
      <c r="P1713" t="s">
        <v>26365</v>
      </c>
      <c r="Q1713" t="s">
        <v>26366</v>
      </c>
      <c r="R1713" t="s">
        <v>69</v>
      </c>
      <c r="S1713" t="s">
        <v>69</v>
      </c>
      <c r="T1713" t="s">
        <v>10153</v>
      </c>
      <c r="U1713" t="s">
        <v>8506</v>
      </c>
      <c r="V1713" t="s">
        <v>69</v>
      </c>
      <c r="W1713" t="s">
        <v>69</v>
      </c>
      <c r="X1713" t="s">
        <v>69</v>
      </c>
      <c r="Y1713" t="s">
        <v>69</v>
      </c>
      <c r="Z1713" t="s">
        <v>69</v>
      </c>
      <c r="AA1713" t="s">
        <v>26367</v>
      </c>
      <c r="AB1713" t="s">
        <v>69</v>
      </c>
      <c r="AC1713" t="s">
        <v>26368</v>
      </c>
      <c r="AD1713" t="s">
        <v>26369</v>
      </c>
      <c r="AE1713" t="s">
        <v>69</v>
      </c>
      <c r="AF1713" t="s">
        <v>26370</v>
      </c>
      <c r="AG1713" t="s">
        <v>26371</v>
      </c>
      <c r="AH1713" t="s">
        <v>26372</v>
      </c>
      <c r="AI1713" t="s">
        <v>26373</v>
      </c>
      <c r="AJ1713" t="s">
        <v>69</v>
      </c>
      <c r="AK1713" t="s">
        <v>69</v>
      </c>
      <c r="AL1713" t="s">
        <v>69</v>
      </c>
      <c r="AM1713" t="s">
        <v>69</v>
      </c>
      <c r="AN1713">
        <v>25</v>
      </c>
      <c r="AO1713">
        <v>0</v>
      </c>
      <c r="AP1713">
        <v>0</v>
      </c>
      <c r="AQ1713">
        <v>0</v>
      </c>
      <c r="AR1713">
        <v>0</v>
      </c>
      <c r="AS1713" t="s">
        <v>26374</v>
      </c>
      <c r="AT1713" t="s">
        <v>26375</v>
      </c>
      <c r="AU1713" t="s">
        <v>26376</v>
      </c>
      <c r="AV1713" t="s">
        <v>26377</v>
      </c>
      <c r="AW1713" t="s">
        <v>69</v>
      </c>
      <c r="AX1713" t="s">
        <v>69</v>
      </c>
      <c r="AY1713" t="s">
        <v>26378</v>
      </c>
      <c r="AZ1713" t="s">
        <v>26379</v>
      </c>
      <c r="BA1713" t="s">
        <v>69</v>
      </c>
      <c r="BB1713">
        <v>2012</v>
      </c>
      <c r="BC1713">
        <v>4</v>
      </c>
      <c r="BD1713">
        <v>3</v>
      </c>
      <c r="BE1713" t="s">
        <v>69</v>
      </c>
      <c r="BF1713" t="s">
        <v>69</v>
      </c>
      <c r="BG1713" t="s">
        <v>69</v>
      </c>
      <c r="BH1713" t="s">
        <v>69</v>
      </c>
      <c r="BI1713">
        <v>293</v>
      </c>
      <c r="BJ1713">
        <v>318</v>
      </c>
      <c r="BK1713" t="s">
        <v>69</v>
      </c>
      <c r="BL1713" t="s">
        <v>69</v>
      </c>
      <c r="BM1713" t="s">
        <v>69</v>
      </c>
      <c r="BN1713" t="s">
        <v>69</v>
      </c>
      <c r="BO1713" t="s">
        <v>69</v>
      </c>
      <c r="BP1713">
        <v>26</v>
      </c>
      <c r="BQ1713" t="s">
        <v>12182</v>
      </c>
      <c r="BR1713" t="s">
        <v>8573</v>
      </c>
      <c r="BS1713" t="s">
        <v>12182</v>
      </c>
      <c r="BT1713" t="s">
        <v>26380</v>
      </c>
      <c r="BU1713" t="s">
        <v>26381</v>
      </c>
      <c r="BV1713" t="s">
        <v>69</v>
      </c>
      <c r="BW1713" t="s">
        <v>69</v>
      </c>
      <c r="BX1713" t="s">
        <v>69</v>
      </c>
      <c r="BY1713" t="s">
        <v>69</v>
      </c>
      <c r="BZ1713" t="s">
        <v>8526</v>
      </c>
      <c r="CA1713" t="str">
        <f>HYPERLINK("https%3A%2F%2Fwww.webofscience.com%2Fwos%2Fwoscc%2Ffull-record%2FWOS:000215343700003","View Full Record in Web of Science")</f>
        <v>View Full Record in Web of Science</v>
      </c>
    </row>
    <row r="1714" spans="2:79" ht="12.5" x14ac:dyDescent="0.25">
      <c r="B1714" t="s">
        <v>8495</v>
      </c>
      <c r="D1714" s="22" t="s">
        <v>32931</v>
      </c>
      <c r="E1714" s="7"/>
      <c r="F1714" s="7"/>
      <c r="G1714" s="7"/>
      <c r="H1714" t="s">
        <v>67</v>
      </c>
      <c r="I1714" t="s">
        <v>25952</v>
      </c>
      <c r="J1714" t="s">
        <v>69</v>
      </c>
      <c r="K1714" t="s">
        <v>69</v>
      </c>
      <c r="L1714" t="s">
        <v>69</v>
      </c>
      <c r="M1714" t="s">
        <v>25953</v>
      </c>
      <c r="N1714" t="s">
        <v>69</v>
      </c>
      <c r="O1714" t="s">
        <v>69</v>
      </c>
      <c r="P1714" t="s">
        <v>25954</v>
      </c>
      <c r="Q1714" t="s">
        <v>25955</v>
      </c>
      <c r="R1714" t="s">
        <v>69</v>
      </c>
      <c r="S1714" t="s">
        <v>69</v>
      </c>
      <c r="T1714" t="s">
        <v>8505</v>
      </c>
      <c r="U1714" t="s">
        <v>10174</v>
      </c>
      <c r="V1714" t="s">
        <v>69</v>
      </c>
      <c r="W1714" t="s">
        <v>69</v>
      </c>
      <c r="X1714" t="s">
        <v>69</v>
      </c>
      <c r="Y1714" t="s">
        <v>69</v>
      </c>
      <c r="Z1714" t="s">
        <v>69</v>
      </c>
      <c r="AA1714" t="s">
        <v>25956</v>
      </c>
      <c r="AB1714" t="s">
        <v>25957</v>
      </c>
      <c r="AC1714" t="s">
        <v>25958</v>
      </c>
      <c r="AD1714" t="s">
        <v>25959</v>
      </c>
      <c r="AE1714" t="s">
        <v>69</v>
      </c>
      <c r="AF1714" t="s">
        <v>25960</v>
      </c>
      <c r="AG1714" t="s">
        <v>25961</v>
      </c>
      <c r="AH1714" t="s">
        <v>25962</v>
      </c>
      <c r="AI1714" t="s">
        <v>25963</v>
      </c>
      <c r="AJ1714" t="s">
        <v>69</v>
      </c>
      <c r="AK1714" t="s">
        <v>69</v>
      </c>
      <c r="AL1714" t="s">
        <v>69</v>
      </c>
      <c r="AM1714" t="s">
        <v>69</v>
      </c>
      <c r="AN1714">
        <v>52</v>
      </c>
      <c r="AO1714">
        <v>7</v>
      </c>
      <c r="AP1714">
        <v>8</v>
      </c>
      <c r="AQ1714">
        <v>1</v>
      </c>
      <c r="AR1714">
        <v>7</v>
      </c>
      <c r="AS1714" t="s">
        <v>8636</v>
      </c>
      <c r="AT1714" t="s">
        <v>8637</v>
      </c>
      <c r="AU1714" t="s">
        <v>8638</v>
      </c>
      <c r="AV1714" t="s">
        <v>25964</v>
      </c>
      <c r="AW1714" t="s">
        <v>25965</v>
      </c>
      <c r="AX1714" t="s">
        <v>69</v>
      </c>
      <c r="AY1714" t="s">
        <v>25955</v>
      </c>
      <c r="AZ1714" t="s">
        <v>25966</v>
      </c>
      <c r="BA1714" t="s">
        <v>155</v>
      </c>
      <c r="BB1714">
        <v>2012</v>
      </c>
      <c r="BC1714">
        <v>28</v>
      </c>
      <c r="BD1714">
        <v>3</v>
      </c>
      <c r="BE1714" t="s">
        <v>69</v>
      </c>
      <c r="BF1714" t="s">
        <v>69</v>
      </c>
      <c r="BG1714" t="s">
        <v>69</v>
      </c>
      <c r="BH1714" t="s">
        <v>69</v>
      </c>
      <c r="BI1714">
        <v>281</v>
      </c>
      <c r="BJ1714">
        <v>290</v>
      </c>
      <c r="BK1714" t="s">
        <v>69</v>
      </c>
      <c r="BL1714" t="s">
        <v>25967</v>
      </c>
      <c r="BM1714" t="str">
        <f>HYPERLINK("http://dx.doi.org/10.1016/j.midw.2011.12.011","http://dx.doi.org/10.1016/j.midw.2011.12.011")</f>
        <v>http://dx.doi.org/10.1016/j.midw.2011.12.011</v>
      </c>
      <c r="BN1714" t="s">
        <v>69</v>
      </c>
      <c r="BO1714" t="s">
        <v>69</v>
      </c>
      <c r="BP1714">
        <v>10</v>
      </c>
      <c r="BQ1714" t="s">
        <v>16902</v>
      </c>
      <c r="BR1714" t="s">
        <v>8523</v>
      </c>
      <c r="BS1714" t="s">
        <v>16902</v>
      </c>
      <c r="BT1714" t="s">
        <v>25968</v>
      </c>
      <c r="BU1714" t="s">
        <v>25969</v>
      </c>
      <c r="BV1714">
        <v>22417757</v>
      </c>
      <c r="BW1714" t="s">
        <v>69</v>
      </c>
      <c r="BX1714" t="s">
        <v>69</v>
      </c>
      <c r="BY1714" t="s">
        <v>69</v>
      </c>
      <c r="BZ1714" t="s">
        <v>8526</v>
      </c>
      <c r="CA1714" t="str">
        <f>HYPERLINK("https%3A%2F%2Fwww.webofscience.com%2Fwos%2Fwoscc%2Ffull-record%2FWOS:000304441400002","View Full Record in Web of Science")</f>
        <v>View Full Record in Web of Science</v>
      </c>
    </row>
    <row r="1715" spans="2:79" ht="12.5" x14ac:dyDescent="0.25">
      <c r="B1715" t="s">
        <v>8495</v>
      </c>
      <c r="D1715" s="22" t="s">
        <v>32931</v>
      </c>
      <c r="E1715" s="7"/>
      <c r="F1715" s="7"/>
      <c r="G1715" s="7"/>
      <c r="H1715" t="s">
        <v>67</v>
      </c>
      <c r="I1715" t="s">
        <v>27745</v>
      </c>
      <c r="J1715" t="s">
        <v>69</v>
      </c>
      <c r="K1715" t="s">
        <v>69</v>
      </c>
      <c r="L1715" t="s">
        <v>69</v>
      </c>
      <c r="M1715" t="s">
        <v>27746</v>
      </c>
      <c r="N1715" t="s">
        <v>69</v>
      </c>
      <c r="O1715" t="s">
        <v>69</v>
      </c>
      <c r="P1715" t="s">
        <v>27747</v>
      </c>
      <c r="Q1715" t="s">
        <v>27748</v>
      </c>
      <c r="R1715" t="s">
        <v>69</v>
      </c>
      <c r="S1715" t="s">
        <v>69</v>
      </c>
      <c r="T1715" t="s">
        <v>8505</v>
      </c>
      <c r="U1715" t="s">
        <v>8506</v>
      </c>
      <c r="V1715" t="s">
        <v>69</v>
      </c>
      <c r="W1715" t="s">
        <v>69</v>
      </c>
      <c r="X1715" t="s">
        <v>69</v>
      </c>
      <c r="Y1715" t="s">
        <v>69</v>
      </c>
      <c r="Z1715" t="s">
        <v>69</v>
      </c>
      <c r="AA1715" t="s">
        <v>69</v>
      </c>
      <c r="AB1715" t="s">
        <v>69</v>
      </c>
      <c r="AC1715" t="s">
        <v>27749</v>
      </c>
      <c r="AD1715" t="s">
        <v>69</v>
      </c>
      <c r="AE1715" t="s">
        <v>69</v>
      </c>
      <c r="AF1715" t="s">
        <v>69</v>
      </c>
      <c r="AG1715" t="s">
        <v>27750</v>
      </c>
      <c r="AH1715" t="s">
        <v>69</v>
      </c>
      <c r="AI1715" t="s">
        <v>69</v>
      </c>
      <c r="AJ1715" t="s">
        <v>69</v>
      </c>
      <c r="AK1715" t="s">
        <v>69</v>
      </c>
      <c r="AL1715" t="s">
        <v>69</v>
      </c>
      <c r="AM1715" t="s">
        <v>69</v>
      </c>
      <c r="AN1715">
        <v>79</v>
      </c>
      <c r="AO1715">
        <v>4</v>
      </c>
      <c r="AP1715">
        <v>4</v>
      </c>
      <c r="AQ1715">
        <v>0</v>
      </c>
      <c r="AR1715">
        <v>0</v>
      </c>
      <c r="AS1715" t="s">
        <v>9554</v>
      </c>
      <c r="AT1715" t="s">
        <v>9555</v>
      </c>
      <c r="AU1715" t="s">
        <v>9556</v>
      </c>
      <c r="AV1715" t="s">
        <v>27751</v>
      </c>
      <c r="AW1715" t="s">
        <v>69</v>
      </c>
      <c r="AX1715" t="s">
        <v>69</v>
      </c>
      <c r="AY1715" t="s">
        <v>27752</v>
      </c>
      <c r="AZ1715" t="s">
        <v>27753</v>
      </c>
      <c r="BA1715" t="s">
        <v>84</v>
      </c>
      <c r="BB1715">
        <v>2010</v>
      </c>
      <c r="BC1715">
        <v>5</v>
      </c>
      <c r="BD1715">
        <v>6</v>
      </c>
      <c r="BE1715" t="s">
        <v>69</v>
      </c>
      <c r="BF1715" t="s">
        <v>69</v>
      </c>
      <c r="BG1715" t="s">
        <v>69</v>
      </c>
      <c r="BH1715" t="s">
        <v>69</v>
      </c>
      <c r="BI1715">
        <v>209</v>
      </c>
      <c r="BJ1715">
        <v>247</v>
      </c>
      <c r="BK1715" t="s">
        <v>69</v>
      </c>
      <c r="BL1715" t="s">
        <v>27754</v>
      </c>
      <c r="BM1715" t="str">
        <f>HYPERLINK("http://dx.doi.org/10.1177/194277511000500601","http://dx.doi.org/10.1177/194277511000500601")</f>
        <v>http://dx.doi.org/10.1177/194277511000500601</v>
      </c>
      <c r="BN1715" t="s">
        <v>69</v>
      </c>
      <c r="BO1715" t="s">
        <v>69</v>
      </c>
      <c r="BP1715">
        <v>39</v>
      </c>
      <c r="BQ1715" t="s">
        <v>9290</v>
      </c>
      <c r="BR1715" t="s">
        <v>8573</v>
      </c>
      <c r="BS1715" t="s">
        <v>9290</v>
      </c>
      <c r="BT1715" t="s">
        <v>27755</v>
      </c>
      <c r="BU1715" t="s">
        <v>27756</v>
      </c>
      <c r="BV1715" t="s">
        <v>69</v>
      </c>
      <c r="BW1715" t="s">
        <v>69</v>
      </c>
      <c r="BX1715" t="s">
        <v>69</v>
      </c>
      <c r="BY1715" t="s">
        <v>69</v>
      </c>
      <c r="BZ1715" t="s">
        <v>8526</v>
      </c>
      <c r="CA1715" t="str">
        <f>HYPERLINK("https%3A%2F%2Fwww.webofscience.com%2Fwos%2Fwoscc%2Ffull-record%2FWOS:000435703600001","View Full Record in Web of Science")</f>
        <v>View Full Record in Web of Science</v>
      </c>
    </row>
    <row r="1716" spans="2:79" ht="12.5" x14ac:dyDescent="0.25">
      <c r="B1716" t="s">
        <v>8495</v>
      </c>
      <c r="D1716" s="7" t="s">
        <v>32933</v>
      </c>
      <c r="E1716" s="7"/>
      <c r="F1716" s="7"/>
      <c r="G1716" s="7"/>
      <c r="H1716" t="s">
        <v>67</v>
      </c>
      <c r="I1716" t="s">
        <v>5659</v>
      </c>
      <c r="J1716" t="s">
        <v>69</v>
      </c>
      <c r="K1716" t="s">
        <v>69</v>
      </c>
      <c r="L1716" t="s">
        <v>69</v>
      </c>
      <c r="M1716" t="s">
        <v>5660</v>
      </c>
      <c r="N1716" t="s">
        <v>69</v>
      </c>
      <c r="O1716" t="s">
        <v>69</v>
      </c>
      <c r="P1716" t="s">
        <v>5661</v>
      </c>
      <c r="Q1716" t="s">
        <v>352</v>
      </c>
      <c r="R1716" t="s">
        <v>69</v>
      </c>
      <c r="S1716" t="s">
        <v>69</v>
      </c>
      <c r="T1716" t="s">
        <v>8505</v>
      </c>
      <c r="U1716" t="s">
        <v>8506</v>
      </c>
      <c r="V1716" t="s">
        <v>69</v>
      </c>
      <c r="W1716" t="s">
        <v>69</v>
      </c>
      <c r="X1716" t="s">
        <v>69</v>
      </c>
      <c r="Y1716" t="s">
        <v>69</v>
      </c>
      <c r="Z1716" t="s">
        <v>69</v>
      </c>
      <c r="AA1716" t="s">
        <v>18673</v>
      </c>
      <c r="AB1716" t="s">
        <v>18674</v>
      </c>
      <c r="AC1716" t="s">
        <v>5662</v>
      </c>
      <c r="AD1716" t="s">
        <v>18675</v>
      </c>
      <c r="AE1716" t="s">
        <v>69</v>
      </c>
      <c r="AF1716" t="s">
        <v>18676</v>
      </c>
      <c r="AG1716" t="s">
        <v>18677</v>
      </c>
      <c r="AH1716" t="s">
        <v>18678</v>
      </c>
      <c r="AI1716" t="s">
        <v>5663</v>
      </c>
      <c r="AJ1716" t="s">
        <v>18679</v>
      </c>
      <c r="AK1716" t="s">
        <v>18679</v>
      </c>
      <c r="AL1716" t="s">
        <v>18680</v>
      </c>
      <c r="AM1716" t="s">
        <v>69</v>
      </c>
      <c r="AN1716">
        <v>54</v>
      </c>
      <c r="AO1716">
        <v>7</v>
      </c>
      <c r="AP1716">
        <v>7</v>
      </c>
      <c r="AQ1716">
        <v>2</v>
      </c>
      <c r="AR1716">
        <v>14</v>
      </c>
      <c r="AS1716" t="s">
        <v>8924</v>
      </c>
      <c r="AT1716" t="s">
        <v>8925</v>
      </c>
      <c r="AU1716" t="s">
        <v>8926</v>
      </c>
      <c r="AV1716" t="s">
        <v>354</v>
      </c>
      <c r="AW1716" t="s">
        <v>69</v>
      </c>
      <c r="AX1716" t="s">
        <v>69</v>
      </c>
      <c r="AY1716" t="s">
        <v>8958</v>
      </c>
      <c r="AZ1716" t="s">
        <v>8434</v>
      </c>
      <c r="BA1716" t="s">
        <v>155</v>
      </c>
      <c r="BB1716">
        <v>2018</v>
      </c>
      <c r="BC1716">
        <v>10</v>
      </c>
      <c r="BD1716">
        <v>6</v>
      </c>
      <c r="BE1716" t="s">
        <v>69</v>
      </c>
      <c r="BF1716" t="s">
        <v>69</v>
      </c>
      <c r="BG1716" t="s">
        <v>69</v>
      </c>
      <c r="BH1716" t="s">
        <v>69</v>
      </c>
      <c r="BI1716" t="s">
        <v>69</v>
      </c>
      <c r="BJ1716" t="s">
        <v>69</v>
      </c>
      <c r="BK1716">
        <v>2081</v>
      </c>
      <c r="BL1716" t="s">
        <v>5664</v>
      </c>
      <c r="BM1716" t="str">
        <f>HYPERLINK("http://dx.doi.org/10.3390/su10062081","http://dx.doi.org/10.3390/su10062081")</f>
        <v>http://dx.doi.org/10.3390/su10062081</v>
      </c>
      <c r="BN1716" t="s">
        <v>69</v>
      </c>
      <c r="BO1716" t="s">
        <v>69</v>
      </c>
      <c r="BP1716">
        <v>20</v>
      </c>
      <c r="BQ1716" t="s">
        <v>8960</v>
      </c>
      <c r="BR1716" t="s">
        <v>8523</v>
      </c>
      <c r="BS1716" t="s">
        <v>8961</v>
      </c>
      <c r="BT1716" t="s">
        <v>18681</v>
      </c>
      <c r="BU1716" t="s">
        <v>5665</v>
      </c>
      <c r="BV1716" t="s">
        <v>69</v>
      </c>
      <c r="BW1716" t="s">
        <v>9352</v>
      </c>
      <c r="BX1716" t="s">
        <v>69</v>
      </c>
      <c r="BY1716" t="s">
        <v>69</v>
      </c>
      <c r="BZ1716" t="s">
        <v>8526</v>
      </c>
      <c r="CA1716" t="str">
        <f>HYPERLINK("https%3A%2F%2Fwww.webofscience.com%2Fwos%2Fwoscc%2Ffull-record%2FWOS:000436570100393","View Full Record in Web of Science")</f>
        <v>View Full Record in Web of Science</v>
      </c>
    </row>
    <row r="1717" spans="2:79" ht="12.5" x14ac:dyDescent="0.25">
      <c r="B1717" t="s">
        <v>8495</v>
      </c>
      <c r="D1717" s="7" t="s">
        <v>32933</v>
      </c>
      <c r="E1717" s="7"/>
      <c r="F1717" s="7"/>
      <c r="G1717" s="7"/>
      <c r="H1717" t="s">
        <v>67</v>
      </c>
      <c r="I1717" t="s">
        <v>1599</v>
      </c>
      <c r="J1717" t="s">
        <v>69</v>
      </c>
      <c r="K1717" t="s">
        <v>69</v>
      </c>
      <c r="L1717" t="s">
        <v>69</v>
      </c>
      <c r="M1717" t="s">
        <v>1600</v>
      </c>
      <c r="N1717" t="s">
        <v>69</v>
      </c>
      <c r="O1717" t="s">
        <v>69</v>
      </c>
      <c r="P1717" t="s">
        <v>1601</v>
      </c>
      <c r="Q1717" t="s">
        <v>1602</v>
      </c>
      <c r="R1717" t="s">
        <v>69</v>
      </c>
      <c r="S1717" t="s">
        <v>69</v>
      </c>
      <c r="T1717" t="s">
        <v>8505</v>
      </c>
      <c r="U1717" t="s">
        <v>8506</v>
      </c>
      <c r="V1717" t="s">
        <v>69</v>
      </c>
      <c r="W1717" t="s">
        <v>69</v>
      </c>
      <c r="X1717" t="s">
        <v>69</v>
      </c>
      <c r="Y1717" t="s">
        <v>69</v>
      </c>
      <c r="Z1717" t="s">
        <v>69</v>
      </c>
      <c r="AA1717" t="s">
        <v>69</v>
      </c>
      <c r="AB1717" t="s">
        <v>69</v>
      </c>
      <c r="AC1717" t="s">
        <v>1603</v>
      </c>
      <c r="AD1717" t="s">
        <v>30059</v>
      </c>
      <c r="AE1717" t="s">
        <v>69</v>
      </c>
      <c r="AF1717" t="s">
        <v>30060</v>
      </c>
      <c r="AG1717" t="s">
        <v>30061</v>
      </c>
      <c r="AH1717" t="s">
        <v>69</v>
      </c>
      <c r="AI1717" t="s">
        <v>30062</v>
      </c>
      <c r="AJ1717" t="s">
        <v>69</v>
      </c>
      <c r="AK1717" t="s">
        <v>69</v>
      </c>
      <c r="AL1717" t="s">
        <v>69</v>
      </c>
      <c r="AM1717" t="s">
        <v>69</v>
      </c>
      <c r="AN1717">
        <v>63</v>
      </c>
      <c r="AO1717">
        <v>57</v>
      </c>
      <c r="AP1717">
        <v>59</v>
      </c>
      <c r="AQ1717">
        <v>1</v>
      </c>
      <c r="AR1717">
        <v>56</v>
      </c>
      <c r="AS1717" t="s">
        <v>8762</v>
      </c>
      <c r="AT1717" t="s">
        <v>8763</v>
      </c>
      <c r="AU1717" t="s">
        <v>8764</v>
      </c>
      <c r="AV1717" t="s">
        <v>1604</v>
      </c>
      <c r="AW1717" t="s">
        <v>69</v>
      </c>
      <c r="AX1717" t="s">
        <v>69</v>
      </c>
      <c r="AY1717" t="s">
        <v>15091</v>
      </c>
      <c r="AZ1717" t="s">
        <v>15092</v>
      </c>
      <c r="BA1717" t="s">
        <v>69</v>
      </c>
      <c r="BB1717">
        <v>2007</v>
      </c>
      <c r="BC1717">
        <v>44</v>
      </c>
      <c r="BD1717">
        <v>12</v>
      </c>
      <c r="BE1717" t="s">
        <v>69</v>
      </c>
      <c r="BF1717" t="s">
        <v>69</v>
      </c>
      <c r="BG1717" t="s">
        <v>69</v>
      </c>
      <c r="BH1717" t="s">
        <v>69</v>
      </c>
      <c r="BI1717">
        <v>2379</v>
      </c>
      <c r="BJ1717">
        <v>2400</v>
      </c>
      <c r="BK1717" t="s">
        <v>69</v>
      </c>
      <c r="BL1717" t="s">
        <v>1605</v>
      </c>
      <c r="BM1717" t="str">
        <f>HYPERLINK("http://dx.doi.org/10.1080/00420980701540887","http://dx.doi.org/10.1080/00420980701540887")</f>
        <v>http://dx.doi.org/10.1080/00420980701540887</v>
      </c>
      <c r="BN1717" t="s">
        <v>69</v>
      </c>
      <c r="BO1717" t="s">
        <v>69</v>
      </c>
      <c r="BP1717">
        <v>22</v>
      </c>
      <c r="BQ1717" t="s">
        <v>15093</v>
      </c>
      <c r="BR1717" t="s">
        <v>8661</v>
      </c>
      <c r="BS1717" t="s">
        <v>15094</v>
      </c>
      <c r="BT1717" t="s">
        <v>30063</v>
      </c>
      <c r="BU1717" t="s">
        <v>1606</v>
      </c>
      <c r="BV1717" t="s">
        <v>69</v>
      </c>
      <c r="BW1717" t="s">
        <v>69</v>
      </c>
      <c r="BX1717" t="s">
        <v>69</v>
      </c>
      <c r="BY1717" t="s">
        <v>69</v>
      </c>
      <c r="BZ1717" t="s">
        <v>8526</v>
      </c>
      <c r="CA1717" t="str">
        <f>HYPERLINK("https%3A%2F%2Fwww.webofscience.com%2Fwos%2Fwoscc%2Ffull-record%2FWOS:000250780000006","View Full Record in Web of Science")</f>
        <v>View Full Record in Web of Science</v>
      </c>
    </row>
    <row r="1718" spans="2:79" ht="12.5" x14ac:dyDescent="0.25">
      <c r="B1718" t="s">
        <v>8495</v>
      </c>
      <c r="D1718" s="22" t="s">
        <v>32931</v>
      </c>
      <c r="E1718" s="7"/>
      <c r="F1718" s="7"/>
      <c r="G1718" s="7"/>
      <c r="H1718" t="s">
        <v>67</v>
      </c>
      <c r="I1718" t="s">
        <v>25489</v>
      </c>
      <c r="J1718" t="s">
        <v>69</v>
      </c>
      <c r="K1718" t="s">
        <v>69</v>
      </c>
      <c r="L1718" t="s">
        <v>69</v>
      </c>
      <c r="M1718" t="s">
        <v>25490</v>
      </c>
      <c r="N1718" t="s">
        <v>69</v>
      </c>
      <c r="O1718" t="s">
        <v>69</v>
      </c>
      <c r="P1718" t="s">
        <v>25491</v>
      </c>
      <c r="Q1718" t="s">
        <v>25476</v>
      </c>
      <c r="R1718" t="s">
        <v>69</v>
      </c>
      <c r="S1718" t="s">
        <v>69</v>
      </c>
      <c r="T1718" t="s">
        <v>9357</v>
      </c>
      <c r="U1718" t="s">
        <v>8506</v>
      </c>
      <c r="V1718" t="s">
        <v>69</v>
      </c>
      <c r="W1718" t="s">
        <v>69</v>
      </c>
      <c r="X1718" t="s">
        <v>69</v>
      </c>
      <c r="Y1718" t="s">
        <v>69</v>
      </c>
      <c r="Z1718" t="s">
        <v>69</v>
      </c>
      <c r="AA1718" t="s">
        <v>25492</v>
      </c>
      <c r="AB1718" t="s">
        <v>69</v>
      </c>
      <c r="AC1718" t="s">
        <v>25493</v>
      </c>
      <c r="AD1718" t="s">
        <v>25494</v>
      </c>
      <c r="AE1718" t="s">
        <v>69</v>
      </c>
      <c r="AF1718" t="s">
        <v>25495</v>
      </c>
      <c r="AG1718" t="s">
        <v>69</v>
      </c>
      <c r="AH1718" t="s">
        <v>69</v>
      </c>
      <c r="AI1718" t="s">
        <v>69</v>
      </c>
      <c r="AJ1718" t="s">
        <v>69</v>
      </c>
      <c r="AK1718" t="s">
        <v>69</v>
      </c>
      <c r="AL1718" t="s">
        <v>69</v>
      </c>
      <c r="AM1718" t="s">
        <v>69</v>
      </c>
      <c r="AN1718">
        <v>9</v>
      </c>
      <c r="AO1718">
        <v>0</v>
      </c>
      <c r="AP1718">
        <v>0</v>
      </c>
      <c r="AQ1718">
        <v>0</v>
      </c>
      <c r="AR1718">
        <v>0</v>
      </c>
      <c r="AS1718" t="s">
        <v>25481</v>
      </c>
      <c r="AT1718" t="s">
        <v>25482</v>
      </c>
      <c r="AU1718" t="s">
        <v>25483</v>
      </c>
      <c r="AV1718" t="s">
        <v>25484</v>
      </c>
      <c r="AW1718" t="s">
        <v>69</v>
      </c>
      <c r="AX1718" t="s">
        <v>69</v>
      </c>
      <c r="AY1718" t="s">
        <v>25485</v>
      </c>
      <c r="AZ1718" t="s">
        <v>25486</v>
      </c>
      <c r="BA1718" t="s">
        <v>69</v>
      </c>
      <c r="BB1718">
        <v>2013</v>
      </c>
      <c r="BC1718" t="s">
        <v>69</v>
      </c>
      <c r="BD1718">
        <v>3</v>
      </c>
      <c r="BE1718" t="s">
        <v>69</v>
      </c>
      <c r="BF1718" t="s">
        <v>69</v>
      </c>
      <c r="BG1718" t="s">
        <v>69</v>
      </c>
      <c r="BH1718" t="s">
        <v>69</v>
      </c>
      <c r="BI1718">
        <v>264</v>
      </c>
      <c r="BJ1718">
        <v>271</v>
      </c>
      <c r="BK1718" t="s">
        <v>69</v>
      </c>
      <c r="BL1718" t="s">
        <v>69</v>
      </c>
      <c r="BM1718" t="s">
        <v>69</v>
      </c>
      <c r="BN1718" t="s">
        <v>69</v>
      </c>
      <c r="BO1718" t="s">
        <v>69</v>
      </c>
      <c r="BP1718">
        <v>8</v>
      </c>
      <c r="BQ1718" t="s">
        <v>9410</v>
      </c>
      <c r="BR1718" t="s">
        <v>8573</v>
      </c>
      <c r="BS1718" t="s">
        <v>8594</v>
      </c>
      <c r="BT1718" t="s">
        <v>25487</v>
      </c>
      <c r="BU1718" t="s">
        <v>25496</v>
      </c>
      <c r="BV1718" t="s">
        <v>69</v>
      </c>
      <c r="BW1718" t="s">
        <v>69</v>
      </c>
      <c r="BX1718" t="s">
        <v>69</v>
      </c>
      <c r="BY1718" t="s">
        <v>69</v>
      </c>
      <c r="BZ1718" t="s">
        <v>8526</v>
      </c>
      <c r="CA1718" t="str">
        <f>HYPERLINK("https%3A%2F%2Fwww.webofscience.com%2Fwos%2Fwoscc%2Ffull-record%2FWOS:000422478500023","View Full Record in Web of Science")</f>
        <v>View Full Record in Web of Science</v>
      </c>
    </row>
    <row r="1719" spans="2:79" ht="12.5" x14ac:dyDescent="0.25">
      <c r="B1719" t="s">
        <v>8495</v>
      </c>
      <c r="D1719" s="7" t="s">
        <v>32933</v>
      </c>
      <c r="E1719" s="7"/>
      <c r="F1719" s="7"/>
      <c r="G1719" s="7"/>
      <c r="H1719" t="s">
        <v>67</v>
      </c>
      <c r="I1719" t="s">
        <v>7660</v>
      </c>
      <c r="J1719" t="s">
        <v>69</v>
      </c>
      <c r="K1719" t="s">
        <v>69</v>
      </c>
      <c r="L1719" t="s">
        <v>69</v>
      </c>
      <c r="M1719" t="s">
        <v>7661</v>
      </c>
      <c r="N1719" t="s">
        <v>69</v>
      </c>
      <c r="O1719" t="s">
        <v>69</v>
      </c>
      <c r="P1719" t="s">
        <v>7662</v>
      </c>
      <c r="Q1719" t="s">
        <v>5171</v>
      </c>
      <c r="R1719" t="s">
        <v>69</v>
      </c>
      <c r="S1719" t="s">
        <v>69</v>
      </c>
      <c r="T1719" t="s">
        <v>14800</v>
      </c>
      <c r="U1719" t="s">
        <v>8506</v>
      </c>
      <c r="V1719" t="s">
        <v>69</v>
      </c>
      <c r="W1719" t="s">
        <v>69</v>
      </c>
      <c r="X1719" t="s">
        <v>69</v>
      </c>
      <c r="Y1719" t="s">
        <v>69</v>
      </c>
      <c r="Z1719" t="s">
        <v>69</v>
      </c>
      <c r="AA1719" t="s">
        <v>30137</v>
      </c>
      <c r="AB1719" t="s">
        <v>69</v>
      </c>
      <c r="AC1719" t="s">
        <v>7663</v>
      </c>
      <c r="AD1719" t="s">
        <v>30138</v>
      </c>
      <c r="AE1719" t="s">
        <v>69</v>
      </c>
      <c r="AF1719" t="s">
        <v>30139</v>
      </c>
      <c r="AG1719" t="s">
        <v>30140</v>
      </c>
      <c r="AH1719" t="s">
        <v>69</v>
      </c>
      <c r="AI1719" t="s">
        <v>69</v>
      </c>
      <c r="AJ1719" t="s">
        <v>69</v>
      </c>
      <c r="AK1719" t="s">
        <v>69</v>
      </c>
      <c r="AL1719" t="s">
        <v>69</v>
      </c>
      <c r="AM1719" t="s">
        <v>69</v>
      </c>
      <c r="AN1719">
        <v>14</v>
      </c>
      <c r="AO1719">
        <v>2</v>
      </c>
      <c r="AP1719">
        <v>2</v>
      </c>
      <c r="AQ1719">
        <v>0</v>
      </c>
      <c r="AR1719">
        <v>7</v>
      </c>
      <c r="AS1719" t="s">
        <v>18329</v>
      </c>
      <c r="AT1719" t="s">
        <v>18330</v>
      </c>
      <c r="AU1719" t="s">
        <v>18331</v>
      </c>
      <c r="AV1719" t="s">
        <v>7664</v>
      </c>
      <c r="AW1719" t="s">
        <v>69</v>
      </c>
      <c r="AX1719" t="s">
        <v>69</v>
      </c>
      <c r="AY1719" t="s">
        <v>27225</v>
      </c>
      <c r="AZ1719" t="s">
        <v>27226</v>
      </c>
      <c r="BA1719" t="s">
        <v>1774</v>
      </c>
      <c r="BB1719">
        <v>2006</v>
      </c>
      <c r="BC1719">
        <v>15</v>
      </c>
      <c r="BD1719">
        <v>5</v>
      </c>
      <c r="BE1719" t="s">
        <v>69</v>
      </c>
      <c r="BF1719" t="s">
        <v>69</v>
      </c>
      <c r="BG1719" t="s">
        <v>69</v>
      </c>
      <c r="BH1719" t="s">
        <v>69</v>
      </c>
      <c r="BI1719">
        <v>409</v>
      </c>
      <c r="BJ1719">
        <v>415</v>
      </c>
      <c r="BK1719" t="s">
        <v>69</v>
      </c>
      <c r="BL1719" t="s">
        <v>69</v>
      </c>
      <c r="BM1719" t="s">
        <v>69</v>
      </c>
      <c r="BN1719" t="s">
        <v>69</v>
      </c>
      <c r="BO1719" t="s">
        <v>69</v>
      </c>
      <c r="BP1719">
        <v>7</v>
      </c>
      <c r="BQ1719" t="s">
        <v>27227</v>
      </c>
      <c r="BR1719" t="s">
        <v>8548</v>
      </c>
      <c r="BS1719" t="s">
        <v>8450</v>
      </c>
      <c r="BT1719" t="s">
        <v>30141</v>
      </c>
      <c r="BU1719" t="s">
        <v>7665</v>
      </c>
      <c r="BV1719" t="s">
        <v>69</v>
      </c>
      <c r="BW1719" t="s">
        <v>69</v>
      </c>
      <c r="BX1719" t="s">
        <v>69</v>
      </c>
      <c r="BY1719" t="s">
        <v>69</v>
      </c>
      <c r="BZ1719" t="s">
        <v>8526</v>
      </c>
      <c r="CA1719" t="str">
        <f>HYPERLINK("https%3A%2F%2Fwww.webofscience.com%2Fwos%2Fwoscc%2Ffull-record%2FWOS:000241511200002","View Full Record in Web of Science")</f>
        <v>View Full Record in Web of Science</v>
      </c>
    </row>
    <row r="1720" spans="2:79" ht="12.5" x14ac:dyDescent="0.25">
      <c r="B1720" t="s">
        <v>8495</v>
      </c>
      <c r="D1720" s="7" t="s">
        <v>32933</v>
      </c>
      <c r="E1720" s="7"/>
      <c r="F1720" s="7"/>
      <c r="G1720" s="7"/>
      <c r="H1720" t="s">
        <v>67</v>
      </c>
      <c r="I1720" t="s">
        <v>7527</v>
      </c>
      <c r="J1720" t="s">
        <v>69</v>
      </c>
      <c r="K1720" t="s">
        <v>69</v>
      </c>
      <c r="L1720" t="s">
        <v>69</v>
      </c>
      <c r="M1720" t="s">
        <v>7527</v>
      </c>
      <c r="N1720" t="s">
        <v>69</v>
      </c>
      <c r="O1720" t="s">
        <v>69</v>
      </c>
      <c r="P1720" t="s">
        <v>7528</v>
      </c>
      <c r="Q1720" t="s">
        <v>6571</v>
      </c>
      <c r="R1720" t="s">
        <v>69</v>
      </c>
      <c r="S1720" t="s">
        <v>69</v>
      </c>
      <c r="T1720" t="s">
        <v>8505</v>
      </c>
      <c r="U1720" t="s">
        <v>15797</v>
      </c>
      <c r="V1720" t="s">
        <v>7529</v>
      </c>
      <c r="W1720">
        <v>2002</v>
      </c>
      <c r="X1720" t="s">
        <v>7530</v>
      </c>
      <c r="Y1720" t="s">
        <v>69</v>
      </c>
      <c r="Z1720" t="s">
        <v>69</v>
      </c>
      <c r="AA1720" t="s">
        <v>69</v>
      </c>
      <c r="AB1720" t="s">
        <v>69</v>
      </c>
      <c r="AC1720" t="s">
        <v>7531</v>
      </c>
      <c r="AD1720" t="s">
        <v>31453</v>
      </c>
      <c r="AE1720" t="s">
        <v>69</v>
      </c>
      <c r="AF1720" t="s">
        <v>31454</v>
      </c>
      <c r="AG1720" t="s">
        <v>69</v>
      </c>
      <c r="AH1720" t="s">
        <v>69</v>
      </c>
      <c r="AI1720" t="s">
        <v>69</v>
      </c>
      <c r="AJ1720" t="s">
        <v>69</v>
      </c>
      <c r="AK1720" t="s">
        <v>69</v>
      </c>
      <c r="AL1720" t="s">
        <v>69</v>
      </c>
      <c r="AM1720" t="s">
        <v>69</v>
      </c>
      <c r="AN1720">
        <v>5</v>
      </c>
      <c r="AO1720">
        <v>0</v>
      </c>
      <c r="AP1720">
        <v>0</v>
      </c>
      <c r="AQ1720">
        <v>0</v>
      </c>
      <c r="AR1720">
        <v>9</v>
      </c>
      <c r="AS1720" t="s">
        <v>8692</v>
      </c>
      <c r="AT1720" t="s">
        <v>8693</v>
      </c>
      <c r="AU1720" t="s">
        <v>18139</v>
      </c>
      <c r="AV1720" t="s">
        <v>6573</v>
      </c>
      <c r="AW1720" t="s">
        <v>69</v>
      </c>
      <c r="AX1720" t="s">
        <v>69</v>
      </c>
      <c r="AY1720" t="s">
        <v>10988</v>
      </c>
      <c r="AZ1720" t="s">
        <v>10989</v>
      </c>
      <c r="BA1720" t="s">
        <v>155</v>
      </c>
      <c r="BB1720">
        <v>2002</v>
      </c>
      <c r="BC1720">
        <v>69</v>
      </c>
      <c r="BD1720">
        <v>5</v>
      </c>
      <c r="BE1720" t="s">
        <v>69</v>
      </c>
      <c r="BF1720" t="s">
        <v>69</v>
      </c>
      <c r="BG1720" t="s">
        <v>69</v>
      </c>
      <c r="BH1720" t="s">
        <v>69</v>
      </c>
      <c r="BI1720">
        <v>479</v>
      </c>
      <c r="BJ1720">
        <v>484</v>
      </c>
      <c r="BK1720" t="s">
        <v>7532</v>
      </c>
      <c r="BL1720" t="s">
        <v>7533</v>
      </c>
      <c r="BM1720" t="str">
        <f>HYPERLINK("http://dx.doi.org/10.1016/S0040-1625(01)00169-X","http://dx.doi.org/10.1016/S0040-1625(01)00169-X")</f>
        <v>http://dx.doi.org/10.1016/S0040-1625(01)00169-X</v>
      </c>
      <c r="BN1720" t="s">
        <v>69</v>
      </c>
      <c r="BO1720" t="s">
        <v>69</v>
      </c>
      <c r="BP1720">
        <v>6</v>
      </c>
      <c r="BQ1720" t="s">
        <v>10992</v>
      </c>
      <c r="BR1720" t="s">
        <v>31324</v>
      </c>
      <c r="BS1720" t="s">
        <v>10993</v>
      </c>
      <c r="BT1720" t="s">
        <v>31455</v>
      </c>
      <c r="BU1720" t="s">
        <v>7534</v>
      </c>
      <c r="BV1720" t="s">
        <v>69</v>
      </c>
      <c r="BW1720" t="s">
        <v>69</v>
      </c>
      <c r="BX1720" t="s">
        <v>69</v>
      </c>
      <c r="BY1720" t="s">
        <v>69</v>
      </c>
      <c r="BZ1720" t="s">
        <v>8526</v>
      </c>
      <c r="CA1720" t="str">
        <f>HYPERLINK("https%3A%2F%2Fwww.webofscience.com%2Fwos%2Fwoscc%2Ffull-record%2FWOS:000177263900004","View Full Record in Web of Science")</f>
        <v>View Full Record in Web of Science</v>
      </c>
    </row>
    <row r="1721" spans="2:79" ht="12.5" x14ac:dyDescent="0.25">
      <c r="B1721" t="s">
        <v>8495</v>
      </c>
      <c r="D1721" s="7" t="s">
        <v>32933</v>
      </c>
      <c r="E1721" s="7"/>
      <c r="F1721" s="7"/>
      <c r="G1721" s="7"/>
      <c r="H1721" t="s">
        <v>67</v>
      </c>
      <c r="I1721" t="s">
        <v>3543</v>
      </c>
      <c r="J1721" t="s">
        <v>69</v>
      </c>
      <c r="K1721" t="s">
        <v>69</v>
      </c>
      <c r="L1721" t="s">
        <v>69</v>
      </c>
      <c r="M1721" t="s">
        <v>3544</v>
      </c>
      <c r="N1721" t="s">
        <v>69</v>
      </c>
      <c r="O1721" t="s">
        <v>69</v>
      </c>
      <c r="P1721" t="s">
        <v>3545</v>
      </c>
      <c r="Q1721" t="s">
        <v>1405</v>
      </c>
      <c r="R1721" t="s">
        <v>69</v>
      </c>
      <c r="S1721" t="s">
        <v>69</v>
      </c>
      <c r="T1721" t="s">
        <v>8505</v>
      </c>
      <c r="U1721" t="s">
        <v>8506</v>
      </c>
      <c r="V1721" t="s">
        <v>69</v>
      </c>
      <c r="W1721" t="s">
        <v>69</v>
      </c>
      <c r="X1721" t="s">
        <v>69</v>
      </c>
      <c r="Y1721" t="s">
        <v>69</v>
      </c>
      <c r="Z1721" t="s">
        <v>69</v>
      </c>
      <c r="AA1721" t="s">
        <v>27757</v>
      </c>
      <c r="AB1721" t="s">
        <v>69</v>
      </c>
      <c r="AC1721" t="s">
        <v>3546</v>
      </c>
      <c r="AD1721" t="s">
        <v>27758</v>
      </c>
      <c r="AE1721" t="s">
        <v>69</v>
      </c>
      <c r="AF1721" t="s">
        <v>27759</v>
      </c>
      <c r="AG1721" t="s">
        <v>27760</v>
      </c>
      <c r="AH1721" t="s">
        <v>3547</v>
      </c>
      <c r="AI1721" t="s">
        <v>3548</v>
      </c>
      <c r="AJ1721" t="s">
        <v>19909</v>
      </c>
      <c r="AK1721" t="s">
        <v>15550</v>
      </c>
      <c r="AL1721" t="s">
        <v>27761</v>
      </c>
      <c r="AM1721" t="s">
        <v>69</v>
      </c>
      <c r="AN1721">
        <v>26</v>
      </c>
      <c r="AO1721">
        <v>30</v>
      </c>
      <c r="AP1721">
        <v>31</v>
      </c>
      <c r="AQ1721">
        <v>0</v>
      </c>
      <c r="AR1721">
        <v>7</v>
      </c>
      <c r="AS1721" t="s">
        <v>8636</v>
      </c>
      <c r="AT1721" t="s">
        <v>8637</v>
      </c>
      <c r="AU1721" t="s">
        <v>8638</v>
      </c>
      <c r="AV1721" t="s">
        <v>1407</v>
      </c>
      <c r="AW1721" t="s">
        <v>69</v>
      </c>
      <c r="AX1721" t="s">
        <v>69</v>
      </c>
      <c r="AY1721" t="s">
        <v>14240</v>
      </c>
      <c r="AZ1721" t="s">
        <v>8486</v>
      </c>
      <c r="BA1721" t="s">
        <v>155</v>
      </c>
      <c r="BB1721">
        <v>2010</v>
      </c>
      <c r="BC1721">
        <v>38</v>
      </c>
      <c r="BD1721">
        <v>6</v>
      </c>
      <c r="BE1721" t="s">
        <v>69</v>
      </c>
      <c r="BF1721" t="s">
        <v>69</v>
      </c>
      <c r="BG1721" t="s">
        <v>69</v>
      </c>
      <c r="BH1721" t="s">
        <v>69</v>
      </c>
      <c r="BI1721">
        <v>2858</v>
      </c>
      <c r="BJ1721">
        <v>2864</v>
      </c>
      <c r="BK1721" t="s">
        <v>69</v>
      </c>
      <c r="BL1721" t="s">
        <v>3549</v>
      </c>
      <c r="BM1721" t="str">
        <f>HYPERLINK("http://dx.doi.org/10.1016/j.enpol.2010.01.018","http://dx.doi.org/10.1016/j.enpol.2010.01.018")</f>
        <v>http://dx.doi.org/10.1016/j.enpol.2010.01.018</v>
      </c>
      <c r="BN1721" t="s">
        <v>69</v>
      </c>
      <c r="BO1721" t="s">
        <v>69</v>
      </c>
      <c r="BP1721">
        <v>7</v>
      </c>
      <c r="BQ1721" t="s">
        <v>14242</v>
      </c>
      <c r="BR1721" t="s">
        <v>8523</v>
      </c>
      <c r="BS1721" t="s">
        <v>14243</v>
      </c>
      <c r="BT1721" t="s">
        <v>27762</v>
      </c>
      <c r="BU1721" t="s">
        <v>3550</v>
      </c>
      <c r="BV1721" t="s">
        <v>69</v>
      </c>
      <c r="BW1721" t="s">
        <v>10995</v>
      </c>
      <c r="BX1721" t="s">
        <v>69</v>
      </c>
      <c r="BY1721" t="s">
        <v>69</v>
      </c>
      <c r="BZ1721" t="s">
        <v>8526</v>
      </c>
      <c r="CA1721" t="str">
        <f>HYPERLINK("https%3A%2F%2Fwww.webofscience.com%2Fwos%2Fwoscc%2Ffull-record%2FWOS:000278055700036","View Full Record in Web of Science")</f>
        <v>View Full Record in Web of Science</v>
      </c>
    </row>
    <row r="1722" spans="2:79" ht="12.5" x14ac:dyDescent="0.25">
      <c r="B1722" t="s">
        <v>8495</v>
      </c>
      <c r="D1722" s="7" t="s">
        <v>32933</v>
      </c>
      <c r="E1722" s="7"/>
      <c r="F1722" s="7"/>
      <c r="G1722" s="7"/>
      <c r="H1722" t="s">
        <v>67</v>
      </c>
      <c r="I1722" t="s">
        <v>2293</v>
      </c>
      <c r="J1722" t="s">
        <v>69</v>
      </c>
      <c r="K1722" t="s">
        <v>69</v>
      </c>
      <c r="L1722" t="s">
        <v>69</v>
      </c>
      <c r="M1722" t="s">
        <v>2294</v>
      </c>
      <c r="N1722" t="s">
        <v>69</v>
      </c>
      <c r="O1722" t="s">
        <v>69</v>
      </c>
      <c r="P1722" t="s">
        <v>2295</v>
      </c>
      <c r="Q1722" t="s">
        <v>2296</v>
      </c>
      <c r="R1722" t="s">
        <v>69</v>
      </c>
      <c r="S1722" t="s">
        <v>69</v>
      </c>
      <c r="T1722" t="s">
        <v>8505</v>
      </c>
      <c r="U1722" t="s">
        <v>8506</v>
      </c>
      <c r="V1722" t="s">
        <v>69</v>
      </c>
      <c r="W1722" t="s">
        <v>69</v>
      </c>
      <c r="X1722" t="s">
        <v>69</v>
      </c>
      <c r="Y1722" t="s">
        <v>69</v>
      </c>
      <c r="Z1722" t="s">
        <v>69</v>
      </c>
      <c r="AA1722" t="s">
        <v>17497</v>
      </c>
      <c r="AB1722" t="s">
        <v>17498</v>
      </c>
      <c r="AC1722" t="s">
        <v>2297</v>
      </c>
      <c r="AD1722" t="s">
        <v>17499</v>
      </c>
      <c r="AE1722" t="s">
        <v>69</v>
      </c>
      <c r="AF1722" t="s">
        <v>17500</v>
      </c>
      <c r="AG1722" t="s">
        <v>17501</v>
      </c>
      <c r="AH1722" t="s">
        <v>2298</v>
      </c>
      <c r="AI1722" t="s">
        <v>2299</v>
      </c>
      <c r="AJ1722" t="s">
        <v>69</v>
      </c>
      <c r="AK1722" t="s">
        <v>69</v>
      </c>
      <c r="AL1722" t="s">
        <v>69</v>
      </c>
      <c r="AM1722" t="s">
        <v>69</v>
      </c>
      <c r="AN1722">
        <v>56</v>
      </c>
      <c r="AO1722">
        <v>4</v>
      </c>
      <c r="AP1722">
        <v>4</v>
      </c>
      <c r="AQ1722">
        <v>3</v>
      </c>
      <c r="AR1722">
        <v>26</v>
      </c>
      <c r="AS1722" t="s">
        <v>8846</v>
      </c>
      <c r="AT1722" t="s">
        <v>8847</v>
      </c>
      <c r="AU1722" t="s">
        <v>8848</v>
      </c>
      <c r="AV1722" t="s">
        <v>2300</v>
      </c>
      <c r="AW1722" t="s">
        <v>2301</v>
      </c>
      <c r="AX1722" t="s">
        <v>69</v>
      </c>
      <c r="AY1722" t="s">
        <v>17502</v>
      </c>
      <c r="AZ1722" t="s">
        <v>17503</v>
      </c>
      <c r="BA1722" t="s">
        <v>94</v>
      </c>
      <c r="BB1722">
        <v>2019</v>
      </c>
      <c r="BC1722">
        <v>54</v>
      </c>
      <c r="BD1722">
        <v>1</v>
      </c>
      <c r="BE1722" t="s">
        <v>69</v>
      </c>
      <c r="BF1722" t="s">
        <v>69</v>
      </c>
      <c r="BG1722" t="s">
        <v>69</v>
      </c>
      <c r="BH1722" t="s">
        <v>69</v>
      </c>
      <c r="BI1722">
        <v>91</v>
      </c>
      <c r="BJ1722">
        <v>108</v>
      </c>
      <c r="BK1722" t="s">
        <v>69</v>
      </c>
      <c r="BL1722" t="s">
        <v>2302</v>
      </c>
      <c r="BM1722" t="str">
        <f>HYPERLINK("http://dx.doi.org/10.1002/ajs4.60","http://dx.doi.org/10.1002/ajs4.60")</f>
        <v>http://dx.doi.org/10.1002/ajs4.60</v>
      </c>
      <c r="BN1722" t="s">
        <v>69</v>
      </c>
      <c r="BO1722" t="s">
        <v>69</v>
      </c>
      <c r="BP1722">
        <v>18</v>
      </c>
      <c r="BQ1722" t="s">
        <v>13650</v>
      </c>
      <c r="BR1722" t="s">
        <v>8661</v>
      </c>
      <c r="BS1722" t="s">
        <v>13650</v>
      </c>
      <c r="BT1722" t="s">
        <v>17504</v>
      </c>
      <c r="BU1722" t="s">
        <v>2303</v>
      </c>
      <c r="BV1722" t="s">
        <v>69</v>
      </c>
      <c r="BW1722" t="s">
        <v>10995</v>
      </c>
      <c r="BX1722" t="s">
        <v>69</v>
      </c>
      <c r="BY1722" t="s">
        <v>69</v>
      </c>
      <c r="BZ1722" t="s">
        <v>8526</v>
      </c>
      <c r="CA1722" t="str">
        <f>HYPERLINK("https%3A%2F%2Fwww.webofscience.com%2Fwos%2Fwoscc%2Ffull-record%2FWOS:000462204400006","View Full Record in Web of Science")</f>
        <v>View Full Record in Web of Science</v>
      </c>
    </row>
    <row r="1723" spans="2:79" ht="12.5" x14ac:dyDescent="0.25">
      <c r="B1723" t="s">
        <v>8495</v>
      </c>
      <c r="D1723" s="22" t="s">
        <v>32931</v>
      </c>
      <c r="E1723" s="7"/>
      <c r="F1723" s="7"/>
      <c r="G1723" s="7"/>
      <c r="H1723" t="s">
        <v>67</v>
      </c>
      <c r="I1723" t="s">
        <v>18954</v>
      </c>
      <c r="J1723" t="s">
        <v>69</v>
      </c>
      <c r="K1723" t="s">
        <v>69</v>
      </c>
      <c r="L1723" t="s">
        <v>69</v>
      </c>
      <c r="M1723" t="s">
        <v>18955</v>
      </c>
      <c r="N1723" t="s">
        <v>69</v>
      </c>
      <c r="O1723" t="s">
        <v>69</v>
      </c>
      <c r="P1723" t="s">
        <v>18956</v>
      </c>
      <c r="Q1723" t="s">
        <v>18957</v>
      </c>
      <c r="R1723" t="s">
        <v>69</v>
      </c>
      <c r="S1723" t="s">
        <v>69</v>
      </c>
      <c r="T1723" t="s">
        <v>8505</v>
      </c>
      <c r="U1723" t="s">
        <v>8506</v>
      </c>
      <c r="V1723" t="s">
        <v>69</v>
      </c>
      <c r="W1723" t="s">
        <v>69</v>
      </c>
      <c r="X1723" t="s">
        <v>69</v>
      </c>
      <c r="Y1723" t="s">
        <v>69</v>
      </c>
      <c r="Z1723" t="s">
        <v>69</v>
      </c>
      <c r="AA1723" t="s">
        <v>69</v>
      </c>
      <c r="AB1723" t="s">
        <v>18958</v>
      </c>
      <c r="AC1723" t="s">
        <v>18959</v>
      </c>
      <c r="AD1723" t="s">
        <v>18960</v>
      </c>
      <c r="AE1723" t="s">
        <v>69</v>
      </c>
      <c r="AF1723" t="s">
        <v>18961</v>
      </c>
      <c r="AG1723" t="s">
        <v>18962</v>
      </c>
      <c r="AH1723" t="s">
        <v>69</v>
      </c>
      <c r="AI1723" t="s">
        <v>69</v>
      </c>
      <c r="AJ1723" t="s">
        <v>69</v>
      </c>
      <c r="AK1723" t="s">
        <v>69</v>
      </c>
      <c r="AL1723" t="s">
        <v>69</v>
      </c>
      <c r="AM1723" t="s">
        <v>69</v>
      </c>
      <c r="AN1723">
        <v>8</v>
      </c>
      <c r="AO1723">
        <v>0</v>
      </c>
      <c r="AP1723">
        <v>0</v>
      </c>
      <c r="AQ1723">
        <v>0</v>
      </c>
      <c r="AR1723">
        <v>2</v>
      </c>
      <c r="AS1723" t="s">
        <v>18963</v>
      </c>
      <c r="AT1723" t="s">
        <v>8763</v>
      </c>
      <c r="AU1723" t="s">
        <v>18964</v>
      </c>
      <c r="AV1723" t="s">
        <v>18965</v>
      </c>
      <c r="AW1723" t="s">
        <v>18966</v>
      </c>
      <c r="AX1723" t="s">
        <v>69</v>
      </c>
      <c r="AY1723" t="s">
        <v>18967</v>
      </c>
      <c r="AZ1723" t="s">
        <v>18968</v>
      </c>
      <c r="BA1723" t="s">
        <v>18969</v>
      </c>
      <c r="BB1723">
        <v>2018</v>
      </c>
      <c r="BC1723">
        <v>224</v>
      </c>
      <c r="BD1723">
        <v>7</v>
      </c>
      <c r="BE1723" t="s">
        <v>69</v>
      </c>
      <c r="BF1723" t="s">
        <v>69</v>
      </c>
      <c r="BG1723" t="s">
        <v>69</v>
      </c>
      <c r="BH1723" t="s">
        <v>69</v>
      </c>
      <c r="BI1723" t="s">
        <v>69</v>
      </c>
      <c r="BJ1723" t="s">
        <v>69</v>
      </c>
      <c r="BK1723" t="s">
        <v>69</v>
      </c>
      <c r="BL1723" t="s">
        <v>18970</v>
      </c>
      <c r="BM1723" t="str">
        <f>HYPERLINK("http://dx.doi.org/10.1038/sj.bdj.2018.224","http://dx.doi.org/10.1038/sj.bdj.2018.224")</f>
        <v>http://dx.doi.org/10.1038/sj.bdj.2018.224</v>
      </c>
      <c r="BN1723" t="s">
        <v>69</v>
      </c>
      <c r="BO1723" t="s">
        <v>69</v>
      </c>
      <c r="BP1723">
        <v>4</v>
      </c>
      <c r="BQ1723" t="s">
        <v>17390</v>
      </c>
      <c r="BR1723" t="s">
        <v>8548</v>
      </c>
      <c r="BS1723" t="s">
        <v>17390</v>
      </c>
      <c r="BT1723" t="s">
        <v>18971</v>
      </c>
      <c r="BU1723" t="s">
        <v>18972</v>
      </c>
      <c r="BV1723">
        <v>29576610</v>
      </c>
      <c r="BW1723" t="s">
        <v>69</v>
      </c>
      <c r="BX1723" t="s">
        <v>69</v>
      </c>
      <c r="BY1723" t="s">
        <v>69</v>
      </c>
      <c r="BZ1723" t="s">
        <v>8526</v>
      </c>
      <c r="CA1723" t="str">
        <f>HYPERLINK("https%3A%2F%2Fwww.webofscience.com%2Fwos%2Fwoscc%2Ffull-record%2FWOS:000430264300025","View Full Record in Web of Science")</f>
        <v>View Full Record in Web of Science</v>
      </c>
    </row>
    <row r="1724" spans="2:79" x14ac:dyDescent="0.3">
      <c r="B1724" t="s">
        <v>8495</v>
      </c>
      <c r="D1724" s="9" t="s">
        <v>32954</v>
      </c>
      <c r="E1724" s="9" t="s">
        <v>33132</v>
      </c>
      <c r="F1724" s="9" t="s">
        <v>8491</v>
      </c>
      <c r="G1724" s="9" t="s">
        <v>8490</v>
      </c>
      <c r="H1724" t="s">
        <v>67</v>
      </c>
      <c r="I1724" t="s">
        <v>9591</v>
      </c>
      <c r="J1724" t="s">
        <v>69</v>
      </c>
      <c r="K1724" t="s">
        <v>69</v>
      </c>
      <c r="L1724" t="s">
        <v>69</v>
      </c>
      <c r="M1724" t="s">
        <v>9592</v>
      </c>
      <c r="N1724" t="s">
        <v>69</v>
      </c>
      <c r="O1724" t="s">
        <v>69</v>
      </c>
      <c r="P1724" t="s">
        <v>9593</v>
      </c>
      <c r="Q1724" t="s">
        <v>9594</v>
      </c>
      <c r="R1724" t="s">
        <v>69</v>
      </c>
      <c r="S1724" t="s">
        <v>69</v>
      </c>
      <c r="T1724" t="s">
        <v>8505</v>
      </c>
      <c r="U1724" t="s">
        <v>8556</v>
      </c>
      <c r="V1724" t="s">
        <v>69</v>
      </c>
      <c r="W1724" t="s">
        <v>69</v>
      </c>
      <c r="X1724" t="s">
        <v>69</v>
      </c>
      <c r="Y1724" t="s">
        <v>69</v>
      </c>
      <c r="Z1724" t="s">
        <v>69</v>
      </c>
      <c r="AA1724" t="s">
        <v>9595</v>
      </c>
      <c r="AB1724" t="s">
        <v>9596</v>
      </c>
      <c r="AC1724" t="s">
        <v>9597</v>
      </c>
      <c r="AD1724" t="s">
        <v>9598</v>
      </c>
      <c r="AE1724" t="s">
        <v>69</v>
      </c>
      <c r="AF1724" t="s">
        <v>9599</v>
      </c>
      <c r="AG1724" t="s">
        <v>9600</v>
      </c>
      <c r="AH1724" t="s">
        <v>69</v>
      </c>
      <c r="AI1724" t="s">
        <v>69</v>
      </c>
      <c r="AJ1724" t="s">
        <v>69</v>
      </c>
      <c r="AK1724" t="s">
        <v>69</v>
      </c>
      <c r="AL1724" t="s">
        <v>69</v>
      </c>
      <c r="AM1724" t="s">
        <v>69</v>
      </c>
      <c r="AN1724">
        <v>30</v>
      </c>
      <c r="AO1724">
        <v>0</v>
      </c>
      <c r="AP1724">
        <v>0</v>
      </c>
      <c r="AQ1724">
        <v>8</v>
      </c>
      <c r="AR1724">
        <v>8</v>
      </c>
      <c r="AS1724" t="s">
        <v>8865</v>
      </c>
      <c r="AT1724" t="s">
        <v>8612</v>
      </c>
      <c r="AU1724" t="s">
        <v>8866</v>
      </c>
      <c r="AV1724" t="s">
        <v>9601</v>
      </c>
      <c r="AW1724" t="s">
        <v>9602</v>
      </c>
      <c r="AX1724" t="s">
        <v>69</v>
      </c>
      <c r="AY1724" t="s">
        <v>9603</v>
      </c>
      <c r="AZ1724" t="s">
        <v>9604</v>
      </c>
      <c r="BA1724" t="s">
        <v>69</v>
      </c>
      <c r="BB1724" t="s">
        <v>69</v>
      </c>
      <c r="BC1724" t="s">
        <v>69</v>
      </c>
      <c r="BD1724" t="s">
        <v>69</v>
      </c>
      <c r="BE1724" t="s">
        <v>69</v>
      </c>
      <c r="BF1724" t="s">
        <v>69</v>
      </c>
      <c r="BG1724" t="s">
        <v>69</v>
      </c>
      <c r="BH1724" t="s">
        <v>69</v>
      </c>
      <c r="BI1724" t="s">
        <v>69</v>
      </c>
      <c r="BJ1724" t="s">
        <v>69</v>
      </c>
      <c r="BK1724" t="s">
        <v>69</v>
      </c>
      <c r="BL1724" t="s">
        <v>9605</v>
      </c>
      <c r="BM1724" t="str">
        <f>HYPERLINK("http://dx.doi.org/10.1080/09654313.2022.2049217","http://dx.doi.org/10.1080/09654313.2022.2049217")</f>
        <v>http://dx.doi.org/10.1080/09654313.2022.2049217</v>
      </c>
      <c r="BN1724" t="s">
        <v>69</v>
      </c>
      <c r="BO1724" t="s">
        <v>9485</v>
      </c>
      <c r="BP1724">
        <v>19</v>
      </c>
      <c r="BQ1724" t="s">
        <v>9606</v>
      </c>
      <c r="BR1724" t="s">
        <v>8661</v>
      </c>
      <c r="BS1724" t="s">
        <v>9607</v>
      </c>
      <c r="BT1724" t="s">
        <v>9608</v>
      </c>
      <c r="BU1724" t="s">
        <v>9609</v>
      </c>
      <c r="BV1724" t="s">
        <v>69</v>
      </c>
      <c r="BW1724" t="s">
        <v>69</v>
      </c>
      <c r="BX1724" t="s">
        <v>69</v>
      </c>
      <c r="BY1724" t="s">
        <v>69</v>
      </c>
      <c r="BZ1724" t="s">
        <v>8526</v>
      </c>
      <c r="CA1724" t="str">
        <f>HYPERLINK("https%3A%2F%2Fwww.webofscience.com%2Fwos%2Fwoscc%2Ffull-record%2FWOS:000766144400001","View Full Record in Web of Science")</f>
        <v>View Full Record in Web of Science</v>
      </c>
    </row>
    <row r="1725" spans="2:79" ht="12.5" x14ac:dyDescent="0.25">
      <c r="B1725" t="s">
        <v>8495</v>
      </c>
      <c r="D1725" s="7" t="s">
        <v>32933</v>
      </c>
      <c r="E1725" s="7"/>
      <c r="F1725" s="7"/>
      <c r="G1725" s="7"/>
      <c r="H1725" t="s">
        <v>67</v>
      </c>
      <c r="I1725" t="s">
        <v>2255</v>
      </c>
      <c r="J1725" t="s">
        <v>69</v>
      </c>
      <c r="K1725" t="s">
        <v>69</v>
      </c>
      <c r="L1725" t="s">
        <v>69</v>
      </c>
      <c r="M1725" t="s">
        <v>2256</v>
      </c>
      <c r="N1725" t="s">
        <v>69</v>
      </c>
      <c r="O1725" t="s">
        <v>69</v>
      </c>
      <c r="P1725" t="s">
        <v>2257</v>
      </c>
      <c r="Q1725" t="s">
        <v>2258</v>
      </c>
      <c r="R1725" t="s">
        <v>69</v>
      </c>
      <c r="S1725" t="s">
        <v>69</v>
      </c>
      <c r="T1725" t="s">
        <v>8505</v>
      </c>
      <c r="U1725" t="s">
        <v>8506</v>
      </c>
      <c r="V1725" t="s">
        <v>69</v>
      </c>
      <c r="W1725" t="s">
        <v>69</v>
      </c>
      <c r="X1725" t="s">
        <v>69</v>
      </c>
      <c r="Y1725" t="s">
        <v>69</v>
      </c>
      <c r="Z1725" t="s">
        <v>69</v>
      </c>
      <c r="AA1725" t="s">
        <v>17264</v>
      </c>
      <c r="AB1725" t="s">
        <v>17265</v>
      </c>
      <c r="AC1725" t="s">
        <v>2259</v>
      </c>
      <c r="AD1725" t="s">
        <v>17266</v>
      </c>
      <c r="AE1725" t="s">
        <v>69</v>
      </c>
      <c r="AF1725" t="s">
        <v>17267</v>
      </c>
      <c r="AG1725" t="s">
        <v>17268</v>
      </c>
      <c r="AH1725" t="s">
        <v>2260</v>
      </c>
      <c r="AI1725" t="s">
        <v>17269</v>
      </c>
      <c r="AJ1725" t="s">
        <v>17270</v>
      </c>
      <c r="AK1725" t="s">
        <v>17271</v>
      </c>
      <c r="AL1725" t="s">
        <v>17272</v>
      </c>
      <c r="AM1725" t="s">
        <v>69</v>
      </c>
      <c r="AN1725">
        <v>36</v>
      </c>
      <c r="AO1725">
        <v>10</v>
      </c>
      <c r="AP1725">
        <v>10</v>
      </c>
      <c r="AQ1725">
        <v>0</v>
      </c>
      <c r="AR1725">
        <v>4</v>
      </c>
      <c r="AS1725" t="s">
        <v>17273</v>
      </c>
      <c r="AT1725" t="s">
        <v>12925</v>
      </c>
      <c r="AU1725" t="s">
        <v>17274</v>
      </c>
      <c r="AV1725" t="s">
        <v>2261</v>
      </c>
      <c r="AW1725" t="s">
        <v>2262</v>
      </c>
      <c r="AX1725" t="s">
        <v>69</v>
      </c>
      <c r="AY1725" t="s">
        <v>17275</v>
      </c>
      <c r="AZ1725" t="s">
        <v>17276</v>
      </c>
      <c r="BA1725" t="s">
        <v>586</v>
      </c>
      <c r="BB1725">
        <v>2019</v>
      </c>
      <c r="BC1725">
        <v>94</v>
      </c>
      <c r="BD1725" t="s">
        <v>69</v>
      </c>
      <c r="BE1725" t="s">
        <v>69</v>
      </c>
      <c r="BF1725" t="s">
        <v>69</v>
      </c>
      <c r="BG1725" t="s">
        <v>69</v>
      </c>
      <c r="BH1725" t="s">
        <v>69</v>
      </c>
      <c r="BI1725">
        <v>87</v>
      </c>
      <c r="BJ1725">
        <v>92</v>
      </c>
      <c r="BK1725" t="s">
        <v>69</v>
      </c>
      <c r="BL1725" t="s">
        <v>2263</v>
      </c>
      <c r="BM1725" t="str">
        <f>HYPERLINK("http://dx.doi.org/10.1016/j.yebeh.2019.02.011","http://dx.doi.org/10.1016/j.yebeh.2019.02.011")</f>
        <v>http://dx.doi.org/10.1016/j.yebeh.2019.02.011</v>
      </c>
      <c r="BN1725" t="s">
        <v>69</v>
      </c>
      <c r="BO1725" t="s">
        <v>69</v>
      </c>
      <c r="BP1725">
        <v>6</v>
      </c>
      <c r="BQ1725" t="s">
        <v>17277</v>
      </c>
      <c r="BR1725" t="s">
        <v>8523</v>
      </c>
      <c r="BS1725" t="s">
        <v>17278</v>
      </c>
      <c r="BT1725" t="s">
        <v>17279</v>
      </c>
      <c r="BU1725" t="s">
        <v>2264</v>
      </c>
      <c r="BV1725">
        <v>30897535</v>
      </c>
      <c r="BW1725" t="s">
        <v>9292</v>
      </c>
      <c r="BX1725" t="s">
        <v>69</v>
      </c>
      <c r="BY1725" t="s">
        <v>69</v>
      </c>
      <c r="BZ1725" t="s">
        <v>8526</v>
      </c>
      <c r="CA1725" t="str">
        <f>HYPERLINK("https%3A%2F%2Fwww.webofscience.com%2Fwos%2Fwoscc%2Ffull-record%2FWOS:000467913700015","View Full Record in Web of Science")</f>
        <v>View Full Record in Web of Science</v>
      </c>
    </row>
    <row r="1726" spans="2:79" ht="12.5" x14ac:dyDescent="0.25">
      <c r="B1726" t="s">
        <v>8495</v>
      </c>
      <c r="D1726" s="7" t="s">
        <v>32933</v>
      </c>
      <c r="E1726" s="7"/>
      <c r="F1726" s="7"/>
      <c r="G1726" s="7"/>
      <c r="H1726" t="s">
        <v>67</v>
      </c>
      <c r="I1726" t="s">
        <v>2230</v>
      </c>
      <c r="J1726" t="s">
        <v>69</v>
      </c>
      <c r="K1726" t="s">
        <v>69</v>
      </c>
      <c r="L1726" t="s">
        <v>69</v>
      </c>
      <c r="M1726" t="s">
        <v>2231</v>
      </c>
      <c r="N1726" t="s">
        <v>69</v>
      </c>
      <c r="O1726" t="s">
        <v>69</v>
      </c>
      <c r="P1726" t="s">
        <v>2232</v>
      </c>
      <c r="Q1726" t="s">
        <v>2233</v>
      </c>
      <c r="R1726" t="s">
        <v>69</v>
      </c>
      <c r="S1726" t="s">
        <v>69</v>
      </c>
      <c r="T1726" t="s">
        <v>8505</v>
      </c>
      <c r="U1726" t="s">
        <v>15797</v>
      </c>
      <c r="V1726" t="s">
        <v>2234</v>
      </c>
      <c r="W1726" t="s">
        <v>2235</v>
      </c>
      <c r="X1726" t="s">
        <v>2236</v>
      </c>
      <c r="Y1726" t="s">
        <v>2237</v>
      </c>
      <c r="Z1726" t="s">
        <v>69</v>
      </c>
      <c r="AA1726" t="s">
        <v>17223</v>
      </c>
      <c r="AB1726" t="s">
        <v>69</v>
      </c>
      <c r="AC1726" t="s">
        <v>2238</v>
      </c>
      <c r="AD1726" t="s">
        <v>17224</v>
      </c>
      <c r="AE1726" t="s">
        <v>69</v>
      </c>
      <c r="AF1726" t="s">
        <v>17225</v>
      </c>
      <c r="AG1726" t="s">
        <v>17226</v>
      </c>
      <c r="AH1726" t="s">
        <v>69</v>
      </c>
      <c r="AI1726" t="s">
        <v>2239</v>
      </c>
      <c r="AJ1726" t="s">
        <v>17227</v>
      </c>
      <c r="AK1726" t="s">
        <v>17227</v>
      </c>
      <c r="AL1726" t="s">
        <v>17228</v>
      </c>
      <c r="AM1726" t="s">
        <v>69</v>
      </c>
      <c r="AN1726">
        <v>64</v>
      </c>
      <c r="AO1726">
        <v>7</v>
      </c>
      <c r="AP1726">
        <v>7</v>
      </c>
      <c r="AQ1726">
        <v>1</v>
      </c>
      <c r="AR1726">
        <v>10</v>
      </c>
      <c r="AS1726" t="s">
        <v>9047</v>
      </c>
      <c r="AT1726" t="s">
        <v>9048</v>
      </c>
      <c r="AU1726" t="s">
        <v>9049</v>
      </c>
      <c r="AV1726" t="s">
        <v>2240</v>
      </c>
      <c r="AW1726" t="s">
        <v>2241</v>
      </c>
      <c r="AX1726" t="s">
        <v>69</v>
      </c>
      <c r="AY1726" t="s">
        <v>17229</v>
      </c>
      <c r="AZ1726" t="s">
        <v>17230</v>
      </c>
      <c r="BA1726" t="s">
        <v>155</v>
      </c>
      <c r="BB1726">
        <v>2019</v>
      </c>
      <c r="BC1726">
        <v>36</v>
      </c>
      <c r="BD1726">
        <v>2</v>
      </c>
      <c r="BE1726" t="s">
        <v>69</v>
      </c>
      <c r="BF1726" t="s">
        <v>69</v>
      </c>
      <c r="BG1726" t="s">
        <v>69</v>
      </c>
      <c r="BH1726" t="s">
        <v>69</v>
      </c>
      <c r="BI1726">
        <v>329</v>
      </c>
      <c r="BJ1726">
        <v>340</v>
      </c>
      <c r="BK1726" t="s">
        <v>69</v>
      </c>
      <c r="BL1726" t="s">
        <v>2242</v>
      </c>
      <c r="BM1726" t="str">
        <f>HYPERLINK("http://dx.doi.org/10.1007/s10460-019-09924-3","http://dx.doi.org/10.1007/s10460-019-09924-3")</f>
        <v>http://dx.doi.org/10.1007/s10460-019-09924-3</v>
      </c>
      <c r="BN1726" t="s">
        <v>69</v>
      </c>
      <c r="BO1726" t="s">
        <v>69</v>
      </c>
      <c r="BP1726">
        <v>12</v>
      </c>
      <c r="BQ1726" t="s">
        <v>17231</v>
      </c>
      <c r="BR1726" t="s">
        <v>17232</v>
      </c>
      <c r="BS1726" t="s">
        <v>17233</v>
      </c>
      <c r="BT1726" t="s">
        <v>17234</v>
      </c>
      <c r="BU1726" t="s">
        <v>2243</v>
      </c>
      <c r="BV1726" t="s">
        <v>69</v>
      </c>
      <c r="BW1726" t="s">
        <v>17235</v>
      </c>
      <c r="BX1726" t="s">
        <v>69</v>
      </c>
      <c r="BY1726" t="s">
        <v>69</v>
      </c>
      <c r="BZ1726" t="s">
        <v>8526</v>
      </c>
      <c r="CA1726" t="str">
        <f>HYPERLINK("https%3A%2F%2Fwww.webofscience.com%2Fwos%2Fwoscc%2Ffull-record%2FWOS:000467900000014","View Full Record in Web of Science")</f>
        <v>View Full Record in Web of Science</v>
      </c>
    </row>
    <row r="1727" spans="2:79" ht="12.5" x14ac:dyDescent="0.25">
      <c r="B1727" t="s">
        <v>8495</v>
      </c>
      <c r="D1727" s="7" t="s">
        <v>32933</v>
      </c>
      <c r="E1727" s="7"/>
      <c r="F1727" s="7"/>
      <c r="G1727" s="7"/>
      <c r="H1727" t="s">
        <v>67</v>
      </c>
      <c r="I1727" t="s">
        <v>907</v>
      </c>
      <c r="J1727" t="s">
        <v>69</v>
      </c>
      <c r="K1727" t="s">
        <v>69</v>
      </c>
      <c r="L1727" t="s">
        <v>69</v>
      </c>
      <c r="M1727" t="s">
        <v>908</v>
      </c>
      <c r="N1727" t="s">
        <v>69</v>
      </c>
      <c r="O1727" t="s">
        <v>69</v>
      </c>
      <c r="P1727" t="s">
        <v>909</v>
      </c>
      <c r="Q1727" t="s">
        <v>352</v>
      </c>
      <c r="R1727" t="s">
        <v>69</v>
      </c>
      <c r="S1727" t="s">
        <v>69</v>
      </c>
      <c r="T1727" t="s">
        <v>8505</v>
      </c>
      <c r="U1727" t="s">
        <v>8506</v>
      </c>
      <c r="V1727" t="s">
        <v>69</v>
      </c>
      <c r="W1727" t="s">
        <v>69</v>
      </c>
      <c r="X1727" t="s">
        <v>69</v>
      </c>
      <c r="Y1727" t="s">
        <v>69</v>
      </c>
      <c r="Z1727" t="s">
        <v>69</v>
      </c>
      <c r="AA1727" t="s">
        <v>16958</v>
      </c>
      <c r="AB1727" t="s">
        <v>16959</v>
      </c>
      <c r="AC1727" t="s">
        <v>910</v>
      </c>
      <c r="AD1727" t="s">
        <v>16960</v>
      </c>
      <c r="AE1727" t="s">
        <v>69</v>
      </c>
      <c r="AF1727" t="s">
        <v>16961</v>
      </c>
      <c r="AG1727" t="s">
        <v>16962</v>
      </c>
      <c r="AH1727" t="s">
        <v>69</v>
      </c>
      <c r="AI1727" t="s">
        <v>911</v>
      </c>
      <c r="AJ1727" t="s">
        <v>16963</v>
      </c>
      <c r="AK1727" t="s">
        <v>16964</v>
      </c>
      <c r="AL1727" t="s">
        <v>16965</v>
      </c>
      <c r="AM1727" t="s">
        <v>69</v>
      </c>
      <c r="AN1727">
        <v>56</v>
      </c>
      <c r="AO1727">
        <v>1</v>
      </c>
      <c r="AP1727">
        <v>1</v>
      </c>
      <c r="AQ1727">
        <v>0</v>
      </c>
      <c r="AR1727">
        <v>4</v>
      </c>
      <c r="AS1727" t="s">
        <v>8924</v>
      </c>
      <c r="AT1727" t="s">
        <v>8925</v>
      </c>
      <c r="AU1727" t="s">
        <v>8926</v>
      </c>
      <c r="AV1727" t="s">
        <v>69</v>
      </c>
      <c r="AW1727" t="s">
        <v>354</v>
      </c>
      <c r="AX1727" t="s">
        <v>69</v>
      </c>
      <c r="AY1727" t="s">
        <v>8958</v>
      </c>
      <c r="AZ1727" t="s">
        <v>8434</v>
      </c>
      <c r="BA1727" t="s">
        <v>201</v>
      </c>
      <c r="BB1727">
        <v>2019</v>
      </c>
      <c r="BC1727">
        <v>11</v>
      </c>
      <c r="BD1727">
        <v>15</v>
      </c>
      <c r="BE1727" t="s">
        <v>69</v>
      </c>
      <c r="BF1727" t="s">
        <v>69</v>
      </c>
      <c r="BG1727" t="s">
        <v>69</v>
      </c>
      <c r="BH1727" t="s">
        <v>69</v>
      </c>
      <c r="BI1727" t="s">
        <v>69</v>
      </c>
      <c r="BJ1727" t="s">
        <v>69</v>
      </c>
      <c r="BK1727">
        <v>4033</v>
      </c>
      <c r="BL1727" t="s">
        <v>912</v>
      </c>
      <c r="BM1727" t="str">
        <f>HYPERLINK("http://dx.doi.org/10.3390/su11154033","http://dx.doi.org/10.3390/su11154033")</f>
        <v>http://dx.doi.org/10.3390/su11154033</v>
      </c>
      <c r="BN1727" t="s">
        <v>69</v>
      </c>
      <c r="BO1727" t="s">
        <v>69</v>
      </c>
      <c r="BP1727">
        <v>16</v>
      </c>
      <c r="BQ1727" t="s">
        <v>8960</v>
      </c>
      <c r="BR1727" t="s">
        <v>8523</v>
      </c>
      <c r="BS1727" t="s">
        <v>8961</v>
      </c>
      <c r="BT1727" t="s">
        <v>16966</v>
      </c>
      <c r="BU1727" t="s">
        <v>913</v>
      </c>
      <c r="BV1727" t="s">
        <v>69</v>
      </c>
      <c r="BW1727" t="s">
        <v>8812</v>
      </c>
      <c r="BX1727" t="s">
        <v>69</v>
      </c>
      <c r="BY1727" t="s">
        <v>69</v>
      </c>
      <c r="BZ1727" t="s">
        <v>8526</v>
      </c>
      <c r="CA1727" t="str">
        <f>HYPERLINK("https%3A%2F%2Fwww.webofscience.com%2Fwos%2Fwoscc%2Ffull-record%2FWOS:000485230200038","View Full Record in Web of Science")</f>
        <v>View Full Record in Web of Science</v>
      </c>
    </row>
    <row r="1728" spans="2:79" ht="12.5" x14ac:dyDescent="0.25">
      <c r="B1728" t="s">
        <v>8495</v>
      </c>
      <c r="D1728" s="7" t="s">
        <v>32933</v>
      </c>
      <c r="E1728" s="7"/>
      <c r="F1728" s="7"/>
      <c r="G1728" s="7"/>
      <c r="H1728" t="s">
        <v>67</v>
      </c>
      <c r="I1728" t="s">
        <v>1435</v>
      </c>
      <c r="J1728" t="s">
        <v>69</v>
      </c>
      <c r="K1728" t="s">
        <v>69</v>
      </c>
      <c r="L1728" t="s">
        <v>69</v>
      </c>
      <c r="M1728" t="s">
        <v>1436</v>
      </c>
      <c r="N1728" t="s">
        <v>69</v>
      </c>
      <c r="O1728" t="s">
        <v>69</v>
      </c>
      <c r="P1728" t="s">
        <v>1437</v>
      </c>
      <c r="Q1728" t="s">
        <v>537</v>
      </c>
      <c r="R1728" t="s">
        <v>69</v>
      </c>
      <c r="S1728" t="s">
        <v>69</v>
      </c>
      <c r="T1728" t="s">
        <v>8505</v>
      </c>
      <c r="U1728" t="s">
        <v>8506</v>
      </c>
      <c r="V1728" t="s">
        <v>69</v>
      </c>
      <c r="W1728" t="s">
        <v>69</v>
      </c>
      <c r="X1728" t="s">
        <v>69</v>
      </c>
      <c r="Y1728" t="s">
        <v>69</v>
      </c>
      <c r="Z1728" t="s">
        <v>69</v>
      </c>
      <c r="AA1728" t="s">
        <v>25712</v>
      </c>
      <c r="AB1728" t="s">
        <v>25713</v>
      </c>
      <c r="AC1728" t="s">
        <v>1438</v>
      </c>
      <c r="AD1728" t="s">
        <v>25714</v>
      </c>
      <c r="AE1728" t="s">
        <v>69</v>
      </c>
      <c r="AF1728" t="s">
        <v>25715</v>
      </c>
      <c r="AG1728" t="s">
        <v>25716</v>
      </c>
      <c r="AH1728" t="s">
        <v>1439</v>
      </c>
      <c r="AI1728" t="s">
        <v>1440</v>
      </c>
      <c r="AJ1728" t="s">
        <v>69</v>
      </c>
      <c r="AK1728" t="s">
        <v>69</v>
      </c>
      <c r="AL1728" t="s">
        <v>69</v>
      </c>
      <c r="AM1728" t="s">
        <v>69</v>
      </c>
      <c r="AN1728">
        <v>46</v>
      </c>
      <c r="AO1728">
        <v>24</v>
      </c>
      <c r="AP1728">
        <v>24</v>
      </c>
      <c r="AQ1728">
        <v>0</v>
      </c>
      <c r="AR1728">
        <v>7</v>
      </c>
      <c r="AS1728" t="s">
        <v>8516</v>
      </c>
      <c r="AT1728" t="s">
        <v>8517</v>
      </c>
      <c r="AU1728" t="s">
        <v>8518</v>
      </c>
      <c r="AV1728" t="s">
        <v>541</v>
      </c>
      <c r="AW1728" t="s">
        <v>542</v>
      </c>
      <c r="AX1728" t="s">
        <v>69</v>
      </c>
      <c r="AY1728" t="s">
        <v>25707</v>
      </c>
      <c r="AZ1728" t="s">
        <v>25708</v>
      </c>
      <c r="BA1728" t="s">
        <v>75</v>
      </c>
      <c r="BB1728">
        <v>2012</v>
      </c>
      <c r="BC1728">
        <v>5</v>
      </c>
      <c r="BD1728" t="s">
        <v>69</v>
      </c>
      <c r="BE1728" t="s">
        <v>69</v>
      </c>
      <c r="BF1728" t="s">
        <v>69</v>
      </c>
      <c r="BG1728" t="s">
        <v>114</v>
      </c>
      <c r="BH1728" t="s">
        <v>69</v>
      </c>
      <c r="BI1728">
        <v>44</v>
      </c>
      <c r="BJ1728">
        <v>51</v>
      </c>
      <c r="BK1728" t="s">
        <v>69</v>
      </c>
      <c r="BL1728" t="s">
        <v>1441</v>
      </c>
      <c r="BM1728" t="str">
        <f>HYPERLINK("http://dx.doi.org/10.1016/j.scs.2012.05.008","http://dx.doi.org/10.1016/j.scs.2012.05.008")</f>
        <v>http://dx.doi.org/10.1016/j.scs.2012.05.008</v>
      </c>
      <c r="BN1728" t="s">
        <v>69</v>
      </c>
      <c r="BO1728" t="s">
        <v>69</v>
      </c>
      <c r="BP1728">
        <v>8</v>
      </c>
      <c r="BQ1728" t="s">
        <v>25709</v>
      </c>
      <c r="BR1728" t="s">
        <v>8548</v>
      </c>
      <c r="BS1728" t="s">
        <v>25710</v>
      </c>
      <c r="BT1728" t="s">
        <v>25711</v>
      </c>
      <c r="BU1728" t="s">
        <v>1442</v>
      </c>
      <c r="BV1728" t="s">
        <v>69</v>
      </c>
      <c r="BW1728" t="s">
        <v>9292</v>
      </c>
      <c r="BX1728" t="s">
        <v>69</v>
      </c>
      <c r="BY1728" t="s">
        <v>69</v>
      </c>
      <c r="BZ1728" t="s">
        <v>8526</v>
      </c>
      <c r="CA1728" t="str">
        <f>HYPERLINK("https%3A%2F%2Fwww.webofscience.com%2Fwos%2Fwoscc%2Ffull-record%2FWOS:000209554000009","View Full Record in Web of Science")</f>
        <v>View Full Record in Web of Science</v>
      </c>
    </row>
    <row r="1729" spans="1:79" ht="12.5" x14ac:dyDescent="0.25">
      <c r="B1729" t="s">
        <v>8495</v>
      </c>
      <c r="D1729" s="22" t="s">
        <v>32931</v>
      </c>
      <c r="E1729" s="7"/>
      <c r="F1729" s="7"/>
      <c r="G1729" s="7"/>
      <c r="H1729" t="s">
        <v>67</v>
      </c>
      <c r="I1729" t="s">
        <v>28430</v>
      </c>
      <c r="J1729" t="s">
        <v>69</v>
      </c>
      <c r="K1729" t="s">
        <v>69</v>
      </c>
      <c r="L1729" t="s">
        <v>69</v>
      </c>
      <c r="M1729" t="s">
        <v>28431</v>
      </c>
      <c r="N1729" t="s">
        <v>69</v>
      </c>
      <c r="O1729" t="s">
        <v>69</v>
      </c>
      <c r="P1729" t="s">
        <v>28432</v>
      </c>
      <c r="Q1729" t="s">
        <v>28433</v>
      </c>
      <c r="R1729" t="s">
        <v>69</v>
      </c>
      <c r="S1729" t="s">
        <v>69</v>
      </c>
      <c r="T1729" t="s">
        <v>8505</v>
      </c>
      <c r="U1729" t="s">
        <v>8506</v>
      </c>
      <c r="V1729" t="s">
        <v>69</v>
      </c>
      <c r="W1729" t="s">
        <v>69</v>
      </c>
      <c r="X1729" t="s">
        <v>69</v>
      </c>
      <c r="Y1729" t="s">
        <v>69</v>
      </c>
      <c r="Z1729" t="s">
        <v>69</v>
      </c>
      <c r="AA1729" t="s">
        <v>28434</v>
      </c>
      <c r="AB1729" t="s">
        <v>28435</v>
      </c>
      <c r="AC1729" t="s">
        <v>28436</v>
      </c>
      <c r="AD1729" t="s">
        <v>28437</v>
      </c>
      <c r="AE1729" t="s">
        <v>69</v>
      </c>
      <c r="AF1729" t="s">
        <v>28438</v>
      </c>
      <c r="AG1729" t="s">
        <v>28439</v>
      </c>
      <c r="AH1729" t="s">
        <v>69</v>
      </c>
      <c r="AI1729" t="s">
        <v>69</v>
      </c>
      <c r="AJ1729" t="s">
        <v>69</v>
      </c>
      <c r="AK1729" t="s">
        <v>69</v>
      </c>
      <c r="AL1729" t="s">
        <v>69</v>
      </c>
      <c r="AM1729" t="s">
        <v>69</v>
      </c>
      <c r="AN1729">
        <v>10</v>
      </c>
      <c r="AO1729">
        <v>3</v>
      </c>
      <c r="AP1729">
        <v>3</v>
      </c>
      <c r="AQ1729">
        <v>0</v>
      </c>
      <c r="AR1729">
        <v>3</v>
      </c>
      <c r="AS1729" t="s">
        <v>8636</v>
      </c>
      <c r="AT1729" t="s">
        <v>8637</v>
      </c>
      <c r="AU1729" t="s">
        <v>8638</v>
      </c>
      <c r="AV1729" t="s">
        <v>28440</v>
      </c>
      <c r="AW1729" t="s">
        <v>28441</v>
      </c>
      <c r="AX1729" t="s">
        <v>69</v>
      </c>
      <c r="AY1729" t="s">
        <v>28433</v>
      </c>
      <c r="AZ1729" t="s">
        <v>28442</v>
      </c>
      <c r="BA1729" t="s">
        <v>155</v>
      </c>
      <c r="BB1729">
        <v>2009</v>
      </c>
      <c r="BC1729">
        <v>35</v>
      </c>
      <c r="BD1729">
        <v>4</v>
      </c>
      <c r="BE1729" t="s">
        <v>69</v>
      </c>
      <c r="BF1729" t="s">
        <v>69</v>
      </c>
      <c r="BG1729" t="s">
        <v>69</v>
      </c>
      <c r="BH1729" t="s">
        <v>69</v>
      </c>
      <c r="BI1729">
        <v>587</v>
      </c>
      <c r="BJ1729">
        <v>589</v>
      </c>
      <c r="BK1729" t="s">
        <v>69</v>
      </c>
      <c r="BL1729" t="s">
        <v>28443</v>
      </c>
      <c r="BM1729" t="str">
        <f>HYPERLINK("http://dx.doi.org/10.1016/j.burns.2008.08.008","http://dx.doi.org/10.1016/j.burns.2008.08.008")</f>
        <v>http://dx.doi.org/10.1016/j.burns.2008.08.008</v>
      </c>
      <c r="BN1729" t="s">
        <v>69</v>
      </c>
      <c r="BO1729" t="s">
        <v>69</v>
      </c>
      <c r="BP1729">
        <v>3</v>
      </c>
      <c r="BQ1729" t="s">
        <v>28444</v>
      </c>
      <c r="BR1729" t="s">
        <v>8548</v>
      </c>
      <c r="BS1729" t="s">
        <v>28445</v>
      </c>
      <c r="BT1729" t="s">
        <v>28446</v>
      </c>
      <c r="BU1729" t="s">
        <v>28447</v>
      </c>
      <c r="BV1729">
        <v>18951708</v>
      </c>
      <c r="BW1729" t="s">
        <v>69</v>
      </c>
      <c r="BX1729" t="s">
        <v>69</v>
      </c>
      <c r="BY1729" t="s">
        <v>69</v>
      </c>
      <c r="BZ1729" t="s">
        <v>8526</v>
      </c>
      <c r="CA1729" t="str">
        <f>HYPERLINK("https%3A%2F%2Fwww.webofscience.com%2Fwos%2Fwoscc%2Ffull-record%2FWOS:000265867900017","View Full Record in Web of Science")</f>
        <v>View Full Record in Web of Science</v>
      </c>
    </row>
    <row r="1730" spans="1:79" ht="12.5" x14ac:dyDescent="0.25">
      <c r="B1730" t="s">
        <v>8495</v>
      </c>
      <c r="D1730" s="7" t="s">
        <v>32933</v>
      </c>
      <c r="E1730" s="7"/>
      <c r="F1730" s="7"/>
      <c r="G1730" s="7"/>
      <c r="H1730" t="s">
        <v>67</v>
      </c>
      <c r="I1730" t="s">
        <v>1621</v>
      </c>
      <c r="J1730" t="s">
        <v>69</v>
      </c>
      <c r="K1730" t="s">
        <v>69</v>
      </c>
      <c r="L1730" t="s">
        <v>69</v>
      </c>
      <c r="M1730" t="s">
        <v>1622</v>
      </c>
      <c r="N1730" t="s">
        <v>69</v>
      </c>
      <c r="O1730" t="s">
        <v>69</v>
      </c>
      <c r="P1730" t="s">
        <v>1623</v>
      </c>
      <c r="Q1730" t="s">
        <v>1624</v>
      </c>
      <c r="R1730" t="s">
        <v>69</v>
      </c>
      <c r="S1730" t="s">
        <v>69</v>
      </c>
      <c r="T1730" t="s">
        <v>8505</v>
      </c>
      <c r="U1730" t="s">
        <v>8506</v>
      </c>
      <c r="V1730" t="s">
        <v>69</v>
      </c>
      <c r="W1730" t="s">
        <v>69</v>
      </c>
      <c r="X1730" t="s">
        <v>69</v>
      </c>
      <c r="Y1730" t="s">
        <v>69</v>
      </c>
      <c r="Z1730" t="s">
        <v>69</v>
      </c>
      <c r="AA1730" t="s">
        <v>69</v>
      </c>
      <c r="AB1730" t="s">
        <v>30233</v>
      </c>
      <c r="AC1730" t="s">
        <v>1625</v>
      </c>
      <c r="AD1730" t="s">
        <v>30234</v>
      </c>
      <c r="AE1730" t="s">
        <v>69</v>
      </c>
      <c r="AF1730" t="s">
        <v>30235</v>
      </c>
      <c r="AG1730" t="s">
        <v>30236</v>
      </c>
      <c r="AH1730" t="s">
        <v>69</v>
      </c>
      <c r="AI1730" t="s">
        <v>69</v>
      </c>
      <c r="AJ1730" t="s">
        <v>69</v>
      </c>
      <c r="AK1730" t="s">
        <v>69</v>
      </c>
      <c r="AL1730" t="s">
        <v>69</v>
      </c>
      <c r="AM1730" t="s">
        <v>69</v>
      </c>
      <c r="AN1730">
        <v>37</v>
      </c>
      <c r="AO1730">
        <v>12</v>
      </c>
      <c r="AP1730">
        <v>12</v>
      </c>
      <c r="AQ1730">
        <v>0</v>
      </c>
      <c r="AR1730">
        <v>9</v>
      </c>
      <c r="AS1730" t="s">
        <v>8846</v>
      </c>
      <c r="AT1730" t="s">
        <v>8847</v>
      </c>
      <c r="AU1730" t="s">
        <v>8848</v>
      </c>
      <c r="AV1730" t="s">
        <v>1626</v>
      </c>
      <c r="AW1730" t="s">
        <v>1627</v>
      </c>
      <c r="AX1730" t="s">
        <v>69</v>
      </c>
      <c r="AY1730" t="s">
        <v>30237</v>
      </c>
      <c r="AZ1730" t="s">
        <v>30238</v>
      </c>
      <c r="BA1730" t="s">
        <v>1628</v>
      </c>
      <c r="BB1730">
        <v>2006</v>
      </c>
      <c r="BC1730">
        <v>50</v>
      </c>
      <c r="BD1730">
        <v>2</v>
      </c>
      <c r="BE1730" t="s">
        <v>69</v>
      </c>
      <c r="BF1730" t="s">
        <v>69</v>
      </c>
      <c r="BG1730" t="s">
        <v>69</v>
      </c>
      <c r="BH1730" t="s">
        <v>69</v>
      </c>
      <c r="BI1730">
        <v>227</v>
      </c>
      <c r="BJ1730">
        <v>241</v>
      </c>
      <c r="BK1730" t="s">
        <v>69</v>
      </c>
      <c r="BL1730" t="s">
        <v>1629</v>
      </c>
      <c r="BM1730" t="str">
        <f>HYPERLINK("http://dx.doi.org/10.1111/j.0008-3658.2006.00137.x","http://dx.doi.org/10.1111/j.0008-3658.2006.00137.x")</f>
        <v>http://dx.doi.org/10.1111/j.0008-3658.2006.00137.x</v>
      </c>
      <c r="BN1730" t="s">
        <v>69</v>
      </c>
      <c r="BO1730" t="s">
        <v>69</v>
      </c>
      <c r="BP1730">
        <v>15</v>
      </c>
      <c r="BQ1730" t="s">
        <v>8446</v>
      </c>
      <c r="BR1730" t="s">
        <v>8661</v>
      </c>
      <c r="BS1730" t="s">
        <v>8446</v>
      </c>
      <c r="BT1730" t="s">
        <v>30239</v>
      </c>
      <c r="BU1730" t="s">
        <v>1630</v>
      </c>
      <c r="BV1730" t="s">
        <v>69</v>
      </c>
      <c r="BW1730" t="s">
        <v>69</v>
      </c>
      <c r="BX1730" t="s">
        <v>69</v>
      </c>
      <c r="BY1730" t="s">
        <v>69</v>
      </c>
      <c r="BZ1730" t="s">
        <v>8526</v>
      </c>
      <c r="CA1730" t="str">
        <f>HYPERLINK("https%3A%2F%2Fwww.webofscience.com%2Fwos%2Fwoscc%2Ffull-record%2FWOS:000239391700007","View Full Record in Web of Science")</f>
        <v>View Full Record in Web of Science</v>
      </c>
    </row>
    <row r="1731" spans="1:79" ht="12.5" x14ac:dyDescent="0.25">
      <c r="B1731" t="s">
        <v>8495</v>
      </c>
      <c r="D1731" s="22" t="s">
        <v>32931</v>
      </c>
      <c r="E1731" s="7"/>
      <c r="F1731" s="7"/>
      <c r="G1731" s="7"/>
      <c r="H1731" t="s">
        <v>67</v>
      </c>
      <c r="I1731" t="s">
        <v>28390</v>
      </c>
      <c r="J1731" t="s">
        <v>69</v>
      </c>
      <c r="K1731" t="s">
        <v>69</v>
      </c>
      <c r="L1731" t="s">
        <v>69</v>
      </c>
      <c r="M1731" t="s">
        <v>28391</v>
      </c>
      <c r="N1731" t="s">
        <v>69</v>
      </c>
      <c r="O1731" t="s">
        <v>69</v>
      </c>
      <c r="P1731" t="s">
        <v>28392</v>
      </c>
      <c r="Q1731" t="s">
        <v>28393</v>
      </c>
      <c r="R1731" t="s">
        <v>69</v>
      </c>
      <c r="S1731" t="s">
        <v>69</v>
      </c>
      <c r="T1731" t="s">
        <v>8505</v>
      </c>
      <c r="U1731" t="s">
        <v>8506</v>
      </c>
      <c r="V1731" t="s">
        <v>69</v>
      </c>
      <c r="W1731" t="s">
        <v>69</v>
      </c>
      <c r="X1731" t="s">
        <v>69</v>
      </c>
      <c r="Y1731" t="s">
        <v>69</v>
      </c>
      <c r="Z1731" t="s">
        <v>69</v>
      </c>
      <c r="AA1731" t="s">
        <v>28394</v>
      </c>
      <c r="AB1731" t="s">
        <v>69</v>
      </c>
      <c r="AC1731" t="s">
        <v>28395</v>
      </c>
      <c r="AD1731" t="s">
        <v>28396</v>
      </c>
      <c r="AE1731" t="s">
        <v>69</v>
      </c>
      <c r="AF1731" t="s">
        <v>28397</v>
      </c>
      <c r="AG1731" t="s">
        <v>28398</v>
      </c>
      <c r="AH1731" t="s">
        <v>69</v>
      </c>
      <c r="AI1731" t="s">
        <v>69</v>
      </c>
      <c r="AJ1731" t="s">
        <v>69</v>
      </c>
      <c r="AK1731" t="s">
        <v>69</v>
      </c>
      <c r="AL1731" t="s">
        <v>69</v>
      </c>
      <c r="AM1731" t="s">
        <v>69</v>
      </c>
      <c r="AN1731">
        <v>9</v>
      </c>
      <c r="AO1731">
        <v>1</v>
      </c>
      <c r="AP1731">
        <v>1</v>
      </c>
      <c r="AQ1731">
        <v>0</v>
      </c>
      <c r="AR1731">
        <v>0</v>
      </c>
      <c r="AS1731" t="s">
        <v>8586</v>
      </c>
      <c r="AT1731" t="s">
        <v>8587</v>
      </c>
      <c r="AU1731" t="s">
        <v>8588</v>
      </c>
      <c r="AV1731" t="s">
        <v>28399</v>
      </c>
      <c r="AW1731" t="s">
        <v>28400</v>
      </c>
      <c r="AX1731" t="s">
        <v>69</v>
      </c>
      <c r="AY1731" t="s">
        <v>28401</v>
      </c>
      <c r="AZ1731" t="s">
        <v>28402</v>
      </c>
      <c r="BA1731" t="s">
        <v>201</v>
      </c>
      <c r="BB1731">
        <v>2009</v>
      </c>
      <c r="BC1731">
        <v>3</v>
      </c>
      <c r="BD1731">
        <v>2</v>
      </c>
      <c r="BE1731" t="s">
        <v>69</v>
      </c>
      <c r="BF1731" t="s">
        <v>69</v>
      </c>
      <c r="BG1731" t="s">
        <v>69</v>
      </c>
      <c r="BH1731" t="s">
        <v>69</v>
      </c>
      <c r="BI1731">
        <v>57</v>
      </c>
      <c r="BJ1731">
        <v>74</v>
      </c>
      <c r="BK1731" t="s">
        <v>69</v>
      </c>
      <c r="BL1731" t="s">
        <v>69</v>
      </c>
      <c r="BM1731" t="s">
        <v>69</v>
      </c>
      <c r="BN1731" t="s">
        <v>69</v>
      </c>
      <c r="BO1731" t="s">
        <v>69</v>
      </c>
      <c r="BP1731">
        <v>18</v>
      </c>
      <c r="BQ1731" t="s">
        <v>8444</v>
      </c>
      <c r="BR1731" t="s">
        <v>8573</v>
      </c>
      <c r="BS1731" t="s">
        <v>8594</v>
      </c>
      <c r="BT1731" t="s">
        <v>28403</v>
      </c>
      <c r="BU1731" t="s">
        <v>28404</v>
      </c>
      <c r="BV1731" t="s">
        <v>69</v>
      </c>
      <c r="BW1731" t="s">
        <v>69</v>
      </c>
      <c r="BX1731" t="s">
        <v>69</v>
      </c>
      <c r="BY1731" t="s">
        <v>69</v>
      </c>
      <c r="BZ1731" t="s">
        <v>8526</v>
      </c>
      <c r="CA1731" t="str">
        <f>HYPERLINK("https%3A%2F%2Fwww.webofscience.com%2Fwos%2Fwoscc%2Ffull-record%2FWOS:000433667500005","View Full Record in Web of Science")</f>
        <v>View Full Record in Web of Science</v>
      </c>
    </row>
    <row r="1732" spans="1:79" x14ac:dyDescent="0.3">
      <c r="B1732" t="s">
        <v>8495</v>
      </c>
      <c r="D1732" s="9" t="s">
        <v>33037</v>
      </c>
      <c r="H1732" t="s">
        <v>67</v>
      </c>
      <c r="I1732" t="s">
        <v>15968</v>
      </c>
      <c r="J1732" t="s">
        <v>69</v>
      </c>
      <c r="K1732" t="s">
        <v>69</v>
      </c>
      <c r="L1732" t="s">
        <v>69</v>
      </c>
      <c r="M1732" t="s">
        <v>15969</v>
      </c>
      <c r="N1732" t="s">
        <v>69</v>
      </c>
      <c r="O1732" t="s">
        <v>69</v>
      </c>
      <c r="P1732" t="s">
        <v>15970</v>
      </c>
      <c r="Q1732" t="s">
        <v>929</v>
      </c>
      <c r="R1732" t="s">
        <v>69</v>
      </c>
      <c r="S1732" t="s">
        <v>69</v>
      </c>
      <c r="T1732" t="s">
        <v>8505</v>
      </c>
      <c r="U1732" t="s">
        <v>8506</v>
      </c>
      <c r="V1732" t="s">
        <v>69</v>
      </c>
      <c r="W1732" t="s">
        <v>69</v>
      </c>
      <c r="X1732" t="s">
        <v>69</v>
      </c>
      <c r="Y1732" t="s">
        <v>69</v>
      </c>
      <c r="Z1732" t="s">
        <v>69</v>
      </c>
      <c r="AA1732" t="s">
        <v>15971</v>
      </c>
      <c r="AB1732" t="s">
        <v>15972</v>
      </c>
      <c r="AC1732" t="s">
        <v>15973</v>
      </c>
      <c r="AD1732" t="s">
        <v>15974</v>
      </c>
      <c r="AE1732" t="s">
        <v>69</v>
      </c>
      <c r="AF1732" t="s">
        <v>15628</v>
      </c>
      <c r="AG1732" t="s">
        <v>12162</v>
      </c>
      <c r="AH1732" t="s">
        <v>2359</v>
      </c>
      <c r="AI1732" t="s">
        <v>69</v>
      </c>
      <c r="AJ1732" t="s">
        <v>69</v>
      </c>
      <c r="AK1732" t="s">
        <v>69</v>
      </c>
      <c r="AL1732" t="s">
        <v>69</v>
      </c>
      <c r="AM1732" t="s">
        <v>69</v>
      </c>
      <c r="AN1732">
        <v>81</v>
      </c>
      <c r="AO1732">
        <v>2</v>
      </c>
      <c r="AP1732">
        <v>2</v>
      </c>
      <c r="AQ1732">
        <v>2</v>
      </c>
      <c r="AR1732">
        <v>3</v>
      </c>
      <c r="AS1732" t="s">
        <v>8865</v>
      </c>
      <c r="AT1732" t="s">
        <v>8612</v>
      </c>
      <c r="AU1732" t="s">
        <v>8866</v>
      </c>
      <c r="AV1732" t="s">
        <v>931</v>
      </c>
      <c r="AW1732" t="s">
        <v>932</v>
      </c>
      <c r="AX1732" t="s">
        <v>69</v>
      </c>
      <c r="AY1732" t="s">
        <v>15975</v>
      </c>
      <c r="AZ1732" t="s">
        <v>15976</v>
      </c>
      <c r="BA1732" t="s">
        <v>837</v>
      </c>
      <c r="BB1732">
        <v>2020</v>
      </c>
      <c r="BC1732">
        <v>38</v>
      </c>
      <c r="BD1732">
        <v>1</v>
      </c>
      <c r="BE1732" t="s">
        <v>69</v>
      </c>
      <c r="BF1732" t="s">
        <v>69</v>
      </c>
      <c r="BG1732" t="s">
        <v>69</v>
      </c>
      <c r="BH1732" t="s">
        <v>69</v>
      </c>
      <c r="BI1732">
        <v>57</v>
      </c>
      <c r="BJ1732">
        <v>70</v>
      </c>
      <c r="BK1732" t="s">
        <v>69</v>
      </c>
      <c r="BL1732" t="s">
        <v>15977</v>
      </c>
      <c r="BM1732" t="str">
        <f>HYPERLINK("http://dx.doi.org/10.1080/14615517.2019.1684096","http://dx.doi.org/10.1080/14615517.2019.1684096")</f>
        <v>http://dx.doi.org/10.1080/14615517.2019.1684096</v>
      </c>
      <c r="BN1732" t="s">
        <v>69</v>
      </c>
      <c r="BO1732" t="s">
        <v>69</v>
      </c>
      <c r="BP1732">
        <v>14</v>
      </c>
      <c r="BQ1732" t="s">
        <v>8660</v>
      </c>
      <c r="BR1732" t="s">
        <v>8661</v>
      </c>
      <c r="BS1732" t="s">
        <v>8662</v>
      </c>
      <c r="BT1732" t="s">
        <v>15978</v>
      </c>
      <c r="BU1732" t="s">
        <v>15979</v>
      </c>
      <c r="BV1732" t="s">
        <v>69</v>
      </c>
      <c r="BW1732" t="s">
        <v>69</v>
      </c>
      <c r="BX1732" t="s">
        <v>69</v>
      </c>
      <c r="BY1732" t="s">
        <v>69</v>
      </c>
      <c r="BZ1732" t="s">
        <v>8526</v>
      </c>
      <c r="CA1732" t="str">
        <f>HYPERLINK("https%3A%2F%2Fwww.webofscience.com%2Fwos%2Fwoscc%2Ffull-record%2FWOS:000534281800006","View Full Record in Web of Science")</f>
        <v>View Full Record in Web of Science</v>
      </c>
    </row>
    <row r="1733" spans="1:79" ht="12.5" x14ac:dyDescent="0.25">
      <c r="B1733" t="s">
        <v>8495</v>
      </c>
      <c r="D1733" s="7" t="s">
        <v>32933</v>
      </c>
      <c r="E1733" s="7"/>
      <c r="F1733" s="7"/>
      <c r="G1733" s="7"/>
      <c r="H1733" t="s">
        <v>67</v>
      </c>
      <c r="I1733" t="s">
        <v>7672</v>
      </c>
      <c r="J1733" t="s">
        <v>69</v>
      </c>
      <c r="K1733" t="s">
        <v>69</v>
      </c>
      <c r="L1733" t="s">
        <v>69</v>
      </c>
      <c r="M1733" t="s">
        <v>7673</v>
      </c>
      <c r="N1733" t="s">
        <v>69</v>
      </c>
      <c r="O1733" t="s">
        <v>69</v>
      </c>
      <c r="P1733" s="4" t="s">
        <v>7674</v>
      </c>
      <c r="Q1733" t="s">
        <v>7675</v>
      </c>
      <c r="R1733" t="s">
        <v>69</v>
      </c>
      <c r="S1733" t="s">
        <v>69</v>
      </c>
      <c r="T1733" t="s">
        <v>8505</v>
      </c>
      <c r="U1733" t="s">
        <v>8506</v>
      </c>
      <c r="V1733" t="s">
        <v>69</v>
      </c>
      <c r="W1733" t="s">
        <v>69</v>
      </c>
      <c r="X1733" t="s">
        <v>69</v>
      </c>
      <c r="Y1733" t="s">
        <v>69</v>
      </c>
      <c r="Z1733" t="s">
        <v>69</v>
      </c>
      <c r="AA1733" t="s">
        <v>14292</v>
      </c>
      <c r="AB1733" t="s">
        <v>14293</v>
      </c>
      <c r="AC1733" t="s">
        <v>7676</v>
      </c>
      <c r="AD1733" t="s">
        <v>14294</v>
      </c>
      <c r="AE1733" t="s">
        <v>69</v>
      </c>
      <c r="AF1733" t="s">
        <v>14295</v>
      </c>
      <c r="AG1733" t="s">
        <v>14296</v>
      </c>
      <c r="AH1733" t="s">
        <v>69</v>
      </c>
      <c r="AI1733" t="s">
        <v>14297</v>
      </c>
      <c r="AJ1733" t="s">
        <v>14298</v>
      </c>
      <c r="AK1733" t="s">
        <v>14298</v>
      </c>
      <c r="AL1733" t="s">
        <v>14299</v>
      </c>
      <c r="AM1733" t="s">
        <v>69</v>
      </c>
      <c r="AN1733">
        <v>91</v>
      </c>
      <c r="AO1733">
        <v>4</v>
      </c>
      <c r="AP1733">
        <v>4</v>
      </c>
      <c r="AQ1733">
        <v>1</v>
      </c>
      <c r="AR1733">
        <v>14</v>
      </c>
      <c r="AS1733" t="s">
        <v>8846</v>
      </c>
      <c r="AT1733" t="s">
        <v>8847</v>
      </c>
      <c r="AU1733" t="s">
        <v>8848</v>
      </c>
      <c r="AV1733" t="s">
        <v>7677</v>
      </c>
      <c r="AW1733" t="s">
        <v>7678</v>
      </c>
      <c r="AX1733" t="s">
        <v>69</v>
      </c>
      <c r="AY1733" t="s">
        <v>14300</v>
      </c>
      <c r="AZ1733" t="s">
        <v>14301</v>
      </c>
      <c r="BA1733" t="s">
        <v>94</v>
      </c>
      <c r="BB1733">
        <v>2021</v>
      </c>
      <c r="BC1733">
        <v>42</v>
      </c>
      <c r="BD1733">
        <v>2</v>
      </c>
      <c r="BE1733" t="s">
        <v>69</v>
      </c>
      <c r="BF1733" t="s">
        <v>69</v>
      </c>
      <c r="BG1733" t="s">
        <v>69</v>
      </c>
      <c r="BH1733" t="s">
        <v>69</v>
      </c>
      <c r="BI1733">
        <v>246</v>
      </c>
      <c r="BJ1733">
        <v>262</v>
      </c>
      <c r="BK1733" t="s">
        <v>69</v>
      </c>
      <c r="BL1733" t="s">
        <v>7679</v>
      </c>
      <c r="BM1733" t="str">
        <f>HYPERLINK("http://dx.doi.org/10.1002/imhj.21889","http://dx.doi.org/10.1002/imhj.21889")</f>
        <v>http://dx.doi.org/10.1002/imhj.21889</v>
      </c>
      <c r="BN1733" t="s">
        <v>69</v>
      </c>
      <c r="BO1733" t="s">
        <v>683</v>
      </c>
      <c r="BP1733">
        <v>17</v>
      </c>
      <c r="BQ1733" t="s">
        <v>14302</v>
      </c>
      <c r="BR1733" t="s">
        <v>8661</v>
      </c>
      <c r="BS1733" t="s">
        <v>9001</v>
      </c>
      <c r="BT1733" t="s">
        <v>14303</v>
      </c>
      <c r="BU1733" t="s">
        <v>7680</v>
      </c>
      <c r="BV1733">
        <v>32889735</v>
      </c>
      <c r="BW1733" t="s">
        <v>69</v>
      </c>
      <c r="BX1733" t="s">
        <v>69</v>
      </c>
      <c r="BY1733" t="s">
        <v>69</v>
      </c>
      <c r="BZ1733" t="s">
        <v>8526</v>
      </c>
      <c r="CA1733" t="str">
        <f>HYPERLINK("https%3A%2F%2Fwww.webofscience.com%2Fwos%2Fwoscc%2Ffull-record%2FWOS:000565950300001","View Full Record in Web of Science")</f>
        <v>View Full Record in Web of Science</v>
      </c>
    </row>
    <row r="1734" spans="1:79" ht="12.5" x14ac:dyDescent="0.25">
      <c r="B1734" t="s">
        <v>8495</v>
      </c>
      <c r="D1734" s="22" t="s">
        <v>32931</v>
      </c>
      <c r="E1734" s="7"/>
      <c r="F1734" s="7"/>
      <c r="G1734" s="7"/>
      <c r="H1734" t="s">
        <v>67</v>
      </c>
      <c r="I1734" t="s">
        <v>10745</v>
      </c>
      <c r="J1734" t="s">
        <v>69</v>
      </c>
      <c r="K1734" t="s">
        <v>69</v>
      </c>
      <c r="L1734" t="s">
        <v>69</v>
      </c>
      <c r="M1734" t="s">
        <v>10746</v>
      </c>
      <c r="N1734" t="s">
        <v>69</v>
      </c>
      <c r="O1734" t="s">
        <v>69</v>
      </c>
      <c r="P1734" t="s">
        <v>10747</v>
      </c>
      <c r="Q1734" t="s">
        <v>10748</v>
      </c>
      <c r="R1734" t="s">
        <v>69</v>
      </c>
      <c r="S1734" t="s">
        <v>69</v>
      </c>
      <c r="T1734" t="s">
        <v>8505</v>
      </c>
      <c r="U1734" t="s">
        <v>8506</v>
      </c>
      <c r="V1734" t="s">
        <v>69</v>
      </c>
      <c r="W1734" t="s">
        <v>69</v>
      </c>
      <c r="X1734" t="s">
        <v>69</v>
      </c>
      <c r="Y1734" t="s">
        <v>69</v>
      </c>
      <c r="Z1734" t="s">
        <v>69</v>
      </c>
      <c r="AA1734" t="s">
        <v>10749</v>
      </c>
      <c r="AB1734" t="s">
        <v>10750</v>
      </c>
      <c r="AC1734" t="s">
        <v>10751</v>
      </c>
      <c r="AD1734" t="s">
        <v>10752</v>
      </c>
      <c r="AE1734" t="s">
        <v>69</v>
      </c>
      <c r="AF1734" t="s">
        <v>10753</v>
      </c>
      <c r="AG1734" t="s">
        <v>10754</v>
      </c>
      <c r="AH1734" t="s">
        <v>69</v>
      </c>
      <c r="AI1734" t="s">
        <v>10755</v>
      </c>
      <c r="AJ1734" t="s">
        <v>10756</v>
      </c>
      <c r="AK1734" t="s">
        <v>10757</v>
      </c>
      <c r="AL1734" t="s">
        <v>10758</v>
      </c>
      <c r="AM1734" t="s">
        <v>69</v>
      </c>
      <c r="AN1734">
        <v>76</v>
      </c>
      <c r="AO1734">
        <v>0</v>
      </c>
      <c r="AP1734">
        <v>0</v>
      </c>
      <c r="AQ1734">
        <v>4</v>
      </c>
      <c r="AR1734">
        <v>4</v>
      </c>
      <c r="AS1734" t="s">
        <v>9203</v>
      </c>
      <c r="AT1734" t="s">
        <v>8763</v>
      </c>
      <c r="AU1734" t="s">
        <v>9204</v>
      </c>
      <c r="AV1734" t="s">
        <v>69</v>
      </c>
      <c r="AW1734" t="s">
        <v>10759</v>
      </c>
      <c r="AX1734" t="s">
        <v>69</v>
      </c>
      <c r="AY1734" t="s">
        <v>10760</v>
      </c>
      <c r="AZ1734" t="s">
        <v>10761</v>
      </c>
      <c r="BA1734" t="s">
        <v>10762</v>
      </c>
      <c r="BB1734">
        <v>2021</v>
      </c>
      <c r="BC1734">
        <v>20</v>
      </c>
      <c r="BD1734">
        <v>1</v>
      </c>
      <c r="BE1734" t="s">
        <v>69</v>
      </c>
      <c r="BF1734" t="s">
        <v>69</v>
      </c>
      <c r="BG1734" t="s">
        <v>69</v>
      </c>
      <c r="BH1734" t="s">
        <v>69</v>
      </c>
      <c r="BI1734" t="s">
        <v>69</v>
      </c>
      <c r="BJ1734" t="s">
        <v>69</v>
      </c>
      <c r="BK1734">
        <v>249</v>
      </c>
      <c r="BL1734" t="s">
        <v>10763</v>
      </c>
      <c r="BM1734" t="str">
        <f>HYPERLINK("http://dx.doi.org/10.1186/s12939-021-01590-4","http://dx.doi.org/10.1186/s12939-021-01590-4")</f>
        <v>http://dx.doi.org/10.1186/s12939-021-01590-4</v>
      </c>
      <c r="BN1734" t="s">
        <v>69</v>
      </c>
      <c r="BO1734" t="s">
        <v>69</v>
      </c>
      <c r="BP1734">
        <v>15</v>
      </c>
      <c r="BQ1734" t="s">
        <v>8810</v>
      </c>
      <c r="BR1734" t="s">
        <v>8661</v>
      </c>
      <c r="BS1734" t="s">
        <v>8810</v>
      </c>
      <c r="BT1734" t="s">
        <v>10764</v>
      </c>
      <c r="BU1734" t="s">
        <v>10766</v>
      </c>
      <c r="BV1734">
        <v>34819080</v>
      </c>
      <c r="BW1734" t="s">
        <v>10765</v>
      </c>
      <c r="BX1734" t="s">
        <v>69</v>
      </c>
      <c r="BY1734" t="s">
        <v>69</v>
      </c>
      <c r="BZ1734" t="s">
        <v>8526</v>
      </c>
      <c r="CA1734" t="str">
        <f>HYPERLINK("https%3A%2F%2Fwww.webofscience.com%2Fwos%2Fwoscc%2Ffull-record%2FWOS:000722207600001","View Full Record in Web of Science")</f>
        <v>View Full Record in Web of Science</v>
      </c>
    </row>
    <row r="1735" spans="1:79" ht="12.5" x14ac:dyDescent="0.25">
      <c r="B1735" t="s">
        <v>8495</v>
      </c>
      <c r="D1735" s="22" t="s">
        <v>32931</v>
      </c>
      <c r="E1735" s="7"/>
      <c r="F1735" s="7"/>
      <c r="G1735" s="7"/>
      <c r="H1735" t="s">
        <v>67</v>
      </c>
      <c r="I1735" t="s">
        <v>24315</v>
      </c>
      <c r="J1735" t="s">
        <v>69</v>
      </c>
      <c r="K1735" t="s">
        <v>69</v>
      </c>
      <c r="L1735" t="s">
        <v>69</v>
      </c>
      <c r="M1735" t="s">
        <v>24316</v>
      </c>
      <c r="N1735" t="s">
        <v>69</v>
      </c>
      <c r="O1735" t="s">
        <v>69</v>
      </c>
      <c r="P1735" t="s">
        <v>24317</v>
      </c>
      <c r="Q1735" t="s">
        <v>24318</v>
      </c>
      <c r="R1735" t="s">
        <v>69</v>
      </c>
      <c r="S1735" t="s">
        <v>69</v>
      </c>
      <c r="T1735" t="s">
        <v>14610</v>
      </c>
      <c r="U1735" t="s">
        <v>8506</v>
      </c>
      <c r="V1735" t="s">
        <v>69</v>
      </c>
      <c r="W1735" t="s">
        <v>69</v>
      </c>
      <c r="X1735" t="s">
        <v>69</v>
      </c>
      <c r="Y1735" t="s">
        <v>69</v>
      </c>
      <c r="Z1735" t="s">
        <v>69</v>
      </c>
      <c r="AA1735" t="s">
        <v>24319</v>
      </c>
      <c r="AB1735" t="s">
        <v>69</v>
      </c>
      <c r="AC1735" t="s">
        <v>24320</v>
      </c>
      <c r="AD1735" t="s">
        <v>24321</v>
      </c>
      <c r="AE1735" t="s">
        <v>69</v>
      </c>
      <c r="AF1735" t="s">
        <v>24322</v>
      </c>
      <c r="AG1735" t="s">
        <v>24323</v>
      </c>
      <c r="AH1735" t="s">
        <v>69</v>
      </c>
      <c r="AI1735" t="s">
        <v>69</v>
      </c>
      <c r="AJ1735" t="s">
        <v>69</v>
      </c>
      <c r="AK1735" t="s">
        <v>69</v>
      </c>
      <c r="AL1735" t="s">
        <v>69</v>
      </c>
      <c r="AM1735" t="s">
        <v>69</v>
      </c>
      <c r="AN1735">
        <v>11</v>
      </c>
      <c r="AO1735">
        <v>0</v>
      </c>
      <c r="AP1735">
        <v>0</v>
      </c>
      <c r="AQ1735">
        <v>0</v>
      </c>
      <c r="AR1735">
        <v>1</v>
      </c>
      <c r="AS1735" t="s">
        <v>24324</v>
      </c>
      <c r="AT1735" t="s">
        <v>14616</v>
      </c>
      <c r="AU1735" t="s">
        <v>24325</v>
      </c>
      <c r="AV1735" t="s">
        <v>24326</v>
      </c>
      <c r="AW1735" t="s">
        <v>24327</v>
      </c>
      <c r="AX1735" t="s">
        <v>69</v>
      </c>
      <c r="AY1735" t="s">
        <v>24328</v>
      </c>
      <c r="AZ1735" t="s">
        <v>24329</v>
      </c>
      <c r="BA1735" t="s">
        <v>69</v>
      </c>
      <c r="BB1735">
        <v>2014</v>
      </c>
      <c r="BC1735">
        <v>28</v>
      </c>
      <c r="BD1735" t="s">
        <v>69</v>
      </c>
      <c r="BE1735" t="s">
        <v>69</v>
      </c>
      <c r="BF1735" t="s">
        <v>69</v>
      </c>
      <c r="BG1735" t="s">
        <v>69</v>
      </c>
      <c r="BH1735" t="s">
        <v>69</v>
      </c>
      <c r="BI1735">
        <v>104</v>
      </c>
      <c r="BJ1735">
        <v>114</v>
      </c>
      <c r="BK1735" t="s">
        <v>69</v>
      </c>
      <c r="BL1735" t="s">
        <v>69</v>
      </c>
      <c r="BM1735" t="s">
        <v>69</v>
      </c>
      <c r="BN1735" t="s">
        <v>69</v>
      </c>
      <c r="BO1735" t="s">
        <v>69</v>
      </c>
      <c r="BP1735">
        <v>11</v>
      </c>
      <c r="BQ1735" t="s">
        <v>8446</v>
      </c>
      <c r="BR1735" t="s">
        <v>8573</v>
      </c>
      <c r="BS1735" t="s">
        <v>8446</v>
      </c>
      <c r="BT1735" t="s">
        <v>24330</v>
      </c>
      <c r="BU1735" t="s">
        <v>24331</v>
      </c>
      <c r="BV1735" t="s">
        <v>69</v>
      </c>
      <c r="BW1735" t="s">
        <v>69</v>
      </c>
      <c r="BX1735" t="s">
        <v>69</v>
      </c>
      <c r="BY1735" t="s">
        <v>69</v>
      </c>
      <c r="BZ1735" t="s">
        <v>8526</v>
      </c>
      <c r="CA1735" t="str">
        <f>HYPERLINK("https%3A%2F%2Fwww.webofscience.com%2Fwos%2Fwoscc%2Ffull-record%2FWOS:000448662300007","View Full Record in Web of Science")</f>
        <v>View Full Record in Web of Science</v>
      </c>
    </row>
    <row r="1736" spans="1:79" ht="12.5" x14ac:dyDescent="0.25">
      <c r="B1736" t="s">
        <v>8495</v>
      </c>
      <c r="D1736" s="22" t="s">
        <v>32931</v>
      </c>
      <c r="E1736" s="7"/>
      <c r="F1736" s="7"/>
      <c r="G1736" s="7"/>
      <c r="H1736" t="s">
        <v>67</v>
      </c>
      <c r="I1736" t="s">
        <v>23446</v>
      </c>
      <c r="J1736" t="s">
        <v>69</v>
      </c>
      <c r="K1736" t="s">
        <v>69</v>
      </c>
      <c r="L1736" t="s">
        <v>69</v>
      </c>
      <c r="M1736" t="s">
        <v>23447</v>
      </c>
      <c r="N1736" t="s">
        <v>69</v>
      </c>
      <c r="O1736" t="s">
        <v>69</v>
      </c>
      <c r="P1736" t="s">
        <v>23448</v>
      </c>
      <c r="Q1736" t="s">
        <v>23449</v>
      </c>
      <c r="R1736" t="s">
        <v>69</v>
      </c>
      <c r="S1736" t="s">
        <v>69</v>
      </c>
      <c r="T1736" t="s">
        <v>14610</v>
      </c>
      <c r="U1736" t="s">
        <v>8506</v>
      </c>
      <c r="V1736" t="s">
        <v>69</v>
      </c>
      <c r="W1736" t="s">
        <v>69</v>
      </c>
      <c r="X1736" t="s">
        <v>69</v>
      </c>
      <c r="Y1736" t="s">
        <v>69</v>
      </c>
      <c r="Z1736" t="s">
        <v>69</v>
      </c>
      <c r="AA1736" t="s">
        <v>23450</v>
      </c>
      <c r="AB1736" t="s">
        <v>23451</v>
      </c>
      <c r="AC1736" t="s">
        <v>23452</v>
      </c>
      <c r="AD1736" t="s">
        <v>23453</v>
      </c>
      <c r="AE1736" t="s">
        <v>69</v>
      </c>
      <c r="AF1736" t="s">
        <v>23454</v>
      </c>
      <c r="AG1736" t="s">
        <v>23455</v>
      </c>
      <c r="AH1736" t="s">
        <v>23456</v>
      </c>
      <c r="AI1736" t="s">
        <v>23457</v>
      </c>
      <c r="AJ1736" t="s">
        <v>69</v>
      </c>
      <c r="AK1736" t="s">
        <v>69</v>
      </c>
      <c r="AL1736" t="s">
        <v>69</v>
      </c>
      <c r="AM1736" t="s">
        <v>69</v>
      </c>
      <c r="AN1736">
        <v>26</v>
      </c>
      <c r="AO1736">
        <v>5</v>
      </c>
      <c r="AP1736">
        <v>7</v>
      </c>
      <c r="AQ1736">
        <v>3</v>
      </c>
      <c r="AR1736">
        <v>16</v>
      </c>
      <c r="AS1736" t="s">
        <v>23458</v>
      </c>
      <c r="AT1736" t="s">
        <v>23459</v>
      </c>
      <c r="AU1736" t="s">
        <v>23460</v>
      </c>
      <c r="AV1736" t="s">
        <v>23461</v>
      </c>
      <c r="AW1736" t="s">
        <v>23462</v>
      </c>
      <c r="AX1736" t="s">
        <v>69</v>
      </c>
      <c r="AY1736" t="s">
        <v>23463</v>
      </c>
      <c r="AZ1736" t="s">
        <v>23464</v>
      </c>
      <c r="BA1736" t="s">
        <v>23465</v>
      </c>
      <c r="BB1736">
        <v>2014</v>
      </c>
      <c r="BC1736">
        <v>68</v>
      </c>
      <c r="BD1736" t="s">
        <v>69</v>
      </c>
      <c r="BE1736" t="s">
        <v>69</v>
      </c>
      <c r="BF1736" t="s">
        <v>69</v>
      </c>
      <c r="BG1736" t="s">
        <v>69</v>
      </c>
      <c r="BH1736" t="s">
        <v>69</v>
      </c>
      <c r="BI1736">
        <v>1251</v>
      </c>
      <c r="BJ1736">
        <v>1256</v>
      </c>
      <c r="BK1736" t="s">
        <v>69</v>
      </c>
      <c r="BL1736" t="s">
        <v>69</v>
      </c>
      <c r="BM1736" t="s">
        <v>69</v>
      </c>
      <c r="BN1736" t="s">
        <v>69</v>
      </c>
      <c r="BO1736" t="s">
        <v>69</v>
      </c>
      <c r="BP1736">
        <v>6</v>
      </c>
      <c r="BQ1736" t="s">
        <v>20354</v>
      </c>
      <c r="BR1736" t="s">
        <v>8548</v>
      </c>
      <c r="BS1736" t="s">
        <v>20355</v>
      </c>
      <c r="BT1736" t="s">
        <v>23466</v>
      </c>
      <c r="BU1736" t="s">
        <v>23467</v>
      </c>
      <c r="BV1736">
        <v>25380207</v>
      </c>
      <c r="BW1736" t="s">
        <v>12220</v>
      </c>
      <c r="BX1736" t="s">
        <v>69</v>
      </c>
      <c r="BY1736" t="s">
        <v>69</v>
      </c>
      <c r="BZ1736" t="s">
        <v>8526</v>
      </c>
      <c r="CA1736" t="str">
        <f>HYPERLINK("https%3A%2F%2Fwww.webofscience.com%2Fwos%2Fwoscc%2Ffull-record%2FWOS:000350425700002","View Full Record in Web of Science")</f>
        <v>View Full Record in Web of Science</v>
      </c>
    </row>
    <row r="1737" spans="1:79" x14ac:dyDescent="0.3">
      <c r="B1737" t="s">
        <v>8495</v>
      </c>
      <c r="D1737" s="9" t="s">
        <v>32954</v>
      </c>
      <c r="E1737" s="9" t="s">
        <v>33131</v>
      </c>
      <c r="F1737" s="9" t="s">
        <v>8491</v>
      </c>
      <c r="G1737" s="9" t="s">
        <v>8490</v>
      </c>
      <c r="H1737" t="s">
        <v>67</v>
      </c>
      <c r="I1737" t="s">
        <v>26258</v>
      </c>
      <c r="J1737" t="s">
        <v>69</v>
      </c>
      <c r="K1737" t="s">
        <v>69</v>
      </c>
      <c r="L1737" t="s">
        <v>69</v>
      </c>
      <c r="M1737" t="s">
        <v>26259</v>
      </c>
      <c r="N1737" t="s">
        <v>69</v>
      </c>
      <c r="O1737" t="s">
        <v>69</v>
      </c>
      <c r="P1737" t="s">
        <v>26260</v>
      </c>
      <c r="Q1737" t="s">
        <v>26261</v>
      </c>
      <c r="R1737" t="s">
        <v>69</v>
      </c>
      <c r="S1737" t="s">
        <v>69</v>
      </c>
      <c r="T1737" t="s">
        <v>8505</v>
      </c>
      <c r="U1737" t="s">
        <v>8506</v>
      </c>
      <c r="V1737" t="s">
        <v>69</v>
      </c>
      <c r="W1737" t="s">
        <v>69</v>
      </c>
      <c r="X1737" t="s">
        <v>69</v>
      </c>
      <c r="Y1737" t="s">
        <v>69</v>
      </c>
      <c r="Z1737" t="s">
        <v>69</v>
      </c>
      <c r="AA1737" t="s">
        <v>26262</v>
      </c>
      <c r="AB1737" t="s">
        <v>26263</v>
      </c>
      <c r="AC1737" t="s">
        <v>26264</v>
      </c>
      <c r="AD1737" t="s">
        <v>26265</v>
      </c>
      <c r="AE1737" t="s">
        <v>69</v>
      </c>
      <c r="AF1737" t="s">
        <v>26266</v>
      </c>
      <c r="AG1737" t="s">
        <v>26267</v>
      </c>
      <c r="AH1737" t="s">
        <v>26268</v>
      </c>
      <c r="AI1737" t="s">
        <v>26269</v>
      </c>
      <c r="AJ1737" t="s">
        <v>69</v>
      </c>
      <c r="AK1737" t="s">
        <v>69</v>
      </c>
      <c r="AL1737" t="s">
        <v>69</v>
      </c>
      <c r="AM1737" t="s">
        <v>69</v>
      </c>
      <c r="AN1737">
        <v>71</v>
      </c>
      <c r="AO1737">
        <v>10</v>
      </c>
      <c r="AP1737">
        <v>10</v>
      </c>
      <c r="AQ1737">
        <v>0</v>
      </c>
      <c r="AR1737">
        <v>35</v>
      </c>
      <c r="AS1737" t="s">
        <v>8865</v>
      </c>
      <c r="AT1737" t="s">
        <v>8612</v>
      </c>
      <c r="AU1737" t="s">
        <v>8866</v>
      </c>
      <c r="AV1737" t="s">
        <v>26270</v>
      </c>
      <c r="AW1737" t="s">
        <v>26271</v>
      </c>
      <c r="AX1737" t="s">
        <v>69</v>
      </c>
      <c r="AY1737" t="s">
        <v>26272</v>
      </c>
      <c r="AZ1737" t="s">
        <v>26273</v>
      </c>
      <c r="BA1737" t="s">
        <v>69</v>
      </c>
      <c r="BB1737">
        <v>2012</v>
      </c>
      <c r="BC1737">
        <v>37</v>
      </c>
      <c r="BD1737">
        <v>6</v>
      </c>
      <c r="BE1737" t="s">
        <v>69</v>
      </c>
      <c r="BF1737" t="s">
        <v>69</v>
      </c>
      <c r="BG1737" t="s">
        <v>69</v>
      </c>
      <c r="BH1737" t="s">
        <v>69</v>
      </c>
      <c r="BI1737">
        <v>673</v>
      </c>
      <c r="BJ1737">
        <v>702</v>
      </c>
      <c r="BK1737" t="s">
        <v>69</v>
      </c>
      <c r="BL1737" t="s">
        <v>26274</v>
      </c>
      <c r="BM1737" t="str">
        <f>HYPERLINK("http://dx.doi.org/10.1080/01426397.2012.706031","http://dx.doi.org/10.1080/01426397.2012.706031")</f>
        <v>http://dx.doi.org/10.1080/01426397.2012.706031</v>
      </c>
      <c r="BN1737" t="s">
        <v>69</v>
      </c>
      <c r="BO1737" t="s">
        <v>69</v>
      </c>
      <c r="BP1737">
        <v>30</v>
      </c>
      <c r="BQ1737" t="s">
        <v>15669</v>
      </c>
      <c r="BR1737" t="s">
        <v>8661</v>
      </c>
      <c r="BS1737" t="s">
        <v>15670</v>
      </c>
      <c r="BT1737" t="s">
        <v>26275</v>
      </c>
      <c r="BU1737" t="s">
        <v>26276</v>
      </c>
      <c r="BV1737" t="s">
        <v>69</v>
      </c>
      <c r="BW1737" t="s">
        <v>69</v>
      </c>
      <c r="BX1737" t="s">
        <v>69</v>
      </c>
      <c r="BY1737" t="s">
        <v>69</v>
      </c>
      <c r="BZ1737" t="s">
        <v>8526</v>
      </c>
      <c r="CA1737" t="str">
        <f>HYPERLINK("https%3A%2F%2Fwww.webofscience.com%2Fwos%2Fwoscc%2Ffull-record%2FWOS:000312342600004","View Full Record in Web of Science")</f>
        <v>View Full Record in Web of Science</v>
      </c>
    </row>
    <row r="1738" spans="1:79" ht="12.5" x14ac:dyDescent="0.25">
      <c r="B1738" t="s">
        <v>8495</v>
      </c>
      <c r="D1738" s="22" t="s">
        <v>32931</v>
      </c>
      <c r="E1738" s="7"/>
      <c r="F1738" s="7"/>
      <c r="G1738" s="7"/>
      <c r="H1738" t="s">
        <v>67</v>
      </c>
      <c r="I1738" t="s">
        <v>24121</v>
      </c>
      <c r="J1738" t="s">
        <v>69</v>
      </c>
      <c r="K1738" t="s">
        <v>69</v>
      </c>
      <c r="L1738" t="s">
        <v>69</v>
      </c>
      <c r="M1738" t="s">
        <v>24122</v>
      </c>
      <c r="N1738" t="s">
        <v>69</v>
      </c>
      <c r="O1738" t="s">
        <v>69</v>
      </c>
      <c r="P1738" t="s">
        <v>24123</v>
      </c>
      <c r="Q1738" t="s">
        <v>24124</v>
      </c>
      <c r="R1738" t="s">
        <v>69</v>
      </c>
      <c r="S1738" t="s">
        <v>69</v>
      </c>
      <c r="T1738" t="s">
        <v>8505</v>
      </c>
      <c r="U1738" t="s">
        <v>8506</v>
      </c>
      <c r="V1738" t="s">
        <v>69</v>
      </c>
      <c r="W1738" t="s">
        <v>69</v>
      </c>
      <c r="X1738" t="s">
        <v>69</v>
      </c>
      <c r="Y1738" t="s">
        <v>69</v>
      </c>
      <c r="Z1738" t="s">
        <v>69</v>
      </c>
      <c r="AA1738" t="s">
        <v>24125</v>
      </c>
      <c r="AB1738" t="s">
        <v>69</v>
      </c>
      <c r="AC1738" t="s">
        <v>24126</v>
      </c>
      <c r="AD1738" t="s">
        <v>24127</v>
      </c>
      <c r="AE1738" t="s">
        <v>69</v>
      </c>
      <c r="AF1738" t="s">
        <v>24128</v>
      </c>
      <c r="AG1738" t="s">
        <v>24129</v>
      </c>
      <c r="AH1738" t="s">
        <v>69</v>
      </c>
      <c r="AI1738" t="s">
        <v>69</v>
      </c>
      <c r="AJ1738" t="s">
        <v>69</v>
      </c>
      <c r="AK1738" t="s">
        <v>69</v>
      </c>
      <c r="AL1738" t="s">
        <v>69</v>
      </c>
      <c r="AM1738" t="s">
        <v>69</v>
      </c>
      <c r="AN1738">
        <v>14</v>
      </c>
      <c r="AO1738">
        <v>1</v>
      </c>
      <c r="AP1738">
        <v>1</v>
      </c>
      <c r="AQ1738">
        <v>0</v>
      </c>
      <c r="AR1738">
        <v>1</v>
      </c>
      <c r="AS1738" t="s">
        <v>24130</v>
      </c>
      <c r="AT1738" t="s">
        <v>24131</v>
      </c>
      <c r="AU1738" t="s">
        <v>24132</v>
      </c>
      <c r="AV1738" t="s">
        <v>24133</v>
      </c>
      <c r="AW1738" t="s">
        <v>69</v>
      </c>
      <c r="AX1738" t="s">
        <v>69</v>
      </c>
      <c r="AY1738" t="s">
        <v>24134</v>
      </c>
      <c r="AZ1738" t="s">
        <v>24135</v>
      </c>
      <c r="BA1738" t="s">
        <v>69</v>
      </c>
      <c r="BB1738">
        <v>2014</v>
      </c>
      <c r="BC1738">
        <v>6</v>
      </c>
      <c r="BD1738">
        <v>1</v>
      </c>
      <c r="BE1738" t="s">
        <v>69</v>
      </c>
      <c r="BF1738" t="s">
        <v>69</v>
      </c>
      <c r="BG1738" t="s">
        <v>69</v>
      </c>
      <c r="BH1738" t="s">
        <v>69</v>
      </c>
      <c r="BI1738">
        <v>65</v>
      </c>
      <c r="BJ1738">
        <v>78</v>
      </c>
      <c r="BK1738" t="s">
        <v>69</v>
      </c>
      <c r="BL1738" t="s">
        <v>69</v>
      </c>
      <c r="BM1738" t="s">
        <v>69</v>
      </c>
      <c r="BN1738" t="s">
        <v>69</v>
      </c>
      <c r="BO1738" t="s">
        <v>69</v>
      </c>
      <c r="BP1738">
        <v>14</v>
      </c>
      <c r="BQ1738" t="s">
        <v>10278</v>
      </c>
      <c r="BR1738" t="s">
        <v>8573</v>
      </c>
      <c r="BS1738" t="s">
        <v>10279</v>
      </c>
      <c r="BT1738" t="s">
        <v>24136</v>
      </c>
      <c r="BU1738" t="s">
        <v>24137</v>
      </c>
      <c r="BV1738" t="s">
        <v>69</v>
      </c>
      <c r="BW1738" t="s">
        <v>69</v>
      </c>
      <c r="BX1738" t="s">
        <v>69</v>
      </c>
      <c r="BY1738" t="s">
        <v>69</v>
      </c>
      <c r="BZ1738" t="s">
        <v>8526</v>
      </c>
      <c r="CA1738" t="str">
        <f>HYPERLINK("https%3A%2F%2Fwww.webofscience.com%2Fwos%2Fwoscc%2Ffull-record%2FWOS:000219223000005","View Full Record in Web of Science")</f>
        <v>View Full Record in Web of Science</v>
      </c>
    </row>
    <row r="1739" spans="1:79" ht="12.5" x14ac:dyDescent="0.25">
      <c r="B1739" t="s">
        <v>8495</v>
      </c>
      <c r="D1739" s="22" t="s">
        <v>32931</v>
      </c>
      <c r="E1739" s="7"/>
      <c r="F1739" s="7"/>
      <c r="G1739" s="7"/>
      <c r="H1739" t="s">
        <v>67</v>
      </c>
      <c r="I1739" t="s">
        <v>10956</v>
      </c>
      <c r="J1739" t="s">
        <v>69</v>
      </c>
      <c r="K1739" t="s">
        <v>69</v>
      </c>
      <c r="L1739" t="s">
        <v>69</v>
      </c>
      <c r="M1739" t="s">
        <v>10957</v>
      </c>
      <c r="N1739" t="s">
        <v>69</v>
      </c>
      <c r="O1739" t="s">
        <v>69</v>
      </c>
      <c r="P1739" t="s">
        <v>10958</v>
      </c>
      <c r="Q1739" t="s">
        <v>10959</v>
      </c>
      <c r="R1739" t="s">
        <v>69</v>
      </c>
      <c r="S1739" t="s">
        <v>69</v>
      </c>
      <c r="T1739" t="s">
        <v>8505</v>
      </c>
      <c r="U1739" t="s">
        <v>8506</v>
      </c>
      <c r="V1739" t="s">
        <v>69</v>
      </c>
      <c r="W1739" t="s">
        <v>69</v>
      </c>
      <c r="X1739" t="s">
        <v>69</v>
      </c>
      <c r="Y1739" t="s">
        <v>69</v>
      </c>
      <c r="Z1739" t="s">
        <v>69</v>
      </c>
      <c r="AA1739" t="s">
        <v>10960</v>
      </c>
      <c r="AB1739" t="s">
        <v>10961</v>
      </c>
      <c r="AC1739" t="s">
        <v>10962</v>
      </c>
      <c r="AD1739" t="s">
        <v>10963</v>
      </c>
      <c r="AE1739" t="s">
        <v>69</v>
      </c>
      <c r="AF1739" t="s">
        <v>10964</v>
      </c>
      <c r="AG1739" t="s">
        <v>69</v>
      </c>
      <c r="AH1739" t="s">
        <v>10965</v>
      </c>
      <c r="AI1739" t="s">
        <v>10966</v>
      </c>
      <c r="AJ1739" t="s">
        <v>69</v>
      </c>
      <c r="AK1739" t="s">
        <v>69</v>
      </c>
      <c r="AL1739" t="s">
        <v>69</v>
      </c>
      <c r="AM1739" t="s">
        <v>69</v>
      </c>
      <c r="AN1739">
        <v>30</v>
      </c>
      <c r="AO1739">
        <v>5</v>
      </c>
      <c r="AP1739">
        <v>5</v>
      </c>
      <c r="AQ1739">
        <v>2</v>
      </c>
      <c r="AR1739">
        <v>4</v>
      </c>
      <c r="AS1739" t="s">
        <v>10967</v>
      </c>
      <c r="AT1739" t="s">
        <v>10968</v>
      </c>
      <c r="AU1739" t="s">
        <v>10969</v>
      </c>
      <c r="AV1739" t="s">
        <v>10970</v>
      </c>
      <c r="AW1739" t="s">
        <v>69</v>
      </c>
      <c r="AX1739" t="s">
        <v>69</v>
      </c>
      <c r="AY1739" t="s">
        <v>10971</v>
      </c>
      <c r="AZ1739" t="s">
        <v>10972</v>
      </c>
      <c r="BA1739" t="s">
        <v>10973</v>
      </c>
      <c r="BB1739">
        <v>2021</v>
      </c>
      <c r="BC1739">
        <v>21</v>
      </c>
      <c r="BD1739">
        <v>10</v>
      </c>
      <c r="BE1739" t="s">
        <v>69</v>
      </c>
      <c r="BF1739" t="s">
        <v>69</v>
      </c>
      <c r="BG1739" t="s">
        <v>69</v>
      </c>
      <c r="BH1739" t="s">
        <v>69</v>
      </c>
      <c r="BI1739">
        <v>317</v>
      </c>
      <c r="BJ1739">
        <v>323</v>
      </c>
      <c r="BK1739" t="s">
        <v>69</v>
      </c>
      <c r="BL1739" t="s">
        <v>10974</v>
      </c>
      <c r="BM1739" t="str">
        <f>HYPERLINK("http://dx.doi.org/10.22937/IJCSNS.2021.21.10.45","http://dx.doi.org/10.22937/IJCSNS.2021.21.10.45")</f>
        <v>http://dx.doi.org/10.22937/IJCSNS.2021.21.10.45</v>
      </c>
      <c r="BN1739" t="s">
        <v>69</v>
      </c>
      <c r="BO1739" t="s">
        <v>69</v>
      </c>
      <c r="BP1739">
        <v>7</v>
      </c>
      <c r="BQ1739" t="s">
        <v>10975</v>
      </c>
      <c r="BR1739" t="s">
        <v>8573</v>
      </c>
      <c r="BS1739" t="s">
        <v>10976</v>
      </c>
      <c r="BT1739" t="s">
        <v>10977</v>
      </c>
      <c r="BU1739" t="s">
        <v>10978</v>
      </c>
      <c r="BV1739" t="s">
        <v>69</v>
      </c>
      <c r="BW1739" t="s">
        <v>69</v>
      </c>
      <c r="BX1739" t="s">
        <v>69</v>
      </c>
      <c r="BY1739" t="s">
        <v>69</v>
      </c>
      <c r="BZ1739" t="s">
        <v>8526</v>
      </c>
      <c r="CA1739" t="str">
        <f>HYPERLINK("https%3A%2F%2Fwww.webofscience.com%2Fwos%2Fwoscc%2Ffull-record%2FWOS:000719577300045","View Full Record in Web of Science")</f>
        <v>View Full Record in Web of Science</v>
      </c>
    </row>
    <row r="1740" spans="1:79" ht="12.5" x14ac:dyDescent="0.25">
      <c r="B1740" t="s">
        <v>8495</v>
      </c>
      <c r="D1740" s="22" t="s">
        <v>32931</v>
      </c>
      <c r="E1740" s="7"/>
      <c r="F1740" s="7"/>
      <c r="G1740" s="7"/>
      <c r="H1740" t="s">
        <v>67</v>
      </c>
      <c r="I1740" t="s">
        <v>23016</v>
      </c>
      <c r="J1740" t="s">
        <v>69</v>
      </c>
      <c r="K1740" t="s">
        <v>69</v>
      </c>
      <c r="L1740" t="s">
        <v>69</v>
      </c>
      <c r="M1740" t="s">
        <v>23017</v>
      </c>
      <c r="N1740" t="s">
        <v>69</v>
      </c>
      <c r="O1740" t="s">
        <v>69</v>
      </c>
      <c r="P1740" t="s">
        <v>23018</v>
      </c>
      <c r="Q1740" t="s">
        <v>23019</v>
      </c>
      <c r="R1740" t="s">
        <v>69</v>
      </c>
      <c r="S1740" t="s">
        <v>69</v>
      </c>
      <c r="T1740" t="s">
        <v>8505</v>
      </c>
      <c r="U1740" t="s">
        <v>8506</v>
      </c>
      <c r="V1740" t="s">
        <v>69</v>
      </c>
      <c r="W1740" t="s">
        <v>69</v>
      </c>
      <c r="X1740" t="s">
        <v>69</v>
      </c>
      <c r="Y1740" t="s">
        <v>69</v>
      </c>
      <c r="Z1740" t="s">
        <v>69</v>
      </c>
      <c r="AA1740" t="s">
        <v>23020</v>
      </c>
      <c r="AB1740" t="s">
        <v>23021</v>
      </c>
      <c r="AC1740" t="s">
        <v>23022</v>
      </c>
      <c r="AD1740" t="s">
        <v>23023</v>
      </c>
      <c r="AE1740" t="s">
        <v>69</v>
      </c>
      <c r="AF1740" t="s">
        <v>23024</v>
      </c>
      <c r="AG1740" t="s">
        <v>23025</v>
      </c>
      <c r="AH1740" t="s">
        <v>69</v>
      </c>
      <c r="AI1740" t="s">
        <v>69</v>
      </c>
      <c r="AJ1740" t="s">
        <v>69</v>
      </c>
      <c r="AK1740" t="s">
        <v>69</v>
      </c>
      <c r="AL1740" t="s">
        <v>69</v>
      </c>
      <c r="AM1740" t="s">
        <v>69</v>
      </c>
      <c r="AN1740">
        <v>58</v>
      </c>
      <c r="AO1740">
        <v>3</v>
      </c>
      <c r="AP1740">
        <v>3</v>
      </c>
      <c r="AQ1740">
        <v>1</v>
      </c>
      <c r="AR1740">
        <v>20</v>
      </c>
      <c r="AS1740" t="s">
        <v>9554</v>
      </c>
      <c r="AT1740" t="s">
        <v>9555</v>
      </c>
      <c r="AU1740" t="s">
        <v>9556</v>
      </c>
      <c r="AV1740" t="s">
        <v>23026</v>
      </c>
      <c r="AW1740" t="s">
        <v>23027</v>
      </c>
      <c r="AX1740" t="s">
        <v>69</v>
      </c>
      <c r="AY1740" t="s">
        <v>23028</v>
      </c>
      <c r="AZ1740" t="s">
        <v>23029</v>
      </c>
      <c r="BA1740" t="s">
        <v>69</v>
      </c>
      <c r="BB1740">
        <v>2015</v>
      </c>
      <c r="BC1740">
        <v>44</v>
      </c>
      <c r="BD1740">
        <v>2</v>
      </c>
      <c r="BE1740" t="s">
        <v>69</v>
      </c>
      <c r="BF1740" t="s">
        <v>69</v>
      </c>
      <c r="BG1740" t="s">
        <v>69</v>
      </c>
      <c r="BH1740" t="s">
        <v>69</v>
      </c>
      <c r="BI1740">
        <v>20</v>
      </c>
      <c r="BJ1740">
        <v>32</v>
      </c>
      <c r="BK1740" t="s">
        <v>69</v>
      </c>
      <c r="BL1740" t="s">
        <v>23030</v>
      </c>
      <c r="BM1740" t="str">
        <f>HYPERLINK("http://dx.doi.org/10.1177/183335831504400203","http://dx.doi.org/10.1177/183335831504400203")</f>
        <v>http://dx.doi.org/10.1177/183335831504400203</v>
      </c>
      <c r="BN1740" t="s">
        <v>69</v>
      </c>
      <c r="BO1740" t="s">
        <v>69</v>
      </c>
      <c r="BP1740">
        <v>13</v>
      </c>
      <c r="BQ1740" t="s">
        <v>23031</v>
      </c>
      <c r="BR1740" t="s">
        <v>8523</v>
      </c>
      <c r="BS1740" t="s">
        <v>10525</v>
      </c>
      <c r="BT1740" t="s">
        <v>23032</v>
      </c>
      <c r="BU1740" t="s">
        <v>23033</v>
      </c>
      <c r="BV1740">
        <v>26157083</v>
      </c>
      <c r="BW1740" t="s">
        <v>69</v>
      </c>
      <c r="BX1740" t="s">
        <v>69</v>
      </c>
      <c r="BY1740" t="s">
        <v>69</v>
      </c>
      <c r="BZ1740" t="s">
        <v>8526</v>
      </c>
      <c r="CA1740" t="str">
        <f>HYPERLINK("https%3A%2F%2Fwww.webofscience.com%2Fwos%2Fwoscc%2Ffull-record%2FWOS:000363182000003","View Full Record in Web of Science")</f>
        <v>View Full Record in Web of Science</v>
      </c>
    </row>
    <row r="1741" spans="1:79" ht="12.5" x14ac:dyDescent="0.25">
      <c r="B1741" t="s">
        <v>8495</v>
      </c>
      <c r="D1741" s="7" t="s">
        <v>32933</v>
      </c>
      <c r="E1741" s="7"/>
      <c r="F1741" s="7"/>
      <c r="G1741" s="7"/>
      <c r="H1741" t="s">
        <v>67</v>
      </c>
      <c r="I1741" t="s">
        <v>1821</v>
      </c>
      <c r="J1741" t="s">
        <v>69</v>
      </c>
      <c r="K1741" t="s">
        <v>69</v>
      </c>
      <c r="L1741" t="s">
        <v>69</v>
      </c>
      <c r="M1741" t="s">
        <v>1821</v>
      </c>
      <c r="N1741" t="s">
        <v>69</v>
      </c>
      <c r="O1741" t="s">
        <v>69</v>
      </c>
      <c r="P1741" t="s">
        <v>1822</v>
      </c>
      <c r="Q1741" t="s">
        <v>1823</v>
      </c>
      <c r="R1741" t="s">
        <v>69</v>
      </c>
      <c r="S1741" t="s">
        <v>69</v>
      </c>
      <c r="T1741" t="s">
        <v>8505</v>
      </c>
      <c r="U1741" t="s">
        <v>8506</v>
      </c>
      <c r="V1741" t="s">
        <v>69</v>
      </c>
      <c r="W1741" t="s">
        <v>69</v>
      </c>
      <c r="X1741" t="s">
        <v>69</v>
      </c>
      <c r="Y1741" t="s">
        <v>69</v>
      </c>
      <c r="Z1741" t="s">
        <v>69</v>
      </c>
      <c r="AA1741" t="s">
        <v>69</v>
      </c>
      <c r="AB1741" t="s">
        <v>69</v>
      </c>
      <c r="AC1741" t="s">
        <v>1824</v>
      </c>
      <c r="AD1741" t="s">
        <v>69</v>
      </c>
      <c r="AE1741" t="s">
        <v>69</v>
      </c>
      <c r="AF1741" t="s">
        <v>32898</v>
      </c>
      <c r="AG1741" t="s">
        <v>69</v>
      </c>
      <c r="AH1741" t="s">
        <v>69</v>
      </c>
      <c r="AI1741" t="s">
        <v>69</v>
      </c>
      <c r="AJ1741" t="s">
        <v>69</v>
      </c>
      <c r="AK1741" t="s">
        <v>69</v>
      </c>
      <c r="AL1741" t="s">
        <v>69</v>
      </c>
      <c r="AM1741" t="s">
        <v>69</v>
      </c>
      <c r="AN1741">
        <v>0</v>
      </c>
      <c r="AO1741">
        <v>1</v>
      </c>
      <c r="AP1741">
        <v>1</v>
      </c>
      <c r="AQ1741">
        <v>0</v>
      </c>
      <c r="AR1741">
        <v>5</v>
      </c>
      <c r="AS1741" t="s">
        <v>28353</v>
      </c>
      <c r="AT1741" t="s">
        <v>31922</v>
      </c>
      <c r="AU1741" t="s">
        <v>32438</v>
      </c>
      <c r="AV1741" t="s">
        <v>1825</v>
      </c>
      <c r="AW1741" t="s">
        <v>69</v>
      </c>
      <c r="AX1741" t="s">
        <v>69</v>
      </c>
      <c r="AY1741" t="s">
        <v>30296</v>
      </c>
      <c r="AZ1741" t="s">
        <v>30297</v>
      </c>
      <c r="BA1741" t="s">
        <v>1226</v>
      </c>
      <c r="BB1741">
        <v>1991</v>
      </c>
      <c r="BC1741">
        <v>11</v>
      </c>
      <c r="BD1741">
        <v>4</v>
      </c>
      <c r="BE1741" t="s">
        <v>69</v>
      </c>
      <c r="BF1741" t="s">
        <v>69</v>
      </c>
      <c r="BG1741" t="s">
        <v>69</v>
      </c>
      <c r="BH1741" t="s">
        <v>69</v>
      </c>
      <c r="BI1741">
        <v>381</v>
      </c>
      <c r="BJ1741">
        <v>399</v>
      </c>
      <c r="BK1741" t="s">
        <v>69</v>
      </c>
      <c r="BL1741" t="s">
        <v>1826</v>
      </c>
      <c r="BM1741" t="str">
        <f>HYPERLINK("http://dx.doi.org/10.1002/pad.4230110407","http://dx.doi.org/10.1002/pad.4230110407")</f>
        <v>http://dx.doi.org/10.1002/pad.4230110407</v>
      </c>
      <c r="BN1741" t="s">
        <v>69</v>
      </c>
      <c r="BO1741" t="s">
        <v>69</v>
      </c>
      <c r="BP1741">
        <v>19</v>
      </c>
      <c r="BQ1741" t="s">
        <v>14687</v>
      </c>
      <c r="BR1741" t="s">
        <v>8661</v>
      </c>
      <c r="BS1741" t="s">
        <v>14687</v>
      </c>
      <c r="BT1741" t="s">
        <v>32899</v>
      </c>
      <c r="BU1741" t="s">
        <v>1827</v>
      </c>
      <c r="BV1741" t="s">
        <v>69</v>
      </c>
      <c r="BW1741" t="s">
        <v>69</v>
      </c>
      <c r="BX1741" t="s">
        <v>69</v>
      </c>
      <c r="BY1741" t="s">
        <v>69</v>
      </c>
      <c r="BZ1741" t="s">
        <v>8526</v>
      </c>
      <c r="CA1741" t="str">
        <f>HYPERLINK("https%3A%2F%2Fwww.webofscience.com%2Fwos%2Fwoscc%2Ffull-record%2FWOS:A1991GB61500006","View Full Record in Web of Science")</f>
        <v>View Full Record in Web of Science</v>
      </c>
    </row>
    <row r="1742" spans="1:79" ht="12.5" x14ac:dyDescent="0.25">
      <c r="B1742" t="s">
        <v>8495</v>
      </c>
      <c r="D1742" s="22" t="s">
        <v>32931</v>
      </c>
      <c r="E1742" s="7"/>
      <c r="F1742" s="7"/>
      <c r="G1742" s="7"/>
      <c r="H1742" t="s">
        <v>67</v>
      </c>
      <c r="I1742" t="s">
        <v>23300</v>
      </c>
      <c r="J1742" t="s">
        <v>69</v>
      </c>
      <c r="K1742" t="s">
        <v>69</v>
      </c>
      <c r="L1742" t="s">
        <v>69</v>
      </c>
      <c r="M1742" t="s">
        <v>23301</v>
      </c>
      <c r="N1742" t="s">
        <v>69</v>
      </c>
      <c r="O1742" t="s">
        <v>69</v>
      </c>
      <c r="P1742" t="s">
        <v>23302</v>
      </c>
      <c r="Q1742" t="s">
        <v>2886</v>
      </c>
      <c r="R1742" t="s">
        <v>69</v>
      </c>
      <c r="S1742" t="s">
        <v>69</v>
      </c>
      <c r="T1742" t="s">
        <v>8505</v>
      </c>
      <c r="U1742" t="s">
        <v>8506</v>
      </c>
      <c r="V1742" t="s">
        <v>69</v>
      </c>
      <c r="W1742" t="s">
        <v>69</v>
      </c>
      <c r="X1742" t="s">
        <v>69</v>
      </c>
      <c r="Y1742" t="s">
        <v>69</v>
      </c>
      <c r="Z1742" t="s">
        <v>69</v>
      </c>
      <c r="AA1742" t="s">
        <v>23303</v>
      </c>
      <c r="AB1742" t="s">
        <v>23304</v>
      </c>
      <c r="AC1742" t="s">
        <v>23305</v>
      </c>
      <c r="AD1742" t="s">
        <v>23306</v>
      </c>
      <c r="AE1742" t="s">
        <v>69</v>
      </c>
      <c r="AF1742" t="s">
        <v>23307</v>
      </c>
      <c r="AG1742" t="s">
        <v>23308</v>
      </c>
      <c r="AH1742" t="s">
        <v>23309</v>
      </c>
      <c r="AI1742" t="s">
        <v>23310</v>
      </c>
      <c r="AJ1742" t="s">
        <v>69</v>
      </c>
      <c r="AK1742" t="s">
        <v>69</v>
      </c>
      <c r="AL1742" t="s">
        <v>69</v>
      </c>
      <c r="AM1742" t="s">
        <v>69</v>
      </c>
      <c r="AN1742">
        <v>49</v>
      </c>
      <c r="AO1742">
        <v>15</v>
      </c>
      <c r="AP1742">
        <v>16</v>
      </c>
      <c r="AQ1742">
        <v>1</v>
      </c>
      <c r="AR1742">
        <v>17</v>
      </c>
      <c r="AS1742" t="s">
        <v>8516</v>
      </c>
      <c r="AT1742" t="s">
        <v>8517</v>
      </c>
      <c r="AU1742" t="s">
        <v>8518</v>
      </c>
      <c r="AV1742" t="s">
        <v>2890</v>
      </c>
      <c r="AW1742" t="s">
        <v>2891</v>
      </c>
      <c r="AX1742" t="s">
        <v>69</v>
      </c>
      <c r="AY1742" t="s">
        <v>13008</v>
      </c>
      <c r="AZ1742" t="s">
        <v>13009</v>
      </c>
      <c r="BA1742" t="s">
        <v>373</v>
      </c>
      <c r="BB1742">
        <v>2015</v>
      </c>
      <c r="BC1742">
        <v>71</v>
      </c>
      <c r="BD1742" t="s">
        <v>69</v>
      </c>
      <c r="BE1742" t="s">
        <v>3175</v>
      </c>
      <c r="BF1742" t="s">
        <v>69</v>
      </c>
      <c r="BG1742" t="s">
        <v>114</v>
      </c>
      <c r="BH1742" t="s">
        <v>69</v>
      </c>
      <c r="BI1742">
        <v>242</v>
      </c>
      <c r="BJ1742">
        <v>252</v>
      </c>
      <c r="BK1742" t="s">
        <v>69</v>
      </c>
      <c r="BL1742" t="s">
        <v>23311</v>
      </c>
      <c r="BM1742" t="str">
        <f>HYPERLINK("http://dx.doi.org/10.1016/j.ssci.2014.02.015","http://dx.doi.org/10.1016/j.ssci.2014.02.015")</f>
        <v>http://dx.doi.org/10.1016/j.ssci.2014.02.015</v>
      </c>
      <c r="BN1742" t="s">
        <v>69</v>
      </c>
      <c r="BO1742" t="s">
        <v>69</v>
      </c>
      <c r="BP1742">
        <v>11</v>
      </c>
      <c r="BQ1742" t="s">
        <v>13010</v>
      </c>
      <c r="BR1742" t="s">
        <v>8523</v>
      </c>
      <c r="BS1742" t="s">
        <v>13011</v>
      </c>
      <c r="BT1742" t="s">
        <v>23312</v>
      </c>
      <c r="BU1742" t="s">
        <v>23313</v>
      </c>
      <c r="BV1742" t="s">
        <v>69</v>
      </c>
      <c r="BW1742" t="s">
        <v>10423</v>
      </c>
      <c r="BX1742" t="s">
        <v>69</v>
      </c>
      <c r="BY1742" t="s">
        <v>69</v>
      </c>
      <c r="BZ1742" t="s">
        <v>8526</v>
      </c>
      <c r="CA1742" t="str">
        <f>HYPERLINK("https%3A%2F%2Fwww.webofscience.com%2Fwos%2Fwoscc%2Ffull-record%2FWOS:000347754600006","View Full Record in Web of Science")</f>
        <v>View Full Record in Web of Science</v>
      </c>
    </row>
    <row r="1743" spans="1:79" x14ac:dyDescent="0.3">
      <c r="B1743" t="s">
        <v>8495</v>
      </c>
      <c r="D1743" s="9" t="s">
        <v>32954</v>
      </c>
      <c r="E1743" s="9" t="s">
        <v>33120</v>
      </c>
      <c r="F1743" s="10" t="s">
        <v>8490</v>
      </c>
      <c r="G1743" s="9" t="s">
        <v>8490</v>
      </c>
      <c r="H1743" t="s">
        <v>67</v>
      </c>
      <c r="I1743" t="s">
        <v>10425</v>
      </c>
      <c r="J1743" t="s">
        <v>69</v>
      </c>
      <c r="K1743" t="s">
        <v>69</v>
      </c>
      <c r="L1743" t="s">
        <v>69</v>
      </c>
      <c r="M1743" t="s">
        <v>10426</v>
      </c>
      <c r="N1743" t="s">
        <v>69</v>
      </c>
      <c r="O1743" t="s">
        <v>69</v>
      </c>
      <c r="P1743" t="s">
        <v>10427</v>
      </c>
      <c r="Q1743" t="s">
        <v>3969</v>
      </c>
      <c r="R1743" t="s">
        <v>69</v>
      </c>
      <c r="S1743" t="s">
        <v>69</v>
      </c>
      <c r="T1743" t="s">
        <v>8505</v>
      </c>
      <c r="U1743" t="s">
        <v>8506</v>
      </c>
      <c r="V1743" t="s">
        <v>69</v>
      </c>
      <c r="W1743" t="s">
        <v>69</v>
      </c>
      <c r="X1743" t="s">
        <v>69</v>
      </c>
      <c r="Y1743" t="s">
        <v>69</v>
      </c>
      <c r="Z1743" t="s">
        <v>69</v>
      </c>
      <c r="AA1743" t="s">
        <v>69</v>
      </c>
      <c r="AB1743" t="s">
        <v>10428</v>
      </c>
      <c r="AC1743" t="s">
        <v>10429</v>
      </c>
      <c r="AD1743" t="s">
        <v>10430</v>
      </c>
      <c r="AE1743" t="s">
        <v>69</v>
      </c>
      <c r="AF1743" t="s">
        <v>10431</v>
      </c>
      <c r="AG1743" t="s">
        <v>10432</v>
      </c>
      <c r="AH1743" t="s">
        <v>69</v>
      </c>
      <c r="AI1743" t="s">
        <v>10433</v>
      </c>
      <c r="AJ1743" t="s">
        <v>69</v>
      </c>
      <c r="AK1743" t="s">
        <v>69</v>
      </c>
      <c r="AL1743" t="s">
        <v>69</v>
      </c>
      <c r="AM1743" t="s">
        <v>69</v>
      </c>
      <c r="AN1743">
        <v>62</v>
      </c>
      <c r="AO1743">
        <v>0</v>
      </c>
      <c r="AP1743">
        <v>0</v>
      </c>
      <c r="AQ1743">
        <v>12</v>
      </c>
      <c r="AR1743">
        <v>12</v>
      </c>
      <c r="AS1743" t="s">
        <v>10352</v>
      </c>
      <c r="AT1743" t="s">
        <v>8637</v>
      </c>
      <c r="AU1743" t="s">
        <v>10353</v>
      </c>
      <c r="AV1743" t="s">
        <v>3971</v>
      </c>
      <c r="AW1743" t="s">
        <v>10434</v>
      </c>
      <c r="AX1743" t="s">
        <v>69</v>
      </c>
      <c r="AY1743" t="s">
        <v>10435</v>
      </c>
      <c r="AZ1743" t="s">
        <v>10436</v>
      </c>
      <c r="BA1743" t="s">
        <v>10437</v>
      </c>
      <c r="BB1743">
        <v>2022</v>
      </c>
      <c r="BC1743">
        <v>32</v>
      </c>
      <c r="BD1743">
        <v>3</v>
      </c>
      <c r="BE1743" t="s">
        <v>69</v>
      </c>
      <c r="BF1743" t="s">
        <v>69</v>
      </c>
      <c r="BG1743" t="s">
        <v>69</v>
      </c>
      <c r="BH1743" t="s">
        <v>69</v>
      </c>
      <c r="BI1743">
        <v>576</v>
      </c>
      <c r="BJ1743">
        <v>590</v>
      </c>
      <c r="BK1743" t="s">
        <v>69</v>
      </c>
      <c r="BL1743" t="s">
        <v>10438</v>
      </c>
      <c r="BM1743" t="str">
        <f>HYPERLINK("http://dx.doi.org/10.1093/jopart/muab048","http://dx.doi.org/10.1093/jopart/muab048")</f>
        <v>http://dx.doi.org/10.1093/jopart/muab048</v>
      </c>
      <c r="BN1743" t="s">
        <v>69</v>
      </c>
      <c r="BO1743" t="s">
        <v>10359</v>
      </c>
      <c r="BP1743">
        <v>15</v>
      </c>
      <c r="BQ1743" t="s">
        <v>10439</v>
      </c>
      <c r="BR1743" t="s">
        <v>8661</v>
      </c>
      <c r="BS1743" t="s">
        <v>10440</v>
      </c>
      <c r="BT1743" t="s">
        <v>10441</v>
      </c>
      <c r="BU1743" t="s">
        <v>10442</v>
      </c>
      <c r="BV1743" t="s">
        <v>69</v>
      </c>
      <c r="BW1743" t="s">
        <v>69</v>
      </c>
      <c r="BX1743" t="s">
        <v>69</v>
      </c>
      <c r="BY1743" t="s">
        <v>69</v>
      </c>
      <c r="BZ1743" t="s">
        <v>8526</v>
      </c>
      <c r="CA1743" t="str">
        <f>HYPERLINK("https%3A%2F%2Fwww.webofscience.com%2Fwos%2Fwoscc%2Ffull-record%2FWOS:000764814000001","View Full Record in Web of Science")</f>
        <v>View Full Record in Web of Science</v>
      </c>
    </row>
    <row r="1744" spans="1:79" x14ac:dyDescent="0.3">
      <c r="A1744" s="7" t="s">
        <v>8408</v>
      </c>
      <c r="B1744" t="s">
        <v>8495</v>
      </c>
      <c r="D1744" s="12" t="s">
        <v>33223</v>
      </c>
      <c r="E1744" s="9" t="s">
        <v>33221</v>
      </c>
      <c r="F1744" s="9" t="s">
        <v>8491</v>
      </c>
      <c r="H1744" t="s">
        <v>67</v>
      </c>
      <c r="I1744" s="3" t="s">
        <v>4886</v>
      </c>
      <c r="J1744" t="s">
        <v>69</v>
      </c>
      <c r="K1744" t="s">
        <v>69</v>
      </c>
      <c r="L1744" t="s">
        <v>69</v>
      </c>
      <c r="M1744" t="s">
        <v>4887</v>
      </c>
      <c r="N1744" t="s">
        <v>69</v>
      </c>
      <c r="O1744" t="s">
        <v>69</v>
      </c>
      <c r="P1744" s="3" t="s">
        <v>4888</v>
      </c>
      <c r="Q1744" t="s">
        <v>4889</v>
      </c>
      <c r="R1744" t="s">
        <v>69</v>
      </c>
      <c r="S1744" t="s">
        <v>69</v>
      </c>
      <c r="T1744" t="s">
        <v>8505</v>
      </c>
      <c r="U1744" t="s">
        <v>8442</v>
      </c>
      <c r="V1744" t="s">
        <v>69</v>
      </c>
      <c r="W1744" t="s">
        <v>69</v>
      </c>
      <c r="X1744" t="s">
        <v>69</v>
      </c>
      <c r="Y1744" t="s">
        <v>69</v>
      </c>
      <c r="Z1744" t="s">
        <v>69</v>
      </c>
      <c r="AA1744" t="s">
        <v>69</v>
      </c>
      <c r="AB1744" t="s">
        <v>19742</v>
      </c>
      <c r="AC1744" t="s">
        <v>4890</v>
      </c>
      <c r="AD1744" t="s">
        <v>19743</v>
      </c>
      <c r="AE1744" t="s">
        <v>69</v>
      </c>
      <c r="AF1744" t="s">
        <v>19744</v>
      </c>
      <c r="AG1744" t="s">
        <v>19745</v>
      </c>
      <c r="AH1744" t="s">
        <v>69</v>
      </c>
      <c r="AI1744" t="s">
        <v>4891</v>
      </c>
      <c r="AJ1744" t="s">
        <v>19746</v>
      </c>
      <c r="AK1744" t="s">
        <v>19747</v>
      </c>
      <c r="AL1744" t="s">
        <v>19748</v>
      </c>
      <c r="AM1744" t="s">
        <v>69</v>
      </c>
      <c r="AN1744">
        <v>51</v>
      </c>
      <c r="AO1744">
        <v>9</v>
      </c>
      <c r="AP1744">
        <v>9</v>
      </c>
      <c r="AQ1744">
        <v>0</v>
      </c>
      <c r="AR1744">
        <v>7</v>
      </c>
      <c r="AS1744" t="s">
        <v>8636</v>
      </c>
      <c r="AT1744" t="s">
        <v>8637</v>
      </c>
      <c r="AU1744" t="s">
        <v>8638</v>
      </c>
      <c r="AV1744" t="s">
        <v>4892</v>
      </c>
      <c r="AW1744" t="s">
        <v>4893</v>
      </c>
      <c r="AX1744" t="s">
        <v>69</v>
      </c>
      <c r="AY1744" t="s">
        <v>19749</v>
      </c>
      <c r="AZ1744" t="s">
        <v>19750</v>
      </c>
      <c r="BA1744" t="s">
        <v>75</v>
      </c>
      <c r="BB1744">
        <v>2017</v>
      </c>
      <c r="BC1744">
        <v>29</v>
      </c>
      <c r="BD1744" t="s">
        <v>69</v>
      </c>
      <c r="BE1744" t="s">
        <v>69</v>
      </c>
      <c r="BF1744" t="s">
        <v>69</v>
      </c>
      <c r="BG1744" t="s">
        <v>69</v>
      </c>
      <c r="BH1744" t="s">
        <v>69</v>
      </c>
      <c r="BI1744">
        <v>26</v>
      </c>
      <c r="BJ1744">
        <v>31</v>
      </c>
      <c r="BK1744" t="s">
        <v>69</v>
      </c>
      <c r="BL1744" t="s">
        <v>4894</v>
      </c>
      <c r="BM1744" t="str">
        <f>HYPERLINK("http://dx.doi.org/10.1016/j.cosust.2017.10.002","http://dx.doi.org/10.1016/j.cosust.2017.10.002")</f>
        <v>http://dx.doi.org/10.1016/j.cosust.2017.10.002</v>
      </c>
      <c r="BN1744" t="s">
        <v>69</v>
      </c>
      <c r="BO1744" t="s">
        <v>69</v>
      </c>
      <c r="BP1744">
        <v>6</v>
      </c>
      <c r="BQ1744" t="s">
        <v>17917</v>
      </c>
      <c r="BR1744" t="s">
        <v>8523</v>
      </c>
      <c r="BS1744" t="s">
        <v>8961</v>
      </c>
      <c r="BT1744" t="s">
        <v>19751</v>
      </c>
      <c r="BU1744" t="s">
        <v>4895</v>
      </c>
      <c r="BV1744" t="s">
        <v>69</v>
      </c>
      <c r="BW1744" t="s">
        <v>69</v>
      </c>
      <c r="BX1744" t="s">
        <v>69</v>
      </c>
      <c r="BY1744" t="s">
        <v>69</v>
      </c>
      <c r="BZ1744" t="s">
        <v>8526</v>
      </c>
      <c r="CA1744" t="str">
        <f>HYPERLINK("https%3A%2F%2Fwww.webofscience.com%2Fwos%2Fwoscc%2Ffull-record%2FWOS:000441091600007","View Full Record in Web of Science")</f>
        <v>View Full Record in Web of Science</v>
      </c>
    </row>
    <row r="1745" spans="1:79" ht="12.5" x14ac:dyDescent="0.25">
      <c r="B1745" t="s">
        <v>8495</v>
      </c>
      <c r="D1745" s="22" t="s">
        <v>32931</v>
      </c>
      <c r="E1745" s="7"/>
      <c r="F1745" s="7"/>
      <c r="G1745" s="7"/>
      <c r="H1745" t="s">
        <v>67</v>
      </c>
      <c r="I1745" t="s">
        <v>9150</v>
      </c>
      <c r="J1745" t="s">
        <v>69</v>
      </c>
      <c r="K1745" t="s">
        <v>69</v>
      </c>
      <c r="L1745" t="s">
        <v>69</v>
      </c>
      <c r="M1745" t="s">
        <v>9151</v>
      </c>
      <c r="N1745" t="s">
        <v>69</v>
      </c>
      <c r="O1745" t="s">
        <v>69</v>
      </c>
      <c r="P1745" t="s">
        <v>9152</v>
      </c>
      <c r="Q1745" t="s">
        <v>7227</v>
      </c>
      <c r="R1745" t="s">
        <v>69</v>
      </c>
      <c r="S1745" t="s">
        <v>69</v>
      </c>
      <c r="T1745" t="s">
        <v>8505</v>
      </c>
      <c r="U1745" t="s">
        <v>8506</v>
      </c>
      <c r="V1745" t="s">
        <v>69</v>
      </c>
      <c r="W1745" t="s">
        <v>69</v>
      </c>
      <c r="X1745" t="s">
        <v>69</v>
      </c>
      <c r="Y1745" t="s">
        <v>69</v>
      </c>
      <c r="Z1745" t="s">
        <v>69</v>
      </c>
      <c r="AA1745" t="s">
        <v>9153</v>
      </c>
      <c r="AB1745" t="s">
        <v>9154</v>
      </c>
      <c r="AC1745" t="s">
        <v>9155</v>
      </c>
      <c r="AD1745" t="s">
        <v>9156</v>
      </c>
      <c r="AE1745" t="s">
        <v>69</v>
      </c>
      <c r="AF1745" t="s">
        <v>9157</v>
      </c>
      <c r="AG1745" t="s">
        <v>9158</v>
      </c>
      <c r="AH1745" t="s">
        <v>69</v>
      </c>
      <c r="AI1745" t="s">
        <v>9159</v>
      </c>
      <c r="AJ1745" t="s">
        <v>9160</v>
      </c>
      <c r="AK1745" t="s">
        <v>9160</v>
      </c>
      <c r="AL1745" t="s">
        <v>9161</v>
      </c>
      <c r="AM1745" t="s">
        <v>69</v>
      </c>
      <c r="AN1745">
        <v>69</v>
      </c>
      <c r="AO1745">
        <v>1</v>
      </c>
      <c r="AP1745">
        <v>1</v>
      </c>
      <c r="AQ1745">
        <v>4</v>
      </c>
      <c r="AR1745">
        <v>4</v>
      </c>
      <c r="AS1745" t="s">
        <v>8924</v>
      </c>
      <c r="AT1745" t="s">
        <v>8925</v>
      </c>
      <c r="AU1745" t="s">
        <v>8926</v>
      </c>
      <c r="AV1745" t="s">
        <v>69</v>
      </c>
      <c r="AW1745" t="s">
        <v>7231</v>
      </c>
      <c r="AX1745" t="s">
        <v>69</v>
      </c>
      <c r="AY1745" t="s">
        <v>7227</v>
      </c>
      <c r="AZ1745" t="s">
        <v>9162</v>
      </c>
      <c r="BA1745" t="s">
        <v>586</v>
      </c>
      <c r="BB1745">
        <v>2022</v>
      </c>
      <c r="BC1745">
        <v>15</v>
      </c>
      <c r="BD1745">
        <v>9</v>
      </c>
      <c r="BE1745" t="s">
        <v>69</v>
      </c>
      <c r="BF1745" t="s">
        <v>69</v>
      </c>
      <c r="BG1745" t="s">
        <v>69</v>
      </c>
      <c r="BH1745" t="s">
        <v>69</v>
      </c>
      <c r="BI1745" t="s">
        <v>69</v>
      </c>
      <c r="BJ1745" t="s">
        <v>69</v>
      </c>
      <c r="BK1745">
        <v>3163</v>
      </c>
      <c r="BL1745" t="s">
        <v>9163</v>
      </c>
      <c r="BM1745" t="str">
        <f>HYPERLINK("http://dx.doi.org/10.3390/en15093163","http://dx.doi.org/10.3390/en15093163")</f>
        <v>http://dx.doi.org/10.3390/en15093163</v>
      </c>
      <c r="BN1745" t="s">
        <v>69</v>
      </c>
      <c r="BO1745" t="s">
        <v>69</v>
      </c>
      <c r="BP1745">
        <v>22</v>
      </c>
      <c r="BQ1745" t="s">
        <v>9164</v>
      </c>
      <c r="BR1745" t="s">
        <v>8523</v>
      </c>
      <c r="BS1745" t="s">
        <v>9164</v>
      </c>
      <c r="BT1745" t="s">
        <v>9165</v>
      </c>
      <c r="BU1745" t="s">
        <v>9166</v>
      </c>
      <c r="BV1745" t="s">
        <v>69</v>
      </c>
      <c r="BW1745" t="s">
        <v>8931</v>
      </c>
      <c r="BX1745" t="s">
        <v>69</v>
      </c>
      <c r="BY1745" t="s">
        <v>69</v>
      </c>
      <c r="BZ1745" t="s">
        <v>8526</v>
      </c>
      <c r="CA1745" t="str">
        <f>HYPERLINK("https%3A%2F%2Fwww.webofscience.com%2Fwos%2Fwoscc%2Ffull-record%2FWOS:000795257100001","View Full Record in Web of Science")</f>
        <v>View Full Record in Web of Science</v>
      </c>
    </row>
    <row r="1746" spans="1:79" ht="12.5" x14ac:dyDescent="0.25">
      <c r="B1746" t="s">
        <v>8495</v>
      </c>
      <c r="D1746" s="7" t="s">
        <v>32933</v>
      </c>
      <c r="E1746" s="7"/>
      <c r="F1746" s="7"/>
      <c r="G1746" s="7"/>
      <c r="H1746" t="s">
        <v>67</v>
      </c>
      <c r="I1746" t="s">
        <v>6088</v>
      </c>
      <c r="J1746" t="s">
        <v>69</v>
      </c>
      <c r="K1746" t="s">
        <v>69</v>
      </c>
      <c r="L1746" t="s">
        <v>69</v>
      </c>
      <c r="M1746" t="s">
        <v>6088</v>
      </c>
      <c r="N1746" t="s">
        <v>69</v>
      </c>
      <c r="O1746" t="s">
        <v>69</v>
      </c>
      <c r="P1746" s="2" t="s">
        <v>6089</v>
      </c>
      <c r="Q1746" t="s">
        <v>6090</v>
      </c>
      <c r="R1746" t="s">
        <v>69</v>
      </c>
      <c r="S1746" t="s">
        <v>69</v>
      </c>
      <c r="T1746" t="s">
        <v>8505</v>
      </c>
      <c r="U1746" t="s">
        <v>8506</v>
      </c>
      <c r="V1746" t="s">
        <v>69</v>
      </c>
      <c r="W1746" t="s">
        <v>69</v>
      </c>
      <c r="X1746" t="s">
        <v>69</v>
      </c>
      <c r="Y1746" t="s">
        <v>69</v>
      </c>
      <c r="Z1746" t="s">
        <v>69</v>
      </c>
      <c r="AA1746" t="s">
        <v>32178</v>
      </c>
      <c r="AB1746" t="s">
        <v>32179</v>
      </c>
      <c r="AC1746" t="s">
        <v>6091</v>
      </c>
      <c r="AD1746" t="s">
        <v>69</v>
      </c>
      <c r="AE1746" t="s">
        <v>69</v>
      </c>
      <c r="AF1746" t="s">
        <v>32180</v>
      </c>
      <c r="AG1746" t="s">
        <v>69</v>
      </c>
      <c r="AH1746" t="s">
        <v>6092</v>
      </c>
      <c r="AI1746" t="s">
        <v>69</v>
      </c>
      <c r="AJ1746" t="s">
        <v>69</v>
      </c>
      <c r="AK1746" t="s">
        <v>69</v>
      </c>
      <c r="AL1746" t="s">
        <v>69</v>
      </c>
      <c r="AM1746" t="s">
        <v>69</v>
      </c>
      <c r="AN1746">
        <v>35</v>
      </c>
      <c r="AO1746">
        <v>20</v>
      </c>
      <c r="AP1746">
        <v>20</v>
      </c>
      <c r="AQ1746">
        <v>0</v>
      </c>
      <c r="AR1746">
        <v>4</v>
      </c>
      <c r="AS1746" t="s">
        <v>32181</v>
      </c>
      <c r="AT1746" t="s">
        <v>16417</v>
      </c>
      <c r="AU1746" t="s">
        <v>32182</v>
      </c>
      <c r="AV1746" t="s">
        <v>6093</v>
      </c>
      <c r="AW1746" t="s">
        <v>69</v>
      </c>
      <c r="AX1746" t="s">
        <v>69</v>
      </c>
      <c r="AY1746" t="s">
        <v>32183</v>
      </c>
      <c r="AZ1746" t="s">
        <v>32184</v>
      </c>
      <c r="BA1746" t="s">
        <v>274</v>
      </c>
      <c r="BB1746">
        <v>1997</v>
      </c>
      <c r="BC1746">
        <v>48</v>
      </c>
      <c r="BD1746">
        <v>11</v>
      </c>
      <c r="BE1746" t="s">
        <v>69</v>
      </c>
      <c r="BF1746" t="s">
        <v>69</v>
      </c>
      <c r="BG1746" t="s">
        <v>69</v>
      </c>
      <c r="BH1746" t="s">
        <v>69</v>
      </c>
      <c r="BI1746">
        <v>1045</v>
      </c>
      <c r="BJ1746">
        <v>1056</v>
      </c>
      <c r="BK1746" t="s">
        <v>69</v>
      </c>
      <c r="BL1746" t="s">
        <v>32185</v>
      </c>
      <c r="BM1746" t="str">
        <f>HYPERLINK("http://dx.doi.org/10.2307/3010300","http://dx.doi.org/10.2307/3010300")</f>
        <v>http://dx.doi.org/10.2307/3010300</v>
      </c>
      <c r="BN1746" t="s">
        <v>69</v>
      </c>
      <c r="BO1746" t="s">
        <v>69</v>
      </c>
      <c r="BP1746">
        <v>12</v>
      </c>
      <c r="BQ1746" t="s">
        <v>32186</v>
      </c>
      <c r="BR1746" t="s">
        <v>8523</v>
      </c>
      <c r="BS1746" t="s">
        <v>32187</v>
      </c>
      <c r="BT1746" t="s">
        <v>32188</v>
      </c>
      <c r="BU1746" t="s">
        <v>6094</v>
      </c>
      <c r="BV1746" t="s">
        <v>69</v>
      </c>
      <c r="BW1746" t="s">
        <v>69</v>
      </c>
      <c r="BX1746" t="s">
        <v>69</v>
      </c>
      <c r="BY1746" t="s">
        <v>69</v>
      </c>
      <c r="BZ1746" t="s">
        <v>8526</v>
      </c>
      <c r="CA1746" t="str">
        <f>HYPERLINK("https%3A%2F%2Fwww.webofscience.com%2Fwos%2Fwoscc%2Ffull-record%2FWOS:A1997YD97800001","View Full Record in Web of Science")</f>
        <v>View Full Record in Web of Science</v>
      </c>
    </row>
    <row r="1747" spans="1:79" ht="12.5" x14ac:dyDescent="0.25">
      <c r="B1747" t="s">
        <v>8495</v>
      </c>
      <c r="D1747" s="22" t="s">
        <v>32931</v>
      </c>
      <c r="E1747" s="7"/>
      <c r="F1747" s="7"/>
      <c r="G1747" s="7"/>
      <c r="H1747" t="s">
        <v>67</v>
      </c>
      <c r="I1747" t="s">
        <v>19231</v>
      </c>
      <c r="J1747" t="s">
        <v>69</v>
      </c>
      <c r="K1747" t="s">
        <v>69</v>
      </c>
      <c r="L1747" t="s">
        <v>69</v>
      </c>
      <c r="M1747" t="s">
        <v>19232</v>
      </c>
      <c r="N1747" t="s">
        <v>69</v>
      </c>
      <c r="O1747" t="s">
        <v>69</v>
      </c>
      <c r="P1747" t="s">
        <v>19233</v>
      </c>
      <c r="Q1747" t="s">
        <v>8226</v>
      </c>
      <c r="R1747" t="s">
        <v>69</v>
      </c>
      <c r="S1747" t="s">
        <v>69</v>
      </c>
      <c r="T1747" t="s">
        <v>8505</v>
      </c>
      <c r="U1747" t="s">
        <v>8506</v>
      </c>
      <c r="V1747" t="s">
        <v>69</v>
      </c>
      <c r="W1747" t="s">
        <v>69</v>
      </c>
      <c r="X1747" t="s">
        <v>69</v>
      </c>
      <c r="Y1747" t="s">
        <v>69</v>
      </c>
      <c r="Z1747" t="s">
        <v>69</v>
      </c>
      <c r="AA1747" t="s">
        <v>19234</v>
      </c>
      <c r="AB1747" t="s">
        <v>19235</v>
      </c>
      <c r="AC1747" t="s">
        <v>19236</v>
      </c>
      <c r="AD1747" t="s">
        <v>19237</v>
      </c>
      <c r="AE1747" t="s">
        <v>69</v>
      </c>
      <c r="AF1747" t="s">
        <v>19238</v>
      </c>
      <c r="AG1747" t="s">
        <v>19239</v>
      </c>
      <c r="AH1747" t="s">
        <v>69</v>
      </c>
      <c r="AI1747" t="s">
        <v>19240</v>
      </c>
      <c r="AJ1747" t="s">
        <v>19241</v>
      </c>
      <c r="AK1747" t="s">
        <v>19241</v>
      </c>
      <c r="AL1747" t="s">
        <v>19242</v>
      </c>
      <c r="AM1747" t="s">
        <v>69</v>
      </c>
      <c r="AN1747">
        <v>85</v>
      </c>
      <c r="AO1747">
        <v>5</v>
      </c>
      <c r="AP1747">
        <v>5</v>
      </c>
      <c r="AQ1747">
        <v>4</v>
      </c>
      <c r="AR1747">
        <v>48</v>
      </c>
      <c r="AS1747" t="s">
        <v>9047</v>
      </c>
      <c r="AT1747" t="s">
        <v>9048</v>
      </c>
      <c r="AU1747" t="s">
        <v>9049</v>
      </c>
      <c r="AV1747" t="s">
        <v>8229</v>
      </c>
      <c r="AW1747" t="s">
        <v>8230</v>
      </c>
      <c r="AX1747" t="s">
        <v>69</v>
      </c>
      <c r="AY1747" t="s">
        <v>19243</v>
      </c>
      <c r="AZ1747" t="s">
        <v>19244</v>
      </c>
      <c r="BA1747" t="s">
        <v>191</v>
      </c>
      <c r="BB1747">
        <v>2018</v>
      </c>
      <c r="BC1747">
        <v>11</v>
      </c>
      <c r="BD1747">
        <v>2</v>
      </c>
      <c r="BE1747" t="s">
        <v>69</v>
      </c>
      <c r="BF1747" t="s">
        <v>69</v>
      </c>
      <c r="BG1747" t="s">
        <v>69</v>
      </c>
      <c r="BH1747" t="s">
        <v>69</v>
      </c>
      <c r="BI1747">
        <v>371</v>
      </c>
      <c r="BJ1747">
        <v>391</v>
      </c>
      <c r="BK1747" t="s">
        <v>69</v>
      </c>
      <c r="BL1747" t="s">
        <v>19245</v>
      </c>
      <c r="BM1747" t="str">
        <f>HYPERLINK("http://dx.doi.org/10.1007/s12053-017-9568-6","http://dx.doi.org/10.1007/s12053-017-9568-6")</f>
        <v>http://dx.doi.org/10.1007/s12053-017-9568-6</v>
      </c>
      <c r="BN1747" t="s">
        <v>69</v>
      </c>
      <c r="BO1747" t="s">
        <v>69</v>
      </c>
      <c r="BP1747">
        <v>21</v>
      </c>
      <c r="BQ1747" t="s">
        <v>19246</v>
      </c>
      <c r="BR1747" t="s">
        <v>8523</v>
      </c>
      <c r="BS1747" t="s">
        <v>19247</v>
      </c>
      <c r="BT1747" t="s">
        <v>19248</v>
      </c>
      <c r="BU1747" t="s">
        <v>19249</v>
      </c>
      <c r="BV1747" t="s">
        <v>69</v>
      </c>
      <c r="BW1747" t="s">
        <v>10423</v>
      </c>
      <c r="BX1747" t="s">
        <v>69</v>
      </c>
      <c r="BY1747" t="s">
        <v>69</v>
      </c>
      <c r="BZ1747" t="s">
        <v>8526</v>
      </c>
      <c r="CA1747" t="str">
        <f>HYPERLINK("https%3A%2F%2Fwww.webofscience.com%2Fwos%2Fwoscc%2Ffull-record%2FWOS:000422803500005","View Full Record in Web of Science")</f>
        <v>View Full Record in Web of Science</v>
      </c>
    </row>
    <row r="1748" spans="1:79" ht="12.5" x14ac:dyDescent="0.25">
      <c r="B1748" t="s">
        <v>8495</v>
      </c>
      <c r="D1748" s="7" t="s">
        <v>32933</v>
      </c>
      <c r="E1748" s="7"/>
      <c r="F1748" s="7"/>
      <c r="G1748" s="7"/>
      <c r="H1748" t="s">
        <v>67</v>
      </c>
      <c r="I1748" t="s">
        <v>491</v>
      </c>
      <c r="J1748" t="s">
        <v>69</v>
      </c>
      <c r="K1748" t="s">
        <v>69</v>
      </c>
      <c r="L1748" t="s">
        <v>69</v>
      </c>
      <c r="M1748" t="s">
        <v>492</v>
      </c>
      <c r="N1748" t="s">
        <v>69</v>
      </c>
      <c r="O1748" t="s">
        <v>69</v>
      </c>
      <c r="P1748" t="s">
        <v>493</v>
      </c>
      <c r="Q1748" t="s">
        <v>352</v>
      </c>
      <c r="R1748" t="s">
        <v>69</v>
      </c>
      <c r="S1748" t="s">
        <v>69</v>
      </c>
      <c r="T1748" t="s">
        <v>8505</v>
      </c>
      <c r="U1748" t="s">
        <v>8506</v>
      </c>
      <c r="V1748" t="s">
        <v>69</v>
      </c>
      <c r="W1748" t="s">
        <v>69</v>
      </c>
      <c r="X1748" t="s">
        <v>69</v>
      </c>
      <c r="Y1748" t="s">
        <v>69</v>
      </c>
      <c r="Z1748" t="s">
        <v>69</v>
      </c>
      <c r="AA1748" t="s">
        <v>23861</v>
      </c>
      <c r="AB1748" t="s">
        <v>23862</v>
      </c>
      <c r="AC1748" t="s">
        <v>494</v>
      </c>
      <c r="AD1748" t="s">
        <v>23863</v>
      </c>
      <c r="AE1748" t="s">
        <v>69</v>
      </c>
      <c r="AF1748" t="s">
        <v>23864</v>
      </c>
      <c r="AG1748" t="s">
        <v>23865</v>
      </c>
      <c r="AH1748" t="s">
        <v>69</v>
      </c>
      <c r="AI1748" t="s">
        <v>495</v>
      </c>
      <c r="AJ1748" t="s">
        <v>69</v>
      </c>
      <c r="AK1748" t="s">
        <v>69</v>
      </c>
      <c r="AL1748" t="s">
        <v>69</v>
      </c>
      <c r="AM1748" t="s">
        <v>69</v>
      </c>
      <c r="AN1748">
        <v>47</v>
      </c>
      <c r="AO1748">
        <v>5</v>
      </c>
      <c r="AP1748">
        <v>6</v>
      </c>
      <c r="AQ1748">
        <v>3</v>
      </c>
      <c r="AR1748">
        <v>43</v>
      </c>
      <c r="AS1748" t="s">
        <v>8924</v>
      </c>
      <c r="AT1748" t="s">
        <v>8925</v>
      </c>
      <c r="AU1748" t="s">
        <v>8926</v>
      </c>
      <c r="AV1748" t="s">
        <v>69</v>
      </c>
      <c r="AW1748" t="s">
        <v>354</v>
      </c>
      <c r="AX1748" t="s">
        <v>69</v>
      </c>
      <c r="AY1748" t="s">
        <v>8958</v>
      </c>
      <c r="AZ1748" t="s">
        <v>8434</v>
      </c>
      <c r="BA1748" t="s">
        <v>246</v>
      </c>
      <c r="BB1748">
        <v>2014</v>
      </c>
      <c r="BC1748">
        <v>6</v>
      </c>
      <c r="BD1748">
        <v>4</v>
      </c>
      <c r="BE1748" t="s">
        <v>69</v>
      </c>
      <c r="BF1748" t="s">
        <v>69</v>
      </c>
      <c r="BG1748" t="s">
        <v>69</v>
      </c>
      <c r="BH1748" t="s">
        <v>69</v>
      </c>
      <c r="BI1748">
        <v>1709</v>
      </c>
      <c r="BJ1748">
        <v>1728</v>
      </c>
      <c r="BK1748" t="s">
        <v>69</v>
      </c>
      <c r="BL1748" t="s">
        <v>496</v>
      </c>
      <c r="BM1748" t="str">
        <f>HYPERLINK("http://dx.doi.org/10.3390/su6041709","http://dx.doi.org/10.3390/su6041709")</f>
        <v>http://dx.doi.org/10.3390/su6041709</v>
      </c>
      <c r="BN1748" t="s">
        <v>69</v>
      </c>
      <c r="BO1748" t="s">
        <v>69</v>
      </c>
      <c r="BP1748">
        <v>20</v>
      </c>
      <c r="BQ1748" t="s">
        <v>8960</v>
      </c>
      <c r="BR1748" t="s">
        <v>8523</v>
      </c>
      <c r="BS1748" t="s">
        <v>8961</v>
      </c>
      <c r="BT1748" t="s">
        <v>23866</v>
      </c>
      <c r="BU1748" t="s">
        <v>497</v>
      </c>
      <c r="BV1748" t="s">
        <v>69</v>
      </c>
      <c r="BW1748" t="s">
        <v>9352</v>
      </c>
      <c r="BX1748" t="s">
        <v>69</v>
      </c>
      <c r="BY1748" t="s">
        <v>69</v>
      </c>
      <c r="BZ1748" t="s">
        <v>8526</v>
      </c>
      <c r="CA1748" t="str">
        <f>HYPERLINK("https%3A%2F%2Fwww.webofscience.com%2Fwos%2Fwoscc%2Ffull-record%2FWOS:000334921800005","View Full Record in Web of Science")</f>
        <v>View Full Record in Web of Science</v>
      </c>
    </row>
    <row r="1749" spans="1:79" x14ac:dyDescent="0.3">
      <c r="A1749" s="7" t="s">
        <v>8408</v>
      </c>
      <c r="B1749" t="s">
        <v>8495</v>
      </c>
      <c r="D1749" s="10" t="s">
        <v>8399</v>
      </c>
      <c r="E1749" s="9" t="s">
        <v>33221</v>
      </c>
      <c r="F1749" s="9" t="s">
        <v>8491</v>
      </c>
      <c r="H1749" t="s">
        <v>67</v>
      </c>
      <c r="I1749" t="s">
        <v>3735</v>
      </c>
      <c r="J1749" t="s">
        <v>69</v>
      </c>
      <c r="K1749" t="s">
        <v>69</v>
      </c>
      <c r="L1749" t="s">
        <v>69</v>
      </c>
      <c r="M1749" s="2" t="s">
        <v>3736</v>
      </c>
      <c r="N1749" t="s">
        <v>69</v>
      </c>
      <c r="O1749" t="s">
        <v>69</v>
      </c>
      <c r="P1749" s="6" t="s">
        <v>3737</v>
      </c>
      <c r="Q1749" t="s">
        <v>3738</v>
      </c>
      <c r="R1749" t="s">
        <v>69</v>
      </c>
      <c r="S1749" t="s">
        <v>69</v>
      </c>
      <c r="T1749" t="s">
        <v>8505</v>
      </c>
      <c r="U1749" t="s">
        <v>8506</v>
      </c>
      <c r="V1749" t="s">
        <v>69</v>
      </c>
      <c r="W1749" t="s">
        <v>69</v>
      </c>
      <c r="X1749" t="s">
        <v>69</v>
      </c>
      <c r="Y1749" t="s">
        <v>69</v>
      </c>
      <c r="Z1749" t="s">
        <v>69</v>
      </c>
      <c r="AA1749" t="s">
        <v>29749</v>
      </c>
      <c r="AB1749" t="s">
        <v>69</v>
      </c>
      <c r="AC1749" t="s">
        <v>3739</v>
      </c>
      <c r="AD1749" t="s">
        <v>29750</v>
      </c>
      <c r="AE1749" t="s">
        <v>69</v>
      </c>
      <c r="AF1749" t="s">
        <v>29751</v>
      </c>
      <c r="AG1749" t="s">
        <v>29752</v>
      </c>
      <c r="AH1749" t="s">
        <v>69</v>
      </c>
      <c r="AI1749" t="s">
        <v>69</v>
      </c>
      <c r="AJ1749" t="s">
        <v>69</v>
      </c>
      <c r="AK1749" t="s">
        <v>69</v>
      </c>
      <c r="AL1749" t="s">
        <v>69</v>
      </c>
      <c r="AM1749" t="s">
        <v>69</v>
      </c>
      <c r="AN1749">
        <v>38</v>
      </c>
      <c r="AO1749">
        <v>16</v>
      </c>
      <c r="AP1749">
        <v>16</v>
      </c>
      <c r="AQ1749">
        <v>3</v>
      </c>
      <c r="AR1749">
        <v>17</v>
      </c>
      <c r="AS1749" t="s">
        <v>9047</v>
      </c>
      <c r="AT1749" t="s">
        <v>9048</v>
      </c>
      <c r="AU1749" t="s">
        <v>9049</v>
      </c>
      <c r="AV1749" t="s">
        <v>3740</v>
      </c>
      <c r="AW1749" t="s">
        <v>3741</v>
      </c>
      <c r="AX1749" t="s">
        <v>69</v>
      </c>
      <c r="AY1749" t="s">
        <v>29753</v>
      </c>
      <c r="AZ1749" t="s">
        <v>29754</v>
      </c>
      <c r="BA1749" t="s">
        <v>246</v>
      </c>
      <c r="BB1749">
        <v>2007</v>
      </c>
      <c r="BC1749">
        <v>20</v>
      </c>
      <c r="BD1749">
        <v>2</v>
      </c>
      <c r="BE1749" t="s">
        <v>69</v>
      </c>
      <c r="BF1749" t="s">
        <v>69</v>
      </c>
      <c r="BG1749" t="s">
        <v>69</v>
      </c>
      <c r="BH1749" t="s">
        <v>69</v>
      </c>
      <c r="BI1749">
        <v>139</v>
      </c>
      <c r="BJ1749">
        <v>165</v>
      </c>
      <c r="BK1749" t="s">
        <v>69</v>
      </c>
      <c r="BL1749" t="s">
        <v>3742</v>
      </c>
      <c r="BM1749" t="str">
        <f>HYPERLINK("http://dx.doi.org/10.1007/s10806-006-9027-4","http://dx.doi.org/10.1007/s10806-006-9027-4")</f>
        <v>http://dx.doi.org/10.1007/s10806-006-9027-4</v>
      </c>
      <c r="BN1749" t="s">
        <v>69</v>
      </c>
      <c r="BO1749" t="s">
        <v>69</v>
      </c>
      <c r="BP1749">
        <v>27</v>
      </c>
      <c r="BQ1749" t="s">
        <v>29755</v>
      </c>
      <c r="BR1749" t="s">
        <v>18553</v>
      </c>
      <c r="BS1749" t="s">
        <v>29756</v>
      </c>
      <c r="BT1749" t="s">
        <v>29757</v>
      </c>
      <c r="BU1749" t="s">
        <v>3743</v>
      </c>
      <c r="BV1749" t="s">
        <v>69</v>
      </c>
      <c r="BW1749" t="s">
        <v>69</v>
      </c>
      <c r="BX1749" t="s">
        <v>69</v>
      </c>
      <c r="BY1749" t="s">
        <v>69</v>
      </c>
      <c r="BZ1749" t="s">
        <v>8526</v>
      </c>
      <c r="CA1749" t="str">
        <f>HYPERLINK("https%3A%2F%2Fwww.webofscience.com%2Fwos%2Fwoscc%2Ffull-record%2FWOS:000245269000002","View Full Record in Web of Science")</f>
        <v>View Full Record in Web of Science</v>
      </c>
    </row>
    <row r="1750" spans="1:79" ht="12.5" x14ac:dyDescent="0.25">
      <c r="B1750" t="s">
        <v>8495</v>
      </c>
      <c r="D1750" s="22" t="s">
        <v>32931</v>
      </c>
      <c r="E1750" s="7"/>
      <c r="F1750" s="7"/>
      <c r="G1750" s="7"/>
      <c r="H1750" t="s">
        <v>67</v>
      </c>
      <c r="I1750" t="s">
        <v>30900</v>
      </c>
      <c r="J1750" t="s">
        <v>69</v>
      </c>
      <c r="K1750" t="s">
        <v>69</v>
      </c>
      <c r="L1750" t="s">
        <v>69</v>
      </c>
      <c r="M1750" t="s">
        <v>30901</v>
      </c>
      <c r="N1750" t="s">
        <v>69</v>
      </c>
      <c r="O1750" t="s">
        <v>69</v>
      </c>
      <c r="P1750" t="s">
        <v>30902</v>
      </c>
      <c r="Q1750" t="s">
        <v>30903</v>
      </c>
      <c r="R1750" t="s">
        <v>69</v>
      </c>
      <c r="S1750" t="s">
        <v>69</v>
      </c>
      <c r="T1750" t="s">
        <v>8505</v>
      </c>
      <c r="U1750" t="s">
        <v>8506</v>
      </c>
      <c r="V1750" t="s">
        <v>69</v>
      </c>
      <c r="W1750" t="s">
        <v>69</v>
      </c>
      <c r="X1750" t="s">
        <v>69</v>
      </c>
      <c r="Y1750" t="s">
        <v>69</v>
      </c>
      <c r="Z1750" t="s">
        <v>69</v>
      </c>
      <c r="AA1750" t="s">
        <v>69</v>
      </c>
      <c r="AB1750" t="s">
        <v>69</v>
      </c>
      <c r="AC1750" t="s">
        <v>30904</v>
      </c>
      <c r="AD1750" t="s">
        <v>30905</v>
      </c>
      <c r="AE1750" t="s">
        <v>69</v>
      </c>
      <c r="AF1750" t="s">
        <v>30906</v>
      </c>
      <c r="AG1750" t="s">
        <v>69</v>
      </c>
      <c r="AH1750" t="s">
        <v>30907</v>
      </c>
      <c r="AI1750" t="s">
        <v>69</v>
      </c>
      <c r="AJ1750" t="s">
        <v>69</v>
      </c>
      <c r="AK1750" t="s">
        <v>69</v>
      </c>
      <c r="AL1750" t="s">
        <v>69</v>
      </c>
      <c r="AM1750" t="s">
        <v>69</v>
      </c>
      <c r="AN1750">
        <v>4</v>
      </c>
      <c r="AO1750">
        <v>1</v>
      </c>
      <c r="AP1750">
        <v>1</v>
      </c>
      <c r="AQ1750">
        <v>0</v>
      </c>
      <c r="AR1750">
        <v>0</v>
      </c>
      <c r="AS1750" t="s">
        <v>30908</v>
      </c>
      <c r="AT1750" t="s">
        <v>14458</v>
      </c>
      <c r="AU1750" t="s">
        <v>30909</v>
      </c>
      <c r="AV1750" t="s">
        <v>30910</v>
      </c>
      <c r="AW1750" t="s">
        <v>69</v>
      </c>
      <c r="AX1750" t="s">
        <v>69</v>
      </c>
      <c r="AY1750" t="s">
        <v>30911</v>
      </c>
      <c r="AZ1750" t="s">
        <v>30912</v>
      </c>
      <c r="BA1750" t="s">
        <v>602</v>
      </c>
      <c r="BB1750">
        <v>2005</v>
      </c>
      <c r="BC1750">
        <v>7</v>
      </c>
      <c r="BD1750">
        <v>1</v>
      </c>
      <c r="BE1750" t="s">
        <v>69</v>
      </c>
      <c r="BF1750" t="s">
        <v>69</v>
      </c>
      <c r="BG1750" t="s">
        <v>69</v>
      </c>
      <c r="BH1750" t="s">
        <v>69</v>
      </c>
      <c r="BI1750">
        <v>136</v>
      </c>
      <c r="BJ1750">
        <v>146</v>
      </c>
      <c r="BK1750" t="s">
        <v>69</v>
      </c>
      <c r="BL1750" t="s">
        <v>69</v>
      </c>
      <c r="BM1750" t="s">
        <v>69</v>
      </c>
      <c r="BN1750" t="s">
        <v>69</v>
      </c>
      <c r="BO1750" t="s">
        <v>69</v>
      </c>
      <c r="BP1750">
        <v>11</v>
      </c>
      <c r="BQ1750" t="s">
        <v>13241</v>
      </c>
      <c r="BR1750" t="s">
        <v>8573</v>
      </c>
      <c r="BS1750" t="s">
        <v>10084</v>
      </c>
      <c r="BT1750" t="s">
        <v>30913</v>
      </c>
      <c r="BU1750" t="s">
        <v>30914</v>
      </c>
      <c r="BV1750" t="s">
        <v>69</v>
      </c>
      <c r="BW1750" t="s">
        <v>69</v>
      </c>
      <c r="BX1750" t="s">
        <v>69</v>
      </c>
      <c r="BY1750" t="s">
        <v>69</v>
      </c>
      <c r="BZ1750" t="s">
        <v>8526</v>
      </c>
      <c r="CA1750" t="str">
        <f>HYPERLINK("https%3A%2F%2Fwww.webofscience.com%2Fwos%2Fwoscc%2Ffull-record%2FWOS:000451343600017","View Full Record in Web of Science")</f>
        <v>View Full Record in Web of Science</v>
      </c>
    </row>
    <row r="1751" spans="1:79" ht="12.5" x14ac:dyDescent="0.25">
      <c r="B1751" t="s">
        <v>8495</v>
      </c>
      <c r="D1751" s="22" t="s">
        <v>32931</v>
      </c>
      <c r="E1751" s="7"/>
      <c r="F1751" s="7"/>
      <c r="G1751" s="7"/>
      <c r="H1751" t="s">
        <v>67</v>
      </c>
      <c r="I1751" t="s">
        <v>25527</v>
      </c>
      <c r="J1751" t="s">
        <v>69</v>
      </c>
      <c r="K1751" t="s">
        <v>69</v>
      </c>
      <c r="L1751" t="s">
        <v>69</v>
      </c>
      <c r="M1751" t="s">
        <v>25528</v>
      </c>
      <c r="N1751" t="s">
        <v>69</v>
      </c>
      <c r="O1751" t="s">
        <v>69</v>
      </c>
      <c r="P1751" t="s">
        <v>25529</v>
      </c>
      <c r="Q1751" t="s">
        <v>24318</v>
      </c>
      <c r="R1751" t="s">
        <v>69</v>
      </c>
      <c r="S1751" t="s">
        <v>69</v>
      </c>
      <c r="T1751" t="s">
        <v>14610</v>
      </c>
      <c r="U1751" t="s">
        <v>8506</v>
      </c>
      <c r="V1751" t="s">
        <v>69</v>
      </c>
      <c r="W1751" t="s">
        <v>69</v>
      </c>
      <c r="X1751" t="s">
        <v>69</v>
      </c>
      <c r="Y1751" t="s">
        <v>69</v>
      </c>
      <c r="Z1751" t="s">
        <v>69</v>
      </c>
      <c r="AA1751" t="s">
        <v>25530</v>
      </c>
      <c r="AB1751" t="s">
        <v>25531</v>
      </c>
      <c r="AC1751" t="s">
        <v>25532</v>
      </c>
      <c r="AD1751" t="s">
        <v>25533</v>
      </c>
      <c r="AE1751" t="s">
        <v>69</v>
      </c>
      <c r="AF1751" t="s">
        <v>25534</v>
      </c>
      <c r="AG1751" t="s">
        <v>25535</v>
      </c>
      <c r="AH1751" t="s">
        <v>69</v>
      </c>
      <c r="AI1751" t="s">
        <v>69</v>
      </c>
      <c r="AJ1751" t="s">
        <v>69</v>
      </c>
      <c r="AK1751" t="s">
        <v>69</v>
      </c>
      <c r="AL1751" t="s">
        <v>69</v>
      </c>
      <c r="AM1751" t="s">
        <v>69</v>
      </c>
      <c r="AN1751">
        <v>48</v>
      </c>
      <c r="AO1751">
        <v>7</v>
      </c>
      <c r="AP1751">
        <v>7</v>
      </c>
      <c r="AQ1751">
        <v>0</v>
      </c>
      <c r="AR1751">
        <v>0</v>
      </c>
      <c r="AS1751" t="s">
        <v>24324</v>
      </c>
      <c r="AT1751" t="s">
        <v>14616</v>
      </c>
      <c r="AU1751" t="s">
        <v>24325</v>
      </c>
      <c r="AV1751" t="s">
        <v>24326</v>
      </c>
      <c r="AW1751" t="s">
        <v>24327</v>
      </c>
      <c r="AX1751" t="s">
        <v>69</v>
      </c>
      <c r="AY1751" t="s">
        <v>24328</v>
      </c>
      <c r="AZ1751" t="s">
        <v>24329</v>
      </c>
      <c r="BA1751" t="s">
        <v>69</v>
      </c>
      <c r="BB1751">
        <v>2013</v>
      </c>
      <c r="BC1751">
        <v>22</v>
      </c>
      <c r="BD1751" t="s">
        <v>69</v>
      </c>
      <c r="BE1751" t="s">
        <v>69</v>
      </c>
      <c r="BF1751" t="s">
        <v>69</v>
      </c>
      <c r="BG1751" t="s">
        <v>69</v>
      </c>
      <c r="BH1751" t="s">
        <v>69</v>
      </c>
      <c r="BI1751">
        <v>44</v>
      </c>
      <c r="BJ1751">
        <v>64</v>
      </c>
      <c r="BK1751" t="s">
        <v>69</v>
      </c>
      <c r="BL1751" t="s">
        <v>69</v>
      </c>
      <c r="BM1751" t="s">
        <v>69</v>
      </c>
      <c r="BN1751" t="s">
        <v>69</v>
      </c>
      <c r="BO1751" t="s">
        <v>69</v>
      </c>
      <c r="BP1751">
        <v>21</v>
      </c>
      <c r="BQ1751" t="s">
        <v>8446</v>
      </c>
      <c r="BR1751" t="s">
        <v>8573</v>
      </c>
      <c r="BS1751" t="s">
        <v>8446</v>
      </c>
      <c r="BT1751" t="s">
        <v>25536</v>
      </c>
      <c r="BU1751" t="s">
        <v>25537</v>
      </c>
      <c r="BV1751" t="s">
        <v>69</v>
      </c>
      <c r="BW1751" t="s">
        <v>69</v>
      </c>
      <c r="BX1751" t="s">
        <v>69</v>
      </c>
      <c r="BY1751" t="s">
        <v>69</v>
      </c>
      <c r="BZ1751" t="s">
        <v>8526</v>
      </c>
      <c r="CA1751" t="str">
        <f>HYPERLINK("https%3A%2F%2Fwww.webofscience.com%2Fwos%2Fwoscc%2Ffull-record%2FWOS:000448631900004","View Full Record in Web of Science")</f>
        <v>View Full Record in Web of Science</v>
      </c>
    </row>
    <row r="1752" spans="1:79" ht="12.5" x14ac:dyDescent="0.25">
      <c r="B1752" t="s">
        <v>8495</v>
      </c>
      <c r="D1752" s="7" t="s">
        <v>32933</v>
      </c>
      <c r="E1752" s="7"/>
      <c r="F1752" s="7"/>
      <c r="G1752" s="7"/>
      <c r="H1752" t="s">
        <v>67</v>
      </c>
      <c r="I1752" t="s">
        <v>3804</v>
      </c>
      <c r="J1752" t="s">
        <v>69</v>
      </c>
      <c r="K1752" t="s">
        <v>69</v>
      </c>
      <c r="L1752" t="s">
        <v>69</v>
      </c>
      <c r="M1752" t="s">
        <v>3805</v>
      </c>
      <c r="N1752" t="s">
        <v>69</v>
      </c>
      <c r="O1752" t="s">
        <v>69</v>
      </c>
      <c r="P1752" t="s">
        <v>3806</v>
      </c>
      <c r="Q1752" t="s">
        <v>3807</v>
      </c>
      <c r="R1752" t="s">
        <v>69</v>
      </c>
      <c r="S1752" t="s">
        <v>69</v>
      </c>
      <c r="T1752" t="s">
        <v>8505</v>
      </c>
      <c r="U1752" t="s">
        <v>8506</v>
      </c>
      <c r="V1752" t="s">
        <v>69</v>
      </c>
      <c r="W1752" t="s">
        <v>69</v>
      </c>
      <c r="X1752" t="s">
        <v>69</v>
      </c>
      <c r="Y1752" t="s">
        <v>69</v>
      </c>
      <c r="Z1752" t="s">
        <v>69</v>
      </c>
      <c r="AA1752" t="s">
        <v>69</v>
      </c>
      <c r="AB1752" t="s">
        <v>30124</v>
      </c>
      <c r="AC1752" t="s">
        <v>3808</v>
      </c>
      <c r="AD1752" t="s">
        <v>30125</v>
      </c>
      <c r="AE1752" t="s">
        <v>69</v>
      </c>
      <c r="AF1752" t="s">
        <v>30126</v>
      </c>
      <c r="AG1752" t="s">
        <v>30127</v>
      </c>
      <c r="AH1752" t="s">
        <v>69</v>
      </c>
      <c r="AI1752" t="s">
        <v>69</v>
      </c>
      <c r="AJ1752" t="s">
        <v>30128</v>
      </c>
      <c r="AK1752" t="s">
        <v>30129</v>
      </c>
      <c r="AL1752" t="s">
        <v>69</v>
      </c>
      <c r="AM1752" t="s">
        <v>69</v>
      </c>
      <c r="AN1752">
        <v>72</v>
      </c>
      <c r="AO1752">
        <v>8</v>
      </c>
      <c r="AP1752">
        <v>8</v>
      </c>
      <c r="AQ1752">
        <v>0</v>
      </c>
      <c r="AR1752">
        <v>2</v>
      </c>
      <c r="AS1752" t="s">
        <v>9178</v>
      </c>
      <c r="AT1752" t="s">
        <v>8763</v>
      </c>
      <c r="AU1752" t="s">
        <v>9179</v>
      </c>
      <c r="AV1752" t="s">
        <v>3809</v>
      </c>
      <c r="AW1752" t="s">
        <v>3810</v>
      </c>
      <c r="AX1752" t="s">
        <v>69</v>
      </c>
      <c r="AY1752" t="s">
        <v>25897</v>
      </c>
      <c r="AZ1752" t="s">
        <v>25898</v>
      </c>
      <c r="BA1752" t="s">
        <v>75</v>
      </c>
      <c r="BB1752">
        <v>2006</v>
      </c>
      <c r="BC1752">
        <v>15</v>
      </c>
      <c r="BD1752" t="s">
        <v>69</v>
      </c>
      <c r="BE1752" t="s">
        <v>69</v>
      </c>
      <c r="BF1752">
        <v>4</v>
      </c>
      <c r="BG1752" t="s">
        <v>69</v>
      </c>
      <c r="BH1752" t="s">
        <v>69</v>
      </c>
      <c r="BI1752">
        <v>54</v>
      </c>
      <c r="BJ1752">
        <v>67</v>
      </c>
      <c r="BK1752" t="s">
        <v>69</v>
      </c>
      <c r="BL1752" t="s">
        <v>3811</v>
      </c>
      <c r="BM1752" t="str">
        <f>HYPERLINK("http://dx.doi.org/10.1136/tc.2006.017947","http://dx.doi.org/10.1136/tc.2006.017947")</f>
        <v>http://dx.doi.org/10.1136/tc.2006.017947</v>
      </c>
      <c r="BN1752" t="s">
        <v>69</v>
      </c>
      <c r="BO1752" t="s">
        <v>69</v>
      </c>
      <c r="BP1752">
        <v>14</v>
      </c>
      <c r="BQ1752" t="s">
        <v>25899</v>
      </c>
      <c r="BR1752" t="s">
        <v>8523</v>
      </c>
      <c r="BS1752" t="s">
        <v>25899</v>
      </c>
      <c r="BT1752" t="s">
        <v>30130</v>
      </c>
      <c r="BU1752" t="s">
        <v>3812</v>
      </c>
      <c r="BV1752">
        <v>17130625</v>
      </c>
      <c r="BW1752" t="s">
        <v>10423</v>
      </c>
      <c r="BX1752" t="s">
        <v>69</v>
      </c>
      <c r="BY1752" t="s">
        <v>69</v>
      </c>
      <c r="BZ1752" t="s">
        <v>8526</v>
      </c>
      <c r="CA1752" t="str">
        <f>HYPERLINK("https%3A%2F%2Fwww.webofscience.com%2Fwos%2Fwoscc%2Ffull-record%2FWOS:000242339100008","View Full Record in Web of Science")</f>
        <v>View Full Record in Web of Science</v>
      </c>
    </row>
    <row r="1753" spans="1:79" ht="12.5" x14ac:dyDescent="0.25">
      <c r="B1753" t="s">
        <v>8495</v>
      </c>
      <c r="D1753" s="7" t="s">
        <v>32933</v>
      </c>
      <c r="E1753" s="7"/>
      <c r="F1753" s="7"/>
      <c r="G1753" s="7"/>
      <c r="H1753" t="s">
        <v>67</v>
      </c>
      <c r="I1753" t="s">
        <v>2024</v>
      </c>
      <c r="J1753" t="s">
        <v>69</v>
      </c>
      <c r="K1753" t="s">
        <v>69</v>
      </c>
      <c r="L1753" t="s">
        <v>69</v>
      </c>
      <c r="M1753" t="s">
        <v>2025</v>
      </c>
      <c r="N1753" t="s">
        <v>69</v>
      </c>
      <c r="O1753" t="s">
        <v>69</v>
      </c>
      <c r="P1753" s="3" t="s">
        <v>2026</v>
      </c>
      <c r="Q1753" t="s">
        <v>2027</v>
      </c>
      <c r="R1753" t="s">
        <v>69</v>
      </c>
      <c r="S1753" t="s">
        <v>69</v>
      </c>
      <c r="T1753" t="s">
        <v>8505</v>
      </c>
      <c r="U1753" t="s">
        <v>8506</v>
      </c>
      <c r="V1753" t="s">
        <v>69</v>
      </c>
      <c r="W1753" t="s">
        <v>69</v>
      </c>
      <c r="X1753" t="s">
        <v>69</v>
      </c>
      <c r="Y1753" t="s">
        <v>69</v>
      </c>
      <c r="Z1753" t="s">
        <v>69</v>
      </c>
      <c r="AA1753" t="s">
        <v>15870</v>
      </c>
      <c r="AB1753" t="s">
        <v>15871</v>
      </c>
      <c r="AC1753" t="s">
        <v>2028</v>
      </c>
      <c r="AD1753" t="s">
        <v>15872</v>
      </c>
      <c r="AE1753" t="s">
        <v>69</v>
      </c>
      <c r="AF1753" t="s">
        <v>15873</v>
      </c>
      <c r="AG1753" t="s">
        <v>15874</v>
      </c>
      <c r="AH1753" t="s">
        <v>69</v>
      </c>
      <c r="AI1753" t="s">
        <v>69</v>
      </c>
      <c r="AJ1753" t="s">
        <v>69</v>
      </c>
      <c r="AK1753" t="s">
        <v>69</v>
      </c>
      <c r="AL1753" t="s">
        <v>69</v>
      </c>
      <c r="AM1753" t="s">
        <v>69</v>
      </c>
      <c r="AN1753">
        <v>85</v>
      </c>
      <c r="AO1753">
        <v>8</v>
      </c>
      <c r="AP1753">
        <v>8</v>
      </c>
      <c r="AQ1753">
        <v>14</v>
      </c>
      <c r="AR1753">
        <v>57</v>
      </c>
      <c r="AS1753" t="s">
        <v>8516</v>
      </c>
      <c r="AT1753" t="s">
        <v>8517</v>
      </c>
      <c r="AU1753" t="s">
        <v>8973</v>
      </c>
      <c r="AV1753" t="s">
        <v>2029</v>
      </c>
      <c r="AW1753" t="s">
        <v>2030</v>
      </c>
      <c r="AX1753" t="s">
        <v>69</v>
      </c>
      <c r="AY1753" t="s">
        <v>2027</v>
      </c>
      <c r="AZ1753" t="s">
        <v>15875</v>
      </c>
      <c r="BA1753" t="s">
        <v>2031</v>
      </c>
      <c r="BB1753">
        <v>2020</v>
      </c>
      <c r="BC1753" t="s">
        <v>2032</v>
      </c>
      <c r="BD1753" t="s">
        <v>69</v>
      </c>
      <c r="BE1753" t="s">
        <v>69</v>
      </c>
      <c r="BF1753" t="s">
        <v>69</v>
      </c>
      <c r="BG1753" t="s">
        <v>69</v>
      </c>
      <c r="BH1753" t="s">
        <v>69</v>
      </c>
      <c r="BI1753" t="s">
        <v>69</v>
      </c>
      <c r="BJ1753" t="s">
        <v>69</v>
      </c>
      <c r="BK1753">
        <v>102100</v>
      </c>
      <c r="BL1753" t="s">
        <v>2033</v>
      </c>
      <c r="BM1753" t="str">
        <f>HYPERLINK("http://dx.doi.org/10.1016/j.technovation.2019.102100","http://dx.doi.org/10.1016/j.technovation.2019.102100")</f>
        <v>http://dx.doi.org/10.1016/j.technovation.2019.102100</v>
      </c>
      <c r="BN1753" t="s">
        <v>69</v>
      </c>
      <c r="BO1753" t="s">
        <v>69</v>
      </c>
      <c r="BP1753">
        <v>13</v>
      </c>
      <c r="BQ1753" t="s">
        <v>15876</v>
      </c>
      <c r="BR1753" t="s">
        <v>8523</v>
      </c>
      <c r="BS1753" t="s">
        <v>15877</v>
      </c>
      <c r="BT1753" t="s">
        <v>15878</v>
      </c>
      <c r="BU1753" t="s">
        <v>2034</v>
      </c>
      <c r="BV1753" t="s">
        <v>69</v>
      </c>
      <c r="BW1753" t="s">
        <v>69</v>
      </c>
      <c r="BX1753" t="s">
        <v>69</v>
      </c>
      <c r="BY1753" t="s">
        <v>69</v>
      </c>
      <c r="BZ1753" t="s">
        <v>8526</v>
      </c>
      <c r="CA1753" t="str">
        <f>HYPERLINK("https%3A%2F%2Fwww.webofscience.com%2Fwos%2Fwoscc%2Ffull-record%2FWOS:000521513000004","View Full Record in Web of Science")</f>
        <v>View Full Record in Web of Science</v>
      </c>
    </row>
    <row r="1754" spans="1:79" ht="12.5" x14ac:dyDescent="0.25">
      <c r="B1754" t="s">
        <v>8495</v>
      </c>
      <c r="D1754" s="22" t="s">
        <v>32931</v>
      </c>
      <c r="E1754" s="7"/>
      <c r="F1754" s="7"/>
      <c r="G1754" s="7"/>
      <c r="H1754" t="s">
        <v>67</v>
      </c>
      <c r="I1754" t="s">
        <v>31244</v>
      </c>
      <c r="J1754" t="s">
        <v>69</v>
      </c>
      <c r="K1754" t="s">
        <v>69</v>
      </c>
      <c r="L1754" t="s">
        <v>69</v>
      </c>
      <c r="M1754" t="s">
        <v>31244</v>
      </c>
      <c r="N1754" t="s">
        <v>69</v>
      </c>
      <c r="O1754" t="s">
        <v>69</v>
      </c>
      <c r="P1754" t="s">
        <v>31245</v>
      </c>
      <c r="Q1754" t="s">
        <v>17054</v>
      </c>
      <c r="R1754" t="s">
        <v>69</v>
      </c>
      <c r="S1754" t="s">
        <v>69</v>
      </c>
      <c r="T1754" t="s">
        <v>8505</v>
      </c>
      <c r="U1754" t="s">
        <v>8506</v>
      </c>
      <c r="V1754" t="s">
        <v>69</v>
      </c>
      <c r="W1754" t="s">
        <v>69</v>
      </c>
      <c r="X1754" t="s">
        <v>69</v>
      </c>
      <c r="Y1754" t="s">
        <v>69</v>
      </c>
      <c r="Z1754" t="s">
        <v>69</v>
      </c>
      <c r="AA1754" t="s">
        <v>31246</v>
      </c>
      <c r="AB1754" t="s">
        <v>69</v>
      </c>
      <c r="AC1754" t="s">
        <v>31247</v>
      </c>
      <c r="AD1754" t="s">
        <v>31248</v>
      </c>
      <c r="AE1754" t="s">
        <v>69</v>
      </c>
      <c r="AF1754" t="s">
        <v>31249</v>
      </c>
      <c r="AG1754" t="s">
        <v>31250</v>
      </c>
      <c r="AH1754" t="s">
        <v>31251</v>
      </c>
      <c r="AI1754" t="s">
        <v>31252</v>
      </c>
      <c r="AJ1754" t="s">
        <v>69</v>
      </c>
      <c r="AK1754" t="s">
        <v>69</v>
      </c>
      <c r="AL1754" t="s">
        <v>69</v>
      </c>
      <c r="AM1754" t="s">
        <v>69</v>
      </c>
      <c r="AN1754">
        <v>39</v>
      </c>
      <c r="AO1754">
        <v>55</v>
      </c>
      <c r="AP1754">
        <v>55</v>
      </c>
      <c r="AQ1754">
        <v>0</v>
      </c>
      <c r="AR1754">
        <v>7</v>
      </c>
      <c r="AS1754" t="s">
        <v>10352</v>
      </c>
      <c r="AT1754" t="s">
        <v>8637</v>
      </c>
      <c r="AU1754" t="s">
        <v>10353</v>
      </c>
      <c r="AV1754" t="s">
        <v>17065</v>
      </c>
      <c r="AW1754" t="s">
        <v>17066</v>
      </c>
      <c r="AX1754" t="s">
        <v>69</v>
      </c>
      <c r="AY1754" t="s">
        <v>17067</v>
      </c>
      <c r="AZ1754" t="s">
        <v>17068</v>
      </c>
      <c r="BA1754" t="s">
        <v>94</v>
      </c>
      <c r="BB1754">
        <v>2003</v>
      </c>
      <c r="BC1754">
        <v>18</v>
      </c>
      <c r="BD1754">
        <v>1</v>
      </c>
      <c r="BE1754" t="s">
        <v>69</v>
      </c>
      <c r="BF1754" t="s">
        <v>69</v>
      </c>
      <c r="BG1754" t="s">
        <v>69</v>
      </c>
      <c r="BH1754" t="s">
        <v>69</v>
      </c>
      <c r="BI1754">
        <v>31</v>
      </c>
      <c r="BJ1754">
        <v>46</v>
      </c>
      <c r="BK1754" t="s">
        <v>69</v>
      </c>
      <c r="BL1754" t="s">
        <v>31253</v>
      </c>
      <c r="BM1754" t="str">
        <f>HYPERLINK("http://dx.doi.org/10.1093/heapol/18.1.31","http://dx.doi.org/10.1093/heapol/18.1.31")</f>
        <v>http://dx.doi.org/10.1093/heapol/18.1.31</v>
      </c>
      <c r="BN1754" t="s">
        <v>69</v>
      </c>
      <c r="BO1754" t="s">
        <v>69</v>
      </c>
      <c r="BP1754">
        <v>16</v>
      </c>
      <c r="BQ1754" t="s">
        <v>9809</v>
      </c>
      <c r="BR1754" t="s">
        <v>8523</v>
      </c>
      <c r="BS1754" t="s">
        <v>9209</v>
      </c>
      <c r="BT1754" t="s">
        <v>31254</v>
      </c>
      <c r="BU1754" t="s">
        <v>31255</v>
      </c>
      <c r="BV1754">
        <v>12582106</v>
      </c>
      <c r="BW1754" t="s">
        <v>9374</v>
      </c>
      <c r="BX1754" t="s">
        <v>69</v>
      </c>
      <c r="BY1754" t="s">
        <v>69</v>
      </c>
      <c r="BZ1754" t="s">
        <v>8526</v>
      </c>
      <c r="CA1754" t="str">
        <f>HYPERLINK("https%3A%2F%2Fwww.webofscience.com%2Fwos%2Fwoscc%2Ffull-record%2FWOS:000181418500004","View Full Record in Web of Science")</f>
        <v>View Full Record in Web of Science</v>
      </c>
    </row>
    <row r="1755" spans="1:79" x14ac:dyDescent="0.3">
      <c r="B1755" t="s">
        <v>8495</v>
      </c>
      <c r="D1755" s="9" t="s">
        <v>32954</v>
      </c>
      <c r="E1755" s="9" t="s">
        <v>33074</v>
      </c>
      <c r="F1755" s="9" t="s">
        <v>8491</v>
      </c>
      <c r="G1755" s="9" t="s">
        <v>8490</v>
      </c>
      <c r="H1755" t="s">
        <v>67</v>
      </c>
      <c r="I1755" t="s">
        <v>25559</v>
      </c>
      <c r="J1755" t="s">
        <v>69</v>
      </c>
      <c r="K1755" t="s">
        <v>69</v>
      </c>
      <c r="L1755" t="s">
        <v>69</v>
      </c>
      <c r="M1755" t="s">
        <v>25560</v>
      </c>
      <c r="N1755" t="s">
        <v>69</v>
      </c>
      <c r="O1755" t="s">
        <v>69</v>
      </c>
      <c r="P1755" t="s">
        <v>25561</v>
      </c>
      <c r="Q1755" t="s">
        <v>25562</v>
      </c>
      <c r="R1755" t="s">
        <v>69</v>
      </c>
      <c r="S1755" t="s">
        <v>69</v>
      </c>
      <c r="T1755" t="s">
        <v>10071</v>
      </c>
      <c r="U1755" t="s">
        <v>8506</v>
      </c>
      <c r="V1755" t="s">
        <v>69</v>
      </c>
      <c r="W1755" t="s">
        <v>69</v>
      </c>
      <c r="X1755" t="s">
        <v>69</v>
      </c>
      <c r="Y1755" t="s">
        <v>69</v>
      </c>
      <c r="Z1755" t="s">
        <v>69</v>
      </c>
      <c r="AA1755" t="s">
        <v>25563</v>
      </c>
      <c r="AB1755" t="s">
        <v>69</v>
      </c>
      <c r="AC1755" t="s">
        <v>25564</v>
      </c>
      <c r="AD1755" t="s">
        <v>25565</v>
      </c>
      <c r="AE1755" t="s">
        <v>69</v>
      </c>
      <c r="AF1755" t="s">
        <v>25566</v>
      </c>
      <c r="AG1755" t="s">
        <v>25567</v>
      </c>
      <c r="AH1755" t="s">
        <v>69</v>
      </c>
      <c r="AI1755" t="s">
        <v>69</v>
      </c>
      <c r="AJ1755" t="s">
        <v>69</v>
      </c>
      <c r="AK1755" t="s">
        <v>69</v>
      </c>
      <c r="AL1755" t="s">
        <v>69</v>
      </c>
      <c r="AM1755" t="s">
        <v>69</v>
      </c>
      <c r="AN1755">
        <v>45</v>
      </c>
      <c r="AO1755">
        <v>0</v>
      </c>
      <c r="AP1755">
        <v>0</v>
      </c>
      <c r="AQ1755">
        <v>0</v>
      </c>
      <c r="AR1755">
        <v>0</v>
      </c>
      <c r="AS1755" t="s">
        <v>17737</v>
      </c>
      <c r="AT1755" t="s">
        <v>16204</v>
      </c>
      <c r="AU1755" t="s">
        <v>17738</v>
      </c>
      <c r="AV1755" t="s">
        <v>25568</v>
      </c>
      <c r="AW1755" t="s">
        <v>25569</v>
      </c>
      <c r="AX1755" t="s">
        <v>69</v>
      </c>
      <c r="AY1755" t="s">
        <v>25570</v>
      </c>
      <c r="AZ1755" t="s">
        <v>25571</v>
      </c>
      <c r="BA1755" t="s">
        <v>69</v>
      </c>
      <c r="BB1755">
        <v>2013</v>
      </c>
      <c r="BC1755">
        <v>22</v>
      </c>
      <c r="BD1755" t="s">
        <v>69</v>
      </c>
      <c r="BE1755" t="s">
        <v>69</v>
      </c>
      <c r="BF1755" t="s">
        <v>69</v>
      </c>
      <c r="BG1755" t="s">
        <v>69</v>
      </c>
      <c r="BH1755" t="s">
        <v>69</v>
      </c>
      <c r="BI1755">
        <v>177</v>
      </c>
      <c r="BJ1755">
        <v>198</v>
      </c>
      <c r="BK1755" t="s">
        <v>69</v>
      </c>
      <c r="BL1755" t="s">
        <v>69</v>
      </c>
      <c r="BM1755" t="s">
        <v>69</v>
      </c>
      <c r="BN1755" t="s">
        <v>69</v>
      </c>
      <c r="BO1755" t="s">
        <v>69</v>
      </c>
      <c r="BP1755">
        <v>22</v>
      </c>
      <c r="BQ1755" t="s">
        <v>8463</v>
      </c>
      <c r="BR1755" t="s">
        <v>8573</v>
      </c>
      <c r="BS1755" t="s">
        <v>8463</v>
      </c>
      <c r="BT1755" t="s">
        <v>25572</v>
      </c>
      <c r="BU1755" t="s">
        <v>25573</v>
      </c>
      <c r="BV1755" t="s">
        <v>69</v>
      </c>
      <c r="BW1755" t="s">
        <v>69</v>
      </c>
      <c r="BX1755" t="s">
        <v>69</v>
      </c>
      <c r="BY1755" t="s">
        <v>69</v>
      </c>
      <c r="BZ1755" t="s">
        <v>8526</v>
      </c>
      <c r="CA1755" t="str">
        <f>HYPERLINK("https%3A%2F%2Fwww.webofscience.com%2Fwos%2Fwoscc%2Ffull-record%2FWOS:000408917600008","View Full Record in Web of Science")</f>
        <v>View Full Record in Web of Science</v>
      </c>
    </row>
    <row r="1756" spans="1:79" ht="12.5" x14ac:dyDescent="0.25">
      <c r="B1756" t="s">
        <v>8495</v>
      </c>
      <c r="D1756" s="7" t="s">
        <v>32933</v>
      </c>
      <c r="E1756" s="7"/>
      <c r="F1756" s="7"/>
      <c r="G1756" s="7"/>
      <c r="H1756" t="s">
        <v>67</v>
      </c>
      <c r="I1756" t="s">
        <v>3365</v>
      </c>
      <c r="J1756" t="s">
        <v>69</v>
      </c>
      <c r="K1756" t="s">
        <v>69</v>
      </c>
      <c r="L1756" t="s">
        <v>69</v>
      </c>
      <c r="M1756" t="s">
        <v>3366</v>
      </c>
      <c r="N1756" t="s">
        <v>69</v>
      </c>
      <c r="O1756" t="s">
        <v>69</v>
      </c>
      <c r="P1756" t="s">
        <v>3367</v>
      </c>
      <c r="Q1756" t="s">
        <v>3368</v>
      </c>
      <c r="R1756" t="s">
        <v>69</v>
      </c>
      <c r="S1756" t="s">
        <v>69</v>
      </c>
      <c r="T1756" t="s">
        <v>8505</v>
      </c>
      <c r="U1756" t="s">
        <v>8506</v>
      </c>
      <c r="V1756" t="s">
        <v>69</v>
      </c>
      <c r="W1756" t="s">
        <v>69</v>
      </c>
      <c r="X1756" t="s">
        <v>69</v>
      </c>
      <c r="Y1756" t="s">
        <v>69</v>
      </c>
      <c r="Z1756" t="s">
        <v>69</v>
      </c>
      <c r="AA1756" t="s">
        <v>25751</v>
      </c>
      <c r="AB1756" t="s">
        <v>69</v>
      </c>
      <c r="AC1756" t="s">
        <v>3369</v>
      </c>
      <c r="AD1756" t="s">
        <v>25752</v>
      </c>
      <c r="AE1756" t="s">
        <v>69</v>
      </c>
      <c r="AF1756" t="s">
        <v>25753</v>
      </c>
      <c r="AG1756" t="s">
        <v>25754</v>
      </c>
      <c r="AH1756" t="s">
        <v>69</v>
      </c>
      <c r="AI1756" t="s">
        <v>3370</v>
      </c>
      <c r="AJ1756" t="s">
        <v>69</v>
      </c>
      <c r="AK1756" t="s">
        <v>69</v>
      </c>
      <c r="AL1756" t="s">
        <v>69</v>
      </c>
      <c r="AM1756" t="s">
        <v>69</v>
      </c>
      <c r="AN1756">
        <v>36</v>
      </c>
      <c r="AO1756">
        <v>20</v>
      </c>
      <c r="AP1756">
        <v>20</v>
      </c>
      <c r="AQ1756">
        <v>0</v>
      </c>
      <c r="AR1756">
        <v>9</v>
      </c>
      <c r="AS1756" t="s">
        <v>8762</v>
      </c>
      <c r="AT1756" t="s">
        <v>8763</v>
      </c>
      <c r="AU1756" t="s">
        <v>8764</v>
      </c>
      <c r="AV1756" t="s">
        <v>3371</v>
      </c>
      <c r="AW1756" t="s">
        <v>3372</v>
      </c>
      <c r="AX1756" t="s">
        <v>69</v>
      </c>
      <c r="AY1756" t="s">
        <v>25755</v>
      </c>
      <c r="AZ1756" t="s">
        <v>25756</v>
      </c>
      <c r="BA1756" t="s">
        <v>274</v>
      </c>
      <c r="BB1756">
        <v>2012</v>
      </c>
      <c r="BC1756">
        <v>39</v>
      </c>
      <c r="BD1756">
        <v>6</v>
      </c>
      <c r="BE1756" t="s">
        <v>69</v>
      </c>
      <c r="BF1756" t="s">
        <v>69</v>
      </c>
      <c r="BG1756" t="s">
        <v>69</v>
      </c>
      <c r="BH1756" t="s">
        <v>69</v>
      </c>
      <c r="BI1756">
        <v>1069</v>
      </c>
      <c r="BJ1756">
        <v>1083</v>
      </c>
      <c r="BK1756" t="s">
        <v>69</v>
      </c>
      <c r="BL1756" t="s">
        <v>3373</v>
      </c>
      <c r="BM1756" t="str">
        <f>HYPERLINK("http://dx.doi.org/10.1068/b38006","http://dx.doi.org/10.1068/b38006")</f>
        <v>http://dx.doi.org/10.1068/b38006</v>
      </c>
      <c r="BN1756" t="s">
        <v>69</v>
      </c>
      <c r="BO1756" t="s">
        <v>69</v>
      </c>
      <c r="BP1756">
        <v>15</v>
      </c>
      <c r="BQ1756" t="s">
        <v>8660</v>
      </c>
      <c r="BR1756" t="s">
        <v>8661</v>
      </c>
      <c r="BS1756" t="s">
        <v>8662</v>
      </c>
      <c r="BT1756" t="s">
        <v>25757</v>
      </c>
      <c r="BU1756" t="s">
        <v>3374</v>
      </c>
      <c r="BV1756" t="s">
        <v>69</v>
      </c>
      <c r="BW1756" t="s">
        <v>69</v>
      </c>
      <c r="BX1756" t="s">
        <v>69</v>
      </c>
      <c r="BY1756" t="s">
        <v>69</v>
      </c>
      <c r="BZ1756" t="s">
        <v>8526</v>
      </c>
      <c r="CA1756" t="str">
        <f>HYPERLINK("https%3A%2F%2Fwww.webofscience.com%2Fwos%2Fwoscc%2Ffull-record%2FWOS:000313231500009","View Full Record in Web of Science")</f>
        <v>View Full Record in Web of Science</v>
      </c>
    </row>
    <row r="1757" spans="1:79" ht="12.5" x14ac:dyDescent="0.25">
      <c r="B1757" t="s">
        <v>8495</v>
      </c>
      <c r="D1757" s="7" t="s">
        <v>32933</v>
      </c>
      <c r="E1757" s="7"/>
      <c r="F1757" s="7"/>
      <c r="G1757" s="7"/>
      <c r="H1757" t="s">
        <v>67</v>
      </c>
      <c r="I1757" t="s">
        <v>2838</v>
      </c>
      <c r="J1757" t="s">
        <v>69</v>
      </c>
      <c r="K1757" t="s">
        <v>69</v>
      </c>
      <c r="L1757" t="s">
        <v>69</v>
      </c>
      <c r="M1757" t="s">
        <v>2839</v>
      </c>
      <c r="N1757" t="s">
        <v>69</v>
      </c>
      <c r="O1757" t="s">
        <v>2840</v>
      </c>
      <c r="P1757" t="s">
        <v>2841</v>
      </c>
      <c r="Q1757" t="s">
        <v>2842</v>
      </c>
      <c r="R1757" t="s">
        <v>69</v>
      </c>
      <c r="S1757" t="s">
        <v>69</v>
      </c>
      <c r="T1757" t="s">
        <v>8505</v>
      </c>
      <c r="U1757" t="s">
        <v>8506</v>
      </c>
      <c r="V1757" t="s">
        <v>69</v>
      </c>
      <c r="W1757" t="s">
        <v>69</v>
      </c>
      <c r="X1757" t="s">
        <v>69</v>
      </c>
      <c r="Y1757" t="s">
        <v>69</v>
      </c>
      <c r="Z1757" t="s">
        <v>69</v>
      </c>
      <c r="AA1757" t="s">
        <v>21474</v>
      </c>
      <c r="AB1757" t="s">
        <v>21475</v>
      </c>
      <c r="AC1757" t="s">
        <v>2843</v>
      </c>
      <c r="AD1757" t="s">
        <v>21476</v>
      </c>
      <c r="AE1757" t="s">
        <v>69</v>
      </c>
      <c r="AF1757" t="s">
        <v>21477</v>
      </c>
      <c r="AG1757" t="s">
        <v>21478</v>
      </c>
      <c r="AH1757" t="s">
        <v>21479</v>
      </c>
      <c r="AI1757" t="s">
        <v>21480</v>
      </c>
      <c r="AJ1757" t="s">
        <v>21481</v>
      </c>
      <c r="AK1757" t="s">
        <v>21481</v>
      </c>
      <c r="AL1757" t="s">
        <v>21482</v>
      </c>
      <c r="AM1757" t="s">
        <v>69</v>
      </c>
      <c r="AN1757">
        <v>43</v>
      </c>
      <c r="AO1757">
        <v>82</v>
      </c>
      <c r="AP1757">
        <v>84</v>
      </c>
      <c r="AQ1757">
        <v>2</v>
      </c>
      <c r="AR1757">
        <v>50</v>
      </c>
      <c r="AS1757" t="s">
        <v>9203</v>
      </c>
      <c r="AT1757" t="s">
        <v>8763</v>
      </c>
      <c r="AU1757" t="s">
        <v>9204</v>
      </c>
      <c r="AV1757" t="s">
        <v>2844</v>
      </c>
      <c r="AW1757" t="s">
        <v>69</v>
      </c>
      <c r="AX1757" t="s">
        <v>69</v>
      </c>
      <c r="AY1757" t="s">
        <v>21483</v>
      </c>
      <c r="AZ1757" t="s">
        <v>21484</v>
      </c>
      <c r="BA1757" t="s">
        <v>2187</v>
      </c>
      <c r="BB1757">
        <v>2016</v>
      </c>
      <c r="BC1757">
        <v>13</v>
      </c>
      <c r="BD1757" t="s">
        <v>69</v>
      </c>
      <c r="BE1757" t="s">
        <v>69</v>
      </c>
      <c r="BF1757" t="s">
        <v>69</v>
      </c>
      <c r="BG1757" t="s">
        <v>69</v>
      </c>
      <c r="BH1757" t="s">
        <v>69</v>
      </c>
      <c r="BI1757" t="s">
        <v>69</v>
      </c>
      <c r="BJ1757" t="s">
        <v>69</v>
      </c>
      <c r="BK1757">
        <v>83</v>
      </c>
      <c r="BL1757" t="s">
        <v>2845</v>
      </c>
      <c r="BM1757" t="str">
        <f>HYPERLINK("http://dx.doi.org/10.1186/s12966-016-0409-3","http://dx.doi.org/10.1186/s12966-016-0409-3")</f>
        <v>http://dx.doi.org/10.1186/s12966-016-0409-3</v>
      </c>
      <c r="BN1757" t="s">
        <v>69</v>
      </c>
      <c r="BO1757" t="s">
        <v>69</v>
      </c>
      <c r="BP1757">
        <v>13</v>
      </c>
      <c r="BQ1757" t="s">
        <v>21485</v>
      </c>
      <c r="BR1757" t="s">
        <v>8523</v>
      </c>
      <c r="BS1757" t="s">
        <v>21485</v>
      </c>
      <c r="BT1757" t="s">
        <v>21486</v>
      </c>
      <c r="BU1757" t="s">
        <v>2846</v>
      </c>
      <c r="BV1757">
        <v>27421750</v>
      </c>
      <c r="BW1757" t="s">
        <v>21487</v>
      </c>
      <c r="BX1757" t="s">
        <v>69</v>
      </c>
      <c r="BY1757" t="s">
        <v>69</v>
      </c>
      <c r="BZ1757" t="s">
        <v>8526</v>
      </c>
      <c r="CA1757" t="str">
        <f>HYPERLINK("https%3A%2F%2Fwww.webofscience.com%2Fwos%2Fwoscc%2Ffull-record%2FWOS:000379823500002","View Full Record in Web of Science")</f>
        <v>View Full Record in Web of Science</v>
      </c>
    </row>
    <row r="1758" spans="1:79" ht="12.5" x14ac:dyDescent="0.25">
      <c r="B1758" t="s">
        <v>8495</v>
      </c>
      <c r="D1758" s="7" t="s">
        <v>32933</v>
      </c>
      <c r="E1758" s="7"/>
      <c r="F1758" s="7"/>
      <c r="G1758" s="7"/>
      <c r="H1758" t="s">
        <v>67</v>
      </c>
      <c r="I1758" t="s">
        <v>6421</v>
      </c>
      <c r="J1758" t="s">
        <v>69</v>
      </c>
      <c r="K1758" t="s">
        <v>69</v>
      </c>
      <c r="L1758" t="s">
        <v>69</v>
      </c>
      <c r="M1758" t="s">
        <v>6422</v>
      </c>
      <c r="N1758" t="s">
        <v>69</v>
      </c>
      <c r="O1758" t="s">
        <v>69</v>
      </c>
      <c r="P1758" t="s">
        <v>6423</v>
      </c>
      <c r="Q1758" t="s">
        <v>2307</v>
      </c>
      <c r="R1758" t="s">
        <v>69</v>
      </c>
      <c r="S1758" t="s">
        <v>69</v>
      </c>
      <c r="T1758" t="s">
        <v>8505</v>
      </c>
      <c r="U1758" t="s">
        <v>8506</v>
      </c>
      <c r="V1758" t="s">
        <v>69</v>
      </c>
      <c r="W1758" t="s">
        <v>69</v>
      </c>
      <c r="X1758" t="s">
        <v>69</v>
      </c>
      <c r="Y1758" t="s">
        <v>69</v>
      </c>
      <c r="Z1758" t="s">
        <v>69</v>
      </c>
      <c r="AA1758" t="s">
        <v>19752</v>
      </c>
      <c r="AB1758" t="s">
        <v>19753</v>
      </c>
      <c r="AC1758" t="s">
        <v>6424</v>
      </c>
      <c r="AD1758" t="s">
        <v>19754</v>
      </c>
      <c r="AE1758" t="s">
        <v>69</v>
      </c>
      <c r="AF1758" t="s">
        <v>19755</v>
      </c>
      <c r="AG1758" t="s">
        <v>19756</v>
      </c>
      <c r="AH1758" t="s">
        <v>69</v>
      </c>
      <c r="AI1758" t="s">
        <v>19757</v>
      </c>
      <c r="AJ1758" t="s">
        <v>69</v>
      </c>
      <c r="AK1758" t="s">
        <v>69</v>
      </c>
      <c r="AL1758" t="s">
        <v>69</v>
      </c>
      <c r="AM1758" t="s">
        <v>69</v>
      </c>
      <c r="AN1758">
        <v>52</v>
      </c>
      <c r="AO1758">
        <v>7</v>
      </c>
      <c r="AP1758">
        <v>7</v>
      </c>
      <c r="AQ1758">
        <v>0</v>
      </c>
      <c r="AR1758">
        <v>27</v>
      </c>
      <c r="AS1758" t="s">
        <v>8762</v>
      </c>
      <c r="AT1758" t="s">
        <v>8763</v>
      </c>
      <c r="AU1758" t="s">
        <v>8764</v>
      </c>
      <c r="AV1758" t="s">
        <v>2309</v>
      </c>
      <c r="AW1758" t="s">
        <v>2310</v>
      </c>
      <c r="AX1758" t="s">
        <v>69</v>
      </c>
      <c r="AY1758" t="s">
        <v>17546</v>
      </c>
      <c r="AZ1758" t="s">
        <v>17547</v>
      </c>
      <c r="BA1758" t="s">
        <v>75</v>
      </c>
      <c r="BB1758">
        <v>2017</v>
      </c>
      <c r="BC1758">
        <v>70</v>
      </c>
      <c r="BD1758">
        <v>12</v>
      </c>
      <c r="BE1758" t="s">
        <v>69</v>
      </c>
      <c r="BF1758" t="s">
        <v>69</v>
      </c>
      <c r="BG1758" t="s">
        <v>69</v>
      </c>
      <c r="BH1758" t="s">
        <v>69</v>
      </c>
      <c r="BI1758">
        <v>1442</v>
      </c>
      <c r="BJ1758">
        <v>1463</v>
      </c>
      <c r="BK1758" t="s">
        <v>69</v>
      </c>
      <c r="BL1758" t="s">
        <v>6425</v>
      </c>
      <c r="BM1758" t="str">
        <f>HYPERLINK("http://dx.doi.org/10.1177/0018726717703449","http://dx.doi.org/10.1177/0018726717703449")</f>
        <v>http://dx.doi.org/10.1177/0018726717703449</v>
      </c>
      <c r="BN1758" t="s">
        <v>69</v>
      </c>
      <c r="BO1758" t="s">
        <v>69</v>
      </c>
      <c r="BP1758">
        <v>22</v>
      </c>
      <c r="BQ1758" t="s">
        <v>17548</v>
      </c>
      <c r="BR1758" t="s">
        <v>8661</v>
      </c>
      <c r="BS1758" t="s">
        <v>15524</v>
      </c>
      <c r="BT1758" t="s">
        <v>19758</v>
      </c>
      <c r="BU1758" t="s">
        <v>6426</v>
      </c>
      <c r="BV1758" t="s">
        <v>69</v>
      </c>
      <c r="BW1758" t="s">
        <v>10995</v>
      </c>
      <c r="BX1758" t="s">
        <v>69</v>
      </c>
      <c r="BY1758" t="s">
        <v>69</v>
      </c>
      <c r="BZ1758" t="s">
        <v>8526</v>
      </c>
      <c r="CA1758" t="str">
        <f>HYPERLINK("https%3A%2F%2Fwww.webofscience.com%2Fwos%2Fwoscc%2Ffull-record%2FWOS:000415270300002","View Full Record in Web of Science")</f>
        <v>View Full Record in Web of Science</v>
      </c>
    </row>
    <row r="1759" spans="1:79" ht="12.5" x14ac:dyDescent="0.25">
      <c r="B1759" t="s">
        <v>8495</v>
      </c>
      <c r="D1759" s="22" t="s">
        <v>32931</v>
      </c>
      <c r="E1759" s="7"/>
      <c r="F1759" s="7"/>
      <c r="G1759" s="7"/>
      <c r="H1759" t="s">
        <v>67</v>
      </c>
      <c r="I1759" t="s">
        <v>26190</v>
      </c>
      <c r="J1759" t="s">
        <v>69</v>
      </c>
      <c r="K1759" t="s">
        <v>69</v>
      </c>
      <c r="L1759" t="s">
        <v>69</v>
      </c>
      <c r="M1759" t="s">
        <v>26191</v>
      </c>
      <c r="N1759" t="s">
        <v>69</v>
      </c>
      <c r="O1759" t="s">
        <v>69</v>
      </c>
      <c r="P1759" t="s">
        <v>26192</v>
      </c>
      <c r="Q1759" t="s">
        <v>26193</v>
      </c>
      <c r="R1759" t="s">
        <v>69</v>
      </c>
      <c r="S1759" t="s">
        <v>69</v>
      </c>
      <c r="T1759" t="s">
        <v>8505</v>
      </c>
      <c r="U1759" t="s">
        <v>8506</v>
      </c>
      <c r="V1759" t="s">
        <v>69</v>
      </c>
      <c r="W1759" t="s">
        <v>69</v>
      </c>
      <c r="X1759" t="s">
        <v>69</v>
      </c>
      <c r="Y1759" t="s">
        <v>69</v>
      </c>
      <c r="Z1759" t="s">
        <v>69</v>
      </c>
      <c r="AA1759" t="s">
        <v>26194</v>
      </c>
      <c r="AB1759" t="s">
        <v>26195</v>
      </c>
      <c r="AC1759" t="s">
        <v>26196</v>
      </c>
      <c r="AD1759" t="s">
        <v>26197</v>
      </c>
      <c r="AE1759" t="s">
        <v>69</v>
      </c>
      <c r="AF1759" t="s">
        <v>26198</v>
      </c>
      <c r="AG1759" t="s">
        <v>26199</v>
      </c>
      <c r="AH1759" t="s">
        <v>69</v>
      </c>
      <c r="AI1759" t="s">
        <v>69</v>
      </c>
      <c r="AJ1759" t="s">
        <v>69</v>
      </c>
      <c r="AK1759" t="s">
        <v>69</v>
      </c>
      <c r="AL1759" t="s">
        <v>69</v>
      </c>
      <c r="AM1759" t="s">
        <v>69</v>
      </c>
      <c r="AN1759">
        <v>33</v>
      </c>
      <c r="AO1759">
        <v>2</v>
      </c>
      <c r="AP1759">
        <v>2</v>
      </c>
      <c r="AQ1759">
        <v>0</v>
      </c>
      <c r="AR1759">
        <v>0</v>
      </c>
      <c r="AS1759" t="s">
        <v>8762</v>
      </c>
      <c r="AT1759" t="s">
        <v>8763</v>
      </c>
      <c r="AU1759" t="s">
        <v>8764</v>
      </c>
      <c r="AV1759" t="s">
        <v>26200</v>
      </c>
      <c r="AW1759" t="s">
        <v>26201</v>
      </c>
      <c r="AX1759" t="s">
        <v>69</v>
      </c>
      <c r="AY1759" t="s">
        <v>26202</v>
      </c>
      <c r="AZ1759" t="s">
        <v>26203</v>
      </c>
      <c r="BA1759" t="s">
        <v>191</v>
      </c>
      <c r="BB1759">
        <v>2012</v>
      </c>
      <c r="BC1759">
        <v>16</v>
      </c>
      <c r="BD1759">
        <v>1</v>
      </c>
      <c r="BE1759" t="s">
        <v>69</v>
      </c>
      <c r="BF1759" t="s">
        <v>69</v>
      </c>
      <c r="BG1759" t="s">
        <v>69</v>
      </c>
      <c r="BH1759" t="s">
        <v>69</v>
      </c>
      <c r="BI1759">
        <v>56</v>
      </c>
      <c r="BJ1759">
        <v>68</v>
      </c>
      <c r="BK1759" t="s">
        <v>69</v>
      </c>
      <c r="BL1759" t="s">
        <v>26204</v>
      </c>
      <c r="BM1759" t="str">
        <f>HYPERLINK("http://dx.doi.org/10.1179/1024529411Z.0000000001","http://dx.doi.org/10.1179/1024529411Z.0000000001")</f>
        <v>http://dx.doi.org/10.1179/1024529411Z.0000000001</v>
      </c>
      <c r="BN1759" t="s">
        <v>69</v>
      </c>
      <c r="BO1759" t="s">
        <v>69</v>
      </c>
      <c r="BP1759">
        <v>13</v>
      </c>
      <c r="BQ1759" t="s">
        <v>26205</v>
      </c>
      <c r="BR1759" t="s">
        <v>8573</v>
      </c>
      <c r="BS1759" t="s">
        <v>21270</v>
      </c>
      <c r="BT1759" t="s">
        <v>26206</v>
      </c>
      <c r="BU1759" t="s">
        <v>26207</v>
      </c>
      <c r="BV1759" t="s">
        <v>69</v>
      </c>
      <c r="BW1759" t="s">
        <v>69</v>
      </c>
      <c r="BX1759" t="s">
        <v>69</v>
      </c>
      <c r="BY1759" t="s">
        <v>69</v>
      </c>
      <c r="BZ1759" t="s">
        <v>8526</v>
      </c>
      <c r="CA1759" t="str">
        <f>HYPERLINK("https%3A%2F%2Fwww.webofscience.com%2Fwos%2Fwoscc%2Ffull-record%2FWOS:000211914600004","View Full Record in Web of Science")</f>
        <v>View Full Record in Web of Science</v>
      </c>
    </row>
    <row r="1760" spans="1:79" ht="12.5" x14ac:dyDescent="0.25">
      <c r="B1760" t="s">
        <v>8495</v>
      </c>
      <c r="D1760" s="7" t="s">
        <v>32933</v>
      </c>
      <c r="E1760" s="7"/>
      <c r="F1760" s="7"/>
      <c r="G1760" s="7"/>
      <c r="H1760" t="s">
        <v>67</v>
      </c>
      <c r="I1760" t="s">
        <v>994</v>
      </c>
      <c r="J1760" t="s">
        <v>69</v>
      </c>
      <c r="K1760" t="s">
        <v>69</v>
      </c>
      <c r="L1760" t="s">
        <v>69</v>
      </c>
      <c r="M1760" t="s">
        <v>995</v>
      </c>
      <c r="N1760" t="s">
        <v>69</v>
      </c>
      <c r="O1760" t="s">
        <v>69</v>
      </c>
      <c r="P1760" t="s">
        <v>996</v>
      </c>
      <c r="Q1760" t="s">
        <v>997</v>
      </c>
      <c r="R1760" t="s">
        <v>69</v>
      </c>
      <c r="S1760" t="s">
        <v>69</v>
      </c>
      <c r="T1760" t="s">
        <v>8505</v>
      </c>
      <c r="U1760" t="s">
        <v>8506</v>
      </c>
      <c r="V1760" t="s">
        <v>69</v>
      </c>
      <c r="W1760" t="s">
        <v>69</v>
      </c>
      <c r="X1760" t="s">
        <v>69</v>
      </c>
      <c r="Y1760" t="s">
        <v>69</v>
      </c>
      <c r="Z1760" t="s">
        <v>69</v>
      </c>
      <c r="AA1760" t="s">
        <v>17919</v>
      </c>
      <c r="AB1760" t="s">
        <v>17920</v>
      </c>
      <c r="AC1760" t="s">
        <v>998</v>
      </c>
      <c r="AD1760" t="s">
        <v>17921</v>
      </c>
      <c r="AE1760" t="s">
        <v>69</v>
      </c>
      <c r="AF1760" t="s">
        <v>17922</v>
      </c>
      <c r="AG1760" t="s">
        <v>17923</v>
      </c>
      <c r="AH1760" t="s">
        <v>69</v>
      </c>
      <c r="AI1760" t="s">
        <v>69</v>
      </c>
      <c r="AJ1760" t="s">
        <v>69</v>
      </c>
      <c r="AK1760" t="s">
        <v>69</v>
      </c>
      <c r="AL1760" t="s">
        <v>69</v>
      </c>
      <c r="AM1760" t="s">
        <v>69</v>
      </c>
      <c r="AN1760">
        <v>75</v>
      </c>
      <c r="AO1760">
        <v>1</v>
      </c>
      <c r="AP1760">
        <v>1</v>
      </c>
      <c r="AQ1760">
        <v>0</v>
      </c>
      <c r="AR1760">
        <v>4</v>
      </c>
      <c r="AS1760" t="s">
        <v>17924</v>
      </c>
      <c r="AT1760" t="s">
        <v>17925</v>
      </c>
      <c r="AU1760" t="s">
        <v>17926</v>
      </c>
      <c r="AV1760" t="s">
        <v>999</v>
      </c>
      <c r="AW1760" t="s">
        <v>1000</v>
      </c>
      <c r="AX1760" t="s">
        <v>69</v>
      </c>
      <c r="AY1760" t="s">
        <v>17927</v>
      </c>
      <c r="AZ1760" t="s">
        <v>17928</v>
      </c>
      <c r="BA1760" t="s">
        <v>373</v>
      </c>
      <c r="BB1760">
        <v>2019</v>
      </c>
      <c r="BC1760">
        <v>90</v>
      </c>
      <c r="BD1760">
        <v>1</v>
      </c>
      <c r="BE1760" t="s">
        <v>69</v>
      </c>
      <c r="BF1760" t="s">
        <v>69</v>
      </c>
      <c r="BG1760" t="s">
        <v>69</v>
      </c>
      <c r="BH1760" t="s">
        <v>69</v>
      </c>
      <c r="BI1760">
        <v>33</v>
      </c>
      <c r="BJ1760">
        <v>55</v>
      </c>
      <c r="BK1760" t="s">
        <v>69</v>
      </c>
      <c r="BL1760" t="s">
        <v>1001</v>
      </c>
      <c r="BM1760" t="str">
        <f>HYPERLINK("http://dx.doi.org/10.3828/tpr.2019.4","http://dx.doi.org/10.3828/tpr.2019.4")</f>
        <v>http://dx.doi.org/10.3828/tpr.2019.4</v>
      </c>
      <c r="BN1760" t="s">
        <v>69</v>
      </c>
      <c r="BO1760" t="s">
        <v>69</v>
      </c>
      <c r="BP1760">
        <v>23</v>
      </c>
      <c r="BQ1760" t="s">
        <v>9944</v>
      </c>
      <c r="BR1760" t="s">
        <v>8573</v>
      </c>
      <c r="BS1760" t="s">
        <v>9945</v>
      </c>
      <c r="BT1760" t="s">
        <v>17929</v>
      </c>
      <c r="BU1760" t="s">
        <v>1002</v>
      </c>
      <c r="BV1760" t="s">
        <v>69</v>
      </c>
      <c r="BW1760" t="s">
        <v>10995</v>
      </c>
      <c r="BX1760" t="s">
        <v>69</v>
      </c>
      <c r="BY1760" t="s">
        <v>69</v>
      </c>
      <c r="BZ1760" t="s">
        <v>8526</v>
      </c>
      <c r="CA1760" t="str">
        <f>HYPERLINK("https%3A%2F%2Fwww.webofscience.com%2Fwos%2Fwoscc%2Ffull-record%2FWOS:000456174100003","View Full Record in Web of Science")</f>
        <v>View Full Record in Web of Science</v>
      </c>
    </row>
    <row r="1761" spans="1:79" ht="12.5" x14ac:dyDescent="0.25">
      <c r="B1761" t="s">
        <v>8495</v>
      </c>
      <c r="D1761" s="22" t="s">
        <v>32931</v>
      </c>
      <c r="E1761" s="7"/>
      <c r="F1761" s="7"/>
      <c r="G1761" s="7"/>
      <c r="H1761" t="s">
        <v>67</v>
      </c>
      <c r="I1761" t="s">
        <v>26864</v>
      </c>
      <c r="J1761" t="s">
        <v>69</v>
      </c>
      <c r="K1761" t="s">
        <v>69</v>
      </c>
      <c r="L1761" t="s">
        <v>69</v>
      </c>
      <c r="M1761" t="s">
        <v>26865</v>
      </c>
      <c r="N1761" t="s">
        <v>69</v>
      </c>
      <c r="O1761" t="s">
        <v>69</v>
      </c>
      <c r="P1761" t="s">
        <v>26866</v>
      </c>
      <c r="Q1761" t="s">
        <v>26867</v>
      </c>
      <c r="R1761" t="s">
        <v>69</v>
      </c>
      <c r="S1761" t="s">
        <v>69</v>
      </c>
      <c r="T1761" t="s">
        <v>8505</v>
      </c>
      <c r="U1761" t="s">
        <v>8506</v>
      </c>
      <c r="V1761" t="s">
        <v>69</v>
      </c>
      <c r="W1761" t="s">
        <v>69</v>
      </c>
      <c r="X1761" t="s">
        <v>69</v>
      </c>
      <c r="Y1761" t="s">
        <v>69</v>
      </c>
      <c r="Z1761" t="s">
        <v>69</v>
      </c>
      <c r="AA1761" t="s">
        <v>26868</v>
      </c>
      <c r="AB1761" t="s">
        <v>26869</v>
      </c>
      <c r="AC1761" t="s">
        <v>26870</v>
      </c>
      <c r="AD1761" t="s">
        <v>26871</v>
      </c>
      <c r="AE1761" t="s">
        <v>69</v>
      </c>
      <c r="AF1761" t="s">
        <v>26872</v>
      </c>
      <c r="AG1761" t="s">
        <v>26873</v>
      </c>
      <c r="AH1761" t="s">
        <v>26874</v>
      </c>
      <c r="AI1761" t="s">
        <v>26875</v>
      </c>
      <c r="AJ1761" t="s">
        <v>26876</v>
      </c>
      <c r="AK1761" t="s">
        <v>26876</v>
      </c>
      <c r="AL1761" t="s">
        <v>26877</v>
      </c>
      <c r="AM1761" t="s">
        <v>69</v>
      </c>
      <c r="AN1761">
        <v>13</v>
      </c>
      <c r="AO1761">
        <v>20</v>
      </c>
      <c r="AP1761">
        <v>20</v>
      </c>
      <c r="AQ1761">
        <v>0</v>
      </c>
      <c r="AR1761">
        <v>3</v>
      </c>
      <c r="AS1761" t="s">
        <v>10538</v>
      </c>
      <c r="AT1761" t="s">
        <v>10539</v>
      </c>
      <c r="AU1761" t="s">
        <v>14431</v>
      </c>
      <c r="AV1761" t="s">
        <v>26878</v>
      </c>
      <c r="AW1761" t="s">
        <v>69</v>
      </c>
      <c r="AX1761" t="s">
        <v>69</v>
      </c>
      <c r="AY1761" t="s">
        <v>26879</v>
      </c>
      <c r="AZ1761" t="s">
        <v>26880</v>
      </c>
      <c r="BA1761" t="s">
        <v>5888</v>
      </c>
      <c r="BB1761">
        <v>2011</v>
      </c>
      <c r="BC1761">
        <v>14</v>
      </c>
      <c r="BD1761">
        <v>3</v>
      </c>
      <c r="BE1761" t="s">
        <v>69</v>
      </c>
      <c r="BF1761" t="s">
        <v>69</v>
      </c>
      <c r="BG1761" t="s">
        <v>69</v>
      </c>
      <c r="BH1761" t="s">
        <v>69</v>
      </c>
      <c r="BI1761">
        <v>270</v>
      </c>
      <c r="BJ1761">
        <v>275</v>
      </c>
      <c r="BK1761" t="s">
        <v>69</v>
      </c>
      <c r="BL1761" t="s">
        <v>26881</v>
      </c>
      <c r="BM1761" t="str">
        <f>HYPERLINK("http://dx.doi.org/10.4103/1119-3077.86765","http://dx.doi.org/10.4103/1119-3077.86765")</f>
        <v>http://dx.doi.org/10.4103/1119-3077.86765</v>
      </c>
      <c r="BN1761" t="s">
        <v>69</v>
      </c>
      <c r="BO1761" t="s">
        <v>69</v>
      </c>
      <c r="BP1761">
        <v>6</v>
      </c>
      <c r="BQ1761" t="s">
        <v>9450</v>
      </c>
      <c r="BR1761" t="s">
        <v>8548</v>
      </c>
      <c r="BS1761" t="s">
        <v>9451</v>
      </c>
      <c r="BT1761" t="s">
        <v>26882</v>
      </c>
      <c r="BU1761" t="s">
        <v>26883</v>
      </c>
      <c r="BV1761">
        <v>22037066</v>
      </c>
      <c r="BW1761" t="s">
        <v>69</v>
      </c>
      <c r="BX1761" t="s">
        <v>69</v>
      </c>
      <c r="BY1761" t="s">
        <v>69</v>
      </c>
      <c r="BZ1761" t="s">
        <v>8526</v>
      </c>
      <c r="CA1761" t="str">
        <f>HYPERLINK("https%3A%2F%2Fwww.webofscience.com%2Fwos%2Fwoscc%2Ffull-record%2FWOS:000297168000003","View Full Record in Web of Science")</f>
        <v>View Full Record in Web of Science</v>
      </c>
    </row>
    <row r="1762" spans="1:79" ht="12.5" x14ac:dyDescent="0.25">
      <c r="B1762" t="s">
        <v>8495</v>
      </c>
      <c r="D1762" s="7" t="s">
        <v>32933</v>
      </c>
      <c r="E1762" s="7"/>
      <c r="F1762" s="7"/>
      <c r="G1762" s="7"/>
      <c r="H1762" t="s">
        <v>67</v>
      </c>
      <c r="I1762" t="s">
        <v>6268</v>
      </c>
      <c r="J1762" t="s">
        <v>69</v>
      </c>
      <c r="K1762" t="s">
        <v>69</v>
      </c>
      <c r="L1762" t="s">
        <v>69</v>
      </c>
      <c r="M1762" t="s">
        <v>6269</v>
      </c>
      <c r="N1762" t="s">
        <v>69</v>
      </c>
      <c r="O1762" t="s">
        <v>69</v>
      </c>
      <c r="P1762" t="s">
        <v>6270</v>
      </c>
      <c r="Q1762" t="s">
        <v>6271</v>
      </c>
      <c r="R1762" t="s">
        <v>69</v>
      </c>
      <c r="S1762" t="s">
        <v>69</v>
      </c>
      <c r="T1762" t="s">
        <v>10071</v>
      </c>
      <c r="U1762" t="s">
        <v>8506</v>
      </c>
      <c r="V1762" t="s">
        <v>69</v>
      </c>
      <c r="W1762" t="s">
        <v>69</v>
      </c>
      <c r="X1762" t="s">
        <v>69</v>
      </c>
      <c r="Y1762" t="s">
        <v>69</v>
      </c>
      <c r="Z1762" t="s">
        <v>69</v>
      </c>
      <c r="AA1762" t="s">
        <v>20428</v>
      </c>
      <c r="AB1762" t="s">
        <v>69</v>
      </c>
      <c r="AC1762" t="s">
        <v>6272</v>
      </c>
      <c r="AD1762" t="s">
        <v>20429</v>
      </c>
      <c r="AE1762" t="s">
        <v>69</v>
      </c>
      <c r="AF1762" t="s">
        <v>20430</v>
      </c>
      <c r="AG1762" t="s">
        <v>20431</v>
      </c>
      <c r="AH1762" t="s">
        <v>69</v>
      </c>
      <c r="AI1762" t="s">
        <v>69</v>
      </c>
      <c r="AJ1762" t="s">
        <v>69</v>
      </c>
      <c r="AK1762" t="s">
        <v>69</v>
      </c>
      <c r="AL1762" t="s">
        <v>69</v>
      </c>
      <c r="AM1762" t="s">
        <v>69</v>
      </c>
      <c r="AN1762">
        <v>57</v>
      </c>
      <c r="AO1762">
        <v>0</v>
      </c>
      <c r="AP1762">
        <v>0</v>
      </c>
      <c r="AQ1762">
        <v>1</v>
      </c>
      <c r="AR1762">
        <v>3</v>
      </c>
      <c r="AS1762" t="s">
        <v>20432</v>
      </c>
      <c r="AT1762" t="s">
        <v>20433</v>
      </c>
      <c r="AU1762" t="s">
        <v>20434</v>
      </c>
      <c r="AV1762" t="s">
        <v>6273</v>
      </c>
      <c r="AW1762" t="s">
        <v>6274</v>
      </c>
      <c r="AX1762" t="s">
        <v>69</v>
      </c>
      <c r="AY1762" t="s">
        <v>6271</v>
      </c>
      <c r="AZ1762" t="s">
        <v>20435</v>
      </c>
      <c r="BA1762" t="s">
        <v>586</v>
      </c>
      <c r="BB1762">
        <v>2017</v>
      </c>
      <c r="BC1762">
        <v>20</v>
      </c>
      <c r="BD1762">
        <v>35</v>
      </c>
      <c r="BE1762" t="s">
        <v>69</v>
      </c>
      <c r="BF1762" t="s">
        <v>69</v>
      </c>
      <c r="BG1762" t="s">
        <v>69</v>
      </c>
      <c r="BH1762" t="s">
        <v>69</v>
      </c>
      <c r="BI1762">
        <v>18</v>
      </c>
      <c r="BJ1762">
        <v>31</v>
      </c>
      <c r="BK1762" t="s">
        <v>69</v>
      </c>
      <c r="BL1762" t="s">
        <v>6275</v>
      </c>
      <c r="BM1762" t="str">
        <f>HYPERLINK("http://dx.doi.org/10.22320/07813607.2017.20.35.02","http://dx.doi.org/10.22320/07813607.2017.20.35.02")</f>
        <v>http://dx.doi.org/10.22320/07813607.2017.20.35.02</v>
      </c>
      <c r="BN1762" t="s">
        <v>69</v>
      </c>
      <c r="BO1762" t="s">
        <v>69</v>
      </c>
      <c r="BP1762">
        <v>14</v>
      </c>
      <c r="BQ1762" t="s">
        <v>14187</v>
      </c>
      <c r="BR1762" t="s">
        <v>8573</v>
      </c>
      <c r="BS1762" t="s">
        <v>12182</v>
      </c>
      <c r="BT1762" t="s">
        <v>20436</v>
      </c>
      <c r="BU1762" t="s">
        <v>6276</v>
      </c>
      <c r="BV1762" t="s">
        <v>69</v>
      </c>
      <c r="BW1762" t="s">
        <v>11853</v>
      </c>
      <c r="BX1762" t="s">
        <v>69</v>
      </c>
      <c r="BY1762" t="s">
        <v>69</v>
      </c>
      <c r="BZ1762" t="s">
        <v>8526</v>
      </c>
      <c r="CA1762" t="str">
        <f>HYPERLINK("https%3A%2F%2Fwww.webofscience.com%2Fwos%2Fwoscc%2Ffull-record%2FWOS:000455841200003","View Full Record in Web of Science")</f>
        <v>View Full Record in Web of Science</v>
      </c>
    </row>
    <row r="1763" spans="1:79" ht="12.5" x14ac:dyDescent="0.25">
      <c r="B1763" t="s">
        <v>8495</v>
      </c>
      <c r="D1763" s="7" t="s">
        <v>32933</v>
      </c>
      <c r="E1763" s="7"/>
      <c r="F1763" s="7"/>
      <c r="G1763" s="7"/>
      <c r="H1763" t="s">
        <v>67</v>
      </c>
      <c r="I1763" t="s">
        <v>8311</v>
      </c>
      <c r="J1763" t="s">
        <v>69</v>
      </c>
      <c r="K1763" t="s">
        <v>69</v>
      </c>
      <c r="L1763" t="s">
        <v>69</v>
      </c>
      <c r="M1763" t="s">
        <v>8312</v>
      </c>
      <c r="N1763" t="s">
        <v>69</v>
      </c>
      <c r="O1763" t="s">
        <v>69</v>
      </c>
      <c r="P1763" t="s">
        <v>8313</v>
      </c>
      <c r="Q1763" t="s">
        <v>8314</v>
      </c>
      <c r="R1763" t="s">
        <v>69</v>
      </c>
      <c r="S1763" t="s">
        <v>69</v>
      </c>
      <c r="T1763" t="s">
        <v>8505</v>
      </c>
      <c r="U1763" t="s">
        <v>8506</v>
      </c>
      <c r="V1763" t="s">
        <v>69</v>
      </c>
      <c r="W1763" t="s">
        <v>69</v>
      </c>
      <c r="X1763" t="s">
        <v>69</v>
      </c>
      <c r="Y1763" t="s">
        <v>69</v>
      </c>
      <c r="Z1763" t="s">
        <v>69</v>
      </c>
      <c r="AA1763" t="s">
        <v>23291</v>
      </c>
      <c r="AB1763" t="s">
        <v>69</v>
      </c>
      <c r="AC1763" t="s">
        <v>8315</v>
      </c>
      <c r="AD1763" t="s">
        <v>23292</v>
      </c>
      <c r="AE1763" t="s">
        <v>69</v>
      </c>
      <c r="AF1763" t="s">
        <v>23293</v>
      </c>
      <c r="AG1763" t="s">
        <v>23294</v>
      </c>
      <c r="AH1763" t="s">
        <v>8316</v>
      </c>
      <c r="AI1763" t="s">
        <v>8317</v>
      </c>
      <c r="AJ1763" t="s">
        <v>69</v>
      </c>
      <c r="AK1763" t="s">
        <v>69</v>
      </c>
      <c r="AL1763" t="s">
        <v>69</v>
      </c>
      <c r="AM1763" t="s">
        <v>69</v>
      </c>
      <c r="AN1763">
        <v>16</v>
      </c>
      <c r="AO1763">
        <v>2</v>
      </c>
      <c r="AP1763">
        <v>2</v>
      </c>
      <c r="AQ1763">
        <v>0</v>
      </c>
      <c r="AR1763">
        <v>1</v>
      </c>
      <c r="AS1763" t="s">
        <v>23295</v>
      </c>
      <c r="AT1763" t="s">
        <v>13718</v>
      </c>
      <c r="AU1763" t="s">
        <v>23296</v>
      </c>
      <c r="AV1763" t="s">
        <v>8318</v>
      </c>
      <c r="AW1763" t="s">
        <v>8319</v>
      </c>
      <c r="AX1763" t="s">
        <v>69</v>
      </c>
      <c r="AY1763" t="s">
        <v>23297</v>
      </c>
      <c r="AZ1763" t="s">
        <v>23298</v>
      </c>
      <c r="BA1763" t="s">
        <v>69</v>
      </c>
      <c r="BB1763">
        <v>2015</v>
      </c>
      <c r="BC1763">
        <v>75</v>
      </c>
      <c r="BD1763">
        <v>9</v>
      </c>
      <c r="BE1763" t="s">
        <v>69</v>
      </c>
      <c r="BF1763" t="s">
        <v>69</v>
      </c>
      <c r="BG1763" t="s">
        <v>69</v>
      </c>
      <c r="BH1763" t="s">
        <v>69</v>
      </c>
      <c r="BI1763">
        <v>47</v>
      </c>
      <c r="BJ1763">
        <v>50</v>
      </c>
      <c r="BK1763" t="s">
        <v>69</v>
      </c>
      <c r="BL1763" t="s">
        <v>69</v>
      </c>
      <c r="BM1763" t="s">
        <v>69</v>
      </c>
      <c r="BN1763" t="s">
        <v>69</v>
      </c>
      <c r="BO1763" t="s">
        <v>69</v>
      </c>
      <c r="BP1763">
        <v>4</v>
      </c>
      <c r="BQ1763" t="s">
        <v>9891</v>
      </c>
      <c r="BR1763" t="s">
        <v>8573</v>
      </c>
      <c r="BS1763" t="s">
        <v>8445</v>
      </c>
      <c r="BT1763" t="s">
        <v>23299</v>
      </c>
      <c r="BU1763" t="s">
        <v>8320</v>
      </c>
      <c r="BV1763" t="s">
        <v>69</v>
      </c>
      <c r="BW1763" t="s">
        <v>69</v>
      </c>
      <c r="BX1763" t="s">
        <v>69</v>
      </c>
      <c r="BY1763" t="s">
        <v>69</v>
      </c>
      <c r="BZ1763" t="s">
        <v>8526</v>
      </c>
      <c r="CA1763" t="str">
        <f>HYPERLINK("https%3A%2F%2Fwww.webofscience.com%2Fwos%2Fwoscc%2Ffull-record%2FWOS:000218579900008","View Full Record in Web of Science")</f>
        <v>View Full Record in Web of Science</v>
      </c>
    </row>
    <row r="1764" spans="1:79" ht="12.5" x14ac:dyDescent="0.25">
      <c r="B1764" t="s">
        <v>8495</v>
      </c>
      <c r="D1764" s="7" t="s">
        <v>32933</v>
      </c>
      <c r="E1764" s="7"/>
      <c r="F1764" s="7"/>
      <c r="G1764" s="7"/>
      <c r="H1764" t="s">
        <v>67</v>
      </c>
      <c r="I1764" t="s">
        <v>1097</v>
      </c>
      <c r="J1764" t="s">
        <v>69</v>
      </c>
      <c r="K1764" t="s">
        <v>69</v>
      </c>
      <c r="L1764" t="s">
        <v>69</v>
      </c>
      <c r="M1764" t="s">
        <v>1098</v>
      </c>
      <c r="N1764" t="s">
        <v>69</v>
      </c>
      <c r="O1764" t="s">
        <v>69</v>
      </c>
      <c r="P1764" t="s">
        <v>1099</v>
      </c>
      <c r="Q1764" t="s">
        <v>1100</v>
      </c>
      <c r="R1764" t="s">
        <v>69</v>
      </c>
      <c r="S1764" t="s">
        <v>69</v>
      </c>
      <c r="T1764" t="s">
        <v>8505</v>
      </c>
      <c r="U1764" t="s">
        <v>8506</v>
      </c>
      <c r="V1764" t="s">
        <v>69</v>
      </c>
      <c r="W1764" t="s">
        <v>69</v>
      </c>
      <c r="X1764" t="s">
        <v>69</v>
      </c>
      <c r="Y1764" t="s">
        <v>69</v>
      </c>
      <c r="Z1764" t="s">
        <v>69</v>
      </c>
      <c r="AA1764" t="s">
        <v>19427</v>
      </c>
      <c r="AB1764" t="s">
        <v>19428</v>
      </c>
      <c r="AC1764" t="s">
        <v>1101</v>
      </c>
      <c r="AD1764" t="s">
        <v>19429</v>
      </c>
      <c r="AE1764" t="s">
        <v>69</v>
      </c>
      <c r="AF1764" t="s">
        <v>19430</v>
      </c>
      <c r="AG1764" t="s">
        <v>69</v>
      </c>
      <c r="AH1764" t="s">
        <v>69</v>
      </c>
      <c r="AI1764" t="s">
        <v>69</v>
      </c>
      <c r="AJ1764" t="s">
        <v>69</v>
      </c>
      <c r="AK1764" t="s">
        <v>69</v>
      </c>
      <c r="AL1764" t="s">
        <v>69</v>
      </c>
      <c r="AM1764" t="s">
        <v>69</v>
      </c>
      <c r="AN1764">
        <v>26</v>
      </c>
      <c r="AO1764">
        <v>0</v>
      </c>
      <c r="AP1764">
        <v>0</v>
      </c>
      <c r="AQ1764">
        <v>0</v>
      </c>
      <c r="AR1764">
        <v>4</v>
      </c>
      <c r="AS1764" t="s">
        <v>19431</v>
      </c>
      <c r="AT1764" t="s">
        <v>19432</v>
      </c>
      <c r="AU1764" t="s">
        <v>19433</v>
      </c>
      <c r="AV1764" t="s">
        <v>1102</v>
      </c>
      <c r="AW1764" t="s">
        <v>1103</v>
      </c>
      <c r="AX1764" t="s">
        <v>69</v>
      </c>
      <c r="AY1764" t="s">
        <v>19434</v>
      </c>
      <c r="AZ1764" t="s">
        <v>19435</v>
      </c>
      <c r="BA1764" t="s">
        <v>69</v>
      </c>
      <c r="BB1764">
        <v>2018</v>
      </c>
      <c r="BC1764">
        <v>7</v>
      </c>
      <c r="BD1764">
        <v>4</v>
      </c>
      <c r="BE1764" t="s">
        <v>69</v>
      </c>
      <c r="BF1764" t="s">
        <v>69</v>
      </c>
      <c r="BG1764" t="s">
        <v>69</v>
      </c>
      <c r="BH1764" t="s">
        <v>69</v>
      </c>
      <c r="BI1764">
        <v>507</v>
      </c>
      <c r="BJ1764">
        <v>516</v>
      </c>
      <c r="BK1764" t="s">
        <v>69</v>
      </c>
      <c r="BL1764" t="s">
        <v>1104</v>
      </c>
      <c r="BM1764" t="str">
        <f>HYPERLINK("http://dx.doi.org/10.14207/ejsd.2018.v7n4p507","http://dx.doi.org/10.14207/ejsd.2018.v7n4p507")</f>
        <v>http://dx.doi.org/10.14207/ejsd.2018.v7n4p507</v>
      </c>
      <c r="BN1764" t="s">
        <v>69</v>
      </c>
      <c r="BO1764" t="s">
        <v>69</v>
      </c>
      <c r="BP1764">
        <v>10</v>
      </c>
      <c r="BQ1764" t="s">
        <v>8717</v>
      </c>
      <c r="BR1764" t="s">
        <v>8573</v>
      </c>
      <c r="BS1764" t="s">
        <v>8662</v>
      </c>
      <c r="BT1764" t="s">
        <v>19436</v>
      </c>
      <c r="BU1764" t="s">
        <v>1105</v>
      </c>
      <c r="BV1764" t="s">
        <v>69</v>
      </c>
      <c r="BW1764" t="s">
        <v>8931</v>
      </c>
      <c r="BX1764" t="s">
        <v>69</v>
      </c>
      <c r="BY1764" t="s">
        <v>69</v>
      </c>
      <c r="BZ1764" t="s">
        <v>8526</v>
      </c>
      <c r="CA1764" t="str">
        <f>HYPERLINK("https%3A%2F%2Fwww.webofscience.com%2Fwos%2Fwoscc%2Ffull-record%2FWOS:000446113700049","View Full Record in Web of Science")</f>
        <v>View Full Record in Web of Science</v>
      </c>
    </row>
    <row r="1765" spans="1:79" ht="12.5" x14ac:dyDescent="0.25">
      <c r="B1765" t="s">
        <v>8495</v>
      </c>
      <c r="D1765" s="7" t="s">
        <v>32933</v>
      </c>
      <c r="E1765" s="7"/>
      <c r="F1765" s="7"/>
      <c r="G1765" s="7"/>
      <c r="H1765" t="s">
        <v>67</v>
      </c>
      <c r="I1765" t="s">
        <v>1085</v>
      </c>
      <c r="J1765" t="s">
        <v>69</v>
      </c>
      <c r="K1765" t="s">
        <v>69</v>
      </c>
      <c r="L1765" t="s">
        <v>69</v>
      </c>
      <c r="M1765" t="s">
        <v>1086</v>
      </c>
      <c r="N1765" t="s">
        <v>69</v>
      </c>
      <c r="O1765" t="s">
        <v>69</v>
      </c>
      <c r="P1765" t="s">
        <v>1087</v>
      </c>
      <c r="Q1765" t="s">
        <v>352</v>
      </c>
      <c r="R1765" t="s">
        <v>69</v>
      </c>
      <c r="S1765" t="s">
        <v>69</v>
      </c>
      <c r="T1765" t="s">
        <v>8505</v>
      </c>
      <c r="U1765" t="s">
        <v>8442</v>
      </c>
      <c r="V1765" t="s">
        <v>69</v>
      </c>
      <c r="W1765" t="s">
        <v>69</v>
      </c>
      <c r="X1765" t="s">
        <v>69</v>
      </c>
      <c r="Y1765" t="s">
        <v>69</v>
      </c>
      <c r="Z1765" t="s">
        <v>69</v>
      </c>
      <c r="AA1765" t="s">
        <v>18999</v>
      </c>
      <c r="AB1765" t="s">
        <v>19000</v>
      </c>
      <c r="AC1765" t="s">
        <v>1088</v>
      </c>
      <c r="AD1765" t="s">
        <v>19001</v>
      </c>
      <c r="AE1765" t="s">
        <v>69</v>
      </c>
      <c r="AF1765" t="s">
        <v>19002</v>
      </c>
      <c r="AG1765" t="s">
        <v>19003</v>
      </c>
      <c r="AH1765" t="s">
        <v>19004</v>
      </c>
      <c r="AI1765" t="s">
        <v>19005</v>
      </c>
      <c r="AJ1765" t="s">
        <v>19006</v>
      </c>
      <c r="AK1765" t="s">
        <v>19006</v>
      </c>
      <c r="AL1765" t="s">
        <v>19007</v>
      </c>
      <c r="AM1765" t="s">
        <v>69</v>
      </c>
      <c r="AN1765">
        <v>70</v>
      </c>
      <c r="AO1765">
        <v>20</v>
      </c>
      <c r="AP1765">
        <v>20</v>
      </c>
      <c r="AQ1765">
        <v>4</v>
      </c>
      <c r="AR1765">
        <v>30</v>
      </c>
      <c r="AS1765" t="s">
        <v>8924</v>
      </c>
      <c r="AT1765" t="s">
        <v>8925</v>
      </c>
      <c r="AU1765" t="s">
        <v>8926</v>
      </c>
      <c r="AV1765" t="s">
        <v>69</v>
      </c>
      <c r="AW1765" t="s">
        <v>354</v>
      </c>
      <c r="AX1765" t="s">
        <v>69</v>
      </c>
      <c r="AY1765" t="s">
        <v>8958</v>
      </c>
      <c r="AZ1765" t="s">
        <v>8434</v>
      </c>
      <c r="BA1765" t="s">
        <v>246</v>
      </c>
      <c r="BB1765">
        <v>2018</v>
      </c>
      <c r="BC1765">
        <v>10</v>
      </c>
      <c r="BD1765">
        <v>4</v>
      </c>
      <c r="BE1765" t="s">
        <v>69</v>
      </c>
      <c r="BF1765" t="s">
        <v>69</v>
      </c>
      <c r="BG1765" t="s">
        <v>69</v>
      </c>
      <c r="BH1765" t="s">
        <v>69</v>
      </c>
      <c r="BI1765" t="s">
        <v>69</v>
      </c>
      <c r="BJ1765" t="s">
        <v>69</v>
      </c>
      <c r="BK1765">
        <v>981</v>
      </c>
      <c r="BL1765" t="s">
        <v>1089</v>
      </c>
      <c r="BM1765" t="str">
        <f>HYPERLINK("http://dx.doi.org/10.3390/su10040981","http://dx.doi.org/10.3390/su10040981")</f>
        <v>http://dx.doi.org/10.3390/su10040981</v>
      </c>
      <c r="BN1765" t="s">
        <v>69</v>
      </c>
      <c r="BO1765" t="s">
        <v>69</v>
      </c>
      <c r="BP1765">
        <v>18</v>
      </c>
      <c r="BQ1765" t="s">
        <v>8960</v>
      </c>
      <c r="BR1765" t="s">
        <v>8523</v>
      </c>
      <c r="BS1765" t="s">
        <v>8961</v>
      </c>
      <c r="BT1765" t="s">
        <v>18998</v>
      </c>
      <c r="BU1765" t="s">
        <v>1090</v>
      </c>
      <c r="BV1765" t="s">
        <v>69</v>
      </c>
      <c r="BW1765" t="s">
        <v>19008</v>
      </c>
      <c r="BX1765" t="s">
        <v>69</v>
      </c>
      <c r="BY1765" t="s">
        <v>69</v>
      </c>
      <c r="BZ1765" t="s">
        <v>8526</v>
      </c>
      <c r="CA1765" t="str">
        <f>HYPERLINK("https%3A%2F%2Fwww.webofscience.com%2Fwos%2Fwoscc%2Ffull-record%2FWOS:000435188000085","View Full Record in Web of Science")</f>
        <v>View Full Record in Web of Science</v>
      </c>
    </row>
    <row r="1766" spans="1:79" ht="12.5" x14ac:dyDescent="0.25">
      <c r="B1766" t="s">
        <v>8495</v>
      </c>
      <c r="D1766" s="22" t="s">
        <v>32931</v>
      </c>
      <c r="E1766" s="7"/>
      <c r="F1766" s="7"/>
      <c r="G1766" s="7"/>
      <c r="H1766" t="s">
        <v>67</v>
      </c>
      <c r="I1766" t="s">
        <v>24243</v>
      </c>
      <c r="J1766" t="s">
        <v>69</v>
      </c>
      <c r="K1766" t="s">
        <v>69</v>
      </c>
      <c r="L1766" t="s">
        <v>69</v>
      </c>
      <c r="M1766" t="s">
        <v>24244</v>
      </c>
      <c r="N1766" t="s">
        <v>69</v>
      </c>
      <c r="O1766" t="s">
        <v>69</v>
      </c>
      <c r="P1766" t="s">
        <v>24245</v>
      </c>
      <c r="Q1766" t="s">
        <v>24246</v>
      </c>
      <c r="R1766" t="s">
        <v>69</v>
      </c>
      <c r="S1766" t="s">
        <v>69</v>
      </c>
      <c r="T1766" t="s">
        <v>8505</v>
      </c>
      <c r="U1766" t="s">
        <v>8506</v>
      </c>
      <c r="V1766" t="s">
        <v>69</v>
      </c>
      <c r="W1766" t="s">
        <v>69</v>
      </c>
      <c r="X1766" t="s">
        <v>69</v>
      </c>
      <c r="Y1766" t="s">
        <v>69</v>
      </c>
      <c r="Z1766" t="s">
        <v>69</v>
      </c>
      <c r="AA1766" t="s">
        <v>24247</v>
      </c>
      <c r="AB1766" t="s">
        <v>69</v>
      </c>
      <c r="AC1766" t="s">
        <v>24248</v>
      </c>
      <c r="AD1766" t="s">
        <v>24249</v>
      </c>
      <c r="AE1766" t="s">
        <v>69</v>
      </c>
      <c r="AF1766" t="s">
        <v>24250</v>
      </c>
      <c r="AG1766" t="s">
        <v>24251</v>
      </c>
      <c r="AH1766" t="s">
        <v>24252</v>
      </c>
      <c r="AI1766" t="s">
        <v>69</v>
      </c>
      <c r="AJ1766" t="s">
        <v>69</v>
      </c>
      <c r="AK1766" t="s">
        <v>69</v>
      </c>
      <c r="AL1766" t="s">
        <v>69</v>
      </c>
      <c r="AM1766" t="s">
        <v>69</v>
      </c>
      <c r="AN1766">
        <v>31</v>
      </c>
      <c r="AO1766">
        <v>6</v>
      </c>
      <c r="AP1766">
        <v>6</v>
      </c>
      <c r="AQ1766">
        <v>1</v>
      </c>
      <c r="AR1766">
        <v>3</v>
      </c>
      <c r="AS1766" t="s">
        <v>8865</v>
      </c>
      <c r="AT1766" t="s">
        <v>8612</v>
      </c>
      <c r="AU1766" t="s">
        <v>8866</v>
      </c>
      <c r="AV1766" t="s">
        <v>24253</v>
      </c>
      <c r="AW1766" t="s">
        <v>24254</v>
      </c>
      <c r="AX1766" t="s">
        <v>69</v>
      </c>
      <c r="AY1766" t="s">
        <v>24255</v>
      </c>
      <c r="AZ1766" t="s">
        <v>24256</v>
      </c>
      <c r="BA1766" t="s">
        <v>69</v>
      </c>
      <c r="BB1766">
        <v>2014</v>
      </c>
      <c r="BC1766">
        <v>22</v>
      </c>
      <c r="BD1766">
        <v>4</v>
      </c>
      <c r="BE1766" t="s">
        <v>69</v>
      </c>
      <c r="BF1766" t="s">
        <v>69</v>
      </c>
      <c r="BG1766" t="s">
        <v>69</v>
      </c>
      <c r="BH1766" t="s">
        <v>69</v>
      </c>
      <c r="BI1766">
        <v>427</v>
      </c>
      <c r="BJ1766">
        <v>449</v>
      </c>
      <c r="BK1766" t="s">
        <v>69</v>
      </c>
      <c r="BL1766" t="s">
        <v>24257</v>
      </c>
      <c r="BM1766" t="str">
        <f>HYPERLINK("http://dx.doi.org/10.1080/14782804.2014.923752","http://dx.doi.org/10.1080/14782804.2014.923752")</f>
        <v>http://dx.doi.org/10.1080/14782804.2014.923752</v>
      </c>
      <c r="BN1766" t="s">
        <v>69</v>
      </c>
      <c r="BO1766" t="s">
        <v>69</v>
      </c>
      <c r="BP1766">
        <v>23</v>
      </c>
      <c r="BQ1766" t="s">
        <v>24258</v>
      </c>
      <c r="BR1766" t="s">
        <v>8573</v>
      </c>
      <c r="BS1766" t="s">
        <v>24259</v>
      </c>
      <c r="BT1766" t="s">
        <v>24260</v>
      </c>
      <c r="BU1766" t="s">
        <v>24261</v>
      </c>
      <c r="BV1766" t="s">
        <v>69</v>
      </c>
      <c r="BW1766" t="s">
        <v>69</v>
      </c>
      <c r="BX1766" t="s">
        <v>69</v>
      </c>
      <c r="BY1766" t="s">
        <v>69</v>
      </c>
      <c r="BZ1766" t="s">
        <v>8526</v>
      </c>
      <c r="CA1766" t="str">
        <f>HYPERLINK("https%3A%2F%2Fwww.webofscience.com%2Fwos%2Fwoscc%2Ffull-record%2FWOS:000212658400004","View Full Record in Web of Science")</f>
        <v>View Full Record in Web of Science</v>
      </c>
    </row>
    <row r="1767" spans="1:79" ht="12.5" x14ac:dyDescent="0.25">
      <c r="B1767" t="s">
        <v>8495</v>
      </c>
      <c r="D1767" s="22" t="s">
        <v>32931</v>
      </c>
      <c r="E1767" s="7"/>
      <c r="F1767" s="7"/>
      <c r="G1767" s="7"/>
      <c r="H1767" t="s">
        <v>67</v>
      </c>
      <c r="I1767" t="s">
        <v>18752</v>
      </c>
      <c r="J1767" t="s">
        <v>69</v>
      </c>
      <c r="K1767" t="s">
        <v>69</v>
      </c>
      <c r="L1767" t="s">
        <v>69</v>
      </c>
      <c r="M1767" t="s">
        <v>18753</v>
      </c>
      <c r="N1767" t="s">
        <v>69</v>
      </c>
      <c r="O1767" t="s">
        <v>69</v>
      </c>
      <c r="P1767" t="s">
        <v>18754</v>
      </c>
      <c r="Q1767" t="s">
        <v>18755</v>
      </c>
      <c r="R1767" t="s">
        <v>69</v>
      </c>
      <c r="S1767" t="s">
        <v>69</v>
      </c>
      <c r="T1767" t="s">
        <v>8505</v>
      </c>
      <c r="U1767" t="s">
        <v>8442</v>
      </c>
      <c r="V1767" t="s">
        <v>69</v>
      </c>
      <c r="W1767" t="s">
        <v>69</v>
      </c>
      <c r="X1767" t="s">
        <v>69</v>
      </c>
      <c r="Y1767" t="s">
        <v>69</v>
      </c>
      <c r="Z1767" t="s">
        <v>69</v>
      </c>
      <c r="AA1767" t="s">
        <v>18756</v>
      </c>
      <c r="AB1767" t="s">
        <v>18757</v>
      </c>
      <c r="AC1767" t="s">
        <v>18758</v>
      </c>
      <c r="AD1767" t="s">
        <v>18759</v>
      </c>
      <c r="AE1767" t="s">
        <v>69</v>
      </c>
      <c r="AF1767" t="s">
        <v>18760</v>
      </c>
      <c r="AG1767" t="s">
        <v>18761</v>
      </c>
      <c r="AH1767" t="s">
        <v>69</v>
      </c>
      <c r="AI1767" t="s">
        <v>69</v>
      </c>
      <c r="AJ1767" t="s">
        <v>18762</v>
      </c>
      <c r="AK1767" t="s">
        <v>18762</v>
      </c>
      <c r="AL1767" t="s">
        <v>18763</v>
      </c>
      <c r="AM1767" t="s">
        <v>69</v>
      </c>
      <c r="AN1767">
        <v>40</v>
      </c>
      <c r="AO1767">
        <v>1</v>
      </c>
      <c r="AP1767">
        <v>1</v>
      </c>
      <c r="AQ1767">
        <v>3</v>
      </c>
      <c r="AR1767">
        <v>12</v>
      </c>
      <c r="AS1767" t="s">
        <v>8563</v>
      </c>
      <c r="AT1767" t="s">
        <v>8564</v>
      </c>
      <c r="AU1767" t="s">
        <v>8565</v>
      </c>
      <c r="AV1767" t="s">
        <v>18764</v>
      </c>
      <c r="AW1767" t="s">
        <v>69</v>
      </c>
      <c r="AX1767" t="s">
        <v>69</v>
      </c>
      <c r="AY1767" t="s">
        <v>18765</v>
      </c>
      <c r="AZ1767" t="s">
        <v>18766</v>
      </c>
      <c r="BA1767" t="s">
        <v>7106</v>
      </c>
      <c r="BB1767">
        <v>2018</v>
      </c>
      <c r="BC1767">
        <v>30</v>
      </c>
      <c r="BD1767" t="s">
        <v>69</v>
      </c>
      <c r="BE1767" t="s">
        <v>69</v>
      </c>
      <c r="BF1767" t="s">
        <v>69</v>
      </c>
      <c r="BG1767" t="s">
        <v>69</v>
      </c>
      <c r="BH1767" t="s">
        <v>69</v>
      </c>
      <c r="BI1767" t="s">
        <v>69</v>
      </c>
      <c r="BJ1767" t="s">
        <v>69</v>
      </c>
      <c r="BK1767">
        <v>15</v>
      </c>
      <c r="BL1767" t="s">
        <v>18767</v>
      </c>
      <c r="BM1767" t="str">
        <f>HYPERLINK("http://dx.doi.org/10.1186/s12302-018-0147-z","http://dx.doi.org/10.1186/s12302-018-0147-z")</f>
        <v>http://dx.doi.org/10.1186/s12302-018-0147-z</v>
      </c>
      <c r="BN1767" t="s">
        <v>69</v>
      </c>
      <c r="BO1767" t="s">
        <v>69</v>
      </c>
      <c r="BP1767">
        <v>8</v>
      </c>
      <c r="BQ1767" t="s">
        <v>8717</v>
      </c>
      <c r="BR1767" t="s">
        <v>8548</v>
      </c>
      <c r="BS1767" t="s">
        <v>8662</v>
      </c>
      <c r="BT1767" t="s">
        <v>18768</v>
      </c>
      <c r="BU1767" t="s">
        <v>18769</v>
      </c>
      <c r="BV1767">
        <v>29780681</v>
      </c>
      <c r="BW1767" t="s">
        <v>8812</v>
      </c>
      <c r="BX1767" t="s">
        <v>69</v>
      </c>
      <c r="BY1767" t="s">
        <v>69</v>
      </c>
      <c r="BZ1767" t="s">
        <v>8526</v>
      </c>
      <c r="CA1767" t="str">
        <f>HYPERLINK("https%3A%2F%2Fwww.webofscience.com%2Fwos%2Fwoscc%2Ffull-record%2FWOS:000432885400001","View Full Record in Web of Science")</f>
        <v>View Full Record in Web of Science</v>
      </c>
    </row>
    <row r="1768" spans="1:79" ht="12.5" x14ac:dyDescent="0.25">
      <c r="B1768" t="s">
        <v>8495</v>
      </c>
      <c r="D1768" s="7" t="s">
        <v>32933</v>
      </c>
      <c r="E1768" s="7"/>
      <c r="F1768" s="7"/>
      <c r="G1768" s="7"/>
      <c r="H1768" t="s">
        <v>67</v>
      </c>
      <c r="I1768" t="s">
        <v>5866</v>
      </c>
      <c r="J1768" t="s">
        <v>69</v>
      </c>
      <c r="K1768" t="s">
        <v>69</v>
      </c>
      <c r="L1768" t="s">
        <v>69</v>
      </c>
      <c r="M1768" t="s">
        <v>5866</v>
      </c>
      <c r="N1768" t="s">
        <v>69</v>
      </c>
      <c r="O1768" t="s">
        <v>69</v>
      </c>
      <c r="P1768" t="s">
        <v>5867</v>
      </c>
      <c r="Q1768" t="s">
        <v>5868</v>
      </c>
      <c r="R1768" t="s">
        <v>69</v>
      </c>
      <c r="S1768" t="s">
        <v>69</v>
      </c>
      <c r="T1768" t="s">
        <v>8505</v>
      </c>
      <c r="U1768" t="s">
        <v>8506</v>
      </c>
      <c r="V1768" t="s">
        <v>69</v>
      </c>
      <c r="W1768" t="s">
        <v>69</v>
      </c>
      <c r="X1768" t="s">
        <v>69</v>
      </c>
      <c r="Y1768" t="s">
        <v>69</v>
      </c>
      <c r="Z1768" t="s">
        <v>69</v>
      </c>
      <c r="AA1768" t="s">
        <v>31273</v>
      </c>
      <c r="AB1768" t="s">
        <v>69</v>
      </c>
      <c r="AC1768" t="s">
        <v>5869</v>
      </c>
      <c r="AD1768" t="s">
        <v>31274</v>
      </c>
      <c r="AE1768" t="s">
        <v>69</v>
      </c>
      <c r="AF1768" t="s">
        <v>31275</v>
      </c>
      <c r="AG1768" t="s">
        <v>69</v>
      </c>
      <c r="AH1768" t="s">
        <v>69</v>
      </c>
      <c r="AI1768" t="s">
        <v>69</v>
      </c>
      <c r="AJ1768" t="s">
        <v>69</v>
      </c>
      <c r="AK1768" t="s">
        <v>69</v>
      </c>
      <c r="AL1768" t="s">
        <v>69</v>
      </c>
      <c r="AM1768" t="s">
        <v>69</v>
      </c>
      <c r="AN1768">
        <v>2</v>
      </c>
      <c r="AO1768">
        <v>0</v>
      </c>
      <c r="AP1768">
        <v>0</v>
      </c>
      <c r="AQ1768">
        <v>0</v>
      </c>
      <c r="AR1768">
        <v>6</v>
      </c>
      <c r="AS1768" t="s">
        <v>31076</v>
      </c>
      <c r="AT1768" t="s">
        <v>8637</v>
      </c>
      <c r="AU1768" t="s">
        <v>31077</v>
      </c>
      <c r="AV1768" t="s">
        <v>5870</v>
      </c>
      <c r="AW1768" t="s">
        <v>69</v>
      </c>
      <c r="AX1768" t="s">
        <v>69</v>
      </c>
      <c r="AY1768" t="s">
        <v>31276</v>
      </c>
      <c r="AZ1768" t="s">
        <v>31277</v>
      </c>
      <c r="BA1768" t="s">
        <v>191</v>
      </c>
      <c r="BB1768">
        <v>2003</v>
      </c>
      <c r="BC1768">
        <v>56</v>
      </c>
      <c r="BD1768">
        <v>1</v>
      </c>
      <c r="BE1768" t="s">
        <v>69</v>
      </c>
      <c r="BF1768" t="s">
        <v>69</v>
      </c>
      <c r="BG1768" t="s">
        <v>69</v>
      </c>
      <c r="BH1768" t="s">
        <v>69</v>
      </c>
      <c r="BI1768">
        <v>2</v>
      </c>
      <c r="BJ1768">
        <v>5</v>
      </c>
      <c r="BK1768" t="s">
        <v>69</v>
      </c>
      <c r="BL1768" t="s">
        <v>5871</v>
      </c>
      <c r="BM1768" t="str">
        <f>HYPERLINK("http://dx.doi.org/10.1046/j.1471-0307.2003.00084.x","http://dx.doi.org/10.1046/j.1471-0307.2003.00084.x")</f>
        <v>http://dx.doi.org/10.1046/j.1471-0307.2003.00084.x</v>
      </c>
      <c r="BN1768" t="s">
        <v>69</v>
      </c>
      <c r="BO1768" t="s">
        <v>69</v>
      </c>
      <c r="BP1768">
        <v>4</v>
      </c>
      <c r="BQ1768" t="s">
        <v>17221</v>
      </c>
      <c r="BR1768" t="s">
        <v>8548</v>
      </c>
      <c r="BS1768" t="s">
        <v>17221</v>
      </c>
      <c r="BT1768" t="s">
        <v>31278</v>
      </c>
      <c r="BU1768" t="s">
        <v>5872</v>
      </c>
      <c r="BV1768" t="s">
        <v>69</v>
      </c>
      <c r="BW1768" t="s">
        <v>69</v>
      </c>
      <c r="BX1768" t="s">
        <v>69</v>
      </c>
      <c r="BY1768" t="s">
        <v>69</v>
      </c>
      <c r="BZ1768" t="s">
        <v>8526</v>
      </c>
      <c r="CA1768" t="str">
        <f>HYPERLINK("https%3A%2F%2Fwww.webofscience.com%2Fwos%2Fwoscc%2Ffull-record%2FWOS:000180969000002","View Full Record in Web of Science")</f>
        <v>View Full Record in Web of Science</v>
      </c>
    </row>
    <row r="1769" spans="1:79" ht="12.5" x14ac:dyDescent="0.25">
      <c r="B1769" t="s">
        <v>8495</v>
      </c>
      <c r="D1769" s="7" t="s">
        <v>32933</v>
      </c>
      <c r="E1769" s="7"/>
      <c r="F1769" s="7"/>
      <c r="G1769" s="7"/>
      <c r="H1769" t="s">
        <v>67</v>
      </c>
      <c r="I1769" t="s">
        <v>3852</v>
      </c>
      <c r="J1769" t="s">
        <v>69</v>
      </c>
      <c r="K1769" t="s">
        <v>69</v>
      </c>
      <c r="L1769" t="s">
        <v>69</v>
      </c>
      <c r="M1769" t="s">
        <v>3852</v>
      </c>
      <c r="N1769" t="s">
        <v>69</v>
      </c>
      <c r="O1769" t="s">
        <v>69</v>
      </c>
      <c r="P1769" t="s">
        <v>3853</v>
      </c>
      <c r="Q1769" t="s">
        <v>3854</v>
      </c>
      <c r="R1769" t="s">
        <v>69</v>
      </c>
      <c r="S1769" t="s">
        <v>69</v>
      </c>
      <c r="T1769" t="s">
        <v>8505</v>
      </c>
      <c r="U1769" t="s">
        <v>8506</v>
      </c>
      <c r="V1769" t="s">
        <v>69</v>
      </c>
      <c r="W1769" t="s">
        <v>69</v>
      </c>
      <c r="X1769" t="s">
        <v>69</v>
      </c>
      <c r="Y1769" t="s">
        <v>69</v>
      </c>
      <c r="Z1769" t="s">
        <v>69</v>
      </c>
      <c r="AA1769" t="s">
        <v>30370</v>
      </c>
      <c r="AB1769" t="s">
        <v>30371</v>
      </c>
      <c r="AC1769" t="s">
        <v>3855</v>
      </c>
      <c r="AD1769" t="s">
        <v>30372</v>
      </c>
      <c r="AE1769" t="s">
        <v>69</v>
      </c>
      <c r="AF1769" t="s">
        <v>30373</v>
      </c>
      <c r="AG1769" t="s">
        <v>25893</v>
      </c>
      <c r="AH1769" t="s">
        <v>69</v>
      </c>
      <c r="AI1769" t="s">
        <v>3856</v>
      </c>
      <c r="AJ1769" t="s">
        <v>30374</v>
      </c>
      <c r="AK1769" t="s">
        <v>30375</v>
      </c>
      <c r="AL1769" t="s">
        <v>69</v>
      </c>
      <c r="AM1769" t="s">
        <v>69</v>
      </c>
      <c r="AN1769">
        <v>89</v>
      </c>
      <c r="AO1769">
        <v>43</v>
      </c>
      <c r="AP1769">
        <v>43</v>
      </c>
      <c r="AQ1769">
        <v>1</v>
      </c>
      <c r="AR1769">
        <v>5</v>
      </c>
      <c r="AS1769" t="s">
        <v>10352</v>
      </c>
      <c r="AT1769" t="s">
        <v>8637</v>
      </c>
      <c r="AU1769" t="s">
        <v>10353</v>
      </c>
      <c r="AV1769" t="s">
        <v>3857</v>
      </c>
      <c r="AW1769" t="s">
        <v>69</v>
      </c>
      <c r="AX1769" t="s">
        <v>69</v>
      </c>
      <c r="AY1769" t="s">
        <v>30376</v>
      </c>
      <c r="AZ1769" t="s">
        <v>30377</v>
      </c>
      <c r="BA1769" t="s">
        <v>191</v>
      </c>
      <c r="BB1769">
        <v>2006</v>
      </c>
      <c r="BC1769">
        <v>16</v>
      </c>
      <c r="BD1769">
        <v>1</v>
      </c>
      <c r="BE1769" t="s">
        <v>69</v>
      </c>
      <c r="BF1769" t="s">
        <v>69</v>
      </c>
      <c r="BG1769" t="s">
        <v>69</v>
      </c>
      <c r="BH1769" t="s">
        <v>69</v>
      </c>
      <c r="BI1769">
        <v>69</v>
      </c>
      <c r="BJ1769">
        <v>77</v>
      </c>
      <c r="BK1769" t="s">
        <v>69</v>
      </c>
      <c r="BL1769" t="s">
        <v>3858</v>
      </c>
      <c r="BM1769" t="str">
        <f>HYPERLINK("http://dx.doi.org/10.1093/eurpub/cki044","http://dx.doi.org/10.1093/eurpub/cki044")</f>
        <v>http://dx.doi.org/10.1093/eurpub/cki044</v>
      </c>
      <c r="BN1769" t="s">
        <v>69</v>
      </c>
      <c r="BO1769" t="s">
        <v>69</v>
      </c>
      <c r="BP1769">
        <v>9</v>
      </c>
      <c r="BQ1769" t="s">
        <v>8810</v>
      </c>
      <c r="BR1769" t="s">
        <v>8523</v>
      </c>
      <c r="BS1769" t="s">
        <v>8810</v>
      </c>
      <c r="BT1769" t="s">
        <v>30378</v>
      </c>
      <c r="BU1769" t="s">
        <v>3859</v>
      </c>
      <c r="BV1769">
        <v>16076855</v>
      </c>
      <c r="BW1769" t="s">
        <v>9374</v>
      </c>
      <c r="BX1769" t="s">
        <v>69</v>
      </c>
      <c r="BY1769" t="s">
        <v>69</v>
      </c>
      <c r="BZ1769" t="s">
        <v>8526</v>
      </c>
      <c r="CA1769" t="str">
        <f>HYPERLINK("https%3A%2F%2Fwww.webofscience.com%2Fwos%2Fwoscc%2Ffull-record%2FWOS:000235278300014","View Full Record in Web of Science")</f>
        <v>View Full Record in Web of Science</v>
      </c>
    </row>
    <row r="1770" spans="1:79" ht="12.5" x14ac:dyDescent="0.25">
      <c r="B1770" t="s">
        <v>8495</v>
      </c>
      <c r="D1770" s="22" t="s">
        <v>32931</v>
      </c>
      <c r="E1770" s="7"/>
      <c r="F1770" s="7"/>
      <c r="G1770" s="7"/>
      <c r="H1770" t="s">
        <v>67</v>
      </c>
      <c r="I1770" t="s">
        <v>24868</v>
      </c>
      <c r="J1770" t="s">
        <v>69</v>
      </c>
      <c r="K1770" t="s">
        <v>69</v>
      </c>
      <c r="L1770" t="s">
        <v>69</v>
      </c>
      <c r="M1770" t="s">
        <v>24869</v>
      </c>
      <c r="N1770" t="s">
        <v>69</v>
      </c>
      <c r="O1770" t="s">
        <v>69</v>
      </c>
      <c r="P1770" t="s">
        <v>24870</v>
      </c>
      <c r="Q1770" t="s">
        <v>10152</v>
      </c>
      <c r="R1770" t="s">
        <v>69</v>
      </c>
      <c r="S1770" t="s">
        <v>69</v>
      </c>
      <c r="T1770" t="s">
        <v>10153</v>
      </c>
      <c r="U1770" t="s">
        <v>8506</v>
      </c>
      <c r="V1770" t="s">
        <v>69</v>
      </c>
      <c r="W1770" t="s">
        <v>69</v>
      </c>
      <c r="X1770" t="s">
        <v>69</v>
      </c>
      <c r="Y1770" t="s">
        <v>69</v>
      </c>
      <c r="Z1770" t="s">
        <v>69</v>
      </c>
      <c r="AA1770" t="s">
        <v>24871</v>
      </c>
      <c r="AB1770" t="s">
        <v>69</v>
      </c>
      <c r="AC1770" t="s">
        <v>24872</v>
      </c>
      <c r="AD1770" t="s">
        <v>24873</v>
      </c>
      <c r="AE1770" t="s">
        <v>69</v>
      </c>
      <c r="AF1770" t="s">
        <v>24874</v>
      </c>
      <c r="AG1770" t="s">
        <v>24875</v>
      </c>
      <c r="AH1770" t="s">
        <v>24876</v>
      </c>
      <c r="AI1770" t="s">
        <v>24877</v>
      </c>
      <c r="AJ1770" t="s">
        <v>69</v>
      </c>
      <c r="AK1770" t="s">
        <v>69</v>
      </c>
      <c r="AL1770" t="s">
        <v>69</v>
      </c>
      <c r="AM1770" t="s">
        <v>69</v>
      </c>
      <c r="AN1770">
        <v>61</v>
      </c>
      <c r="AO1770">
        <v>4</v>
      </c>
      <c r="AP1770">
        <v>4</v>
      </c>
      <c r="AQ1770">
        <v>0</v>
      </c>
      <c r="AR1770">
        <v>0</v>
      </c>
      <c r="AS1770" t="s">
        <v>10160</v>
      </c>
      <c r="AT1770" t="s">
        <v>10161</v>
      </c>
      <c r="AU1770" t="s">
        <v>10162</v>
      </c>
      <c r="AV1770" t="s">
        <v>10163</v>
      </c>
      <c r="AW1770" t="s">
        <v>10164</v>
      </c>
      <c r="AX1770" t="s">
        <v>69</v>
      </c>
      <c r="AY1770" t="s">
        <v>10165</v>
      </c>
      <c r="AZ1770" t="s">
        <v>10166</v>
      </c>
      <c r="BA1770" t="s">
        <v>6479</v>
      </c>
      <c r="BB1770">
        <v>2013</v>
      </c>
      <c r="BC1770">
        <v>28</v>
      </c>
      <c r="BD1770" t="s">
        <v>69</v>
      </c>
      <c r="BE1770" t="s">
        <v>69</v>
      </c>
      <c r="BF1770" t="s">
        <v>69</v>
      </c>
      <c r="BG1770" t="s">
        <v>69</v>
      </c>
      <c r="BH1770" t="s">
        <v>69</v>
      </c>
      <c r="BI1770">
        <v>89</v>
      </c>
      <c r="BJ1770">
        <v>106</v>
      </c>
      <c r="BK1770" t="s">
        <v>69</v>
      </c>
      <c r="BL1770" t="s">
        <v>69</v>
      </c>
      <c r="BM1770" t="s">
        <v>69</v>
      </c>
      <c r="BN1770" t="s">
        <v>69</v>
      </c>
      <c r="BO1770" t="s">
        <v>69</v>
      </c>
      <c r="BP1770">
        <v>18</v>
      </c>
      <c r="BQ1770" t="s">
        <v>8660</v>
      </c>
      <c r="BR1770" t="s">
        <v>8573</v>
      </c>
      <c r="BS1770" t="s">
        <v>8662</v>
      </c>
      <c r="BT1770" t="s">
        <v>24878</v>
      </c>
      <c r="BU1770" t="s">
        <v>24879</v>
      </c>
      <c r="BV1770" t="s">
        <v>69</v>
      </c>
      <c r="BW1770" t="s">
        <v>69</v>
      </c>
      <c r="BX1770" t="s">
        <v>69</v>
      </c>
      <c r="BY1770" t="s">
        <v>69</v>
      </c>
      <c r="BZ1770" t="s">
        <v>8526</v>
      </c>
      <c r="CA1770" t="str">
        <f>HYPERLINK("https%3A%2F%2Fwww.webofscience.com%2Fwos%2Fwoscc%2Ffull-record%2FWOS:000216250000007","View Full Record in Web of Science")</f>
        <v>View Full Record in Web of Science</v>
      </c>
    </row>
    <row r="1771" spans="1:79" ht="12.5" x14ac:dyDescent="0.25">
      <c r="B1771" t="s">
        <v>8495</v>
      </c>
      <c r="D1771" s="7" t="s">
        <v>32933</v>
      </c>
      <c r="E1771" s="7"/>
      <c r="F1771" s="7"/>
      <c r="G1771" s="7"/>
      <c r="H1771" t="s">
        <v>67</v>
      </c>
      <c r="I1771" t="s">
        <v>2560</v>
      </c>
      <c r="J1771" t="s">
        <v>69</v>
      </c>
      <c r="K1771" t="s">
        <v>69</v>
      </c>
      <c r="L1771" t="s">
        <v>69</v>
      </c>
      <c r="M1771" t="s">
        <v>2561</v>
      </c>
      <c r="N1771" t="s">
        <v>69</v>
      </c>
      <c r="O1771" t="s">
        <v>69</v>
      </c>
      <c r="P1771" t="s">
        <v>2562</v>
      </c>
      <c r="Q1771" t="s">
        <v>2563</v>
      </c>
      <c r="R1771" t="s">
        <v>69</v>
      </c>
      <c r="S1771" t="s">
        <v>69</v>
      </c>
      <c r="T1771" t="s">
        <v>8505</v>
      </c>
      <c r="U1771" t="s">
        <v>8506</v>
      </c>
      <c r="V1771" t="s">
        <v>69</v>
      </c>
      <c r="W1771" t="s">
        <v>69</v>
      </c>
      <c r="X1771" t="s">
        <v>69</v>
      </c>
      <c r="Y1771" t="s">
        <v>69</v>
      </c>
      <c r="Z1771" t="s">
        <v>69</v>
      </c>
      <c r="AA1771" t="s">
        <v>19942</v>
      </c>
      <c r="AB1771" t="s">
        <v>69</v>
      </c>
      <c r="AC1771" t="s">
        <v>2564</v>
      </c>
      <c r="AD1771" t="s">
        <v>19943</v>
      </c>
      <c r="AE1771" t="s">
        <v>69</v>
      </c>
      <c r="AF1771" t="s">
        <v>19944</v>
      </c>
      <c r="AG1771" t="s">
        <v>19945</v>
      </c>
      <c r="AH1771" t="s">
        <v>69</v>
      </c>
      <c r="AI1771" t="s">
        <v>69</v>
      </c>
      <c r="AJ1771" t="s">
        <v>69</v>
      </c>
      <c r="AK1771" t="s">
        <v>69</v>
      </c>
      <c r="AL1771" t="s">
        <v>69</v>
      </c>
      <c r="AM1771" t="s">
        <v>69</v>
      </c>
      <c r="AN1771">
        <v>20</v>
      </c>
      <c r="AO1771">
        <v>0</v>
      </c>
      <c r="AP1771">
        <v>0</v>
      </c>
      <c r="AQ1771">
        <v>0</v>
      </c>
      <c r="AR1771">
        <v>5</v>
      </c>
      <c r="AS1771" t="s">
        <v>19946</v>
      </c>
      <c r="AT1771" t="s">
        <v>19947</v>
      </c>
      <c r="AU1771" t="s">
        <v>19948</v>
      </c>
      <c r="AV1771" t="s">
        <v>2565</v>
      </c>
      <c r="AW1771" t="s">
        <v>2566</v>
      </c>
      <c r="AX1771" t="s">
        <v>69</v>
      </c>
      <c r="AY1771" t="s">
        <v>19949</v>
      </c>
      <c r="AZ1771" t="s">
        <v>19950</v>
      </c>
      <c r="BA1771" t="s">
        <v>381</v>
      </c>
      <c r="BB1771">
        <v>2017</v>
      </c>
      <c r="BC1771">
        <v>22</v>
      </c>
      <c r="BD1771">
        <v>10</v>
      </c>
      <c r="BE1771" t="s">
        <v>69</v>
      </c>
      <c r="BF1771" t="s">
        <v>69</v>
      </c>
      <c r="BG1771" t="s">
        <v>69</v>
      </c>
      <c r="BH1771" t="s">
        <v>69</v>
      </c>
      <c r="BI1771">
        <v>3473</v>
      </c>
      <c r="BJ1771">
        <v>3480</v>
      </c>
      <c r="BK1771" t="s">
        <v>69</v>
      </c>
      <c r="BL1771" t="s">
        <v>2567</v>
      </c>
      <c r="BM1771" t="str">
        <f>HYPERLINK("http://dx.doi.org/10.1590/1413-812320172210.33932016","http://dx.doi.org/10.1590/1413-812320172210.33932016")</f>
        <v>http://dx.doi.org/10.1590/1413-812320172210.33932016</v>
      </c>
      <c r="BN1771" t="s">
        <v>69</v>
      </c>
      <c r="BO1771" t="s">
        <v>69</v>
      </c>
      <c r="BP1771">
        <v>8</v>
      </c>
      <c r="BQ1771" t="s">
        <v>8810</v>
      </c>
      <c r="BR1771" t="s">
        <v>8661</v>
      </c>
      <c r="BS1771" t="s">
        <v>8810</v>
      </c>
      <c r="BT1771" t="s">
        <v>19951</v>
      </c>
      <c r="BU1771" t="s">
        <v>2568</v>
      </c>
      <c r="BV1771">
        <v>29069200</v>
      </c>
      <c r="BW1771" t="s">
        <v>9352</v>
      </c>
      <c r="BX1771" t="s">
        <v>69</v>
      </c>
      <c r="BY1771" t="s">
        <v>69</v>
      </c>
      <c r="BZ1771" t="s">
        <v>8526</v>
      </c>
      <c r="CA1771" t="str">
        <f>HYPERLINK("https%3A%2F%2Fwww.webofscience.com%2Fwos%2Fwoscc%2Ffull-record%2FWOS:000413653300031","View Full Record in Web of Science")</f>
        <v>View Full Record in Web of Science</v>
      </c>
    </row>
    <row r="1772" spans="1:79" ht="12.5" x14ac:dyDescent="0.25">
      <c r="B1772" t="s">
        <v>8495</v>
      </c>
      <c r="D1772" s="22" t="s">
        <v>32931</v>
      </c>
      <c r="E1772" s="7"/>
      <c r="F1772" s="7"/>
      <c r="G1772" s="7"/>
      <c r="H1772" t="s">
        <v>67</v>
      </c>
      <c r="I1772" t="s">
        <v>16067</v>
      </c>
      <c r="J1772" t="s">
        <v>69</v>
      </c>
      <c r="K1772" t="s">
        <v>69</v>
      </c>
      <c r="L1772" t="s">
        <v>69</v>
      </c>
      <c r="M1772" t="s">
        <v>16068</v>
      </c>
      <c r="N1772" t="s">
        <v>69</v>
      </c>
      <c r="O1772" t="s">
        <v>69</v>
      </c>
      <c r="P1772" t="s">
        <v>16069</v>
      </c>
      <c r="Q1772" t="s">
        <v>16070</v>
      </c>
      <c r="R1772" t="s">
        <v>69</v>
      </c>
      <c r="S1772" t="s">
        <v>69</v>
      </c>
      <c r="T1772" t="s">
        <v>10071</v>
      </c>
      <c r="U1772" t="s">
        <v>8506</v>
      </c>
      <c r="V1772" t="s">
        <v>69</v>
      </c>
      <c r="W1772" t="s">
        <v>69</v>
      </c>
      <c r="X1772" t="s">
        <v>69</v>
      </c>
      <c r="Y1772" t="s">
        <v>69</v>
      </c>
      <c r="Z1772" t="s">
        <v>69</v>
      </c>
      <c r="AA1772" t="s">
        <v>16071</v>
      </c>
      <c r="AB1772" t="s">
        <v>69</v>
      </c>
      <c r="AC1772" t="s">
        <v>16072</v>
      </c>
      <c r="AD1772" t="s">
        <v>16073</v>
      </c>
      <c r="AE1772" t="s">
        <v>69</v>
      </c>
      <c r="AF1772" t="s">
        <v>16074</v>
      </c>
      <c r="AG1772" t="s">
        <v>16075</v>
      </c>
      <c r="AH1772" t="s">
        <v>69</v>
      </c>
      <c r="AI1772" t="s">
        <v>16076</v>
      </c>
      <c r="AJ1772" t="s">
        <v>69</v>
      </c>
      <c r="AK1772" t="s">
        <v>69</v>
      </c>
      <c r="AL1772" t="s">
        <v>69</v>
      </c>
      <c r="AM1772" t="s">
        <v>69</v>
      </c>
      <c r="AN1772">
        <v>15</v>
      </c>
      <c r="AO1772">
        <v>0</v>
      </c>
      <c r="AP1772">
        <v>0</v>
      </c>
      <c r="AQ1772">
        <v>0</v>
      </c>
      <c r="AR1772">
        <v>0</v>
      </c>
      <c r="AS1772" t="s">
        <v>16077</v>
      </c>
      <c r="AT1772" t="s">
        <v>16078</v>
      </c>
      <c r="AU1772" t="s">
        <v>16079</v>
      </c>
      <c r="AV1772" t="s">
        <v>16080</v>
      </c>
      <c r="AW1772" t="s">
        <v>16081</v>
      </c>
      <c r="AX1772" t="s">
        <v>69</v>
      </c>
      <c r="AY1772" t="s">
        <v>16070</v>
      </c>
      <c r="AZ1772" t="s">
        <v>16082</v>
      </c>
      <c r="BA1772" t="s">
        <v>69</v>
      </c>
      <c r="BB1772">
        <v>2020</v>
      </c>
      <c r="BC1772" t="s">
        <v>69</v>
      </c>
      <c r="BD1772">
        <v>43</v>
      </c>
      <c r="BE1772" t="s">
        <v>69</v>
      </c>
      <c r="BF1772" t="s">
        <v>69</v>
      </c>
      <c r="BG1772" t="s">
        <v>69</v>
      </c>
      <c r="BH1772" t="s">
        <v>69</v>
      </c>
      <c r="BI1772" t="s">
        <v>69</v>
      </c>
      <c r="BJ1772" t="s">
        <v>69</v>
      </c>
      <c r="BK1772" t="s">
        <v>69</v>
      </c>
      <c r="BL1772" t="s">
        <v>16083</v>
      </c>
      <c r="BM1772" t="str">
        <f>HYPERLINK("http://dx.doi.org/10.12804/revistas.urosario.edu.co/territorios/a.7810","http://dx.doi.org/10.12804/revistas.urosario.edu.co/territorios/a.7810")</f>
        <v>http://dx.doi.org/10.12804/revistas.urosario.edu.co/territorios/a.7810</v>
      </c>
      <c r="BN1772" t="s">
        <v>69</v>
      </c>
      <c r="BO1772" t="s">
        <v>69</v>
      </c>
      <c r="BP1772">
        <v>22</v>
      </c>
      <c r="BQ1772" t="s">
        <v>8475</v>
      </c>
      <c r="BR1772" t="s">
        <v>8573</v>
      </c>
      <c r="BS1772" t="s">
        <v>8475</v>
      </c>
      <c r="BT1772" t="s">
        <v>16084</v>
      </c>
      <c r="BU1772" t="s">
        <v>16085</v>
      </c>
      <c r="BV1772" t="s">
        <v>69</v>
      </c>
      <c r="BW1772" t="s">
        <v>11853</v>
      </c>
      <c r="BX1772" t="s">
        <v>69</v>
      </c>
      <c r="BY1772" t="s">
        <v>69</v>
      </c>
      <c r="BZ1772" t="s">
        <v>8526</v>
      </c>
      <c r="CA1772" t="str">
        <f>HYPERLINK("https%3A%2F%2Fwww.webofscience.com%2Fwos%2Fwoscc%2Ffull-record%2FWOS:000566727500006","View Full Record in Web of Science")</f>
        <v>View Full Record in Web of Science</v>
      </c>
    </row>
    <row r="1773" spans="1:79" x14ac:dyDescent="0.3">
      <c r="B1773" t="s">
        <v>8495</v>
      </c>
      <c r="D1773" s="9" t="s">
        <v>32954</v>
      </c>
      <c r="E1773" s="9" t="s">
        <v>33129</v>
      </c>
      <c r="F1773" s="9" t="s">
        <v>8491</v>
      </c>
      <c r="G1773" s="9" t="s">
        <v>8490</v>
      </c>
      <c r="H1773" t="s">
        <v>67</v>
      </c>
      <c r="I1773" t="s">
        <v>27802</v>
      </c>
      <c r="J1773" t="s">
        <v>69</v>
      </c>
      <c r="K1773" t="s">
        <v>69</v>
      </c>
      <c r="L1773" t="s">
        <v>69</v>
      </c>
      <c r="M1773" t="s">
        <v>27803</v>
      </c>
      <c r="N1773" t="s">
        <v>69</v>
      </c>
      <c r="O1773" t="s">
        <v>69</v>
      </c>
      <c r="P1773" t="s">
        <v>27804</v>
      </c>
      <c r="Q1773" t="s">
        <v>27805</v>
      </c>
      <c r="R1773" t="s">
        <v>69</v>
      </c>
      <c r="S1773" t="s">
        <v>69</v>
      </c>
      <c r="T1773" t="s">
        <v>8505</v>
      </c>
      <c r="U1773" t="s">
        <v>8506</v>
      </c>
      <c r="V1773" t="s">
        <v>69</v>
      </c>
      <c r="W1773" t="s">
        <v>69</v>
      </c>
      <c r="X1773" t="s">
        <v>69</v>
      </c>
      <c r="Y1773" t="s">
        <v>69</v>
      </c>
      <c r="Z1773" t="s">
        <v>69</v>
      </c>
      <c r="AA1773" t="s">
        <v>27806</v>
      </c>
      <c r="AB1773" t="s">
        <v>27807</v>
      </c>
      <c r="AC1773" t="s">
        <v>27808</v>
      </c>
      <c r="AD1773" t="s">
        <v>27809</v>
      </c>
      <c r="AE1773" t="s">
        <v>69</v>
      </c>
      <c r="AF1773" t="s">
        <v>27810</v>
      </c>
      <c r="AG1773" t="s">
        <v>69</v>
      </c>
      <c r="AH1773" t="s">
        <v>27811</v>
      </c>
      <c r="AI1773" t="s">
        <v>27812</v>
      </c>
      <c r="AJ1773" t="s">
        <v>27813</v>
      </c>
      <c r="AK1773" t="s">
        <v>23997</v>
      </c>
      <c r="AL1773" t="s">
        <v>69</v>
      </c>
      <c r="AM1773" t="s">
        <v>69</v>
      </c>
      <c r="AN1773">
        <v>93</v>
      </c>
      <c r="AO1773">
        <v>30</v>
      </c>
      <c r="AP1773">
        <v>30</v>
      </c>
      <c r="AQ1773">
        <v>0</v>
      </c>
      <c r="AR1773">
        <v>10</v>
      </c>
      <c r="AS1773" t="s">
        <v>8762</v>
      </c>
      <c r="AT1773" t="s">
        <v>8763</v>
      </c>
      <c r="AU1773" t="s">
        <v>8764</v>
      </c>
      <c r="AV1773" t="s">
        <v>27814</v>
      </c>
      <c r="AW1773" t="s">
        <v>69</v>
      </c>
      <c r="AX1773" t="s">
        <v>69</v>
      </c>
      <c r="AY1773" t="s">
        <v>27815</v>
      </c>
      <c r="AZ1773" t="s">
        <v>27816</v>
      </c>
      <c r="BA1773" t="s">
        <v>586</v>
      </c>
      <c r="BB1773">
        <v>2010</v>
      </c>
      <c r="BC1773">
        <v>14</v>
      </c>
      <c r="BD1773">
        <v>2</v>
      </c>
      <c r="BE1773" t="s">
        <v>69</v>
      </c>
      <c r="BF1773" t="s">
        <v>69</v>
      </c>
      <c r="BG1773" t="s">
        <v>69</v>
      </c>
      <c r="BH1773" t="s">
        <v>69</v>
      </c>
      <c r="BI1773">
        <v>183</v>
      </c>
      <c r="BJ1773">
        <v>210</v>
      </c>
      <c r="BK1773" t="s">
        <v>69</v>
      </c>
      <c r="BL1773" t="s">
        <v>27817</v>
      </c>
      <c r="BM1773" t="str">
        <f>HYPERLINK("http://dx.doi.org/10.1177/1362480609355702","http://dx.doi.org/10.1177/1362480609355702")</f>
        <v>http://dx.doi.org/10.1177/1362480609355702</v>
      </c>
      <c r="BN1773" t="s">
        <v>69</v>
      </c>
      <c r="BO1773" t="s">
        <v>69</v>
      </c>
      <c r="BP1773">
        <v>28</v>
      </c>
      <c r="BQ1773" t="s">
        <v>19122</v>
      </c>
      <c r="BR1773" t="s">
        <v>8661</v>
      </c>
      <c r="BS1773" t="s">
        <v>19122</v>
      </c>
      <c r="BT1773" t="s">
        <v>27818</v>
      </c>
      <c r="BU1773" t="s">
        <v>27819</v>
      </c>
      <c r="BV1773" t="s">
        <v>69</v>
      </c>
      <c r="BW1773" t="s">
        <v>69</v>
      </c>
      <c r="BX1773" t="s">
        <v>69</v>
      </c>
      <c r="BY1773" t="s">
        <v>69</v>
      </c>
      <c r="BZ1773" t="s">
        <v>8526</v>
      </c>
      <c r="CA1773" t="str">
        <f>HYPERLINK("https%3A%2F%2Fwww.webofscience.com%2Fwos%2Fwoscc%2Ffull-record%2FWOS:000278250800003","View Full Record in Web of Science")</f>
        <v>View Full Record in Web of Science</v>
      </c>
    </row>
    <row r="1774" spans="1:79" x14ac:dyDescent="0.3">
      <c r="A1774" t="s">
        <v>8408</v>
      </c>
      <c r="B1774" t="s">
        <v>8495</v>
      </c>
      <c r="D1774" s="10" t="s">
        <v>33194</v>
      </c>
      <c r="F1774" s="10" t="s">
        <v>8490</v>
      </c>
      <c r="H1774" t="s">
        <v>67</v>
      </c>
      <c r="I1774" t="s">
        <v>4824</v>
      </c>
      <c r="J1774" t="s">
        <v>69</v>
      </c>
      <c r="K1774" t="s">
        <v>69</v>
      </c>
      <c r="L1774" t="s">
        <v>69</v>
      </c>
      <c r="M1774" s="2" t="s">
        <v>4825</v>
      </c>
      <c r="N1774" t="s">
        <v>69</v>
      </c>
      <c r="O1774" t="s">
        <v>69</v>
      </c>
      <c r="P1774" s="2" t="s">
        <v>4826</v>
      </c>
      <c r="Q1774" t="s">
        <v>4827</v>
      </c>
      <c r="R1774" t="s">
        <v>69</v>
      </c>
      <c r="S1774" t="s">
        <v>69</v>
      </c>
      <c r="T1774" t="s">
        <v>8505</v>
      </c>
      <c r="U1774" t="s">
        <v>8506</v>
      </c>
      <c r="V1774" t="s">
        <v>69</v>
      </c>
      <c r="W1774" t="s">
        <v>69</v>
      </c>
      <c r="X1774" t="s">
        <v>69</v>
      </c>
      <c r="Y1774" t="s">
        <v>69</v>
      </c>
      <c r="Z1774" t="s">
        <v>69</v>
      </c>
      <c r="AA1774" t="s">
        <v>69</v>
      </c>
      <c r="AB1774" t="s">
        <v>23753</v>
      </c>
      <c r="AC1774" t="s">
        <v>4828</v>
      </c>
      <c r="AD1774" t="s">
        <v>23754</v>
      </c>
      <c r="AE1774" t="s">
        <v>69</v>
      </c>
      <c r="AF1774" t="s">
        <v>23755</v>
      </c>
      <c r="AG1774" t="s">
        <v>69</v>
      </c>
      <c r="AH1774" t="s">
        <v>23756</v>
      </c>
      <c r="AI1774" t="s">
        <v>4829</v>
      </c>
      <c r="AJ1774" t="s">
        <v>69</v>
      </c>
      <c r="AK1774" t="s">
        <v>69</v>
      </c>
      <c r="AL1774" t="s">
        <v>69</v>
      </c>
      <c r="AM1774" t="s">
        <v>69</v>
      </c>
      <c r="AN1774">
        <v>52</v>
      </c>
      <c r="AO1774">
        <v>15</v>
      </c>
      <c r="AP1774">
        <v>15</v>
      </c>
      <c r="AQ1774">
        <v>0</v>
      </c>
      <c r="AR1774">
        <v>18</v>
      </c>
      <c r="AS1774" t="s">
        <v>8846</v>
      </c>
      <c r="AT1774" t="s">
        <v>8847</v>
      </c>
      <c r="AU1774" t="s">
        <v>8848</v>
      </c>
      <c r="AV1774" t="s">
        <v>4830</v>
      </c>
      <c r="AW1774" t="s">
        <v>4831</v>
      </c>
      <c r="AX1774" t="s">
        <v>69</v>
      </c>
      <c r="AY1774" t="s">
        <v>23757</v>
      </c>
      <c r="AZ1774" t="s">
        <v>23758</v>
      </c>
      <c r="BA1774" t="s">
        <v>84</v>
      </c>
      <c r="BB1774">
        <v>2014</v>
      </c>
      <c r="BC1774">
        <v>23</v>
      </c>
      <c r="BD1774">
        <v>3</v>
      </c>
      <c r="BE1774" t="s">
        <v>69</v>
      </c>
      <c r="BF1774" t="s">
        <v>69</v>
      </c>
      <c r="BG1774" t="s">
        <v>69</v>
      </c>
      <c r="BH1774" t="s">
        <v>69</v>
      </c>
      <c r="BI1774">
        <v>258</v>
      </c>
      <c r="BJ1774">
        <v>271</v>
      </c>
      <c r="BK1774" t="s">
        <v>69</v>
      </c>
      <c r="BL1774" t="s">
        <v>4832</v>
      </c>
      <c r="BM1774" t="str">
        <f>HYPERLINK("http://dx.doi.org/10.1111/beer.12054","http://dx.doi.org/10.1111/beer.12054")</f>
        <v>http://dx.doi.org/10.1111/beer.12054</v>
      </c>
      <c r="BN1774" t="s">
        <v>69</v>
      </c>
      <c r="BO1774" t="s">
        <v>69</v>
      </c>
      <c r="BP1774">
        <v>14</v>
      </c>
      <c r="BQ1774" t="s">
        <v>15523</v>
      </c>
      <c r="BR1774" t="s">
        <v>8661</v>
      </c>
      <c r="BS1774" t="s">
        <v>15524</v>
      </c>
      <c r="BT1774" t="s">
        <v>23759</v>
      </c>
      <c r="BU1774" t="s">
        <v>4833</v>
      </c>
      <c r="BV1774" t="s">
        <v>69</v>
      </c>
      <c r="BW1774" t="s">
        <v>69</v>
      </c>
      <c r="BX1774" t="s">
        <v>69</v>
      </c>
      <c r="BY1774" t="s">
        <v>69</v>
      </c>
      <c r="BZ1774" t="s">
        <v>8526</v>
      </c>
      <c r="CA1774" t="str">
        <f>HYPERLINK("https%3A%2F%2Fwww.webofscience.com%2Fwos%2Fwoscc%2Ffull-record%2FWOS:000337675400003","View Full Record in Web of Science")</f>
        <v>View Full Record in Web of Science</v>
      </c>
    </row>
    <row r="1775" spans="1:79" ht="12.5" x14ac:dyDescent="0.25">
      <c r="B1775" t="s">
        <v>8495</v>
      </c>
      <c r="D1775" s="22" t="s">
        <v>32931</v>
      </c>
      <c r="E1775" s="7"/>
      <c r="F1775" s="7"/>
      <c r="G1775" s="7"/>
      <c r="H1775" t="s">
        <v>67</v>
      </c>
      <c r="I1775" t="s">
        <v>30460</v>
      </c>
      <c r="J1775" t="s">
        <v>69</v>
      </c>
      <c r="K1775" t="s">
        <v>69</v>
      </c>
      <c r="L1775" t="s">
        <v>69</v>
      </c>
      <c r="M1775" t="s">
        <v>30461</v>
      </c>
      <c r="N1775" t="s">
        <v>69</v>
      </c>
      <c r="O1775" t="s">
        <v>69</v>
      </c>
      <c r="P1775" t="s">
        <v>30462</v>
      </c>
      <c r="Q1775" t="s">
        <v>30463</v>
      </c>
      <c r="R1775" t="s">
        <v>69</v>
      </c>
      <c r="S1775" t="s">
        <v>69</v>
      </c>
      <c r="T1775" t="s">
        <v>8505</v>
      </c>
      <c r="U1775" t="s">
        <v>8506</v>
      </c>
      <c r="V1775" t="s">
        <v>69</v>
      </c>
      <c r="W1775" t="s">
        <v>69</v>
      </c>
      <c r="X1775" t="s">
        <v>69</v>
      </c>
      <c r="Y1775" t="s">
        <v>69</v>
      </c>
      <c r="Z1775" t="s">
        <v>69</v>
      </c>
      <c r="AA1775" t="s">
        <v>30464</v>
      </c>
      <c r="AB1775" t="s">
        <v>69</v>
      </c>
      <c r="AC1775" t="s">
        <v>30465</v>
      </c>
      <c r="AD1775" t="s">
        <v>30466</v>
      </c>
      <c r="AE1775" t="s">
        <v>69</v>
      </c>
      <c r="AF1775" t="s">
        <v>30467</v>
      </c>
      <c r="AG1775" t="s">
        <v>30468</v>
      </c>
      <c r="AH1775" t="s">
        <v>69</v>
      </c>
      <c r="AI1775" t="s">
        <v>69</v>
      </c>
      <c r="AJ1775" t="s">
        <v>69</v>
      </c>
      <c r="AK1775" t="s">
        <v>69</v>
      </c>
      <c r="AL1775" t="s">
        <v>69</v>
      </c>
      <c r="AM1775" t="s">
        <v>69</v>
      </c>
      <c r="AN1775">
        <v>8</v>
      </c>
      <c r="AO1775">
        <v>2</v>
      </c>
      <c r="AP1775">
        <v>2</v>
      </c>
      <c r="AQ1775">
        <v>0</v>
      </c>
      <c r="AR1775">
        <v>0</v>
      </c>
      <c r="AS1775" t="s">
        <v>8586</v>
      </c>
      <c r="AT1775" t="s">
        <v>8587</v>
      </c>
      <c r="AU1775" t="s">
        <v>8588</v>
      </c>
      <c r="AV1775" t="s">
        <v>30469</v>
      </c>
      <c r="AW1775" t="s">
        <v>30470</v>
      </c>
      <c r="AX1775" t="s">
        <v>69</v>
      </c>
      <c r="AY1775" t="s">
        <v>30471</v>
      </c>
      <c r="AZ1775" t="s">
        <v>30472</v>
      </c>
      <c r="BA1775" t="s">
        <v>69</v>
      </c>
      <c r="BB1775">
        <v>2006</v>
      </c>
      <c r="BC1775">
        <v>1</v>
      </c>
      <c r="BD1775">
        <v>3</v>
      </c>
      <c r="BE1775" t="s">
        <v>69</v>
      </c>
      <c r="BF1775" t="s">
        <v>69</v>
      </c>
      <c r="BG1775" t="s">
        <v>69</v>
      </c>
      <c r="BH1775" t="s">
        <v>69</v>
      </c>
      <c r="BI1775">
        <v>225</v>
      </c>
      <c r="BJ1775">
        <v>234</v>
      </c>
      <c r="BK1775" t="s">
        <v>69</v>
      </c>
      <c r="BL1775" t="s">
        <v>30473</v>
      </c>
      <c r="BM1775" t="str">
        <f>HYPERLINK("http://dx.doi.org/10.1108/17468800610674453","http://dx.doi.org/10.1108/17468800610674453")</f>
        <v>http://dx.doi.org/10.1108/17468800610674453</v>
      </c>
      <c r="BN1775" t="s">
        <v>69</v>
      </c>
      <c r="BO1775" t="s">
        <v>69</v>
      </c>
      <c r="BP1775">
        <v>10</v>
      </c>
      <c r="BQ1775" t="s">
        <v>30474</v>
      </c>
      <c r="BR1775" t="s">
        <v>8573</v>
      </c>
      <c r="BS1775" t="s">
        <v>8594</v>
      </c>
      <c r="BT1775" t="s">
        <v>30475</v>
      </c>
      <c r="BU1775" t="s">
        <v>30476</v>
      </c>
      <c r="BV1775" t="s">
        <v>69</v>
      </c>
      <c r="BW1775" t="s">
        <v>69</v>
      </c>
      <c r="BX1775" t="s">
        <v>69</v>
      </c>
      <c r="BY1775" t="s">
        <v>69</v>
      </c>
      <c r="BZ1775" t="s">
        <v>8526</v>
      </c>
      <c r="CA1775" t="str">
        <f>HYPERLINK("https%3A%2F%2Fwww.webofscience.com%2Fwos%2Fwoscc%2Ffull-record%2FWOS:000214740600004","View Full Record in Web of Science")</f>
        <v>View Full Record in Web of Science</v>
      </c>
    </row>
    <row r="1776" spans="1:79" ht="12.5" x14ac:dyDescent="0.25">
      <c r="B1776" t="s">
        <v>8495</v>
      </c>
      <c r="D1776" s="7" t="s">
        <v>32933</v>
      </c>
      <c r="E1776" s="7"/>
      <c r="F1776" s="7"/>
      <c r="G1776" s="7"/>
      <c r="H1776" t="s">
        <v>67</v>
      </c>
      <c r="I1776" t="s">
        <v>2498</v>
      </c>
      <c r="J1776" t="s">
        <v>69</v>
      </c>
      <c r="K1776" t="s">
        <v>69</v>
      </c>
      <c r="L1776" t="s">
        <v>69</v>
      </c>
      <c r="M1776" t="s">
        <v>2499</v>
      </c>
      <c r="N1776" t="s">
        <v>69</v>
      </c>
      <c r="O1776" t="s">
        <v>69</v>
      </c>
      <c r="P1776" t="s">
        <v>2500</v>
      </c>
      <c r="Q1776" t="s">
        <v>2501</v>
      </c>
      <c r="R1776" t="s">
        <v>69</v>
      </c>
      <c r="S1776" t="s">
        <v>69</v>
      </c>
      <c r="T1776" t="s">
        <v>8505</v>
      </c>
      <c r="U1776" t="s">
        <v>8442</v>
      </c>
      <c r="V1776" t="s">
        <v>69</v>
      </c>
      <c r="W1776" t="s">
        <v>69</v>
      </c>
      <c r="X1776" t="s">
        <v>69</v>
      </c>
      <c r="Y1776" t="s">
        <v>69</v>
      </c>
      <c r="Z1776" t="s">
        <v>69</v>
      </c>
      <c r="AA1776" t="s">
        <v>19528</v>
      </c>
      <c r="AB1776" t="s">
        <v>19529</v>
      </c>
      <c r="AC1776" t="s">
        <v>2502</v>
      </c>
      <c r="AD1776" t="s">
        <v>69</v>
      </c>
      <c r="AE1776" t="s">
        <v>69</v>
      </c>
      <c r="AF1776" t="s">
        <v>19530</v>
      </c>
      <c r="AG1776" t="s">
        <v>19531</v>
      </c>
      <c r="AH1776" t="s">
        <v>69</v>
      </c>
      <c r="AI1776" t="s">
        <v>69</v>
      </c>
      <c r="AJ1776" t="s">
        <v>69</v>
      </c>
      <c r="AK1776" t="s">
        <v>69</v>
      </c>
      <c r="AL1776" t="s">
        <v>69</v>
      </c>
      <c r="AM1776" t="s">
        <v>69</v>
      </c>
      <c r="AN1776">
        <v>59</v>
      </c>
      <c r="AO1776">
        <v>5</v>
      </c>
      <c r="AP1776">
        <v>7</v>
      </c>
      <c r="AQ1776">
        <v>6</v>
      </c>
      <c r="AR1776">
        <v>36</v>
      </c>
      <c r="AS1776" t="s">
        <v>19532</v>
      </c>
      <c r="AT1776" t="s">
        <v>19533</v>
      </c>
      <c r="AU1776" t="s">
        <v>19534</v>
      </c>
      <c r="AV1776" t="s">
        <v>2503</v>
      </c>
      <c r="AW1776" t="s">
        <v>69</v>
      </c>
      <c r="AX1776" t="s">
        <v>69</v>
      </c>
      <c r="AY1776" t="s">
        <v>2501</v>
      </c>
      <c r="AZ1776" t="s">
        <v>19535</v>
      </c>
      <c r="BA1776" t="s">
        <v>69</v>
      </c>
      <c r="BB1776">
        <v>2018</v>
      </c>
      <c r="BC1776">
        <v>48</v>
      </c>
      <c r="BD1776">
        <v>2</v>
      </c>
      <c r="BE1776" t="s">
        <v>69</v>
      </c>
      <c r="BF1776" t="s">
        <v>69</v>
      </c>
      <c r="BG1776" t="s">
        <v>69</v>
      </c>
      <c r="BH1776" t="s">
        <v>69</v>
      </c>
      <c r="BI1776">
        <v>133</v>
      </c>
      <c r="BJ1776">
        <v>140</v>
      </c>
      <c r="BK1776" t="s">
        <v>69</v>
      </c>
      <c r="BL1776" t="s">
        <v>2504</v>
      </c>
      <c r="BM1776" t="str">
        <f>HYPERLINK("http://dx.doi.org/10.1127/phyto/2017/0179","http://dx.doi.org/10.1127/phyto/2017/0179")</f>
        <v>http://dx.doi.org/10.1127/phyto/2017/0179</v>
      </c>
      <c r="BN1776" t="s">
        <v>69</v>
      </c>
      <c r="BO1776" t="s">
        <v>69</v>
      </c>
      <c r="BP1776">
        <v>8</v>
      </c>
      <c r="BQ1776" t="s">
        <v>19536</v>
      </c>
      <c r="BR1776" t="s">
        <v>8548</v>
      </c>
      <c r="BS1776" t="s">
        <v>19537</v>
      </c>
      <c r="BT1776" t="s">
        <v>19538</v>
      </c>
      <c r="BU1776" t="s">
        <v>2505</v>
      </c>
      <c r="BV1776" t="s">
        <v>69</v>
      </c>
      <c r="BW1776" t="s">
        <v>69</v>
      </c>
      <c r="BX1776" t="s">
        <v>69</v>
      </c>
      <c r="BY1776" t="s">
        <v>69</v>
      </c>
      <c r="BZ1776" t="s">
        <v>8526</v>
      </c>
      <c r="CA1776" t="str">
        <f>HYPERLINK("https%3A%2F%2Fwww.webofscience.com%2Fwos%2Fwoscc%2Ffull-record%2FWOS:000431268500004","View Full Record in Web of Science")</f>
        <v>View Full Record in Web of Science</v>
      </c>
    </row>
    <row r="1777" spans="1:79" x14ac:dyDescent="0.3">
      <c r="A1777" t="s">
        <v>8408</v>
      </c>
      <c r="B1777" t="s">
        <v>8495</v>
      </c>
      <c r="D1777" s="10" t="s">
        <v>8400</v>
      </c>
      <c r="F1777" s="10" t="s">
        <v>8490</v>
      </c>
      <c r="H1777" t="s">
        <v>67</v>
      </c>
      <c r="I1777" t="s">
        <v>4873</v>
      </c>
      <c r="J1777" t="s">
        <v>69</v>
      </c>
      <c r="K1777" t="s">
        <v>69</v>
      </c>
      <c r="L1777" t="s">
        <v>69</v>
      </c>
      <c r="M1777" s="2" t="s">
        <v>4874</v>
      </c>
      <c r="N1777" t="s">
        <v>69</v>
      </c>
      <c r="O1777" t="s">
        <v>69</v>
      </c>
      <c r="P1777" s="2" t="s">
        <v>4875</v>
      </c>
      <c r="Q1777" t="s">
        <v>4399</v>
      </c>
      <c r="R1777" t="s">
        <v>69</v>
      </c>
      <c r="S1777" t="s">
        <v>69</v>
      </c>
      <c r="T1777" t="s">
        <v>8505</v>
      </c>
      <c r="U1777" t="s">
        <v>8506</v>
      </c>
      <c r="V1777" t="s">
        <v>69</v>
      </c>
      <c r="W1777" t="s">
        <v>69</v>
      </c>
      <c r="X1777" t="s">
        <v>69</v>
      </c>
      <c r="Y1777" t="s">
        <v>69</v>
      </c>
      <c r="Z1777" t="s">
        <v>69</v>
      </c>
      <c r="AA1777" t="s">
        <v>23578</v>
      </c>
      <c r="AB1777" t="s">
        <v>69</v>
      </c>
      <c r="AC1777" t="s">
        <v>4876</v>
      </c>
      <c r="AD1777" t="s">
        <v>23579</v>
      </c>
      <c r="AE1777" t="s">
        <v>69</v>
      </c>
      <c r="AF1777" t="s">
        <v>23580</v>
      </c>
      <c r="AG1777" t="s">
        <v>23581</v>
      </c>
      <c r="AH1777" t="s">
        <v>69</v>
      </c>
      <c r="AI1777" t="s">
        <v>4877</v>
      </c>
      <c r="AJ1777" t="s">
        <v>69</v>
      </c>
      <c r="AK1777" t="s">
        <v>69</v>
      </c>
      <c r="AL1777" t="s">
        <v>69</v>
      </c>
      <c r="AM1777" t="s">
        <v>69</v>
      </c>
      <c r="AN1777">
        <v>52</v>
      </c>
      <c r="AO1777">
        <v>16</v>
      </c>
      <c r="AP1777">
        <v>16</v>
      </c>
      <c r="AQ1777">
        <v>1</v>
      </c>
      <c r="AR1777">
        <v>7</v>
      </c>
      <c r="AS1777" t="s">
        <v>13217</v>
      </c>
      <c r="AT1777" t="s">
        <v>13218</v>
      </c>
      <c r="AU1777" t="s">
        <v>13219</v>
      </c>
      <c r="AV1777" t="s">
        <v>4401</v>
      </c>
      <c r="AW1777" t="s">
        <v>69</v>
      </c>
      <c r="AX1777" t="s">
        <v>69</v>
      </c>
      <c r="AY1777" t="s">
        <v>13220</v>
      </c>
      <c r="AZ1777" t="s">
        <v>13221</v>
      </c>
      <c r="BA1777" t="s">
        <v>381</v>
      </c>
      <c r="BB1777">
        <v>2014</v>
      </c>
      <c r="BC1777">
        <v>7</v>
      </c>
      <c r="BD1777">
        <v>3</v>
      </c>
      <c r="BE1777" t="s">
        <v>69</v>
      </c>
      <c r="BF1777" t="s">
        <v>69</v>
      </c>
      <c r="BG1777" t="s">
        <v>69</v>
      </c>
      <c r="BH1777" t="s">
        <v>69</v>
      </c>
      <c r="BI1777">
        <v>561</v>
      </c>
      <c r="BJ1777">
        <v>583</v>
      </c>
      <c r="BK1777" t="s">
        <v>69</v>
      </c>
      <c r="BL1777" t="s">
        <v>69</v>
      </c>
      <c r="BM1777" t="s">
        <v>69</v>
      </c>
      <c r="BN1777" t="s">
        <v>69</v>
      </c>
      <c r="BO1777" t="s">
        <v>69</v>
      </c>
      <c r="BP1777">
        <v>23</v>
      </c>
      <c r="BQ1777" t="s">
        <v>13222</v>
      </c>
      <c r="BR1777" t="s">
        <v>8523</v>
      </c>
      <c r="BS1777" t="s">
        <v>11438</v>
      </c>
      <c r="BT1777" t="s">
        <v>23582</v>
      </c>
      <c r="BU1777" t="s">
        <v>4878</v>
      </c>
      <c r="BV1777" t="s">
        <v>69</v>
      </c>
      <c r="BW1777" t="s">
        <v>69</v>
      </c>
      <c r="BX1777" t="s">
        <v>69</v>
      </c>
      <c r="BY1777" t="s">
        <v>69</v>
      </c>
      <c r="BZ1777" t="s">
        <v>8526</v>
      </c>
      <c r="CA1777" t="str">
        <f>HYPERLINK("https%3A%2F%2Fwww.webofscience.com%2Fwos%2Fwoscc%2Ffull-record%2FWOS:000209774800007","View Full Record in Web of Science")</f>
        <v>View Full Record in Web of Science</v>
      </c>
    </row>
    <row r="1778" spans="1:79" ht="12.5" x14ac:dyDescent="0.25">
      <c r="B1778" t="s">
        <v>8495</v>
      </c>
      <c r="D1778" s="22" t="s">
        <v>32931</v>
      </c>
      <c r="E1778" s="7"/>
      <c r="F1778" s="7"/>
      <c r="G1778" s="7"/>
      <c r="H1778" t="s">
        <v>67</v>
      </c>
      <c r="I1778" t="s">
        <v>15383</v>
      </c>
      <c r="J1778" t="s">
        <v>69</v>
      </c>
      <c r="K1778" t="s">
        <v>69</v>
      </c>
      <c r="L1778" t="s">
        <v>69</v>
      </c>
      <c r="M1778" t="s">
        <v>15384</v>
      </c>
      <c r="N1778" t="s">
        <v>69</v>
      </c>
      <c r="O1778" t="s">
        <v>69</v>
      </c>
      <c r="P1778" t="s">
        <v>15385</v>
      </c>
      <c r="Q1778" t="s">
        <v>15386</v>
      </c>
      <c r="R1778" t="s">
        <v>69</v>
      </c>
      <c r="S1778" t="s">
        <v>69</v>
      </c>
      <c r="T1778" t="s">
        <v>8505</v>
      </c>
      <c r="U1778" t="s">
        <v>8506</v>
      </c>
      <c r="V1778" t="s">
        <v>69</v>
      </c>
      <c r="W1778" t="s">
        <v>69</v>
      </c>
      <c r="X1778" t="s">
        <v>69</v>
      </c>
      <c r="Y1778" t="s">
        <v>69</v>
      </c>
      <c r="Z1778" t="s">
        <v>69</v>
      </c>
      <c r="AA1778" t="s">
        <v>15387</v>
      </c>
      <c r="AB1778" t="s">
        <v>15388</v>
      </c>
      <c r="AC1778" t="s">
        <v>15389</v>
      </c>
      <c r="AD1778" t="s">
        <v>15390</v>
      </c>
      <c r="AE1778" t="s">
        <v>69</v>
      </c>
      <c r="AF1778" t="s">
        <v>15391</v>
      </c>
      <c r="AG1778" t="s">
        <v>15392</v>
      </c>
      <c r="AH1778" t="s">
        <v>69</v>
      </c>
      <c r="AI1778" t="s">
        <v>69</v>
      </c>
      <c r="AJ1778" t="s">
        <v>69</v>
      </c>
      <c r="AK1778" t="s">
        <v>69</v>
      </c>
      <c r="AL1778" t="s">
        <v>69</v>
      </c>
      <c r="AM1778" t="s">
        <v>69</v>
      </c>
      <c r="AN1778">
        <v>40</v>
      </c>
      <c r="AO1778">
        <v>6</v>
      </c>
      <c r="AP1778">
        <v>6</v>
      </c>
      <c r="AQ1778">
        <v>0</v>
      </c>
      <c r="AR1778">
        <v>7</v>
      </c>
      <c r="AS1778" t="s">
        <v>8611</v>
      </c>
      <c r="AT1778" t="s">
        <v>8612</v>
      </c>
      <c r="AU1778" t="s">
        <v>8613</v>
      </c>
      <c r="AV1778" t="s">
        <v>15393</v>
      </c>
      <c r="AW1778" t="s">
        <v>15394</v>
      </c>
      <c r="AX1778" t="s">
        <v>69</v>
      </c>
      <c r="AY1778" t="s">
        <v>15395</v>
      </c>
      <c r="AZ1778" t="s">
        <v>15396</v>
      </c>
      <c r="BA1778" t="s">
        <v>15397</v>
      </c>
      <c r="BB1778">
        <v>2020</v>
      </c>
      <c r="BC1778">
        <v>52</v>
      </c>
      <c r="BD1778">
        <v>11</v>
      </c>
      <c r="BE1778" t="s">
        <v>69</v>
      </c>
      <c r="BF1778" t="s">
        <v>69</v>
      </c>
      <c r="BG1778" t="s">
        <v>114</v>
      </c>
      <c r="BH1778" t="s">
        <v>69</v>
      </c>
      <c r="BI1778">
        <v>1126</v>
      </c>
      <c r="BJ1778">
        <v>1138</v>
      </c>
      <c r="BK1778" t="s">
        <v>69</v>
      </c>
      <c r="BL1778" t="s">
        <v>15398</v>
      </c>
      <c r="BM1778" t="str">
        <f>HYPERLINK("http://dx.doi.org/10.1080/00131857.2020.1752186","http://dx.doi.org/10.1080/00131857.2020.1752186")</f>
        <v>http://dx.doi.org/10.1080/00131857.2020.1752186</v>
      </c>
      <c r="BN1778" t="s">
        <v>69</v>
      </c>
      <c r="BO1778" t="s">
        <v>767</v>
      </c>
      <c r="BP1778">
        <v>13</v>
      </c>
      <c r="BQ1778" t="s">
        <v>9290</v>
      </c>
      <c r="BR1778" t="s">
        <v>8661</v>
      </c>
      <c r="BS1778" t="s">
        <v>9290</v>
      </c>
      <c r="BT1778" t="s">
        <v>15399</v>
      </c>
      <c r="BU1778" t="s">
        <v>15400</v>
      </c>
      <c r="BV1778" t="s">
        <v>69</v>
      </c>
      <c r="BW1778" t="s">
        <v>69</v>
      </c>
      <c r="BX1778" t="s">
        <v>69</v>
      </c>
      <c r="BY1778" t="s">
        <v>69</v>
      </c>
      <c r="BZ1778" t="s">
        <v>8526</v>
      </c>
      <c r="CA1778" t="str">
        <f>HYPERLINK("https%3A%2F%2Fwww.webofscience.com%2Fwos%2Fwoscc%2Ffull-record%2FWOS:000540118900001","View Full Record in Web of Science")</f>
        <v>View Full Record in Web of Science</v>
      </c>
    </row>
    <row r="1779" spans="1:79" ht="12.5" x14ac:dyDescent="0.25">
      <c r="B1779" t="s">
        <v>8495</v>
      </c>
      <c r="D1779" s="7" t="s">
        <v>32933</v>
      </c>
      <c r="E1779" s="7"/>
      <c r="F1779" s="7"/>
      <c r="G1779" s="7"/>
      <c r="H1779" t="s">
        <v>67</v>
      </c>
      <c r="I1779" t="s">
        <v>4139</v>
      </c>
      <c r="J1779" t="s">
        <v>69</v>
      </c>
      <c r="K1779" t="s">
        <v>69</v>
      </c>
      <c r="L1779" t="s">
        <v>69</v>
      </c>
      <c r="M1779" t="s">
        <v>4139</v>
      </c>
      <c r="N1779" t="s">
        <v>69</v>
      </c>
      <c r="O1779" t="s">
        <v>69</v>
      </c>
      <c r="P1779" t="s">
        <v>4140</v>
      </c>
      <c r="Q1779" t="s">
        <v>3230</v>
      </c>
      <c r="R1779" t="s">
        <v>69</v>
      </c>
      <c r="S1779" t="s">
        <v>69</v>
      </c>
      <c r="T1779" t="s">
        <v>8505</v>
      </c>
      <c r="U1779" t="s">
        <v>8506</v>
      </c>
      <c r="V1779" t="s">
        <v>69</v>
      </c>
      <c r="W1779" t="s">
        <v>69</v>
      </c>
      <c r="X1779" t="s">
        <v>69</v>
      </c>
      <c r="Y1779" t="s">
        <v>69</v>
      </c>
      <c r="Z1779" t="s">
        <v>69</v>
      </c>
      <c r="AA1779" t="s">
        <v>69</v>
      </c>
      <c r="AB1779" t="s">
        <v>69</v>
      </c>
      <c r="AC1779" t="s">
        <v>4141</v>
      </c>
      <c r="AD1779" t="s">
        <v>31910</v>
      </c>
      <c r="AE1779" t="s">
        <v>69</v>
      </c>
      <c r="AF1779" t="s">
        <v>31911</v>
      </c>
      <c r="AG1779" t="s">
        <v>69</v>
      </c>
      <c r="AH1779" t="s">
        <v>69</v>
      </c>
      <c r="AI1779" t="s">
        <v>69</v>
      </c>
      <c r="AJ1779" t="s">
        <v>69</v>
      </c>
      <c r="AK1779" t="s">
        <v>69</v>
      </c>
      <c r="AL1779" t="s">
        <v>69</v>
      </c>
      <c r="AM1779" t="s">
        <v>69</v>
      </c>
      <c r="AN1779">
        <v>15</v>
      </c>
      <c r="AO1779">
        <v>3</v>
      </c>
      <c r="AP1779">
        <v>3</v>
      </c>
      <c r="AQ1779">
        <v>0</v>
      </c>
      <c r="AR1779">
        <v>5</v>
      </c>
      <c r="AS1779" t="s">
        <v>24156</v>
      </c>
      <c r="AT1779" t="s">
        <v>24157</v>
      </c>
      <c r="AU1779" t="s">
        <v>24158</v>
      </c>
      <c r="AV1779" t="s">
        <v>3232</v>
      </c>
      <c r="AW1779" t="s">
        <v>69</v>
      </c>
      <c r="AX1779" t="s">
        <v>69</v>
      </c>
      <c r="AY1779" t="s">
        <v>24159</v>
      </c>
      <c r="AZ1779" t="s">
        <v>24160</v>
      </c>
      <c r="BA1779" t="s">
        <v>255</v>
      </c>
      <c r="BB1779">
        <v>1999</v>
      </c>
      <c r="BC1779">
        <v>26</v>
      </c>
      <c r="BD1779">
        <v>3</v>
      </c>
      <c r="BE1779" t="s">
        <v>69</v>
      </c>
      <c r="BF1779" t="s">
        <v>69</v>
      </c>
      <c r="BG1779" t="s">
        <v>69</v>
      </c>
      <c r="BH1779" t="s">
        <v>69</v>
      </c>
      <c r="BI1779">
        <v>121</v>
      </c>
      <c r="BJ1779">
        <v>129</v>
      </c>
      <c r="BK1779" t="s">
        <v>69</v>
      </c>
      <c r="BL1779" t="s">
        <v>69</v>
      </c>
      <c r="BM1779" t="s">
        <v>69</v>
      </c>
      <c r="BN1779" t="s">
        <v>69</v>
      </c>
      <c r="BO1779" t="s">
        <v>69</v>
      </c>
      <c r="BP1779">
        <v>9</v>
      </c>
      <c r="BQ1779" t="s">
        <v>17732</v>
      </c>
      <c r="BR1779" t="s">
        <v>8548</v>
      </c>
      <c r="BS1779" t="s">
        <v>17733</v>
      </c>
      <c r="BT1779" t="s">
        <v>31912</v>
      </c>
      <c r="BU1779" t="s">
        <v>4142</v>
      </c>
      <c r="BV1779" t="s">
        <v>69</v>
      </c>
      <c r="BW1779" t="s">
        <v>69</v>
      </c>
      <c r="BX1779" t="s">
        <v>69</v>
      </c>
      <c r="BY1779" t="s">
        <v>69</v>
      </c>
      <c r="BZ1779" t="s">
        <v>8526</v>
      </c>
      <c r="CA1779" t="str">
        <f>HYPERLINK("https%3A%2F%2Fwww.webofscience.com%2Fwos%2Fwoscc%2Ffull-record%2FWOS:000084431900003","View Full Record in Web of Science")</f>
        <v>View Full Record in Web of Science</v>
      </c>
    </row>
    <row r="1780" spans="1:79" ht="12.5" x14ac:dyDescent="0.25">
      <c r="B1780" t="s">
        <v>8495</v>
      </c>
      <c r="D1780" s="7" t="s">
        <v>32933</v>
      </c>
      <c r="E1780" s="7"/>
      <c r="F1780" s="7"/>
      <c r="G1780" s="7"/>
      <c r="H1780" t="s">
        <v>67</v>
      </c>
      <c r="I1780" t="s">
        <v>7494</v>
      </c>
      <c r="J1780" t="s">
        <v>69</v>
      </c>
      <c r="K1780" t="s">
        <v>69</v>
      </c>
      <c r="L1780" t="s">
        <v>69</v>
      </c>
      <c r="M1780" t="s">
        <v>7495</v>
      </c>
      <c r="N1780" t="s">
        <v>69</v>
      </c>
      <c r="O1780" t="s">
        <v>69</v>
      </c>
      <c r="P1780" s="3" t="s">
        <v>7496</v>
      </c>
      <c r="Q1780" t="s">
        <v>7497</v>
      </c>
      <c r="R1780" t="s">
        <v>69</v>
      </c>
      <c r="S1780" t="s">
        <v>69</v>
      </c>
      <c r="T1780" t="s">
        <v>8505</v>
      </c>
      <c r="U1780" t="s">
        <v>8506</v>
      </c>
      <c r="V1780" t="s">
        <v>69</v>
      </c>
      <c r="W1780" t="s">
        <v>69</v>
      </c>
      <c r="X1780" t="s">
        <v>69</v>
      </c>
      <c r="Y1780" t="s">
        <v>69</v>
      </c>
      <c r="Z1780" t="s">
        <v>69</v>
      </c>
      <c r="AA1780" t="s">
        <v>69</v>
      </c>
      <c r="AB1780" t="s">
        <v>27820</v>
      </c>
      <c r="AC1780" t="s">
        <v>7498</v>
      </c>
      <c r="AD1780" t="s">
        <v>27821</v>
      </c>
      <c r="AE1780" t="s">
        <v>69</v>
      </c>
      <c r="AF1780" t="s">
        <v>27822</v>
      </c>
      <c r="AG1780" t="s">
        <v>27823</v>
      </c>
      <c r="AH1780" t="s">
        <v>7499</v>
      </c>
      <c r="AI1780" t="s">
        <v>7500</v>
      </c>
      <c r="AJ1780" t="s">
        <v>27824</v>
      </c>
      <c r="AK1780" t="s">
        <v>27825</v>
      </c>
      <c r="AL1780" t="s">
        <v>27826</v>
      </c>
      <c r="AM1780" t="s">
        <v>69</v>
      </c>
      <c r="AN1780">
        <v>92</v>
      </c>
      <c r="AO1780">
        <v>168</v>
      </c>
      <c r="AP1780">
        <v>170</v>
      </c>
      <c r="AQ1780">
        <v>1</v>
      </c>
      <c r="AR1780">
        <v>53</v>
      </c>
      <c r="AS1780" t="s">
        <v>9203</v>
      </c>
      <c r="AT1780" t="s">
        <v>8763</v>
      </c>
      <c r="AU1780" t="s">
        <v>9204</v>
      </c>
      <c r="AV1780" t="s">
        <v>7501</v>
      </c>
      <c r="AW1780" t="s">
        <v>69</v>
      </c>
      <c r="AX1780" t="s">
        <v>69</v>
      </c>
      <c r="AY1780" t="s">
        <v>27827</v>
      </c>
      <c r="AZ1780" t="s">
        <v>27828</v>
      </c>
      <c r="BA1780" t="s">
        <v>7502</v>
      </c>
      <c r="BB1780">
        <v>2010</v>
      </c>
      <c r="BC1780">
        <v>9</v>
      </c>
      <c r="BD1780" t="s">
        <v>69</v>
      </c>
      <c r="BE1780" t="s">
        <v>69</v>
      </c>
      <c r="BF1780" t="s">
        <v>69</v>
      </c>
      <c r="BG1780" t="s">
        <v>69</v>
      </c>
      <c r="BH1780" t="s">
        <v>69</v>
      </c>
      <c r="BI1780" t="s">
        <v>69</v>
      </c>
      <c r="BJ1780" t="s">
        <v>69</v>
      </c>
      <c r="BK1780">
        <v>19</v>
      </c>
      <c r="BL1780" t="s">
        <v>7503</v>
      </c>
      <c r="BM1780" t="str">
        <f>HYPERLINK("http://dx.doi.org/10.1186/1476-069X-9-19","http://dx.doi.org/10.1186/1476-069X-9-19")</f>
        <v>http://dx.doi.org/10.1186/1476-069X-9-19</v>
      </c>
      <c r="BN1780" t="s">
        <v>69</v>
      </c>
      <c r="BO1780" t="s">
        <v>69</v>
      </c>
      <c r="BP1780">
        <v>16</v>
      </c>
      <c r="BQ1780" t="s">
        <v>10595</v>
      </c>
      <c r="BR1780" t="s">
        <v>8523</v>
      </c>
      <c r="BS1780" t="s">
        <v>10596</v>
      </c>
      <c r="BT1780" t="s">
        <v>27829</v>
      </c>
      <c r="BU1780" t="s">
        <v>7504</v>
      </c>
      <c r="BV1780">
        <v>20420657</v>
      </c>
      <c r="BW1780" t="s">
        <v>9352</v>
      </c>
      <c r="BX1780" t="s">
        <v>69</v>
      </c>
      <c r="BY1780" t="s">
        <v>69</v>
      </c>
      <c r="BZ1780" t="s">
        <v>8526</v>
      </c>
      <c r="CA1780" t="str">
        <f>HYPERLINK("https%3A%2F%2Fwww.webofscience.com%2Fwos%2Fwoscc%2Ffull-record%2FWOS:000278269200001","View Full Record in Web of Science")</f>
        <v>View Full Record in Web of Science</v>
      </c>
    </row>
    <row r="1781" spans="1:79" ht="12.5" x14ac:dyDescent="0.25">
      <c r="B1781" t="s">
        <v>8495</v>
      </c>
      <c r="D1781" s="22" t="s">
        <v>32931</v>
      </c>
      <c r="E1781" s="7"/>
      <c r="F1781" s="7"/>
      <c r="G1781" s="7"/>
      <c r="H1781" t="s">
        <v>67</v>
      </c>
      <c r="I1781" t="s">
        <v>20464</v>
      </c>
      <c r="J1781" t="s">
        <v>69</v>
      </c>
      <c r="K1781" t="s">
        <v>69</v>
      </c>
      <c r="L1781" t="s">
        <v>69</v>
      </c>
      <c r="M1781" t="s">
        <v>20465</v>
      </c>
      <c r="N1781" t="s">
        <v>69</v>
      </c>
      <c r="O1781" t="s">
        <v>69</v>
      </c>
      <c r="P1781" t="s">
        <v>20466</v>
      </c>
      <c r="Q1781" t="s">
        <v>12069</v>
      </c>
      <c r="R1781" t="s">
        <v>69</v>
      </c>
      <c r="S1781" t="s">
        <v>69</v>
      </c>
      <c r="T1781" t="s">
        <v>8505</v>
      </c>
      <c r="U1781" t="s">
        <v>8506</v>
      </c>
      <c r="V1781" t="s">
        <v>69</v>
      </c>
      <c r="W1781" t="s">
        <v>69</v>
      </c>
      <c r="X1781" t="s">
        <v>69</v>
      </c>
      <c r="Y1781" t="s">
        <v>69</v>
      </c>
      <c r="Z1781" t="s">
        <v>69</v>
      </c>
      <c r="AA1781" t="s">
        <v>69</v>
      </c>
      <c r="AB1781" t="s">
        <v>69</v>
      </c>
      <c r="AC1781" t="s">
        <v>20467</v>
      </c>
      <c r="AD1781" t="s">
        <v>20468</v>
      </c>
      <c r="AE1781" t="s">
        <v>69</v>
      </c>
      <c r="AF1781" t="s">
        <v>20469</v>
      </c>
      <c r="AG1781" t="s">
        <v>69</v>
      </c>
      <c r="AH1781" t="s">
        <v>69</v>
      </c>
      <c r="AI1781" t="s">
        <v>69</v>
      </c>
      <c r="AJ1781" t="s">
        <v>69</v>
      </c>
      <c r="AK1781" t="s">
        <v>69</v>
      </c>
      <c r="AL1781" t="s">
        <v>69</v>
      </c>
      <c r="AM1781" t="s">
        <v>69</v>
      </c>
      <c r="AN1781">
        <v>27</v>
      </c>
      <c r="AO1781">
        <v>0</v>
      </c>
      <c r="AP1781">
        <v>0</v>
      </c>
      <c r="AQ1781">
        <v>0</v>
      </c>
      <c r="AR1781">
        <v>8</v>
      </c>
      <c r="AS1781" t="s">
        <v>12073</v>
      </c>
      <c r="AT1781" t="s">
        <v>12074</v>
      </c>
      <c r="AU1781" t="s">
        <v>12075</v>
      </c>
      <c r="AV1781" t="s">
        <v>12076</v>
      </c>
      <c r="AW1781" t="s">
        <v>69</v>
      </c>
      <c r="AX1781" t="s">
        <v>69</v>
      </c>
      <c r="AY1781" t="s">
        <v>12077</v>
      </c>
      <c r="AZ1781" t="s">
        <v>12078</v>
      </c>
      <c r="BA1781" t="s">
        <v>94</v>
      </c>
      <c r="BB1781">
        <v>2017</v>
      </c>
      <c r="BC1781">
        <v>52</v>
      </c>
      <c r="BD1781">
        <v>1</v>
      </c>
      <c r="BE1781" t="s">
        <v>69</v>
      </c>
      <c r="BF1781" t="s">
        <v>69</v>
      </c>
      <c r="BG1781" t="s">
        <v>69</v>
      </c>
      <c r="BH1781" t="s">
        <v>69</v>
      </c>
      <c r="BI1781">
        <v>1</v>
      </c>
      <c r="BJ1781">
        <v>38</v>
      </c>
      <c r="BK1781" t="s">
        <v>69</v>
      </c>
      <c r="BL1781" t="s">
        <v>69</v>
      </c>
      <c r="BM1781" t="s">
        <v>69</v>
      </c>
      <c r="BN1781" t="s">
        <v>69</v>
      </c>
      <c r="BO1781" t="s">
        <v>69</v>
      </c>
      <c r="BP1781">
        <v>38</v>
      </c>
      <c r="BQ1781" t="s">
        <v>12079</v>
      </c>
      <c r="BR1781" t="s">
        <v>8573</v>
      </c>
      <c r="BS1781" t="s">
        <v>8445</v>
      </c>
      <c r="BT1781" t="s">
        <v>20470</v>
      </c>
      <c r="BU1781" t="s">
        <v>20471</v>
      </c>
      <c r="BV1781" t="s">
        <v>69</v>
      </c>
      <c r="BW1781" t="s">
        <v>69</v>
      </c>
      <c r="BX1781" t="s">
        <v>69</v>
      </c>
      <c r="BY1781" t="s">
        <v>69</v>
      </c>
      <c r="BZ1781" t="s">
        <v>8526</v>
      </c>
      <c r="CA1781" t="str">
        <f>HYPERLINK("https%3A%2F%2Fwww.webofscience.com%2Fwos%2Fwoscc%2Ffull-record%2FWOS:000423693400001","View Full Record in Web of Science")</f>
        <v>View Full Record in Web of Science</v>
      </c>
    </row>
    <row r="1782" spans="1:79" ht="12.5" x14ac:dyDescent="0.25">
      <c r="B1782" t="s">
        <v>8495</v>
      </c>
      <c r="D1782" s="7" t="s">
        <v>32933</v>
      </c>
      <c r="E1782" s="7"/>
      <c r="F1782" s="7"/>
      <c r="G1782" s="7"/>
      <c r="H1782" t="s">
        <v>67</v>
      </c>
      <c r="I1782" t="s">
        <v>5350</v>
      </c>
      <c r="J1782" t="s">
        <v>69</v>
      </c>
      <c r="K1782" t="s">
        <v>69</v>
      </c>
      <c r="L1782" t="s">
        <v>69</v>
      </c>
      <c r="M1782" t="s">
        <v>5351</v>
      </c>
      <c r="N1782" t="s">
        <v>69</v>
      </c>
      <c r="O1782" t="s">
        <v>69</v>
      </c>
      <c r="P1782" t="s">
        <v>5352</v>
      </c>
      <c r="Q1782" t="s">
        <v>5353</v>
      </c>
      <c r="R1782" t="s">
        <v>69</v>
      </c>
      <c r="S1782" t="s">
        <v>69</v>
      </c>
      <c r="T1782" t="s">
        <v>8505</v>
      </c>
      <c r="U1782" t="s">
        <v>8506</v>
      </c>
      <c r="V1782" t="s">
        <v>69</v>
      </c>
      <c r="W1782" t="s">
        <v>69</v>
      </c>
      <c r="X1782" t="s">
        <v>69</v>
      </c>
      <c r="Y1782" t="s">
        <v>69</v>
      </c>
      <c r="Z1782" t="s">
        <v>69</v>
      </c>
      <c r="AA1782" t="s">
        <v>25005</v>
      </c>
      <c r="AB1782" t="s">
        <v>25006</v>
      </c>
      <c r="AC1782" t="s">
        <v>5354</v>
      </c>
      <c r="AD1782" t="s">
        <v>25007</v>
      </c>
      <c r="AE1782" t="s">
        <v>69</v>
      </c>
      <c r="AF1782" t="s">
        <v>25008</v>
      </c>
      <c r="AG1782" t="s">
        <v>25009</v>
      </c>
      <c r="AH1782" t="s">
        <v>5355</v>
      </c>
      <c r="AI1782" t="s">
        <v>5356</v>
      </c>
      <c r="AJ1782" t="s">
        <v>25010</v>
      </c>
      <c r="AK1782" t="s">
        <v>25010</v>
      </c>
      <c r="AL1782" t="s">
        <v>25011</v>
      </c>
      <c r="AM1782" t="s">
        <v>69</v>
      </c>
      <c r="AN1782">
        <v>25</v>
      </c>
      <c r="AO1782">
        <v>11</v>
      </c>
      <c r="AP1782">
        <v>11</v>
      </c>
      <c r="AQ1782">
        <v>0</v>
      </c>
      <c r="AR1782">
        <v>44</v>
      </c>
      <c r="AS1782" t="s">
        <v>25012</v>
      </c>
      <c r="AT1782" t="s">
        <v>25013</v>
      </c>
      <c r="AU1782" t="s">
        <v>25014</v>
      </c>
      <c r="AV1782" t="s">
        <v>5357</v>
      </c>
      <c r="AW1782" t="s">
        <v>69</v>
      </c>
      <c r="AX1782" t="s">
        <v>69</v>
      </c>
      <c r="AY1782" t="s">
        <v>25015</v>
      </c>
      <c r="AZ1782" t="s">
        <v>25016</v>
      </c>
      <c r="BA1782" t="s">
        <v>586</v>
      </c>
      <c r="BB1782">
        <v>2013</v>
      </c>
      <c r="BC1782">
        <v>33</v>
      </c>
      <c r="BD1782">
        <v>2</v>
      </c>
      <c r="BE1782" t="s">
        <v>69</v>
      </c>
      <c r="BF1782" t="s">
        <v>69</v>
      </c>
      <c r="BG1782" t="s">
        <v>69</v>
      </c>
      <c r="BH1782" t="s">
        <v>69</v>
      </c>
      <c r="BI1782">
        <v>122</v>
      </c>
      <c r="BJ1782">
        <v>131</v>
      </c>
      <c r="BK1782" t="s">
        <v>69</v>
      </c>
      <c r="BL1782" t="s">
        <v>5358</v>
      </c>
      <c r="BM1782" t="str">
        <f>HYPERLINK("http://dx.doi.org/10.1659/MRD-JOURNAL-D-12-00031.1","http://dx.doi.org/10.1659/MRD-JOURNAL-D-12-00031.1")</f>
        <v>http://dx.doi.org/10.1659/MRD-JOURNAL-D-12-00031.1</v>
      </c>
      <c r="BN1782" t="s">
        <v>69</v>
      </c>
      <c r="BO1782" t="s">
        <v>69</v>
      </c>
      <c r="BP1782">
        <v>10</v>
      </c>
      <c r="BQ1782" t="s">
        <v>25017</v>
      </c>
      <c r="BR1782" t="s">
        <v>8523</v>
      </c>
      <c r="BS1782" t="s">
        <v>25018</v>
      </c>
      <c r="BT1782" t="s">
        <v>25019</v>
      </c>
      <c r="BU1782" t="s">
        <v>5359</v>
      </c>
      <c r="BV1782" t="s">
        <v>69</v>
      </c>
      <c r="BW1782" t="s">
        <v>12220</v>
      </c>
      <c r="BX1782" t="s">
        <v>69</v>
      </c>
      <c r="BY1782" t="s">
        <v>69</v>
      </c>
      <c r="BZ1782" t="s">
        <v>8526</v>
      </c>
      <c r="CA1782" t="str">
        <f>HYPERLINK("https%3A%2F%2Fwww.webofscience.com%2Fwos%2Fwoscc%2Ffull-record%2FWOS:000319669300002","View Full Record in Web of Science")</f>
        <v>View Full Record in Web of Science</v>
      </c>
    </row>
    <row r="1783" spans="1:79" x14ac:dyDescent="0.3">
      <c r="A1783" t="s">
        <v>8408</v>
      </c>
      <c r="B1783" t="s">
        <v>8495</v>
      </c>
      <c r="D1783" s="10" t="s">
        <v>33188</v>
      </c>
      <c r="F1783" s="10" t="s">
        <v>8490</v>
      </c>
      <c r="H1783" t="s">
        <v>67</v>
      </c>
      <c r="I1783" t="s">
        <v>4345</v>
      </c>
      <c r="J1783" t="s">
        <v>69</v>
      </c>
      <c r="K1783" t="s">
        <v>69</v>
      </c>
      <c r="L1783" t="s">
        <v>69</v>
      </c>
      <c r="M1783" s="2" t="s">
        <v>4346</v>
      </c>
      <c r="N1783" t="s">
        <v>69</v>
      </c>
      <c r="O1783" t="s">
        <v>69</v>
      </c>
      <c r="P1783" s="11" t="s">
        <v>4347</v>
      </c>
      <c r="Q1783" t="s">
        <v>4348</v>
      </c>
      <c r="R1783" t="s">
        <v>69</v>
      </c>
      <c r="S1783" t="s">
        <v>69</v>
      </c>
      <c r="T1783" t="s">
        <v>8505</v>
      </c>
      <c r="U1783" t="s">
        <v>8506</v>
      </c>
      <c r="V1783" t="s">
        <v>69</v>
      </c>
      <c r="W1783" t="s">
        <v>69</v>
      </c>
      <c r="X1783" t="s">
        <v>69</v>
      </c>
      <c r="Y1783" t="s">
        <v>69</v>
      </c>
      <c r="Z1783" t="s">
        <v>69</v>
      </c>
      <c r="AA1783" t="s">
        <v>18412</v>
      </c>
      <c r="AB1783" t="s">
        <v>18413</v>
      </c>
      <c r="AC1783" t="s">
        <v>4349</v>
      </c>
      <c r="AD1783" t="s">
        <v>18414</v>
      </c>
      <c r="AE1783" t="s">
        <v>69</v>
      </c>
      <c r="AF1783" t="s">
        <v>18415</v>
      </c>
      <c r="AG1783" t="s">
        <v>18416</v>
      </c>
      <c r="AH1783" t="s">
        <v>4350</v>
      </c>
      <c r="AI1783" t="s">
        <v>4351</v>
      </c>
      <c r="AJ1783" t="s">
        <v>18417</v>
      </c>
      <c r="AK1783" t="s">
        <v>18418</v>
      </c>
      <c r="AL1783" t="s">
        <v>18419</v>
      </c>
      <c r="AM1783" t="s">
        <v>69</v>
      </c>
      <c r="AN1783">
        <v>29</v>
      </c>
      <c r="AO1783">
        <v>8</v>
      </c>
      <c r="AP1783">
        <v>8</v>
      </c>
      <c r="AQ1783">
        <v>2</v>
      </c>
      <c r="AR1783">
        <v>9</v>
      </c>
      <c r="AS1783" t="s">
        <v>17140</v>
      </c>
      <c r="AT1783" t="s">
        <v>8517</v>
      </c>
      <c r="AU1783" t="s">
        <v>17141</v>
      </c>
      <c r="AV1783" t="s">
        <v>4352</v>
      </c>
      <c r="AW1783" t="s">
        <v>4353</v>
      </c>
      <c r="AX1783" t="s">
        <v>69</v>
      </c>
      <c r="AY1783" t="s">
        <v>18420</v>
      </c>
      <c r="AZ1783" t="s">
        <v>18421</v>
      </c>
      <c r="BA1783" t="s">
        <v>255</v>
      </c>
      <c r="BB1783">
        <v>2018</v>
      </c>
      <c r="BC1783">
        <v>28</v>
      </c>
      <c r="BD1783" t="s">
        <v>69</v>
      </c>
      <c r="BE1783" t="s">
        <v>69</v>
      </c>
      <c r="BF1783" t="s">
        <v>69</v>
      </c>
      <c r="BG1783" t="s">
        <v>69</v>
      </c>
      <c r="BH1783" t="s">
        <v>69</v>
      </c>
      <c r="BI1783">
        <v>70</v>
      </c>
      <c r="BJ1783">
        <v>78</v>
      </c>
      <c r="BK1783" t="s">
        <v>69</v>
      </c>
      <c r="BL1783" t="s">
        <v>4354</v>
      </c>
      <c r="BM1783" t="str">
        <f>HYPERLINK("http://dx.doi.org/10.1016/j.eist.2018.02.003","http://dx.doi.org/10.1016/j.eist.2018.02.003")</f>
        <v>http://dx.doi.org/10.1016/j.eist.2018.02.003</v>
      </c>
      <c r="BN1783" t="s">
        <v>69</v>
      </c>
      <c r="BO1783" t="s">
        <v>69</v>
      </c>
      <c r="BP1783">
        <v>9</v>
      </c>
      <c r="BQ1783" t="s">
        <v>11791</v>
      </c>
      <c r="BR1783" t="s">
        <v>8523</v>
      </c>
      <c r="BS1783" t="s">
        <v>8662</v>
      </c>
      <c r="BT1783" t="s">
        <v>18422</v>
      </c>
      <c r="BU1783" t="s">
        <v>4355</v>
      </c>
      <c r="BV1783" t="s">
        <v>69</v>
      </c>
      <c r="BW1783" t="s">
        <v>69</v>
      </c>
      <c r="BX1783" t="s">
        <v>69</v>
      </c>
      <c r="BY1783" t="s">
        <v>69</v>
      </c>
      <c r="BZ1783" t="s">
        <v>8526</v>
      </c>
      <c r="CA1783" t="str">
        <f>HYPERLINK("https%3A%2F%2Fwww.webofscience.com%2Fwos%2Fwoscc%2Ffull-record%2FWOS:000442451900006","View Full Record in Web of Science")</f>
        <v>View Full Record in Web of Science</v>
      </c>
    </row>
    <row r="1784" spans="1:79" ht="12.5" x14ac:dyDescent="0.25">
      <c r="B1784" t="s">
        <v>8495</v>
      </c>
      <c r="D1784" s="7" t="s">
        <v>32933</v>
      </c>
      <c r="E1784" s="7"/>
      <c r="F1784" s="7"/>
      <c r="G1784" s="7"/>
      <c r="H1784" t="s">
        <v>67</v>
      </c>
      <c r="I1784" t="s">
        <v>1248</v>
      </c>
      <c r="J1784" t="s">
        <v>69</v>
      </c>
      <c r="K1784" t="s">
        <v>69</v>
      </c>
      <c r="L1784" t="s">
        <v>69</v>
      </c>
      <c r="M1784" t="s">
        <v>1249</v>
      </c>
      <c r="N1784" t="s">
        <v>69</v>
      </c>
      <c r="O1784" t="s">
        <v>69</v>
      </c>
      <c r="P1784" t="s">
        <v>1250</v>
      </c>
      <c r="Q1784" t="s">
        <v>1251</v>
      </c>
      <c r="R1784" t="s">
        <v>69</v>
      </c>
      <c r="S1784" t="s">
        <v>69</v>
      </c>
      <c r="T1784" t="s">
        <v>8505</v>
      </c>
      <c r="U1784" t="s">
        <v>8506</v>
      </c>
      <c r="V1784" t="s">
        <v>69</v>
      </c>
      <c r="W1784" t="s">
        <v>69</v>
      </c>
      <c r="X1784" t="s">
        <v>69</v>
      </c>
      <c r="Y1784" t="s">
        <v>69</v>
      </c>
      <c r="Z1784" t="s">
        <v>69</v>
      </c>
      <c r="AA1784" t="s">
        <v>21985</v>
      </c>
      <c r="AB1784" t="s">
        <v>69</v>
      </c>
      <c r="AC1784" t="s">
        <v>1252</v>
      </c>
      <c r="AD1784" t="s">
        <v>21986</v>
      </c>
      <c r="AE1784" t="s">
        <v>69</v>
      </c>
      <c r="AF1784" t="s">
        <v>21987</v>
      </c>
      <c r="AG1784" t="s">
        <v>21988</v>
      </c>
      <c r="AH1784" t="s">
        <v>1253</v>
      </c>
      <c r="AI1784" t="s">
        <v>21989</v>
      </c>
      <c r="AJ1784" t="s">
        <v>69</v>
      </c>
      <c r="AK1784" t="s">
        <v>69</v>
      </c>
      <c r="AL1784" t="s">
        <v>69</v>
      </c>
      <c r="AM1784" t="s">
        <v>69</v>
      </c>
      <c r="AN1784">
        <v>28</v>
      </c>
      <c r="AO1784">
        <v>4</v>
      </c>
      <c r="AP1784">
        <v>5</v>
      </c>
      <c r="AQ1784">
        <v>0</v>
      </c>
      <c r="AR1784">
        <v>13</v>
      </c>
      <c r="AS1784" t="s">
        <v>8586</v>
      </c>
      <c r="AT1784" t="s">
        <v>8587</v>
      </c>
      <c r="AU1784" t="s">
        <v>8588</v>
      </c>
      <c r="AV1784" t="s">
        <v>1254</v>
      </c>
      <c r="AW1784" t="s">
        <v>1255</v>
      </c>
      <c r="AX1784" t="s">
        <v>69</v>
      </c>
      <c r="AY1784" t="s">
        <v>1251</v>
      </c>
      <c r="AZ1784" t="s">
        <v>19328</v>
      </c>
      <c r="BA1784" t="s">
        <v>69</v>
      </c>
      <c r="BB1784">
        <v>2016</v>
      </c>
      <c r="BC1784">
        <v>29</v>
      </c>
      <c r="BD1784">
        <v>3</v>
      </c>
      <c r="BE1784" t="s">
        <v>69</v>
      </c>
      <c r="BF1784" t="s">
        <v>69</v>
      </c>
      <c r="BG1784" t="s">
        <v>114</v>
      </c>
      <c r="BH1784" t="s">
        <v>69</v>
      </c>
      <c r="BI1784">
        <v>129</v>
      </c>
      <c r="BJ1784">
        <v>141</v>
      </c>
      <c r="BK1784" t="s">
        <v>69</v>
      </c>
      <c r="BL1784" t="s">
        <v>1256</v>
      </c>
      <c r="BM1784" t="str">
        <f>HYPERLINK("http://dx.doi.org/10.1108/BL-03-2016-0015","http://dx.doi.org/10.1108/BL-03-2016-0015")</f>
        <v>http://dx.doi.org/10.1108/BL-03-2016-0015</v>
      </c>
      <c r="BN1784" t="s">
        <v>69</v>
      </c>
      <c r="BO1784" t="s">
        <v>69</v>
      </c>
      <c r="BP1784">
        <v>13</v>
      </c>
      <c r="BQ1784" t="s">
        <v>11010</v>
      </c>
      <c r="BR1784" t="s">
        <v>8573</v>
      </c>
      <c r="BS1784" t="s">
        <v>11010</v>
      </c>
      <c r="BT1784" t="s">
        <v>21990</v>
      </c>
      <c r="BU1784" t="s">
        <v>1257</v>
      </c>
      <c r="BV1784" t="s">
        <v>69</v>
      </c>
      <c r="BW1784" t="s">
        <v>69</v>
      </c>
      <c r="BX1784" t="s">
        <v>69</v>
      </c>
      <c r="BY1784" t="s">
        <v>69</v>
      </c>
      <c r="BZ1784" t="s">
        <v>8526</v>
      </c>
      <c r="CA1784" t="str">
        <f>HYPERLINK("https%3A%2F%2Fwww.webofscience.com%2Fwos%2Fwoscc%2Ffull-record%2FWOS:000385983100002","View Full Record in Web of Science")</f>
        <v>View Full Record in Web of Science</v>
      </c>
    </row>
    <row r="1785" spans="1:79" x14ac:dyDescent="0.3">
      <c r="A1785" t="s">
        <v>8408</v>
      </c>
      <c r="B1785" t="s">
        <v>8495</v>
      </c>
      <c r="D1785" s="10" t="s">
        <v>33176</v>
      </c>
      <c r="F1785" s="10" t="s">
        <v>8490</v>
      </c>
      <c r="H1785" t="s">
        <v>67</v>
      </c>
      <c r="I1785" t="s">
        <v>414</v>
      </c>
      <c r="J1785" t="s">
        <v>69</v>
      </c>
      <c r="K1785" t="s">
        <v>69</v>
      </c>
      <c r="L1785" t="s">
        <v>69</v>
      </c>
      <c r="M1785" s="2" t="s">
        <v>415</v>
      </c>
      <c r="N1785" t="s">
        <v>69</v>
      </c>
      <c r="O1785" t="s">
        <v>69</v>
      </c>
      <c r="P1785" s="2" t="s">
        <v>416</v>
      </c>
      <c r="Q1785" t="s">
        <v>417</v>
      </c>
      <c r="R1785" t="s">
        <v>69</v>
      </c>
      <c r="S1785" t="s">
        <v>69</v>
      </c>
      <c r="T1785" t="s">
        <v>8505</v>
      </c>
      <c r="U1785" t="s">
        <v>8506</v>
      </c>
      <c r="V1785" t="s">
        <v>69</v>
      </c>
      <c r="W1785" t="s">
        <v>69</v>
      </c>
      <c r="X1785" t="s">
        <v>69</v>
      </c>
      <c r="Y1785" t="s">
        <v>69</v>
      </c>
      <c r="Z1785" t="s">
        <v>69</v>
      </c>
      <c r="AA1785" t="s">
        <v>19732</v>
      </c>
      <c r="AB1785" t="s">
        <v>19733</v>
      </c>
      <c r="AC1785" t="s">
        <v>418</v>
      </c>
      <c r="AD1785" t="s">
        <v>19734</v>
      </c>
      <c r="AE1785" t="s">
        <v>69</v>
      </c>
      <c r="AF1785" t="s">
        <v>19735</v>
      </c>
      <c r="AG1785" t="s">
        <v>19736</v>
      </c>
      <c r="AH1785" t="s">
        <v>69</v>
      </c>
      <c r="AI1785" t="s">
        <v>19737</v>
      </c>
      <c r="AJ1785" t="s">
        <v>19738</v>
      </c>
      <c r="AK1785" t="s">
        <v>19739</v>
      </c>
      <c r="AL1785" t="s">
        <v>19740</v>
      </c>
      <c r="AM1785" t="s">
        <v>69</v>
      </c>
      <c r="AN1785">
        <v>130</v>
      </c>
      <c r="AO1785">
        <v>42</v>
      </c>
      <c r="AP1785">
        <v>42</v>
      </c>
      <c r="AQ1785">
        <v>0</v>
      </c>
      <c r="AR1785">
        <v>13</v>
      </c>
      <c r="AS1785" t="s">
        <v>9145</v>
      </c>
      <c r="AT1785" t="s">
        <v>8637</v>
      </c>
      <c r="AU1785" t="s">
        <v>9146</v>
      </c>
      <c r="AV1785" t="s">
        <v>419</v>
      </c>
      <c r="AW1785" t="s">
        <v>420</v>
      </c>
      <c r="AX1785" t="s">
        <v>69</v>
      </c>
      <c r="AY1785" t="s">
        <v>417</v>
      </c>
      <c r="AZ1785" t="s">
        <v>8482</v>
      </c>
      <c r="BA1785" t="s">
        <v>75</v>
      </c>
      <c r="BB1785">
        <v>2017</v>
      </c>
      <c r="BC1785">
        <v>87</v>
      </c>
      <c r="BD1785" t="s">
        <v>69</v>
      </c>
      <c r="BE1785" t="s">
        <v>69</v>
      </c>
      <c r="BF1785" t="s">
        <v>69</v>
      </c>
      <c r="BG1785" t="s">
        <v>69</v>
      </c>
      <c r="BH1785" t="s">
        <v>69</v>
      </c>
      <c r="BI1785">
        <v>95</v>
      </c>
      <c r="BJ1785">
        <v>107</v>
      </c>
      <c r="BK1785" t="s">
        <v>69</v>
      </c>
      <c r="BL1785" t="s">
        <v>421</v>
      </c>
      <c r="BM1785" t="str">
        <f>HYPERLINK("http://dx.doi.org/10.1016/j.geoforum.2017.10.010","http://dx.doi.org/10.1016/j.geoforum.2017.10.010")</f>
        <v>http://dx.doi.org/10.1016/j.geoforum.2017.10.010</v>
      </c>
      <c r="BN1785" t="s">
        <v>69</v>
      </c>
      <c r="BO1785" t="s">
        <v>69</v>
      </c>
      <c r="BP1785">
        <v>13</v>
      </c>
      <c r="BQ1785" t="s">
        <v>8446</v>
      </c>
      <c r="BR1785" t="s">
        <v>8661</v>
      </c>
      <c r="BS1785" t="s">
        <v>8446</v>
      </c>
      <c r="BT1785" t="s">
        <v>19741</v>
      </c>
      <c r="BU1785" t="s">
        <v>422</v>
      </c>
      <c r="BV1785" t="s">
        <v>69</v>
      </c>
      <c r="BW1785" t="s">
        <v>10363</v>
      </c>
      <c r="BX1785" t="s">
        <v>69</v>
      </c>
      <c r="BY1785" t="s">
        <v>69</v>
      </c>
      <c r="BZ1785" t="s">
        <v>8526</v>
      </c>
      <c r="CA1785" t="str">
        <f>HYPERLINK("https%3A%2F%2Fwww.webofscience.com%2Fwos%2Fwoscc%2Ffull-record%2FWOS:000418213900009","View Full Record in Web of Science")</f>
        <v>View Full Record in Web of Science</v>
      </c>
    </row>
    <row r="1786" spans="1:79" ht="12.5" x14ac:dyDescent="0.25">
      <c r="B1786" t="s">
        <v>8495</v>
      </c>
      <c r="D1786" s="22" t="s">
        <v>32931</v>
      </c>
      <c r="E1786" s="7"/>
      <c r="F1786" s="7"/>
      <c r="G1786" s="7"/>
      <c r="H1786" t="s">
        <v>67</v>
      </c>
      <c r="I1786" t="s">
        <v>27493</v>
      </c>
      <c r="J1786" t="s">
        <v>69</v>
      </c>
      <c r="K1786" t="s">
        <v>69</v>
      </c>
      <c r="L1786" t="s">
        <v>69</v>
      </c>
      <c r="M1786" t="s">
        <v>27494</v>
      </c>
      <c r="N1786" t="s">
        <v>69</v>
      </c>
      <c r="O1786" t="s">
        <v>69</v>
      </c>
      <c r="P1786" t="s">
        <v>27495</v>
      </c>
      <c r="Q1786" t="s">
        <v>27496</v>
      </c>
      <c r="R1786" t="s">
        <v>69</v>
      </c>
      <c r="S1786" t="s">
        <v>69</v>
      </c>
      <c r="T1786" t="s">
        <v>8505</v>
      </c>
      <c r="U1786" t="s">
        <v>8506</v>
      </c>
      <c r="V1786" t="s">
        <v>69</v>
      </c>
      <c r="W1786" t="s">
        <v>69</v>
      </c>
      <c r="X1786" t="s">
        <v>69</v>
      </c>
      <c r="Y1786" t="s">
        <v>69</v>
      </c>
      <c r="Z1786" t="s">
        <v>69</v>
      </c>
      <c r="AA1786" t="s">
        <v>27497</v>
      </c>
      <c r="AB1786" t="s">
        <v>69</v>
      </c>
      <c r="AC1786" t="s">
        <v>27498</v>
      </c>
      <c r="AD1786" t="s">
        <v>27499</v>
      </c>
      <c r="AE1786" t="s">
        <v>69</v>
      </c>
      <c r="AF1786" t="s">
        <v>27500</v>
      </c>
      <c r="AG1786" t="s">
        <v>27501</v>
      </c>
      <c r="AH1786" t="s">
        <v>69</v>
      </c>
      <c r="AI1786" t="s">
        <v>27502</v>
      </c>
      <c r="AJ1786" t="s">
        <v>69</v>
      </c>
      <c r="AK1786" t="s">
        <v>69</v>
      </c>
      <c r="AL1786" t="s">
        <v>69</v>
      </c>
      <c r="AM1786" t="s">
        <v>69</v>
      </c>
      <c r="AN1786">
        <v>43</v>
      </c>
      <c r="AO1786">
        <v>10</v>
      </c>
      <c r="AP1786">
        <v>10</v>
      </c>
      <c r="AQ1786">
        <v>0</v>
      </c>
      <c r="AR1786">
        <v>0</v>
      </c>
      <c r="AS1786" t="s">
        <v>8586</v>
      </c>
      <c r="AT1786" t="s">
        <v>8587</v>
      </c>
      <c r="AU1786" t="s">
        <v>8588</v>
      </c>
      <c r="AV1786" t="s">
        <v>27503</v>
      </c>
      <c r="AW1786" t="s">
        <v>27504</v>
      </c>
      <c r="AX1786" t="s">
        <v>69</v>
      </c>
      <c r="AY1786" t="s">
        <v>27496</v>
      </c>
      <c r="AZ1786" t="s">
        <v>27505</v>
      </c>
      <c r="BA1786" t="s">
        <v>69</v>
      </c>
      <c r="BB1786">
        <v>2011</v>
      </c>
      <c r="BC1786">
        <v>10</v>
      </c>
      <c r="BD1786">
        <v>3</v>
      </c>
      <c r="BE1786" t="s">
        <v>69</v>
      </c>
      <c r="BF1786" t="s">
        <v>69</v>
      </c>
      <c r="BG1786" t="s">
        <v>69</v>
      </c>
      <c r="BH1786" t="s">
        <v>69</v>
      </c>
      <c r="BI1786">
        <v>31</v>
      </c>
      <c r="BJ1786">
        <v>40</v>
      </c>
      <c r="BK1786" t="s">
        <v>69</v>
      </c>
      <c r="BL1786" t="s">
        <v>27506</v>
      </c>
      <c r="BM1786" t="str">
        <f>HYPERLINK("http://dx.doi.org/10.1108/17578041111171069","http://dx.doi.org/10.1108/17578041111171069")</f>
        <v>http://dx.doi.org/10.1108/17578041111171069</v>
      </c>
      <c r="BN1786" t="s">
        <v>69</v>
      </c>
      <c r="BO1786" t="s">
        <v>69</v>
      </c>
      <c r="BP1786">
        <v>10</v>
      </c>
      <c r="BQ1786" t="s">
        <v>19122</v>
      </c>
      <c r="BR1786" t="s">
        <v>8573</v>
      </c>
      <c r="BS1786" t="s">
        <v>19122</v>
      </c>
      <c r="BT1786" t="s">
        <v>27507</v>
      </c>
      <c r="BU1786" t="s">
        <v>27508</v>
      </c>
      <c r="BV1786" t="s">
        <v>69</v>
      </c>
      <c r="BW1786" t="s">
        <v>16029</v>
      </c>
      <c r="BX1786" t="s">
        <v>69</v>
      </c>
      <c r="BY1786" t="s">
        <v>69</v>
      </c>
      <c r="BZ1786" t="s">
        <v>8526</v>
      </c>
      <c r="CA1786" t="str">
        <f>HYPERLINK("https%3A%2F%2Fwww.webofscience.com%2Fwos%2Fwoscc%2Ffull-record%2FWOS:000217848700005","View Full Record in Web of Science")</f>
        <v>View Full Record in Web of Science</v>
      </c>
    </row>
    <row r="1787" spans="1:79" ht="12.5" x14ac:dyDescent="0.25">
      <c r="B1787" t="s">
        <v>8495</v>
      </c>
      <c r="D1787" s="7" t="s">
        <v>32933</v>
      </c>
      <c r="E1787" s="7"/>
      <c r="F1787" s="7"/>
      <c r="G1787" s="7"/>
      <c r="H1787" t="s">
        <v>67</v>
      </c>
      <c r="I1787" t="s">
        <v>796</v>
      </c>
      <c r="J1787" t="s">
        <v>69</v>
      </c>
      <c r="K1787" t="s">
        <v>69</v>
      </c>
      <c r="L1787" t="s">
        <v>69</v>
      </c>
      <c r="M1787" t="s">
        <v>797</v>
      </c>
      <c r="N1787" t="s">
        <v>69</v>
      </c>
      <c r="O1787" t="s">
        <v>69</v>
      </c>
      <c r="P1787" t="s">
        <v>798</v>
      </c>
      <c r="Q1787" t="s">
        <v>352</v>
      </c>
      <c r="R1787" t="s">
        <v>69</v>
      </c>
      <c r="S1787" t="s">
        <v>69</v>
      </c>
      <c r="T1787" t="s">
        <v>8505</v>
      </c>
      <c r="U1787" t="s">
        <v>8506</v>
      </c>
      <c r="V1787" t="s">
        <v>69</v>
      </c>
      <c r="W1787" t="s">
        <v>69</v>
      </c>
      <c r="X1787" t="s">
        <v>69</v>
      </c>
      <c r="Y1787" t="s">
        <v>69</v>
      </c>
      <c r="Z1787" t="s">
        <v>69</v>
      </c>
      <c r="AA1787" t="s">
        <v>15477</v>
      </c>
      <c r="AB1787" t="s">
        <v>69</v>
      </c>
      <c r="AC1787" t="s">
        <v>799</v>
      </c>
      <c r="AD1787" t="s">
        <v>15478</v>
      </c>
      <c r="AE1787" t="s">
        <v>69</v>
      </c>
      <c r="AF1787" t="s">
        <v>15479</v>
      </c>
      <c r="AG1787" t="s">
        <v>15480</v>
      </c>
      <c r="AH1787" t="s">
        <v>69</v>
      </c>
      <c r="AI1787" t="s">
        <v>69</v>
      </c>
      <c r="AJ1787" t="s">
        <v>15481</v>
      </c>
      <c r="AK1787" t="s">
        <v>15482</v>
      </c>
      <c r="AL1787" t="s">
        <v>15483</v>
      </c>
      <c r="AM1787" t="s">
        <v>69</v>
      </c>
      <c r="AN1787">
        <v>15</v>
      </c>
      <c r="AO1787">
        <v>5</v>
      </c>
      <c r="AP1787">
        <v>5</v>
      </c>
      <c r="AQ1787">
        <v>10</v>
      </c>
      <c r="AR1787">
        <v>32</v>
      </c>
      <c r="AS1787" t="s">
        <v>8924</v>
      </c>
      <c r="AT1787" t="s">
        <v>8925</v>
      </c>
      <c r="AU1787" t="s">
        <v>8926</v>
      </c>
      <c r="AV1787" t="s">
        <v>69</v>
      </c>
      <c r="AW1787" t="s">
        <v>354</v>
      </c>
      <c r="AX1787" t="s">
        <v>69</v>
      </c>
      <c r="AY1787" t="s">
        <v>8958</v>
      </c>
      <c r="AZ1787" t="s">
        <v>8434</v>
      </c>
      <c r="BA1787" t="s">
        <v>246</v>
      </c>
      <c r="BB1787">
        <v>2020</v>
      </c>
      <c r="BC1787">
        <v>12</v>
      </c>
      <c r="BD1787">
        <v>7</v>
      </c>
      <c r="BE1787" t="s">
        <v>69</v>
      </c>
      <c r="BF1787" t="s">
        <v>69</v>
      </c>
      <c r="BG1787" t="s">
        <v>69</v>
      </c>
      <c r="BH1787" t="s">
        <v>69</v>
      </c>
      <c r="BI1787" t="s">
        <v>69</v>
      </c>
      <c r="BJ1787" t="s">
        <v>69</v>
      </c>
      <c r="BK1787">
        <v>3049</v>
      </c>
      <c r="BL1787" t="s">
        <v>800</v>
      </c>
      <c r="BM1787" t="str">
        <f>HYPERLINK("http://dx.doi.org/10.3390/su12073049","http://dx.doi.org/10.3390/su12073049")</f>
        <v>http://dx.doi.org/10.3390/su12073049</v>
      </c>
      <c r="BN1787" t="s">
        <v>69</v>
      </c>
      <c r="BO1787" t="s">
        <v>69</v>
      </c>
      <c r="BP1787">
        <v>17</v>
      </c>
      <c r="BQ1787" t="s">
        <v>8960</v>
      </c>
      <c r="BR1787" t="s">
        <v>8523</v>
      </c>
      <c r="BS1787" t="s">
        <v>8961</v>
      </c>
      <c r="BT1787" t="s">
        <v>15484</v>
      </c>
      <c r="BU1787" t="s">
        <v>801</v>
      </c>
      <c r="BV1787" t="s">
        <v>69</v>
      </c>
      <c r="BW1787" t="s">
        <v>8812</v>
      </c>
      <c r="BX1787" t="s">
        <v>69</v>
      </c>
      <c r="BY1787" t="s">
        <v>69</v>
      </c>
      <c r="BZ1787" t="s">
        <v>8526</v>
      </c>
      <c r="CA1787" t="str">
        <f>HYPERLINK("https%3A%2F%2Fwww.webofscience.com%2Fwos%2Fwoscc%2Ffull-record%2FWOS:000531558100474","View Full Record in Web of Science")</f>
        <v>View Full Record in Web of Science</v>
      </c>
    </row>
    <row r="1788" spans="1:79" ht="12.5" x14ac:dyDescent="0.25">
      <c r="B1788" t="s">
        <v>8495</v>
      </c>
      <c r="D1788" s="7" t="s">
        <v>32933</v>
      </c>
      <c r="E1788" s="7"/>
      <c r="F1788" s="7"/>
      <c r="G1788" s="7"/>
      <c r="H1788" t="s">
        <v>67</v>
      </c>
      <c r="I1788" t="s">
        <v>4039</v>
      </c>
      <c r="J1788" t="s">
        <v>69</v>
      </c>
      <c r="K1788" t="s">
        <v>69</v>
      </c>
      <c r="L1788" t="s">
        <v>69</v>
      </c>
      <c r="M1788" t="s">
        <v>4039</v>
      </c>
      <c r="N1788" t="s">
        <v>69</v>
      </c>
      <c r="O1788" t="s">
        <v>69</v>
      </c>
      <c r="P1788" t="s">
        <v>4040</v>
      </c>
      <c r="Q1788" t="s">
        <v>4041</v>
      </c>
      <c r="R1788" t="s">
        <v>69</v>
      </c>
      <c r="S1788" t="s">
        <v>69</v>
      </c>
      <c r="T1788" t="s">
        <v>14800</v>
      </c>
      <c r="U1788" t="s">
        <v>8506</v>
      </c>
      <c r="V1788" t="s">
        <v>69</v>
      </c>
      <c r="W1788" t="s">
        <v>69</v>
      </c>
      <c r="X1788" t="s">
        <v>69</v>
      </c>
      <c r="Y1788" t="s">
        <v>69</v>
      </c>
      <c r="Z1788" t="s">
        <v>69</v>
      </c>
      <c r="AA1788" t="s">
        <v>69</v>
      </c>
      <c r="AB1788" t="s">
        <v>31529</v>
      </c>
      <c r="AC1788" t="s">
        <v>4042</v>
      </c>
      <c r="AD1788" t="s">
        <v>31530</v>
      </c>
      <c r="AE1788" t="s">
        <v>69</v>
      </c>
      <c r="AF1788" t="s">
        <v>31531</v>
      </c>
      <c r="AG1788" t="s">
        <v>69</v>
      </c>
      <c r="AH1788" t="s">
        <v>69</v>
      </c>
      <c r="AI1788" t="s">
        <v>69</v>
      </c>
      <c r="AJ1788" t="s">
        <v>69</v>
      </c>
      <c r="AK1788" t="s">
        <v>69</v>
      </c>
      <c r="AL1788" t="s">
        <v>69</v>
      </c>
      <c r="AM1788" t="s">
        <v>69</v>
      </c>
      <c r="AN1788">
        <v>33</v>
      </c>
      <c r="AO1788">
        <v>2</v>
      </c>
      <c r="AP1788">
        <v>2</v>
      </c>
      <c r="AQ1788">
        <v>1</v>
      </c>
      <c r="AR1788">
        <v>5</v>
      </c>
      <c r="AS1788" t="s">
        <v>31532</v>
      </c>
      <c r="AT1788" t="s">
        <v>31533</v>
      </c>
      <c r="AU1788" t="s">
        <v>31534</v>
      </c>
      <c r="AV1788" t="s">
        <v>4043</v>
      </c>
      <c r="AW1788" t="s">
        <v>69</v>
      </c>
      <c r="AX1788" t="s">
        <v>69</v>
      </c>
      <c r="AY1788" t="s">
        <v>31535</v>
      </c>
      <c r="AZ1788" t="s">
        <v>31536</v>
      </c>
      <c r="BA1788" t="s">
        <v>1710</v>
      </c>
      <c r="BB1788">
        <v>2001</v>
      </c>
      <c r="BC1788">
        <v>56</v>
      </c>
      <c r="BD1788">
        <v>1</v>
      </c>
      <c r="BE1788" t="s">
        <v>69</v>
      </c>
      <c r="BF1788" t="s">
        <v>69</v>
      </c>
      <c r="BG1788" t="s">
        <v>69</v>
      </c>
      <c r="BH1788" t="s">
        <v>69</v>
      </c>
      <c r="BI1788">
        <v>141</v>
      </c>
      <c r="BJ1788">
        <v>164</v>
      </c>
      <c r="BK1788" t="s">
        <v>69</v>
      </c>
      <c r="BL1788" t="s">
        <v>4044</v>
      </c>
      <c r="BM1788" t="str">
        <f>HYPERLINK("http://dx.doi.org/10.7202/000144ar","http://dx.doi.org/10.7202/000144ar")</f>
        <v>http://dx.doi.org/10.7202/000144ar</v>
      </c>
      <c r="BN1788" t="s">
        <v>69</v>
      </c>
      <c r="BO1788" t="s">
        <v>69</v>
      </c>
      <c r="BP1788">
        <v>24</v>
      </c>
      <c r="BQ1788" t="s">
        <v>13825</v>
      </c>
      <c r="BR1788" t="s">
        <v>8661</v>
      </c>
      <c r="BS1788" t="s">
        <v>8594</v>
      </c>
      <c r="BT1788" t="s">
        <v>31537</v>
      </c>
      <c r="BU1788" t="s">
        <v>4045</v>
      </c>
      <c r="BV1788" t="s">
        <v>69</v>
      </c>
      <c r="BW1788" t="s">
        <v>9374</v>
      </c>
      <c r="BX1788" t="s">
        <v>69</v>
      </c>
      <c r="BY1788" t="s">
        <v>69</v>
      </c>
      <c r="BZ1788" t="s">
        <v>8526</v>
      </c>
      <c r="CA1788" t="str">
        <f>HYPERLINK("https%3A%2F%2Fwww.webofscience.com%2Fwos%2Fwoscc%2Ffull-record%2FWOS:000168447400006","View Full Record in Web of Science")</f>
        <v>View Full Record in Web of Science</v>
      </c>
    </row>
    <row r="1789" spans="1:79" ht="12.5" x14ac:dyDescent="0.25">
      <c r="B1789" t="s">
        <v>8495</v>
      </c>
      <c r="D1789" s="22" t="s">
        <v>32931</v>
      </c>
      <c r="E1789" s="7"/>
      <c r="F1789" s="7"/>
      <c r="G1789" s="7"/>
      <c r="H1789" t="s">
        <v>67</v>
      </c>
      <c r="I1789" t="s">
        <v>23346</v>
      </c>
      <c r="J1789" t="s">
        <v>69</v>
      </c>
      <c r="K1789" t="s">
        <v>69</v>
      </c>
      <c r="L1789" t="s">
        <v>69</v>
      </c>
      <c r="M1789" t="s">
        <v>23347</v>
      </c>
      <c r="N1789" t="s">
        <v>69</v>
      </c>
      <c r="O1789" t="s">
        <v>69</v>
      </c>
      <c r="P1789" t="s">
        <v>23348</v>
      </c>
      <c r="Q1789" t="s">
        <v>23349</v>
      </c>
      <c r="R1789" t="s">
        <v>69</v>
      </c>
      <c r="S1789" t="s">
        <v>69</v>
      </c>
      <c r="T1789" t="s">
        <v>8505</v>
      </c>
      <c r="U1789" t="s">
        <v>8506</v>
      </c>
      <c r="V1789" t="s">
        <v>69</v>
      </c>
      <c r="W1789" t="s">
        <v>69</v>
      </c>
      <c r="X1789" t="s">
        <v>69</v>
      </c>
      <c r="Y1789" t="s">
        <v>69</v>
      </c>
      <c r="Z1789" t="s">
        <v>69</v>
      </c>
      <c r="AA1789" t="s">
        <v>69</v>
      </c>
      <c r="AB1789" t="s">
        <v>69</v>
      </c>
      <c r="AC1789" t="s">
        <v>23350</v>
      </c>
      <c r="AD1789" t="s">
        <v>23351</v>
      </c>
      <c r="AE1789" t="s">
        <v>69</v>
      </c>
      <c r="AF1789" t="s">
        <v>23352</v>
      </c>
      <c r="AG1789" t="s">
        <v>69</v>
      </c>
      <c r="AH1789" t="s">
        <v>69</v>
      </c>
      <c r="AI1789" t="s">
        <v>23353</v>
      </c>
      <c r="AJ1789" t="s">
        <v>69</v>
      </c>
      <c r="AK1789" t="s">
        <v>69</v>
      </c>
      <c r="AL1789" t="s">
        <v>69</v>
      </c>
      <c r="AM1789" t="s">
        <v>69</v>
      </c>
      <c r="AN1789">
        <v>27</v>
      </c>
      <c r="AO1789">
        <v>8</v>
      </c>
      <c r="AP1789">
        <v>9</v>
      </c>
      <c r="AQ1789">
        <v>3</v>
      </c>
      <c r="AR1789">
        <v>21</v>
      </c>
      <c r="AS1789" t="s">
        <v>13178</v>
      </c>
      <c r="AT1789" t="s">
        <v>23354</v>
      </c>
      <c r="AU1789" t="s">
        <v>23355</v>
      </c>
      <c r="AV1789" t="s">
        <v>23356</v>
      </c>
      <c r="AW1789" t="s">
        <v>23357</v>
      </c>
      <c r="AX1789" t="s">
        <v>69</v>
      </c>
      <c r="AY1789" t="s">
        <v>23358</v>
      </c>
      <c r="AZ1789" t="s">
        <v>23359</v>
      </c>
      <c r="BA1789" t="s">
        <v>75</v>
      </c>
      <c r="BB1789">
        <v>2014</v>
      </c>
      <c r="BC1789">
        <v>48</v>
      </c>
      <c r="BD1789">
        <v>6</v>
      </c>
      <c r="BE1789" t="s">
        <v>69</v>
      </c>
      <c r="BF1789" t="s">
        <v>69</v>
      </c>
      <c r="BG1789" t="s">
        <v>69</v>
      </c>
      <c r="BH1789" t="s">
        <v>69</v>
      </c>
      <c r="BI1789">
        <v>1167</v>
      </c>
      <c r="BJ1789">
        <v>1188</v>
      </c>
      <c r="BK1789" t="s">
        <v>69</v>
      </c>
      <c r="BL1789" t="s">
        <v>69</v>
      </c>
      <c r="BM1789" t="s">
        <v>69</v>
      </c>
      <c r="BN1789" t="s">
        <v>69</v>
      </c>
      <c r="BO1789" t="s">
        <v>69</v>
      </c>
      <c r="BP1789">
        <v>22</v>
      </c>
      <c r="BQ1789" t="s">
        <v>23360</v>
      </c>
      <c r="BR1789" t="s">
        <v>8661</v>
      </c>
      <c r="BS1789" t="s">
        <v>23361</v>
      </c>
      <c r="BT1789" t="s">
        <v>23362</v>
      </c>
      <c r="BU1789" t="s">
        <v>23363</v>
      </c>
      <c r="BV1789" t="s">
        <v>69</v>
      </c>
      <c r="BW1789" t="s">
        <v>69</v>
      </c>
      <c r="BX1789" t="s">
        <v>69</v>
      </c>
      <c r="BY1789" t="s">
        <v>69</v>
      </c>
      <c r="BZ1789" t="s">
        <v>8526</v>
      </c>
      <c r="CA1789" t="str">
        <f>HYPERLINK("https%3A%2F%2Fwww.webofscience.com%2Fwos%2Fwoscc%2Ffull-record%2FWOS:000349060900004","View Full Record in Web of Science")</f>
        <v>View Full Record in Web of Science</v>
      </c>
    </row>
    <row r="1790" spans="1:79" ht="12.5" x14ac:dyDescent="0.25">
      <c r="B1790" t="s">
        <v>8495</v>
      </c>
      <c r="D1790" s="7" t="s">
        <v>32933</v>
      </c>
      <c r="E1790" s="7"/>
      <c r="F1790" s="7"/>
      <c r="G1790" s="7"/>
      <c r="H1790" t="s">
        <v>67</v>
      </c>
      <c r="I1790" t="s">
        <v>3624</v>
      </c>
      <c r="J1790" t="s">
        <v>69</v>
      </c>
      <c r="K1790" t="s">
        <v>69</v>
      </c>
      <c r="L1790" t="s">
        <v>69</v>
      </c>
      <c r="M1790" t="s">
        <v>3625</v>
      </c>
      <c r="N1790" t="s">
        <v>69</v>
      </c>
      <c r="O1790" t="s">
        <v>69</v>
      </c>
      <c r="P1790" t="s">
        <v>3626</v>
      </c>
      <c r="Q1790" t="s">
        <v>3627</v>
      </c>
      <c r="R1790" t="s">
        <v>69</v>
      </c>
      <c r="S1790" t="s">
        <v>69</v>
      </c>
      <c r="T1790" t="s">
        <v>8505</v>
      </c>
      <c r="U1790" t="s">
        <v>8506</v>
      </c>
      <c r="V1790" t="s">
        <v>69</v>
      </c>
      <c r="W1790" t="s">
        <v>69</v>
      </c>
      <c r="X1790" t="s">
        <v>69</v>
      </c>
      <c r="Y1790" t="s">
        <v>69</v>
      </c>
      <c r="Z1790" t="s">
        <v>69</v>
      </c>
      <c r="AA1790" t="s">
        <v>28565</v>
      </c>
      <c r="AB1790" t="s">
        <v>69</v>
      </c>
      <c r="AC1790" t="s">
        <v>3628</v>
      </c>
      <c r="AD1790" t="s">
        <v>28566</v>
      </c>
      <c r="AE1790" t="s">
        <v>69</v>
      </c>
      <c r="AF1790" t="s">
        <v>28567</v>
      </c>
      <c r="AG1790" t="s">
        <v>28568</v>
      </c>
      <c r="AH1790" t="s">
        <v>69</v>
      </c>
      <c r="AI1790" t="s">
        <v>69</v>
      </c>
      <c r="AJ1790" t="s">
        <v>69</v>
      </c>
      <c r="AK1790" t="s">
        <v>69</v>
      </c>
      <c r="AL1790" t="s">
        <v>69</v>
      </c>
      <c r="AM1790" t="s">
        <v>69</v>
      </c>
      <c r="AN1790">
        <v>4</v>
      </c>
      <c r="AO1790">
        <v>3</v>
      </c>
      <c r="AP1790">
        <v>3</v>
      </c>
      <c r="AQ1790">
        <v>0</v>
      </c>
      <c r="AR1790">
        <v>8</v>
      </c>
      <c r="AS1790" t="s">
        <v>28569</v>
      </c>
      <c r="AT1790" t="s">
        <v>28570</v>
      </c>
      <c r="AU1790" t="s">
        <v>28571</v>
      </c>
      <c r="AV1790" t="s">
        <v>3629</v>
      </c>
      <c r="AW1790" t="s">
        <v>69</v>
      </c>
      <c r="AX1790" t="s">
        <v>69</v>
      </c>
      <c r="AY1790" t="s">
        <v>28572</v>
      </c>
      <c r="AZ1790" t="s">
        <v>28573</v>
      </c>
      <c r="BA1790" t="s">
        <v>94</v>
      </c>
      <c r="BB1790">
        <v>2009</v>
      </c>
      <c r="BC1790">
        <v>11</v>
      </c>
      <c r="BD1790">
        <v>1</v>
      </c>
      <c r="BE1790" t="s">
        <v>69</v>
      </c>
      <c r="BF1790" t="s">
        <v>69</v>
      </c>
      <c r="BG1790" t="s">
        <v>69</v>
      </c>
      <c r="BH1790" t="s">
        <v>69</v>
      </c>
      <c r="BI1790">
        <v>10</v>
      </c>
      <c r="BJ1790">
        <v>18</v>
      </c>
      <c r="BK1790" t="s">
        <v>69</v>
      </c>
      <c r="BL1790" t="s">
        <v>69</v>
      </c>
      <c r="BM1790" t="s">
        <v>69</v>
      </c>
      <c r="BN1790" t="s">
        <v>69</v>
      </c>
      <c r="BO1790" t="s">
        <v>69</v>
      </c>
      <c r="BP1790">
        <v>9</v>
      </c>
      <c r="BQ1790" t="s">
        <v>8717</v>
      </c>
      <c r="BR1790" t="s">
        <v>8548</v>
      </c>
      <c r="BS1790" t="s">
        <v>8662</v>
      </c>
      <c r="BT1790" t="s">
        <v>28574</v>
      </c>
      <c r="BU1790" t="s">
        <v>3630</v>
      </c>
      <c r="BV1790" t="s">
        <v>69</v>
      </c>
      <c r="BW1790" t="s">
        <v>69</v>
      </c>
      <c r="BX1790" t="s">
        <v>69</v>
      </c>
      <c r="BY1790" t="s">
        <v>69</v>
      </c>
      <c r="BZ1790" t="s">
        <v>8526</v>
      </c>
      <c r="CA1790" t="str">
        <f>HYPERLINK("https%3A%2F%2Fwww.webofscience.com%2Fwos%2Fwoscc%2Ffull-record%2FWOS:000264461100002","View Full Record in Web of Science")</f>
        <v>View Full Record in Web of Science</v>
      </c>
    </row>
    <row r="1791" spans="1:79" ht="12.5" x14ac:dyDescent="0.25">
      <c r="B1791" t="s">
        <v>8495</v>
      </c>
      <c r="D1791" s="7" t="s">
        <v>32933</v>
      </c>
      <c r="E1791" s="7"/>
      <c r="F1791" s="7"/>
      <c r="G1791" s="7"/>
      <c r="H1791" t="s">
        <v>67</v>
      </c>
      <c r="I1791" t="s">
        <v>704</v>
      </c>
      <c r="J1791" t="s">
        <v>69</v>
      </c>
      <c r="K1791" t="s">
        <v>69</v>
      </c>
      <c r="L1791" t="s">
        <v>69</v>
      </c>
      <c r="M1791" t="s">
        <v>705</v>
      </c>
      <c r="N1791" t="s">
        <v>69</v>
      </c>
      <c r="O1791" t="s">
        <v>69</v>
      </c>
      <c r="P1791" t="s">
        <v>706</v>
      </c>
      <c r="Q1791" t="s">
        <v>408</v>
      </c>
      <c r="R1791" t="s">
        <v>69</v>
      </c>
      <c r="S1791" t="s">
        <v>69</v>
      </c>
      <c r="T1791" t="s">
        <v>8505</v>
      </c>
      <c r="U1791" t="s">
        <v>8442</v>
      </c>
      <c r="V1791" t="s">
        <v>69</v>
      </c>
      <c r="W1791" t="s">
        <v>69</v>
      </c>
      <c r="X1791" t="s">
        <v>69</v>
      </c>
      <c r="Y1791" t="s">
        <v>69</v>
      </c>
      <c r="Z1791" t="s">
        <v>69</v>
      </c>
      <c r="AA1791" t="s">
        <v>14662</v>
      </c>
      <c r="AB1791" t="s">
        <v>14663</v>
      </c>
      <c r="AC1791" t="s">
        <v>707</v>
      </c>
      <c r="AD1791" t="s">
        <v>14664</v>
      </c>
      <c r="AE1791" t="s">
        <v>69</v>
      </c>
      <c r="AF1791" t="s">
        <v>14665</v>
      </c>
      <c r="AG1791" t="s">
        <v>14666</v>
      </c>
      <c r="AH1791" t="s">
        <v>708</v>
      </c>
      <c r="AI1791" t="s">
        <v>709</v>
      </c>
      <c r="AJ1791" t="s">
        <v>69</v>
      </c>
      <c r="AK1791" t="s">
        <v>69</v>
      </c>
      <c r="AL1791" t="s">
        <v>69</v>
      </c>
      <c r="AM1791" t="s">
        <v>69</v>
      </c>
      <c r="AN1791">
        <v>256</v>
      </c>
      <c r="AO1791">
        <v>5</v>
      </c>
      <c r="AP1791">
        <v>5</v>
      </c>
      <c r="AQ1791">
        <v>12</v>
      </c>
      <c r="AR1791">
        <v>53</v>
      </c>
      <c r="AS1791" t="s">
        <v>8586</v>
      </c>
      <c r="AT1791" t="s">
        <v>8587</v>
      </c>
      <c r="AU1791" t="s">
        <v>8588</v>
      </c>
      <c r="AV1791" t="s">
        <v>410</v>
      </c>
      <c r="AW1791" t="s">
        <v>411</v>
      </c>
      <c r="AX1791" t="s">
        <v>69</v>
      </c>
      <c r="AY1791" t="s">
        <v>9125</v>
      </c>
      <c r="AZ1791" t="s">
        <v>9126</v>
      </c>
      <c r="BA1791" t="s">
        <v>7204</v>
      </c>
      <c r="BB1791">
        <v>2021</v>
      </c>
      <c r="BC1791">
        <v>28</v>
      </c>
      <c r="BD1791">
        <v>4</v>
      </c>
      <c r="BE1791" t="s">
        <v>69</v>
      </c>
      <c r="BF1791" t="s">
        <v>69</v>
      </c>
      <c r="BG1791" t="s">
        <v>69</v>
      </c>
      <c r="BH1791" t="s">
        <v>69</v>
      </c>
      <c r="BI1791">
        <v>934</v>
      </c>
      <c r="BJ1791">
        <v>968</v>
      </c>
      <c r="BK1791" t="s">
        <v>69</v>
      </c>
      <c r="BL1791" t="s">
        <v>710</v>
      </c>
      <c r="BM1791" t="str">
        <f>HYPERLINK("http://dx.doi.org/10.1108/ECAM-03-2019-0123","http://dx.doi.org/10.1108/ECAM-03-2019-0123")</f>
        <v>http://dx.doi.org/10.1108/ECAM-03-2019-0123</v>
      </c>
      <c r="BN1791" t="s">
        <v>69</v>
      </c>
      <c r="BO1791" t="s">
        <v>702</v>
      </c>
      <c r="BP1791">
        <v>35</v>
      </c>
      <c r="BQ1791" t="s">
        <v>9128</v>
      </c>
      <c r="BR1791" t="s">
        <v>8523</v>
      </c>
      <c r="BS1791" t="s">
        <v>9129</v>
      </c>
      <c r="BT1791" t="s">
        <v>14667</v>
      </c>
      <c r="BU1791" t="s">
        <v>711</v>
      </c>
      <c r="BV1791" t="s">
        <v>69</v>
      </c>
      <c r="BW1791" t="s">
        <v>69</v>
      </c>
      <c r="BX1791" t="s">
        <v>69</v>
      </c>
      <c r="BY1791" t="s">
        <v>69</v>
      </c>
      <c r="BZ1791" t="s">
        <v>8526</v>
      </c>
      <c r="CA1791" t="str">
        <f>HYPERLINK("https%3A%2F%2Fwww.webofscience.com%2Fwos%2Fwoscc%2Ffull-record%2FWOS:000556922600001","View Full Record in Web of Science")</f>
        <v>View Full Record in Web of Science</v>
      </c>
    </row>
    <row r="1792" spans="1:79" x14ac:dyDescent="0.3">
      <c r="B1792" t="s">
        <v>8495</v>
      </c>
      <c r="D1792" s="9" t="s">
        <v>32954</v>
      </c>
      <c r="E1792" s="9" t="s">
        <v>33124</v>
      </c>
      <c r="F1792" s="9" t="s">
        <v>8491</v>
      </c>
      <c r="G1792" s="9" t="s">
        <v>8490</v>
      </c>
      <c r="H1792" t="s">
        <v>67</v>
      </c>
      <c r="I1792" t="s">
        <v>23120</v>
      </c>
      <c r="J1792" t="s">
        <v>69</v>
      </c>
      <c r="K1792" t="s">
        <v>69</v>
      </c>
      <c r="L1792" t="s">
        <v>69</v>
      </c>
      <c r="M1792" t="s">
        <v>23121</v>
      </c>
      <c r="N1792" t="s">
        <v>69</v>
      </c>
      <c r="O1792" t="s">
        <v>69</v>
      </c>
      <c r="P1792" t="s">
        <v>23122</v>
      </c>
      <c r="Q1792" t="s">
        <v>23123</v>
      </c>
      <c r="R1792" t="s">
        <v>69</v>
      </c>
      <c r="S1792" t="s">
        <v>69</v>
      </c>
      <c r="T1792" t="s">
        <v>8505</v>
      </c>
      <c r="U1792" t="s">
        <v>8506</v>
      </c>
      <c r="V1792" t="s">
        <v>69</v>
      </c>
      <c r="W1792" t="s">
        <v>69</v>
      </c>
      <c r="X1792" t="s">
        <v>69</v>
      </c>
      <c r="Y1792" t="s">
        <v>69</v>
      </c>
      <c r="Z1792" t="s">
        <v>69</v>
      </c>
      <c r="AA1792" t="s">
        <v>23124</v>
      </c>
      <c r="AB1792" t="s">
        <v>23125</v>
      </c>
      <c r="AC1792" t="s">
        <v>23126</v>
      </c>
      <c r="AD1792" t="s">
        <v>23127</v>
      </c>
      <c r="AE1792" t="s">
        <v>69</v>
      </c>
      <c r="AF1792" t="s">
        <v>23128</v>
      </c>
      <c r="AG1792" t="s">
        <v>23129</v>
      </c>
      <c r="AH1792" t="s">
        <v>69</v>
      </c>
      <c r="AI1792" t="s">
        <v>23130</v>
      </c>
      <c r="AJ1792" t="s">
        <v>23131</v>
      </c>
      <c r="AK1792" t="s">
        <v>23132</v>
      </c>
      <c r="AL1792" t="s">
        <v>23133</v>
      </c>
      <c r="AM1792" t="s">
        <v>69</v>
      </c>
      <c r="AN1792">
        <v>81</v>
      </c>
      <c r="AO1792">
        <v>20</v>
      </c>
      <c r="AP1792">
        <v>20</v>
      </c>
      <c r="AQ1792">
        <v>0</v>
      </c>
      <c r="AR1792">
        <v>53</v>
      </c>
      <c r="AS1792" t="s">
        <v>8846</v>
      </c>
      <c r="AT1792" t="s">
        <v>8847</v>
      </c>
      <c r="AU1792" t="s">
        <v>8848</v>
      </c>
      <c r="AV1792" t="s">
        <v>23134</v>
      </c>
      <c r="AW1792" t="s">
        <v>23135</v>
      </c>
      <c r="AX1792" t="s">
        <v>69</v>
      </c>
      <c r="AY1792" t="s">
        <v>23136</v>
      </c>
      <c r="AZ1792" t="s">
        <v>69</v>
      </c>
      <c r="BA1792" t="s">
        <v>373</v>
      </c>
      <c r="BB1792">
        <v>2015</v>
      </c>
      <c r="BC1792">
        <v>66</v>
      </c>
      <c r="BD1792">
        <v>1</v>
      </c>
      <c r="BE1792" t="s">
        <v>69</v>
      </c>
      <c r="BF1792" t="s">
        <v>69</v>
      </c>
      <c r="BG1792" t="s">
        <v>69</v>
      </c>
      <c r="BH1792" t="s">
        <v>69</v>
      </c>
      <c r="BI1792">
        <v>162</v>
      </c>
      <c r="BJ1792">
        <v>179</v>
      </c>
      <c r="BK1792" t="s">
        <v>69</v>
      </c>
      <c r="BL1792" t="s">
        <v>23137</v>
      </c>
      <c r="BM1792" t="str">
        <f>HYPERLINK("http://dx.doi.org/10.1002/asi.23161","http://dx.doi.org/10.1002/asi.23161")</f>
        <v>http://dx.doi.org/10.1002/asi.23161</v>
      </c>
      <c r="BN1792" t="s">
        <v>69</v>
      </c>
      <c r="BO1792" t="s">
        <v>69</v>
      </c>
      <c r="BP1792">
        <v>18</v>
      </c>
      <c r="BQ1792" t="s">
        <v>13389</v>
      </c>
      <c r="BR1792" t="s">
        <v>8523</v>
      </c>
      <c r="BS1792" t="s">
        <v>10632</v>
      </c>
      <c r="BT1792" t="s">
        <v>23138</v>
      </c>
      <c r="BU1792" t="s">
        <v>23139</v>
      </c>
      <c r="BV1792" t="s">
        <v>69</v>
      </c>
      <c r="BW1792" t="s">
        <v>69</v>
      </c>
      <c r="BX1792" t="s">
        <v>69</v>
      </c>
      <c r="BY1792" t="s">
        <v>69</v>
      </c>
      <c r="BZ1792" t="s">
        <v>8526</v>
      </c>
      <c r="CA1792" t="str">
        <f>HYPERLINK("https%3A%2F%2Fwww.webofscience.com%2Fwos%2Fwoscc%2Ffull-record%2FWOS:000346361000011","View Full Record in Web of Science")</f>
        <v>View Full Record in Web of Science</v>
      </c>
    </row>
    <row r="1793" spans="1:79" ht="12.5" x14ac:dyDescent="0.25">
      <c r="B1793" t="s">
        <v>8495</v>
      </c>
      <c r="D1793" s="22" t="s">
        <v>32931</v>
      </c>
      <c r="E1793" s="7"/>
      <c r="F1793" s="7"/>
      <c r="G1793" s="7"/>
      <c r="H1793" t="s">
        <v>67</v>
      </c>
      <c r="I1793" t="s">
        <v>24102</v>
      </c>
      <c r="J1793" t="s">
        <v>69</v>
      </c>
      <c r="K1793" t="s">
        <v>69</v>
      </c>
      <c r="L1793" t="s">
        <v>69</v>
      </c>
      <c r="M1793" t="s">
        <v>24103</v>
      </c>
      <c r="N1793" t="s">
        <v>69</v>
      </c>
      <c r="O1793" t="s">
        <v>69</v>
      </c>
      <c r="P1793" t="s">
        <v>24104</v>
      </c>
      <c r="Q1793" t="s">
        <v>24105</v>
      </c>
      <c r="R1793" t="s">
        <v>69</v>
      </c>
      <c r="S1793" t="s">
        <v>69</v>
      </c>
      <c r="T1793" t="s">
        <v>8505</v>
      </c>
      <c r="U1793" t="s">
        <v>8506</v>
      </c>
      <c r="V1793" t="s">
        <v>69</v>
      </c>
      <c r="W1793" t="s">
        <v>69</v>
      </c>
      <c r="X1793" t="s">
        <v>69</v>
      </c>
      <c r="Y1793" t="s">
        <v>69</v>
      </c>
      <c r="Z1793" t="s">
        <v>69</v>
      </c>
      <c r="AA1793" t="s">
        <v>24106</v>
      </c>
      <c r="AB1793" t="s">
        <v>69</v>
      </c>
      <c r="AC1793" t="s">
        <v>24107</v>
      </c>
      <c r="AD1793" t="s">
        <v>24108</v>
      </c>
      <c r="AE1793" t="s">
        <v>69</v>
      </c>
      <c r="AF1793" t="s">
        <v>24109</v>
      </c>
      <c r="AG1793" t="s">
        <v>24110</v>
      </c>
      <c r="AH1793" t="s">
        <v>69</v>
      </c>
      <c r="AI1793" t="s">
        <v>24111</v>
      </c>
      <c r="AJ1793" t="s">
        <v>24112</v>
      </c>
      <c r="AK1793" t="s">
        <v>24112</v>
      </c>
      <c r="AL1793" t="s">
        <v>24113</v>
      </c>
      <c r="AM1793" t="s">
        <v>69</v>
      </c>
      <c r="AN1793">
        <v>51</v>
      </c>
      <c r="AO1793">
        <v>31</v>
      </c>
      <c r="AP1793">
        <v>31</v>
      </c>
      <c r="AQ1793">
        <v>0</v>
      </c>
      <c r="AR1793">
        <v>1</v>
      </c>
      <c r="AS1793" t="s">
        <v>8865</v>
      </c>
      <c r="AT1793" t="s">
        <v>8612</v>
      </c>
      <c r="AU1793" t="s">
        <v>8866</v>
      </c>
      <c r="AV1793" t="s">
        <v>24114</v>
      </c>
      <c r="AW1793" t="s">
        <v>24115</v>
      </c>
      <c r="AX1793" t="s">
        <v>69</v>
      </c>
      <c r="AY1793" t="s">
        <v>24116</v>
      </c>
      <c r="AZ1793" t="s">
        <v>24117</v>
      </c>
      <c r="BA1793" t="s">
        <v>69</v>
      </c>
      <c r="BB1793">
        <v>2014</v>
      </c>
      <c r="BC1793">
        <v>8</v>
      </c>
      <c r="BD1793">
        <v>1</v>
      </c>
      <c r="BE1793" t="s">
        <v>69</v>
      </c>
      <c r="BF1793" t="s">
        <v>69</v>
      </c>
      <c r="BG1793" t="s">
        <v>69</v>
      </c>
      <c r="BH1793" t="s">
        <v>69</v>
      </c>
      <c r="BI1793">
        <v>101</v>
      </c>
      <c r="BJ1793">
        <v>115</v>
      </c>
      <c r="BK1793" t="s">
        <v>69</v>
      </c>
      <c r="BL1793" t="s">
        <v>24118</v>
      </c>
      <c r="BM1793" t="str">
        <f>HYPERLINK("http://dx.doi.org/10.1080/19460171.2014.883859","http://dx.doi.org/10.1080/19460171.2014.883859")</f>
        <v>http://dx.doi.org/10.1080/19460171.2014.883859</v>
      </c>
      <c r="BN1793" t="s">
        <v>69</v>
      </c>
      <c r="BO1793" t="s">
        <v>69</v>
      </c>
      <c r="BP1793">
        <v>15</v>
      </c>
      <c r="BQ1793" t="s">
        <v>10439</v>
      </c>
      <c r="BR1793" t="s">
        <v>8573</v>
      </c>
      <c r="BS1793" t="s">
        <v>10440</v>
      </c>
      <c r="BT1793" t="s">
        <v>24119</v>
      </c>
      <c r="BU1793" t="s">
        <v>24120</v>
      </c>
      <c r="BV1793" t="s">
        <v>69</v>
      </c>
      <c r="BW1793" t="s">
        <v>10995</v>
      </c>
      <c r="BX1793" t="s">
        <v>69</v>
      </c>
      <c r="BY1793" t="s">
        <v>69</v>
      </c>
      <c r="BZ1793" t="s">
        <v>8526</v>
      </c>
      <c r="CA1793" t="str">
        <f>HYPERLINK("https%3A%2F%2Fwww.webofscience.com%2Fwos%2Fwoscc%2Ffull-record%2FWOS:000214271700007","View Full Record in Web of Science")</f>
        <v>View Full Record in Web of Science</v>
      </c>
    </row>
    <row r="1794" spans="1:79" x14ac:dyDescent="0.3">
      <c r="A1794" t="s">
        <v>8408</v>
      </c>
      <c r="B1794" t="s">
        <v>8495</v>
      </c>
      <c r="D1794" s="10" t="s">
        <v>33196</v>
      </c>
      <c r="F1794" s="10" t="s">
        <v>8490</v>
      </c>
      <c r="H1794" t="s">
        <v>67</v>
      </c>
      <c r="I1794" t="s">
        <v>5636</v>
      </c>
      <c r="J1794" t="s">
        <v>69</v>
      </c>
      <c r="K1794" t="s">
        <v>69</v>
      </c>
      <c r="L1794" t="s">
        <v>69</v>
      </c>
      <c r="M1794" s="2" t="s">
        <v>5637</v>
      </c>
      <c r="N1794" t="s">
        <v>69</v>
      </c>
      <c r="O1794" t="s">
        <v>69</v>
      </c>
      <c r="P1794" s="2" t="s">
        <v>5638</v>
      </c>
      <c r="Q1794" t="s">
        <v>4543</v>
      </c>
      <c r="R1794" t="s">
        <v>69</v>
      </c>
      <c r="S1794" t="s">
        <v>69</v>
      </c>
      <c r="T1794" t="s">
        <v>8505</v>
      </c>
      <c r="U1794" t="s">
        <v>8506</v>
      </c>
      <c r="V1794" t="s">
        <v>69</v>
      </c>
      <c r="W1794" t="s">
        <v>69</v>
      </c>
      <c r="X1794" t="s">
        <v>69</v>
      </c>
      <c r="Y1794" t="s">
        <v>69</v>
      </c>
      <c r="Z1794" t="s">
        <v>69</v>
      </c>
      <c r="AA1794" t="s">
        <v>22465</v>
      </c>
      <c r="AB1794" t="s">
        <v>22466</v>
      </c>
      <c r="AC1794" t="s">
        <v>5639</v>
      </c>
      <c r="AD1794" t="s">
        <v>22467</v>
      </c>
      <c r="AE1794" t="s">
        <v>69</v>
      </c>
      <c r="AF1794" t="s">
        <v>22468</v>
      </c>
      <c r="AG1794" t="s">
        <v>22469</v>
      </c>
      <c r="AH1794" t="s">
        <v>69</v>
      </c>
      <c r="AI1794" t="s">
        <v>69</v>
      </c>
      <c r="AJ1794" t="s">
        <v>69</v>
      </c>
      <c r="AK1794" t="s">
        <v>69</v>
      </c>
      <c r="AL1794" t="s">
        <v>69</v>
      </c>
      <c r="AM1794" t="s">
        <v>69</v>
      </c>
      <c r="AN1794">
        <v>63</v>
      </c>
      <c r="AO1794">
        <v>4</v>
      </c>
      <c r="AP1794">
        <v>4</v>
      </c>
      <c r="AQ1794">
        <v>1</v>
      </c>
      <c r="AR1794">
        <v>8</v>
      </c>
      <c r="AS1794" t="s">
        <v>14856</v>
      </c>
      <c r="AT1794" t="s">
        <v>11131</v>
      </c>
      <c r="AU1794" t="s">
        <v>14857</v>
      </c>
      <c r="AV1794" t="s">
        <v>4545</v>
      </c>
      <c r="AW1794" t="s">
        <v>4546</v>
      </c>
      <c r="AX1794" t="s">
        <v>69</v>
      </c>
      <c r="AY1794" t="s">
        <v>22470</v>
      </c>
      <c r="AZ1794" t="s">
        <v>22471</v>
      </c>
      <c r="BA1794" t="s">
        <v>1774</v>
      </c>
      <c r="BB1794">
        <v>2015</v>
      </c>
      <c r="BC1794">
        <v>25</v>
      </c>
      <c r="BD1794">
        <v>5</v>
      </c>
      <c r="BE1794" t="s">
        <v>69</v>
      </c>
      <c r="BF1794" t="s">
        <v>69</v>
      </c>
      <c r="BG1794" t="s">
        <v>69</v>
      </c>
      <c r="BH1794" t="s">
        <v>69</v>
      </c>
      <c r="BI1794">
        <v>356</v>
      </c>
      <c r="BJ1794">
        <v>371</v>
      </c>
      <c r="BK1794" t="s">
        <v>69</v>
      </c>
      <c r="BL1794" t="s">
        <v>5640</v>
      </c>
      <c r="BM1794" t="str">
        <f>HYPERLINK("http://dx.doi.org/10.1002/eet.1677","http://dx.doi.org/10.1002/eet.1677")</f>
        <v>http://dx.doi.org/10.1002/eet.1677</v>
      </c>
      <c r="BN1794" t="s">
        <v>69</v>
      </c>
      <c r="BO1794" t="s">
        <v>69</v>
      </c>
      <c r="BP1794">
        <v>16</v>
      </c>
      <c r="BQ1794" t="s">
        <v>8660</v>
      </c>
      <c r="BR1794" t="s">
        <v>8661</v>
      </c>
      <c r="BS1794" t="s">
        <v>8662</v>
      </c>
      <c r="BT1794" t="s">
        <v>22472</v>
      </c>
      <c r="BU1794" t="s">
        <v>5641</v>
      </c>
      <c r="BV1794" t="s">
        <v>69</v>
      </c>
      <c r="BW1794" t="s">
        <v>9292</v>
      </c>
      <c r="BX1794" t="s">
        <v>69</v>
      </c>
      <c r="BY1794" t="s">
        <v>69</v>
      </c>
      <c r="BZ1794" t="s">
        <v>8526</v>
      </c>
      <c r="CA1794" t="str">
        <f>HYPERLINK("https%3A%2F%2Fwww.webofscience.com%2Fwos%2Fwoscc%2Ffull-record%2FWOS:000363279100005","View Full Record in Web of Science")</f>
        <v>View Full Record in Web of Science</v>
      </c>
    </row>
    <row r="1795" spans="1:79" ht="12.5" x14ac:dyDescent="0.25">
      <c r="B1795" t="s">
        <v>8495</v>
      </c>
      <c r="D1795" s="7" t="s">
        <v>32933</v>
      </c>
      <c r="E1795" s="7"/>
      <c r="F1795" s="7"/>
      <c r="G1795" s="7"/>
      <c r="H1795" t="s">
        <v>67</v>
      </c>
      <c r="I1795" t="s">
        <v>4108</v>
      </c>
      <c r="J1795" t="s">
        <v>69</v>
      </c>
      <c r="K1795" t="s">
        <v>69</v>
      </c>
      <c r="L1795" t="s">
        <v>69</v>
      </c>
      <c r="M1795" t="s">
        <v>4108</v>
      </c>
      <c r="N1795" t="s">
        <v>69</v>
      </c>
      <c r="O1795" t="s">
        <v>69</v>
      </c>
      <c r="P1795" t="s">
        <v>4109</v>
      </c>
      <c r="Q1795" t="s">
        <v>4110</v>
      </c>
      <c r="R1795" t="s">
        <v>69</v>
      </c>
      <c r="S1795" t="s">
        <v>69</v>
      </c>
      <c r="T1795" t="s">
        <v>8505</v>
      </c>
      <c r="U1795" t="s">
        <v>8506</v>
      </c>
      <c r="V1795" t="s">
        <v>69</v>
      </c>
      <c r="W1795" t="s">
        <v>69</v>
      </c>
      <c r="X1795" t="s">
        <v>69</v>
      </c>
      <c r="Y1795" t="s">
        <v>69</v>
      </c>
      <c r="Z1795" t="s">
        <v>69</v>
      </c>
      <c r="AA1795" t="s">
        <v>69</v>
      </c>
      <c r="AB1795" t="s">
        <v>69</v>
      </c>
      <c r="AC1795" t="s">
        <v>4111</v>
      </c>
      <c r="AD1795" t="s">
        <v>31737</v>
      </c>
      <c r="AE1795" t="s">
        <v>69</v>
      </c>
      <c r="AF1795" t="s">
        <v>31738</v>
      </c>
      <c r="AG1795" t="s">
        <v>69</v>
      </c>
      <c r="AH1795" t="s">
        <v>69</v>
      </c>
      <c r="AI1795" t="s">
        <v>69</v>
      </c>
      <c r="AJ1795" t="s">
        <v>69</v>
      </c>
      <c r="AK1795" t="s">
        <v>69</v>
      </c>
      <c r="AL1795" t="s">
        <v>69</v>
      </c>
      <c r="AM1795" t="s">
        <v>69</v>
      </c>
      <c r="AN1795">
        <v>9</v>
      </c>
      <c r="AO1795">
        <v>5</v>
      </c>
      <c r="AP1795">
        <v>5</v>
      </c>
      <c r="AQ1795">
        <v>0</v>
      </c>
      <c r="AR1795">
        <v>6</v>
      </c>
      <c r="AS1795" t="s">
        <v>9554</v>
      </c>
      <c r="AT1795" t="s">
        <v>9555</v>
      </c>
      <c r="AU1795" t="s">
        <v>9556</v>
      </c>
      <c r="AV1795" t="s">
        <v>4112</v>
      </c>
      <c r="AW1795" t="s">
        <v>69</v>
      </c>
      <c r="AX1795" t="s">
        <v>69</v>
      </c>
      <c r="AY1795" t="s">
        <v>31739</v>
      </c>
      <c r="AZ1795" t="s">
        <v>31740</v>
      </c>
      <c r="BA1795" t="s">
        <v>381</v>
      </c>
      <c r="BB1795">
        <v>2000</v>
      </c>
      <c r="BC1795">
        <v>44</v>
      </c>
      <c r="BD1795">
        <v>2</v>
      </c>
      <c r="BE1795" t="s">
        <v>69</v>
      </c>
      <c r="BF1795" t="s">
        <v>69</v>
      </c>
      <c r="BG1795" t="s">
        <v>69</v>
      </c>
      <c r="BH1795" t="s">
        <v>69</v>
      </c>
      <c r="BI1795">
        <v>265</v>
      </c>
      <c r="BJ1795">
        <v>276</v>
      </c>
      <c r="BK1795" t="s">
        <v>69</v>
      </c>
      <c r="BL1795" t="s">
        <v>4113</v>
      </c>
      <c r="BM1795" t="str">
        <f>HYPERLINK("http://dx.doi.org/10.1177/00027640021956206","http://dx.doi.org/10.1177/00027640021956206")</f>
        <v>http://dx.doi.org/10.1177/00027640021956206</v>
      </c>
      <c r="BN1795" t="s">
        <v>69</v>
      </c>
      <c r="BO1795" t="s">
        <v>69</v>
      </c>
      <c r="BP1795">
        <v>12</v>
      </c>
      <c r="BQ1795" t="s">
        <v>31741</v>
      </c>
      <c r="BR1795" t="s">
        <v>8661</v>
      </c>
      <c r="BS1795" t="s">
        <v>31742</v>
      </c>
      <c r="BT1795" t="s">
        <v>31743</v>
      </c>
      <c r="BU1795" t="s">
        <v>4114</v>
      </c>
      <c r="BV1795" t="s">
        <v>69</v>
      </c>
      <c r="BW1795" t="s">
        <v>69</v>
      </c>
      <c r="BX1795" t="s">
        <v>69</v>
      </c>
      <c r="BY1795" t="s">
        <v>69</v>
      </c>
      <c r="BZ1795" t="s">
        <v>8526</v>
      </c>
      <c r="CA1795" t="str">
        <f>HYPERLINK("https%3A%2F%2Fwww.webofscience.com%2Fwos%2Fwoscc%2Ffull-record%2FWOS:000167630600007","View Full Record in Web of Science")</f>
        <v>View Full Record in Web of Science</v>
      </c>
    </row>
    <row r="1796" spans="1:79" ht="12.5" x14ac:dyDescent="0.25">
      <c r="B1796" t="s">
        <v>8495</v>
      </c>
      <c r="D1796" s="22" t="s">
        <v>32931</v>
      </c>
      <c r="E1796" s="7"/>
      <c r="F1796" s="7"/>
      <c r="G1796" s="7"/>
      <c r="H1796" t="s">
        <v>67</v>
      </c>
      <c r="I1796" t="s">
        <v>24379</v>
      </c>
      <c r="J1796" t="s">
        <v>69</v>
      </c>
      <c r="K1796" t="s">
        <v>69</v>
      </c>
      <c r="L1796" t="s">
        <v>69</v>
      </c>
      <c r="M1796" t="s">
        <v>24380</v>
      </c>
      <c r="N1796" t="s">
        <v>69</v>
      </c>
      <c r="O1796" t="s">
        <v>69</v>
      </c>
      <c r="P1796" t="s">
        <v>24381</v>
      </c>
      <c r="Q1796" t="s">
        <v>24382</v>
      </c>
      <c r="R1796" t="s">
        <v>69</v>
      </c>
      <c r="S1796" t="s">
        <v>69</v>
      </c>
      <c r="T1796" t="s">
        <v>24383</v>
      </c>
      <c r="U1796" t="s">
        <v>8506</v>
      </c>
      <c r="V1796" t="s">
        <v>69</v>
      </c>
      <c r="W1796" t="s">
        <v>69</v>
      </c>
      <c r="X1796" t="s">
        <v>69</v>
      </c>
      <c r="Y1796" t="s">
        <v>69</v>
      </c>
      <c r="Z1796" t="s">
        <v>69</v>
      </c>
      <c r="AA1796" t="s">
        <v>24384</v>
      </c>
      <c r="AB1796" t="s">
        <v>69</v>
      </c>
      <c r="AC1796" t="s">
        <v>24385</v>
      </c>
      <c r="AD1796" t="s">
        <v>24386</v>
      </c>
      <c r="AE1796" t="s">
        <v>69</v>
      </c>
      <c r="AF1796" t="s">
        <v>24387</v>
      </c>
      <c r="AG1796" t="s">
        <v>24388</v>
      </c>
      <c r="AH1796" t="s">
        <v>69</v>
      </c>
      <c r="AI1796" t="s">
        <v>69</v>
      </c>
      <c r="AJ1796" t="s">
        <v>69</v>
      </c>
      <c r="AK1796" t="s">
        <v>69</v>
      </c>
      <c r="AL1796" t="s">
        <v>69</v>
      </c>
      <c r="AM1796" t="s">
        <v>69</v>
      </c>
      <c r="AN1796">
        <v>17</v>
      </c>
      <c r="AO1796">
        <v>3</v>
      </c>
      <c r="AP1796">
        <v>3</v>
      </c>
      <c r="AQ1796">
        <v>0</v>
      </c>
      <c r="AR1796">
        <v>0</v>
      </c>
      <c r="AS1796" t="s">
        <v>24389</v>
      </c>
      <c r="AT1796" t="s">
        <v>24390</v>
      </c>
      <c r="AU1796" t="s">
        <v>24391</v>
      </c>
      <c r="AV1796" t="s">
        <v>24392</v>
      </c>
      <c r="AW1796" t="s">
        <v>69</v>
      </c>
      <c r="AX1796" t="s">
        <v>69</v>
      </c>
      <c r="AY1796" t="s">
        <v>24393</v>
      </c>
      <c r="AZ1796" t="s">
        <v>24394</v>
      </c>
      <c r="BA1796" t="s">
        <v>69</v>
      </c>
      <c r="BB1796">
        <v>2014</v>
      </c>
      <c r="BC1796">
        <v>28</v>
      </c>
      <c r="BD1796">
        <v>4</v>
      </c>
      <c r="BE1796" t="s">
        <v>69</v>
      </c>
      <c r="BF1796" t="s">
        <v>69</v>
      </c>
      <c r="BG1796" t="s">
        <v>69</v>
      </c>
      <c r="BH1796" t="s">
        <v>69</v>
      </c>
      <c r="BI1796">
        <v>3</v>
      </c>
      <c r="BJ1796">
        <v>14</v>
      </c>
      <c r="BK1796" t="s">
        <v>69</v>
      </c>
      <c r="BL1796" t="s">
        <v>24395</v>
      </c>
      <c r="BM1796" t="str">
        <f>HYPERLINK("http://dx.doi.org/10.17649/TET.28.4.2682","http://dx.doi.org/10.17649/TET.28.4.2682")</f>
        <v>http://dx.doi.org/10.17649/TET.28.4.2682</v>
      </c>
      <c r="BN1796" t="s">
        <v>69</v>
      </c>
      <c r="BO1796" t="s">
        <v>69</v>
      </c>
      <c r="BP1796">
        <v>12</v>
      </c>
      <c r="BQ1796" t="s">
        <v>8446</v>
      </c>
      <c r="BR1796" t="s">
        <v>8573</v>
      </c>
      <c r="BS1796" t="s">
        <v>8446</v>
      </c>
      <c r="BT1796" t="s">
        <v>24396</v>
      </c>
      <c r="BU1796" t="s">
        <v>24398</v>
      </c>
      <c r="BV1796" t="s">
        <v>69</v>
      </c>
      <c r="BW1796" t="s">
        <v>24397</v>
      </c>
      <c r="BX1796" t="s">
        <v>69</v>
      </c>
      <c r="BY1796" t="s">
        <v>69</v>
      </c>
      <c r="BZ1796" t="s">
        <v>8526</v>
      </c>
      <c r="CA1796" t="str">
        <f>HYPERLINK("https%3A%2F%2Fwww.webofscience.com%2Fwos%2Fwoscc%2Ffull-record%2FWOS:000439433400001","View Full Record in Web of Science")</f>
        <v>View Full Record in Web of Science</v>
      </c>
    </row>
    <row r="1797" spans="1:79" ht="12.5" x14ac:dyDescent="0.25">
      <c r="B1797" t="s">
        <v>8495</v>
      </c>
      <c r="D1797" s="7" t="s">
        <v>32933</v>
      </c>
      <c r="E1797" s="7"/>
      <c r="F1797" s="7"/>
      <c r="G1797" s="7"/>
      <c r="H1797" t="s">
        <v>67</v>
      </c>
      <c r="I1797" t="s">
        <v>5235</v>
      </c>
      <c r="J1797" t="s">
        <v>69</v>
      </c>
      <c r="K1797" t="s">
        <v>69</v>
      </c>
      <c r="L1797" t="s">
        <v>69</v>
      </c>
      <c r="M1797" t="s">
        <v>5236</v>
      </c>
      <c r="N1797" t="s">
        <v>69</v>
      </c>
      <c r="O1797" t="s">
        <v>69</v>
      </c>
      <c r="P1797" t="s">
        <v>5237</v>
      </c>
      <c r="Q1797" t="s">
        <v>5238</v>
      </c>
      <c r="R1797" t="s">
        <v>69</v>
      </c>
      <c r="S1797" t="s">
        <v>69</v>
      </c>
      <c r="T1797" t="s">
        <v>8505</v>
      </c>
      <c r="U1797" t="s">
        <v>8506</v>
      </c>
      <c r="V1797" t="s">
        <v>69</v>
      </c>
      <c r="W1797" t="s">
        <v>69</v>
      </c>
      <c r="X1797" t="s">
        <v>69</v>
      </c>
      <c r="Y1797" t="s">
        <v>69</v>
      </c>
      <c r="Z1797" t="s">
        <v>69</v>
      </c>
      <c r="AA1797" t="s">
        <v>24746</v>
      </c>
      <c r="AB1797" t="s">
        <v>24747</v>
      </c>
      <c r="AC1797" t="s">
        <v>5239</v>
      </c>
      <c r="AD1797" t="s">
        <v>24748</v>
      </c>
      <c r="AE1797" t="s">
        <v>69</v>
      </c>
      <c r="AF1797" t="s">
        <v>24749</v>
      </c>
      <c r="AG1797" t="s">
        <v>24750</v>
      </c>
      <c r="AH1797" t="s">
        <v>69</v>
      </c>
      <c r="AI1797" t="s">
        <v>69</v>
      </c>
      <c r="AJ1797" t="s">
        <v>24751</v>
      </c>
      <c r="AK1797" t="s">
        <v>24752</v>
      </c>
      <c r="AL1797" t="s">
        <v>24753</v>
      </c>
      <c r="AM1797" t="s">
        <v>69</v>
      </c>
      <c r="AN1797">
        <v>54</v>
      </c>
      <c r="AO1797">
        <v>5</v>
      </c>
      <c r="AP1797">
        <v>5</v>
      </c>
      <c r="AQ1797">
        <v>0</v>
      </c>
      <c r="AR1797">
        <v>11</v>
      </c>
      <c r="AS1797" t="s">
        <v>9047</v>
      </c>
      <c r="AT1797" t="s">
        <v>9048</v>
      </c>
      <c r="AU1797" t="s">
        <v>9049</v>
      </c>
      <c r="AV1797" t="s">
        <v>5240</v>
      </c>
      <c r="AW1797" t="s">
        <v>69</v>
      </c>
      <c r="AX1797" t="s">
        <v>69</v>
      </c>
      <c r="AY1797" t="s">
        <v>12363</v>
      </c>
      <c r="AZ1797" t="s">
        <v>12364</v>
      </c>
      <c r="BA1797" t="s">
        <v>255</v>
      </c>
      <c r="BB1797">
        <v>2013</v>
      </c>
      <c r="BC1797">
        <v>12</v>
      </c>
      <c r="BD1797">
        <v>3</v>
      </c>
      <c r="BE1797" t="s">
        <v>69</v>
      </c>
      <c r="BF1797" t="s">
        <v>69</v>
      </c>
      <c r="BG1797" t="s">
        <v>69</v>
      </c>
      <c r="BH1797" t="s">
        <v>69</v>
      </c>
      <c r="BI1797">
        <v>353</v>
      </c>
      <c r="BJ1797">
        <v>376</v>
      </c>
      <c r="BK1797" t="s">
        <v>69</v>
      </c>
      <c r="BL1797" t="s">
        <v>5241</v>
      </c>
      <c r="BM1797" t="str">
        <f>HYPERLINK("http://dx.doi.org/10.1007/s11842-012-9216-0","http://dx.doi.org/10.1007/s11842-012-9216-0")</f>
        <v>http://dx.doi.org/10.1007/s11842-012-9216-0</v>
      </c>
      <c r="BN1797" t="s">
        <v>69</v>
      </c>
      <c r="BO1797" t="s">
        <v>69</v>
      </c>
      <c r="BP1797">
        <v>24</v>
      </c>
      <c r="BQ1797" t="s">
        <v>8453</v>
      </c>
      <c r="BR1797" t="s">
        <v>8523</v>
      </c>
      <c r="BS1797" t="s">
        <v>8453</v>
      </c>
      <c r="BT1797" t="s">
        <v>24754</v>
      </c>
      <c r="BU1797" t="s">
        <v>5242</v>
      </c>
      <c r="BV1797" t="s">
        <v>69</v>
      </c>
      <c r="BW1797" t="s">
        <v>10995</v>
      </c>
      <c r="BX1797" t="s">
        <v>69</v>
      </c>
      <c r="BY1797" t="s">
        <v>69</v>
      </c>
      <c r="BZ1797" t="s">
        <v>8526</v>
      </c>
      <c r="CA1797" t="str">
        <f>HYPERLINK("https%3A%2F%2Fwww.webofscience.com%2Fwos%2Fwoscc%2Ffull-record%2FWOS:000324552000002","View Full Record in Web of Science")</f>
        <v>View Full Record in Web of Science</v>
      </c>
    </row>
    <row r="1798" spans="1:79" ht="12.5" x14ac:dyDescent="0.25">
      <c r="B1798" t="s">
        <v>8495</v>
      </c>
      <c r="D1798" s="22" t="s">
        <v>32931</v>
      </c>
      <c r="E1798" s="7"/>
      <c r="F1798" s="7"/>
      <c r="G1798" s="7"/>
      <c r="H1798" t="s">
        <v>67</v>
      </c>
      <c r="I1798" t="s">
        <v>18805</v>
      </c>
      <c r="J1798" t="s">
        <v>69</v>
      </c>
      <c r="K1798" t="s">
        <v>69</v>
      </c>
      <c r="L1798" t="s">
        <v>69</v>
      </c>
      <c r="M1798" t="s">
        <v>18806</v>
      </c>
      <c r="N1798" t="s">
        <v>69</v>
      </c>
      <c r="O1798" t="s">
        <v>69</v>
      </c>
      <c r="P1798" t="s">
        <v>18807</v>
      </c>
      <c r="Q1798" t="s">
        <v>18808</v>
      </c>
      <c r="R1798" t="s">
        <v>69</v>
      </c>
      <c r="S1798" t="s">
        <v>69</v>
      </c>
      <c r="T1798" t="s">
        <v>8505</v>
      </c>
      <c r="U1798" t="s">
        <v>8506</v>
      </c>
      <c r="V1798" t="s">
        <v>69</v>
      </c>
      <c r="W1798" t="s">
        <v>69</v>
      </c>
      <c r="X1798" t="s">
        <v>69</v>
      </c>
      <c r="Y1798" t="s">
        <v>69</v>
      </c>
      <c r="Z1798" t="s">
        <v>69</v>
      </c>
      <c r="AA1798" t="s">
        <v>18809</v>
      </c>
      <c r="AB1798" t="s">
        <v>18810</v>
      </c>
      <c r="AC1798" t="s">
        <v>18811</v>
      </c>
      <c r="AD1798" t="s">
        <v>18812</v>
      </c>
      <c r="AE1798" t="s">
        <v>69</v>
      </c>
      <c r="AF1798" t="s">
        <v>18813</v>
      </c>
      <c r="AG1798" t="s">
        <v>18814</v>
      </c>
      <c r="AH1798" t="s">
        <v>18815</v>
      </c>
      <c r="AI1798" t="s">
        <v>18816</v>
      </c>
      <c r="AJ1798" t="s">
        <v>18817</v>
      </c>
      <c r="AK1798" t="s">
        <v>18818</v>
      </c>
      <c r="AL1798" t="s">
        <v>69</v>
      </c>
      <c r="AM1798" t="s">
        <v>69</v>
      </c>
      <c r="AN1798">
        <v>16</v>
      </c>
      <c r="AO1798">
        <v>1</v>
      </c>
      <c r="AP1798">
        <v>2</v>
      </c>
      <c r="AQ1798">
        <v>0</v>
      </c>
      <c r="AR1798">
        <v>1</v>
      </c>
      <c r="AS1798" t="s">
        <v>18819</v>
      </c>
      <c r="AT1798" t="s">
        <v>8763</v>
      </c>
      <c r="AU1798" t="s">
        <v>18820</v>
      </c>
      <c r="AV1798" t="s">
        <v>18821</v>
      </c>
      <c r="AW1798" t="s">
        <v>18822</v>
      </c>
      <c r="AX1798" t="s">
        <v>69</v>
      </c>
      <c r="AY1798" t="s">
        <v>18823</v>
      </c>
      <c r="AZ1798" t="s">
        <v>18824</v>
      </c>
      <c r="BA1798" t="s">
        <v>586</v>
      </c>
      <c r="BB1798">
        <v>2018</v>
      </c>
      <c r="BC1798">
        <v>187</v>
      </c>
      <c r="BD1798">
        <v>2</v>
      </c>
      <c r="BE1798" t="s">
        <v>69</v>
      </c>
      <c r="BF1798" t="s">
        <v>69</v>
      </c>
      <c r="BG1798" t="s">
        <v>69</v>
      </c>
      <c r="BH1798" t="s">
        <v>69</v>
      </c>
      <c r="BI1798">
        <v>275</v>
      </c>
      <c r="BJ1798">
        <v>280</v>
      </c>
      <c r="BK1798" t="s">
        <v>69</v>
      </c>
      <c r="BL1798" t="s">
        <v>18825</v>
      </c>
      <c r="BM1798" t="str">
        <f>HYPERLINK("http://dx.doi.org/10.1007/s11845-017-1661-5","http://dx.doi.org/10.1007/s11845-017-1661-5")</f>
        <v>http://dx.doi.org/10.1007/s11845-017-1661-5</v>
      </c>
      <c r="BN1798" t="s">
        <v>69</v>
      </c>
      <c r="BO1798" t="s">
        <v>69</v>
      </c>
      <c r="BP1798">
        <v>6</v>
      </c>
      <c r="BQ1798" t="s">
        <v>9450</v>
      </c>
      <c r="BR1798" t="s">
        <v>8548</v>
      </c>
      <c r="BS1798" t="s">
        <v>9451</v>
      </c>
      <c r="BT1798" t="s">
        <v>18826</v>
      </c>
      <c r="BU1798" t="s">
        <v>18827</v>
      </c>
      <c r="BV1798">
        <v>28717986</v>
      </c>
      <c r="BW1798" t="s">
        <v>69</v>
      </c>
      <c r="BX1798" t="s">
        <v>69</v>
      </c>
      <c r="BY1798" t="s">
        <v>69</v>
      </c>
      <c r="BZ1798" t="s">
        <v>8526</v>
      </c>
      <c r="CA1798" t="str">
        <f>HYPERLINK("https%3A%2F%2Fwww.webofscience.com%2Fwos%2Fwoscc%2Ffull-record%2FWOS:000431325400002","View Full Record in Web of Science")</f>
        <v>View Full Record in Web of Science</v>
      </c>
    </row>
    <row r="1799" spans="1:79" ht="12.5" x14ac:dyDescent="0.25">
      <c r="B1799" t="s">
        <v>8495</v>
      </c>
      <c r="D1799" s="7" t="s">
        <v>32933</v>
      </c>
      <c r="E1799" s="7"/>
      <c r="F1799" s="7"/>
      <c r="G1799" s="7"/>
      <c r="H1799" t="s">
        <v>67</v>
      </c>
      <c r="I1799" t="s">
        <v>6427</v>
      </c>
      <c r="J1799" t="s">
        <v>69</v>
      </c>
      <c r="K1799" t="s">
        <v>69</v>
      </c>
      <c r="L1799" t="s">
        <v>69</v>
      </c>
      <c r="M1799" t="s">
        <v>6428</v>
      </c>
      <c r="N1799" t="s">
        <v>69</v>
      </c>
      <c r="O1799" t="s">
        <v>69</v>
      </c>
      <c r="P1799" t="s">
        <v>6429</v>
      </c>
      <c r="Q1799" t="s">
        <v>3807</v>
      </c>
      <c r="R1799" t="s">
        <v>69</v>
      </c>
      <c r="S1799" t="s">
        <v>69</v>
      </c>
      <c r="T1799" t="s">
        <v>8505</v>
      </c>
      <c r="U1799" t="s">
        <v>8506</v>
      </c>
      <c r="V1799" t="s">
        <v>69</v>
      </c>
      <c r="W1799" t="s">
        <v>69</v>
      </c>
      <c r="X1799" t="s">
        <v>69</v>
      </c>
      <c r="Y1799" t="s">
        <v>69</v>
      </c>
      <c r="Z1799" t="s">
        <v>69</v>
      </c>
      <c r="AA1799" t="s">
        <v>69</v>
      </c>
      <c r="AB1799" t="s">
        <v>25890</v>
      </c>
      <c r="AC1799" t="s">
        <v>6430</v>
      </c>
      <c r="AD1799" t="s">
        <v>25891</v>
      </c>
      <c r="AE1799" t="s">
        <v>69</v>
      </c>
      <c r="AF1799" t="s">
        <v>25892</v>
      </c>
      <c r="AG1799" t="s">
        <v>25893</v>
      </c>
      <c r="AH1799" t="s">
        <v>69</v>
      </c>
      <c r="AI1799" t="s">
        <v>69</v>
      </c>
      <c r="AJ1799" t="s">
        <v>25894</v>
      </c>
      <c r="AK1799" t="s">
        <v>25895</v>
      </c>
      <c r="AL1799" t="s">
        <v>25896</v>
      </c>
      <c r="AM1799" t="s">
        <v>69</v>
      </c>
      <c r="AN1799">
        <v>161</v>
      </c>
      <c r="AO1799">
        <v>18</v>
      </c>
      <c r="AP1799">
        <v>19</v>
      </c>
      <c r="AQ1799">
        <v>1</v>
      </c>
      <c r="AR1799">
        <v>20</v>
      </c>
      <c r="AS1799" t="s">
        <v>9178</v>
      </c>
      <c r="AT1799" t="s">
        <v>8763</v>
      </c>
      <c r="AU1799" t="s">
        <v>9179</v>
      </c>
      <c r="AV1799" t="s">
        <v>3809</v>
      </c>
      <c r="AW1799" t="s">
        <v>3810</v>
      </c>
      <c r="AX1799" t="s">
        <v>69</v>
      </c>
      <c r="AY1799" t="s">
        <v>25897</v>
      </c>
      <c r="AZ1799" t="s">
        <v>25898</v>
      </c>
      <c r="BA1799" t="s">
        <v>84</v>
      </c>
      <c r="BB1799">
        <v>2012</v>
      </c>
      <c r="BC1799">
        <v>21</v>
      </c>
      <c r="BD1799">
        <v>4</v>
      </c>
      <c r="BE1799" t="s">
        <v>69</v>
      </c>
      <c r="BF1799" t="s">
        <v>69</v>
      </c>
      <c r="BG1799" t="s">
        <v>69</v>
      </c>
      <c r="BH1799" t="s">
        <v>69</v>
      </c>
      <c r="BI1799" t="s">
        <v>69</v>
      </c>
      <c r="BJ1799" t="s">
        <v>69</v>
      </c>
      <c r="BK1799" t="s">
        <v>6431</v>
      </c>
      <c r="BL1799" t="s">
        <v>6432</v>
      </c>
      <c r="BM1799" t="str">
        <f>HYPERLINK("http://dx.doi.org/10.1136/tc.2010.041657","http://dx.doi.org/10.1136/tc.2010.041657")</f>
        <v>http://dx.doi.org/10.1136/tc.2010.041657</v>
      </c>
      <c r="BN1799" t="s">
        <v>69</v>
      </c>
      <c r="BO1799" t="s">
        <v>69</v>
      </c>
      <c r="BP1799">
        <v>9</v>
      </c>
      <c r="BQ1799" t="s">
        <v>25899</v>
      </c>
      <c r="BR1799" t="s">
        <v>8523</v>
      </c>
      <c r="BS1799" t="s">
        <v>25899</v>
      </c>
      <c r="BT1799" t="s">
        <v>25900</v>
      </c>
      <c r="BU1799" t="s">
        <v>6433</v>
      </c>
      <c r="BV1799">
        <v>21636611</v>
      </c>
      <c r="BW1799" t="s">
        <v>9292</v>
      </c>
      <c r="BX1799" t="s">
        <v>69</v>
      </c>
      <c r="BY1799" t="s">
        <v>69</v>
      </c>
      <c r="BZ1799" t="s">
        <v>8526</v>
      </c>
      <c r="CA1799" t="str">
        <f>HYPERLINK("https%3A%2F%2Fwww.webofscience.com%2Fwos%2Fwoscc%2Ffull-record%2FWOS:000305799600001","View Full Record in Web of Science")</f>
        <v>View Full Record in Web of Science</v>
      </c>
    </row>
    <row r="1800" spans="1:79" ht="12.5" x14ac:dyDescent="0.25">
      <c r="B1800" t="s">
        <v>8495</v>
      </c>
      <c r="D1800" s="22" t="s">
        <v>32931</v>
      </c>
      <c r="E1800" s="7"/>
      <c r="F1800" s="7"/>
      <c r="G1800" s="7"/>
      <c r="H1800" t="s">
        <v>67</v>
      </c>
      <c r="I1800" t="s">
        <v>15730</v>
      </c>
      <c r="J1800" t="s">
        <v>69</v>
      </c>
      <c r="K1800" t="s">
        <v>69</v>
      </c>
      <c r="L1800" t="s">
        <v>69</v>
      </c>
      <c r="M1800" t="s">
        <v>15731</v>
      </c>
      <c r="N1800" t="s">
        <v>69</v>
      </c>
      <c r="O1800" t="s">
        <v>69</v>
      </c>
      <c r="P1800" t="s">
        <v>15732</v>
      </c>
      <c r="Q1800" t="s">
        <v>15733</v>
      </c>
      <c r="R1800" t="s">
        <v>69</v>
      </c>
      <c r="S1800" t="s">
        <v>69</v>
      </c>
      <c r="T1800" t="s">
        <v>8505</v>
      </c>
      <c r="U1800" t="s">
        <v>8506</v>
      </c>
      <c r="V1800" t="s">
        <v>69</v>
      </c>
      <c r="W1800" t="s">
        <v>69</v>
      </c>
      <c r="X1800" t="s">
        <v>69</v>
      </c>
      <c r="Y1800" t="s">
        <v>69</v>
      </c>
      <c r="Z1800" t="s">
        <v>69</v>
      </c>
      <c r="AA1800" t="s">
        <v>15734</v>
      </c>
      <c r="AB1800" t="s">
        <v>15735</v>
      </c>
      <c r="AC1800" t="s">
        <v>15736</v>
      </c>
      <c r="AD1800" t="s">
        <v>15737</v>
      </c>
      <c r="AE1800" t="s">
        <v>69</v>
      </c>
      <c r="AF1800" t="s">
        <v>15738</v>
      </c>
      <c r="AG1800" t="s">
        <v>15739</v>
      </c>
      <c r="AH1800" t="s">
        <v>69</v>
      </c>
      <c r="AI1800" t="s">
        <v>69</v>
      </c>
      <c r="AJ1800" t="s">
        <v>15740</v>
      </c>
      <c r="AK1800" t="s">
        <v>15741</v>
      </c>
      <c r="AL1800" t="s">
        <v>15742</v>
      </c>
      <c r="AM1800" t="s">
        <v>69</v>
      </c>
      <c r="AN1800">
        <v>69</v>
      </c>
      <c r="AO1800">
        <v>1</v>
      </c>
      <c r="AP1800">
        <v>1</v>
      </c>
      <c r="AQ1800">
        <v>0</v>
      </c>
      <c r="AR1800">
        <v>3</v>
      </c>
      <c r="AS1800" t="s">
        <v>15611</v>
      </c>
      <c r="AT1800" t="s">
        <v>10924</v>
      </c>
      <c r="AU1800" t="s">
        <v>15612</v>
      </c>
      <c r="AV1800" t="s">
        <v>15743</v>
      </c>
      <c r="AW1800" t="s">
        <v>15744</v>
      </c>
      <c r="AX1800" t="s">
        <v>69</v>
      </c>
      <c r="AY1800" t="s">
        <v>15745</v>
      </c>
      <c r="AZ1800" t="s">
        <v>15746</v>
      </c>
      <c r="BA1800" t="s">
        <v>14790</v>
      </c>
      <c r="BB1800">
        <v>2020</v>
      </c>
      <c r="BC1800">
        <v>33</v>
      </c>
      <c r="BD1800">
        <v>7</v>
      </c>
      <c r="BE1800" t="s">
        <v>69</v>
      </c>
      <c r="BF1800" t="s">
        <v>69</v>
      </c>
      <c r="BG1800" t="s">
        <v>69</v>
      </c>
      <c r="BH1800" t="s">
        <v>69</v>
      </c>
      <c r="BI1800">
        <v>842</v>
      </c>
      <c r="BJ1800">
        <v>858</v>
      </c>
      <c r="BK1800" t="s">
        <v>69</v>
      </c>
      <c r="BL1800" t="s">
        <v>15747</v>
      </c>
      <c r="BM1800" t="str">
        <f>HYPERLINK("http://dx.doi.org/10.1080/08941920.2020.1725988","http://dx.doi.org/10.1080/08941920.2020.1725988")</f>
        <v>http://dx.doi.org/10.1080/08941920.2020.1725988</v>
      </c>
      <c r="BN1800" t="s">
        <v>69</v>
      </c>
      <c r="BO1800" t="s">
        <v>7867</v>
      </c>
      <c r="BP1800">
        <v>17</v>
      </c>
      <c r="BQ1800" t="s">
        <v>15748</v>
      </c>
      <c r="BR1800" t="s">
        <v>8661</v>
      </c>
      <c r="BS1800" t="s">
        <v>15749</v>
      </c>
      <c r="BT1800" t="s">
        <v>15750</v>
      </c>
      <c r="BU1800" t="s">
        <v>15751</v>
      </c>
      <c r="BV1800" t="s">
        <v>69</v>
      </c>
      <c r="BW1800" t="s">
        <v>69</v>
      </c>
      <c r="BX1800" t="s">
        <v>69</v>
      </c>
      <c r="BY1800" t="s">
        <v>69</v>
      </c>
      <c r="BZ1800" t="s">
        <v>8526</v>
      </c>
      <c r="CA1800" t="str">
        <f>HYPERLINK("https%3A%2F%2Fwww.webofscience.com%2Fwos%2Fwoscc%2Ffull-record%2FWOS:000513977100001","View Full Record in Web of Science")</f>
        <v>View Full Record in Web of Science</v>
      </c>
    </row>
    <row r="1801" spans="1:79" ht="12.5" x14ac:dyDescent="0.25">
      <c r="B1801" t="s">
        <v>8495</v>
      </c>
      <c r="D1801" s="22" t="s">
        <v>32931</v>
      </c>
      <c r="E1801" s="7"/>
      <c r="F1801" s="7"/>
      <c r="G1801" s="7"/>
      <c r="H1801" t="s">
        <v>67</v>
      </c>
      <c r="I1801" t="s">
        <v>16924</v>
      </c>
      <c r="J1801" t="s">
        <v>69</v>
      </c>
      <c r="K1801" t="s">
        <v>69</v>
      </c>
      <c r="L1801" t="s">
        <v>69</v>
      </c>
      <c r="M1801" t="s">
        <v>16925</v>
      </c>
      <c r="N1801" t="s">
        <v>69</v>
      </c>
      <c r="O1801" t="s">
        <v>69</v>
      </c>
      <c r="P1801" t="s">
        <v>16926</v>
      </c>
      <c r="Q1801" t="s">
        <v>16927</v>
      </c>
      <c r="R1801" t="s">
        <v>69</v>
      </c>
      <c r="S1801" t="s">
        <v>69</v>
      </c>
      <c r="T1801" t="s">
        <v>8505</v>
      </c>
      <c r="U1801" t="s">
        <v>8506</v>
      </c>
      <c r="V1801" t="s">
        <v>69</v>
      </c>
      <c r="W1801" t="s">
        <v>69</v>
      </c>
      <c r="X1801" t="s">
        <v>69</v>
      </c>
      <c r="Y1801" t="s">
        <v>69</v>
      </c>
      <c r="Z1801" t="s">
        <v>69</v>
      </c>
      <c r="AA1801" t="s">
        <v>16928</v>
      </c>
      <c r="AB1801" t="s">
        <v>16929</v>
      </c>
      <c r="AC1801" t="s">
        <v>16930</v>
      </c>
      <c r="AD1801" t="s">
        <v>16931</v>
      </c>
      <c r="AE1801" t="s">
        <v>69</v>
      </c>
      <c r="AF1801" t="s">
        <v>16932</v>
      </c>
      <c r="AG1801" t="s">
        <v>16933</v>
      </c>
      <c r="AH1801" t="s">
        <v>69</v>
      </c>
      <c r="AI1801" t="s">
        <v>16934</v>
      </c>
      <c r="AJ1801" t="s">
        <v>69</v>
      </c>
      <c r="AK1801" t="s">
        <v>69</v>
      </c>
      <c r="AL1801" t="s">
        <v>69</v>
      </c>
      <c r="AM1801" t="s">
        <v>69</v>
      </c>
      <c r="AN1801">
        <v>54</v>
      </c>
      <c r="AO1801">
        <v>7</v>
      </c>
      <c r="AP1801">
        <v>7</v>
      </c>
      <c r="AQ1801">
        <v>0</v>
      </c>
      <c r="AR1801">
        <v>4</v>
      </c>
      <c r="AS1801" t="s">
        <v>8865</v>
      </c>
      <c r="AT1801" t="s">
        <v>8612</v>
      </c>
      <c r="AU1801" t="s">
        <v>8866</v>
      </c>
      <c r="AV1801" t="s">
        <v>16935</v>
      </c>
      <c r="AW1801" t="s">
        <v>16936</v>
      </c>
      <c r="AX1801" t="s">
        <v>69</v>
      </c>
      <c r="AY1801" t="s">
        <v>16937</v>
      </c>
      <c r="AZ1801" t="s">
        <v>16938</v>
      </c>
      <c r="BA1801" t="s">
        <v>2003</v>
      </c>
      <c r="BB1801">
        <v>2019</v>
      </c>
      <c r="BC1801">
        <v>23</v>
      </c>
      <c r="BD1801" t="s">
        <v>3849</v>
      </c>
      <c r="BE1801" t="s">
        <v>69</v>
      </c>
      <c r="BF1801" t="s">
        <v>69</v>
      </c>
      <c r="BG1801" t="s">
        <v>114</v>
      </c>
      <c r="BH1801" t="s">
        <v>69</v>
      </c>
      <c r="BI1801">
        <v>722</v>
      </c>
      <c r="BJ1801">
        <v>739</v>
      </c>
      <c r="BK1801" t="s">
        <v>69</v>
      </c>
      <c r="BL1801" t="s">
        <v>16939</v>
      </c>
      <c r="BM1801" t="str">
        <f>HYPERLINK("http://dx.doi.org/10.1080/13603116.2019.1624847","http://dx.doi.org/10.1080/13603116.2019.1624847")</f>
        <v>http://dx.doi.org/10.1080/13603116.2019.1624847</v>
      </c>
      <c r="BN1801" t="s">
        <v>69</v>
      </c>
      <c r="BO1801" t="s">
        <v>69</v>
      </c>
      <c r="BP1801">
        <v>18</v>
      </c>
      <c r="BQ1801" t="s">
        <v>9290</v>
      </c>
      <c r="BR1801" t="s">
        <v>8661</v>
      </c>
      <c r="BS1801" t="s">
        <v>9290</v>
      </c>
      <c r="BT1801" t="s">
        <v>16940</v>
      </c>
      <c r="BU1801" t="s">
        <v>16941</v>
      </c>
      <c r="BV1801" t="s">
        <v>69</v>
      </c>
      <c r="BW1801" t="s">
        <v>9292</v>
      </c>
      <c r="BX1801" t="s">
        <v>69</v>
      </c>
      <c r="BY1801" t="s">
        <v>69</v>
      </c>
      <c r="BZ1801" t="s">
        <v>8526</v>
      </c>
      <c r="CA1801" t="str">
        <f>HYPERLINK("https%3A%2F%2Fwww.webofscience.com%2Fwos%2Fwoscc%2Ffull-record%2FWOS:000474733100005","View Full Record in Web of Science")</f>
        <v>View Full Record in Web of Science</v>
      </c>
    </row>
    <row r="1802" spans="1:79" ht="12.5" x14ac:dyDescent="0.25">
      <c r="B1802" t="s">
        <v>8495</v>
      </c>
      <c r="D1802" s="7" t="s">
        <v>32933</v>
      </c>
      <c r="E1802" s="7"/>
      <c r="F1802" s="7"/>
      <c r="G1802" s="7"/>
      <c r="H1802" t="s">
        <v>67</v>
      </c>
      <c r="I1802" t="s">
        <v>1875</v>
      </c>
      <c r="J1802" t="s">
        <v>69</v>
      </c>
      <c r="K1802" t="s">
        <v>69</v>
      </c>
      <c r="L1802" t="s">
        <v>69</v>
      </c>
      <c r="M1802" t="s">
        <v>1876</v>
      </c>
      <c r="N1802" t="s">
        <v>69</v>
      </c>
      <c r="O1802" t="s">
        <v>69</v>
      </c>
      <c r="P1802" t="s">
        <v>2285</v>
      </c>
      <c r="Q1802" t="s">
        <v>2286</v>
      </c>
      <c r="R1802" t="s">
        <v>69</v>
      </c>
      <c r="S1802" t="s">
        <v>69</v>
      </c>
      <c r="T1802" t="s">
        <v>8505</v>
      </c>
      <c r="U1802" t="s">
        <v>8442</v>
      </c>
      <c r="V1802" t="s">
        <v>69</v>
      </c>
      <c r="W1802" t="s">
        <v>69</v>
      </c>
      <c r="X1802" t="s">
        <v>69</v>
      </c>
      <c r="Y1802" t="s">
        <v>69</v>
      </c>
      <c r="Z1802" t="s">
        <v>69</v>
      </c>
      <c r="AA1802" t="s">
        <v>17406</v>
      </c>
      <c r="AB1802" t="s">
        <v>17407</v>
      </c>
      <c r="AC1802" t="s">
        <v>2287</v>
      </c>
      <c r="AD1802" t="s">
        <v>14248</v>
      </c>
      <c r="AE1802" t="s">
        <v>69</v>
      </c>
      <c r="AF1802" t="s">
        <v>14249</v>
      </c>
      <c r="AG1802" t="s">
        <v>17408</v>
      </c>
      <c r="AH1802" t="s">
        <v>2288</v>
      </c>
      <c r="AI1802" t="s">
        <v>17409</v>
      </c>
      <c r="AJ1802" t="s">
        <v>17410</v>
      </c>
      <c r="AK1802" t="s">
        <v>17410</v>
      </c>
      <c r="AL1802" t="s">
        <v>17411</v>
      </c>
      <c r="AM1802" t="s">
        <v>69</v>
      </c>
      <c r="AN1802">
        <v>128</v>
      </c>
      <c r="AO1802">
        <v>25</v>
      </c>
      <c r="AP1802">
        <v>25</v>
      </c>
      <c r="AQ1802">
        <v>4</v>
      </c>
      <c r="AR1802">
        <v>21</v>
      </c>
      <c r="AS1802" t="s">
        <v>17140</v>
      </c>
      <c r="AT1802" t="s">
        <v>8517</v>
      </c>
      <c r="AU1802" t="s">
        <v>17141</v>
      </c>
      <c r="AV1802" t="s">
        <v>2289</v>
      </c>
      <c r="AW1802" t="s">
        <v>2290</v>
      </c>
      <c r="AX1802" t="s">
        <v>69</v>
      </c>
      <c r="AY1802" t="s">
        <v>17412</v>
      </c>
      <c r="AZ1802" t="s">
        <v>17413</v>
      </c>
      <c r="BA1802" t="s">
        <v>246</v>
      </c>
      <c r="BB1802">
        <v>2019</v>
      </c>
      <c r="BC1802">
        <v>107</v>
      </c>
      <c r="BD1802" t="s">
        <v>69</v>
      </c>
      <c r="BE1802" t="s">
        <v>69</v>
      </c>
      <c r="BF1802" t="s">
        <v>69</v>
      </c>
      <c r="BG1802" t="s">
        <v>69</v>
      </c>
      <c r="BH1802" t="s">
        <v>69</v>
      </c>
      <c r="BI1802">
        <v>629</v>
      </c>
      <c r="BJ1802">
        <v>646</v>
      </c>
      <c r="BK1802" t="s">
        <v>69</v>
      </c>
      <c r="BL1802" t="s">
        <v>2291</v>
      </c>
      <c r="BM1802" t="str">
        <f>HYPERLINK("http://dx.doi.org/10.1016/j.oregeorev.2019.02.025","http://dx.doi.org/10.1016/j.oregeorev.2019.02.025")</f>
        <v>http://dx.doi.org/10.1016/j.oregeorev.2019.02.025</v>
      </c>
      <c r="BN1802" t="s">
        <v>69</v>
      </c>
      <c r="BO1802" t="s">
        <v>69</v>
      </c>
      <c r="BP1802">
        <v>18</v>
      </c>
      <c r="BQ1802" t="s">
        <v>17414</v>
      </c>
      <c r="BR1802" t="s">
        <v>8548</v>
      </c>
      <c r="BS1802" t="s">
        <v>17414</v>
      </c>
      <c r="BT1802" t="s">
        <v>17415</v>
      </c>
      <c r="BU1802" t="s">
        <v>2292</v>
      </c>
      <c r="BV1802" t="s">
        <v>69</v>
      </c>
      <c r="BW1802" t="s">
        <v>69</v>
      </c>
      <c r="BX1802" t="s">
        <v>69</v>
      </c>
      <c r="BY1802" t="s">
        <v>69</v>
      </c>
      <c r="BZ1802" t="s">
        <v>8526</v>
      </c>
      <c r="CA1802" t="str">
        <f>HYPERLINK("https%3A%2F%2Fwww.webofscience.com%2Fwos%2Fwoscc%2Ffull-record%2FWOS:000470194300039","View Full Record in Web of Science")</f>
        <v>View Full Record in Web of Science</v>
      </c>
    </row>
    <row r="1803" spans="1:79" ht="12.5" x14ac:dyDescent="0.25">
      <c r="B1803" t="s">
        <v>8495</v>
      </c>
      <c r="D1803" s="7" t="s">
        <v>32933</v>
      </c>
      <c r="E1803" s="7"/>
      <c r="F1803" s="7"/>
      <c r="G1803" s="7"/>
      <c r="H1803" t="s">
        <v>67</v>
      </c>
      <c r="I1803" t="s">
        <v>6656</v>
      </c>
      <c r="J1803" t="s">
        <v>69</v>
      </c>
      <c r="K1803" t="s">
        <v>69</v>
      </c>
      <c r="L1803" t="s">
        <v>69</v>
      </c>
      <c r="M1803" t="s">
        <v>6657</v>
      </c>
      <c r="N1803" t="s">
        <v>69</v>
      </c>
      <c r="O1803" t="s">
        <v>69</v>
      </c>
      <c r="P1803" t="s">
        <v>6658</v>
      </c>
      <c r="Q1803" t="s">
        <v>6659</v>
      </c>
      <c r="R1803" t="s">
        <v>69</v>
      </c>
      <c r="S1803" t="s">
        <v>69</v>
      </c>
      <c r="T1803" t="s">
        <v>8505</v>
      </c>
      <c r="U1803" t="s">
        <v>8506</v>
      </c>
      <c r="V1803" t="s">
        <v>69</v>
      </c>
      <c r="W1803" t="s">
        <v>69</v>
      </c>
      <c r="X1803" t="s">
        <v>69</v>
      </c>
      <c r="Y1803" t="s">
        <v>69</v>
      </c>
      <c r="Z1803" t="s">
        <v>69</v>
      </c>
      <c r="AA1803" t="s">
        <v>19972</v>
      </c>
      <c r="AB1803" t="s">
        <v>19973</v>
      </c>
      <c r="AC1803" t="s">
        <v>6660</v>
      </c>
      <c r="AD1803" t="s">
        <v>19974</v>
      </c>
      <c r="AE1803" t="s">
        <v>69</v>
      </c>
      <c r="AF1803" t="s">
        <v>19975</v>
      </c>
      <c r="AG1803" t="s">
        <v>19976</v>
      </c>
      <c r="AH1803" t="s">
        <v>19977</v>
      </c>
      <c r="AI1803" t="s">
        <v>19978</v>
      </c>
      <c r="AJ1803" t="s">
        <v>19979</v>
      </c>
      <c r="AK1803" t="s">
        <v>19980</v>
      </c>
      <c r="AL1803" t="s">
        <v>19981</v>
      </c>
      <c r="AM1803" t="s">
        <v>69</v>
      </c>
      <c r="AN1803">
        <v>80</v>
      </c>
      <c r="AO1803">
        <v>17</v>
      </c>
      <c r="AP1803">
        <v>20</v>
      </c>
      <c r="AQ1803">
        <v>11</v>
      </c>
      <c r="AR1803">
        <v>129</v>
      </c>
      <c r="AS1803" t="s">
        <v>17140</v>
      </c>
      <c r="AT1803" t="s">
        <v>8517</v>
      </c>
      <c r="AU1803" t="s">
        <v>17141</v>
      </c>
      <c r="AV1803" t="s">
        <v>6661</v>
      </c>
      <c r="AW1803" t="s">
        <v>6662</v>
      </c>
      <c r="AX1803" t="s">
        <v>69</v>
      </c>
      <c r="AY1803" t="s">
        <v>19982</v>
      </c>
      <c r="AZ1803" t="s">
        <v>19983</v>
      </c>
      <c r="BA1803" t="s">
        <v>381</v>
      </c>
      <c r="BB1803">
        <v>2017</v>
      </c>
      <c r="BC1803">
        <v>46</v>
      </c>
      <c r="BD1803">
        <v>8</v>
      </c>
      <c r="BE1803" t="s">
        <v>69</v>
      </c>
      <c r="BF1803" t="s">
        <v>69</v>
      </c>
      <c r="BG1803" t="s">
        <v>69</v>
      </c>
      <c r="BH1803" t="s">
        <v>69</v>
      </c>
      <c r="BI1803">
        <v>1479</v>
      </c>
      <c r="BJ1803">
        <v>1489</v>
      </c>
      <c r="BK1803" t="s">
        <v>69</v>
      </c>
      <c r="BL1803" t="s">
        <v>6663</v>
      </c>
      <c r="BM1803" t="str">
        <f>HYPERLINK("http://dx.doi.org/10.1016/j.respol.2017.07.002","http://dx.doi.org/10.1016/j.respol.2017.07.002")</f>
        <v>http://dx.doi.org/10.1016/j.respol.2017.07.002</v>
      </c>
      <c r="BN1803" t="s">
        <v>69</v>
      </c>
      <c r="BO1803" t="s">
        <v>69</v>
      </c>
      <c r="BP1803">
        <v>11</v>
      </c>
      <c r="BQ1803" t="s">
        <v>9410</v>
      </c>
      <c r="BR1803" t="s">
        <v>8661</v>
      </c>
      <c r="BS1803" t="s">
        <v>8594</v>
      </c>
      <c r="BT1803" t="s">
        <v>19984</v>
      </c>
      <c r="BU1803" t="s">
        <v>6664</v>
      </c>
      <c r="BV1803" t="s">
        <v>69</v>
      </c>
      <c r="BW1803" t="s">
        <v>69</v>
      </c>
      <c r="BX1803" t="s">
        <v>69</v>
      </c>
      <c r="BY1803" t="s">
        <v>69</v>
      </c>
      <c r="BZ1803" t="s">
        <v>8526</v>
      </c>
      <c r="CA1803" t="str">
        <f>HYPERLINK("https%3A%2F%2Fwww.webofscience.com%2Fwos%2Fwoscc%2Ffull-record%2FWOS:000412035200009","View Full Record in Web of Science")</f>
        <v>View Full Record in Web of Science</v>
      </c>
    </row>
    <row r="1804" spans="1:79" ht="12.5" x14ac:dyDescent="0.25">
      <c r="B1804" t="s">
        <v>8495</v>
      </c>
      <c r="D1804" s="22" t="s">
        <v>32931</v>
      </c>
      <c r="E1804" s="7"/>
      <c r="F1804" s="7"/>
      <c r="G1804" s="7"/>
      <c r="H1804" t="s">
        <v>67</v>
      </c>
      <c r="I1804" t="s">
        <v>31103</v>
      </c>
      <c r="J1804" t="s">
        <v>69</v>
      </c>
      <c r="K1804" t="s">
        <v>69</v>
      </c>
      <c r="L1804" t="s">
        <v>69</v>
      </c>
      <c r="M1804" t="s">
        <v>31103</v>
      </c>
      <c r="N1804" t="s">
        <v>69</v>
      </c>
      <c r="O1804" t="s">
        <v>69</v>
      </c>
      <c r="P1804" t="s">
        <v>31104</v>
      </c>
      <c r="Q1804" t="s">
        <v>3807</v>
      </c>
      <c r="R1804" t="s">
        <v>69</v>
      </c>
      <c r="S1804" t="s">
        <v>69</v>
      </c>
      <c r="T1804" t="s">
        <v>8505</v>
      </c>
      <c r="U1804" t="s">
        <v>8442</v>
      </c>
      <c r="V1804" t="s">
        <v>69</v>
      </c>
      <c r="W1804" t="s">
        <v>69</v>
      </c>
      <c r="X1804" t="s">
        <v>69</v>
      </c>
      <c r="Y1804" t="s">
        <v>69</v>
      </c>
      <c r="Z1804" t="s">
        <v>69</v>
      </c>
      <c r="AA1804" t="s">
        <v>69</v>
      </c>
      <c r="AB1804" t="s">
        <v>31105</v>
      </c>
      <c r="AC1804" t="s">
        <v>31106</v>
      </c>
      <c r="AD1804" t="s">
        <v>31107</v>
      </c>
      <c r="AE1804" t="s">
        <v>69</v>
      </c>
      <c r="AF1804" t="s">
        <v>31108</v>
      </c>
      <c r="AG1804" t="s">
        <v>25893</v>
      </c>
      <c r="AH1804" t="s">
        <v>69</v>
      </c>
      <c r="AI1804" t="s">
        <v>69</v>
      </c>
      <c r="AJ1804" t="s">
        <v>31109</v>
      </c>
      <c r="AK1804" t="s">
        <v>31110</v>
      </c>
      <c r="AL1804" t="s">
        <v>69</v>
      </c>
      <c r="AM1804" t="s">
        <v>69</v>
      </c>
      <c r="AN1804">
        <v>110</v>
      </c>
      <c r="AO1804">
        <v>79</v>
      </c>
      <c r="AP1804">
        <v>79</v>
      </c>
      <c r="AQ1804">
        <v>0</v>
      </c>
      <c r="AR1804">
        <v>7</v>
      </c>
      <c r="AS1804" t="s">
        <v>9178</v>
      </c>
      <c r="AT1804" t="s">
        <v>8763</v>
      </c>
      <c r="AU1804" t="s">
        <v>9179</v>
      </c>
      <c r="AV1804" t="s">
        <v>3809</v>
      </c>
      <c r="AW1804" t="s">
        <v>3810</v>
      </c>
      <c r="AX1804" t="s">
        <v>69</v>
      </c>
      <c r="AY1804" t="s">
        <v>25897</v>
      </c>
      <c r="AZ1804" t="s">
        <v>25898</v>
      </c>
      <c r="BA1804" t="s">
        <v>94</v>
      </c>
      <c r="BB1804">
        <v>2004</v>
      </c>
      <c r="BC1804">
        <v>13</v>
      </c>
      <c r="BD1804" t="s">
        <v>69</v>
      </c>
      <c r="BE1804" t="s">
        <v>69</v>
      </c>
      <c r="BF1804">
        <v>1</v>
      </c>
      <c r="BG1804" t="s">
        <v>69</v>
      </c>
      <c r="BH1804" t="s">
        <v>69</v>
      </c>
      <c r="BI1804">
        <v>41</v>
      </c>
      <c r="BJ1804">
        <v>47</v>
      </c>
      <c r="BK1804" t="s">
        <v>69</v>
      </c>
      <c r="BL1804" t="s">
        <v>31111</v>
      </c>
      <c r="BM1804" t="str">
        <f>HYPERLINK("http://dx.doi.org/10.1136/tc.2003.004101","http://dx.doi.org/10.1136/tc.2003.004101")</f>
        <v>http://dx.doi.org/10.1136/tc.2003.004101</v>
      </c>
      <c r="BN1804" t="s">
        <v>69</v>
      </c>
      <c r="BO1804" t="s">
        <v>69</v>
      </c>
      <c r="BP1804">
        <v>7</v>
      </c>
      <c r="BQ1804" t="s">
        <v>25899</v>
      </c>
      <c r="BR1804" t="s">
        <v>8523</v>
      </c>
      <c r="BS1804" t="s">
        <v>25899</v>
      </c>
      <c r="BT1804" t="s">
        <v>31112</v>
      </c>
      <c r="BU1804" t="s">
        <v>31113</v>
      </c>
      <c r="BV1804">
        <v>14985616</v>
      </c>
      <c r="BW1804" t="s">
        <v>8746</v>
      </c>
      <c r="BX1804" t="s">
        <v>69</v>
      </c>
      <c r="BY1804" t="s">
        <v>69</v>
      </c>
      <c r="BZ1804" t="s">
        <v>8526</v>
      </c>
      <c r="CA1804" t="str">
        <f>HYPERLINK("https%3A%2F%2Fwww.webofscience.com%2Fwos%2Fwoscc%2Ffull-record%2FWOS:000220255900008","View Full Record in Web of Science")</f>
        <v>View Full Record in Web of Science</v>
      </c>
    </row>
    <row r="1805" spans="1:79" ht="12.5" x14ac:dyDescent="0.25">
      <c r="B1805" t="s">
        <v>8495</v>
      </c>
      <c r="D1805" s="7" t="s">
        <v>32933</v>
      </c>
      <c r="E1805" s="7"/>
      <c r="F1805" s="7"/>
      <c r="G1805" s="7"/>
      <c r="H1805" t="s">
        <v>67</v>
      </c>
      <c r="I1805" t="s">
        <v>3987</v>
      </c>
      <c r="J1805" t="s">
        <v>69</v>
      </c>
      <c r="K1805" t="s">
        <v>69</v>
      </c>
      <c r="L1805" t="s">
        <v>69</v>
      </c>
      <c r="M1805" t="s">
        <v>3987</v>
      </c>
      <c r="N1805" t="s">
        <v>69</v>
      </c>
      <c r="O1805" t="s">
        <v>69</v>
      </c>
      <c r="P1805" t="s">
        <v>3988</v>
      </c>
      <c r="Q1805" t="s">
        <v>3807</v>
      </c>
      <c r="R1805" t="s">
        <v>69</v>
      </c>
      <c r="S1805" t="s">
        <v>69</v>
      </c>
      <c r="T1805" t="s">
        <v>8505</v>
      </c>
      <c r="U1805" t="s">
        <v>8506</v>
      </c>
      <c r="V1805" t="s">
        <v>69</v>
      </c>
      <c r="W1805" t="s">
        <v>69</v>
      </c>
      <c r="X1805" t="s">
        <v>69</v>
      </c>
      <c r="Y1805" t="s">
        <v>69</v>
      </c>
      <c r="Z1805" t="s">
        <v>69</v>
      </c>
      <c r="AA1805" t="s">
        <v>69</v>
      </c>
      <c r="AB1805" t="s">
        <v>31256</v>
      </c>
      <c r="AC1805" t="s">
        <v>3989</v>
      </c>
      <c r="AD1805" t="s">
        <v>69</v>
      </c>
      <c r="AE1805" t="s">
        <v>69</v>
      </c>
      <c r="AF1805" t="s">
        <v>31257</v>
      </c>
      <c r="AG1805" t="s">
        <v>69</v>
      </c>
      <c r="AH1805" t="s">
        <v>69</v>
      </c>
      <c r="AI1805" t="s">
        <v>69</v>
      </c>
      <c r="AJ1805" t="s">
        <v>69</v>
      </c>
      <c r="AK1805" t="s">
        <v>69</v>
      </c>
      <c r="AL1805" t="s">
        <v>69</v>
      </c>
      <c r="AM1805" t="s">
        <v>69</v>
      </c>
      <c r="AN1805">
        <v>35</v>
      </c>
      <c r="AO1805">
        <v>7</v>
      </c>
      <c r="AP1805">
        <v>7</v>
      </c>
      <c r="AQ1805">
        <v>0</v>
      </c>
      <c r="AR1805">
        <v>7</v>
      </c>
      <c r="AS1805" t="s">
        <v>31258</v>
      </c>
      <c r="AT1805" t="s">
        <v>8763</v>
      </c>
      <c r="AU1805" t="s">
        <v>9179</v>
      </c>
      <c r="AV1805" t="s">
        <v>3809</v>
      </c>
      <c r="AW1805" t="s">
        <v>69</v>
      </c>
      <c r="AX1805" t="s">
        <v>69</v>
      </c>
      <c r="AY1805" t="s">
        <v>25897</v>
      </c>
      <c r="AZ1805" t="s">
        <v>25898</v>
      </c>
      <c r="BA1805" t="s">
        <v>94</v>
      </c>
      <c r="BB1805">
        <v>2003</v>
      </c>
      <c r="BC1805">
        <v>12</v>
      </c>
      <c r="BD1805">
        <v>1</v>
      </c>
      <c r="BE1805" t="s">
        <v>69</v>
      </c>
      <c r="BF1805" t="s">
        <v>69</v>
      </c>
      <c r="BG1805" t="s">
        <v>69</v>
      </c>
      <c r="BH1805" t="s">
        <v>69</v>
      </c>
      <c r="BI1805">
        <v>94</v>
      </c>
      <c r="BJ1805">
        <v>101</v>
      </c>
      <c r="BK1805" t="s">
        <v>69</v>
      </c>
      <c r="BL1805" t="s">
        <v>3990</v>
      </c>
      <c r="BM1805" t="str">
        <f>HYPERLINK("http://dx.doi.org/10.1136/tc.12.1.94","http://dx.doi.org/10.1136/tc.12.1.94")</f>
        <v>http://dx.doi.org/10.1136/tc.12.1.94</v>
      </c>
      <c r="BN1805" t="s">
        <v>69</v>
      </c>
      <c r="BO1805" t="s">
        <v>69</v>
      </c>
      <c r="BP1805">
        <v>8</v>
      </c>
      <c r="BQ1805" t="s">
        <v>25899</v>
      </c>
      <c r="BR1805" t="s">
        <v>8548</v>
      </c>
      <c r="BS1805" t="s">
        <v>25899</v>
      </c>
      <c r="BT1805" t="s">
        <v>31259</v>
      </c>
      <c r="BU1805" t="s">
        <v>3991</v>
      </c>
      <c r="BV1805">
        <v>12612372</v>
      </c>
      <c r="BW1805" t="s">
        <v>11793</v>
      </c>
      <c r="BX1805" t="s">
        <v>69</v>
      </c>
      <c r="BY1805" t="s">
        <v>69</v>
      </c>
      <c r="BZ1805" t="s">
        <v>8526</v>
      </c>
      <c r="CA1805" t="str">
        <f>HYPERLINK("https%3A%2F%2Fwww.webofscience.com%2Fwos%2Fwoscc%2Ffull-record%2FWOS:000181443500025","View Full Record in Web of Science")</f>
        <v>View Full Record in Web of Science</v>
      </c>
    </row>
    <row r="1806" spans="1:79" ht="12.5" x14ac:dyDescent="0.25">
      <c r="B1806" t="s">
        <v>8495</v>
      </c>
      <c r="D1806" s="22" t="s">
        <v>32931</v>
      </c>
      <c r="E1806" s="7"/>
      <c r="F1806" s="7"/>
      <c r="G1806" s="7"/>
      <c r="H1806" t="s">
        <v>67</v>
      </c>
      <c r="I1806" t="s">
        <v>10801</v>
      </c>
      <c r="J1806" t="s">
        <v>69</v>
      </c>
      <c r="K1806" t="s">
        <v>69</v>
      </c>
      <c r="L1806" t="s">
        <v>69</v>
      </c>
      <c r="M1806" t="s">
        <v>10802</v>
      </c>
      <c r="N1806" t="s">
        <v>69</v>
      </c>
      <c r="O1806" t="s">
        <v>69</v>
      </c>
      <c r="P1806" t="s">
        <v>10803</v>
      </c>
      <c r="Q1806" t="s">
        <v>5270</v>
      </c>
      <c r="R1806" t="s">
        <v>69</v>
      </c>
      <c r="S1806" t="s">
        <v>69</v>
      </c>
      <c r="T1806" t="s">
        <v>8505</v>
      </c>
      <c r="U1806" t="s">
        <v>8506</v>
      </c>
      <c r="V1806" t="s">
        <v>69</v>
      </c>
      <c r="W1806" t="s">
        <v>69</v>
      </c>
      <c r="X1806" t="s">
        <v>69</v>
      </c>
      <c r="Y1806" t="s">
        <v>69</v>
      </c>
      <c r="Z1806" t="s">
        <v>69</v>
      </c>
      <c r="AA1806" t="s">
        <v>69</v>
      </c>
      <c r="AB1806" t="s">
        <v>10804</v>
      </c>
      <c r="AC1806" t="s">
        <v>10805</v>
      </c>
      <c r="AD1806" t="s">
        <v>10806</v>
      </c>
      <c r="AE1806" t="s">
        <v>69</v>
      </c>
      <c r="AF1806" t="s">
        <v>10807</v>
      </c>
      <c r="AG1806" t="s">
        <v>10808</v>
      </c>
      <c r="AH1806" t="s">
        <v>69</v>
      </c>
      <c r="AI1806" t="s">
        <v>10809</v>
      </c>
      <c r="AJ1806" t="s">
        <v>10810</v>
      </c>
      <c r="AK1806" t="s">
        <v>10810</v>
      </c>
      <c r="AL1806" t="s">
        <v>10811</v>
      </c>
      <c r="AM1806" t="s">
        <v>69</v>
      </c>
      <c r="AN1806">
        <v>63</v>
      </c>
      <c r="AO1806">
        <v>0</v>
      </c>
      <c r="AP1806">
        <v>0</v>
      </c>
      <c r="AQ1806">
        <v>2</v>
      </c>
      <c r="AR1806">
        <v>5</v>
      </c>
      <c r="AS1806" t="s">
        <v>8846</v>
      </c>
      <c r="AT1806" t="s">
        <v>8847</v>
      </c>
      <c r="AU1806" t="s">
        <v>8848</v>
      </c>
      <c r="AV1806" t="s">
        <v>5276</v>
      </c>
      <c r="AW1806" t="s">
        <v>5277</v>
      </c>
      <c r="AX1806" t="s">
        <v>69</v>
      </c>
      <c r="AY1806" t="s">
        <v>10812</v>
      </c>
      <c r="AZ1806" t="s">
        <v>10813</v>
      </c>
      <c r="BA1806" t="s">
        <v>274</v>
      </c>
      <c r="BB1806">
        <v>2021</v>
      </c>
      <c r="BC1806">
        <v>113</v>
      </c>
      <c r="BD1806">
        <v>6</v>
      </c>
      <c r="BE1806" t="s">
        <v>69</v>
      </c>
      <c r="BF1806" t="s">
        <v>69</v>
      </c>
      <c r="BG1806" t="s">
        <v>69</v>
      </c>
      <c r="BH1806" t="s">
        <v>69</v>
      </c>
      <c r="BI1806">
        <v>5254</v>
      </c>
      <c r="BJ1806">
        <v>5270</v>
      </c>
      <c r="BK1806" t="s">
        <v>69</v>
      </c>
      <c r="BL1806" t="s">
        <v>10814</v>
      </c>
      <c r="BM1806" t="str">
        <f>HYPERLINK("http://dx.doi.org/10.1002/agj2.20897","http://dx.doi.org/10.1002/agj2.20897")</f>
        <v>http://dx.doi.org/10.1002/agj2.20897</v>
      </c>
      <c r="BN1806" t="s">
        <v>69</v>
      </c>
      <c r="BO1806" t="s">
        <v>10646</v>
      </c>
      <c r="BP1806">
        <v>17</v>
      </c>
      <c r="BQ1806" t="s">
        <v>10815</v>
      </c>
      <c r="BR1806" t="s">
        <v>8548</v>
      </c>
      <c r="BS1806" t="s">
        <v>8450</v>
      </c>
      <c r="BT1806" t="s">
        <v>10816</v>
      </c>
      <c r="BU1806" t="s">
        <v>10817</v>
      </c>
      <c r="BV1806" t="s">
        <v>69</v>
      </c>
      <c r="BW1806" t="s">
        <v>69</v>
      </c>
      <c r="BX1806" t="s">
        <v>69</v>
      </c>
      <c r="BY1806" t="s">
        <v>69</v>
      </c>
      <c r="BZ1806" t="s">
        <v>8526</v>
      </c>
      <c r="CA1806" t="str">
        <f>HYPERLINK("https%3A%2F%2Fwww.webofscience.com%2Fwos%2Fwoscc%2Ffull-record%2FWOS:000715873500001","View Full Record in Web of Science")</f>
        <v>View Full Record in Web of Science</v>
      </c>
    </row>
    <row r="1807" spans="1:79" ht="12.5" x14ac:dyDescent="0.25">
      <c r="B1807" t="s">
        <v>8495</v>
      </c>
      <c r="D1807" s="22" t="s">
        <v>32931</v>
      </c>
      <c r="E1807" s="7"/>
      <c r="F1807" s="7"/>
      <c r="G1807" s="7"/>
      <c r="H1807" t="s">
        <v>67</v>
      </c>
      <c r="I1807" t="s">
        <v>11370</v>
      </c>
      <c r="J1807" t="s">
        <v>69</v>
      </c>
      <c r="K1807" t="s">
        <v>69</v>
      </c>
      <c r="L1807" t="s">
        <v>69</v>
      </c>
      <c r="M1807" t="s">
        <v>11371</v>
      </c>
      <c r="N1807" t="s">
        <v>69</v>
      </c>
      <c r="O1807" t="s">
        <v>69</v>
      </c>
      <c r="P1807" t="s">
        <v>11372</v>
      </c>
      <c r="Q1807" t="s">
        <v>11373</v>
      </c>
      <c r="R1807" t="s">
        <v>69</v>
      </c>
      <c r="S1807" t="s">
        <v>69</v>
      </c>
      <c r="T1807" t="s">
        <v>8505</v>
      </c>
      <c r="U1807" t="s">
        <v>8506</v>
      </c>
      <c r="V1807" t="s">
        <v>69</v>
      </c>
      <c r="W1807" t="s">
        <v>69</v>
      </c>
      <c r="X1807" t="s">
        <v>69</v>
      </c>
      <c r="Y1807" t="s">
        <v>69</v>
      </c>
      <c r="Z1807" t="s">
        <v>69</v>
      </c>
      <c r="AA1807" t="s">
        <v>11374</v>
      </c>
      <c r="AB1807" t="s">
        <v>11375</v>
      </c>
      <c r="AC1807" t="s">
        <v>11376</v>
      </c>
      <c r="AD1807" t="s">
        <v>11377</v>
      </c>
      <c r="AE1807" t="s">
        <v>69</v>
      </c>
      <c r="AF1807" t="s">
        <v>11378</v>
      </c>
      <c r="AG1807" t="s">
        <v>11379</v>
      </c>
      <c r="AH1807" t="s">
        <v>69</v>
      </c>
      <c r="AI1807" t="s">
        <v>69</v>
      </c>
      <c r="AJ1807" t="s">
        <v>11380</v>
      </c>
      <c r="AK1807" t="s">
        <v>11381</v>
      </c>
      <c r="AL1807" t="s">
        <v>11382</v>
      </c>
      <c r="AM1807" t="s">
        <v>69</v>
      </c>
      <c r="AN1807">
        <v>91</v>
      </c>
      <c r="AO1807">
        <v>7</v>
      </c>
      <c r="AP1807">
        <v>7</v>
      </c>
      <c r="AQ1807">
        <v>5</v>
      </c>
      <c r="AR1807">
        <v>9</v>
      </c>
      <c r="AS1807" t="s">
        <v>8516</v>
      </c>
      <c r="AT1807" t="s">
        <v>8517</v>
      </c>
      <c r="AU1807" t="s">
        <v>8518</v>
      </c>
      <c r="AV1807" t="s">
        <v>11383</v>
      </c>
      <c r="AW1807" t="s">
        <v>11384</v>
      </c>
      <c r="AX1807" t="s">
        <v>69</v>
      </c>
      <c r="AY1807" t="s">
        <v>11385</v>
      </c>
      <c r="AZ1807" t="s">
        <v>11386</v>
      </c>
      <c r="BA1807" t="s">
        <v>155</v>
      </c>
      <c r="BB1807">
        <v>2021</v>
      </c>
      <c r="BC1807">
        <v>34</v>
      </c>
      <c r="BD1807" t="s">
        <v>69</v>
      </c>
      <c r="BE1807" t="s">
        <v>69</v>
      </c>
      <c r="BF1807" t="s">
        <v>69</v>
      </c>
      <c r="BG1807" t="s">
        <v>69</v>
      </c>
      <c r="BH1807" t="s">
        <v>69</v>
      </c>
      <c r="BI1807" t="s">
        <v>69</v>
      </c>
      <c r="BJ1807" t="s">
        <v>69</v>
      </c>
      <c r="BK1807">
        <v>100367</v>
      </c>
      <c r="BL1807" t="s">
        <v>11387</v>
      </c>
      <c r="BM1807" t="str">
        <f>HYPERLINK("http://dx.doi.org/10.1016/j.jort.2021.100367","http://dx.doi.org/10.1016/j.jort.2021.100367")</f>
        <v>http://dx.doi.org/10.1016/j.jort.2021.100367</v>
      </c>
      <c r="BN1807" t="s">
        <v>69</v>
      </c>
      <c r="BO1807" t="s">
        <v>11299</v>
      </c>
      <c r="BP1807">
        <v>9</v>
      </c>
      <c r="BQ1807" t="s">
        <v>10278</v>
      </c>
      <c r="BR1807" t="s">
        <v>8661</v>
      </c>
      <c r="BS1807" t="s">
        <v>10279</v>
      </c>
      <c r="BT1807" t="s">
        <v>11388</v>
      </c>
      <c r="BU1807" t="s">
        <v>11389</v>
      </c>
      <c r="BV1807" t="s">
        <v>69</v>
      </c>
      <c r="BW1807" t="s">
        <v>8622</v>
      </c>
      <c r="BX1807" t="s">
        <v>69</v>
      </c>
      <c r="BY1807" t="s">
        <v>69</v>
      </c>
      <c r="BZ1807" t="s">
        <v>8526</v>
      </c>
      <c r="CA1807" t="str">
        <f>HYPERLINK("https%3A%2F%2Fwww.webofscience.com%2Fwos%2Fwoscc%2Ffull-record%2FWOS:000697164700002","View Full Record in Web of Science")</f>
        <v>View Full Record in Web of Science</v>
      </c>
    </row>
    <row r="1808" spans="1:79" ht="12.5" x14ac:dyDescent="0.25">
      <c r="B1808" t="s">
        <v>8495</v>
      </c>
      <c r="D1808" s="7" t="s">
        <v>32933</v>
      </c>
      <c r="E1808" s="7"/>
      <c r="F1808" s="7"/>
      <c r="G1808" s="7"/>
      <c r="H1808" t="s">
        <v>67</v>
      </c>
      <c r="I1808" t="s">
        <v>27148</v>
      </c>
      <c r="J1808" t="s">
        <v>69</v>
      </c>
      <c r="K1808" t="s">
        <v>69</v>
      </c>
      <c r="L1808" t="s">
        <v>69</v>
      </c>
      <c r="M1808" t="s">
        <v>27149</v>
      </c>
      <c r="N1808" t="s">
        <v>69</v>
      </c>
      <c r="O1808" t="s">
        <v>69</v>
      </c>
      <c r="P1808" t="s">
        <v>27150</v>
      </c>
      <c r="Q1808" t="s">
        <v>4800</v>
      </c>
      <c r="R1808" t="s">
        <v>69</v>
      </c>
      <c r="S1808" t="s">
        <v>69</v>
      </c>
      <c r="T1808" t="s">
        <v>8505</v>
      </c>
      <c r="U1808" t="s">
        <v>8506</v>
      </c>
      <c r="V1808" t="s">
        <v>69</v>
      </c>
      <c r="W1808" t="s">
        <v>69</v>
      </c>
      <c r="X1808" t="s">
        <v>69</v>
      </c>
      <c r="Y1808" t="s">
        <v>69</v>
      </c>
      <c r="Z1808" t="s">
        <v>69</v>
      </c>
      <c r="AA1808" t="s">
        <v>69</v>
      </c>
      <c r="AB1808" t="s">
        <v>69</v>
      </c>
      <c r="AC1808" t="s">
        <v>27780</v>
      </c>
      <c r="AD1808" t="s">
        <v>27781</v>
      </c>
      <c r="AE1808" t="s">
        <v>69</v>
      </c>
      <c r="AF1808" t="s">
        <v>27782</v>
      </c>
      <c r="AG1808" t="s">
        <v>27151</v>
      </c>
      <c r="AH1808" t="s">
        <v>69</v>
      </c>
      <c r="AI1808" t="s">
        <v>69</v>
      </c>
      <c r="AJ1808" t="s">
        <v>69</v>
      </c>
      <c r="AK1808" t="s">
        <v>69</v>
      </c>
      <c r="AL1808" t="s">
        <v>69</v>
      </c>
      <c r="AM1808" t="s">
        <v>69</v>
      </c>
      <c r="AN1808">
        <v>18</v>
      </c>
      <c r="AO1808">
        <v>28</v>
      </c>
      <c r="AP1808">
        <v>29</v>
      </c>
      <c r="AQ1808">
        <v>0</v>
      </c>
      <c r="AR1808">
        <v>0</v>
      </c>
      <c r="AS1808" t="s">
        <v>22941</v>
      </c>
      <c r="AT1808" t="s">
        <v>22942</v>
      </c>
      <c r="AU1808" t="s">
        <v>22943</v>
      </c>
      <c r="AV1808" t="s">
        <v>4803</v>
      </c>
      <c r="AW1808" t="s">
        <v>4804</v>
      </c>
      <c r="AX1808" t="s">
        <v>69</v>
      </c>
      <c r="AY1808" t="s">
        <v>22944</v>
      </c>
      <c r="AZ1808" t="s">
        <v>22945</v>
      </c>
      <c r="BA1808" t="s">
        <v>155</v>
      </c>
      <c r="BB1808">
        <v>2010</v>
      </c>
      <c r="BC1808">
        <v>3</v>
      </c>
      <c r="BD1808">
        <v>2</v>
      </c>
      <c r="BE1808" t="s">
        <v>69</v>
      </c>
      <c r="BF1808" t="s">
        <v>69</v>
      </c>
      <c r="BG1808" t="s">
        <v>69</v>
      </c>
      <c r="BH1808" t="s">
        <v>69</v>
      </c>
      <c r="BI1808">
        <v>37</v>
      </c>
      <c r="BJ1808">
        <v>44</v>
      </c>
      <c r="BK1808" t="s">
        <v>69</v>
      </c>
      <c r="BL1808" t="s">
        <v>69</v>
      </c>
      <c r="BM1808" t="s">
        <v>69</v>
      </c>
      <c r="BN1808" t="s">
        <v>69</v>
      </c>
      <c r="BO1808" t="s">
        <v>69</v>
      </c>
      <c r="BP1808">
        <v>8</v>
      </c>
      <c r="BQ1808" t="s">
        <v>8475</v>
      </c>
      <c r="BR1808" t="s">
        <v>8573</v>
      </c>
      <c r="BS1808" t="s">
        <v>8475</v>
      </c>
      <c r="BT1808" t="s">
        <v>27783</v>
      </c>
      <c r="BU1808" t="s">
        <v>27784</v>
      </c>
      <c r="BV1808" t="s">
        <v>69</v>
      </c>
      <c r="BW1808" t="s">
        <v>69</v>
      </c>
      <c r="BX1808" t="s">
        <v>69</v>
      </c>
      <c r="BY1808" t="s">
        <v>69</v>
      </c>
      <c r="BZ1808" t="s">
        <v>8526</v>
      </c>
      <c r="CA1808" t="str">
        <f>HYPERLINK("https%3A%2F%2Fwww.webofscience.com%2Fwos%2Fwoscc%2Ffull-record%2FWOS:000217124500005","View Full Record in Web of Science")</f>
        <v>View Full Record in Web of Science</v>
      </c>
    </row>
    <row r="1809" spans="2:79" ht="12.5" x14ac:dyDescent="0.25">
      <c r="B1809" t="s">
        <v>8495</v>
      </c>
      <c r="D1809" s="19" t="s">
        <v>32993</v>
      </c>
      <c r="E1809" s="7"/>
      <c r="F1809" s="7"/>
      <c r="G1809" s="7"/>
      <c r="H1809" t="s">
        <v>67</v>
      </c>
      <c r="I1809" t="s">
        <v>27148</v>
      </c>
      <c r="J1809" t="s">
        <v>69</v>
      </c>
      <c r="K1809" t="s">
        <v>69</v>
      </c>
      <c r="L1809" t="s">
        <v>69</v>
      </c>
      <c r="M1809" t="s">
        <v>27149</v>
      </c>
      <c r="N1809" t="s">
        <v>69</v>
      </c>
      <c r="O1809" t="s">
        <v>69</v>
      </c>
      <c r="P1809" t="s">
        <v>27150</v>
      </c>
      <c r="Q1809" t="s">
        <v>4800</v>
      </c>
      <c r="R1809" t="s">
        <v>69</v>
      </c>
      <c r="S1809" t="s">
        <v>69</v>
      </c>
      <c r="T1809" t="s">
        <v>8505</v>
      </c>
      <c r="U1809" t="s">
        <v>8506</v>
      </c>
      <c r="V1809" t="s">
        <v>69</v>
      </c>
      <c r="W1809" t="s">
        <v>69</v>
      </c>
      <c r="X1809" t="s">
        <v>69</v>
      </c>
      <c r="Y1809" t="s">
        <v>69</v>
      </c>
      <c r="Z1809" t="s">
        <v>69</v>
      </c>
      <c r="AA1809" t="s">
        <v>69</v>
      </c>
      <c r="AB1809" t="s">
        <v>69</v>
      </c>
      <c r="AC1809" t="s">
        <v>27780</v>
      </c>
      <c r="AD1809" t="s">
        <v>27781</v>
      </c>
      <c r="AE1809" t="s">
        <v>69</v>
      </c>
      <c r="AF1809" t="s">
        <v>27782</v>
      </c>
      <c r="AG1809" t="s">
        <v>27151</v>
      </c>
      <c r="AH1809" t="s">
        <v>69</v>
      </c>
      <c r="AI1809" t="s">
        <v>69</v>
      </c>
      <c r="AJ1809" t="s">
        <v>69</v>
      </c>
      <c r="AK1809" t="s">
        <v>69</v>
      </c>
      <c r="AL1809" t="s">
        <v>69</v>
      </c>
      <c r="AM1809" t="s">
        <v>69</v>
      </c>
      <c r="AN1809">
        <v>18</v>
      </c>
      <c r="AO1809">
        <v>28</v>
      </c>
      <c r="AP1809">
        <v>29</v>
      </c>
      <c r="AQ1809">
        <v>0</v>
      </c>
      <c r="AR1809">
        <v>0</v>
      </c>
      <c r="AS1809" t="s">
        <v>22941</v>
      </c>
      <c r="AT1809" t="s">
        <v>22942</v>
      </c>
      <c r="AU1809" t="s">
        <v>22943</v>
      </c>
      <c r="AV1809" t="s">
        <v>4803</v>
      </c>
      <c r="AW1809" t="s">
        <v>4804</v>
      </c>
      <c r="AX1809" t="s">
        <v>69</v>
      </c>
      <c r="AY1809" t="s">
        <v>22944</v>
      </c>
      <c r="AZ1809" t="s">
        <v>22945</v>
      </c>
      <c r="BA1809" t="s">
        <v>155</v>
      </c>
      <c r="BB1809">
        <v>2010</v>
      </c>
      <c r="BC1809">
        <v>3</v>
      </c>
      <c r="BD1809">
        <v>2</v>
      </c>
      <c r="BE1809" t="s">
        <v>69</v>
      </c>
      <c r="BF1809" t="s">
        <v>69</v>
      </c>
      <c r="BG1809" t="s">
        <v>69</v>
      </c>
      <c r="BH1809" t="s">
        <v>69</v>
      </c>
      <c r="BI1809">
        <v>37</v>
      </c>
      <c r="BJ1809">
        <v>44</v>
      </c>
      <c r="BK1809" t="s">
        <v>69</v>
      </c>
      <c r="BL1809" t="s">
        <v>69</v>
      </c>
      <c r="BM1809" t="s">
        <v>69</v>
      </c>
      <c r="BN1809" t="s">
        <v>69</v>
      </c>
      <c r="BO1809" t="s">
        <v>69</v>
      </c>
      <c r="BP1809">
        <v>8</v>
      </c>
      <c r="BQ1809" t="s">
        <v>8475</v>
      </c>
      <c r="BR1809" t="s">
        <v>8573</v>
      </c>
      <c r="BS1809" t="s">
        <v>8475</v>
      </c>
      <c r="BT1809" t="s">
        <v>27783</v>
      </c>
      <c r="BU1809" t="s">
        <v>27784</v>
      </c>
      <c r="BV1809" t="s">
        <v>69</v>
      </c>
      <c r="BW1809" t="s">
        <v>69</v>
      </c>
      <c r="BX1809" t="s">
        <v>69</v>
      </c>
      <c r="BY1809" t="s">
        <v>69</v>
      </c>
      <c r="BZ1809" t="s">
        <v>8526</v>
      </c>
      <c r="CA1809" t="str">
        <f>HYPERLINK("https%3A%2F%2Fwww.webofscience.com%2Fwos%2Fwoscc%2Ffull-record%2FWOS:000217124500005","View Full Record in Web of Science")</f>
        <v>View Full Record in Web of Science</v>
      </c>
    </row>
    <row r="1810" spans="2:79" ht="12.5" x14ac:dyDescent="0.25">
      <c r="B1810" t="s">
        <v>8495</v>
      </c>
      <c r="D1810" s="22" t="s">
        <v>32931</v>
      </c>
      <c r="E1810" s="7"/>
      <c r="F1810" s="7"/>
      <c r="G1810" s="7"/>
      <c r="H1810" t="s">
        <v>67</v>
      </c>
      <c r="I1810" t="s">
        <v>28138</v>
      </c>
      <c r="J1810" t="s">
        <v>69</v>
      </c>
      <c r="K1810" t="s">
        <v>69</v>
      </c>
      <c r="L1810" t="s">
        <v>69</v>
      </c>
      <c r="M1810" t="s">
        <v>28139</v>
      </c>
      <c r="N1810" t="s">
        <v>69</v>
      </c>
      <c r="O1810" t="s">
        <v>69</v>
      </c>
      <c r="P1810" t="s">
        <v>28140</v>
      </c>
      <c r="Q1810" t="s">
        <v>5470</v>
      </c>
      <c r="R1810" t="s">
        <v>69</v>
      </c>
      <c r="S1810" t="s">
        <v>69</v>
      </c>
      <c r="T1810" t="s">
        <v>8505</v>
      </c>
      <c r="U1810" t="s">
        <v>8506</v>
      </c>
      <c r="V1810" t="s">
        <v>69</v>
      </c>
      <c r="W1810" t="s">
        <v>69</v>
      </c>
      <c r="X1810" t="s">
        <v>69</v>
      </c>
      <c r="Y1810" t="s">
        <v>69</v>
      </c>
      <c r="Z1810" t="s">
        <v>69</v>
      </c>
      <c r="AA1810" t="s">
        <v>28141</v>
      </c>
      <c r="AB1810" t="s">
        <v>69</v>
      </c>
      <c r="AC1810" t="s">
        <v>28142</v>
      </c>
      <c r="AD1810" t="s">
        <v>28143</v>
      </c>
      <c r="AE1810" t="s">
        <v>69</v>
      </c>
      <c r="AF1810" t="s">
        <v>28144</v>
      </c>
      <c r="AG1810" t="s">
        <v>28145</v>
      </c>
      <c r="AH1810" t="s">
        <v>28146</v>
      </c>
      <c r="AI1810" t="s">
        <v>28147</v>
      </c>
      <c r="AJ1810" t="s">
        <v>69</v>
      </c>
      <c r="AK1810" t="s">
        <v>69</v>
      </c>
      <c r="AL1810" t="s">
        <v>69</v>
      </c>
      <c r="AM1810" t="s">
        <v>69</v>
      </c>
      <c r="AN1810">
        <v>28</v>
      </c>
      <c r="AO1810">
        <v>5</v>
      </c>
      <c r="AP1810">
        <v>5</v>
      </c>
      <c r="AQ1810">
        <v>0</v>
      </c>
      <c r="AR1810">
        <v>0</v>
      </c>
      <c r="AS1810" t="s">
        <v>8865</v>
      </c>
      <c r="AT1810" t="s">
        <v>8612</v>
      </c>
      <c r="AU1810" t="s">
        <v>8866</v>
      </c>
      <c r="AV1810" t="s">
        <v>5472</v>
      </c>
      <c r="AW1810" t="s">
        <v>5473</v>
      </c>
      <c r="AX1810" t="s">
        <v>69</v>
      </c>
      <c r="AY1810" t="s">
        <v>20923</v>
      </c>
      <c r="AZ1810" t="s">
        <v>20924</v>
      </c>
      <c r="BA1810" t="s">
        <v>69</v>
      </c>
      <c r="BB1810">
        <v>2010</v>
      </c>
      <c r="BC1810">
        <v>9</v>
      </c>
      <c r="BD1810" t="s">
        <v>336</v>
      </c>
      <c r="BE1810" t="s">
        <v>69</v>
      </c>
      <c r="BF1810" t="s">
        <v>69</v>
      </c>
      <c r="BG1810" t="s">
        <v>114</v>
      </c>
      <c r="BH1810" t="s">
        <v>69</v>
      </c>
      <c r="BI1810">
        <v>55</v>
      </c>
      <c r="BJ1810">
        <v>72</v>
      </c>
      <c r="BK1810" t="s">
        <v>69</v>
      </c>
      <c r="BL1810" t="s">
        <v>28148</v>
      </c>
      <c r="BM1810" t="str">
        <f>HYPERLINK("http://dx.doi.org/10.1080/15377850903472539","http://dx.doi.org/10.1080/15377850903472539")</f>
        <v>http://dx.doi.org/10.1080/15377850903472539</v>
      </c>
      <c r="BN1810" t="s">
        <v>69</v>
      </c>
      <c r="BO1810" t="s">
        <v>69</v>
      </c>
      <c r="BP1810">
        <v>18</v>
      </c>
      <c r="BQ1810" t="s">
        <v>13241</v>
      </c>
      <c r="BR1810" t="s">
        <v>8573</v>
      </c>
      <c r="BS1810" t="s">
        <v>10084</v>
      </c>
      <c r="BT1810" t="s">
        <v>28149</v>
      </c>
      <c r="BU1810" t="s">
        <v>28150</v>
      </c>
      <c r="BV1810" t="s">
        <v>69</v>
      </c>
      <c r="BW1810" t="s">
        <v>69</v>
      </c>
      <c r="BX1810" t="s">
        <v>69</v>
      </c>
      <c r="BY1810" t="s">
        <v>69</v>
      </c>
      <c r="BZ1810" t="s">
        <v>8526</v>
      </c>
      <c r="CA1810" t="str">
        <f>HYPERLINK("https%3A%2F%2Fwww.webofscience.com%2Fwos%2Fwoscc%2Ffull-record%2FWOS:000212738700004","View Full Record in Web of Science")</f>
        <v>View Full Record in Web of Science</v>
      </c>
    </row>
    <row r="1811" spans="2:79" ht="12.5" x14ac:dyDescent="0.25">
      <c r="B1811" t="s">
        <v>8495</v>
      </c>
      <c r="D1811" s="22" t="s">
        <v>32931</v>
      </c>
      <c r="E1811" s="7"/>
      <c r="F1811" s="7"/>
      <c r="G1811" s="7"/>
      <c r="H1811" t="s">
        <v>67</v>
      </c>
      <c r="I1811" t="s">
        <v>10170</v>
      </c>
      <c r="J1811" t="s">
        <v>69</v>
      </c>
      <c r="K1811" t="s">
        <v>69</v>
      </c>
      <c r="L1811" t="s">
        <v>69</v>
      </c>
      <c r="M1811" t="s">
        <v>10171</v>
      </c>
      <c r="N1811" t="s">
        <v>69</v>
      </c>
      <c r="O1811" t="s">
        <v>69</v>
      </c>
      <c r="P1811" t="s">
        <v>10172</v>
      </c>
      <c r="Q1811" t="s">
        <v>10173</v>
      </c>
      <c r="R1811" t="s">
        <v>69</v>
      </c>
      <c r="S1811" t="s">
        <v>69</v>
      </c>
      <c r="T1811" t="s">
        <v>8505</v>
      </c>
      <c r="U1811" t="s">
        <v>10174</v>
      </c>
      <c r="V1811" t="s">
        <v>69</v>
      </c>
      <c r="W1811" t="s">
        <v>69</v>
      </c>
      <c r="X1811" t="s">
        <v>69</v>
      </c>
      <c r="Y1811" t="s">
        <v>69</v>
      </c>
      <c r="Z1811" t="s">
        <v>69</v>
      </c>
      <c r="AA1811" t="s">
        <v>10175</v>
      </c>
      <c r="AB1811" t="s">
        <v>10176</v>
      </c>
      <c r="AC1811" t="s">
        <v>10177</v>
      </c>
      <c r="AD1811" t="s">
        <v>10178</v>
      </c>
      <c r="AE1811" t="s">
        <v>69</v>
      </c>
      <c r="AF1811" t="s">
        <v>10179</v>
      </c>
      <c r="AG1811" t="s">
        <v>10180</v>
      </c>
      <c r="AH1811" t="s">
        <v>69</v>
      </c>
      <c r="AI1811" t="s">
        <v>10181</v>
      </c>
      <c r="AJ1811" t="s">
        <v>10182</v>
      </c>
      <c r="AK1811" t="s">
        <v>10183</v>
      </c>
      <c r="AL1811" t="s">
        <v>10184</v>
      </c>
      <c r="AM1811" t="s">
        <v>69</v>
      </c>
      <c r="AN1811">
        <v>16</v>
      </c>
      <c r="AO1811">
        <v>0</v>
      </c>
      <c r="AP1811">
        <v>0</v>
      </c>
      <c r="AQ1811">
        <v>0</v>
      </c>
      <c r="AR1811">
        <v>0</v>
      </c>
      <c r="AS1811" t="s">
        <v>10185</v>
      </c>
      <c r="AT1811" t="s">
        <v>10186</v>
      </c>
      <c r="AU1811" t="s">
        <v>10187</v>
      </c>
      <c r="AV1811" t="s">
        <v>10188</v>
      </c>
      <c r="AW1811" t="s">
        <v>10189</v>
      </c>
      <c r="AX1811" t="s">
        <v>69</v>
      </c>
      <c r="AY1811" t="s">
        <v>10190</v>
      </c>
      <c r="AZ1811" t="s">
        <v>10191</v>
      </c>
      <c r="BA1811" t="s">
        <v>373</v>
      </c>
      <c r="BB1811">
        <v>2022</v>
      </c>
      <c r="BC1811">
        <v>103</v>
      </c>
      <c r="BD1811">
        <v>1</v>
      </c>
      <c r="BE1811" t="s">
        <v>69</v>
      </c>
      <c r="BF1811" t="s">
        <v>69</v>
      </c>
      <c r="BG1811" t="s">
        <v>69</v>
      </c>
      <c r="BH1811" t="s">
        <v>69</v>
      </c>
      <c r="BI1811" t="s">
        <v>10192</v>
      </c>
      <c r="BJ1811" t="s">
        <v>10193</v>
      </c>
      <c r="BK1811" t="s">
        <v>69</v>
      </c>
      <c r="BL1811" t="s">
        <v>10194</v>
      </c>
      <c r="BM1811" t="str">
        <f>HYPERLINK("http://dx.doi.org/10.1175/BAMS-D-21-0137.1","http://dx.doi.org/10.1175/BAMS-D-21-0137.1")</f>
        <v>http://dx.doi.org/10.1175/BAMS-D-21-0137.1</v>
      </c>
      <c r="BN1811" t="s">
        <v>69</v>
      </c>
      <c r="BO1811" t="s">
        <v>69</v>
      </c>
      <c r="BP1811">
        <v>8</v>
      </c>
      <c r="BQ1811" t="s">
        <v>10195</v>
      </c>
      <c r="BR1811" t="s">
        <v>8548</v>
      </c>
      <c r="BS1811" t="s">
        <v>10195</v>
      </c>
      <c r="BT1811" t="s">
        <v>10196</v>
      </c>
      <c r="BU1811" t="s">
        <v>10197</v>
      </c>
      <c r="BV1811" t="s">
        <v>69</v>
      </c>
      <c r="BW1811" t="s">
        <v>9374</v>
      </c>
      <c r="BX1811" t="s">
        <v>69</v>
      </c>
      <c r="BY1811" t="s">
        <v>69</v>
      </c>
      <c r="BZ1811" t="s">
        <v>8526</v>
      </c>
      <c r="CA1811" t="str">
        <f>HYPERLINK("https%3A%2F%2Fwww.webofscience.com%2Fwos%2Fwoscc%2Ffull-record%2FWOS:000807124800003","View Full Record in Web of Science")</f>
        <v>View Full Record in Web of Science</v>
      </c>
    </row>
    <row r="1812" spans="2:79" x14ac:dyDescent="0.3">
      <c r="B1812" t="s">
        <v>8495</v>
      </c>
      <c r="D1812" s="9" t="s">
        <v>32954</v>
      </c>
      <c r="G1812" s="9" t="s">
        <v>33053</v>
      </c>
      <c r="H1812" t="s">
        <v>67</v>
      </c>
      <c r="I1812" t="s">
        <v>30840</v>
      </c>
      <c r="J1812" t="s">
        <v>69</v>
      </c>
      <c r="K1812" t="s">
        <v>69</v>
      </c>
      <c r="L1812" t="s">
        <v>69</v>
      </c>
      <c r="M1812" t="s">
        <v>30841</v>
      </c>
      <c r="N1812" t="s">
        <v>69</v>
      </c>
      <c r="O1812" t="s">
        <v>69</v>
      </c>
      <c r="P1812" t="s">
        <v>30842</v>
      </c>
      <c r="Q1812" t="s">
        <v>30430</v>
      </c>
      <c r="R1812" t="s">
        <v>69</v>
      </c>
      <c r="S1812" t="s">
        <v>69</v>
      </c>
      <c r="T1812" t="s">
        <v>8505</v>
      </c>
      <c r="U1812" t="s">
        <v>8506</v>
      </c>
      <c r="V1812" t="s">
        <v>69</v>
      </c>
      <c r="W1812" t="s">
        <v>69</v>
      </c>
      <c r="X1812" t="s">
        <v>69</v>
      </c>
      <c r="Y1812" t="s">
        <v>69</v>
      </c>
      <c r="Z1812" t="s">
        <v>69</v>
      </c>
      <c r="AA1812" t="s">
        <v>30843</v>
      </c>
      <c r="AB1812" t="s">
        <v>69</v>
      </c>
      <c r="AC1812" t="s">
        <v>30844</v>
      </c>
      <c r="AD1812" t="s">
        <v>30845</v>
      </c>
      <c r="AE1812" t="s">
        <v>69</v>
      </c>
      <c r="AF1812" t="s">
        <v>30846</v>
      </c>
      <c r="AG1812" t="s">
        <v>69</v>
      </c>
      <c r="AH1812" t="s">
        <v>69</v>
      </c>
      <c r="AI1812" t="s">
        <v>69</v>
      </c>
      <c r="AJ1812" t="s">
        <v>69</v>
      </c>
      <c r="AK1812" t="s">
        <v>69</v>
      </c>
      <c r="AL1812" t="s">
        <v>69</v>
      </c>
      <c r="AM1812" t="s">
        <v>69</v>
      </c>
      <c r="AN1812">
        <v>27</v>
      </c>
      <c r="AO1812">
        <v>6</v>
      </c>
      <c r="AP1812">
        <v>6</v>
      </c>
      <c r="AQ1812">
        <v>0</v>
      </c>
      <c r="AR1812">
        <v>0</v>
      </c>
      <c r="AS1812" t="s">
        <v>8586</v>
      </c>
      <c r="AT1812" t="s">
        <v>8587</v>
      </c>
      <c r="AU1812" t="s">
        <v>8588</v>
      </c>
      <c r="AV1812" t="s">
        <v>30437</v>
      </c>
      <c r="AW1812" t="s">
        <v>30438</v>
      </c>
      <c r="AX1812" t="s">
        <v>69</v>
      </c>
      <c r="AY1812" t="s">
        <v>30439</v>
      </c>
      <c r="AZ1812" t="s">
        <v>30440</v>
      </c>
      <c r="BA1812" t="s">
        <v>69</v>
      </c>
      <c r="BB1812">
        <v>2005</v>
      </c>
      <c r="BC1812">
        <v>47</v>
      </c>
      <c r="BD1812">
        <v>1</v>
      </c>
      <c r="BE1812" t="s">
        <v>69</v>
      </c>
      <c r="BF1812" t="s">
        <v>69</v>
      </c>
      <c r="BG1812" t="s">
        <v>69</v>
      </c>
      <c r="BH1812" t="s">
        <v>69</v>
      </c>
      <c r="BI1812">
        <v>18</v>
      </c>
      <c r="BJ1812">
        <v>30</v>
      </c>
      <c r="BK1812" t="s">
        <v>69</v>
      </c>
      <c r="BL1812" t="s">
        <v>30847</v>
      </c>
      <c r="BM1812" t="str">
        <f>HYPERLINK("http://dx.doi.org/10.1108/00400910510580601","http://dx.doi.org/10.1108/00400910510580601")</f>
        <v>http://dx.doi.org/10.1108/00400910510580601</v>
      </c>
      <c r="BN1812" t="s">
        <v>69</v>
      </c>
      <c r="BO1812" t="s">
        <v>69</v>
      </c>
      <c r="BP1812">
        <v>13</v>
      </c>
      <c r="BQ1812" t="s">
        <v>9290</v>
      </c>
      <c r="BR1812" t="s">
        <v>8573</v>
      </c>
      <c r="BS1812" t="s">
        <v>9290</v>
      </c>
      <c r="BT1812" t="s">
        <v>30848</v>
      </c>
      <c r="BU1812" t="s">
        <v>30849</v>
      </c>
      <c r="BV1812" t="s">
        <v>69</v>
      </c>
      <c r="BW1812" t="s">
        <v>69</v>
      </c>
      <c r="BX1812" t="s">
        <v>69</v>
      </c>
      <c r="BY1812" t="s">
        <v>69</v>
      </c>
      <c r="BZ1812" t="s">
        <v>8526</v>
      </c>
      <c r="CA1812" t="str">
        <f>HYPERLINK("https%3A%2F%2Fwww.webofscience.com%2Fwos%2Fwoscc%2Ffull-record%2FWOS:000213278100020","View Full Record in Web of Science")</f>
        <v>View Full Record in Web of Science</v>
      </c>
    </row>
    <row r="1813" spans="2:79" x14ac:dyDescent="0.3">
      <c r="C1813" s="7" t="s">
        <v>33213</v>
      </c>
      <c r="F1813" s="10" t="s">
        <v>8490</v>
      </c>
      <c r="I1813" s="7" t="s">
        <v>33216</v>
      </c>
      <c r="P1813" s="7" t="s">
        <v>33217</v>
      </c>
      <c r="R1813" s="7" t="s">
        <v>33218</v>
      </c>
      <c r="AS1813" s="7" t="s">
        <v>33219</v>
      </c>
      <c r="AT1813" s="7" t="s">
        <v>33220</v>
      </c>
      <c r="BB1813">
        <v>2021</v>
      </c>
    </row>
    <row r="1814" spans="2:79" ht="12.5" x14ac:dyDescent="0.25">
      <c r="B1814" t="s">
        <v>8495</v>
      </c>
      <c r="D1814" s="22" t="s">
        <v>32931</v>
      </c>
      <c r="E1814" s="7"/>
      <c r="F1814" s="7"/>
      <c r="G1814" s="7"/>
      <c r="H1814" t="s">
        <v>67</v>
      </c>
      <c r="I1814" t="s">
        <v>20760</v>
      </c>
      <c r="J1814" t="s">
        <v>69</v>
      </c>
      <c r="K1814" t="s">
        <v>69</v>
      </c>
      <c r="L1814" t="s">
        <v>69</v>
      </c>
      <c r="M1814" t="s">
        <v>20761</v>
      </c>
      <c r="N1814" t="s">
        <v>69</v>
      </c>
      <c r="O1814" t="s">
        <v>69</v>
      </c>
      <c r="P1814" t="s">
        <v>20762</v>
      </c>
      <c r="Q1814" t="s">
        <v>20763</v>
      </c>
      <c r="R1814" t="s">
        <v>69</v>
      </c>
      <c r="S1814" t="s">
        <v>69</v>
      </c>
      <c r="T1814" t="s">
        <v>8505</v>
      </c>
      <c r="U1814" t="s">
        <v>8506</v>
      </c>
      <c r="V1814" t="s">
        <v>69</v>
      </c>
      <c r="W1814" t="s">
        <v>69</v>
      </c>
      <c r="X1814" t="s">
        <v>69</v>
      </c>
      <c r="Y1814" t="s">
        <v>69</v>
      </c>
      <c r="Z1814" t="s">
        <v>69</v>
      </c>
      <c r="AA1814" t="s">
        <v>20764</v>
      </c>
      <c r="AB1814" t="s">
        <v>20765</v>
      </c>
      <c r="AC1814" t="s">
        <v>20766</v>
      </c>
      <c r="AD1814" t="s">
        <v>20767</v>
      </c>
      <c r="AE1814" t="s">
        <v>69</v>
      </c>
      <c r="AF1814" t="s">
        <v>20768</v>
      </c>
      <c r="AG1814" t="s">
        <v>20769</v>
      </c>
      <c r="AH1814" t="s">
        <v>69</v>
      </c>
      <c r="AI1814" t="s">
        <v>69</v>
      </c>
      <c r="AJ1814" t="s">
        <v>20770</v>
      </c>
      <c r="AK1814" t="s">
        <v>20770</v>
      </c>
      <c r="AL1814" t="s">
        <v>20771</v>
      </c>
      <c r="AM1814" t="s">
        <v>69</v>
      </c>
      <c r="AN1814">
        <v>59</v>
      </c>
      <c r="AO1814">
        <v>1</v>
      </c>
      <c r="AP1814">
        <v>1</v>
      </c>
      <c r="AQ1814">
        <v>1</v>
      </c>
      <c r="AR1814">
        <v>8</v>
      </c>
      <c r="AS1814" t="s">
        <v>8586</v>
      </c>
      <c r="AT1814" t="s">
        <v>8587</v>
      </c>
      <c r="AU1814" t="s">
        <v>8588</v>
      </c>
      <c r="AV1814" t="s">
        <v>20772</v>
      </c>
      <c r="AW1814" t="s">
        <v>20773</v>
      </c>
      <c r="AX1814" t="s">
        <v>69</v>
      </c>
      <c r="AY1814" t="s">
        <v>20774</v>
      </c>
      <c r="AZ1814" t="s">
        <v>20775</v>
      </c>
      <c r="BA1814" t="s">
        <v>69</v>
      </c>
      <c r="BB1814">
        <v>2017</v>
      </c>
      <c r="BC1814">
        <v>9</v>
      </c>
      <c r="BD1814">
        <v>4</v>
      </c>
      <c r="BE1814" t="s">
        <v>69</v>
      </c>
      <c r="BF1814" t="s">
        <v>69</v>
      </c>
      <c r="BG1814" t="s">
        <v>69</v>
      </c>
      <c r="BH1814" t="s">
        <v>69</v>
      </c>
      <c r="BI1814">
        <v>490</v>
      </c>
      <c r="BJ1814">
        <v>508</v>
      </c>
      <c r="BK1814" t="s">
        <v>69</v>
      </c>
      <c r="BL1814" t="s">
        <v>20776</v>
      </c>
      <c r="BM1814" t="str">
        <f>HYPERLINK("http://dx.doi.org/10.1108/JARHE-10-2016-0064","http://dx.doi.org/10.1108/JARHE-10-2016-0064")</f>
        <v>http://dx.doi.org/10.1108/JARHE-10-2016-0064</v>
      </c>
      <c r="BN1814" t="s">
        <v>69</v>
      </c>
      <c r="BO1814" t="s">
        <v>69</v>
      </c>
      <c r="BP1814">
        <v>19</v>
      </c>
      <c r="BQ1814" t="s">
        <v>9290</v>
      </c>
      <c r="BR1814" t="s">
        <v>8573</v>
      </c>
      <c r="BS1814" t="s">
        <v>9290</v>
      </c>
      <c r="BT1814" t="s">
        <v>20777</v>
      </c>
      <c r="BU1814" t="s">
        <v>20778</v>
      </c>
      <c r="BV1814" t="s">
        <v>69</v>
      </c>
      <c r="BW1814" t="s">
        <v>69</v>
      </c>
      <c r="BX1814" t="s">
        <v>69</v>
      </c>
      <c r="BY1814" t="s">
        <v>69</v>
      </c>
      <c r="BZ1814" t="s">
        <v>8526</v>
      </c>
      <c r="CA1814" t="str">
        <f>HYPERLINK("https%3A%2F%2Fwww.webofscience.com%2Fwos%2Fwoscc%2Ffull-record%2FWOS:000412292900001","View Full Record in Web of Science")</f>
        <v>View Full Record in Web of Science</v>
      </c>
    </row>
    <row r="1815" spans="2:79" ht="12.5" x14ac:dyDescent="0.25">
      <c r="B1815" t="s">
        <v>8495</v>
      </c>
      <c r="D1815" s="7" t="s">
        <v>32933</v>
      </c>
      <c r="E1815" s="7"/>
      <c r="F1815" s="7"/>
      <c r="G1815" s="7"/>
      <c r="H1815" t="s">
        <v>67</v>
      </c>
      <c r="I1815" t="s">
        <v>769</v>
      </c>
      <c r="J1815" t="s">
        <v>69</v>
      </c>
      <c r="K1815" t="s">
        <v>69</v>
      </c>
      <c r="L1815" t="s">
        <v>69</v>
      </c>
      <c r="M1815" t="s">
        <v>770</v>
      </c>
      <c r="N1815" t="s">
        <v>69</v>
      </c>
      <c r="O1815" t="s">
        <v>69</v>
      </c>
      <c r="P1815" t="s">
        <v>771</v>
      </c>
      <c r="Q1815" t="s">
        <v>772</v>
      </c>
      <c r="R1815" t="s">
        <v>69</v>
      </c>
      <c r="S1815" t="s">
        <v>69</v>
      </c>
      <c r="T1815" t="s">
        <v>8505</v>
      </c>
      <c r="U1815" t="s">
        <v>8506</v>
      </c>
      <c r="V1815" t="s">
        <v>69</v>
      </c>
      <c r="W1815" t="s">
        <v>69</v>
      </c>
      <c r="X1815" t="s">
        <v>69</v>
      </c>
      <c r="Y1815" t="s">
        <v>69</v>
      </c>
      <c r="Z1815" t="s">
        <v>69</v>
      </c>
      <c r="AA1815" t="s">
        <v>15347</v>
      </c>
      <c r="AB1815" t="s">
        <v>15348</v>
      </c>
      <c r="AC1815" t="s">
        <v>773</v>
      </c>
      <c r="AD1815" t="s">
        <v>15349</v>
      </c>
      <c r="AE1815" t="s">
        <v>69</v>
      </c>
      <c r="AF1815" t="s">
        <v>15350</v>
      </c>
      <c r="AG1815" t="s">
        <v>15351</v>
      </c>
      <c r="AH1815" t="s">
        <v>69</v>
      </c>
      <c r="AI1815" t="s">
        <v>15352</v>
      </c>
      <c r="AJ1815" t="s">
        <v>69</v>
      </c>
      <c r="AK1815" t="s">
        <v>69</v>
      </c>
      <c r="AL1815" t="s">
        <v>69</v>
      </c>
      <c r="AM1815" t="s">
        <v>69</v>
      </c>
      <c r="AN1815">
        <v>57</v>
      </c>
      <c r="AO1815">
        <v>2</v>
      </c>
      <c r="AP1815">
        <v>2</v>
      </c>
      <c r="AQ1815">
        <v>12</v>
      </c>
      <c r="AR1815">
        <v>31</v>
      </c>
      <c r="AS1815" t="s">
        <v>8586</v>
      </c>
      <c r="AT1815" t="s">
        <v>8587</v>
      </c>
      <c r="AU1815" t="s">
        <v>8588</v>
      </c>
      <c r="AV1815" t="s">
        <v>774</v>
      </c>
      <c r="AW1815" t="s">
        <v>775</v>
      </c>
      <c r="AX1815" t="s">
        <v>69</v>
      </c>
      <c r="AY1815" t="s">
        <v>15353</v>
      </c>
      <c r="AZ1815" t="s">
        <v>15354</v>
      </c>
      <c r="BA1815" t="s">
        <v>776</v>
      </c>
      <c r="BB1815">
        <v>2020</v>
      </c>
      <c r="BC1815">
        <v>37</v>
      </c>
      <c r="BD1815">
        <v>2</v>
      </c>
      <c r="BE1815" t="s">
        <v>69</v>
      </c>
      <c r="BF1815" t="s">
        <v>69</v>
      </c>
      <c r="BG1815" t="s">
        <v>69</v>
      </c>
      <c r="BH1815" t="s">
        <v>69</v>
      </c>
      <c r="BI1815">
        <v>319</v>
      </c>
      <c r="BJ1815">
        <v>344</v>
      </c>
      <c r="BK1815" t="s">
        <v>69</v>
      </c>
      <c r="BL1815" t="s">
        <v>777</v>
      </c>
      <c r="BM1815" t="str">
        <f>HYPERLINK("http://dx.doi.org/10.1108/IMR-06-2019-0152","http://dx.doi.org/10.1108/IMR-06-2019-0152")</f>
        <v>http://dx.doi.org/10.1108/IMR-06-2019-0152</v>
      </c>
      <c r="BN1815" t="s">
        <v>69</v>
      </c>
      <c r="BO1815" t="s">
        <v>767</v>
      </c>
      <c r="BP1815">
        <v>26</v>
      </c>
      <c r="BQ1815" t="s">
        <v>8444</v>
      </c>
      <c r="BR1815" t="s">
        <v>8661</v>
      </c>
      <c r="BS1815" t="s">
        <v>8594</v>
      </c>
      <c r="BT1815" t="s">
        <v>15355</v>
      </c>
      <c r="BU1815" t="s">
        <v>778</v>
      </c>
      <c r="BV1815" t="s">
        <v>69</v>
      </c>
      <c r="BW1815" t="s">
        <v>69</v>
      </c>
      <c r="BX1815" t="s">
        <v>69</v>
      </c>
      <c r="BY1815" t="s">
        <v>69</v>
      </c>
      <c r="BZ1815" t="s">
        <v>8526</v>
      </c>
      <c r="CA1815" t="str">
        <f>HYPERLINK("https%3A%2F%2Fwww.webofscience.com%2Fwos%2Fwoscc%2Ffull-record%2FWOS:000529318600001","View Full Record in Web of Science")</f>
        <v>View Full Record in Web of Science</v>
      </c>
    </row>
    <row r="1816" spans="2:79" ht="12.5" x14ac:dyDescent="0.25">
      <c r="B1816" t="s">
        <v>8495</v>
      </c>
      <c r="D1816" s="22" t="s">
        <v>32931</v>
      </c>
      <c r="E1816" s="7"/>
      <c r="F1816" s="7"/>
      <c r="G1816" s="7"/>
      <c r="H1816" t="s">
        <v>67</v>
      </c>
      <c r="I1816" t="s">
        <v>26298</v>
      </c>
      <c r="J1816" t="s">
        <v>69</v>
      </c>
      <c r="K1816" t="s">
        <v>69</v>
      </c>
      <c r="L1816" t="s">
        <v>69</v>
      </c>
      <c r="M1816" t="s">
        <v>26299</v>
      </c>
      <c r="N1816" t="s">
        <v>69</v>
      </c>
      <c r="O1816" t="s">
        <v>69</v>
      </c>
      <c r="P1816" t="s">
        <v>26300</v>
      </c>
      <c r="Q1816" t="s">
        <v>22273</v>
      </c>
      <c r="R1816" t="s">
        <v>69</v>
      </c>
      <c r="S1816" t="s">
        <v>69</v>
      </c>
      <c r="T1816" t="s">
        <v>8505</v>
      </c>
      <c r="U1816" t="s">
        <v>8506</v>
      </c>
      <c r="V1816" t="s">
        <v>69</v>
      </c>
      <c r="W1816" t="s">
        <v>69</v>
      </c>
      <c r="X1816" t="s">
        <v>69</v>
      </c>
      <c r="Y1816" t="s">
        <v>69</v>
      </c>
      <c r="Z1816" t="s">
        <v>69</v>
      </c>
      <c r="AA1816" t="s">
        <v>26301</v>
      </c>
      <c r="AB1816" t="s">
        <v>26302</v>
      </c>
      <c r="AC1816" t="s">
        <v>26303</v>
      </c>
      <c r="AD1816" t="s">
        <v>26304</v>
      </c>
      <c r="AE1816" t="s">
        <v>69</v>
      </c>
      <c r="AF1816" t="s">
        <v>26305</v>
      </c>
      <c r="AG1816" t="s">
        <v>26306</v>
      </c>
      <c r="AH1816" t="s">
        <v>26307</v>
      </c>
      <c r="AI1816" t="s">
        <v>26308</v>
      </c>
      <c r="AJ1816" t="s">
        <v>69</v>
      </c>
      <c r="AK1816" t="s">
        <v>69</v>
      </c>
      <c r="AL1816" t="s">
        <v>69</v>
      </c>
      <c r="AM1816" t="s">
        <v>69</v>
      </c>
      <c r="AN1816">
        <v>63</v>
      </c>
      <c r="AO1816">
        <v>21</v>
      </c>
      <c r="AP1816">
        <v>21</v>
      </c>
      <c r="AQ1816">
        <v>2</v>
      </c>
      <c r="AR1816">
        <v>40</v>
      </c>
      <c r="AS1816" t="s">
        <v>8865</v>
      </c>
      <c r="AT1816" t="s">
        <v>8612</v>
      </c>
      <c r="AU1816" t="s">
        <v>8866</v>
      </c>
      <c r="AV1816" t="s">
        <v>22285</v>
      </c>
      <c r="AW1816" t="s">
        <v>22286</v>
      </c>
      <c r="AX1816" t="s">
        <v>69</v>
      </c>
      <c r="AY1816" t="s">
        <v>22287</v>
      </c>
      <c r="AZ1816" t="s">
        <v>22288</v>
      </c>
      <c r="BA1816" t="s">
        <v>69</v>
      </c>
      <c r="BB1816">
        <v>2012</v>
      </c>
      <c r="BC1816">
        <v>20</v>
      </c>
      <c r="BD1816">
        <v>6</v>
      </c>
      <c r="BE1816" t="s">
        <v>69</v>
      </c>
      <c r="BF1816" t="s">
        <v>69</v>
      </c>
      <c r="BG1816" t="s">
        <v>114</v>
      </c>
      <c r="BH1816" t="s">
        <v>69</v>
      </c>
      <c r="BI1816">
        <v>823</v>
      </c>
      <c r="BJ1816">
        <v>843</v>
      </c>
      <c r="BK1816" t="s">
        <v>69</v>
      </c>
      <c r="BL1816" t="s">
        <v>26309</v>
      </c>
      <c r="BM1816" t="str">
        <f>HYPERLINK("http://dx.doi.org/10.1080/09669582.2012.687740","http://dx.doi.org/10.1080/09669582.2012.687740")</f>
        <v>http://dx.doi.org/10.1080/09669582.2012.687740</v>
      </c>
      <c r="BN1816" t="s">
        <v>69</v>
      </c>
      <c r="BO1816" t="s">
        <v>69</v>
      </c>
      <c r="BP1816">
        <v>21</v>
      </c>
      <c r="BQ1816" t="s">
        <v>22290</v>
      </c>
      <c r="BR1816" t="s">
        <v>8661</v>
      </c>
      <c r="BS1816" t="s">
        <v>22291</v>
      </c>
      <c r="BT1816" t="s">
        <v>26310</v>
      </c>
      <c r="BU1816" t="s">
        <v>26311</v>
      </c>
      <c r="BV1816" t="s">
        <v>69</v>
      </c>
      <c r="BW1816" t="s">
        <v>69</v>
      </c>
      <c r="BX1816" t="s">
        <v>69</v>
      </c>
      <c r="BY1816" t="s">
        <v>69</v>
      </c>
      <c r="BZ1816" t="s">
        <v>8526</v>
      </c>
      <c r="CA1816" t="str">
        <f>HYPERLINK("https%3A%2F%2Fwww.webofscience.com%2Fwos%2Fwoscc%2Ffull-record%2FWOS:000306170000004","View Full Record in Web of Science")</f>
        <v>View Full Record in Web of Science</v>
      </c>
    </row>
    <row r="1817" spans="2:79" ht="12.5" x14ac:dyDescent="0.25">
      <c r="B1817" t="s">
        <v>8495</v>
      </c>
      <c r="D1817" s="22" t="s">
        <v>32931</v>
      </c>
      <c r="E1817" s="7"/>
      <c r="F1817" s="7"/>
      <c r="G1817" s="7"/>
      <c r="H1817" t="s">
        <v>67</v>
      </c>
      <c r="I1817" t="s">
        <v>17474</v>
      </c>
      <c r="J1817" t="s">
        <v>69</v>
      </c>
      <c r="K1817" t="s">
        <v>69</v>
      </c>
      <c r="L1817" t="s">
        <v>69</v>
      </c>
      <c r="M1817" t="s">
        <v>17475</v>
      </c>
      <c r="N1817" t="s">
        <v>69</v>
      </c>
      <c r="O1817" t="s">
        <v>69</v>
      </c>
      <c r="P1817" t="s">
        <v>17476</v>
      </c>
      <c r="Q1817" t="s">
        <v>929</v>
      </c>
      <c r="R1817" t="s">
        <v>69</v>
      </c>
      <c r="S1817" t="s">
        <v>69</v>
      </c>
      <c r="T1817" t="s">
        <v>8505</v>
      </c>
      <c r="U1817" t="s">
        <v>8506</v>
      </c>
      <c r="V1817" t="s">
        <v>69</v>
      </c>
      <c r="W1817" t="s">
        <v>69</v>
      </c>
      <c r="X1817" t="s">
        <v>69</v>
      </c>
      <c r="Y1817" t="s">
        <v>69</v>
      </c>
      <c r="Z1817" t="s">
        <v>69</v>
      </c>
      <c r="AA1817" t="s">
        <v>17477</v>
      </c>
      <c r="AB1817" t="s">
        <v>17478</v>
      </c>
      <c r="AC1817" t="s">
        <v>17479</v>
      </c>
      <c r="AD1817" t="s">
        <v>17480</v>
      </c>
      <c r="AE1817" t="s">
        <v>69</v>
      </c>
      <c r="AF1817" t="s">
        <v>17481</v>
      </c>
      <c r="AG1817" t="s">
        <v>17482</v>
      </c>
      <c r="AH1817" t="s">
        <v>17483</v>
      </c>
      <c r="AI1817" t="s">
        <v>17484</v>
      </c>
      <c r="AJ1817" t="s">
        <v>17485</v>
      </c>
      <c r="AK1817" t="s">
        <v>17486</v>
      </c>
      <c r="AL1817" t="s">
        <v>17487</v>
      </c>
      <c r="AM1817" t="s">
        <v>69</v>
      </c>
      <c r="AN1817">
        <v>48</v>
      </c>
      <c r="AO1817">
        <v>9</v>
      </c>
      <c r="AP1817">
        <v>10</v>
      </c>
      <c r="AQ1817">
        <v>0</v>
      </c>
      <c r="AR1817">
        <v>8</v>
      </c>
      <c r="AS1817" t="s">
        <v>8865</v>
      </c>
      <c r="AT1817" t="s">
        <v>8612</v>
      </c>
      <c r="AU1817" t="s">
        <v>8866</v>
      </c>
      <c r="AV1817" t="s">
        <v>931</v>
      </c>
      <c r="AW1817" t="s">
        <v>932</v>
      </c>
      <c r="AX1817" t="s">
        <v>69</v>
      </c>
      <c r="AY1817" t="s">
        <v>15975</v>
      </c>
      <c r="AZ1817" t="s">
        <v>15976</v>
      </c>
      <c r="BA1817" t="s">
        <v>971</v>
      </c>
      <c r="BB1817">
        <v>2019</v>
      </c>
      <c r="BC1817">
        <v>37</v>
      </c>
      <c r="BD1817">
        <v>2</v>
      </c>
      <c r="BE1817" t="s">
        <v>69</v>
      </c>
      <c r="BF1817" t="s">
        <v>69</v>
      </c>
      <c r="BG1817" t="s">
        <v>69</v>
      </c>
      <c r="BH1817" t="s">
        <v>69</v>
      </c>
      <c r="BI1817">
        <v>97</v>
      </c>
      <c r="BJ1817">
        <v>106</v>
      </c>
      <c r="BK1817" t="s">
        <v>69</v>
      </c>
      <c r="BL1817" t="s">
        <v>17488</v>
      </c>
      <c r="BM1817" t="str">
        <f>HYPERLINK("http://dx.doi.org/10.1080/14615517.2018.1550185","http://dx.doi.org/10.1080/14615517.2018.1550185")</f>
        <v>http://dx.doi.org/10.1080/14615517.2018.1550185</v>
      </c>
      <c r="BN1817" t="s">
        <v>69</v>
      </c>
      <c r="BO1817" t="s">
        <v>69</v>
      </c>
      <c r="BP1817">
        <v>10</v>
      </c>
      <c r="BQ1817" t="s">
        <v>8660</v>
      </c>
      <c r="BR1817" t="s">
        <v>8661</v>
      </c>
      <c r="BS1817" t="s">
        <v>8662</v>
      </c>
      <c r="BT1817" t="s">
        <v>17489</v>
      </c>
      <c r="BU1817" t="s">
        <v>17490</v>
      </c>
      <c r="BV1817" t="s">
        <v>69</v>
      </c>
      <c r="BW1817" t="s">
        <v>69</v>
      </c>
      <c r="BX1817" t="s">
        <v>69</v>
      </c>
      <c r="BY1817" t="s">
        <v>69</v>
      </c>
      <c r="BZ1817" t="s">
        <v>8526</v>
      </c>
      <c r="CA1817" t="str">
        <f>HYPERLINK("https%3A%2F%2Fwww.webofscience.com%2Fwos%2Fwoscc%2Ffull-record%2FWOS:000458680400003","View Full Record in Web of Science")</f>
        <v>View Full Record in Web of Science</v>
      </c>
    </row>
    <row r="1818" spans="2:79" ht="12.5" x14ac:dyDescent="0.25">
      <c r="B1818" t="s">
        <v>8495</v>
      </c>
      <c r="D1818" s="7" t="s">
        <v>32933</v>
      </c>
      <c r="E1818" s="7"/>
      <c r="F1818" s="7"/>
      <c r="G1818" s="7"/>
      <c r="H1818" t="s">
        <v>67</v>
      </c>
      <c r="I1818" t="s">
        <v>1563</v>
      </c>
      <c r="J1818" t="s">
        <v>69</v>
      </c>
      <c r="K1818" t="s">
        <v>69</v>
      </c>
      <c r="L1818" t="s">
        <v>69</v>
      </c>
      <c r="M1818" t="s">
        <v>1564</v>
      </c>
      <c r="N1818" t="s">
        <v>69</v>
      </c>
      <c r="O1818" t="s">
        <v>69</v>
      </c>
      <c r="P1818" t="s">
        <v>1565</v>
      </c>
      <c r="Q1818" t="s">
        <v>1566</v>
      </c>
      <c r="R1818" t="s">
        <v>69</v>
      </c>
      <c r="S1818" t="s">
        <v>69</v>
      </c>
      <c r="T1818" t="s">
        <v>8505</v>
      </c>
      <c r="U1818" t="s">
        <v>8506</v>
      </c>
      <c r="V1818" t="s">
        <v>69</v>
      </c>
      <c r="W1818" t="s">
        <v>69</v>
      </c>
      <c r="X1818" t="s">
        <v>69</v>
      </c>
      <c r="Y1818" t="s">
        <v>69</v>
      </c>
      <c r="Z1818" t="s">
        <v>69</v>
      </c>
      <c r="AA1818" t="s">
        <v>69</v>
      </c>
      <c r="AB1818" t="s">
        <v>28737</v>
      </c>
      <c r="AC1818" t="s">
        <v>1567</v>
      </c>
      <c r="AD1818" t="s">
        <v>28738</v>
      </c>
      <c r="AE1818" t="s">
        <v>69</v>
      </c>
      <c r="AF1818" t="s">
        <v>28739</v>
      </c>
      <c r="AG1818" t="s">
        <v>28740</v>
      </c>
      <c r="AH1818" t="s">
        <v>1568</v>
      </c>
      <c r="AI1818" t="s">
        <v>1569</v>
      </c>
      <c r="AJ1818" t="s">
        <v>28741</v>
      </c>
      <c r="AK1818" t="s">
        <v>28741</v>
      </c>
      <c r="AL1818" t="s">
        <v>28742</v>
      </c>
      <c r="AM1818" t="s">
        <v>69</v>
      </c>
      <c r="AN1818">
        <v>49</v>
      </c>
      <c r="AO1818">
        <v>6</v>
      </c>
      <c r="AP1818">
        <v>6</v>
      </c>
      <c r="AQ1818">
        <v>0</v>
      </c>
      <c r="AR1818">
        <v>12</v>
      </c>
      <c r="AS1818" t="s">
        <v>28743</v>
      </c>
      <c r="AT1818" t="s">
        <v>28744</v>
      </c>
      <c r="AU1818" t="s">
        <v>28745</v>
      </c>
      <c r="AV1818" t="s">
        <v>1570</v>
      </c>
      <c r="AW1818" t="s">
        <v>1571</v>
      </c>
      <c r="AX1818" t="s">
        <v>69</v>
      </c>
      <c r="AY1818" t="s">
        <v>28746</v>
      </c>
      <c r="AZ1818" t="s">
        <v>28747</v>
      </c>
      <c r="BA1818" t="s">
        <v>69</v>
      </c>
      <c r="BB1818">
        <v>2009</v>
      </c>
      <c r="BC1818">
        <v>109</v>
      </c>
      <c r="BD1818">
        <v>1</v>
      </c>
      <c r="BE1818" t="s">
        <v>69</v>
      </c>
      <c r="BF1818" t="s">
        <v>69</v>
      </c>
      <c r="BG1818" t="s">
        <v>69</v>
      </c>
      <c r="BH1818" t="s">
        <v>69</v>
      </c>
      <c r="BI1818">
        <v>67</v>
      </c>
      <c r="BJ1818">
        <v>74</v>
      </c>
      <c r="BK1818" t="s">
        <v>69</v>
      </c>
      <c r="BL1818" t="s">
        <v>1572</v>
      </c>
      <c r="BM1818" t="str">
        <f>HYPERLINK("http://dx.doi.org/10.1071/MU08054","http://dx.doi.org/10.1071/MU08054")</f>
        <v>http://dx.doi.org/10.1071/MU08054</v>
      </c>
      <c r="BN1818" t="s">
        <v>69</v>
      </c>
      <c r="BO1818" t="s">
        <v>69</v>
      </c>
      <c r="BP1818">
        <v>8</v>
      </c>
      <c r="BQ1818" t="s">
        <v>28748</v>
      </c>
      <c r="BR1818" t="s">
        <v>8548</v>
      </c>
      <c r="BS1818" t="s">
        <v>8834</v>
      </c>
      <c r="BT1818" t="s">
        <v>28749</v>
      </c>
      <c r="BU1818" t="s">
        <v>1573</v>
      </c>
      <c r="BV1818" t="s">
        <v>69</v>
      </c>
      <c r="BW1818" t="s">
        <v>69</v>
      </c>
      <c r="BX1818" t="s">
        <v>69</v>
      </c>
      <c r="BY1818" t="s">
        <v>69</v>
      </c>
      <c r="BZ1818" t="s">
        <v>8526</v>
      </c>
      <c r="CA1818" t="str">
        <f>HYPERLINK("https%3A%2F%2Fwww.webofscience.com%2Fwos%2Fwoscc%2Ffull-record%2FWOS:000263984000008","View Full Record in Web of Science")</f>
        <v>View Full Record in Web of Science</v>
      </c>
    </row>
    <row r="1819" spans="2:79" ht="12.5" x14ac:dyDescent="0.25">
      <c r="B1819" t="s">
        <v>8495</v>
      </c>
      <c r="D1819" s="7" t="s">
        <v>32933</v>
      </c>
      <c r="E1819" s="7"/>
      <c r="F1819" s="7"/>
      <c r="G1819" s="7"/>
      <c r="H1819" t="s">
        <v>67</v>
      </c>
      <c r="I1819" t="s">
        <v>1937</v>
      </c>
      <c r="J1819" t="s">
        <v>69</v>
      </c>
      <c r="K1819" t="s">
        <v>69</v>
      </c>
      <c r="L1819" t="s">
        <v>69</v>
      </c>
      <c r="M1819" t="s">
        <v>1938</v>
      </c>
      <c r="N1819" t="s">
        <v>69</v>
      </c>
      <c r="O1819" t="s">
        <v>69</v>
      </c>
      <c r="P1819" t="s">
        <v>1939</v>
      </c>
      <c r="Q1819" t="s">
        <v>1940</v>
      </c>
      <c r="R1819" t="s">
        <v>69</v>
      </c>
      <c r="S1819" t="s">
        <v>69</v>
      </c>
      <c r="T1819" t="s">
        <v>8505</v>
      </c>
      <c r="U1819" t="s">
        <v>8506</v>
      </c>
      <c r="V1819" t="s">
        <v>69</v>
      </c>
      <c r="W1819" t="s">
        <v>69</v>
      </c>
      <c r="X1819" t="s">
        <v>69</v>
      </c>
      <c r="Y1819" t="s">
        <v>69</v>
      </c>
      <c r="Z1819" t="s">
        <v>69</v>
      </c>
      <c r="AA1819" t="s">
        <v>14643</v>
      </c>
      <c r="AB1819" t="s">
        <v>14644</v>
      </c>
      <c r="AC1819" t="s">
        <v>1941</v>
      </c>
      <c r="AD1819" t="s">
        <v>14645</v>
      </c>
      <c r="AE1819" t="s">
        <v>69</v>
      </c>
      <c r="AF1819" t="s">
        <v>14646</v>
      </c>
      <c r="AG1819" t="s">
        <v>14647</v>
      </c>
      <c r="AH1819" t="s">
        <v>1942</v>
      </c>
      <c r="AI1819" t="s">
        <v>14648</v>
      </c>
      <c r="AJ1819" t="s">
        <v>69</v>
      </c>
      <c r="AK1819" t="s">
        <v>69</v>
      </c>
      <c r="AL1819" t="s">
        <v>69</v>
      </c>
      <c r="AM1819" t="s">
        <v>69</v>
      </c>
      <c r="AN1819">
        <v>48</v>
      </c>
      <c r="AO1819">
        <v>10</v>
      </c>
      <c r="AP1819">
        <v>10</v>
      </c>
      <c r="AQ1819">
        <v>2</v>
      </c>
      <c r="AR1819">
        <v>12</v>
      </c>
      <c r="AS1819" t="s">
        <v>8636</v>
      </c>
      <c r="AT1819" t="s">
        <v>8637</v>
      </c>
      <c r="AU1819" t="s">
        <v>8638</v>
      </c>
      <c r="AV1819" t="s">
        <v>1943</v>
      </c>
      <c r="AW1819" t="s">
        <v>1944</v>
      </c>
      <c r="AX1819" t="s">
        <v>69</v>
      </c>
      <c r="AY1819" t="s">
        <v>14649</v>
      </c>
      <c r="AZ1819" t="s">
        <v>14650</v>
      </c>
      <c r="BA1819" t="s">
        <v>201</v>
      </c>
      <c r="BB1819">
        <v>2020</v>
      </c>
      <c r="BC1819">
        <v>165</v>
      </c>
      <c r="BD1819" t="s">
        <v>69</v>
      </c>
      <c r="BE1819" t="s">
        <v>69</v>
      </c>
      <c r="BF1819" t="s">
        <v>69</v>
      </c>
      <c r="BG1819" t="s">
        <v>69</v>
      </c>
      <c r="BH1819" t="s">
        <v>69</v>
      </c>
      <c r="BI1819" t="s">
        <v>69</v>
      </c>
      <c r="BJ1819" t="s">
        <v>69</v>
      </c>
      <c r="BK1819">
        <v>107304</v>
      </c>
      <c r="BL1819" t="s">
        <v>1945</v>
      </c>
      <c r="BM1819" t="str">
        <f>HYPERLINK("http://dx.doi.org/10.1016/j.apacoust.2020.107304","http://dx.doi.org/10.1016/j.apacoust.2020.107304")</f>
        <v>http://dx.doi.org/10.1016/j.apacoust.2020.107304</v>
      </c>
      <c r="BN1819" t="s">
        <v>69</v>
      </c>
      <c r="BO1819" t="s">
        <v>69</v>
      </c>
      <c r="BP1819">
        <v>16</v>
      </c>
      <c r="BQ1819" t="s">
        <v>14651</v>
      </c>
      <c r="BR1819" t="s">
        <v>8548</v>
      </c>
      <c r="BS1819" t="s">
        <v>14651</v>
      </c>
      <c r="BT1819" t="s">
        <v>14652</v>
      </c>
      <c r="BU1819" t="s">
        <v>1946</v>
      </c>
      <c r="BV1819" t="s">
        <v>69</v>
      </c>
      <c r="BW1819" t="s">
        <v>69</v>
      </c>
      <c r="BX1819" t="s">
        <v>69</v>
      </c>
      <c r="BY1819" t="s">
        <v>69</v>
      </c>
      <c r="BZ1819" t="s">
        <v>8526</v>
      </c>
      <c r="CA1819" t="str">
        <f>HYPERLINK("https%3A%2F%2Fwww.webofscience.com%2Fwos%2Fwoscc%2Ffull-record%2FWOS:000530083100034","View Full Record in Web of Science")</f>
        <v>View Full Record in Web of Science</v>
      </c>
    </row>
    <row r="1820" spans="2:79" ht="12.5" x14ac:dyDescent="0.25">
      <c r="B1820" t="s">
        <v>8495</v>
      </c>
      <c r="D1820" s="7" t="s">
        <v>32933</v>
      </c>
      <c r="E1820" s="7"/>
      <c r="F1820" s="7"/>
      <c r="G1820" s="7"/>
      <c r="H1820" t="s">
        <v>67</v>
      </c>
      <c r="I1820" t="s">
        <v>840</v>
      </c>
      <c r="J1820" t="s">
        <v>69</v>
      </c>
      <c r="K1820" t="s">
        <v>69</v>
      </c>
      <c r="L1820" t="s">
        <v>69</v>
      </c>
      <c r="M1820" t="s">
        <v>841</v>
      </c>
      <c r="N1820" t="s">
        <v>69</v>
      </c>
      <c r="O1820" t="s">
        <v>69</v>
      </c>
      <c r="P1820" t="s">
        <v>842</v>
      </c>
      <c r="Q1820" t="s">
        <v>843</v>
      </c>
      <c r="R1820" t="s">
        <v>69</v>
      </c>
      <c r="S1820" t="s">
        <v>69</v>
      </c>
      <c r="T1820" t="s">
        <v>8505</v>
      </c>
      <c r="U1820" t="s">
        <v>8506</v>
      </c>
      <c r="V1820" t="s">
        <v>69</v>
      </c>
      <c r="W1820" t="s">
        <v>69</v>
      </c>
      <c r="X1820" t="s">
        <v>69</v>
      </c>
      <c r="Y1820" t="s">
        <v>69</v>
      </c>
      <c r="Z1820" t="s">
        <v>69</v>
      </c>
      <c r="AA1820" t="s">
        <v>16169</v>
      </c>
      <c r="AB1820" t="s">
        <v>69</v>
      </c>
      <c r="AC1820" t="s">
        <v>844</v>
      </c>
      <c r="AD1820" t="s">
        <v>69</v>
      </c>
      <c r="AE1820" t="s">
        <v>69</v>
      </c>
      <c r="AF1820" t="s">
        <v>69</v>
      </c>
      <c r="AG1820" t="s">
        <v>16170</v>
      </c>
      <c r="AH1820" t="s">
        <v>16171</v>
      </c>
      <c r="AI1820" t="s">
        <v>16172</v>
      </c>
      <c r="AJ1820" t="s">
        <v>69</v>
      </c>
      <c r="AK1820" t="s">
        <v>69</v>
      </c>
      <c r="AL1820" t="s">
        <v>69</v>
      </c>
      <c r="AM1820" t="s">
        <v>69</v>
      </c>
      <c r="AN1820">
        <v>29</v>
      </c>
      <c r="AO1820">
        <v>8</v>
      </c>
      <c r="AP1820">
        <v>8</v>
      </c>
      <c r="AQ1820">
        <v>4</v>
      </c>
      <c r="AR1820">
        <v>6</v>
      </c>
      <c r="AS1820" t="s">
        <v>16173</v>
      </c>
      <c r="AT1820" t="s">
        <v>10518</v>
      </c>
      <c r="AU1820" t="s">
        <v>16174</v>
      </c>
      <c r="AV1820" t="s">
        <v>845</v>
      </c>
      <c r="AW1820" t="s">
        <v>846</v>
      </c>
      <c r="AX1820" t="s">
        <v>69</v>
      </c>
      <c r="AY1820" t="s">
        <v>16175</v>
      </c>
      <c r="AZ1820" t="s">
        <v>16176</v>
      </c>
      <c r="BA1820" t="s">
        <v>69</v>
      </c>
      <c r="BB1820">
        <v>2020</v>
      </c>
      <c r="BC1820">
        <v>5</v>
      </c>
      <c r="BD1820">
        <v>2</v>
      </c>
      <c r="BE1820" t="s">
        <v>69</v>
      </c>
      <c r="BF1820" t="s">
        <v>69</v>
      </c>
      <c r="BG1820" t="s">
        <v>69</v>
      </c>
      <c r="BH1820" t="s">
        <v>69</v>
      </c>
      <c r="BI1820">
        <v>87</v>
      </c>
      <c r="BJ1820">
        <v>102</v>
      </c>
      <c r="BK1820" t="s">
        <v>69</v>
      </c>
      <c r="BL1820" t="s">
        <v>847</v>
      </c>
      <c r="BM1820" t="str">
        <f>HYPERLINK("http://dx.doi.org/10.5267/j.jpm.2020.1.001","http://dx.doi.org/10.5267/j.jpm.2020.1.001")</f>
        <v>http://dx.doi.org/10.5267/j.jpm.2020.1.001</v>
      </c>
      <c r="BN1820" t="s">
        <v>69</v>
      </c>
      <c r="BO1820" t="s">
        <v>69</v>
      </c>
      <c r="BP1820">
        <v>16</v>
      </c>
      <c r="BQ1820" t="s">
        <v>16177</v>
      </c>
      <c r="BR1820" t="s">
        <v>8573</v>
      </c>
      <c r="BS1820" t="s">
        <v>9129</v>
      </c>
      <c r="BT1820" t="s">
        <v>16178</v>
      </c>
      <c r="BU1820" t="s">
        <v>848</v>
      </c>
      <c r="BV1820" t="s">
        <v>69</v>
      </c>
      <c r="BW1820" t="s">
        <v>8931</v>
      </c>
      <c r="BX1820" t="s">
        <v>69</v>
      </c>
      <c r="BY1820" t="s">
        <v>69</v>
      </c>
      <c r="BZ1820" t="s">
        <v>8526</v>
      </c>
      <c r="CA1820" t="str">
        <f>HYPERLINK("https%3A%2F%2Fwww.webofscience.com%2Fwos%2Fwoscc%2Ffull-record%2FWOS:000541376300002","View Full Record in Web of Science")</f>
        <v>View Full Record in Web of Science</v>
      </c>
    </row>
    <row r="1821" spans="2:79" ht="12.5" x14ac:dyDescent="0.25">
      <c r="B1821" t="s">
        <v>8495</v>
      </c>
      <c r="D1821" s="22" t="s">
        <v>32931</v>
      </c>
      <c r="E1821" s="7"/>
      <c r="F1821" s="7"/>
      <c r="G1821" s="7"/>
      <c r="H1821" t="s">
        <v>67</v>
      </c>
      <c r="I1821" t="s">
        <v>9190</v>
      </c>
      <c r="J1821" t="s">
        <v>69</v>
      </c>
      <c r="K1821" t="s">
        <v>69</v>
      </c>
      <c r="L1821" t="s">
        <v>69</v>
      </c>
      <c r="M1821" t="s">
        <v>9191</v>
      </c>
      <c r="N1821" t="s">
        <v>69</v>
      </c>
      <c r="O1821" t="s">
        <v>69</v>
      </c>
      <c r="P1821" t="s">
        <v>9192</v>
      </c>
      <c r="Q1821" t="s">
        <v>7038</v>
      </c>
      <c r="R1821" t="s">
        <v>69</v>
      </c>
      <c r="S1821" t="s">
        <v>69</v>
      </c>
      <c r="T1821" t="s">
        <v>8505</v>
      </c>
      <c r="U1821" t="s">
        <v>8506</v>
      </c>
      <c r="V1821" t="s">
        <v>69</v>
      </c>
      <c r="W1821" t="s">
        <v>69</v>
      </c>
      <c r="X1821" t="s">
        <v>69</v>
      </c>
      <c r="Y1821" t="s">
        <v>69</v>
      </c>
      <c r="Z1821" t="s">
        <v>69</v>
      </c>
      <c r="AA1821" t="s">
        <v>9193</v>
      </c>
      <c r="AB1821" t="s">
        <v>9194</v>
      </c>
      <c r="AC1821" t="s">
        <v>9195</v>
      </c>
      <c r="AD1821" t="s">
        <v>9196</v>
      </c>
      <c r="AE1821" t="s">
        <v>69</v>
      </c>
      <c r="AF1821" t="s">
        <v>9197</v>
      </c>
      <c r="AG1821" t="s">
        <v>9198</v>
      </c>
      <c r="AH1821" t="s">
        <v>9199</v>
      </c>
      <c r="AI1821" t="s">
        <v>9200</v>
      </c>
      <c r="AJ1821" t="s">
        <v>9201</v>
      </c>
      <c r="AK1821" t="s">
        <v>9201</v>
      </c>
      <c r="AL1821" t="s">
        <v>9202</v>
      </c>
      <c r="AM1821" t="s">
        <v>69</v>
      </c>
      <c r="AN1821">
        <v>35</v>
      </c>
      <c r="AO1821">
        <v>0</v>
      </c>
      <c r="AP1821">
        <v>0</v>
      </c>
      <c r="AQ1821">
        <v>0</v>
      </c>
      <c r="AR1821">
        <v>0</v>
      </c>
      <c r="AS1821" t="s">
        <v>9203</v>
      </c>
      <c r="AT1821" t="s">
        <v>8763</v>
      </c>
      <c r="AU1821" t="s">
        <v>9204</v>
      </c>
      <c r="AV1821" t="s">
        <v>7040</v>
      </c>
      <c r="AW1821" t="s">
        <v>69</v>
      </c>
      <c r="AX1821" t="s">
        <v>69</v>
      </c>
      <c r="AY1821" t="s">
        <v>9205</v>
      </c>
      <c r="AZ1821" t="s">
        <v>9206</v>
      </c>
      <c r="BA1821" t="s">
        <v>7204</v>
      </c>
      <c r="BB1821">
        <v>2022</v>
      </c>
      <c r="BC1821">
        <v>20</v>
      </c>
      <c r="BD1821">
        <v>1</v>
      </c>
      <c r="BE1821" t="s">
        <v>69</v>
      </c>
      <c r="BF1821" t="s">
        <v>69</v>
      </c>
      <c r="BG1821" t="s">
        <v>69</v>
      </c>
      <c r="BH1821" t="s">
        <v>69</v>
      </c>
      <c r="BI1821" t="s">
        <v>69</v>
      </c>
      <c r="BJ1821" t="s">
        <v>69</v>
      </c>
      <c r="BK1821">
        <v>47</v>
      </c>
      <c r="BL1821" t="s">
        <v>9207</v>
      </c>
      <c r="BM1821" t="str">
        <f>HYPERLINK("http://dx.doi.org/10.1186/s12961-022-00850-1","http://dx.doi.org/10.1186/s12961-022-00850-1")</f>
        <v>http://dx.doi.org/10.1186/s12961-022-00850-1</v>
      </c>
      <c r="BN1821" t="s">
        <v>69</v>
      </c>
      <c r="BO1821" t="s">
        <v>69</v>
      </c>
      <c r="BP1821">
        <v>10</v>
      </c>
      <c r="BQ1821" t="s">
        <v>9208</v>
      </c>
      <c r="BR1821" t="s">
        <v>8661</v>
      </c>
      <c r="BS1821" t="s">
        <v>9209</v>
      </c>
      <c r="BT1821" t="s">
        <v>9210</v>
      </c>
      <c r="BU1821" t="s">
        <v>9211</v>
      </c>
      <c r="BV1821">
        <v>35484602</v>
      </c>
      <c r="BW1821" t="s">
        <v>69</v>
      </c>
      <c r="BX1821" t="s">
        <v>69</v>
      </c>
      <c r="BY1821" t="s">
        <v>69</v>
      </c>
      <c r="BZ1821" t="s">
        <v>8526</v>
      </c>
      <c r="CA1821" t="str">
        <f>HYPERLINK("https%3A%2F%2Fwww.webofscience.com%2Fwos%2Fwoscc%2Ffull-record%2FWOS:000788581800001","View Full Record in Web of Science")</f>
        <v>View Full Record in Web of Science</v>
      </c>
    </row>
    <row r="1822" spans="2:79" x14ac:dyDescent="0.3">
      <c r="B1822" t="s">
        <v>8495</v>
      </c>
      <c r="D1822" s="9" t="s">
        <v>32954</v>
      </c>
      <c r="E1822" s="9" t="s">
        <v>33121</v>
      </c>
      <c r="F1822" s="9" t="s">
        <v>8491</v>
      </c>
      <c r="G1822" s="9" t="s">
        <v>8490</v>
      </c>
      <c r="H1822" t="s">
        <v>67</v>
      </c>
      <c r="I1822" t="s">
        <v>16750</v>
      </c>
      <c r="J1822" t="s">
        <v>69</v>
      </c>
      <c r="K1822" t="s">
        <v>69</v>
      </c>
      <c r="L1822" t="s">
        <v>69</v>
      </c>
      <c r="M1822" t="s">
        <v>16751</v>
      </c>
      <c r="N1822" t="s">
        <v>69</v>
      </c>
      <c r="O1822" t="s">
        <v>69</v>
      </c>
      <c r="P1822" t="s">
        <v>16752</v>
      </c>
      <c r="Q1822" t="s">
        <v>352</v>
      </c>
      <c r="R1822" t="s">
        <v>69</v>
      </c>
      <c r="S1822" t="s">
        <v>69</v>
      </c>
      <c r="T1822" t="s">
        <v>8505</v>
      </c>
      <c r="U1822" t="s">
        <v>8506</v>
      </c>
      <c r="V1822" t="s">
        <v>69</v>
      </c>
      <c r="W1822" t="s">
        <v>69</v>
      </c>
      <c r="X1822" t="s">
        <v>69</v>
      </c>
      <c r="Y1822" t="s">
        <v>69</v>
      </c>
      <c r="Z1822" t="s">
        <v>69</v>
      </c>
      <c r="AA1822" t="s">
        <v>16753</v>
      </c>
      <c r="AB1822" t="s">
        <v>16754</v>
      </c>
      <c r="AC1822" t="s">
        <v>16755</v>
      </c>
      <c r="AD1822" t="s">
        <v>16756</v>
      </c>
      <c r="AE1822" t="s">
        <v>69</v>
      </c>
      <c r="AF1822" t="s">
        <v>16757</v>
      </c>
      <c r="AG1822" t="s">
        <v>16758</v>
      </c>
      <c r="AH1822" t="s">
        <v>16759</v>
      </c>
      <c r="AI1822" t="s">
        <v>16760</v>
      </c>
      <c r="AJ1822" t="s">
        <v>69</v>
      </c>
      <c r="AK1822" t="s">
        <v>69</v>
      </c>
      <c r="AL1822" t="s">
        <v>69</v>
      </c>
      <c r="AM1822" t="s">
        <v>69</v>
      </c>
      <c r="AN1822">
        <v>40</v>
      </c>
      <c r="AO1822">
        <v>0</v>
      </c>
      <c r="AP1822">
        <v>0</v>
      </c>
      <c r="AQ1822">
        <v>1</v>
      </c>
      <c r="AR1822">
        <v>9</v>
      </c>
      <c r="AS1822" t="s">
        <v>8924</v>
      </c>
      <c r="AT1822" t="s">
        <v>8925</v>
      </c>
      <c r="AU1822" t="s">
        <v>8926</v>
      </c>
      <c r="AV1822" t="s">
        <v>69</v>
      </c>
      <c r="AW1822" t="s">
        <v>354</v>
      </c>
      <c r="AX1822" t="s">
        <v>69</v>
      </c>
      <c r="AY1822" t="s">
        <v>8958</v>
      </c>
      <c r="AZ1822" t="s">
        <v>8434</v>
      </c>
      <c r="BA1822" t="s">
        <v>477</v>
      </c>
      <c r="BB1822">
        <v>2019</v>
      </c>
      <c r="BC1822">
        <v>11</v>
      </c>
      <c r="BD1822">
        <v>17</v>
      </c>
      <c r="BE1822" t="s">
        <v>69</v>
      </c>
      <c r="BF1822" t="s">
        <v>69</v>
      </c>
      <c r="BG1822" t="s">
        <v>69</v>
      </c>
      <c r="BH1822" t="s">
        <v>69</v>
      </c>
      <c r="BI1822" t="s">
        <v>69</v>
      </c>
      <c r="BJ1822" t="s">
        <v>69</v>
      </c>
      <c r="BK1822">
        <v>4679</v>
      </c>
      <c r="BL1822" t="s">
        <v>16761</v>
      </c>
      <c r="BM1822" t="str">
        <f>HYPERLINK("http://dx.doi.org/10.3390/su11174679","http://dx.doi.org/10.3390/su11174679")</f>
        <v>http://dx.doi.org/10.3390/su11174679</v>
      </c>
      <c r="BN1822" t="s">
        <v>69</v>
      </c>
      <c r="BO1822" t="s">
        <v>69</v>
      </c>
      <c r="BP1822">
        <v>17</v>
      </c>
      <c r="BQ1822" t="s">
        <v>8960</v>
      </c>
      <c r="BR1822" t="s">
        <v>8523</v>
      </c>
      <c r="BS1822" t="s">
        <v>8961</v>
      </c>
      <c r="BT1822" t="s">
        <v>16762</v>
      </c>
      <c r="BU1822" t="s">
        <v>16764</v>
      </c>
      <c r="BV1822" t="s">
        <v>69</v>
      </c>
      <c r="BW1822" t="s">
        <v>16763</v>
      </c>
      <c r="BX1822" t="s">
        <v>69</v>
      </c>
      <c r="BY1822" t="s">
        <v>69</v>
      </c>
      <c r="BZ1822" t="s">
        <v>8526</v>
      </c>
      <c r="CA1822" t="str">
        <f>HYPERLINK("https%3A%2F%2Fwww.webofscience.com%2Fwos%2Fwoscc%2Ffull-record%2FWOS:000486877700167","View Full Record in Web of Science")</f>
        <v>View Full Record in Web of Science</v>
      </c>
    </row>
    <row r="1823" spans="2:79" ht="12.5" x14ac:dyDescent="0.25">
      <c r="B1823" t="s">
        <v>8495</v>
      </c>
      <c r="D1823" s="7" t="s">
        <v>32933</v>
      </c>
      <c r="E1823" s="7"/>
      <c r="F1823" s="7"/>
      <c r="G1823" s="7"/>
      <c r="H1823" t="s">
        <v>67</v>
      </c>
      <c r="I1823" t="s">
        <v>1134</v>
      </c>
      <c r="J1823" t="s">
        <v>69</v>
      </c>
      <c r="K1823" t="s">
        <v>69</v>
      </c>
      <c r="L1823" t="s">
        <v>69</v>
      </c>
      <c r="M1823" t="s">
        <v>1135</v>
      </c>
      <c r="N1823" t="s">
        <v>69</v>
      </c>
      <c r="O1823" t="s">
        <v>69</v>
      </c>
      <c r="P1823" t="s">
        <v>1136</v>
      </c>
      <c r="Q1823" t="s">
        <v>1137</v>
      </c>
      <c r="R1823" t="s">
        <v>69</v>
      </c>
      <c r="S1823" t="s">
        <v>69</v>
      </c>
      <c r="T1823" t="s">
        <v>8505</v>
      </c>
      <c r="U1823" t="s">
        <v>8506</v>
      </c>
      <c r="V1823" t="s">
        <v>69</v>
      </c>
      <c r="W1823" t="s">
        <v>69</v>
      </c>
      <c r="X1823" t="s">
        <v>69</v>
      </c>
      <c r="Y1823" t="s">
        <v>69</v>
      </c>
      <c r="Z1823" t="s">
        <v>69</v>
      </c>
      <c r="AA1823" t="s">
        <v>19791</v>
      </c>
      <c r="AB1823" t="s">
        <v>19792</v>
      </c>
      <c r="AC1823" t="s">
        <v>1138</v>
      </c>
      <c r="AD1823" t="s">
        <v>19793</v>
      </c>
      <c r="AE1823" t="s">
        <v>69</v>
      </c>
      <c r="AF1823" t="s">
        <v>19794</v>
      </c>
      <c r="AG1823" t="s">
        <v>69</v>
      </c>
      <c r="AH1823" t="s">
        <v>69</v>
      </c>
      <c r="AI1823" t="s">
        <v>69</v>
      </c>
      <c r="AJ1823" t="s">
        <v>69</v>
      </c>
      <c r="AK1823" t="s">
        <v>69</v>
      </c>
      <c r="AL1823" t="s">
        <v>69</v>
      </c>
      <c r="AM1823" t="s">
        <v>69</v>
      </c>
      <c r="AN1823">
        <v>15</v>
      </c>
      <c r="AO1823">
        <v>2</v>
      </c>
      <c r="AP1823">
        <v>3</v>
      </c>
      <c r="AQ1823">
        <v>0</v>
      </c>
      <c r="AR1823">
        <v>15</v>
      </c>
      <c r="AS1823" t="s">
        <v>19795</v>
      </c>
      <c r="AT1823" t="s">
        <v>19796</v>
      </c>
      <c r="AU1823" t="s">
        <v>19797</v>
      </c>
      <c r="AV1823" t="s">
        <v>1139</v>
      </c>
      <c r="AW1823" t="s">
        <v>69</v>
      </c>
      <c r="AX1823" t="s">
        <v>69</v>
      </c>
      <c r="AY1823" t="s">
        <v>19798</v>
      </c>
      <c r="AZ1823" t="s">
        <v>19799</v>
      </c>
      <c r="BA1823" t="s">
        <v>274</v>
      </c>
      <c r="BB1823">
        <v>2017</v>
      </c>
      <c r="BC1823">
        <v>10</v>
      </c>
      <c r="BD1823">
        <v>5</v>
      </c>
      <c r="BE1823" t="s">
        <v>69</v>
      </c>
      <c r="BF1823" t="s">
        <v>69</v>
      </c>
      <c r="BG1823" t="s">
        <v>69</v>
      </c>
      <c r="BH1823" t="s">
        <v>69</v>
      </c>
      <c r="BI1823">
        <v>144</v>
      </c>
      <c r="BJ1823">
        <v>152</v>
      </c>
      <c r="BK1823" t="s">
        <v>69</v>
      </c>
      <c r="BL1823" t="s">
        <v>69</v>
      </c>
      <c r="BM1823" t="s">
        <v>69</v>
      </c>
      <c r="BN1823" t="s">
        <v>69</v>
      </c>
      <c r="BO1823" t="s">
        <v>69</v>
      </c>
      <c r="BP1823">
        <v>9</v>
      </c>
      <c r="BQ1823" t="s">
        <v>8444</v>
      </c>
      <c r="BR1823" t="s">
        <v>8573</v>
      </c>
      <c r="BS1823" t="s">
        <v>8594</v>
      </c>
      <c r="BT1823" t="s">
        <v>19800</v>
      </c>
      <c r="BU1823" t="s">
        <v>1140</v>
      </c>
      <c r="BV1823" t="s">
        <v>69</v>
      </c>
      <c r="BW1823" t="s">
        <v>69</v>
      </c>
      <c r="BX1823" t="s">
        <v>69</v>
      </c>
      <c r="BY1823" t="s">
        <v>69</v>
      </c>
      <c r="BZ1823" t="s">
        <v>8526</v>
      </c>
      <c r="CA1823" t="str">
        <f>HYPERLINK("https%3A%2F%2Fwww.webofscience.com%2Fwos%2Fwoscc%2Ffull-record%2FWOS:000430113200016","View Full Record in Web of Science")</f>
        <v>View Full Record in Web of Science</v>
      </c>
    </row>
    <row r="1824" spans="2:79" ht="12.5" x14ac:dyDescent="0.25">
      <c r="B1824" t="s">
        <v>8495</v>
      </c>
      <c r="D1824" s="7" t="s">
        <v>32933</v>
      </c>
      <c r="E1824" s="7"/>
      <c r="F1824" s="7"/>
      <c r="G1824" s="7"/>
      <c r="H1824" t="s">
        <v>67</v>
      </c>
      <c r="I1824" t="s">
        <v>8120</v>
      </c>
      <c r="J1824" t="s">
        <v>69</v>
      </c>
      <c r="K1824" t="s">
        <v>69</v>
      </c>
      <c r="L1824" t="s">
        <v>69</v>
      </c>
      <c r="M1824" t="s">
        <v>8121</v>
      </c>
      <c r="N1824" t="s">
        <v>69</v>
      </c>
      <c r="O1824" t="s">
        <v>69</v>
      </c>
      <c r="P1824" s="3" t="s">
        <v>8122</v>
      </c>
      <c r="Q1824" t="s">
        <v>6571</v>
      </c>
      <c r="R1824" t="s">
        <v>69</v>
      </c>
      <c r="S1824" t="s">
        <v>69</v>
      </c>
      <c r="T1824" t="s">
        <v>8505</v>
      </c>
      <c r="U1824" t="s">
        <v>8506</v>
      </c>
      <c r="V1824" t="s">
        <v>69</v>
      </c>
      <c r="W1824" t="s">
        <v>69</v>
      </c>
      <c r="X1824" t="s">
        <v>69</v>
      </c>
      <c r="Y1824" t="s">
        <v>69</v>
      </c>
      <c r="Z1824" t="s">
        <v>69</v>
      </c>
      <c r="AA1824" t="s">
        <v>21149</v>
      </c>
      <c r="AB1824" t="s">
        <v>21150</v>
      </c>
      <c r="AC1824" t="s">
        <v>8123</v>
      </c>
      <c r="AD1824" t="s">
        <v>21151</v>
      </c>
      <c r="AE1824" t="s">
        <v>69</v>
      </c>
      <c r="AF1824" t="s">
        <v>21152</v>
      </c>
      <c r="AG1824" t="s">
        <v>21153</v>
      </c>
      <c r="AH1824" t="s">
        <v>8124</v>
      </c>
      <c r="AI1824" t="s">
        <v>8125</v>
      </c>
      <c r="AJ1824" t="s">
        <v>21154</v>
      </c>
      <c r="AK1824" t="s">
        <v>21155</v>
      </c>
      <c r="AL1824" t="s">
        <v>21156</v>
      </c>
      <c r="AM1824" t="s">
        <v>69</v>
      </c>
      <c r="AN1824">
        <v>82</v>
      </c>
      <c r="AO1824">
        <v>29</v>
      </c>
      <c r="AP1824">
        <v>34</v>
      </c>
      <c r="AQ1824">
        <v>8</v>
      </c>
      <c r="AR1824">
        <v>134</v>
      </c>
      <c r="AS1824" t="s">
        <v>8692</v>
      </c>
      <c r="AT1824" t="s">
        <v>8693</v>
      </c>
      <c r="AU1824" t="s">
        <v>18139</v>
      </c>
      <c r="AV1824" t="s">
        <v>6573</v>
      </c>
      <c r="AW1824" t="s">
        <v>6574</v>
      </c>
      <c r="AX1824" t="s">
        <v>69</v>
      </c>
      <c r="AY1824" t="s">
        <v>10988</v>
      </c>
      <c r="AZ1824" t="s">
        <v>10989</v>
      </c>
      <c r="BA1824" t="s">
        <v>75</v>
      </c>
      <c r="BB1824">
        <v>2016</v>
      </c>
      <c r="BC1824">
        <v>113</v>
      </c>
      <c r="BD1824" t="s">
        <v>69</v>
      </c>
      <c r="BE1824" t="s">
        <v>514</v>
      </c>
      <c r="BF1824" t="s">
        <v>69</v>
      </c>
      <c r="BG1824" t="s">
        <v>69</v>
      </c>
      <c r="BH1824" t="s">
        <v>69</v>
      </c>
      <c r="BI1824">
        <v>266</v>
      </c>
      <c r="BJ1824">
        <v>279</v>
      </c>
      <c r="BK1824" t="s">
        <v>69</v>
      </c>
      <c r="BL1824" t="s">
        <v>8126</v>
      </c>
      <c r="BM1824" t="str">
        <f>HYPERLINK("http://dx.doi.org/10.1016/j.techfore.2015.07.013","http://dx.doi.org/10.1016/j.techfore.2015.07.013")</f>
        <v>http://dx.doi.org/10.1016/j.techfore.2015.07.013</v>
      </c>
      <c r="BN1824" t="s">
        <v>69</v>
      </c>
      <c r="BO1824" t="s">
        <v>69</v>
      </c>
      <c r="BP1824">
        <v>14</v>
      </c>
      <c r="BQ1824" t="s">
        <v>10992</v>
      </c>
      <c r="BR1824" t="s">
        <v>8661</v>
      </c>
      <c r="BS1824" t="s">
        <v>10993</v>
      </c>
      <c r="BT1824" t="s">
        <v>21157</v>
      </c>
      <c r="BU1824" t="s">
        <v>8127</v>
      </c>
      <c r="BV1824" t="s">
        <v>69</v>
      </c>
      <c r="BW1824" t="s">
        <v>10423</v>
      </c>
      <c r="BX1824" t="s">
        <v>69</v>
      </c>
      <c r="BY1824" t="s">
        <v>69</v>
      </c>
      <c r="BZ1824" t="s">
        <v>8526</v>
      </c>
      <c r="CA1824" t="str">
        <f>HYPERLINK("https%3A%2F%2Fwww.webofscience.com%2Fwos%2Fwoscc%2Ffull-record%2FWOS:000390735000012","View Full Record in Web of Science")</f>
        <v>View Full Record in Web of Science</v>
      </c>
    </row>
    <row r="1825" spans="2:79" ht="12.5" x14ac:dyDescent="0.25">
      <c r="B1825" t="s">
        <v>8495</v>
      </c>
      <c r="D1825" s="7" t="s">
        <v>32933</v>
      </c>
      <c r="E1825" s="7"/>
      <c r="F1825" s="7"/>
      <c r="G1825" s="7"/>
      <c r="H1825" t="s">
        <v>67</v>
      </c>
      <c r="I1825" t="s">
        <v>4723</v>
      </c>
      <c r="J1825" t="s">
        <v>69</v>
      </c>
      <c r="K1825" t="s">
        <v>69</v>
      </c>
      <c r="L1825" t="s">
        <v>69</v>
      </c>
      <c r="M1825" t="s">
        <v>4724</v>
      </c>
      <c r="N1825" t="s">
        <v>69</v>
      </c>
      <c r="O1825" t="s">
        <v>69</v>
      </c>
      <c r="P1825" t="s">
        <v>4725</v>
      </c>
      <c r="Q1825" t="s">
        <v>1360</v>
      </c>
      <c r="R1825" t="s">
        <v>69</v>
      </c>
      <c r="S1825" t="s">
        <v>69</v>
      </c>
      <c r="T1825" t="s">
        <v>8505</v>
      </c>
      <c r="U1825" t="s">
        <v>8506</v>
      </c>
      <c r="V1825" t="s">
        <v>69</v>
      </c>
      <c r="W1825" t="s">
        <v>69</v>
      </c>
      <c r="X1825" t="s">
        <v>69</v>
      </c>
      <c r="Y1825" t="s">
        <v>69</v>
      </c>
      <c r="Z1825" t="s">
        <v>69</v>
      </c>
      <c r="AA1825" t="s">
        <v>16531</v>
      </c>
      <c r="AB1825" t="s">
        <v>16532</v>
      </c>
      <c r="AC1825" t="s">
        <v>4726</v>
      </c>
      <c r="AD1825" t="s">
        <v>16533</v>
      </c>
      <c r="AE1825" t="s">
        <v>69</v>
      </c>
      <c r="AF1825" t="s">
        <v>16534</v>
      </c>
      <c r="AG1825" t="s">
        <v>16535</v>
      </c>
      <c r="AH1825" t="s">
        <v>69</v>
      </c>
      <c r="AI1825" t="s">
        <v>16536</v>
      </c>
      <c r="AJ1825" t="s">
        <v>69</v>
      </c>
      <c r="AK1825" t="s">
        <v>69</v>
      </c>
      <c r="AL1825" t="s">
        <v>69</v>
      </c>
      <c r="AM1825" t="s">
        <v>69</v>
      </c>
      <c r="AN1825">
        <v>42</v>
      </c>
      <c r="AO1825">
        <v>4</v>
      </c>
      <c r="AP1825">
        <v>4</v>
      </c>
      <c r="AQ1825">
        <v>0</v>
      </c>
      <c r="AR1825">
        <v>11</v>
      </c>
      <c r="AS1825" t="s">
        <v>8636</v>
      </c>
      <c r="AT1825" t="s">
        <v>8637</v>
      </c>
      <c r="AU1825" t="s">
        <v>8638</v>
      </c>
      <c r="AV1825" t="s">
        <v>1364</v>
      </c>
      <c r="AW1825" t="s">
        <v>1365</v>
      </c>
      <c r="AX1825" t="s">
        <v>69</v>
      </c>
      <c r="AY1825" t="s">
        <v>9698</v>
      </c>
      <c r="AZ1825" t="s">
        <v>9699</v>
      </c>
      <c r="BA1825" t="s">
        <v>274</v>
      </c>
      <c r="BB1825">
        <v>2019</v>
      </c>
      <c r="BC1825">
        <v>101</v>
      </c>
      <c r="BD1825" t="s">
        <v>69</v>
      </c>
      <c r="BE1825" t="s">
        <v>69</v>
      </c>
      <c r="BF1825" t="s">
        <v>69</v>
      </c>
      <c r="BG1825" t="s">
        <v>69</v>
      </c>
      <c r="BH1825" t="s">
        <v>69</v>
      </c>
      <c r="BI1825">
        <v>126</v>
      </c>
      <c r="BJ1825">
        <v>135</v>
      </c>
      <c r="BK1825" t="s">
        <v>69</v>
      </c>
      <c r="BL1825" t="s">
        <v>4727</v>
      </c>
      <c r="BM1825" t="str">
        <f>HYPERLINK("http://dx.doi.org/10.1016/j.envsci.2019.07.018","http://dx.doi.org/10.1016/j.envsci.2019.07.018")</f>
        <v>http://dx.doi.org/10.1016/j.envsci.2019.07.018</v>
      </c>
      <c r="BN1825" t="s">
        <v>69</v>
      </c>
      <c r="BO1825" t="s">
        <v>69</v>
      </c>
      <c r="BP1825">
        <v>10</v>
      </c>
      <c r="BQ1825" t="s">
        <v>8717</v>
      </c>
      <c r="BR1825" t="s">
        <v>8548</v>
      </c>
      <c r="BS1825" t="s">
        <v>8662</v>
      </c>
      <c r="BT1825" t="s">
        <v>16537</v>
      </c>
      <c r="BU1825" t="s">
        <v>4728</v>
      </c>
      <c r="BV1825" t="s">
        <v>69</v>
      </c>
      <c r="BW1825" t="s">
        <v>10423</v>
      </c>
      <c r="BX1825" t="s">
        <v>69</v>
      </c>
      <c r="BY1825" t="s">
        <v>69</v>
      </c>
      <c r="BZ1825" t="s">
        <v>8526</v>
      </c>
      <c r="CA1825" t="str">
        <f>HYPERLINK("https%3A%2F%2Fwww.webofscience.com%2Fwos%2Fwoscc%2Ffull-record%2FWOS:000497600400016","View Full Record in Web of Science")</f>
        <v>View Full Record in Web of Science</v>
      </c>
    </row>
    <row r="1826" spans="2:79" ht="12.5" x14ac:dyDescent="0.25">
      <c r="B1826" t="s">
        <v>8495</v>
      </c>
      <c r="D1826" s="22" t="s">
        <v>32931</v>
      </c>
      <c r="E1826" s="7"/>
      <c r="F1826" s="7"/>
      <c r="G1826" s="7"/>
      <c r="H1826" t="s">
        <v>67</v>
      </c>
      <c r="I1826" t="s">
        <v>30075</v>
      </c>
      <c r="J1826" t="s">
        <v>69</v>
      </c>
      <c r="K1826" t="s">
        <v>69</v>
      </c>
      <c r="L1826" t="s">
        <v>69</v>
      </c>
      <c r="M1826" t="s">
        <v>30076</v>
      </c>
      <c r="N1826" t="s">
        <v>69</v>
      </c>
      <c r="O1826" t="s">
        <v>69</v>
      </c>
      <c r="P1826" t="s">
        <v>30077</v>
      </c>
      <c r="Q1826" t="s">
        <v>30078</v>
      </c>
      <c r="R1826" t="s">
        <v>69</v>
      </c>
      <c r="S1826" t="s">
        <v>69</v>
      </c>
      <c r="T1826" t="s">
        <v>8505</v>
      </c>
      <c r="U1826" t="s">
        <v>8506</v>
      </c>
      <c r="V1826" t="s">
        <v>69</v>
      </c>
      <c r="W1826" t="s">
        <v>69</v>
      </c>
      <c r="X1826" t="s">
        <v>69</v>
      </c>
      <c r="Y1826" t="s">
        <v>69</v>
      </c>
      <c r="Z1826" t="s">
        <v>69</v>
      </c>
      <c r="AA1826" t="s">
        <v>30079</v>
      </c>
      <c r="AB1826" t="s">
        <v>69</v>
      </c>
      <c r="AC1826" t="s">
        <v>30080</v>
      </c>
      <c r="AD1826" t="s">
        <v>30081</v>
      </c>
      <c r="AE1826" t="s">
        <v>69</v>
      </c>
      <c r="AF1826" t="s">
        <v>30082</v>
      </c>
      <c r="AG1826" t="s">
        <v>30083</v>
      </c>
      <c r="AH1826" t="s">
        <v>69</v>
      </c>
      <c r="AI1826" t="s">
        <v>69</v>
      </c>
      <c r="AJ1826" t="s">
        <v>69</v>
      </c>
      <c r="AK1826" t="s">
        <v>69</v>
      </c>
      <c r="AL1826" t="s">
        <v>69</v>
      </c>
      <c r="AM1826" t="s">
        <v>69</v>
      </c>
      <c r="AN1826">
        <v>12</v>
      </c>
      <c r="AO1826">
        <v>3</v>
      </c>
      <c r="AP1826">
        <v>3</v>
      </c>
      <c r="AQ1826">
        <v>0</v>
      </c>
      <c r="AR1826">
        <v>2</v>
      </c>
      <c r="AS1826" t="s">
        <v>17140</v>
      </c>
      <c r="AT1826" t="s">
        <v>8517</v>
      </c>
      <c r="AU1826" t="s">
        <v>17141</v>
      </c>
      <c r="AV1826" t="s">
        <v>30084</v>
      </c>
      <c r="AW1826" t="s">
        <v>30085</v>
      </c>
      <c r="AX1826" t="s">
        <v>69</v>
      </c>
      <c r="AY1826" t="s">
        <v>30086</v>
      </c>
      <c r="AZ1826" t="s">
        <v>30087</v>
      </c>
      <c r="BA1826" t="s">
        <v>75</v>
      </c>
      <c r="BB1826">
        <v>2006</v>
      </c>
      <c r="BC1826">
        <v>20</v>
      </c>
      <c r="BD1826">
        <v>4</v>
      </c>
      <c r="BE1826" t="s">
        <v>69</v>
      </c>
      <c r="BF1826" t="s">
        <v>69</v>
      </c>
      <c r="BG1826" t="s">
        <v>69</v>
      </c>
      <c r="BH1826" t="s">
        <v>69</v>
      </c>
      <c r="BI1826">
        <v>619</v>
      </c>
      <c r="BJ1826">
        <v>635</v>
      </c>
      <c r="BK1826" t="s">
        <v>69</v>
      </c>
      <c r="BL1826" t="s">
        <v>30088</v>
      </c>
      <c r="BM1826" t="str">
        <f>HYPERLINK("http://dx.doi.org/10.1016/j.bpa.2006.10.003","http://dx.doi.org/10.1016/j.bpa.2006.10.003")</f>
        <v>http://dx.doi.org/10.1016/j.bpa.2006.10.003</v>
      </c>
      <c r="BN1826" t="s">
        <v>69</v>
      </c>
      <c r="BO1826" t="s">
        <v>69</v>
      </c>
      <c r="BP1826">
        <v>17</v>
      </c>
      <c r="BQ1826" t="s">
        <v>20540</v>
      </c>
      <c r="BR1826" t="s">
        <v>8573</v>
      </c>
      <c r="BS1826" t="s">
        <v>20540</v>
      </c>
      <c r="BT1826" t="s">
        <v>30089</v>
      </c>
      <c r="BU1826" t="s">
        <v>30090</v>
      </c>
      <c r="BV1826">
        <v>17219945</v>
      </c>
      <c r="BW1826" t="s">
        <v>69</v>
      </c>
      <c r="BX1826" t="s">
        <v>69</v>
      </c>
      <c r="BY1826" t="s">
        <v>69</v>
      </c>
      <c r="BZ1826" t="s">
        <v>8526</v>
      </c>
      <c r="CA1826" t="str">
        <f>HYPERLINK("https%3A%2F%2Fwww.webofscience.com%2Fwos%2Fwoscc%2Ffull-record%2FWOS:000215378500010","View Full Record in Web of Science")</f>
        <v>View Full Record in Web of Science</v>
      </c>
    </row>
    <row r="1827" spans="2:79" ht="12.5" x14ac:dyDescent="0.25">
      <c r="B1827" t="s">
        <v>8495</v>
      </c>
      <c r="D1827" s="22" t="s">
        <v>32931</v>
      </c>
      <c r="E1827" s="7"/>
      <c r="F1827" s="7"/>
      <c r="G1827" s="7"/>
      <c r="H1827" t="s">
        <v>67</v>
      </c>
      <c r="I1827" t="s">
        <v>11568</v>
      </c>
      <c r="J1827" t="s">
        <v>69</v>
      </c>
      <c r="K1827" t="s">
        <v>69</v>
      </c>
      <c r="L1827" t="s">
        <v>69</v>
      </c>
      <c r="M1827" t="s">
        <v>11569</v>
      </c>
      <c r="N1827" t="s">
        <v>69</v>
      </c>
      <c r="O1827" t="s">
        <v>69</v>
      </c>
      <c r="P1827" t="s">
        <v>11570</v>
      </c>
      <c r="Q1827" t="s">
        <v>11571</v>
      </c>
      <c r="R1827" t="s">
        <v>69</v>
      </c>
      <c r="S1827" t="s">
        <v>69</v>
      </c>
      <c r="T1827" t="s">
        <v>8505</v>
      </c>
      <c r="U1827" t="s">
        <v>8506</v>
      </c>
      <c r="V1827" t="s">
        <v>69</v>
      </c>
      <c r="W1827" t="s">
        <v>69</v>
      </c>
      <c r="X1827" t="s">
        <v>69</v>
      </c>
      <c r="Y1827" t="s">
        <v>69</v>
      </c>
      <c r="Z1827" t="s">
        <v>69</v>
      </c>
      <c r="AA1827" t="s">
        <v>11572</v>
      </c>
      <c r="AB1827" t="s">
        <v>11573</v>
      </c>
      <c r="AC1827" t="s">
        <v>11574</v>
      </c>
      <c r="AD1827" t="s">
        <v>11575</v>
      </c>
      <c r="AE1827" t="s">
        <v>69</v>
      </c>
      <c r="AF1827" t="s">
        <v>11576</v>
      </c>
      <c r="AG1827" t="s">
        <v>11577</v>
      </c>
      <c r="AH1827" t="s">
        <v>69</v>
      </c>
      <c r="AI1827" t="s">
        <v>11578</v>
      </c>
      <c r="AJ1827" t="s">
        <v>69</v>
      </c>
      <c r="AK1827" t="s">
        <v>69</v>
      </c>
      <c r="AL1827" t="s">
        <v>69</v>
      </c>
      <c r="AM1827" t="s">
        <v>69</v>
      </c>
      <c r="AN1827">
        <v>32</v>
      </c>
      <c r="AO1827">
        <v>0</v>
      </c>
      <c r="AP1827">
        <v>0</v>
      </c>
      <c r="AQ1827">
        <v>1</v>
      </c>
      <c r="AR1827">
        <v>9</v>
      </c>
      <c r="AS1827" t="s">
        <v>8586</v>
      </c>
      <c r="AT1827" t="s">
        <v>8587</v>
      </c>
      <c r="AU1827" t="s">
        <v>8588</v>
      </c>
      <c r="AV1827" t="s">
        <v>11579</v>
      </c>
      <c r="AW1827" t="s">
        <v>11580</v>
      </c>
      <c r="AX1827" t="s">
        <v>69</v>
      </c>
      <c r="AY1827" t="s">
        <v>11581</v>
      </c>
      <c r="AZ1827" t="s">
        <v>11582</v>
      </c>
      <c r="BA1827" t="s">
        <v>11583</v>
      </c>
      <c r="BB1827">
        <v>2022</v>
      </c>
      <c r="BC1827">
        <v>32</v>
      </c>
      <c r="BD1827">
        <v>1</v>
      </c>
      <c r="BE1827" t="s">
        <v>69</v>
      </c>
      <c r="BF1827" t="s">
        <v>69</v>
      </c>
      <c r="BG1827" t="s">
        <v>69</v>
      </c>
      <c r="BH1827" t="s">
        <v>69</v>
      </c>
      <c r="BI1827">
        <v>43</v>
      </c>
      <c r="BJ1827">
        <v>61</v>
      </c>
      <c r="BK1827" t="s">
        <v>69</v>
      </c>
      <c r="BL1827" t="s">
        <v>11584</v>
      </c>
      <c r="BM1827" t="str">
        <f>HYPERLINK("http://dx.doi.org/10.1108/RMJ-06-2019-0028","http://dx.doi.org/10.1108/RMJ-06-2019-0028")</f>
        <v>http://dx.doi.org/10.1108/RMJ-06-2019-0028</v>
      </c>
      <c r="BN1827" t="s">
        <v>69</v>
      </c>
      <c r="BO1827" t="s">
        <v>11486</v>
      </c>
      <c r="BP1827">
        <v>19</v>
      </c>
      <c r="BQ1827" t="s">
        <v>11010</v>
      </c>
      <c r="BR1827" t="s">
        <v>8573</v>
      </c>
      <c r="BS1827" t="s">
        <v>11010</v>
      </c>
      <c r="BT1827" t="s">
        <v>11585</v>
      </c>
      <c r="BU1827" t="s">
        <v>11586</v>
      </c>
      <c r="BV1827" t="s">
        <v>69</v>
      </c>
      <c r="BW1827" t="s">
        <v>69</v>
      </c>
      <c r="BX1827" t="s">
        <v>69</v>
      </c>
      <c r="BY1827" t="s">
        <v>69</v>
      </c>
      <c r="BZ1827" t="s">
        <v>8526</v>
      </c>
      <c r="CA1827" t="str">
        <f>HYPERLINK("https%3A%2F%2Fwww.webofscience.com%2Fwos%2Fwoscc%2Ffull-record%2FWOS:000691562000001","View Full Record in Web of Science")</f>
        <v>View Full Record in Web of Science</v>
      </c>
    </row>
    <row r="1828" spans="2:79" ht="12.5" x14ac:dyDescent="0.25">
      <c r="B1828" t="s">
        <v>8495</v>
      </c>
      <c r="D1828" s="7" t="s">
        <v>32933</v>
      </c>
      <c r="E1828" s="7"/>
      <c r="F1828" s="7"/>
      <c r="G1828" s="7"/>
      <c r="H1828" t="s">
        <v>67</v>
      </c>
      <c r="I1828" t="s">
        <v>3482</v>
      </c>
      <c r="J1828" t="s">
        <v>69</v>
      </c>
      <c r="K1828" t="s">
        <v>69</v>
      </c>
      <c r="L1828" t="s">
        <v>69</v>
      </c>
      <c r="M1828" t="s">
        <v>3483</v>
      </c>
      <c r="N1828" t="s">
        <v>69</v>
      </c>
      <c r="O1828" t="s">
        <v>69</v>
      </c>
      <c r="P1828" t="s">
        <v>3484</v>
      </c>
      <c r="Q1828" t="s">
        <v>3485</v>
      </c>
      <c r="R1828" t="s">
        <v>69</v>
      </c>
      <c r="S1828" t="s">
        <v>69</v>
      </c>
      <c r="T1828" t="s">
        <v>8505</v>
      </c>
      <c r="U1828" t="s">
        <v>8506</v>
      </c>
      <c r="V1828" t="s">
        <v>69</v>
      </c>
      <c r="W1828" t="s">
        <v>69</v>
      </c>
      <c r="X1828" t="s">
        <v>69</v>
      </c>
      <c r="Y1828" t="s">
        <v>69</v>
      </c>
      <c r="Z1828" t="s">
        <v>69</v>
      </c>
      <c r="AA1828" t="s">
        <v>27193</v>
      </c>
      <c r="AB1828" t="s">
        <v>69</v>
      </c>
      <c r="AC1828" t="s">
        <v>3486</v>
      </c>
      <c r="AD1828" t="s">
        <v>27194</v>
      </c>
      <c r="AE1828" t="s">
        <v>69</v>
      </c>
      <c r="AF1828" t="s">
        <v>27195</v>
      </c>
      <c r="AG1828" t="s">
        <v>27196</v>
      </c>
      <c r="AH1828" t="s">
        <v>69</v>
      </c>
      <c r="AI1828" t="s">
        <v>69</v>
      </c>
      <c r="AJ1828" t="s">
        <v>69</v>
      </c>
      <c r="AK1828" t="s">
        <v>69</v>
      </c>
      <c r="AL1828" t="s">
        <v>69</v>
      </c>
      <c r="AM1828" t="s">
        <v>69</v>
      </c>
      <c r="AN1828">
        <v>3</v>
      </c>
      <c r="AO1828">
        <v>2</v>
      </c>
      <c r="AP1828">
        <v>2</v>
      </c>
      <c r="AQ1828">
        <v>0</v>
      </c>
      <c r="AR1828">
        <v>5</v>
      </c>
      <c r="AS1828" t="s">
        <v>27197</v>
      </c>
      <c r="AT1828" t="s">
        <v>27198</v>
      </c>
      <c r="AU1828" t="s">
        <v>27199</v>
      </c>
      <c r="AV1828" t="s">
        <v>3487</v>
      </c>
      <c r="AW1828" t="s">
        <v>69</v>
      </c>
      <c r="AX1828" t="s">
        <v>69</v>
      </c>
      <c r="AY1828" t="s">
        <v>27200</v>
      </c>
      <c r="AZ1828" t="s">
        <v>27201</v>
      </c>
      <c r="BA1828" t="s">
        <v>69</v>
      </c>
      <c r="BB1828">
        <v>2011</v>
      </c>
      <c r="BC1828">
        <v>28</v>
      </c>
      <c r="BD1828" t="s">
        <v>69</v>
      </c>
      <c r="BE1828" t="s">
        <v>69</v>
      </c>
      <c r="BF1828" t="s">
        <v>69</v>
      </c>
      <c r="BG1828" t="s">
        <v>69</v>
      </c>
      <c r="BH1828" t="s">
        <v>69</v>
      </c>
      <c r="BI1828">
        <v>271</v>
      </c>
      <c r="BJ1828">
        <v>276</v>
      </c>
      <c r="BK1828" t="s">
        <v>69</v>
      </c>
      <c r="BL1828" t="s">
        <v>69</v>
      </c>
      <c r="BM1828" t="s">
        <v>69</v>
      </c>
      <c r="BN1828" t="s">
        <v>69</v>
      </c>
      <c r="BO1828" t="s">
        <v>69</v>
      </c>
      <c r="BP1828">
        <v>6</v>
      </c>
      <c r="BQ1828" t="s">
        <v>10815</v>
      </c>
      <c r="BR1828" t="s">
        <v>8548</v>
      </c>
      <c r="BS1828" t="s">
        <v>8450</v>
      </c>
      <c r="BT1828" t="s">
        <v>27202</v>
      </c>
      <c r="BU1828" t="s">
        <v>3488</v>
      </c>
      <c r="BV1828" t="s">
        <v>69</v>
      </c>
      <c r="BW1828" t="s">
        <v>69</v>
      </c>
      <c r="BX1828" t="s">
        <v>69</v>
      </c>
      <c r="BY1828" t="s">
        <v>69</v>
      </c>
      <c r="BZ1828" t="s">
        <v>8526</v>
      </c>
      <c r="CA1828" t="str">
        <f>HYPERLINK("https%3A%2F%2Fwww.webofscience.com%2Fwos%2Fwoscc%2Ffull-record%2FWOS:000297668900038","View Full Record in Web of Science")</f>
        <v>View Full Record in Web of Science</v>
      </c>
    </row>
    <row r="1829" spans="2:79" ht="12.5" x14ac:dyDescent="0.25">
      <c r="B1829" t="s">
        <v>8495</v>
      </c>
      <c r="D1829" s="22" t="s">
        <v>32931</v>
      </c>
      <c r="E1829" s="7"/>
      <c r="F1829" s="7"/>
      <c r="G1829" s="7"/>
      <c r="H1829" t="s">
        <v>67</v>
      </c>
      <c r="I1829" t="s">
        <v>25901</v>
      </c>
      <c r="J1829" t="s">
        <v>69</v>
      </c>
      <c r="K1829" t="s">
        <v>69</v>
      </c>
      <c r="L1829" t="s">
        <v>69</v>
      </c>
      <c r="M1829" t="s">
        <v>25902</v>
      </c>
      <c r="N1829" t="s">
        <v>69</v>
      </c>
      <c r="O1829" t="s">
        <v>69</v>
      </c>
      <c r="P1829" t="s">
        <v>25903</v>
      </c>
      <c r="Q1829" t="s">
        <v>25904</v>
      </c>
      <c r="R1829" t="s">
        <v>69</v>
      </c>
      <c r="S1829" t="s">
        <v>69</v>
      </c>
      <c r="T1829" t="s">
        <v>8505</v>
      </c>
      <c r="U1829" t="s">
        <v>8506</v>
      </c>
      <c r="V1829" t="s">
        <v>69</v>
      </c>
      <c r="W1829" t="s">
        <v>69</v>
      </c>
      <c r="X1829" t="s">
        <v>69</v>
      </c>
      <c r="Y1829" t="s">
        <v>69</v>
      </c>
      <c r="Z1829" t="s">
        <v>69</v>
      </c>
      <c r="AA1829" t="s">
        <v>25905</v>
      </c>
      <c r="AB1829" t="s">
        <v>69</v>
      </c>
      <c r="AC1829" t="s">
        <v>25906</v>
      </c>
      <c r="AD1829" t="s">
        <v>25907</v>
      </c>
      <c r="AE1829" t="s">
        <v>69</v>
      </c>
      <c r="AF1829" t="s">
        <v>25908</v>
      </c>
      <c r="AG1829" t="s">
        <v>25909</v>
      </c>
      <c r="AH1829" t="s">
        <v>69</v>
      </c>
      <c r="AI1829" t="s">
        <v>69</v>
      </c>
      <c r="AJ1829" t="s">
        <v>25910</v>
      </c>
      <c r="AK1829" t="s">
        <v>25910</v>
      </c>
      <c r="AL1829" t="s">
        <v>25911</v>
      </c>
      <c r="AM1829" t="s">
        <v>69</v>
      </c>
      <c r="AN1829">
        <v>60</v>
      </c>
      <c r="AO1829">
        <v>7</v>
      </c>
      <c r="AP1829">
        <v>7</v>
      </c>
      <c r="AQ1829">
        <v>0</v>
      </c>
      <c r="AR1829">
        <v>0</v>
      </c>
      <c r="AS1829" t="s">
        <v>12850</v>
      </c>
      <c r="AT1829" t="s">
        <v>12851</v>
      </c>
      <c r="AU1829" t="s">
        <v>12852</v>
      </c>
      <c r="AV1829" t="s">
        <v>25912</v>
      </c>
      <c r="AW1829" t="s">
        <v>25913</v>
      </c>
      <c r="AX1829" t="s">
        <v>69</v>
      </c>
      <c r="AY1829" t="s">
        <v>25914</v>
      </c>
      <c r="AZ1829" t="s">
        <v>25915</v>
      </c>
      <c r="BA1829" t="s">
        <v>84</v>
      </c>
      <c r="BB1829">
        <v>2012</v>
      </c>
      <c r="BC1829">
        <v>1</v>
      </c>
      <c r="BD1829">
        <v>2</v>
      </c>
      <c r="BE1829" t="s">
        <v>69</v>
      </c>
      <c r="BF1829" t="s">
        <v>69</v>
      </c>
      <c r="BG1829" t="s">
        <v>69</v>
      </c>
      <c r="BH1829" t="s">
        <v>69</v>
      </c>
      <c r="BI1829">
        <v>97</v>
      </c>
      <c r="BJ1829">
        <v>110</v>
      </c>
      <c r="BK1829" t="s">
        <v>69</v>
      </c>
      <c r="BL1829" t="s">
        <v>25916</v>
      </c>
      <c r="BM1829" t="str">
        <f>HYPERLINK("http://dx.doi.org/10.1177/2277975213477299","http://dx.doi.org/10.1177/2277975213477299")</f>
        <v>http://dx.doi.org/10.1177/2277975213477299</v>
      </c>
      <c r="BN1829" t="s">
        <v>69</v>
      </c>
      <c r="BO1829" t="s">
        <v>69</v>
      </c>
      <c r="BP1829">
        <v>14</v>
      </c>
      <c r="BQ1829" t="s">
        <v>9410</v>
      </c>
      <c r="BR1829" t="s">
        <v>8573</v>
      </c>
      <c r="BS1829" t="s">
        <v>8594</v>
      </c>
      <c r="BT1829" t="s">
        <v>25917</v>
      </c>
      <c r="BU1829" t="s">
        <v>25918</v>
      </c>
      <c r="BV1829" t="s">
        <v>69</v>
      </c>
      <c r="BW1829" t="s">
        <v>69</v>
      </c>
      <c r="BX1829" t="s">
        <v>69</v>
      </c>
      <c r="BY1829" t="s">
        <v>69</v>
      </c>
      <c r="BZ1829" t="s">
        <v>8526</v>
      </c>
      <c r="CA1829" t="str">
        <f>HYPERLINK("https%3A%2F%2Fwww.webofscience.com%2Fwos%2Fwoscc%2Ffull-record%2FWOS:000457910300006","View Full Record in Web of Science")</f>
        <v>View Full Record in Web of Science</v>
      </c>
    </row>
    <row r="1830" spans="2:79" ht="12.5" x14ac:dyDescent="0.25">
      <c r="B1830" t="s">
        <v>8495</v>
      </c>
      <c r="D1830" s="22" t="s">
        <v>32931</v>
      </c>
      <c r="E1830" s="7"/>
      <c r="F1830" s="7"/>
      <c r="G1830" s="7"/>
      <c r="H1830" t="s">
        <v>67</v>
      </c>
      <c r="I1830" t="s">
        <v>27857</v>
      </c>
      <c r="J1830" t="s">
        <v>69</v>
      </c>
      <c r="K1830" t="s">
        <v>69</v>
      </c>
      <c r="L1830" t="s">
        <v>69</v>
      </c>
      <c r="M1830" t="s">
        <v>27858</v>
      </c>
      <c r="N1830" t="s">
        <v>69</v>
      </c>
      <c r="O1830" t="s">
        <v>69</v>
      </c>
      <c r="P1830" t="s">
        <v>27859</v>
      </c>
      <c r="Q1830" t="s">
        <v>6063</v>
      </c>
      <c r="R1830" t="s">
        <v>69</v>
      </c>
      <c r="S1830" t="s">
        <v>69</v>
      </c>
      <c r="T1830" t="s">
        <v>8505</v>
      </c>
      <c r="U1830" t="s">
        <v>8506</v>
      </c>
      <c r="V1830" t="s">
        <v>69</v>
      </c>
      <c r="W1830" t="s">
        <v>69</v>
      </c>
      <c r="X1830" t="s">
        <v>69</v>
      </c>
      <c r="Y1830" t="s">
        <v>69</v>
      </c>
      <c r="Z1830" t="s">
        <v>69</v>
      </c>
      <c r="AA1830" t="s">
        <v>27860</v>
      </c>
      <c r="AB1830" t="s">
        <v>27861</v>
      </c>
      <c r="AC1830" t="s">
        <v>27862</v>
      </c>
      <c r="AD1830" t="s">
        <v>27863</v>
      </c>
      <c r="AE1830" t="s">
        <v>69</v>
      </c>
      <c r="AF1830" t="s">
        <v>27864</v>
      </c>
      <c r="AG1830" t="s">
        <v>69</v>
      </c>
      <c r="AH1830" t="s">
        <v>69</v>
      </c>
      <c r="AI1830" t="s">
        <v>27865</v>
      </c>
      <c r="AJ1830" t="s">
        <v>69</v>
      </c>
      <c r="AK1830" t="s">
        <v>69</v>
      </c>
      <c r="AL1830" t="s">
        <v>69</v>
      </c>
      <c r="AM1830" t="s">
        <v>69</v>
      </c>
      <c r="AN1830">
        <v>28</v>
      </c>
      <c r="AO1830">
        <v>52</v>
      </c>
      <c r="AP1830">
        <v>53</v>
      </c>
      <c r="AQ1830">
        <v>0</v>
      </c>
      <c r="AR1830">
        <v>20</v>
      </c>
      <c r="AS1830" t="s">
        <v>27866</v>
      </c>
      <c r="AT1830" t="s">
        <v>8763</v>
      </c>
      <c r="AU1830" t="s">
        <v>27867</v>
      </c>
      <c r="AV1830" t="s">
        <v>6066</v>
      </c>
      <c r="AW1830" t="s">
        <v>69</v>
      </c>
      <c r="AX1830" t="s">
        <v>69</v>
      </c>
      <c r="AY1830" t="s">
        <v>27208</v>
      </c>
      <c r="AZ1830" t="s">
        <v>27209</v>
      </c>
      <c r="BA1830" t="s">
        <v>94</v>
      </c>
      <c r="BB1830">
        <v>2010</v>
      </c>
      <c r="BC1830">
        <v>10</v>
      </c>
      <c r="BD1830">
        <v>2</v>
      </c>
      <c r="BE1830" t="s">
        <v>69</v>
      </c>
      <c r="BF1830" t="s">
        <v>69</v>
      </c>
      <c r="BG1830" t="s">
        <v>69</v>
      </c>
      <c r="BH1830" t="s">
        <v>69</v>
      </c>
      <c r="BI1830">
        <v>190</v>
      </c>
      <c r="BJ1830">
        <v>215</v>
      </c>
      <c r="BK1830" t="s">
        <v>69</v>
      </c>
      <c r="BL1830" t="s">
        <v>27868</v>
      </c>
      <c r="BM1830" t="str">
        <f>HYPERLINK("http://dx.doi.org/10.3763/cpol.2009.0659","http://dx.doi.org/10.3763/cpol.2009.0659")</f>
        <v>http://dx.doi.org/10.3763/cpol.2009.0659</v>
      </c>
      <c r="BN1830" t="s">
        <v>69</v>
      </c>
      <c r="BO1830" t="s">
        <v>69</v>
      </c>
      <c r="BP1830">
        <v>26</v>
      </c>
      <c r="BQ1830" t="s">
        <v>22445</v>
      </c>
      <c r="BR1830" t="s">
        <v>8661</v>
      </c>
      <c r="BS1830" t="s">
        <v>15243</v>
      </c>
      <c r="BT1830" t="s">
        <v>27869</v>
      </c>
      <c r="BU1830" t="s">
        <v>27870</v>
      </c>
      <c r="BV1830" t="s">
        <v>69</v>
      </c>
      <c r="BW1830" t="s">
        <v>69</v>
      </c>
      <c r="BX1830" t="s">
        <v>69</v>
      </c>
      <c r="BY1830" t="s">
        <v>69</v>
      </c>
      <c r="BZ1830" t="s">
        <v>8526</v>
      </c>
      <c r="CA1830" t="str">
        <f>HYPERLINK("https%3A%2F%2Fwww.webofscience.com%2Fwos%2Fwoscc%2Ffull-record%2FWOS:000276828600006","View Full Record in Web of Science")</f>
        <v>View Full Record in Web of Science</v>
      </c>
    </row>
    <row r="1831" spans="2:79" ht="12.5" x14ac:dyDescent="0.25">
      <c r="B1831" t="s">
        <v>8495</v>
      </c>
      <c r="D1831" s="22" t="s">
        <v>32931</v>
      </c>
      <c r="E1831" s="7"/>
      <c r="F1831" s="7"/>
      <c r="G1831" s="7"/>
      <c r="H1831" t="s">
        <v>67</v>
      </c>
      <c r="I1831" t="s">
        <v>28270</v>
      </c>
      <c r="J1831" t="s">
        <v>69</v>
      </c>
      <c r="K1831" t="s">
        <v>69</v>
      </c>
      <c r="L1831" t="s">
        <v>69</v>
      </c>
      <c r="M1831" t="s">
        <v>28271</v>
      </c>
      <c r="N1831" t="s">
        <v>69</v>
      </c>
      <c r="O1831" t="s">
        <v>69</v>
      </c>
      <c r="P1831" t="s">
        <v>28272</v>
      </c>
      <c r="Q1831" t="s">
        <v>1457</v>
      </c>
      <c r="R1831" t="s">
        <v>69</v>
      </c>
      <c r="S1831" t="s">
        <v>69</v>
      </c>
      <c r="T1831" t="s">
        <v>8505</v>
      </c>
      <c r="U1831" t="s">
        <v>8506</v>
      </c>
      <c r="V1831" t="s">
        <v>69</v>
      </c>
      <c r="W1831" t="s">
        <v>69</v>
      </c>
      <c r="X1831" t="s">
        <v>69</v>
      </c>
      <c r="Y1831" t="s">
        <v>69</v>
      </c>
      <c r="Z1831" t="s">
        <v>69</v>
      </c>
      <c r="AA1831" t="s">
        <v>69</v>
      </c>
      <c r="AB1831" t="s">
        <v>69</v>
      </c>
      <c r="AC1831" t="s">
        <v>28273</v>
      </c>
      <c r="AD1831" t="s">
        <v>28274</v>
      </c>
      <c r="AE1831" t="s">
        <v>69</v>
      </c>
      <c r="AF1831" t="s">
        <v>28275</v>
      </c>
      <c r="AG1831" t="s">
        <v>28276</v>
      </c>
      <c r="AH1831" t="s">
        <v>69</v>
      </c>
      <c r="AI1831" t="s">
        <v>28277</v>
      </c>
      <c r="AJ1831" t="s">
        <v>28278</v>
      </c>
      <c r="AK1831" t="s">
        <v>28278</v>
      </c>
      <c r="AL1831" t="s">
        <v>28279</v>
      </c>
      <c r="AM1831" t="s">
        <v>69</v>
      </c>
      <c r="AN1831">
        <v>29</v>
      </c>
      <c r="AO1831">
        <v>7</v>
      </c>
      <c r="AP1831">
        <v>7</v>
      </c>
      <c r="AQ1831">
        <v>1</v>
      </c>
      <c r="AR1831">
        <v>13</v>
      </c>
      <c r="AS1831" t="s">
        <v>9554</v>
      </c>
      <c r="AT1831" t="s">
        <v>9555</v>
      </c>
      <c r="AU1831" t="s">
        <v>9556</v>
      </c>
      <c r="AV1831" t="s">
        <v>1460</v>
      </c>
      <c r="AW1831" t="s">
        <v>1461</v>
      </c>
      <c r="AX1831" t="s">
        <v>69</v>
      </c>
      <c r="AY1831" t="s">
        <v>9557</v>
      </c>
      <c r="AZ1831" t="s">
        <v>9558</v>
      </c>
      <c r="BA1831" t="s">
        <v>69</v>
      </c>
      <c r="BB1831">
        <v>2010</v>
      </c>
      <c r="BC1831" t="s">
        <v>69</v>
      </c>
      <c r="BD1831">
        <v>2163</v>
      </c>
      <c r="BE1831" t="s">
        <v>69</v>
      </c>
      <c r="BF1831" t="s">
        <v>69</v>
      </c>
      <c r="BG1831" t="s">
        <v>69</v>
      </c>
      <c r="BH1831" t="s">
        <v>69</v>
      </c>
      <c r="BI1831">
        <v>89</v>
      </c>
      <c r="BJ1831">
        <v>96</v>
      </c>
      <c r="BK1831" t="s">
        <v>69</v>
      </c>
      <c r="BL1831" t="s">
        <v>28280</v>
      </c>
      <c r="BM1831" t="str">
        <f>HYPERLINK("http://dx.doi.org/10.3141/2163-10","http://dx.doi.org/10.3141/2163-10")</f>
        <v>http://dx.doi.org/10.3141/2163-10</v>
      </c>
      <c r="BN1831" t="s">
        <v>69</v>
      </c>
      <c r="BO1831" t="s">
        <v>69</v>
      </c>
      <c r="BP1831">
        <v>8</v>
      </c>
      <c r="BQ1831" t="s">
        <v>9560</v>
      </c>
      <c r="BR1831" t="s">
        <v>8523</v>
      </c>
      <c r="BS1831" t="s">
        <v>9561</v>
      </c>
      <c r="BT1831" t="s">
        <v>28281</v>
      </c>
      <c r="BU1831" t="s">
        <v>28282</v>
      </c>
      <c r="BV1831" t="s">
        <v>69</v>
      </c>
      <c r="BW1831" t="s">
        <v>9292</v>
      </c>
      <c r="BX1831" t="s">
        <v>69</v>
      </c>
      <c r="BY1831" t="s">
        <v>69</v>
      </c>
      <c r="BZ1831" t="s">
        <v>8526</v>
      </c>
      <c r="CA1831" t="str">
        <f>HYPERLINK("https%3A%2F%2Fwww.webofscience.com%2Fwos%2Fwoscc%2Ffull-record%2FWOS:000284728800011","View Full Record in Web of Science")</f>
        <v>View Full Record in Web of Science</v>
      </c>
    </row>
    <row r="1832" spans="2:79" ht="12.5" x14ac:dyDescent="0.25">
      <c r="B1832" t="s">
        <v>8495</v>
      </c>
      <c r="D1832" s="7" t="s">
        <v>32933</v>
      </c>
      <c r="E1832" s="7"/>
      <c r="F1832" s="7"/>
      <c r="G1832" s="7"/>
      <c r="H1832" t="s">
        <v>67</v>
      </c>
      <c r="I1832" t="s">
        <v>749</v>
      </c>
      <c r="J1832" t="s">
        <v>69</v>
      </c>
      <c r="K1832" t="s">
        <v>69</v>
      </c>
      <c r="L1832" t="s">
        <v>69</v>
      </c>
      <c r="M1832" t="s">
        <v>750</v>
      </c>
      <c r="N1832" t="s">
        <v>69</v>
      </c>
      <c r="O1832" t="s">
        <v>69</v>
      </c>
      <c r="P1832" t="s">
        <v>751</v>
      </c>
      <c r="Q1832" t="s">
        <v>752</v>
      </c>
      <c r="R1832" t="s">
        <v>69</v>
      </c>
      <c r="S1832" t="s">
        <v>69</v>
      </c>
      <c r="T1832" t="s">
        <v>8505</v>
      </c>
      <c r="U1832" t="s">
        <v>8506</v>
      </c>
      <c r="V1832" t="s">
        <v>69</v>
      </c>
      <c r="W1832" t="s">
        <v>69</v>
      </c>
      <c r="X1832" t="s">
        <v>69</v>
      </c>
      <c r="Y1832" t="s">
        <v>69</v>
      </c>
      <c r="Z1832" t="s">
        <v>69</v>
      </c>
      <c r="AA1832" t="s">
        <v>15294</v>
      </c>
      <c r="AB1832" t="s">
        <v>15295</v>
      </c>
      <c r="AC1832" t="s">
        <v>753</v>
      </c>
      <c r="AD1832" t="s">
        <v>15296</v>
      </c>
      <c r="AE1832" t="s">
        <v>69</v>
      </c>
      <c r="AF1832" t="s">
        <v>15297</v>
      </c>
      <c r="AG1832" t="s">
        <v>15298</v>
      </c>
      <c r="AH1832" t="s">
        <v>69</v>
      </c>
      <c r="AI1832" t="s">
        <v>69</v>
      </c>
      <c r="AJ1832" t="s">
        <v>69</v>
      </c>
      <c r="AK1832" t="s">
        <v>69</v>
      </c>
      <c r="AL1832" t="s">
        <v>69</v>
      </c>
      <c r="AM1832" t="s">
        <v>69</v>
      </c>
      <c r="AN1832">
        <v>83</v>
      </c>
      <c r="AO1832">
        <v>4</v>
      </c>
      <c r="AP1832">
        <v>4</v>
      </c>
      <c r="AQ1832">
        <v>2</v>
      </c>
      <c r="AR1832">
        <v>16</v>
      </c>
      <c r="AS1832" t="s">
        <v>8636</v>
      </c>
      <c r="AT1832" t="s">
        <v>8637</v>
      </c>
      <c r="AU1832" t="s">
        <v>8638</v>
      </c>
      <c r="AV1832" t="s">
        <v>754</v>
      </c>
      <c r="AW1832" t="s">
        <v>755</v>
      </c>
      <c r="AX1832" t="s">
        <v>69</v>
      </c>
      <c r="AY1832" t="s">
        <v>752</v>
      </c>
      <c r="AZ1832" t="s">
        <v>15299</v>
      </c>
      <c r="BA1832" t="s">
        <v>586</v>
      </c>
      <c r="BB1832">
        <v>2020</v>
      </c>
      <c r="BC1832">
        <v>90</v>
      </c>
      <c r="BD1832" t="s">
        <v>69</v>
      </c>
      <c r="BE1832" t="s">
        <v>69</v>
      </c>
      <c r="BF1832" t="s">
        <v>69</v>
      </c>
      <c r="BG1832" t="s">
        <v>69</v>
      </c>
      <c r="BH1832" t="s">
        <v>69</v>
      </c>
      <c r="BI1832">
        <v>1</v>
      </c>
      <c r="BJ1832">
        <v>12</v>
      </c>
      <c r="BK1832" t="s">
        <v>69</v>
      </c>
      <c r="BL1832" t="s">
        <v>756</v>
      </c>
      <c r="BM1832" t="str">
        <f>HYPERLINK("http://dx.doi.org/10.1016/j.tranpol.2020.02.005","http://dx.doi.org/10.1016/j.tranpol.2020.02.005")</f>
        <v>http://dx.doi.org/10.1016/j.tranpol.2020.02.005</v>
      </c>
      <c r="BN1832" t="s">
        <v>69</v>
      </c>
      <c r="BO1832" t="s">
        <v>69</v>
      </c>
      <c r="BP1832">
        <v>12</v>
      </c>
      <c r="BQ1832" t="s">
        <v>15300</v>
      </c>
      <c r="BR1832" t="s">
        <v>8661</v>
      </c>
      <c r="BS1832" t="s">
        <v>15301</v>
      </c>
      <c r="BT1832" t="s">
        <v>15302</v>
      </c>
      <c r="BU1832" t="s">
        <v>757</v>
      </c>
      <c r="BV1832" t="s">
        <v>69</v>
      </c>
      <c r="BW1832" t="s">
        <v>69</v>
      </c>
      <c r="BX1832" t="s">
        <v>69</v>
      </c>
      <c r="BY1832" t="s">
        <v>69</v>
      </c>
      <c r="BZ1832" t="s">
        <v>8526</v>
      </c>
      <c r="CA1832" t="str">
        <f>HYPERLINK("https%3A%2F%2Fwww.webofscience.com%2Fwos%2Fwoscc%2Ffull-record%2FWOS:000527367800001","View Full Record in Web of Science")</f>
        <v>View Full Record in Web of Science</v>
      </c>
    </row>
    <row r="1833" spans="2:79" ht="12.5" x14ac:dyDescent="0.25">
      <c r="B1833" t="s">
        <v>8495</v>
      </c>
      <c r="D1833" s="7" t="s">
        <v>32933</v>
      </c>
      <c r="E1833" s="7"/>
      <c r="F1833" s="7"/>
      <c r="G1833" s="7"/>
      <c r="H1833" t="s">
        <v>67</v>
      </c>
      <c r="I1833" t="s">
        <v>2741</v>
      </c>
      <c r="J1833" t="s">
        <v>69</v>
      </c>
      <c r="K1833" t="s">
        <v>69</v>
      </c>
      <c r="L1833" t="s">
        <v>69</v>
      </c>
      <c r="M1833" t="s">
        <v>2742</v>
      </c>
      <c r="N1833" t="s">
        <v>69</v>
      </c>
      <c r="O1833" t="s">
        <v>69</v>
      </c>
      <c r="P1833" t="s">
        <v>2743</v>
      </c>
      <c r="Q1833" t="s">
        <v>2744</v>
      </c>
      <c r="R1833" t="s">
        <v>69</v>
      </c>
      <c r="S1833" t="s">
        <v>69</v>
      </c>
      <c r="T1833" t="s">
        <v>8505</v>
      </c>
      <c r="U1833" t="s">
        <v>8506</v>
      </c>
      <c r="V1833" t="s">
        <v>69</v>
      </c>
      <c r="W1833" t="s">
        <v>69</v>
      </c>
      <c r="X1833" t="s">
        <v>69</v>
      </c>
      <c r="Y1833" t="s">
        <v>69</v>
      </c>
      <c r="Z1833" t="s">
        <v>69</v>
      </c>
      <c r="AA1833" t="s">
        <v>20641</v>
      </c>
      <c r="AB1833" t="s">
        <v>20642</v>
      </c>
      <c r="AC1833" t="s">
        <v>2745</v>
      </c>
      <c r="AD1833" t="s">
        <v>20643</v>
      </c>
      <c r="AE1833" t="s">
        <v>69</v>
      </c>
      <c r="AF1833" t="s">
        <v>20644</v>
      </c>
      <c r="AG1833" t="s">
        <v>20645</v>
      </c>
      <c r="AH1833" t="s">
        <v>20646</v>
      </c>
      <c r="AI1833" t="s">
        <v>20647</v>
      </c>
      <c r="AJ1833" t="s">
        <v>20648</v>
      </c>
      <c r="AK1833" t="s">
        <v>20649</v>
      </c>
      <c r="AL1833" t="s">
        <v>20650</v>
      </c>
      <c r="AM1833" t="s">
        <v>69</v>
      </c>
      <c r="AN1833">
        <v>61</v>
      </c>
      <c r="AO1833">
        <v>13</v>
      </c>
      <c r="AP1833">
        <v>13</v>
      </c>
      <c r="AQ1833">
        <v>0</v>
      </c>
      <c r="AR1833">
        <v>1</v>
      </c>
      <c r="AS1833" t="s">
        <v>8865</v>
      </c>
      <c r="AT1833" t="s">
        <v>8612</v>
      </c>
      <c r="AU1833" t="s">
        <v>8866</v>
      </c>
      <c r="AV1833" t="s">
        <v>2746</v>
      </c>
      <c r="AW1833" t="s">
        <v>2747</v>
      </c>
      <c r="AX1833" t="s">
        <v>69</v>
      </c>
      <c r="AY1833" t="s">
        <v>20651</v>
      </c>
      <c r="AZ1833" t="s">
        <v>20652</v>
      </c>
      <c r="BA1833" t="s">
        <v>69</v>
      </c>
      <c r="BB1833">
        <v>2017</v>
      </c>
      <c r="BC1833">
        <v>3</v>
      </c>
      <c r="BD1833">
        <v>2</v>
      </c>
      <c r="BE1833" t="s">
        <v>69</v>
      </c>
      <c r="BF1833" t="s">
        <v>69</v>
      </c>
      <c r="BG1833" t="s">
        <v>114</v>
      </c>
      <c r="BH1833" t="s">
        <v>69</v>
      </c>
      <c r="BI1833">
        <v>91</v>
      </c>
      <c r="BJ1833">
        <v>104</v>
      </c>
      <c r="BK1833" t="s">
        <v>69</v>
      </c>
      <c r="BL1833" t="s">
        <v>2748</v>
      </c>
      <c r="BM1833" t="str">
        <f>HYPERLINK("http://dx.doi.org/10.1080/23288604.2017.1291218","http://dx.doi.org/10.1080/23288604.2017.1291218")</f>
        <v>http://dx.doi.org/10.1080/23288604.2017.1291218</v>
      </c>
      <c r="BN1833" t="s">
        <v>69</v>
      </c>
      <c r="BO1833" t="s">
        <v>69</v>
      </c>
      <c r="BP1833">
        <v>14</v>
      </c>
      <c r="BQ1833" t="s">
        <v>19970</v>
      </c>
      <c r="BR1833" t="s">
        <v>8661</v>
      </c>
      <c r="BS1833" t="s">
        <v>11565</v>
      </c>
      <c r="BT1833" t="s">
        <v>20653</v>
      </c>
      <c r="BU1833" t="s">
        <v>2749</v>
      </c>
      <c r="BV1833">
        <v>31514679</v>
      </c>
      <c r="BW1833" t="s">
        <v>8812</v>
      </c>
      <c r="BX1833" t="s">
        <v>69</v>
      </c>
      <c r="BY1833" t="s">
        <v>69</v>
      </c>
      <c r="BZ1833" t="s">
        <v>8526</v>
      </c>
      <c r="CA1833" t="str">
        <f>HYPERLINK("https%3A%2F%2Fwww.webofscience.com%2Fwos%2Fwoscc%2Ffull-record%2FWOS:000445292200004","View Full Record in Web of Science")</f>
        <v>View Full Record in Web of Science</v>
      </c>
    </row>
    <row r="1834" spans="2:79" ht="12.5" x14ac:dyDescent="0.25">
      <c r="B1834" t="s">
        <v>8495</v>
      </c>
      <c r="D1834" s="7" t="s">
        <v>32933</v>
      </c>
      <c r="E1834" s="7"/>
      <c r="F1834" s="7"/>
      <c r="G1834" s="7"/>
      <c r="H1834" t="s">
        <v>67</v>
      </c>
      <c r="I1834" t="s">
        <v>4027</v>
      </c>
      <c r="J1834" t="s">
        <v>69</v>
      </c>
      <c r="K1834" t="s">
        <v>69</v>
      </c>
      <c r="L1834" t="s">
        <v>69</v>
      </c>
      <c r="M1834" t="s">
        <v>4027</v>
      </c>
      <c r="N1834" t="s">
        <v>69</v>
      </c>
      <c r="O1834" t="s">
        <v>69</v>
      </c>
      <c r="P1834" t="s">
        <v>4028</v>
      </c>
      <c r="Q1834" t="s">
        <v>4029</v>
      </c>
      <c r="R1834" t="s">
        <v>69</v>
      </c>
      <c r="S1834" t="s">
        <v>69</v>
      </c>
      <c r="T1834" t="s">
        <v>8505</v>
      </c>
      <c r="U1834" t="s">
        <v>8506</v>
      </c>
      <c r="V1834" t="s">
        <v>69</v>
      </c>
      <c r="W1834" t="s">
        <v>69</v>
      </c>
      <c r="X1834" t="s">
        <v>69</v>
      </c>
      <c r="Y1834" t="s">
        <v>69</v>
      </c>
      <c r="Z1834" t="s">
        <v>69</v>
      </c>
      <c r="AA1834" t="s">
        <v>69</v>
      </c>
      <c r="AB1834" t="s">
        <v>69</v>
      </c>
      <c r="AC1834" t="s">
        <v>4030</v>
      </c>
      <c r="AD1834" t="s">
        <v>31470</v>
      </c>
      <c r="AE1834" t="s">
        <v>69</v>
      </c>
      <c r="AF1834" t="s">
        <v>31471</v>
      </c>
      <c r="AG1834" t="s">
        <v>69</v>
      </c>
      <c r="AH1834" t="s">
        <v>69</v>
      </c>
      <c r="AI1834" t="s">
        <v>69</v>
      </c>
      <c r="AJ1834" t="s">
        <v>69</v>
      </c>
      <c r="AK1834" t="s">
        <v>69</v>
      </c>
      <c r="AL1834" t="s">
        <v>69</v>
      </c>
      <c r="AM1834" t="s">
        <v>69</v>
      </c>
      <c r="AN1834">
        <v>14</v>
      </c>
      <c r="AO1834">
        <v>0</v>
      </c>
      <c r="AP1834">
        <v>0</v>
      </c>
      <c r="AQ1834">
        <v>1</v>
      </c>
      <c r="AR1834">
        <v>5</v>
      </c>
      <c r="AS1834" t="s">
        <v>31472</v>
      </c>
      <c r="AT1834" t="s">
        <v>10141</v>
      </c>
      <c r="AU1834" t="s">
        <v>31473</v>
      </c>
      <c r="AV1834" t="s">
        <v>4031</v>
      </c>
      <c r="AW1834" t="s">
        <v>69</v>
      </c>
      <c r="AX1834" t="s">
        <v>69</v>
      </c>
      <c r="AY1834" t="s">
        <v>15613</v>
      </c>
      <c r="AZ1834" t="s">
        <v>15614</v>
      </c>
      <c r="BA1834" t="s">
        <v>246</v>
      </c>
      <c r="BB1834">
        <v>2002</v>
      </c>
      <c r="BC1834">
        <v>28</v>
      </c>
      <c r="BD1834">
        <v>2</v>
      </c>
      <c r="BE1834" t="s">
        <v>69</v>
      </c>
      <c r="BF1834" t="s">
        <v>69</v>
      </c>
      <c r="BG1834" t="s">
        <v>69</v>
      </c>
      <c r="BH1834" t="s">
        <v>69</v>
      </c>
      <c r="BI1834">
        <v>291</v>
      </c>
      <c r="BJ1834">
        <v>301</v>
      </c>
      <c r="BK1834" t="s">
        <v>69</v>
      </c>
      <c r="BL1834" t="s">
        <v>4032</v>
      </c>
      <c r="BM1834" t="str">
        <f>HYPERLINK("http://dx.doi.org/10.5589/m02-021","http://dx.doi.org/10.5589/m02-021")</f>
        <v>http://dx.doi.org/10.5589/m02-021</v>
      </c>
      <c r="BN1834" t="s">
        <v>69</v>
      </c>
      <c r="BO1834" t="s">
        <v>69</v>
      </c>
      <c r="BP1834">
        <v>11</v>
      </c>
      <c r="BQ1834" t="s">
        <v>15615</v>
      </c>
      <c r="BR1834" t="s">
        <v>8548</v>
      </c>
      <c r="BS1834" t="s">
        <v>15615</v>
      </c>
      <c r="BT1834" t="s">
        <v>31474</v>
      </c>
      <c r="BU1834" t="s">
        <v>4033</v>
      </c>
      <c r="BV1834" t="s">
        <v>69</v>
      </c>
      <c r="BW1834" t="s">
        <v>69</v>
      </c>
      <c r="BX1834" t="s">
        <v>69</v>
      </c>
      <c r="BY1834" t="s">
        <v>69</v>
      </c>
      <c r="BZ1834" t="s">
        <v>8526</v>
      </c>
      <c r="CA1834" t="str">
        <f>HYPERLINK("https%3A%2F%2Fwww.webofscience.com%2Fwos%2Fwoscc%2Ffull-record%2FWOS:000175510300020","View Full Record in Web of Science")</f>
        <v>View Full Record in Web of Science</v>
      </c>
    </row>
    <row r="1835" spans="2:79" ht="12.5" x14ac:dyDescent="0.25">
      <c r="B1835" t="s">
        <v>8495</v>
      </c>
      <c r="D1835" s="22" t="s">
        <v>32931</v>
      </c>
      <c r="E1835" s="7"/>
      <c r="F1835" s="7"/>
      <c r="G1835" s="7"/>
      <c r="H1835" t="s">
        <v>67</v>
      </c>
      <c r="I1835" t="s">
        <v>12511</v>
      </c>
      <c r="J1835" t="s">
        <v>69</v>
      </c>
      <c r="K1835" t="s">
        <v>69</v>
      </c>
      <c r="L1835" t="s">
        <v>69</v>
      </c>
      <c r="M1835" t="s">
        <v>12512</v>
      </c>
      <c r="N1835" t="s">
        <v>69</v>
      </c>
      <c r="O1835" t="s">
        <v>69</v>
      </c>
      <c r="P1835" t="s">
        <v>12513</v>
      </c>
      <c r="Q1835" t="s">
        <v>12514</v>
      </c>
      <c r="R1835" t="s">
        <v>69</v>
      </c>
      <c r="S1835" t="s">
        <v>69</v>
      </c>
      <c r="T1835" t="s">
        <v>8505</v>
      </c>
      <c r="U1835" t="s">
        <v>8506</v>
      </c>
      <c r="V1835" t="s">
        <v>69</v>
      </c>
      <c r="W1835" t="s">
        <v>69</v>
      </c>
      <c r="X1835" t="s">
        <v>69</v>
      </c>
      <c r="Y1835" t="s">
        <v>69</v>
      </c>
      <c r="Z1835" t="s">
        <v>69</v>
      </c>
      <c r="AA1835" t="s">
        <v>12515</v>
      </c>
      <c r="AB1835" t="s">
        <v>12516</v>
      </c>
      <c r="AC1835" t="s">
        <v>12517</v>
      </c>
      <c r="AD1835" t="s">
        <v>12518</v>
      </c>
      <c r="AE1835" t="s">
        <v>69</v>
      </c>
      <c r="AF1835" t="s">
        <v>12519</v>
      </c>
      <c r="AG1835" t="s">
        <v>12520</v>
      </c>
      <c r="AH1835" t="s">
        <v>12521</v>
      </c>
      <c r="AI1835" t="s">
        <v>12522</v>
      </c>
      <c r="AJ1835" t="s">
        <v>12523</v>
      </c>
      <c r="AK1835" t="s">
        <v>12524</v>
      </c>
      <c r="AL1835" t="s">
        <v>12525</v>
      </c>
      <c r="AM1835" t="s">
        <v>69</v>
      </c>
      <c r="AN1835">
        <v>60</v>
      </c>
      <c r="AO1835">
        <v>1</v>
      </c>
      <c r="AP1835">
        <v>1</v>
      </c>
      <c r="AQ1835">
        <v>7</v>
      </c>
      <c r="AR1835">
        <v>11</v>
      </c>
      <c r="AS1835" t="s">
        <v>8924</v>
      </c>
      <c r="AT1835" t="s">
        <v>8925</v>
      </c>
      <c r="AU1835" t="s">
        <v>8926</v>
      </c>
      <c r="AV1835" t="s">
        <v>69</v>
      </c>
      <c r="AW1835" t="s">
        <v>12526</v>
      </c>
      <c r="AX1835" t="s">
        <v>69</v>
      </c>
      <c r="AY1835" t="s">
        <v>12514</v>
      </c>
      <c r="AZ1835" t="s">
        <v>8488</v>
      </c>
      <c r="BA1835" t="s">
        <v>246</v>
      </c>
      <c r="BB1835">
        <v>2021</v>
      </c>
      <c r="BC1835">
        <v>9</v>
      </c>
      <c r="BD1835">
        <v>4</v>
      </c>
      <c r="BE1835" t="s">
        <v>69</v>
      </c>
      <c r="BF1835" t="s">
        <v>69</v>
      </c>
      <c r="BG1835" t="s">
        <v>69</v>
      </c>
      <c r="BH1835" t="s">
        <v>69</v>
      </c>
      <c r="BI1835" t="s">
        <v>69</v>
      </c>
      <c r="BJ1835" t="s">
        <v>69</v>
      </c>
      <c r="BK1835">
        <v>52</v>
      </c>
      <c r="BL1835" t="s">
        <v>12527</v>
      </c>
      <c r="BM1835" t="str">
        <f>HYPERLINK("http://dx.doi.org/10.3390/cli9040052","http://dx.doi.org/10.3390/cli9040052")</f>
        <v>http://dx.doi.org/10.3390/cli9040052</v>
      </c>
      <c r="BN1835" t="s">
        <v>69</v>
      </c>
      <c r="BO1835" t="s">
        <v>69</v>
      </c>
      <c r="BP1835">
        <v>17</v>
      </c>
      <c r="BQ1835" t="s">
        <v>10195</v>
      </c>
      <c r="BR1835" t="s">
        <v>8573</v>
      </c>
      <c r="BS1835" t="s">
        <v>10195</v>
      </c>
      <c r="BT1835" t="s">
        <v>12528</v>
      </c>
      <c r="BU1835" t="s">
        <v>12529</v>
      </c>
      <c r="BV1835" t="s">
        <v>69</v>
      </c>
      <c r="BW1835" t="s">
        <v>8812</v>
      </c>
      <c r="BX1835" t="s">
        <v>69</v>
      </c>
      <c r="BY1835" t="s">
        <v>69</v>
      </c>
      <c r="BZ1835" t="s">
        <v>8526</v>
      </c>
      <c r="CA1835" t="str">
        <f>HYPERLINK("https%3A%2F%2Fwww.webofscience.com%2Fwos%2Fwoscc%2Ffull-record%2FWOS:000642925400001","View Full Record in Web of Science")</f>
        <v>View Full Record in Web of Science</v>
      </c>
    </row>
    <row r="1836" spans="2:79" ht="12.5" x14ac:dyDescent="0.25">
      <c r="B1836" t="s">
        <v>8495</v>
      </c>
      <c r="D1836" s="22" t="s">
        <v>32931</v>
      </c>
      <c r="E1836" s="7"/>
      <c r="F1836" s="7"/>
      <c r="G1836" s="7"/>
      <c r="H1836" t="s">
        <v>67</v>
      </c>
      <c r="I1836" t="s">
        <v>14035</v>
      </c>
      <c r="J1836" t="s">
        <v>69</v>
      </c>
      <c r="K1836" t="s">
        <v>69</v>
      </c>
      <c r="L1836" t="s">
        <v>69</v>
      </c>
      <c r="M1836" t="s">
        <v>14036</v>
      </c>
      <c r="N1836" t="s">
        <v>69</v>
      </c>
      <c r="O1836" t="s">
        <v>69</v>
      </c>
      <c r="P1836" t="s">
        <v>14037</v>
      </c>
      <c r="Q1836" t="s">
        <v>14038</v>
      </c>
      <c r="R1836" t="s">
        <v>69</v>
      </c>
      <c r="S1836" t="s">
        <v>69</v>
      </c>
      <c r="T1836" t="s">
        <v>8505</v>
      </c>
      <c r="U1836" t="s">
        <v>8506</v>
      </c>
      <c r="V1836" t="s">
        <v>69</v>
      </c>
      <c r="W1836" t="s">
        <v>69</v>
      </c>
      <c r="X1836" t="s">
        <v>69</v>
      </c>
      <c r="Y1836" t="s">
        <v>69</v>
      </c>
      <c r="Z1836" t="s">
        <v>69</v>
      </c>
      <c r="AA1836" t="s">
        <v>14039</v>
      </c>
      <c r="AB1836" t="s">
        <v>10176</v>
      </c>
      <c r="AC1836" t="s">
        <v>14040</v>
      </c>
      <c r="AD1836" t="s">
        <v>14041</v>
      </c>
      <c r="AE1836" t="s">
        <v>69</v>
      </c>
      <c r="AF1836" t="s">
        <v>14042</v>
      </c>
      <c r="AG1836" t="s">
        <v>14043</v>
      </c>
      <c r="AH1836" t="s">
        <v>69</v>
      </c>
      <c r="AI1836" t="s">
        <v>14044</v>
      </c>
      <c r="AJ1836" t="s">
        <v>14045</v>
      </c>
      <c r="AK1836" t="s">
        <v>14045</v>
      </c>
      <c r="AL1836" t="s">
        <v>14046</v>
      </c>
      <c r="AM1836" t="s">
        <v>69</v>
      </c>
      <c r="AN1836">
        <v>29</v>
      </c>
      <c r="AO1836">
        <v>2</v>
      </c>
      <c r="AP1836">
        <v>2</v>
      </c>
      <c r="AQ1836">
        <v>0</v>
      </c>
      <c r="AR1836">
        <v>4</v>
      </c>
      <c r="AS1836" t="s">
        <v>9203</v>
      </c>
      <c r="AT1836" t="s">
        <v>8763</v>
      </c>
      <c r="AU1836" t="s">
        <v>9204</v>
      </c>
      <c r="AV1836" t="s">
        <v>69</v>
      </c>
      <c r="AW1836" t="s">
        <v>14047</v>
      </c>
      <c r="AX1836" t="s">
        <v>69</v>
      </c>
      <c r="AY1836" t="s">
        <v>14048</v>
      </c>
      <c r="AZ1836" t="s">
        <v>14049</v>
      </c>
      <c r="BA1836" t="s">
        <v>6976</v>
      </c>
      <c r="BB1836">
        <v>2020</v>
      </c>
      <c r="BC1836">
        <v>21</v>
      </c>
      <c r="BD1836">
        <v>1</v>
      </c>
      <c r="BE1836" t="s">
        <v>69</v>
      </c>
      <c r="BF1836" t="s">
        <v>69</v>
      </c>
      <c r="BG1836" t="s">
        <v>69</v>
      </c>
      <c r="BH1836" t="s">
        <v>69</v>
      </c>
      <c r="BI1836" t="s">
        <v>69</v>
      </c>
      <c r="BJ1836" t="s">
        <v>69</v>
      </c>
      <c r="BK1836">
        <v>230</v>
      </c>
      <c r="BL1836" t="s">
        <v>14050</v>
      </c>
      <c r="BM1836" t="str">
        <f>HYPERLINK("http://dx.doi.org/10.1186/s12875-020-01300-z","http://dx.doi.org/10.1186/s12875-020-01300-z")</f>
        <v>http://dx.doi.org/10.1186/s12875-020-01300-z</v>
      </c>
      <c r="BN1836" t="s">
        <v>69</v>
      </c>
      <c r="BO1836" t="s">
        <v>69</v>
      </c>
      <c r="BP1836">
        <v>12</v>
      </c>
      <c r="BQ1836" t="s">
        <v>14051</v>
      </c>
      <c r="BR1836" t="s">
        <v>8523</v>
      </c>
      <c r="BS1836" t="s">
        <v>9451</v>
      </c>
      <c r="BT1836" t="s">
        <v>14052</v>
      </c>
      <c r="BU1836" t="s">
        <v>14053</v>
      </c>
      <c r="BV1836">
        <v>33172414</v>
      </c>
      <c r="BW1836" t="s">
        <v>8812</v>
      </c>
      <c r="BX1836" t="s">
        <v>69</v>
      </c>
      <c r="BY1836" t="s">
        <v>69</v>
      </c>
      <c r="BZ1836" t="s">
        <v>8526</v>
      </c>
      <c r="CA1836" t="str">
        <f>HYPERLINK("https%3A%2F%2Fwww.webofscience.com%2Fwos%2Fwoscc%2Ffull-record%2FWOS:000593853300001","View Full Record in Web of Science")</f>
        <v>View Full Record in Web of Science</v>
      </c>
    </row>
    <row r="1837" spans="2:79" ht="12.5" x14ac:dyDescent="0.25">
      <c r="B1837" t="s">
        <v>8495</v>
      </c>
      <c r="D1837" s="7" t="s">
        <v>32933</v>
      </c>
      <c r="E1837" s="7"/>
      <c r="F1837" s="7"/>
      <c r="G1837" s="7"/>
      <c r="H1837" t="s">
        <v>67</v>
      </c>
      <c r="I1837" t="s">
        <v>2014</v>
      </c>
      <c r="J1837" t="s">
        <v>69</v>
      </c>
      <c r="K1837" t="s">
        <v>69</v>
      </c>
      <c r="L1837" t="s">
        <v>69</v>
      </c>
      <c r="M1837" t="s">
        <v>2015</v>
      </c>
      <c r="N1837" t="s">
        <v>69</v>
      </c>
      <c r="O1837" t="s">
        <v>69</v>
      </c>
      <c r="P1837" t="s">
        <v>2016</v>
      </c>
      <c r="Q1837" t="s">
        <v>2017</v>
      </c>
      <c r="R1837" t="s">
        <v>69</v>
      </c>
      <c r="S1837" t="s">
        <v>69</v>
      </c>
      <c r="T1837" t="s">
        <v>8505</v>
      </c>
      <c r="U1837" t="s">
        <v>8506</v>
      </c>
      <c r="V1837" t="s">
        <v>69</v>
      </c>
      <c r="W1837" t="s">
        <v>69</v>
      </c>
      <c r="X1837" t="s">
        <v>69</v>
      </c>
      <c r="Y1837" t="s">
        <v>69</v>
      </c>
      <c r="Z1837" t="s">
        <v>69</v>
      </c>
      <c r="AA1837" t="s">
        <v>15693</v>
      </c>
      <c r="AB1837" t="s">
        <v>15694</v>
      </c>
      <c r="AC1837" t="s">
        <v>2018</v>
      </c>
      <c r="AD1837" t="s">
        <v>15695</v>
      </c>
      <c r="AE1837" t="s">
        <v>69</v>
      </c>
      <c r="AF1837" t="s">
        <v>15696</v>
      </c>
      <c r="AG1837" t="s">
        <v>15697</v>
      </c>
      <c r="AH1837" t="s">
        <v>15698</v>
      </c>
      <c r="AI1837" t="s">
        <v>2019</v>
      </c>
      <c r="AJ1837" t="s">
        <v>69</v>
      </c>
      <c r="AK1837" t="s">
        <v>69</v>
      </c>
      <c r="AL1837" t="s">
        <v>69</v>
      </c>
      <c r="AM1837" t="s">
        <v>69</v>
      </c>
      <c r="AN1837">
        <v>71</v>
      </c>
      <c r="AO1837">
        <v>12</v>
      </c>
      <c r="AP1837">
        <v>12</v>
      </c>
      <c r="AQ1837">
        <v>1</v>
      </c>
      <c r="AR1837">
        <v>6</v>
      </c>
      <c r="AS1837" t="s">
        <v>9554</v>
      </c>
      <c r="AT1837" t="s">
        <v>9555</v>
      </c>
      <c r="AU1837" t="s">
        <v>9556</v>
      </c>
      <c r="AV1837" t="s">
        <v>2020</v>
      </c>
      <c r="AW1837" t="s">
        <v>2021</v>
      </c>
      <c r="AX1837" t="s">
        <v>69</v>
      </c>
      <c r="AY1837" t="s">
        <v>15699</v>
      </c>
      <c r="AZ1837" t="s">
        <v>15700</v>
      </c>
      <c r="BA1837" t="s">
        <v>94</v>
      </c>
      <c r="BB1837">
        <v>2020</v>
      </c>
      <c r="BC1837">
        <v>52</v>
      </c>
      <c r="BD1837">
        <v>2</v>
      </c>
      <c r="BE1837" t="s">
        <v>69</v>
      </c>
      <c r="BF1837" t="s">
        <v>69</v>
      </c>
      <c r="BG1837" t="s">
        <v>69</v>
      </c>
      <c r="BH1837" t="s">
        <v>69</v>
      </c>
      <c r="BI1837">
        <v>383</v>
      </c>
      <c r="BJ1837">
        <v>402</v>
      </c>
      <c r="BK1837" t="s">
        <v>69</v>
      </c>
      <c r="BL1837" t="s">
        <v>2022</v>
      </c>
      <c r="BM1837" t="str">
        <f>HYPERLINK("http://dx.doi.org/10.1177/0308518X19853277","http://dx.doi.org/10.1177/0308518X19853277")</f>
        <v>http://dx.doi.org/10.1177/0308518X19853277</v>
      </c>
      <c r="BN1837" t="s">
        <v>69</v>
      </c>
      <c r="BO1837" t="s">
        <v>69</v>
      </c>
      <c r="BP1837">
        <v>20</v>
      </c>
      <c r="BQ1837" t="s">
        <v>15669</v>
      </c>
      <c r="BR1837" t="s">
        <v>8661</v>
      </c>
      <c r="BS1837" t="s">
        <v>15670</v>
      </c>
      <c r="BT1837" t="s">
        <v>15701</v>
      </c>
      <c r="BU1837" t="s">
        <v>2023</v>
      </c>
      <c r="BV1837" t="s">
        <v>69</v>
      </c>
      <c r="BW1837" t="s">
        <v>69</v>
      </c>
      <c r="BX1837" t="s">
        <v>69</v>
      </c>
      <c r="BY1837" t="s">
        <v>69</v>
      </c>
      <c r="BZ1837" t="s">
        <v>8526</v>
      </c>
      <c r="CA1837" t="str">
        <f>HYPERLINK("https%3A%2F%2Fwww.webofscience.com%2Fwos%2Fwoscc%2Ffull-record%2FWOS:000511255600010","View Full Record in Web of Science")</f>
        <v>View Full Record in Web of Science</v>
      </c>
    </row>
    <row r="1838" spans="2:79" ht="12.5" x14ac:dyDescent="0.25">
      <c r="B1838" t="s">
        <v>8495</v>
      </c>
      <c r="D1838" s="22" t="s">
        <v>32931</v>
      </c>
      <c r="E1838" s="7"/>
      <c r="F1838" s="7"/>
      <c r="G1838" s="7"/>
      <c r="H1838" t="s">
        <v>67</v>
      </c>
      <c r="I1838" t="s">
        <v>13828</v>
      </c>
      <c r="J1838" t="s">
        <v>69</v>
      </c>
      <c r="K1838" t="s">
        <v>69</v>
      </c>
      <c r="L1838" t="s">
        <v>69</v>
      </c>
      <c r="M1838" t="s">
        <v>13829</v>
      </c>
      <c r="N1838" t="s">
        <v>69</v>
      </c>
      <c r="O1838" t="s">
        <v>69</v>
      </c>
      <c r="P1838" t="s">
        <v>13830</v>
      </c>
      <c r="Q1838" t="s">
        <v>13831</v>
      </c>
      <c r="R1838" t="s">
        <v>69</v>
      </c>
      <c r="S1838" t="s">
        <v>69</v>
      </c>
      <c r="T1838" t="s">
        <v>8505</v>
      </c>
      <c r="U1838" t="s">
        <v>8506</v>
      </c>
      <c r="V1838" t="s">
        <v>69</v>
      </c>
      <c r="W1838" t="s">
        <v>69</v>
      </c>
      <c r="X1838" t="s">
        <v>69</v>
      </c>
      <c r="Y1838" t="s">
        <v>69</v>
      </c>
      <c r="Z1838" t="s">
        <v>69</v>
      </c>
      <c r="AA1838" t="s">
        <v>69</v>
      </c>
      <c r="AB1838" t="s">
        <v>69</v>
      </c>
      <c r="AC1838" t="s">
        <v>13832</v>
      </c>
      <c r="AD1838" t="s">
        <v>69</v>
      </c>
      <c r="AE1838" t="s">
        <v>69</v>
      </c>
      <c r="AF1838" t="s">
        <v>69</v>
      </c>
      <c r="AG1838" t="s">
        <v>69</v>
      </c>
      <c r="AH1838" t="s">
        <v>69</v>
      </c>
      <c r="AI1838" t="s">
        <v>69</v>
      </c>
      <c r="AJ1838" t="s">
        <v>69</v>
      </c>
      <c r="AK1838" t="s">
        <v>69</v>
      </c>
      <c r="AL1838" t="s">
        <v>69</v>
      </c>
      <c r="AM1838" t="s">
        <v>69</v>
      </c>
      <c r="AN1838">
        <v>17</v>
      </c>
      <c r="AO1838">
        <v>0</v>
      </c>
      <c r="AP1838">
        <v>0</v>
      </c>
      <c r="AQ1838">
        <v>2</v>
      </c>
      <c r="AR1838">
        <v>11</v>
      </c>
      <c r="AS1838" t="s">
        <v>8846</v>
      </c>
      <c r="AT1838" t="s">
        <v>8847</v>
      </c>
      <c r="AU1838" t="s">
        <v>8848</v>
      </c>
      <c r="AV1838" t="s">
        <v>13833</v>
      </c>
      <c r="AW1838" t="s">
        <v>69</v>
      </c>
      <c r="AX1838" t="s">
        <v>69</v>
      </c>
      <c r="AY1838" t="s">
        <v>13834</v>
      </c>
      <c r="AZ1838" t="s">
        <v>13835</v>
      </c>
      <c r="BA1838" t="s">
        <v>373</v>
      </c>
      <c r="BB1838">
        <v>2021</v>
      </c>
      <c r="BC1838">
        <v>21</v>
      </c>
      <c r="BD1838">
        <v>1</v>
      </c>
      <c r="BE1838" t="s">
        <v>69</v>
      </c>
      <c r="BF1838" t="s">
        <v>69</v>
      </c>
      <c r="BG1838" t="s">
        <v>69</v>
      </c>
      <c r="BH1838" t="s">
        <v>69</v>
      </c>
      <c r="BI1838">
        <v>19</v>
      </c>
      <c r="BJ1838">
        <v>38</v>
      </c>
      <c r="BK1838" t="s">
        <v>69</v>
      </c>
      <c r="BL1838" t="s">
        <v>13836</v>
      </c>
      <c r="BM1838" t="str">
        <f>HYPERLINK("http://dx.doi.org/10.1111/1471-3802.12496","http://dx.doi.org/10.1111/1471-3802.12496")</f>
        <v>http://dx.doi.org/10.1111/1471-3802.12496</v>
      </c>
      <c r="BN1838" t="s">
        <v>69</v>
      </c>
      <c r="BO1838" t="s">
        <v>69</v>
      </c>
      <c r="BP1838">
        <v>20</v>
      </c>
      <c r="BQ1838" t="s">
        <v>13837</v>
      </c>
      <c r="BR1838" t="s">
        <v>8573</v>
      </c>
      <c r="BS1838" t="s">
        <v>9290</v>
      </c>
      <c r="BT1838" t="s">
        <v>13838</v>
      </c>
      <c r="BU1838" t="s">
        <v>13839</v>
      </c>
      <c r="BV1838" t="s">
        <v>69</v>
      </c>
      <c r="BW1838" t="s">
        <v>69</v>
      </c>
      <c r="BX1838" t="s">
        <v>69</v>
      </c>
      <c r="BY1838" t="s">
        <v>69</v>
      </c>
      <c r="BZ1838" t="s">
        <v>8526</v>
      </c>
      <c r="CA1838" t="str">
        <f>HYPERLINK("https%3A%2F%2Fwww.webofscience.com%2Fwos%2Fwoscc%2Ffull-record%2FWOS:000615085600002","View Full Record in Web of Science")</f>
        <v>View Full Record in Web of Science</v>
      </c>
    </row>
    <row r="1839" spans="2:79" ht="12.5" x14ac:dyDescent="0.25">
      <c r="B1839" t="s">
        <v>8495</v>
      </c>
      <c r="D1839" s="7" t="s">
        <v>32933</v>
      </c>
      <c r="E1839" s="7"/>
      <c r="F1839" s="7"/>
      <c r="G1839" s="7"/>
      <c r="H1839" t="s">
        <v>67</v>
      </c>
      <c r="I1839" t="s">
        <v>2514</v>
      </c>
      <c r="J1839" t="s">
        <v>69</v>
      </c>
      <c r="K1839" t="s">
        <v>69</v>
      </c>
      <c r="L1839" t="s">
        <v>69</v>
      </c>
      <c r="M1839" t="s">
        <v>2515</v>
      </c>
      <c r="N1839" t="s">
        <v>69</v>
      </c>
      <c r="O1839" t="s">
        <v>69</v>
      </c>
      <c r="P1839" t="s">
        <v>2516</v>
      </c>
      <c r="Q1839" t="s">
        <v>2517</v>
      </c>
      <c r="R1839" t="s">
        <v>69</v>
      </c>
      <c r="S1839" t="s">
        <v>69</v>
      </c>
      <c r="T1839" t="s">
        <v>8505</v>
      </c>
      <c r="U1839" t="s">
        <v>8506</v>
      </c>
      <c r="V1839" t="s">
        <v>69</v>
      </c>
      <c r="W1839" t="s">
        <v>69</v>
      </c>
      <c r="X1839" t="s">
        <v>69</v>
      </c>
      <c r="Y1839" t="s">
        <v>69</v>
      </c>
      <c r="Z1839" t="s">
        <v>69</v>
      </c>
      <c r="AA1839" t="s">
        <v>19422</v>
      </c>
      <c r="AB1839" t="s">
        <v>69</v>
      </c>
      <c r="AC1839" t="s">
        <v>2518</v>
      </c>
      <c r="AD1839" t="s">
        <v>19423</v>
      </c>
      <c r="AE1839" t="s">
        <v>69</v>
      </c>
      <c r="AF1839" t="s">
        <v>19424</v>
      </c>
      <c r="AG1839" t="s">
        <v>19425</v>
      </c>
      <c r="AH1839" t="s">
        <v>69</v>
      </c>
      <c r="AI1839" t="s">
        <v>69</v>
      </c>
      <c r="AJ1839" t="s">
        <v>69</v>
      </c>
      <c r="AK1839" t="s">
        <v>69</v>
      </c>
      <c r="AL1839" t="s">
        <v>69</v>
      </c>
      <c r="AM1839" t="s">
        <v>69</v>
      </c>
      <c r="AN1839">
        <v>112</v>
      </c>
      <c r="AO1839">
        <v>3</v>
      </c>
      <c r="AP1839">
        <v>3</v>
      </c>
      <c r="AQ1839">
        <v>1</v>
      </c>
      <c r="AR1839">
        <v>24</v>
      </c>
      <c r="AS1839" t="s">
        <v>8586</v>
      </c>
      <c r="AT1839" t="s">
        <v>8587</v>
      </c>
      <c r="AU1839" t="s">
        <v>8588</v>
      </c>
      <c r="AV1839" t="s">
        <v>2519</v>
      </c>
      <c r="AW1839" t="s">
        <v>2520</v>
      </c>
      <c r="AX1839" t="s">
        <v>69</v>
      </c>
      <c r="AY1839" t="s">
        <v>11006</v>
      </c>
      <c r="AZ1839" t="s">
        <v>11007</v>
      </c>
      <c r="BA1839" t="s">
        <v>69</v>
      </c>
      <c r="BB1839">
        <v>2018</v>
      </c>
      <c r="BC1839">
        <v>20</v>
      </c>
      <c r="BD1839">
        <v>5</v>
      </c>
      <c r="BE1839" t="s">
        <v>69</v>
      </c>
      <c r="BF1839" t="s">
        <v>69</v>
      </c>
      <c r="BG1839" t="s">
        <v>69</v>
      </c>
      <c r="BH1839" t="s">
        <v>69</v>
      </c>
      <c r="BI1839">
        <v>449</v>
      </c>
      <c r="BJ1839">
        <v>478</v>
      </c>
      <c r="BK1839" t="s">
        <v>69</v>
      </c>
      <c r="BL1839" t="s">
        <v>2521</v>
      </c>
      <c r="BM1839" t="str">
        <f>HYPERLINK("http://dx.doi.org/10.1108/DPRG-03-2018-0008","http://dx.doi.org/10.1108/DPRG-03-2018-0008")</f>
        <v>http://dx.doi.org/10.1108/DPRG-03-2018-0008</v>
      </c>
      <c r="BN1839" t="s">
        <v>69</v>
      </c>
      <c r="BO1839" t="s">
        <v>69</v>
      </c>
      <c r="BP1839">
        <v>30</v>
      </c>
      <c r="BQ1839" t="s">
        <v>11010</v>
      </c>
      <c r="BR1839" t="s">
        <v>8573</v>
      </c>
      <c r="BS1839" t="s">
        <v>11010</v>
      </c>
      <c r="BT1839" t="s">
        <v>19426</v>
      </c>
      <c r="BU1839" t="s">
        <v>2522</v>
      </c>
      <c r="BV1839" t="s">
        <v>69</v>
      </c>
      <c r="BW1839" t="s">
        <v>69</v>
      </c>
      <c r="BX1839" t="s">
        <v>69</v>
      </c>
      <c r="BY1839" t="s">
        <v>69</v>
      </c>
      <c r="BZ1839" t="s">
        <v>8526</v>
      </c>
      <c r="CA1839" t="str">
        <f>HYPERLINK("https%3A%2F%2Fwww.webofscience.com%2Fwos%2Fwoscc%2Ffull-record%2FWOS:000448322800005","View Full Record in Web of Science")</f>
        <v>View Full Record in Web of Science</v>
      </c>
    </row>
    <row r="1840" spans="2:79" ht="12.5" x14ac:dyDescent="0.25">
      <c r="B1840" t="s">
        <v>8495</v>
      </c>
      <c r="D1840" s="22" t="s">
        <v>32931</v>
      </c>
      <c r="E1840" s="7"/>
      <c r="F1840" s="7"/>
      <c r="G1840" s="7"/>
      <c r="H1840" t="s">
        <v>67</v>
      </c>
      <c r="I1840" t="s">
        <v>21285</v>
      </c>
      <c r="J1840" t="s">
        <v>69</v>
      </c>
      <c r="K1840" t="s">
        <v>69</v>
      </c>
      <c r="L1840" t="s">
        <v>69</v>
      </c>
      <c r="M1840" t="s">
        <v>21286</v>
      </c>
      <c r="N1840" t="s">
        <v>69</v>
      </c>
      <c r="O1840" t="s">
        <v>69</v>
      </c>
      <c r="P1840" t="s">
        <v>21287</v>
      </c>
      <c r="Q1840" t="s">
        <v>5392</v>
      </c>
      <c r="R1840" t="s">
        <v>69</v>
      </c>
      <c r="S1840" t="s">
        <v>69</v>
      </c>
      <c r="T1840" t="s">
        <v>8505</v>
      </c>
      <c r="U1840" t="s">
        <v>8506</v>
      </c>
      <c r="V1840" t="s">
        <v>69</v>
      </c>
      <c r="W1840" t="s">
        <v>69</v>
      </c>
      <c r="X1840" t="s">
        <v>69</v>
      </c>
      <c r="Y1840" t="s">
        <v>69</v>
      </c>
      <c r="Z1840" t="s">
        <v>69</v>
      </c>
      <c r="AA1840" t="s">
        <v>21288</v>
      </c>
      <c r="AB1840" t="s">
        <v>21289</v>
      </c>
      <c r="AC1840" t="s">
        <v>21290</v>
      </c>
      <c r="AD1840" t="s">
        <v>21291</v>
      </c>
      <c r="AE1840" t="s">
        <v>69</v>
      </c>
      <c r="AF1840" t="s">
        <v>21292</v>
      </c>
      <c r="AG1840" t="s">
        <v>21293</v>
      </c>
      <c r="AH1840" t="s">
        <v>21294</v>
      </c>
      <c r="AI1840" t="s">
        <v>21295</v>
      </c>
      <c r="AJ1840" t="s">
        <v>69</v>
      </c>
      <c r="AK1840" t="s">
        <v>69</v>
      </c>
      <c r="AL1840" t="s">
        <v>69</v>
      </c>
      <c r="AM1840" t="s">
        <v>69</v>
      </c>
      <c r="AN1840">
        <v>46</v>
      </c>
      <c r="AO1840">
        <v>2</v>
      </c>
      <c r="AP1840">
        <v>2</v>
      </c>
      <c r="AQ1840">
        <v>5</v>
      </c>
      <c r="AR1840">
        <v>12</v>
      </c>
      <c r="AS1840" t="s">
        <v>21296</v>
      </c>
      <c r="AT1840" t="s">
        <v>21297</v>
      </c>
      <c r="AU1840" t="s">
        <v>21298</v>
      </c>
      <c r="AV1840" t="s">
        <v>5394</v>
      </c>
      <c r="AW1840" t="s">
        <v>8294</v>
      </c>
      <c r="AX1840" t="s">
        <v>69</v>
      </c>
      <c r="AY1840" t="s">
        <v>21299</v>
      </c>
      <c r="AZ1840" t="s">
        <v>21300</v>
      </c>
      <c r="BA1840" t="s">
        <v>263</v>
      </c>
      <c r="BB1840">
        <v>2016</v>
      </c>
      <c r="BC1840">
        <v>11</v>
      </c>
      <c r="BD1840">
        <v>4</v>
      </c>
      <c r="BE1840" t="s">
        <v>69</v>
      </c>
      <c r="BF1840" t="s">
        <v>69</v>
      </c>
      <c r="BG1840" t="s">
        <v>69</v>
      </c>
      <c r="BH1840" t="s">
        <v>69</v>
      </c>
      <c r="BI1840">
        <v>57</v>
      </c>
      <c r="BJ1840">
        <v>90</v>
      </c>
      <c r="BK1840" t="s">
        <v>69</v>
      </c>
      <c r="BL1840" t="s">
        <v>21301</v>
      </c>
      <c r="BM1840" t="str">
        <f>HYPERLINK("http://dx.doi.org/10.3992/jgb.11.4.55.1","http://dx.doi.org/10.3992/jgb.11.4.55.1")</f>
        <v>http://dx.doi.org/10.3992/jgb.11.4.55.1</v>
      </c>
      <c r="BN1840" t="s">
        <v>69</v>
      </c>
      <c r="BO1840" t="s">
        <v>69</v>
      </c>
      <c r="BP1840">
        <v>34</v>
      </c>
      <c r="BQ1840" t="s">
        <v>8449</v>
      </c>
      <c r="BR1840" t="s">
        <v>11207</v>
      </c>
      <c r="BS1840" t="s">
        <v>8449</v>
      </c>
      <c r="BT1840" t="s">
        <v>21302</v>
      </c>
      <c r="BU1840" t="s">
        <v>21303</v>
      </c>
      <c r="BV1840" t="s">
        <v>69</v>
      </c>
      <c r="BW1840" t="s">
        <v>10995</v>
      </c>
      <c r="BX1840" t="s">
        <v>69</v>
      </c>
      <c r="BY1840" t="s">
        <v>69</v>
      </c>
      <c r="BZ1840" t="s">
        <v>8526</v>
      </c>
      <c r="CA1840" t="str">
        <f>HYPERLINK("https%3A%2F%2Fwww.webofscience.com%2Fwos%2Fwoscc%2Ffull-record%2FWOS:000393037400004","View Full Record in Web of Science")</f>
        <v>View Full Record in Web of Science</v>
      </c>
    </row>
    <row r="1841" spans="2:79" ht="12.5" x14ac:dyDescent="0.25">
      <c r="B1841" t="s">
        <v>8495</v>
      </c>
      <c r="D1841" s="22" t="s">
        <v>32931</v>
      </c>
      <c r="E1841" s="7"/>
      <c r="F1841" s="7"/>
      <c r="G1841" s="7"/>
      <c r="H1841" t="s">
        <v>67</v>
      </c>
      <c r="I1841" t="s">
        <v>18719</v>
      </c>
      <c r="J1841" t="s">
        <v>69</v>
      </c>
      <c r="K1841" t="s">
        <v>69</v>
      </c>
      <c r="L1841" t="s">
        <v>69</v>
      </c>
      <c r="M1841" t="s">
        <v>18720</v>
      </c>
      <c r="N1841" t="s">
        <v>69</v>
      </c>
      <c r="O1841" t="s">
        <v>69</v>
      </c>
      <c r="P1841" t="s">
        <v>18721</v>
      </c>
      <c r="Q1841" t="s">
        <v>18722</v>
      </c>
      <c r="R1841" t="s">
        <v>69</v>
      </c>
      <c r="S1841" t="s">
        <v>69</v>
      </c>
      <c r="T1841" t="s">
        <v>8505</v>
      </c>
      <c r="U1841" t="s">
        <v>8506</v>
      </c>
      <c r="V1841" t="s">
        <v>69</v>
      </c>
      <c r="W1841" t="s">
        <v>69</v>
      </c>
      <c r="X1841" t="s">
        <v>69</v>
      </c>
      <c r="Y1841" t="s">
        <v>69</v>
      </c>
      <c r="Z1841" t="s">
        <v>69</v>
      </c>
      <c r="AA1841" t="s">
        <v>69</v>
      </c>
      <c r="AB1841" t="s">
        <v>18723</v>
      </c>
      <c r="AC1841" t="s">
        <v>18724</v>
      </c>
      <c r="AD1841" t="s">
        <v>18725</v>
      </c>
      <c r="AE1841" t="s">
        <v>69</v>
      </c>
      <c r="AF1841" t="s">
        <v>18726</v>
      </c>
      <c r="AG1841" t="s">
        <v>18727</v>
      </c>
      <c r="AH1841" t="s">
        <v>18728</v>
      </c>
      <c r="AI1841" t="s">
        <v>18729</v>
      </c>
      <c r="AJ1841" t="s">
        <v>69</v>
      </c>
      <c r="AK1841" t="s">
        <v>69</v>
      </c>
      <c r="AL1841" t="s">
        <v>69</v>
      </c>
      <c r="AM1841" t="s">
        <v>69</v>
      </c>
      <c r="AN1841">
        <v>37</v>
      </c>
      <c r="AO1841">
        <v>13</v>
      </c>
      <c r="AP1841">
        <v>13</v>
      </c>
      <c r="AQ1841">
        <v>0</v>
      </c>
      <c r="AR1841">
        <v>1</v>
      </c>
      <c r="AS1841" t="s">
        <v>18730</v>
      </c>
      <c r="AT1841" t="s">
        <v>18731</v>
      </c>
      <c r="AU1841" t="s">
        <v>18732</v>
      </c>
      <c r="AV1841" t="s">
        <v>18733</v>
      </c>
      <c r="AW1841" t="s">
        <v>18734</v>
      </c>
      <c r="AX1841" t="s">
        <v>69</v>
      </c>
      <c r="AY1841" t="s">
        <v>18735</v>
      </c>
      <c r="AZ1841" t="s">
        <v>18736</v>
      </c>
      <c r="BA1841" t="s">
        <v>2252</v>
      </c>
      <c r="BB1841">
        <v>2018</v>
      </c>
      <c r="BC1841">
        <v>10</v>
      </c>
      <c r="BD1841">
        <v>1</v>
      </c>
      <c r="BE1841" t="s">
        <v>69</v>
      </c>
      <c r="BF1841" t="s">
        <v>69</v>
      </c>
      <c r="BG1841" t="s">
        <v>69</v>
      </c>
      <c r="BH1841" t="s">
        <v>69</v>
      </c>
      <c r="BI1841" t="s">
        <v>69</v>
      </c>
      <c r="BJ1841" t="s">
        <v>69</v>
      </c>
      <c r="BK1841" t="s">
        <v>18737</v>
      </c>
      <c r="BL1841" t="s">
        <v>18738</v>
      </c>
      <c r="BM1841" t="str">
        <f>HYPERLINK("http://dx.doi.org/10.4102/phcfm.vl10il.1628","http://dx.doi.org/10.4102/phcfm.vl10il.1628")</f>
        <v>http://dx.doi.org/10.4102/phcfm.vl10il.1628</v>
      </c>
      <c r="BN1841" t="s">
        <v>69</v>
      </c>
      <c r="BO1841" t="s">
        <v>69</v>
      </c>
      <c r="BP1841">
        <v>6</v>
      </c>
      <c r="BQ1841" t="s">
        <v>10546</v>
      </c>
      <c r="BR1841" t="s">
        <v>8573</v>
      </c>
      <c r="BS1841" t="s">
        <v>9451</v>
      </c>
      <c r="BT1841" t="s">
        <v>18739</v>
      </c>
      <c r="BU1841" t="s">
        <v>18740</v>
      </c>
      <c r="BV1841">
        <v>29943601</v>
      </c>
      <c r="BW1841" t="s">
        <v>69</v>
      </c>
      <c r="BX1841" t="s">
        <v>69</v>
      </c>
      <c r="BY1841" t="s">
        <v>69</v>
      </c>
      <c r="BZ1841" t="s">
        <v>8526</v>
      </c>
      <c r="CA1841" t="str">
        <f>HYPERLINK("https%3A%2F%2Fwww.webofscience.com%2Fwos%2Fwoscc%2Ffull-record%2FWOS:000438633200001","View Full Record in Web of Science")</f>
        <v>View Full Record in Web of Science</v>
      </c>
    </row>
    <row r="1842" spans="2:79" ht="12.5" x14ac:dyDescent="0.25">
      <c r="B1842" t="s">
        <v>8495</v>
      </c>
      <c r="D1842" s="7" t="s">
        <v>32933</v>
      </c>
      <c r="E1842" s="7"/>
      <c r="F1842" s="7"/>
      <c r="G1842" s="7"/>
      <c r="H1842" t="s">
        <v>67</v>
      </c>
      <c r="I1842" t="s">
        <v>4063</v>
      </c>
      <c r="J1842" t="s">
        <v>69</v>
      </c>
      <c r="K1842" t="s">
        <v>69</v>
      </c>
      <c r="L1842" t="s">
        <v>69</v>
      </c>
      <c r="M1842" t="s">
        <v>4063</v>
      </c>
      <c r="N1842" t="s">
        <v>69</v>
      </c>
      <c r="O1842" t="s">
        <v>69</v>
      </c>
      <c r="P1842" t="s">
        <v>4064</v>
      </c>
      <c r="Q1842" t="s">
        <v>4065</v>
      </c>
      <c r="R1842" t="s">
        <v>69</v>
      </c>
      <c r="S1842" t="s">
        <v>69</v>
      </c>
      <c r="T1842" t="s">
        <v>8505</v>
      </c>
      <c r="U1842" t="s">
        <v>8506</v>
      </c>
      <c r="V1842" t="s">
        <v>69</v>
      </c>
      <c r="W1842" t="s">
        <v>69</v>
      </c>
      <c r="X1842" t="s">
        <v>69</v>
      </c>
      <c r="Y1842" t="s">
        <v>69</v>
      </c>
      <c r="Z1842" t="s">
        <v>69</v>
      </c>
      <c r="AA1842" t="s">
        <v>31590</v>
      </c>
      <c r="AB1842" t="s">
        <v>69</v>
      </c>
      <c r="AC1842" t="s">
        <v>4066</v>
      </c>
      <c r="AD1842" t="s">
        <v>31591</v>
      </c>
      <c r="AE1842" t="s">
        <v>69</v>
      </c>
      <c r="AF1842" t="s">
        <v>31592</v>
      </c>
      <c r="AG1842" t="s">
        <v>69</v>
      </c>
      <c r="AH1842" t="s">
        <v>69</v>
      </c>
      <c r="AI1842" t="s">
        <v>69</v>
      </c>
      <c r="AJ1842" t="s">
        <v>69</v>
      </c>
      <c r="AK1842" t="s">
        <v>69</v>
      </c>
      <c r="AL1842" t="s">
        <v>69</v>
      </c>
      <c r="AM1842" t="s">
        <v>69</v>
      </c>
      <c r="AN1842">
        <v>5</v>
      </c>
      <c r="AO1842">
        <v>5</v>
      </c>
      <c r="AP1842">
        <v>7</v>
      </c>
      <c r="AQ1842">
        <v>0</v>
      </c>
      <c r="AR1842">
        <v>9</v>
      </c>
      <c r="AS1842" t="s">
        <v>9145</v>
      </c>
      <c r="AT1842" t="s">
        <v>8637</v>
      </c>
      <c r="AU1842" t="s">
        <v>9146</v>
      </c>
      <c r="AV1842" t="s">
        <v>4067</v>
      </c>
      <c r="AW1842" t="s">
        <v>69</v>
      </c>
      <c r="AX1842" t="s">
        <v>69</v>
      </c>
      <c r="AY1842" t="s">
        <v>23115</v>
      </c>
      <c r="AZ1842" t="s">
        <v>23116</v>
      </c>
      <c r="BA1842" t="s">
        <v>84</v>
      </c>
      <c r="BB1842">
        <v>2001</v>
      </c>
      <c r="BC1842">
        <v>16</v>
      </c>
      <c r="BD1842">
        <v>3</v>
      </c>
      <c r="BE1842" t="s">
        <v>69</v>
      </c>
      <c r="BF1842" t="s">
        <v>69</v>
      </c>
      <c r="BG1842" t="s">
        <v>69</v>
      </c>
      <c r="BH1842" t="s">
        <v>69</v>
      </c>
      <c r="BI1842">
        <v>225</v>
      </c>
      <c r="BJ1842">
        <v>234</v>
      </c>
      <c r="BK1842" t="s">
        <v>69</v>
      </c>
      <c r="BL1842" t="s">
        <v>4068</v>
      </c>
      <c r="BM1842" t="str">
        <f>HYPERLINK("http://dx.doi.org/10.1016/S0886-7798(01)00043-8","http://dx.doi.org/10.1016/S0886-7798(01)00043-8")</f>
        <v>http://dx.doi.org/10.1016/S0886-7798(01)00043-8</v>
      </c>
      <c r="BN1842" t="s">
        <v>69</v>
      </c>
      <c r="BO1842" t="s">
        <v>69</v>
      </c>
      <c r="BP1842">
        <v>10</v>
      </c>
      <c r="BQ1842" t="s">
        <v>11242</v>
      </c>
      <c r="BR1842" t="s">
        <v>8548</v>
      </c>
      <c r="BS1842" t="s">
        <v>8549</v>
      </c>
      <c r="BT1842" t="s">
        <v>31593</v>
      </c>
      <c r="BU1842" t="s">
        <v>4069</v>
      </c>
      <c r="BV1842" t="s">
        <v>69</v>
      </c>
      <c r="BW1842" t="s">
        <v>69</v>
      </c>
      <c r="BX1842" t="s">
        <v>69</v>
      </c>
      <c r="BY1842" t="s">
        <v>69</v>
      </c>
      <c r="BZ1842" t="s">
        <v>8526</v>
      </c>
      <c r="CA1842" t="str">
        <f>HYPERLINK("https%3A%2F%2Fwww.webofscience.com%2Fwos%2Fwoscc%2Ffull-record%2FWOS:000172642800011","View Full Record in Web of Science")</f>
        <v>View Full Record in Web of Science</v>
      </c>
    </row>
    <row r="1843" spans="2:79" ht="12.5" x14ac:dyDescent="0.25">
      <c r="B1843" t="s">
        <v>8495</v>
      </c>
      <c r="D1843" s="7" t="s">
        <v>32933</v>
      </c>
      <c r="E1843" s="7"/>
      <c r="F1843" s="7"/>
      <c r="G1843" s="7"/>
      <c r="H1843" t="s">
        <v>67</v>
      </c>
      <c r="I1843" t="s">
        <v>4813</v>
      </c>
      <c r="J1843" t="s">
        <v>69</v>
      </c>
      <c r="K1843" t="s">
        <v>69</v>
      </c>
      <c r="L1843" t="s">
        <v>69</v>
      </c>
      <c r="M1843" t="s">
        <v>4814</v>
      </c>
      <c r="N1843" t="s">
        <v>69</v>
      </c>
      <c r="O1843" t="s">
        <v>69</v>
      </c>
      <c r="P1843" t="s">
        <v>4815</v>
      </c>
      <c r="Q1843" t="s">
        <v>4816</v>
      </c>
      <c r="R1843" t="s">
        <v>69</v>
      </c>
      <c r="S1843" t="s">
        <v>69</v>
      </c>
      <c r="T1843" t="s">
        <v>8505</v>
      </c>
      <c r="U1843" t="s">
        <v>8506</v>
      </c>
      <c r="V1843" t="s">
        <v>69</v>
      </c>
      <c r="W1843" t="s">
        <v>69</v>
      </c>
      <c r="X1843" t="s">
        <v>69</v>
      </c>
      <c r="Y1843" t="s">
        <v>69</v>
      </c>
      <c r="Z1843" t="s">
        <v>69</v>
      </c>
      <c r="AA1843" t="s">
        <v>15555</v>
      </c>
      <c r="AB1843" t="s">
        <v>69</v>
      </c>
      <c r="AC1843" t="s">
        <v>4817</v>
      </c>
      <c r="AD1843" t="s">
        <v>15556</v>
      </c>
      <c r="AE1843" t="s">
        <v>69</v>
      </c>
      <c r="AF1843" t="s">
        <v>15557</v>
      </c>
      <c r="AG1843" t="s">
        <v>15558</v>
      </c>
      <c r="AH1843" t="s">
        <v>69</v>
      </c>
      <c r="AI1843" t="s">
        <v>4818</v>
      </c>
      <c r="AJ1843" t="s">
        <v>69</v>
      </c>
      <c r="AK1843" t="s">
        <v>69</v>
      </c>
      <c r="AL1843" t="s">
        <v>69</v>
      </c>
      <c r="AM1843" t="s">
        <v>69</v>
      </c>
      <c r="AN1843">
        <v>24</v>
      </c>
      <c r="AO1843">
        <v>0</v>
      </c>
      <c r="AP1843">
        <v>0</v>
      </c>
      <c r="AQ1843">
        <v>0</v>
      </c>
      <c r="AR1843">
        <v>3</v>
      </c>
      <c r="AS1843" t="s">
        <v>9554</v>
      </c>
      <c r="AT1843" t="s">
        <v>9555</v>
      </c>
      <c r="AU1843" t="s">
        <v>9556</v>
      </c>
      <c r="AV1843" t="s">
        <v>4819</v>
      </c>
      <c r="AW1843" t="s">
        <v>4820</v>
      </c>
      <c r="AX1843" t="s">
        <v>69</v>
      </c>
      <c r="AY1843" t="s">
        <v>15559</v>
      </c>
      <c r="AZ1843" t="s">
        <v>15560</v>
      </c>
      <c r="BA1843" t="s">
        <v>274</v>
      </c>
      <c r="BB1843">
        <v>2020</v>
      </c>
      <c r="BC1843">
        <v>60</v>
      </c>
      <c r="BD1843">
        <v>6</v>
      </c>
      <c r="BE1843" t="s">
        <v>69</v>
      </c>
      <c r="BF1843" t="s">
        <v>69</v>
      </c>
      <c r="BG1843" t="s">
        <v>114</v>
      </c>
      <c r="BH1843" t="s">
        <v>69</v>
      </c>
      <c r="BI1843">
        <v>747</v>
      </c>
      <c r="BJ1843">
        <v>760</v>
      </c>
      <c r="BK1843">
        <v>22167820913358</v>
      </c>
      <c r="BL1843" t="s">
        <v>4821</v>
      </c>
      <c r="BM1843" t="str">
        <f>HYPERLINK("http://dx.doi.org/10.1177/0022167820913358","http://dx.doi.org/10.1177/0022167820913358")</f>
        <v>http://dx.doi.org/10.1177/0022167820913358</v>
      </c>
      <c r="BN1843" t="s">
        <v>69</v>
      </c>
      <c r="BO1843" t="s">
        <v>4822</v>
      </c>
      <c r="BP1843">
        <v>14</v>
      </c>
      <c r="BQ1843" t="s">
        <v>9000</v>
      </c>
      <c r="BR1843" t="s">
        <v>8661</v>
      </c>
      <c r="BS1843" t="s">
        <v>9001</v>
      </c>
      <c r="BT1843" t="s">
        <v>15561</v>
      </c>
      <c r="BU1843" t="s">
        <v>4823</v>
      </c>
      <c r="BV1843" t="s">
        <v>69</v>
      </c>
      <c r="BW1843" t="s">
        <v>69</v>
      </c>
      <c r="BX1843" t="s">
        <v>69</v>
      </c>
      <c r="BY1843" t="s">
        <v>69</v>
      </c>
      <c r="BZ1843" t="s">
        <v>8526</v>
      </c>
      <c r="CA1843" t="str">
        <f>HYPERLINK("https%3A%2F%2Fwww.webofscience.com%2Fwos%2Fwoscc%2Ffull-record%2FWOS:000523943700001","View Full Record in Web of Science")</f>
        <v>View Full Record in Web of Science</v>
      </c>
    </row>
    <row r="1844" spans="2:79" ht="12.5" x14ac:dyDescent="0.25">
      <c r="B1844" t="s">
        <v>8495</v>
      </c>
      <c r="D1844" s="22" t="s">
        <v>32931</v>
      </c>
      <c r="E1844" s="7"/>
      <c r="F1844" s="7"/>
      <c r="G1844" s="7"/>
      <c r="H1844" t="s">
        <v>67</v>
      </c>
      <c r="I1844" t="s">
        <v>31055</v>
      </c>
      <c r="J1844" t="s">
        <v>69</v>
      </c>
      <c r="K1844" t="s">
        <v>69</v>
      </c>
      <c r="L1844" t="s">
        <v>69</v>
      </c>
      <c r="M1844" t="s">
        <v>31055</v>
      </c>
      <c r="N1844" t="s">
        <v>69</v>
      </c>
      <c r="O1844" t="s">
        <v>69</v>
      </c>
      <c r="P1844" t="s">
        <v>31056</v>
      </c>
      <c r="Q1844" t="s">
        <v>18618</v>
      </c>
      <c r="R1844" t="s">
        <v>69</v>
      </c>
      <c r="S1844" t="s">
        <v>69</v>
      </c>
      <c r="T1844" t="s">
        <v>8505</v>
      </c>
      <c r="U1844" t="s">
        <v>8506</v>
      </c>
      <c r="V1844" t="s">
        <v>69</v>
      </c>
      <c r="W1844" t="s">
        <v>69</v>
      </c>
      <c r="X1844" t="s">
        <v>69</v>
      </c>
      <c r="Y1844" t="s">
        <v>69</v>
      </c>
      <c r="Z1844" t="s">
        <v>69</v>
      </c>
      <c r="AA1844" t="s">
        <v>31057</v>
      </c>
      <c r="AB1844" t="s">
        <v>31058</v>
      </c>
      <c r="AC1844" t="s">
        <v>31059</v>
      </c>
      <c r="AD1844" t="s">
        <v>31060</v>
      </c>
      <c r="AE1844" t="s">
        <v>69</v>
      </c>
      <c r="AF1844" t="s">
        <v>31061</v>
      </c>
      <c r="AG1844" t="s">
        <v>31062</v>
      </c>
      <c r="AH1844" t="s">
        <v>69</v>
      </c>
      <c r="AI1844" t="s">
        <v>69</v>
      </c>
      <c r="AJ1844" t="s">
        <v>31063</v>
      </c>
      <c r="AK1844" t="s">
        <v>30375</v>
      </c>
      <c r="AL1844" t="s">
        <v>69</v>
      </c>
      <c r="AM1844" t="s">
        <v>69</v>
      </c>
      <c r="AN1844">
        <v>54</v>
      </c>
      <c r="AO1844">
        <v>30</v>
      </c>
      <c r="AP1844">
        <v>30</v>
      </c>
      <c r="AQ1844">
        <v>0</v>
      </c>
      <c r="AR1844">
        <v>20</v>
      </c>
      <c r="AS1844" t="s">
        <v>17273</v>
      </c>
      <c r="AT1844" t="s">
        <v>12925</v>
      </c>
      <c r="AU1844" t="s">
        <v>17274</v>
      </c>
      <c r="AV1844" t="s">
        <v>18626</v>
      </c>
      <c r="AW1844" t="s">
        <v>18627</v>
      </c>
      <c r="AX1844" t="s">
        <v>69</v>
      </c>
      <c r="AY1844" t="s">
        <v>18628</v>
      </c>
      <c r="AZ1844" t="s">
        <v>18629</v>
      </c>
      <c r="BA1844" t="s">
        <v>255</v>
      </c>
      <c r="BB1844">
        <v>2004</v>
      </c>
      <c r="BC1844">
        <v>39</v>
      </c>
      <c r="BD1844">
        <v>3</v>
      </c>
      <c r="BE1844" t="s">
        <v>69</v>
      </c>
      <c r="BF1844" t="s">
        <v>69</v>
      </c>
      <c r="BG1844" t="s">
        <v>69</v>
      </c>
      <c r="BH1844" t="s">
        <v>69</v>
      </c>
      <c r="BI1844">
        <v>568</v>
      </c>
      <c r="BJ1844">
        <v>580</v>
      </c>
      <c r="BK1844" t="s">
        <v>69</v>
      </c>
      <c r="BL1844" t="s">
        <v>31064</v>
      </c>
      <c r="BM1844" t="str">
        <f>HYPERLINK("http://dx.doi.org/10.1016/j.ypmed.2004.02.014","http://dx.doi.org/10.1016/j.ypmed.2004.02.014")</f>
        <v>http://dx.doi.org/10.1016/j.ypmed.2004.02.014</v>
      </c>
      <c r="BN1844" t="s">
        <v>69</v>
      </c>
      <c r="BO1844" t="s">
        <v>69</v>
      </c>
      <c r="BP1844">
        <v>13</v>
      </c>
      <c r="BQ1844" t="s">
        <v>18631</v>
      </c>
      <c r="BR1844" t="s">
        <v>8548</v>
      </c>
      <c r="BS1844" t="s">
        <v>18632</v>
      </c>
      <c r="BT1844" t="s">
        <v>31065</v>
      </c>
      <c r="BU1844" t="s">
        <v>31066</v>
      </c>
      <c r="BV1844">
        <v>15313097</v>
      </c>
      <c r="BW1844" t="s">
        <v>69</v>
      </c>
      <c r="BX1844" t="s">
        <v>69</v>
      </c>
      <c r="BY1844" t="s">
        <v>69</v>
      </c>
      <c r="BZ1844" t="s">
        <v>8526</v>
      </c>
      <c r="CA1844" t="str">
        <f>HYPERLINK("https%3A%2F%2Fwww.webofscience.com%2Fwos%2Fwoscc%2Ffull-record%2FWOS:000223760000017","View Full Record in Web of Science")</f>
        <v>View Full Record in Web of Science</v>
      </c>
    </row>
    <row r="1845" spans="2:79" ht="12.5" x14ac:dyDescent="0.25">
      <c r="B1845" t="s">
        <v>8495</v>
      </c>
      <c r="D1845" s="22" t="s">
        <v>32931</v>
      </c>
      <c r="E1845" s="7"/>
      <c r="F1845" s="7"/>
      <c r="G1845" s="7"/>
      <c r="H1845" t="s">
        <v>67</v>
      </c>
      <c r="I1845" t="s">
        <v>32446</v>
      </c>
      <c r="J1845" t="s">
        <v>69</v>
      </c>
      <c r="K1845" t="s">
        <v>69</v>
      </c>
      <c r="L1845" t="s">
        <v>69</v>
      </c>
      <c r="M1845" t="s">
        <v>32446</v>
      </c>
      <c r="N1845" t="s">
        <v>69</v>
      </c>
      <c r="O1845" t="s">
        <v>69</v>
      </c>
      <c r="P1845" t="s">
        <v>32447</v>
      </c>
      <c r="Q1845" t="s">
        <v>32448</v>
      </c>
      <c r="R1845" t="s">
        <v>69</v>
      </c>
      <c r="S1845" t="s">
        <v>69</v>
      </c>
      <c r="T1845" t="s">
        <v>8505</v>
      </c>
      <c r="U1845" t="s">
        <v>10174</v>
      </c>
      <c r="V1845" t="s">
        <v>69</v>
      </c>
      <c r="W1845" t="s">
        <v>69</v>
      </c>
      <c r="X1845" t="s">
        <v>69</v>
      </c>
      <c r="Y1845" t="s">
        <v>69</v>
      </c>
      <c r="Z1845" t="s">
        <v>69</v>
      </c>
      <c r="AA1845" t="s">
        <v>69</v>
      </c>
      <c r="AB1845" t="s">
        <v>69</v>
      </c>
      <c r="AC1845" t="s">
        <v>32449</v>
      </c>
      <c r="AD1845" t="s">
        <v>32450</v>
      </c>
      <c r="AE1845" t="s">
        <v>69</v>
      </c>
      <c r="AF1845" t="s">
        <v>32451</v>
      </c>
      <c r="AG1845" t="s">
        <v>69</v>
      </c>
      <c r="AH1845" t="s">
        <v>69</v>
      </c>
      <c r="AI1845" t="s">
        <v>69</v>
      </c>
      <c r="AJ1845" t="s">
        <v>69</v>
      </c>
      <c r="AK1845" t="s">
        <v>69</v>
      </c>
      <c r="AL1845" t="s">
        <v>69</v>
      </c>
      <c r="AM1845" t="s">
        <v>69</v>
      </c>
      <c r="AN1845">
        <v>16</v>
      </c>
      <c r="AO1845">
        <v>0</v>
      </c>
      <c r="AP1845">
        <v>0</v>
      </c>
      <c r="AQ1845">
        <v>0</v>
      </c>
      <c r="AR1845">
        <v>5</v>
      </c>
      <c r="AS1845" t="s">
        <v>32452</v>
      </c>
      <c r="AT1845" t="s">
        <v>8735</v>
      </c>
      <c r="AU1845" t="s">
        <v>32453</v>
      </c>
      <c r="AV1845" t="s">
        <v>32454</v>
      </c>
      <c r="AW1845" t="s">
        <v>69</v>
      </c>
      <c r="AX1845" t="s">
        <v>69</v>
      </c>
      <c r="AY1845" t="s">
        <v>32455</v>
      </c>
      <c r="AZ1845" t="s">
        <v>32456</v>
      </c>
      <c r="BA1845" t="s">
        <v>5888</v>
      </c>
      <c r="BB1845">
        <v>1997</v>
      </c>
      <c r="BC1845">
        <v>37</v>
      </c>
      <c r="BD1845">
        <v>3</v>
      </c>
      <c r="BE1845" t="s">
        <v>69</v>
      </c>
      <c r="BF1845" t="s">
        <v>69</v>
      </c>
      <c r="BG1845" t="s">
        <v>69</v>
      </c>
      <c r="BH1845" t="s">
        <v>69</v>
      </c>
      <c r="BI1845">
        <v>211</v>
      </c>
      <c r="BJ1845">
        <v>221</v>
      </c>
      <c r="BK1845" t="s">
        <v>69</v>
      </c>
      <c r="BL1845" t="s">
        <v>69</v>
      </c>
      <c r="BM1845" t="s">
        <v>69</v>
      </c>
      <c r="BN1845" t="s">
        <v>69</v>
      </c>
      <c r="BO1845" t="s">
        <v>69</v>
      </c>
      <c r="BP1845">
        <v>11</v>
      </c>
      <c r="BQ1845" t="s">
        <v>32457</v>
      </c>
      <c r="BR1845" t="s">
        <v>8548</v>
      </c>
      <c r="BS1845" t="s">
        <v>32458</v>
      </c>
      <c r="BT1845" t="s">
        <v>32459</v>
      </c>
      <c r="BU1845" t="s">
        <v>32460</v>
      </c>
      <c r="BV1845" t="s">
        <v>69</v>
      </c>
      <c r="BW1845" t="s">
        <v>69</v>
      </c>
      <c r="BX1845" t="s">
        <v>69</v>
      </c>
      <c r="BY1845" t="s">
        <v>69</v>
      </c>
      <c r="BZ1845" t="s">
        <v>8526</v>
      </c>
      <c r="CA1845" t="str">
        <f>HYPERLINK("https%3A%2F%2Fwww.webofscience.com%2Fwos%2Fwoscc%2Ffull-record%2FWOS:A1997XP68100004","View Full Record in Web of Science")</f>
        <v>View Full Record in Web of Science</v>
      </c>
    </row>
    <row r="1846" spans="2:79" ht="12.5" x14ac:dyDescent="0.25">
      <c r="B1846" t="s">
        <v>8495</v>
      </c>
      <c r="D1846" s="7" t="s">
        <v>32933</v>
      </c>
      <c r="E1846" s="7"/>
      <c r="F1846" s="7"/>
      <c r="G1846" s="7"/>
      <c r="H1846" t="s">
        <v>67</v>
      </c>
      <c r="I1846" t="s">
        <v>7986</v>
      </c>
      <c r="J1846" t="s">
        <v>69</v>
      </c>
      <c r="K1846" t="s">
        <v>69</v>
      </c>
      <c r="L1846" t="s">
        <v>69</v>
      </c>
      <c r="M1846" t="s">
        <v>7986</v>
      </c>
      <c r="N1846" t="s">
        <v>69</v>
      </c>
      <c r="O1846" t="s">
        <v>69</v>
      </c>
      <c r="P1846" t="s">
        <v>7987</v>
      </c>
      <c r="Q1846" t="s">
        <v>4065</v>
      </c>
      <c r="R1846" t="s">
        <v>69</v>
      </c>
      <c r="S1846" t="s">
        <v>69</v>
      </c>
      <c r="T1846" t="s">
        <v>8505</v>
      </c>
      <c r="U1846" t="s">
        <v>10174</v>
      </c>
      <c r="V1846" t="s">
        <v>69</v>
      </c>
      <c r="W1846" t="s">
        <v>69</v>
      </c>
      <c r="X1846" t="s">
        <v>69</v>
      </c>
      <c r="Y1846" t="s">
        <v>69</v>
      </c>
      <c r="Z1846" t="s">
        <v>69</v>
      </c>
      <c r="AA1846" t="s">
        <v>69</v>
      </c>
      <c r="AB1846" t="s">
        <v>69</v>
      </c>
      <c r="AC1846" t="s">
        <v>7988</v>
      </c>
      <c r="AD1846" t="s">
        <v>69</v>
      </c>
      <c r="AE1846" t="s">
        <v>69</v>
      </c>
      <c r="AF1846" t="s">
        <v>69</v>
      </c>
      <c r="AG1846" t="s">
        <v>69</v>
      </c>
      <c r="AH1846" t="s">
        <v>69</v>
      </c>
      <c r="AI1846" t="s">
        <v>69</v>
      </c>
      <c r="AJ1846" t="s">
        <v>69</v>
      </c>
      <c r="AK1846" t="s">
        <v>69</v>
      </c>
      <c r="AL1846" t="s">
        <v>69</v>
      </c>
      <c r="AM1846" t="s">
        <v>69</v>
      </c>
      <c r="AN1846">
        <v>32</v>
      </c>
      <c r="AO1846">
        <v>1</v>
      </c>
      <c r="AP1846">
        <v>1</v>
      </c>
      <c r="AQ1846">
        <v>1</v>
      </c>
      <c r="AR1846">
        <v>4</v>
      </c>
      <c r="AS1846" t="s">
        <v>9145</v>
      </c>
      <c r="AT1846" t="s">
        <v>8637</v>
      </c>
      <c r="AU1846" t="s">
        <v>32470</v>
      </c>
      <c r="AV1846" t="s">
        <v>4067</v>
      </c>
      <c r="AW1846" t="s">
        <v>69</v>
      </c>
      <c r="AX1846" t="s">
        <v>69</v>
      </c>
      <c r="AY1846" t="s">
        <v>23115</v>
      </c>
      <c r="AZ1846" t="s">
        <v>23116</v>
      </c>
      <c r="BA1846" t="s">
        <v>246</v>
      </c>
      <c r="BB1846">
        <v>1996</v>
      </c>
      <c r="BC1846">
        <v>11</v>
      </c>
      <c r="BD1846">
        <v>2</v>
      </c>
      <c r="BE1846" t="s">
        <v>69</v>
      </c>
      <c r="BF1846" t="s">
        <v>69</v>
      </c>
      <c r="BG1846" t="s">
        <v>69</v>
      </c>
      <c r="BH1846" t="s">
        <v>69</v>
      </c>
      <c r="BI1846">
        <v>197</v>
      </c>
      <c r="BJ1846">
        <v>204</v>
      </c>
      <c r="BK1846" t="s">
        <v>69</v>
      </c>
      <c r="BL1846" t="s">
        <v>69</v>
      </c>
      <c r="BM1846" t="s">
        <v>69</v>
      </c>
      <c r="BN1846" t="s">
        <v>69</v>
      </c>
      <c r="BO1846" t="s">
        <v>69</v>
      </c>
      <c r="BP1846">
        <v>8</v>
      </c>
      <c r="BQ1846" t="s">
        <v>11242</v>
      </c>
      <c r="BR1846" t="s">
        <v>8548</v>
      </c>
      <c r="BS1846" t="s">
        <v>8549</v>
      </c>
      <c r="BT1846" t="s">
        <v>32471</v>
      </c>
      <c r="BU1846" t="s">
        <v>7989</v>
      </c>
      <c r="BV1846" t="s">
        <v>69</v>
      </c>
      <c r="BW1846" t="s">
        <v>69</v>
      </c>
      <c r="BX1846" t="s">
        <v>69</v>
      </c>
      <c r="BY1846" t="s">
        <v>69</v>
      </c>
      <c r="BZ1846" t="s">
        <v>8526</v>
      </c>
      <c r="CA1846" t="str">
        <f>HYPERLINK("https%3A%2F%2Fwww.webofscience.com%2Fwos%2Fwoscc%2Ffull-record%2FWOS:A1996UN43000008","View Full Record in Web of Science")</f>
        <v>View Full Record in Web of Science</v>
      </c>
    </row>
    <row r="1847" spans="2:79" ht="12.5" x14ac:dyDescent="0.25">
      <c r="B1847" t="s">
        <v>8495</v>
      </c>
      <c r="D1847" s="22" t="s">
        <v>32931</v>
      </c>
      <c r="E1847" s="7"/>
      <c r="F1847" s="7"/>
      <c r="G1847" s="7"/>
      <c r="H1847" t="s">
        <v>67</v>
      </c>
      <c r="I1847" t="s">
        <v>15365</v>
      </c>
      <c r="J1847" t="s">
        <v>69</v>
      </c>
      <c r="K1847" t="s">
        <v>69</v>
      </c>
      <c r="L1847" t="s">
        <v>69</v>
      </c>
      <c r="M1847" t="s">
        <v>15366</v>
      </c>
      <c r="N1847" t="s">
        <v>69</v>
      </c>
      <c r="O1847" t="s">
        <v>69</v>
      </c>
      <c r="P1847" t="s">
        <v>15367</v>
      </c>
      <c r="Q1847" t="s">
        <v>15368</v>
      </c>
      <c r="R1847" t="s">
        <v>69</v>
      </c>
      <c r="S1847" t="s">
        <v>69</v>
      </c>
      <c r="T1847" t="s">
        <v>8505</v>
      </c>
      <c r="U1847" t="s">
        <v>8506</v>
      </c>
      <c r="V1847" t="s">
        <v>69</v>
      </c>
      <c r="W1847" t="s">
        <v>69</v>
      </c>
      <c r="X1847" t="s">
        <v>69</v>
      </c>
      <c r="Y1847" t="s">
        <v>69</v>
      </c>
      <c r="Z1847" t="s">
        <v>69</v>
      </c>
      <c r="AA1847" t="s">
        <v>15369</v>
      </c>
      <c r="AB1847" t="s">
        <v>15370</v>
      </c>
      <c r="AC1847" t="s">
        <v>15371</v>
      </c>
      <c r="AD1847" t="s">
        <v>15372</v>
      </c>
      <c r="AE1847" t="s">
        <v>69</v>
      </c>
      <c r="AF1847" t="s">
        <v>15373</v>
      </c>
      <c r="AG1847" t="s">
        <v>15374</v>
      </c>
      <c r="AH1847" t="s">
        <v>15375</v>
      </c>
      <c r="AI1847" t="s">
        <v>15376</v>
      </c>
      <c r="AJ1847" t="s">
        <v>69</v>
      </c>
      <c r="AK1847" t="s">
        <v>69</v>
      </c>
      <c r="AL1847" t="s">
        <v>69</v>
      </c>
      <c r="AM1847" t="s">
        <v>69</v>
      </c>
      <c r="AN1847">
        <v>73</v>
      </c>
      <c r="AO1847">
        <v>1</v>
      </c>
      <c r="AP1847">
        <v>1</v>
      </c>
      <c r="AQ1847">
        <v>0</v>
      </c>
      <c r="AR1847">
        <v>2</v>
      </c>
      <c r="AS1847" t="s">
        <v>8762</v>
      </c>
      <c r="AT1847" t="s">
        <v>8763</v>
      </c>
      <c r="AU1847" t="s">
        <v>8764</v>
      </c>
      <c r="AV1847" t="s">
        <v>15377</v>
      </c>
      <c r="AW1847" t="s">
        <v>69</v>
      </c>
      <c r="AX1847" t="s">
        <v>69</v>
      </c>
      <c r="AY1847" t="s">
        <v>15378</v>
      </c>
      <c r="AZ1847" t="s">
        <v>15379</v>
      </c>
      <c r="BA1847" t="s">
        <v>274</v>
      </c>
      <c r="BB1847">
        <v>2020</v>
      </c>
      <c r="BC1847">
        <v>18</v>
      </c>
      <c r="BD1847">
        <v>8</v>
      </c>
      <c r="BE1847" t="s">
        <v>69</v>
      </c>
      <c r="BF1847" t="s">
        <v>69</v>
      </c>
      <c r="BG1847" t="s">
        <v>69</v>
      </c>
      <c r="BH1847" t="s">
        <v>69</v>
      </c>
      <c r="BI1847">
        <v>1058</v>
      </c>
      <c r="BJ1847">
        <v>1074</v>
      </c>
      <c r="BK1847">
        <v>1478210320919541</v>
      </c>
      <c r="BL1847" t="s">
        <v>15380</v>
      </c>
      <c r="BM1847" t="str">
        <f>HYPERLINK("http://dx.doi.org/10.1177/1478210320919541","http://dx.doi.org/10.1177/1478210320919541")</f>
        <v>http://dx.doi.org/10.1177/1478210320919541</v>
      </c>
      <c r="BN1847" t="s">
        <v>69</v>
      </c>
      <c r="BO1847" t="s">
        <v>767</v>
      </c>
      <c r="BP1847">
        <v>17</v>
      </c>
      <c r="BQ1847" t="s">
        <v>9290</v>
      </c>
      <c r="BR1847" t="s">
        <v>8573</v>
      </c>
      <c r="BS1847" t="s">
        <v>9290</v>
      </c>
      <c r="BT1847" t="s">
        <v>15381</v>
      </c>
      <c r="BU1847" t="s">
        <v>15382</v>
      </c>
      <c r="BV1847" t="s">
        <v>69</v>
      </c>
      <c r="BW1847" t="s">
        <v>69</v>
      </c>
      <c r="BX1847" t="s">
        <v>69</v>
      </c>
      <c r="BY1847" t="s">
        <v>69</v>
      </c>
      <c r="BZ1847" t="s">
        <v>8526</v>
      </c>
      <c r="CA1847" t="str">
        <f>HYPERLINK("https%3A%2F%2Fwww.webofscience.com%2Fwos%2Fwoscc%2Ffull-record%2FWOS:000532375700001","View Full Record in Web of Science")</f>
        <v>View Full Record in Web of Science</v>
      </c>
    </row>
    <row r="1848" spans="2:79" ht="12.5" x14ac:dyDescent="0.25">
      <c r="B1848" t="s">
        <v>8495</v>
      </c>
      <c r="D1848" s="22" t="s">
        <v>32931</v>
      </c>
      <c r="E1848" s="7"/>
      <c r="F1848" s="7"/>
      <c r="G1848" s="7"/>
      <c r="H1848" t="s">
        <v>67</v>
      </c>
      <c r="I1848" t="s">
        <v>27988</v>
      </c>
      <c r="J1848" t="s">
        <v>69</v>
      </c>
      <c r="K1848" t="s">
        <v>69</v>
      </c>
      <c r="L1848" t="s">
        <v>69</v>
      </c>
      <c r="M1848" t="s">
        <v>27989</v>
      </c>
      <c r="N1848" t="s">
        <v>69</v>
      </c>
      <c r="O1848" t="s">
        <v>69</v>
      </c>
      <c r="P1848" t="s">
        <v>27990</v>
      </c>
      <c r="Q1848" t="s">
        <v>14711</v>
      </c>
      <c r="R1848" t="s">
        <v>69</v>
      </c>
      <c r="S1848" t="s">
        <v>69</v>
      </c>
      <c r="T1848" t="s">
        <v>8505</v>
      </c>
      <c r="U1848" t="s">
        <v>8506</v>
      </c>
      <c r="V1848" t="s">
        <v>69</v>
      </c>
      <c r="W1848" t="s">
        <v>69</v>
      </c>
      <c r="X1848" t="s">
        <v>69</v>
      </c>
      <c r="Y1848" t="s">
        <v>69</v>
      </c>
      <c r="Z1848" t="s">
        <v>69</v>
      </c>
      <c r="AA1848" t="s">
        <v>69</v>
      </c>
      <c r="AB1848" t="s">
        <v>27991</v>
      </c>
      <c r="AC1848" t="s">
        <v>27992</v>
      </c>
      <c r="AD1848" t="s">
        <v>27993</v>
      </c>
      <c r="AE1848" t="s">
        <v>69</v>
      </c>
      <c r="AF1848" t="s">
        <v>27994</v>
      </c>
      <c r="AG1848" t="s">
        <v>27995</v>
      </c>
      <c r="AH1848" t="s">
        <v>69</v>
      </c>
      <c r="AI1848" t="s">
        <v>69</v>
      </c>
      <c r="AJ1848" t="s">
        <v>69</v>
      </c>
      <c r="AK1848" t="s">
        <v>69</v>
      </c>
      <c r="AL1848" t="s">
        <v>69</v>
      </c>
      <c r="AM1848" t="s">
        <v>69</v>
      </c>
      <c r="AN1848">
        <v>98</v>
      </c>
      <c r="AO1848">
        <v>87</v>
      </c>
      <c r="AP1848">
        <v>87</v>
      </c>
      <c r="AQ1848">
        <v>2</v>
      </c>
      <c r="AR1848">
        <v>29</v>
      </c>
      <c r="AS1848" t="s">
        <v>8865</v>
      </c>
      <c r="AT1848" t="s">
        <v>8612</v>
      </c>
      <c r="AU1848" t="s">
        <v>8866</v>
      </c>
      <c r="AV1848" t="s">
        <v>14720</v>
      </c>
      <c r="AW1848" t="s">
        <v>14721</v>
      </c>
      <c r="AX1848" t="s">
        <v>69</v>
      </c>
      <c r="AY1848" t="s">
        <v>14722</v>
      </c>
      <c r="AZ1848" t="s">
        <v>14723</v>
      </c>
      <c r="BA1848" t="s">
        <v>69</v>
      </c>
      <c r="BB1848">
        <v>2010</v>
      </c>
      <c r="BC1848">
        <v>21</v>
      </c>
      <c r="BD1848">
        <v>1</v>
      </c>
      <c r="BE1848" t="s">
        <v>69</v>
      </c>
      <c r="BF1848" t="s">
        <v>69</v>
      </c>
      <c r="BG1848" t="s">
        <v>69</v>
      </c>
      <c r="BH1848" t="s">
        <v>69</v>
      </c>
      <c r="BI1848">
        <v>65</v>
      </c>
      <c r="BJ1848">
        <v>94</v>
      </c>
      <c r="BK1848" t="s">
        <v>27996</v>
      </c>
      <c r="BL1848" t="s">
        <v>27997</v>
      </c>
      <c r="BM1848" t="str">
        <f>HYPERLINK("http://dx.doi.org/10.1080/10409280902783509","http://dx.doi.org/10.1080/10409280902783509")</f>
        <v>http://dx.doi.org/10.1080/10409280902783509</v>
      </c>
      <c r="BN1848" t="s">
        <v>69</v>
      </c>
      <c r="BO1848" t="s">
        <v>69</v>
      </c>
      <c r="BP1848">
        <v>30</v>
      </c>
      <c r="BQ1848" t="s">
        <v>14725</v>
      </c>
      <c r="BR1848" t="s">
        <v>8661</v>
      </c>
      <c r="BS1848" t="s">
        <v>14726</v>
      </c>
      <c r="BT1848" t="s">
        <v>27998</v>
      </c>
      <c r="BU1848" t="s">
        <v>27999</v>
      </c>
      <c r="BV1848" t="s">
        <v>69</v>
      </c>
      <c r="BW1848" t="s">
        <v>69</v>
      </c>
      <c r="BX1848" t="s">
        <v>69</v>
      </c>
      <c r="BY1848" t="s">
        <v>69</v>
      </c>
      <c r="BZ1848" t="s">
        <v>8526</v>
      </c>
      <c r="CA1848" t="str">
        <f>HYPERLINK("https%3A%2F%2Fwww.webofscience.com%2Fwos%2Fwoscc%2Ffull-record%2FWOS:000274221400004","View Full Record in Web of Science")</f>
        <v>View Full Record in Web of Science</v>
      </c>
    </row>
    <row r="1849" spans="2:79" ht="12.5" x14ac:dyDescent="0.25">
      <c r="B1849" t="s">
        <v>8495</v>
      </c>
      <c r="D1849" s="7" t="s">
        <v>32933</v>
      </c>
      <c r="E1849" s="7"/>
      <c r="F1849" s="7"/>
      <c r="G1849" s="7"/>
      <c r="H1849" t="s">
        <v>67</v>
      </c>
      <c r="I1849" t="s">
        <v>5795</v>
      </c>
      <c r="J1849" t="s">
        <v>69</v>
      </c>
      <c r="K1849" t="s">
        <v>69</v>
      </c>
      <c r="L1849" t="s">
        <v>69</v>
      </c>
      <c r="M1849" t="s">
        <v>5796</v>
      </c>
      <c r="N1849" t="s">
        <v>69</v>
      </c>
      <c r="O1849" t="s">
        <v>69</v>
      </c>
      <c r="P1849" t="s">
        <v>5797</v>
      </c>
      <c r="Q1849" t="s">
        <v>5798</v>
      </c>
      <c r="R1849" t="s">
        <v>69</v>
      </c>
      <c r="S1849" t="s">
        <v>69</v>
      </c>
      <c r="T1849" t="s">
        <v>8505</v>
      </c>
      <c r="U1849" t="s">
        <v>8506</v>
      </c>
      <c r="V1849" t="s">
        <v>69</v>
      </c>
      <c r="W1849" t="s">
        <v>69</v>
      </c>
      <c r="X1849" t="s">
        <v>69</v>
      </c>
      <c r="Y1849" t="s">
        <v>69</v>
      </c>
      <c r="Z1849" t="s">
        <v>69</v>
      </c>
      <c r="AA1849" t="s">
        <v>15013</v>
      </c>
      <c r="AB1849" t="s">
        <v>15014</v>
      </c>
      <c r="AC1849" t="s">
        <v>5799</v>
      </c>
      <c r="AD1849" t="s">
        <v>15015</v>
      </c>
      <c r="AE1849" t="s">
        <v>69</v>
      </c>
      <c r="AF1849" t="s">
        <v>15016</v>
      </c>
      <c r="AG1849" t="s">
        <v>15017</v>
      </c>
      <c r="AH1849" t="s">
        <v>69</v>
      </c>
      <c r="AI1849" t="s">
        <v>15018</v>
      </c>
      <c r="AJ1849" t="s">
        <v>15019</v>
      </c>
      <c r="AK1849" t="s">
        <v>69</v>
      </c>
      <c r="AL1849" t="s">
        <v>15020</v>
      </c>
      <c r="AM1849" t="s">
        <v>69</v>
      </c>
      <c r="AN1849">
        <v>98</v>
      </c>
      <c r="AO1849">
        <v>2</v>
      </c>
      <c r="AP1849">
        <v>2</v>
      </c>
      <c r="AQ1849">
        <v>1</v>
      </c>
      <c r="AR1849">
        <v>11</v>
      </c>
      <c r="AS1849" t="s">
        <v>8586</v>
      </c>
      <c r="AT1849" t="s">
        <v>8587</v>
      </c>
      <c r="AU1849" t="s">
        <v>8588</v>
      </c>
      <c r="AV1849" t="s">
        <v>5800</v>
      </c>
      <c r="AW1849" t="s">
        <v>5801</v>
      </c>
      <c r="AX1849" t="s">
        <v>69</v>
      </c>
      <c r="AY1849" t="s">
        <v>15021</v>
      </c>
      <c r="AZ1849" t="s">
        <v>15022</v>
      </c>
      <c r="BA1849" t="s">
        <v>4861</v>
      </c>
      <c r="BB1849">
        <v>2020</v>
      </c>
      <c r="BC1849">
        <v>39</v>
      </c>
      <c r="BD1849">
        <v>5</v>
      </c>
      <c r="BE1849" t="s">
        <v>69</v>
      </c>
      <c r="BF1849" t="s">
        <v>69</v>
      </c>
      <c r="BG1849" t="s">
        <v>114</v>
      </c>
      <c r="BH1849" t="s">
        <v>69</v>
      </c>
      <c r="BI1849">
        <v>599</v>
      </c>
      <c r="BJ1849">
        <v>617</v>
      </c>
      <c r="BK1849" t="s">
        <v>69</v>
      </c>
      <c r="BL1849" t="s">
        <v>5802</v>
      </c>
      <c r="BM1849" t="str">
        <f>HYPERLINK("http://dx.doi.org/10.1108/JMD-09-2019-0392","http://dx.doi.org/10.1108/JMD-09-2019-0392")</f>
        <v>http://dx.doi.org/10.1108/JMD-09-2019-0392</v>
      </c>
      <c r="BN1849" t="s">
        <v>69</v>
      </c>
      <c r="BO1849" t="s">
        <v>4582</v>
      </c>
      <c r="BP1849">
        <v>19</v>
      </c>
      <c r="BQ1849" t="s">
        <v>9410</v>
      </c>
      <c r="BR1849" t="s">
        <v>8573</v>
      </c>
      <c r="BS1849" t="s">
        <v>8594</v>
      </c>
      <c r="BT1849" t="s">
        <v>15023</v>
      </c>
      <c r="BU1849" t="s">
        <v>5803</v>
      </c>
      <c r="BV1849" t="s">
        <v>69</v>
      </c>
      <c r="BW1849" t="s">
        <v>69</v>
      </c>
      <c r="BX1849" t="s">
        <v>69</v>
      </c>
      <c r="BY1849" t="s">
        <v>69</v>
      </c>
      <c r="BZ1849" t="s">
        <v>8526</v>
      </c>
      <c r="CA1849" t="str">
        <f>HYPERLINK("https%3A%2F%2Fwww.webofscience.com%2Fwos%2Fwoscc%2Ffull-record%2FWOS:000538065300001","View Full Record in Web of Science")</f>
        <v>View Full Record in Web of Science</v>
      </c>
    </row>
    <row r="1850" spans="2:79" ht="12.5" x14ac:dyDescent="0.25">
      <c r="B1850" t="s">
        <v>8495</v>
      </c>
      <c r="D1850" s="7" t="s">
        <v>32933</v>
      </c>
      <c r="E1850" s="7"/>
      <c r="F1850" s="7"/>
      <c r="G1850" s="7"/>
      <c r="H1850" t="s">
        <v>67</v>
      </c>
      <c r="I1850" t="s">
        <v>3967</v>
      </c>
      <c r="J1850" t="s">
        <v>69</v>
      </c>
      <c r="K1850" t="s">
        <v>69</v>
      </c>
      <c r="L1850" t="s">
        <v>69</v>
      </c>
      <c r="M1850" t="s">
        <v>3967</v>
      </c>
      <c r="N1850" t="s">
        <v>69</v>
      </c>
      <c r="O1850" t="s">
        <v>69</v>
      </c>
      <c r="P1850" t="s">
        <v>3968</v>
      </c>
      <c r="Q1850" t="s">
        <v>3969</v>
      </c>
      <c r="R1850" t="s">
        <v>69</v>
      </c>
      <c r="S1850" t="s">
        <v>69</v>
      </c>
      <c r="T1850" t="s">
        <v>8505</v>
      </c>
      <c r="U1850" t="s">
        <v>8506</v>
      </c>
      <c r="V1850" t="s">
        <v>69</v>
      </c>
      <c r="W1850" t="s">
        <v>69</v>
      </c>
      <c r="X1850" t="s">
        <v>69</v>
      </c>
      <c r="Y1850" t="s">
        <v>69</v>
      </c>
      <c r="Z1850" t="s">
        <v>69</v>
      </c>
      <c r="AA1850" t="s">
        <v>69</v>
      </c>
      <c r="AB1850" t="s">
        <v>69</v>
      </c>
      <c r="AC1850" t="s">
        <v>3970</v>
      </c>
      <c r="AD1850" t="s">
        <v>30477</v>
      </c>
      <c r="AE1850" t="s">
        <v>69</v>
      </c>
      <c r="AF1850" t="s">
        <v>31220</v>
      </c>
      <c r="AG1850" t="s">
        <v>69</v>
      </c>
      <c r="AH1850" t="s">
        <v>69</v>
      </c>
      <c r="AI1850" t="s">
        <v>69</v>
      </c>
      <c r="AJ1850" t="s">
        <v>69</v>
      </c>
      <c r="AK1850" t="s">
        <v>69</v>
      </c>
      <c r="AL1850" t="s">
        <v>69</v>
      </c>
      <c r="AM1850" t="s">
        <v>69</v>
      </c>
      <c r="AN1850">
        <v>59</v>
      </c>
      <c r="AO1850">
        <v>131</v>
      </c>
      <c r="AP1850">
        <v>136</v>
      </c>
      <c r="AQ1850">
        <v>5</v>
      </c>
      <c r="AR1850">
        <v>64</v>
      </c>
      <c r="AS1850" t="s">
        <v>10352</v>
      </c>
      <c r="AT1850" t="s">
        <v>8637</v>
      </c>
      <c r="AU1850" t="s">
        <v>10353</v>
      </c>
      <c r="AV1850" t="s">
        <v>3971</v>
      </c>
      <c r="AW1850" t="s">
        <v>69</v>
      </c>
      <c r="AX1850" t="s">
        <v>69</v>
      </c>
      <c r="AY1850" t="s">
        <v>10435</v>
      </c>
      <c r="AZ1850" t="s">
        <v>10436</v>
      </c>
      <c r="BA1850" t="s">
        <v>84</v>
      </c>
      <c r="BB1850">
        <v>2003</v>
      </c>
      <c r="BC1850">
        <v>13</v>
      </c>
      <c r="BD1850">
        <v>3</v>
      </c>
      <c r="BE1850" t="s">
        <v>69</v>
      </c>
      <c r="BF1850" t="s">
        <v>69</v>
      </c>
      <c r="BG1850" t="s">
        <v>69</v>
      </c>
      <c r="BH1850" t="s">
        <v>69</v>
      </c>
      <c r="BI1850">
        <v>265</v>
      </c>
      <c r="BJ1850">
        <v>282</v>
      </c>
      <c r="BK1850" t="s">
        <v>69</v>
      </c>
      <c r="BL1850" t="s">
        <v>3972</v>
      </c>
      <c r="BM1850" t="str">
        <f>HYPERLINK("http://dx.doi.org/10.1093/jopart/mug024","http://dx.doi.org/10.1093/jopart/mug024")</f>
        <v>http://dx.doi.org/10.1093/jopart/mug024</v>
      </c>
      <c r="BN1850" t="s">
        <v>69</v>
      </c>
      <c r="BO1850" t="s">
        <v>69</v>
      </c>
      <c r="BP1850">
        <v>18</v>
      </c>
      <c r="BQ1850" t="s">
        <v>10439</v>
      </c>
      <c r="BR1850" t="s">
        <v>8661</v>
      </c>
      <c r="BS1850" t="s">
        <v>10440</v>
      </c>
      <c r="BT1850" t="s">
        <v>31221</v>
      </c>
      <c r="BU1850" t="s">
        <v>3973</v>
      </c>
      <c r="BV1850" t="s">
        <v>69</v>
      </c>
      <c r="BW1850" t="s">
        <v>69</v>
      </c>
      <c r="BX1850" t="s">
        <v>69</v>
      </c>
      <c r="BY1850" t="s">
        <v>69</v>
      </c>
      <c r="BZ1850" t="s">
        <v>8526</v>
      </c>
      <c r="CA1850" t="str">
        <f>HYPERLINK("https%3A%2F%2Fwww.webofscience.com%2Fwos%2Fwoscc%2Ffull-record%2FWOS:000186235800002","View Full Record in Web of Science")</f>
        <v>View Full Record in Web of Science</v>
      </c>
    </row>
    <row r="1851" spans="2:79" x14ac:dyDescent="0.3">
      <c r="C1851" s="7" t="s">
        <v>33213</v>
      </c>
      <c r="F1851" s="10" t="s">
        <v>8490</v>
      </c>
      <c r="I1851" s="7" t="s">
        <v>8454</v>
      </c>
      <c r="P1851" s="7" t="s">
        <v>33215</v>
      </c>
      <c r="Q1851" t="s">
        <v>8455</v>
      </c>
      <c r="AC1851" t="s">
        <v>8457</v>
      </c>
      <c r="BB1851">
        <v>2020</v>
      </c>
      <c r="BM1851" s="23" t="s">
        <v>8456</v>
      </c>
    </row>
    <row r="1852" spans="2:79" x14ac:dyDescent="0.3">
      <c r="B1852" t="s">
        <v>8495</v>
      </c>
      <c r="D1852" s="12" t="s">
        <v>33043</v>
      </c>
      <c r="H1852" t="s">
        <v>67</v>
      </c>
      <c r="I1852" t="s">
        <v>376</v>
      </c>
      <c r="J1852" t="s">
        <v>69</v>
      </c>
      <c r="K1852" t="s">
        <v>69</v>
      </c>
      <c r="L1852" t="s">
        <v>69</v>
      </c>
      <c r="M1852" t="s">
        <v>377</v>
      </c>
      <c r="N1852" t="s">
        <v>69</v>
      </c>
      <c r="O1852" t="s">
        <v>69</v>
      </c>
      <c r="P1852" s="2" t="s">
        <v>378</v>
      </c>
      <c r="Q1852" t="s">
        <v>352</v>
      </c>
      <c r="R1852" t="s">
        <v>69</v>
      </c>
      <c r="S1852" t="s">
        <v>69</v>
      </c>
      <c r="T1852" t="s">
        <v>8505</v>
      </c>
      <c r="U1852" t="s">
        <v>8506</v>
      </c>
      <c r="V1852" t="s">
        <v>69</v>
      </c>
      <c r="W1852" t="s">
        <v>69</v>
      </c>
      <c r="X1852" t="s">
        <v>69</v>
      </c>
      <c r="Y1852" t="s">
        <v>69</v>
      </c>
      <c r="Z1852" t="s">
        <v>69</v>
      </c>
      <c r="AA1852" t="s">
        <v>18287</v>
      </c>
      <c r="AB1852" t="s">
        <v>18288</v>
      </c>
      <c r="AC1852" t="s">
        <v>379</v>
      </c>
      <c r="AD1852" t="s">
        <v>18289</v>
      </c>
      <c r="AE1852" t="s">
        <v>69</v>
      </c>
      <c r="AF1852" t="s">
        <v>18290</v>
      </c>
      <c r="AG1852" t="s">
        <v>18291</v>
      </c>
      <c r="AH1852" t="s">
        <v>18292</v>
      </c>
      <c r="AI1852" t="s">
        <v>380</v>
      </c>
      <c r="AJ1852" t="s">
        <v>18293</v>
      </c>
      <c r="AK1852" t="s">
        <v>18294</v>
      </c>
      <c r="AL1852" t="s">
        <v>18295</v>
      </c>
      <c r="AM1852" t="s">
        <v>69</v>
      </c>
      <c r="AN1852">
        <v>57</v>
      </c>
      <c r="AO1852">
        <v>11</v>
      </c>
      <c r="AP1852">
        <v>11</v>
      </c>
      <c r="AQ1852">
        <v>6</v>
      </c>
      <c r="AR1852">
        <v>35</v>
      </c>
      <c r="AS1852" t="s">
        <v>8924</v>
      </c>
      <c r="AT1852" t="s">
        <v>8925</v>
      </c>
      <c r="AU1852" t="s">
        <v>8926</v>
      </c>
      <c r="AV1852" t="s">
        <v>69</v>
      </c>
      <c r="AW1852" t="s">
        <v>354</v>
      </c>
      <c r="AX1852" t="s">
        <v>69</v>
      </c>
      <c r="AY1852" t="s">
        <v>8958</v>
      </c>
      <c r="AZ1852" t="s">
        <v>8434</v>
      </c>
      <c r="BA1852" t="s">
        <v>381</v>
      </c>
      <c r="BB1852">
        <v>2018</v>
      </c>
      <c r="BC1852">
        <v>10</v>
      </c>
      <c r="BD1852">
        <v>10</v>
      </c>
      <c r="BE1852" t="s">
        <v>69</v>
      </c>
      <c r="BF1852" t="s">
        <v>69</v>
      </c>
      <c r="BG1852" t="s">
        <v>69</v>
      </c>
      <c r="BH1852" t="s">
        <v>69</v>
      </c>
      <c r="BI1852" t="s">
        <v>69</v>
      </c>
      <c r="BJ1852" t="s">
        <v>69</v>
      </c>
      <c r="BK1852">
        <v>3585</v>
      </c>
      <c r="BL1852" t="s">
        <v>382</v>
      </c>
      <c r="BM1852" t="str">
        <f>HYPERLINK("http://dx.doi.org/10.3390/su10103585","http://dx.doi.org/10.3390/su10103585")</f>
        <v>http://dx.doi.org/10.3390/su10103585</v>
      </c>
      <c r="BN1852" t="s">
        <v>69</v>
      </c>
      <c r="BO1852" t="s">
        <v>69</v>
      </c>
      <c r="BP1852">
        <v>17</v>
      </c>
      <c r="BQ1852" t="s">
        <v>8960</v>
      </c>
      <c r="BR1852" t="s">
        <v>8523</v>
      </c>
      <c r="BS1852" t="s">
        <v>8961</v>
      </c>
      <c r="BT1852" t="s">
        <v>18296</v>
      </c>
      <c r="BU1852" t="s">
        <v>383</v>
      </c>
      <c r="BV1852" t="s">
        <v>69</v>
      </c>
      <c r="BW1852" t="s">
        <v>10482</v>
      </c>
      <c r="BX1852" t="s">
        <v>69</v>
      </c>
      <c r="BY1852" t="s">
        <v>69</v>
      </c>
      <c r="BZ1852" t="s">
        <v>8526</v>
      </c>
      <c r="CA1852" t="str">
        <f>HYPERLINK("https%3A%2F%2Fwww.webofscience.com%2Fwos%2Fwoscc%2Ffull-record%2FWOS:000448559400227","View Full Record in Web of Science")</f>
        <v>View Full Record in Web of Science</v>
      </c>
    </row>
    <row r="1853" spans="2:79" ht="12.5" x14ac:dyDescent="0.25">
      <c r="B1853" t="s">
        <v>8495</v>
      </c>
      <c r="D1853" s="22" t="s">
        <v>32931</v>
      </c>
      <c r="E1853" s="7"/>
      <c r="F1853" s="7"/>
      <c r="G1853" s="7"/>
      <c r="H1853" t="s">
        <v>67</v>
      </c>
      <c r="I1853" t="s">
        <v>27953</v>
      </c>
      <c r="J1853" t="s">
        <v>69</v>
      </c>
      <c r="K1853" t="s">
        <v>69</v>
      </c>
      <c r="L1853" t="s">
        <v>69</v>
      </c>
      <c r="M1853" t="s">
        <v>27954</v>
      </c>
      <c r="N1853" t="s">
        <v>69</v>
      </c>
      <c r="O1853" t="s">
        <v>69</v>
      </c>
      <c r="P1853" t="s">
        <v>27955</v>
      </c>
      <c r="Q1853" t="s">
        <v>27956</v>
      </c>
      <c r="R1853" t="s">
        <v>69</v>
      </c>
      <c r="S1853" t="s">
        <v>69</v>
      </c>
      <c r="T1853" t="s">
        <v>8505</v>
      </c>
      <c r="U1853" t="s">
        <v>8506</v>
      </c>
      <c r="V1853" t="s">
        <v>69</v>
      </c>
      <c r="W1853" t="s">
        <v>69</v>
      </c>
      <c r="X1853" t="s">
        <v>69</v>
      </c>
      <c r="Y1853" t="s">
        <v>69</v>
      </c>
      <c r="Z1853" t="s">
        <v>69</v>
      </c>
      <c r="AA1853" t="s">
        <v>27957</v>
      </c>
      <c r="AB1853" t="s">
        <v>69</v>
      </c>
      <c r="AC1853" t="s">
        <v>27958</v>
      </c>
      <c r="AD1853" t="s">
        <v>27959</v>
      </c>
      <c r="AE1853" t="s">
        <v>69</v>
      </c>
      <c r="AF1853" t="s">
        <v>27960</v>
      </c>
      <c r="AG1853" t="s">
        <v>27961</v>
      </c>
      <c r="AH1853" t="s">
        <v>69</v>
      </c>
      <c r="AI1853" t="s">
        <v>69</v>
      </c>
      <c r="AJ1853" t="s">
        <v>69</v>
      </c>
      <c r="AK1853" t="s">
        <v>69</v>
      </c>
      <c r="AL1853" t="s">
        <v>69</v>
      </c>
      <c r="AM1853" t="s">
        <v>69</v>
      </c>
      <c r="AN1853">
        <v>51</v>
      </c>
      <c r="AO1853">
        <v>10</v>
      </c>
      <c r="AP1853">
        <v>10</v>
      </c>
      <c r="AQ1853">
        <v>0</v>
      </c>
      <c r="AR1853">
        <v>1</v>
      </c>
      <c r="AS1853" t="s">
        <v>8865</v>
      </c>
      <c r="AT1853" t="s">
        <v>8612</v>
      </c>
      <c r="AU1853" t="s">
        <v>8866</v>
      </c>
      <c r="AV1853" t="s">
        <v>27962</v>
      </c>
      <c r="AW1853" t="s">
        <v>27963</v>
      </c>
      <c r="AX1853" t="s">
        <v>69</v>
      </c>
      <c r="AY1853" t="s">
        <v>27964</v>
      </c>
      <c r="AZ1853" t="s">
        <v>27965</v>
      </c>
      <c r="BA1853" t="s">
        <v>69</v>
      </c>
      <c r="BB1853">
        <v>2010</v>
      </c>
      <c r="BC1853">
        <v>28</v>
      </c>
      <c r="BD1853">
        <v>3</v>
      </c>
      <c r="BE1853" t="s">
        <v>69</v>
      </c>
      <c r="BF1853" t="s">
        <v>69</v>
      </c>
      <c r="BG1853" t="s">
        <v>69</v>
      </c>
      <c r="BH1853" t="s">
        <v>69</v>
      </c>
      <c r="BI1853">
        <v>231</v>
      </c>
      <c r="BJ1853">
        <v>239</v>
      </c>
      <c r="BK1853" t="s">
        <v>69</v>
      </c>
      <c r="BL1853" t="s">
        <v>27966</v>
      </c>
      <c r="BM1853" t="str">
        <f>HYPERLINK("http://dx.doi.org/10.1080/01446191003587729","http://dx.doi.org/10.1080/01446191003587729")</f>
        <v>http://dx.doi.org/10.1080/01446191003587729</v>
      </c>
      <c r="BN1853" t="s">
        <v>69</v>
      </c>
      <c r="BO1853" t="s">
        <v>69</v>
      </c>
      <c r="BP1853">
        <v>9</v>
      </c>
      <c r="BQ1853" t="s">
        <v>8444</v>
      </c>
      <c r="BR1853" t="s">
        <v>8573</v>
      </c>
      <c r="BS1853" t="s">
        <v>8594</v>
      </c>
      <c r="BT1853" t="s">
        <v>27967</v>
      </c>
      <c r="BU1853" t="s">
        <v>27968</v>
      </c>
      <c r="BV1853" t="s">
        <v>69</v>
      </c>
      <c r="BW1853" t="s">
        <v>9292</v>
      </c>
      <c r="BX1853" t="s">
        <v>69</v>
      </c>
      <c r="BY1853" t="s">
        <v>69</v>
      </c>
      <c r="BZ1853" t="s">
        <v>8526</v>
      </c>
      <c r="CA1853" t="str">
        <f>HYPERLINK("https%3A%2F%2Fwww.webofscience.com%2Fwos%2Fwoscc%2Ffull-record%2FWOS:000213281700004","View Full Record in Web of Science")</f>
        <v>View Full Record in Web of Science</v>
      </c>
    </row>
    <row r="1854" spans="2:79" ht="12.5" x14ac:dyDescent="0.25">
      <c r="B1854" t="s">
        <v>8495</v>
      </c>
      <c r="D1854" s="7" t="s">
        <v>32933</v>
      </c>
      <c r="E1854" s="7"/>
      <c r="F1854" s="7"/>
      <c r="G1854" s="7"/>
      <c r="H1854" t="s">
        <v>67</v>
      </c>
      <c r="I1854" t="s">
        <v>7757</v>
      </c>
      <c r="J1854" t="s">
        <v>69</v>
      </c>
      <c r="K1854" t="s">
        <v>69</v>
      </c>
      <c r="L1854" t="s">
        <v>69</v>
      </c>
      <c r="M1854" t="s">
        <v>7758</v>
      </c>
      <c r="N1854" t="s">
        <v>69</v>
      </c>
      <c r="O1854" t="s">
        <v>69</v>
      </c>
      <c r="P1854" t="s">
        <v>7759</v>
      </c>
      <c r="Q1854" t="s">
        <v>7760</v>
      </c>
      <c r="R1854" t="s">
        <v>69</v>
      </c>
      <c r="S1854" t="s">
        <v>69</v>
      </c>
      <c r="T1854" t="s">
        <v>8505</v>
      </c>
      <c r="U1854" t="s">
        <v>8506</v>
      </c>
      <c r="V1854" t="s">
        <v>69</v>
      </c>
      <c r="W1854" t="s">
        <v>69</v>
      </c>
      <c r="X1854" t="s">
        <v>69</v>
      </c>
      <c r="Y1854" t="s">
        <v>69</v>
      </c>
      <c r="Z1854" t="s">
        <v>69</v>
      </c>
      <c r="AA1854" t="s">
        <v>69</v>
      </c>
      <c r="AB1854" t="s">
        <v>25038</v>
      </c>
      <c r="AC1854" t="s">
        <v>7761</v>
      </c>
      <c r="AD1854" t="s">
        <v>25039</v>
      </c>
      <c r="AE1854" t="s">
        <v>69</v>
      </c>
      <c r="AF1854" t="s">
        <v>25040</v>
      </c>
      <c r="AG1854" t="s">
        <v>25041</v>
      </c>
      <c r="AH1854" t="s">
        <v>25042</v>
      </c>
      <c r="AI1854" t="s">
        <v>25043</v>
      </c>
      <c r="AJ1854" t="s">
        <v>69</v>
      </c>
      <c r="AK1854" t="s">
        <v>69</v>
      </c>
      <c r="AL1854" t="s">
        <v>69</v>
      </c>
      <c r="AM1854" t="s">
        <v>69</v>
      </c>
      <c r="AN1854">
        <v>17</v>
      </c>
      <c r="AO1854">
        <v>12</v>
      </c>
      <c r="AP1854">
        <v>12</v>
      </c>
      <c r="AQ1854">
        <v>0</v>
      </c>
      <c r="AR1854">
        <v>38</v>
      </c>
      <c r="AS1854" t="s">
        <v>25044</v>
      </c>
      <c r="AT1854" t="s">
        <v>14472</v>
      </c>
      <c r="AU1854" t="s">
        <v>25045</v>
      </c>
      <c r="AV1854" t="s">
        <v>7762</v>
      </c>
      <c r="AW1854" t="s">
        <v>69</v>
      </c>
      <c r="AX1854" t="s">
        <v>69</v>
      </c>
      <c r="AY1854" t="s">
        <v>25046</v>
      </c>
      <c r="AZ1854" t="s">
        <v>25047</v>
      </c>
      <c r="BA1854" t="s">
        <v>246</v>
      </c>
      <c r="BB1854">
        <v>2013</v>
      </c>
      <c r="BC1854">
        <v>41</v>
      </c>
      <c r="BD1854">
        <v>1</v>
      </c>
      <c r="BE1854" t="s">
        <v>69</v>
      </c>
      <c r="BF1854" t="s">
        <v>69</v>
      </c>
      <c r="BG1854" t="s">
        <v>114</v>
      </c>
      <c r="BH1854" t="s">
        <v>69</v>
      </c>
      <c r="BI1854">
        <v>113</v>
      </c>
      <c r="BJ1854">
        <v>119</v>
      </c>
      <c r="BK1854" t="s">
        <v>69</v>
      </c>
      <c r="BL1854" t="s">
        <v>69</v>
      </c>
      <c r="BM1854" t="s">
        <v>69</v>
      </c>
      <c r="BN1854" t="s">
        <v>69</v>
      </c>
      <c r="BO1854" t="s">
        <v>69</v>
      </c>
      <c r="BP1854">
        <v>7</v>
      </c>
      <c r="BQ1854" t="s">
        <v>14651</v>
      </c>
      <c r="BR1854" t="s">
        <v>8548</v>
      </c>
      <c r="BS1854" t="s">
        <v>14651</v>
      </c>
      <c r="BT1854" t="s">
        <v>25048</v>
      </c>
      <c r="BU1854" t="s">
        <v>7763</v>
      </c>
      <c r="BV1854" t="s">
        <v>69</v>
      </c>
      <c r="BW1854" t="s">
        <v>69</v>
      </c>
      <c r="BX1854" t="s">
        <v>69</v>
      </c>
      <c r="BY1854" t="s">
        <v>69</v>
      </c>
      <c r="BZ1854" t="s">
        <v>8526</v>
      </c>
      <c r="CA1854" t="str">
        <f>HYPERLINK("https%3A%2F%2Fwww.webofscience.com%2Fwos%2Fwoscc%2Ffull-record%2FWOS:000331666700017","View Full Record in Web of Science")</f>
        <v>View Full Record in Web of Science</v>
      </c>
    </row>
    <row r="1855" spans="2:79" ht="12.5" x14ac:dyDescent="0.25">
      <c r="B1855" t="s">
        <v>8495</v>
      </c>
      <c r="D1855" s="7" t="s">
        <v>32933</v>
      </c>
      <c r="E1855" s="7"/>
      <c r="F1855" s="7"/>
      <c r="G1855" s="7"/>
      <c r="H1855" t="s">
        <v>67</v>
      </c>
      <c r="I1855" t="s">
        <v>914</v>
      </c>
      <c r="J1855" t="s">
        <v>69</v>
      </c>
      <c r="K1855" t="s">
        <v>69</v>
      </c>
      <c r="L1855" t="s">
        <v>69</v>
      </c>
      <c r="M1855" t="s">
        <v>915</v>
      </c>
      <c r="N1855" t="s">
        <v>69</v>
      </c>
      <c r="O1855" t="s">
        <v>69</v>
      </c>
      <c r="P1855" t="s">
        <v>916</v>
      </c>
      <c r="Q1855" t="s">
        <v>917</v>
      </c>
      <c r="R1855" t="s">
        <v>69</v>
      </c>
      <c r="S1855" t="s">
        <v>69</v>
      </c>
      <c r="T1855" t="s">
        <v>8505</v>
      </c>
      <c r="U1855" t="s">
        <v>8506</v>
      </c>
      <c r="V1855" t="s">
        <v>69</v>
      </c>
      <c r="W1855" t="s">
        <v>69</v>
      </c>
      <c r="X1855" t="s">
        <v>69</v>
      </c>
      <c r="Y1855" t="s">
        <v>69</v>
      </c>
      <c r="Z1855" t="s">
        <v>69</v>
      </c>
      <c r="AA1855" t="s">
        <v>16999</v>
      </c>
      <c r="AB1855" t="s">
        <v>17000</v>
      </c>
      <c r="AC1855" t="s">
        <v>918</v>
      </c>
      <c r="AD1855" t="s">
        <v>17001</v>
      </c>
      <c r="AE1855" t="s">
        <v>69</v>
      </c>
      <c r="AF1855" t="s">
        <v>17002</v>
      </c>
      <c r="AG1855" t="s">
        <v>17003</v>
      </c>
      <c r="AH1855" t="s">
        <v>919</v>
      </c>
      <c r="AI1855" t="s">
        <v>17004</v>
      </c>
      <c r="AJ1855" t="s">
        <v>69</v>
      </c>
      <c r="AK1855" t="s">
        <v>69</v>
      </c>
      <c r="AL1855" t="s">
        <v>69</v>
      </c>
      <c r="AM1855" t="s">
        <v>69</v>
      </c>
      <c r="AN1855">
        <v>40</v>
      </c>
      <c r="AO1855">
        <v>15</v>
      </c>
      <c r="AP1855">
        <v>15</v>
      </c>
      <c r="AQ1855">
        <v>4</v>
      </c>
      <c r="AR1855">
        <v>9</v>
      </c>
      <c r="AS1855" t="s">
        <v>8865</v>
      </c>
      <c r="AT1855" t="s">
        <v>8612</v>
      </c>
      <c r="AU1855" t="s">
        <v>8866</v>
      </c>
      <c r="AV1855" t="s">
        <v>920</v>
      </c>
      <c r="AW1855" t="s">
        <v>921</v>
      </c>
      <c r="AX1855" t="s">
        <v>69</v>
      </c>
      <c r="AY1855" t="s">
        <v>17005</v>
      </c>
      <c r="AZ1855" t="s">
        <v>17006</v>
      </c>
      <c r="BA1855" t="s">
        <v>922</v>
      </c>
      <c r="BB1855">
        <v>2019</v>
      </c>
      <c r="BC1855">
        <v>60</v>
      </c>
      <c r="BD1855">
        <v>6</v>
      </c>
      <c r="BE1855" t="s">
        <v>69</v>
      </c>
      <c r="BF1855" t="s">
        <v>69</v>
      </c>
      <c r="BG1855" t="s">
        <v>69</v>
      </c>
      <c r="BH1855" t="s">
        <v>69</v>
      </c>
      <c r="BI1855">
        <v>716</v>
      </c>
      <c r="BJ1855">
        <v>733</v>
      </c>
      <c r="BK1855" t="s">
        <v>69</v>
      </c>
      <c r="BL1855" t="s">
        <v>923</v>
      </c>
      <c r="BM1855" t="str">
        <f>HYPERLINK("http://dx.doi.org/10.1080/0023656X.2019.1640356","http://dx.doi.org/10.1080/0023656X.2019.1640356")</f>
        <v>http://dx.doi.org/10.1080/0023656X.2019.1640356</v>
      </c>
      <c r="BN1855" t="s">
        <v>69</v>
      </c>
      <c r="BO1855" t="s">
        <v>924</v>
      </c>
      <c r="BP1855">
        <v>18</v>
      </c>
      <c r="BQ1855" t="s">
        <v>17007</v>
      </c>
      <c r="BR1855" t="s">
        <v>12201</v>
      </c>
      <c r="BS1855" t="s">
        <v>17008</v>
      </c>
      <c r="BT1855" t="s">
        <v>17009</v>
      </c>
      <c r="BU1855" t="s">
        <v>925</v>
      </c>
      <c r="BV1855" t="s">
        <v>69</v>
      </c>
      <c r="BW1855" t="s">
        <v>69</v>
      </c>
      <c r="BX1855" t="s">
        <v>69</v>
      </c>
      <c r="BY1855" t="s">
        <v>69</v>
      </c>
      <c r="BZ1855" t="s">
        <v>8526</v>
      </c>
      <c r="CA1855" t="str">
        <f>HYPERLINK("https%3A%2F%2Fwww.webofscience.com%2Fwos%2Fwoscc%2Ffull-record%2FWOS:000476181100001","View Full Record in Web of Science")</f>
        <v>View Full Record in Web of Science</v>
      </c>
    </row>
    <row r="1856" spans="2:79" ht="12.5" x14ac:dyDescent="0.25">
      <c r="B1856" t="s">
        <v>8495</v>
      </c>
      <c r="D1856" s="7" t="s">
        <v>32933</v>
      </c>
      <c r="E1856" s="7"/>
      <c r="F1856" s="7"/>
      <c r="G1856" s="7"/>
      <c r="H1856" t="s">
        <v>67</v>
      </c>
      <c r="I1856" t="s">
        <v>5828</v>
      </c>
      <c r="J1856" t="s">
        <v>69</v>
      </c>
      <c r="K1856" t="s">
        <v>69</v>
      </c>
      <c r="L1856" t="s">
        <v>69</v>
      </c>
      <c r="M1856" t="s">
        <v>5829</v>
      </c>
      <c r="N1856" t="s">
        <v>69</v>
      </c>
      <c r="O1856" t="s">
        <v>69</v>
      </c>
      <c r="P1856" t="s">
        <v>5830</v>
      </c>
      <c r="Q1856" t="s">
        <v>352</v>
      </c>
      <c r="R1856" t="s">
        <v>69</v>
      </c>
      <c r="S1856" t="s">
        <v>69</v>
      </c>
      <c r="T1856" t="s">
        <v>8505</v>
      </c>
      <c r="U1856" t="s">
        <v>8506</v>
      </c>
      <c r="V1856" t="s">
        <v>69</v>
      </c>
      <c r="W1856" t="s">
        <v>69</v>
      </c>
      <c r="X1856" t="s">
        <v>69</v>
      </c>
      <c r="Y1856" t="s">
        <v>69</v>
      </c>
      <c r="Z1856" t="s">
        <v>69</v>
      </c>
      <c r="AA1856" t="s">
        <v>18506</v>
      </c>
      <c r="AB1856" t="s">
        <v>18507</v>
      </c>
      <c r="AC1856" t="s">
        <v>5831</v>
      </c>
      <c r="AD1856" t="s">
        <v>18508</v>
      </c>
      <c r="AE1856" t="s">
        <v>69</v>
      </c>
      <c r="AF1856" t="s">
        <v>18509</v>
      </c>
      <c r="AG1856" t="s">
        <v>18510</v>
      </c>
      <c r="AH1856" t="s">
        <v>5832</v>
      </c>
      <c r="AI1856" t="s">
        <v>18511</v>
      </c>
      <c r="AJ1856" t="s">
        <v>18512</v>
      </c>
      <c r="AK1856" t="s">
        <v>18512</v>
      </c>
      <c r="AL1856" t="s">
        <v>18513</v>
      </c>
      <c r="AM1856" t="s">
        <v>69</v>
      </c>
      <c r="AN1856">
        <v>89</v>
      </c>
      <c r="AO1856">
        <v>21</v>
      </c>
      <c r="AP1856">
        <v>22</v>
      </c>
      <c r="AQ1856">
        <v>4</v>
      </c>
      <c r="AR1856">
        <v>26</v>
      </c>
      <c r="AS1856" t="s">
        <v>8924</v>
      </c>
      <c r="AT1856" t="s">
        <v>8925</v>
      </c>
      <c r="AU1856" t="s">
        <v>8926</v>
      </c>
      <c r="AV1856" t="s">
        <v>69</v>
      </c>
      <c r="AW1856" t="s">
        <v>354</v>
      </c>
      <c r="AX1856" t="s">
        <v>69</v>
      </c>
      <c r="AY1856" t="s">
        <v>8958</v>
      </c>
      <c r="AZ1856" t="s">
        <v>8434</v>
      </c>
      <c r="BA1856" t="s">
        <v>201</v>
      </c>
      <c r="BB1856">
        <v>2018</v>
      </c>
      <c r="BC1856">
        <v>10</v>
      </c>
      <c r="BD1856">
        <v>8</v>
      </c>
      <c r="BE1856" t="s">
        <v>69</v>
      </c>
      <c r="BF1856" t="s">
        <v>69</v>
      </c>
      <c r="BG1856" t="s">
        <v>69</v>
      </c>
      <c r="BH1856" t="s">
        <v>69</v>
      </c>
      <c r="BI1856" t="s">
        <v>69</v>
      </c>
      <c r="BJ1856" t="s">
        <v>69</v>
      </c>
      <c r="BK1856">
        <v>2719</v>
      </c>
      <c r="BL1856" t="s">
        <v>5833</v>
      </c>
      <c r="BM1856" t="str">
        <f>HYPERLINK("http://dx.doi.org/10.3390/su10082719","http://dx.doi.org/10.3390/su10082719")</f>
        <v>http://dx.doi.org/10.3390/su10082719</v>
      </c>
      <c r="BN1856" t="s">
        <v>69</v>
      </c>
      <c r="BO1856" t="s">
        <v>69</v>
      </c>
      <c r="BP1856">
        <v>24</v>
      </c>
      <c r="BQ1856" t="s">
        <v>8960</v>
      </c>
      <c r="BR1856" t="s">
        <v>8523</v>
      </c>
      <c r="BS1856" t="s">
        <v>8961</v>
      </c>
      <c r="BT1856" t="s">
        <v>18514</v>
      </c>
      <c r="BU1856" t="s">
        <v>5834</v>
      </c>
      <c r="BV1856" t="s">
        <v>69</v>
      </c>
      <c r="BW1856" t="s">
        <v>17361</v>
      </c>
      <c r="BX1856" t="s">
        <v>69</v>
      </c>
      <c r="BY1856" t="s">
        <v>69</v>
      </c>
      <c r="BZ1856" t="s">
        <v>8526</v>
      </c>
      <c r="CA1856" t="str">
        <f>HYPERLINK("https%3A%2F%2Fwww.webofscience.com%2Fwos%2Fwoscc%2Ffull-record%2FWOS:000446767700135","View Full Record in Web of Science")</f>
        <v>View Full Record in Web of Science</v>
      </c>
    </row>
    <row r="1857" spans="1:79" ht="12.5" x14ac:dyDescent="0.25">
      <c r="B1857" t="s">
        <v>8495</v>
      </c>
      <c r="D1857" s="7" t="s">
        <v>32933</v>
      </c>
      <c r="E1857" s="7"/>
      <c r="F1857" s="7"/>
      <c r="G1857" s="7"/>
      <c r="H1857" t="s">
        <v>67</v>
      </c>
      <c r="I1857" t="s">
        <v>3451</v>
      </c>
      <c r="J1857" t="s">
        <v>69</v>
      </c>
      <c r="K1857" t="s">
        <v>69</v>
      </c>
      <c r="L1857" t="s">
        <v>69</v>
      </c>
      <c r="M1857" t="s">
        <v>3452</v>
      </c>
      <c r="N1857" t="s">
        <v>69</v>
      </c>
      <c r="O1857" t="s">
        <v>69</v>
      </c>
      <c r="P1857" t="s">
        <v>3453</v>
      </c>
      <c r="Q1857" t="s">
        <v>90</v>
      </c>
      <c r="R1857" t="s">
        <v>69</v>
      </c>
      <c r="S1857" t="s">
        <v>69</v>
      </c>
      <c r="T1857" t="s">
        <v>8505</v>
      </c>
      <c r="U1857" t="s">
        <v>10174</v>
      </c>
      <c r="V1857" t="s">
        <v>69</v>
      </c>
      <c r="W1857" t="s">
        <v>69</v>
      </c>
      <c r="X1857" t="s">
        <v>69</v>
      </c>
      <c r="Y1857" t="s">
        <v>69</v>
      </c>
      <c r="Z1857" t="s">
        <v>69</v>
      </c>
      <c r="AA1857" t="s">
        <v>27129</v>
      </c>
      <c r="AB1857" t="s">
        <v>27130</v>
      </c>
      <c r="AC1857" t="s">
        <v>3454</v>
      </c>
      <c r="AD1857" t="s">
        <v>27131</v>
      </c>
      <c r="AE1857" t="s">
        <v>69</v>
      </c>
      <c r="AF1857" t="s">
        <v>27132</v>
      </c>
      <c r="AG1857" t="s">
        <v>27133</v>
      </c>
      <c r="AH1857" t="s">
        <v>27134</v>
      </c>
      <c r="AI1857" t="s">
        <v>27135</v>
      </c>
      <c r="AJ1857" t="s">
        <v>69</v>
      </c>
      <c r="AK1857" t="s">
        <v>69</v>
      </c>
      <c r="AL1857" t="s">
        <v>69</v>
      </c>
      <c r="AM1857" t="s">
        <v>69</v>
      </c>
      <c r="AN1857">
        <v>27</v>
      </c>
      <c r="AO1857">
        <v>7</v>
      </c>
      <c r="AP1857">
        <v>7</v>
      </c>
      <c r="AQ1857">
        <v>0</v>
      </c>
      <c r="AR1857">
        <v>8</v>
      </c>
      <c r="AS1857" t="s">
        <v>9047</v>
      </c>
      <c r="AT1857" t="s">
        <v>9048</v>
      </c>
      <c r="AU1857" t="s">
        <v>9049</v>
      </c>
      <c r="AV1857" t="s">
        <v>92</v>
      </c>
      <c r="AW1857" t="s">
        <v>93</v>
      </c>
      <c r="AX1857" t="s">
        <v>69</v>
      </c>
      <c r="AY1857" t="s">
        <v>27104</v>
      </c>
      <c r="AZ1857" t="s">
        <v>27105</v>
      </c>
      <c r="BA1857" t="s">
        <v>94</v>
      </c>
      <c r="BB1857">
        <v>2011</v>
      </c>
      <c r="BC1857">
        <v>11</v>
      </c>
      <c r="BD1857">
        <v>1</v>
      </c>
      <c r="BE1857" t="s">
        <v>69</v>
      </c>
      <c r="BF1857" t="s">
        <v>69</v>
      </c>
      <c r="BG1857" t="s">
        <v>69</v>
      </c>
      <c r="BH1857" t="s">
        <v>69</v>
      </c>
      <c r="BI1857">
        <v>1</v>
      </c>
      <c r="BJ1857">
        <v>6</v>
      </c>
      <c r="BK1857" t="s">
        <v>69</v>
      </c>
      <c r="BL1857" t="s">
        <v>3457</v>
      </c>
      <c r="BM1857" t="str">
        <f>HYPERLINK("http://dx.doi.org/10.1007/s10784-011-9146-x","http://dx.doi.org/10.1007/s10784-011-9146-x")</f>
        <v>http://dx.doi.org/10.1007/s10784-011-9146-x</v>
      </c>
      <c r="BN1857" t="s">
        <v>69</v>
      </c>
      <c r="BO1857" t="s">
        <v>69</v>
      </c>
      <c r="BP1857">
        <v>6</v>
      </c>
      <c r="BQ1857" t="s">
        <v>27106</v>
      </c>
      <c r="BR1857" t="s">
        <v>8661</v>
      </c>
      <c r="BS1857" t="s">
        <v>27107</v>
      </c>
      <c r="BT1857" t="s">
        <v>27108</v>
      </c>
      <c r="BU1857" t="s">
        <v>3458</v>
      </c>
      <c r="BV1857" t="s">
        <v>69</v>
      </c>
      <c r="BW1857" t="s">
        <v>8746</v>
      </c>
      <c r="BX1857" t="s">
        <v>69</v>
      </c>
      <c r="BY1857" t="s">
        <v>69</v>
      </c>
      <c r="BZ1857" t="s">
        <v>8526</v>
      </c>
      <c r="CA1857" t="str">
        <f>HYPERLINK("https%3A%2F%2Fwww.webofscience.com%2Fwos%2Fwoscc%2Ffull-record%2FWOS:000293788900001","View Full Record in Web of Science")</f>
        <v>View Full Record in Web of Science</v>
      </c>
    </row>
    <row r="1858" spans="1:79" ht="12.5" x14ac:dyDescent="0.25">
      <c r="B1858" t="s">
        <v>8495</v>
      </c>
      <c r="D1858" s="7" t="s">
        <v>32933</v>
      </c>
      <c r="E1858" s="7"/>
      <c r="F1858" s="7"/>
      <c r="G1858" s="7"/>
      <c r="H1858" t="s">
        <v>67</v>
      </c>
      <c r="I1858" t="s">
        <v>1648</v>
      </c>
      <c r="J1858" t="s">
        <v>69</v>
      </c>
      <c r="K1858" t="s">
        <v>69</v>
      </c>
      <c r="L1858" t="s">
        <v>69</v>
      </c>
      <c r="M1858" t="s">
        <v>1648</v>
      </c>
      <c r="N1858" t="s">
        <v>69</v>
      </c>
      <c r="O1858" t="s">
        <v>69</v>
      </c>
      <c r="P1858" t="s">
        <v>1649</v>
      </c>
      <c r="Q1858" t="s">
        <v>1650</v>
      </c>
      <c r="R1858" t="s">
        <v>69</v>
      </c>
      <c r="S1858" t="s">
        <v>69</v>
      </c>
      <c r="T1858" t="s">
        <v>8505</v>
      </c>
      <c r="U1858" t="s">
        <v>8506</v>
      </c>
      <c r="V1858" t="s">
        <v>69</v>
      </c>
      <c r="W1858" t="s">
        <v>69</v>
      </c>
      <c r="X1858" t="s">
        <v>69</v>
      </c>
      <c r="Y1858" t="s">
        <v>69</v>
      </c>
      <c r="Z1858" t="s">
        <v>69</v>
      </c>
      <c r="AA1858" t="s">
        <v>69</v>
      </c>
      <c r="AB1858" t="s">
        <v>30671</v>
      </c>
      <c r="AC1858" t="s">
        <v>1651</v>
      </c>
      <c r="AD1858" t="s">
        <v>30672</v>
      </c>
      <c r="AE1858" t="s">
        <v>69</v>
      </c>
      <c r="AF1858" t="s">
        <v>30673</v>
      </c>
      <c r="AG1858" t="s">
        <v>30674</v>
      </c>
      <c r="AH1858" t="s">
        <v>30675</v>
      </c>
      <c r="AI1858" t="s">
        <v>69</v>
      </c>
      <c r="AJ1858" t="s">
        <v>69</v>
      </c>
      <c r="AK1858" t="s">
        <v>69</v>
      </c>
      <c r="AL1858" t="s">
        <v>69</v>
      </c>
      <c r="AM1858" t="s">
        <v>69</v>
      </c>
      <c r="AN1858">
        <v>38</v>
      </c>
      <c r="AO1858">
        <v>5</v>
      </c>
      <c r="AP1858">
        <v>5</v>
      </c>
      <c r="AQ1858">
        <v>0</v>
      </c>
      <c r="AR1858">
        <v>9</v>
      </c>
      <c r="AS1858" t="s">
        <v>8762</v>
      </c>
      <c r="AT1858" t="s">
        <v>8763</v>
      </c>
      <c r="AU1858" t="s">
        <v>8764</v>
      </c>
      <c r="AV1858" t="s">
        <v>1652</v>
      </c>
      <c r="AW1858" t="s">
        <v>1653</v>
      </c>
      <c r="AX1858" t="s">
        <v>69</v>
      </c>
      <c r="AY1858" t="s">
        <v>30676</v>
      </c>
      <c r="AZ1858" t="s">
        <v>30677</v>
      </c>
      <c r="BA1858" t="s">
        <v>246</v>
      </c>
      <c r="BB1858">
        <v>2005</v>
      </c>
      <c r="BC1858">
        <v>17</v>
      </c>
      <c r="BD1858">
        <v>1</v>
      </c>
      <c r="BE1858" t="s">
        <v>69</v>
      </c>
      <c r="BF1858" t="s">
        <v>69</v>
      </c>
      <c r="BG1858" t="s">
        <v>69</v>
      </c>
      <c r="BH1858" t="s">
        <v>69</v>
      </c>
      <c r="BI1858">
        <v>171</v>
      </c>
      <c r="BJ1858">
        <v>182</v>
      </c>
      <c r="BK1858" t="s">
        <v>69</v>
      </c>
      <c r="BL1858" t="s">
        <v>1654</v>
      </c>
      <c r="BM1858" t="str">
        <f>HYPERLINK("http://dx.doi.org/10.1177/095624780501700116","http://dx.doi.org/10.1177/095624780501700116")</f>
        <v>http://dx.doi.org/10.1177/095624780501700116</v>
      </c>
      <c r="BN1858" t="s">
        <v>69</v>
      </c>
      <c r="BO1858" t="s">
        <v>69</v>
      </c>
      <c r="BP1858">
        <v>12</v>
      </c>
      <c r="BQ1858" t="s">
        <v>15093</v>
      </c>
      <c r="BR1858" t="s">
        <v>8661</v>
      </c>
      <c r="BS1858" t="s">
        <v>15094</v>
      </c>
      <c r="BT1858" t="s">
        <v>30678</v>
      </c>
      <c r="BU1858" t="s">
        <v>1655</v>
      </c>
      <c r="BV1858" t="s">
        <v>69</v>
      </c>
      <c r="BW1858" t="s">
        <v>9374</v>
      </c>
      <c r="BX1858" t="s">
        <v>69</v>
      </c>
      <c r="BY1858" t="s">
        <v>69</v>
      </c>
      <c r="BZ1858" t="s">
        <v>8526</v>
      </c>
      <c r="CA1858" t="str">
        <f>HYPERLINK("https%3A%2F%2Fwww.webofscience.com%2Fwos%2Fwoscc%2Ffull-record%2FWOS:000229459800010","View Full Record in Web of Science")</f>
        <v>View Full Record in Web of Science</v>
      </c>
    </row>
    <row r="1859" spans="1:79" x14ac:dyDescent="0.3">
      <c r="A1859" t="s">
        <v>8408</v>
      </c>
      <c r="B1859" t="s">
        <v>8495</v>
      </c>
      <c r="D1859" s="10" t="s">
        <v>33196</v>
      </c>
      <c r="F1859" s="10" t="s">
        <v>8490</v>
      </c>
      <c r="H1859" t="s">
        <v>67</v>
      </c>
      <c r="I1859" t="s">
        <v>5945</v>
      </c>
      <c r="J1859" t="s">
        <v>69</v>
      </c>
      <c r="K1859" t="s">
        <v>69</v>
      </c>
      <c r="L1859" t="s">
        <v>69</v>
      </c>
      <c r="M1859" s="2" t="s">
        <v>5946</v>
      </c>
      <c r="N1859" t="s">
        <v>69</v>
      </c>
      <c r="O1859" t="s">
        <v>69</v>
      </c>
      <c r="P1859" s="2" t="s">
        <v>5947</v>
      </c>
      <c r="Q1859" t="s">
        <v>417</v>
      </c>
      <c r="R1859" t="s">
        <v>69</v>
      </c>
      <c r="S1859" t="s">
        <v>69</v>
      </c>
      <c r="T1859" t="s">
        <v>8505</v>
      </c>
      <c r="U1859" t="s">
        <v>8506</v>
      </c>
      <c r="V1859" t="s">
        <v>69</v>
      </c>
      <c r="W1859" t="s">
        <v>69</v>
      </c>
      <c r="X1859" t="s">
        <v>69</v>
      </c>
      <c r="Y1859" t="s">
        <v>69</v>
      </c>
      <c r="Z1859" t="s">
        <v>69</v>
      </c>
      <c r="AA1859" t="s">
        <v>16262</v>
      </c>
      <c r="AB1859" t="s">
        <v>16263</v>
      </c>
      <c r="AC1859" t="s">
        <v>5948</v>
      </c>
      <c r="AD1859" t="s">
        <v>16264</v>
      </c>
      <c r="AE1859" t="s">
        <v>69</v>
      </c>
      <c r="AF1859" t="s">
        <v>16265</v>
      </c>
      <c r="AG1859" t="s">
        <v>69</v>
      </c>
      <c r="AH1859" t="s">
        <v>69</v>
      </c>
      <c r="AI1859" t="s">
        <v>69</v>
      </c>
      <c r="AJ1859" t="s">
        <v>16266</v>
      </c>
      <c r="AK1859" t="s">
        <v>16267</v>
      </c>
      <c r="AL1859" t="s">
        <v>16268</v>
      </c>
      <c r="AM1859" t="s">
        <v>69</v>
      </c>
      <c r="AN1859">
        <v>106</v>
      </c>
      <c r="AO1859">
        <v>2</v>
      </c>
      <c r="AP1859">
        <v>2</v>
      </c>
      <c r="AQ1859">
        <v>0</v>
      </c>
      <c r="AR1859">
        <v>2</v>
      </c>
      <c r="AS1859" t="s">
        <v>9145</v>
      </c>
      <c r="AT1859" t="s">
        <v>8637</v>
      </c>
      <c r="AU1859" t="s">
        <v>9146</v>
      </c>
      <c r="AV1859" t="s">
        <v>419</v>
      </c>
      <c r="AW1859" t="s">
        <v>420</v>
      </c>
      <c r="AX1859" t="s">
        <v>69</v>
      </c>
      <c r="AY1859" t="s">
        <v>417</v>
      </c>
      <c r="AZ1859" t="s">
        <v>8482</v>
      </c>
      <c r="BA1859" t="s">
        <v>373</v>
      </c>
      <c r="BB1859">
        <v>2020</v>
      </c>
      <c r="BC1859">
        <v>108</v>
      </c>
      <c r="BD1859" t="s">
        <v>69</v>
      </c>
      <c r="BE1859" t="s">
        <v>69</v>
      </c>
      <c r="BF1859" t="s">
        <v>69</v>
      </c>
      <c r="BG1859" t="s">
        <v>69</v>
      </c>
      <c r="BH1859" t="s">
        <v>69</v>
      </c>
      <c r="BI1859">
        <v>88</v>
      </c>
      <c r="BJ1859">
        <v>97</v>
      </c>
      <c r="BK1859" t="s">
        <v>69</v>
      </c>
      <c r="BL1859" t="s">
        <v>5949</v>
      </c>
      <c r="BM1859" t="str">
        <f>HYPERLINK("http://dx.doi.org/10.1016/j.geoforum.2019.12.001","http://dx.doi.org/10.1016/j.geoforum.2019.12.001")</f>
        <v>http://dx.doi.org/10.1016/j.geoforum.2019.12.001</v>
      </c>
      <c r="BN1859" t="s">
        <v>69</v>
      </c>
      <c r="BO1859" t="s">
        <v>69</v>
      </c>
      <c r="BP1859">
        <v>10</v>
      </c>
      <c r="BQ1859" t="s">
        <v>8446</v>
      </c>
      <c r="BR1859" t="s">
        <v>8661</v>
      </c>
      <c r="BS1859" t="s">
        <v>8446</v>
      </c>
      <c r="BT1859" t="s">
        <v>16269</v>
      </c>
      <c r="BU1859" t="s">
        <v>5950</v>
      </c>
      <c r="BV1859" t="s">
        <v>69</v>
      </c>
      <c r="BW1859" t="s">
        <v>69</v>
      </c>
      <c r="BX1859" t="s">
        <v>69</v>
      </c>
      <c r="BY1859" t="s">
        <v>69</v>
      </c>
      <c r="BZ1859" t="s">
        <v>8526</v>
      </c>
      <c r="CA1859" t="str">
        <f>HYPERLINK("https%3A%2F%2Fwww.webofscience.com%2Fwos%2Fwoscc%2Ffull-record%2FWOS:000512481900010","View Full Record in Web of Science")</f>
        <v>View Full Record in Web of Science</v>
      </c>
    </row>
    <row r="1860" spans="1:79" ht="12.5" x14ac:dyDescent="0.25">
      <c r="B1860" t="s">
        <v>8495</v>
      </c>
      <c r="D1860" s="22" t="s">
        <v>32931</v>
      </c>
      <c r="E1860" s="7"/>
      <c r="F1860" s="7"/>
      <c r="G1860" s="7"/>
      <c r="H1860" t="s">
        <v>67</v>
      </c>
      <c r="I1860" t="s">
        <v>30782</v>
      </c>
      <c r="J1860" t="s">
        <v>69</v>
      </c>
      <c r="K1860" t="s">
        <v>69</v>
      </c>
      <c r="L1860" t="s">
        <v>69</v>
      </c>
      <c r="M1860" t="s">
        <v>30783</v>
      </c>
      <c r="N1860" t="s">
        <v>69</v>
      </c>
      <c r="O1860" t="s">
        <v>69</v>
      </c>
      <c r="P1860" t="s">
        <v>30784</v>
      </c>
      <c r="Q1860" t="s">
        <v>30785</v>
      </c>
      <c r="R1860" t="s">
        <v>69</v>
      </c>
      <c r="S1860" t="s">
        <v>69</v>
      </c>
      <c r="T1860" t="s">
        <v>8505</v>
      </c>
      <c r="U1860" t="s">
        <v>8506</v>
      </c>
      <c r="V1860" t="s">
        <v>69</v>
      </c>
      <c r="W1860" t="s">
        <v>69</v>
      </c>
      <c r="X1860" t="s">
        <v>69</v>
      </c>
      <c r="Y1860" t="s">
        <v>69</v>
      </c>
      <c r="Z1860" t="s">
        <v>69</v>
      </c>
      <c r="AA1860" t="s">
        <v>30786</v>
      </c>
      <c r="AB1860" t="s">
        <v>69</v>
      </c>
      <c r="AC1860" t="s">
        <v>30787</v>
      </c>
      <c r="AD1860" t="s">
        <v>30788</v>
      </c>
      <c r="AE1860" t="s">
        <v>69</v>
      </c>
      <c r="AF1860" t="s">
        <v>30789</v>
      </c>
      <c r="AG1860" t="s">
        <v>30790</v>
      </c>
      <c r="AH1860" t="s">
        <v>69</v>
      </c>
      <c r="AI1860" t="s">
        <v>69</v>
      </c>
      <c r="AJ1860" t="s">
        <v>69</v>
      </c>
      <c r="AK1860" t="s">
        <v>69</v>
      </c>
      <c r="AL1860" t="s">
        <v>69</v>
      </c>
      <c r="AM1860" t="s">
        <v>69</v>
      </c>
      <c r="AN1860">
        <v>2</v>
      </c>
      <c r="AO1860">
        <v>0</v>
      </c>
      <c r="AP1860">
        <v>0</v>
      </c>
      <c r="AQ1860">
        <v>0</v>
      </c>
      <c r="AR1860">
        <v>0</v>
      </c>
      <c r="AS1860" t="s">
        <v>30791</v>
      </c>
      <c r="AT1860" t="s">
        <v>30097</v>
      </c>
      <c r="AU1860" t="s">
        <v>30792</v>
      </c>
      <c r="AV1860" t="s">
        <v>30793</v>
      </c>
      <c r="AW1860" t="s">
        <v>69</v>
      </c>
      <c r="AX1860" t="s">
        <v>69</v>
      </c>
      <c r="AY1860" t="s">
        <v>30794</v>
      </c>
      <c r="AZ1860" t="s">
        <v>30795</v>
      </c>
      <c r="BA1860" t="s">
        <v>69</v>
      </c>
      <c r="BB1860">
        <v>2005</v>
      </c>
      <c r="BC1860">
        <v>16</v>
      </c>
      <c r="BD1860" t="s">
        <v>69</v>
      </c>
      <c r="BE1860" t="s">
        <v>69</v>
      </c>
      <c r="BF1860" t="s">
        <v>69</v>
      </c>
      <c r="BG1860" t="s">
        <v>69</v>
      </c>
      <c r="BH1860" t="s">
        <v>69</v>
      </c>
      <c r="BI1860">
        <v>299</v>
      </c>
      <c r="BJ1860">
        <v>316</v>
      </c>
      <c r="BK1860">
        <v>13</v>
      </c>
      <c r="BL1860" t="s">
        <v>69</v>
      </c>
      <c r="BM1860" t="s">
        <v>69</v>
      </c>
      <c r="BN1860" t="s">
        <v>69</v>
      </c>
      <c r="BO1860" t="s">
        <v>69</v>
      </c>
      <c r="BP1860">
        <v>18</v>
      </c>
      <c r="BQ1860" t="s">
        <v>10975</v>
      </c>
      <c r="BR1860" t="s">
        <v>8573</v>
      </c>
      <c r="BS1860" t="s">
        <v>10976</v>
      </c>
      <c r="BT1860" t="s">
        <v>30796</v>
      </c>
      <c r="BU1860" t="s">
        <v>30797</v>
      </c>
      <c r="BV1860" t="s">
        <v>69</v>
      </c>
      <c r="BW1860" t="s">
        <v>69</v>
      </c>
      <c r="BX1860" t="s">
        <v>69</v>
      </c>
      <c r="BY1860" t="s">
        <v>69</v>
      </c>
      <c r="BZ1860" t="s">
        <v>8526</v>
      </c>
      <c r="CA1860" t="str">
        <f>HYPERLINK("https%3A%2F%2Fwww.webofscience.com%2Fwos%2Fwoscc%2Ffull-record%2FWOS:000414868700013","View Full Record in Web of Science")</f>
        <v>View Full Record in Web of Science</v>
      </c>
    </row>
    <row r="1861" spans="1:79" ht="12.5" x14ac:dyDescent="0.25">
      <c r="B1861" t="s">
        <v>8495</v>
      </c>
      <c r="D1861" s="22" t="s">
        <v>32931</v>
      </c>
      <c r="E1861" s="7"/>
      <c r="F1861" s="7"/>
      <c r="G1861" s="7"/>
      <c r="H1861" t="s">
        <v>67</v>
      </c>
      <c r="I1861" t="s">
        <v>17954</v>
      </c>
      <c r="J1861" t="s">
        <v>69</v>
      </c>
      <c r="K1861" t="s">
        <v>69</v>
      </c>
      <c r="L1861" t="s">
        <v>69</v>
      </c>
      <c r="M1861" t="s">
        <v>17955</v>
      </c>
      <c r="N1861" t="s">
        <v>69</v>
      </c>
      <c r="O1861" t="s">
        <v>69</v>
      </c>
      <c r="P1861" t="s">
        <v>17956</v>
      </c>
      <c r="Q1861" t="s">
        <v>17957</v>
      </c>
      <c r="R1861" t="s">
        <v>69</v>
      </c>
      <c r="S1861" t="s">
        <v>69</v>
      </c>
      <c r="T1861" t="s">
        <v>8505</v>
      </c>
      <c r="U1861" t="s">
        <v>8506</v>
      </c>
      <c r="V1861" t="s">
        <v>69</v>
      </c>
      <c r="W1861" t="s">
        <v>69</v>
      </c>
      <c r="X1861" t="s">
        <v>69</v>
      </c>
      <c r="Y1861" t="s">
        <v>69</v>
      </c>
      <c r="Z1861" t="s">
        <v>69</v>
      </c>
      <c r="AA1861" t="s">
        <v>69</v>
      </c>
      <c r="AB1861" t="s">
        <v>17958</v>
      </c>
      <c r="AC1861" t="s">
        <v>17959</v>
      </c>
      <c r="AD1861" t="s">
        <v>17960</v>
      </c>
      <c r="AE1861" t="s">
        <v>69</v>
      </c>
      <c r="AF1861" t="s">
        <v>17961</v>
      </c>
      <c r="AG1861" t="s">
        <v>17962</v>
      </c>
      <c r="AH1861" t="s">
        <v>17963</v>
      </c>
      <c r="AI1861" t="s">
        <v>17964</v>
      </c>
      <c r="AJ1861" t="s">
        <v>69</v>
      </c>
      <c r="AK1861" t="s">
        <v>69</v>
      </c>
      <c r="AL1861" t="s">
        <v>69</v>
      </c>
      <c r="AM1861" t="s">
        <v>69</v>
      </c>
      <c r="AN1861">
        <v>31</v>
      </c>
      <c r="AO1861">
        <v>18</v>
      </c>
      <c r="AP1861">
        <v>19</v>
      </c>
      <c r="AQ1861">
        <v>1</v>
      </c>
      <c r="AR1861">
        <v>10</v>
      </c>
      <c r="AS1861" t="s">
        <v>8636</v>
      </c>
      <c r="AT1861" t="s">
        <v>8637</v>
      </c>
      <c r="AU1861" t="s">
        <v>8638</v>
      </c>
      <c r="AV1861" t="s">
        <v>17965</v>
      </c>
      <c r="AW1861" t="s">
        <v>17966</v>
      </c>
      <c r="AX1861" t="s">
        <v>69</v>
      </c>
      <c r="AY1861" t="s">
        <v>17967</v>
      </c>
      <c r="AZ1861" t="s">
        <v>17968</v>
      </c>
      <c r="BA1861" t="s">
        <v>373</v>
      </c>
      <c r="BB1861">
        <v>2019</v>
      </c>
      <c r="BC1861">
        <v>168</v>
      </c>
      <c r="BD1861" t="s">
        <v>69</v>
      </c>
      <c r="BE1861" t="s">
        <v>69</v>
      </c>
      <c r="BF1861" t="s">
        <v>69</v>
      </c>
      <c r="BG1861" t="s">
        <v>69</v>
      </c>
      <c r="BH1861" t="s">
        <v>69</v>
      </c>
      <c r="BI1861">
        <v>224</v>
      </c>
      <c r="BJ1861">
        <v>230</v>
      </c>
      <c r="BK1861" t="s">
        <v>69</v>
      </c>
      <c r="BL1861" t="s">
        <v>17969</v>
      </c>
      <c r="BM1861" t="str">
        <f>HYPERLINK("http://dx.doi.org/10.1016/j.agsy.2018.05.001","http://dx.doi.org/10.1016/j.agsy.2018.05.001")</f>
        <v>http://dx.doi.org/10.1016/j.agsy.2018.05.001</v>
      </c>
      <c r="BN1861" t="s">
        <v>69</v>
      </c>
      <c r="BO1861" t="s">
        <v>69</v>
      </c>
      <c r="BP1861">
        <v>7</v>
      </c>
      <c r="BQ1861" t="s">
        <v>17664</v>
      </c>
      <c r="BR1861" t="s">
        <v>8523</v>
      </c>
      <c r="BS1861" t="s">
        <v>8450</v>
      </c>
      <c r="BT1861" t="s">
        <v>17970</v>
      </c>
      <c r="BU1861" t="s">
        <v>17971</v>
      </c>
      <c r="BV1861" t="s">
        <v>69</v>
      </c>
      <c r="BW1861" t="s">
        <v>8622</v>
      </c>
      <c r="BX1861" t="s">
        <v>69</v>
      </c>
      <c r="BY1861" t="s">
        <v>69</v>
      </c>
      <c r="BZ1861" t="s">
        <v>8526</v>
      </c>
      <c r="CA1861" t="str">
        <f>HYPERLINK("https%3A%2F%2Fwww.webofscience.com%2Fwos%2Fwoscc%2Ffull-record%2FWOS:000453643900022","View Full Record in Web of Science")</f>
        <v>View Full Record in Web of Science</v>
      </c>
    </row>
    <row r="1862" spans="1:79" ht="12.5" x14ac:dyDescent="0.25">
      <c r="B1862" t="s">
        <v>8495</v>
      </c>
      <c r="D1862" s="7" t="s">
        <v>32933</v>
      </c>
      <c r="E1862" s="7"/>
      <c r="F1862" s="7"/>
      <c r="G1862" s="7"/>
      <c r="H1862" t="s">
        <v>67</v>
      </c>
      <c r="I1862" t="s">
        <v>6862</v>
      </c>
      <c r="J1862" t="s">
        <v>69</v>
      </c>
      <c r="K1862" t="s">
        <v>69</v>
      </c>
      <c r="L1862" t="s">
        <v>69</v>
      </c>
      <c r="M1862" t="s">
        <v>6863</v>
      </c>
      <c r="N1862" t="s">
        <v>69</v>
      </c>
      <c r="O1862" t="s">
        <v>69</v>
      </c>
      <c r="P1862" t="s">
        <v>6864</v>
      </c>
      <c r="Q1862" t="s">
        <v>6865</v>
      </c>
      <c r="R1862" t="s">
        <v>69</v>
      </c>
      <c r="S1862" t="s">
        <v>69</v>
      </c>
      <c r="T1862" t="s">
        <v>8505</v>
      </c>
      <c r="U1862" t="s">
        <v>8506</v>
      </c>
      <c r="V1862" t="s">
        <v>69</v>
      </c>
      <c r="W1862" t="s">
        <v>69</v>
      </c>
      <c r="X1862" t="s">
        <v>69</v>
      </c>
      <c r="Y1862" t="s">
        <v>69</v>
      </c>
      <c r="Z1862" t="s">
        <v>69</v>
      </c>
      <c r="AA1862" t="s">
        <v>69</v>
      </c>
      <c r="AB1862" t="s">
        <v>22083</v>
      </c>
      <c r="AC1862" t="s">
        <v>6866</v>
      </c>
      <c r="AD1862" t="s">
        <v>22084</v>
      </c>
      <c r="AE1862" t="s">
        <v>69</v>
      </c>
      <c r="AF1862" t="s">
        <v>22085</v>
      </c>
      <c r="AG1862" t="s">
        <v>22086</v>
      </c>
      <c r="AH1862" t="s">
        <v>6867</v>
      </c>
      <c r="AI1862" t="s">
        <v>6868</v>
      </c>
      <c r="AJ1862" t="s">
        <v>22087</v>
      </c>
      <c r="AK1862" t="s">
        <v>22087</v>
      </c>
      <c r="AL1862" t="s">
        <v>22088</v>
      </c>
      <c r="AM1862" t="s">
        <v>69</v>
      </c>
      <c r="AN1862">
        <v>50</v>
      </c>
      <c r="AO1862">
        <v>6</v>
      </c>
      <c r="AP1862">
        <v>6</v>
      </c>
      <c r="AQ1862">
        <v>0</v>
      </c>
      <c r="AR1862">
        <v>24</v>
      </c>
      <c r="AS1862" t="s">
        <v>8846</v>
      </c>
      <c r="AT1862" t="s">
        <v>8847</v>
      </c>
      <c r="AU1862" t="s">
        <v>8848</v>
      </c>
      <c r="AV1862" t="s">
        <v>6869</v>
      </c>
      <c r="AW1862" t="s">
        <v>6870</v>
      </c>
      <c r="AX1862" t="s">
        <v>69</v>
      </c>
      <c r="AY1862" t="s">
        <v>22089</v>
      </c>
      <c r="AZ1862" t="s">
        <v>22090</v>
      </c>
      <c r="BA1862" t="s">
        <v>69</v>
      </c>
      <c r="BB1862">
        <v>2016</v>
      </c>
      <c r="BC1862">
        <v>36</v>
      </c>
      <c r="BD1862">
        <v>2</v>
      </c>
      <c r="BE1862" t="s">
        <v>69</v>
      </c>
      <c r="BF1862" t="s">
        <v>69</v>
      </c>
      <c r="BG1862" t="s">
        <v>69</v>
      </c>
      <c r="BH1862" t="s">
        <v>69</v>
      </c>
      <c r="BI1862">
        <v>407</v>
      </c>
      <c r="BJ1862">
        <v>420</v>
      </c>
      <c r="BK1862" t="s">
        <v>69</v>
      </c>
      <c r="BL1862" t="s">
        <v>6871</v>
      </c>
      <c r="BM1862" t="str">
        <f>HYPERLINK("http://dx.doi.org/10.1080/02755947.2015.1125975","http://dx.doi.org/10.1080/02755947.2015.1125975")</f>
        <v>http://dx.doi.org/10.1080/02755947.2015.1125975</v>
      </c>
      <c r="BN1862" t="s">
        <v>69</v>
      </c>
      <c r="BO1862" t="s">
        <v>69</v>
      </c>
      <c r="BP1862">
        <v>14</v>
      </c>
      <c r="BQ1862" t="s">
        <v>22091</v>
      </c>
      <c r="BR1862" t="s">
        <v>8548</v>
      </c>
      <c r="BS1862" t="s">
        <v>22091</v>
      </c>
      <c r="BT1862" t="s">
        <v>22092</v>
      </c>
      <c r="BU1862" t="s">
        <v>6872</v>
      </c>
      <c r="BV1862" t="s">
        <v>69</v>
      </c>
      <c r="BW1862" t="s">
        <v>69</v>
      </c>
      <c r="BX1862" t="s">
        <v>69</v>
      </c>
      <c r="BY1862" t="s">
        <v>69</v>
      </c>
      <c r="BZ1862" t="s">
        <v>8526</v>
      </c>
      <c r="CA1862" t="str">
        <f>HYPERLINK("https%3A%2F%2Fwww.webofscience.com%2Fwos%2Fwoscc%2Ffull-record%2FWOS:000374565000019","View Full Record in Web of Science")</f>
        <v>View Full Record in Web of Science</v>
      </c>
    </row>
    <row r="1863" spans="1:79" x14ac:dyDescent="0.3">
      <c r="A1863" t="s">
        <v>33179</v>
      </c>
      <c r="B1863" t="s">
        <v>8495</v>
      </c>
      <c r="D1863" s="10" t="s">
        <v>33178</v>
      </c>
      <c r="F1863" s="10" t="s">
        <v>8490</v>
      </c>
      <c r="H1863" t="s">
        <v>67</v>
      </c>
      <c r="I1863" t="s">
        <v>1869</v>
      </c>
      <c r="J1863" t="s">
        <v>69</v>
      </c>
      <c r="K1863" t="s">
        <v>69</v>
      </c>
      <c r="L1863" t="s">
        <v>69</v>
      </c>
      <c r="M1863" s="2" t="s">
        <v>1870</v>
      </c>
      <c r="N1863" t="s">
        <v>69</v>
      </c>
      <c r="O1863" t="s">
        <v>69</v>
      </c>
      <c r="P1863" s="2" t="s">
        <v>1871</v>
      </c>
      <c r="Q1863" t="s">
        <v>1532</v>
      </c>
      <c r="R1863" t="s">
        <v>69</v>
      </c>
      <c r="S1863" t="s">
        <v>69</v>
      </c>
      <c r="T1863" t="s">
        <v>8505</v>
      </c>
      <c r="U1863" t="s">
        <v>8506</v>
      </c>
      <c r="V1863" t="s">
        <v>69</v>
      </c>
      <c r="W1863" t="s">
        <v>69</v>
      </c>
      <c r="X1863" t="s">
        <v>69</v>
      </c>
      <c r="Y1863" t="s">
        <v>69</v>
      </c>
      <c r="Z1863" t="s">
        <v>69</v>
      </c>
      <c r="AA1863" t="s">
        <v>14054</v>
      </c>
      <c r="AB1863" t="s">
        <v>14055</v>
      </c>
      <c r="AC1863" t="s">
        <v>1872</v>
      </c>
      <c r="AD1863" t="s">
        <v>14056</v>
      </c>
      <c r="AE1863" t="s">
        <v>69</v>
      </c>
      <c r="AF1863" t="s">
        <v>14057</v>
      </c>
      <c r="AG1863" t="s">
        <v>14058</v>
      </c>
      <c r="AH1863" t="s">
        <v>14059</v>
      </c>
      <c r="AI1863" t="s">
        <v>14060</v>
      </c>
      <c r="AJ1863" t="s">
        <v>69</v>
      </c>
      <c r="AK1863" t="s">
        <v>69</v>
      </c>
      <c r="AL1863" t="s">
        <v>69</v>
      </c>
      <c r="AM1863" t="s">
        <v>69</v>
      </c>
      <c r="AN1863">
        <v>65</v>
      </c>
      <c r="AO1863">
        <v>6</v>
      </c>
      <c r="AP1863">
        <v>6</v>
      </c>
      <c r="AQ1863">
        <v>6</v>
      </c>
      <c r="AR1863">
        <v>10</v>
      </c>
      <c r="AS1863" t="s">
        <v>8586</v>
      </c>
      <c r="AT1863" t="s">
        <v>8587</v>
      </c>
      <c r="AU1863" t="s">
        <v>8588</v>
      </c>
      <c r="AV1863" t="s">
        <v>1536</v>
      </c>
      <c r="AW1863" t="s">
        <v>1537</v>
      </c>
      <c r="AX1863" t="s">
        <v>69</v>
      </c>
      <c r="AY1863" t="s">
        <v>14061</v>
      </c>
      <c r="AZ1863" t="s">
        <v>14062</v>
      </c>
      <c r="BA1863" t="s">
        <v>11541</v>
      </c>
      <c r="BB1863">
        <v>2021</v>
      </c>
      <c r="BC1863">
        <v>34</v>
      </c>
      <c r="BD1863">
        <v>5</v>
      </c>
      <c r="BE1863" t="s">
        <v>69</v>
      </c>
      <c r="BF1863" t="s">
        <v>69</v>
      </c>
      <c r="BG1863" t="s">
        <v>114</v>
      </c>
      <c r="BH1863" t="s">
        <v>69</v>
      </c>
      <c r="BI1863">
        <v>1246</v>
      </c>
      <c r="BJ1863">
        <v>1274</v>
      </c>
      <c r="BK1863" t="s">
        <v>69</v>
      </c>
      <c r="BL1863" t="s">
        <v>1873</v>
      </c>
      <c r="BM1863" t="str">
        <f>HYPERLINK("http://dx.doi.org/10.1108/AAAJ-07-2019-4106","http://dx.doi.org/10.1108/AAAJ-07-2019-4106")</f>
        <v>http://dx.doi.org/10.1108/AAAJ-07-2019-4106</v>
      </c>
      <c r="BN1863" t="s">
        <v>69</v>
      </c>
      <c r="BO1863" t="s">
        <v>1867</v>
      </c>
      <c r="BP1863">
        <v>29</v>
      </c>
      <c r="BQ1863" t="s">
        <v>9749</v>
      </c>
      <c r="BR1863" t="s">
        <v>8661</v>
      </c>
      <c r="BS1863" t="s">
        <v>8594</v>
      </c>
      <c r="BT1863" t="s">
        <v>14063</v>
      </c>
      <c r="BU1863" t="s">
        <v>1874</v>
      </c>
      <c r="BV1863" t="s">
        <v>69</v>
      </c>
      <c r="BW1863" t="s">
        <v>69</v>
      </c>
      <c r="BX1863" t="s">
        <v>69</v>
      </c>
      <c r="BY1863" t="s">
        <v>69</v>
      </c>
      <c r="BZ1863" t="s">
        <v>8526</v>
      </c>
      <c r="CA1863" t="str">
        <f>HYPERLINK("https%3A%2F%2Fwww.webofscience.com%2Fwos%2Fwoscc%2Ffull-record%2FWOS:000590878100001","View Full Record in Web of Science")</f>
        <v>View Full Record in Web of Science</v>
      </c>
    </row>
    <row r="1864" spans="1:79" ht="12.5" x14ac:dyDescent="0.25">
      <c r="B1864" t="s">
        <v>8495</v>
      </c>
      <c r="D1864" s="7" t="s">
        <v>32933</v>
      </c>
      <c r="E1864" s="7"/>
      <c r="F1864" s="7"/>
      <c r="G1864" s="7"/>
      <c r="H1864" t="s">
        <v>67</v>
      </c>
      <c r="I1864" t="s">
        <v>3393</v>
      </c>
      <c r="J1864" t="s">
        <v>69</v>
      </c>
      <c r="K1864" t="s">
        <v>69</v>
      </c>
      <c r="L1864" t="s">
        <v>69</v>
      </c>
      <c r="M1864" t="s">
        <v>3394</v>
      </c>
      <c r="N1864" t="s">
        <v>69</v>
      </c>
      <c r="O1864" t="s">
        <v>69</v>
      </c>
      <c r="P1864" t="s">
        <v>3395</v>
      </c>
      <c r="Q1864" t="s">
        <v>436</v>
      </c>
      <c r="R1864" t="s">
        <v>69</v>
      </c>
      <c r="S1864" t="s">
        <v>69</v>
      </c>
      <c r="T1864" t="s">
        <v>8505</v>
      </c>
      <c r="U1864" t="s">
        <v>8506</v>
      </c>
      <c r="V1864" t="s">
        <v>69</v>
      </c>
      <c r="W1864" t="s">
        <v>69</v>
      </c>
      <c r="X1864" t="s">
        <v>69</v>
      </c>
      <c r="Y1864" t="s">
        <v>69</v>
      </c>
      <c r="Z1864" t="s">
        <v>69</v>
      </c>
      <c r="AA1864" t="s">
        <v>26182</v>
      </c>
      <c r="AB1864" t="s">
        <v>26183</v>
      </c>
      <c r="AC1864" t="s">
        <v>3396</v>
      </c>
      <c r="AD1864" t="s">
        <v>26184</v>
      </c>
      <c r="AE1864" t="s">
        <v>69</v>
      </c>
      <c r="AF1864" t="s">
        <v>26185</v>
      </c>
      <c r="AG1864" t="s">
        <v>26186</v>
      </c>
      <c r="AH1864" t="s">
        <v>26187</v>
      </c>
      <c r="AI1864" t="s">
        <v>26188</v>
      </c>
      <c r="AJ1864" t="s">
        <v>69</v>
      </c>
      <c r="AK1864" t="s">
        <v>69</v>
      </c>
      <c r="AL1864" t="s">
        <v>69</v>
      </c>
      <c r="AM1864" t="s">
        <v>69</v>
      </c>
      <c r="AN1864">
        <v>65</v>
      </c>
      <c r="AO1864">
        <v>63</v>
      </c>
      <c r="AP1864">
        <v>65</v>
      </c>
      <c r="AQ1864">
        <v>7</v>
      </c>
      <c r="AR1864">
        <v>59</v>
      </c>
      <c r="AS1864" t="s">
        <v>8636</v>
      </c>
      <c r="AT1864" t="s">
        <v>8637</v>
      </c>
      <c r="AU1864" t="s">
        <v>8638</v>
      </c>
      <c r="AV1864" t="s">
        <v>440</v>
      </c>
      <c r="AW1864" t="s">
        <v>441</v>
      </c>
      <c r="AX1864" t="s">
        <v>69</v>
      </c>
      <c r="AY1864" t="s">
        <v>8639</v>
      </c>
      <c r="AZ1864" t="s">
        <v>8640</v>
      </c>
      <c r="BA1864" t="s">
        <v>191</v>
      </c>
      <c r="BB1864">
        <v>2012</v>
      </c>
      <c r="BC1864">
        <v>22</v>
      </c>
      <c r="BD1864">
        <v>1</v>
      </c>
      <c r="BE1864" t="s">
        <v>69</v>
      </c>
      <c r="BF1864" t="s">
        <v>69</v>
      </c>
      <c r="BG1864" t="s">
        <v>69</v>
      </c>
      <c r="BH1864" t="s">
        <v>69</v>
      </c>
      <c r="BI1864">
        <v>76</v>
      </c>
      <c r="BJ1864">
        <v>84</v>
      </c>
      <c r="BK1864" t="s">
        <v>69</v>
      </c>
      <c r="BL1864" t="s">
        <v>3397</v>
      </c>
      <c r="BM1864" t="str">
        <f>HYPERLINK("http://dx.doi.org/10.1016/j.jclepro.2011.09.024","http://dx.doi.org/10.1016/j.jclepro.2011.09.024")</f>
        <v>http://dx.doi.org/10.1016/j.jclepro.2011.09.024</v>
      </c>
      <c r="BN1864" t="s">
        <v>69</v>
      </c>
      <c r="BO1864" t="s">
        <v>69</v>
      </c>
      <c r="BP1864">
        <v>9</v>
      </c>
      <c r="BQ1864" t="s">
        <v>8643</v>
      </c>
      <c r="BR1864" t="s">
        <v>8523</v>
      </c>
      <c r="BS1864" t="s">
        <v>8644</v>
      </c>
      <c r="BT1864" t="s">
        <v>26189</v>
      </c>
      <c r="BU1864" t="s">
        <v>3398</v>
      </c>
      <c r="BV1864" t="s">
        <v>69</v>
      </c>
      <c r="BW1864" t="s">
        <v>69</v>
      </c>
      <c r="BX1864" t="s">
        <v>69</v>
      </c>
      <c r="BY1864" t="s">
        <v>69</v>
      </c>
      <c r="BZ1864" t="s">
        <v>8526</v>
      </c>
      <c r="CA1864" t="str">
        <f>HYPERLINK("https%3A%2F%2Fwww.webofscience.com%2Fwos%2Fwoscc%2Ffull-record%2FWOS:000298218000009","View Full Record in Web of Science")</f>
        <v>View Full Record in Web of Science</v>
      </c>
    </row>
    <row r="1865" spans="1:79" ht="12.5" x14ac:dyDescent="0.25">
      <c r="B1865" t="s">
        <v>8495</v>
      </c>
      <c r="D1865" s="7" t="s">
        <v>32933</v>
      </c>
      <c r="E1865" s="7"/>
      <c r="F1865" s="7"/>
      <c r="G1865" s="7"/>
      <c r="H1865" t="s">
        <v>67</v>
      </c>
      <c r="I1865" t="s">
        <v>3868</v>
      </c>
      <c r="J1865" t="s">
        <v>69</v>
      </c>
      <c r="K1865" t="s">
        <v>69</v>
      </c>
      <c r="L1865" t="s">
        <v>69</v>
      </c>
      <c r="M1865" t="s">
        <v>3868</v>
      </c>
      <c r="N1865" t="s">
        <v>69</v>
      </c>
      <c r="O1865" t="s">
        <v>69</v>
      </c>
      <c r="P1865" t="s">
        <v>3869</v>
      </c>
      <c r="Q1865" t="s">
        <v>3870</v>
      </c>
      <c r="R1865" t="s">
        <v>69</v>
      </c>
      <c r="S1865" t="s">
        <v>69</v>
      </c>
      <c r="T1865" t="s">
        <v>8505</v>
      </c>
      <c r="U1865" t="s">
        <v>8506</v>
      </c>
      <c r="V1865" t="s">
        <v>69</v>
      </c>
      <c r="W1865" t="s">
        <v>69</v>
      </c>
      <c r="X1865" t="s">
        <v>69</v>
      </c>
      <c r="Y1865" t="s">
        <v>69</v>
      </c>
      <c r="Z1865" t="s">
        <v>69</v>
      </c>
      <c r="AA1865" t="s">
        <v>69</v>
      </c>
      <c r="AB1865" t="s">
        <v>69</v>
      </c>
      <c r="AC1865" t="s">
        <v>3871</v>
      </c>
      <c r="AD1865" t="s">
        <v>30477</v>
      </c>
      <c r="AE1865" t="s">
        <v>69</v>
      </c>
      <c r="AF1865" t="s">
        <v>30478</v>
      </c>
      <c r="AG1865" t="s">
        <v>69</v>
      </c>
      <c r="AH1865" t="s">
        <v>69</v>
      </c>
      <c r="AI1865" t="s">
        <v>3872</v>
      </c>
      <c r="AJ1865" t="s">
        <v>69</v>
      </c>
      <c r="AK1865" t="s">
        <v>69</v>
      </c>
      <c r="AL1865" t="s">
        <v>69</v>
      </c>
      <c r="AM1865" t="s">
        <v>69</v>
      </c>
      <c r="AN1865">
        <v>7</v>
      </c>
      <c r="AO1865">
        <v>6</v>
      </c>
      <c r="AP1865">
        <v>6</v>
      </c>
      <c r="AQ1865">
        <v>0</v>
      </c>
      <c r="AR1865">
        <v>5</v>
      </c>
      <c r="AS1865" t="s">
        <v>30479</v>
      </c>
      <c r="AT1865" t="s">
        <v>8763</v>
      </c>
      <c r="AU1865" t="s">
        <v>30480</v>
      </c>
      <c r="AV1865" t="s">
        <v>3873</v>
      </c>
      <c r="AW1865" t="s">
        <v>69</v>
      </c>
      <c r="AX1865" t="s">
        <v>69</v>
      </c>
      <c r="AY1865" t="s">
        <v>30481</v>
      </c>
      <c r="AZ1865" t="s">
        <v>30482</v>
      </c>
      <c r="BA1865" t="s">
        <v>69</v>
      </c>
      <c r="BB1865">
        <v>2006</v>
      </c>
      <c r="BC1865">
        <v>48</v>
      </c>
      <c r="BD1865">
        <v>1</v>
      </c>
      <c r="BE1865" t="s">
        <v>69</v>
      </c>
      <c r="BF1865" t="s">
        <v>69</v>
      </c>
      <c r="BG1865" t="s">
        <v>69</v>
      </c>
      <c r="BH1865" t="s">
        <v>69</v>
      </c>
      <c r="BI1865">
        <v>27</v>
      </c>
      <c r="BJ1865">
        <v>48</v>
      </c>
      <c r="BK1865" t="s">
        <v>69</v>
      </c>
      <c r="BL1865" t="s">
        <v>30483</v>
      </c>
      <c r="BM1865" t="str">
        <f>HYPERLINK("http://dx.doi.org/10.1177/147078530604800103","http://dx.doi.org/10.1177/147078530604800103")</f>
        <v>http://dx.doi.org/10.1177/147078530604800103</v>
      </c>
      <c r="BN1865" t="s">
        <v>69</v>
      </c>
      <c r="BO1865" t="s">
        <v>69</v>
      </c>
      <c r="BP1865">
        <v>22</v>
      </c>
      <c r="BQ1865" t="s">
        <v>8444</v>
      </c>
      <c r="BR1865" t="s">
        <v>8661</v>
      </c>
      <c r="BS1865" t="s">
        <v>8594</v>
      </c>
      <c r="BT1865" t="s">
        <v>30484</v>
      </c>
      <c r="BU1865" t="s">
        <v>3874</v>
      </c>
      <c r="BV1865" t="s">
        <v>69</v>
      </c>
      <c r="BW1865" t="s">
        <v>69</v>
      </c>
      <c r="BX1865" t="s">
        <v>69</v>
      </c>
      <c r="BY1865" t="s">
        <v>69</v>
      </c>
      <c r="BZ1865" t="s">
        <v>8526</v>
      </c>
      <c r="CA1865" t="str">
        <f>HYPERLINK("https%3A%2F%2Fwww.webofscience.com%2Fwos%2Fwoscc%2Ffull-record%2FWOS:000234947500004","View Full Record in Web of Science")</f>
        <v>View Full Record in Web of Science</v>
      </c>
    </row>
    <row r="1866" spans="1:79" ht="12.5" x14ac:dyDescent="0.25">
      <c r="B1866" t="s">
        <v>8495</v>
      </c>
      <c r="D1866" s="22" t="s">
        <v>32931</v>
      </c>
      <c r="E1866" s="7"/>
      <c r="F1866" s="7"/>
      <c r="G1866" s="7"/>
      <c r="H1866" t="s">
        <v>67</v>
      </c>
      <c r="I1866" t="s">
        <v>22640</v>
      </c>
      <c r="J1866" t="s">
        <v>69</v>
      </c>
      <c r="K1866" t="s">
        <v>69</v>
      </c>
      <c r="L1866" t="s">
        <v>69</v>
      </c>
      <c r="M1866" t="s">
        <v>22641</v>
      </c>
      <c r="N1866" t="s">
        <v>69</v>
      </c>
      <c r="O1866" t="s">
        <v>69</v>
      </c>
      <c r="P1866" t="s">
        <v>22642</v>
      </c>
      <c r="Q1866" t="s">
        <v>436</v>
      </c>
      <c r="R1866" t="s">
        <v>69</v>
      </c>
      <c r="S1866" t="s">
        <v>69</v>
      </c>
      <c r="T1866" t="s">
        <v>8505</v>
      </c>
      <c r="U1866" t="s">
        <v>8506</v>
      </c>
      <c r="V1866" t="s">
        <v>69</v>
      </c>
      <c r="W1866" t="s">
        <v>69</v>
      </c>
      <c r="X1866" t="s">
        <v>69</v>
      </c>
      <c r="Y1866" t="s">
        <v>69</v>
      </c>
      <c r="Z1866" t="s">
        <v>69</v>
      </c>
      <c r="AA1866" t="s">
        <v>22643</v>
      </c>
      <c r="AB1866" t="s">
        <v>22644</v>
      </c>
      <c r="AC1866" t="s">
        <v>22645</v>
      </c>
      <c r="AD1866" t="s">
        <v>22646</v>
      </c>
      <c r="AE1866" t="s">
        <v>69</v>
      </c>
      <c r="AF1866" t="s">
        <v>22647</v>
      </c>
      <c r="AG1866" t="s">
        <v>22648</v>
      </c>
      <c r="AH1866" t="s">
        <v>69</v>
      </c>
      <c r="AI1866" t="s">
        <v>22649</v>
      </c>
      <c r="AJ1866" t="s">
        <v>69</v>
      </c>
      <c r="AK1866" t="s">
        <v>69</v>
      </c>
      <c r="AL1866" t="s">
        <v>69</v>
      </c>
      <c r="AM1866" t="s">
        <v>69</v>
      </c>
      <c r="AN1866">
        <v>67</v>
      </c>
      <c r="AO1866">
        <v>99</v>
      </c>
      <c r="AP1866">
        <v>100</v>
      </c>
      <c r="AQ1866">
        <v>6</v>
      </c>
      <c r="AR1866">
        <v>84</v>
      </c>
      <c r="AS1866" t="s">
        <v>8636</v>
      </c>
      <c r="AT1866" t="s">
        <v>8637</v>
      </c>
      <c r="AU1866" t="s">
        <v>8638</v>
      </c>
      <c r="AV1866" t="s">
        <v>440</v>
      </c>
      <c r="AW1866" t="s">
        <v>441</v>
      </c>
      <c r="AX1866" t="s">
        <v>69</v>
      </c>
      <c r="AY1866" t="s">
        <v>8639</v>
      </c>
      <c r="AZ1866" t="s">
        <v>8640</v>
      </c>
      <c r="BA1866" t="s">
        <v>5150</v>
      </c>
      <c r="BB1866">
        <v>2015</v>
      </c>
      <c r="BC1866">
        <v>97</v>
      </c>
      <c r="BD1866" t="s">
        <v>69</v>
      </c>
      <c r="BE1866" t="s">
        <v>69</v>
      </c>
      <c r="BF1866" t="s">
        <v>69</v>
      </c>
      <c r="BG1866" t="s">
        <v>114</v>
      </c>
      <c r="BH1866" t="s">
        <v>69</v>
      </c>
      <c r="BI1866">
        <v>106</v>
      </c>
      <c r="BJ1866">
        <v>116</v>
      </c>
      <c r="BK1866" t="s">
        <v>69</v>
      </c>
      <c r="BL1866" t="s">
        <v>22650</v>
      </c>
      <c r="BM1866" t="str">
        <f>HYPERLINK("http://dx.doi.org/10.1016/j.jclepro.2014.04.070","http://dx.doi.org/10.1016/j.jclepro.2014.04.070")</f>
        <v>http://dx.doi.org/10.1016/j.jclepro.2014.04.070</v>
      </c>
      <c r="BN1866" t="s">
        <v>69</v>
      </c>
      <c r="BO1866" t="s">
        <v>69</v>
      </c>
      <c r="BP1866">
        <v>11</v>
      </c>
      <c r="BQ1866" t="s">
        <v>8643</v>
      </c>
      <c r="BR1866" t="s">
        <v>8548</v>
      </c>
      <c r="BS1866" t="s">
        <v>8644</v>
      </c>
      <c r="BT1866" t="s">
        <v>22651</v>
      </c>
      <c r="BU1866" t="s">
        <v>22652</v>
      </c>
      <c r="BV1866" t="s">
        <v>69</v>
      </c>
      <c r="BW1866" t="s">
        <v>10995</v>
      </c>
      <c r="BX1866" t="s">
        <v>69</v>
      </c>
      <c r="BY1866" t="s">
        <v>69</v>
      </c>
      <c r="BZ1866" t="s">
        <v>8526</v>
      </c>
      <c r="CA1866" t="str">
        <f>HYPERLINK("https%3A%2F%2Fwww.webofscience.com%2Fwos%2Fwoscc%2Ffull-record%2FWOS:000355370800010","View Full Record in Web of Science")</f>
        <v>View Full Record in Web of Science</v>
      </c>
    </row>
    <row r="1867" spans="1:79" ht="12.5" x14ac:dyDescent="0.25">
      <c r="B1867" t="s">
        <v>8495</v>
      </c>
      <c r="D1867" s="7" t="s">
        <v>32933</v>
      </c>
      <c r="E1867" s="7"/>
      <c r="F1867" s="7"/>
      <c r="G1867" s="7"/>
      <c r="H1867" t="s">
        <v>67</v>
      </c>
      <c r="I1867" t="s">
        <v>6135</v>
      </c>
      <c r="J1867" t="s">
        <v>69</v>
      </c>
      <c r="K1867" t="s">
        <v>69</v>
      </c>
      <c r="L1867" t="s">
        <v>69</v>
      </c>
      <c r="M1867" t="s">
        <v>6136</v>
      </c>
      <c r="N1867" t="s">
        <v>69</v>
      </c>
      <c r="O1867" t="s">
        <v>69</v>
      </c>
      <c r="P1867" t="s">
        <v>6137</v>
      </c>
      <c r="Q1867" t="s">
        <v>6138</v>
      </c>
      <c r="R1867" t="s">
        <v>69</v>
      </c>
      <c r="S1867" t="s">
        <v>69</v>
      </c>
      <c r="T1867" t="s">
        <v>8505</v>
      </c>
      <c r="U1867" t="s">
        <v>8506</v>
      </c>
      <c r="V1867" t="s">
        <v>69</v>
      </c>
      <c r="W1867" t="s">
        <v>69</v>
      </c>
      <c r="X1867" t="s">
        <v>69</v>
      </c>
      <c r="Y1867" t="s">
        <v>69</v>
      </c>
      <c r="Z1867" t="s">
        <v>69</v>
      </c>
      <c r="AA1867" t="s">
        <v>16211</v>
      </c>
      <c r="AB1867" t="s">
        <v>16212</v>
      </c>
      <c r="AC1867" t="s">
        <v>6139</v>
      </c>
      <c r="AD1867" t="s">
        <v>16213</v>
      </c>
      <c r="AE1867" t="s">
        <v>69</v>
      </c>
      <c r="AF1867" t="s">
        <v>16214</v>
      </c>
      <c r="AG1867" t="s">
        <v>16215</v>
      </c>
      <c r="AH1867" t="s">
        <v>69</v>
      </c>
      <c r="AI1867" t="s">
        <v>16216</v>
      </c>
      <c r="AJ1867" t="s">
        <v>16217</v>
      </c>
      <c r="AK1867" t="s">
        <v>16218</v>
      </c>
      <c r="AL1867" t="s">
        <v>16219</v>
      </c>
      <c r="AM1867" t="s">
        <v>69</v>
      </c>
      <c r="AN1867">
        <v>67</v>
      </c>
      <c r="AO1867">
        <v>21</v>
      </c>
      <c r="AP1867">
        <v>22</v>
      </c>
      <c r="AQ1867">
        <v>29</v>
      </c>
      <c r="AR1867">
        <v>83</v>
      </c>
      <c r="AS1867" t="s">
        <v>16220</v>
      </c>
      <c r="AT1867" t="s">
        <v>16221</v>
      </c>
      <c r="AU1867" t="s">
        <v>16222</v>
      </c>
      <c r="AV1867" t="s">
        <v>6140</v>
      </c>
      <c r="AW1867" t="s">
        <v>6141</v>
      </c>
      <c r="AX1867" t="s">
        <v>69</v>
      </c>
      <c r="AY1867" t="s">
        <v>16223</v>
      </c>
      <c r="AZ1867" t="s">
        <v>16224</v>
      </c>
      <c r="BA1867" t="s">
        <v>69</v>
      </c>
      <c r="BB1867">
        <v>2020</v>
      </c>
      <c r="BC1867">
        <v>26</v>
      </c>
      <c r="BD1867">
        <v>3</v>
      </c>
      <c r="BE1867" t="s">
        <v>69</v>
      </c>
      <c r="BF1867" t="s">
        <v>69</v>
      </c>
      <c r="BG1867" t="s">
        <v>69</v>
      </c>
      <c r="BH1867" t="s">
        <v>69</v>
      </c>
      <c r="BI1867">
        <v>259</v>
      </c>
      <c r="BJ1867">
        <v>277</v>
      </c>
      <c r="BK1867" t="s">
        <v>69</v>
      </c>
      <c r="BL1867" t="s">
        <v>6142</v>
      </c>
      <c r="BM1867" t="str">
        <f>HYPERLINK("http://dx.doi.org/10.3846/jcem.2020.12176","http://dx.doi.org/10.3846/jcem.2020.12176")</f>
        <v>http://dx.doi.org/10.3846/jcem.2020.12176</v>
      </c>
      <c r="BN1867" t="s">
        <v>69</v>
      </c>
      <c r="BO1867" t="s">
        <v>69</v>
      </c>
      <c r="BP1867">
        <v>19</v>
      </c>
      <c r="BQ1867" t="s">
        <v>13537</v>
      </c>
      <c r="BR1867" t="s">
        <v>8548</v>
      </c>
      <c r="BS1867" t="s">
        <v>8445</v>
      </c>
      <c r="BT1867" t="s">
        <v>16225</v>
      </c>
      <c r="BU1867" t="s">
        <v>6143</v>
      </c>
      <c r="BV1867" t="s">
        <v>69</v>
      </c>
      <c r="BW1867" t="s">
        <v>8931</v>
      </c>
      <c r="BX1867" t="s">
        <v>69</v>
      </c>
      <c r="BY1867" t="s">
        <v>69</v>
      </c>
      <c r="BZ1867" t="s">
        <v>8526</v>
      </c>
      <c r="CA1867" t="str">
        <f>HYPERLINK("https%3A%2F%2Fwww.webofscience.com%2Fwos%2Fwoscc%2Ffull-record%2FWOS:000526077000004","View Full Record in Web of Science")</f>
        <v>View Full Record in Web of Science</v>
      </c>
    </row>
    <row r="1868" spans="1:79" ht="12.5" x14ac:dyDescent="0.25">
      <c r="B1868" t="s">
        <v>8495</v>
      </c>
      <c r="D1868" s="7" t="s">
        <v>32933</v>
      </c>
      <c r="E1868" s="7"/>
      <c r="F1868" s="7"/>
      <c r="G1868" s="7"/>
      <c r="H1868" t="s">
        <v>67</v>
      </c>
      <c r="I1868" t="s">
        <v>3035</v>
      </c>
      <c r="J1868" t="s">
        <v>69</v>
      </c>
      <c r="K1868" t="s">
        <v>69</v>
      </c>
      <c r="L1868" t="s">
        <v>69</v>
      </c>
      <c r="M1868" t="s">
        <v>3036</v>
      </c>
      <c r="N1868" t="s">
        <v>69</v>
      </c>
      <c r="O1868" t="s">
        <v>69</v>
      </c>
      <c r="P1868" t="s">
        <v>3037</v>
      </c>
      <c r="Q1868" t="s">
        <v>3038</v>
      </c>
      <c r="R1868" t="s">
        <v>69</v>
      </c>
      <c r="S1868" t="s">
        <v>69</v>
      </c>
      <c r="T1868" t="s">
        <v>8505</v>
      </c>
      <c r="U1868" t="s">
        <v>8506</v>
      </c>
      <c r="V1868" t="s">
        <v>69</v>
      </c>
      <c r="W1868" t="s">
        <v>69</v>
      </c>
      <c r="X1868" t="s">
        <v>69</v>
      </c>
      <c r="Y1868" t="s">
        <v>69</v>
      </c>
      <c r="Z1868" t="s">
        <v>69</v>
      </c>
      <c r="AA1868" t="s">
        <v>22740</v>
      </c>
      <c r="AB1868" t="s">
        <v>22741</v>
      </c>
      <c r="AC1868" t="s">
        <v>3039</v>
      </c>
      <c r="AD1868" t="s">
        <v>22742</v>
      </c>
      <c r="AE1868" t="s">
        <v>69</v>
      </c>
      <c r="AF1868" t="s">
        <v>22743</v>
      </c>
      <c r="AG1868" t="s">
        <v>69</v>
      </c>
      <c r="AH1868" t="s">
        <v>69</v>
      </c>
      <c r="AI1868" t="s">
        <v>69</v>
      </c>
      <c r="AJ1868" t="s">
        <v>22744</v>
      </c>
      <c r="AK1868" t="s">
        <v>22745</v>
      </c>
      <c r="AL1868" t="s">
        <v>69</v>
      </c>
      <c r="AM1868" t="s">
        <v>69</v>
      </c>
      <c r="AN1868">
        <v>24</v>
      </c>
      <c r="AO1868">
        <v>2</v>
      </c>
      <c r="AP1868">
        <v>2</v>
      </c>
      <c r="AQ1868">
        <v>0</v>
      </c>
      <c r="AR1868">
        <v>6</v>
      </c>
      <c r="AS1868" t="s">
        <v>22746</v>
      </c>
      <c r="AT1868" t="s">
        <v>22747</v>
      </c>
      <c r="AU1868" t="s">
        <v>22748</v>
      </c>
      <c r="AV1868" t="s">
        <v>3040</v>
      </c>
      <c r="AW1868" t="s">
        <v>69</v>
      </c>
      <c r="AX1868" t="s">
        <v>69</v>
      </c>
      <c r="AY1868" t="s">
        <v>22749</v>
      </c>
      <c r="AZ1868" t="s">
        <v>22750</v>
      </c>
      <c r="BA1868" t="s">
        <v>3041</v>
      </c>
      <c r="BB1868">
        <v>2015</v>
      </c>
      <c r="BC1868">
        <v>21</v>
      </c>
      <c r="BD1868" t="s">
        <v>69</v>
      </c>
      <c r="BE1868" t="s">
        <v>69</v>
      </c>
      <c r="BF1868" t="s">
        <v>69</v>
      </c>
      <c r="BG1868" t="s">
        <v>69</v>
      </c>
      <c r="BH1868" t="s">
        <v>69</v>
      </c>
      <c r="BI1868" t="s">
        <v>69</v>
      </c>
      <c r="BJ1868" t="s">
        <v>69</v>
      </c>
      <c r="BK1868">
        <v>23</v>
      </c>
      <c r="BL1868" t="s">
        <v>3042</v>
      </c>
      <c r="BM1868" t="str">
        <f>HYPERLINK("http://dx.doi.org/10.11604/pamj.2015.21.23.5130","http://dx.doi.org/10.11604/pamj.2015.21.23.5130")</f>
        <v>http://dx.doi.org/10.11604/pamj.2015.21.23.5130</v>
      </c>
      <c r="BN1868" t="s">
        <v>69</v>
      </c>
      <c r="BO1868" t="s">
        <v>69</v>
      </c>
      <c r="BP1868">
        <v>9</v>
      </c>
      <c r="BQ1868" t="s">
        <v>8810</v>
      </c>
      <c r="BR1868" t="s">
        <v>8573</v>
      </c>
      <c r="BS1868" t="s">
        <v>8810</v>
      </c>
      <c r="BT1868" t="s">
        <v>22751</v>
      </c>
      <c r="BU1868" t="s">
        <v>3043</v>
      </c>
      <c r="BV1868">
        <v>26401217</v>
      </c>
      <c r="BW1868" t="s">
        <v>19008</v>
      </c>
      <c r="BX1868" t="s">
        <v>69</v>
      </c>
      <c r="BY1868" t="s">
        <v>69</v>
      </c>
      <c r="BZ1868" t="s">
        <v>8526</v>
      </c>
      <c r="CA1868" t="str">
        <f>HYPERLINK("https%3A%2F%2Fwww.webofscience.com%2Fwos%2Fwoscc%2Ffull-record%2FWOS:000376715200006","View Full Record in Web of Science")</f>
        <v>View Full Record in Web of Science</v>
      </c>
    </row>
    <row r="1869" spans="1:79" ht="12.5" x14ac:dyDescent="0.25">
      <c r="B1869" t="s">
        <v>8495</v>
      </c>
      <c r="D1869" s="7" t="s">
        <v>32933</v>
      </c>
      <c r="E1869" s="7"/>
      <c r="F1869" s="7"/>
      <c r="G1869" s="7"/>
      <c r="H1869" t="s">
        <v>67</v>
      </c>
      <c r="I1869" t="s">
        <v>1762</v>
      </c>
      <c r="J1869" t="s">
        <v>69</v>
      </c>
      <c r="K1869" t="s">
        <v>69</v>
      </c>
      <c r="L1869" t="s">
        <v>69</v>
      </c>
      <c r="M1869" t="s">
        <v>1762</v>
      </c>
      <c r="N1869" t="s">
        <v>69</v>
      </c>
      <c r="O1869" t="s">
        <v>69</v>
      </c>
      <c r="P1869" t="s">
        <v>1763</v>
      </c>
      <c r="Q1869" t="s">
        <v>179</v>
      </c>
      <c r="R1869" t="s">
        <v>69</v>
      </c>
      <c r="S1869" t="s">
        <v>69</v>
      </c>
      <c r="T1869" t="s">
        <v>8505</v>
      </c>
      <c r="U1869" t="s">
        <v>8506</v>
      </c>
      <c r="V1869" t="s">
        <v>69</v>
      </c>
      <c r="W1869" t="s">
        <v>69</v>
      </c>
      <c r="X1869" t="s">
        <v>69</v>
      </c>
      <c r="Y1869" t="s">
        <v>69</v>
      </c>
      <c r="Z1869" t="s">
        <v>69</v>
      </c>
      <c r="AA1869" t="s">
        <v>31886</v>
      </c>
      <c r="AB1869" t="s">
        <v>31887</v>
      </c>
      <c r="AC1869" t="s">
        <v>1764</v>
      </c>
      <c r="AD1869" t="s">
        <v>31888</v>
      </c>
      <c r="AE1869" t="s">
        <v>69</v>
      </c>
      <c r="AF1869" t="s">
        <v>31889</v>
      </c>
      <c r="AG1869" t="s">
        <v>69</v>
      </c>
      <c r="AH1869" t="s">
        <v>1765</v>
      </c>
      <c r="AI1869" t="s">
        <v>1766</v>
      </c>
      <c r="AJ1869" t="s">
        <v>69</v>
      </c>
      <c r="AK1869" t="s">
        <v>69</v>
      </c>
      <c r="AL1869" t="s">
        <v>69</v>
      </c>
      <c r="AM1869" t="s">
        <v>69</v>
      </c>
      <c r="AN1869">
        <v>97</v>
      </c>
      <c r="AO1869">
        <v>34</v>
      </c>
      <c r="AP1869">
        <v>35</v>
      </c>
      <c r="AQ1869">
        <v>0</v>
      </c>
      <c r="AR1869">
        <v>15</v>
      </c>
      <c r="AS1869" t="s">
        <v>9047</v>
      </c>
      <c r="AT1869" t="s">
        <v>8693</v>
      </c>
      <c r="AU1869" t="s">
        <v>16643</v>
      </c>
      <c r="AV1869" t="s">
        <v>181</v>
      </c>
      <c r="AW1869" t="s">
        <v>69</v>
      </c>
      <c r="AX1869" t="s">
        <v>69</v>
      </c>
      <c r="AY1869" t="s">
        <v>17432</v>
      </c>
      <c r="AZ1869" t="s">
        <v>17433</v>
      </c>
      <c r="BA1869" t="s">
        <v>274</v>
      </c>
      <c r="BB1869">
        <v>1999</v>
      </c>
      <c r="BC1869">
        <v>24</v>
      </c>
      <c r="BD1869">
        <v>4</v>
      </c>
      <c r="BE1869" t="s">
        <v>69</v>
      </c>
      <c r="BF1869" t="s">
        <v>69</v>
      </c>
      <c r="BG1869" t="s">
        <v>69</v>
      </c>
      <c r="BH1869" t="s">
        <v>69</v>
      </c>
      <c r="BI1869">
        <v>421</v>
      </c>
      <c r="BJ1869">
        <v>435</v>
      </c>
      <c r="BK1869" t="s">
        <v>69</v>
      </c>
      <c r="BL1869" t="s">
        <v>1767</v>
      </c>
      <c r="BM1869" t="str">
        <f>HYPERLINK("http://dx.doi.org/10.1007/s002679900244","http://dx.doi.org/10.1007/s002679900244")</f>
        <v>http://dx.doi.org/10.1007/s002679900244</v>
      </c>
      <c r="BN1869" t="s">
        <v>69</v>
      </c>
      <c r="BO1869" t="s">
        <v>69</v>
      </c>
      <c r="BP1869">
        <v>15</v>
      </c>
      <c r="BQ1869" t="s">
        <v>8717</v>
      </c>
      <c r="BR1869" t="s">
        <v>8548</v>
      </c>
      <c r="BS1869" t="s">
        <v>8662</v>
      </c>
      <c r="BT1869" t="s">
        <v>31890</v>
      </c>
      <c r="BU1869" t="s">
        <v>1768</v>
      </c>
      <c r="BV1869">
        <v>10501857</v>
      </c>
      <c r="BW1869" t="s">
        <v>69</v>
      </c>
      <c r="BX1869" t="s">
        <v>69</v>
      </c>
      <c r="BY1869" t="s">
        <v>69</v>
      </c>
      <c r="BZ1869" t="s">
        <v>8526</v>
      </c>
      <c r="CA1869" t="str">
        <f>HYPERLINK("https%3A%2F%2Fwww.webofscience.com%2Fwos%2Fwoscc%2Ffull-record%2FWOS:000082891900001","View Full Record in Web of Science")</f>
        <v>View Full Record in Web of Science</v>
      </c>
    </row>
    <row r="1870" spans="1:79" ht="12.5" x14ac:dyDescent="0.25">
      <c r="B1870" t="s">
        <v>8495</v>
      </c>
      <c r="D1870" s="7" t="s">
        <v>32933</v>
      </c>
      <c r="E1870" s="7"/>
      <c r="F1870" s="7"/>
      <c r="G1870" s="7"/>
      <c r="H1870" t="s">
        <v>67</v>
      </c>
      <c r="I1870" t="s">
        <v>3433</v>
      </c>
      <c r="J1870" t="s">
        <v>69</v>
      </c>
      <c r="K1870" t="s">
        <v>69</v>
      </c>
      <c r="L1870" t="s">
        <v>69</v>
      </c>
      <c r="M1870" t="s">
        <v>3434</v>
      </c>
      <c r="N1870" t="s">
        <v>69</v>
      </c>
      <c r="O1870" t="s">
        <v>69</v>
      </c>
      <c r="P1870" t="s">
        <v>3435</v>
      </c>
      <c r="Q1870" t="s">
        <v>3436</v>
      </c>
      <c r="R1870" t="s">
        <v>69</v>
      </c>
      <c r="S1870" t="s">
        <v>69</v>
      </c>
      <c r="T1870" t="s">
        <v>8505</v>
      </c>
      <c r="U1870" t="s">
        <v>8506</v>
      </c>
      <c r="V1870" t="s">
        <v>69</v>
      </c>
      <c r="W1870" t="s">
        <v>69</v>
      </c>
      <c r="X1870" t="s">
        <v>69</v>
      </c>
      <c r="Y1870" t="s">
        <v>69</v>
      </c>
      <c r="Z1870" t="s">
        <v>69</v>
      </c>
      <c r="AA1870" t="s">
        <v>69</v>
      </c>
      <c r="AB1870" t="s">
        <v>26809</v>
      </c>
      <c r="AC1870" t="s">
        <v>3437</v>
      </c>
      <c r="AD1870" t="s">
        <v>26810</v>
      </c>
      <c r="AE1870" t="s">
        <v>69</v>
      </c>
      <c r="AF1870" t="s">
        <v>26811</v>
      </c>
      <c r="AG1870" t="s">
        <v>26812</v>
      </c>
      <c r="AH1870" t="s">
        <v>69</v>
      </c>
      <c r="AI1870" t="s">
        <v>26813</v>
      </c>
      <c r="AJ1870" t="s">
        <v>26814</v>
      </c>
      <c r="AK1870" t="s">
        <v>26815</v>
      </c>
      <c r="AL1870" t="s">
        <v>26816</v>
      </c>
      <c r="AM1870" t="s">
        <v>69</v>
      </c>
      <c r="AN1870">
        <v>37</v>
      </c>
      <c r="AO1870">
        <v>36</v>
      </c>
      <c r="AP1870">
        <v>37</v>
      </c>
      <c r="AQ1870">
        <v>0</v>
      </c>
      <c r="AR1870">
        <v>29</v>
      </c>
      <c r="AS1870" t="s">
        <v>26817</v>
      </c>
      <c r="AT1870" t="s">
        <v>15901</v>
      </c>
      <c r="AU1870" t="s">
        <v>26818</v>
      </c>
      <c r="AV1870" t="s">
        <v>3438</v>
      </c>
      <c r="AW1870" t="s">
        <v>69</v>
      </c>
      <c r="AX1870" t="s">
        <v>69</v>
      </c>
      <c r="AY1870" t="s">
        <v>26819</v>
      </c>
      <c r="AZ1870" t="s">
        <v>26820</v>
      </c>
      <c r="BA1870" t="s">
        <v>255</v>
      </c>
      <c r="BB1870">
        <v>2011</v>
      </c>
      <c r="BC1870">
        <v>111</v>
      </c>
      <c r="BD1870">
        <v>9</v>
      </c>
      <c r="BE1870" t="s">
        <v>69</v>
      </c>
      <c r="BF1870" t="s">
        <v>69</v>
      </c>
      <c r="BG1870" t="s">
        <v>69</v>
      </c>
      <c r="BH1870" t="s">
        <v>69</v>
      </c>
      <c r="BI1870">
        <v>1306</v>
      </c>
      <c r="BJ1870">
        <v>1313</v>
      </c>
      <c r="BK1870" t="s">
        <v>69</v>
      </c>
      <c r="BL1870" t="s">
        <v>3439</v>
      </c>
      <c r="BM1870" t="str">
        <f>HYPERLINK("http://dx.doi.org/10.1016/j.jada.2011.06.011","http://dx.doi.org/10.1016/j.jada.2011.06.011")</f>
        <v>http://dx.doi.org/10.1016/j.jada.2011.06.011</v>
      </c>
      <c r="BN1870" t="s">
        <v>69</v>
      </c>
      <c r="BO1870" t="s">
        <v>69</v>
      </c>
      <c r="BP1870">
        <v>8</v>
      </c>
      <c r="BQ1870" t="s">
        <v>10908</v>
      </c>
      <c r="BR1870" t="s">
        <v>8523</v>
      </c>
      <c r="BS1870" t="s">
        <v>10908</v>
      </c>
      <c r="BT1870" t="s">
        <v>26821</v>
      </c>
      <c r="BU1870" t="s">
        <v>3440</v>
      </c>
      <c r="BV1870">
        <v>21872693</v>
      </c>
      <c r="BW1870" t="s">
        <v>9292</v>
      </c>
      <c r="BX1870" t="s">
        <v>69</v>
      </c>
      <c r="BY1870" t="s">
        <v>69</v>
      </c>
      <c r="BZ1870" t="s">
        <v>8526</v>
      </c>
      <c r="CA1870" t="str">
        <f>HYPERLINK("https%3A%2F%2Fwww.webofscience.com%2Fwos%2Fwoscc%2Ffull-record%2FWOS:000294748700006","View Full Record in Web of Science")</f>
        <v>View Full Record in Web of Science</v>
      </c>
    </row>
    <row r="1871" spans="1:79" ht="12.5" x14ac:dyDescent="0.25">
      <c r="B1871" t="s">
        <v>8495</v>
      </c>
      <c r="D1871" s="22" t="s">
        <v>32931</v>
      </c>
      <c r="E1871" s="7"/>
      <c r="F1871" s="7"/>
      <c r="G1871" s="7"/>
      <c r="H1871" t="s">
        <v>67</v>
      </c>
      <c r="I1871" t="s">
        <v>11693</v>
      </c>
      <c r="J1871" t="s">
        <v>69</v>
      </c>
      <c r="K1871" t="s">
        <v>69</v>
      </c>
      <c r="L1871" t="s">
        <v>69</v>
      </c>
      <c r="M1871" t="s">
        <v>11694</v>
      </c>
      <c r="N1871" t="s">
        <v>69</v>
      </c>
      <c r="O1871" t="s">
        <v>69</v>
      </c>
      <c r="P1871" t="s">
        <v>11695</v>
      </c>
      <c r="Q1871" t="s">
        <v>352</v>
      </c>
      <c r="R1871" t="s">
        <v>69</v>
      </c>
      <c r="S1871" t="s">
        <v>69</v>
      </c>
      <c r="T1871" t="s">
        <v>8505</v>
      </c>
      <c r="U1871" t="s">
        <v>8506</v>
      </c>
      <c r="V1871" t="s">
        <v>69</v>
      </c>
      <c r="W1871" t="s">
        <v>69</v>
      </c>
      <c r="X1871" t="s">
        <v>69</v>
      </c>
      <c r="Y1871" t="s">
        <v>69</v>
      </c>
      <c r="Z1871" t="s">
        <v>69</v>
      </c>
      <c r="AA1871" t="s">
        <v>11696</v>
      </c>
      <c r="AB1871" t="s">
        <v>11697</v>
      </c>
      <c r="AC1871" t="s">
        <v>11698</v>
      </c>
      <c r="AD1871" t="s">
        <v>11699</v>
      </c>
      <c r="AE1871" t="s">
        <v>69</v>
      </c>
      <c r="AF1871" t="s">
        <v>11700</v>
      </c>
      <c r="AG1871" t="s">
        <v>11701</v>
      </c>
      <c r="AH1871" t="s">
        <v>69</v>
      </c>
      <c r="AI1871" t="s">
        <v>11702</v>
      </c>
      <c r="AJ1871" t="s">
        <v>69</v>
      </c>
      <c r="AK1871" t="s">
        <v>69</v>
      </c>
      <c r="AL1871" t="s">
        <v>69</v>
      </c>
      <c r="AM1871" t="s">
        <v>69</v>
      </c>
      <c r="AN1871">
        <v>92</v>
      </c>
      <c r="AO1871">
        <v>3</v>
      </c>
      <c r="AP1871">
        <v>3</v>
      </c>
      <c r="AQ1871">
        <v>16</v>
      </c>
      <c r="AR1871">
        <v>30</v>
      </c>
      <c r="AS1871" t="s">
        <v>8924</v>
      </c>
      <c r="AT1871" t="s">
        <v>8925</v>
      </c>
      <c r="AU1871" t="s">
        <v>8926</v>
      </c>
      <c r="AV1871" t="s">
        <v>69</v>
      </c>
      <c r="AW1871" t="s">
        <v>354</v>
      </c>
      <c r="AX1871" t="s">
        <v>69</v>
      </c>
      <c r="AY1871" t="s">
        <v>8958</v>
      </c>
      <c r="AZ1871" t="s">
        <v>8434</v>
      </c>
      <c r="BA1871" t="s">
        <v>201</v>
      </c>
      <c r="BB1871">
        <v>2021</v>
      </c>
      <c r="BC1871">
        <v>13</v>
      </c>
      <c r="BD1871">
        <v>16</v>
      </c>
      <c r="BE1871" t="s">
        <v>69</v>
      </c>
      <c r="BF1871" t="s">
        <v>69</v>
      </c>
      <c r="BG1871" t="s">
        <v>69</v>
      </c>
      <c r="BH1871" t="s">
        <v>69</v>
      </c>
      <c r="BI1871" t="s">
        <v>69</v>
      </c>
      <c r="BJ1871" t="s">
        <v>69</v>
      </c>
      <c r="BK1871">
        <v>9274</v>
      </c>
      <c r="BL1871" t="s">
        <v>11703</v>
      </c>
      <c r="BM1871" t="str">
        <f>HYPERLINK("http://dx.doi.org/10.3390/su13169274","http://dx.doi.org/10.3390/su13169274")</f>
        <v>http://dx.doi.org/10.3390/su13169274</v>
      </c>
      <c r="BN1871" t="s">
        <v>69</v>
      </c>
      <c r="BO1871" t="s">
        <v>69</v>
      </c>
      <c r="BP1871">
        <v>26</v>
      </c>
      <c r="BQ1871" t="s">
        <v>8960</v>
      </c>
      <c r="BR1871" t="s">
        <v>8523</v>
      </c>
      <c r="BS1871" t="s">
        <v>8961</v>
      </c>
      <c r="BT1871" t="s">
        <v>11704</v>
      </c>
      <c r="BU1871" t="s">
        <v>11706</v>
      </c>
      <c r="BV1871" t="s">
        <v>69</v>
      </c>
      <c r="BW1871" t="s">
        <v>11705</v>
      </c>
      <c r="BX1871" t="s">
        <v>69</v>
      </c>
      <c r="BY1871" t="s">
        <v>69</v>
      </c>
      <c r="BZ1871" t="s">
        <v>8526</v>
      </c>
      <c r="CA1871" t="str">
        <f>HYPERLINK("https%3A%2F%2Fwww.webofscience.com%2Fwos%2Fwoscc%2Ffull-record%2FWOS:000690169400001","View Full Record in Web of Science")</f>
        <v>View Full Record in Web of Science</v>
      </c>
    </row>
    <row r="1872" spans="1:79" ht="12.5" x14ac:dyDescent="0.25">
      <c r="B1872" t="s">
        <v>8495</v>
      </c>
      <c r="D1872" s="22" t="s">
        <v>32931</v>
      </c>
      <c r="E1872" s="7"/>
      <c r="F1872" s="7"/>
      <c r="G1872" s="7"/>
      <c r="H1872" t="s">
        <v>67</v>
      </c>
      <c r="I1872" t="s">
        <v>22855</v>
      </c>
      <c r="J1872" t="s">
        <v>69</v>
      </c>
      <c r="K1872" t="s">
        <v>69</v>
      </c>
      <c r="L1872" t="s">
        <v>69</v>
      </c>
      <c r="M1872" t="s">
        <v>22856</v>
      </c>
      <c r="N1872" t="s">
        <v>69</v>
      </c>
      <c r="O1872" t="s">
        <v>69</v>
      </c>
      <c r="P1872" t="s">
        <v>22857</v>
      </c>
      <c r="Q1872" t="s">
        <v>22858</v>
      </c>
      <c r="R1872" t="s">
        <v>69</v>
      </c>
      <c r="S1872" t="s">
        <v>69</v>
      </c>
      <c r="T1872" t="s">
        <v>8505</v>
      </c>
      <c r="U1872" t="s">
        <v>8442</v>
      </c>
      <c r="V1872" t="s">
        <v>69</v>
      </c>
      <c r="W1872" t="s">
        <v>69</v>
      </c>
      <c r="X1872" t="s">
        <v>69</v>
      </c>
      <c r="Y1872" t="s">
        <v>69</v>
      </c>
      <c r="Z1872" t="s">
        <v>69</v>
      </c>
      <c r="AA1872" t="s">
        <v>69</v>
      </c>
      <c r="AB1872" t="s">
        <v>22859</v>
      </c>
      <c r="AC1872" t="s">
        <v>22860</v>
      </c>
      <c r="AD1872" t="s">
        <v>22861</v>
      </c>
      <c r="AE1872" t="s">
        <v>69</v>
      </c>
      <c r="AF1872" t="s">
        <v>22862</v>
      </c>
      <c r="AG1872" t="s">
        <v>22863</v>
      </c>
      <c r="AH1872" t="s">
        <v>22864</v>
      </c>
      <c r="AI1872" t="s">
        <v>22865</v>
      </c>
      <c r="AJ1872" t="s">
        <v>22866</v>
      </c>
      <c r="AK1872" t="s">
        <v>22867</v>
      </c>
      <c r="AL1872" t="s">
        <v>22868</v>
      </c>
      <c r="AM1872" t="s">
        <v>69</v>
      </c>
      <c r="AN1872">
        <v>70</v>
      </c>
      <c r="AO1872">
        <v>64</v>
      </c>
      <c r="AP1872">
        <v>68</v>
      </c>
      <c r="AQ1872">
        <v>1</v>
      </c>
      <c r="AR1872">
        <v>21</v>
      </c>
      <c r="AS1872" t="s">
        <v>22869</v>
      </c>
      <c r="AT1872" t="s">
        <v>22870</v>
      </c>
      <c r="AU1872" t="s">
        <v>22871</v>
      </c>
      <c r="AV1872" t="s">
        <v>22872</v>
      </c>
      <c r="AW1872" t="s">
        <v>22873</v>
      </c>
      <c r="AX1872" t="s">
        <v>69</v>
      </c>
      <c r="AY1872" t="s">
        <v>22858</v>
      </c>
      <c r="AZ1872" t="s">
        <v>22874</v>
      </c>
      <c r="BA1872" t="s">
        <v>94</v>
      </c>
      <c r="BB1872">
        <v>2015</v>
      </c>
      <c r="BC1872">
        <v>33</v>
      </c>
      <c r="BD1872">
        <v>3</v>
      </c>
      <c r="BE1872" t="s">
        <v>69</v>
      </c>
      <c r="BF1872" t="s">
        <v>69</v>
      </c>
      <c r="BG1872" t="s">
        <v>69</v>
      </c>
      <c r="BH1872" t="s">
        <v>69</v>
      </c>
      <c r="BI1872">
        <v>255</v>
      </c>
      <c r="BJ1872">
        <v>269</v>
      </c>
      <c r="BK1872" t="s">
        <v>69</v>
      </c>
      <c r="BL1872" t="s">
        <v>22875</v>
      </c>
      <c r="BM1872" t="str">
        <f>HYPERLINK("http://dx.doi.org/10.1007/s40273-014-0235-x","http://dx.doi.org/10.1007/s40273-014-0235-x")</f>
        <v>http://dx.doi.org/10.1007/s40273-014-0235-x</v>
      </c>
      <c r="BN1872" t="s">
        <v>69</v>
      </c>
      <c r="BO1872" t="s">
        <v>69</v>
      </c>
      <c r="BP1872">
        <v>15</v>
      </c>
      <c r="BQ1872" t="s">
        <v>22876</v>
      </c>
      <c r="BR1872" t="s">
        <v>8523</v>
      </c>
      <c r="BS1872" t="s">
        <v>22877</v>
      </c>
      <c r="BT1872" t="s">
        <v>22878</v>
      </c>
      <c r="BU1872" t="s">
        <v>22880</v>
      </c>
      <c r="BV1872">
        <v>25412735</v>
      </c>
      <c r="BW1872" t="s">
        <v>22879</v>
      </c>
      <c r="BX1872" t="s">
        <v>69</v>
      </c>
      <c r="BY1872" t="s">
        <v>69</v>
      </c>
      <c r="BZ1872" t="s">
        <v>8526</v>
      </c>
      <c r="CA1872" t="str">
        <f>HYPERLINK("https%3A%2F%2Fwww.webofscience.com%2Fwos%2Fwoscc%2Ffull-record%2FWOS:000350480700007","View Full Record in Web of Science")</f>
        <v>View Full Record in Web of Science</v>
      </c>
    </row>
    <row r="1873" spans="1:79" ht="12.5" x14ac:dyDescent="0.25">
      <c r="B1873" t="s">
        <v>8495</v>
      </c>
      <c r="D1873" s="22" t="s">
        <v>32931</v>
      </c>
      <c r="E1873" s="7"/>
      <c r="F1873" s="7"/>
      <c r="G1873" s="7"/>
      <c r="H1873" t="s">
        <v>67</v>
      </c>
      <c r="I1873" t="s">
        <v>20472</v>
      </c>
      <c r="J1873" t="s">
        <v>69</v>
      </c>
      <c r="K1873" t="s">
        <v>69</v>
      </c>
      <c r="L1873" t="s">
        <v>69</v>
      </c>
      <c r="M1873" t="s">
        <v>20473</v>
      </c>
      <c r="N1873" t="s">
        <v>69</v>
      </c>
      <c r="O1873" t="s">
        <v>69</v>
      </c>
      <c r="P1873" t="s">
        <v>20474</v>
      </c>
      <c r="Q1873" t="s">
        <v>20475</v>
      </c>
      <c r="R1873" t="s">
        <v>69</v>
      </c>
      <c r="S1873" t="s">
        <v>69</v>
      </c>
      <c r="T1873" t="s">
        <v>8505</v>
      </c>
      <c r="U1873" t="s">
        <v>8506</v>
      </c>
      <c r="V1873" t="s">
        <v>69</v>
      </c>
      <c r="W1873" t="s">
        <v>69</v>
      </c>
      <c r="X1873" t="s">
        <v>69</v>
      </c>
      <c r="Y1873" t="s">
        <v>69</v>
      </c>
      <c r="Z1873" t="s">
        <v>69</v>
      </c>
      <c r="AA1873" t="s">
        <v>20476</v>
      </c>
      <c r="AB1873" t="s">
        <v>69</v>
      </c>
      <c r="AC1873" t="s">
        <v>20477</v>
      </c>
      <c r="AD1873" t="s">
        <v>20478</v>
      </c>
      <c r="AE1873" t="s">
        <v>69</v>
      </c>
      <c r="AF1873" t="s">
        <v>20479</v>
      </c>
      <c r="AG1873" t="s">
        <v>20480</v>
      </c>
      <c r="AH1873" t="s">
        <v>69</v>
      </c>
      <c r="AI1873" t="s">
        <v>20481</v>
      </c>
      <c r="AJ1873" t="s">
        <v>69</v>
      </c>
      <c r="AK1873" t="s">
        <v>69</v>
      </c>
      <c r="AL1873" t="s">
        <v>69</v>
      </c>
      <c r="AM1873" t="s">
        <v>69</v>
      </c>
      <c r="AN1873">
        <v>81</v>
      </c>
      <c r="AO1873">
        <v>12</v>
      </c>
      <c r="AP1873">
        <v>12</v>
      </c>
      <c r="AQ1873">
        <v>7</v>
      </c>
      <c r="AR1873">
        <v>30</v>
      </c>
      <c r="AS1873" t="s">
        <v>8636</v>
      </c>
      <c r="AT1873" t="s">
        <v>8637</v>
      </c>
      <c r="AU1873" t="s">
        <v>8638</v>
      </c>
      <c r="AV1873" t="s">
        <v>20482</v>
      </c>
      <c r="AW1873" t="s">
        <v>20483</v>
      </c>
      <c r="AX1873" t="s">
        <v>69</v>
      </c>
      <c r="AY1873" t="s">
        <v>20484</v>
      </c>
      <c r="AZ1873" t="s">
        <v>20485</v>
      </c>
      <c r="BA1873" t="s">
        <v>94</v>
      </c>
      <c r="BB1873">
        <v>2017</v>
      </c>
      <c r="BC1873">
        <v>49</v>
      </c>
      <c r="BD1873" t="s">
        <v>69</v>
      </c>
      <c r="BE1873" t="s">
        <v>69</v>
      </c>
      <c r="BF1873" t="s">
        <v>69</v>
      </c>
      <c r="BG1873" t="s">
        <v>69</v>
      </c>
      <c r="BH1873" t="s">
        <v>69</v>
      </c>
      <c r="BI1873">
        <v>66</v>
      </c>
      <c r="BJ1873">
        <v>100</v>
      </c>
      <c r="BK1873" t="s">
        <v>69</v>
      </c>
      <c r="BL1873" t="s">
        <v>20486</v>
      </c>
      <c r="BM1873" t="str">
        <f>HYPERLINK("http://dx.doi.org/10.1016/j.destud.2016.10.002","http://dx.doi.org/10.1016/j.destud.2016.10.002")</f>
        <v>http://dx.doi.org/10.1016/j.destud.2016.10.002</v>
      </c>
      <c r="BN1873" t="s">
        <v>69</v>
      </c>
      <c r="BO1873" t="s">
        <v>69</v>
      </c>
      <c r="BP1873">
        <v>35</v>
      </c>
      <c r="BQ1873" t="s">
        <v>20487</v>
      </c>
      <c r="BR1873" t="s">
        <v>8523</v>
      </c>
      <c r="BS1873" t="s">
        <v>8445</v>
      </c>
      <c r="BT1873" t="s">
        <v>20488</v>
      </c>
      <c r="BU1873" t="s">
        <v>20489</v>
      </c>
      <c r="BV1873" t="s">
        <v>69</v>
      </c>
      <c r="BW1873" t="s">
        <v>10363</v>
      </c>
      <c r="BX1873" t="s">
        <v>69</v>
      </c>
      <c r="BY1873" t="s">
        <v>69</v>
      </c>
      <c r="BZ1873" t="s">
        <v>8526</v>
      </c>
      <c r="CA1873" t="str">
        <f>HYPERLINK("https%3A%2F%2Fwww.webofscience.com%2Fwos%2Fwoscc%2Ffull-record%2FWOS:000395210800003","View Full Record in Web of Science")</f>
        <v>View Full Record in Web of Science</v>
      </c>
    </row>
    <row r="1874" spans="1:79" ht="12.5" x14ac:dyDescent="0.25">
      <c r="B1874" t="s">
        <v>8495</v>
      </c>
      <c r="D1874" s="22" t="s">
        <v>32931</v>
      </c>
      <c r="E1874" s="7"/>
      <c r="F1874" s="7"/>
      <c r="G1874" s="7"/>
      <c r="H1874" t="s">
        <v>67</v>
      </c>
      <c r="I1874" t="s">
        <v>16688</v>
      </c>
      <c r="J1874" t="s">
        <v>69</v>
      </c>
      <c r="K1874" t="s">
        <v>69</v>
      </c>
      <c r="L1874" t="s">
        <v>69</v>
      </c>
      <c r="M1874" t="s">
        <v>16689</v>
      </c>
      <c r="N1874" t="s">
        <v>69</v>
      </c>
      <c r="O1874" t="s">
        <v>69</v>
      </c>
      <c r="P1874" t="s">
        <v>16690</v>
      </c>
      <c r="Q1874" t="s">
        <v>16691</v>
      </c>
      <c r="R1874" t="s">
        <v>69</v>
      </c>
      <c r="S1874" t="s">
        <v>69</v>
      </c>
      <c r="T1874" t="s">
        <v>8505</v>
      </c>
      <c r="U1874" t="s">
        <v>8506</v>
      </c>
      <c r="V1874" t="s">
        <v>69</v>
      </c>
      <c r="W1874" t="s">
        <v>69</v>
      </c>
      <c r="X1874" t="s">
        <v>69</v>
      </c>
      <c r="Y1874" t="s">
        <v>69</v>
      </c>
      <c r="Z1874" t="s">
        <v>69</v>
      </c>
      <c r="AA1874" t="s">
        <v>16692</v>
      </c>
      <c r="AB1874" t="s">
        <v>16693</v>
      </c>
      <c r="AC1874" t="s">
        <v>16694</v>
      </c>
      <c r="AD1874" t="s">
        <v>16695</v>
      </c>
      <c r="AE1874" t="s">
        <v>69</v>
      </c>
      <c r="AF1874" t="s">
        <v>16696</v>
      </c>
      <c r="AG1874" t="s">
        <v>16697</v>
      </c>
      <c r="AH1874" t="s">
        <v>69</v>
      </c>
      <c r="AI1874" t="s">
        <v>69</v>
      </c>
      <c r="AJ1874" t="s">
        <v>69</v>
      </c>
      <c r="AK1874" t="s">
        <v>69</v>
      </c>
      <c r="AL1874" t="s">
        <v>69</v>
      </c>
      <c r="AM1874" t="s">
        <v>69</v>
      </c>
      <c r="AN1874">
        <v>29</v>
      </c>
      <c r="AO1874">
        <v>1</v>
      </c>
      <c r="AP1874">
        <v>1</v>
      </c>
      <c r="AQ1874">
        <v>0</v>
      </c>
      <c r="AR1874">
        <v>0</v>
      </c>
      <c r="AS1874" t="s">
        <v>16698</v>
      </c>
      <c r="AT1874" t="s">
        <v>8693</v>
      </c>
      <c r="AU1874" t="s">
        <v>16699</v>
      </c>
      <c r="AV1874" t="s">
        <v>16700</v>
      </c>
      <c r="AW1874" t="s">
        <v>16701</v>
      </c>
      <c r="AX1874" t="s">
        <v>69</v>
      </c>
      <c r="AY1874" t="s">
        <v>16702</v>
      </c>
      <c r="AZ1874" t="s">
        <v>16703</v>
      </c>
      <c r="BA1874" t="s">
        <v>381</v>
      </c>
      <c r="BB1874">
        <v>2019</v>
      </c>
      <c r="BC1874">
        <v>47</v>
      </c>
      <c r="BD1874">
        <v>10</v>
      </c>
      <c r="BE1874" t="s">
        <v>69</v>
      </c>
      <c r="BF1874" t="s">
        <v>69</v>
      </c>
      <c r="BG1874" t="s">
        <v>69</v>
      </c>
      <c r="BH1874" t="s">
        <v>69</v>
      </c>
      <c r="BI1874">
        <v>1176</v>
      </c>
      <c r="BJ1874">
        <v>1180</v>
      </c>
      <c r="BK1874" t="s">
        <v>69</v>
      </c>
      <c r="BL1874" t="s">
        <v>16704</v>
      </c>
      <c r="BM1874" t="str">
        <f>HYPERLINK("http://dx.doi.org/10.1016/j.ajic.2019.03.019","http://dx.doi.org/10.1016/j.ajic.2019.03.019")</f>
        <v>http://dx.doi.org/10.1016/j.ajic.2019.03.019</v>
      </c>
      <c r="BN1874" t="s">
        <v>69</v>
      </c>
      <c r="BO1874" t="s">
        <v>69</v>
      </c>
      <c r="BP1874">
        <v>5</v>
      </c>
      <c r="BQ1874" t="s">
        <v>14367</v>
      </c>
      <c r="BR1874" t="s">
        <v>8548</v>
      </c>
      <c r="BS1874" t="s">
        <v>14367</v>
      </c>
      <c r="BT1874" t="s">
        <v>16705</v>
      </c>
      <c r="BU1874" t="s">
        <v>16706</v>
      </c>
      <c r="BV1874">
        <v>31036400</v>
      </c>
      <c r="BW1874" t="s">
        <v>69</v>
      </c>
      <c r="BX1874" t="s">
        <v>69</v>
      </c>
      <c r="BY1874" t="s">
        <v>69</v>
      </c>
      <c r="BZ1874" t="s">
        <v>8526</v>
      </c>
      <c r="CA1874" t="str">
        <f>HYPERLINK("https%3A%2F%2Fwww.webofscience.com%2Fwos%2Fwoscc%2Ffull-record%2FWOS:000487003300005","View Full Record in Web of Science")</f>
        <v>View Full Record in Web of Science</v>
      </c>
    </row>
    <row r="1875" spans="1:79" ht="12.5" x14ac:dyDescent="0.25">
      <c r="B1875" t="s">
        <v>8495</v>
      </c>
      <c r="D1875" s="7" t="s">
        <v>32933</v>
      </c>
      <c r="E1875" s="7"/>
      <c r="F1875" s="7"/>
      <c r="G1875" s="7"/>
      <c r="H1875" t="s">
        <v>67</v>
      </c>
      <c r="I1875" t="s">
        <v>6934</v>
      </c>
      <c r="J1875" t="s">
        <v>69</v>
      </c>
      <c r="K1875" t="s">
        <v>69</v>
      </c>
      <c r="L1875" t="s">
        <v>69</v>
      </c>
      <c r="M1875" t="s">
        <v>6935</v>
      </c>
      <c r="N1875" t="s">
        <v>69</v>
      </c>
      <c r="O1875" t="s">
        <v>69</v>
      </c>
      <c r="P1875" t="s">
        <v>6936</v>
      </c>
      <c r="Q1875" t="s">
        <v>6937</v>
      </c>
      <c r="R1875" t="s">
        <v>69</v>
      </c>
      <c r="S1875" t="s">
        <v>69</v>
      </c>
      <c r="T1875" t="s">
        <v>8505</v>
      </c>
      <c r="U1875" t="s">
        <v>8506</v>
      </c>
      <c r="V1875" t="s">
        <v>69</v>
      </c>
      <c r="W1875" t="s">
        <v>69</v>
      </c>
      <c r="X1875" t="s">
        <v>69</v>
      </c>
      <c r="Y1875" t="s">
        <v>69</v>
      </c>
      <c r="Z1875" t="s">
        <v>69</v>
      </c>
      <c r="AA1875" t="s">
        <v>19631</v>
      </c>
      <c r="AB1875" t="s">
        <v>19632</v>
      </c>
      <c r="AC1875" t="s">
        <v>6938</v>
      </c>
      <c r="AD1875" t="s">
        <v>19633</v>
      </c>
      <c r="AE1875" t="s">
        <v>69</v>
      </c>
      <c r="AF1875" t="s">
        <v>19634</v>
      </c>
      <c r="AG1875" t="s">
        <v>19635</v>
      </c>
      <c r="AH1875" t="s">
        <v>69</v>
      </c>
      <c r="AI1875" t="s">
        <v>6939</v>
      </c>
      <c r="AJ1875" t="s">
        <v>69</v>
      </c>
      <c r="AK1875" t="s">
        <v>69</v>
      </c>
      <c r="AL1875" t="s">
        <v>69</v>
      </c>
      <c r="AM1875" t="s">
        <v>69</v>
      </c>
      <c r="AN1875">
        <v>49</v>
      </c>
      <c r="AO1875">
        <v>9</v>
      </c>
      <c r="AP1875">
        <v>9</v>
      </c>
      <c r="AQ1875">
        <v>0</v>
      </c>
      <c r="AR1875">
        <v>7</v>
      </c>
      <c r="AS1875" t="s">
        <v>8865</v>
      </c>
      <c r="AT1875" t="s">
        <v>8612</v>
      </c>
      <c r="AU1875" t="s">
        <v>8866</v>
      </c>
      <c r="AV1875" t="s">
        <v>6940</v>
      </c>
      <c r="AW1875" t="s">
        <v>6941</v>
      </c>
      <c r="AX1875" t="s">
        <v>69</v>
      </c>
      <c r="AY1875" t="s">
        <v>19636</v>
      </c>
      <c r="AZ1875" t="s">
        <v>19637</v>
      </c>
      <c r="BA1875" t="s">
        <v>69</v>
      </c>
      <c r="BB1875">
        <v>2018</v>
      </c>
      <c r="BC1875">
        <v>25</v>
      </c>
      <c r="BD1875">
        <v>1</v>
      </c>
      <c r="BE1875" t="s">
        <v>69</v>
      </c>
      <c r="BF1875" t="s">
        <v>69</v>
      </c>
      <c r="BG1875" t="s">
        <v>69</v>
      </c>
      <c r="BH1875" t="s">
        <v>69</v>
      </c>
      <c r="BI1875">
        <v>42</v>
      </c>
      <c r="BJ1875">
        <v>67</v>
      </c>
      <c r="BK1875" t="s">
        <v>69</v>
      </c>
      <c r="BL1875" t="s">
        <v>6942</v>
      </c>
      <c r="BM1875" t="str">
        <f>HYPERLINK("http://dx.doi.org/10.1080/1350178X.2017.1380896","http://dx.doi.org/10.1080/1350178X.2017.1380896")</f>
        <v>http://dx.doi.org/10.1080/1350178X.2017.1380896</v>
      </c>
      <c r="BN1875" t="s">
        <v>69</v>
      </c>
      <c r="BO1875" t="s">
        <v>69</v>
      </c>
      <c r="BP1875">
        <v>26</v>
      </c>
      <c r="BQ1875" t="s">
        <v>9726</v>
      </c>
      <c r="BR1875" t="s">
        <v>8661</v>
      </c>
      <c r="BS1875" t="s">
        <v>8594</v>
      </c>
      <c r="BT1875" t="s">
        <v>19638</v>
      </c>
      <c r="BU1875" t="s">
        <v>6943</v>
      </c>
      <c r="BV1875" t="s">
        <v>69</v>
      </c>
      <c r="BW1875" t="s">
        <v>69</v>
      </c>
      <c r="BX1875" t="s">
        <v>69</v>
      </c>
      <c r="BY1875" t="s">
        <v>69</v>
      </c>
      <c r="BZ1875" t="s">
        <v>8526</v>
      </c>
      <c r="CA1875" t="str">
        <f>HYPERLINK("https%3A%2F%2Fwww.webofscience.com%2Fwos%2Fwoscc%2Ffull-record%2FWOS:000424255700003","View Full Record in Web of Science")</f>
        <v>View Full Record in Web of Science</v>
      </c>
    </row>
    <row r="1876" spans="1:79" ht="12.5" x14ac:dyDescent="0.25">
      <c r="B1876" t="s">
        <v>8495</v>
      </c>
      <c r="D1876" s="7" t="s">
        <v>32933</v>
      </c>
      <c r="E1876" s="7"/>
      <c r="F1876" s="7"/>
      <c r="G1876" s="7"/>
      <c r="H1876" t="s">
        <v>67</v>
      </c>
      <c r="I1876" t="s">
        <v>7966</v>
      </c>
      <c r="J1876" t="s">
        <v>69</v>
      </c>
      <c r="K1876" t="s">
        <v>69</v>
      </c>
      <c r="L1876" t="s">
        <v>69</v>
      </c>
      <c r="M1876" t="s">
        <v>7967</v>
      </c>
      <c r="N1876" t="s">
        <v>69</v>
      </c>
      <c r="O1876" t="s">
        <v>69</v>
      </c>
      <c r="P1876" t="s">
        <v>7968</v>
      </c>
      <c r="Q1876" t="s">
        <v>7969</v>
      </c>
      <c r="R1876" t="s">
        <v>69</v>
      </c>
      <c r="S1876" t="s">
        <v>69</v>
      </c>
      <c r="T1876" t="s">
        <v>8505</v>
      </c>
      <c r="U1876" t="s">
        <v>8506</v>
      </c>
      <c r="V1876" t="s">
        <v>69</v>
      </c>
      <c r="W1876" t="s">
        <v>69</v>
      </c>
      <c r="X1876" t="s">
        <v>69</v>
      </c>
      <c r="Y1876" t="s">
        <v>69</v>
      </c>
      <c r="Z1876" t="s">
        <v>69</v>
      </c>
      <c r="AA1876" t="s">
        <v>69</v>
      </c>
      <c r="AB1876" t="s">
        <v>69</v>
      </c>
      <c r="AC1876" t="s">
        <v>7970</v>
      </c>
      <c r="AD1876" t="s">
        <v>69</v>
      </c>
      <c r="AE1876" t="s">
        <v>69</v>
      </c>
      <c r="AF1876" t="s">
        <v>69</v>
      </c>
      <c r="AG1876" t="s">
        <v>69</v>
      </c>
      <c r="AH1876" t="s">
        <v>7971</v>
      </c>
      <c r="AI1876" t="s">
        <v>69</v>
      </c>
      <c r="AJ1876" t="s">
        <v>69</v>
      </c>
      <c r="AK1876" t="s">
        <v>69</v>
      </c>
      <c r="AL1876" t="s">
        <v>69</v>
      </c>
      <c r="AM1876" t="s">
        <v>69</v>
      </c>
      <c r="AN1876">
        <v>24</v>
      </c>
      <c r="AO1876">
        <v>3</v>
      </c>
      <c r="AP1876">
        <v>3</v>
      </c>
      <c r="AQ1876">
        <v>0</v>
      </c>
      <c r="AR1876">
        <v>3</v>
      </c>
      <c r="AS1876" t="s">
        <v>22429</v>
      </c>
      <c r="AT1876" t="s">
        <v>22430</v>
      </c>
      <c r="AU1876" t="s">
        <v>22431</v>
      </c>
      <c r="AV1876" t="s">
        <v>7972</v>
      </c>
      <c r="AW1876" t="s">
        <v>69</v>
      </c>
      <c r="AX1876" t="s">
        <v>69</v>
      </c>
      <c r="AY1876" t="s">
        <v>22432</v>
      </c>
      <c r="AZ1876" t="s">
        <v>22433</v>
      </c>
      <c r="BA1876" t="s">
        <v>381</v>
      </c>
      <c r="BB1876">
        <v>2015</v>
      </c>
      <c r="BC1876">
        <v>30</v>
      </c>
      <c r="BD1876">
        <v>4</v>
      </c>
      <c r="BE1876" t="s">
        <v>69</v>
      </c>
      <c r="BF1876" t="s">
        <v>69</v>
      </c>
      <c r="BG1876" t="s">
        <v>69</v>
      </c>
      <c r="BH1876" t="s">
        <v>69</v>
      </c>
      <c r="BI1876">
        <v>26</v>
      </c>
      <c r="BJ1876">
        <v>29</v>
      </c>
      <c r="BK1876" t="s">
        <v>69</v>
      </c>
      <c r="BL1876" t="s">
        <v>69</v>
      </c>
      <c r="BM1876" t="s">
        <v>69</v>
      </c>
      <c r="BN1876" t="s">
        <v>69</v>
      </c>
      <c r="BO1876" t="s">
        <v>69</v>
      </c>
      <c r="BP1876">
        <v>4</v>
      </c>
      <c r="BQ1876" t="s">
        <v>8810</v>
      </c>
      <c r="BR1876" t="s">
        <v>8573</v>
      </c>
      <c r="BS1876" t="s">
        <v>8810</v>
      </c>
      <c r="BT1876" t="s">
        <v>22434</v>
      </c>
      <c r="BU1876" t="s">
        <v>7973</v>
      </c>
      <c r="BV1876" t="s">
        <v>69</v>
      </c>
      <c r="BW1876" t="s">
        <v>69</v>
      </c>
      <c r="BX1876" t="s">
        <v>69</v>
      </c>
      <c r="BY1876" t="s">
        <v>69</v>
      </c>
      <c r="BZ1876" t="s">
        <v>8526</v>
      </c>
      <c r="CA1876" t="str">
        <f>HYPERLINK("https%3A%2F%2Fwww.webofscience.com%2Fwos%2Fwoscc%2Ffull-record%2FWOS:000381422200008","View Full Record in Web of Science")</f>
        <v>View Full Record in Web of Science</v>
      </c>
    </row>
    <row r="1877" spans="1:79" ht="12.5" x14ac:dyDescent="0.25">
      <c r="B1877" t="s">
        <v>8495</v>
      </c>
      <c r="D1877" s="22" t="s">
        <v>32931</v>
      </c>
      <c r="E1877" s="7"/>
      <c r="F1877" s="7"/>
      <c r="G1877" s="7"/>
      <c r="H1877" t="s">
        <v>67</v>
      </c>
      <c r="I1877" t="s">
        <v>14196</v>
      </c>
      <c r="J1877" t="s">
        <v>69</v>
      </c>
      <c r="K1877" t="s">
        <v>69</v>
      </c>
      <c r="L1877" t="s">
        <v>69</v>
      </c>
      <c r="M1877" t="s">
        <v>14197</v>
      </c>
      <c r="N1877" t="s">
        <v>69</v>
      </c>
      <c r="O1877" t="s">
        <v>69</v>
      </c>
      <c r="P1877" t="s">
        <v>14198</v>
      </c>
      <c r="Q1877" t="s">
        <v>14199</v>
      </c>
      <c r="R1877" t="s">
        <v>69</v>
      </c>
      <c r="S1877" t="s">
        <v>69</v>
      </c>
      <c r="T1877" t="s">
        <v>8505</v>
      </c>
      <c r="U1877" t="s">
        <v>8506</v>
      </c>
      <c r="V1877" t="s">
        <v>69</v>
      </c>
      <c r="W1877" t="s">
        <v>69</v>
      </c>
      <c r="X1877" t="s">
        <v>69</v>
      </c>
      <c r="Y1877" t="s">
        <v>69</v>
      </c>
      <c r="Z1877" t="s">
        <v>69</v>
      </c>
      <c r="AA1877" t="s">
        <v>14200</v>
      </c>
      <c r="AB1877" t="s">
        <v>14201</v>
      </c>
      <c r="AC1877" t="s">
        <v>14202</v>
      </c>
      <c r="AD1877" t="s">
        <v>14203</v>
      </c>
      <c r="AE1877" t="s">
        <v>69</v>
      </c>
      <c r="AF1877" t="s">
        <v>14204</v>
      </c>
      <c r="AG1877" t="s">
        <v>14205</v>
      </c>
      <c r="AH1877" t="s">
        <v>69</v>
      </c>
      <c r="AI1877" t="s">
        <v>14206</v>
      </c>
      <c r="AJ1877" t="s">
        <v>14207</v>
      </c>
      <c r="AK1877" t="s">
        <v>14208</v>
      </c>
      <c r="AL1877" t="s">
        <v>14209</v>
      </c>
      <c r="AM1877" t="s">
        <v>69</v>
      </c>
      <c r="AN1877">
        <v>30</v>
      </c>
      <c r="AO1877">
        <v>4</v>
      </c>
      <c r="AP1877">
        <v>4</v>
      </c>
      <c r="AQ1877">
        <v>3</v>
      </c>
      <c r="AR1877">
        <v>12</v>
      </c>
      <c r="AS1877" t="s">
        <v>10517</v>
      </c>
      <c r="AT1877" t="s">
        <v>10518</v>
      </c>
      <c r="AU1877" t="s">
        <v>10519</v>
      </c>
      <c r="AV1877" t="s">
        <v>14210</v>
      </c>
      <c r="AW1877" t="s">
        <v>69</v>
      </c>
      <c r="AX1877" t="s">
        <v>69</v>
      </c>
      <c r="AY1877" t="s">
        <v>14211</v>
      </c>
      <c r="AZ1877" t="s">
        <v>14212</v>
      </c>
      <c r="BA1877" t="s">
        <v>381</v>
      </c>
      <c r="BB1877">
        <v>2020</v>
      </c>
      <c r="BC1877">
        <v>9</v>
      </c>
      <c r="BD1877">
        <v>10</v>
      </c>
      <c r="BE1877" t="s">
        <v>69</v>
      </c>
      <c r="BF1877" t="s">
        <v>69</v>
      </c>
      <c r="BG1877" t="s">
        <v>69</v>
      </c>
      <c r="BH1877" t="s">
        <v>69</v>
      </c>
      <c r="BI1877" t="s">
        <v>69</v>
      </c>
      <c r="BJ1877" t="s">
        <v>69</v>
      </c>
      <c r="BK1877" t="s">
        <v>14213</v>
      </c>
      <c r="BL1877" t="s">
        <v>14214</v>
      </c>
      <c r="BM1877" t="str">
        <f>HYPERLINK("http://dx.doi.org/10.2196/22679","http://dx.doi.org/10.2196/22679")</f>
        <v>http://dx.doi.org/10.2196/22679</v>
      </c>
      <c r="BN1877" t="s">
        <v>69</v>
      </c>
      <c r="BO1877" t="s">
        <v>69</v>
      </c>
      <c r="BP1877">
        <v>8</v>
      </c>
      <c r="BQ1877" t="s">
        <v>11565</v>
      </c>
      <c r="BR1877" t="s">
        <v>8573</v>
      </c>
      <c r="BS1877" t="s">
        <v>11565</v>
      </c>
      <c r="BT1877" t="s">
        <v>14215</v>
      </c>
      <c r="BU1877" t="s">
        <v>14216</v>
      </c>
      <c r="BV1877">
        <v>33027034</v>
      </c>
      <c r="BW1877" t="s">
        <v>9352</v>
      </c>
      <c r="BX1877" t="s">
        <v>69</v>
      </c>
      <c r="BY1877" t="s">
        <v>69</v>
      </c>
      <c r="BZ1877" t="s">
        <v>8526</v>
      </c>
      <c r="CA1877" t="str">
        <f>HYPERLINK("https%3A%2F%2Fwww.webofscience.com%2Fwos%2Fwoscc%2Ffull-record%2FWOS:000582576000036","View Full Record in Web of Science")</f>
        <v>View Full Record in Web of Science</v>
      </c>
    </row>
    <row r="1878" spans="1:79" ht="12.5" x14ac:dyDescent="0.25">
      <c r="B1878" t="s">
        <v>8495</v>
      </c>
      <c r="D1878" s="7" t="s">
        <v>32933</v>
      </c>
      <c r="E1878" s="7"/>
      <c r="F1878" s="7"/>
      <c r="G1878" s="7"/>
      <c r="H1878" t="s">
        <v>67</v>
      </c>
      <c r="I1878" t="s">
        <v>8269</v>
      </c>
      <c r="J1878" t="s">
        <v>69</v>
      </c>
      <c r="K1878" t="s">
        <v>69</v>
      </c>
      <c r="L1878" t="s">
        <v>69</v>
      </c>
      <c r="M1878" t="s">
        <v>8270</v>
      </c>
      <c r="N1878" t="s">
        <v>69</v>
      </c>
      <c r="O1878" t="s">
        <v>69</v>
      </c>
      <c r="P1878" t="s">
        <v>8271</v>
      </c>
      <c r="Q1878" t="s">
        <v>4399</v>
      </c>
      <c r="R1878" t="s">
        <v>69</v>
      </c>
      <c r="S1878" t="s">
        <v>69</v>
      </c>
      <c r="T1878" t="s">
        <v>8505</v>
      </c>
      <c r="U1878" t="s">
        <v>8506</v>
      </c>
      <c r="V1878" t="s">
        <v>69</v>
      </c>
      <c r="W1878" t="s">
        <v>69</v>
      </c>
      <c r="X1878" t="s">
        <v>69</v>
      </c>
      <c r="Y1878" t="s">
        <v>69</v>
      </c>
      <c r="Z1878" t="s">
        <v>69</v>
      </c>
      <c r="AA1878" t="s">
        <v>24980</v>
      </c>
      <c r="AB1878" t="s">
        <v>24981</v>
      </c>
      <c r="AC1878" t="s">
        <v>8272</v>
      </c>
      <c r="AD1878" t="s">
        <v>24982</v>
      </c>
      <c r="AE1878" t="s">
        <v>69</v>
      </c>
      <c r="AF1878" t="s">
        <v>24983</v>
      </c>
      <c r="AG1878" t="s">
        <v>24984</v>
      </c>
      <c r="AH1878" t="s">
        <v>69</v>
      </c>
      <c r="AI1878" t="s">
        <v>69</v>
      </c>
      <c r="AJ1878" t="s">
        <v>69</v>
      </c>
      <c r="AK1878" t="s">
        <v>69</v>
      </c>
      <c r="AL1878" t="s">
        <v>69</v>
      </c>
      <c r="AM1878" t="s">
        <v>69</v>
      </c>
      <c r="AN1878">
        <v>16</v>
      </c>
      <c r="AO1878">
        <v>5</v>
      </c>
      <c r="AP1878">
        <v>5</v>
      </c>
      <c r="AQ1878">
        <v>0</v>
      </c>
      <c r="AR1878">
        <v>0</v>
      </c>
      <c r="AS1878" t="s">
        <v>13217</v>
      </c>
      <c r="AT1878" t="s">
        <v>13218</v>
      </c>
      <c r="AU1878" t="s">
        <v>13219</v>
      </c>
      <c r="AV1878" t="s">
        <v>4401</v>
      </c>
      <c r="AW1878" t="s">
        <v>69</v>
      </c>
      <c r="AX1878" t="s">
        <v>69</v>
      </c>
      <c r="AY1878" t="s">
        <v>13220</v>
      </c>
      <c r="AZ1878" t="s">
        <v>13221</v>
      </c>
      <c r="BA1878" t="s">
        <v>155</v>
      </c>
      <c r="BB1878">
        <v>2013</v>
      </c>
      <c r="BC1878">
        <v>6</v>
      </c>
      <c r="BD1878">
        <v>2</v>
      </c>
      <c r="BE1878" t="s">
        <v>69</v>
      </c>
      <c r="BF1878" t="s">
        <v>69</v>
      </c>
      <c r="BG1878" t="s">
        <v>114</v>
      </c>
      <c r="BH1878" t="s">
        <v>69</v>
      </c>
      <c r="BI1878">
        <v>154</v>
      </c>
      <c r="BJ1878">
        <v>167</v>
      </c>
      <c r="BK1878" t="s">
        <v>69</v>
      </c>
      <c r="BL1878" t="s">
        <v>69</v>
      </c>
      <c r="BM1878" t="s">
        <v>69</v>
      </c>
      <c r="BN1878" t="s">
        <v>69</v>
      </c>
      <c r="BO1878" t="s">
        <v>69</v>
      </c>
      <c r="BP1878">
        <v>14</v>
      </c>
      <c r="BQ1878" t="s">
        <v>13222</v>
      </c>
      <c r="BR1878" t="s">
        <v>8523</v>
      </c>
      <c r="BS1878" t="s">
        <v>11438</v>
      </c>
      <c r="BT1878" t="s">
        <v>24985</v>
      </c>
      <c r="BU1878" t="s">
        <v>8273</v>
      </c>
      <c r="BV1878" t="s">
        <v>69</v>
      </c>
      <c r="BW1878" t="s">
        <v>69</v>
      </c>
      <c r="BX1878" t="s">
        <v>69</v>
      </c>
      <c r="BY1878" t="s">
        <v>69</v>
      </c>
      <c r="BZ1878" t="s">
        <v>8526</v>
      </c>
      <c r="CA1878" t="str">
        <f>HYPERLINK("https%3A%2F%2Fwww.webofscience.com%2Fwos%2Fwoscc%2Ffull-record%2FWOS:000209774400002","View Full Record in Web of Science")</f>
        <v>View Full Record in Web of Science</v>
      </c>
    </row>
    <row r="1879" spans="1:79" x14ac:dyDescent="0.3">
      <c r="A1879" t="s">
        <v>8408</v>
      </c>
      <c r="B1879" t="s">
        <v>8495</v>
      </c>
      <c r="D1879" s="10" t="s">
        <v>33199</v>
      </c>
      <c r="F1879" s="10" t="s">
        <v>8490</v>
      </c>
      <c r="H1879" t="s">
        <v>67</v>
      </c>
      <c r="I1879" t="s">
        <v>6168</v>
      </c>
      <c r="J1879" t="s">
        <v>69</v>
      </c>
      <c r="K1879" t="s">
        <v>69</v>
      </c>
      <c r="L1879" t="s">
        <v>69</v>
      </c>
      <c r="M1879" s="2" t="s">
        <v>6169</v>
      </c>
      <c r="N1879" t="s">
        <v>69</v>
      </c>
      <c r="O1879" t="s">
        <v>69</v>
      </c>
      <c r="P1879" s="2" t="s">
        <v>6170</v>
      </c>
      <c r="Q1879" t="s">
        <v>6171</v>
      </c>
      <c r="R1879" t="s">
        <v>69</v>
      </c>
      <c r="S1879" t="s">
        <v>69</v>
      </c>
      <c r="T1879" t="s">
        <v>8505</v>
      </c>
      <c r="U1879" t="s">
        <v>8506</v>
      </c>
      <c r="V1879" t="s">
        <v>69</v>
      </c>
      <c r="W1879" t="s">
        <v>69</v>
      </c>
      <c r="X1879" t="s">
        <v>69</v>
      </c>
      <c r="Y1879" t="s">
        <v>69</v>
      </c>
      <c r="Z1879" t="s">
        <v>69</v>
      </c>
      <c r="AA1879" t="s">
        <v>27871</v>
      </c>
      <c r="AB1879" t="s">
        <v>10653</v>
      </c>
      <c r="AC1879" t="s">
        <v>6172</v>
      </c>
      <c r="AD1879" t="s">
        <v>27872</v>
      </c>
      <c r="AE1879" t="s">
        <v>69</v>
      </c>
      <c r="AF1879" t="s">
        <v>27873</v>
      </c>
      <c r="AG1879" t="s">
        <v>27874</v>
      </c>
      <c r="AH1879" t="s">
        <v>6173</v>
      </c>
      <c r="AI1879" t="s">
        <v>27875</v>
      </c>
      <c r="AJ1879" t="s">
        <v>27876</v>
      </c>
      <c r="AK1879" t="s">
        <v>27877</v>
      </c>
      <c r="AL1879" t="s">
        <v>27878</v>
      </c>
      <c r="AM1879" t="s">
        <v>69</v>
      </c>
      <c r="AN1879">
        <v>40</v>
      </c>
      <c r="AO1879">
        <v>18</v>
      </c>
      <c r="AP1879">
        <v>21</v>
      </c>
      <c r="AQ1879">
        <v>0</v>
      </c>
      <c r="AR1879">
        <v>27</v>
      </c>
      <c r="AS1879" t="s">
        <v>9978</v>
      </c>
      <c r="AT1879" t="s">
        <v>8693</v>
      </c>
      <c r="AU1879" t="s">
        <v>17938</v>
      </c>
      <c r="AV1879" t="s">
        <v>6174</v>
      </c>
      <c r="AW1879" t="s">
        <v>6175</v>
      </c>
      <c r="AX1879" t="s">
        <v>69</v>
      </c>
      <c r="AY1879" t="s">
        <v>27879</v>
      </c>
      <c r="AZ1879" t="s">
        <v>27880</v>
      </c>
      <c r="BA1879" t="s">
        <v>94</v>
      </c>
      <c r="BB1879">
        <v>2010</v>
      </c>
      <c r="BC1879">
        <v>37</v>
      </c>
      <c r="BD1879">
        <v>1</v>
      </c>
      <c r="BE1879" t="s">
        <v>69</v>
      </c>
      <c r="BF1879" t="s">
        <v>69</v>
      </c>
      <c r="BG1879" t="s">
        <v>69</v>
      </c>
      <c r="BH1879" t="s">
        <v>69</v>
      </c>
      <c r="BI1879">
        <v>64</v>
      </c>
      <c r="BJ1879">
        <v>72</v>
      </c>
      <c r="BK1879" t="s">
        <v>69</v>
      </c>
      <c r="BL1879" t="s">
        <v>6176</v>
      </c>
      <c r="BM1879" t="str">
        <f>HYPERLINK("http://dx.doi.org/10.1017/S037689291000024X","http://dx.doi.org/10.1017/S037689291000024X")</f>
        <v>http://dx.doi.org/10.1017/S037689291000024X</v>
      </c>
      <c r="BN1879" t="s">
        <v>69</v>
      </c>
      <c r="BO1879" t="s">
        <v>69</v>
      </c>
      <c r="BP1879">
        <v>9</v>
      </c>
      <c r="BQ1879" t="s">
        <v>24534</v>
      </c>
      <c r="BR1879" t="s">
        <v>8523</v>
      </c>
      <c r="BS1879" t="s">
        <v>15452</v>
      </c>
      <c r="BT1879" t="s">
        <v>27881</v>
      </c>
      <c r="BU1879" t="s">
        <v>6177</v>
      </c>
      <c r="BV1879" t="s">
        <v>69</v>
      </c>
      <c r="BW1879" t="s">
        <v>69</v>
      </c>
      <c r="BX1879" t="s">
        <v>69</v>
      </c>
      <c r="BY1879" t="s">
        <v>69</v>
      </c>
      <c r="BZ1879" t="s">
        <v>8526</v>
      </c>
      <c r="CA1879" t="str">
        <f>HYPERLINK("https%3A%2F%2Fwww.webofscience.com%2Fwos%2Fwoscc%2Ffull-record%2FWOS:000280427600008","View Full Record in Web of Science")</f>
        <v>View Full Record in Web of Science</v>
      </c>
    </row>
    <row r="1880" spans="1:79" ht="12.5" x14ac:dyDescent="0.25">
      <c r="B1880" t="s">
        <v>8495</v>
      </c>
      <c r="D1880" s="22" t="s">
        <v>32931</v>
      </c>
      <c r="E1880" s="7"/>
      <c r="F1880" s="7"/>
      <c r="G1880" s="7"/>
      <c r="H1880" t="s">
        <v>67</v>
      </c>
      <c r="I1880" t="s">
        <v>22064</v>
      </c>
      <c r="J1880" t="s">
        <v>69</v>
      </c>
      <c r="K1880" t="s">
        <v>69</v>
      </c>
      <c r="L1880" t="s">
        <v>69</v>
      </c>
      <c r="M1880" t="s">
        <v>22065</v>
      </c>
      <c r="N1880" t="s">
        <v>69</v>
      </c>
      <c r="O1880" t="s">
        <v>69</v>
      </c>
      <c r="P1880" t="s">
        <v>22066</v>
      </c>
      <c r="Q1880" t="s">
        <v>22067</v>
      </c>
      <c r="R1880" t="s">
        <v>69</v>
      </c>
      <c r="S1880" t="s">
        <v>69</v>
      </c>
      <c r="T1880" t="s">
        <v>8505</v>
      </c>
      <c r="U1880" t="s">
        <v>8506</v>
      </c>
      <c r="V1880" t="s">
        <v>69</v>
      </c>
      <c r="W1880" t="s">
        <v>69</v>
      </c>
      <c r="X1880" t="s">
        <v>69</v>
      </c>
      <c r="Y1880" t="s">
        <v>69</v>
      </c>
      <c r="Z1880" t="s">
        <v>69</v>
      </c>
      <c r="AA1880" t="s">
        <v>22068</v>
      </c>
      <c r="AB1880" t="s">
        <v>22069</v>
      </c>
      <c r="AC1880" t="s">
        <v>22070</v>
      </c>
      <c r="AD1880" t="s">
        <v>22071</v>
      </c>
      <c r="AE1880" t="s">
        <v>69</v>
      </c>
      <c r="AF1880" t="s">
        <v>22072</v>
      </c>
      <c r="AG1880" t="s">
        <v>22073</v>
      </c>
      <c r="AH1880" t="s">
        <v>22074</v>
      </c>
      <c r="AI1880" t="s">
        <v>22075</v>
      </c>
      <c r="AJ1880" t="s">
        <v>69</v>
      </c>
      <c r="AK1880" t="s">
        <v>69</v>
      </c>
      <c r="AL1880" t="s">
        <v>69</v>
      </c>
      <c r="AM1880" t="s">
        <v>69</v>
      </c>
      <c r="AN1880">
        <v>64</v>
      </c>
      <c r="AO1880">
        <v>6</v>
      </c>
      <c r="AP1880">
        <v>7</v>
      </c>
      <c r="AQ1880">
        <v>4</v>
      </c>
      <c r="AR1880">
        <v>15</v>
      </c>
      <c r="AS1880" t="s">
        <v>8865</v>
      </c>
      <c r="AT1880" t="s">
        <v>8612</v>
      </c>
      <c r="AU1880" t="s">
        <v>8866</v>
      </c>
      <c r="AV1880" t="s">
        <v>22076</v>
      </c>
      <c r="AW1880" t="s">
        <v>22077</v>
      </c>
      <c r="AX1880" t="s">
        <v>69</v>
      </c>
      <c r="AY1880" t="s">
        <v>22078</v>
      </c>
      <c r="AZ1880" t="s">
        <v>22079</v>
      </c>
      <c r="BA1880" t="s">
        <v>69</v>
      </c>
      <c r="BB1880">
        <v>2016</v>
      </c>
      <c r="BC1880">
        <v>42</v>
      </c>
      <c r="BD1880">
        <v>4</v>
      </c>
      <c r="BE1880" t="s">
        <v>69</v>
      </c>
      <c r="BF1880" t="s">
        <v>69</v>
      </c>
      <c r="BG1880" t="s">
        <v>69</v>
      </c>
      <c r="BH1880" t="s">
        <v>69</v>
      </c>
      <c r="BI1880">
        <v>589</v>
      </c>
      <c r="BJ1880">
        <v>609</v>
      </c>
      <c r="BK1880" t="s">
        <v>69</v>
      </c>
      <c r="BL1880" t="s">
        <v>22080</v>
      </c>
      <c r="BM1880" t="str">
        <f>HYPERLINK("http://dx.doi.org/10.1080/19415257.2015.1047037","http://dx.doi.org/10.1080/19415257.2015.1047037")</f>
        <v>http://dx.doi.org/10.1080/19415257.2015.1047037</v>
      </c>
      <c r="BN1880" t="s">
        <v>69</v>
      </c>
      <c r="BO1880" t="s">
        <v>69</v>
      </c>
      <c r="BP1880">
        <v>21</v>
      </c>
      <c r="BQ1880" t="s">
        <v>9290</v>
      </c>
      <c r="BR1880" t="s">
        <v>8661</v>
      </c>
      <c r="BS1880" t="s">
        <v>9290</v>
      </c>
      <c r="BT1880" t="s">
        <v>22081</v>
      </c>
      <c r="BU1880" t="s">
        <v>22082</v>
      </c>
      <c r="BV1880" t="s">
        <v>69</v>
      </c>
      <c r="BW1880" t="s">
        <v>69</v>
      </c>
      <c r="BX1880" t="s">
        <v>69</v>
      </c>
      <c r="BY1880" t="s">
        <v>69</v>
      </c>
      <c r="BZ1880" t="s">
        <v>8526</v>
      </c>
      <c r="CA1880" t="str">
        <f>HYPERLINK("https%3A%2F%2Fwww.webofscience.com%2Fwos%2Fwoscc%2Ffull-record%2FWOS:000378213400006","View Full Record in Web of Science")</f>
        <v>View Full Record in Web of Science</v>
      </c>
    </row>
    <row r="1881" spans="1:79" ht="12.5" x14ac:dyDescent="0.25">
      <c r="B1881" t="s">
        <v>8495</v>
      </c>
      <c r="D1881" s="22" t="s">
        <v>32931</v>
      </c>
      <c r="E1881" s="7"/>
      <c r="F1881" s="7"/>
      <c r="G1881" s="7"/>
      <c r="H1881" t="s">
        <v>67</v>
      </c>
      <c r="I1881" t="s">
        <v>27728</v>
      </c>
      <c r="J1881" t="s">
        <v>69</v>
      </c>
      <c r="K1881" t="s">
        <v>69</v>
      </c>
      <c r="L1881" t="s">
        <v>69</v>
      </c>
      <c r="M1881" t="s">
        <v>27729</v>
      </c>
      <c r="N1881" t="s">
        <v>69</v>
      </c>
      <c r="O1881" t="s">
        <v>69</v>
      </c>
      <c r="P1881" t="s">
        <v>27730</v>
      </c>
      <c r="Q1881" t="s">
        <v>27731</v>
      </c>
      <c r="R1881" t="s">
        <v>69</v>
      </c>
      <c r="S1881" t="s">
        <v>69</v>
      </c>
      <c r="T1881" t="s">
        <v>8505</v>
      </c>
      <c r="U1881" t="s">
        <v>8506</v>
      </c>
      <c r="V1881" t="s">
        <v>69</v>
      </c>
      <c r="W1881" t="s">
        <v>69</v>
      </c>
      <c r="X1881" t="s">
        <v>69</v>
      </c>
      <c r="Y1881" t="s">
        <v>69</v>
      </c>
      <c r="Z1881" t="s">
        <v>69</v>
      </c>
      <c r="AA1881" t="s">
        <v>27732</v>
      </c>
      <c r="AB1881" t="s">
        <v>69</v>
      </c>
      <c r="AC1881" t="s">
        <v>27733</v>
      </c>
      <c r="AD1881" t="s">
        <v>27734</v>
      </c>
      <c r="AE1881" t="s">
        <v>69</v>
      </c>
      <c r="AF1881" t="s">
        <v>27735</v>
      </c>
      <c r="AG1881" t="s">
        <v>69</v>
      </c>
      <c r="AH1881" t="s">
        <v>27736</v>
      </c>
      <c r="AI1881" t="s">
        <v>27737</v>
      </c>
      <c r="AJ1881" t="s">
        <v>69</v>
      </c>
      <c r="AK1881" t="s">
        <v>69</v>
      </c>
      <c r="AL1881" t="s">
        <v>69</v>
      </c>
      <c r="AM1881" t="s">
        <v>69</v>
      </c>
      <c r="AN1881">
        <v>24</v>
      </c>
      <c r="AO1881">
        <v>16</v>
      </c>
      <c r="AP1881">
        <v>16</v>
      </c>
      <c r="AQ1881">
        <v>0</v>
      </c>
      <c r="AR1881">
        <v>2</v>
      </c>
      <c r="AS1881" t="s">
        <v>20754</v>
      </c>
      <c r="AT1881" t="s">
        <v>20755</v>
      </c>
      <c r="AU1881" t="s">
        <v>20756</v>
      </c>
      <c r="AV1881" t="s">
        <v>27738</v>
      </c>
      <c r="AW1881" t="s">
        <v>27739</v>
      </c>
      <c r="AX1881" t="s">
        <v>69</v>
      </c>
      <c r="AY1881" t="s">
        <v>27740</v>
      </c>
      <c r="AZ1881" t="s">
        <v>27741</v>
      </c>
      <c r="BA1881" t="s">
        <v>5888</v>
      </c>
      <c r="BB1881">
        <v>2010</v>
      </c>
      <c r="BC1881">
        <v>23</v>
      </c>
      <c r="BD1881">
        <v>3</v>
      </c>
      <c r="BE1881" t="s">
        <v>69</v>
      </c>
      <c r="BF1881" t="s">
        <v>69</v>
      </c>
      <c r="BG1881" t="s">
        <v>69</v>
      </c>
      <c r="BH1881" t="s">
        <v>69</v>
      </c>
      <c r="BI1881">
        <v>43</v>
      </c>
      <c r="BJ1881">
        <v>59</v>
      </c>
      <c r="BK1881" t="s">
        <v>69</v>
      </c>
      <c r="BL1881" t="s">
        <v>27742</v>
      </c>
      <c r="BM1881" t="str">
        <f>HYPERLINK("http://dx.doi.org/10.4018/irmj.2010070104","http://dx.doi.org/10.4018/irmj.2010070104")</f>
        <v>http://dx.doi.org/10.4018/irmj.2010070104</v>
      </c>
      <c r="BN1881" t="s">
        <v>69</v>
      </c>
      <c r="BO1881" t="s">
        <v>69</v>
      </c>
      <c r="BP1881">
        <v>17</v>
      </c>
      <c r="BQ1881" t="s">
        <v>11010</v>
      </c>
      <c r="BR1881" t="s">
        <v>8573</v>
      </c>
      <c r="BS1881" t="s">
        <v>11010</v>
      </c>
      <c r="BT1881" t="s">
        <v>27743</v>
      </c>
      <c r="BU1881" t="s">
        <v>27744</v>
      </c>
      <c r="BV1881" t="s">
        <v>69</v>
      </c>
      <c r="BW1881" t="s">
        <v>69</v>
      </c>
      <c r="BX1881" t="s">
        <v>69</v>
      </c>
      <c r="BY1881" t="s">
        <v>69</v>
      </c>
      <c r="BZ1881" t="s">
        <v>8526</v>
      </c>
      <c r="CA1881" t="str">
        <f>HYPERLINK("https%3A%2F%2Fwww.webofscience.com%2Fwos%2Fwoscc%2Ffull-record%2FWOS:000211066200004","View Full Record in Web of Science")</f>
        <v>View Full Record in Web of Science</v>
      </c>
    </row>
    <row r="1882" spans="1:79" ht="12.5" x14ac:dyDescent="0.25">
      <c r="B1882" t="s">
        <v>8495</v>
      </c>
      <c r="D1882" s="7" t="s">
        <v>32933</v>
      </c>
      <c r="E1882" s="7"/>
      <c r="F1882" s="7"/>
      <c r="G1882" s="7"/>
      <c r="H1882" t="s">
        <v>67</v>
      </c>
      <c r="I1882" t="s">
        <v>2621</v>
      </c>
      <c r="J1882" t="s">
        <v>69</v>
      </c>
      <c r="K1882" t="s">
        <v>69</v>
      </c>
      <c r="L1882" t="s">
        <v>69</v>
      </c>
      <c r="M1882" t="s">
        <v>2622</v>
      </c>
      <c r="N1882" t="s">
        <v>69</v>
      </c>
      <c r="O1882" t="s">
        <v>69</v>
      </c>
      <c r="P1882" t="s">
        <v>2623</v>
      </c>
      <c r="Q1882" t="s">
        <v>2624</v>
      </c>
      <c r="R1882" t="s">
        <v>69</v>
      </c>
      <c r="S1882" t="s">
        <v>69</v>
      </c>
      <c r="T1882" t="s">
        <v>8505</v>
      </c>
      <c r="U1882" t="s">
        <v>8506</v>
      </c>
      <c r="V1882" t="s">
        <v>69</v>
      </c>
      <c r="W1882" t="s">
        <v>69</v>
      </c>
      <c r="X1882" t="s">
        <v>69</v>
      </c>
      <c r="Y1882" t="s">
        <v>69</v>
      </c>
      <c r="Z1882" t="s">
        <v>69</v>
      </c>
      <c r="AA1882" t="s">
        <v>69</v>
      </c>
      <c r="AB1882" t="s">
        <v>20454</v>
      </c>
      <c r="AC1882" t="s">
        <v>2625</v>
      </c>
      <c r="AD1882" t="s">
        <v>20455</v>
      </c>
      <c r="AE1882" t="s">
        <v>69</v>
      </c>
      <c r="AF1882" t="s">
        <v>20456</v>
      </c>
      <c r="AG1882" t="s">
        <v>20457</v>
      </c>
      <c r="AH1882" t="s">
        <v>69</v>
      </c>
      <c r="AI1882" t="s">
        <v>69</v>
      </c>
      <c r="AJ1882" t="s">
        <v>20458</v>
      </c>
      <c r="AK1882" t="s">
        <v>20459</v>
      </c>
      <c r="AL1882" t="s">
        <v>20460</v>
      </c>
      <c r="AM1882" t="s">
        <v>69</v>
      </c>
      <c r="AN1882">
        <v>45</v>
      </c>
      <c r="AO1882">
        <v>117</v>
      </c>
      <c r="AP1882">
        <v>120</v>
      </c>
      <c r="AQ1882">
        <v>6</v>
      </c>
      <c r="AR1882">
        <v>95</v>
      </c>
      <c r="AS1882" t="s">
        <v>9978</v>
      </c>
      <c r="AT1882" t="s">
        <v>9979</v>
      </c>
      <c r="AU1882" t="s">
        <v>9980</v>
      </c>
      <c r="AV1882" t="s">
        <v>2626</v>
      </c>
      <c r="AW1882" t="s">
        <v>2627</v>
      </c>
      <c r="AX1882" t="s">
        <v>69</v>
      </c>
      <c r="AY1882" t="s">
        <v>20461</v>
      </c>
      <c r="AZ1882" t="s">
        <v>20462</v>
      </c>
      <c r="BA1882" t="s">
        <v>246</v>
      </c>
      <c r="BB1882">
        <v>2017</v>
      </c>
      <c r="BC1882">
        <v>210</v>
      </c>
      <c r="BD1882">
        <v>4</v>
      </c>
      <c r="BE1882" t="s">
        <v>69</v>
      </c>
      <c r="BF1882" t="s">
        <v>69</v>
      </c>
      <c r="BG1882" t="s">
        <v>69</v>
      </c>
      <c r="BH1882" t="s">
        <v>69</v>
      </c>
      <c r="BI1882">
        <v>276</v>
      </c>
      <c r="BJ1882">
        <v>283</v>
      </c>
      <c r="BK1882" t="s">
        <v>69</v>
      </c>
      <c r="BL1882" t="s">
        <v>2628</v>
      </c>
      <c r="BM1882" t="str">
        <f>HYPERLINK("http://dx.doi.org/10.1192/bjp.bp.116.184234","http://dx.doi.org/10.1192/bjp.bp.116.184234")</f>
        <v>http://dx.doi.org/10.1192/bjp.bp.116.184234</v>
      </c>
      <c r="BN1882" t="s">
        <v>69</v>
      </c>
      <c r="BO1882" t="s">
        <v>69</v>
      </c>
      <c r="BP1882">
        <v>8</v>
      </c>
      <c r="BQ1882" t="s">
        <v>9332</v>
      </c>
      <c r="BR1882" t="s">
        <v>8523</v>
      </c>
      <c r="BS1882" t="s">
        <v>9332</v>
      </c>
      <c r="BT1882" t="s">
        <v>20463</v>
      </c>
      <c r="BU1882" t="s">
        <v>2629</v>
      </c>
      <c r="BV1882">
        <v>27979818</v>
      </c>
      <c r="BW1882" t="s">
        <v>9374</v>
      </c>
      <c r="BX1882" t="s">
        <v>69</v>
      </c>
      <c r="BY1882" t="s">
        <v>69</v>
      </c>
      <c r="BZ1882" t="s">
        <v>8526</v>
      </c>
      <c r="CA1882" t="str">
        <f>HYPERLINK("https%3A%2F%2Fwww.webofscience.com%2Fwos%2Fwoscc%2Ffull-record%2FWOS:000398055000008","View Full Record in Web of Science")</f>
        <v>View Full Record in Web of Science</v>
      </c>
    </row>
    <row r="1883" spans="1:79" ht="12.5" x14ac:dyDescent="0.25">
      <c r="B1883" t="s">
        <v>8495</v>
      </c>
      <c r="D1883" s="22" t="s">
        <v>32931</v>
      </c>
      <c r="E1883" s="7"/>
      <c r="F1883" s="7"/>
      <c r="G1883" s="7"/>
      <c r="H1883" t="s">
        <v>67</v>
      </c>
      <c r="I1883" t="s">
        <v>23428</v>
      </c>
      <c r="J1883" t="s">
        <v>69</v>
      </c>
      <c r="K1883" t="s">
        <v>69</v>
      </c>
      <c r="L1883" t="s">
        <v>69</v>
      </c>
      <c r="M1883" t="s">
        <v>23429</v>
      </c>
      <c r="N1883" t="s">
        <v>69</v>
      </c>
      <c r="O1883" t="s">
        <v>69</v>
      </c>
      <c r="P1883" t="s">
        <v>23430</v>
      </c>
      <c r="Q1883" t="s">
        <v>23431</v>
      </c>
      <c r="R1883" t="s">
        <v>69</v>
      </c>
      <c r="S1883" t="s">
        <v>69</v>
      </c>
      <c r="T1883" t="s">
        <v>8505</v>
      </c>
      <c r="U1883" t="s">
        <v>8506</v>
      </c>
      <c r="V1883" t="s">
        <v>69</v>
      </c>
      <c r="W1883" t="s">
        <v>69</v>
      </c>
      <c r="X1883" t="s">
        <v>69</v>
      </c>
      <c r="Y1883" t="s">
        <v>69</v>
      </c>
      <c r="Z1883" t="s">
        <v>69</v>
      </c>
      <c r="AA1883" t="s">
        <v>69</v>
      </c>
      <c r="AB1883" t="s">
        <v>23432</v>
      </c>
      <c r="AC1883" t="s">
        <v>23433</v>
      </c>
      <c r="AD1883" t="s">
        <v>23434</v>
      </c>
      <c r="AE1883" t="s">
        <v>69</v>
      </c>
      <c r="AF1883" t="s">
        <v>23435</v>
      </c>
      <c r="AG1883" t="s">
        <v>23436</v>
      </c>
      <c r="AH1883" t="s">
        <v>69</v>
      </c>
      <c r="AI1883" t="s">
        <v>69</v>
      </c>
      <c r="AJ1883" t="s">
        <v>23437</v>
      </c>
      <c r="AK1883" t="s">
        <v>23438</v>
      </c>
      <c r="AL1883" t="s">
        <v>69</v>
      </c>
      <c r="AM1883" t="s">
        <v>69</v>
      </c>
      <c r="AN1883">
        <v>39</v>
      </c>
      <c r="AO1883">
        <v>7</v>
      </c>
      <c r="AP1883">
        <v>7</v>
      </c>
      <c r="AQ1883">
        <v>0</v>
      </c>
      <c r="AR1883">
        <v>6</v>
      </c>
      <c r="AS1883" t="s">
        <v>9978</v>
      </c>
      <c r="AT1883" t="s">
        <v>8693</v>
      </c>
      <c r="AU1883" t="s">
        <v>17938</v>
      </c>
      <c r="AV1883" t="s">
        <v>23439</v>
      </c>
      <c r="AW1883" t="s">
        <v>23440</v>
      </c>
      <c r="AX1883" t="s">
        <v>69</v>
      </c>
      <c r="AY1883" t="s">
        <v>23441</v>
      </c>
      <c r="AZ1883" t="s">
        <v>23442</v>
      </c>
      <c r="BA1883" t="s">
        <v>75</v>
      </c>
      <c r="BB1883">
        <v>2014</v>
      </c>
      <c r="BC1883">
        <v>27</v>
      </c>
      <c r="BD1883">
        <v>4</v>
      </c>
      <c r="BE1883" t="s">
        <v>69</v>
      </c>
      <c r="BF1883" t="s">
        <v>69</v>
      </c>
      <c r="BG1883" t="s">
        <v>69</v>
      </c>
      <c r="BH1883" t="s">
        <v>69</v>
      </c>
      <c r="BI1883">
        <v>579</v>
      </c>
      <c r="BJ1883">
        <v>603</v>
      </c>
      <c r="BK1883" t="s">
        <v>69</v>
      </c>
      <c r="BL1883" t="s">
        <v>23443</v>
      </c>
      <c r="BM1883" t="str">
        <f>HYPERLINK("http://dx.doi.org/10.1017/S0269889714000210","http://dx.doi.org/10.1017/S0269889714000210")</f>
        <v>http://dx.doi.org/10.1017/S0269889714000210</v>
      </c>
      <c r="BN1883" t="s">
        <v>69</v>
      </c>
      <c r="BO1883" t="s">
        <v>69</v>
      </c>
      <c r="BP1883">
        <v>25</v>
      </c>
      <c r="BQ1883" t="s">
        <v>16099</v>
      </c>
      <c r="BR1883" t="s">
        <v>18553</v>
      </c>
      <c r="BS1883" t="s">
        <v>16101</v>
      </c>
      <c r="BT1883" t="s">
        <v>23444</v>
      </c>
      <c r="BU1883" t="s">
        <v>23445</v>
      </c>
      <c r="BV1883">
        <v>25549445</v>
      </c>
      <c r="BW1883" t="s">
        <v>69</v>
      </c>
      <c r="BX1883" t="s">
        <v>69</v>
      </c>
      <c r="BY1883" t="s">
        <v>69</v>
      </c>
      <c r="BZ1883" t="s">
        <v>8526</v>
      </c>
      <c r="CA1883" t="str">
        <f>HYPERLINK("https%3A%2F%2Fwww.webofscience.com%2Fwos%2Fwoscc%2Ffull-record%2FWOS:000348597800002","View Full Record in Web of Science")</f>
        <v>View Full Record in Web of Science</v>
      </c>
    </row>
    <row r="1884" spans="1:79" x14ac:dyDescent="0.3">
      <c r="B1884" t="s">
        <v>8495</v>
      </c>
      <c r="D1884" s="9" t="s">
        <v>32954</v>
      </c>
      <c r="E1884" s="9" t="s">
        <v>33118</v>
      </c>
      <c r="F1884" s="9" t="s">
        <v>8491</v>
      </c>
      <c r="G1884" s="9" t="s">
        <v>8490</v>
      </c>
      <c r="H1884" t="s">
        <v>67</v>
      </c>
      <c r="I1884" t="s">
        <v>19157</v>
      </c>
      <c r="J1884" t="s">
        <v>69</v>
      </c>
      <c r="K1884" t="s">
        <v>69</v>
      </c>
      <c r="L1884" t="s">
        <v>69</v>
      </c>
      <c r="M1884" t="s">
        <v>19158</v>
      </c>
      <c r="N1884" t="s">
        <v>69</v>
      </c>
      <c r="O1884" t="s">
        <v>69</v>
      </c>
      <c r="P1884" t="s">
        <v>19159</v>
      </c>
      <c r="Q1884" t="s">
        <v>19160</v>
      </c>
      <c r="R1884" t="s">
        <v>69</v>
      </c>
      <c r="S1884" t="s">
        <v>69</v>
      </c>
      <c r="T1884" t="s">
        <v>8505</v>
      </c>
      <c r="U1884" t="s">
        <v>8506</v>
      </c>
      <c r="V1884" t="s">
        <v>69</v>
      </c>
      <c r="W1884" t="s">
        <v>69</v>
      </c>
      <c r="X1884" t="s">
        <v>69</v>
      </c>
      <c r="Y1884" t="s">
        <v>69</v>
      </c>
      <c r="Z1884" t="s">
        <v>69</v>
      </c>
      <c r="AA1884" t="s">
        <v>19161</v>
      </c>
      <c r="AB1884" t="s">
        <v>19162</v>
      </c>
      <c r="AC1884" t="s">
        <v>19163</v>
      </c>
      <c r="AD1884" t="s">
        <v>19164</v>
      </c>
      <c r="AE1884" t="s">
        <v>69</v>
      </c>
      <c r="AF1884" t="s">
        <v>19165</v>
      </c>
      <c r="AG1884" t="s">
        <v>19166</v>
      </c>
      <c r="AH1884" t="s">
        <v>19167</v>
      </c>
      <c r="AI1884" t="s">
        <v>19168</v>
      </c>
      <c r="AJ1884" t="s">
        <v>19169</v>
      </c>
      <c r="AK1884" t="s">
        <v>19169</v>
      </c>
      <c r="AL1884" t="s">
        <v>19170</v>
      </c>
      <c r="AM1884" t="s">
        <v>69</v>
      </c>
      <c r="AN1884">
        <v>49</v>
      </c>
      <c r="AO1884">
        <v>13</v>
      </c>
      <c r="AP1884">
        <v>13</v>
      </c>
      <c r="AQ1884">
        <v>3</v>
      </c>
      <c r="AR1884">
        <v>28</v>
      </c>
      <c r="AS1884" t="s">
        <v>19171</v>
      </c>
      <c r="AT1884" t="s">
        <v>19172</v>
      </c>
      <c r="AU1884" t="s">
        <v>19173</v>
      </c>
      <c r="AV1884" t="s">
        <v>19174</v>
      </c>
      <c r="AW1884" t="s">
        <v>69</v>
      </c>
      <c r="AX1884" t="s">
        <v>69</v>
      </c>
      <c r="AY1884" t="s">
        <v>19175</v>
      </c>
      <c r="AZ1884" t="s">
        <v>19176</v>
      </c>
      <c r="BA1884" t="s">
        <v>191</v>
      </c>
      <c r="BB1884">
        <v>2018</v>
      </c>
      <c r="BC1884">
        <v>11</v>
      </c>
      <c r="BD1884" t="s">
        <v>69</v>
      </c>
      <c r="BE1884" t="s">
        <v>69</v>
      </c>
      <c r="BF1884" t="s">
        <v>69</v>
      </c>
      <c r="BG1884" t="s">
        <v>69</v>
      </c>
      <c r="BH1884" t="s">
        <v>69</v>
      </c>
      <c r="BI1884">
        <v>1</v>
      </c>
      <c r="BJ1884">
        <v>10</v>
      </c>
      <c r="BK1884" t="s">
        <v>69</v>
      </c>
      <c r="BL1884" t="s">
        <v>19177</v>
      </c>
      <c r="BM1884" t="str">
        <f>HYPERLINK("http://dx.doi.org/10.3832/ifor2431-010","http://dx.doi.org/10.3832/ifor2431-010")</f>
        <v>http://dx.doi.org/10.3832/ifor2431-010</v>
      </c>
      <c r="BN1884" t="s">
        <v>69</v>
      </c>
      <c r="BO1884" t="s">
        <v>69</v>
      </c>
      <c r="BP1884">
        <v>10</v>
      </c>
      <c r="BQ1884" t="s">
        <v>8453</v>
      </c>
      <c r="BR1884" t="s">
        <v>8548</v>
      </c>
      <c r="BS1884" t="s">
        <v>8453</v>
      </c>
      <c r="BT1884" t="s">
        <v>19178</v>
      </c>
      <c r="BU1884" t="s">
        <v>19179</v>
      </c>
      <c r="BV1884" t="s">
        <v>69</v>
      </c>
      <c r="BW1884" t="s">
        <v>12220</v>
      </c>
      <c r="BX1884" t="s">
        <v>69</v>
      </c>
      <c r="BY1884" t="s">
        <v>69</v>
      </c>
      <c r="BZ1884" t="s">
        <v>8526</v>
      </c>
      <c r="CA1884" t="str">
        <f>HYPERLINK("https%3A%2F%2Fwww.webofscience.com%2Fwos%2Fwoscc%2Ffull-record%2FWOS:000422931000001","View Full Record in Web of Science")</f>
        <v>View Full Record in Web of Science</v>
      </c>
    </row>
    <row r="1885" spans="1:79" ht="12.5" x14ac:dyDescent="0.25">
      <c r="B1885" t="s">
        <v>8495</v>
      </c>
      <c r="D1885" s="7" t="s">
        <v>32933</v>
      </c>
      <c r="E1885" s="7"/>
      <c r="F1885" s="7"/>
      <c r="G1885" s="7"/>
      <c r="H1885" t="s">
        <v>67</v>
      </c>
      <c r="I1885" t="s">
        <v>4415</v>
      </c>
      <c r="J1885" t="s">
        <v>69</v>
      </c>
      <c r="K1885" t="s">
        <v>69</v>
      </c>
      <c r="L1885" t="s">
        <v>69</v>
      </c>
      <c r="M1885" t="s">
        <v>4416</v>
      </c>
      <c r="N1885" t="s">
        <v>69</v>
      </c>
      <c r="O1885" t="s">
        <v>69</v>
      </c>
      <c r="P1885" t="s">
        <v>4417</v>
      </c>
      <c r="Q1885" t="s">
        <v>4418</v>
      </c>
      <c r="R1885" t="s">
        <v>69</v>
      </c>
      <c r="S1885" t="s">
        <v>69</v>
      </c>
      <c r="T1885" t="s">
        <v>8505</v>
      </c>
      <c r="U1885" t="s">
        <v>8506</v>
      </c>
      <c r="V1885" t="s">
        <v>69</v>
      </c>
      <c r="W1885" t="s">
        <v>69</v>
      </c>
      <c r="X1885" t="s">
        <v>69</v>
      </c>
      <c r="Y1885" t="s">
        <v>69</v>
      </c>
      <c r="Z1885" t="s">
        <v>69</v>
      </c>
      <c r="AA1885" t="s">
        <v>16248</v>
      </c>
      <c r="AB1885" t="s">
        <v>69</v>
      </c>
      <c r="AC1885" t="s">
        <v>4419</v>
      </c>
      <c r="AD1885" t="s">
        <v>16249</v>
      </c>
      <c r="AE1885" t="s">
        <v>69</v>
      </c>
      <c r="AF1885" t="s">
        <v>16250</v>
      </c>
      <c r="AG1885" t="s">
        <v>16251</v>
      </c>
      <c r="AH1885" t="s">
        <v>69</v>
      </c>
      <c r="AI1885" t="s">
        <v>69</v>
      </c>
      <c r="AJ1885" t="s">
        <v>16252</v>
      </c>
      <c r="AK1885" t="s">
        <v>16253</v>
      </c>
      <c r="AL1885" t="s">
        <v>16254</v>
      </c>
      <c r="AM1885" t="s">
        <v>69</v>
      </c>
      <c r="AN1885">
        <v>27</v>
      </c>
      <c r="AO1885">
        <v>11</v>
      </c>
      <c r="AP1885">
        <v>12</v>
      </c>
      <c r="AQ1885">
        <v>6</v>
      </c>
      <c r="AR1885">
        <v>21</v>
      </c>
      <c r="AS1885" t="s">
        <v>16255</v>
      </c>
      <c r="AT1885" t="s">
        <v>16256</v>
      </c>
      <c r="AU1885" t="s">
        <v>16257</v>
      </c>
      <c r="AV1885" t="s">
        <v>4420</v>
      </c>
      <c r="AW1885" t="s">
        <v>4421</v>
      </c>
      <c r="AX1885" t="s">
        <v>69</v>
      </c>
      <c r="AY1885" t="s">
        <v>16258</v>
      </c>
      <c r="AZ1885" t="s">
        <v>16259</v>
      </c>
      <c r="BA1885" t="s">
        <v>373</v>
      </c>
      <c r="BB1885">
        <v>2020</v>
      </c>
      <c r="BC1885">
        <v>20</v>
      </c>
      <c r="BD1885">
        <v>1</v>
      </c>
      <c r="BE1885" t="s">
        <v>69</v>
      </c>
      <c r="BF1885" t="s">
        <v>69</v>
      </c>
      <c r="BG1885" t="s">
        <v>69</v>
      </c>
      <c r="BH1885" t="s">
        <v>69</v>
      </c>
      <c r="BI1885">
        <v>21</v>
      </c>
      <c r="BJ1885">
        <v>30</v>
      </c>
      <c r="BK1885" t="s">
        <v>69</v>
      </c>
      <c r="BL1885" t="s">
        <v>4422</v>
      </c>
      <c r="BM1885" t="str">
        <f>HYPERLINK("http://dx.doi.org/10.1016/j.ecohyd.2019.02.006","http://dx.doi.org/10.1016/j.ecohyd.2019.02.006")</f>
        <v>http://dx.doi.org/10.1016/j.ecohyd.2019.02.006</v>
      </c>
      <c r="BN1885" t="s">
        <v>69</v>
      </c>
      <c r="BO1885" t="s">
        <v>69</v>
      </c>
      <c r="BP1885">
        <v>10</v>
      </c>
      <c r="BQ1885" t="s">
        <v>16260</v>
      </c>
      <c r="BR1885" t="s">
        <v>8548</v>
      </c>
      <c r="BS1885" t="s">
        <v>11438</v>
      </c>
      <c r="BT1885" t="s">
        <v>16261</v>
      </c>
      <c r="BU1885" t="s">
        <v>4423</v>
      </c>
      <c r="BV1885" t="s">
        <v>69</v>
      </c>
      <c r="BW1885" t="s">
        <v>69</v>
      </c>
      <c r="BX1885" t="s">
        <v>69</v>
      </c>
      <c r="BY1885" t="s">
        <v>69</v>
      </c>
      <c r="BZ1885" t="s">
        <v>8526</v>
      </c>
      <c r="CA1885" t="str">
        <f>HYPERLINK("https%3A%2F%2Fwww.webofscience.com%2Fwos%2Fwoscc%2Ffull-record%2FWOS:000514187600003","View Full Record in Web of Science")</f>
        <v>View Full Record in Web of Science</v>
      </c>
    </row>
    <row r="1886" spans="1:79" ht="12.5" x14ac:dyDescent="0.25">
      <c r="B1886" t="s">
        <v>8495</v>
      </c>
      <c r="D1886" s="7" t="s">
        <v>32933</v>
      </c>
      <c r="E1886" s="7"/>
      <c r="F1886" s="7"/>
      <c r="G1886" s="7"/>
      <c r="H1886" t="s">
        <v>67</v>
      </c>
      <c r="I1886" t="s">
        <v>4672</v>
      </c>
      <c r="J1886" t="s">
        <v>69</v>
      </c>
      <c r="K1886" t="s">
        <v>69</v>
      </c>
      <c r="L1886" t="s">
        <v>69</v>
      </c>
      <c r="M1886" t="s">
        <v>4673</v>
      </c>
      <c r="N1886" t="s">
        <v>69</v>
      </c>
      <c r="O1886" t="s">
        <v>69</v>
      </c>
      <c r="P1886" t="s">
        <v>4674</v>
      </c>
      <c r="Q1886" t="s">
        <v>1414</v>
      </c>
      <c r="R1886" t="s">
        <v>69</v>
      </c>
      <c r="S1886" t="s">
        <v>69</v>
      </c>
      <c r="T1886" t="s">
        <v>10071</v>
      </c>
      <c r="U1886" t="s">
        <v>8506</v>
      </c>
      <c r="V1886" t="s">
        <v>69</v>
      </c>
      <c r="W1886" t="s">
        <v>69</v>
      </c>
      <c r="X1886" t="s">
        <v>69</v>
      </c>
      <c r="Y1886" t="s">
        <v>69</v>
      </c>
      <c r="Z1886" t="s">
        <v>69</v>
      </c>
      <c r="AA1886" t="s">
        <v>19145</v>
      </c>
      <c r="AB1886" t="s">
        <v>19146</v>
      </c>
      <c r="AC1886" t="s">
        <v>4675</v>
      </c>
      <c r="AD1886" t="s">
        <v>19147</v>
      </c>
      <c r="AE1886" t="s">
        <v>69</v>
      </c>
      <c r="AF1886" t="s">
        <v>19148</v>
      </c>
      <c r="AG1886" t="s">
        <v>19149</v>
      </c>
      <c r="AH1886" t="s">
        <v>19150</v>
      </c>
      <c r="AI1886" t="s">
        <v>69</v>
      </c>
      <c r="AJ1886" t="s">
        <v>69</v>
      </c>
      <c r="AK1886" t="s">
        <v>69</v>
      </c>
      <c r="AL1886" t="s">
        <v>69</v>
      </c>
      <c r="AM1886" t="s">
        <v>69</v>
      </c>
      <c r="AN1886">
        <v>52</v>
      </c>
      <c r="AO1886">
        <v>1</v>
      </c>
      <c r="AP1886">
        <v>4</v>
      </c>
      <c r="AQ1886">
        <v>1</v>
      </c>
      <c r="AR1886">
        <v>10</v>
      </c>
      <c r="AS1886" t="s">
        <v>19151</v>
      </c>
      <c r="AT1886" t="s">
        <v>19152</v>
      </c>
      <c r="AU1886" t="s">
        <v>19153</v>
      </c>
      <c r="AV1886" t="s">
        <v>1416</v>
      </c>
      <c r="AW1886" t="s">
        <v>69</v>
      </c>
      <c r="AX1886" t="s">
        <v>69</v>
      </c>
      <c r="AY1886" t="s">
        <v>19154</v>
      </c>
      <c r="AZ1886" t="s">
        <v>19155</v>
      </c>
      <c r="BA1886" t="s">
        <v>191</v>
      </c>
      <c r="BB1886">
        <v>2018</v>
      </c>
      <c r="BC1886" t="s">
        <v>69</v>
      </c>
      <c r="BD1886">
        <v>70</v>
      </c>
      <c r="BE1886" t="s">
        <v>69</v>
      </c>
      <c r="BF1886" t="s">
        <v>69</v>
      </c>
      <c r="BG1886" t="s">
        <v>69</v>
      </c>
      <c r="BH1886" t="s">
        <v>69</v>
      </c>
      <c r="BI1886">
        <v>199</v>
      </c>
      <c r="BJ1886">
        <v>234</v>
      </c>
      <c r="BK1886" t="s">
        <v>69</v>
      </c>
      <c r="BL1886" t="s">
        <v>69</v>
      </c>
      <c r="BM1886" t="s">
        <v>69</v>
      </c>
      <c r="BN1886" t="s">
        <v>69</v>
      </c>
      <c r="BO1886" t="s">
        <v>69</v>
      </c>
      <c r="BP1886">
        <v>36</v>
      </c>
      <c r="BQ1886" t="s">
        <v>10439</v>
      </c>
      <c r="BR1886" t="s">
        <v>8661</v>
      </c>
      <c r="BS1886" t="s">
        <v>10440</v>
      </c>
      <c r="BT1886" t="s">
        <v>19156</v>
      </c>
      <c r="BU1886" t="s">
        <v>4676</v>
      </c>
      <c r="BV1886" t="s">
        <v>69</v>
      </c>
      <c r="BW1886" t="s">
        <v>69</v>
      </c>
      <c r="BX1886" t="s">
        <v>69</v>
      </c>
      <c r="BY1886" t="s">
        <v>69</v>
      </c>
      <c r="BZ1886" t="s">
        <v>8526</v>
      </c>
      <c r="CA1886" t="str">
        <f>HYPERLINK("https%3A%2F%2Fwww.webofscience.com%2Fwos%2Fwoscc%2Ffull-record%2FWOS:000455562200007","View Full Record in Web of Science")</f>
        <v>View Full Record in Web of Science</v>
      </c>
    </row>
    <row r="1887" spans="1:79" ht="12.5" x14ac:dyDescent="0.25">
      <c r="B1887" t="s">
        <v>8495</v>
      </c>
      <c r="D1887" s="7" t="s">
        <v>32933</v>
      </c>
      <c r="E1887" s="7"/>
      <c r="F1887" s="7"/>
      <c r="G1887" s="7"/>
      <c r="H1887" t="s">
        <v>67</v>
      </c>
      <c r="I1887" t="s">
        <v>7415</v>
      </c>
      <c r="J1887" t="s">
        <v>69</v>
      </c>
      <c r="K1887" t="s">
        <v>69</v>
      </c>
      <c r="L1887" t="s">
        <v>69</v>
      </c>
      <c r="M1887" t="s">
        <v>7416</v>
      </c>
      <c r="N1887" t="s">
        <v>69</v>
      </c>
      <c r="O1887" t="s">
        <v>69</v>
      </c>
      <c r="P1887" t="s">
        <v>7417</v>
      </c>
      <c r="Q1887" t="s">
        <v>473</v>
      </c>
      <c r="R1887" t="s">
        <v>69</v>
      </c>
      <c r="S1887" t="s">
        <v>69</v>
      </c>
      <c r="T1887" t="s">
        <v>8505</v>
      </c>
      <c r="U1887" t="s">
        <v>8506</v>
      </c>
      <c r="V1887" t="s">
        <v>69</v>
      </c>
      <c r="W1887" t="s">
        <v>69</v>
      </c>
      <c r="X1887" t="s">
        <v>69</v>
      </c>
      <c r="Y1887" t="s">
        <v>69</v>
      </c>
      <c r="Z1887" t="s">
        <v>69</v>
      </c>
      <c r="AA1887" t="s">
        <v>25028</v>
      </c>
      <c r="AB1887" t="s">
        <v>25029</v>
      </c>
      <c r="AC1887" t="s">
        <v>7418</v>
      </c>
      <c r="AD1887" t="s">
        <v>25030</v>
      </c>
      <c r="AE1887" t="s">
        <v>69</v>
      </c>
      <c r="AF1887" t="s">
        <v>25031</v>
      </c>
      <c r="AG1887" t="s">
        <v>25032</v>
      </c>
      <c r="AH1887" t="s">
        <v>25033</v>
      </c>
      <c r="AI1887" t="s">
        <v>25034</v>
      </c>
      <c r="AJ1887" t="s">
        <v>25035</v>
      </c>
      <c r="AK1887" t="s">
        <v>11825</v>
      </c>
      <c r="AL1887" t="s">
        <v>25036</v>
      </c>
      <c r="AM1887" t="s">
        <v>69</v>
      </c>
      <c r="AN1887">
        <v>30</v>
      </c>
      <c r="AO1887">
        <v>22</v>
      </c>
      <c r="AP1887">
        <v>22</v>
      </c>
      <c r="AQ1887">
        <v>1</v>
      </c>
      <c r="AR1887">
        <v>55</v>
      </c>
      <c r="AS1887" t="s">
        <v>18272</v>
      </c>
      <c r="AT1887" t="s">
        <v>8763</v>
      </c>
      <c r="AU1887" t="s">
        <v>18273</v>
      </c>
      <c r="AV1887" t="s">
        <v>475</v>
      </c>
      <c r="AW1887" t="s">
        <v>476</v>
      </c>
      <c r="AX1887" t="s">
        <v>69</v>
      </c>
      <c r="AY1887" t="s">
        <v>18274</v>
      </c>
      <c r="AZ1887" t="s">
        <v>18275</v>
      </c>
      <c r="BA1887" t="s">
        <v>7419</v>
      </c>
      <c r="BB1887">
        <v>2013</v>
      </c>
      <c r="BC1887">
        <v>119</v>
      </c>
      <c r="BD1887" t="s">
        <v>69</v>
      </c>
      <c r="BE1887" t="s">
        <v>69</v>
      </c>
      <c r="BF1887" t="s">
        <v>69</v>
      </c>
      <c r="BG1887" t="s">
        <v>69</v>
      </c>
      <c r="BH1887" t="s">
        <v>69</v>
      </c>
      <c r="BI1887">
        <v>76</v>
      </c>
      <c r="BJ1887">
        <v>84</v>
      </c>
      <c r="BK1887" t="s">
        <v>69</v>
      </c>
      <c r="BL1887" t="s">
        <v>7420</v>
      </c>
      <c r="BM1887" t="str">
        <f>HYPERLINK("http://dx.doi.org/10.1016/j.jenvman.2013.01.027","http://dx.doi.org/10.1016/j.jenvman.2013.01.027")</f>
        <v>http://dx.doi.org/10.1016/j.jenvman.2013.01.027</v>
      </c>
      <c r="BN1887" t="s">
        <v>69</v>
      </c>
      <c r="BO1887" t="s">
        <v>69</v>
      </c>
      <c r="BP1887">
        <v>9</v>
      </c>
      <c r="BQ1887" t="s">
        <v>8717</v>
      </c>
      <c r="BR1887" t="s">
        <v>8548</v>
      </c>
      <c r="BS1887" t="s">
        <v>8662</v>
      </c>
      <c r="BT1887" t="s">
        <v>25037</v>
      </c>
      <c r="BU1887" t="s">
        <v>7421</v>
      </c>
      <c r="BV1887">
        <v>23454416</v>
      </c>
      <c r="BW1887" t="s">
        <v>10423</v>
      </c>
      <c r="BX1887" t="s">
        <v>69</v>
      </c>
      <c r="BY1887" t="s">
        <v>69</v>
      </c>
      <c r="BZ1887" t="s">
        <v>8526</v>
      </c>
      <c r="CA1887" t="str">
        <f>HYPERLINK("https%3A%2F%2Fwww.webofscience.com%2Fwos%2Fwoscc%2Ffull-record%2FWOS:000317796600009","View Full Record in Web of Science")</f>
        <v>View Full Record in Web of Science</v>
      </c>
    </row>
    <row r="1888" spans="1:79" ht="12.5" x14ac:dyDescent="0.25">
      <c r="B1888" t="s">
        <v>8495</v>
      </c>
      <c r="D1888" s="22" t="s">
        <v>32931</v>
      </c>
      <c r="E1888" s="7"/>
      <c r="F1888" s="7"/>
      <c r="G1888" s="7"/>
      <c r="H1888" t="s">
        <v>67</v>
      </c>
      <c r="I1888" t="s">
        <v>13205</v>
      </c>
      <c r="J1888" t="s">
        <v>69</v>
      </c>
      <c r="K1888" t="s">
        <v>69</v>
      </c>
      <c r="L1888" t="s">
        <v>69</v>
      </c>
      <c r="M1888" t="s">
        <v>13206</v>
      </c>
      <c r="N1888" t="s">
        <v>69</v>
      </c>
      <c r="O1888" t="s">
        <v>69</v>
      </c>
      <c r="P1888" t="s">
        <v>13207</v>
      </c>
      <c r="Q1888" t="s">
        <v>4399</v>
      </c>
      <c r="R1888" t="s">
        <v>69</v>
      </c>
      <c r="S1888" t="s">
        <v>69</v>
      </c>
      <c r="T1888" t="s">
        <v>8505</v>
      </c>
      <c r="U1888" t="s">
        <v>8506</v>
      </c>
      <c r="V1888" t="s">
        <v>69</v>
      </c>
      <c r="W1888" t="s">
        <v>69</v>
      </c>
      <c r="X1888" t="s">
        <v>69</v>
      </c>
      <c r="Y1888" t="s">
        <v>69</v>
      </c>
      <c r="Z1888" t="s">
        <v>69</v>
      </c>
      <c r="AA1888" t="s">
        <v>13208</v>
      </c>
      <c r="AB1888" t="s">
        <v>13209</v>
      </c>
      <c r="AC1888" t="s">
        <v>13210</v>
      </c>
      <c r="AD1888" t="s">
        <v>13211</v>
      </c>
      <c r="AE1888" t="s">
        <v>69</v>
      </c>
      <c r="AF1888" t="s">
        <v>13212</v>
      </c>
      <c r="AG1888" t="s">
        <v>13213</v>
      </c>
      <c r="AH1888" t="s">
        <v>69</v>
      </c>
      <c r="AI1888" t="s">
        <v>69</v>
      </c>
      <c r="AJ1888" t="s">
        <v>13214</v>
      </c>
      <c r="AK1888" t="s">
        <v>13215</v>
      </c>
      <c r="AL1888" t="s">
        <v>13216</v>
      </c>
      <c r="AM1888" t="s">
        <v>69</v>
      </c>
      <c r="AN1888">
        <v>86</v>
      </c>
      <c r="AO1888">
        <v>2</v>
      </c>
      <c r="AP1888">
        <v>2</v>
      </c>
      <c r="AQ1888">
        <v>1</v>
      </c>
      <c r="AR1888">
        <v>1</v>
      </c>
      <c r="AS1888" t="s">
        <v>13217</v>
      </c>
      <c r="AT1888" t="s">
        <v>13218</v>
      </c>
      <c r="AU1888" t="s">
        <v>13219</v>
      </c>
      <c r="AV1888" t="s">
        <v>4401</v>
      </c>
      <c r="AW1888" t="s">
        <v>69</v>
      </c>
      <c r="AX1888" t="s">
        <v>69</v>
      </c>
      <c r="AY1888" t="s">
        <v>13220</v>
      </c>
      <c r="AZ1888" t="s">
        <v>13221</v>
      </c>
      <c r="BA1888" t="s">
        <v>191</v>
      </c>
      <c r="BB1888">
        <v>2021</v>
      </c>
      <c r="BC1888">
        <v>14</v>
      </c>
      <c r="BD1888">
        <v>1</v>
      </c>
      <c r="BE1888" t="s">
        <v>69</v>
      </c>
      <c r="BF1888" t="s">
        <v>69</v>
      </c>
      <c r="BG1888" t="s">
        <v>114</v>
      </c>
      <c r="BH1888" t="s">
        <v>69</v>
      </c>
      <c r="BI1888">
        <v>97</v>
      </c>
      <c r="BJ1888">
        <v>116</v>
      </c>
      <c r="BK1888" t="s">
        <v>69</v>
      </c>
      <c r="BL1888" t="s">
        <v>69</v>
      </c>
      <c r="BM1888" t="s">
        <v>69</v>
      </c>
      <c r="BN1888" t="s">
        <v>69</v>
      </c>
      <c r="BO1888" t="s">
        <v>69</v>
      </c>
      <c r="BP1888">
        <v>20</v>
      </c>
      <c r="BQ1888" t="s">
        <v>13222</v>
      </c>
      <c r="BR1888" t="s">
        <v>8523</v>
      </c>
      <c r="BS1888" t="s">
        <v>11438</v>
      </c>
      <c r="BT1888" t="s">
        <v>13223</v>
      </c>
      <c r="BU1888" t="s">
        <v>13224</v>
      </c>
      <c r="BV1888" t="s">
        <v>69</v>
      </c>
      <c r="BW1888" t="s">
        <v>69</v>
      </c>
      <c r="BX1888" t="s">
        <v>69</v>
      </c>
      <c r="BY1888" t="s">
        <v>69</v>
      </c>
      <c r="BZ1888" t="s">
        <v>8526</v>
      </c>
      <c r="CA1888" t="str">
        <f>HYPERLINK("https%3A%2F%2Fwww.webofscience.com%2Fwos%2Fwoscc%2Ffull-record%2FWOS:000616338400007","View Full Record in Web of Science")</f>
        <v>View Full Record in Web of Science</v>
      </c>
    </row>
    <row r="1889" spans="2:79" ht="12.5" x14ac:dyDescent="0.25">
      <c r="B1889" t="s">
        <v>8495</v>
      </c>
      <c r="D1889" s="22" t="s">
        <v>32931</v>
      </c>
      <c r="E1889" s="7"/>
      <c r="F1889" s="7"/>
      <c r="G1889" s="7"/>
      <c r="H1889" t="s">
        <v>67</v>
      </c>
      <c r="I1889" t="s">
        <v>32858</v>
      </c>
      <c r="J1889" t="s">
        <v>69</v>
      </c>
      <c r="K1889" t="s">
        <v>69</v>
      </c>
      <c r="L1889" t="s">
        <v>69</v>
      </c>
      <c r="M1889" t="s">
        <v>32858</v>
      </c>
      <c r="N1889" t="s">
        <v>69</v>
      </c>
      <c r="O1889" t="s">
        <v>69</v>
      </c>
      <c r="P1889" t="s">
        <v>32859</v>
      </c>
      <c r="Q1889" t="s">
        <v>4475</v>
      </c>
      <c r="R1889" t="s">
        <v>69</v>
      </c>
      <c r="S1889" t="s">
        <v>69</v>
      </c>
      <c r="T1889" t="s">
        <v>8505</v>
      </c>
      <c r="U1889" t="s">
        <v>15797</v>
      </c>
      <c r="V1889" t="s">
        <v>32860</v>
      </c>
      <c r="W1889" t="s">
        <v>32861</v>
      </c>
      <c r="X1889" t="s">
        <v>32862</v>
      </c>
      <c r="Y1889" t="s">
        <v>32863</v>
      </c>
      <c r="Z1889" t="s">
        <v>32864</v>
      </c>
      <c r="AA1889" t="s">
        <v>32865</v>
      </c>
      <c r="AB1889" t="s">
        <v>69</v>
      </c>
      <c r="AC1889" t="s">
        <v>32866</v>
      </c>
      <c r="AD1889" t="s">
        <v>69</v>
      </c>
      <c r="AE1889" t="s">
        <v>69</v>
      </c>
      <c r="AF1889" t="s">
        <v>69</v>
      </c>
      <c r="AG1889" t="s">
        <v>69</v>
      </c>
      <c r="AH1889" t="s">
        <v>69</v>
      </c>
      <c r="AI1889" t="s">
        <v>69</v>
      </c>
      <c r="AJ1889" t="s">
        <v>69</v>
      </c>
      <c r="AK1889" t="s">
        <v>69</v>
      </c>
      <c r="AL1889" t="s">
        <v>69</v>
      </c>
      <c r="AM1889" t="s">
        <v>69</v>
      </c>
      <c r="AN1889">
        <v>7</v>
      </c>
      <c r="AO1889">
        <v>8</v>
      </c>
      <c r="AP1889">
        <v>8</v>
      </c>
      <c r="AQ1889">
        <v>1</v>
      </c>
      <c r="AR1889">
        <v>2</v>
      </c>
      <c r="AS1889" t="s">
        <v>31715</v>
      </c>
      <c r="AT1889" t="s">
        <v>9048</v>
      </c>
      <c r="AU1889" t="s">
        <v>31716</v>
      </c>
      <c r="AV1889" t="s">
        <v>4482</v>
      </c>
      <c r="AW1889" t="s">
        <v>69</v>
      </c>
      <c r="AX1889" t="s">
        <v>69</v>
      </c>
      <c r="AY1889" t="s">
        <v>4475</v>
      </c>
      <c r="AZ1889" t="s">
        <v>30225</v>
      </c>
      <c r="BA1889" t="s">
        <v>8001</v>
      </c>
      <c r="BB1889">
        <v>1992</v>
      </c>
      <c r="BC1889">
        <v>233</v>
      </c>
      <c r="BD1889" t="s">
        <v>4219</v>
      </c>
      <c r="BE1889" t="s">
        <v>69</v>
      </c>
      <c r="BF1889" t="s">
        <v>69</v>
      </c>
      <c r="BG1889" t="s">
        <v>69</v>
      </c>
      <c r="BH1889" t="s">
        <v>69</v>
      </c>
      <c r="BI1889">
        <v>161</v>
      </c>
      <c r="BJ1889">
        <v>163</v>
      </c>
      <c r="BK1889" t="s">
        <v>69</v>
      </c>
      <c r="BL1889" t="s">
        <v>32867</v>
      </c>
      <c r="BM1889" t="str">
        <f>HYPERLINK("http://dx.doi.org/10.1007/BF00016103","http://dx.doi.org/10.1007/BF00016103")</f>
        <v>http://dx.doi.org/10.1007/BF00016103</v>
      </c>
      <c r="BN1889" t="s">
        <v>69</v>
      </c>
      <c r="BO1889" t="s">
        <v>69</v>
      </c>
      <c r="BP1889">
        <v>3</v>
      </c>
      <c r="BQ1889" t="s">
        <v>27778</v>
      </c>
      <c r="BR1889" t="s">
        <v>29550</v>
      </c>
      <c r="BS1889" t="s">
        <v>27778</v>
      </c>
      <c r="BT1889" t="s">
        <v>32868</v>
      </c>
      <c r="BU1889" t="s">
        <v>32869</v>
      </c>
      <c r="BV1889" t="s">
        <v>69</v>
      </c>
      <c r="BW1889" t="s">
        <v>69</v>
      </c>
      <c r="BX1889" t="s">
        <v>69</v>
      </c>
      <c r="BY1889" t="s">
        <v>69</v>
      </c>
      <c r="BZ1889" t="s">
        <v>8526</v>
      </c>
      <c r="CA1889" t="str">
        <f>HYPERLINK("https%3A%2F%2Fwww.webofscience.com%2Fwos%2Fwoscc%2Ffull-record%2FWOS:A1992JD64800015","View Full Record in Web of Science")</f>
        <v>View Full Record in Web of Science</v>
      </c>
    </row>
    <row r="1890" spans="2:79" x14ac:dyDescent="0.3">
      <c r="B1890" t="s">
        <v>8495</v>
      </c>
      <c r="D1890" s="9" t="s">
        <v>32954</v>
      </c>
      <c r="G1890" s="9" t="s">
        <v>33053</v>
      </c>
      <c r="H1890" t="s">
        <v>67</v>
      </c>
      <c r="I1890" t="s">
        <v>30240</v>
      </c>
      <c r="J1890" t="s">
        <v>69</v>
      </c>
      <c r="K1890" t="s">
        <v>69</v>
      </c>
      <c r="L1890" t="s">
        <v>69</v>
      </c>
      <c r="M1890" t="s">
        <v>30241</v>
      </c>
      <c r="N1890" t="s">
        <v>69</v>
      </c>
      <c r="O1890" t="s">
        <v>69</v>
      </c>
      <c r="P1890" t="s">
        <v>30242</v>
      </c>
      <c r="Q1890" t="s">
        <v>2763</v>
      </c>
      <c r="R1890" t="s">
        <v>69</v>
      </c>
      <c r="S1890" t="s">
        <v>69</v>
      </c>
      <c r="T1890" t="s">
        <v>8505</v>
      </c>
      <c r="U1890" t="s">
        <v>8506</v>
      </c>
      <c r="V1890" t="s">
        <v>69</v>
      </c>
      <c r="W1890" t="s">
        <v>69</v>
      </c>
      <c r="X1890" t="s">
        <v>69</v>
      </c>
      <c r="Y1890" t="s">
        <v>69</v>
      </c>
      <c r="Z1890" t="s">
        <v>69</v>
      </c>
      <c r="AA1890" t="s">
        <v>69</v>
      </c>
      <c r="AB1890" t="s">
        <v>69</v>
      </c>
      <c r="AC1890" t="s">
        <v>30243</v>
      </c>
      <c r="AD1890" t="s">
        <v>30244</v>
      </c>
      <c r="AE1890" t="s">
        <v>69</v>
      </c>
      <c r="AF1890" t="s">
        <v>30245</v>
      </c>
      <c r="AG1890" t="s">
        <v>30246</v>
      </c>
      <c r="AH1890" t="s">
        <v>69</v>
      </c>
      <c r="AI1890" t="s">
        <v>69</v>
      </c>
      <c r="AJ1890" t="s">
        <v>69</v>
      </c>
      <c r="AK1890" t="s">
        <v>69</v>
      </c>
      <c r="AL1890" t="s">
        <v>69</v>
      </c>
      <c r="AM1890" t="s">
        <v>69</v>
      </c>
      <c r="AN1890">
        <v>18</v>
      </c>
      <c r="AO1890">
        <v>1</v>
      </c>
      <c r="AP1890">
        <v>1</v>
      </c>
      <c r="AQ1890">
        <v>0</v>
      </c>
      <c r="AR1890">
        <v>0</v>
      </c>
      <c r="AS1890" t="s">
        <v>9978</v>
      </c>
      <c r="AT1890" t="s">
        <v>9979</v>
      </c>
      <c r="AU1890" t="s">
        <v>9980</v>
      </c>
      <c r="AV1890" t="s">
        <v>2765</v>
      </c>
      <c r="AW1890" t="s">
        <v>2766</v>
      </c>
      <c r="AX1890" t="s">
        <v>69</v>
      </c>
      <c r="AY1890" t="s">
        <v>21136</v>
      </c>
      <c r="AZ1890" t="s">
        <v>21137</v>
      </c>
      <c r="BA1890" t="s">
        <v>155</v>
      </c>
      <c r="BB1890">
        <v>2006</v>
      </c>
      <c r="BC1890">
        <v>8</v>
      </c>
      <c r="BD1890">
        <v>2</v>
      </c>
      <c r="BE1890" t="s">
        <v>69</v>
      </c>
      <c r="BF1890" t="s">
        <v>69</v>
      </c>
      <c r="BG1890" t="s">
        <v>69</v>
      </c>
      <c r="BH1890" t="s">
        <v>69</v>
      </c>
      <c r="BI1890">
        <v>125</v>
      </c>
      <c r="BJ1890">
        <v>134</v>
      </c>
      <c r="BK1890" t="s">
        <v>69</v>
      </c>
      <c r="BL1890" t="s">
        <v>30247</v>
      </c>
      <c r="BM1890" t="str">
        <f>HYPERLINK("http://dx.doi.org/10.1017/S1466046606060212","http://dx.doi.org/10.1017/S1466046606060212")</f>
        <v>http://dx.doi.org/10.1017/S1466046606060212</v>
      </c>
      <c r="BN1890" t="s">
        <v>69</v>
      </c>
      <c r="BO1890" t="s">
        <v>69</v>
      </c>
      <c r="BP1890">
        <v>10</v>
      </c>
      <c r="BQ1890" t="s">
        <v>8717</v>
      </c>
      <c r="BR1890" t="s">
        <v>8573</v>
      </c>
      <c r="BS1890" t="s">
        <v>8662</v>
      </c>
      <c r="BT1890" t="s">
        <v>30248</v>
      </c>
      <c r="BU1890" t="s">
        <v>30249</v>
      </c>
      <c r="BV1890" t="s">
        <v>69</v>
      </c>
      <c r="BW1890" t="s">
        <v>69</v>
      </c>
      <c r="BX1890" t="s">
        <v>69</v>
      </c>
      <c r="BY1890" t="s">
        <v>69</v>
      </c>
      <c r="BZ1890" t="s">
        <v>8526</v>
      </c>
      <c r="CA1890" t="str">
        <f>HYPERLINK("https%3A%2F%2Fwww.webofscience.com%2Fwos%2Fwoscc%2Ffull-record%2FWOS:000212146000008","View Full Record in Web of Science")</f>
        <v>View Full Record in Web of Science</v>
      </c>
    </row>
    <row r="1891" spans="2:79" ht="12.5" x14ac:dyDescent="0.25">
      <c r="B1891" t="s">
        <v>8495</v>
      </c>
      <c r="D1891" s="7" t="s">
        <v>32933</v>
      </c>
      <c r="E1891" s="7"/>
      <c r="F1891" s="7"/>
      <c r="G1891" s="7"/>
      <c r="H1891" t="s">
        <v>67</v>
      </c>
      <c r="I1891" t="s">
        <v>3727</v>
      </c>
      <c r="J1891" t="s">
        <v>69</v>
      </c>
      <c r="K1891" t="s">
        <v>69</v>
      </c>
      <c r="L1891" t="s">
        <v>69</v>
      </c>
      <c r="M1891" t="s">
        <v>3728</v>
      </c>
      <c r="N1891" t="s">
        <v>69</v>
      </c>
      <c r="O1891" t="s">
        <v>69</v>
      </c>
      <c r="P1891" t="s">
        <v>3729</v>
      </c>
      <c r="Q1891" t="s">
        <v>3730</v>
      </c>
      <c r="R1891" t="s">
        <v>69</v>
      </c>
      <c r="S1891" t="s">
        <v>69</v>
      </c>
      <c r="T1891" t="s">
        <v>8505</v>
      </c>
      <c r="U1891" t="s">
        <v>8506</v>
      </c>
      <c r="V1891" t="s">
        <v>69</v>
      </c>
      <c r="W1891" t="s">
        <v>69</v>
      </c>
      <c r="X1891" t="s">
        <v>69</v>
      </c>
      <c r="Y1891" t="s">
        <v>69</v>
      </c>
      <c r="Z1891" t="s">
        <v>69</v>
      </c>
      <c r="AA1891" t="s">
        <v>29724</v>
      </c>
      <c r="AB1891" t="s">
        <v>69</v>
      </c>
      <c r="AC1891" t="s">
        <v>3731</v>
      </c>
      <c r="AD1891" t="s">
        <v>69</v>
      </c>
      <c r="AE1891" t="s">
        <v>69</v>
      </c>
      <c r="AF1891" t="s">
        <v>29725</v>
      </c>
      <c r="AG1891" t="s">
        <v>29726</v>
      </c>
      <c r="AH1891" t="s">
        <v>69</v>
      </c>
      <c r="AI1891" t="s">
        <v>69</v>
      </c>
      <c r="AJ1891" t="s">
        <v>69</v>
      </c>
      <c r="AK1891" t="s">
        <v>69</v>
      </c>
      <c r="AL1891" t="s">
        <v>69</v>
      </c>
      <c r="AM1891" t="s">
        <v>69</v>
      </c>
      <c r="AN1891">
        <v>0</v>
      </c>
      <c r="AO1891">
        <v>12</v>
      </c>
      <c r="AP1891">
        <v>12</v>
      </c>
      <c r="AQ1891">
        <v>0</v>
      </c>
      <c r="AR1891">
        <v>10</v>
      </c>
      <c r="AS1891" t="s">
        <v>29727</v>
      </c>
      <c r="AT1891" t="s">
        <v>10141</v>
      </c>
      <c r="AU1891" t="s">
        <v>29728</v>
      </c>
      <c r="AV1891" t="s">
        <v>3732</v>
      </c>
      <c r="AW1891" t="s">
        <v>69</v>
      </c>
      <c r="AX1891" t="s">
        <v>69</v>
      </c>
      <c r="AY1891" t="s">
        <v>29729</v>
      </c>
      <c r="AZ1891" t="s">
        <v>29730</v>
      </c>
      <c r="BA1891" t="s">
        <v>1375</v>
      </c>
      <c r="BB1891">
        <v>2007</v>
      </c>
      <c r="BC1891">
        <v>83</v>
      </c>
      <c r="BD1891">
        <v>3</v>
      </c>
      <c r="BE1891" t="s">
        <v>69</v>
      </c>
      <c r="BF1891" t="s">
        <v>69</v>
      </c>
      <c r="BG1891" t="s">
        <v>69</v>
      </c>
      <c r="BH1891" t="s">
        <v>69</v>
      </c>
      <c r="BI1891">
        <v>362</v>
      </c>
      <c r="BJ1891">
        <v>366</v>
      </c>
      <c r="BK1891" t="s">
        <v>69</v>
      </c>
      <c r="BL1891" t="s">
        <v>3733</v>
      </c>
      <c r="BM1891" t="str">
        <f>HYPERLINK("http://dx.doi.org/10.5558/tfc83362-3","http://dx.doi.org/10.5558/tfc83362-3")</f>
        <v>http://dx.doi.org/10.5558/tfc83362-3</v>
      </c>
      <c r="BN1891" t="s">
        <v>69</v>
      </c>
      <c r="BO1891" t="s">
        <v>69</v>
      </c>
      <c r="BP1891">
        <v>5</v>
      </c>
      <c r="BQ1891" t="s">
        <v>8453</v>
      </c>
      <c r="BR1891" t="s">
        <v>8548</v>
      </c>
      <c r="BS1891" t="s">
        <v>8453</v>
      </c>
      <c r="BT1891" t="s">
        <v>29731</v>
      </c>
      <c r="BU1891" t="s">
        <v>3734</v>
      </c>
      <c r="BV1891" t="s">
        <v>69</v>
      </c>
      <c r="BW1891" t="s">
        <v>9374</v>
      </c>
      <c r="BX1891" t="s">
        <v>69</v>
      </c>
      <c r="BY1891" t="s">
        <v>69</v>
      </c>
      <c r="BZ1891" t="s">
        <v>8526</v>
      </c>
      <c r="CA1891" t="str">
        <f>HYPERLINK("https%3A%2F%2Fwww.webofscience.com%2Fwos%2Fwoscc%2Ffull-record%2FWOS:000247149800025","View Full Record in Web of Science")</f>
        <v>View Full Record in Web of Science</v>
      </c>
    </row>
    <row r="1892" spans="2:79" ht="12.5" x14ac:dyDescent="0.25">
      <c r="B1892" t="s">
        <v>8495</v>
      </c>
      <c r="D1892" s="22" t="s">
        <v>32931</v>
      </c>
      <c r="E1892" s="7"/>
      <c r="F1892" s="7"/>
      <c r="G1892" s="7"/>
      <c r="H1892" t="s">
        <v>67</v>
      </c>
      <c r="I1892" t="s">
        <v>12185</v>
      </c>
      <c r="J1892" t="s">
        <v>69</v>
      </c>
      <c r="K1892" t="s">
        <v>69</v>
      </c>
      <c r="L1892" t="s">
        <v>69</v>
      </c>
      <c r="M1892" t="s">
        <v>12186</v>
      </c>
      <c r="N1892" t="s">
        <v>69</v>
      </c>
      <c r="O1892" t="s">
        <v>69</v>
      </c>
      <c r="P1892" t="s">
        <v>12187</v>
      </c>
      <c r="Q1892" t="s">
        <v>12188</v>
      </c>
      <c r="R1892" t="s">
        <v>69</v>
      </c>
      <c r="S1892" t="s">
        <v>69</v>
      </c>
      <c r="T1892" t="s">
        <v>8505</v>
      </c>
      <c r="U1892" t="s">
        <v>8506</v>
      </c>
      <c r="V1892" t="s">
        <v>69</v>
      </c>
      <c r="W1892" t="s">
        <v>69</v>
      </c>
      <c r="X1892" t="s">
        <v>69</v>
      </c>
      <c r="Y1892" t="s">
        <v>69</v>
      </c>
      <c r="Z1892" t="s">
        <v>69</v>
      </c>
      <c r="AA1892" t="s">
        <v>12189</v>
      </c>
      <c r="AB1892" t="s">
        <v>12190</v>
      </c>
      <c r="AC1892" t="s">
        <v>12191</v>
      </c>
      <c r="AD1892" t="s">
        <v>12192</v>
      </c>
      <c r="AE1892" t="s">
        <v>69</v>
      </c>
      <c r="AF1892" t="s">
        <v>12193</v>
      </c>
      <c r="AG1892" t="s">
        <v>12194</v>
      </c>
      <c r="AH1892" t="s">
        <v>69</v>
      </c>
      <c r="AI1892" t="s">
        <v>69</v>
      </c>
      <c r="AJ1892" t="s">
        <v>69</v>
      </c>
      <c r="AK1892" t="s">
        <v>69</v>
      </c>
      <c r="AL1892" t="s">
        <v>69</v>
      </c>
      <c r="AM1892" t="s">
        <v>69</v>
      </c>
      <c r="AN1892">
        <v>40</v>
      </c>
      <c r="AO1892">
        <v>0</v>
      </c>
      <c r="AP1892">
        <v>0</v>
      </c>
      <c r="AQ1892">
        <v>1</v>
      </c>
      <c r="AR1892">
        <v>3</v>
      </c>
      <c r="AS1892" t="s">
        <v>8516</v>
      </c>
      <c r="AT1892" t="s">
        <v>8517</v>
      </c>
      <c r="AU1892" t="s">
        <v>8518</v>
      </c>
      <c r="AV1892" t="s">
        <v>12195</v>
      </c>
      <c r="AW1892" t="s">
        <v>12196</v>
      </c>
      <c r="AX1892" t="s">
        <v>69</v>
      </c>
      <c r="AY1892" t="s">
        <v>12197</v>
      </c>
      <c r="AZ1892" t="s">
        <v>12198</v>
      </c>
      <c r="BA1892" t="s">
        <v>84</v>
      </c>
      <c r="BB1892">
        <v>2021</v>
      </c>
      <c r="BC1892">
        <v>52</v>
      </c>
      <c r="BD1892" t="s">
        <v>69</v>
      </c>
      <c r="BE1892" t="s">
        <v>69</v>
      </c>
      <c r="BF1892" t="s">
        <v>69</v>
      </c>
      <c r="BG1892" t="s">
        <v>69</v>
      </c>
      <c r="BH1892" t="s">
        <v>69</v>
      </c>
      <c r="BI1892" t="s">
        <v>69</v>
      </c>
      <c r="BJ1892" t="s">
        <v>69</v>
      </c>
      <c r="BK1892">
        <v>101000</v>
      </c>
      <c r="BL1892" t="s">
        <v>12199</v>
      </c>
      <c r="BM1892" t="str">
        <f>HYPERLINK("http://dx.doi.org/10.1016/j.jeap.2021.101000","http://dx.doi.org/10.1016/j.jeap.2021.101000")</f>
        <v>http://dx.doi.org/10.1016/j.jeap.2021.101000</v>
      </c>
      <c r="BN1892" t="s">
        <v>69</v>
      </c>
      <c r="BO1892" t="s">
        <v>12111</v>
      </c>
      <c r="BP1892">
        <v>13</v>
      </c>
      <c r="BQ1892" t="s">
        <v>12200</v>
      </c>
      <c r="BR1892" t="s">
        <v>12201</v>
      </c>
      <c r="BS1892" t="s">
        <v>12202</v>
      </c>
      <c r="BT1892" t="s">
        <v>12203</v>
      </c>
      <c r="BU1892" t="s">
        <v>12204</v>
      </c>
      <c r="BV1892" t="s">
        <v>69</v>
      </c>
      <c r="BW1892" t="s">
        <v>69</v>
      </c>
      <c r="BX1892" t="s">
        <v>69</v>
      </c>
      <c r="BY1892" t="s">
        <v>69</v>
      </c>
      <c r="BZ1892" t="s">
        <v>8526</v>
      </c>
      <c r="CA1892" t="str">
        <f>HYPERLINK("https%3A%2F%2Fwww.webofscience.com%2Fwos%2Fwoscc%2Ffull-record%2FWOS:000674429400013","View Full Record in Web of Science")</f>
        <v>View Full Record in Web of Science</v>
      </c>
    </row>
    <row r="1893" spans="2:79" ht="12.5" x14ac:dyDescent="0.25">
      <c r="B1893" t="s">
        <v>8495</v>
      </c>
      <c r="D1893" s="22" t="s">
        <v>32931</v>
      </c>
      <c r="E1893" s="7"/>
      <c r="F1893" s="7"/>
      <c r="G1893" s="7"/>
      <c r="H1893" t="s">
        <v>67</v>
      </c>
      <c r="I1893" t="s">
        <v>13957</v>
      </c>
      <c r="J1893" t="s">
        <v>69</v>
      </c>
      <c r="K1893" t="s">
        <v>69</v>
      </c>
      <c r="L1893" t="s">
        <v>69</v>
      </c>
      <c r="M1893" t="s">
        <v>13958</v>
      </c>
      <c r="N1893" t="s">
        <v>69</v>
      </c>
      <c r="O1893" t="s">
        <v>69</v>
      </c>
      <c r="P1893" t="s">
        <v>13959</v>
      </c>
      <c r="Q1893" t="s">
        <v>9416</v>
      </c>
      <c r="R1893" t="s">
        <v>69</v>
      </c>
      <c r="S1893" t="s">
        <v>69</v>
      </c>
      <c r="T1893" t="s">
        <v>8505</v>
      </c>
      <c r="U1893" t="s">
        <v>8506</v>
      </c>
      <c r="V1893" t="s">
        <v>69</v>
      </c>
      <c r="W1893" t="s">
        <v>69</v>
      </c>
      <c r="X1893" t="s">
        <v>69</v>
      </c>
      <c r="Y1893" t="s">
        <v>69</v>
      </c>
      <c r="Z1893" t="s">
        <v>69</v>
      </c>
      <c r="AA1893" t="s">
        <v>13960</v>
      </c>
      <c r="AB1893" t="s">
        <v>69</v>
      </c>
      <c r="AC1893" t="s">
        <v>13961</v>
      </c>
      <c r="AD1893" t="s">
        <v>13962</v>
      </c>
      <c r="AE1893" t="s">
        <v>69</v>
      </c>
      <c r="AF1893" t="s">
        <v>13963</v>
      </c>
      <c r="AG1893" t="s">
        <v>13964</v>
      </c>
      <c r="AH1893" t="s">
        <v>69</v>
      </c>
      <c r="AI1893" t="s">
        <v>13965</v>
      </c>
      <c r="AJ1893" t="s">
        <v>69</v>
      </c>
      <c r="AK1893" t="s">
        <v>69</v>
      </c>
      <c r="AL1893" t="s">
        <v>69</v>
      </c>
      <c r="AM1893" t="s">
        <v>69</v>
      </c>
      <c r="AN1893">
        <v>0</v>
      </c>
      <c r="AO1893">
        <v>2</v>
      </c>
      <c r="AP1893">
        <v>2</v>
      </c>
      <c r="AQ1893">
        <v>0</v>
      </c>
      <c r="AR1893">
        <v>0</v>
      </c>
      <c r="AS1893" t="s">
        <v>9423</v>
      </c>
      <c r="AT1893" t="s">
        <v>9424</v>
      </c>
      <c r="AU1893" t="s">
        <v>9425</v>
      </c>
      <c r="AV1893" t="s">
        <v>9426</v>
      </c>
      <c r="AW1893" t="s">
        <v>9427</v>
      </c>
      <c r="AX1893" t="s">
        <v>69</v>
      </c>
      <c r="AY1893" t="s">
        <v>9428</v>
      </c>
      <c r="AZ1893" t="s">
        <v>9429</v>
      </c>
      <c r="BA1893" t="s">
        <v>75</v>
      </c>
      <c r="BB1893">
        <v>2020</v>
      </c>
      <c r="BC1893">
        <v>58</v>
      </c>
      <c r="BD1893">
        <v>10</v>
      </c>
      <c r="BE1893" t="s">
        <v>69</v>
      </c>
      <c r="BF1893" t="s">
        <v>69</v>
      </c>
      <c r="BG1893" t="s">
        <v>69</v>
      </c>
      <c r="BH1893" t="s">
        <v>69</v>
      </c>
      <c r="BI1893">
        <v>1273</v>
      </c>
      <c r="BJ1893">
        <v>1275</v>
      </c>
      <c r="BK1893" t="s">
        <v>69</v>
      </c>
      <c r="BL1893" t="s">
        <v>13966</v>
      </c>
      <c r="BM1893" t="str">
        <f>HYPERLINK("http://dx.doi.org/10.1016/j.bjoms.2020.08.022","http://dx.doi.org/10.1016/j.bjoms.2020.08.022")</f>
        <v>http://dx.doi.org/10.1016/j.bjoms.2020.08.022</v>
      </c>
      <c r="BN1893" t="s">
        <v>69</v>
      </c>
      <c r="BO1893" t="s">
        <v>69</v>
      </c>
      <c r="BP1893">
        <v>3</v>
      </c>
      <c r="BQ1893" t="s">
        <v>9431</v>
      </c>
      <c r="BR1893" t="s">
        <v>8548</v>
      </c>
      <c r="BS1893" t="s">
        <v>9431</v>
      </c>
      <c r="BT1893" t="s">
        <v>13967</v>
      </c>
      <c r="BU1893" t="s">
        <v>13968</v>
      </c>
      <c r="BV1893">
        <v>32868124</v>
      </c>
      <c r="BW1893" t="s">
        <v>69</v>
      </c>
      <c r="BX1893" t="s">
        <v>69</v>
      </c>
      <c r="BY1893" t="s">
        <v>69</v>
      </c>
      <c r="BZ1893" t="s">
        <v>8526</v>
      </c>
      <c r="CA1893" t="str">
        <f>HYPERLINK("https%3A%2F%2Fwww.webofscience.com%2Fwos%2Fwoscc%2Ffull-record%2FWOS:000615146800034","View Full Record in Web of Science")</f>
        <v>View Full Record in Web of Science</v>
      </c>
    </row>
    <row r="1894" spans="2:79" x14ac:dyDescent="0.3">
      <c r="B1894" t="s">
        <v>8495</v>
      </c>
      <c r="D1894" s="9" t="s">
        <v>32954</v>
      </c>
      <c r="E1894" s="9" t="s">
        <v>33117</v>
      </c>
      <c r="F1894" s="9" t="s">
        <v>8491</v>
      </c>
      <c r="G1894" s="9" t="s">
        <v>8490</v>
      </c>
      <c r="H1894" t="s">
        <v>67</v>
      </c>
      <c r="I1894" t="s">
        <v>11526</v>
      </c>
      <c r="J1894" t="s">
        <v>69</v>
      </c>
      <c r="K1894" t="s">
        <v>69</v>
      </c>
      <c r="L1894" t="s">
        <v>69</v>
      </c>
      <c r="M1894" t="s">
        <v>11527</v>
      </c>
      <c r="N1894" t="s">
        <v>69</v>
      </c>
      <c r="O1894" t="s">
        <v>69</v>
      </c>
      <c r="P1894" t="s">
        <v>11528</v>
      </c>
      <c r="Q1894" t="s">
        <v>11529</v>
      </c>
      <c r="R1894" t="s">
        <v>69</v>
      </c>
      <c r="S1894" t="s">
        <v>69</v>
      </c>
      <c r="T1894" t="s">
        <v>8505</v>
      </c>
      <c r="U1894" t="s">
        <v>8506</v>
      </c>
      <c r="V1894" t="s">
        <v>69</v>
      </c>
      <c r="W1894" t="s">
        <v>69</v>
      </c>
      <c r="X1894" t="s">
        <v>69</v>
      </c>
      <c r="Y1894" t="s">
        <v>69</v>
      </c>
      <c r="Z1894" t="s">
        <v>69</v>
      </c>
      <c r="AA1894" t="s">
        <v>69</v>
      </c>
      <c r="AB1894" t="s">
        <v>69</v>
      </c>
      <c r="AC1894" t="s">
        <v>11530</v>
      </c>
      <c r="AD1894" t="s">
        <v>11531</v>
      </c>
      <c r="AE1894" t="s">
        <v>69</v>
      </c>
      <c r="AF1894" t="s">
        <v>11532</v>
      </c>
      <c r="AG1894" t="s">
        <v>11533</v>
      </c>
      <c r="AH1894" t="s">
        <v>69</v>
      </c>
      <c r="AI1894" t="s">
        <v>11534</v>
      </c>
      <c r="AJ1894" t="s">
        <v>11535</v>
      </c>
      <c r="AK1894" t="s">
        <v>11535</v>
      </c>
      <c r="AL1894" t="s">
        <v>11536</v>
      </c>
      <c r="AM1894" t="s">
        <v>69</v>
      </c>
      <c r="AN1894">
        <v>74</v>
      </c>
      <c r="AO1894">
        <v>4</v>
      </c>
      <c r="AP1894">
        <v>4</v>
      </c>
      <c r="AQ1894">
        <v>8</v>
      </c>
      <c r="AR1894">
        <v>11</v>
      </c>
      <c r="AS1894" t="s">
        <v>8865</v>
      </c>
      <c r="AT1894" t="s">
        <v>8612</v>
      </c>
      <c r="AU1894" t="s">
        <v>8866</v>
      </c>
      <c r="AV1894" t="s">
        <v>11537</v>
      </c>
      <c r="AW1894" t="s">
        <v>11538</v>
      </c>
      <c r="AX1894" t="s">
        <v>69</v>
      </c>
      <c r="AY1894" t="s">
        <v>11539</v>
      </c>
      <c r="AZ1894" t="s">
        <v>11540</v>
      </c>
      <c r="BA1894" t="s">
        <v>11541</v>
      </c>
      <c r="BB1894">
        <v>2022</v>
      </c>
      <c r="BC1894">
        <v>31</v>
      </c>
      <c r="BD1894">
        <v>4</v>
      </c>
      <c r="BE1894" t="s">
        <v>69</v>
      </c>
      <c r="BF1894" t="s">
        <v>69</v>
      </c>
      <c r="BG1894" t="s">
        <v>69</v>
      </c>
      <c r="BH1894" t="s">
        <v>69</v>
      </c>
      <c r="BI1894">
        <v>555</v>
      </c>
      <c r="BJ1894">
        <v>575</v>
      </c>
      <c r="BK1894" t="s">
        <v>69</v>
      </c>
      <c r="BL1894" t="s">
        <v>11542</v>
      </c>
      <c r="BM1894" t="str">
        <f>HYPERLINK("http://dx.doi.org/10.1080/09644016.2021.1947636","http://dx.doi.org/10.1080/09644016.2021.1947636")</f>
        <v>http://dx.doi.org/10.1080/09644016.2021.1947636</v>
      </c>
      <c r="BN1894" t="s">
        <v>69</v>
      </c>
      <c r="BO1894" t="s">
        <v>11486</v>
      </c>
      <c r="BP1894">
        <v>21</v>
      </c>
      <c r="BQ1894" t="s">
        <v>11543</v>
      </c>
      <c r="BR1894" t="s">
        <v>8661</v>
      </c>
      <c r="BS1894" t="s">
        <v>11544</v>
      </c>
      <c r="BT1894" t="s">
        <v>11545</v>
      </c>
      <c r="BU1894" t="s">
        <v>11546</v>
      </c>
      <c r="BV1894" t="s">
        <v>69</v>
      </c>
      <c r="BW1894" t="s">
        <v>8622</v>
      </c>
      <c r="BX1894" t="s">
        <v>69</v>
      </c>
      <c r="BY1894" t="s">
        <v>69</v>
      </c>
      <c r="BZ1894" t="s">
        <v>8526</v>
      </c>
      <c r="CA1894" t="str">
        <f>HYPERLINK("https%3A%2F%2Fwww.webofscience.com%2Fwos%2Fwoscc%2Ffull-record%2FWOS:000688308700001","View Full Record in Web of Science")</f>
        <v>View Full Record in Web of Science</v>
      </c>
    </row>
    <row r="1895" spans="2:79" ht="12.5" x14ac:dyDescent="0.25">
      <c r="B1895" t="s">
        <v>8495</v>
      </c>
      <c r="D1895" s="7" t="s">
        <v>32933</v>
      </c>
      <c r="E1895" s="7"/>
      <c r="F1895" s="7"/>
      <c r="G1895" s="7"/>
      <c r="H1895" t="s">
        <v>67</v>
      </c>
      <c r="I1895" t="s">
        <v>4316</v>
      </c>
      <c r="J1895" t="s">
        <v>69</v>
      </c>
      <c r="K1895" t="s">
        <v>69</v>
      </c>
      <c r="L1895" t="s">
        <v>69</v>
      </c>
      <c r="M1895" t="s">
        <v>4316</v>
      </c>
      <c r="N1895" t="s">
        <v>69</v>
      </c>
      <c r="O1895" t="s">
        <v>69</v>
      </c>
      <c r="P1895" t="s">
        <v>4317</v>
      </c>
      <c r="Q1895" t="s">
        <v>4318</v>
      </c>
      <c r="R1895" t="s">
        <v>69</v>
      </c>
      <c r="S1895" t="s">
        <v>69</v>
      </c>
      <c r="T1895" t="s">
        <v>8505</v>
      </c>
      <c r="U1895" t="s">
        <v>8506</v>
      </c>
      <c r="V1895" t="s">
        <v>69</v>
      </c>
      <c r="W1895" t="s">
        <v>69</v>
      </c>
      <c r="X1895" t="s">
        <v>69</v>
      </c>
      <c r="Y1895" t="s">
        <v>69</v>
      </c>
      <c r="Z1895" t="s">
        <v>69</v>
      </c>
      <c r="AA1895" t="s">
        <v>32668</v>
      </c>
      <c r="AB1895" t="s">
        <v>32669</v>
      </c>
      <c r="AC1895" t="s">
        <v>4319</v>
      </c>
      <c r="AD1895" t="s">
        <v>69</v>
      </c>
      <c r="AE1895" t="s">
        <v>69</v>
      </c>
      <c r="AF1895" t="s">
        <v>32670</v>
      </c>
      <c r="AG1895" t="s">
        <v>69</v>
      </c>
      <c r="AH1895" t="s">
        <v>69</v>
      </c>
      <c r="AI1895" t="s">
        <v>69</v>
      </c>
      <c r="AJ1895" t="s">
        <v>69</v>
      </c>
      <c r="AK1895" t="s">
        <v>69</v>
      </c>
      <c r="AL1895" t="s">
        <v>69</v>
      </c>
      <c r="AM1895" t="s">
        <v>69</v>
      </c>
      <c r="AN1895">
        <v>70</v>
      </c>
      <c r="AO1895">
        <v>14</v>
      </c>
      <c r="AP1895">
        <v>14</v>
      </c>
      <c r="AQ1895">
        <v>0</v>
      </c>
      <c r="AR1895">
        <v>21</v>
      </c>
      <c r="AS1895" t="s">
        <v>32671</v>
      </c>
      <c r="AT1895" t="s">
        <v>32672</v>
      </c>
      <c r="AU1895" t="s">
        <v>32673</v>
      </c>
      <c r="AV1895" t="s">
        <v>4320</v>
      </c>
      <c r="AW1895" t="s">
        <v>69</v>
      </c>
      <c r="AX1895" t="s">
        <v>69</v>
      </c>
      <c r="AY1895" t="s">
        <v>32674</v>
      </c>
      <c r="AZ1895" t="s">
        <v>32675</v>
      </c>
      <c r="BA1895" t="s">
        <v>1628</v>
      </c>
      <c r="BB1895">
        <v>1994</v>
      </c>
      <c r="BC1895">
        <v>53</v>
      </c>
      <c r="BD1895">
        <v>2</v>
      </c>
      <c r="BE1895" t="s">
        <v>69</v>
      </c>
      <c r="BF1895" t="s">
        <v>69</v>
      </c>
      <c r="BG1895" t="s">
        <v>69</v>
      </c>
      <c r="BH1895" t="s">
        <v>69</v>
      </c>
      <c r="BI1895">
        <v>150</v>
      </c>
      <c r="BJ1895">
        <v>159</v>
      </c>
      <c r="BK1895" t="s">
        <v>69</v>
      </c>
      <c r="BL1895" t="s">
        <v>4321</v>
      </c>
      <c r="BM1895" t="str">
        <f>HYPERLINK("http://dx.doi.org/10.17730/humo.53.2.l450153724976107","http://dx.doi.org/10.17730/humo.53.2.l450153724976107")</f>
        <v>http://dx.doi.org/10.17730/humo.53.2.l450153724976107</v>
      </c>
      <c r="BN1895" t="s">
        <v>69</v>
      </c>
      <c r="BO1895" t="s">
        <v>69</v>
      </c>
      <c r="BP1895">
        <v>10</v>
      </c>
      <c r="BQ1895" t="s">
        <v>32676</v>
      </c>
      <c r="BR1895" t="s">
        <v>8661</v>
      </c>
      <c r="BS1895" t="s">
        <v>32677</v>
      </c>
      <c r="BT1895" t="s">
        <v>32678</v>
      </c>
      <c r="BU1895" t="s">
        <v>4322</v>
      </c>
      <c r="BV1895" t="s">
        <v>69</v>
      </c>
      <c r="BW1895" t="s">
        <v>69</v>
      </c>
      <c r="BX1895" t="s">
        <v>69</v>
      </c>
      <c r="BY1895" t="s">
        <v>69</v>
      </c>
      <c r="BZ1895" t="s">
        <v>8526</v>
      </c>
      <c r="CA1895" t="str">
        <f>HYPERLINK("https%3A%2F%2Fwww.webofscience.com%2Fwos%2Fwoscc%2Ffull-record%2FWOS:A1994NN82600006","View Full Record in Web of Science")</f>
        <v>View Full Record in Web of Science</v>
      </c>
    </row>
    <row r="1896" spans="2:79" ht="12.5" x14ac:dyDescent="0.25">
      <c r="B1896" t="s">
        <v>8495</v>
      </c>
      <c r="D1896" s="7" t="s">
        <v>32933</v>
      </c>
      <c r="E1896" s="7"/>
      <c r="F1896" s="7"/>
      <c r="G1896" s="7"/>
      <c r="H1896" t="s">
        <v>67</v>
      </c>
      <c r="I1896" t="s">
        <v>5730</v>
      </c>
      <c r="J1896" t="s">
        <v>69</v>
      </c>
      <c r="K1896" t="s">
        <v>69</v>
      </c>
      <c r="L1896" t="s">
        <v>69</v>
      </c>
      <c r="M1896" t="s">
        <v>5731</v>
      </c>
      <c r="N1896" t="s">
        <v>69</v>
      </c>
      <c r="O1896" t="s">
        <v>69</v>
      </c>
      <c r="P1896" t="s">
        <v>5732</v>
      </c>
      <c r="Q1896" t="s">
        <v>5733</v>
      </c>
      <c r="R1896" t="s">
        <v>69</v>
      </c>
      <c r="S1896" t="s">
        <v>69</v>
      </c>
      <c r="T1896" t="s">
        <v>8505</v>
      </c>
      <c r="U1896" t="s">
        <v>8506</v>
      </c>
      <c r="V1896" t="s">
        <v>69</v>
      </c>
      <c r="W1896" t="s">
        <v>69</v>
      </c>
      <c r="X1896" t="s">
        <v>69</v>
      </c>
      <c r="Y1896" t="s">
        <v>69</v>
      </c>
      <c r="Z1896" t="s">
        <v>69</v>
      </c>
      <c r="AA1896" t="s">
        <v>69</v>
      </c>
      <c r="AB1896" t="s">
        <v>69</v>
      </c>
      <c r="AC1896" t="s">
        <v>5734</v>
      </c>
      <c r="AD1896" t="s">
        <v>15186</v>
      </c>
      <c r="AE1896" t="s">
        <v>69</v>
      </c>
      <c r="AF1896" t="s">
        <v>15187</v>
      </c>
      <c r="AG1896" t="s">
        <v>15188</v>
      </c>
      <c r="AH1896" t="s">
        <v>69</v>
      </c>
      <c r="AI1896" t="s">
        <v>5735</v>
      </c>
      <c r="AJ1896" t="s">
        <v>15189</v>
      </c>
      <c r="AK1896" t="s">
        <v>15190</v>
      </c>
      <c r="AL1896" t="s">
        <v>15191</v>
      </c>
      <c r="AM1896" t="s">
        <v>69</v>
      </c>
      <c r="AN1896">
        <v>22</v>
      </c>
      <c r="AO1896">
        <v>2</v>
      </c>
      <c r="AP1896">
        <v>2</v>
      </c>
      <c r="AQ1896">
        <v>1</v>
      </c>
      <c r="AR1896">
        <v>4</v>
      </c>
      <c r="AS1896" t="s">
        <v>9577</v>
      </c>
      <c r="AT1896" t="s">
        <v>9578</v>
      </c>
      <c r="AU1896" t="s">
        <v>9579</v>
      </c>
      <c r="AV1896" t="s">
        <v>5736</v>
      </c>
      <c r="AW1896" t="s">
        <v>5737</v>
      </c>
      <c r="AX1896" t="s">
        <v>69</v>
      </c>
      <c r="AY1896" t="s">
        <v>15192</v>
      </c>
      <c r="AZ1896" t="s">
        <v>15193</v>
      </c>
      <c r="BA1896" t="s">
        <v>5738</v>
      </c>
      <c r="BB1896">
        <v>2020</v>
      </c>
      <c r="BC1896">
        <v>24</v>
      </c>
      <c r="BD1896">
        <v>5</v>
      </c>
      <c r="BE1896" t="s">
        <v>69</v>
      </c>
      <c r="BF1896" t="s">
        <v>69</v>
      </c>
      <c r="BG1896" t="s">
        <v>69</v>
      </c>
      <c r="BH1896" t="s">
        <v>69</v>
      </c>
      <c r="BI1896">
        <v>2483</v>
      </c>
      <c r="BJ1896">
        <v>2503</v>
      </c>
      <c r="BK1896" t="s">
        <v>69</v>
      </c>
      <c r="BL1896" t="s">
        <v>5739</v>
      </c>
      <c r="BM1896" t="str">
        <f>HYPERLINK("http://dx.doi.org/10.5194/hess-24-2483-2020","http://dx.doi.org/10.5194/hess-24-2483-2020")</f>
        <v>http://dx.doi.org/10.5194/hess-24-2483-2020</v>
      </c>
      <c r="BN1896" t="s">
        <v>69</v>
      </c>
      <c r="BO1896" t="s">
        <v>69</v>
      </c>
      <c r="BP1896">
        <v>21</v>
      </c>
      <c r="BQ1896" t="s">
        <v>15194</v>
      </c>
      <c r="BR1896" t="s">
        <v>8548</v>
      </c>
      <c r="BS1896" t="s">
        <v>15195</v>
      </c>
      <c r="BT1896" t="s">
        <v>15196</v>
      </c>
      <c r="BU1896" t="s">
        <v>5740</v>
      </c>
      <c r="BV1896" t="s">
        <v>69</v>
      </c>
      <c r="BW1896" t="s">
        <v>12220</v>
      </c>
      <c r="BX1896" t="s">
        <v>69</v>
      </c>
      <c r="BY1896" t="s">
        <v>69</v>
      </c>
      <c r="BZ1896" t="s">
        <v>8526</v>
      </c>
      <c r="CA1896" t="str">
        <f>HYPERLINK("https%3A%2F%2Fwww.webofscience.com%2Fwos%2Fwoscc%2Ffull-record%2FWOS:000535232500001","View Full Record in Web of Science")</f>
        <v>View Full Record in Web of Science</v>
      </c>
    </row>
    <row r="1897" spans="2:79" ht="12.5" x14ac:dyDescent="0.25">
      <c r="B1897" t="s">
        <v>8495</v>
      </c>
      <c r="D1897" s="7" t="s">
        <v>32933</v>
      </c>
      <c r="E1897" s="7"/>
      <c r="F1897" s="7"/>
      <c r="G1897" s="7"/>
      <c r="H1897" t="s">
        <v>67</v>
      </c>
      <c r="I1897" t="s">
        <v>7854</v>
      </c>
      <c r="J1897" t="s">
        <v>69</v>
      </c>
      <c r="K1897" t="s">
        <v>69</v>
      </c>
      <c r="L1897" t="s">
        <v>69</v>
      </c>
      <c r="M1897" t="s">
        <v>7855</v>
      </c>
      <c r="N1897" t="s">
        <v>69</v>
      </c>
      <c r="O1897" t="s">
        <v>69</v>
      </c>
      <c r="P1897" t="s">
        <v>7856</v>
      </c>
      <c r="Q1897" t="s">
        <v>352</v>
      </c>
      <c r="R1897" t="s">
        <v>69</v>
      </c>
      <c r="S1897" t="s">
        <v>69</v>
      </c>
      <c r="T1897" t="s">
        <v>8505</v>
      </c>
      <c r="U1897" t="s">
        <v>8506</v>
      </c>
      <c r="V1897" t="s">
        <v>69</v>
      </c>
      <c r="W1897" t="s">
        <v>69</v>
      </c>
      <c r="X1897" t="s">
        <v>69</v>
      </c>
      <c r="Y1897" t="s">
        <v>69</v>
      </c>
      <c r="Z1897" t="s">
        <v>69</v>
      </c>
      <c r="AA1897" t="s">
        <v>14622</v>
      </c>
      <c r="AB1897" t="s">
        <v>14623</v>
      </c>
      <c r="AC1897" t="s">
        <v>7857</v>
      </c>
      <c r="AD1897" t="s">
        <v>14624</v>
      </c>
      <c r="AE1897" t="s">
        <v>69</v>
      </c>
      <c r="AF1897" t="s">
        <v>14625</v>
      </c>
      <c r="AG1897" t="s">
        <v>14626</v>
      </c>
      <c r="AH1897" t="s">
        <v>14627</v>
      </c>
      <c r="AI1897" t="s">
        <v>7858</v>
      </c>
      <c r="AJ1897" t="s">
        <v>14628</v>
      </c>
      <c r="AK1897" t="s">
        <v>14628</v>
      </c>
      <c r="AL1897" t="s">
        <v>14629</v>
      </c>
      <c r="AM1897" t="s">
        <v>69</v>
      </c>
      <c r="AN1897">
        <v>44</v>
      </c>
      <c r="AO1897">
        <v>1</v>
      </c>
      <c r="AP1897">
        <v>1</v>
      </c>
      <c r="AQ1897">
        <v>1</v>
      </c>
      <c r="AR1897">
        <v>3</v>
      </c>
      <c r="AS1897" t="s">
        <v>8924</v>
      </c>
      <c r="AT1897" t="s">
        <v>8925</v>
      </c>
      <c r="AU1897" t="s">
        <v>8926</v>
      </c>
      <c r="AV1897" t="s">
        <v>69</v>
      </c>
      <c r="AW1897" t="s">
        <v>354</v>
      </c>
      <c r="AX1897" t="s">
        <v>69</v>
      </c>
      <c r="AY1897" t="s">
        <v>8958</v>
      </c>
      <c r="AZ1897" t="s">
        <v>8434</v>
      </c>
      <c r="BA1897" t="s">
        <v>201</v>
      </c>
      <c r="BB1897">
        <v>2020</v>
      </c>
      <c r="BC1897">
        <v>12</v>
      </c>
      <c r="BD1897">
        <v>16</v>
      </c>
      <c r="BE1897" t="s">
        <v>69</v>
      </c>
      <c r="BF1897" t="s">
        <v>69</v>
      </c>
      <c r="BG1897" t="s">
        <v>69</v>
      </c>
      <c r="BH1897" t="s">
        <v>69</v>
      </c>
      <c r="BI1897" t="s">
        <v>69</v>
      </c>
      <c r="BJ1897" t="s">
        <v>69</v>
      </c>
      <c r="BK1897">
        <v>6483</v>
      </c>
      <c r="BL1897" t="s">
        <v>7859</v>
      </c>
      <c r="BM1897" t="str">
        <f>HYPERLINK("http://dx.doi.org/10.3390/su12166483","http://dx.doi.org/10.3390/su12166483")</f>
        <v>http://dx.doi.org/10.3390/su12166483</v>
      </c>
      <c r="BN1897" t="s">
        <v>69</v>
      </c>
      <c r="BO1897" t="s">
        <v>69</v>
      </c>
      <c r="BP1897">
        <v>19</v>
      </c>
      <c r="BQ1897" t="s">
        <v>8960</v>
      </c>
      <c r="BR1897" t="s">
        <v>8523</v>
      </c>
      <c r="BS1897" t="s">
        <v>8961</v>
      </c>
      <c r="BT1897" t="s">
        <v>14630</v>
      </c>
      <c r="BU1897" t="s">
        <v>7860</v>
      </c>
      <c r="BV1897" t="s">
        <v>69</v>
      </c>
      <c r="BW1897" t="s">
        <v>8812</v>
      </c>
      <c r="BX1897" t="s">
        <v>69</v>
      </c>
      <c r="BY1897" t="s">
        <v>69</v>
      </c>
      <c r="BZ1897" t="s">
        <v>8526</v>
      </c>
      <c r="CA1897" t="str">
        <f>HYPERLINK("https%3A%2F%2Fwww.webofscience.com%2Fwos%2Fwoscc%2Ffull-record%2FWOS:000578913300001","View Full Record in Web of Science")</f>
        <v>View Full Record in Web of Science</v>
      </c>
    </row>
    <row r="1898" spans="2:79" ht="12.5" x14ac:dyDescent="0.25">
      <c r="B1898" t="s">
        <v>8495</v>
      </c>
      <c r="D1898" s="7" t="s">
        <v>32933</v>
      </c>
      <c r="E1898" s="7"/>
      <c r="F1898" s="7"/>
      <c r="G1898" s="7"/>
      <c r="H1898" t="s">
        <v>67</v>
      </c>
      <c r="I1898" s="1" t="s">
        <v>4637</v>
      </c>
      <c r="J1898" t="s">
        <v>69</v>
      </c>
      <c r="K1898" t="s">
        <v>69</v>
      </c>
      <c r="L1898" t="s">
        <v>69</v>
      </c>
      <c r="M1898" s="1" t="s">
        <v>4638</v>
      </c>
      <c r="N1898" t="s">
        <v>69</v>
      </c>
      <c r="O1898" t="s">
        <v>69</v>
      </c>
      <c r="P1898" s="1" t="s">
        <v>4639</v>
      </c>
      <c r="Q1898" t="s">
        <v>4640</v>
      </c>
      <c r="R1898" t="s">
        <v>69</v>
      </c>
      <c r="S1898" t="s">
        <v>69</v>
      </c>
      <c r="T1898" t="s">
        <v>8505</v>
      </c>
      <c r="U1898" t="s">
        <v>8506</v>
      </c>
      <c r="V1898" t="s">
        <v>69</v>
      </c>
      <c r="W1898" t="s">
        <v>69</v>
      </c>
      <c r="X1898" t="s">
        <v>69</v>
      </c>
      <c r="Y1898" t="s">
        <v>69</v>
      </c>
      <c r="Z1898" t="s">
        <v>69</v>
      </c>
      <c r="AA1898" t="s">
        <v>21037</v>
      </c>
      <c r="AB1898" t="s">
        <v>21038</v>
      </c>
      <c r="AC1898" t="s">
        <v>4641</v>
      </c>
      <c r="AD1898" t="s">
        <v>21039</v>
      </c>
      <c r="AE1898" t="s">
        <v>69</v>
      </c>
      <c r="AF1898" t="s">
        <v>21040</v>
      </c>
      <c r="AG1898" t="s">
        <v>21041</v>
      </c>
      <c r="AH1898" t="s">
        <v>4642</v>
      </c>
      <c r="AI1898" t="s">
        <v>4643</v>
      </c>
      <c r="AJ1898" t="s">
        <v>21042</v>
      </c>
      <c r="AK1898" t="s">
        <v>21043</v>
      </c>
      <c r="AL1898" t="s">
        <v>21044</v>
      </c>
      <c r="AM1898" t="s">
        <v>69</v>
      </c>
      <c r="AN1898">
        <v>39</v>
      </c>
      <c r="AO1898">
        <v>32</v>
      </c>
      <c r="AP1898">
        <v>33</v>
      </c>
      <c r="AQ1898">
        <v>0</v>
      </c>
      <c r="AR1898">
        <v>13</v>
      </c>
      <c r="AS1898" t="s">
        <v>8865</v>
      </c>
      <c r="AT1898" t="s">
        <v>8612</v>
      </c>
      <c r="AU1898" t="s">
        <v>8866</v>
      </c>
      <c r="AV1898" t="s">
        <v>4644</v>
      </c>
      <c r="AW1898" t="s">
        <v>4645</v>
      </c>
      <c r="AX1898" t="s">
        <v>69</v>
      </c>
      <c r="AY1898" t="s">
        <v>21045</v>
      </c>
      <c r="AZ1898" t="s">
        <v>21046</v>
      </c>
      <c r="BA1898" t="s">
        <v>69</v>
      </c>
      <c r="BB1898">
        <v>2017</v>
      </c>
      <c r="BC1898">
        <v>21</v>
      </c>
      <c r="BD1898">
        <v>5</v>
      </c>
      <c r="BE1898" t="s">
        <v>69</v>
      </c>
      <c r="BF1898" t="s">
        <v>69</v>
      </c>
      <c r="BG1898" t="s">
        <v>69</v>
      </c>
      <c r="BH1898" t="s">
        <v>69</v>
      </c>
      <c r="BI1898">
        <v>509</v>
      </c>
      <c r="BJ1898">
        <v>517</v>
      </c>
      <c r="BK1898" t="s">
        <v>69</v>
      </c>
      <c r="BL1898" t="s">
        <v>4646</v>
      </c>
      <c r="BM1898" t="str">
        <f>HYPERLINK("http://dx.doi.org/10.1080/13607863.2015.1124836","http://dx.doi.org/10.1080/13607863.2015.1124836")</f>
        <v>http://dx.doi.org/10.1080/13607863.2015.1124836</v>
      </c>
      <c r="BN1898" t="s">
        <v>69</v>
      </c>
      <c r="BO1898" t="s">
        <v>69</v>
      </c>
      <c r="BP1898">
        <v>9</v>
      </c>
      <c r="BQ1898" t="s">
        <v>21047</v>
      </c>
      <c r="BR1898" t="s">
        <v>8523</v>
      </c>
      <c r="BS1898" t="s">
        <v>21048</v>
      </c>
      <c r="BT1898" t="s">
        <v>21049</v>
      </c>
      <c r="BU1898" t="s">
        <v>4647</v>
      </c>
      <c r="BV1898">
        <v>26689489</v>
      </c>
      <c r="BW1898" t="s">
        <v>69</v>
      </c>
      <c r="BX1898" t="s">
        <v>69</v>
      </c>
      <c r="BY1898" t="s">
        <v>69</v>
      </c>
      <c r="BZ1898" t="s">
        <v>8526</v>
      </c>
      <c r="CA1898" t="str">
        <f>HYPERLINK("https%3A%2F%2Fwww.webofscience.com%2Fwos%2Fwoscc%2Ffull-record%2FWOS:000399880800007","View Full Record in Web of Science")</f>
        <v>View Full Record in Web of Science</v>
      </c>
    </row>
    <row r="1899" spans="2:79" ht="12.5" x14ac:dyDescent="0.25">
      <c r="B1899" t="s">
        <v>8495</v>
      </c>
      <c r="D1899" s="22" t="s">
        <v>32931</v>
      </c>
      <c r="E1899" s="7"/>
      <c r="F1899" s="7"/>
      <c r="G1899" s="7"/>
      <c r="H1899" t="s">
        <v>67</v>
      </c>
      <c r="I1899" t="s">
        <v>32009</v>
      </c>
      <c r="J1899" t="s">
        <v>69</v>
      </c>
      <c r="K1899" t="s">
        <v>69</v>
      </c>
      <c r="L1899" t="s">
        <v>69</v>
      </c>
      <c r="M1899" t="s">
        <v>32009</v>
      </c>
      <c r="N1899" t="s">
        <v>69</v>
      </c>
      <c r="O1899" t="s">
        <v>69</v>
      </c>
      <c r="P1899" t="s">
        <v>32010</v>
      </c>
      <c r="Q1899" t="s">
        <v>32011</v>
      </c>
      <c r="R1899" t="s">
        <v>69</v>
      </c>
      <c r="S1899" t="s">
        <v>69</v>
      </c>
      <c r="T1899" t="s">
        <v>8505</v>
      </c>
      <c r="U1899" t="s">
        <v>15797</v>
      </c>
      <c r="V1899" t="s">
        <v>32012</v>
      </c>
      <c r="W1899" t="s">
        <v>32013</v>
      </c>
      <c r="X1899" t="s">
        <v>32014</v>
      </c>
      <c r="Y1899" t="s">
        <v>32015</v>
      </c>
      <c r="Z1899" t="s">
        <v>69</v>
      </c>
      <c r="AA1899" t="s">
        <v>32016</v>
      </c>
      <c r="AB1899" t="s">
        <v>69</v>
      </c>
      <c r="AC1899" t="s">
        <v>32017</v>
      </c>
      <c r="AD1899" t="s">
        <v>32018</v>
      </c>
      <c r="AE1899" t="s">
        <v>69</v>
      </c>
      <c r="AF1899" t="s">
        <v>32019</v>
      </c>
      <c r="AG1899" t="s">
        <v>69</v>
      </c>
      <c r="AH1899" t="s">
        <v>69</v>
      </c>
      <c r="AI1899" t="s">
        <v>69</v>
      </c>
      <c r="AJ1899" t="s">
        <v>69</v>
      </c>
      <c r="AK1899" t="s">
        <v>69</v>
      </c>
      <c r="AL1899" t="s">
        <v>69</v>
      </c>
      <c r="AM1899" t="s">
        <v>69</v>
      </c>
      <c r="AN1899">
        <v>4</v>
      </c>
      <c r="AO1899">
        <v>7</v>
      </c>
      <c r="AP1899">
        <v>9</v>
      </c>
      <c r="AQ1899">
        <v>0</v>
      </c>
      <c r="AR1899">
        <v>15</v>
      </c>
      <c r="AS1899" t="s">
        <v>32020</v>
      </c>
      <c r="AT1899" t="s">
        <v>32021</v>
      </c>
      <c r="AU1899" t="s">
        <v>32022</v>
      </c>
      <c r="AV1899" t="s">
        <v>32023</v>
      </c>
      <c r="AW1899" t="s">
        <v>69</v>
      </c>
      <c r="AX1899" t="s">
        <v>69</v>
      </c>
      <c r="AY1899" t="s">
        <v>32024</v>
      </c>
      <c r="AZ1899" t="s">
        <v>32025</v>
      </c>
      <c r="BA1899" t="s">
        <v>191</v>
      </c>
      <c r="BB1899">
        <v>1999</v>
      </c>
      <c r="BC1899">
        <v>77</v>
      </c>
      <c r="BD1899">
        <v>2</v>
      </c>
      <c r="BE1899" t="s">
        <v>69</v>
      </c>
      <c r="BF1899" t="s">
        <v>69</v>
      </c>
      <c r="BG1899" t="s">
        <v>69</v>
      </c>
      <c r="BH1899" t="s">
        <v>69</v>
      </c>
      <c r="BI1899">
        <v>361</v>
      </c>
      <c r="BJ1899">
        <v>366</v>
      </c>
      <c r="BK1899" t="s">
        <v>69</v>
      </c>
      <c r="BL1899" t="s">
        <v>69</v>
      </c>
      <c r="BM1899" t="s">
        <v>69</v>
      </c>
      <c r="BN1899" t="s">
        <v>69</v>
      </c>
      <c r="BO1899" t="s">
        <v>69</v>
      </c>
      <c r="BP1899">
        <v>6</v>
      </c>
      <c r="BQ1899" t="s">
        <v>9683</v>
      </c>
      <c r="BR1899" t="s">
        <v>29550</v>
      </c>
      <c r="BS1899" t="s">
        <v>8450</v>
      </c>
      <c r="BT1899" t="s">
        <v>32026</v>
      </c>
      <c r="BU1899" t="s">
        <v>32027</v>
      </c>
      <c r="BV1899">
        <v>10100664</v>
      </c>
      <c r="BW1899" t="s">
        <v>69</v>
      </c>
      <c r="BX1899" t="s">
        <v>69</v>
      </c>
      <c r="BY1899" t="s">
        <v>69</v>
      </c>
      <c r="BZ1899" t="s">
        <v>8526</v>
      </c>
      <c r="CA1899" t="str">
        <f>HYPERLINK("https%3A%2F%2Fwww.webofscience.com%2Fwos%2Fwoscc%2Ffull-record%2FWOS:000084444600011","View Full Record in Web of Science")</f>
        <v>View Full Record in Web of Science</v>
      </c>
    </row>
    <row r="1900" spans="2:79" ht="12.5" x14ac:dyDescent="0.25">
      <c r="B1900" t="s">
        <v>8495</v>
      </c>
      <c r="D1900" s="22" t="s">
        <v>32931</v>
      </c>
      <c r="E1900" s="7"/>
      <c r="F1900" s="7"/>
      <c r="G1900" s="7"/>
      <c r="H1900" t="s">
        <v>67</v>
      </c>
      <c r="I1900" t="s">
        <v>21536</v>
      </c>
      <c r="J1900" t="s">
        <v>69</v>
      </c>
      <c r="K1900" t="s">
        <v>69</v>
      </c>
      <c r="L1900" t="s">
        <v>69</v>
      </c>
      <c r="M1900" t="s">
        <v>21537</v>
      </c>
      <c r="N1900" t="s">
        <v>69</v>
      </c>
      <c r="O1900" t="s">
        <v>69</v>
      </c>
      <c r="P1900" t="s">
        <v>21538</v>
      </c>
      <c r="Q1900" t="s">
        <v>1405</v>
      </c>
      <c r="R1900" t="s">
        <v>69</v>
      </c>
      <c r="S1900" t="s">
        <v>69</v>
      </c>
      <c r="T1900" t="s">
        <v>8505</v>
      </c>
      <c r="U1900" t="s">
        <v>8506</v>
      </c>
      <c r="V1900" t="s">
        <v>69</v>
      </c>
      <c r="W1900" t="s">
        <v>69</v>
      </c>
      <c r="X1900" t="s">
        <v>69</v>
      </c>
      <c r="Y1900" t="s">
        <v>69</v>
      </c>
      <c r="Z1900" t="s">
        <v>69</v>
      </c>
      <c r="AA1900" t="s">
        <v>21539</v>
      </c>
      <c r="AB1900" t="s">
        <v>21540</v>
      </c>
      <c r="AC1900" t="s">
        <v>21541</v>
      </c>
      <c r="AD1900" t="s">
        <v>21542</v>
      </c>
      <c r="AE1900" t="s">
        <v>69</v>
      </c>
      <c r="AF1900" t="s">
        <v>21543</v>
      </c>
      <c r="AG1900" t="s">
        <v>21544</v>
      </c>
      <c r="AH1900" t="s">
        <v>21545</v>
      </c>
      <c r="AI1900" t="s">
        <v>21546</v>
      </c>
      <c r="AJ1900" t="s">
        <v>21547</v>
      </c>
      <c r="AK1900" t="s">
        <v>21548</v>
      </c>
      <c r="AL1900" t="s">
        <v>21549</v>
      </c>
      <c r="AM1900" t="s">
        <v>69</v>
      </c>
      <c r="AN1900">
        <v>61</v>
      </c>
      <c r="AO1900">
        <v>36</v>
      </c>
      <c r="AP1900">
        <v>38</v>
      </c>
      <c r="AQ1900">
        <v>6</v>
      </c>
      <c r="AR1900">
        <v>80</v>
      </c>
      <c r="AS1900" t="s">
        <v>8636</v>
      </c>
      <c r="AT1900" t="s">
        <v>8637</v>
      </c>
      <c r="AU1900" t="s">
        <v>8638</v>
      </c>
      <c r="AV1900" t="s">
        <v>1407</v>
      </c>
      <c r="AW1900" t="s">
        <v>1408</v>
      </c>
      <c r="AX1900" t="s">
        <v>69</v>
      </c>
      <c r="AY1900" t="s">
        <v>14240</v>
      </c>
      <c r="AZ1900" t="s">
        <v>8486</v>
      </c>
      <c r="BA1900" t="s">
        <v>84</v>
      </c>
      <c r="BB1900">
        <v>2016</v>
      </c>
      <c r="BC1900">
        <v>94</v>
      </c>
      <c r="BD1900" t="s">
        <v>69</v>
      </c>
      <c r="BE1900" t="s">
        <v>69</v>
      </c>
      <c r="BF1900" t="s">
        <v>69</v>
      </c>
      <c r="BG1900" t="s">
        <v>69</v>
      </c>
      <c r="BH1900" t="s">
        <v>69</v>
      </c>
      <c r="BI1900">
        <v>317</v>
      </c>
      <c r="BJ1900">
        <v>330</v>
      </c>
      <c r="BK1900" t="s">
        <v>69</v>
      </c>
      <c r="BL1900" t="s">
        <v>21550</v>
      </c>
      <c r="BM1900" t="str">
        <f>HYPERLINK("http://dx.doi.org/10.1016/j.enpol.2016.03.049","http://dx.doi.org/10.1016/j.enpol.2016.03.049")</f>
        <v>http://dx.doi.org/10.1016/j.enpol.2016.03.049</v>
      </c>
      <c r="BN1900" t="s">
        <v>69</v>
      </c>
      <c r="BO1900" t="s">
        <v>69</v>
      </c>
      <c r="BP1900">
        <v>14</v>
      </c>
      <c r="BQ1900" t="s">
        <v>14242</v>
      </c>
      <c r="BR1900" t="s">
        <v>8523</v>
      </c>
      <c r="BS1900" t="s">
        <v>14243</v>
      </c>
      <c r="BT1900" t="s">
        <v>21551</v>
      </c>
      <c r="BU1900" t="s">
        <v>21552</v>
      </c>
      <c r="BV1900" t="s">
        <v>69</v>
      </c>
      <c r="BW1900" t="s">
        <v>8746</v>
      </c>
      <c r="BX1900" t="s">
        <v>69</v>
      </c>
      <c r="BY1900" t="s">
        <v>69</v>
      </c>
      <c r="BZ1900" t="s">
        <v>8526</v>
      </c>
      <c r="CA1900" t="str">
        <f>HYPERLINK("https%3A%2F%2Fwww.webofscience.com%2Fwos%2Fwoscc%2Ffull-record%2FWOS:000377725000033","View Full Record in Web of Science")</f>
        <v>View Full Record in Web of Science</v>
      </c>
    </row>
    <row r="1901" spans="2:79" ht="12.5" x14ac:dyDescent="0.25">
      <c r="B1901" t="s">
        <v>8495</v>
      </c>
      <c r="D1901" s="7" t="s">
        <v>32933</v>
      </c>
      <c r="E1901" s="7"/>
      <c r="F1901" s="7"/>
      <c r="G1901" s="7"/>
      <c r="H1901" t="s">
        <v>67</v>
      </c>
      <c r="I1901" t="s">
        <v>3060</v>
      </c>
      <c r="J1901" t="s">
        <v>69</v>
      </c>
      <c r="K1901" t="s">
        <v>69</v>
      </c>
      <c r="L1901" t="s">
        <v>69</v>
      </c>
      <c r="M1901" t="s">
        <v>3061</v>
      </c>
      <c r="N1901" t="s">
        <v>69</v>
      </c>
      <c r="O1901" t="s">
        <v>69</v>
      </c>
      <c r="P1901" t="s">
        <v>3062</v>
      </c>
      <c r="Q1901" t="s">
        <v>3063</v>
      </c>
      <c r="R1901" t="s">
        <v>69</v>
      </c>
      <c r="S1901" t="s">
        <v>69</v>
      </c>
      <c r="T1901" t="s">
        <v>8505</v>
      </c>
      <c r="U1901" t="s">
        <v>8506</v>
      </c>
      <c r="V1901" t="s">
        <v>69</v>
      </c>
      <c r="W1901" t="s">
        <v>69</v>
      </c>
      <c r="X1901" t="s">
        <v>69</v>
      </c>
      <c r="Y1901" t="s">
        <v>69</v>
      </c>
      <c r="Z1901" t="s">
        <v>69</v>
      </c>
      <c r="AA1901" t="s">
        <v>22923</v>
      </c>
      <c r="AB1901" t="s">
        <v>69</v>
      </c>
      <c r="AC1901" t="s">
        <v>3064</v>
      </c>
      <c r="AD1901" t="s">
        <v>22924</v>
      </c>
      <c r="AE1901" t="s">
        <v>69</v>
      </c>
      <c r="AF1901" t="s">
        <v>22925</v>
      </c>
      <c r="AG1901" t="s">
        <v>22926</v>
      </c>
      <c r="AH1901" t="s">
        <v>3065</v>
      </c>
      <c r="AI1901" t="s">
        <v>3066</v>
      </c>
      <c r="AJ1901" t="s">
        <v>69</v>
      </c>
      <c r="AK1901" t="s">
        <v>69</v>
      </c>
      <c r="AL1901" t="s">
        <v>69</v>
      </c>
      <c r="AM1901" t="s">
        <v>69</v>
      </c>
      <c r="AN1901">
        <v>13</v>
      </c>
      <c r="AO1901">
        <v>5</v>
      </c>
      <c r="AP1901">
        <v>5</v>
      </c>
      <c r="AQ1901">
        <v>0</v>
      </c>
      <c r="AR1901">
        <v>3</v>
      </c>
      <c r="AS1901" t="s">
        <v>8865</v>
      </c>
      <c r="AT1901" t="s">
        <v>8612</v>
      </c>
      <c r="AU1901" t="s">
        <v>22341</v>
      </c>
      <c r="AV1901" t="s">
        <v>3067</v>
      </c>
      <c r="AW1901" t="s">
        <v>3068</v>
      </c>
      <c r="AX1901" t="s">
        <v>69</v>
      </c>
      <c r="AY1901" t="s">
        <v>22927</v>
      </c>
      <c r="AZ1901" t="s">
        <v>22928</v>
      </c>
      <c r="BA1901" t="s">
        <v>837</v>
      </c>
      <c r="BB1901">
        <v>2015</v>
      </c>
      <c r="BC1901">
        <v>21</v>
      </c>
      <c r="BD1901">
        <v>1</v>
      </c>
      <c r="BE1901" t="s">
        <v>69</v>
      </c>
      <c r="BF1901" t="s">
        <v>69</v>
      </c>
      <c r="BG1901" t="s">
        <v>69</v>
      </c>
      <c r="BH1901" t="s">
        <v>69</v>
      </c>
      <c r="BI1901">
        <v>37</v>
      </c>
      <c r="BJ1901">
        <v>49</v>
      </c>
      <c r="BK1901" t="s">
        <v>69</v>
      </c>
      <c r="BL1901" t="s">
        <v>3069</v>
      </c>
      <c r="BM1901" t="str">
        <f>HYPERLINK("http://dx.doi.org/10.1080/14445921.2015.1026133","http://dx.doi.org/10.1080/14445921.2015.1026133")</f>
        <v>http://dx.doi.org/10.1080/14445921.2015.1026133</v>
      </c>
      <c r="BN1901" t="s">
        <v>69</v>
      </c>
      <c r="BO1901" t="s">
        <v>69</v>
      </c>
      <c r="BP1901">
        <v>13</v>
      </c>
      <c r="BQ1901" t="s">
        <v>8444</v>
      </c>
      <c r="BR1901" t="s">
        <v>8573</v>
      </c>
      <c r="BS1901" t="s">
        <v>8594</v>
      </c>
      <c r="BT1901" t="s">
        <v>22929</v>
      </c>
      <c r="BU1901" t="s">
        <v>3070</v>
      </c>
      <c r="BV1901" t="s">
        <v>69</v>
      </c>
      <c r="BW1901" t="s">
        <v>69</v>
      </c>
      <c r="BX1901" t="s">
        <v>69</v>
      </c>
      <c r="BY1901" t="s">
        <v>69</v>
      </c>
      <c r="BZ1901" t="s">
        <v>8526</v>
      </c>
      <c r="CA1901" t="str">
        <f>HYPERLINK("https%3A%2F%2Fwww.webofscience.com%2Fwos%2Fwoscc%2Ffull-record%2FWOS:000354261900003","View Full Record in Web of Science")</f>
        <v>View Full Record in Web of Science</v>
      </c>
    </row>
    <row r="1902" spans="2:79" x14ac:dyDescent="0.3">
      <c r="B1902" t="s">
        <v>8495</v>
      </c>
      <c r="D1902" s="12" t="s">
        <v>33045</v>
      </c>
      <c r="H1902" t="s">
        <v>67</v>
      </c>
      <c r="I1902" t="s">
        <v>4684</v>
      </c>
      <c r="J1902" t="s">
        <v>69</v>
      </c>
      <c r="K1902" t="s">
        <v>69</v>
      </c>
      <c r="L1902" t="s">
        <v>69</v>
      </c>
      <c r="M1902" s="3" t="s">
        <v>4685</v>
      </c>
      <c r="N1902" t="s">
        <v>69</v>
      </c>
      <c r="O1902" t="s">
        <v>69</v>
      </c>
      <c r="P1902" s="2" t="s">
        <v>4686</v>
      </c>
      <c r="Q1902" t="s">
        <v>4687</v>
      </c>
      <c r="R1902" t="s">
        <v>69</v>
      </c>
      <c r="S1902" t="s">
        <v>69</v>
      </c>
      <c r="T1902" t="s">
        <v>8505</v>
      </c>
      <c r="U1902" t="s">
        <v>8506</v>
      </c>
      <c r="V1902" t="s">
        <v>69</v>
      </c>
      <c r="W1902" t="s">
        <v>69</v>
      </c>
      <c r="X1902" t="s">
        <v>69</v>
      </c>
      <c r="Y1902" t="s">
        <v>69</v>
      </c>
      <c r="Z1902" t="s">
        <v>69</v>
      </c>
      <c r="AA1902" t="s">
        <v>28413</v>
      </c>
      <c r="AB1902" t="s">
        <v>28414</v>
      </c>
      <c r="AC1902" t="s">
        <v>4688</v>
      </c>
      <c r="AD1902" t="s">
        <v>28415</v>
      </c>
      <c r="AE1902" t="s">
        <v>69</v>
      </c>
      <c r="AF1902" t="s">
        <v>28416</v>
      </c>
      <c r="AG1902" t="s">
        <v>28417</v>
      </c>
      <c r="AH1902" t="s">
        <v>69</v>
      </c>
      <c r="AI1902" t="s">
        <v>69</v>
      </c>
      <c r="AJ1902" t="s">
        <v>69</v>
      </c>
      <c r="AK1902" t="s">
        <v>69</v>
      </c>
      <c r="AL1902" t="s">
        <v>69</v>
      </c>
      <c r="AM1902" t="s">
        <v>69</v>
      </c>
      <c r="AN1902">
        <v>94</v>
      </c>
      <c r="AO1902">
        <v>24</v>
      </c>
      <c r="AP1902">
        <v>24</v>
      </c>
      <c r="AQ1902">
        <v>0</v>
      </c>
      <c r="AR1902">
        <v>48</v>
      </c>
      <c r="AS1902" t="s">
        <v>8762</v>
      </c>
      <c r="AT1902" t="s">
        <v>8763</v>
      </c>
      <c r="AU1902" t="s">
        <v>8764</v>
      </c>
      <c r="AV1902" t="s">
        <v>4689</v>
      </c>
      <c r="AW1902" t="s">
        <v>69</v>
      </c>
      <c r="AX1902" t="s">
        <v>69</v>
      </c>
      <c r="AY1902" t="s">
        <v>28418</v>
      </c>
      <c r="AZ1902" t="s">
        <v>28419</v>
      </c>
      <c r="BA1902" t="s">
        <v>84</v>
      </c>
      <c r="BB1902">
        <v>2009</v>
      </c>
      <c r="BC1902">
        <v>40</v>
      </c>
      <c r="BD1902">
        <v>3</v>
      </c>
      <c r="BE1902" t="s">
        <v>69</v>
      </c>
      <c r="BF1902" t="s">
        <v>69</v>
      </c>
      <c r="BG1902" t="s">
        <v>69</v>
      </c>
      <c r="BH1902" t="s">
        <v>69</v>
      </c>
      <c r="BI1902">
        <v>289</v>
      </c>
      <c r="BJ1902">
        <v>310</v>
      </c>
      <c r="BK1902" t="s">
        <v>69</v>
      </c>
      <c r="BL1902" t="s">
        <v>4690</v>
      </c>
      <c r="BM1902" t="str">
        <f>HYPERLINK("http://dx.doi.org/10.1177/1350507609104341","http://dx.doi.org/10.1177/1350507609104341")</f>
        <v>http://dx.doi.org/10.1177/1350507609104341</v>
      </c>
      <c r="BN1902" t="s">
        <v>69</v>
      </c>
      <c r="BO1902" t="s">
        <v>69</v>
      </c>
      <c r="BP1902">
        <v>22</v>
      </c>
      <c r="BQ1902" t="s">
        <v>9410</v>
      </c>
      <c r="BR1902" t="s">
        <v>8661</v>
      </c>
      <c r="BS1902" t="s">
        <v>8594</v>
      </c>
      <c r="BT1902" t="s">
        <v>28420</v>
      </c>
      <c r="BU1902" t="s">
        <v>4691</v>
      </c>
      <c r="BV1902" t="s">
        <v>69</v>
      </c>
      <c r="BW1902" t="s">
        <v>69</v>
      </c>
      <c r="BX1902" t="s">
        <v>69</v>
      </c>
      <c r="BY1902" t="s">
        <v>69</v>
      </c>
      <c r="BZ1902" t="s">
        <v>8526</v>
      </c>
      <c r="CA1902" t="str">
        <f>HYPERLINK("https%3A%2F%2Fwww.webofscience.com%2Fwos%2Fwoscc%2Ffull-record%2FWOS:000266876800005","View Full Record in Web of Science")</f>
        <v>View Full Record in Web of Science</v>
      </c>
    </row>
    <row r="1903" spans="2:79" ht="12.5" x14ac:dyDescent="0.25">
      <c r="B1903" t="s">
        <v>8495</v>
      </c>
      <c r="D1903" s="7" t="s">
        <v>32933</v>
      </c>
      <c r="E1903" s="7"/>
      <c r="F1903" s="7"/>
      <c r="G1903" s="7"/>
      <c r="H1903" t="s">
        <v>67</v>
      </c>
      <c r="I1903" t="s">
        <v>2946</v>
      </c>
      <c r="J1903" t="s">
        <v>69</v>
      </c>
      <c r="K1903" t="s">
        <v>69</v>
      </c>
      <c r="L1903" t="s">
        <v>69</v>
      </c>
      <c r="M1903" t="s">
        <v>2947</v>
      </c>
      <c r="N1903" t="s">
        <v>69</v>
      </c>
      <c r="O1903" t="s">
        <v>69</v>
      </c>
      <c r="P1903" t="s">
        <v>2948</v>
      </c>
      <c r="Q1903" t="s">
        <v>2949</v>
      </c>
      <c r="R1903" t="s">
        <v>69</v>
      </c>
      <c r="S1903" t="s">
        <v>69</v>
      </c>
      <c r="T1903" t="s">
        <v>8505</v>
      </c>
      <c r="U1903" t="s">
        <v>8442</v>
      </c>
      <c r="V1903" t="s">
        <v>69</v>
      </c>
      <c r="W1903" t="s">
        <v>69</v>
      </c>
      <c r="X1903" t="s">
        <v>69</v>
      </c>
      <c r="Y1903" t="s">
        <v>69</v>
      </c>
      <c r="Z1903" t="s">
        <v>69</v>
      </c>
      <c r="AA1903" t="s">
        <v>22206</v>
      </c>
      <c r="AB1903" t="s">
        <v>22207</v>
      </c>
      <c r="AC1903" t="s">
        <v>2950</v>
      </c>
      <c r="AD1903" t="s">
        <v>22208</v>
      </c>
      <c r="AE1903" t="s">
        <v>69</v>
      </c>
      <c r="AF1903" t="s">
        <v>22209</v>
      </c>
      <c r="AG1903" t="s">
        <v>22210</v>
      </c>
      <c r="AH1903" t="s">
        <v>22211</v>
      </c>
      <c r="AI1903" t="s">
        <v>22212</v>
      </c>
      <c r="AJ1903" t="s">
        <v>22213</v>
      </c>
      <c r="AK1903" t="s">
        <v>11825</v>
      </c>
      <c r="AL1903" t="s">
        <v>22214</v>
      </c>
      <c r="AM1903" t="s">
        <v>69</v>
      </c>
      <c r="AN1903">
        <v>101</v>
      </c>
      <c r="AO1903">
        <v>15</v>
      </c>
      <c r="AP1903">
        <v>15</v>
      </c>
      <c r="AQ1903">
        <v>9</v>
      </c>
      <c r="AR1903">
        <v>20</v>
      </c>
      <c r="AS1903" t="s">
        <v>8992</v>
      </c>
      <c r="AT1903" t="s">
        <v>8993</v>
      </c>
      <c r="AU1903" t="s">
        <v>8994</v>
      </c>
      <c r="AV1903" t="s">
        <v>69</v>
      </c>
      <c r="AW1903" t="s">
        <v>2951</v>
      </c>
      <c r="AX1903" t="s">
        <v>69</v>
      </c>
      <c r="AY1903" t="s">
        <v>10040</v>
      </c>
      <c r="AZ1903" t="s">
        <v>10041</v>
      </c>
      <c r="BA1903" t="s">
        <v>69</v>
      </c>
      <c r="BB1903">
        <v>2016</v>
      </c>
      <c r="BC1903">
        <v>3</v>
      </c>
      <c r="BD1903" t="s">
        <v>69</v>
      </c>
      <c r="BE1903" t="s">
        <v>69</v>
      </c>
      <c r="BF1903" t="s">
        <v>69</v>
      </c>
      <c r="BG1903" t="s">
        <v>69</v>
      </c>
      <c r="BH1903" t="s">
        <v>69</v>
      </c>
      <c r="BI1903" t="s">
        <v>69</v>
      </c>
      <c r="BJ1903" t="s">
        <v>69</v>
      </c>
      <c r="BK1903">
        <v>248</v>
      </c>
      <c r="BL1903" t="s">
        <v>2952</v>
      </c>
      <c r="BM1903" t="str">
        <f>HYPERLINK("http://dx.doi.org/10.3389/fmars.2016.00248","http://dx.doi.org/10.3389/fmars.2016.00248")</f>
        <v>http://dx.doi.org/10.3389/fmars.2016.00248</v>
      </c>
      <c r="BN1903" t="s">
        <v>69</v>
      </c>
      <c r="BO1903" t="s">
        <v>69</v>
      </c>
      <c r="BP1903">
        <v>14</v>
      </c>
      <c r="BQ1903" t="s">
        <v>10043</v>
      </c>
      <c r="BR1903" t="s">
        <v>8548</v>
      </c>
      <c r="BS1903" t="s">
        <v>10044</v>
      </c>
      <c r="BT1903" t="s">
        <v>22215</v>
      </c>
      <c r="BU1903" t="s">
        <v>2953</v>
      </c>
      <c r="BV1903" t="s">
        <v>69</v>
      </c>
      <c r="BW1903" t="s">
        <v>9352</v>
      </c>
      <c r="BX1903" t="s">
        <v>69</v>
      </c>
      <c r="BY1903" t="s">
        <v>69</v>
      </c>
      <c r="BZ1903" t="s">
        <v>8526</v>
      </c>
      <c r="CA1903" t="str">
        <f>HYPERLINK("https%3A%2F%2Fwww.webofscience.com%2Fwos%2Fwoscc%2Ffull-record%2FWOS:000457358000244","View Full Record in Web of Science")</f>
        <v>View Full Record in Web of Science</v>
      </c>
    </row>
    <row r="1904" spans="2:79" ht="12.5" x14ac:dyDescent="0.25">
      <c r="B1904" t="s">
        <v>8495</v>
      </c>
      <c r="D1904" s="7" t="s">
        <v>32933</v>
      </c>
      <c r="E1904" s="7"/>
      <c r="F1904" s="7"/>
      <c r="G1904" s="7"/>
      <c r="H1904" t="s">
        <v>67</v>
      </c>
      <c r="I1904" t="s">
        <v>7347</v>
      </c>
      <c r="J1904" t="s">
        <v>69</v>
      </c>
      <c r="K1904" t="s">
        <v>69</v>
      </c>
      <c r="L1904" t="s">
        <v>69</v>
      </c>
      <c r="M1904" t="s">
        <v>7348</v>
      </c>
      <c r="N1904" t="s">
        <v>69</v>
      </c>
      <c r="O1904" t="s">
        <v>69</v>
      </c>
      <c r="P1904" t="s">
        <v>7349</v>
      </c>
      <c r="Q1904" t="s">
        <v>3658</v>
      </c>
      <c r="R1904" t="s">
        <v>69</v>
      </c>
      <c r="S1904" t="s">
        <v>69</v>
      </c>
      <c r="T1904" t="s">
        <v>8505</v>
      </c>
      <c r="U1904" t="s">
        <v>8506</v>
      </c>
      <c r="V1904" t="s">
        <v>69</v>
      </c>
      <c r="W1904" t="s">
        <v>69</v>
      </c>
      <c r="X1904" t="s">
        <v>69</v>
      </c>
      <c r="Y1904" t="s">
        <v>69</v>
      </c>
      <c r="Z1904" t="s">
        <v>69</v>
      </c>
      <c r="AA1904" t="s">
        <v>69</v>
      </c>
      <c r="AB1904" t="s">
        <v>17625</v>
      </c>
      <c r="AC1904" t="s">
        <v>7350</v>
      </c>
      <c r="AD1904" t="s">
        <v>17626</v>
      </c>
      <c r="AE1904" t="s">
        <v>69</v>
      </c>
      <c r="AF1904" t="s">
        <v>17627</v>
      </c>
      <c r="AG1904" t="s">
        <v>17628</v>
      </c>
      <c r="AH1904" t="s">
        <v>7351</v>
      </c>
      <c r="AI1904" t="s">
        <v>17629</v>
      </c>
      <c r="AJ1904" t="s">
        <v>17630</v>
      </c>
      <c r="AK1904" t="s">
        <v>17630</v>
      </c>
      <c r="AL1904" t="s">
        <v>17631</v>
      </c>
      <c r="AM1904" t="s">
        <v>69</v>
      </c>
      <c r="AN1904">
        <v>63</v>
      </c>
      <c r="AO1904">
        <v>23</v>
      </c>
      <c r="AP1904">
        <v>24</v>
      </c>
      <c r="AQ1904">
        <v>2</v>
      </c>
      <c r="AR1904">
        <v>18</v>
      </c>
      <c r="AS1904" t="s">
        <v>8865</v>
      </c>
      <c r="AT1904" t="s">
        <v>8612</v>
      </c>
      <c r="AU1904" t="s">
        <v>8866</v>
      </c>
      <c r="AV1904" t="s">
        <v>3660</v>
      </c>
      <c r="AW1904" t="s">
        <v>3661</v>
      </c>
      <c r="AX1904" t="s">
        <v>69</v>
      </c>
      <c r="AY1904" t="s">
        <v>17632</v>
      </c>
      <c r="AZ1904" t="s">
        <v>17633</v>
      </c>
      <c r="BA1904" t="s">
        <v>837</v>
      </c>
      <c r="BB1904">
        <v>2019</v>
      </c>
      <c r="BC1904">
        <v>29</v>
      </c>
      <c r="BD1904">
        <v>1</v>
      </c>
      <c r="BE1904" t="s">
        <v>69</v>
      </c>
      <c r="BF1904" t="s">
        <v>69</v>
      </c>
      <c r="BG1904" t="s">
        <v>114</v>
      </c>
      <c r="BH1904" t="s">
        <v>69</v>
      </c>
      <c r="BI1904">
        <v>27</v>
      </c>
      <c r="BJ1904">
        <v>67</v>
      </c>
      <c r="BK1904" t="s">
        <v>69</v>
      </c>
      <c r="BL1904" t="s">
        <v>7352</v>
      </c>
      <c r="BM1904" t="str">
        <f>HYPERLINK("http://dx.doi.org/10.1080/10474412.2018.1480376","http://dx.doi.org/10.1080/10474412.2018.1480376")</f>
        <v>http://dx.doi.org/10.1080/10474412.2018.1480376</v>
      </c>
      <c r="BN1904" t="s">
        <v>69</v>
      </c>
      <c r="BO1904" t="s">
        <v>69</v>
      </c>
      <c r="BP1904">
        <v>41</v>
      </c>
      <c r="BQ1904" t="s">
        <v>11114</v>
      </c>
      <c r="BR1904" t="s">
        <v>8661</v>
      </c>
      <c r="BS1904" t="s">
        <v>9001</v>
      </c>
      <c r="BT1904" t="s">
        <v>17634</v>
      </c>
      <c r="BU1904" t="s">
        <v>7353</v>
      </c>
      <c r="BV1904" t="s">
        <v>69</v>
      </c>
      <c r="BW1904" t="s">
        <v>69</v>
      </c>
      <c r="BX1904" t="s">
        <v>69</v>
      </c>
      <c r="BY1904" t="s">
        <v>69</v>
      </c>
      <c r="BZ1904" t="s">
        <v>8526</v>
      </c>
      <c r="CA1904" t="str">
        <f>HYPERLINK("https%3A%2F%2Fwww.webofscience.com%2Fwos%2Fwoscc%2Ffull-record%2FWOS:000454069600003","View Full Record in Web of Science")</f>
        <v>View Full Record in Web of Science</v>
      </c>
    </row>
    <row r="1905" spans="1:79" ht="12.5" x14ac:dyDescent="0.25">
      <c r="B1905" t="s">
        <v>8495</v>
      </c>
      <c r="D1905" s="22" t="s">
        <v>32931</v>
      </c>
      <c r="E1905" s="7"/>
      <c r="F1905" s="7"/>
      <c r="G1905" s="7"/>
      <c r="H1905" t="s">
        <v>67</v>
      </c>
      <c r="I1905" t="s">
        <v>26447</v>
      </c>
      <c r="J1905" t="s">
        <v>69</v>
      </c>
      <c r="K1905" t="s">
        <v>69</v>
      </c>
      <c r="L1905" t="s">
        <v>69</v>
      </c>
      <c r="M1905" t="s">
        <v>26448</v>
      </c>
      <c r="N1905" t="s">
        <v>69</v>
      </c>
      <c r="O1905" t="s">
        <v>69</v>
      </c>
      <c r="P1905" t="s">
        <v>26449</v>
      </c>
      <c r="Q1905" t="s">
        <v>26450</v>
      </c>
      <c r="R1905" t="s">
        <v>69</v>
      </c>
      <c r="S1905" t="s">
        <v>69</v>
      </c>
      <c r="T1905" t="s">
        <v>8505</v>
      </c>
      <c r="U1905" t="s">
        <v>8442</v>
      </c>
      <c r="V1905" t="s">
        <v>69</v>
      </c>
      <c r="W1905" t="s">
        <v>69</v>
      </c>
      <c r="X1905" t="s">
        <v>69</v>
      </c>
      <c r="Y1905" t="s">
        <v>69</v>
      </c>
      <c r="Z1905" t="s">
        <v>69</v>
      </c>
      <c r="AA1905" t="s">
        <v>26451</v>
      </c>
      <c r="AB1905" t="s">
        <v>69</v>
      </c>
      <c r="AC1905" t="s">
        <v>26452</v>
      </c>
      <c r="AD1905" t="s">
        <v>26453</v>
      </c>
      <c r="AE1905" t="s">
        <v>69</v>
      </c>
      <c r="AF1905" t="s">
        <v>26454</v>
      </c>
      <c r="AG1905" t="s">
        <v>26455</v>
      </c>
      <c r="AH1905" t="s">
        <v>23727</v>
      </c>
      <c r="AI1905" t="s">
        <v>26456</v>
      </c>
      <c r="AJ1905" t="s">
        <v>69</v>
      </c>
      <c r="AK1905" t="s">
        <v>69</v>
      </c>
      <c r="AL1905" t="s">
        <v>69</v>
      </c>
      <c r="AM1905" t="s">
        <v>69</v>
      </c>
      <c r="AN1905">
        <v>34</v>
      </c>
      <c r="AO1905">
        <v>7</v>
      </c>
      <c r="AP1905">
        <v>7</v>
      </c>
      <c r="AQ1905">
        <v>0</v>
      </c>
      <c r="AR1905">
        <v>0</v>
      </c>
      <c r="AS1905" t="s">
        <v>26457</v>
      </c>
      <c r="AT1905" t="s">
        <v>8693</v>
      </c>
      <c r="AU1905" t="s">
        <v>26458</v>
      </c>
      <c r="AV1905" t="s">
        <v>26459</v>
      </c>
      <c r="AW1905" t="s">
        <v>26460</v>
      </c>
      <c r="AX1905" t="s">
        <v>69</v>
      </c>
      <c r="AY1905" t="s">
        <v>26461</v>
      </c>
      <c r="AZ1905" t="s">
        <v>26462</v>
      </c>
      <c r="BA1905" t="s">
        <v>69</v>
      </c>
      <c r="BB1905">
        <v>2012</v>
      </c>
      <c r="BC1905">
        <v>2</v>
      </c>
      <c r="BD1905">
        <v>1</v>
      </c>
      <c r="BE1905" t="s">
        <v>69</v>
      </c>
      <c r="BF1905" t="s">
        <v>69</v>
      </c>
      <c r="BG1905" t="s">
        <v>69</v>
      </c>
      <c r="BH1905" t="s">
        <v>69</v>
      </c>
      <c r="BI1905">
        <v>29</v>
      </c>
      <c r="BJ1905">
        <v>39</v>
      </c>
      <c r="BK1905" t="s">
        <v>69</v>
      </c>
      <c r="BL1905" t="s">
        <v>26463</v>
      </c>
      <c r="BM1905" t="str">
        <f>HYPERLINK("http://dx.doi.org/10.1891/2156-5287.2.1.29","http://dx.doi.org/10.1891/2156-5287.2.1.29")</f>
        <v>http://dx.doi.org/10.1891/2156-5287.2.1.29</v>
      </c>
      <c r="BN1905" t="s">
        <v>69</v>
      </c>
      <c r="BO1905" t="s">
        <v>69</v>
      </c>
      <c r="BP1905">
        <v>11</v>
      </c>
      <c r="BQ1905" t="s">
        <v>16902</v>
      </c>
      <c r="BR1905" t="s">
        <v>8573</v>
      </c>
      <c r="BS1905" t="s">
        <v>16902</v>
      </c>
      <c r="BT1905" t="s">
        <v>26464</v>
      </c>
      <c r="BU1905" t="s">
        <v>26465</v>
      </c>
      <c r="BV1905" t="s">
        <v>69</v>
      </c>
      <c r="BW1905" t="s">
        <v>69</v>
      </c>
      <c r="BX1905" t="s">
        <v>69</v>
      </c>
      <c r="BY1905" t="s">
        <v>69</v>
      </c>
      <c r="BZ1905" t="s">
        <v>8526</v>
      </c>
      <c r="CA1905" t="str">
        <f>HYPERLINK("https%3A%2F%2Fwww.webofscience.com%2Fwos%2Fwoscc%2Ffull-record%2FWOS:000215473300005","View Full Record in Web of Science")</f>
        <v>View Full Record in Web of Science</v>
      </c>
    </row>
    <row r="1906" spans="1:79" ht="12.5" x14ac:dyDescent="0.25">
      <c r="B1906" t="s">
        <v>8495</v>
      </c>
      <c r="D1906" s="7" t="s">
        <v>32933</v>
      </c>
      <c r="E1906" s="7"/>
      <c r="F1906" s="7"/>
      <c r="G1906" s="7"/>
      <c r="H1906" t="s">
        <v>67</v>
      </c>
      <c r="I1906" t="s">
        <v>6286</v>
      </c>
      <c r="J1906" t="s">
        <v>69</v>
      </c>
      <c r="K1906" t="s">
        <v>69</v>
      </c>
      <c r="L1906" t="s">
        <v>69</v>
      </c>
      <c r="M1906" t="s">
        <v>6286</v>
      </c>
      <c r="N1906" t="s">
        <v>69</v>
      </c>
      <c r="O1906" t="s">
        <v>69</v>
      </c>
      <c r="P1906" t="s">
        <v>6287</v>
      </c>
      <c r="Q1906" t="s">
        <v>6288</v>
      </c>
      <c r="R1906" t="s">
        <v>69</v>
      </c>
      <c r="S1906" t="s">
        <v>69</v>
      </c>
      <c r="T1906" t="s">
        <v>8505</v>
      </c>
      <c r="U1906" t="s">
        <v>8506</v>
      </c>
      <c r="V1906" t="s">
        <v>69</v>
      </c>
      <c r="W1906" t="s">
        <v>69</v>
      </c>
      <c r="X1906" t="s">
        <v>69</v>
      </c>
      <c r="Y1906" t="s">
        <v>69</v>
      </c>
      <c r="Z1906" t="s">
        <v>69</v>
      </c>
      <c r="AA1906" t="s">
        <v>69</v>
      </c>
      <c r="AB1906" t="s">
        <v>32121</v>
      </c>
      <c r="AC1906" t="s">
        <v>6289</v>
      </c>
      <c r="AD1906" t="s">
        <v>32122</v>
      </c>
      <c r="AE1906" t="s">
        <v>69</v>
      </c>
      <c r="AF1906" t="s">
        <v>32123</v>
      </c>
      <c r="AG1906" t="s">
        <v>69</v>
      </c>
      <c r="AH1906" t="s">
        <v>69</v>
      </c>
      <c r="AI1906" t="s">
        <v>69</v>
      </c>
      <c r="AJ1906" t="s">
        <v>69</v>
      </c>
      <c r="AK1906" t="s">
        <v>69</v>
      </c>
      <c r="AL1906" t="s">
        <v>69</v>
      </c>
      <c r="AM1906" t="s">
        <v>69</v>
      </c>
      <c r="AN1906">
        <v>36</v>
      </c>
      <c r="AO1906">
        <v>16</v>
      </c>
      <c r="AP1906">
        <v>16</v>
      </c>
      <c r="AQ1906">
        <v>0</v>
      </c>
      <c r="AR1906">
        <v>4</v>
      </c>
      <c r="AS1906" t="s">
        <v>31715</v>
      </c>
      <c r="AT1906" t="s">
        <v>9048</v>
      </c>
      <c r="AU1906" t="s">
        <v>31716</v>
      </c>
      <c r="AV1906" t="s">
        <v>6290</v>
      </c>
      <c r="AW1906" t="s">
        <v>69</v>
      </c>
      <c r="AX1906" t="s">
        <v>69</v>
      </c>
      <c r="AY1906" t="s">
        <v>32124</v>
      </c>
      <c r="AZ1906" t="s">
        <v>32125</v>
      </c>
      <c r="BA1906" t="s">
        <v>94</v>
      </c>
      <c r="BB1906">
        <v>1998</v>
      </c>
      <c r="BC1906">
        <v>10</v>
      </c>
      <c r="BD1906">
        <v>2</v>
      </c>
      <c r="BE1906" t="s">
        <v>69</v>
      </c>
      <c r="BF1906" t="s">
        <v>69</v>
      </c>
      <c r="BG1906" t="s">
        <v>69</v>
      </c>
      <c r="BH1906" t="s">
        <v>69</v>
      </c>
      <c r="BI1906">
        <v>93</v>
      </c>
      <c r="BJ1906">
        <v>101</v>
      </c>
      <c r="BK1906" t="s">
        <v>69</v>
      </c>
      <c r="BL1906" t="s">
        <v>6291</v>
      </c>
      <c r="BM1906" t="str">
        <f>HYPERLINK("http://dx.doi.org/10.1023/A:1007995832554","http://dx.doi.org/10.1023/A:1007995832554")</f>
        <v>http://dx.doi.org/10.1023/A:1007995832554</v>
      </c>
      <c r="BN1906" t="s">
        <v>69</v>
      </c>
      <c r="BO1906" t="s">
        <v>69</v>
      </c>
      <c r="BP1906">
        <v>9</v>
      </c>
      <c r="BQ1906" t="s">
        <v>30474</v>
      </c>
      <c r="BR1906" t="s">
        <v>8661</v>
      </c>
      <c r="BS1906" t="s">
        <v>8594</v>
      </c>
      <c r="BT1906" t="s">
        <v>32126</v>
      </c>
      <c r="BU1906" t="s">
        <v>6292</v>
      </c>
      <c r="BV1906" t="s">
        <v>69</v>
      </c>
      <c r="BW1906" t="s">
        <v>69</v>
      </c>
      <c r="BX1906" t="s">
        <v>69</v>
      </c>
      <c r="BY1906" t="s">
        <v>69</v>
      </c>
      <c r="BZ1906" t="s">
        <v>8526</v>
      </c>
      <c r="CA1906" t="str">
        <f>HYPERLINK("https%3A%2F%2Fwww.webofscience.com%2Fwos%2Fwoscc%2Ffull-record%2FWOS:000072340800003","View Full Record in Web of Science")</f>
        <v>View Full Record in Web of Science</v>
      </c>
    </row>
    <row r="1907" spans="1:79" ht="12.5" x14ac:dyDescent="0.25">
      <c r="B1907" t="s">
        <v>8495</v>
      </c>
      <c r="D1907" s="22" t="s">
        <v>32931</v>
      </c>
      <c r="E1907" s="7"/>
      <c r="F1907" s="7"/>
      <c r="G1907" s="7"/>
      <c r="H1907" t="s">
        <v>67</v>
      </c>
      <c r="I1907" t="s">
        <v>13369</v>
      </c>
      <c r="J1907" t="s">
        <v>69</v>
      </c>
      <c r="K1907" t="s">
        <v>69</v>
      </c>
      <c r="L1907" t="s">
        <v>69</v>
      </c>
      <c r="M1907" t="s">
        <v>13370</v>
      </c>
      <c r="N1907" t="s">
        <v>69</v>
      </c>
      <c r="O1907" t="s">
        <v>69</v>
      </c>
      <c r="P1907" t="s">
        <v>13371</v>
      </c>
      <c r="Q1907" t="s">
        <v>13372</v>
      </c>
      <c r="R1907" t="s">
        <v>69</v>
      </c>
      <c r="S1907" t="s">
        <v>69</v>
      </c>
      <c r="T1907" t="s">
        <v>8505</v>
      </c>
      <c r="U1907" t="s">
        <v>8506</v>
      </c>
      <c r="V1907" t="s">
        <v>69</v>
      </c>
      <c r="W1907" t="s">
        <v>69</v>
      </c>
      <c r="X1907" t="s">
        <v>69</v>
      </c>
      <c r="Y1907" t="s">
        <v>69</v>
      </c>
      <c r="Z1907" t="s">
        <v>69</v>
      </c>
      <c r="AA1907" t="s">
        <v>13373</v>
      </c>
      <c r="AB1907" t="s">
        <v>13374</v>
      </c>
      <c r="AC1907" t="s">
        <v>13375</v>
      </c>
      <c r="AD1907" t="s">
        <v>13376</v>
      </c>
      <c r="AE1907" t="s">
        <v>69</v>
      </c>
      <c r="AF1907" t="s">
        <v>13377</v>
      </c>
      <c r="AG1907" t="s">
        <v>13378</v>
      </c>
      <c r="AH1907" t="s">
        <v>13379</v>
      </c>
      <c r="AI1907" t="s">
        <v>13380</v>
      </c>
      <c r="AJ1907" t="s">
        <v>13381</v>
      </c>
      <c r="AK1907" t="s">
        <v>13382</v>
      </c>
      <c r="AL1907" t="s">
        <v>13383</v>
      </c>
      <c r="AM1907" t="s">
        <v>69</v>
      </c>
      <c r="AN1907">
        <v>70</v>
      </c>
      <c r="AO1907">
        <v>13</v>
      </c>
      <c r="AP1907">
        <v>13</v>
      </c>
      <c r="AQ1907">
        <v>9</v>
      </c>
      <c r="AR1907">
        <v>48</v>
      </c>
      <c r="AS1907" t="s">
        <v>8636</v>
      </c>
      <c r="AT1907" t="s">
        <v>8637</v>
      </c>
      <c r="AU1907" t="s">
        <v>8638</v>
      </c>
      <c r="AV1907" t="s">
        <v>13384</v>
      </c>
      <c r="AW1907" t="s">
        <v>13385</v>
      </c>
      <c r="AX1907" t="s">
        <v>69</v>
      </c>
      <c r="AY1907" t="s">
        <v>13386</v>
      </c>
      <c r="AZ1907" t="s">
        <v>13387</v>
      </c>
      <c r="BA1907" t="s">
        <v>586</v>
      </c>
      <c r="BB1907">
        <v>2021</v>
      </c>
      <c r="BC1907">
        <v>58</v>
      </c>
      <c r="BD1907">
        <v>3</v>
      </c>
      <c r="BE1907" t="s">
        <v>69</v>
      </c>
      <c r="BF1907" t="s">
        <v>69</v>
      </c>
      <c r="BG1907" t="s">
        <v>69</v>
      </c>
      <c r="BH1907" t="s">
        <v>69</v>
      </c>
      <c r="BI1907" t="s">
        <v>69</v>
      </c>
      <c r="BJ1907" t="s">
        <v>69</v>
      </c>
      <c r="BK1907">
        <v>102516</v>
      </c>
      <c r="BL1907" t="s">
        <v>13388</v>
      </c>
      <c r="BM1907" t="str">
        <f>HYPERLINK("http://dx.doi.org/10.1016/j.ipm.2021.102516","http://dx.doi.org/10.1016/j.ipm.2021.102516")</f>
        <v>http://dx.doi.org/10.1016/j.ipm.2021.102516</v>
      </c>
      <c r="BN1907" t="s">
        <v>69</v>
      </c>
      <c r="BO1907" t="s">
        <v>300</v>
      </c>
      <c r="BP1907">
        <v>17</v>
      </c>
      <c r="BQ1907" t="s">
        <v>13389</v>
      </c>
      <c r="BR1907" t="s">
        <v>8523</v>
      </c>
      <c r="BS1907" t="s">
        <v>10632</v>
      </c>
      <c r="BT1907" t="s">
        <v>13390</v>
      </c>
      <c r="BU1907" t="s">
        <v>13391</v>
      </c>
      <c r="BV1907" t="s">
        <v>69</v>
      </c>
      <c r="BW1907" t="s">
        <v>69</v>
      </c>
      <c r="BX1907" t="s">
        <v>69</v>
      </c>
      <c r="BY1907" t="s">
        <v>69</v>
      </c>
      <c r="BZ1907" t="s">
        <v>8526</v>
      </c>
      <c r="CA1907" t="str">
        <f>HYPERLINK("https%3A%2F%2Fwww.webofscience.com%2Fwos%2Fwoscc%2Ffull-record%2FWOS:000633034700008","View Full Record in Web of Science")</f>
        <v>View Full Record in Web of Science</v>
      </c>
    </row>
    <row r="1908" spans="1:79" x14ac:dyDescent="0.3">
      <c r="B1908" t="s">
        <v>8495</v>
      </c>
      <c r="D1908" s="9" t="s">
        <v>32954</v>
      </c>
      <c r="E1908" s="9" t="s">
        <v>33096</v>
      </c>
      <c r="G1908" s="9" t="s">
        <v>8490</v>
      </c>
      <c r="H1908" t="s">
        <v>67</v>
      </c>
      <c r="I1908" t="s">
        <v>18655</v>
      </c>
      <c r="J1908" t="s">
        <v>69</v>
      </c>
      <c r="K1908" t="s">
        <v>69</v>
      </c>
      <c r="L1908" t="s">
        <v>69</v>
      </c>
      <c r="M1908" t="s">
        <v>18656</v>
      </c>
      <c r="N1908" t="s">
        <v>69</v>
      </c>
      <c r="O1908" t="s">
        <v>69</v>
      </c>
      <c r="P1908" t="s">
        <v>18657</v>
      </c>
      <c r="Q1908" t="s">
        <v>18658</v>
      </c>
      <c r="R1908" t="s">
        <v>69</v>
      </c>
      <c r="S1908" t="s">
        <v>69</v>
      </c>
      <c r="T1908" t="s">
        <v>8505</v>
      </c>
      <c r="U1908" t="s">
        <v>8506</v>
      </c>
      <c r="V1908" t="s">
        <v>69</v>
      </c>
      <c r="W1908" t="s">
        <v>69</v>
      </c>
      <c r="X1908" t="s">
        <v>69</v>
      </c>
      <c r="Y1908" t="s">
        <v>69</v>
      </c>
      <c r="Z1908" t="s">
        <v>69</v>
      </c>
      <c r="AA1908" t="s">
        <v>18659</v>
      </c>
      <c r="AB1908" t="s">
        <v>18660</v>
      </c>
      <c r="AC1908" t="s">
        <v>18661</v>
      </c>
      <c r="AD1908" t="s">
        <v>18662</v>
      </c>
      <c r="AE1908" t="s">
        <v>69</v>
      </c>
      <c r="AF1908" t="s">
        <v>18663</v>
      </c>
      <c r="AG1908" t="s">
        <v>18664</v>
      </c>
      <c r="AH1908" t="s">
        <v>18665</v>
      </c>
      <c r="AI1908" t="s">
        <v>69</v>
      </c>
      <c r="AJ1908" t="s">
        <v>69</v>
      </c>
      <c r="AK1908" t="s">
        <v>69</v>
      </c>
      <c r="AL1908" t="s">
        <v>69</v>
      </c>
      <c r="AM1908" t="s">
        <v>69</v>
      </c>
      <c r="AN1908">
        <v>52</v>
      </c>
      <c r="AO1908">
        <v>3</v>
      </c>
      <c r="AP1908">
        <v>4</v>
      </c>
      <c r="AQ1908">
        <v>1</v>
      </c>
      <c r="AR1908">
        <v>25</v>
      </c>
      <c r="AS1908" t="s">
        <v>9047</v>
      </c>
      <c r="AT1908" t="s">
        <v>8693</v>
      </c>
      <c r="AU1908" t="s">
        <v>16643</v>
      </c>
      <c r="AV1908" t="s">
        <v>18666</v>
      </c>
      <c r="AW1908" t="s">
        <v>18667</v>
      </c>
      <c r="AX1908" t="s">
        <v>69</v>
      </c>
      <c r="AY1908" t="s">
        <v>18668</v>
      </c>
      <c r="AZ1908" t="s">
        <v>18669</v>
      </c>
      <c r="BA1908" t="s">
        <v>155</v>
      </c>
      <c r="BB1908">
        <v>2018</v>
      </c>
      <c r="BC1908">
        <v>31</v>
      </c>
      <c r="BD1908">
        <v>2</v>
      </c>
      <c r="BE1908" t="s">
        <v>69</v>
      </c>
      <c r="BF1908" t="s">
        <v>69</v>
      </c>
      <c r="BG1908" t="s">
        <v>114</v>
      </c>
      <c r="BH1908" t="s">
        <v>69</v>
      </c>
      <c r="BI1908">
        <v>179</v>
      </c>
      <c r="BJ1908">
        <v>192</v>
      </c>
      <c r="BK1908" t="s">
        <v>69</v>
      </c>
      <c r="BL1908" t="s">
        <v>18670</v>
      </c>
      <c r="BM1908" t="str">
        <f>HYPERLINK("http://dx.doi.org/10.1007/s10767-018-9278-x","http://dx.doi.org/10.1007/s10767-018-9278-x")</f>
        <v>http://dx.doi.org/10.1007/s10767-018-9278-x</v>
      </c>
      <c r="BN1908" t="s">
        <v>69</v>
      </c>
      <c r="BO1908" t="s">
        <v>69</v>
      </c>
      <c r="BP1908">
        <v>14</v>
      </c>
      <c r="BQ1908" t="s">
        <v>13241</v>
      </c>
      <c r="BR1908" t="s">
        <v>8573</v>
      </c>
      <c r="BS1908" t="s">
        <v>10084</v>
      </c>
      <c r="BT1908" t="s">
        <v>18671</v>
      </c>
      <c r="BU1908" t="s">
        <v>18672</v>
      </c>
      <c r="BV1908" t="s">
        <v>69</v>
      </c>
      <c r="BW1908" t="s">
        <v>69</v>
      </c>
      <c r="BX1908" t="s">
        <v>69</v>
      </c>
      <c r="BY1908" t="s">
        <v>69</v>
      </c>
      <c r="BZ1908" t="s">
        <v>8526</v>
      </c>
      <c r="CA1908" t="str">
        <f>HYPERLINK("https%3A%2F%2Fwww.webofscience.com%2Fwos%2Fwoscc%2Ffull-record%2FWOS:000451783300005","View Full Record in Web of Science")</f>
        <v>View Full Record in Web of Science</v>
      </c>
    </row>
    <row r="1909" spans="1:79" x14ac:dyDescent="0.3">
      <c r="B1909" t="s">
        <v>8495</v>
      </c>
      <c r="D1909" s="9" t="s">
        <v>32954</v>
      </c>
      <c r="E1909" s="9" t="s">
        <v>33107</v>
      </c>
      <c r="F1909" s="9" t="s">
        <v>8490</v>
      </c>
      <c r="G1909" s="9" t="s">
        <v>8490</v>
      </c>
      <c r="H1909" t="s">
        <v>67</v>
      </c>
      <c r="I1909" t="s">
        <v>15999</v>
      </c>
      <c r="J1909" t="s">
        <v>69</v>
      </c>
      <c r="K1909" t="s">
        <v>69</v>
      </c>
      <c r="L1909" t="s">
        <v>69</v>
      </c>
      <c r="M1909" t="s">
        <v>16000</v>
      </c>
      <c r="N1909" t="s">
        <v>69</v>
      </c>
      <c r="O1909" t="s">
        <v>69</v>
      </c>
      <c r="P1909" t="s">
        <v>16001</v>
      </c>
      <c r="Q1909" t="s">
        <v>16002</v>
      </c>
      <c r="R1909" t="s">
        <v>69</v>
      </c>
      <c r="S1909" t="s">
        <v>69</v>
      </c>
      <c r="T1909" t="s">
        <v>8505</v>
      </c>
      <c r="U1909" t="s">
        <v>8506</v>
      </c>
      <c r="V1909" t="s">
        <v>69</v>
      </c>
      <c r="W1909" t="s">
        <v>69</v>
      </c>
      <c r="X1909" t="s">
        <v>69</v>
      </c>
      <c r="Y1909" t="s">
        <v>69</v>
      </c>
      <c r="Z1909" t="s">
        <v>69</v>
      </c>
      <c r="AA1909" t="s">
        <v>16003</v>
      </c>
      <c r="AB1909" t="s">
        <v>16004</v>
      </c>
      <c r="AC1909" t="s">
        <v>16005</v>
      </c>
      <c r="AD1909" t="s">
        <v>16006</v>
      </c>
      <c r="AE1909" t="s">
        <v>69</v>
      </c>
      <c r="AF1909" t="s">
        <v>16007</v>
      </c>
      <c r="AG1909" t="s">
        <v>16008</v>
      </c>
      <c r="AH1909" t="s">
        <v>69</v>
      </c>
      <c r="AI1909" t="s">
        <v>69</v>
      </c>
      <c r="AJ1909" t="s">
        <v>69</v>
      </c>
      <c r="AK1909" t="s">
        <v>69</v>
      </c>
      <c r="AL1909" t="s">
        <v>69</v>
      </c>
      <c r="AM1909" t="s">
        <v>69</v>
      </c>
      <c r="AN1909">
        <v>67</v>
      </c>
      <c r="AO1909">
        <v>2</v>
      </c>
      <c r="AP1909">
        <v>2</v>
      </c>
      <c r="AQ1909">
        <v>1</v>
      </c>
      <c r="AR1909">
        <v>4</v>
      </c>
      <c r="AS1909" t="s">
        <v>16009</v>
      </c>
      <c r="AT1909" t="s">
        <v>12027</v>
      </c>
      <c r="AU1909" t="s">
        <v>16010</v>
      </c>
      <c r="AV1909" t="s">
        <v>16011</v>
      </c>
      <c r="AW1909" t="s">
        <v>69</v>
      </c>
      <c r="AX1909" t="s">
        <v>69</v>
      </c>
      <c r="AY1909" t="s">
        <v>16012</v>
      </c>
      <c r="AZ1909" t="s">
        <v>16013</v>
      </c>
      <c r="BA1909" t="s">
        <v>69</v>
      </c>
      <c r="BB1909">
        <v>2020</v>
      </c>
      <c r="BC1909">
        <v>27</v>
      </c>
      <c r="BD1909" t="s">
        <v>69</v>
      </c>
      <c r="BE1909" t="s">
        <v>69</v>
      </c>
      <c r="BF1909" t="s">
        <v>69</v>
      </c>
      <c r="BG1909" t="s">
        <v>69</v>
      </c>
      <c r="BH1909" t="s">
        <v>69</v>
      </c>
      <c r="BI1909">
        <v>1166</v>
      </c>
      <c r="BJ1909">
        <v>1188</v>
      </c>
      <c r="BK1909" t="s">
        <v>69</v>
      </c>
      <c r="BL1909" t="s">
        <v>69</v>
      </c>
      <c r="BM1909" t="s">
        <v>69</v>
      </c>
      <c r="BN1909" t="s">
        <v>69</v>
      </c>
      <c r="BO1909" t="s">
        <v>69</v>
      </c>
      <c r="BP1909">
        <v>23</v>
      </c>
      <c r="BQ1909" t="s">
        <v>8660</v>
      </c>
      <c r="BR1909" t="s">
        <v>8573</v>
      </c>
      <c r="BS1909" t="s">
        <v>8662</v>
      </c>
      <c r="BT1909" t="s">
        <v>16014</v>
      </c>
      <c r="BU1909" t="s">
        <v>16015</v>
      </c>
      <c r="BV1909" t="s">
        <v>69</v>
      </c>
      <c r="BW1909" t="s">
        <v>69</v>
      </c>
      <c r="BX1909" t="s">
        <v>69</v>
      </c>
      <c r="BY1909" t="s">
        <v>69</v>
      </c>
      <c r="BZ1909" t="s">
        <v>8526</v>
      </c>
      <c r="CA1909" t="str">
        <f>HYPERLINK("https%3A%2F%2Fwww.webofscience.com%2Fwos%2Fwoscc%2Ffull-record%2FWOS:000615795400004","View Full Record in Web of Science")</f>
        <v>View Full Record in Web of Science</v>
      </c>
    </row>
    <row r="1910" spans="1:79" ht="12.5" x14ac:dyDescent="0.25">
      <c r="B1910" t="s">
        <v>8495</v>
      </c>
      <c r="D1910" s="22" t="s">
        <v>32931</v>
      </c>
      <c r="E1910" s="7"/>
      <c r="F1910" s="7"/>
      <c r="G1910" s="7"/>
      <c r="H1910" t="s">
        <v>67</v>
      </c>
      <c r="I1910" t="s">
        <v>29101</v>
      </c>
      <c r="J1910" t="s">
        <v>69</v>
      </c>
      <c r="K1910" t="s">
        <v>69</v>
      </c>
      <c r="L1910" t="s">
        <v>69</v>
      </c>
      <c r="M1910" t="s">
        <v>29102</v>
      </c>
      <c r="N1910" t="s">
        <v>69</v>
      </c>
      <c r="O1910" t="s">
        <v>69</v>
      </c>
      <c r="P1910" t="s">
        <v>29103</v>
      </c>
      <c r="Q1910" t="s">
        <v>12117</v>
      </c>
      <c r="R1910" t="s">
        <v>69</v>
      </c>
      <c r="S1910" t="s">
        <v>69</v>
      </c>
      <c r="T1910" t="s">
        <v>8505</v>
      </c>
      <c r="U1910" t="s">
        <v>8506</v>
      </c>
      <c r="V1910" t="s">
        <v>69</v>
      </c>
      <c r="W1910" t="s">
        <v>69</v>
      </c>
      <c r="X1910" t="s">
        <v>69</v>
      </c>
      <c r="Y1910" t="s">
        <v>69</v>
      </c>
      <c r="Z1910" t="s">
        <v>69</v>
      </c>
      <c r="AA1910" t="s">
        <v>29104</v>
      </c>
      <c r="AB1910" t="s">
        <v>69</v>
      </c>
      <c r="AC1910" t="s">
        <v>29105</v>
      </c>
      <c r="AD1910" t="s">
        <v>29106</v>
      </c>
      <c r="AE1910" t="s">
        <v>69</v>
      </c>
      <c r="AF1910" t="s">
        <v>29107</v>
      </c>
      <c r="AG1910" t="s">
        <v>29108</v>
      </c>
      <c r="AH1910" t="s">
        <v>69</v>
      </c>
      <c r="AI1910" t="s">
        <v>29109</v>
      </c>
      <c r="AJ1910" t="s">
        <v>69</v>
      </c>
      <c r="AK1910" t="s">
        <v>69</v>
      </c>
      <c r="AL1910" t="s">
        <v>69</v>
      </c>
      <c r="AM1910" t="s">
        <v>69</v>
      </c>
      <c r="AN1910">
        <v>41</v>
      </c>
      <c r="AO1910">
        <v>15</v>
      </c>
      <c r="AP1910">
        <v>15</v>
      </c>
      <c r="AQ1910">
        <v>0</v>
      </c>
      <c r="AR1910">
        <v>9</v>
      </c>
      <c r="AS1910" t="s">
        <v>21110</v>
      </c>
      <c r="AT1910" t="s">
        <v>26670</v>
      </c>
      <c r="AU1910" t="s">
        <v>26671</v>
      </c>
      <c r="AV1910" t="s">
        <v>12126</v>
      </c>
      <c r="AW1910" t="s">
        <v>69</v>
      </c>
      <c r="AX1910" t="s">
        <v>69</v>
      </c>
      <c r="AY1910" t="s">
        <v>12128</v>
      </c>
      <c r="AZ1910" t="s">
        <v>12129</v>
      </c>
      <c r="BA1910" t="s">
        <v>1774</v>
      </c>
      <c r="BB1910">
        <v>2008</v>
      </c>
      <c r="BC1910">
        <v>15</v>
      </c>
      <c r="BD1910">
        <v>5</v>
      </c>
      <c r="BE1910" t="s">
        <v>69</v>
      </c>
      <c r="BF1910" t="s">
        <v>69</v>
      </c>
      <c r="BG1910" t="s">
        <v>69</v>
      </c>
      <c r="BH1910" t="s">
        <v>69</v>
      </c>
      <c r="BI1910">
        <v>270</v>
      </c>
      <c r="BJ1910">
        <v>280</v>
      </c>
      <c r="BK1910" t="s">
        <v>69</v>
      </c>
      <c r="BL1910" t="s">
        <v>29110</v>
      </c>
      <c r="BM1910" t="str">
        <f>HYPERLINK("http://dx.doi.org/10.1002/csr.152","http://dx.doi.org/10.1002/csr.152")</f>
        <v>http://dx.doi.org/10.1002/csr.152</v>
      </c>
      <c r="BN1910" t="s">
        <v>69</v>
      </c>
      <c r="BO1910" t="s">
        <v>69</v>
      </c>
      <c r="BP1910">
        <v>11</v>
      </c>
      <c r="BQ1910" t="s">
        <v>9113</v>
      </c>
      <c r="BR1910" t="s">
        <v>8661</v>
      </c>
      <c r="BS1910" t="s">
        <v>9114</v>
      </c>
      <c r="BT1910" t="s">
        <v>29111</v>
      </c>
      <c r="BU1910" t="s">
        <v>29112</v>
      </c>
      <c r="BV1910" t="s">
        <v>69</v>
      </c>
      <c r="BW1910" t="s">
        <v>69</v>
      </c>
      <c r="BX1910" t="s">
        <v>69</v>
      </c>
      <c r="BY1910" t="s">
        <v>69</v>
      </c>
      <c r="BZ1910" t="s">
        <v>8526</v>
      </c>
      <c r="CA1910" t="str">
        <f>HYPERLINK("https%3A%2F%2Fwww.webofscience.com%2Fwos%2Fwoscc%2Ffull-record%2FWOS:000207980500003","View Full Record in Web of Science")</f>
        <v>View Full Record in Web of Science</v>
      </c>
    </row>
    <row r="1911" spans="1:79" x14ac:dyDescent="0.3">
      <c r="A1911" t="s">
        <v>8408</v>
      </c>
      <c r="B1911" t="s">
        <v>8495</v>
      </c>
      <c r="D1911" s="10" t="s">
        <v>33187</v>
      </c>
      <c r="F1911" s="10" t="s">
        <v>8490</v>
      </c>
      <c r="H1911" t="s">
        <v>67</v>
      </c>
      <c r="I1911" t="s">
        <v>4334</v>
      </c>
      <c r="J1911" t="s">
        <v>69</v>
      </c>
      <c r="K1911" t="s">
        <v>69</v>
      </c>
      <c r="L1911" t="s">
        <v>69</v>
      </c>
      <c r="M1911" s="2" t="s">
        <v>4335</v>
      </c>
      <c r="N1911" t="s">
        <v>69</v>
      </c>
      <c r="O1911" t="s">
        <v>69</v>
      </c>
      <c r="P1911" s="2" t="s">
        <v>4336</v>
      </c>
      <c r="Q1911" t="s">
        <v>4337</v>
      </c>
      <c r="R1911" t="s">
        <v>69</v>
      </c>
      <c r="S1911" t="s">
        <v>69</v>
      </c>
      <c r="T1911" t="s">
        <v>8505</v>
      </c>
      <c r="U1911" t="s">
        <v>8506</v>
      </c>
      <c r="V1911" t="s">
        <v>69</v>
      </c>
      <c r="W1911" t="s">
        <v>69</v>
      </c>
      <c r="X1911" t="s">
        <v>69</v>
      </c>
      <c r="Y1911" t="s">
        <v>69</v>
      </c>
      <c r="Z1911" t="s">
        <v>69</v>
      </c>
      <c r="AA1911" t="s">
        <v>19250</v>
      </c>
      <c r="AB1911" t="s">
        <v>19251</v>
      </c>
      <c r="AC1911" t="s">
        <v>4338</v>
      </c>
      <c r="AD1911" t="s">
        <v>19252</v>
      </c>
      <c r="AE1911" t="s">
        <v>69</v>
      </c>
      <c r="AF1911" t="s">
        <v>19253</v>
      </c>
      <c r="AG1911" t="s">
        <v>19254</v>
      </c>
      <c r="AH1911" t="s">
        <v>4339</v>
      </c>
      <c r="AI1911" t="s">
        <v>4340</v>
      </c>
      <c r="AJ1911" t="s">
        <v>69</v>
      </c>
      <c r="AK1911" t="s">
        <v>69</v>
      </c>
      <c r="AL1911" t="s">
        <v>69</v>
      </c>
      <c r="AM1911" t="s">
        <v>69</v>
      </c>
      <c r="AN1911">
        <v>139</v>
      </c>
      <c r="AO1911">
        <v>56</v>
      </c>
      <c r="AP1911">
        <v>57</v>
      </c>
      <c r="AQ1911">
        <v>6</v>
      </c>
      <c r="AR1911">
        <v>59</v>
      </c>
      <c r="AS1911" t="s">
        <v>8636</v>
      </c>
      <c r="AT1911" t="s">
        <v>8637</v>
      </c>
      <c r="AU1911" t="s">
        <v>8638</v>
      </c>
      <c r="AV1911" t="s">
        <v>4341</v>
      </c>
      <c r="AW1911" t="s">
        <v>4342</v>
      </c>
      <c r="AX1911" t="s">
        <v>69</v>
      </c>
      <c r="AY1911" t="s">
        <v>4337</v>
      </c>
      <c r="AZ1911" t="s">
        <v>8447</v>
      </c>
      <c r="BA1911" t="s">
        <v>191</v>
      </c>
      <c r="BB1911">
        <v>2018</v>
      </c>
      <c r="BC1911">
        <v>72</v>
      </c>
      <c r="BD1911" t="s">
        <v>69</v>
      </c>
      <c r="BE1911" t="s">
        <v>514</v>
      </c>
      <c r="BF1911" t="s">
        <v>69</v>
      </c>
      <c r="BG1911" t="s">
        <v>69</v>
      </c>
      <c r="BH1911" t="s">
        <v>69</v>
      </c>
      <c r="BI1911">
        <v>295</v>
      </c>
      <c r="BJ1911">
        <v>309</v>
      </c>
      <c r="BK1911" t="s">
        <v>69</v>
      </c>
      <c r="BL1911" t="s">
        <v>4343</v>
      </c>
      <c r="BM1911" t="str">
        <f>HYPERLINK("http://dx.doi.org/10.1016/j.cities.2017.09.008","http://dx.doi.org/10.1016/j.cities.2017.09.008")</f>
        <v>http://dx.doi.org/10.1016/j.cities.2017.09.008</v>
      </c>
      <c r="BN1911" t="s">
        <v>69</v>
      </c>
      <c r="BO1911" t="s">
        <v>69</v>
      </c>
      <c r="BP1911">
        <v>15</v>
      </c>
      <c r="BQ1911" t="s">
        <v>8475</v>
      </c>
      <c r="BR1911" t="s">
        <v>8661</v>
      </c>
      <c r="BS1911" t="s">
        <v>8475</v>
      </c>
      <c r="BT1911" t="s">
        <v>19255</v>
      </c>
      <c r="BU1911" t="s">
        <v>4344</v>
      </c>
      <c r="BV1911" t="s">
        <v>69</v>
      </c>
      <c r="BW1911" t="s">
        <v>69</v>
      </c>
      <c r="BX1911" t="s">
        <v>69</v>
      </c>
      <c r="BY1911" t="s">
        <v>69</v>
      </c>
      <c r="BZ1911" t="s">
        <v>8526</v>
      </c>
      <c r="CA1911" t="str">
        <f>HYPERLINK("https%3A%2F%2Fwww.webofscience.com%2Fwos%2Fwoscc%2Ffull-record%2FWOS:000419414700010","View Full Record in Web of Science")</f>
        <v>View Full Record in Web of Science</v>
      </c>
    </row>
    <row r="1912" spans="1:79" x14ac:dyDescent="0.3">
      <c r="B1912" t="s">
        <v>8495</v>
      </c>
      <c r="D1912" s="9" t="s">
        <v>32972</v>
      </c>
      <c r="E1912" s="9" t="s">
        <v>33072</v>
      </c>
      <c r="F1912" s="27" t="s">
        <v>8490</v>
      </c>
      <c r="G1912" s="9" t="s">
        <v>8490</v>
      </c>
      <c r="H1912" t="s">
        <v>67</v>
      </c>
      <c r="I1912" t="s">
        <v>12474</v>
      </c>
      <c r="J1912" t="s">
        <v>69</v>
      </c>
      <c r="K1912" t="s">
        <v>69</v>
      </c>
      <c r="L1912" t="s">
        <v>69</v>
      </c>
      <c r="M1912" t="s">
        <v>12475</v>
      </c>
      <c r="N1912" t="s">
        <v>69</v>
      </c>
      <c r="O1912" t="s">
        <v>69</v>
      </c>
      <c r="P1912" t="s">
        <v>12476</v>
      </c>
      <c r="Q1912" t="s">
        <v>12477</v>
      </c>
      <c r="R1912" t="s">
        <v>69</v>
      </c>
      <c r="S1912" t="s">
        <v>69</v>
      </c>
      <c r="T1912" t="s">
        <v>8505</v>
      </c>
      <c r="U1912" t="s">
        <v>8506</v>
      </c>
      <c r="V1912" t="s">
        <v>69</v>
      </c>
      <c r="W1912" t="s">
        <v>69</v>
      </c>
      <c r="X1912" t="s">
        <v>69</v>
      </c>
      <c r="Y1912" t="s">
        <v>69</v>
      </c>
      <c r="Z1912" t="s">
        <v>69</v>
      </c>
      <c r="AA1912" t="s">
        <v>12478</v>
      </c>
      <c r="AB1912" t="s">
        <v>12479</v>
      </c>
      <c r="AC1912" t="s">
        <v>12480</v>
      </c>
      <c r="AD1912" t="s">
        <v>12481</v>
      </c>
      <c r="AE1912" t="s">
        <v>69</v>
      </c>
      <c r="AF1912" t="s">
        <v>12482</v>
      </c>
      <c r="AG1912" t="s">
        <v>12483</v>
      </c>
      <c r="AH1912" t="s">
        <v>12484</v>
      </c>
      <c r="AI1912" t="s">
        <v>12485</v>
      </c>
      <c r="AJ1912" t="s">
        <v>12486</v>
      </c>
      <c r="AK1912" t="s">
        <v>12487</v>
      </c>
      <c r="AL1912" t="s">
        <v>12488</v>
      </c>
      <c r="AM1912" t="s">
        <v>69</v>
      </c>
      <c r="AN1912">
        <v>105</v>
      </c>
      <c r="AO1912">
        <v>6</v>
      </c>
      <c r="AP1912">
        <v>6</v>
      </c>
      <c r="AQ1912">
        <v>3</v>
      </c>
      <c r="AR1912">
        <v>12</v>
      </c>
      <c r="AS1912" t="s">
        <v>8516</v>
      </c>
      <c r="AT1912" t="s">
        <v>8517</v>
      </c>
      <c r="AU1912" t="s">
        <v>8518</v>
      </c>
      <c r="AV1912" t="s">
        <v>12489</v>
      </c>
      <c r="AW1912" t="s">
        <v>69</v>
      </c>
      <c r="AX1912" t="s">
        <v>69</v>
      </c>
      <c r="AY1912" t="s">
        <v>12490</v>
      </c>
      <c r="AZ1912" t="s">
        <v>12491</v>
      </c>
      <c r="BA1912" t="s">
        <v>586</v>
      </c>
      <c r="BB1912">
        <v>2021</v>
      </c>
      <c r="BC1912">
        <v>58</v>
      </c>
      <c r="BD1912" t="s">
        <v>69</v>
      </c>
      <c r="BE1912" t="s">
        <v>69</v>
      </c>
      <c r="BF1912" t="s">
        <v>69</v>
      </c>
      <c r="BG1912" t="s">
        <v>69</v>
      </c>
      <c r="BH1912" t="s">
        <v>69</v>
      </c>
      <c r="BI1912" t="s">
        <v>69</v>
      </c>
      <c r="BJ1912" t="s">
        <v>69</v>
      </c>
      <c r="BK1912">
        <v>102196</v>
      </c>
      <c r="BL1912" t="s">
        <v>12492</v>
      </c>
      <c r="BM1912" t="str">
        <f>HYPERLINK("http://dx.doi.org/10.1016/j.ijdrr.2021.102196","http://dx.doi.org/10.1016/j.ijdrr.2021.102196")</f>
        <v>http://dx.doi.org/10.1016/j.ijdrr.2021.102196</v>
      </c>
      <c r="BN1912" t="s">
        <v>69</v>
      </c>
      <c r="BO1912" t="s">
        <v>12312</v>
      </c>
      <c r="BP1912">
        <v>10</v>
      </c>
      <c r="BQ1912" t="s">
        <v>9586</v>
      </c>
      <c r="BR1912" t="s">
        <v>8523</v>
      </c>
      <c r="BS1912" t="s">
        <v>9587</v>
      </c>
      <c r="BT1912" t="s">
        <v>12493</v>
      </c>
      <c r="BU1912" t="s">
        <v>12494</v>
      </c>
      <c r="BV1912" t="s">
        <v>69</v>
      </c>
      <c r="BW1912" t="s">
        <v>9292</v>
      </c>
      <c r="BX1912" t="s">
        <v>69</v>
      </c>
      <c r="BY1912" t="s">
        <v>69</v>
      </c>
      <c r="BZ1912" t="s">
        <v>8526</v>
      </c>
      <c r="CA1912" t="str">
        <f>HYPERLINK("https%3A%2F%2Fwww.webofscience.com%2Fwos%2Fwoscc%2Ffull-record%2FWOS:000649711900004","View Full Record in Web of Science")</f>
        <v>View Full Record in Web of Science</v>
      </c>
    </row>
    <row r="1913" spans="1:79" ht="12.5" x14ac:dyDescent="0.25">
      <c r="B1913" t="s">
        <v>8495</v>
      </c>
      <c r="D1913" s="7" t="s">
        <v>32933</v>
      </c>
      <c r="E1913" s="7"/>
      <c r="F1913" s="7"/>
      <c r="G1913" s="7"/>
      <c r="H1913" t="s">
        <v>67</v>
      </c>
      <c r="I1913" t="s">
        <v>4709</v>
      </c>
      <c r="J1913" t="s">
        <v>69</v>
      </c>
      <c r="K1913" t="s">
        <v>69</v>
      </c>
      <c r="L1913" t="s">
        <v>69</v>
      </c>
      <c r="M1913" t="s">
        <v>4709</v>
      </c>
      <c r="N1913" t="s">
        <v>69</v>
      </c>
      <c r="O1913" t="s">
        <v>69</v>
      </c>
      <c r="P1913" t="s">
        <v>4710</v>
      </c>
      <c r="Q1913" t="s">
        <v>4711</v>
      </c>
      <c r="R1913" t="s">
        <v>69</v>
      </c>
      <c r="S1913" t="s">
        <v>69</v>
      </c>
      <c r="T1913" t="s">
        <v>8505</v>
      </c>
      <c r="U1913" t="s">
        <v>10174</v>
      </c>
      <c r="V1913" t="s">
        <v>69</v>
      </c>
      <c r="W1913" t="s">
        <v>69</v>
      </c>
      <c r="X1913" t="s">
        <v>69</v>
      </c>
      <c r="Y1913" t="s">
        <v>69</v>
      </c>
      <c r="Z1913" t="s">
        <v>69</v>
      </c>
      <c r="AA1913" t="s">
        <v>69</v>
      </c>
      <c r="AB1913" t="s">
        <v>30608</v>
      </c>
      <c r="AC1913" t="s">
        <v>4712</v>
      </c>
      <c r="AD1913" t="s">
        <v>30609</v>
      </c>
      <c r="AE1913" t="s">
        <v>69</v>
      </c>
      <c r="AF1913" t="s">
        <v>30610</v>
      </c>
      <c r="AG1913" t="s">
        <v>30611</v>
      </c>
      <c r="AH1913" t="s">
        <v>4713</v>
      </c>
      <c r="AI1913" t="s">
        <v>69</v>
      </c>
      <c r="AJ1913" t="s">
        <v>69</v>
      </c>
      <c r="AK1913" t="s">
        <v>69</v>
      </c>
      <c r="AL1913" t="s">
        <v>69</v>
      </c>
      <c r="AM1913" t="s">
        <v>69</v>
      </c>
      <c r="AN1913">
        <v>61</v>
      </c>
      <c r="AO1913">
        <v>19</v>
      </c>
      <c r="AP1913">
        <v>19</v>
      </c>
      <c r="AQ1913">
        <v>0</v>
      </c>
      <c r="AR1913">
        <v>27</v>
      </c>
      <c r="AS1913" t="s">
        <v>8636</v>
      </c>
      <c r="AT1913" t="s">
        <v>8637</v>
      </c>
      <c r="AU1913" t="s">
        <v>8638</v>
      </c>
      <c r="AV1913" t="s">
        <v>4714</v>
      </c>
      <c r="AW1913" t="s">
        <v>69</v>
      </c>
      <c r="AX1913" t="s">
        <v>69</v>
      </c>
      <c r="AY1913" t="s">
        <v>4711</v>
      </c>
      <c r="AZ1913" t="s">
        <v>8487</v>
      </c>
      <c r="BA1913" t="s">
        <v>201</v>
      </c>
      <c r="BB1913">
        <v>2005</v>
      </c>
      <c r="BC1913">
        <v>37</v>
      </c>
      <c r="BD1913">
        <v>6</v>
      </c>
      <c r="BE1913" t="s">
        <v>69</v>
      </c>
      <c r="BF1913" t="s">
        <v>69</v>
      </c>
      <c r="BG1913" t="s">
        <v>69</v>
      </c>
      <c r="BH1913" t="s">
        <v>69</v>
      </c>
      <c r="BI1913">
        <v>445</v>
      </c>
      <c r="BJ1913">
        <v>463</v>
      </c>
      <c r="BK1913" t="s">
        <v>69</v>
      </c>
      <c r="BL1913" t="s">
        <v>4715</v>
      </c>
      <c r="BM1913" t="str">
        <f>HYPERLINK("http://dx.doi.org/10.1016/j.futures.2004.10.020","http://dx.doi.org/10.1016/j.futures.2004.10.020")</f>
        <v>http://dx.doi.org/10.1016/j.futures.2004.10.020</v>
      </c>
      <c r="BN1913" t="s">
        <v>69</v>
      </c>
      <c r="BO1913" t="s">
        <v>69</v>
      </c>
      <c r="BP1913">
        <v>19</v>
      </c>
      <c r="BQ1913" t="s">
        <v>25762</v>
      </c>
      <c r="BR1913" t="s">
        <v>8661</v>
      </c>
      <c r="BS1913" t="s">
        <v>10993</v>
      </c>
      <c r="BT1913" t="s">
        <v>30612</v>
      </c>
      <c r="BU1913" t="s">
        <v>4716</v>
      </c>
      <c r="BV1913" t="s">
        <v>69</v>
      </c>
      <c r="BW1913" t="s">
        <v>69</v>
      </c>
      <c r="BX1913" t="s">
        <v>69</v>
      </c>
      <c r="BY1913" t="s">
        <v>69</v>
      </c>
      <c r="BZ1913" t="s">
        <v>8526</v>
      </c>
      <c r="CA1913" t="str">
        <f>HYPERLINK("https%3A%2F%2Fwww.webofscience.com%2Fwos%2Fwoscc%2Ffull-record%2FWOS:000229883500001","View Full Record in Web of Science")</f>
        <v>View Full Record in Web of Science</v>
      </c>
    </row>
    <row r="1914" spans="1:79" x14ac:dyDescent="0.3">
      <c r="B1914" t="s">
        <v>8495</v>
      </c>
      <c r="D1914" s="9" t="s">
        <v>32958</v>
      </c>
      <c r="E1914" s="9" t="s">
        <v>33068</v>
      </c>
      <c r="F1914" s="27" t="s">
        <v>8490</v>
      </c>
      <c r="G1914" s="9" t="s">
        <v>8490</v>
      </c>
      <c r="H1914" t="s">
        <v>67</v>
      </c>
      <c r="I1914" t="s">
        <v>19069</v>
      </c>
      <c r="J1914" t="s">
        <v>69</v>
      </c>
      <c r="K1914" t="s">
        <v>69</v>
      </c>
      <c r="L1914" t="s">
        <v>69</v>
      </c>
      <c r="M1914" t="s">
        <v>19070</v>
      </c>
      <c r="N1914" t="s">
        <v>69</v>
      </c>
      <c r="O1914" t="s">
        <v>69</v>
      </c>
      <c r="P1914" t="s">
        <v>19071</v>
      </c>
      <c r="Q1914" t="s">
        <v>19072</v>
      </c>
      <c r="R1914" t="s">
        <v>69</v>
      </c>
      <c r="S1914" t="s">
        <v>69</v>
      </c>
      <c r="T1914" t="s">
        <v>8505</v>
      </c>
      <c r="U1914" t="s">
        <v>8506</v>
      </c>
      <c r="V1914" t="s">
        <v>69</v>
      </c>
      <c r="W1914" t="s">
        <v>69</v>
      </c>
      <c r="X1914" t="s">
        <v>69</v>
      </c>
      <c r="Y1914" t="s">
        <v>69</v>
      </c>
      <c r="Z1914" t="s">
        <v>69</v>
      </c>
      <c r="AA1914" t="s">
        <v>19073</v>
      </c>
      <c r="AB1914" t="s">
        <v>19074</v>
      </c>
      <c r="AC1914" t="s">
        <v>19075</v>
      </c>
      <c r="AD1914" t="s">
        <v>19076</v>
      </c>
      <c r="AE1914" t="s">
        <v>69</v>
      </c>
      <c r="AF1914" t="s">
        <v>19077</v>
      </c>
      <c r="AG1914" t="s">
        <v>19078</v>
      </c>
      <c r="AH1914" t="s">
        <v>19079</v>
      </c>
      <c r="AI1914" t="s">
        <v>19080</v>
      </c>
      <c r="AJ1914" t="s">
        <v>19081</v>
      </c>
      <c r="AK1914" t="s">
        <v>19082</v>
      </c>
      <c r="AL1914" t="s">
        <v>69</v>
      </c>
      <c r="AM1914" t="s">
        <v>69</v>
      </c>
      <c r="AN1914">
        <v>35</v>
      </c>
      <c r="AO1914">
        <v>1</v>
      </c>
      <c r="AP1914">
        <v>1</v>
      </c>
      <c r="AQ1914">
        <v>0</v>
      </c>
      <c r="AR1914">
        <v>4</v>
      </c>
      <c r="AS1914" t="s">
        <v>15821</v>
      </c>
      <c r="AT1914" t="s">
        <v>8735</v>
      </c>
      <c r="AU1914" t="s">
        <v>15822</v>
      </c>
      <c r="AV1914" t="s">
        <v>69</v>
      </c>
      <c r="AW1914" t="s">
        <v>19083</v>
      </c>
      <c r="AX1914" t="s">
        <v>69</v>
      </c>
      <c r="AY1914" t="s">
        <v>19072</v>
      </c>
      <c r="AZ1914" t="s">
        <v>19084</v>
      </c>
      <c r="BA1914" t="s">
        <v>94</v>
      </c>
      <c r="BB1914">
        <v>2018</v>
      </c>
      <c r="BC1914">
        <v>6</v>
      </c>
      <c r="BD1914">
        <v>3</v>
      </c>
      <c r="BE1914" t="s">
        <v>69</v>
      </c>
      <c r="BF1914" t="s">
        <v>69</v>
      </c>
      <c r="BG1914" t="s">
        <v>69</v>
      </c>
      <c r="BH1914" t="s">
        <v>69</v>
      </c>
      <c r="BI1914">
        <v>299</v>
      </c>
      <c r="BJ1914">
        <v>304</v>
      </c>
      <c r="BK1914" t="s">
        <v>69</v>
      </c>
      <c r="BL1914" t="s">
        <v>19085</v>
      </c>
      <c r="BM1914" t="str">
        <f>HYPERLINK("http://dx.doi.org/10.1002/2018EF000827","http://dx.doi.org/10.1002/2018EF000827")</f>
        <v>http://dx.doi.org/10.1002/2018EF000827</v>
      </c>
      <c r="BN1914" t="s">
        <v>69</v>
      </c>
      <c r="BO1914" t="s">
        <v>69</v>
      </c>
      <c r="BP1914">
        <v>6</v>
      </c>
      <c r="BQ1914" t="s">
        <v>19086</v>
      </c>
      <c r="BR1914" t="s">
        <v>8523</v>
      </c>
      <c r="BS1914" t="s">
        <v>19087</v>
      </c>
      <c r="BT1914" t="s">
        <v>19088</v>
      </c>
      <c r="BU1914" t="s">
        <v>19089</v>
      </c>
      <c r="BV1914" t="s">
        <v>69</v>
      </c>
      <c r="BW1914" t="s">
        <v>9352</v>
      </c>
      <c r="BX1914" t="s">
        <v>69</v>
      </c>
      <c r="BY1914" t="s">
        <v>69</v>
      </c>
      <c r="BZ1914" t="s">
        <v>8526</v>
      </c>
      <c r="CA1914" t="str">
        <f>HYPERLINK("https%3A%2F%2Fwww.webofscience.com%2Fwos%2Fwoscc%2Ffull-record%2FWOS:000430171600001","View Full Record in Web of Science")</f>
        <v>View Full Record in Web of Science</v>
      </c>
    </row>
    <row r="1915" spans="1:79" x14ac:dyDescent="0.3">
      <c r="B1915" t="s">
        <v>8495</v>
      </c>
      <c r="D1915" s="12" t="s">
        <v>32966</v>
      </c>
      <c r="H1915" t="s">
        <v>67</v>
      </c>
      <c r="I1915" t="s">
        <v>4923</v>
      </c>
      <c r="J1915" t="s">
        <v>69</v>
      </c>
      <c r="K1915" t="s">
        <v>69</v>
      </c>
      <c r="L1915" t="s">
        <v>69</v>
      </c>
      <c r="M1915" s="3" t="s">
        <v>4924</v>
      </c>
      <c r="N1915" t="s">
        <v>69</v>
      </c>
      <c r="O1915" t="s">
        <v>69</v>
      </c>
      <c r="P1915" s="2" t="s">
        <v>4925</v>
      </c>
      <c r="Q1915" t="s">
        <v>4926</v>
      </c>
      <c r="R1915" t="s">
        <v>69</v>
      </c>
      <c r="S1915" t="s">
        <v>69</v>
      </c>
      <c r="T1915" t="s">
        <v>12534</v>
      </c>
      <c r="U1915" t="s">
        <v>8506</v>
      </c>
      <c r="V1915" t="s">
        <v>69</v>
      </c>
      <c r="W1915" t="s">
        <v>69</v>
      </c>
      <c r="X1915" t="s">
        <v>69</v>
      </c>
      <c r="Y1915" t="s">
        <v>69</v>
      </c>
      <c r="Z1915" t="s">
        <v>69</v>
      </c>
      <c r="AA1915" t="s">
        <v>69</v>
      </c>
      <c r="AB1915" t="s">
        <v>69</v>
      </c>
      <c r="AC1915" t="s">
        <v>4927</v>
      </c>
      <c r="AD1915" t="s">
        <v>28283</v>
      </c>
      <c r="AE1915" t="s">
        <v>69</v>
      </c>
      <c r="AF1915" t="s">
        <v>28284</v>
      </c>
      <c r="AG1915" t="s">
        <v>28285</v>
      </c>
      <c r="AH1915" t="s">
        <v>69</v>
      </c>
      <c r="AI1915" t="s">
        <v>69</v>
      </c>
      <c r="AJ1915" t="s">
        <v>69</v>
      </c>
      <c r="AK1915" t="s">
        <v>69</v>
      </c>
      <c r="AL1915" t="s">
        <v>69</v>
      </c>
      <c r="AM1915" t="s">
        <v>69</v>
      </c>
      <c r="AN1915">
        <v>8</v>
      </c>
      <c r="AO1915">
        <v>6</v>
      </c>
      <c r="AP1915">
        <v>6</v>
      </c>
      <c r="AQ1915">
        <v>0</v>
      </c>
      <c r="AR1915">
        <v>8</v>
      </c>
      <c r="AS1915" t="s">
        <v>28286</v>
      </c>
      <c r="AT1915" t="s">
        <v>28287</v>
      </c>
      <c r="AU1915" t="s">
        <v>28288</v>
      </c>
      <c r="AV1915" t="s">
        <v>4928</v>
      </c>
      <c r="AW1915" t="s">
        <v>4929</v>
      </c>
      <c r="AX1915" t="s">
        <v>69</v>
      </c>
      <c r="AY1915" t="s">
        <v>4926</v>
      </c>
      <c r="AZ1915" t="s">
        <v>28289</v>
      </c>
      <c r="BA1915" t="s">
        <v>69</v>
      </c>
      <c r="BB1915">
        <v>2010</v>
      </c>
      <c r="BC1915">
        <v>100</v>
      </c>
      <c r="BD1915">
        <v>11</v>
      </c>
      <c r="BE1915" t="s">
        <v>69</v>
      </c>
      <c r="BF1915" t="s">
        <v>69</v>
      </c>
      <c r="BG1915" t="s">
        <v>69</v>
      </c>
      <c r="BH1915" t="s">
        <v>69</v>
      </c>
      <c r="BI1915">
        <v>47</v>
      </c>
      <c r="BJ1915">
        <v>50</v>
      </c>
      <c r="BK1915" t="s">
        <v>69</v>
      </c>
      <c r="BL1915" t="s">
        <v>69</v>
      </c>
      <c r="BM1915" t="s">
        <v>69</v>
      </c>
      <c r="BN1915" t="s">
        <v>69</v>
      </c>
      <c r="BO1915" t="s">
        <v>69</v>
      </c>
      <c r="BP1915">
        <v>4</v>
      </c>
      <c r="BQ1915" t="s">
        <v>9096</v>
      </c>
      <c r="BR1915" t="s">
        <v>8548</v>
      </c>
      <c r="BS1915" t="s">
        <v>9096</v>
      </c>
      <c r="BT1915" t="s">
        <v>28290</v>
      </c>
      <c r="BU1915" t="s">
        <v>4930</v>
      </c>
      <c r="BV1915" t="s">
        <v>69</v>
      </c>
      <c r="BW1915" t="s">
        <v>69</v>
      </c>
      <c r="BX1915" t="s">
        <v>69</v>
      </c>
      <c r="BY1915" t="s">
        <v>69</v>
      </c>
      <c r="BZ1915" t="s">
        <v>8526</v>
      </c>
      <c r="CA1915" t="str">
        <f>HYPERLINK("https%3A%2F%2Fwww.webofscience.com%2Fwos%2Fwoscc%2Ffull-record%2FWOS:000284435800010","View Full Record in Web of Science")</f>
        <v>View Full Record in Web of Science</v>
      </c>
    </row>
    <row r="1916" spans="1:79" x14ac:dyDescent="0.3">
      <c r="B1916" t="s">
        <v>8495</v>
      </c>
      <c r="D1916" s="9" t="s">
        <v>32948</v>
      </c>
      <c r="E1916" s="9" t="s">
        <v>33127</v>
      </c>
      <c r="F1916" s="10" t="s">
        <v>8490</v>
      </c>
      <c r="G1916" s="9" t="s">
        <v>8490</v>
      </c>
      <c r="H1916" t="s">
        <v>67</v>
      </c>
      <c r="I1916" t="s">
        <v>11959</v>
      </c>
      <c r="J1916" t="s">
        <v>69</v>
      </c>
      <c r="K1916" t="s">
        <v>69</v>
      </c>
      <c r="L1916" t="s">
        <v>69</v>
      </c>
      <c r="M1916" t="s">
        <v>11960</v>
      </c>
      <c r="N1916" t="s">
        <v>69</v>
      </c>
      <c r="O1916" t="s">
        <v>69</v>
      </c>
      <c r="P1916" t="s">
        <v>11961</v>
      </c>
      <c r="Q1916" t="s">
        <v>6253</v>
      </c>
      <c r="R1916" t="s">
        <v>69</v>
      </c>
      <c r="S1916" t="s">
        <v>69</v>
      </c>
      <c r="T1916" t="s">
        <v>8505</v>
      </c>
      <c r="U1916" t="s">
        <v>8556</v>
      </c>
      <c r="V1916" t="s">
        <v>69</v>
      </c>
      <c r="W1916" t="s">
        <v>69</v>
      </c>
      <c r="X1916" t="s">
        <v>69</v>
      </c>
      <c r="Y1916" t="s">
        <v>69</v>
      </c>
      <c r="Z1916" t="s">
        <v>69</v>
      </c>
      <c r="AA1916" t="s">
        <v>11962</v>
      </c>
      <c r="AB1916" t="s">
        <v>11963</v>
      </c>
      <c r="AC1916" t="s">
        <v>11964</v>
      </c>
      <c r="AD1916" t="s">
        <v>11965</v>
      </c>
      <c r="AE1916" t="s">
        <v>69</v>
      </c>
      <c r="AF1916" t="s">
        <v>11966</v>
      </c>
      <c r="AG1916" t="s">
        <v>11967</v>
      </c>
      <c r="AH1916" t="s">
        <v>69</v>
      </c>
      <c r="AI1916" t="s">
        <v>11968</v>
      </c>
      <c r="AJ1916" t="s">
        <v>11969</v>
      </c>
      <c r="AK1916" t="s">
        <v>11969</v>
      </c>
      <c r="AL1916" t="s">
        <v>11970</v>
      </c>
      <c r="AM1916" t="s">
        <v>69</v>
      </c>
      <c r="AN1916">
        <v>42</v>
      </c>
      <c r="AO1916">
        <v>0</v>
      </c>
      <c r="AP1916">
        <v>0</v>
      </c>
      <c r="AQ1916">
        <v>6</v>
      </c>
      <c r="AR1916">
        <v>9</v>
      </c>
      <c r="AS1916" t="s">
        <v>8846</v>
      </c>
      <c r="AT1916" t="s">
        <v>8847</v>
      </c>
      <c r="AU1916" t="s">
        <v>8848</v>
      </c>
      <c r="AV1916" t="s">
        <v>6255</v>
      </c>
      <c r="AW1916" t="s">
        <v>6256</v>
      </c>
      <c r="AX1916" t="s">
        <v>69</v>
      </c>
      <c r="AY1916" t="s">
        <v>11971</v>
      </c>
      <c r="AZ1916" t="s">
        <v>11972</v>
      </c>
      <c r="BA1916" t="s">
        <v>69</v>
      </c>
      <c r="BB1916" t="s">
        <v>69</v>
      </c>
      <c r="BC1916" t="s">
        <v>69</v>
      </c>
      <c r="BD1916" t="s">
        <v>69</v>
      </c>
      <c r="BE1916" t="s">
        <v>69</v>
      </c>
      <c r="BF1916" t="s">
        <v>69</v>
      </c>
      <c r="BG1916" t="s">
        <v>69</v>
      </c>
      <c r="BH1916" t="s">
        <v>69</v>
      </c>
      <c r="BI1916" t="s">
        <v>69</v>
      </c>
      <c r="BJ1916" t="s">
        <v>69</v>
      </c>
      <c r="BK1916" t="s">
        <v>69</v>
      </c>
      <c r="BL1916" t="s">
        <v>11973</v>
      </c>
      <c r="BM1916" t="str">
        <f>HYPERLINK("http://dx.doi.org/10.1111/rego.12415","http://dx.doi.org/10.1111/rego.12415")</f>
        <v>http://dx.doi.org/10.1111/rego.12415</v>
      </c>
      <c r="BN1916" t="s">
        <v>69</v>
      </c>
      <c r="BO1916" t="s">
        <v>11920</v>
      </c>
      <c r="BP1916">
        <v>19</v>
      </c>
      <c r="BQ1916" t="s">
        <v>11974</v>
      </c>
      <c r="BR1916" t="s">
        <v>8661</v>
      </c>
      <c r="BS1916" t="s">
        <v>10440</v>
      </c>
      <c r="BT1916" t="s">
        <v>11975</v>
      </c>
      <c r="BU1916" t="s">
        <v>11976</v>
      </c>
      <c r="BV1916" t="s">
        <v>69</v>
      </c>
      <c r="BW1916" t="s">
        <v>8622</v>
      </c>
      <c r="BX1916" t="s">
        <v>69</v>
      </c>
      <c r="BY1916" t="s">
        <v>69</v>
      </c>
      <c r="BZ1916" t="s">
        <v>8526</v>
      </c>
      <c r="CA1916" t="str">
        <f>HYPERLINK("https%3A%2F%2Fwww.webofscience.com%2Fwos%2Fwoscc%2Ffull-record%2FWOS:000658903500001","View Full Record in Web of Science")</f>
        <v>View Full Record in Web of Science</v>
      </c>
    </row>
    <row r="1917" spans="1:79" ht="12.5" x14ac:dyDescent="0.25">
      <c r="B1917" t="s">
        <v>8495</v>
      </c>
      <c r="D1917" s="7" t="s">
        <v>32933</v>
      </c>
      <c r="E1917" s="7"/>
      <c r="F1917" s="7"/>
      <c r="G1917" s="7"/>
      <c r="H1917" t="s">
        <v>67</v>
      </c>
      <c r="I1917" t="s">
        <v>7333</v>
      </c>
      <c r="J1917" t="s">
        <v>69</v>
      </c>
      <c r="K1917" t="s">
        <v>69</v>
      </c>
      <c r="L1917" t="s">
        <v>69</v>
      </c>
      <c r="M1917" t="s">
        <v>7334</v>
      </c>
      <c r="N1917" t="s">
        <v>69</v>
      </c>
      <c r="O1917" t="s">
        <v>69</v>
      </c>
      <c r="P1917" t="s">
        <v>7335</v>
      </c>
      <c r="Q1917" t="s">
        <v>7336</v>
      </c>
      <c r="R1917" t="s">
        <v>69</v>
      </c>
      <c r="S1917" t="s">
        <v>69</v>
      </c>
      <c r="T1917" t="s">
        <v>8505</v>
      </c>
      <c r="U1917" t="s">
        <v>8506</v>
      </c>
      <c r="V1917" t="s">
        <v>69</v>
      </c>
      <c r="W1917" t="s">
        <v>69</v>
      </c>
      <c r="X1917" t="s">
        <v>69</v>
      </c>
      <c r="Y1917" t="s">
        <v>69</v>
      </c>
      <c r="Z1917" t="s">
        <v>69</v>
      </c>
      <c r="AA1917" t="s">
        <v>13847</v>
      </c>
      <c r="AB1917" t="s">
        <v>69</v>
      </c>
      <c r="AC1917" t="s">
        <v>7337</v>
      </c>
      <c r="AD1917" t="s">
        <v>13848</v>
      </c>
      <c r="AE1917" t="s">
        <v>69</v>
      </c>
      <c r="AF1917" t="s">
        <v>13849</v>
      </c>
      <c r="AG1917" t="s">
        <v>13850</v>
      </c>
      <c r="AH1917" t="s">
        <v>69</v>
      </c>
      <c r="AI1917" t="s">
        <v>69</v>
      </c>
      <c r="AJ1917" t="s">
        <v>13851</v>
      </c>
      <c r="AK1917" t="s">
        <v>13852</v>
      </c>
      <c r="AL1917" t="s">
        <v>13853</v>
      </c>
      <c r="AM1917" t="s">
        <v>69</v>
      </c>
      <c r="AN1917">
        <v>86</v>
      </c>
      <c r="AO1917">
        <v>5</v>
      </c>
      <c r="AP1917">
        <v>5</v>
      </c>
      <c r="AQ1917">
        <v>2</v>
      </c>
      <c r="AR1917">
        <v>3</v>
      </c>
      <c r="AS1917" t="s">
        <v>8586</v>
      </c>
      <c r="AT1917" t="s">
        <v>8587</v>
      </c>
      <c r="AU1917" t="s">
        <v>8588</v>
      </c>
      <c r="AV1917" t="s">
        <v>7338</v>
      </c>
      <c r="AW1917" t="s">
        <v>69</v>
      </c>
      <c r="AX1917" t="s">
        <v>69</v>
      </c>
      <c r="AY1917" t="s">
        <v>12700</v>
      </c>
      <c r="AZ1917" t="s">
        <v>12701</v>
      </c>
      <c r="BA1917" t="s">
        <v>13346</v>
      </c>
      <c r="BB1917">
        <v>2022</v>
      </c>
      <c r="BC1917">
        <v>40</v>
      </c>
      <c r="BD1917">
        <v>1</v>
      </c>
      <c r="BE1917" t="s">
        <v>69</v>
      </c>
      <c r="BF1917" t="s">
        <v>69</v>
      </c>
      <c r="BG1917" t="s">
        <v>69</v>
      </c>
      <c r="BH1917" t="s">
        <v>69</v>
      </c>
      <c r="BI1917">
        <v>76</v>
      </c>
      <c r="BJ1917">
        <v>100</v>
      </c>
      <c r="BK1917" t="s">
        <v>69</v>
      </c>
      <c r="BL1917" t="s">
        <v>7339</v>
      </c>
      <c r="BM1917" t="str">
        <f>HYPERLINK("http://dx.doi.org/10.1108/IJBPA-08-2020-0068","http://dx.doi.org/10.1108/IJBPA-08-2020-0068")</f>
        <v>http://dx.doi.org/10.1108/IJBPA-08-2020-0068</v>
      </c>
      <c r="BN1917" t="s">
        <v>69</v>
      </c>
      <c r="BO1917" t="s">
        <v>300</v>
      </c>
      <c r="BP1917">
        <v>25</v>
      </c>
      <c r="BQ1917" t="s">
        <v>10105</v>
      </c>
      <c r="BR1917" t="s">
        <v>8573</v>
      </c>
      <c r="BS1917" t="s">
        <v>10105</v>
      </c>
      <c r="BT1917" t="s">
        <v>13854</v>
      </c>
      <c r="BU1917" t="s">
        <v>7340</v>
      </c>
      <c r="BV1917" t="s">
        <v>69</v>
      </c>
      <c r="BW1917" t="s">
        <v>69</v>
      </c>
      <c r="BX1917" t="s">
        <v>69</v>
      </c>
      <c r="BY1917" t="s">
        <v>69</v>
      </c>
      <c r="BZ1917" t="s">
        <v>8526</v>
      </c>
      <c r="CA1917" t="str">
        <f>HYPERLINK("https%3A%2F%2Fwww.webofscience.com%2Fwos%2Fwoscc%2Ffull-record%2FWOS:000603700900001","View Full Record in Web of Science")</f>
        <v>View Full Record in Web of Science</v>
      </c>
    </row>
    <row r="1918" spans="1:79" ht="12.5" x14ac:dyDescent="0.25">
      <c r="B1918" t="s">
        <v>8495</v>
      </c>
      <c r="D1918" s="22" t="s">
        <v>32931</v>
      </c>
      <c r="E1918" s="7"/>
      <c r="F1918" s="7"/>
      <c r="G1918" s="7"/>
      <c r="H1918" t="s">
        <v>67</v>
      </c>
      <c r="I1918" t="s">
        <v>9376</v>
      </c>
      <c r="J1918" t="s">
        <v>69</v>
      </c>
      <c r="K1918" t="s">
        <v>69</v>
      </c>
      <c r="L1918" t="s">
        <v>69</v>
      </c>
      <c r="M1918" t="s">
        <v>9377</v>
      </c>
      <c r="N1918" t="s">
        <v>69</v>
      </c>
      <c r="O1918" t="s">
        <v>69</v>
      </c>
      <c r="P1918" t="s">
        <v>9378</v>
      </c>
      <c r="Q1918" t="s">
        <v>9379</v>
      </c>
      <c r="R1918" t="s">
        <v>69</v>
      </c>
      <c r="S1918" t="s">
        <v>69</v>
      </c>
      <c r="T1918" t="s">
        <v>8505</v>
      </c>
      <c r="U1918" t="s">
        <v>8506</v>
      </c>
      <c r="V1918" t="s">
        <v>69</v>
      </c>
      <c r="W1918" t="s">
        <v>69</v>
      </c>
      <c r="X1918" t="s">
        <v>69</v>
      </c>
      <c r="Y1918" t="s">
        <v>69</v>
      </c>
      <c r="Z1918" t="s">
        <v>69</v>
      </c>
      <c r="AA1918" t="s">
        <v>9380</v>
      </c>
      <c r="AB1918" t="s">
        <v>9381</v>
      </c>
      <c r="AC1918" t="s">
        <v>9382</v>
      </c>
      <c r="AD1918" t="s">
        <v>9383</v>
      </c>
      <c r="AE1918" t="s">
        <v>69</v>
      </c>
      <c r="AF1918" t="s">
        <v>9384</v>
      </c>
      <c r="AG1918" t="s">
        <v>9385</v>
      </c>
      <c r="AH1918" t="s">
        <v>69</v>
      </c>
      <c r="AI1918" t="s">
        <v>69</v>
      </c>
      <c r="AJ1918" t="s">
        <v>9386</v>
      </c>
      <c r="AK1918" t="s">
        <v>9387</v>
      </c>
      <c r="AL1918" t="s">
        <v>9388</v>
      </c>
      <c r="AM1918" t="s">
        <v>69</v>
      </c>
      <c r="AN1918">
        <v>36</v>
      </c>
      <c r="AO1918">
        <v>0</v>
      </c>
      <c r="AP1918">
        <v>0</v>
      </c>
      <c r="AQ1918">
        <v>0</v>
      </c>
      <c r="AR1918">
        <v>0</v>
      </c>
      <c r="AS1918" t="s">
        <v>9145</v>
      </c>
      <c r="AT1918" t="s">
        <v>8637</v>
      </c>
      <c r="AU1918" t="s">
        <v>9146</v>
      </c>
      <c r="AV1918" t="s">
        <v>9389</v>
      </c>
      <c r="AW1918" t="s">
        <v>9390</v>
      </c>
      <c r="AX1918" t="s">
        <v>69</v>
      </c>
      <c r="AY1918" t="s">
        <v>9379</v>
      </c>
      <c r="AZ1918" t="s">
        <v>8439</v>
      </c>
      <c r="BA1918" t="s">
        <v>3848</v>
      </c>
      <c r="BB1918">
        <v>2022</v>
      </c>
      <c r="BC1918">
        <v>244</v>
      </c>
      <c r="BD1918" t="s">
        <v>69</v>
      </c>
      <c r="BE1918" t="s">
        <v>514</v>
      </c>
      <c r="BF1918" t="s">
        <v>69</v>
      </c>
      <c r="BG1918" t="s">
        <v>69</v>
      </c>
      <c r="BH1918" t="s">
        <v>69</v>
      </c>
      <c r="BI1918" t="s">
        <v>69</v>
      </c>
      <c r="BJ1918" t="s">
        <v>69</v>
      </c>
      <c r="BK1918">
        <v>123064</v>
      </c>
      <c r="BL1918" t="s">
        <v>9391</v>
      </c>
      <c r="BM1918" t="str">
        <f>HYPERLINK("http://dx.doi.org/10.1016/j.energy.2021.123064","http://dx.doi.org/10.1016/j.energy.2021.123064")</f>
        <v>http://dx.doi.org/10.1016/j.energy.2021.123064</v>
      </c>
      <c r="BN1918" t="s">
        <v>69</v>
      </c>
      <c r="BO1918" t="s">
        <v>69</v>
      </c>
      <c r="BP1918">
        <v>12</v>
      </c>
      <c r="BQ1918" t="s">
        <v>9392</v>
      </c>
      <c r="BR1918" t="s">
        <v>8548</v>
      </c>
      <c r="BS1918" t="s">
        <v>9392</v>
      </c>
      <c r="BT1918" t="s">
        <v>9393</v>
      </c>
      <c r="BU1918" t="s">
        <v>9394</v>
      </c>
      <c r="BV1918" t="s">
        <v>69</v>
      </c>
      <c r="BW1918" t="s">
        <v>8622</v>
      </c>
      <c r="BX1918" t="s">
        <v>69</v>
      </c>
      <c r="BY1918" t="s">
        <v>69</v>
      </c>
      <c r="BZ1918" t="s">
        <v>8526</v>
      </c>
      <c r="CA1918" t="str">
        <f>HYPERLINK("https%3A%2F%2Fwww.webofscience.com%2Fwos%2Fwoscc%2Ffull-record%2FWOS:000805151300010","View Full Record in Web of Science")</f>
        <v>View Full Record in Web of Science</v>
      </c>
    </row>
    <row r="1919" spans="1:79" ht="12.5" x14ac:dyDescent="0.25">
      <c r="B1919" t="s">
        <v>8495</v>
      </c>
      <c r="D1919" s="7" t="s">
        <v>32933</v>
      </c>
      <c r="E1919" s="7"/>
      <c r="F1919" s="7"/>
      <c r="G1919" s="7"/>
      <c r="H1919" t="s">
        <v>67</v>
      </c>
      <c r="I1919" t="s">
        <v>7681</v>
      </c>
      <c r="J1919" t="s">
        <v>69</v>
      </c>
      <c r="K1919" t="s">
        <v>69</v>
      </c>
      <c r="L1919" t="s">
        <v>69</v>
      </c>
      <c r="M1919" t="s">
        <v>7682</v>
      </c>
      <c r="N1919" t="s">
        <v>69</v>
      </c>
      <c r="O1919" t="s">
        <v>69</v>
      </c>
      <c r="P1919" t="s">
        <v>7683</v>
      </c>
      <c r="Q1919" t="s">
        <v>5400</v>
      </c>
      <c r="R1919" t="s">
        <v>69</v>
      </c>
      <c r="S1919" t="s">
        <v>69</v>
      </c>
      <c r="T1919" t="s">
        <v>8505</v>
      </c>
      <c r="U1919" t="s">
        <v>8506</v>
      </c>
      <c r="V1919" t="s">
        <v>69</v>
      </c>
      <c r="W1919" t="s">
        <v>69</v>
      </c>
      <c r="X1919" t="s">
        <v>69</v>
      </c>
      <c r="Y1919" t="s">
        <v>69</v>
      </c>
      <c r="Z1919" t="s">
        <v>69</v>
      </c>
      <c r="AA1919" t="s">
        <v>17505</v>
      </c>
      <c r="AB1919" t="s">
        <v>69</v>
      </c>
      <c r="AC1919" t="s">
        <v>7684</v>
      </c>
      <c r="AD1919" t="s">
        <v>17506</v>
      </c>
      <c r="AE1919" t="s">
        <v>69</v>
      </c>
      <c r="AF1919" t="s">
        <v>17507</v>
      </c>
      <c r="AG1919" t="s">
        <v>17508</v>
      </c>
      <c r="AH1919" t="s">
        <v>69</v>
      </c>
      <c r="AI1919" t="s">
        <v>2177</v>
      </c>
      <c r="AJ1919" t="s">
        <v>17509</v>
      </c>
      <c r="AK1919" t="s">
        <v>17510</v>
      </c>
      <c r="AL1919" t="s">
        <v>17511</v>
      </c>
      <c r="AM1919" t="s">
        <v>69</v>
      </c>
      <c r="AN1919">
        <v>45</v>
      </c>
      <c r="AO1919">
        <v>5</v>
      </c>
      <c r="AP1919">
        <v>5</v>
      </c>
      <c r="AQ1919">
        <v>0</v>
      </c>
      <c r="AR1919">
        <v>5</v>
      </c>
      <c r="AS1919" t="s">
        <v>17140</v>
      </c>
      <c r="AT1919" t="s">
        <v>8517</v>
      </c>
      <c r="AU1919" t="s">
        <v>17141</v>
      </c>
      <c r="AV1919" t="s">
        <v>5402</v>
      </c>
      <c r="AW1919" t="s">
        <v>5403</v>
      </c>
      <c r="AX1919" t="s">
        <v>69</v>
      </c>
      <c r="AY1919" t="s">
        <v>8974</v>
      </c>
      <c r="AZ1919" t="s">
        <v>8975</v>
      </c>
      <c r="BA1919" t="s">
        <v>94</v>
      </c>
      <c r="BB1919">
        <v>2019</v>
      </c>
      <c r="BC1919">
        <v>49</v>
      </c>
      <c r="BD1919" t="s">
        <v>69</v>
      </c>
      <c r="BE1919" t="s">
        <v>69</v>
      </c>
      <c r="BF1919" t="s">
        <v>69</v>
      </c>
      <c r="BG1919" t="s">
        <v>69</v>
      </c>
      <c r="BH1919" t="s">
        <v>69</v>
      </c>
      <c r="BI1919">
        <v>134</v>
      </c>
      <c r="BJ1919">
        <v>142</v>
      </c>
      <c r="BK1919" t="s">
        <v>69</v>
      </c>
      <c r="BL1919" t="s">
        <v>7685</v>
      </c>
      <c r="BM1919" t="str">
        <f>HYPERLINK("http://dx.doi.org/10.1016/j.erss.2018.10.022","http://dx.doi.org/10.1016/j.erss.2018.10.022")</f>
        <v>http://dx.doi.org/10.1016/j.erss.2018.10.022</v>
      </c>
      <c r="BN1919" t="s">
        <v>69</v>
      </c>
      <c r="BO1919" t="s">
        <v>69</v>
      </c>
      <c r="BP1919">
        <v>9</v>
      </c>
      <c r="BQ1919" t="s">
        <v>8660</v>
      </c>
      <c r="BR1919" t="s">
        <v>8661</v>
      </c>
      <c r="BS1919" t="s">
        <v>8662</v>
      </c>
      <c r="BT1919" t="s">
        <v>17512</v>
      </c>
      <c r="BU1919" t="s">
        <v>7686</v>
      </c>
      <c r="BV1919" t="s">
        <v>69</v>
      </c>
      <c r="BW1919" t="s">
        <v>10995</v>
      </c>
      <c r="BX1919" t="s">
        <v>69</v>
      </c>
      <c r="BY1919" t="s">
        <v>69</v>
      </c>
      <c r="BZ1919" t="s">
        <v>8526</v>
      </c>
      <c r="CA1919" t="str">
        <f>HYPERLINK("https%3A%2F%2Fwww.webofscience.com%2Fwos%2Fwoscc%2Ffull-record%2FWOS:000460444100015","View Full Record in Web of Science")</f>
        <v>View Full Record in Web of Science</v>
      </c>
    </row>
    <row r="1920" spans="1:79" x14ac:dyDescent="0.3">
      <c r="B1920" t="s">
        <v>8495</v>
      </c>
      <c r="D1920" s="13" t="s">
        <v>32959</v>
      </c>
      <c r="H1920" t="s">
        <v>67</v>
      </c>
      <c r="I1920" t="s">
        <v>4441</v>
      </c>
      <c r="J1920" t="s">
        <v>69</v>
      </c>
      <c r="K1920" t="s">
        <v>69</v>
      </c>
      <c r="L1920" t="s">
        <v>69</v>
      </c>
      <c r="M1920" s="4" t="s">
        <v>4442</v>
      </c>
      <c r="N1920" t="s">
        <v>69</v>
      </c>
      <c r="O1920" t="s">
        <v>69</v>
      </c>
      <c r="P1920" s="2" t="s">
        <v>4443</v>
      </c>
      <c r="Q1920" t="s">
        <v>510</v>
      </c>
      <c r="R1920" t="s">
        <v>69</v>
      </c>
      <c r="S1920" t="s">
        <v>69</v>
      </c>
      <c r="T1920" t="s">
        <v>8505</v>
      </c>
      <c r="U1920" t="s">
        <v>8506</v>
      </c>
      <c r="V1920" t="s">
        <v>69</v>
      </c>
      <c r="W1920" t="s">
        <v>69</v>
      </c>
      <c r="X1920" t="s">
        <v>69</v>
      </c>
      <c r="Y1920" t="s">
        <v>69</v>
      </c>
      <c r="Z1920" t="s">
        <v>69</v>
      </c>
      <c r="AA1920" t="s">
        <v>21273</v>
      </c>
      <c r="AB1920" t="s">
        <v>21274</v>
      </c>
      <c r="AC1920" t="s">
        <v>4444</v>
      </c>
      <c r="AD1920" t="s">
        <v>21275</v>
      </c>
      <c r="AE1920" t="s">
        <v>69</v>
      </c>
      <c r="AF1920" t="s">
        <v>21276</v>
      </c>
      <c r="AG1920" t="s">
        <v>21277</v>
      </c>
      <c r="AH1920" t="s">
        <v>69</v>
      </c>
      <c r="AI1920" t="s">
        <v>4445</v>
      </c>
      <c r="AJ1920" t="s">
        <v>69</v>
      </c>
      <c r="AK1920" t="s">
        <v>69</v>
      </c>
      <c r="AL1920" t="s">
        <v>69</v>
      </c>
      <c r="AM1920" t="s">
        <v>69</v>
      </c>
      <c r="AN1920">
        <v>81</v>
      </c>
      <c r="AO1920">
        <v>63</v>
      </c>
      <c r="AP1920">
        <v>63</v>
      </c>
      <c r="AQ1920">
        <v>2</v>
      </c>
      <c r="AR1920">
        <v>54</v>
      </c>
      <c r="AS1920" t="s">
        <v>8636</v>
      </c>
      <c r="AT1920" t="s">
        <v>8637</v>
      </c>
      <c r="AU1920" t="s">
        <v>8638</v>
      </c>
      <c r="AV1920" t="s">
        <v>512</v>
      </c>
      <c r="AW1920" t="s">
        <v>513</v>
      </c>
      <c r="AX1920" t="s">
        <v>69</v>
      </c>
      <c r="AY1920" t="s">
        <v>18408</v>
      </c>
      <c r="AZ1920" t="s">
        <v>18409</v>
      </c>
      <c r="BA1920" t="s">
        <v>381</v>
      </c>
      <c r="BB1920">
        <v>2016</v>
      </c>
      <c r="BC1920">
        <v>130</v>
      </c>
      <c r="BD1920" t="s">
        <v>69</v>
      </c>
      <c r="BE1920" t="s">
        <v>69</v>
      </c>
      <c r="BF1920" t="s">
        <v>69</v>
      </c>
      <c r="BG1920" t="s">
        <v>69</v>
      </c>
      <c r="BH1920" t="s">
        <v>69</v>
      </c>
      <c r="BI1920">
        <v>107</v>
      </c>
      <c r="BJ1920">
        <v>114</v>
      </c>
      <c r="BK1920" t="s">
        <v>69</v>
      </c>
      <c r="BL1920" t="s">
        <v>4446</v>
      </c>
      <c r="BM1920" t="str">
        <f>HYPERLINK("http://dx.doi.org/10.1016/j.ocecoaman.2016.06.002","http://dx.doi.org/10.1016/j.ocecoaman.2016.06.002")</f>
        <v>http://dx.doi.org/10.1016/j.ocecoaman.2016.06.002</v>
      </c>
      <c r="BN1920" t="s">
        <v>69</v>
      </c>
      <c r="BO1920" t="s">
        <v>69</v>
      </c>
      <c r="BP1920">
        <v>8</v>
      </c>
      <c r="BQ1920" t="s">
        <v>18410</v>
      </c>
      <c r="BR1920" t="s">
        <v>8523</v>
      </c>
      <c r="BS1920" t="s">
        <v>18410</v>
      </c>
      <c r="BT1920" t="s">
        <v>21278</v>
      </c>
      <c r="BU1920" t="s">
        <v>4447</v>
      </c>
      <c r="BV1920" t="s">
        <v>69</v>
      </c>
      <c r="BW1920" t="s">
        <v>69</v>
      </c>
      <c r="BX1920" t="s">
        <v>69</v>
      </c>
      <c r="BY1920" t="s">
        <v>69</v>
      </c>
      <c r="BZ1920" t="s">
        <v>8526</v>
      </c>
      <c r="CA1920" t="str">
        <f>HYPERLINK("https%3A%2F%2Fwww.webofscience.com%2Fwos%2Fwoscc%2Ffull-record%2FWOS:000381837700011","View Full Record in Web of Science")</f>
        <v>View Full Record in Web of Science</v>
      </c>
    </row>
    <row r="1921" spans="2:79" ht="12.5" x14ac:dyDescent="0.25">
      <c r="B1921" t="s">
        <v>8495</v>
      </c>
      <c r="D1921" s="22" t="s">
        <v>32931</v>
      </c>
      <c r="E1921" s="7"/>
      <c r="F1921" s="7"/>
      <c r="G1921" s="7"/>
      <c r="H1921" t="s">
        <v>67</v>
      </c>
      <c r="I1921" t="s">
        <v>30679</v>
      </c>
      <c r="J1921" t="s">
        <v>69</v>
      </c>
      <c r="K1921" t="s">
        <v>69</v>
      </c>
      <c r="L1921" t="s">
        <v>69</v>
      </c>
      <c r="M1921" t="s">
        <v>30680</v>
      </c>
      <c r="N1921" t="s">
        <v>69</v>
      </c>
      <c r="O1921" t="s">
        <v>69</v>
      </c>
      <c r="P1921" t="s">
        <v>30681</v>
      </c>
      <c r="Q1921" t="s">
        <v>30682</v>
      </c>
      <c r="R1921" t="s">
        <v>69</v>
      </c>
      <c r="S1921" t="s">
        <v>69</v>
      </c>
      <c r="T1921" t="s">
        <v>14800</v>
      </c>
      <c r="U1921" t="s">
        <v>8506</v>
      </c>
      <c r="V1921" t="s">
        <v>69</v>
      </c>
      <c r="W1921" t="s">
        <v>69</v>
      </c>
      <c r="X1921" t="s">
        <v>69</v>
      </c>
      <c r="Y1921" t="s">
        <v>69</v>
      </c>
      <c r="Z1921" t="s">
        <v>69</v>
      </c>
      <c r="AA1921" t="s">
        <v>69</v>
      </c>
      <c r="AB1921" t="s">
        <v>69</v>
      </c>
      <c r="AC1921" t="s">
        <v>30683</v>
      </c>
      <c r="AD1921" t="s">
        <v>30684</v>
      </c>
      <c r="AE1921" t="s">
        <v>69</v>
      </c>
      <c r="AF1921" t="s">
        <v>30685</v>
      </c>
      <c r="AG1921" t="s">
        <v>69</v>
      </c>
      <c r="AH1921" t="s">
        <v>69</v>
      </c>
      <c r="AI1921" t="s">
        <v>69</v>
      </c>
      <c r="AJ1921" t="s">
        <v>69</v>
      </c>
      <c r="AK1921" t="s">
        <v>69</v>
      </c>
      <c r="AL1921" t="s">
        <v>69</v>
      </c>
      <c r="AM1921" t="s">
        <v>69</v>
      </c>
      <c r="AN1921">
        <v>33</v>
      </c>
      <c r="AO1921">
        <v>0</v>
      </c>
      <c r="AP1921">
        <v>0</v>
      </c>
      <c r="AQ1921">
        <v>0</v>
      </c>
      <c r="AR1921">
        <v>0</v>
      </c>
      <c r="AS1921" t="s">
        <v>30686</v>
      </c>
      <c r="AT1921" t="s">
        <v>30687</v>
      </c>
      <c r="AU1921" t="s">
        <v>30688</v>
      </c>
      <c r="AV1921" t="s">
        <v>30689</v>
      </c>
      <c r="AW1921" t="s">
        <v>30690</v>
      </c>
      <c r="AX1921" t="s">
        <v>69</v>
      </c>
      <c r="AY1921" t="s">
        <v>30691</v>
      </c>
      <c r="AZ1921" t="s">
        <v>30692</v>
      </c>
      <c r="BA1921" t="s">
        <v>30693</v>
      </c>
      <c r="BB1921">
        <v>2005</v>
      </c>
      <c r="BC1921">
        <v>81</v>
      </c>
      <c r="BD1921" t="s">
        <v>336</v>
      </c>
      <c r="BE1921" t="s">
        <v>69</v>
      </c>
      <c r="BF1921" t="s">
        <v>69</v>
      </c>
      <c r="BG1921" t="s">
        <v>69</v>
      </c>
      <c r="BH1921" t="s">
        <v>69</v>
      </c>
      <c r="BI1921">
        <v>46</v>
      </c>
      <c r="BJ1921">
        <v>74</v>
      </c>
      <c r="BK1921" t="s">
        <v>69</v>
      </c>
      <c r="BL1921" t="s">
        <v>30694</v>
      </c>
      <c r="BM1921" t="str">
        <f>HYPERLINK("http://dx.doi.org/10.7202/012837ar","http://dx.doi.org/10.7202/012837ar")</f>
        <v>http://dx.doi.org/10.7202/012837ar</v>
      </c>
      <c r="BN1921" t="s">
        <v>69</v>
      </c>
      <c r="BO1921" t="s">
        <v>69</v>
      </c>
      <c r="BP1921">
        <v>29</v>
      </c>
      <c r="BQ1921" t="s">
        <v>9726</v>
      </c>
      <c r="BR1921" t="s">
        <v>8573</v>
      </c>
      <c r="BS1921" t="s">
        <v>8594</v>
      </c>
      <c r="BT1921" t="s">
        <v>30695</v>
      </c>
      <c r="BU1921" t="s">
        <v>30696</v>
      </c>
      <c r="BV1921" t="s">
        <v>69</v>
      </c>
      <c r="BW1921" t="s">
        <v>19019</v>
      </c>
      <c r="BX1921" t="s">
        <v>69</v>
      </c>
      <c r="BY1921" t="s">
        <v>69</v>
      </c>
      <c r="BZ1921" t="s">
        <v>8526</v>
      </c>
      <c r="CA1921" t="str">
        <f>HYPERLINK("https%3A%2F%2Fwww.webofscience.com%2Fwos%2Fwoscc%2Ffull-record%2FWOS:000433664800004","View Full Record in Web of Science")</f>
        <v>View Full Record in Web of Science</v>
      </c>
    </row>
    <row r="1922" spans="2:79" ht="12.5" x14ac:dyDescent="0.25">
      <c r="B1922" t="s">
        <v>8495</v>
      </c>
      <c r="D1922" s="7" t="s">
        <v>32933</v>
      </c>
      <c r="E1922" s="7"/>
      <c r="F1922" s="7"/>
      <c r="G1922" s="7"/>
      <c r="H1922" t="s">
        <v>67</v>
      </c>
      <c r="I1922" t="s">
        <v>6577</v>
      </c>
      <c r="J1922" t="s">
        <v>69</v>
      </c>
      <c r="K1922" t="s">
        <v>69</v>
      </c>
      <c r="L1922" t="s">
        <v>69</v>
      </c>
      <c r="M1922" t="s">
        <v>6578</v>
      </c>
      <c r="N1922" t="s">
        <v>69</v>
      </c>
      <c r="O1922" t="s">
        <v>69</v>
      </c>
      <c r="P1922" t="s">
        <v>6579</v>
      </c>
      <c r="Q1922" t="s">
        <v>6580</v>
      </c>
      <c r="R1922" t="s">
        <v>69</v>
      </c>
      <c r="S1922" t="s">
        <v>69</v>
      </c>
      <c r="T1922" t="s">
        <v>8505</v>
      </c>
      <c r="U1922" t="s">
        <v>8506</v>
      </c>
      <c r="V1922" t="s">
        <v>69</v>
      </c>
      <c r="W1922" t="s">
        <v>69</v>
      </c>
      <c r="X1922" t="s">
        <v>69</v>
      </c>
      <c r="Y1922" t="s">
        <v>69</v>
      </c>
      <c r="Z1922" t="s">
        <v>69</v>
      </c>
      <c r="AA1922" t="s">
        <v>15096</v>
      </c>
      <c r="AB1922" t="s">
        <v>15097</v>
      </c>
      <c r="AC1922" t="s">
        <v>6581</v>
      </c>
      <c r="AD1922" t="s">
        <v>15098</v>
      </c>
      <c r="AE1922" t="s">
        <v>69</v>
      </c>
      <c r="AF1922" t="s">
        <v>15099</v>
      </c>
      <c r="AG1922" t="s">
        <v>15100</v>
      </c>
      <c r="AH1922" t="s">
        <v>15101</v>
      </c>
      <c r="AI1922" t="s">
        <v>6582</v>
      </c>
      <c r="AJ1922" t="s">
        <v>15102</v>
      </c>
      <c r="AK1922" t="s">
        <v>15103</v>
      </c>
      <c r="AL1922" t="s">
        <v>15104</v>
      </c>
      <c r="AM1922" t="s">
        <v>69</v>
      </c>
      <c r="AN1922">
        <v>39</v>
      </c>
      <c r="AO1922">
        <v>7</v>
      </c>
      <c r="AP1922">
        <v>7</v>
      </c>
      <c r="AQ1922">
        <v>3</v>
      </c>
      <c r="AR1922">
        <v>5</v>
      </c>
      <c r="AS1922" t="s">
        <v>8846</v>
      </c>
      <c r="AT1922" t="s">
        <v>8847</v>
      </c>
      <c r="AU1922" t="s">
        <v>8848</v>
      </c>
      <c r="AV1922" t="s">
        <v>6583</v>
      </c>
      <c r="AW1922" t="s">
        <v>6584</v>
      </c>
      <c r="AX1922" t="s">
        <v>69</v>
      </c>
      <c r="AY1922" t="s">
        <v>15105</v>
      </c>
      <c r="AZ1922" t="s">
        <v>15106</v>
      </c>
      <c r="BA1922" t="s">
        <v>84</v>
      </c>
      <c r="BB1922">
        <v>2020</v>
      </c>
      <c r="BC1922">
        <v>42</v>
      </c>
      <c r="BD1922">
        <v>6</v>
      </c>
      <c r="BE1922" t="s">
        <v>69</v>
      </c>
      <c r="BF1922" t="s">
        <v>69</v>
      </c>
      <c r="BG1922" t="s">
        <v>69</v>
      </c>
      <c r="BH1922" t="s">
        <v>69</v>
      </c>
      <c r="BI1922">
        <v>1424</v>
      </c>
      <c r="BJ1922">
        <v>1440</v>
      </c>
      <c r="BK1922" t="s">
        <v>69</v>
      </c>
      <c r="BL1922" t="s">
        <v>6585</v>
      </c>
      <c r="BM1922" t="str">
        <f>HYPERLINK("http://dx.doi.org/10.1111/1467-9566.13115","http://dx.doi.org/10.1111/1467-9566.13115")</f>
        <v>http://dx.doi.org/10.1111/1467-9566.13115</v>
      </c>
      <c r="BN1922" t="s">
        <v>69</v>
      </c>
      <c r="BO1922" t="s">
        <v>732</v>
      </c>
      <c r="BP1922">
        <v>17</v>
      </c>
      <c r="BQ1922" t="s">
        <v>15107</v>
      </c>
      <c r="BR1922" t="s">
        <v>8661</v>
      </c>
      <c r="BS1922" t="s">
        <v>15108</v>
      </c>
      <c r="BT1922" t="s">
        <v>15109</v>
      </c>
      <c r="BU1922" t="s">
        <v>6586</v>
      </c>
      <c r="BV1922">
        <v>32474965</v>
      </c>
      <c r="BW1922" t="s">
        <v>14589</v>
      </c>
      <c r="BX1922" t="s">
        <v>69</v>
      </c>
      <c r="BY1922" t="s">
        <v>69</v>
      </c>
      <c r="BZ1922" t="s">
        <v>8526</v>
      </c>
      <c r="CA1922" t="str">
        <f>HYPERLINK("https%3A%2F%2Fwww.webofscience.com%2Fwos%2Fwoscc%2Ffull-record%2FWOS:000536370000001","View Full Record in Web of Science")</f>
        <v>View Full Record in Web of Science</v>
      </c>
    </row>
    <row r="1923" spans="2:79" ht="12.5" x14ac:dyDescent="0.25">
      <c r="B1923" t="s">
        <v>8495</v>
      </c>
      <c r="D1923" s="7" t="s">
        <v>32933</v>
      </c>
      <c r="E1923" s="7"/>
      <c r="F1923" s="7"/>
      <c r="G1923" s="7"/>
      <c r="H1923" t="s">
        <v>67</v>
      </c>
      <c r="I1923" t="s">
        <v>6595</v>
      </c>
      <c r="J1923" t="s">
        <v>69</v>
      </c>
      <c r="K1923" t="s">
        <v>69</v>
      </c>
      <c r="L1923" t="s">
        <v>69</v>
      </c>
      <c r="M1923" t="s">
        <v>6596</v>
      </c>
      <c r="N1923" t="s">
        <v>69</v>
      </c>
      <c r="O1923" t="s">
        <v>69</v>
      </c>
      <c r="P1923" t="s">
        <v>6597</v>
      </c>
      <c r="Q1923" t="s">
        <v>3312</v>
      </c>
      <c r="R1923" t="s">
        <v>69</v>
      </c>
      <c r="S1923" t="s">
        <v>69</v>
      </c>
      <c r="T1923" t="s">
        <v>8505</v>
      </c>
      <c r="U1923" t="s">
        <v>8506</v>
      </c>
      <c r="V1923" t="s">
        <v>69</v>
      </c>
      <c r="W1923" t="s">
        <v>69</v>
      </c>
      <c r="X1923" t="s">
        <v>69</v>
      </c>
      <c r="Y1923" t="s">
        <v>69</v>
      </c>
      <c r="Z1923" t="s">
        <v>69</v>
      </c>
      <c r="AA1923" t="s">
        <v>24075</v>
      </c>
      <c r="AB1923" t="s">
        <v>24076</v>
      </c>
      <c r="AC1923" t="s">
        <v>6598</v>
      </c>
      <c r="AD1923" t="s">
        <v>24077</v>
      </c>
      <c r="AE1923" t="s">
        <v>69</v>
      </c>
      <c r="AF1923" t="s">
        <v>24078</v>
      </c>
      <c r="AG1923" t="s">
        <v>24079</v>
      </c>
      <c r="AH1923" t="s">
        <v>69</v>
      </c>
      <c r="AI1923" t="s">
        <v>69</v>
      </c>
      <c r="AJ1923" t="s">
        <v>69</v>
      </c>
      <c r="AK1923" t="s">
        <v>69</v>
      </c>
      <c r="AL1923" t="s">
        <v>69</v>
      </c>
      <c r="AM1923" t="s">
        <v>69</v>
      </c>
      <c r="AN1923">
        <v>32</v>
      </c>
      <c r="AO1923">
        <v>53</v>
      </c>
      <c r="AP1923">
        <v>54</v>
      </c>
      <c r="AQ1923">
        <v>2</v>
      </c>
      <c r="AR1923">
        <v>31</v>
      </c>
      <c r="AS1923" t="s">
        <v>8846</v>
      </c>
      <c r="AT1923" t="s">
        <v>8847</v>
      </c>
      <c r="AU1923" t="s">
        <v>8848</v>
      </c>
      <c r="AV1923" t="s">
        <v>3314</v>
      </c>
      <c r="AW1923" t="s">
        <v>3315</v>
      </c>
      <c r="AX1923" t="s">
        <v>69</v>
      </c>
      <c r="AY1923" t="s">
        <v>17518</v>
      </c>
      <c r="AZ1923" t="s">
        <v>17519</v>
      </c>
      <c r="BA1923" t="s">
        <v>373</v>
      </c>
      <c r="BB1923">
        <v>2014</v>
      </c>
      <c r="BC1923">
        <v>38</v>
      </c>
      <c r="BD1923">
        <v>1</v>
      </c>
      <c r="BE1923" t="s">
        <v>69</v>
      </c>
      <c r="BF1923" t="s">
        <v>69</v>
      </c>
      <c r="BG1923" t="s">
        <v>69</v>
      </c>
      <c r="BH1923" t="s">
        <v>69</v>
      </c>
      <c r="BI1923">
        <v>79</v>
      </c>
      <c r="BJ1923">
        <v>97</v>
      </c>
      <c r="BK1923" t="s">
        <v>69</v>
      </c>
      <c r="BL1923" t="s">
        <v>6599</v>
      </c>
      <c r="BM1923" t="str">
        <f>HYPERLINK("http://dx.doi.org/10.1111/1468-2427.12037","http://dx.doi.org/10.1111/1468-2427.12037")</f>
        <v>http://dx.doi.org/10.1111/1468-2427.12037</v>
      </c>
      <c r="BN1923" t="s">
        <v>69</v>
      </c>
      <c r="BO1923" t="s">
        <v>69</v>
      </c>
      <c r="BP1923">
        <v>19</v>
      </c>
      <c r="BQ1923" t="s">
        <v>17520</v>
      </c>
      <c r="BR1923" t="s">
        <v>8661</v>
      </c>
      <c r="BS1923" t="s">
        <v>17521</v>
      </c>
      <c r="BT1923" t="s">
        <v>24080</v>
      </c>
      <c r="BU1923" t="s">
        <v>6600</v>
      </c>
      <c r="BV1923" t="s">
        <v>69</v>
      </c>
      <c r="BW1923" t="s">
        <v>69</v>
      </c>
      <c r="BX1923" t="s">
        <v>69</v>
      </c>
      <c r="BY1923" t="s">
        <v>69</v>
      </c>
      <c r="BZ1923" t="s">
        <v>8526</v>
      </c>
      <c r="CA1923" t="str">
        <f>HYPERLINK("https%3A%2F%2Fwww.webofscience.com%2Fwos%2Fwoscc%2Ffull-record%2FWOS:000328747200005","View Full Record in Web of Science")</f>
        <v>View Full Record in Web of Science</v>
      </c>
    </row>
    <row r="1924" spans="2:79" ht="12.5" x14ac:dyDescent="0.25">
      <c r="B1924" t="s">
        <v>8495</v>
      </c>
      <c r="D1924" s="7" t="s">
        <v>32933</v>
      </c>
      <c r="E1924" s="7"/>
      <c r="F1924" s="7"/>
      <c r="G1924" s="7"/>
      <c r="H1924" t="s">
        <v>67</v>
      </c>
      <c r="I1924" t="s">
        <v>1574</v>
      </c>
      <c r="J1924" t="s">
        <v>69</v>
      </c>
      <c r="K1924" t="s">
        <v>69</v>
      </c>
      <c r="L1924" t="s">
        <v>69</v>
      </c>
      <c r="M1924" t="s">
        <v>1575</v>
      </c>
      <c r="N1924" t="s">
        <v>69</v>
      </c>
      <c r="O1924" t="s">
        <v>69</v>
      </c>
      <c r="P1924" t="s">
        <v>1576</v>
      </c>
      <c r="Q1924" t="s">
        <v>1577</v>
      </c>
      <c r="R1924" t="s">
        <v>69</v>
      </c>
      <c r="S1924" t="s">
        <v>69</v>
      </c>
      <c r="T1924" t="s">
        <v>8505</v>
      </c>
      <c r="U1924" t="s">
        <v>8506</v>
      </c>
      <c r="V1924" t="s">
        <v>69</v>
      </c>
      <c r="W1924" t="s">
        <v>69</v>
      </c>
      <c r="X1924" t="s">
        <v>69</v>
      </c>
      <c r="Y1924" t="s">
        <v>69</v>
      </c>
      <c r="Z1924" t="s">
        <v>69</v>
      </c>
      <c r="AA1924" t="s">
        <v>29011</v>
      </c>
      <c r="AB1924" t="s">
        <v>29012</v>
      </c>
      <c r="AC1924" t="s">
        <v>1578</v>
      </c>
      <c r="AD1924" t="s">
        <v>29013</v>
      </c>
      <c r="AE1924" t="s">
        <v>69</v>
      </c>
      <c r="AF1924" t="s">
        <v>29014</v>
      </c>
      <c r="AG1924" t="s">
        <v>29015</v>
      </c>
      <c r="AH1924" t="s">
        <v>69</v>
      </c>
      <c r="AI1924" t="s">
        <v>69</v>
      </c>
      <c r="AJ1924" t="s">
        <v>69</v>
      </c>
      <c r="AK1924" t="s">
        <v>69</v>
      </c>
      <c r="AL1924" t="s">
        <v>69</v>
      </c>
      <c r="AM1924" t="s">
        <v>69</v>
      </c>
      <c r="AN1924">
        <v>60</v>
      </c>
      <c r="AO1924">
        <v>6</v>
      </c>
      <c r="AP1924">
        <v>6</v>
      </c>
      <c r="AQ1924">
        <v>0</v>
      </c>
      <c r="AR1924">
        <v>8</v>
      </c>
      <c r="AS1924" t="s">
        <v>29016</v>
      </c>
      <c r="AT1924" t="s">
        <v>29017</v>
      </c>
      <c r="AU1924" t="s">
        <v>29018</v>
      </c>
      <c r="AV1924" t="s">
        <v>1579</v>
      </c>
      <c r="AW1924" t="s">
        <v>69</v>
      </c>
      <c r="AX1924" t="s">
        <v>69</v>
      </c>
      <c r="AY1924" t="s">
        <v>29019</v>
      </c>
      <c r="AZ1924" t="s">
        <v>29020</v>
      </c>
      <c r="BA1924" t="s">
        <v>75</v>
      </c>
      <c r="BB1924">
        <v>2008</v>
      </c>
      <c r="BC1924">
        <v>58</v>
      </c>
      <c r="BD1924">
        <v>4</v>
      </c>
      <c r="BE1924" t="s">
        <v>69</v>
      </c>
      <c r="BF1924" t="s">
        <v>69</v>
      </c>
      <c r="BG1924" t="s">
        <v>69</v>
      </c>
      <c r="BH1924" t="s">
        <v>69</v>
      </c>
      <c r="BI1924">
        <v>283</v>
      </c>
      <c r="BJ1924">
        <v>293</v>
      </c>
      <c r="BK1924" t="s">
        <v>69</v>
      </c>
      <c r="BL1924" t="s">
        <v>69</v>
      </c>
      <c r="BM1924" t="s">
        <v>69</v>
      </c>
      <c r="BN1924" t="s">
        <v>69</v>
      </c>
      <c r="BO1924" t="s">
        <v>69</v>
      </c>
      <c r="BP1924">
        <v>11</v>
      </c>
      <c r="BQ1924" t="s">
        <v>17664</v>
      </c>
      <c r="BR1924" t="s">
        <v>8548</v>
      </c>
      <c r="BS1924" t="s">
        <v>8450</v>
      </c>
      <c r="BT1924" t="s">
        <v>29021</v>
      </c>
      <c r="BU1924" t="s">
        <v>1580</v>
      </c>
      <c r="BV1924" t="s">
        <v>69</v>
      </c>
      <c r="BW1924" t="s">
        <v>69</v>
      </c>
      <c r="BX1924" t="s">
        <v>69</v>
      </c>
      <c r="BY1924" t="s">
        <v>69</v>
      </c>
      <c r="BZ1924" t="s">
        <v>8526</v>
      </c>
      <c r="CA1924" t="str">
        <f>HYPERLINK("https%3A%2F%2Fwww.webofscience.com%2Fwos%2Fwoscc%2Ffull-record%2FWOS:000262624200005","View Full Record in Web of Science")</f>
        <v>View Full Record in Web of Science</v>
      </c>
    </row>
    <row r="1925" spans="2:79" ht="12.5" x14ac:dyDescent="0.25">
      <c r="B1925" t="s">
        <v>8495</v>
      </c>
      <c r="D1925" s="22" t="s">
        <v>32931</v>
      </c>
      <c r="E1925" s="7"/>
      <c r="F1925" s="7"/>
      <c r="G1925" s="7"/>
      <c r="H1925" t="s">
        <v>67</v>
      </c>
      <c r="I1925" t="s">
        <v>31020</v>
      </c>
      <c r="J1925" t="s">
        <v>69</v>
      </c>
      <c r="K1925" t="s">
        <v>69</v>
      </c>
      <c r="L1925" t="s">
        <v>69</v>
      </c>
      <c r="M1925" t="s">
        <v>31020</v>
      </c>
      <c r="N1925" t="s">
        <v>69</v>
      </c>
      <c r="O1925" t="s">
        <v>69</v>
      </c>
      <c r="P1925" t="s">
        <v>31021</v>
      </c>
      <c r="Q1925" t="s">
        <v>31022</v>
      </c>
      <c r="R1925" t="s">
        <v>69</v>
      </c>
      <c r="S1925" t="s">
        <v>69</v>
      </c>
      <c r="T1925" t="s">
        <v>8505</v>
      </c>
      <c r="U1925" t="s">
        <v>8506</v>
      </c>
      <c r="V1925" t="s">
        <v>69</v>
      </c>
      <c r="W1925" t="s">
        <v>69</v>
      </c>
      <c r="X1925" t="s">
        <v>69</v>
      </c>
      <c r="Y1925" t="s">
        <v>69</v>
      </c>
      <c r="Z1925" t="s">
        <v>69</v>
      </c>
      <c r="AA1925" t="s">
        <v>31023</v>
      </c>
      <c r="AB1925" t="s">
        <v>31024</v>
      </c>
      <c r="AC1925" t="s">
        <v>31025</v>
      </c>
      <c r="AD1925" t="s">
        <v>31026</v>
      </c>
      <c r="AE1925" t="s">
        <v>69</v>
      </c>
      <c r="AF1925" t="s">
        <v>31027</v>
      </c>
      <c r="AG1925" t="s">
        <v>69</v>
      </c>
      <c r="AH1925" t="s">
        <v>31028</v>
      </c>
      <c r="AI1925" t="s">
        <v>31029</v>
      </c>
      <c r="AJ1925" t="s">
        <v>69</v>
      </c>
      <c r="AK1925" t="s">
        <v>69</v>
      </c>
      <c r="AL1925" t="s">
        <v>69</v>
      </c>
      <c r="AM1925" t="s">
        <v>69</v>
      </c>
      <c r="AN1925">
        <v>24</v>
      </c>
      <c r="AO1925">
        <v>13</v>
      </c>
      <c r="AP1925">
        <v>13</v>
      </c>
      <c r="AQ1925">
        <v>0</v>
      </c>
      <c r="AR1925">
        <v>0</v>
      </c>
      <c r="AS1925" t="s">
        <v>8762</v>
      </c>
      <c r="AT1925" t="s">
        <v>8763</v>
      </c>
      <c r="AU1925" t="s">
        <v>8764</v>
      </c>
      <c r="AV1925" t="s">
        <v>31030</v>
      </c>
      <c r="AW1925" t="s">
        <v>31031</v>
      </c>
      <c r="AX1925" t="s">
        <v>69</v>
      </c>
      <c r="AY1925" t="s">
        <v>31032</v>
      </c>
      <c r="AZ1925" t="s">
        <v>31033</v>
      </c>
      <c r="BA1925" t="s">
        <v>75</v>
      </c>
      <c r="BB1925">
        <v>2004</v>
      </c>
      <c r="BC1925">
        <v>32</v>
      </c>
      <c r="BD1925">
        <v>6</v>
      </c>
      <c r="BE1925" t="s">
        <v>69</v>
      </c>
      <c r="BF1925" t="s">
        <v>69</v>
      </c>
      <c r="BG1925" t="s">
        <v>69</v>
      </c>
      <c r="BH1925" t="s">
        <v>69</v>
      </c>
      <c r="BI1925">
        <v>781</v>
      </c>
      <c r="BJ1925">
        <v>786</v>
      </c>
      <c r="BK1925" t="s">
        <v>69</v>
      </c>
      <c r="BL1925" t="s">
        <v>31034</v>
      </c>
      <c r="BM1925" t="str">
        <f>HYPERLINK("http://dx.doi.org/10.1177/0310057X0403200609","http://dx.doi.org/10.1177/0310057X0403200609")</f>
        <v>http://dx.doi.org/10.1177/0310057X0403200609</v>
      </c>
      <c r="BN1925" t="s">
        <v>69</v>
      </c>
      <c r="BO1925" t="s">
        <v>69</v>
      </c>
      <c r="BP1925">
        <v>6</v>
      </c>
      <c r="BQ1925" t="s">
        <v>31035</v>
      </c>
      <c r="BR1925" t="s">
        <v>8548</v>
      </c>
      <c r="BS1925" t="s">
        <v>31036</v>
      </c>
      <c r="BT1925" t="s">
        <v>31037</v>
      </c>
      <c r="BU1925" t="s">
        <v>31038</v>
      </c>
      <c r="BV1925">
        <v>15648988</v>
      </c>
      <c r="BW1925" t="s">
        <v>9374</v>
      </c>
      <c r="BX1925" t="s">
        <v>69</v>
      </c>
      <c r="BY1925" t="s">
        <v>69</v>
      </c>
      <c r="BZ1925" t="s">
        <v>8526</v>
      </c>
      <c r="CA1925" t="str">
        <f>HYPERLINK("https%3A%2F%2Fwww.webofscience.com%2Fwos%2Fwoscc%2Ffull-record%2FWOS:000226048100009","View Full Record in Web of Science")</f>
        <v>View Full Record in Web of Science</v>
      </c>
    </row>
    <row r="1926" spans="2:79" ht="12.5" x14ac:dyDescent="0.25">
      <c r="B1926" t="s">
        <v>8495</v>
      </c>
      <c r="D1926" s="22" t="s">
        <v>32931</v>
      </c>
      <c r="E1926" s="7"/>
      <c r="F1926" s="7"/>
      <c r="G1926" s="7"/>
      <c r="H1926" t="s">
        <v>67</v>
      </c>
      <c r="I1926" t="s">
        <v>22617</v>
      </c>
      <c r="J1926" t="s">
        <v>69</v>
      </c>
      <c r="K1926" t="s">
        <v>69</v>
      </c>
      <c r="L1926" t="s">
        <v>69</v>
      </c>
      <c r="M1926" t="s">
        <v>22618</v>
      </c>
      <c r="N1926" t="s">
        <v>69</v>
      </c>
      <c r="O1926" t="s">
        <v>22619</v>
      </c>
      <c r="P1926" t="s">
        <v>22620</v>
      </c>
      <c r="Q1926" t="s">
        <v>22621</v>
      </c>
      <c r="R1926" t="s">
        <v>69</v>
      </c>
      <c r="S1926" t="s">
        <v>69</v>
      </c>
      <c r="T1926" t="s">
        <v>8505</v>
      </c>
      <c r="U1926" t="s">
        <v>8506</v>
      </c>
      <c r="V1926" t="s">
        <v>69</v>
      </c>
      <c r="W1926" t="s">
        <v>69</v>
      </c>
      <c r="X1926" t="s">
        <v>69</v>
      </c>
      <c r="Y1926" t="s">
        <v>69</v>
      </c>
      <c r="Z1926" t="s">
        <v>69</v>
      </c>
      <c r="AA1926" t="s">
        <v>22622</v>
      </c>
      <c r="AB1926" t="s">
        <v>22623</v>
      </c>
      <c r="AC1926" t="s">
        <v>22624</v>
      </c>
      <c r="AD1926" t="s">
        <v>22625</v>
      </c>
      <c r="AE1926" t="s">
        <v>69</v>
      </c>
      <c r="AF1926" t="s">
        <v>22626</v>
      </c>
      <c r="AG1926" t="s">
        <v>22627</v>
      </c>
      <c r="AH1926" t="s">
        <v>22628</v>
      </c>
      <c r="AI1926" t="s">
        <v>22629</v>
      </c>
      <c r="AJ1926" t="s">
        <v>22630</v>
      </c>
      <c r="AK1926" t="s">
        <v>22630</v>
      </c>
      <c r="AL1926" t="s">
        <v>22631</v>
      </c>
      <c r="AM1926" t="s">
        <v>69</v>
      </c>
      <c r="AN1926">
        <v>48</v>
      </c>
      <c r="AO1926">
        <v>40</v>
      </c>
      <c r="AP1926">
        <v>41</v>
      </c>
      <c r="AQ1926">
        <v>0</v>
      </c>
      <c r="AR1926">
        <v>16</v>
      </c>
      <c r="AS1926" t="s">
        <v>22632</v>
      </c>
      <c r="AT1926" t="s">
        <v>8763</v>
      </c>
      <c r="AU1926" t="s">
        <v>9306</v>
      </c>
      <c r="AV1926" t="s">
        <v>22633</v>
      </c>
      <c r="AW1926" t="s">
        <v>69</v>
      </c>
      <c r="AX1926" t="s">
        <v>69</v>
      </c>
      <c r="AY1926" t="s">
        <v>22634</v>
      </c>
      <c r="AZ1926" t="s">
        <v>22635</v>
      </c>
      <c r="BA1926" t="s">
        <v>6523</v>
      </c>
      <c r="BB1926">
        <v>2015</v>
      </c>
      <c r="BC1926">
        <v>5</v>
      </c>
      <c r="BD1926" t="s">
        <v>69</v>
      </c>
      <c r="BE1926" t="s">
        <v>69</v>
      </c>
      <c r="BF1926" t="s">
        <v>69</v>
      </c>
      <c r="BG1926" t="s">
        <v>69</v>
      </c>
      <c r="BH1926" t="s">
        <v>69</v>
      </c>
      <c r="BI1926" t="s">
        <v>69</v>
      </c>
      <c r="BJ1926" t="s">
        <v>69</v>
      </c>
      <c r="BK1926">
        <v>15</v>
      </c>
      <c r="BL1926" t="s">
        <v>22636</v>
      </c>
      <c r="BM1926" t="str">
        <f>HYPERLINK("http://dx.doi.org/10.1186/s13613-015-0056-x","http://dx.doi.org/10.1186/s13613-015-0056-x")</f>
        <v>http://dx.doi.org/10.1186/s13613-015-0056-x</v>
      </c>
      <c r="BN1926" t="s">
        <v>69</v>
      </c>
      <c r="BO1926" t="s">
        <v>69</v>
      </c>
      <c r="BP1926">
        <v>12</v>
      </c>
      <c r="BQ1926" t="s">
        <v>22637</v>
      </c>
      <c r="BR1926" t="s">
        <v>8548</v>
      </c>
      <c r="BS1926" t="s">
        <v>9451</v>
      </c>
      <c r="BT1926" t="s">
        <v>22638</v>
      </c>
      <c r="BU1926" t="s">
        <v>22639</v>
      </c>
      <c r="BV1926">
        <v>26092498</v>
      </c>
      <c r="BW1926" t="s">
        <v>8812</v>
      </c>
      <c r="BX1926" t="s">
        <v>69</v>
      </c>
      <c r="BY1926" t="s">
        <v>69</v>
      </c>
      <c r="BZ1926" t="s">
        <v>8526</v>
      </c>
      <c r="CA1926" t="str">
        <f>HYPERLINK("https%3A%2F%2Fwww.webofscience.com%2Fwos%2Fwoscc%2Ffull-record%2FWOS:000358442000001","View Full Record in Web of Science")</f>
        <v>View Full Record in Web of Science</v>
      </c>
    </row>
    <row r="1927" spans="2:79" ht="12.5" x14ac:dyDescent="0.25">
      <c r="B1927" t="s">
        <v>8495</v>
      </c>
      <c r="D1927" s="22" t="s">
        <v>32931</v>
      </c>
      <c r="E1927" s="7"/>
      <c r="F1927" s="7"/>
      <c r="G1927" s="7"/>
      <c r="H1927" t="s">
        <v>67</v>
      </c>
      <c r="I1927" t="s">
        <v>17991</v>
      </c>
      <c r="J1927" t="s">
        <v>69</v>
      </c>
      <c r="K1927" t="s">
        <v>69</v>
      </c>
      <c r="L1927" t="s">
        <v>69</v>
      </c>
      <c r="M1927" t="s">
        <v>17992</v>
      </c>
      <c r="N1927" t="s">
        <v>69</v>
      </c>
      <c r="O1927" t="s">
        <v>69</v>
      </c>
      <c r="P1927" t="s">
        <v>17993</v>
      </c>
      <c r="Q1927" t="s">
        <v>17994</v>
      </c>
      <c r="R1927" t="s">
        <v>69</v>
      </c>
      <c r="S1927" t="s">
        <v>69</v>
      </c>
      <c r="T1927" t="s">
        <v>10071</v>
      </c>
      <c r="U1927" t="s">
        <v>8506</v>
      </c>
      <c r="V1927" t="s">
        <v>69</v>
      </c>
      <c r="W1927" t="s">
        <v>69</v>
      </c>
      <c r="X1927" t="s">
        <v>69</v>
      </c>
      <c r="Y1927" t="s">
        <v>69</v>
      </c>
      <c r="Z1927" t="s">
        <v>69</v>
      </c>
      <c r="AA1927" t="s">
        <v>17995</v>
      </c>
      <c r="AB1927" t="s">
        <v>17996</v>
      </c>
      <c r="AC1927" t="s">
        <v>17997</v>
      </c>
      <c r="AD1927" t="s">
        <v>17998</v>
      </c>
      <c r="AE1927" t="s">
        <v>69</v>
      </c>
      <c r="AF1927" t="s">
        <v>17999</v>
      </c>
      <c r="AG1927" t="s">
        <v>18000</v>
      </c>
      <c r="AH1927" t="s">
        <v>18001</v>
      </c>
      <c r="AI1927" t="s">
        <v>69</v>
      </c>
      <c r="AJ1927" t="s">
        <v>69</v>
      </c>
      <c r="AK1927" t="s">
        <v>69</v>
      </c>
      <c r="AL1927" t="s">
        <v>69</v>
      </c>
      <c r="AM1927" t="s">
        <v>69</v>
      </c>
      <c r="AN1927">
        <v>48</v>
      </c>
      <c r="AO1927">
        <v>1</v>
      </c>
      <c r="AP1927">
        <v>2</v>
      </c>
      <c r="AQ1927">
        <v>1</v>
      </c>
      <c r="AR1927">
        <v>10</v>
      </c>
      <c r="AS1927" t="s">
        <v>18002</v>
      </c>
      <c r="AT1927" t="s">
        <v>16204</v>
      </c>
      <c r="AU1927" t="s">
        <v>18003</v>
      </c>
      <c r="AV1927" t="s">
        <v>18004</v>
      </c>
      <c r="AW1927" t="s">
        <v>18005</v>
      </c>
      <c r="AX1927" t="s">
        <v>69</v>
      </c>
      <c r="AY1927" t="s">
        <v>18006</v>
      </c>
      <c r="AZ1927" t="s">
        <v>18007</v>
      </c>
      <c r="BA1927" t="s">
        <v>69</v>
      </c>
      <c r="BB1927">
        <v>2019</v>
      </c>
      <c r="BC1927">
        <v>22</v>
      </c>
      <c r="BD1927">
        <v>1</v>
      </c>
      <c r="BE1927" t="s">
        <v>69</v>
      </c>
      <c r="BF1927" t="s">
        <v>69</v>
      </c>
      <c r="BG1927" t="s">
        <v>69</v>
      </c>
      <c r="BH1927" t="s">
        <v>69</v>
      </c>
      <c r="BI1927">
        <v>375</v>
      </c>
      <c r="BJ1927">
        <v>400</v>
      </c>
      <c r="BK1927" t="s">
        <v>69</v>
      </c>
      <c r="BL1927" t="s">
        <v>18008</v>
      </c>
      <c r="BM1927" t="str">
        <f>HYPERLINK("http://dx.doi.org/10.5944/educXX1.21469","http://dx.doi.org/10.5944/educXX1.21469")</f>
        <v>http://dx.doi.org/10.5944/educXX1.21469</v>
      </c>
      <c r="BN1927" t="s">
        <v>69</v>
      </c>
      <c r="BO1927" t="s">
        <v>69</v>
      </c>
      <c r="BP1927">
        <v>26</v>
      </c>
      <c r="BQ1927" t="s">
        <v>9290</v>
      </c>
      <c r="BR1927" t="s">
        <v>8661</v>
      </c>
      <c r="BS1927" t="s">
        <v>9290</v>
      </c>
      <c r="BT1927" t="s">
        <v>18009</v>
      </c>
      <c r="BU1927" t="s">
        <v>18010</v>
      </c>
      <c r="BV1927" t="s">
        <v>69</v>
      </c>
      <c r="BW1927" t="s">
        <v>8931</v>
      </c>
      <c r="BX1927" t="s">
        <v>69</v>
      </c>
      <c r="BY1927" t="s">
        <v>69</v>
      </c>
      <c r="BZ1927" t="s">
        <v>8526</v>
      </c>
      <c r="CA1927" t="str">
        <f>HYPERLINK("https%3A%2F%2Fwww.webofscience.com%2Fwos%2Fwoscc%2Ffull-record%2FWOS:000450015300017","View Full Record in Web of Science")</f>
        <v>View Full Record in Web of Science</v>
      </c>
    </row>
    <row r="1928" spans="2:79" ht="12.5" x14ac:dyDescent="0.25">
      <c r="B1928" t="s">
        <v>8495</v>
      </c>
      <c r="D1928" s="22" t="s">
        <v>32931</v>
      </c>
      <c r="E1928" s="7"/>
      <c r="F1928" s="7"/>
      <c r="G1928" s="7"/>
      <c r="H1928" t="s">
        <v>67</v>
      </c>
      <c r="I1928" t="s">
        <v>25228</v>
      </c>
      <c r="J1928" t="s">
        <v>69</v>
      </c>
      <c r="K1928" t="s">
        <v>69</v>
      </c>
      <c r="L1928" t="s">
        <v>69</v>
      </c>
      <c r="M1928" t="s">
        <v>25229</v>
      </c>
      <c r="N1928" t="s">
        <v>69</v>
      </c>
      <c r="O1928" t="s">
        <v>69</v>
      </c>
      <c r="P1928" t="s">
        <v>25230</v>
      </c>
      <c r="Q1928" t="s">
        <v>24786</v>
      </c>
      <c r="R1928" t="s">
        <v>69</v>
      </c>
      <c r="S1928" t="s">
        <v>69</v>
      </c>
      <c r="T1928" t="s">
        <v>8505</v>
      </c>
      <c r="U1928" t="s">
        <v>8506</v>
      </c>
      <c r="V1928" t="s">
        <v>69</v>
      </c>
      <c r="W1928" t="s">
        <v>69</v>
      </c>
      <c r="X1928" t="s">
        <v>69</v>
      </c>
      <c r="Y1928" t="s">
        <v>69</v>
      </c>
      <c r="Z1928" t="s">
        <v>69</v>
      </c>
      <c r="AA1928" t="s">
        <v>25231</v>
      </c>
      <c r="AB1928" t="s">
        <v>25232</v>
      </c>
      <c r="AC1928" t="s">
        <v>25233</v>
      </c>
      <c r="AD1928" t="s">
        <v>69</v>
      </c>
      <c r="AE1928" t="s">
        <v>69</v>
      </c>
      <c r="AF1928" t="s">
        <v>69</v>
      </c>
      <c r="AG1928" t="s">
        <v>25234</v>
      </c>
      <c r="AH1928" t="s">
        <v>69</v>
      </c>
      <c r="AI1928" t="s">
        <v>69</v>
      </c>
      <c r="AJ1928" t="s">
        <v>69</v>
      </c>
      <c r="AK1928" t="s">
        <v>69</v>
      </c>
      <c r="AL1928" t="s">
        <v>69</v>
      </c>
      <c r="AM1928" t="s">
        <v>69</v>
      </c>
      <c r="AN1928">
        <v>61</v>
      </c>
      <c r="AO1928">
        <v>13</v>
      </c>
      <c r="AP1928">
        <v>13</v>
      </c>
      <c r="AQ1928">
        <v>0</v>
      </c>
      <c r="AR1928">
        <v>0</v>
      </c>
      <c r="AS1928" t="s">
        <v>24795</v>
      </c>
      <c r="AT1928" t="s">
        <v>24796</v>
      </c>
      <c r="AU1928" t="s">
        <v>24797</v>
      </c>
      <c r="AV1928" t="s">
        <v>24798</v>
      </c>
      <c r="AW1928" t="s">
        <v>69</v>
      </c>
      <c r="AX1928" t="s">
        <v>69</v>
      </c>
      <c r="AY1928" t="s">
        <v>24799</v>
      </c>
      <c r="AZ1928" t="s">
        <v>24800</v>
      </c>
      <c r="BA1928" t="s">
        <v>191</v>
      </c>
      <c r="BB1928">
        <v>2013</v>
      </c>
      <c r="BC1928">
        <v>3</v>
      </c>
      <c r="BD1928">
        <v>1</v>
      </c>
      <c r="BE1928" t="s">
        <v>69</v>
      </c>
      <c r="BF1928" t="s">
        <v>69</v>
      </c>
      <c r="BG1928" t="s">
        <v>69</v>
      </c>
      <c r="BH1928" t="s">
        <v>69</v>
      </c>
      <c r="BI1928">
        <v>69</v>
      </c>
      <c r="BJ1928">
        <v>93</v>
      </c>
      <c r="BK1928" t="s">
        <v>69</v>
      </c>
      <c r="BL1928" t="s">
        <v>69</v>
      </c>
      <c r="BM1928" t="s">
        <v>69</v>
      </c>
      <c r="BN1928" t="s">
        <v>69</v>
      </c>
      <c r="BO1928" t="s">
        <v>69</v>
      </c>
      <c r="BP1928">
        <v>25</v>
      </c>
      <c r="BQ1928" t="s">
        <v>13825</v>
      </c>
      <c r="BR1928" t="s">
        <v>8573</v>
      </c>
      <c r="BS1928" t="s">
        <v>8594</v>
      </c>
      <c r="BT1928" t="s">
        <v>25235</v>
      </c>
      <c r="BU1928" t="s">
        <v>25236</v>
      </c>
      <c r="BV1928" t="s">
        <v>69</v>
      </c>
      <c r="BW1928" t="s">
        <v>12220</v>
      </c>
      <c r="BX1928" t="s">
        <v>69</v>
      </c>
      <c r="BY1928" t="s">
        <v>69</v>
      </c>
      <c r="BZ1928" t="s">
        <v>8526</v>
      </c>
      <c r="CA1928" t="str">
        <f>HYPERLINK("https%3A%2F%2Fwww.webofscience.com%2Fwos%2Fwoscc%2Ffull-record%2FWOS:000218845400005","View Full Record in Web of Science")</f>
        <v>View Full Record in Web of Science</v>
      </c>
    </row>
    <row r="1929" spans="2:79" ht="12.5" x14ac:dyDescent="0.25">
      <c r="B1929" t="s">
        <v>8495</v>
      </c>
      <c r="D1929" s="7" t="s">
        <v>32933</v>
      </c>
      <c r="E1929" s="7"/>
      <c r="F1929" s="7"/>
      <c r="G1929" s="7"/>
      <c r="H1929" t="s">
        <v>67</v>
      </c>
      <c r="I1929" t="s">
        <v>3813</v>
      </c>
      <c r="J1929" t="s">
        <v>69</v>
      </c>
      <c r="K1929" t="s">
        <v>69</v>
      </c>
      <c r="L1929" t="s">
        <v>69</v>
      </c>
      <c r="M1929" t="s">
        <v>3814</v>
      </c>
      <c r="N1929" t="s">
        <v>69</v>
      </c>
      <c r="O1929" t="s">
        <v>69</v>
      </c>
      <c r="P1929" t="s">
        <v>3815</v>
      </c>
      <c r="Q1929" t="s">
        <v>3816</v>
      </c>
      <c r="R1929" t="s">
        <v>69</v>
      </c>
      <c r="S1929" t="s">
        <v>69</v>
      </c>
      <c r="T1929" t="s">
        <v>8505</v>
      </c>
      <c r="U1929" t="s">
        <v>8506</v>
      </c>
      <c r="V1929" t="s">
        <v>69</v>
      </c>
      <c r="W1929" t="s">
        <v>69</v>
      </c>
      <c r="X1929" t="s">
        <v>69</v>
      </c>
      <c r="Y1929" t="s">
        <v>69</v>
      </c>
      <c r="Z1929" t="s">
        <v>69</v>
      </c>
      <c r="AA1929" t="s">
        <v>30203</v>
      </c>
      <c r="AB1929" t="s">
        <v>30204</v>
      </c>
      <c r="AC1929" t="s">
        <v>3817</v>
      </c>
      <c r="AD1929" t="s">
        <v>30205</v>
      </c>
      <c r="AE1929" t="s">
        <v>69</v>
      </c>
      <c r="AF1929" t="s">
        <v>30206</v>
      </c>
      <c r="AG1929" t="s">
        <v>69</v>
      </c>
      <c r="AH1929" t="s">
        <v>30207</v>
      </c>
      <c r="AI1929" t="s">
        <v>30208</v>
      </c>
      <c r="AJ1929" t="s">
        <v>69</v>
      </c>
      <c r="AK1929" t="s">
        <v>69</v>
      </c>
      <c r="AL1929" t="s">
        <v>69</v>
      </c>
      <c r="AM1929" t="s">
        <v>69</v>
      </c>
      <c r="AN1929">
        <v>20</v>
      </c>
      <c r="AO1929">
        <v>40</v>
      </c>
      <c r="AP1929">
        <v>42</v>
      </c>
      <c r="AQ1929">
        <v>0</v>
      </c>
      <c r="AR1929">
        <v>19</v>
      </c>
      <c r="AS1929" t="s">
        <v>8846</v>
      </c>
      <c r="AT1929" t="s">
        <v>8847</v>
      </c>
      <c r="AU1929" t="s">
        <v>8848</v>
      </c>
      <c r="AV1929" t="s">
        <v>3818</v>
      </c>
      <c r="AW1929" t="s">
        <v>3819</v>
      </c>
      <c r="AX1929" t="s">
        <v>69</v>
      </c>
      <c r="AY1929" t="s">
        <v>3816</v>
      </c>
      <c r="AZ1929" t="s">
        <v>30209</v>
      </c>
      <c r="BA1929" t="s">
        <v>84</v>
      </c>
      <c r="BB1929">
        <v>2006</v>
      </c>
      <c r="BC1929">
        <v>61</v>
      </c>
      <c r="BD1929">
        <v>7</v>
      </c>
      <c r="BE1929" t="s">
        <v>69</v>
      </c>
      <c r="BF1929" t="s">
        <v>69</v>
      </c>
      <c r="BG1929" t="s">
        <v>69</v>
      </c>
      <c r="BH1929" t="s">
        <v>69</v>
      </c>
      <c r="BI1929">
        <v>864</v>
      </c>
      <c r="BJ1929">
        <v>868</v>
      </c>
      <c r="BK1929" t="s">
        <v>69</v>
      </c>
      <c r="BL1929" t="s">
        <v>3820</v>
      </c>
      <c r="BM1929" t="str">
        <f>HYPERLINK("http://dx.doi.org/10.1111/j.1398-9995.2006.01106.x","http://dx.doi.org/10.1111/j.1398-9995.2006.01106.x")</f>
        <v>http://dx.doi.org/10.1111/j.1398-9995.2006.01106.x</v>
      </c>
      <c r="BN1929" t="s">
        <v>69</v>
      </c>
      <c r="BO1929" t="s">
        <v>69</v>
      </c>
      <c r="BP1929">
        <v>5</v>
      </c>
      <c r="BQ1929" t="s">
        <v>30210</v>
      </c>
      <c r="BR1929" t="s">
        <v>8548</v>
      </c>
      <c r="BS1929" t="s">
        <v>30210</v>
      </c>
      <c r="BT1929" t="s">
        <v>30211</v>
      </c>
      <c r="BU1929" t="s">
        <v>3821</v>
      </c>
      <c r="BV1929">
        <v>16792586</v>
      </c>
      <c r="BW1929" t="s">
        <v>69</v>
      </c>
      <c r="BX1929" t="s">
        <v>69</v>
      </c>
      <c r="BY1929" t="s">
        <v>69</v>
      </c>
      <c r="BZ1929" t="s">
        <v>8526</v>
      </c>
      <c r="CA1929" t="str">
        <f>HYPERLINK("https%3A%2F%2Fwww.webofscience.com%2Fwos%2Fwoscc%2Ffull-record%2FWOS:000238305000012","View Full Record in Web of Science")</f>
        <v>View Full Record in Web of Science</v>
      </c>
    </row>
    <row r="1930" spans="2:79" ht="12.5" x14ac:dyDescent="0.25">
      <c r="B1930" t="s">
        <v>8495</v>
      </c>
      <c r="D1930" s="7" t="s">
        <v>32933</v>
      </c>
      <c r="E1930" s="7"/>
      <c r="F1930" s="7"/>
      <c r="G1930" s="7"/>
      <c r="H1930" t="s">
        <v>67</v>
      </c>
      <c r="I1930" t="s">
        <v>3615</v>
      </c>
      <c r="J1930" t="s">
        <v>69</v>
      </c>
      <c r="K1930" t="s">
        <v>69</v>
      </c>
      <c r="L1930" t="s">
        <v>69</v>
      </c>
      <c r="M1930" t="s">
        <v>3616</v>
      </c>
      <c r="N1930" t="s">
        <v>69</v>
      </c>
      <c r="O1930" t="s">
        <v>69</v>
      </c>
      <c r="P1930" t="s">
        <v>3617</v>
      </c>
      <c r="Q1930" t="s">
        <v>3618</v>
      </c>
      <c r="R1930" t="s">
        <v>69</v>
      </c>
      <c r="S1930" t="s">
        <v>69</v>
      </c>
      <c r="T1930" t="s">
        <v>8505</v>
      </c>
      <c r="U1930" t="s">
        <v>8506</v>
      </c>
      <c r="V1930" t="s">
        <v>69</v>
      </c>
      <c r="W1930" t="s">
        <v>69</v>
      </c>
      <c r="X1930" t="s">
        <v>69</v>
      </c>
      <c r="Y1930" t="s">
        <v>69</v>
      </c>
      <c r="Z1930" t="s">
        <v>69</v>
      </c>
      <c r="AA1930" t="s">
        <v>28554</v>
      </c>
      <c r="AB1930" t="s">
        <v>28555</v>
      </c>
      <c r="AC1930" t="s">
        <v>3619</v>
      </c>
      <c r="AD1930" t="s">
        <v>28556</v>
      </c>
      <c r="AE1930" t="s">
        <v>69</v>
      </c>
      <c r="AF1930" t="s">
        <v>28557</v>
      </c>
      <c r="AG1930" t="s">
        <v>28558</v>
      </c>
      <c r="AH1930" t="s">
        <v>69</v>
      </c>
      <c r="AI1930" t="s">
        <v>69</v>
      </c>
      <c r="AJ1930" t="s">
        <v>69</v>
      </c>
      <c r="AK1930" t="s">
        <v>69</v>
      </c>
      <c r="AL1930" t="s">
        <v>69</v>
      </c>
      <c r="AM1930" t="s">
        <v>69</v>
      </c>
      <c r="AN1930">
        <v>41</v>
      </c>
      <c r="AO1930">
        <v>8</v>
      </c>
      <c r="AP1930">
        <v>8</v>
      </c>
      <c r="AQ1930">
        <v>0</v>
      </c>
      <c r="AR1930">
        <v>8</v>
      </c>
      <c r="AS1930" t="s">
        <v>28559</v>
      </c>
      <c r="AT1930" t="s">
        <v>28560</v>
      </c>
      <c r="AU1930" t="s">
        <v>28561</v>
      </c>
      <c r="AV1930" t="s">
        <v>3620</v>
      </c>
      <c r="AW1930" t="s">
        <v>3621</v>
      </c>
      <c r="AX1930" t="s">
        <v>69</v>
      </c>
      <c r="AY1930" t="s">
        <v>28562</v>
      </c>
      <c r="AZ1930" t="s">
        <v>28563</v>
      </c>
      <c r="BA1930" t="s">
        <v>94</v>
      </c>
      <c r="BB1930">
        <v>2009</v>
      </c>
      <c r="BC1930">
        <v>6</v>
      </c>
      <c r="BD1930">
        <v>1</v>
      </c>
      <c r="BE1930" t="s">
        <v>69</v>
      </c>
      <c r="BF1930" t="s">
        <v>69</v>
      </c>
      <c r="BG1930" t="s">
        <v>69</v>
      </c>
      <c r="BH1930" t="s">
        <v>69</v>
      </c>
      <c r="BI1930">
        <v>14</v>
      </c>
      <c r="BJ1930">
        <v>24</v>
      </c>
      <c r="BK1930" t="s">
        <v>69</v>
      </c>
      <c r="BL1930" t="s">
        <v>3622</v>
      </c>
      <c r="BM1930" t="str">
        <f>HYPERLINK("http://dx.doi.org/10.1287/deca.1080.0134","http://dx.doi.org/10.1287/deca.1080.0134")</f>
        <v>http://dx.doi.org/10.1287/deca.1080.0134</v>
      </c>
      <c r="BN1930" t="s">
        <v>69</v>
      </c>
      <c r="BO1930" t="s">
        <v>69</v>
      </c>
      <c r="BP1930">
        <v>11</v>
      </c>
      <c r="BQ1930" t="s">
        <v>9410</v>
      </c>
      <c r="BR1930" t="s">
        <v>8661</v>
      </c>
      <c r="BS1930" t="s">
        <v>8594</v>
      </c>
      <c r="BT1930" t="s">
        <v>28564</v>
      </c>
      <c r="BU1930" t="s">
        <v>3623</v>
      </c>
      <c r="BV1930" t="s">
        <v>69</v>
      </c>
      <c r="BW1930" t="s">
        <v>69</v>
      </c>
      <c r="BX1930" t="s">
        <v>69</v>
      </c>
      <c r="BY1930" t="s">
        <v>69</v>
      </c>
      <c r="BZ1930" t="s">
        <v>8526</v>
      </c>
      <c r="CA1930" t="str">
        <f>HYPERLINK("https%3A%2F%2Fwww.webofscience.com%2Fwos%2Fwoscc%2Ffull-record%2FWOS:000269942700003","View Full Record in Web of Science")</f>
        <v>View Full Record in Web of Science</v>
      </c>
    </row>
    <row r="1931" spans="2:79" ht="12.5" x14ac:dyDescent="0.25">
      <c r="B1931" t="s">
        <v>8495</v>
      </c>
      <c r="D1931" s="22" t="s">
        <v>32931</v>
      </c>
      <c r="E1931" s="7"/>
      <c r="F1931" s="7"/>
      <c r="G1931" s="7"/>
      <c r="H1931" t="s">
        <v>67</v>
      </c>
      <c r="I1931" t="s">
        <v>31067</v>
      </c>
      <c r="J1931" t="s">
        <v>69</v>
      </c>
      <c r="K1931" t="s">
        <v>69</v>
      </c>
      <c r="L1931" t="s">
        <v>69</v>
      </c>
      <c r="M1931" t="s">
        <v>31067</v>
      </c>
      <c r="N1931" t="s">
        <v>69</v>
      </c>
      <c r="O1931" t="s">
        <v>69</v>
      </c>
      <c r="P1931" t="s">
        <v>31068</v>
      </c>
      <c r="Q1931" t="s">
        <v>31069</v>
      </c>
      <c r="R1931" t="s">
        <v>69</v>
      </c>
      <c r="S1931" t="s">
        <v>69</v>
      </c>
      <c r="T1931" t="s">
        <v>8505</v>
      </c>
      <c r="U1931" t="s">
        <v>8506</v>
      </c>
      <c r="V1931" t="s">
        <v>69</v>
      </c>
      <c r="W1931" t="s">
        <v>69</v>
      </c>
      <c r="X1931" t="s">
        <v>69</v>
      </c>
      <c r="Y1931" t="s">
        <v>69</v>
      </c>
      <c r="Z1931" t="s">
        <v>69</v>
      </c>
      <c r="AA1931" t="s">
        <v>31070</v>
      </c>
      <c r="AB1931" t="s">
        <v>31071</v>
      </c>
      <c r="AC1931" t="s">
        <v>31072</v>
      </c>
      <c r="AD1931" t="s">
        <v>31073</v>
      </c>
      <c r="AE1931" t="s">
        <v>69</v>
      </c>
      <c r="AF1931" t="s">
        <v>31074</v>
      </c>
      <c r="AG1931" t="s">
        <v>31075</v>
      </c>
      <c r="AH1931" t="s">
        <v>69</v>
      </c>
      <c r="AI1931" t="s">
        <v>69</v>
      </c>
      <c r="AJ1931" t="s">
        <v>69</v>
      </c>
      <c r="AK1931" t="s">
        <v>69</v>
      </c>
      <c r="AL1931" t="s">
        <v>69</v>
      </c>
      <c r="AM1931" t="s">
        <v>69</v>
      </c>
      <c r="AN1931">
        <v>38</v>
      </c>
      <c r="AO1931">
        <v>25</v>
      </c>
      <c r="AP1931">
        <v>25</v>
      </c>
      <c r="AQ1931">
        <v>1</v>
      </c>
      <c r="AR1931">
        <v>12</v>
      </c>
      <c r="AS1931" t="s">
        <v>31076</v>
      </c>
      <c r="AT1931" t="s">
        <v>8637</v>
      </c>
      <c r="AU1931" t="s">
        <v>31077</v>
      </c>
      <c r="AV1931" t="s">
        <v>31078</v>
      </c>
      <c r="AW1931" t="s">
        <v>69</v>
      </c>
      <c r="AX1931" t="s">
        <v>69</v>
      </c>
      <c r="AY1931" t="s">
        <v>31079</v>
      </c>
      <c r="AZ1931" t="s">
        <v>31080</v>
      </c>
      <c r="BA1931" t="s">
        <v>84</v>
      </c>
      <c r="BB1931">
        <v>2004</v>
      </c>
      <c r="BC1931">
        <v>47</v>
      </c>
      <c r="BD1931">
        <v>1</v>
      </c>
      <c r="BE1931" t="s">
        <v>69</v>
      </c>
      <c r="BF1931" t="s">
        <v>69</v>
      </c>
      <c r="BG1931" t="s">
        <v>69</v>
      </c>
      <c r="BH1931" t="s">
        <v>69</v>
      </c>
      <c r="BI1931">
        <v>91</v>
      </c>
      <c r="BJ1931">
        <v>100</v>
      </c>
      <c r="BK1931" t="s">
        <v>69</v>
      </c>
      <c r="BL1931" t="s">
        <v>31081</v>
      </c>
      <c r="BM1931" t="str">
        <f>HYPERLINK("http://dx.doi.org/10.1111/j.1365-2648.2004.03070.x","http://dx.doi.org/10.1111/j.1365-2648.2004.03070.x")</f>
        <v>http://dx.doi.org/10.1111/j.1365-2648.2004.03070.x</v>
      </c>
      <c r="BN1931" t="s">
        <v>69</v>
      </c>
      <c r="BO1931" t="s">
        <v>69</v>
      </c>
      <c r="BP1931">
        <v>10</v>
      </c>
      <c r="BQ1931" t="s">
        <v>16902</v>
      </c>
      <c r="BR1931" t="s">
        <v>8523</v>
      </c>
      <c r="BS1931" t="s">
        <v>16902</v>
      </c>
      <c r="BT1931" t="s">
        <v>31082</v>
      </c>
      <c r="BU1931" t="s">
        <v>31083</v>
      </c>
      <c r="BV1931">
        <v>15186472</v>
      </c>
      <c r="BW1931" t="s">
        <v>69</v>
      </c>
      <c r="BX1931" t="s">
        <v>69</v>
      </c>
      <c r="BY1931" t="s">
        <v>69</v>
      </c>
      <c r="BZ1931" t="s">
        <v>8526</v>
      </c>
      <c r="CA1931" t="str">
        <f>HYPERLINK("https%3A%2F%2Fwww.webofscience.com%2Fwos%2Fwoscc%2Ffull-record%2FWOS:000221738700011","View Full Record in Web of Science")</f>
        <v>View Full Record in Web of Science</v>
      </c>
    </row>
    <row r="1932" spans="2:79" ht="12.5" x14ac:dyDescent="0.25">
      <c r="B1932" t="s">
        <v>8495</v>
      </c>
      <c r="D1932" s="7" t="s">
        <v>32933</v>
      </c>
      <c r="E1932" s="7"/>
      <c r="F1932" s="7"/>
      <c r="G1932" s="7"/>
      <c r="H1932" t="s">
        <v>67</v>
      </c>
      <c r="I1932" t="s">
        <v>5311</v>
      </c>
      <c r="J1932" t="s">
        <v>69</v>
      </c>
      <c r="K1932" t="s">
        <v>69</v>
      </c>
      <c r="L1932" t="s">
        <v>69</v>
      </c>
      <c r="M1932" t="s">
        <v>5312</v>
      </c>
      <c r="N1932" t="s">
        <v>69</v>
      </c>
      <c r="O1932" t="s">
        <v>69</v>
      </c>
      <c r="P1932" t="s">
        <v>5313</v>
      </c>
      <c r="Q1932" t="s">
        <v>2307</v>
      </c>
      <c r="R1932" t="s">
        <v>69</v>
      </c>
      <c r="S1932" t="s">
        <v>69</v>
      </c>
      <c r="T1932" t="s">
        <v>8505</v>
      </c>
      <c r="U1932" t="s">
        <v>8506</v>
      </c>
      <c r="V1932" t="s">
        <v>69</v>
      </c>
      <c r="W1932" t="s">
        <v>69</v>
      </c>
      <c r="X1932" t="s">
        <v>69</v>
      </c>
      <c r="Y1932" t="s">
        <v>69</v>
      </c>
      <c r="Z1932" t="s">
        <v>69</v>
      </c>
      <c r="AA1932" t="s">
        <v>17572</v>
      </c>
      <c r="AB1932" t="s">
        <v>17573</v>
      </c>
      <c r="AC1932" t="s">
        <v>5314</v>
      </c>
      <c r="AD1932" t="s">
        <v>17574</v>
      </c>
      <c r="AE1932" t="s">
        <v>69</v>
      </c>
      <c r="AF1932" t="s">
        <v>17575</v>
      </c>
      <c r="AG1932" t="s">
        <v>17576</v>
      </c>
      <c r="AH1932" t="s">
        <v>17577</v>
      </c>
      <c r="AI1932" t="s">
        <v>17578</v>
      </c>
      <c r="AJ1932" t="s">
        <v>17579</v>
      </c>
      <c r="AK1932" t="s">
        <v>17579</v>
      </c>
      <c r="AL1932" t="s">
        <v>17580</v>
      </c>
      <c r="AM1932" t="s">
        <v>69</v>
      </c>
      <c r="AN1932">
        <v>73</v>
      </c>
      <c r="AO1932">
        <v>25</v>
      </c>
      <c r="AP1932">
        <v>26</v>
      </c>
      <c r="AQ1932">
        <v>10</v>
      </c>
      <c r="AR1932">
        <v>65</v>
      </c>
      <c r="AS1932" t="s">
        <v>8762</v>
      </c>
      <c r="AT1932" t="s">
        <v>8763</v>
      </c>
      <c r="AU1932" t="s">
        <v>8764</v>
      </c>
      <c r="AV1932" t="s">
        <v>2309</v>
      </c>
      <c r="AW1932" t="s">
        <v>2310</v>
      </c>
      <c r="AX1932" t="s">
        <v>69</v>
      </c>
      <c r="AY1932" t="s">
        <v>17546</v>
      </c>
      <c r="AZ1932" t="s">
        <v>17547</v>
      </c>
      <c r="BA1932" t="s">
        <v>191</v>
      </c>
      <c r="BB1932">
        <v>2019</v>
      </c>
      <c r="BC1932">
        <v>72</v>
      </c>
      <c r="BD1932">
        <v>2</v>
      </c>
      <c r="BE1932" t="s">
        <v>69</v>
      </c>
      <c r="BF1932" t="s">
        <v>69</v>
      </c>
      <c r="BG1932" t="s">
        <v>69</v>
      </c>
      <c r="BH1932" t="s">
        <v>69</v>
      </c>
      <c r="BI1932">
        <v>444</v>
      </c>
      <c r="BJ1932">
        <v>470</v>
      </c>
      <c r="BK1932" t="s">
        <v>69</v>
      </c>
      <c r="BL1932" t="s">
        <v>5315</v>
      </c>
      <c r="BM1932" t="str">
        <f>HYPERLINK("http://dx.doi.org/10.1177/0018726718769716","http://dx.doi.org/10.1177/0018726718769716")</f>
        <v>http://dx.doi.org/10.1177/0018726718769716</v>
      </c>
      <c r="BN1932" t="s">
        <v>69</v>
      </c>
      <c r="BO1932" t="s">
        <v>69</v>
      </c>
      <c r="BP1932">
        <v>27</v>
      </c>
      <c r="BQ1932" t="s">
        <v>17548</v>
      </c>
      <c r="BR1932" t="s">
        <v>8661</v>
      </c>
      <c r="BS1932" t="s">
        <v>15524</v>
      </c>
      <c r="BT1932" t="s">
        <v>17549</v>
      </c>
      <c r="BU1932" t="s">
        <v>5316</v>
      </c>
      <c r="BV1932" t="s">
        <v>69</v>
      </c>
      <c r="BW1932" t="s">
        <v>69</v>
      </c>
      <c r="BX1932" t="s">
        <v>69</v>
      </c>
      <c r="BY1932" t="s">
        <v>69</v>
      </c>
      <c r="BZ1932" t="s">
        <v>8526</v>
      </c>
      <c r="CA1932" t="str">
        <f>HYPERLINK("https%3A%2F%2Fwww.webofscience.com%2Fwos%2Fwoscc%2Ffull-record%2FWOS:000456399400012","View Full Record in Web of Science")</f>
        <v>View Full Record in Web of Science</v>
      </c>
    </row>
    <row r="1933" spans="2:79" ht="12.5" x14ac:dyDescent="0.25">
      <c r="B1933" t="s">
        <v>8495</v>
      </c>
      <c r="D1933" s="22" t="s">
        <v>32931</v>
      </c>
      <c r="E1933" s="7"/>
      <c r="F1933" s="7"/>
      <c r="G1933" s="7"/>
      <c r="H1933" t="s">
        <v>67</v>
      </c>
      <c r="I1933" t="s">
        <v>29622</v>
      </c>
      <c r="J1933" t="s">
        <v>69</v>
      </c>
      <c r="K1933" t="s">
        <v>69</v>
      </c>
      <c r="L1933" t="s">
        <v>69</v>
      </c>
      <c r="M1933" t="s">
        <v>29623</v>
      </c>
      <c r="N1933" t="s">
        <v>69</v>
      </c>
      <c r="O1933" t="s">
        <v>69</v>
      </c>
      <c r="P1933" t="s">
        <v>29624</v>
      </c>
      <c r="Q1933" t="s">
        <v>29625</v>
      </c>
      <c r="R1933" t="s">
        <v>69</v>
      </c>
      <c r="S1933" t="s">
        <v>69</v>
      </c>
      <c r="T1933" t="s">
        <v>8505</v>
      </c>
      <c r="U1933" t="s">
        <v>15797</v>
      </c>
      <c r="V1933" t="s">
        <v>29626</v>
      </c>
      <c r="W1933" t="s">
        <v>29627</v>
      </c>
      <c r="X1933" t="s">
        <v>29628</v>
      </c>
      <c r="Y1933" t="s">
        <v>29629</v>
      </c>
      <c r="Z1933" t="s">
        <v>69</v>
      </c>
      <c r="AA1933" t="s">
        <v>29630</v>
      </c>
      <c r="AB1933" t="s">
        <v>29631</v>
      </c>
      <c r="AC1933" t="s">
        <v>29632</v>
      </c>
      <c r="AD1933" t="s">
        <v>29633</v>
      </c>
      <c r="AF1933" t="s">
        <v>29634</v>
      </c>
      <c r="AG1933" t="s">
        <v>29635</v>
      </c>
      <c r="AH1933" t="s">
        <v>29636</v>
      </c>
      <c r="AI1933" t="s">
        <v>29637</v>
      </c>
      <c r="AJ1933" t="s">
        <v>69</v>
      </c>
      <c r="AK1933" t="s">
        <v>69</v>
      </c>
      <c r="AL1933" t="s">
        <v>69</v>
      </c>
      <c r="AM1933" t="s">
        <v>69</v>
      </c>
      <c r="AN1933">
        <v>56</v>
      </c>
      <c r="AO1933">
        <v>13</v>
      </c>
      <c r="AP1933">
        <v>13</v>
      </c>
      <c r="AQ1933">
        <v>1</v>
      </c>
      <c r="AR1933">
        <v>3</v>
      </c>
      <c r="AS1933" t="s">
        <v>17273</v>
      </c>
      <c r="AT1933" t="s">
        <v>12925</v>
      </c>
      <c r="AU1933" t="s">
        <v>17274</v>
      </c>
      <c r="AV1933" t="s">
        <v>29638</v>
      </c>
      <c r="AW1933" t="s">
        <v>29639</v>
      </c>
      <c r="AX1933" t="s">
        <v>69</v>
      </c>
      <c r="AY1933" t="s">
        <v>29640</v>
      </c>
      <c r="AZ1933" t="s">
        <v>29641</v>
      </c>
      <c r="BA1933" t="s">
        <v>3297</v>
      </c>
      <c r="BB1933">
        <v>2007</v>
      </c>
      <c r="BC1933">
        <v>222</v>
      </c>
      <c r="BD1933">
        <v>3</v>
      </c>
      <c r="BE1933" t="s">
        <v>69</v>
      </c>
      <c r="BF1933" t="s">
        <v>69</v>
      </c>
      <c r="BG1933" t="s">
        <v>69</v>
      </c>
      <c r="BH1933" t="s">
        <v>69</v>
      </c>
      <c r="BI1933">
        <v>245</v>
      </c>
      <c r="BJ1933">
        <v>251</v>
      </c>
      <c r="BK1933" t="s">
        <v>69</v>
      </c>
      <c r="BL1933" t="s">
        <v>29642</v>
      </c>
      <c r="BM1933" t="str">
        <f>HYPERLINK("http://dx.doi.org/10.1016/j.taap.2007.01.007","http://dx.doi.org/10.1016/j.taap.2007.01.007")</f>
        <v>http://dx.doi.org/10.1016/j.taap.2007.01.007</v>
      </c>
      <c r="BN1933" t="s">
        <v>69</v>
      </c>
      <c r="BO1933" t="s">
        <v>69</v>
      </c>
      <c r="BP1933">
        <v>7</v>
      </c>
      <c r="BQ1933" t="s">
        <v>29643</v>
      </c>
      <c r="BR1933" t="s">
        <v>15808</v>
      </c>
      <c r="BS1933" t="s">
        <v>29643</v>
      </c>
      <c r="BT1933" t="s">
        <v>29644</v>
      </c>
      <c r="BU1933" t="s">
        <v>29645</v>
      </c>
      <c r="BV1933">
        <v>17336359</v>
      </c>
      <c r="BW1933" t="s">
        <v>69</v>
      </c>
      <c r="BX1933" t="s">
        <v>69</v>
      </c>
      <c r="BY1933" t="s">
        <v>69</v>
      </c>
      <c r="BZ1933" t="s">
        <v>8526</v>
      </c>
      <c r="CA1933" t="str">
        <f>HYPERLINK("https%3A%2F%2Fwww.webofscience.com%2Fwos%2Fwoscc%2Ffull-record%2FWOS:000248798500002","View Full Record in Web of Science")</f>
        <v>View Full Record in Web of Science</v>
      </c>
    </row>
    <row r="1934" spans="2:79" ht="12.5" x14ac:dyDescent="0.25">
      <c r="B1934" t="s">
        <v>8495</v>
      </c>
      <c r="D1934" s="22" t="s">
        <v>32931</v>
      </c>
      <c r="E1934" s="7"/>
      <c r="F1934" s="7"/>
      <c r="G1934" s="7"/>
      <c r="H1934" t="s">
        <v>67</v>
      </c>
      <c r="I1934" t="s">
        <v>28086</v>
      </c>
      <c r="J1934" t="s">
        <v>69</v>
      </c>
      <c r="K1934" t="s">
        <v>69</v>
      </c>
      <c r="L1934" t="s">
        <v>69</v>
      </c>
      <c r="M1934" t="s">
        <v>28087</v>
      </c>
      <c r="N1934" t="s">
        <v>69</v>
      </c>
      <c r="O1934" t="s">
        <v>69</v>
      </c>
      <c r="P1934" t="s">
        <v>28088</v>
      </c>
      <c r="Q1934" t="s">
        <v>3929</v>
      </c>
      <c r="R1934" t="s">
        <v>69</v>
      </c>
      <c r="S1934" t="s">
        <v>69</v>
      </c>
      <c r="T1934" t="s">
        <v>8505</v>
      </c>
      <c r="U1934" t="s">
        <v>8506</v>
      </c>
      <c r="V1934" t="s">
        <v>69</v>
      </c>
      <c r="W1934" t="s">
        <v>69</v>
      </c>
      <c r="X1934" t="s">
        <v>69</v>
      </c>
      <c r="Y1934" t="s">
        <v>69</v>
      </c>
      <c r="Z1934" t="s">
        <v>69</v>
      </c>
      <c r="AA1934" t="s">
        <v>28089</v>
      </c>
      <c r="AB1934" t="s">
        <v>26594</v>
      </c>
      <c r="AC1934" t="s">
        <v>28090</v>
      </c>
      <c r="AD1934" t="s">
        <v>28091</v>
      </c>
      <c r="AE1934" t="s">
        <v>69</v>
      </c>
      <c r="AF1934" t="s">
        <v>28092</v>
      </c>
      <c r="AG1934" t="s">
        <v>28093</v>
      </c>
      <c r="AH1934" t="s">
        <v>69</v>
      </c>
      <c r="AI1934" t="s">
        <v>1671</v>
      </c>
      <c r="AJ1934" t="s">
        <v>28094</v>
      </c>
      <c r="AK1934" t="s">
        <v>28094</v>
      </c>
      <c r="AL1934" t="s">
        <v>28095</v>
      </c>
      <c r="AM1934" t="s">
        <v>69</v>
      </c>
      <c r="AN1934">
        <v>18</v>
      </c>
      <c r="AO1934">
        <v>21</v>
      </c>
      <c r="AP1934">
        <v>21</v>
      </c>
      <c r="AQ1934">
        <v>1</v>
      </c>
      <c r="AR1934">
        <v>23</v>
      </c>
      <c r="AS1934" t="s">
        <v>13509</v>
      </c>
      <c r="AT1934" t="s">
        <v>13510</v>
      </c>
      <c r="AU1934" t="s">
        <v>13511</v>
      </c>
      <c r="AV1934" t="s">
        <v>3931</v>
      </c>
      <c r="AW1934" t="s">
        <v>3932</v>
      </c>
      <c r="AX1934" t="s">
        <v>69</v>
      </c>
      <c r="AY1934" t="s">
        <v>28096</v>
      </c>
      <c r="AZ1934" t="s">
        <v>28097</v>
      </c>
      <c r="BA1934" t="s">
        <v>69</v>
      </c>
      <c r="BB1934">
        <v>2010</v>
      </c>
      <c r="BC1934">
        <v>51</v>
      </c>
      <c r="BD1934">
        <v>1</v>
      </c>
      <c r="BE1934" t="s">
        <v>69</v>
      </c>
      <c r="BF1934" t="s">
        <v>69</v>
      </c>
      <c r="BG1934" t="s">
        <v>114</v>
      </c>
      <c r="BH1934" t="s">
        <v>69</v>
      </c>
      <c r="BI1934">
        <v>39</v>
      </c>
      <c r="BJ1934">
        <v>56</v>
      </c>
      <c r="BK1934" t="s">
        <v>69</v>
      </c>
      <c r="BL1934" t="s">
        <v>28098</v>
      </c>
      <c r="BM1934" t="str">
        <f>HYPERLINK("http://dx.doi.org/10.1504/IJTM.2010.033127","http://dx.doi.org/10.1504/IJTM.2010.033127")</f>
        <v>http://dx.doi.org/10.1504/IJTM.2010.033127</v>
      </c>
      <c r="BN1934" t="s">
        <v>69</v>
      </c>
      <c r="BO1934" t="s">
        <v>69</v>
      </c>
      <c r="BP1934">
        <v>18</v>
      </c>
      <c r="BQ1934" t="s">
        <v>28099</v>
      </c>
      <c r="BR1934" t="s">
        <v>8523</v>
      </c>
      <c r="BS1934" t="s">
        <v>15877</v>
      </c>
      <c r="BT1934" t="s">
        <v>28100</v>
      </c>
      <c r="BU1934" t="s">
        <v>28101</v>
      </c>
      <c r="BV1934" t="s">
        <v>69</v>
      </c>
      <c r="BW1934" t="s">
        <v>69</v>
      </c>
      <c r="BX1934" t="s">
        <v>69</v>
      </c>
      <c r="BY1934" t="s">
        <v>69</v>
      </c>
      <c r="BZ1934" t="s">
        <v>8526</v>
      </c>
      <c r="CA1934" t="str">
        <f>HYPERLINK("https%3A%2F%2Fwww.webofscience.com%2Fwos%2Fwoscc%2Ffull-record%2FWOS:000280415000004","View Full Record in Web of Science")</f>
        <v>View Full Record in Web of Science</v>
      </c>
    </row>
    <row r="1935" spans="2:79" ht="12.5" x14ac:dyDescent="0.25">
      <c r="B1935" t="s">
        <v>8495</v>
      </c>
      <c r="D1935" s="7" t="s">
        <v>32933</v>
      </c>
      <c r="E1935" s="7"/>
      <c r="F1935" s="7"/>
      <c r="G1935" s="7"/>
      <c r="H1935" t="s">
        <v>67</v>
      </c>
      <c r="I1935" t="s">
        <v>1454</v>
      </c>
      <c r="J1935" t="s">
        <v>69</v>
      </c>
      <c r="K1935" t="s">
        <v>69</v>
      </c>
      <c r="L1935" t="s">
        <v>69</v>
      </c>
      <c r="M1935" t="s">
        <v>1455</v>
      </c>
      <c r="N1935" t="s">
        <v>69</v>
      </c>
      <c r="O1935" t="s">
        <v>69</v>
      </c>
      <c r="P1935" t="s">
        <v>1456</v>
      </c>
      <c r="Q1935" t="s">
        <v>1457</v>
      </c>
      <c r="R1935" t="s">
        <v>69</v>
      </c>
      <c r="S1935" t="s">
        <v>69</v>
      </c>
      <c r="T1935" t="s">
        <v>8505</v>
      </c>
      <c r="U1935" t="s">
        <v>8506</v>
      </c>
      <c r="V1935" t="s">
        <v>69</v>
      </c>
      <c r="W1935" t="s">
        <v>69</v>
      </c>
      <c r="X1935" t="s">
        <v>69</v>
      </c>
      <c r="Y1935" t="s">
        <v>69</v>
      </c>
      <c r="Z1935" t="s">
        <v>69</v>
      </c>
      <c r="AA1935" t="s">
        <v>69</v>
      </c>
      <c r="AB1935" t="s">
        <v>69</v>
      </c>
      <c r="AC1935" t="s">
        <v>1458</v>
      </c>
      <c r="AD1935" t="s">
        <v>26248</v>
      </c>
      <c r="AE1935" t="s">
        <v>69</v>
      </c>
      <c r="AF1935" t="s">
        <v>26249</v>
      </c>
      <c r="AG1935" t="s">
        <v>26250</v>
      </c>
      <c r="AH1935" t="s">
        <v>26251</v>
      </c>
      <c r="AI1935" t="s">
        <v>1459</v>
      </c>
      <c r="AJ1935" t="s">
        <v>69</v>
      </c>
      <c r="AK1935" t="s">
        <v>69</v>
      </c>
      <c r="AL1935" t="s">
        <v>69</v>
      </c>
      <c r="AM1935" t="s">
        <v>69</v>
      </c>
      <c r="AN1935">
        <v>8</v>
      </c>
      <c r="AO1935">
        <v>0</v>
      </c>
      <c r="AP1935">
        <v>0</v>
      </c>
      <c r="AQ1935">
        <v>0</v>
      </c>
      <c r="AR1935">
        <v>12</v>
      </c>
      <c r="AS1935" t="s">
        <v>9554</v>
      </c>
      <c r="AT1935" t="s">
        <v>9555</v>
      </c>
      <c r="AU1935" t="s">
        <v>9556</v>
      </c>
      <c r="AV1935" t="s">
        <v>1460</v>
      </c>
      <c r="AW1935" t="s">
        <v>1461</v>
      </c>
      <c r="AX1935" t="s">
        <v>69</v>
      </c>
      <c r="AY1935" t="s">
        <v>9557</v>
      </c>
      <c r="AZ1935" t="s">
        <v>9558</v>
      </c>
      <c r="BA1935" t="s">
        <v>69</v>
      </c>
      <c r="BB1935">
        <v>2012</v>
      </c>
      <c r="BC1935" t="s">
        <v>69</v>
      </c>
      <c r="BD1935">
        <v>2276</v>
      </c>
      <c r="BE1935" t="s">
        <v>69</v>
      </c>
      <c r="BF1935" t="s">
        <v>69</v>
      </c>
      <c r="BG1935" t="s">
        <v>69</v>
      </c>
      <c r="BH1935" t="s">
        <v>69</v>
      </c>
      <c r="BI1935">
        <v>1</v>
      </c>
      <c r="BJ1935">
        <v>8</v>
      </c>
      <c r="BK1935" t="s">
        <v>69</v>
      </c>
      <c r="BL1935" t="s">
        <v>1462</v>
      </c>
      <c r="BM1935" t="str">
        <f>HYPERLINK("http://dx.doi.org/10.3141/2276-01","http://dx.doi.org/10.3141/2276-01")</f>
        <v>http://dx.doi.org/10.3141/2276-01</v>
      </c>
      <c r="BN1935" t="s">
        <v>69</v>
      </c>
      <c r="BO1935" t="s">
        <v>69</v>
      </c>
      <c r="BP1935">
        <v>8</v>
      </c>
      <c r="BQ1935" t="s">
        <v>9560</v>
      </c>
      <c r="BR1935" t="s">
        <v>8548</v>
      </c>
      <c r="BS1935" t="s">
        <v>9561</v>
      </c>
      <c r="BT1935" t="s">
        <v>26252</v>
      </c>
      <c r="BU1935" t="s">
        <v>1463</v>
      </c>
      <c r="BV1935" t="s">
        <v>69</v>
      </c>
      <c r="BW1935" t="s">
        <v>69</v>
      </c>
      <c r="BX1935" t="s">
        <v>69</v>
      </c>
      <c r="BY1935" t="s">
        <v>69</v>
      </c>
      <c r="BZ1935" t="s">
        <v>8526</v>
      </c>
      <c r="CA1935" t="str">
        <f>HYPERLINK("https%3A%2F%2Fwww.webofscience.com%2Fwos%2Fwoscc%2Ffull-record%2FWOS:000314427000002","View Full Record in Web of Science")</f>
        <v>View Full Record in Web of Science</v>
      </c>
    </row>
    <row r="1936" spans="2:79" ht="12.5" x14ac:dyDescent="0.25">
      <c r="B1936" t="s">
        <v>8495</v>
      </c>
      <c r="D1936" s="7" t="s">
        <v>32933</v>
      </c>
      <c r="E1936" s="7"/>
      <c r="F1936" s="7"/>
      <c r="G1936" s="7"/>
      <c r="H1936" t="s">
        <v>67</v>
      </c>
      <c r="I1936" t="s">
        <v>6412</v>
      </c>
      <c r="J1936" t="s">
        <v>69</v>
      </c>
      <c r="K1936" t="s">
        <v>69</v>
      </c>
      <c r="L1936" t="s">
        <v>69</v>
      </c>
      <c r="M1936" t="s">
        <v>6413</v>
      </c>
      <c r="N1936" t="s">
        <v>69</v>
      </c>
      <c r="O1936" t="s">
        <v>69</v>
      </c>
      <c r="P1936" t="s">
        <v>6414</v>
      </c>
      <c r="Q1936" t="s">
        <v>6415</v>
      </c>
      <c r="R1936" t="s">
        <v>69</v>
      </c>
      <c r="S1936" t="s">
        <v>69</v>
      </c>
      <c r="T1936" t="s">
        <v>8505</v>
      </c>
      <c r="U1936" t="s">
        <v>8506</v>
      </c>
      <c r="V1936" t="s">
        <v>69</v>
      </c>
      <c r="W1936" t="s">
        <v>69</v>
      </c>
      <c r="X1936" t="s">
        <v>69</v>
      </c>
      <c r="Y1936" t="s">
        <v>69</v>
      </c>
      <c r="Z1936" t="s">
        <v>69</v>
      </c>
      <c r="AA1936" t="s">
        <v>19520</v>
      </c>
      <c r="AB1936" t="s">
        <v>19521</v>
      </c>
      <c r="AC1936" t="s">
        <v>6416</v>
      </c>
      <c r="AD1936" t="s">
        <v>19522</v>
      </c>
      <c r="AE1936" t="s">
        <v>69</v>
      </c>
      <c r="AF1936" t="s">
        <v>19523</v>
      </c>
      <c r="AG1936" t="s">
        <v>19524</v>
      </c>
      <c r="AH1936" t="s">
        <v>69</v>
      </c>
      <c r="AI1936" t="s">
        <v>69</v>
      </c>
      <c r="AJ1936" t="s">
        <v>69</v>
      </c>
      <c r="AK1936" t="s">
        <v>69</v>
      </c>
      <c r="AL1936" t="s">
        <v>69</v>
      </c>
      <c r="AM1936" t="s">
        <v>69</v>
      </c>
      <c r="AN1936">
        <v>21</v>
      </c>
      <c r="AO1936">
        <v>4</v>
      </c>
      <c r="AP1936">
        <v>4</v>
      </c>
      <c r="AQ1936">
        <v>0</v>
      </c>
      <c r="AR1936">
        <v>4</v>
      </c>
      <c r="AS1936" t="s">
        <v>16048</v>
      </c>
      <c r="AT1936" t="s">
        <v>8517</v>
      </c>
      <c r="AU1936" t="s">
        <v>16049</v>
      </c>
      <c r="AV1936" t="s">
        <v>6417</v>
      </c>
      <c r="AW1936" t="s">
        <v>6418</v>
      </c>
      <c r="AX1936" t="s">
        <v>69</v>
      </c>
      <c r="AY1936" t="s">
        <v>19525</v>
      </c>
      <c r="AZ1936" t="s">
        <v>19526</v>
      </c>
      <c r="BA1936" t="s">
        <v>69</v>
      </c>
      <c r="BB1936">
        <v>2018</v>
      </c>
      <c r="BC1936">
        <v>15</v>
      </c>
      <c r="BD1936">
        <v>2</v>
      </c>
      <c r="BE1936" t="s">
        <v>69</v>
      </c>
      <c r="BF1936" t="s">
        <v>69</v>
      </c>
      <c r="BG1936" t="s">
        <v>69</v>
      </c>
      <c r="BH1936" t="s">
        <v>69</v>
      </c>
      <c r="BI1936">
        <v>223</v>
      </c>
      <c r="BJ1936">
        <v>238</v>
      </c>
      <c r="BK1936" t="s">
        <v>69</v>
      </c>
      <c r="BL1936" t="s">
        <v>6419</v>
      </c>
      <c r="BM1936" t="str">
        <f>HYPERLINK("http://dx.doi.org/10.3233/AJW-180035","http://dx.doi.org/10.3233/AJW-180035")</f>
        <v>http://dx.doi.org/10.3233/AJW-180035</v>
      </c>
      <c r="BN1936" t="s">
        <v>69</v>
      </c>
      <c r="BO1936" t="s">
        <v>69</v>
      </c>
      <c r="BP1936">
        <v>16</v>
      </c>
      <c r="BQ1936" t="s">
        <v>8717</v>
      </c>
      <c r="BR1936" t="s">
        <v>8573</v>
      </c>
      <c r="BS1936" t="s">
        <v>8662</v>
      </c>
      <c r="BT1936" t="s">
        <v>19527</v>
      </c>
      <c r="BU1936" t="s">
        <v>6420</v>
      </c>
      <c r="BV1936" t="s">
        <v>69</v>
      </c>
      <c r="BW1936" t="s">
        <v>69</v>
      </c>
      <c r="BX1936" t="s">
        <v>69</v>
      </c>
      <c r="BY1936" t="s">
        <v>69</v>
      </c>
      <c r="BZ1936" t="s">
        <v>8526</v>
      </c>
      <c r="CA1936" t="str">
        <f>HYPERLINK("https%3A%2F%2Fwww.webofscience.com%2Fwos%2Fwoscc%2Ffull-record%2FWOS:000432367400025","View Full Record in Web of Science")</f>
        <v>View Full Record in Web of Science</v>
      </c>
    </row>
    <row r="1937" spans="1:79" ht="12.5" x14ac:dyDescent="0.25">
      <c r="B1937" t="s">
        <v>8495</v>
      </c>
      <c r="D1937" s="7" t="s">
        <v>32933</v>
      </c>
      <c r="E1937" s="7"/>
      <c r="F1937" s="7"/>
      <c r="G1937" s="7"/>
      <c r="H1937" t="s">
        <v>67</v>
      </c>
      <c r="I1937" t="s">
        <v>3126</v>
      </c>
      <c r="J1937" t="s">
        <v>69</v>
      </c>
      <c r="K1937" t="s">
        <v>69</v>
      </c>
      <c r="L1937" t="s">
        <v>69</v>
      </c>
      <c r="M1937" t="s">
        <v>3127</v>
      </c>
      <c r="N1937" t="s">
        <v>69</v>
      </c>
      <c r="O1937" t="s">
        <v>69</v>
      </c>
      <c r="P1937" t="s">
        <v>3128</v>
      </c>
      <c r="Q1937" t="s">
        <v>3129</v>
      </c>
      <c r="R1937" t="s">
        <v>69</v>
      </c>
      <c r="S1937" t="s">
        <v>69</v>
      </c>
      <c r="T1937" t="s">
        <v>10153</v>
      </c>
      <c r="U1937" t="s">
        <v>8506</v>
      </c>
      <c r="V1937" t="s">
        <v>69</v>
      </c>
      <c r="W1937" t="s">
        <v>69</v>
      </c>
      <c r="X1937" t="s">
        <v>69</v>
      </c>
      <c r="Y1937" t="s">
        <v>69</v>
      </c>
      <c r="Z1937" t="s">
        <v>69</v>
      </c>
      <c r="AA1937" t="s">
        <v>22956</v>
      </c>
      <c r="AB1937" t="s">
        <v>69</v>
      </c>
      <c r="AC1937" t="s">
        <v>3130</v>
      </c>
      <c r="AD1937" t="s">
        <v>22957</v>
      </c>
      <c r="AE1937" t="s">
        <v>69</v>
      </c>
      <c r="AF1937" t="s">
        <v>22958</v>
      </c>
      <c r="AG1937" t="s">
        <v>22959</v>
      </c>
      <c r="AH1937" t="s">
        <v>22960</v>
      </c>
      <c r="AI1937" t="s">
        <v>69</v>
      </c>
      <c r="AJ1937" t="s">
        <v>69</v>
      </c>
      <c r="AK1937" t="s">
        <v>69</v>
      </c>
      <c r="AL1937" t="s">
        <v>69</v>
      </c>
      <c r="AM1937" t="s">
        <v>69</v>
      </c>
      <c r="AN1937">
        <v>17</v>
      </c>
      <c r="AO1937">
        <v>0</v>
      </c>
      <c r="AP1937">
        <v>0</v>
      </c>
      <c r="AQ1937">
        <v>0</v>
      </c>
      <c r="AR1937">
        <v>8</v>
      </c>
      <c r="AS1937" t="s">
        <v>22961</v>
      </c>
      <c r="AT1937" t="s">
        <v>22962</v>
      </c>
      <c r="AU1937" t="s">
        <v>22963</v>
      </c>
      <c r="AV1937" t="s">
        <v>3131</v>
      </c>
      <c r="AW1937" t="s">
        <v>3132</v>
      </c>
      <c r="AX1937" t="s">
        <v>69</v>
      </c>
      <c r="AY1937" t="s">
        <v>3129</v>
      </c>
      <c r="AZ1937" t="s">
        <v>22964</v>
      </c>
      <c r="BA1937" t="s">
        <v>69</v>
      </c>
      <c r="BB1937">
        <v>2015</v>
      </c>
      <c r="BC1937">
        <v>31</v>
      </c>
      <c r="BD1937">
        <v>4</v>
      </c>
      <c r="BE1937" t="s">
        <v>69</v>
      </c>
      <c r="BF1937" t="s">
        <v>69</v>
      </c>
      <c r="BG1937" t="s">
        <v>69</v>
      </c>
      <c r="BH1937" t="s">
        <v>69</v>
      </c>
      <c r="BI1937">
        <v>89</v>
      </c>
      <c r="BJ1937">
        <v>106</v>
      </c>
      <c r="BK1937" t="s">
        <v>69</v>
      </c>
      <c r="BL1937" t="s">
        <v>69</v>
      </c>
      <c r="BM1937" t="s">
        <v>69</v>
      </c>
      <c r="BN1937" t="s">
        <v>69</v>
      </c>
      <c r="BO1937" t="s">
        <v>69</v>
      </c>
      <c r="BP1937">
        <v>18</v>
      </c>
      <c r="BQ1937" t="s">
        <v>8619</v>
      </c>
      <c r="BR1937" t="s">
        <v>8573</v>
      </c>
      <c r="BS1937" t="s">
        <v>8620</v>
      </c>
      <c r="BT1937" t="s">
        <v>22965</v>
      </c>
      <c r="BU1937" t="s">
        <v>3133</v>
      </c>
      <c r="BV1937" t="s">
        <v>69</v>
      </c>
      <c r="BW1937" t="s">
        <v>69</v>
      </c>
      <c r="BX1937" t="s">
        <v>69</v>
      </c>
      <c r="BY1937" t="s">
        <v>69</v>
      </c>
      <c r="BZ1937" t="s">
        <v>8526</v>
      </c>
      <c r="CA1937" t="str">
        <f>HYPERLINK("https%3A%2F%2Fwww.webofscience.com%2Fwos%2Fwoscc%2Ffull-record%2FWOS:000369095800008","View Full Record in Web of Science")</f>
        <v>View Full Record in Web of Science</v>
      </c>
    </row>
    <row r="1938" spans="1:79" x14ac:dyDescent="0.3">
      <c r="C1938" s="7" t="s">
        <v>33213</v>
      </c>
      <c r="F1938" s="10" t="s">
        <v>8490</v>
      </c>
      <c r="I1938" s="7" t="s">
        <v>8473</v>
      </c>
      <c r="P1938" s="7" t="s">
        <v>8474</v>
      </c>
      <c r="Q1938" t="s">
        <v>8475</v>
      </c>
      <c r="BB1938">
        <v>2019</v>
      </c>
      <c r="BM1938" s="23" t="s">
        <v>8476</v>
      </c>
    </row>
    <row r="1939" spans="1:79" x14ac:dyDescent="0.3">
      <c r="B1939" t="s">
        <v>8495</v>
      </c>
      <c r="D1939" s="9" t="s">
        <v>32972</v>
      </c>
      <c r="E1939" s="9" t="s">
        <v>33093</v>
      </c>
      <c r="F1939" s="10" t="s">
        <v>8490</v>
      </c>
      <c r="G1939" s="9" t="s">
        <v>8490</v>
      </c>
      <c r="H1939" t="s">
        <v>67</v>
      </c>
      <c r="I1939" t="s">
        <v>12748</v>
      </c>
      <c r="J1939" t="s">
        <v>69</v>
      </c>
      <c r="K1939" t="s">
        <v>69</v>
      </c>
      <c r="L1939" t="s">
        <v>69</v>
      </c>
      <c r="M1939" t="s">
        <v>12749</v>
      </c>
      <c r="N1939" t="s">
        <v>69</v>
      </c>
      <c r="O1939" t="s">
        <v>69</v>
      </c>
      <c r="P1939" t="s">
        <v>12750</v>
      </c>
      <c r="Q1939" t="s">
        <v>151</v>
      </c>
      <c r="R1939" t="s">
        <v>69</v>
      </c>
      <c r="S1939" t="s">
        <v>69</v>
      </c>
      <c r="T1939" t="s">
        <v>8505</v>
      </c>
      <c r="U1939" t="s">
        <v>8506</v>
      </c>
      <c r="V1939" t="s">
        <v>69</v>
      </c>
      <c r="W1939" t="s">
        <v>69</v>
      </c>
      <c r="X1939" t="s">
        <v>69</v>
      </c>
      <c r="Y1939" t="s">
        <v>69</v>
      </c>
      <c r="Z1939" t="s">
        <v>69</v>
      </c>
      <c r="AA1939" t="s">
        <v>12751</v>
      </c>
      <c r="AB1939" t="s">
        <v>12752</v>
      </c>
      <c r="AC1939" t="s">
        <v>12753</v>
      </c>
      <c r="AD1939" t="s">
        <v>12754</v>
      </c>
      <c r="AE1939" t="s">
        <v>69</v>
      </c>
      <c r="AF1939" t="s">
        <v>12755</v>
      </c>
      <c r="AG1939" t="s">
        <v>12756</v>
      </c>
      <c r="AH1939" t="s">
        <v>12757</v>
      </c>
      <c r="AI1939" t="s">
        <v>12758</v>
      </c>
      <c r="AJ1939" t="s">
        <v>12759</v>
      </c>
      <c r="AK1939" t="s">
        <v>12760</v>
      </c>
      <c r="AL1939" t="s">
        <v>12761</v>
      </c>
      <c r="AM1939" t="s">
        <v>69</v>
      </c>
      <c r="AN1939">
        <v>111</v>
      </c>
      <c r="AO1939">
        <v>20</v>
      </c>
      <c r="AP1939">
        <v>20</v>
      </c>
      <c r="AQ1939">
        <v>14</v>
      </c>
      <c r="AR1939">
        <v>70</v>
      </c>
      <c r="AS1939" t="s">
        <v>9145</v>
      </c>
      <c r="AT1939" t="s">
        <v>8637</v>
      </c>
      <c r="AU1939" t="s">
        <v>9146</v>
      </c>
      <c r="AV1939" t="s">
        <v>154</v>
      </c>
      <c r="AW1939" t="s">
        <v>8220</v>
      </c>
      <c r="AX1939" t="s">
        <v>69</v>
      </c>
      <c r="AY1939" t="s">
        <v>12762</v>
      </c>
      <c r="AZ1939" t="s">
        <v>12763</v>
      </c>
      <c r="BA1939" t="s">
        <v>155</v>
      </c>
      <c r="BB1939">
        <v>2021</v>
      </c>
      <c r="BC1939">
        <v>143</v>
      </c>
      <c r="BD1939" t="s">
        <v>69</v>
      </c>
      <c r="BE1939" t="s">
        <v>69</v>
      </c>
      <c r="BF1939" t="s">
        <v>69</v>
      </c>
      <c r="BG1939" t="s">
        <v>69</v>
      </c>
      <c r="BH1939" t="s">
        <v>69</v>
      </c>
      <c r="BI1939" t="s">
        <v>69</v>
      </c>
      <c r="BJ1939" t="s">
        <v>69</v>
      </c>
      <c r="BK1939" t="s">
        <v>69</v>
      </c>
      <c r="BL1939" t="s">
        <v>12764</v>
      </c>
      <c r="BM1939" t="str">
        <f>HYPERLINK("http://dx.doi.org/10.1016/j.rser.2021.110875","http://dx.doi.org/10.1016/j.rser.2021.110875")</f>
        <v>http://dx.doi.org/10.1016/j.rser.2021.110875</v>
      </c>
      <c r="BN1939" t="s">
        <v>69</v>
      </c>
      <c r="BO1939" t="s">
        <v>12704</v>
      </c>
      <c r="BP1939">
        <v>13</v>
      </c>
      <c r="BQ1939" t="s">
        <v>9931</v>
      </c>
      <c r="BR1939" t="s">
        <v>8523</v>
      </c>
      <c r="BS1939" t="s">
        <v>9932</v>
      </c>
      <c r="BT1939" t="s">
        <v>12765</v>
      </c>
      <c r="BU1939" t="s">
        <v>12766</v>
      </c>
      <c r="BV1939" t="s">
        <v>69</v>
      </c>
      <c r="BW1939" t="s">
        <v>69</v>
      </c>
      <c r="BX1939" t="s">
        <v>69</v>
      </c>
      <c r="BY1939" t="s">
        <v>69</v>
      </c>
      <c r="BZ1939" t="s">
        <v>8526</v>
      </c>
      <c r="CA1939" t="str">
        <f>HYPERLINK("https%3A%2F%2Fwww.webofscience.com%2Fwos%2Fwoscc%2Ffull-record%2FWOS:000637707800009","View Full Record in Web of Science")</f>
        <v>View Full Record in Web of Science</v>
      </c>
    </row>
    <row r="1940" spans="1:79" x14ac:dyDescent="0.3">
      <c r="A1940" t="s">
        <v>8408</v>
      </c>
      <c r="B1940" t="s">
        <v>8495</v>
      </c>
      <c r="D1940" s="10" t="s">
        <v>33171</v>
      </c>
      <c r="F1940" s="10" t="s">
        <v>8490</v>
      </c>
      <c r="H1940" t="s">
        <v>67</v>
      </c>
      <c r="I1940" t="s">
        <v>277</v>
      </c>
      <c r="J1940" t="s">
        <v>69</v>
      </c>
      <c r="K1940" t="s">
        <v>69</v>
      </c>
      <c r="L1940" t="s">
        <v>69</v>
      </c>
      <c r="M1940" s="2" t="s">
        <v>278</v>
      </c>
      <c r="N1940" t="s">
        <v>69</v>
      </c>
      <c r="O1940" t="s">
        <v>69</v>
      </c>
      <c r="P1940" s="11" t="s">
        <v>279</v>
      </c>
      <c r="Q1940" t="s">
        <v>280</v>
      </c>
      <c r="R1940" t="s">
        <v>69</v>
      </c>
      <c r="S1940" t="s">
        <v>69</v>
      </c>
      <c r="T1940" t="s">
        <v>8505</v>
      </c>
      <c r="U1940" t="s">
        <v>15797</v>
      </c>
      <c r="V1940" t="s">
        <v>281</v>
      </c>
      <c r="W1940" t="s">
        <v>282</v>
      </c>
      <c r="X1940" t="s">
        <v>283</v>
      </c>
      <c r="Y1940" t="s">
        <v>284</v>
      </c>
      <c r="Z1940" t="s">
        <v>285</v>
      </c>
      <c r="AA1940" t="s">
        <v>21632</v>
      </c>
      <c r="AB1940" t="s">
        <v>21633</v>
      </c>
      <c r="AC1940" t="s">
        <v>286</v>
      </c>
      <c r="AD1940" t="s">
        <v>21634</v>
      </c>
      <c r="AE1940" t="s">
        <v>69</v>
      </c>
      <c r="AF1940" t="s">
        <v>21635</v>
      </c>
      <c r="AG1940" t="s">
        <v>21636</v>
      </c>
      <c r="AH1940" t="s">
        <v>69</v>
      </c>
      <c r="AI1940" t="s">
        <v>69</v>
      </c>
      <c r="AJ1940" t="s">
        <v>69</v>
      </c>
      <c r="AK1940" t="s">
        <v>69</v>
      </c>
      <c r="AL1940" t="s">
        <v>69</v>
      </c>
      <c r="AM1940" t="s">
        <v>69</v>
      </c>
      <c r="AN1940">
        <v>32</v>
      </c>
      <c r="AO1940">
        <v>1</v>
      </c>
      <c r="AP1940">
        <v>1</v>
      </c>
      <c r="AQ1940">
        <v>1</v>
      </c>
      <c r="AR1940">
        <v>23</v>
      </c>
      <c r="AS1940" t="s">
        <v>9091</v>
      </c>
      <c r="AT1940" t="s">
        <v>8763</v>
      </c>
      <c r="AU1940" t="s">
        <v>15468</v>
      </c>
      <c r="AV1940" t="s">
        <v>287</v>
      </c>
      <c r="AW1940" t="s">
        <v>288</v>
      </c>
      <c r="AX1940" t="s">
        <v>69</v>
      </c>
      <c r="AY1940" t="s">
        <v>21637</v>
      </c>
      <c r="AZ1940" t="s">
        <v>21638</v>
      </c>
      <c r="BA1940" t="s">
        <v>155</v>
      </c>
      <c r="BB1940">
        <v>2016</v>
      </c>
      <c r="BC1940">
        <v>47</v>
      </c>
      <c r="BD1940">
        <v>3</v>
      </c>
      <c r="BE1940" t="s">
        <v>69</v>
      </c>
      <c r="BF1940" t="s">
        <v>69</v>
      </c>
      <c r="BG1940" t="s">
        <v>69</v>
      </c>
      <c r="BH1940" t="s">
        <v>69</v>
      </c>
      <c r="BI1940">
        <v>545</v>
      </c>
      <c r="BJ1940">
        <v>551</v>
      </c>
      <c r="BK1940" t="s">
        <v>69</v>
      </c>
      <c r="BL1940" t="s">
        <v>289</v>
      </c>
      <c r="BM1940" t="str">
        <f>HYPERLINK("http://dx.doi.org/10.2166/nh.2015.044","http://dx.doi.org/10.2166/nh.2015.044")</f>
        <v>http://dx.doi.org/10.2166/nh.2015.044</v>
      </c>
      <c r="BN1940" t="s">
        <v>69</v>
      </c>
      <c r="BO1940" t="s">
        <v>69</v>
      </c>
      <c r="BP1940">
        <v>7</v>
      </c>
      <c r="BQ1940" t="s">
        <v>9096</v>
      </c>
      <c r="BR1940" t="s">
        <v>15808</v>
      </c>
      <c r="BS1940" t="s">
        <v>9096</v>
      </c>
      <c r="BT1940" t="s">
        <v>21639</v>
      </c>
      <c r="BU1940" t="s">
        <v>290</v>
      </c>
      <c r="BV1940" t="s">
        <v>69</v>
      </c>
      <c r="BW1940" t="s">
        <v>9374</v>
      </c>
      <c r="BX1940" t="s">
        <v>69</v>
      </c>
      <c r="BY1940" t="s">
        <v>69</v>
      </c>
      <c r="BZ1940" t="s">
        <v>8526</v>
      </c>
      <c r="CA1940" t="str">
        <f>HYPERLINK("https%3A%2F%2Fwww.webofscience.com%2Fwos%2Fwoscc%2Ffull-record%2FWOS:000378540900002","View Full Record in Web of Science")</f>
        <v>View Full Record in Web of Science</v>
      </c>
    </row>
    <row r="1941" spans="1:79" x14ac:dyDescent="0.3">
      <c r="B1941" t="s">
        <v>8495</v>
      </c>
      <c r="D1941" s="9" t="s">
        <v>32954</v>
      </c>
      <c r="E1941" s="9" t="s">
        <v>33095</v>
      </c>
      <c r="F1941" s="10" t="s">
        <v>8490</v>
      </c>
      <c r="G1941" s="9" t="s">
        <v>8490</v>
      </c>
      <c r="H1941" t="s">
        <v>67</v>
      </c>
      <c r="I1941" t="s">
        <v>14996</v>
      </c>
      <c r="J1941" t="s">
        <v>69</v>
      </c>
      <c r="K1941" t="s">
        <v>69</v>
      </c>
      <c r="L1941" t="s">
        <v>69</v>
      </c>
      <c r="M1941" t="s">
        <v>14997</v>
      </c>
      <c r="N1941" t="s">
        <v>69</v>
      </c>
      <c r="O1941" t="s">
        <v>69</v>
      </c>
      <c r="P1941" t="s">
        <v>14998</v>
      </c>
      <c r="Q1941" t="s">
        <v>967</v>
      </c>
      <c r="R1941" t="s">
        <v>69</v>
      </c>
      <c r="S1941" t="s">
        <v>69</v>
      </c>
      <c r="T1941" t="s">
        <v>8505</v>
      </c>
      <c r="U1941" t="s">
        <v>8506</v>
      </c>
      <c r="V1941" t="s">
        <v>69</v>
      </c>
      <c r="W1941" t="s">
        <v>69</v>
      </c>
      <c r="X1941" t="s">
        <v>69</v>
      </c>
      <c r="Y1941" t="s">
        <v>69</v>
      </c>
      <c r="Z1941" t="s">
        <v>69</v>
      </c>
      <c r="AA1941" t="s">
        <v>14999</v>
      </c>
      <c r="AB1941" t="s">
        <v>15000</v>
      </c>
      <c r="AC1941" t="s">
        <v>15001</v>
      </c>
      <c r="AD1941" t="s">
        <v>15002</v>
      </c>
      <c r="AE1941" t="s">
        <v>69</v>
      </c>
      <c r="AF1941" t="s">
        <v>15003</v>
      </c>
      <c r="AG1941" t="s">
        <v>15004</v>
      </c>
      <c r="AH1941" t="s">
        <v>69</v>
      </c>
      <c r="AI1941" t="s">
        <v>15005</v>
      </c>
      <c r="AJ1941" t="s">
        <v>15006</v>
      </c>
      <c r="AK1941" t="s">
        <v>15007</v>
      </c>
      <c r="AL1941" t="s">
        <v>15008</v>
      </c>
      <c r="AM1941" t="s">
        <v>69</v>
      </c>
      <c r="AN1941">
        <v>81</v>
      </c>
      <c r="AO1941">
        <v>18</v>
      </c>
      <c r="AP1941">
        <v>18</v>
      </c>
      <c r="AQ1941">
        <v>2</v>
      </c>
      <c r="AR1941">
        <v>13</v>
      </c>
      <c r="AS1941" t="s">
        <v>8865</v>
      </c>
      <c r="AT1941" t="s">
        <v>8612</v>
      </c>
      <c r="AU1941" t="s">
        <v>8866</v>
      </c>
      <c r="AV1941" t="s">
        <v>969</v>
      </c>
      <c r="AW1941" t="s">
        <v>970</v>
      </c>
      <c r="AX1941" t="s">
        <v>69</v>
      </c>
      <c r="AY1941" t="s">
        <v>8867</v>
      </c>
      <c r="AZ1941" t="s">
        <v>8868</v>
      </c>
      <c r="BA1941" t="s">
        <v>15009</v>
      </c>
      <c r="BB1941">
        <v>2020</v>
      </c>
      <c r="BC1941">
        <v>111</v>
      </c>
      <c r="BD1941">
        <v>2</v>
      </c>
      <c r="BE1941" t="s">
        <v>69</v>
      </c>
      <c r="BF1941" t="s">
        <v>69</v>
      </c>
      <c r="BG1941" t="s">
        <v>69</v>
      </c>
      <c r="BH1941" t="s">
        <v>69</v>
      </c>
      <c r="BI1941">
        <v>343</v>
      </c>
      <c r="BJ1941">
        <v>363</v>
      </c>
      <c r="BK1941" t="s">
        <v>69</v>
      </c>
      <c r="BL1941" t="s">
        <v>15010</v>
      </c>
      <c r="BM1941" t="str">
        <f>HYPERLINK("http://dx.doi.org/10.1080/24694452.2020.1774349","http://dx.doi.org/10.1080/24694452.2020.1774349")</f>
        <v>http://dx.doi.org/10.1080/24694452.2020.1774349</v>
      </c>
      <c r="BN1941" t="s">
        <v>69</v>
      </c>
      <c r="BO1941" t="s">
        <v>4582</v>
      </c>
      <c r="BP1941">
        <v>21</v>
      </c>
      <c r="BQ1941" t="s">
        <v>8446</v>
      </c>
      <c r="BR1941" t="s">
        <v>8661</v>
      </c>
      <c r="BS1941" t="s">
        <v>8446</v>
      </c>
      <c r="BT1941" t="s">
        <v>15011</v>
      </c>
      <c r="BU1941" t="s">
        <v>15012</v>
      </c>
      <c r="BV1941" t="s">
        <v>69</v>
      </c>
      <c r="BW1941" t="s">
        <v>69</v>
      </c>
      <c r="BX1941" t="s">
        <v>69</v>
      </c>
      <c r="BY1941" t="s">
        <v>69</v>
      </c>
      <c r="BZ1941" t="s">
        <v>8526</v>
      </c>
      <c r="CA1941" t="str">
        <f>HYPERLINK("https%3A%2F%2Fwww.webofscience.com%2Fwos%2Fwoscc%2Ffull-record%2FWOS:000555163600001","View Full Record in Web of Science")</f>
        <v>View Full Record in Web of Science</v>
      </c>
    </row>
    <row r="1942" spans="1:79" x14ac:dyDescent="0.3">
      <c r="A1942" t="s">
        <v>8408</v>
      </c>
      <c r="B1942" t="s">
        <v>8495</v>
      </c>
      <c r="D1942" s="10" t="s">
        <v>33191</v>
      </c>
      <c r="F1942" s="10" t="s">
        <v>8490</v>
      </c>
      <c r="H1942" t="s">
        <v>67</v>
      </c>
      <c r="I1942" t="s">
        <v>4455</v>
      </c>
      <c r="J1942" t="s">
        <v>69</v>
      </c>
      <c r="K1942" t="s">
        <v>69</v>
      </c>
      <c r="L1942" t="s">
        <v>69</v>
      </c>
      <c r="M1942" s="2" t="s">
        <v>4456</v>
      </c>
      <c r="N1942" t="s">
        <v>69</v>
      </c>
      <c r="O1942" t="s">
        <v>69</v>
      </c>
      <c r="P1942" s="2" t="s">
        <v>4457</v>
      </c>
      <c r="Q1942" t="s">
        <v>3312</v>
      </c>
      <c r="R1942" t="s">
        <v>69</v>
      </c>
      <c r="S1942" t="s">
        <v>69</v>
      </c>
      <c r="T1942" t="s">
        <v>8505</v>
      </c>
      <c r="U1942" t="s">
        <v>8506</v>
      </c>
      <c r="V1942" t="s">
        <v>69</v>
      </c>
      <c r="W1942" t="s">
        <v>69</v>
      </c>
      <c r="X1942" t="s">
        <v>69</v>
      </c>
      <c r="Y1942" t="s">
        <v>69</v>
      </c>
      <c r="Z1942" t="s">
        <v>69</v>
      </c>
      <c r="AA1942" t="s">
        <v>17513</v>
      </c>
      <c r="AB1942" t="s">
        <v>17514</v>
      </c>
      <c r="AC1942" t="s">
        <v>4458</v>
      </c>
      <c r="AD1942" t="s">
        <v>17515</v>
      </c>
      <c r="AE1942" t="s">
        <v>69</v>
      </c>
      <c r="AF1942" t="s">
        <v>17516</v>
      </c>
      <c r="AG1942" t="s">
        <v>17517</v>
      </c>
      <c r="AH1942" t="s">
        <v>4459</v>
      </c>
      <c r="AI1942" t="s">
        <v>4460</v>
      </c>
      <c r="AJ1942" t="s">
        <v>69</v>
      </c>
      <c r="AK1942" t="s">
        <v>69</v>
      </c>
      <c r="AL1942" t="s">
        <v>69</v>
      </c>
      <c r="AM1942" t="s">
        <v>69</v>
      </c>
      <c r="AN1942">
        <v>104</v>
      </c>
      <c r="AO1942">
        <v>18</v>
      </c>
      <c r="AP1942">
        <v>18</v>
      </c>
      <c r="AQ1942">
        <v>1</v>
      </c>
      <c r="AR1942">
        <v>16</v>
      </c>
      <c r="AS1942" t="s">
        <v>8846</v>
      </c>
      <c r="AT1942" t="s">
        <v>8847</v>
      </c>
      <c r="AU1942" t="s">
        <v>8848</v>
      </c>
      <c r="AV1942" t="s">
        <v>3314</v>
      </c>
      <c r="AW1942" t="s">
        <v>3315</v>
      </c>
      <c r="AX1942" t="s">
        <v>69</v>
      </c>
      <c r="AY1942" t="s">
        <v>17518</v>
      </c>
      <c r="AZ1942" t="s">
        <v>17519</v>
      </c>
      <c r="BA1942" t="s">
        <v>94</v>
      </c>
      <c r="BB1942">
        <v>2019</v>
      </c>
      <c r="BC1942">
        <v>43</v>
      </c>
      <c r="BD1942">
        <v>2</v>
      </c>
      <c r="BE1942" t="s">
        <v>69</v>
      </c>
      <c r="BF1942" t="s">
        <v>69</v>
      </c>
      <c r="BG1942" t="s">
        <v>69</v>
      </c>
      <c r="BH1942" t="s">
        <v>69</v>
      </c>
      <c r="BI1942">
        <v>273</v>
      </c>
      <c r="BJ1942">
        <v>291</v>
      </c>
      <c r="BK1942" t="s">
        <v>69</v>
      </c>
      <c r="BL1942" t="s">
        <v>4461</v>
      </c>
      <c r="BM1942" t="str">
        <f>HYPERLINK("http://dx.doi.org/10.1111/1468-2427.12743","http://dx.doi.org/10.1111/1468-2427.12743")</f>
        <v>http://dx.doi.org/10.1111/1468-2427.12743</v>
      </c>
      <c r="BN1942" t="s">
        <v>69</v>
      </c>
      <c r="BO1942" t="s">
        <v>69</v>
      </c>
      <c r="BP1942">
        <v>19</v>
      </c>
      <c r="BQ1942" t="s">
        <v>17520</v>
      </c>
      <c r="BR1942" t="s">
        <v>8661</v>
      </c>
      <c r="BS1942" t="s">
        <v>17521</v>
      </c>
      <c r="BT1942" t="s">
        <v>17522</v>
      </c>
      <c r="BU1942" t="s">
        <v>4462</v>
      </c>
      <c r="BV1942" t="s">
        <v>69</v>
      </c>
      <c r="BW1942" t="s">
        <v>69</v>
      </c>
      <c r="BX1942" t="s">
        <v>69</v>
      </c>
      <c r="BY1942" t="s">
        <v>69</v>
      </c>
      <c r="BZ1942" t="s">
        <v>8526</v>
      </c>
      <c r="CA1942" t="str">
        <f>HYPERLINK("https%3A%2F%2Fwww.webofscience.com%2Fwos%2Fwoscc%2Ffull-record%2FWOS:000459939600004","View Full Record in Web of Science")</f>
        <v>View Full Record in Web of Science</v>
      </c>
    </row>
    <row r="1943" spans="1:79" x14ac:dyDescent="0.3">
      <c r="A1943" t="s">
        <v>8408</v>
      </c>
      <c r="B1943" t="s">
        <v>8495</v>
      </c>
      <c r="D1943" s="10" t="s">
        <v>33183</v>
      </c>
      <c r="F1943" s="10" t="s">
        <v>8490</v>
      </c>
      <c r="H1943" t="s">
        <v>67</v>
      </c>
      <c r="I1943" t="s">
        <v>3418</v>
      </c>
      <c r="J1943" t="s">
        <v>69</v>
      </c>
      <c r="K1943" t="s">
        <v>69</v>
      </c>
      <c r="L1943" t="s">
        <v>69</v>
      </c>
      <c r="M1943" s="2" t="s">
        <v>3419</v>
      </c>
      <c r="N1943" t="s">
        <v>69</v>
      </c>
      <c r="O1943" t="s">
        <v>69</v>
      </c>
      <c r="P1943" s="2" t="s">
        <v>3420</v>
      </c>
      <c r="Q1943" t="s">
        <v>3421</v>
      </c>
      <c r="R1943" t="s">
        <v>69</v>
      </c>
      <c r="S1943" t="s">
        <v>69</v>
      </c>
      <c r="T1943" t="s">
        <v>8505</v>
      </c>
      <c r="U1943" t="s">
        <v>8506</v>
      </c>
      <c r="V1943" t="s">
        <v>69</v>
      </c>
      <c r="W1943" t="s">
        <v>69</v>
      </c>
      <c r="X1943" t="s">
        <v>69</v>
      </c>
      <c r="Y1943" t="s">
        <v>69</v>
      </c>
      <c r="Z1943" t="s">
        <v>69</v>
      </c>
      <c r="AA1943" t="s">
        <v>26337</v>
      </c>
      <c r="AB1943" t="s">
        <v>26338</v>
      </c>
      <c r="AC1943" t="s">
        <v>3422</v>
      </c>
      <c r="AD1943" t="s">
        <v>26339</v>
      </c>
      <c r="AE1943" t="s">
        <v>69</v>
      </c>
      <c r="AF1943" t="s">
        <v>26340</v>
      </c>
      <c r="AG1943" t="s">
        <v>26341</v>
      </c>
      <c r="AH1943" t="s">
        <v>3423</v>
      </c>
      <c r="AI1943" t="s">
        <v>26342</v>
      </c>
      <c r="AJ1943" t="s">
        <v>69</v>
      </c>
      <c r="AK1943" t="s">
        <v>69</v>
      </c>
      <c r="AL1943" t="s">
        <v>69</v>
      </c>
      <c r="AM1943" t="s">
        <v>69</v>
      </c>
      <c r="AN1943">
        <v>19</v>
      </c>
      <c r="AO1943">
        <v>4</v>
      </c>
      <c r="AP1943">
        <v>4</v>
      </c>
      <c r="AQ1943">
        <v>0</v>
      </c>
      <c r="AR1943">
        <v>3</v>
      </c>
      <c r="AS1943" t="s">
        <v>8865</v>
      </c>
      <c r="AT1943" t="s">
        <v>8612</v>
      </c>
      <c r="AU1943" t="s">
        <v>22341</v>
      </c>
      <c r="AV1943" t="s">
        <v>3424</v>
      </c>
      <c r="AW1943" t="s">
        <v>69</v>
      </c>
      <c r="AX1943" t="s">
        <v>69</v>
      </c>
      <c r="AY1943" t="s">
        <v>16878</v>
      </c>
      <c r="AZ1943" t="s">
        <v>16879</v>
      </c>
      <c r="BA1943" t="s">
        <v>69</v>
      </c>
      <c r="BB1943">
        <v>2012</v>
      </c>
      <c r="BC1943">
        <v>55</v>
      </c>
      <c r="BD1943">
        <v>1</v>
      </c>
      <c r="BE1943" t="s">
        <v>69</v>
      </c>
      <c r="BF1943" t="s">
        <v>69</v>
      </c>
      <c r="BG1943" t="s">
        <v>69</v>
      </c>
      <c r="BH1943" t="s">
        <v>69</v>
      </c>
      <c r="BI1943">
        <v>113</v>
      </c>
      <c r="BJ1943">
        <v>125</v>
      </c>
      <c r="BK1943" t="s">
        <v>69</v>
      </c>
      <c r="BL1943" t="s">
        <v>3425</v>
      </c>
      <c r="BM1943" t="str">
        <f>HYPERLINK("http://dx.doi.org/10.1080/09640568.2011.583064","http://dx.doi.org/10.1080/09640568.2011.583064")</f>
        <v>http://dx.doi.org/10.1080/09640568.2011.583064</v>
      </c>
      <c r="BN1943" t="s">
        <v>69</v>
      </c>
      <c r="BO1943" t="s">
        <v>69</v>
      </c>
      <c r="BP1943">
        <v>13</v>
      </c>
      <c r="BQ1943" t="s">
        <v>14686</v>
      </c>
      <c r="BR1943" t="s">
        <v>8661</v>
      </c>
      <c r="BS1943" t="s">
        <v>14687</v>
      </c>
      <c r="BT1943" t="s">
        <v>26343</v>
      </c>
      <c r="BU1943" t="s">
        <v>3426</v>
      </c>
      <c r="BV1943" t="s">
        <v>69</v>
      </c>
      <c r="BW1943" t="s">
        <v>69</v>
      </c>
      <c r="BX1943" t="s">
        <v>69</v>
      </c>
      <c r="BY1943" t="s">
        <v>69</v>
      </c>
      <c r="BZ1943" t="s">
        <v>8526</v>
      </c>
      <c r="CA1943" t="str">
        <f>HYPERLINK("https%3A%2F%2Fwww.webofscience.com%2Fwos%2Fwoscc%2Ffull-record%2FWOS:000302021600007","View Full Record in Web of Science")</f>
        <v>View Full Record in Web of Science</v>
      </c>
    </row>
    <row r="1944" spans="1:79" x14ac:dyDescent="0.3">
      <c r="B1944" t="s">
        <v>8495</v>
      </c>
      <c r="D1944" s="9" t="s">
        <v>32948</v>
      </c>
      <c r="E1944" s="9" t="s">
        <v>33088</v>
      </c>
      <c r="F1944" s="10" t="s">
        <v>8490</v>
      </c>
      <c r="G1944" s="9" t="s">
        <v>8490</v>
      </c>
      <c r="H1944" t="s">
        <v>67</v>
      </c>
      <c r="I1944" t="s">
        <v>22237</v>
      </c>
      <c r="J1944" t="s">
        <v>69</v>
      </c>
      <c r="K1944" t="s">
        <v>69</v>
      </c>
      <c r="L1944" t="s">
        <v>69</v>
      </c>
      <c r="M1944" t="s">
        <v>22238</v>
      </c>
      <c r="N1944" t="s">
        <v>69</v>
      </c>
      <c r="O1944" t="s">
        <v>69</v>
      </c>
      <c r="P1944" t="s">
        <v>22239</v>
      </c>
      <c r="Q1944" t="s">
        <v>5060</v>
      </c>
      <c r="R1944" t="s">
        <v>69</v>
      </c>
      <c r="S1944" t="s">
        <v>69</v>
      </c>
      <c r="T1944" t="s">
        <v>8505</v>
      </c>
      <c r="U1944" t="s">
        <v>8506</v>
      </c>
      <c r="V1944" t="s">
        <v>69</v>
      </c>
      <c r="W1944" t="s">
        <v>69</v>
      </c>
      <c r="X1944" t="s">
        <v>69</v>
      </c>
      <c r="Y1944" t="s">
        <v>69</v>
      </c>
      <c r="Z1944" t="s">
        <v>69</v>
      </c>
      <c r="AA1944" t="s">
        <v>22240</v>
      </c>
      <c r="AB1944" t="s">
        <v>22241</v>
      </c>
      <c r="AC1944" t="s">
        <v>22242</v>
      </c>
      <c r="AD1944" t="s">
        <v>22243</v>
      </c>
      <c r="AE1944" t="s">
        <v>69</v>
      </c>
      <c r="AF1944" t="s">
        <v>22244</v>
      </c>
      <c r="AG1944" t="s">
        <v>22245</v>
      </c>
      <c r="AH1944" t="s">
        <v>69</v>
      </c>
      <c r="AI1944" t="s">
        <v>69</v>
      </c>
      <c r="AJ1944" t="s">
        <v>22246</v>
      </c>
      <c r="AK1944" t="s">
        <v>22247</v>
      </c>
      <c r="AL1944" t="s">
        <v>22248</v>
      </c>
      <c r="AM1944" t="s">
        <v>69</v>
      </c>
      <c r="AN1944">
        <v>89</v>
      </c>
      <c r="AO1944">
        <v>53</v>
      </c>
      <c r="AP1944">
        <v>54</v>
      </c>
      <c r="AQ1944">
        <v>1</v>
      </c>
      <c r="AR1944">
        <v>26</v>
      </c>
      <c r="AS1944" t="s">
        <v>8865</v>
      </c>
      <c r="AT1944" t="s">
        <v>8612</v>
      </c>
      <c r="AU1944" t="s">
        <v>8866</v>
      </c>
      <c r="AV1944" t="s">
        <v>5062</v>
      </c>
      <c r="AW1944" t="s">
        <v>5063</v>
      </c>
      <c r="AX1944" t="s">
        <v>69</v>
      </c>
      <c r="AY1944" t="s">
        <v>19666</v>
      </c>
      <c r="AZ1944" t="s">
        <v>19667</v>
      </c>
      <c r="BA1944" t="s">
        <v>69</v>
      </c>
      <c r="BB1944">
        <v>2016</v>
      </c>
      <c r="BC1944">
        <v>37</v>
      </c>
      <c r="BD1944">
        <v>4</v>
      </c>
      <c r="BE1944" t="s">
        <v>69</v>
      </c>
      <c r="BF1944" t="s">
        <v>69</v>
      </c>
      <c r="BG1944" t="s">
        <v>69</v>
      </c>
      <c r="BH1944" t="s">
        <v>69</v>
      </c>
      <c r="BI1944">
        <v>572</v>
      </c>
      <c r="BJ1944">
        <v>589</v>
      </c>
      <c r="BK1944" t="s">
        <v>69</v>
      </c>
      <c r="BL1944" t="s">
        <v>22249</v>
      </c>
      <c r="BM1944" t="str">
        <f>HYPERLINK("http://dx.doi.org/10.1080/02723638.2016.1139879","http://dx.doi.org/10.1080/02723638.2016.1139879")</f>
        <v>http://dx.doi.org/10.1080/02723638.2016.1139879</v>
      </c>
      <c r="BN1944" t="s">
        <v>69</v>
      </c>
      <c r="BO1944" t="s">
        <v>69</v>
      </c>
      <c r="BP1944">
        <v>18</v>
      </c>
      <c r="BQ1944" t="s">
        <v>19668</v>
      </c>
      <c r="BR1944" t="s">
        <v>8661</v>
      </c>
      <c r="BS1944" t="s">
        <v>19668</v>
      </c>
      <c r="BT1944" t="s">
        <v>22250</v>
      </c>
      <c r="BU1944" t="s">
        <v>22251</v>
      </c>
      <c r="BV1944" t="s">
        <v>69</v>
      </c>
      <c r="BW1944" t="s">
        <v>69</v>
      </c>
      <c r="BX1944" t="s">
        <v>69</v>
      </c>
      <c r="BY1944" t="s">
        <v>69</v>
      </c>
      <c r="BZ1944" t="s">
        <v>8526</v>
      </c>
      <c r="CA1944" t="str">
        <f>HYPERLINK("https%3A%2F%2Fwww.webofscience.com%2Fwos%2Fwoscc%2Ffull-record%2FWOS:000379762300007","View Full Record in Web of Science")</f>
        <v>View Full Record in Web of Science</v>
      </c>
    </row>
    <row r="1945" spans="1:79" x14ac:dyDescent="0.3">
      <c r="B1945" t="s">
        <v>8495</v>
      </c>
      <c r="D1945" s="9" t="s">
        <v>32948</v>
      </c>
      <c r="E1945" s="9" t="s">
        <v>33140</v>
      </c>
      <c r="F1945" s="10" t="s">
        <v>8490</v>
      </c>
      <c r="G1945" s="9" t="s">
        <v>8490</v>
      </c>
      <c r="H1945" t="s">
        <v>67</v>
      </c>
      <c r="I1945" t="s">
        <v>28934</v>
      </c>
      <c r="J1945" t="s">
        <v>69</v>
      </c>
      <c r="K1945" t="s">
        <v>69</v>
      </c>
      <c r="L1945" t="s">
        <v>69</v>
      </c>
      <c r="M1945" t="s">
        <v>28935</v>
      </c>
      <c r="N1945" t="s">
        <v>69</v>
      </c>
      <c r="O1945" t="s">
        <v>69</v>
      </c>
      <c r="P1945" t="s">
        <v>28936</v>
      </c>
      <c r="Q1945" t="s">
        <v>4526</v>
      </c>
      <c r="R1945" t="s">
        <v>69</v>
      </c>
      <c r="S1945" t="s">
        <v>69</v>
      </c>
      <c r="T1945" t="s">
        <v>8505</v>
      </c>
      <c r="U1945" t="s">
        <v>8506</v>
      </c>
      <c r="V1945" t="s">
        <v>69</v>
      </c>
      <c r="W1945" t="s">
        <v>69</v>
      </c>
      <c r="X1945" t="s">
        <v>69</v>
      </c>
      <c r="Y1945" t="s">
        <v>69</v>
      </c>
      <c r="Z1945" t="s">
        <v>69</v>
      </c>
      <c r="AA1945" t="s">
        <v>28937</v>
      </c>
      <c r="AB1945" t="s">
        <v>69</v>
      </c>
      <c r="AC1945" t="s">
        <v>28938</v>
      </c>
      <c r="AD1945" t="s">
        <v>28939</v>
      </c>
      <c r="AE1945" t="s">
        <v>69</v>
      </c>
      <c r="AF1945" t="s">
        <v>28940</v>
      </c>
      <c r="AG1945" t="s">
        <v>28941</v>
      </c>
      <c r="AH1945" t="s">
        <v>69</v>
      </c>
      <c r="AI1945" t="s">
        <v>69</v>
      </c>
      <c r="AJ1945" t="s">
        <v>28942</v>
      </c>
      <c r="AK1945" t="s">
        <v>28942</v>
      </c>
      <c r="AL1945" t="s">
        <v>28943</v>
      </c>
      <c r="AM1945" t="s">
        <v>69</v>
      </c>
      <c r="AN1945">
        <v>30</v>
      </c>
      <c r="AO1945">
        <v>8</v>
      </c>
      <c r="AP1945">
        <v>9</v>
      </c>
      <c r="AQ1945">
        <v>1</v>
      </c>
      <c r="AR1945">
        <v>5</v>
      </c>
      <c r="AS1945" t="s">
        <v>8865</v>
      </c>
      <c r="AT1945" t="s">
        <v>8612</v>
      </c>
      <c r="AU1945" t="s">
        <v>8866</v>
      </c>
      <c r="AV1945" t="s">
        <v>4528</v>
      </c>
      <c r="AW1945" t="s">
        <v>4529</v>
      </c>
      <c r="AX1945" t="s">
        <v>69</v>
      </c>
      <c r="AY1945" t="s">
        <v>17346</v>
      </c>
      <c r="AZ1945" t="s">
        <v>17347</v>
      </c>
      <c r="BA1945" t="s">
        <v>69</v>
      </c>
      <c r="BB1945">
        <v>2009</v>
      </c>
      <c r="BC1945">
        <v>14</v>
      </c>
      <c r="BD1945">
        <v>1</v>
      </c>
      <c r="BE1945" t="s">
        <v>69</v>
      </c>
      <c r="BF1945" t="s">
        <v>69</v>
      </c>
      <c r="BG1945" t="s">
        <v>69</v>
      </c>
      <c r="BH1945" t="s">
        <v>69</v>
      </c>
      <c r="BI1945">
        <v>61</v>
      </c>
      <c r="BJ1945">
        <v>71</v>
      </c>
      <c r="BK1945" t="s">
        <v>69</v>
      </c>
      <c r="BL1945" t="s">
        <v>28944</v>
      </c>
      <c r="BM1945" t="str">
        <f>HYPERLINK("http://dx.doi.org/10.1080/13549830802522533","http://dx.doi.org/10.1080/13549830802522533")</f>
        <v>http://dx.doi.org/10.1080/13549830802522533</v>
      </c>
      <c r="BN1945" t="s">
        <v>69</v>
      </c>
      <c r="BO1945" t="s">
        <v>69</v>
      </c>
      <c r="BP1945">
        <v>11</v>
      </c>
      <c r="BQ1945" t="s">
        <v>17348</v>
      </c>
      <c r="BR1945" t="s">
        <v>8573</v>
      </c>
      <c r="BS1945" t="s">
        <v>17349</v>
      </c>
      <c r="BT1945" t="s">
        <v>28945</v>
      </c>
      <c r="BU1945" t="s">
        <v>28946</v>
      </c>
      <c r="BV1945" t="s">
        <v>69</v>
      </c>
      <c r="BW1945" t="s">
        <v>69</v>
      </c>
      <c r="BX1945" t="s">
        <v>69</v>
      </c>
      <c r="BY1945" t="s">
        <v>69</v>
      </c>
      <c r="BZ1945" t="s">
        <v>8526</v>
      </c>
      <c r="CA1945" t="str">
        <f>HYPERLINK("https%3A%2F%2Fwww.webofscience.com%2Fwos%2Fwoscc%2Ffull-record%2FWOS:000212037300005","View Full Record in Web of Science")</f>
        <v>View Full Record in Web of Science</v>
      </c>
    </row>
    <row r="1946" spans="1:79" x14ac:dyDescent="0.3">
      <c r="A1946" t="s">
        <v>8408</v>
      </c>
      <c r="B1946" t="s">
        <v>8495</v>
      </c>
      <c r="D1946" s="10" t="s">
        <v>8404</v>
      </c>
      <c r="F1946" s="10" t="s">
        <v>8490</v>
      </c>
      <c r="H1946" t="s">
        <v>67</v>
      </c>
      <c r="I1946" t="s">
        <v>5804</v>
      </c>
      <c r="J1946" t="s">
        <v>69</v>
      </c>
      <c r="K1946" t="s">
        <v>69</v>
      </c>
      <c r="L1946" t="s">
        <v>69</v>
      </c>
      <c r="M1946" s="2" t="s">
        <v>5805</v>
      </c>
      <c r="N1946" t="s">
        <v>69</v>
      </c>
      <c r="O1946" t="s">
        <v>69</v>
      </c>
      <c r="P1946" s="2" t="s">
        <v>5806</v>
      </c>
      <c r="Q1946" t="s">
        <v>5807</v>
      </c>
      <c r="R1946" t="s">
        <v>69</v>
      </c>
      <c r="S1946" t="s">
        <v>69</v>
      </c>
      <c r="T1946" t="s">
        <v>8505</v>
      </c>
      <c r="U1946" t="s">
        <v>8506</v>
      </c>
      <c r="V1946" t="s">
        <v>69</v>
      </c>
      <c r="W1946" t="s">
        <v>69</v>
      </c>
      <c r="X1946" t="s">
        <v>69</v>
      </c>
      <c r="Y1946" t="s">
        <v>69</v>
      </c>
      <c r="Z1946" t="s">
        <v>69</v>
      </c>
      <c r="AA1946" t="s">
        <v>25775</v>
      </c>
      <c r="AB1946" t="s">
        <v>25776</v>
      </c>
      <c r="AC1946" t="s">
        <v>5808</v>
      </c>
      <c r="AD1946" t="s">
        <v>25777</v>
      </c>
      <c r="AE1946" t="s">
        <v>69</v>
      </c>
      <c r="AF1946" t="s">
        <v>25778</v>
      </c>
      <c r="AG1946" t="s">
        <v>25779</v>
      </c>
      <c r="AH1946" t="s">
        <v>25780</v>
      </c>
      <c r="AI1946" t="s">
        <v>25781</v>
      </c>
      <c r="AJ1946" t="s">
        <v>69</v>
      </c>
      <c r="AK1946" t="s">
        <v>69</v>
      </c>
      <c r="AL1946" t="s">
        <v>69</v>
      </c>
      <c r="AM1946" t="s">
        <v>69</v>
      </c>
      <c r="AN1946">
        <v>62</v>
      </c>
      <c r="AO1946">
        <v>114</v>
      </c>
      <c r="AP1946">
        <v>114</v>
      </c>
      <c r="AQ1946">
        <v>3</v>
      </c>
      <c r="AR1946">
        <v>74</v>
      </c>
      <c r="AS1946" t="s">
        <v>8762</v>
      </c>
      <c r="AT1946" t="s">
        <v>8763</v>
      </c>
      <c r="AU1946" t="s">
        <v>8764</v>
      </c>
      <c r="AV1946" t="s">
        <v>5809</v>
      </c>
      <c r="AW1946" t="s">
        <v>69</v>
      </c>
      <c r="AX1946" t="s">
        <v>69</v>
      </c>
      <c r="AY1946" t="s">
        <v>25782</v>
      </c>
      <c r="AZ1946" t="s">
        <v>25783</v>
      </c>
      <c r="BA1946" t="s">
        <v>274</v>
      </c>
      <c r="BB1946">
        <v>2012</v>
      </c>
      <c r="BC1946">
        <v>33</v>
      </c>
      <c r="BD1946">
        <v>11</v>
      </c>
      <c r="BE1946" t="s">
        <v>69</v>
      </c>
      <c r="BF1946" t="s">
        <v>69</v>
      </c>
      <c r="BG1946" t="s">
        <v>114</v>
      </c>
      <c r="BH1946" t="s">
        <v>69</v>
      </c>
      <c r="BI1946">
        <v>1451</v>
      </c>
      <c r="BJ1946">
        <v>1475</v>
      </c>
      <c r="BK1946" t="s">
        <v>69</v>
      </c>
      <c r="BL1946" t="s">
        <v>5810</v>
      </c>
      <c r="BM1946" t="str">
        <f>HYPERLINK("http://dx.doi.org/10.1177/0170840612463316","http://dx.doi.org/10.1177/0170840612463316")</f>
        <v>http://dx.doi.org/10.1177/0170840612463316</v>
      </c>
      <c r="BN1946" t="s">
        <v>69</v>
      </c>
      <c r="BO1946" t="s">
        <v>69</v>
      </c>
      <c r="BP1946">
        <v>25</v>
      </c>
      <c r="BQ1946" t="s">
        <v>9410</v>
      </c>
      <c r="BR1946" t="s">
        <v>8661</v>
      </c>
      <c r="BS1946" t="s">
        <v>8594</v>
      </c>
      <c r="BT1946" t="s">
        <v>25784</v>
      </c>
      <c r="BU1946" t="s">
        <v>5811</v>
      </c>
      <c r="BV1946" t="s">
        <v>69</v>
      </c>
      <c r="BW1946" t="s">
        <v>10423</v>
      </c>
      <c r="BX1946" t="s">
        <v>69</v>
      </c>
      <c r="BY1946" t="s">
        <v>69</v>
      </c>
      <c r="BZ1946" t="s">
        <v>8526</v>
      </c>
      <c r="CA1946" t="str">
        <f>HYPERLINK("https%3A%2F%2Fwww.webofscience.com%2Fwos%2Fwoscc%2Ffull-record%2FWOS:000311334100002","View Full Record in Web of Science")</f>
        <v>View Full Record in Web of Science</v>
      </c>
    </row>
    <row r="1949" spans="1:79" x14ac:dyDescent="0.3">
      <c r="F1949" s="9">
        <f>COUNTIF(F2:F1946,"Yes")</f>
        <v>94</v>
      </c>
      <c r="G1949" s="9">
        <f>COUNTA(G2:G1946)</f>
        <v>139</v>
      </c>
    </row>
    <row r="1951" spans="1:79" x14ac:dyDescent="0.3">
      <c r="F1951" s="9" t="s">
        <v>33224</v>
      </c>
    </row>
    <row r="1952" spans="1:79" x14ac:dyDescent="0.3">
      <c r="F1952" s="9" t="s">
        <v>33225</v>
      </c>
    </row>
    <row r="1954" spans="1:1" x14ac:dyDescent="0.3">
      <c r="A1954" s="4" t="s">
        <v>32924</v>
      </c>
    </row>
    <row r="1955" spans="1:1" x14ac:dyDescent="0.3">
      <c r="A1955" s="3" t="s">
        <v>32925</v>
      </c>
    </row>
    <row r="1956" spans="1:1" x14ac:dyDescent="0.3">
      <c r="A1956" s="2" t="s">
        <v>32926</v>
      </c>
    </row>
  </sheetData>
  <autoFilter ref="A1:CA1946" xr:uid="{B54EDDD8-771D-4AFA-A729-AD1FF100DEA7}">
    <sortState xmlns:xlrd2="http://schemas.microsoft.com/office/spreadsheetml/2017/richdata2" ref="A108:CA1946">
      <sortCondition ref="I1:I1946"/>
    </sortState>
  </autoFilter>
  <hyperlinks>
    <hyperlink ref="BM592" r:id="rId1" xr:uid="{405229E8-47BD-4CEB-B9D9-0139513A2252}"/>
    <hyperlink ref="BM1676" r:id="rId2" xr:uid="{00955EC7-8B5C-4617-8317-FDD1CE661744}"/>
    <hyperlink ref="BM1851" r:id="rId3" xr:uid="{716AF11D-83C8-45E6-AD04-409260EB7795}"/>
    <hyperlink ref="BM1341" r:id="rId4" xr:uid="{0E50E5ED-60A0-4D69-A960-7F4257E0D720}"/>
    <hyperlink ref="BM1938" r:id="rId5" xr:uid="{DCA79C39-4B9D-4B6E-9074-C3A37DFC7BB0}"/>
    <hyperlink ref="BM661" r:id="rId6" xr:uid="{3EF64539-E3A2-4964-80E5-4E4AC2719281}"/>
  </hyperlinks>
  <pageMargins left="0.75" right="0.75" top="1" bottom="1" header="0.5" footer="0.5"/>
  <pageSetup orientation="portrait" horizontalDpi="300" verticalDpi="300" r:id="rId7"/>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Y1943"/>
  <sheetViews>
    <sheetView zoomScaleNormal="100" workbookViewId="0">
      <pane ySplit="1" topLeftCell="A1927" activePane="bottomLeft" state="frozen"/>
      <selection activeCell="D1" sqref="D1"/>
      <selection pane="bottomLeft" activeCell="C21" sqref="C21"/>
    </sheetView>
  </sheetViews>
  <sheetFormatPr defaultRowHeight="13" x14ac:dyDescent="0.3"/>
  <cols>
    <col min="1" max="1" width="16.453125" customWidth="1"/>
    <col min="2" max="4" width="20.453125" style="9" customWidth="1"/>
    <col min="5" max="5" width="16.90625" style="9" customWidth="1"/>
    <col min="7" max="7" width="19" customWidth="1"/>
    <col min="8" max="10" width="8.7265625" customWidth="1"/>
    <col min="11" max="11" width="19.81640625" customWidth="1"/>
    <col min="12" max="13" width="8.7265625" customWidth="1"/>
    <col min="14" max="14" width="27.1796875" customWidth="1"/>
    <col min="15" max="15" width="22" customWidth="1"/>
    <col min="16" max="26" width="8.7265625" customWidth="1"/>
    <col min="27" max="27" width="31.54296875" customWidth="1"/>
    <col min="28" max="49" width="8.7265625" customWidth="1"/>
  </cols>
  <sheetData>
    <row r="1" spans="1:77" x14ac:dyDescent="0.3">
      <c r="A1" t="s">
        <v>8501</v>
      </c>
      <c r="B1" s="8" t="s">
        <v>32946</v>
      </c>
      <c r="C1" s="8" t="s">
        <v>33050</v>
      </c>
      <c r="D1" s="8" t="s">
        <v>33049</v>
      </c>
      <c r="E1" s="9" t="s">
        <v>33051</v>
      </c>
      <c r="F1" t="s">
        <v>0</v>
      </c>
      <c r="G1" t="s">
        <v>1</v>
      </c>
      <c r="H1" t="s">
        <v>2</v>
      </c>
      <c r="I1" t="s">
        <v>3</v>
      </c>
      <c r="J1" t="s">
        <v>4</v>
      </c>
      <c r="K1" t="s">
        <v>5</v>
      </c>
      <c r="L1" t="s">
        <v>6</v>
      </c>
      <c r="M1" t="s">
        <v>7</v>
      </c>
      <c r="N1" t="s">
        <v>8</v>
      </c>
      <c r="O1" t="s">
        <v>9</v>
      </c>
      <c r="P1" t="s">
        <v>10</v>
      </c>
      <c r="Q1" t="s">
        <v>11</v>
      </c>
      <c r="R1" t="s">
        <v>12</v>
      </c>
      <c r="S1" t="s">
        <v>13</v>
      </c>
      <c r="T1" t="s">
        <v>14</v>
      </c>
      <c r="U1" t="s">
        <v>15</v>
      </c>
      <c r="V1" t="s">
        <v>16</v>
      </c>
      <c r="W1" t="s">
        <v>17</v>
      </c>
      <c r="X1" t="s">
        <v>18</v>
      </c>
      <c r="Y1" t="s">
        <v>19</v>
      </c>
      <c r="Z1" t="s">
        <v>20</v>
      </c>
      <c r="AA1" t="s">
        <v>21</v>
      </c>
      <c r="AB1" t="s">
        <v>22</v>
      </c>
      <c r="AC1" t="s">
        <v>8496</v>
      </c>
      <c r="AD1" t="s">
        <v>23</v>
      </c>
      <c r="AE1" t="s">
        <v>24</v>
      </c>
      <c r="AF1" t="s">
        <v>25</v>
      </c>
      <c r="AG1" t="s">
        <v>26</v>
      </c>
      <c r="AH1" t="s">
        <v>27</v>
      </c>
      <c r="AI1" t="s">
        <v>8497</v>
      </c>
      <c r="AJ1" t="s">
        <v>28</v>
      </c>
      <c r="AK1" t="s">
        <v>29</v>
      </c>
      <c r="AL1" t="s">
        <v>30</v>
      </c>
      <c r="AM1" t="s">
        <v>31</v>
      </c>
      <c r="AN1" t="s">
        <v>32</v>
      </c>
      <c r="AO1" t="s">
        <v>33</v>
      </c>
      <c r="AP1" t="s">
        <v>34</v>
      </c>
      <c r="AQ1" t="s">
        <v>35</v>
      </c>
      <c r="AR1" t="s">
        <v>36</v>
      </c>
      <c r="AS1" t="s">
        <v>37</v>
      </c>
      <c r="AT1" t="s">
        <v>38</v>
      </c>
      <c r="AU1" t="s">
        <v>39</v>
      </c>
      <c r="AV1" t="s">
        <v>40</v>
      </c>
      <c r="AW1" t="s">
        <v>41</v>
      </c>
      <c r="AX1" t="s">
        <v>42</v>
      </c>
      <c r="AY1" t="s">
        <v>43</v>
      </c>
      <c r="AZ1" t="s">
        <v>44</v>
      </c>
      <c r="BA1" t="s">
        <v>45</v>
      </c>
      <c r="BB1" t="s">
        <v>46</v>
      </c>
      <c r="BC1" t="s">
        <v>47</v>
      </c>
      <c r="BD1" t="s">
        <v>48</v>
      </c>
      <c r="BE1" t="s">
        <v>49</v>
      </c>
      <c r="BF1" t="s">
        <v>50</v>
      </c>
      <c r="BG1" t="s">
        <v>51</v>
      </c>
      <c r="BH1" t="s">
        <v>52</v>
      </c>
      <c r="BI1" t="s">
        <v>53</v>
      </c>
      <c r="BJ1" t="s">
        <v>54</v>
      </c>
      <c r="BK1" t="s">
        <v>8498</v>
      </c>
      <c r="BL1" t="s">
        <v>55</v>
      </c>
      <c r="BM1" t="s">
        <v>56</v>
      </c>
      <c r="BN1" t="s">
        <v>57</v>
      </c>
      <c r="BO1" t="s">
        <v>58</v>
      </c>
      <c r="BP1" t="s">
        <v>8499</v>
      </c>
      <c r="BQ1" t="s">
        <v>59</v>
      </c>
      <c r="BR1" t="s">
        <v>60</v>
      </c>
      <c r="BS1" t="s">
        <v>61</v>
      </c>
      <c r="BT1" t="s">
        <v>62</v>
      </c>
      <c r="BU1" t="s">
        <v>63</v>
      </c>
      <c r="BV1" t="s">
        <v>64</v>
      </c>
      <c r="BW1" t="s">
        <v>65</v>
      </c>
      <c r="BX1" t="s">
        <v>66</v>
      </c>
      <c r="BY1" t="s">
        <v>8500</v>
      </c>
    </row>
    <row r="2" spans="1:77" ht="12.5" x14ac:dyDescent="0.25">
      <c r="A2" t="s">
        <v>8495</v>
      </c>
      <c r="B2" s="22" t="s">
        <v>32927</v>
      </c>
      <c r="C2" s="7"/>
      <c r="D2" s="7"/>
      <c r="E2" s="7"/>
      <c r="F2" t="s">
        <v>67</v>
      </c>
      <c r="G2" t="s">
        <v>24783</v>
      </c>
      <c r="H2" t="s">
        <v>69</v>
      </c>
      <c r="I2" t="s">
        <v>69</v>
      </c>
      <c r="J2" t="s">
        <v>69</v>
      </c>
      <c r="K2" t="s">
        <v>24784</v>
      </c>
      <c r="L2" t="s">
        <v>69</v>
      </c>
      <c r="M2" t="s">
        <v>69</v>
      </c>
      <c r="N2" t="s">
        <v>24785</v>
      </c>
      <c r="O2" t="s">
        <v>24786</v>
      </c>
      <c r="P2" t="s">
        <v>69</v>
      </c>
      <c r="Q2" t="s">
        <v>69</v>
      </c>
      <c r="R2" t="s">
        <v>8505</v>
      </c>
      <c r="S2" t="s">
        <v>8506</v>
      </c>
      <c r="T2" t="s">
        <v>69</v>
      </c>
      <c r="U2" t="s">
        <v>69</v>
      </c>
      <c r="V2" t="s">
        <v>69</v>
      </c>
      <c r="W2" t="s">
        <v>69</v>
      </c>
      <c r="X2" t="s">
        <v>69</v>
      </c>
      <c r="Y2" t="s">
        <v>24787</v>
      </c>
      <c r="Z2" t="s">
        <v>69</v>
      </c>
      <c r="AA2" t="s">
        <v>24788</v>
      </c>
      <c r="AB2" t="s">
        <v>24789</v>
      </c>
      <c r="AC2" t="s">
        <v>69</v>
      </c>
      <c r="AD2" t="s">
        <v>24790</v>
      </c>
      <c r="AE2" t="s">
        <v>24791</v>
      </c>
      <c r="AF2" t="s">
        <v>69</v>
      </c>
      <c r="AG2" t="s">
        <v>24792</v>
      </c>
      <c r="AH2" t="s">
        <v>24793</v>
      </c>
      <c r="AI2" t="s">
        <v>24793</v>
      </c>
      <c r="AJ2" t="s">
        <v>24794</v>
      </c>
      <c r="AK2" t="s">
        <v>69</v>
      </c>
      <c r="AL2">
        <v>41</v>
      </c>
      <c r="AM2">
        <v>9</v>
      </c>
      <c r="AN2">
        <v>9</v>
      </c>
      <c r="AO2">
        <v>0</v>
      </c>
      <c r="AP2">
        <v>0</v>
      </c>
      <c r="AQ2" t="s">
        <v>24795</v>
      </c>
      <c r="AR2" t="s">
        <v>24796</v>
      </c>
      <c r="AS2" t="s">
        <v>24797</v>
      </c>
      <c r="AT2" t="s">
        <v>24798</v>
      </c>
      <c r="AU2" t="s">
        <v>69</v>
      </c>
      <c r="AV2" t="s">
        <v>69</v>
      </c>
      <c r="AW2" t="s">
        <v>24799</v>
      </c>
      <c r="AX2" t="s">
        <v>24800</v>
      </c>
      <c r="AY2" t="s">
        <v>201</v>
      </c>
      <c r="AZ2">
        <v>2013</v>
      </c>
      <c r="BA2">
        <v>3</v>
      </c>
      <c r="BB2">
        <v>3</v>
      </c>
      <c r="BC2" t="s">
        <v>69</v>
      </c>
      <c r="BD2" t="s">
        <v>69</v>
      </c>
      <c r="BE2" t="s">
        <v>69</v>
      </c>
      <c r="BF2" t="s">
        <v>69</v>
      </c>
      <c r="BG2">
        <v>155</v>
      </c>
      <c r="BH2">
        <v>173</v>
      </c>
      <c r="BI2" t="s">
        <v>69</v>
      </c>
      <c r="BJ2" t="s">
        <v>69</v>
      </c>
      <c r="BK2" t="s">
        <v>69</v>
      </c>
      <c r="BL2" t="s">
        <v>69</v>
      </c>
      <c r="BM2" t="s">
        <v>69</v>
      </c>
      <c r="BN2">
        <v>19</v>
      </c>
      <c r="BO2" t="s">
        <v>13825</v>
      </c>
      <c r="BP2" t="s">
        <v>8573</v>
      </c>
      <c r="BQ2" t="s">
        <v>8594</v>
      </c>
      <c r="BR2" t="s">
        <v>24801</v>
      </c>
      <c r="BS2" t="s">
        <v>24802</v>
      </c>
      <c r="BT2" t="s">
        <v>69</v>
      </c>
      <c r="BU2" t="s">
        <v>11853</v>
      </c>
      <c r="BV2" t="s">
        <v>69</v>
      </c>
      <c r="BW2" t="s">
        <v>69</v>
      </c>
      <c r="BX2" t="s">
        <v>8526</v>
      </c>
      <c r="BY2" t="str">
        <f>HYPERLINK("https%3A%2F%2Fwww.webofscience.com%2Fwos%2Fwoscc%2Ffull-record%2FWOS:000218851300009","View Full Record in Web of Science")</f>
        <v>View Full Record in Web of Science</v>
      </c>
    </row>
    <row r="3" spans="1:77" ht="12.5" x14ac:dyDescent="0.25">
      <c r="A3" t="s">
        <v>8495</v>
      </c>
      <c r="B3" s="22" t="s">
        <v>32928</v>
      </c>
      <c r="C3" s="7"/>
      <c r="D3" s="7"/>
      <c r="E3" s="7"/>
      <c r="F3" t="s">
        <v>67</v>
      </c>
      <c r="G3" t="s">
        <v>25936</v>
      </c>
      <c r="H3" t="s">
        <v>69</v>
      </c>
      <c r="I3" t="s">
        <v>69</v>
      </c>
      <c r="J3" t="s">
        <v>69</v>
      </c>
      <c r="K3" t="s">
        <v>25937</v>
      </c>
      <c r="L3" t="s">
        <v>69</v>
      </c>
      <c r="M3" t="s">
        <v>69</v>
      </c>
      <c r="N3" t="s">
        <v>25938</v>
      </c>
      <c r="O3" t="s">
        <v>25939</v>
      </c>
      <c r="P3" t="s">
        <v>69</v>
      </c>
      <c r="Q3" t="s">
        <v>69</v>
      </c>
      <c r="R3" t="s">
        <v>19054</v>
      </c>
      <c r="S3" t="s">
        <v>8506</v>
      </c>
      <c r="T3" t="s">
        <v>69</v>
      </c>
      <c r="U3" t="s">
        <v>69</v>
      </c>
      <c r="V3" t="s">
        <v>69</v>
      </c>
      <c r="W3" t="s">
        <v>69</v>
      </c>
      <c r="X3" t="s">
        <v>69</v>
      </c>
      <c r="Y3" t="s">
        <v>25940</v>
      </c>
      <c r="Z3" t="s">
        <v>69</v>
      </c>
      <c r="AA3" t="s">
        <v>25941</v>
      </c>
      <c r="AB3" t="s">
        <v>25942</v>
      </c>
      <c r="AC3" t="s">
        <v>69</v>
      </c>
      <c r="AD3" t="s">
        <v>25943</v>
      </c>
      <c r="AE3" t="s">
        <v>69</v>
      </c>
      <c r="AF3" t="s">
        <v>69</v>
      </c>
      <c r="AG3" t="s">
        <v>69</v>
      </c>
      <c r="AH3" t="s">
        <v>69</v>
      </c>
      <c r="AI3" t="s">
        <v>69</v>
      </c>
      <c r="AJ3" t="s">
        <v>69</v>
      </c>
      <c r="AK3" t="s">
        <v>69</v>
      </c>
      <c r="AL3">
        <v>27</v>
      </c>
      <c r="AM3">
        <v>0</v>
      </c>
      <c r="AN3">
        <v>0</v>
      </c>
      <c r="AO3">
        <v>0</v>
      </c>
      <c r="AP3">
        <v>0</v>
      </c>
      <c r="AQ3" t="s">
        <v>25944</v>
      </c>
      <c r="AR3" t="s">
        <v>25945</v>
      </c>
      <c r="AS3" t="s">
        <v>25946</v>
      </c>
      <c r="AT3" t="s">
        <v>25947</v>
      </c>
      <c r="AU3" t="s">
        <v>69</v>
      </c>
      <c r="AV3" t="s">
        <v>69</v>
      </c>
      <c r="AW3" t="s">
        <v>25948</v>
      </c>
      <c r="AX3" t="s">
        <v>25949</v>
      </c>
      <c r="AY3" t="s">
        <v>155</v>
      </c>
      <c r="AZ3">
        <v>2012</v>
      </c>
      <c r="BA3">
        <v>2</v>
      </c>
      <c r="BB3">
        <v>3</v>
      </c>
      <c r="BC3" t="s">
        <v>69</v>
      </c>
      <c r="BD3" t="s">
        <v>69</v>
      </c>
      <c r="BE3" t="s">
        <v>69</v>
      </c>
      <c r="BF3" t="s">
        <v>69</v>
      </c>
      <c r="BG3">
        <v>103</v>
      </c>
      <c r="BH3">
        <v>115</v>
      </c>
      <c r="BI3" t="s">
        <v>69</v>
      </c>
      <c r="BJ3" t="s">
        <v>69</v>
      </c>
      <c r="BK3" t="s">
        <v>69</v>
      </c>
      <c r="BL3" t="s">
        <v>69</v>
      </c>
      <c r="BM3" t="s">
        <v>69</v>
      </c>
      <c r="BN3">
        <v>13</v>
      </c>
      <c r="BO3" t="s">
        <v>12930</v>
      </c>
      <c r="BP3" t="s">
        <v>8573</v>
      </c>
      <c r="BQ3" t="s">
        <v>12930</v>
      </c>
      <c r="BR3" t="s">
        <v>25950</v>
      </c>
      <c r="BS3" t="s">
        <v>25951</v>
      </c>
      <c r="BT3" t="s">
        <v>69</v>
      </c>
      <c r="BU3" t="s">
        <v>69</v>
      </c>
      <c r="BV3" t="s">
        <v>69</v>
      </c>
      <c r="BW3" t="s">
        <v>69</v>
      </c>
      <c r="BX3" t="s">
        <v>8526</v>
      </c>
      <c r="BY3" t="str">
        <f>HYPERLINK("https%3A%2F%2Fwww.webofscience.com%2Fwos%2Fwoscc%2Ffull-record%2FWOS:000420707800009","View Full Record in Web of Science")</f>
        <v>View Full Record in Web of Science</v>
      </c>
    </row>
    <row r="4" spans="1:77" ht="12.5" x14ac:dyDescent="0.25">
      <c r="A4" t="s">
        <v>8495</v>
      </c>
      <c r="B4" s="7" t="s">
        <v>32933</v>
      </c>
      <c r="C4" s="7"/>
      <c r="D4" s="7"/>
      <c r="E4" s="7"/>
      <c r="F4" t="s">
        <v>67</v>
      </c>
      <c r="G4" t="s">
        <v>5020</v>
      </c>
      <c r="H4" t="s">
        <v>69</v>
      </c>
      <c r="I4" t="s">
        <v>69</v>
      </c>
      <c r="J4" t="s">
        <v>69</v>
      </c>
      <c r="K4" t="s">
        <v>5021</v>
      </c>
      <c r="L4" t="s">
        <v>69</v>
      </c>
      <c r="M4" t="s">
        <v>69</v>
      </c>
      <c r="N4" t="s">
        <v>5022</v>
      </c>
      <c r="O4" t="s">
        <v>5023</v>
      </c>
      <c r="P4" t="s">
        <v>69</v>
      </c>
      <c r="Q4" t="s">
        <v>69</v>
      </c>
      <c r="R4" t="s">
        <v>8505</v>
      </c>
      <c r="S4" t="s">
        <v>8506</v>
      </c>
      <c r="T4" t="s">
        <v>69</v>
      </c>
      <c r="U4" t="s">
        <v>69</v>
      </c>
      <c r="V4" t="s">
        <v>69</v>
      </c>
      <c r="W4" t="s">
        <v>69</v>
      </c>
      <c r="X4" t="s">
        <v>69</v>
      </c>
      <c r="Y4" t="s">
        <v>22161</v>
      </c>
      <c r="Z4" t="s">
        <v>22162</v>
      </c>
      <c r="AA4" t="s">
        <v>5024</v>
      </c>
      <c r="AB4" t="s">
        <v>22163</v>
      </c>
      <c r="AC4" t="s">
        <v>69</v>
      </c>
      <c r="AD4" t="s">
        <v>22164</v>
      </c>
      <c r="AE4" t="s">
        <v>69</v>
      </c>
      <c r="AF4" t="s">
        <v>22165</v>
      </c>
      <c r="AG4" t="s">
        <v>22166</v>
      </c>
      <c r="AH4" t="s">
        <v>69</v>
      </c>
      <c r="AI4" t="s">
        <v>69</v>
      </c>
      <c r="AJ4" t="s">
        <v>69</v>
      </c>
      <c r="AK4" t="s">
        <v>69</v>
      </c>
      <c r="AL4">
        <v>65</v>
      </c>
      <c r="AM4">
        <v>38</v>
      </c>
      <c r="AN4">
        <v>39</v>
      </c>
      <c r="AO4">
        <v>1</v>
      </c>
      <c r="AP4">
        <v>68</v>
      </c>
      <c r="AQ4" t="s">
        <v>8846</v>
      </c>
      <c r="AR4" t="s">
        <v>8847</v>
      </c>
      <c r="AS4" t="s">
        <v>8848</v>
      </c>
      <c r="AT4" t="s">
        <v>5025</v>
      </c>
      <c r="AU4" t="s">
        <v>5026</v>
      </c>
      <c r="AV4" t="s">
        <v>69</v>
      </c>
      <c r="AW4" t="s">
        <v>22167</v>
      </c>
      <c r="AX4" t="s">
        <v>22168</v>
      </c>
      <c r="AY4" t="s">
        <v>373</v>
      </c>
      <c r="AZ4">
        <v>2016</v>
      </c>
      <c r="BA4">
        <v>34</v>
      </c>
      <c r="BB4">
        <v>1</v>
      </c>
      <c r="BC4" t="s">
        <v>69</v>
      </c>
      <c r="BD4" t="s">
        <v>69</v>
      </c>
      <c r="BE4" t="s">
        <v>69</v>
      </c>
      <c r="BF4" t="s">
        <v>69</v>
      </c>
      <c r="BG4">
        <v>55</v>
      </c>
      <c r="BH4">
        <v>82</v>
      </c>
      <c r="BI4" t="s">
        <v>69</v>
      </c>
      <c r="BJ4" t="s">
        <v>5027</v>
      </c>
      <c r="BK4" t="str">
        <f>HYPERLINK("http://dx.doi.org/10.1111/dpr.12147","http://dx.doi.org/10.1111/dpr.12147")</f>
        <v>http://dx.doi.org/10.1111/dpr.12147</v>
      </c>
      <c r="BL4" t="s">
        <v>69</v>
      </c>
      <c r="BM4" t="s">
        <v>69</v>
      </c>
      <c r="BN4">
        <v>28</v>
      </c>
      <c r="BO4" t="s">
        <v>17018</v>
      </c>
      <c r="BP4" t="s">
        <v>8661</v>
      </c>
      <c r="BQ4" t="s">
        <v>17018</v>
      </c>
      <c r="BR4" t="s">
        <v>22169</v>
      </c>
      <c r="BS4" t="s">
        <v>5028</v>
      </c>
      <c r="BT4" t="s">
        <v>69</v>
      </c>
      <c r="BU4" t="s">
        <v>22170</v>
      </c>
      <c r="BV4" t="s">
        <v>69</v>
      </c>
      <c r="BW4" t="s">
        <v>69</v>
      </c>
      <c r="BX4" t="s">
        <v>8526</v>
      </c>
      <c r="BY4" t="str">
        <f>HYPERLINK("https%3A%2F%2Fwww.webofscience.com%2Fwos%2Fwoscc%2Ffull-record%2FWOS:000366450100003","View Full Record in Web of Science")</f>
        <v>View Full Record in Web of Science</v>
      </c>
    </row>
    <row r="5" spans="1:77" ht="12.5" x14ac:dyDescent="0.25">
      <c r="A5" t="s">
        <v>8495</v>
      </c>
      <c r="B5" s="7" t="s">
        <v>32933</v>
      </c>
      <c r="C5" s="7"/>
      <c r="D5" s="7"/>
      <c r="E5" s="7"/>
      <c r="F5" t="s">
        <v>67</v>
      </c>
      <c r="G5" t="s">
        <v>4523</v>
      </c>
      <c r="H5" t="s">
        <v>69</v>
      </c>
      <c r="I5" t="s">
        <v>69</v>
      </c>
      <c r="J5" t="s">
        <v>69</v>
      </c>
      <c r="K5" t="s">
        <v>4524</v>
      </c>
      <c r="L5" t="s">
        <v>69</v>
      </c>
      <c r="M5" t="s">
        <v>69</v>
      </c>
      <c r="N5" t="s">
        <v>4525</v>
      </c>
      <c r="O5" t="s">
        <v>4526</v>
      </c>
      <c r="P5" t="s">
        <v>69</v>
      </c>
      <c r="Q5" t="s">
        <v>69</v>
      </c>
      <c r="R5" t="s">
        <v>8505</v>
      </c>
      <c r="S5" t="s">
        <v>8506</v>
      </c>
      <c r="T5" t="s">
        <v>69</v>
      </c>
      <c r="U5" t="s">
        <v>69</v>
      </c>
      <c r="V5" t="s">
        <v>69</v>
      </c>
      <c r="W5" t="s">
        <v>69</v>
      </c>
      <c r="X5" t="s">
        <v>69</v>
      </c>
      <c r="Y5" t="s">
        <v>17337</v>
      </c>
      <c r="Z5" t="s">
        <v>17338</v>
      </c>
      <c r="AA5" t="s">
        <v>4527</v>
      </c>
      <c r="AB5" t="s">
        <v>17339</v>
      </c>
      <c r="AC5" t="s">
        <v>69</v>
      </c>
      <c r="AD5" t="s">
        <v>17340</v>
      </c>
      <c r="AE5" t="s">
        <v>17341</v>
      </c>
      <c r="AF5" t="s">
        <v>69</v>
      </c>
      <c r="AG5" t="s">
        <v>17342</v>
      </c>
      <c r="AH5" t="s">
        <v>17343</v>
      </c>
      <c r="AI5" t="s">
        <v>17344</v>
      </c>
      <c r="AJ5" t="s">
        <v>17345</v>
      </c>
      <c r="AK5" t="s">
        <v>69</v>
      </c>
      <c r="AL5">
        <v>68</v>
      </c>
      <c r="AM5">
        <v>3</v>
      </c>
      <c r="AN5">
        <v>3</v>
      </c>
      <c r="AO5">
        <v>4</v>
      </c>
      <c r="AP5">
        <v>18</v>
      </c>
      <c r="AQ5" t="s">
        <v>8865</v>
      </c>
      <c r="AR5" t="s">
        <v>8612</v>
      </c>
      <c r="AS5" t="s">
        <v>8866</v>
      </c>
      <c r="AT5" t="s">
        <v>4528</v>
      </c>
      <c r="AU5" t="s">
        <v>4529</v>
      </c>
      <c r="AV5" t="s">
        <v>69</v>
      </c>
      <c r="AW5" t="s">
        <v>17346</v>
      </c>
      <c r="AX5" t="s">
        <v>17347</v>
      </c>
      <c r="AY5" t="s">
        <v>4530</v>
      </c>
      <c r="AZ5">
        <v>2019</v>
      </c>
      <c r="BA5">
        <v>24</v>
      </c>
      <c r="BB5">
        <v>4</v>
      </c>
      <c r="BC5" t="s">
        <v>69</v>
      </c>
      <c r="BD5" t="s">
        <v>69</v>
      </c>
      <c r="BE5" t="s">
        <v>69</v>
      </c>
      <c r="BF5" t="s">
        <v>69</v>
      </c>
      <c r="BG5">
        <v>358</v>
      </c>
      <c r="BH5">
        <v>373</v>
      </c>
      <c r="BI5" t="s">
        <v>69</v>
      </c>
      <c r="BJ5" t="s">
        <v>4531</v>
      </c>
      <c r="BK5" t="str">
        <f>HYPERLINK("http://dx.doi.org/10.1080/13549839.2019.1572728","http://dx.doi.org/10.1080/13549839.2019.1572728")</f>
        <v>http://dx.doi.org/10.1080/13549839.2019.1572728</v>
      </c>
      <c r="BL5" t="s">
        <v>69</v>
      </c>
      <c r="BM5" t="s">
        <v>69</v>
      </c>
      <c r="BN5">
        <v>16</v>
      </c>
      <c r="BO5" t="s">
        <v>17348</v>
      </c>
      <c r="BP5" t="s">
        <v>8523</v>
      </c>
      <c r="BQ5" t="s">
        <v>17349</v>
      </c>
      <c r="BR5" t="s">
        <v>17350</v>
      </c>
      <c r="BS5" t="s">
        <v>4532</v>
      </c>
      <c r="BT5" t="s">
        <v>69</v>
      </c>
      <c r="BU5" t="s">
        <v>8746</v>
      </c>
      <c r="BV5" t="s">
        <v>69</v>
      </c>
      <c r="BW5" t="s">
        <v>69</v>
      </c>
      <c r="BX5" t="s">
        <v>8526</v>
      </c>
      <c r="BY5" t="str">
        <f>HYPERLINK("https%3A%2F%2Fwww.webofscience.com%2Fwos%2Fwoscc%2Ffull-record%2FWOS:000459718500004","View Full Record in Web of Science")</f>
        <v>View Full Record in Web of Science</v>
      </c>
    </row>
    <row r="6" spans="1:77" ht="12.5" x14ac:dyDescent="0.25">
      <c r="A6" t="s">
        <v>8495</v>
      </c>
      <c r="B6" s="7" t="s">
        <v>32933</v>
      </c>
      <c r="C6" s="7"/>
      <c r="D6" s="7"/>
      <c r="E6" s="7"/>
      <c r="F6" t="s">
        <v>67</v>
      </c>
      <c r="G6" t="s">
        <v>7861</v>
      </c>
      <c r="H6" t="s">
        <v>69</v>
      </c>
      <c r="I6" t="s">
        <v>69</v>
      </c>
      <c r="J6" t="s">
        <v>69</v>
      </c>
      <c r="K6" t="s">
        <v>7862</v>
      </c>
      <c r="L6" t="s">
        <v>69</v>
      </c>
      <c r="M6" t="s">
        <v>69</v>
      </c>
      <c r="N6" t="s">
        <v>7863</v>
      </c>
      <c r="O6" t="s">
        <v>1969</v>
      </c>
      <c r="P6" t="s">
        <v>69</v>
      </c>
      <c r="Q6" t="s">
        <v>69</v>
      </c>
      <c r="R6" t="s">
        <v>8505</v>
      </c>
      <c r="S6" t="s">
        <v>8506</v>
      </c>
      <c r="T6" t="s">
        <v>69</v>
      </c>
      <c r="U6" t="s">
        <v>69</v>
      </c>
      <c r="V6" t="s">
        <v>69</v>
      </c>
      <c r="W6" t="s">
        <v>69</v>
      </c>
      <c r="X6" t="s">
        <v>69</v>
      </c>
      <c r="Y6" t="s">
        <v>15702</v>
      </c>
      <c r="Z6" t="s">
        <v>15703</v>
      </c>
      <c r="AA6" t="s">
        <v>7864</v>
      </c>
      <c r="AB6" t="s">
        <v>15704</v>
      </c>
      <c r="AC6" t="s">
        <v>69</v>
      </c>
      <c r="AD6" t="s">
        <v>15705</v>
      </c>
      <c r="AE6" t="s">
        <v>15706</v>
      </c>
      <c r="AF6" t="s">
        <v>7785</v>
      </c>
      <c r="AG6" t="s">
        <v>7786</v>
      </c>
      <c r="AH6" t="s">
        <v>69</v>
      </c>
      <c r="AI6" t="s">
        <v>69</v>
      </c>
      <c r="AJ6" t="s">
        <v>69</v>
      </c>
      <c r="AK6" t="s">
        <v>69</v>
      </c>
      <c r="AL6">
        <v>61</v>
      </c>
      <c r="AM6">
        <v>9</v>
      </c>
      <c r="AN6">
        <v>9</v>
      </c>
      <c r="AO6">
        <v>2</v>
      </c>
      <c r="AP6">
        <v>16</v>
      </c>
      <c r="AQ6" t="s">
        <v>8586</v>
      </c>
      <c r="AR6" t="s">
        <v>8587</v>
      </c>
      <c r="AS6" t="s">
        <v>8588</v>
      </c>
      <c r="AT6" t="s">
        <v>1971</v>
      </c>
      <c r="AU6" t="s">
        <v>1972</v>
      </c>
      <c r="AV6" t="s">
        <v>69</v>
      </c>
      <c r="AW6" t="s">
        <v>15149</v>
      </c>
      <c r="AX6" t="s">
        <v>15150</v>
      </c>
      <c r="AY6" t="s">
        <v>7865</v>
      </c>
      <c r="AZ6">
        <v>2020</v>
      </c>
      <c r="BA6">
        <v>31</v>
      </c>
      <c r="BB6">
        <v>3</v>
      </c>
      <c r="BC6" t="s">
        <v>69</v>
      </c>
      <c r="BD6" t="s">
        <v>69</v>
      </c>
      <c r="BE6" t="s">
        <v>69</v>
      </c>
      <c r="BF6" t="s">
        <v>69</v>
      </c>
      <c r="BG6">
        <v>602</v>
      </c>
      <c r="BH6">
        <v>623</v>
      </c>
      <c r="BI6" t="s">
        <v>69</v>
      </c>
      <c r="BJ6" t="s">
        <v>7866</v>
      </c>
      <c r="BK6" t="str">
        <f>HYPERLINK("http://dx.doi.org/10.1108/MEQ-04-2019-0085","http://dx.doi.org/10.1108/MEQ-04-2019-0085")</f>
        <v>http://dx.doi.org/10.1108/MEQ-04-2019-0085</v>
      </c>
      <c r="BL6" t="s">
        <v>69</v>
      </c>
      <c r="BM6" t="s">
        <v>7867</v>
      </c>
      <c r="BN6">
        <v>22</v>
      </c>
      <c r="BO6" t="s">
        <v>8660</v>
      </c>
      <c r="BP6" t="s">
        <v>8573</v>
      </c>
      <c r="BQ6" t="s">
        <v>8662</v>
      </c>
      <c r="BR6" t="s">
        <v>15707</v>
      </c>
      <c r="BS6" t="s">
        <v>7868</v>
      </c>
      <c r="BT6" t="s">
        <v>69</v>
      </c>
      <c r="BU6" t="s">
        <v>69</v>
      </c>
      <c r="BV6" t="s">
        <v>69</v>
      </c>
      <c r="BW6" t="s">
        <v>69</v>
      </c>
      <c r="BX6" t="s">
        <v>8526</v>
      </c>
      <c r="BY6" t="str">
        <f>HYPERLINK("https%3A%2F%2Fwww.webofscience.com%2Fwos%2Fwoscc%2Ffull-record%2FWOS:000514673300001","View Full Record in Web of Science")</f>
        <v>View Full Record in Web of Science</v>
      </c>
    </row>
    <row r="7" spans="1:77" ht="12.5" x14ac:dyDescent="0.25">
      <c r="A7" t="s">
        <v>8495</v>
      </c>
      <c r="B7" s="7" t="s">
        <v>32933</v>
      </c>
      <c r="C7" s="7"/>
      <c r="D7" s="7"/>
      <c r="E7" s="7"/>
      <c r="F7" t="s">
        <v>67</v>
      </c>
      <c r="G7" t="s">
        <v>5515</v>
      </c>
      <c r="H7" t="s">
        <v>69</v>
      </c>
      <c r="I7" t="s">
        <v>69</v>
      </c>
      <c r="J7" t="s">
        <v>69</v>
      </c>
      <c r="K7" t="s">
        <v>5516</v>
      </c>
      <c r="L7" t="s">
        <v>69</v>
      </c>
      <c r="M7" t="s">
        <v>69</v>
      </c>
      <c r="N7" t="s">
        <v>5517</v>
      </c>
      <c r="O7" t="s">
        <v>2160</v>
      </c>
      <c r="P7" t="s">
        <v>69</v>
      </c>
      <c r="Q7" t="s">
        <v>69</v>
      </c>
      <c r="R7" t="s">
        <v>8505</v>
      </c>
      <c r="S7" t="s">
        <v>8506</v>
      </c>
      <c r="T7" t="s">
        <v>69</v>
      </c>
      <c r="U7" t="s">
        <v>69</v>
      </c>
      <c r="V7" t="s">
        <v>69</v>
      </c>
      <c r="W7" t="s">
        <v>69</v>
      </c>
      <c r="X7" t="s">
        <v>69</v>
      </c>
      <c r="Y7" t="s">
        <v>16794</v>
      </c>
      <c r="Z7" t="s">
        <v>69</v>
      </c>
      <c r="AA7" t="s">
        <v>5518</v>
      </c>
      <c r="AB7" t="s">
        <v>16795</v>
      </c>
      <c r="AC7" t="s">
        <v>69</v>
      </c>
      <c r="AD7" t="s">
        <v>16796</v>
      </c>
      <c r="AE7" t="s">
        <v>16797</v>
      </c>
      <c r="AF7" t="s">
        <v>69</v>
      </c>
      <c r="AG7" t="s">
        <v>69</v>
      </c>
      <c r="AH7" t="s">
        <v>16798</v>
      </c>
      <c r="AI7" t="s">
        <v>16798</v>
      </c>
      <c r="AJ7" t="s">
        <v>16799</v>
      </c>
      <c r="AK7" t="s">
        <v>69</v>
      </c>
      <c r="AL7">
        <v>0</v>
      </c>
      <c r="AM7">
        <v>2</v>
      </c>
      <c r="AN7">
        <v>2</v>
      </c>
      <c r="AO7">
        <v>1</v>
      </c>
      <c r="AP7">
        <v>28</v>
      </c>
      <c r="AQ7" t="s">
        <v>13195</v>
      </c>
      <c r="AR7" t="s">
        <v>13196</v>
      </c>
      <c r="AS7" t="s">
        <v>13197</v>
      </c>
      <c r="AT7" t="s">
        <v>2163</v>
      </c>
      <c r="AU7" t="s">
        <v>2164</v>
      </c>
      <c r="AV7" t="s">
        <v>69</v>
      </c>
      <c r="AW7" t="s">
        <v>16800</v>
      </c>
      <c r="AX7" t="s">
        <v>16801</v>
      </c>
      <c r="AY7" t="s">
        <v>255</v>
      </c>
      <c r="AZ7">
        <v>2019</v>
      </c>
      <c r="BA7">
        <v>172</v>
      </c>
      <c r="BB7">
        <v>7</v>
      </c>
      <c r="BC7" t="s">
        <v>69</v>
      </c>
      <c r="BD7" t="s">
        <v>69</v>
      </c>
      <c r="BE7" t="s">
        <v>69</v>
      </c>
      <c r="BF7" t="s">
        <v>69</v>
      </c>
      <c r="BG7">
        <v>327</v>
      </c>
      <c r="BH7">
        <v>334</v>
      </c>
      <c r="BI7" t="s">
        <v>69</v>
      </c>
      <c r="BJ7" t="s">
        <v>5519</v>
      </c>
      <c r="BK7" t="str">
        <f>HYPERLINK("http://dx.doi.org/10.1680/jensu.17.00038","http://dx.doi.org/10.1680/jensu.17.00038")</f>
        <v>http://dx.doi.org/10.1680/jensu.17.00038</v>
      </c>
      <c r="BL7" t="s">
        <v>69</v>
      </c>
      <c r="BM7" t="s">
        <v>69</v>
      </c>
      <c r="BN7">
        <v>8</v>
      </c>
      <c r="BO7" t="s">
        <v>16802</v>
      </c>
      <c r="BP7" t="s">
        <v>8548</v>
      </c>
      <c r="BQ7" t="s">
        <v>16803</v>
      </c>
      <c r="BR7" t="s">
        <v>16804</v>
      </c>
      <c r="BS7" t="s">
        <v>5520</v>
      </c>
      <c r="BT7" t="s">
        <v>69</v>
      </c>
      <c r="BU7" t="s">
        <v>69</v>
      </c>
      <c r="BV7" t="s">
        <v>69</v>
      </c>
      <c r="BW7" t="s">
        <v>69</v>
      </c>
      <c r="BX7" t="s">
        <v>8526</v>
      </c>
      <c r="BY7" t="str">
        <f>HYPERLINK("https%3A%2F%2Fwww.webofscience.com%2Fwos%2Fwoscc%2Ffull-record%2FWOS:000485796600002","View Full Record in Web of Science")</f>
        <v>View Full Record in Web of Science</v>
      </c>
    </row>
    <row r="8" spans="1:77" ht="12.5" x14ac:dyDescent="0.25">
      <c r="A8" t="s">
        <v>8495</v>
      </c>
      <c r="B8" s="22" t="s">
        <v>32929</v>
      </c>
      <c r="C8" s="7"/>
      <c r="D8" s="7"/>
      <c r="E8" s="7"/>
      <c r="F8" t="s">
        <v>67</v>
      </c>
      <c r="G8" t="s">
        <v>11795</v>
      </c>
      <c r="H8" t="s">
        <v>69</v>
      </c>
      <c r="I8" t="s">
        <v>69</v>
      </c>
      <c r="J8" t="s">
        <v>69</v>
      </c>
      <c r="K8" t="s">
        <v>11796</v>
      </c>
      <c r="L8" t="s">
        <v>69</v>
      </c>
      <c r="M8" t="s">
        <v>69</v>
      </c>
      <c r="N8" t="s">
        <v>11797</v>
      </c>
      <c r="O8" t="s">
        <v>436</v>
      </c>
      <c r="P8" t="s">
        <v>69</v>
      </c>
      <c r="Q8" t="s">
        <v>69</v>
      </c>
      <c r="R8" t="s">
        <v>8505</v>
      </c>
      <c r="S8" t="s">
        <v>8506</v>
      </c>
      <c r="T8" t="s">
        <v>69</v>
      </c>
      <c r="U8" t="s">
        <v>69</v>
      </c>
      <c r="V8" t="s">
        <v>69</v>
      </c>
      <c r="W8" t="s">
        <v>69</v>
      </c>
      <c r="X8" t="s">
        <v>69</v>
      </c>
      <c r="Y8" t="s">
        <v>11798</v>
      </c>
      <c r="Z8" t="s">
        <v>11799</v>
      </c>
      <c r="AA8" t="s">
        <v>11800</v>
      </c>
      <c r="AB8" t="s">
        <v>11801</v>
      </c>
      <c r="AC8" t="s">
        <v>69</v>
      </c>
      <c r="AD8" t="s">
        <v>11802</v>
      </c>
      <c r="AE8" t="s">
        <v>11803</v>
      </c>
      <c r="AF8" t="s">
        <v>11804</v>
      </c>
      <c r="AG8" t="s">
        <v>11805</v>
      </c>
      <c r="AH8" t="s">
        <v>11806</v>
      </c>
      <c r="AI8" t="s">
        <v>11807</v>
      </c>
      <c r="AJ8" t="s">
        <v>11808</v>
      </c>
      <c r="AK8" t="s">
        <v>69</v>
      </c>
      <c r="AL8">
        <v>95</v>
      </c>
      <c r="AM8">
        <v>9</v>
      </c>
      <c r="AN8">
        <v>9</v>
      </c>
      <c r="AO8">
        <v>8</v>
      </c>
      <c r="AP8">
        <v>16</v>
      </c>
      <c r="AQ8" t="s">
        <v>8636</v>
      </c>
      <c r="AR8" t="s">
        <v>8637</v>
      </c>
      <c r="AS8" t="s">
        <v>8638</v>
      </c>
      <c r="AT8" t="s">
        <v>440</v>
      </c>
      <c r="AU8" t="s">
        <v>441</v>
      </c>
      <c r="AV8" t="s">
        <v>69</v>
      </c>
      <c r="AW8" t="s">
        <v>8639</v>
      </c>
      <c r="AX8" t="s">
        <v>8640</v>
      </c>
      <c r="AY8" t="s">
        <v>11809</v>
      </c>
      <c r="AZ8">
        <v>2021</v>
      </c>
      <c r="BA8">
        <v>316</v>
      </c>
      <c r="BB8" t="s">
        <v>69</v>
      </c>
      <c r="BC8" t="s">
        <v>69</v>
      </c>
      <c r="BD8" t="s">
        <v>69</v>
      </c>
      <c r="BE8" t="s">
        <v>69</v>
      </c>
      <c r="BF8" t="s">
        <v>69</v>
      </c>
      <c r="BG8" t="s">
        <v>69</v>
      </c>
      <c r="BH8" t="s">
        <v>69</v>
      </c>
      <c r="BI8">
        <v>128122</v>
      </c>
      <c r="BJ8" t="s">
        <v>11810</v>
      </c>
      <c r="BK8" t="str">
        <f>HYPERLINK("http://dx.doi.org/10.1016/j.jclepro.2021.128122","http://dx.doi.org/10.1016/j.jclepro.2021.128122")</f>
        <v>http://dx.doi.org/10.1016/j.jclepro.2021.128122</v>
      </c>
      <c r="BL8" t="s">
        <v>69</v>
      </c>
      <c r="BM8" t="s">
        <v>11790</v>
      </c>
      <c r="BN8">
        <v>13</v>
      </c>
      <c r="BO8" t="s">
        <v>8643</v>
      </c>
      <c r="BP8" t="s">
        <v>8548</v>
      </c>
      <c r="BQ8" t="s">
        <v>8644</v>
      </c>
      <c r="BR8" t="s">
        <v>11811</v>
      </c>
      <c r="BS8" t="s">
        <v>11812</v>
      </c>
      <c r="BT8" t="s">
        <v>69</v>
      </c>
      <c r="BU8" t="s">
        <v>69</v>
      </c>
      <c r="BV8" t="s">
        <v>69</v>
      </c>
      <c r="BW8" t="s">
        <v>69</v>
      </c>
      <c r="BX8" t="s">
        <v>8526</v>
      </c>
      <c r="BY8" t="str">
        <f>HYPERLINK("https%3A%2F%2Fwww.webofscience.com%2Fwos%2Fwoscc%2Ffull-record%2FWOS:000696499700002","View Full Record in Web of Science")</f>
        <v>View Full Record in Web of Science</v>
      </c>
    </row>
    <row r="9" spans="1:77" ht="12.5" x14ac:dyDescent="0.25">
      <c r="A9" t="s">
        <v>8495</v>
      </c>
      <c r="B9" s="7" t="s">
        <v>32933</v>
      </c>
      <c r="C9" s="7"/>
      <c r="D9" s="7"/>
      <c r="E9" s="7"/>
      <c r="F9" t="s">
        <v>67</v>
      </c>
      <c r="G9" t="s">
        <v>1828</v>
      </c>
      <c r="H9" t="s">
        <v>69</v>
      </c>
      <c r="I9" t="s">
        <v>69</v>
      </c>
      <c r="J9" t="s">
        <v>69</v>
      </c>
      <c r="K9" t="s">
        <v>1829</v>
      </c>
      <c r="L9" t="s">
        <v>69</v>
      </c>
      <c r="M9" t="s">
        <v>69</v>
      </c>
      <c r="N9" t="s">
        <v>1830</v>
      </c>
      <c r="O9" t="s">
        <v>1831</v>
      </c>
      <c r="P9" t="s">
        <v>69</v>
      </c>
      <c r="Q9" t="s">
        <v>69</v>
      </c>
      <c r="R9" t="s">
        <v>8505</v>
      </c>
      <c r="S9" t="s">
        <v>8506</v>
      </c>
      <c r="T9" t="s">
        <v>69</v>
      </c>
      <c r="U9" t="s">
        <v>69</v>
      </c>
      <c r="V9" t="s">
        <v>69</v>
      </c>
      <c r="W9" t="s">
        <v>69</v>
      </c>
      <c r="X9" t="s">
        <v>69</v>
      </c>
      <c r="Y9" t="s">
        <v>13281</v>
      </c>
      <c r="Z9" t="s">
        <v>13282</v>
      </c>
      <c r="AA9" t="s">
        <v>1832</v>
      </c>
      <c r="AB9" t="s">
        <v>13283</v>
      </c>
      <c r="AC9" t="s">
        <v>69</v>
      </c>
      <c r="AD9" t="s">
        <v>13284</v>
      </c>
      <c r="AE9" t="s">
        <v>13285</v>
      </c>
      <c r="AF9" t="s">
        <v>13286</v>
      </c>
      <c r="AG9" t="s">
        <v>13287</v>
      </c>
      <c r="AH9" t="s">
        <v>13288</v>
      </c>
      <c r="AI9" t="s">
        <v>13289</v>
      </c>
      <c r="AJ9" t="s">
        <v>13290</v>
      </c>
      <c r="AK9" t="s">
        <v>69</v>
      </c>
      <c r="AL9">
        <v>106</v>
      </c>
      <c r="AM9">
        <v>4</v>
      </c>
      <c r="AN9">
        <v>4</v>
      </c>
      <c r="AO9">
        <v>4</v>
      </c>
      <c r="AP9">
        <v>12</v>
      </c>
      <c r="AQ9" t="s">
        <v>8516</v>
      </c>
      <c r="AR9" t="s">
        <v>8517</v>
      </c>
      <c r="AS9" t="s">
        <v>8518</v>
      </c>
      <c r="AT9" t="s">
        <v>1833</v>
      </c>
      <c r="AU9" t="s">
        <v>1834</v>
      </c>
      <c r="AV9" t="s">
        <v>69</v>
      </c>
      <c r="AW9" t="s">
        <v>13291</v>
      </c>
      <c r="AX9" t="s">
        <v>13292</v>
      </c>
      <c r="AY9" t="s">
        <v>191</v>
      </c>
      <c r="AZ9">
        <v>2021</v>
      </c>
      <c r="BA9">
        <v>123</v>
      </c>
      <c r="BB9" t="s">
        <v>69</v>
      </c>
      <c r="BC9" t="s">
        <v>69</v>
      </c>
      <c r="BD9" t="s">
        <v>69</v>
      </c>
      <c r="BE9" t="s">
        <v>69</v>
      </c>
      <c r="BF9" t="s">
        <v>69</v>
      </c>
      <c r="BG9" t="s">
        <v>69</v>
      </c>
      <c r="BH9" t="s">
        <v>69</v>
      </c>
      <c r="BI9">
        <v>102356</v>
      </c>
      <c r="BJ9" t="s">
        <v>1835</v>
      </c>
      <c r="BK9" t="str">
        <f>HYPERLINK("http://dx.doi.org/10.1016/j.forpol.2020.102356","http://dx.doi.org/10.1016/j.forpol.2020.102356")</f>
        <v>http://dx.doi.org/10.1016/j.forpol.2020.102356</v>
      </c>
      <c r="BL9" t="s">
        <v>69</v>
      </c>
      <c r="BM9" t="s">
        <v>69</v>
      </c>
      <c r="BN9">
        <v>14</v>
      </c>
      <c r="BO9" t="s">
        <v>13293</v>
      </c>
      <c r="BP9" t="s">
        <v>8523</v>
      </c>
      <c r="BQ9" t="s">
        <v>13294</v>
      </c>
      <c r="BR9" t="s">
        <v>13295</v>
      </c>
      <c r="BS9" t="s">
        <v>1836</v>
      </c>
      <c r="BT9" t="s">
        <v>69</v>
      </c>
      <c r="BU9" t="s">
        <v>69</v>
      </c>
      <c r="BV9" t="s">
        <v>69</v>
      </c>
      <c r="BW9" t="s">
        <v>69</v>
      </c>
      <c r="BX9" t="s">
        <v>8526</v>
      </c>
      <c r="BY9" t="str">
        <f>HYPERLINK("https%3A%2F%2Fwww.webofscience.com%2Fwos%2Fwoscc%2Ffull-record%2FWOS:000607033300012","View Full Record in Web of Science")</f>
        <v>View Full Record in Web of Science</v>
      </c>
    </row>
    <row r="10" spans="1:77" ht="12.5" x14ac:dyDescent="0.25">
      <c r="A10" t="s">
        <v>8495</v>
      </c>
      <c r="B10" s="15" t="s">
        <v>32933</v>
      </c>
      <c r="C10" s="7"/>
      <c r="D10" s="7"/>
      <c r="E10" s="7"/>
      <c r="F10" t="s">
        <v>67</v>
      </c>
      <c r="G10" t="s">
        <v>4665</v>
      </c>
      <c r="H10" t="s">
        <v>69</v>
      </c>
      <c r="I10" t="s">
        <v>69</v>
      </c>
      <c r="J10" t="s">
        <v>69</v>
      </c>
      <c r="K10" t="s">
        <v>4666</v>
      </c>
      <c r="L10" t="s">
        <v>69</v>
      </c>
      <c r="M10" t="s">
        <v>69</v>
      </c>
      <c r="N10" t="s">
        <v>4667</v>
      </c>
      <c r="O10" t="s">
        <v>4668</v>
      </c>
      <c r="P10" t="s">
        <v>69</v>
      </c>
      <c r="Q10" t="s">
        <v>69</v>
      </c>
      <c r="R10" t="s">
        <v>14800</v>
      </c>
      <c r="S10" t="s">
        <v>8506</v>
      </c>
      <c r="T10" t="s">
        <v>69</v>
      </c>
      <c r="U10" t="s">
        <v>69</v>
      </c>
      <c r="V10" t="s">
        <v>69</v>
      </c>
      <c r="W10" t="s">
        <v>69</v>
      </c>
      <c r="X10" t="s">
        <v>69</v>
      </c>
      <c r="Y10" t="s">
        <v>17712</v>
      </c>
      <c r="Z10" t="s">
        <v>17713</v>
      </c>
      <c r="AA10" t="s">
        <v>4669</v>
      </c>
      <c r="AB10" t="s">
        <v>17714</v>
      </c>
      <c r="AC10" t="s">
        <v>69</v>
      </c>
      <c r="AD10" t="s">
        <v>17715</v>
      </c>
      <c r="AE10" t="s">
        <v>17716</v>
      </c>
      <c r="AF10" t="s">
        <v>69</v>
      </c>
      <c r="AG10" t="s">
        <v>69</v>
      </c>
      <c r="AH10" t="s">
        <v>69</v>
      </c>
      <c r="AI10" t="s">
        <v>69</v>
      </c>
      <c r="AJ10" t="s">
        <v>69</v>
      </c>
      <c r="AK10" t="s">
        <v>69</v>
      </c>
      <c r="AL10">
        <v>35</v>
      </c>
      <c r="AM10">
        <v>0</v>
      </c>
      <c r="AN10">
        <v>0</v>
      </c>
      <c r="AO10">
        <v>0</v>
      </c>
      <c r="AP10">
        <v>11</v>
      </c>
      <c r="AQ10" t="s">
        <v>17717</v>
      </c>
      <c r="AR10" t="s">
        <v>17718</v>
      </c>
      <c r="AS10" t="s">
        <v>17719</v>
      </c>
      <c r="AT10" t="s">
        <v>4670</v>
      </c>
      <c r="AU10" t="s">
        <v>69</v>
      </c>
      <c r="AV10" t="s">
        <v>69</v>
      </c>
      <c r="AW10" t="s">
        <v>17720</v>
      </c>
      <c r="AX10" t="s">
        <v>17721</v>
      </c>
      <c r="AY10" t="s">
        <v>69</v>
      </c>
      <c r="AZ10">
        <v>2019</v>
      </c>
      <c r="BA10">
        <v>13</v>
      </c>
      <c r="BB10">
        <v>3</v>
      </c>
      <c r="BC10" t="s">
        <v>69</v>
      </c>
      <c r="BD10" t="s">
        <v>69</v>
      </c>
      <c r="BE10" t="s">
        <v>69</v>
      </c>
      <c r="BF10" t="s">
        <v>69</v>
      </c>
      <c r="BG10">
        <v>897</v>
      </c>
      <c r="BH10">
        <v>917</v>
      </c>
      <c r="BI10" t="s">
        <v>69</v>
      </c>
      <c r="BJ10" t="s">
        <v>69</v>
      </c>
      <c r="BK10" t="s">
        <v>69</v>
      </c>
      <c r="BL10" t="s">
        <v>69</v>
      </c>
      <c r="BM10" t="s">
        <v>69</v>
      </c>
      <c r="BN10">
        <v>21</v>
      </c>
      <c r="BO10" t="s">
        <v>10299</v>
      </c>
      <c r="BP10" t="s">
        <v>8573</v>
      </c>
      <c r="BQ10" t="s">
        <v>10279</v>
      </c>
      <c r="BR10" t="s">
        <v>17722</v>
      </c>
      <c r="BS10" t="s">
        <v>4671</v>
      </c>
      <c r="BT10" t="s">
        <v>69</v>
      </c>
      <c r="BU10" t="s">
        <v>69</v>
      </c>
      <c r="BV10" t="s">
        <v>69</v>
      </c>
      <c r="BW10" t="s">
        <v>69</v>
      </c>
      <c r="BX10" t="s">
        <v>8526</v>
      </c>
      <c r="BY10" t="str">
        <f>HYPERLINK("https%3A%2F%2Fwww.webofscience.com%2Fwos%2Fwoscc%2Ffull-record%2FWOS:000485756700013","View Full Record in Web of Science")</f>
        <v>View Full Record in Web of Science</v>
      </c>
    </row>
    <row r="11" spans="1:77" ht="12.5" x14ac:dyDescent="0.25">
      <c r="A11" t="s">
        <v>8495</v>
      </c>
      <c r="B11" s="15" t="s">
        <v>32930</v>
      </c>
      <c r="C11" s="7" t="s">
        <v>33077</v>
      </c>
      <c r="D11" s="7"/>
      <c r="E11" s="7" t="s">
        <v>8490</v>
      </c>
      <c r="F11" t="s">
        <v>67</v>
      </c>
      <c r="G11" t="s">
        <v>12299</v>
      </c>
      <c r="H11" t="s">
        <v>69</v>
      </c>
      <c r="I11" t="s">
        <v>69</v>
      </c>
      <c r="J11" t="s">
        <v>69</v>
      </c>
      <c r="K11" t="s">
        <v>12300</v>
      </c>
      <c r="L11" t="s">
        <v>69</v>
      </c>
      <c r="M11" t="s">
        <v>69</v>
      </c>
      <c r="N11" t="s">
        <v>12301</v>
      </c>
      <c r="O11" t="s">
        <v>11776</v>
      </c>
      <c r="P11" t="s">
        <v>69</v>
      </c>
      <c r="Q11" t="s">
        <v>69</v>
      </c>
      <c r="R11" t="s">
        <v>8505</v>
      </c>
      <c r="S11" t="s">
        <v>8506</v>
      </c>
      <c r="T11" t="s">
        <v>69</v>
      </c>
      <c r="U11" t="s">
        <v>69</v>
      </c>
      <c r="V11" t="s">
        <v>69</v>
      </c>
      <c r="W11" t="s">
        <v>69</v>
      </c>
      <c r="X11" t="s">
        <v>69</v>
      </c>
      <c r="Y11" t="s">
        <v>12302</v>
      </c>
      <c r="Z11" t="s">
        <v>12303</v>
      </c>
      <c r="AA11" t="s">
        <v>12304</v>
      </c>
      <c r="AB11" t="s">
        <v>12305</v>
      </c>
      <c r="AC11" t="s">
        <v>69</v>
      </c>
      <c r="AD11" t="s">
        <v>12306</v>
      </c>
      <c r="AE11" t="s">
        <v>12307</v>
      </c>
      <c r="AF11" t="s">
        <v>69</v>
      </c>
      <c r="AG11" t="s">
        <v>69</v>
      </c>
      <c r="AH11" t="s">
        <v>12308</v>
      </c>
      <c r="AI11" t="s">
        <v>12309</v>
      </c>
      <c r="AJ11" t="s">
        <v>12310</v>
      </c>
      <c r="AK11" t="s">
        <v>69</v>
      </c>
      <c r="AL11">
        <v>72</v>
      </c>
      <c r="AM11">
        <v>1</v>
      </c>
      <c r="AN11">
        <v>1</v>
      </c>
      <c r="AO11">
        <v>1</v>
      </c>
      <c r="AP11">
        <v>1</v>
      </c>
      <c r="AQ11" t="s">
        <v>9047</v>
      </c>
      <c r="AR11" t="s">
        <v>8693</v>
      </c>
      <c r="AS11" t="s">
        <v>11784</v>
      </c>
      <c r="AT11" t="s">
        <v>11785</v>
      </c>
      <c r="AU11" t="s">
        <v>11786</v>
      </c>
      <c r="AV11" t="s">
        <v>69</v>
      </c>
      <c r="AW11" t="s">
        <v>11787</v>
      </c>
      <c r="AX11" t="s">
        <v>11788</v>
      </c>
      <c r="AY11" t="s">
        <v>255</v>
      </c>
      <c r="AZ11">
        <v>2021</v>
      </c>
      <c r="BA11">
        <v>11</v>
      </c>
      <c r="BB11">
        <v>3</v>
      </c>
      <c r="BC11" t="s">
        <v>69</v>
      </c>
      <c r="BD11" t="s">
        <v>69</v>
      </c>
      <c r="BE11" t="s">
        <v>114</v>
      </c>
      <c r="BF11" t="s">
        <v>69</v>
      </c>
      <c r="BG11">
        <v>392</v>
      </c>
      <c r="BH11">
        <v>403</v>
      </c>
      <c r="BI11" t="s">
        <v>69</v>
      </c>
      <c r="BJ11" t="s">
        <v>12311</v>
      </c>
      <c r="BK11" t="str">
        <f>HYPERLINK("http://dx.doi.org/10.1007/s13412-021-00689-y","http://dx.doi.org/10.1007/s13412-021-00689-y")</f>
        <v>http://dx.doi.org/10.1007/s13412-021-00689-y</v>
      </c>
      <c r="BL11" t="s">
        <v>69</v>
      </c>
      <c r="BM11" t="s">
        <v>12312</v>
      </c>
      <c r="BN11">
        <v>12</v>
      </c>
      <c r="BO11" t="s">
        <v>11791</v>
      </c>
      <c r="BP11" t="s">
        <v>8573</v>
      </c>
      <c r="BQ11" t="s">
        <v>8662</v>
      </c>
      <c r="BR11" t="s">
        <v>11792</v>
      </c>
      <c r="BS11" t="s">
        <v>12313</v>
      </c>
      <c r="BT11" t="s">
        <v>69</v>
      </c>
      <c r="BU11" t="s">
        <v>8622</v>
      </c>
      <c r="BV11" t="s">
        <v>69</v>
      </c>
      <c r="BW11" t="s">
        <v>69</v>
      </c>
      <c r="BX11" t="s">
        <v>8526</v>
      </c>
      <c r="BY11" t="str">
        <f>HYPERLINK("https%3A%2F%2Fwww.webofscience.com%2Fwos%2Fwoscc%2Ffull-record%2FWOS:000645870800001","View Full Record in Web of Science")</f>
        <v>View Full Record in Web of Science</v>
      </c>
    </row>
    <row r="12" spans="1:77" ht="12.5" x14ac:dyDescent="0.25">
      <c r="A12" t="s">
        <v>8495</v>
      </c>
      <c r="B12" s="22" t="s">
        <v>32931</v>
      </c>
      <c r="C12" s="7"/>
      <c r="D12" s="7"/>
      <c r="E12" s="7"/>
      <c r="F12" t="s">
        <v>67</v>
      </c>
      <c r="G12" t="s">
        <v>534</v>
      </c>
      <c r="H12" t="s">
        <v>69</v>
      </c>
      <c r="I12" t="s">
        <v>69</v>
      </c>
      <c r="J12" t="s">
        <v>69</v>
      </c>
      <c r="K12" t="s">
        <v>535</v>
      </c>
      <c r="L12" t="s">
        <v>69</v>
      </c>
      <c r="M12" t="s">
        <v>69</v>
      </c>
      <c r="N12" t="s">
        <v>27350</v>
      </c>
      <c r="O12" t="s">
        <v>27351</v>
      </c>
      <c r="P12" t="s">
        <v>69</v>
      </c>
      <c r="Q12" t="s">
        <v>69</v>
      </c>
      <c r="R12" t="s">
        <v>8505</v>
      </c>
      <c r="S12" t="s">
        <v>8506</v>
      </c>
      <c r="T12" t="s">
        <v>69</v>
      </c>
      <c r="U12" t="s">
        <v>69</v>
      </c>
      <c r="V12" t="s">
        <v>69</v>
      </c>
      <c r="W12" t="s">
        <v>69</v>
      </c>
      <c r="X12" t="s">
        <v>69</v>
      </c>
      <c r="Y12" t="s">
        <v>27352</v>
      </c>
      <c r="Z12" t="s">
        <v>69</v>
      </c>
      <c r="AA12" t="s">
        <v>27353</v>
      </c>
      <c r="AB12" t="s">
        <v>27354</v>
      </c>
      <c r="AC12" t="s">
        <v>69</v>
      </c>
      <c r="AD12" t="s">
        <v>27355</v>
      </c>
      <c r="AE12" t="s">
        <v>27356</v>
      </c>
      <c r="AF12" t="s">
        <v>539</v>
      </c>
      <c r="AG12" t="s">
        <v>540</v>
      </c>
      <c r="AH12" t="s">
        <v>69</v>
      </c>
      <c r="AI12" t="s">
        <v>69</v>
      </c>
      <c r="AJ12" t="s">
        <v>69</v>
      </c>
      <c r="AK12" t="s">
        <v>69</v>
      </c>
      <c r="AL12">
        <v>11</v>
      </c>
      <c r="AM12">
        <v>8</v>
      </c>
      <c r="AN12">
        <v>8</v>
      </c>
      <c r="AO12">
        <v>0</v>
      </c>
      <c r="AP12">
        <v>1</v>
      </c>
      <c r="AQ12" t="s">
        <v>13509</v>
      </c>
      <c r="AR12" t="s">
        <v>13510</v>
      </c>
      <c r="AS12" t="s">
        <v>13511</v>
      </c>
      <c r="AT12" t="s">
        <v>27357</v>
      </c>
      <c r="AU12" t="s">
        <v>27358</v>
      </c>
      <c r="AV12" t="s">
        <v>69</v>
      </c>
      <c r="AW12" t="s">
        <v>27359</v>
      </c>
      <c r="AX12" t="s">
        <v>27360</v>
      </c>
      <c r="AY12" t="s">
        <v>69</v>
      </c>
      <c r="AZ12">
        <v>2011</v>
      </c>
      <c r="BA12">
        <v>10</v>
      </c>
      <c r="BB12">
        <v>3</v>
      </c>
      <c r="BC12" t="s">
        <v>69</v>
      </c>
      <c r="BD12" t="s">
        <v>69</v>
      </c>
      <c r="BE12" t="s">
        <v>69</v>
      </c>
      <c r="BF12" t="s">
        <v>69</v>
      </c>
      <c r="BG12">
        <v>246</v>
      </c>
      <c r="BH12">
        <v>266</v>
      </c>
      <c r="BI12" t="s">
        <v>69</v>
      </c>
      <c r="BJ12" t="s">
        <v>27361</v>
      </c>
      <c r="BK12" t="str">
        <f>HYPERLINK("http://dx.doi.org/10.1504/IJESD.2011.045366","http://dx.doi.org/10.1504/IJESD.2011.045366")</f>
        <v>http://dx.doi.org/10.1504/IJESD.2011.045366</v>
      </c>
      <c r="BL12" t="s">
        <v>69</v>
      </c>
      <c r="BM12" t="s">
        <v>69</v>
      </c>
      <c r="BN12">
        <v>21</v>
      </c>
      <c r="BO12" t="s">
        <v>8660</v>
      </c>
      <c r="BP12" t="s">
        <v>8573</v>
      </c>
      <c r="BQ12" t="s">
        <v>8662</v>
      </c>
      <c r="BR12" t="s">
        <v>27362</v>
      </c>
      <c r="BS12" t="s">
        <v>27363</v>
      </c>
      <c r="BT12" t="s">
        <v>69</v>
      </c>
      <c r="BU12" t="s">
        <v>69</v>
      </c>
      <c r="BV12" t="s">
        <v>69</v>
      </c>
      <c r="BW12" t="s">
        <v>69</v>
      </c>
      <c r="BX12" t="s">
        <v>8526</v>
      </c>
      <c r="BY12" t="str">
        <f>HYPERLINK("https%3A%2F%2Fwww.webofscience.com%2Fwos%2Fwoscc%2Ffull-record%2FWOS:000436574900002","View Full Record in Web of Science")</f>
        <v>View Full Record in Web of Science</v>
      </c>
    </row>
    <row r="13" spans="1:77" ht="12.5" x14ac:dyDescent="0.25">
      <c r="A13" t="s">
        <v>8495</v>
      </c>
      <c r="B13" s="7" t="s">
        <v>32933</v>
      </c>
      <c r="C13" s="7"/>
      <c r="D13" s="7"/>
      <c r="E13" s="7"/>
      <c r="F13" t="s">
        <v>67</v>
      </c>
      <c r="G13" t="s">
        <v>6601</v>
      </c>
      <c r="H13" t="s">
        <v>69</v>
      </c>
      <c r="I13" t="s">
        <v>69</v>
      </c>
      <c r="J13" t="s">
        <v>69</v>
      </c>
      <c r="K13" t="s">
        <v>6602</v>
      </c>
      <c r="L13" t="s">
        <v>69</v>
      </c>
      <c r="M13" t="s">
        <v>69</v>
      </c>
      <c r="N13" t="s">
        <v>6603</v>
      </c>
      <c r="O13" t="s">
        <v>1405</v>
      </c>
      <c r="P13" t="s">
        <v>69</v>
      </c>
      <c r="Q13" t="s">
        <v>69</v>
      </c>
      <c r="R13" t="s">
        <v>8505</v>
      </c>
      <c r="S13" t="s">
        <v>8506</v>
      </c>
      <c r="T13" t="s">
        <v>69</v>
      </c>
      <c r="U13" t="s">
        <v>69</v>
      </c>
      <c r="V13" t="s">
        <v>69</v>
      </c>
      <c r="W13" t="s">
        <v>69</v>
      </c>
      <c r="X13" t="s">
        <v>69</v>
      </c>
      <c r="Y13" t="s">
        <v>27785</v>
      </c>
      <c r="Z13" t="s">
        <v>27786</v>
      </c>
      <c r="AA13" t="s">
        <v>6604</v>
      </c>
      <c r="AB13" t="s">
        <v>27787</v>
      </c>
      <c r="AC13" t="s">
        <v>69</v>
      </c>
      <c r="AD13" t="s">
        <v>27788</v>
      </c>
      <c r="AE13" t="s">
        <v>27789</v>
      </c>
      <c r="AF13" t="s">
        <v>6605</v>
      </c>
      <c r="AG13" t="s">
        <v>69</v>
      </c>
      <c r="AH13" t="s">
        <v>69</v>
      </c>
      <c r="AI13" t="s">
        <v>69</v>
      </c>
      <c r="AJ13" t="s">
        <v>69</v>
      </c>
      <c r="AK13" t="s">
        <v>69</v>
      </c>
      <c r="AL13">
        <v>31</v>
      </c>
      <c r="AM13">
        <v>119</v>
      </c>
      <c r="AN13">
        <v>125</v>
      </c>
      <c r="AO13">
        <v>1</v>
      </c>
      <c r="AP13">
        <v>36</v>
      </c>
      <c r="AQ13" t="s">
        <v>8636</v>
      </c>
      <c r="AR13" t="s">
        <v>8637</v>
      </c>
      <c r="AS13" t="s">
        <v>8638</v>
      </c>
      <c r="AT13" t="s">
        <v>1407</v>
      </c>
      <c r="AU13" t="s">
        <v>1408</v>
      </c>
      <c r="AV13" t="s">
        <v>69</v>
      </c>
      <c r="AW13" t="s">
        <v>14240</v>
      </c>
      <c r="AX13" t="s">
        <v>8486</v>
      </c>
      <c r="AY13" t="s">
        <v>586</v>
      </c>
      <c r="AZ13">
        <v>2010</v>
      </c>
      <c r="BA13">
        <v>38</v>
      </c>
      <c r="BB13">
        <v>5</v>
      </c>
      <c r="BC13" t="s">
        <v>69</v>
      </c>
      <c r="BD13" t="s">
        <v>69</v>
      </c>
      <c r="BE13" t="s">
        <v>69</v>
      </c>
      <c r="BF13" t="s">
        <v>69</v>
      </c>
      <c r="BG13">
        <v>2386</v>
      </c>
      <c r="BH13">
        <v>2394</v>
      </c>
      <c r="BI13" t="s">
        <v>69</v>
      </c>
      <c r="BJ13" t="s">
        <v>6606</v>
      </c>
      <c r="BK13" t="str">
        <f>HYPERLINK("http://dx.doi.org/10.1016/j.enpol.2009.12.030","http://dx.doi.org/10.1016/j.enpol.2009.12.030")</f>
        <v>http://dx.doi.org/10.1016/j.enpol.2009.12.030</v>
      </c>
      <c r="BL13" t="s">
        <v>69</v>
      </c>
      <c r="BM13" t="s">
        <v>69</v>
      </c>
      <c r="BN13">
        <v>9</v>
      </c>
      <c r="BO13" t="s">
        <v>14242</v>
      </c>
      <c r="BP13" t="s">
        <v>8523</v>
      </c>
      <c r="BQ13" t="s">
        <v>14243</v>
      </c>
      <c r="BR13" t="s">
        <v>27790</v>
      </c>
      <c r="BS13" t="s">
        <v>6607</v>
      </c>
      <c r="BT13" t="s">
        <v>69</v>
      </c>
      <c r="BU13" t="s">
        <v>69</v>
      </c>
      <c r="BV13" t="s">
        <v>69</v>
      </c>
      <c r="BW13" t="s">
        <v>69</v>
      </c>
      <c r="BX13" t="s">
        <v>8526</v>
      </c>
      <c r="BY13" t="str">
        <f>HYPERLINK("https%3A%2F%2Fwww.webofscience.com%2Fwos%2Fwoscc%2Ffull-record%2FWOS:000276289500037","View Full Record in Web of Science")</f>
        <v>View Full Record in Web of Science</v>
      </c>
    </row>
    <row r="14" spans="1:77" ht="12.5" x14ac:dyDescent="0.25">
      <c r="A14" t="s">
        <v>8495</v>
      </c>
      <c r="B14" s="22" t="s">
        <v>32931</v>
      </c>
      <c r="C14" s="7"/>
      <c r="D14" s="7"/>
      <c r="E14" s="7"/>
      <c r="F14" t="s">
        <v>67</v>
      </c>
      <c r="G14" t="s">
        <v>12549</v>
      </c>
      <c r="H14" t="s">
        <v>69</v>
      </c>
      <c r="I14" t="s">
        <v>69</v>
      </c>
      <c r="J14" t="s">
        <v>69</v>
      </c>
      <c r="K14" t="s">
        <v>12550</v>
      </c>
      <c r="L14" t="s">
        <v>69</v>
      </c>
      <c r="M14" t="s">
        <v>69</v>
      </c>
      <c r="N14" t="s">
        <v>12551</v>
      </c>
      <c r="O14" t="s">
        <v>352</v>
      </c>
      <c r="P14" t="s">
        <v>69</v>
      </c>
      <c r="Q14" t="s">
        <v>69</v>
      </c>
      <c r="R14" t="s">
        <v>8505</v>
      </c>
      <c r="S14" t="s">
        <v>8506</v>
      </c>
      <c r="T14" t="s">
        <v>69</v>
      </c>
      <c r="U14" t="s">
        <v>69</v>
      </c>
      <c r="V14" t="s">
        <v>69</v>
      </c>
      <c r="W14" t="s">
        <v>69</v>
      </c>
      <c r="X14" t="s">
        <v>69</v>
      </c>
      <c r="Y14" t="s">
        <v>12552</v>
      </c>
      <c r="Z14" t="s">
        <v>69</v>
      </c>
      <c r="AA14" t="s">
        <v>12553</v>
      </c>
      <c r="AB14" t="s">
        <v>12554</v>
      </c>
      <c r="AC14" t="s">
        <v>69</v>
      </c>
      <c r="AD14" t="s">
        <v>12555</v>
      </c>
      <c r="AE14" t="s">
        <v>12556</v>
      </c>
      <c r="AF14" t="s">
        <v>12557</v>
      </c>
      <c r="AG14" t="s">
        <v>12558</v>
      </c>
      <c r="AH14" t="s">
        <v>69</v>
      </c>
      <c r="AI14" t="s">
        <v>69</v>
      </c>
      <c r="AJ14" t="s">
        <v>69</v>
      </c>
      <c r="AK14" t="s">
        <v>69</v>
      </c>
      <c r="AL14">
        <v>47</v>
      </c>
      <c r="AM14">
        <v>2</v>
      </c>
      <c r="AN14">
        <v>2</v>
      </c>
      <c r="AO14">
        <v>4</v>
      </c>
      <c r="AP14">
        <v>11</v>
      </c>
      <c r="AQ14" t="s">
        <v>8924</v>
      </c>
      <c r="AR14" t="s">
        <v>8925</v>
      </c>
      <c r="AS14" t="s">
        <v>8926</v>
      </c>
      <c r="AT14" t="s">
        <v>69</v>
      </c>
      <c r="AU14" t="s">
        <v>354</v>
      </c>
      <c r="AV14" t="s">
        <v>69</v>
      </c>
      <c r="AW14" t="s">
        <v>8958</v>
      </c>
      <c r="AX14" t="s">
        <v>8434</v>
      </c>
      <c r="AY14" t="s">
        <v>246</v>
      </c>
      <c r="AZ14">
        <v>2021</v>
      </c>
      <c r="BA14">
        <v>13</v>
      </c>
      <c r="BB14">
        <v>8</v>
      </c>
      <c r="BC14" t="s">
        <v>69</v>
      </c>
      <c r="BD14" t="s">
        <v>69</v>
      </c>
      <c r="BE14" t="s">
        <v>69</v>
      </c>
      <c r="BF14" t="s">
        <v>69</v>
      </c>
      <c r="BG14" t="s">
        <v>69</v>
      </c>
      <c r="BH14" t="s">
        <v>69</v>
      </c>
      <c r="BI14">
        <v>4552</v>
      </c>
      <c r="BJ14" t="s">
        <v>12559</v>
      </c>
      <c r="BK14" t="str">
        <f>HYPERLINK("http://dx.doi.org/10.3390/su13084552","http://dx.doi.org/10.3390/su13084552")</f>
        <v>http://dx.doi.org/10.3390/su13084552</v>
      </c>
      <c r="BL14" t="s">
        <v>69</v>
      </c>
      <c r="BM14" t="s">
        <v>69</v>
      </c>
      <c r="BN14">
        <v>13</v>
      </c>
      <c r="BO14" t="s">
        <v>8960</v>
      </c>
      <c r="BP14" t="s">
        <v>8523</v>
      </c>
      <c r="BQ14" t="s">
        <v>8961</v>
      </c>
      <c r="BR14" t="s">
        <v>12560</v>
      </c>
      <c r="BS14" t="s">
        <v>12561</v>
      </c>
      <c r="BT14" t="s">
        <v>69</v>
      </c>
      <c r="BU14" t="s">
        <v>8812</v>
      </c>
      <c r="BV14" t="s">
        <v>69</v>
      </c>
      <c r="BW14" t="s">
        <v>69</v>
      </c>
      <c r="BX14" t="s">
        <v>8526</v>
      </c>
      <c r="BY14" t="str">
        <f>HYPERLINK("https%3A%2F%2Fwww.webofscience.com%2Fwos%2Fwoscc%2Ffull-record%2FWOS:000645360000001","View Full Record in Web of Science")</f>
        <v>View Full Record in Web of Science</v>
      </c>
    </row>
    <row r="15" spans="1:77" ht="12.5" x14ac:dyDescent="0.25">
      <c r="A15" t="s">
        <v>8495</v>
      </c>
      <c r="B15" s="15" t="s">
        <v>32932</v>
      </c>
      <c r="C15" s="7" t="s">
        <v>33076</v>
      </c>
      <c r="D15" s="7"/>
      <c r="E15" s="7" t="s">
        <v>8490</v>
      </c>
      <c r="F15" t="s">
        <v>67</v>
      </c>
      <c r="G15" t="s">
        <v>31553</v>
      </c>
      <c r="H15" t="s">
        <v>69</v>
      </c>
      <c r="I15" t="s">
        <v>69</v>
      </c>
      <c r="J15" t="s">
        <v>69</v>
      </c>
      <c r="K15" t="s">
        <v>31553</v>
      </c>
      <c r="L15" t="s">
        <v>69</v>
      </c>
      <c r="M15" t="s">
        <v>69</v>
      </c>
      <c r="N15" t="s">
        <v>31554</v>
      </c>
      <c r="O15" t="s">
        <v>31555</v>
      </c>
      <c r="P15" t="s">
        <v>69</v>
      </c>
      <c r="Q15" t="s">
        <v>69</v>
      </c>
      <c r="R15" t="s">
        <v>8505</v>
      </c>
      <c r="S15" t="s">
        <v>8506</v>
      </c>
      <c r="T15" t="s">
        <v>69</v>
      </c>
      <c r="U15" t="s">
        <v>69</v>
      </c>
      <c r="V15" t="s">
        <v>69</v>
      </c>
      <c r="W15" t="s">
        <v>69</v>
      </c>
      <c r="X15" t="s">
        <v>69</v>
      </c>
      <c r="Y15" t="s">
        <v>31556</v>
      </c>
      <c r="Z15" t="s">
        <v>17171</v>
      </c>
      <c r="AA15" t="s">
        <v>31557</v>
      </c>
      <c r="AB15" t="s">
        <v>31558</v>
      </c>
      <c r="AC15" t="s">
        <v>69</v>
      </c>
      <c r="AD15" t="s">
        <v>31559</v>
      </c>
      <c r="AE15" t="s">
        <v>69</v>
      </c>
      <c r="AF15" t="s">
        <v>69</v>
      </c>
      <c r="AG15" t="s">
        <v>69</v>
      </c>
      <c r="AH15" t="s">
        <v>69</v>
      </c>
      <c r="AI15" t="s">
        <v>69</v>
      </c>
      <c r="AJ15" t="s">
        <v>69</v>
      </c>
      <c r="AK15" t="s">
        <v>69</v>
      </c>
      <c r="AL15">
        <v>46</v>
      </c>
      <c r="AM15">
        <v>9</v>
      </c>
      <c r="AN15">
        <v>9</v>
      </c>
      <c r="AO15">
        <v>1</v>
      </c>
      <c r="AP15">
        <v>7</v>
      </c>
      <c r="AQ15" t="s">
        <v>9145</v>
      </c>
      <c r="AR15" t="s">
        <v>8637</v>
      </c>
      <c r="AS15" t="s">
        <v>9146</v>
      </c>
      <c r="AT15" t="s">
        <v>31560</v>
      </c>
      <c r="AU15" t="s">
        <v>69</v>
      </c>
      <c r="AV15" t="s">
        <v>69</v>
      </c>
      <c r="AW15" t="s">
        <v>31561</v>
      </c>
      <c r="AX15" t="s">
        <v>31562</v>
      </c>
      <c r="AY15" t="s">
        <v>255</v>
      </c>
      <c r="AZ15">
        <v>2001</v>
      </c>
      <c r="BA15">
        <v>21</v>
      </c>
      <c r="BB15">
        <v>5</v>
      </c>
      <c r="BC15" t="s">
        <v>69</v>
      </c>
      <c r="BD15" t="s">
        <v>69</v>
      </c>
      <c r="BE15" t="s">
        <v>69</v>
      </c>
      <c r="BF15" t="s">
        <v>69</v>
      </c>
      <c r="BG15">
        <v>417</v>
      </c>
      <c r="BH15">
        <v>431</v>
      </c>
      <c r="BI15" t="s">
        <v>69</v>
      </c>
      <c r="BJ15" t="s">
        <v>31563</v>
      </c>
      <c r="BK15" t="str">
        <f>HYPERLINK("http://dx.doi.org/10.1016/S0738-0593(00)00066-3","http://dx.doi.org/10.1016/S0738-0593(00)00066-3")</f>
        <v>http://dx.doi.org/10.1016/S0738-0593(00)00066-3</v>
      </c>
      <c r="BL15" t="s">
        <v>69</v>
      </c>
      <c r="BM15" t="s">
        <v>69</v>
      </c>
      <c r="BN15">
        <v>15</v>
      </c>
      <c r="BO15" t="s">
        <v>9290</v>
      </c>
      <c r="BP15" t="s">
        <v>8661</v>
      </c>
      <c r="BQ15" t="s">
        <v>9290</v>
      </c>
      <c r="BR15" t="s">
        <v>31564</v>
      </c>
      <c r="BS15" t="s">
        <v>31565</v>
      </c>
      <c r="BT15" t="s">
        <v>69</v>
      </c>
      <c r="BU15" t="s">
        <v>69</v>
      </c>
      <c r="BV15" t="s">
        <v>69</v>
      </c>
      <c r="BW15" t="s">
        <v>69</v>
      </c>
      <c r="BX15" t="s">
        <v>8526</v>
      </c>
      <c r="BY15" t="str">
        <f>HYPERLINK("https%3A%2F%2Fwww.webofscience.com%2Fwos%2Fwoscc%2Ffull-record%2FWOS:000170746400003","View Full Record in Web of Science")</f>
        <v>View Full Record in Web of Science</v>
      </c>
    </row>
    <row r="16" spans="1:77" ht="12.5" x14ac:dyDescent="0.25">
      <c r="A16" t="s">
        <v>8495</v>
      </c>
      <c r="B16" s="7" t="s">
        <v>32933</v>
      </c>
      <c r="C16" s="7"/>
      <c r="D16" s="7"/>
      <c r="E16" s="7"/>
      <c r="F16" t="s">
        <v>67</v>
      </c>
      <c r="G16" t="s">
        <v>639</v>
      </c>
      <c r="H16" t="s">
        <v>69</v>
      </c>
      <c r="I16" t="s">
        <v>69</v>
      </c>
      <c r="J16" t="s">
        <v>69</v>
      </c>
      <c r="K16" t="s">
        <v>640</v>
      </c>
      <c r="L16" t="s">
        <v>69</v>
      </c>
      <c r="M16" t="s">
        <v>69</v>
      </c>
      <c r="N16" t="s">
        <v>641</v>
      </c>
      <c r="O16" t="s">
        <v>151</v>
      </c>
      <c r="P16" t="s">
        <v>69</v>
      </c>
      <c r="Q16" t="s">
        <v>69</v>
      </c>
      <c r="R16" t="s">
        <v>8505</v>
      </c>
      <c r="S16" t="s">
        <v>8442</v>
      </c>
      <c r="T16" t="s">
        <v>69</v>
      </c>
      <c r="U16" t="s">
        <v>69</v>
      </c>
      <c r="V16" t="s">
        <v>69</v>
      </c>
      <c r="W16" t="s">
        <v>69</v>
      </c>
      <c r="X16" t="s">
        <v>69</v>
      </c>
      <c r="Y16" t="s">
        <v>23535</v>
      </c>
      <c r="Z16" t="s">
        <v>23536</v>
      </c>
      <c r="AA16" t="s">
        <v>642</v>
      </c>
      <c r="AB16" t="s">
        <v>23537</v>
      </c>
      <c r="AC16" t="s">
        <v>69</v>
      </c>
      <c r="AD16" t="s">
        <v>23538</v>
      </c>
      <c r="AE16" t="s">
        <v>23539</v>
      </c>
      <c r="AF16" t="s">
        <v>23540</v>
      </c>
      <c r="AG16" t="s">
        <v>23541</v>
      </c>
      <c r="AH16" t="s">
        <v>69</v>
      </c>
      <c r="AI16" t="s">
        <v>69</v>
      </c>
      <c r="AJ16" t="s">
        <v>69</v>
      </c>
      <c r="AK16" t="s">
        <v>69</v>
      </c>
      <c r="AL16">
        <v>37</v>
      </c>
      <c r="AM16">
        <v>2</v>
      </c>
      <c r="AN16">
        <v>2</v>
      </c>
      <c r="AO16">
        <v>0</v>
      </c>
      <c r="AP16">
        <v>17</v>
      </c>
      <c r="AQ16" t="s">
        <v>9145</v>
      </c>
      <c r="AR16" t="s">
        <v>8637</v>
      </c>
      <c r="AS16" t="s">
        <v>9146</v>
      </c>
      <c r="AT16" t="s">
        <v>154</v>
      </c>
      <c r="AU16" t="s">
        <v>69</v>
      </c>
      <c r="AV16" t="s">
        <v>69</v>
      </c>
      <c r="AW16" t="s">
        <v>12762</v>
      </c>
      <c r="AX16" t="s">
        <v>12763</v>
      </c>
      <c r="AY16" t="s">
        <v>381</v>
      </c>
      <c r="AZ16">
        <v>2014</v>
      </c>
      <c r="BA16">
        <v>38</v>
      </c>
      <c r="BB16" t="s">
        <v>69</v>
      </c>
      <c r="BC16" t="s">
        <v>69</v>
      </c>
      <c r="BD16" t="s">
        <v>69</v>
      </c>
      <c r="BE16" t="s">
        <v>69</v>
      </c>
      <c r="BF16" t="s">
        <v>69</v>
      </c>
      <c r="BG16">
        <v>700</v>
      </c>
      <c r="BH16">
        <v>705</v>
      </c>
      <c r="BI16" t="s">
        <v>69</v>
      </c>
      <c r="BJ16" t="s">
        <v>643</v>
      </c>
      <c r="BK16" t="str">
        <f>HYPERLINK("http://dx.doi.org/10.1016/j.rser.2014.07.012","http://dx.doi.org/10.1016/j.rser.2014.07.012")</f>
        <v>http://dx.doi.org/10.1016/j.rser.2014.07.012</v>
      </c>
      <c r="BL16" t="s">
        <v>69</v>
      </c>
      <c r="BM16" t="s">
        <v>69</v>
      </c>
      <c r="BN16">
        <v>6</v>
      </c>
      <c r="BO16" t="s">
        <v>9931</v>
      </c>
      <c r="BP16" t="s">
        <v>8548</v>
      </c>
      <c r="BQ16" t="s">
        <v>9932</v>
      </c>
      <c r="BR16" t="s">
        <v>23542</v>
      </c>
      <c r="BS16" t="s">
        <v>644</v>
      </c>
      <c r="BT16" t="s">
        <v>69</v>
      </c>
      <c r="BU16" t="s">
        <v>69</v>
      </c>
      <c r="BV16" t="s">
        <v>69</v>
      </c>
      <c r="BW16" t="s">
        <v>69</v>
      </c>
      <c r="BX16" t="s">
        <v>8526</v>
      </c>
      <c r="BY16" t="str">
        <f>HYPERLINK("https%3A%2F%2Fwww.webofscience.com%2Fwos%2Fwoscc%2Ffull-record%2FWOS:000341676100054","View Full Record in Web of Science")</f>
        <v>View Full Record in Web of Science</v>
      </c>
    </row>
    <row r="17" spans="1:77" ht="12.5" x14ac:dyDescent="0.25">
      <c r="A17" t="s">
        <v>8495</v>
      </c>
      <c r="B17" s="7" t="s">
        <v>32933</v>
      </c>
      <c r="C17" s="7"/>
      <c r="D17" s="7"/>
      <c r="E17" s="7"/>
      <c r="F17" t="s">
        <v>67</v>
      </c>
      <c r="G17" t="s">
        <v>1202</v>
      </c>
      <c r="H17" t="s">
        <v>69</v>
      </c>
      <c r="I17" t="s">
        <v>69</v>
      </c>
      <c r="J17" t="s">
        <v>69</v>
      </c>
      <c r="K17" t="s">
        <v>1203</v>
      </c>
      <c r="L17" t="s">
        <v>69</v>
      </c>
      <c r="M17" t="s">
        <v>69</v>
      </c>
      <c r="N17" t="s">
        <v>1204</v>
      </c>
      <c r="O17" t="s">
        <v>436</v>
      </c>
      <c r="P17" t="s">
        <v>69</v>
      </c>
      <c r="Q17" t="s">
        <v>69</v>
      </c>
      <c r="R17" t="s">
        <v>8505</v>
      </c>
      <c r="S17" t="s">
        <v>8506</v>
      </c>
      <c r="T17" t="s">
        <v>69</v>
      </c>
      <c r="U17" t="s">
        <v>69</v>
      </c>
      <c r="V17" t="s">
        <v>69</v>
      </c>
      <c r="W17" t="s">
        <v>69</v>
      </c>
      <c r="X17" t="s">
        <v>69</v>
      </c>
      <c r="Y17" t="s">
        <v>21202</v>
      </c>
      <c r="Z17" t="s">
        <v>21203</v>
      </c>
      <c r="AA17" t="s">
        <v>1205</v>
      </c>
      <c r="AB17" t="s">
        <v>21204</v>
      </c>
      <c r="AC17" t="s">
        <v>69</v>
      </c>
      <c r="AD17" t="s">
        <v>21205</v>
      </c>
      <c r="AE17" t="s">
        <v>21206</v>
      </c>
      <c r="AF17" t="s">
        <v>69</v>
      </c>
      <c r="AG17" t="s">
        <v>21207</v>
      </c>
      <c r="AH17" t="s">
        <v>21208</v>
      </c>
      <c r="AI17" t="s">
        <v>21209</v>
      </c>
      <c r="AJ17" t="s">
        <v>21210</v>
      </c>
      <c r="AK17" t="s">
        <v>69</v>
      </c>
      <c r="AL17">
        <v>63</v>
      </c>
      <c r="AM17">
        <v>42</v>
      </c>
      <c r="AN17">
        <v>43</v>
      </c>
      <c r="AO17">
        <v>11</v>
      </c>
      <c r="AP17">
        <v>53</v>
      </c>
      <c r="AQ17" t="s">
        <v>8636</v>
      </c>
      <c r="AR17" t="s">
        <v>8637</v>
      </c>
      <c r="AS17" t="s">
        <v>8638</v>
      </c>
      <c r="AT17" t="s">
        <v>440</v>
      </c>
      <c r="AU17" t="s">
        <v>441</v>
      </c>
      <c r="AV17" t="s">
        <v>69</v>
      </c>
      <c r="AW17" t="s">
        <v>8639</v>
      </c>
      <c r="AX17" t="s">
        <v>8640</v>
      </c>
      <c r="AY17" t="s">
        <v>1206</v>
      </c>
      <c r="AZ17">
        <v>2016</v>
      </c>
      <c r="BA17">
        <v>135</v>
      </c>
      <c r="BB17" t="s">
        <v>69</v>
      </c>
      <c r="BC17" t="s">
        <v>69</v>
      </c>
      <c r="BD17" t="s">
        <v>69</v>
      </c>
      <c r="BE17" t="s">
        <v>69</v>
      </c>
      <c r="BF17" t="s">
        <v>69</v>
      </c>
      <c r="BG17">
        <v>1034</v>
      </c>
      <c r="BH17">
        <v>1044</v>
      </c>
      <c r="BI17" t="s">
        <v>69</v>
      </c>
      <c r="BJ17" t="s">
        <v>1207</v>
      </c>
      <c r="BK17" t="str">
        <f>HYPERLINK("http://dx.doi.org/10.1016/j.jclepro.2016.07.027","http://dx.doi.org/10.1016/j.jclepro.2016.07.027")</f>
        <v>http://dx.doi.org/10.1016/j.jclepro.2016.07.027</v>
      </c>
      <c r="BL17" t="s">
        <v>69</v>
      </c>
      <c r="BM17" t="s">
        <v>69</v>
      </c>
      <c r="BN17">
        <v>11</v>
      </c>
      <c r="BO17" t="s">
        <v>8643</v>
      </c>
      <c r="BP17" t="s">
        <v>8523</v>
      </c>
      <c r="BQ17" t="s">
        <v>8644</v>
      </c>
      <c r="BR17" t="s">
        <v>21211</v>
      </c>
      <c r="BS17" t="s">
        <v>1208</v>
      </c>
      <c r="BT17" t="s">
        <v>69</v>
      </c>
      <c r="BU17" t="s">
        <v>17235</v>
      </c>
      <c r="BV17" t="s">
        <v>69</v>
      </c>
      <c r="BW17" t="s">
        <v>69</v>
      </c>
      <c r="BX17" t="s">
        <v>8526</v>
      </c>
      <c r="BY17" t="str">
        <f>HYPERLINK("https%3A%2F%2Fwww.webofscience.com%2Fwos%2Fwoscc%2Ffull-record%2FWOS:000382792900089","View Full Record in Web of Science")</f>
        <v>View Full Record in Web of Science</v>
      </c>
    </row>
    <row r="18" spans="1:77" ht="12.5" x14ac:dyDescent="0.25">
      <c r="A18" t="s">
        <v>8495</v>
      </c>
      <c r="B18" s="7" t="s">
        <v>32933</v>
      </c>
      <c r="C18" s="7"/>
      <c r="D18" s="7"/>
      <c r="E18" s="7"/>
      <c r="F18" t="s">
        <v>67</v>
      </c>
      <c r="G18" t="s">
        <v>5335</v>
      </c>
      <c r="H18" t="s">
        <v>69</v>
      </c>
      <c r="I18" t="s">
        <v>69</v>
      </c>
      <c r="J18" t="s">
        <v>69</v>
      </c>
      <c r="K18" t="s">
        <v>5336</v>
      </c>
      <c r="L18" t="s">
        <v>69</v>
      </c>
      <c r="M18" t="s">
        <v>69</v>
      </c>
      <c r="N18" t="s">
        <v>5337</v>
      </c>
      <c r="O18" t="s">
        <v>5338</v>
      </c>
      <c r="P18" t="s">
        <v>69</v>
      </c>
      <c r="Q18" t="s">
        <v>69</v>
      </c>
      <c r="R18" t="s">
        <v>8505</v>
      </c>
      <c r="S18" t="s">
        <v>8506</v>
      </c>
      <c r="T18" t="s">
        <v>69</v>
      </c>
      <c r="U18" t="s">
        <v>69</v>
      </c>
      <c r="V18" t="s">
        <v>69</v>
      </c>
      <c r="W18" t="s">
        <v>69</v>
      </c>
      <c r="X18" t="s">
        <v>69</v>
      </c>
      <c r="Y18" t="s">
        <v>21744</v>
      </c>
      <c r="Z18" t="s">
        <v>21745</v>
      </c>
      <c r="AA18" t="s">
        <v>5339</v>
      </c>
      <c r="AB18" t="s">
        <v>21746</v>
      </c>
      <c r="AC18" t="s">
        <v>69</v>
      </c>
      <c r="AD18" t="s">
        <v>21747</v>
      </c>
      <c r="AE18" t="s">
        <v>21748</v>
      </c>
      <c r="AF18" t="s">
        <v>21749</v>
      </c>
      <c r="AG18" t="s">
        <v>69</v>
      </c>
      <c r="AH18" t="s">
        <v>69</v>
      </c>
      <c r="AI18" t="s">
        <v>69</v>
      </c>
      <c r="AJ18" t="s">
        <v>69</v>
      </c>
      <c r="AK18" t="s">
        <v>69</v>
      </c>
      <c r="AL18">
        <v>48</v>
      </c>
      <c r="AM18">
        <v>5</v>
      </c>
      <c r="AN18">
        <v>6</v>
      </c>
      <c r="AO18">
        <v>3</v>
      </c>
      <c r="AP18">
        <v>79</v>
      </c>
      <c r="AQ18" t="s">
        <v>9047</v>
      </c>
      <c r="AR18" t="s">
        <v>9048</v>
      </c>
      <c r="AS18" t="s">
        <v>9049</v>
      </c>
      <c r="AT18" t="s">
        <v>5340</v>
      </c>
      <c r="AU18" t="s">
        <v>5341</v>
      </c>
      <c r="AV18" t="s">
        <v>69</v>
      </c>
      <c r="AW18" t="s">
        <v>21750</v>
      </c>
      <c r="AX18" t="s">
        <v>21751</v>
      </c>
      <c r="AY18" t="s">
        <v>246</v>
      </c>
      <c r="AZ18">
        <v>2016</v>
      </c>
      <c r="BA18">
        <v>90</v>
      </c>
      <c r="BB18">
        <v>2</v>
      </c>
      <c r="BC18" t="s">
        <v>69</v>
      </c>
      <c r="BD18" t="s">
        <v>69</v>
      </c>
      <c r="BE18" t="s">
        <v>69</v>
      </c>
      <c r="BF18" t="s">
        <v>69</v>
      </c>
      <c r="BG18">
        <v>219</v>
      </c>
      <c r="BH18">
        <v>236</v>
      </c>
      <c r="BI18" t="s">
        <v>69</v>
      </c>
      <c r="BJ18" t="s">
        <v>5342</v>
      </c>
      <c r="BK18" t="str">
        <f>HYPERLINK("http://dx.doi.org/10.1007/s10457-015-9848-0","http://dx.doi.org/10.1007/s10457-015-9848-0")</f>
        <v>http://dx.doi.org/10.1007/s10457-015-9848-0</v>
      </c>
      <c r="BL18" t="s">
        <v>69</v>
      </c>
      <c r="BM18" t="s">
        <v>69</v>
      </c>
      <c r="BN18">
        <v>18</v>
      </c>
      <c r="BO18" t="s">
        <v>21752</v>
      </c>
      <c r="BP18" t="s">
        <v>8548</v>
      </c>
      <c r="BQ18" t="s">
        <v>21753</v>
      </c>
      <c r="BR18" t="s">
        <v>21754</v>
      </c>
      <c r="BS18" t="s">
        <v>5343</v>
      </c>
      <c r="BT18" t="s">
        <v>69</v>
      </c>
      <c r="BU18" t="s">
        <v>69</v>
      </c>
      <c r="BV18" t="s">
        <v>69</v>
      </c>
      <c r="BW18" t="s">
        <v>69</v>
      </c>
      <c r="BX18" t="s">
        <v>8526</v>
      </c>
      <c r="BY18" t="str">
        <f>HYPERLINK("https%3A%2F%2Fwww.webofscience.com%2Fwos%2Fwoscc%2Ffull-record%2FWOS:000373298200003","View Full Record in Web of Science")</f>
        <v>View Full Record in Web of Science</v>
      </c>
    </row>
    <row r="19" spans="1:77" ht="12.5" x14ac:dyDescent="0.25">
      <c r="A19" t="s">
        <v>8495</v>
      </c>
      <c r="B19" s="7" t="s">
        <v>32933</v>
      </c>
      <c r="C19" s="7"/>
      <c r="D19" s="7"/>
      <c r="E19" s="7"/>
      <c r="F19" t="s">
        <v>67</v>
      </c>
      <c r="G19" t="s">
        <v>3683</v>
      </c>
      <c r="H19" t="s">
        <v>69</v>
      </c>
      <c r="I19" t="s">
        <v>69</v>
      </c>
      <c r="J19" t="s">
        <v>69</v>
      </c>
      <c r="K19" t="s">
        <v>3684</v>
      </c>
      <c r="L19" t="s">
        <v>69</v>
      </c>
      <c r="M19" t="s">
        <v>69</v>
      </c>
      <c r="N19" t="s">
        <v>3685</v>
      </c>
      <c r="O19" t="s">
        <v>3686</v>
      </c>
      <c r="P19" t="s">
        <v>69</v>
      </c>
      <c r="Q19" t="s">
        <v>69</v>
      </c>
      <c r="R19" t="s">
        <v>8505</v>
      </c>
      <c r="S19" t="s">
        <v>8506</v>
      </c>
      <c r="T19" t="s">
        <v>69</v>
      </c>
      <c r="U19" t="s">
        <v>69</v>
      </c>
      <c r="V19" t="s">
        <v>69</v>
      </c>
      <c r="W19" t="s">
        <v>69</v>
      </c>
      <c r="X19" t="s">
        <v>69</v>
      </c>
      <c r="Y19" t="s">
        <v>29426</v>
      </c>
      <c r="Z19" t="s">
        <v>29427</v>
      </c>
      <c r="AA19" t="s">
        <v>3687</v>
      </c>
      <c r="AB19" t="s">
        <v>29428</v>
      </c>
      <c r="AC19" t="s">
        <v>69</v>
      </c>
      <c r="AD19" t="s">
        <v>29429</v>
      </c>
      <c r="AE19" t="s">
        <v>69</v>
      </c>
      <c r="AF19" t="s">
        <v>69</v>
      </c>
      <c r="AG19" t="s">
        <v>69</v>
      </c>
      <c r="AH19" t="s">
        <v>69</v>
      </c>
      <c r="AI19" t="s">
        <v>69</v>
      </c>
      <c r="AJ19" t="s">
        <v>69</v>
      </c>
      <c r="AK19" t="s">
        <v>69</v>
      </c>
      <c r="AL19">
        <v>32</v>
      </c>
      <c r="AM19">
        <v>26</v>
      </c>
      <c r="AN19">
        <v>28</v>
      </c>
      <c r="AO19">
        <v>0</v>
      </c>
      <c r="AP19">
        <v>25</v>
      </c>
      <c r="AQ19" t="s">
        <v>23880</v>
      </c>
      <c r="AR19" t="s">
        <v>23881</v>
      </c>
      <c r="AS19" t="s">
        <v>23882</v>
      </c>
      <c r="AT19" t="s">
        <v>3688</v>
      </c>
      <c r="AU19" t="s">
        <v>3689</v>
      </c>
      <c r="AV19" t="s">
        <v>69</v>
      </c>
      <c r="AW19" t="s">
        <v>29430</v>
      </c>
      <c r="AX19" t="s">
        <v>29431</v>
      </c>
      <c r="AY19" t="s">
        <v>373</v>
      </c>
      <c r="AZ19">
        <v>2008</v>
      </c>
      <c r="BA19">
        <v>5</v>
      </c>
      <c r="BB19">
        <v>1</v>
      </c>
      <c r="BC19" t="s">
        <v>69</v>
      </c>
      <c r="BD19" t="s">
        <v>69</v>
      </c>
      <c r="BE19" t="s">
        <v>69</v>
      </c>
      <c r="BF19" t="s">
        <v>69</v>
      </c>
      <c r="BG19">
        <v>158</v>
      </c>
      <c r="BH19">
        <v>168</v>
      </c>
      <c r="BI19" t="s">
        <v>69</v>
      </c>
      <c r="BJ19" t="s">
        <v>3690</v>
      </c>
      <c r="BK19" t="str">
        <f>HYPERLINK("http://dx.doi.org/10.1123/jpah.5.1.158","http://dx.doi.org/10.1123/jpah.5.1.158")</f>
        <v>http://dx.doi.org/10.1123/jpah.5.1.158</v>
      </c>
      <c r="BL19" t="s">
        <v>69</v>
      </c>
      <c r="BM19" t="s">
        <v>69</v>
      </c>
      <c r="BN19">
        <v>11</v>
      </c>
      <c r="BO19" t="s">
        <v>8810</v>
      </c>
      <c r="BP19" t="s">
        <v>8661</v>
      </c>
      <c r="BQ19" t="s">
        <v>8810</v>
      </c>
      <c r="BR19" t="s">
        <v>29432</v>
      </c>
      <c r="BS19" t="s">
        <v>3691</v>
      </c>
      <c r="BT19">
        <v>18209261</v>
      </c>
      <c r="BU19" t="s">
        <v>69</v>
      </c>
      <c r="BV19" t="s">
        <v>69</v>
      </c>
      <c r="BW19" t="s">
        <v>69</v>
      </c>
      <c r="BX19" t="s">
        <v>8526</v>
      </c>
      <c r="BY19" t="str">
        <f>HYPERLINK("https%3A%2F%2Fwww.webofscience.com%2Fwos%2Fwoscc%2Ffull-record%2FWOS:000208015100013","View Full Record in Web of Science")</f>
        <v>View Full Record in Web of Science</v>
      </c>
    </row>
    <row r="20" spans="1:77" ht="12.5" x14ac:dyDescent="0.25">
      <c r="A20" t="s">
        <v>8495</v>
      </c>
      <c r="B20" s="22" t="s">
        <v>32931</v>
      </c>
      <c r="C20" s="7"/>
      <c r="D20" s="7"/>
      <c r="E20" s="7"/>
      <c r="F20" t="s">
        <v>67</v>
      </c>
      <c r="G20" t="s">
        <v>26086</v>
      </c>
      <c r="H20" t="s">
        <v>69</v>
      </c>
      <c r="I20" t="s">
        <v>69</v>
      </c>
      <c r="J20" t="s">
        <v>69</v>
      </c>
      <c r="K20" t="s">
        <v>26087</v>
      </c>
      <c r="L20" t="s">
        <v>69</v>
      </c>
      <c r="M20" t="s">
        <v>69</v>
      </c>
      <c r="N20" t="s">
        <v>26088</v>
      </c>
      <c r="O20" t="s">
        <v>26089</v>
      </c>
      <c r="P20" t="s">
        <v>69</v>
      </c>
      <c r="Q20" t="s">
        <v>69</v>
      </c>
      <c r="R20" t="s">
        <v>8505</v>
      </c>
      <c r="S20" t="s">
        <v>8506</v>
      </c>
      <c r="T20" t="s">
        <v>69</v>
      </c>
      <c r="U20" t="s">
        <v>69</v>
      </c>
      <c r="V20" t="s">
        <v>69</v>
      </c>
      <c r="W20" t="s">
        <v>69</v>
      </c>
      <c r="X20" t="s">
        <v>69</v>
      </c>
      <c r="Y20" t="s">
        <v>26090</v>
      </c>
      <c r="Z20" t="s">
        <v>26091</v>
      </c>
      <c r="AA20" t="s">
        <v>26092</v>
      </c>
      <c r="AB20" t="s">
        <v>26093</v>
      </c>
      <c r="AC20" t="s">
        <v>69</v>
      </c>
      <c r="AD20" t="s">
        <v>26094</v>
      </c>
      <c r="AE20" t="s">
        <v>26095</v>
      </c>
      <c r="AF20" t="s">
        <v>26096</v>
      </c>
      <c r="AG20" t="s">
        <v>26097</v>
      </c>
      <c r="AH20" t="s">
        <v>69</v>
      </c>
      <c r="AI20" t="s">
        <v>69</v>
      </c>
      <c r="AJ20" t="s">
        <v>69</v>
      </c>
      <c r="AK20" t="s">
        <v>69</v>
      </c>
      <c r="AL20">
        <v>64</v>
      </c>
      <c r="AM20">
        <v>2</v>
      </c>
      <c r="AN20">
        <v>2</v>
      </c>
      <c r="AO20">
        <v>0</v>
      </c>
      <c r="AP20">
        <v>0</v>
      </c>
      <c r="AQ20" t="s">
        <v>8563</v>
      </c>
      <c r="AR20" t="s">
        <v>8564</v>
      </c>
      <c r="AS20" t="s">
        <v>8565</v>
      </c>
      <c r="AT20" t="s">
        <v>26098</v>
      </c>
      <c r="AU20" t="s">
        <v>26099</v>
      </c>
      <c r="AV20" t="s">
        <v>69</v>
      </c>
      <c r="AW20" t="s">
        <v>26100</v>
      </c>
      <c r="AX20" t="s">
        <v>26101</v>
      </c>
      <c r="AY20" t="s">
        <v>246</v>
      </c>
      <c r="AZ20">
        <v>2012</v>
      </c>
      <c r="BA20">
        <v>2</v>
      </c>
      <c r="BB20">
        <v>1</v>
      </c>
      <c r="BC20" t="s">
        <v>69</v>
      </c>
      <c r="BD20" t="s">
        <v>69</v>
      </c>
      <c r="BE20" t="s">
        <v>69</v>
      </c>
      <c r="BF20" t="s">
        <v>69</v>
      </c>
      <c r="BG20">
        <v>63</v>
      </c>
      <c r="BH20">
        <v>79</v>
      </c>
      <c r="BI20" t="s">
        <v>69</v>
      </c>
      <c r="BJ20" t="s">
        <v>26102</v>
      </c>
      <c r="BK20" t="str">
        <f>HYPERLINK("http://dx.doi.org/10.1007/s12553-012-0018-3","http://dx.doi.org/10.1007/s12553-012-0018-3")</f>
        <v>http://dx.doi.org/10.1007/s12553-012-0018-3</v>
      </c>
      <c r="BL20" t="s">
        <v>69</v>
      </c>
      <c r="BM20" t="s">
        <v>69</v>
      </c>
      <c r="BN20">
        <v>17</v>
      </c>
      <c r="BO20" t="s">
        <v>26103</v>
      </c>
      <c r="BP20" t="s">
        <v>8573</v>
      </c>
      <c r="BQ20" t="s">
        <v>26103</v>
      </c>
      <c r="BR20" t="s">
        <v>26104</v>
      </c>
      <c r="BS20" t="s">
        <v>26105</v>
      </c>
      <c r="BT20" t="s">
        <v>69</v>
      </c>
      <c r="BU20" t="s">
        <v>69</v>
      </c>
      <c r="BV20" t="s">
        <v>69</v>
      </c>
      <c r="BW20" t="s">
        <v>69</v>
      </c>
      <c r="BX20" t="s">
        <v>8526</v>
      </c>
      <c r="BY20" t="str">
        <f>HYPERLINK("https%3A%2F%2Fwww.webofscience.com%2Fwos%2Fwoscc%2Ffull-record%2FWOS:000218825700007","View Full Record in Web of Science")</f>
        <v>View Full Record in Web of Science</v>
      </c>
    </row>
    <row r="21" spans="1:77" ht="12.5" x14ac:dyDescent="0.25">
      <c r="A21" t="s">
        <v>8495</v>
      </c>
      <c r="B21" s="7" t="s">
        <v>32933</v>
      </c>
      <c r="C21" s="7"/>
      <c r="D21" s="7"/>
      <c r="E21" s="7"/>
      <c r="F21" t="s">
        <v>67</v>
      </c>
      <c r="G21" t="s">
        <v>6000</v>
      </c>
      <c r="H21" t="s">
        <v>69</v>
      </c>
      <c r="I21" t="s">
        <v>69</v>
      </c>
      <c r="J21" t="s">
        <v>69</v>
      </c>
      <c r="K21" t="s">
        <v>6000</v>
      </c>
      <c r="L21" t="s">
        <v>69</v>
      </c>
      <c r="M21" t="s">
        <v>69</v>
      </c>
      <c r="N21" t="s">
        <v>6001</v>
      </c>
      <c r="O21" t="s">
        <v>6002</v>
      </c>
      <c r="P21" t="s">
        <v>69</v>
      </c>
      <c r="Q21" t="s">
        <v>69</v>
      </c>
      <c r="R21" t="s">
        <v>8505</v>
      </c>
      <c r="S21" t="s">
        <v>8506</v>
      </c>
      <c r="T21" t="s">
        <v>69</v>
      </c>
      <c r="U21" t="s">
        <v>69</v>
      </c>
      <c r="V21" t="s">
        <v>69</v>
      </c>
      <c r="W21" t="s">
        <v>69</v>
      </c>
      <c r="X21" t="s">
        <v>69</v>
      </c>
      <c r="Y21" t="s">
        <v>69</v>
      </c>
      <c r="Z21" t="s">
        <v>69</v>
      </c>
      <c r="AA21" t="s">
        <v>6003</v>
      </c>
      <c r="AB21" t="s">
        <v>69</v>
      </c>
      <c r="AC21" t="s">
        <v>69</v>
      </c>
      <c r="AD21" t="s">
        <v>32265</v>
      </c>
      <c r="AE21" t="s">
        <v>69</v>
      </c>
      <c r="AF21" t="s">
        <v>69</v>
      </c>
      <c r="AG21" t="s">
        <v>69</v>
      </c>
      <c r="AH21" t="s">
        <v>69</v>
      </c>
      <c r="AI21" t="s">
        <v>69</v>
      </c>
      <c r="AJ21" t="s">
        <v>69</v>
      </c>
      <c r="AK21" t="s">
        <v>69</v>
      </c>
      <c r="AL21">
        <v>5</v>
      </c>
      <c r="AM21">
        <v>1</v>
      </c>
      <c r="AN21">
        <v>1</v>
      </c>
      <c r="AO21">
        <v>0</v>
      </c>
      <c r="AP21">
        <v>3</v>
      </c>
      <c r="AQ21" t="s">
        <v>32266</v>
      </c>
      <c r="AR21" t="s">
        <v>32267</v>
      </c>
      <c r="AS21" t="s">
        <v>32268</v>
      </c>
      <c r="AT21" t="s">
        <v>6004</v>
      </c>
      <c r="AU21" t="s">
        <v>69</v>
      </c>
      <c r="AV21" t="s">
        <v>69</v>
      </c>
      <c r="AW21" t="s">
        <v>32269</v>
      </c>
      <c r="AX21" t="s">
        <v>32270</v>
      </c>
      <c r="AY21" t="s">
        <v>586</v>
      </c>
      <c r="AZ21">
        <v>1997</v>
      </c>
      <c r="BA21">
        <v>12</v>
      </c>
      <c r="BB21">
        <v>2</v>
      </c>
      <c r="BC21" t="s">
        <v>69</v>
      </c>
      <c r="BD21" t="s">
        <v>69</v>
      </c>
      <c r="BE21" t="s">
        <v>69</v>
      </c>
      <c r="BF21" t="s">
        <v>69</v>
      </c>
      <c r="BG21">
        <v>98</v>
      </c>
      <c r="BH21">
        <v>102</v>
      </c>
      <c r="BI21" t="s">
        <v>69</v>
      </c>
      <c r="BJ21" t="s">
        <v>69</v>
      </c>
      <c r="BK21" t="s">
        <v>69</v>
      </c>
      <c r="BL21" t="s">
        <v>69</v>
      </c>
      <c r="BM21" t="s">
        <v>69</v>
      </c>
      <c r="BN21">
        <v>5</v>
      </c>
      <c r="BO21" t="s">
        <v>25853</v>
      </c>
      <c r="BP21" t="s">
        <v>8548</v>
      </c>
      <c r="BQ21" t="s">
        <v>25854</v>
      </c>
      <c r="BR21" t="s">
        <v>32271</v>
      </c>
      <c r="BS21" t="s">
        <v>6005</v>
      </c>
      <c r="BT21" t="s">
        <v>69</v>
      </c>
      <c r="BU21" t="s">
        <v>69</v>
      </c>
      <c r="BV21" t="s">
        <v>69</v>
      </c>
      <c r="BW21" t="s">
        <v>69</v>
      </c>
      <c r="BX21" t="s">
        <v>8526</v>
      </c>
      <c r="BY21" t="str">
        <f>HYPERLINK("https%3A%2F%2Fwww.webofscience.com%2Fwos%2Fwoscc%2Ffull-record%2FWOS:A1997XT26800004","View Full Record in Web of Science")</f>
        <v>View Full Record in Web of Science</v>
      </c>
    </row>
    <row r="22" spans="1:77" ht="12.5" x14ac:dyDescent="0.25">
      <c r="A22" t="s">
        <v>8495</v>
      </c>
      <c r="B22" s="7" t="s">
        <v>32933</v>
      </c>
      <c r="C22" s="7"/>
      <c r="D22" s="7"/>
      <c r="E22" s="7"/>
      <c r="F22" t="s">
        <v>67</v>
      </c>
      <c r="G22" t="s">
        <v>743</v>
      </c>
      <c r="H22" t="s">
        <v>69</v>
      </c>
      <c r="I22" t="s">
        <v>69</v>
      </c>
      <c r="J22" t="s">
        <v>69</v>
      </c>
      <c r="K22" t="s">
        <v>744</v>
      </c>
      <c r="L22" t="s">
        <v>69</v>
      </c>
      <c r="M22" t="s">
        <v>69</v>
      </c>
      <c r="N22" t="s">
        <v>745</v>
      </c>
      <c r="O22" t="s">
        <v>215</v>
      </c>
      <c r="P22" t="s">
        <v>69</v>
      </c>
      <c r="Q22" t="s">
        <v>69</v>
      </c>
      <c r="R22" t="s">
        <v>8505</v>
      </c>
      <c r="S22" t="s">
        <v>8442</v>
      </c>
      <c r="T22" t="s">
        <v>69</v>
      </c>
      <c r="U22" t="s">
        <v>69</v>
      </c>
      <c r="V22" t="s">
        <v>69</v>
      </c>
      <c r="W22" t="s">
        <v>69</v>
      </c>
      <c r="X22" t="s">
        <v>69</v>
      </c>
      <c r="Y22" t="s">
        <v>15232</v>
      </c>
      <c r="Z22" t="s">
        <v>15233</v>
      </c>
      <c r="AA22" t="s">
        <v>746</v>
      </c>
      <c r="AB22" t="s">
        <v>15234</v>
      </c>
      <c r="AC22" t="s">
        <v>69</v>
      </c>
      <c r="AD22" t="s">
        <v>15235</v>
      </c>
      <c r="AE22" t="s">
        <v>15236</v>
      </c>
      <c r="AF22" t="s">
        <v>69</v>
      </c>
      <c r="AG22" t="s">
        <v>69</v>
      </c>
      <c r="AH22" t="s">
        <v>15237</v>
      </c>
      <c r="AI22" t="s">
        <v>15238</v>
      </c>
      <c r="AJ22" t="s">
        <v>15239</v>
      </c>
      <c r="AK22" t="s">
        <v>69</v>
      </c>
      <c r="AL22">
        <v>186</v>
      </c>
      <c r="AM22">
        <v>6</v>
      </c>
      <c r="AN22">
        <v>6</v>
      </c>
      <c r="AO22">
        <v>6</v>
      </c>
      <c r="AP22">
        <v>17</v>
      </c>
      <c r="AQ22" t="s">
        <v>9145</v>
      </c>
      <c r="AR22" t="s">
        <v>8637</v>
      </c>
      <c r="AS22" t="s">
        <v>9146</v>
      </c>
      <c r="AT22" t="s">
        <v>218</v>
      </c>
      <c r="AU22" t="s">
        <v>69</v>
      </c>
      <c r="AV22" t="s">
        <v>69</v>
      </c>
      <c r="AW22" t="s">
        <v>15240</v>
      </c>
      <c r="AX22" t="s">
        <v>15241</v>
      </c>
      <c r="AY22" t="s">
        <v>586</v>
      </c>
      <c r="AZ22">
        <v>2020</v>
      </c>
      <c r="BA22">
        <v>138</v>
      </c>
      <c r="BB22" t="s">
        <v>69</v>
      </c>
      <c r="BC22" t="s">
        <v>69</v>
      </c>
      <c r="BD22" t="s">
        <v>69</v>
      </c>
      <c r="BE22" t="s">
        <v>69</v>
      </c>
      <c r="BF22" t="s">
        <v>69</v>
      </c>
      <c r="BG22" t="s">
        <v>69</v>
      </c>
      <c r="BH22" t="s">
        <v>69</v>
      </c>
      <c r="BI22">
        <v>100428</v>
      </c>
      <c r="BJ22" t="s">
        <v>747</v>
      </c>
      <c r="BK22" t="str">
        <f>HYPERLINK("http://dx.doi.org/10.1016/j.progress.2018.11.001","http://dx.doi.org/10.1016/j.progress.2018.11.001")</f>
        <v>http://dx.doi.org/10.1016/j.progress.2018.11.001</v>
      </c>
      <c r="BL22" t="s">
        <v>69</v>
      </c>
      <c r="BM22" t="s">
        <v>69</v>
      </c>
      <c r="BN22">
        <v>24</v>
      </c>
      <c r="BO22" t="s">
        <v>15242</v>
      </c>
      <c r="BP22" t="s">
        <v>8661</v>
      </c>
      <c r="BQ22" t="s">
        <v>15243</v>
      </c>
      <c r="BR22" t="s">
        <v>15244</v>
      </c>
      <c r="BS22" t="s">
        <v>748</v>
      </c>
      <c r="BT22" t="s">
        <v>69</v>
      </c>
      <c r="BU22" t="s">
        <v>10363</v>
      </c>
      <c r="BV22" t="s">
        <v>69</v>
      </c>
      <c r="BW22" t="s">
        <v>69</v>
      </c>
      <c r="BX22" t="s">
        <v>8526</v>
      </c>
      <c r="BY22" t="str">
        <f>HYPERLINK("https%3A%2F%2Fwww.webofscience.com%2Fwos%2Fwoscc%2Ffull-record%2FWOS:000536783500001","View Full Record in Web of Science")</f>
        <v>View Full Record in Web of Science</v>
      </c>
    </row>
    <row r="23" spans="1:77" ht="12.5" x14ac:dyDescent="0.25">
      <c r="A23" t="s">
        <v>8495</v>
      </c>
      <c r="B23" s="15" t="s">
        <v>32934</v>
      </c>
      <c r="C23" s="7" t="s">
        <v>33078</v>
      </c>
      <c r="D23" s="7"/>
      <c r="E23" s="7" t="s">
        <v>8490</v>
      </c>
      <c r="F23" t="s">
        <v>67</v>
      </c>
      <c r="G23" t="s">
        <v>24582</v>
      </c>
      <c r="H23" t="s">
        <v>69</v>
      </c>
      <c r="I23" t="s">
        <v>69</v>
      </c>
      <c r="J23" t="s">
        <v>69</v>
      </c>
      <c r="K23" t="s">
        <v>24583</v>
      </c>
      <c r="L23" t="s">
        <v>69</v>
      </c>
      <c r="M23" t="s">
        <v>69</v>
      </c>
      <c r="N23" t="s">
        <v>24584</v>
      </c>
      <c r="O23" t="s">
        <v>582</v>
      </c>
      <c r="P23" t="s">
        <v>69</v>
      </c>
      <c r="Q23" t="s">
        <v>69</v>
      </c>
      <c r="R23" t="s">
        <v>8505</v>
      </c>
      <c r="S23" t="s">
        <v>8506</v>
      </c>
      <c r="T23" t="s">
        <v>69</v>
      </c>
      <c r="U23" t="s">
        <v>69</v>
      </c>
      <c r="V23" t="s">
        <v>69</v>
      </c>
      <c r="W23" t="s">
        <v>69</v>
      </c>
      <c r="X23" t="s">
        <v>69</v>
      </c>
      <c r="Y23" t="s">
        <v>24585</v>
      </c>
      <c r="Z23" t="s">
        <v>24586</v>
      </c>
      <c r="AA23" t="s">
        <v>24587</v>
      </c>
      <c r="AB23" t="s">
        <v>24588</v>
      </c>
      <c r="AC23" t="s">
        <v>69</v>
      </c>
      <c r="AD23" t="s">
        <v>24589</v>
      </c>
      <c r="AE23" t="s">
        <v>24590</v>
      </c>
      <c r="AF23" t="s">
        <v>69</v>
      </c>
      <c r="AG23" t="s">
        <v>24591</v>
      </c>
      <c r="AH23" t="s">
        <v>69</v>
      </c>
      <c r="AI23" t="s">
        <v>69</v>
      </c>
      <c r="AJ23" t="s">
        <v>69</v>
      </c>
      <c r="AK23" t="s">
        <v>69</v>
      </c>
      <c r="AL23">
        <v>67</v>
      </c>
      <c r="AM23">
        <v>31</v>
      </c>
      <c r="AN23">
        <v>34</v>
      </c>
      <c r="AO23">
        <v>1</v>
      </c>
      <c r="AP23">
        <v>41</v>
      </c>
      <c r="AQ23" t="s">
        <v>8692</v>
      </c>
      <c r="AR23" t="s">
        <v>8693</v>
      </c>
      <c r="AS23" t="s">
        <v>18139</v>
      </c>
      <c r="AT23" t="s">
        <v>584</v>
      </c>
      <c r="AU23" t="s">
        <v>69</v>
      </c>
      <c r="AV23" t="s">
        <v>69</v>
      </c>
      <c r="AW23" t="s">
        <v>8695</v>
      </c>
      <c r="AX23" t="s">
        <v>8696</v>
      </c>
      <c r="AY23" t="s">
        <v>274</v>
      </c>
      <c r="AZ23">
        <v>2013</v>
      </c>
      <c r="BA23">
        <v>43</v>
      </c>
      <c r="BB23" t="s">
        <v>69</v>
      </c>
      <c r="BC23" t="s">
        <v>69</v>
      </c>
      <c r="BD23" t="s">
        <v>69</v>
      </c>
      <c r="BE23" t="s">
        <v>69</v>
      </c>
      <c r="BF23" t="s">
        <v>69</v>
      </c>
      <c r="BG23">
        <v>31</v>
      </c>
      <c r="BH23">
        <v>39</v>
      </c>
      <c r="BI23" t="s">
        <v>69</v>
      </c>
      <c r="BJ23" t="s">
        <v>24592</v>
      </c>
      <c r="BK23" t="str">
        <f>HYPERLINK("http://dx.doi.org/10.1016/j.eiar.2013.05.001","http://dx.doi.org/10.1016/j.eiar.2013.05.001")</f>
        <v>http://dx.doi.org/10.1016/j.eiar.2013.05.001</v>
      </c>
      <c r="BL23" t="s">
        <v>69</v>
      </c>
      <c r="BM23" t="s">
        <v>69</v>
      </c>
      <c r="BN23">
        <v>9</v>
      </c>
      <c r="BO23" t="s">
        <v>8660</v>
      </c>
      <c r="BP23" t="s">
        <v>8661</v>
      </c>
      <c r="BQ23" t="s">
        <v>8662</v>
      </c>
      <c r="BR23" t="s">
        <v>24593</v>
      </c>
      <c r="BS23" t="s">
        <v>24594</v>
      </c>
      <c r="BT23" t="s">
        <v>69</v>
      </c>
      <c r="BU23" t="s">
        <v>69</v>
      </c>
      <c r="BV23" t="s">
        <v>69</v>
      </c>
      <c r="BW23" t="s">
        <v>69</v>
      </c>
      <c r="BX23" t="s">
        <v>8526</v>
      </c>
      <c r="BY23" t="str">
        <f>HYPERLINK("https%3A%2F%2Fwww.webofscience.com%2Fwos%2Fwoscc%2Ffull-record%2FWOS:000324970500004","View Full Record in Web of Science")</f>
        <v>View Full Record in Web of Science</v>
      </c>
    </row>
    <row r="24" spans="1:77" ht="12.5" x14ac:dyDescent="0.25">
      <c r="A24" t="s">
        <v>8495</v>
      </c>
      <c r="B24" s="7" t="s">
        <v>32933</v>
      </c>
      <c r="C24" s="7"/>
      <c r="D24" s="7"/>
      <c r="E24" s="7"/>
      <c r="F24" t="s">
        <v>67</v>
      </c>
      <c r="G24" t="s">
        <v>2454</v>
      </c>
      <c r="H24" t="s">
        <v>69</v>
      </c>
      <c r="I24" t="s">
        <v>69</v>
      </c>
      <c r="J24" t="s">
        <v>69</v>
      </c>
      <c r="K24" t="s">
        <v>2455</v>
      </c>
      <c r="L24" t="s">
        <v>69</v>
      </c>
      <c r="M24" t="s">
        <v>69</v>
      </c>
      <c r="N24" t="s">
        <v>2456</v>
      </c>
      <c r="O24" t="s">
        <v>2457</v>
      </c>
      <c r="P24" t="s">
        <v>69</v>
      </c>
      <c r="Q24" t="s">
        <v>69</v>
      </c>
      <c r="R24" t="s">
        <v>8505</v>
      </c>
      <c r="S24" t="s">
        <v>8506</v>
      </c>
      <c r="T24" t="s">
        <v>69</v>
      </c>
      <c r="U24" t="s">
        <v>69</v>
      </c>
      <c r="V24" t="s">
        <v>69</v>
      </c>
      <c r="W24" t="s">
        <v>69</v>
      </c>
      <c r="X24" t="s">
        <v>69</v>
      </c>
      <c r="Y24" t="s">
        <v>19571</v>
      </c>
      <c r="Z24" t="s">
        <v>19572</v>
      </c>
      <c r="AA24" t="s">
        <v>2458</v>
      </c>
      <c r="AB24" t="s">
        <v>19573</v>
      </c>
      <c r="AC24" t="s">
        <v>69</v>
      </c>
      <c r="AD24" t="s">
        <v>19574</v>
      </c>
      <c r="AE24" t="s">
        <v>19361</v>
      </c>
      <c r="AF24" t="s">
        <v>69</v>
      </c>
      <c r="AG24" t="s">
        <v>19575</v>
      </c>
      <c r="AH24" t="s">
        <v>69</v>
      </c>
      <c r="AI24" t="s">
        <v>69</v>
      </c>
      <c r="AJ24" t="s">
        <v>69</v>
      </c>
      <c r="AK24" t="s">
        <v>69</v>
      </c>
      <c r="AL24">
        <v>76</v>
      </c>
      <c r="AM24">
        <v>95</v>
      </c>
      <c r="AN24">
        <v>97</v>
      </c>
      <c r="AO24">
        <v>4</v>
      </c>
      <c r="AP24">
        <v>93</v>
      </c>
      <c r="AQ24" t="s">
        <v>8611</v>
      </c>
      <c r="AR24" t="s">
        <v>8612</v>
      </c>
      <c r="AS24" t="s">
        <v>8613</v>
      </c>
      <c r="AT24" t="s">
        <v>2459</v>
      </c>
      <c r="AU24" t="s">
        <v>2460</v>
      </c>
      <c r="AV24" t="s">
        <v>69</v>
      </c>
      <c r="AW24" t="s">
        <v>19576</v>
      </c>
      <c r="AX24" t="s">
        <v>19577</v>
      </c>
      <c r="AY24" t="s">
        <v>69</v>
      </c>
      <c r="AZ24">
        <v>2018</v>
      </c>
      <c r="BA24">
        <v>56</v>
      </c>
      <c r="BB24" t="s">
        <v>336</v>
      </c>
      <c r="BC24" t="s">
        <v>69</v>
      </c>
      <c r="BD24" t="s">
        <v>69</v>
      </c>
      <c r="BE24" t="s">
        <v>114</v>
      </c>
      <c r="BF24" t="s">
        <v>69</v>
      </c>
      <c r="BG24">
        <v>312</v>
      </c>
      <c r="BH24">
        <v>332</v>
      </c>
      <c r="BI24" t="s">
        <v>69</v>
      </c>
      <c r="BJ24" t="s">
        <v>2461</v>
      </c>
      <c r="BK24" t="str">
        <f>HYPERLINK("http://dx.doi.org/10.1080/00207543.2017.1395522","http://dx.doi.org/10.1080/00207543.2017.1395522")</f>
        <v>http://dx.doi.org/10.1080/00207543.2017.1395522</v>
      </c>
      <c r="BL24" t="s">
        <v>69</v>
      </c>
      <c r="BM24" t="s">
        <v>69</v>
      </c>
      <c r="BN24">
        <v>21</v>
      </c>
      <c r="BO24" t="s">
        <v>19578</v>
      </c>
      <c r="BP24" t="s">
        <v>8523</v>
      </c>
      <c r="BQ24" t="s">
        <v>13011</v>
      </c>
      <c r="BR24" t="s">
        <v>19579</v>
      </c>
      <c r="BS24" t="s">
        <v>2462</v>
      </c>
      <c r="BT24" t="s">
        <v>69</v>
      </c>
      <c r="BU24" t="s">
        <v>69</v>
      </c>
      <c r="BV24" t="s">
        <v>69</v>
      </c>
      <c r="BW24" t="s">
        <v>69</v>
      </c>
      <c r="BX24" t="s">
        <v>8526</v>
      </c>
      <c r="BY24" t="str">
        <f>HYPERLINK("https%3A%2F%2Fwww.webofscience.com%2Fwos%2Fwoscc%2Ffull-record%2FWOS:000428859200019","View Full Record in Web of Science")</f>
        <v>View Full Record in Web of Science</v>
      </c>
    </row>
    <row r="25" spans="1:77" ht="12.5" x14ac:dyDescent="0.25">
      <c r="A25" t="s">
        <v>8495</v>
      </c>
      <c r="B25" s="7" t="s">
        <v>32933</v>
      </c>
      <c r="C25" s="7"/>
      <c r="D25" s="7"/>
      <c r="E25" s="7"/>
      <c r="F25" t="s">
        <v>67</v>
      </c>
      <c r="G25" t="s">
        <v>1875</v>
      </c>
      <c r="H25" t="s">
        <v>69</v>
      </c>
      <c r="I25" t="s">
        <v>69</v>
      </c>
      <c r="J25" t="s">
        <v>69</v>
      </c>
      <c r="K25" t="s">
        <v>1876</v>
      </c>
      <c r="L25" t="s">
        <v>69</v>
      </c>
      <c r="M25" t="s">
        <v>69</v>
      </c>
      <c r="N25" t="s">
        <v>1877</v>
      </c>
      <c r="O25" t="s">
        <v>1878</v>
      </c>
      <c r="P25" t="s">
        <v>69</v>
      </c>
      <c r="Q25" t="s">
        <v>69</v>
      </c>
      <c r="R25" t="s">
        <v>8505</v>
      </c>
      <c r="S25" t="s">
        <v>8506</v>
      </c>
      <c r="T25" t="s">
        <v>69</v>
      </c>
      <c r="U25" t="s">
        <v>69</v>
      </c>
      <c r="V25" t="s">
        <v>69</v>
      </c>
      <c r="W25" t="s">
        <v>69</v>
      </c>
      <c r="X25" t="s">
        <v>69</v>
      </c>
      <c r="Y25" t="s">
        <v>14246</v>
      </c>
      <c r="Z25" t="s">
        <v>14247</v>
      </c>
      <c r="AA25" t="s">
        <v>1879</v>
      </c>
      <c r="AB25" t="s">
        <v>14248</v>
      </c>
      <c r="AC25" t="s">
        <v>69</v>
      </c>
      <c r="AD25" t="s">
        <v>14249</v>
      </c>
      <c r="AE25" t="s">
        <v>14250</v>
      </c>
      <c r="AF25" t="s">
        <v>69</v>
      </c>
      <c r="AG25" t="s">
        <v>1880</v>
      </c>
      <c r="AH25" t="s">
        <v>14251</v>
      </c>
      <c r="AI25" t="s">
        <v>14251</v>
      </c>
      <c r="AJ25" t="s">
        <v>14252</v>
      </c>
      <c r="AK25" t="s">
        <v>69</v>
      </c>
      <c r="AL25">
        <v>76</v>
      </c>
      <c r="AM25">
        <v>4</v>
      </c>
      <c r="AN25">
        <v>4</v>
      </c>
      <c r="AO25">
        <v>0</v>
      </c>
      <c r="AP25">
        <v>1</v>
      </c>
      <c r="AQ25" t="s">
        <v>8563</v>
      </c>
      <c r="AR25" t="s">
        <v>8564</v>
      </c>
      <c r="AS25" t="s">
        <v>8565</v>
      </c>
      <c r="AT25" t="s">
        <v>1881</v>
      </c>
      <c r="AU25" t="s">
        <v>1882</v>
      </c>
      <c r="AV25" t="s">
        <v>69</v>
      </c>
      <c r="AW25" t="s">
        <v>14253</v>
      </c>
      <c r="AX25" t="s">
        <v>14254</v>
      </c>
      <c r="AY25" t="s">
        <v>381</v>
      </c>
      <c r="AZ25">
        <v>2021</v>
      </c>
      <c r="BA25">
        <v>34</v>
      </c>
      <c r="BB25">
        <v>3</v>
      </c>
      <c r="BC25" t="s">
        <v>69</v>
      </c>
      <c r="BD25" t="s">
        <v>69</v>
      </c>
      <c r="BE25" t="s">
        <v>69</v>
      </c>
      <c r="BF25" t="s">
        <v>69</v>
      </c>
      <c r="BG25">
        <v>345</v>
      </c>
      <c r="BH25">
        <v>370</v>
      </c>
      <c r="BI25" t="s">
        <v>69</v>
      </c>
      <c r="BJ25" t="s">
        <v>1883</v>
      </c>
      <c r="BK25" t="str">
        <f>HYPERLINK("http://dx.doi.org/10.1007/s13563-020-00240-5","http://dx.doi.org/10.1007/s13563-020-00240-5")</f>
        <v>http://dx.doi.org/10.1007/s13563-020-00240-5</v>
      </c>
      <c r="BL25" t="s">
        <v>69</v>
      </c>
      <c r="BM25" t="s">
        <v>683</v>
      </c>
      <c r="BN25">
        <v>26</v>
      </c>
      <c r="BO25" t="s">
        <v>9726</v>
      </c>
      <c r="BP25" t="s">
        <v>8573</v>
      </c>
      <c r="BQ25" t="s">
        <v>8594</v>
      </c>
      <c r="BR25" t="s">
        <v>14255</v>
      </c>
      <c r="BS25" t="s">
        <v>1884</v>
      </c>
      <c r="BT25" t="s">
        <v>69</v>
      </c>
      <c r="BU25" t="s">
        <v>69</v>
      </c>
      <c r="BV25" t="s">
        <v>69</v>
      </c>
      <c r="BW25" t="s">
        <v>69</v>
      </c>
      <c r="BX25" t="s">
        <v>8526</v>
      </c>
      <c r="BY25" t="str">
        <f>HYPERLINK("https%3A%2F%2Fwww.webofscience.com%2Fwos%2Fwoscc%2Ffull-record%2FWOS:000573438900001","View Full Record in Web of Science")</f>
        <v>View Full Record in Web of Science</v>
      </c>
    </row>
    <row r="26" spans="1:77" ht="12.5" x14ac:dyDescent="0.25">
      <c r="A26" t="s">
        <v>8495</v>
      </c>
      <c r="B26" s="7" t="s">
        <v>32933</v>
      </c>
      <c r="C26" s="7"/>
      <c r="D26" s="7"/>
      <c r="E26" s="7"/>
      <c r="F26" t="s">
        <v>67</v>
      </c>
      <c r="G26" t="s">
        <v>5666</v>
      </c>
      <c r="H26" t="s">
        <v>69</v>
      </c>
      <c r="I26" t="s">
        <v>69</v>
      </c>
      <c r="J26" t="s">
        <v>69</v>
      </c>
      <c r="K26" t="s">
        <v>5667</v>
      </c>
      <c r="L26" t="s">
        <v>69</v>
      </c>
      <c r="M26" t="s">
        <v>69</v>
      </c>
      <c r="N26" t="s">
        <v>5668</v>
      </c>
      <c r="O26" t="s">
        <v>5669</v>
      </c>
      <c r="P26" t="s">
        <v>69</v>
      </c>
      <c r="Q26" t="s">
        <v>69</v>
      </c>
      <c r="R26" t="s">
        <v>8505</v>
      </c>
      <c r="S26" t="s">
        <v>8506</v>
      </c>
      <c r="T26" t="s">
        <v>69</v>
      </c>
      <c r="U26" t="s">
        <v>69</v>
      </c>
      <c r="V26" t="s">
        <v>69</v>
      </c>
      <c r="W26" t="s">
        <v>69</v>
      </c>
      <c r="X26" t="s">
        <v>69</v>
      </c>
      <c r="Y26" t="s">
        <v>17873</v>
      </c>
      <c r="Z26" t="s">
        <v>69</v>
      </c>
      <c r="AA26" t="s">
        <v>5670</v>
      </c>
      <c r="AB26" t="s">
        <v>17874</v>
      </c>
      <c r="AC26" t="s">
        <v>69</v>
      </c>
      <c r="AD26" t="s">
        <v>17875</v>
      </c>
      <c r="AE26" t="s">
        <v>69</v>
      </c>
      <c r="AF26" t="s">
        <v>69</v>
      </c>
      <c r="AG26" t="s">
        <v>69</v>
      </c>
      <c r="AH26" t="s">
        <v>69</v>
      </c>
      <c r="AI26" t="s">
        <v>69</v>
      </c>
      <c r="AJ26" t="s">
        <v>69</v>
      </c>
      <c r="AK26" t="s">
        <v>69</v>
      </c>
      <c r="AL26">
        <v>44</v>
      </c>
      <c r="AM26">
        <v>0</v>
      </c>
      <c r="AN26">
        <v>0</v>
      </c>
      <c r="AO26">
        <v>1</v>
      </c>
      <c r="AP26">
        <v>5</v>
      </c>
      <c r="AQ26" t="s">
        <v>17876</v>
      </c>
      <c r="AR26" t="s">
        <v>16204</v>
      </c>
      <c r="AS26" t="s">
        <v>17877</v>
      </c>
      <c r="AT26" t="s">
        <v>5671</v>
      </c>
      <c r="AU26" t="s">
        <v>5672</v>
      </c>
      <c r="AV26" t="s">
        <v>69</v>
      </c>
      <c r="AW26" t="s">
        <v>17878</v>
      </c>
      <c r="AX26" t="s">
        <v>17879</v>
      </c>
      <c r="AY26" t="s">
        <v>2512</v>
      </c>
      <c r="AZ26">
        <v>2019</v>
      </c>
      <c r="BA26">
        <v>14</v>
      </c>
      <c r="BB26">
        <v>1</v>
      </c>
      <c r="BC26" t="s">
        <v>69</v>
      </c>
      <c r="BD26" t="s">
        <v>69</v>
      </c>
      <c r="BE26" t="s">
        <v>69</v>
      </c>
      <c r="BF26" t="s">
        <v>69</v>
      </c>
      <c r="BG26">
        <v>29</v>
      </c>
      <c r="BH26">
        <v>50</v>
      </c>
      <c r="BI26" t="s">
        <v>69</v>
      </c>
      <c r="BJ26" t="s">
        <v>5673</v>
      </c>
      <c r="BK26" t="str">
        <f>HYPERLINK("http://dx.doi.org/10.11156/aibr.140103","http://dx.doi.org/10.11156/aibr.140103")</f>
        <v>http://dx.doi.org/10.11156/aibr.140103</v>
      </c>
      <c r="BL26" t="s">
        <v>69</v>
      </c>
      <c r="BM26" t="s">
        <v>69</v>
      </c>
      <c r="BN26">
        <v>22</v>
      </c>
      <c r="BO26" t="s">
        <v>8463</v>
      </c>
      <c r="BP26" t="s">
        <v>8661</v>
      </c>
      <c r="BQ26" t="s">
        <v>8463</v>
      </c>
      <c r="BR26" t="s">
        <v>17880</v>
      </c>
      <c r="BS26" t="s">
        <v>5674</v>
      </c>
      <c r="BT26" t="s">
        <v>69</v>
      </c>
      <c r="BU26" t="s">
        <v>8931</v>
      </c>
      <c r="BV26" t="s">
        <v>69</v>
      </c>
      <c r="BW26" t="s">
        <v>69</v>
      </c>
      <c r="BX26" t="s">
        <v>8526</v>
      </c>
      <c r="BY26" t="str">
        <f>HYPERLINK("https%3A%2F%2Fwww.webofscience.com%2Fwos%2Fwoscc%2Ffull-record%2FWOS:000458203700003","View Full Record in Web of Science")</f>
        <v>View Full Record in Web of Science</v>
      </c>
    </row>
    <row r="27" spans="1:77" ht="12.5" x14ac:dyDescent="0.25">
      <c r="A27" t="s">
        <v>8495</v>
      </c>
      <c r="B27" s="22" t="s">
        <v>32931</v>
      </c>
      <c r="C27" s="7"/>
      <c r="D27" s="7"/>
      <c r="E27" s="7"/>
      <c r="F27" t="s">
        <v>67</v>
      </c>
      <c r="G27" t="s">
        <v>8933</v>
      </c>
      <c r="H27" t="s">
        <v>69</v>
      </c>
      <c r="I27" t="s">
        <v>69</v>
      </c>
      <c r="J27" t="s">
        <v>69</v>
      </c>
      <c r="K27" t="s">
        <v>8934</v>
      </c>
      <c r="L27" t="s">
        <v>69</v>
      </c>
      <c r="M27" t="s">
        <v>69</v>
      </c>
      <c r="N27" t="s">
        <v>8935</v>
      </c>
      <c r="O27" t="s">
        <v>8256</v>
      </c>
      <c r="P27" t="s">
        <v>69</v>
      </c>
      <c r="Q27" t="s">
        <v>69</v>
      </c>
      <c r="R27" t="s">
        <v>8505</v>
      </c>
      <c r="S27" t="s">
        <v>8506</v>
      </c>
      <c r="T27" t="s">
        <v>69</v>
      </c>
      <c r="U27" t="s">
        <v>69</v>
      </c>
      <c r="V27" t="s">
        <v>69</v>
      </c>
      <c r="W27" t="s">
        <v>69</v>
      </c>
      <c r="X27" t="s">
        <v>69</v>
      </c>
      <c r="Y27" t="s">
        <v>8936</v>
      </c>
      <c r="Z27" t="s">
        <v>8937</v>
      </c>
      <c r="AA27" t="s">
        <v>8938</v>
      </c>
      <c r="AB27" t="s">
        <v>8939</v>
      </c>
      <c r="AC27" t="s">
        <v>69</v>
      </c>
      <c r="AD27" t="s">
        <v>8940</v>
      </c>
      <c r="AE27" t="s">
        <v>8941</v>
      </c>
      <c r="AF27" t="s">
        <v>69</v>
      </c>
      <c r="AG27" t="s">
        <v>8942</v>
      </c>
      <c r="AH27" t="s">
        <v>8943</v>
      </c>
      <c r="AI27" t="s">
        <v>8944</v>
      </c>
      <c r="AJ27" t="s">
        <v>8945</v>
      </c>
      <c r="AK27" t="s">
        <v>69</v>
      </c>
      <c r="AL27">
        <v>149</v>
      </c>
      <c r="AM27">
        <v>0</v>
      </c>
      <c r="AN27">
        <v>0</v>
      </c>
      <c r="AO27">
        <v>2</v>
      </c>
      <c r="AP27">
        <v>2</v>
      </c>
      <c r="AQ27" t="s">
        <v>8924</v>
      </c>
      <c r="AR27" t="s">
        <v>8925</v>
      </c>
      <c r="AS27" t="s">
        <v>8926</v>
      </c>
      <c r="AT27" t="s">
        <v>69</v>
      </c>
      <c r="AU27" t="s">
        <v>8258</v>
      </c>
      <c r="AV27" t="s">
        <v>69</v>
      </c>
      <c r="AW27" t="s">
        <v>8927</v>
      </c>
      <c r="AX27" t="s">
        <v>8928</v>
      </c>
      <c r="AY27" t="s">
        <v>155</v>
      </c>
      <c r="AZ27">
        <v>2022</v>
      </c>
      <c r="BA27">
        <v>11</v>
      </c>
      <c r="BB27">
        <v>6</v>
      </c>
      <c r="BC27" t="s">
        <v>69</v>
      </c>
      <c r="BD27" t="s">
        <v>69</v>
      </c>
      <c r="BE27" t="s">
        <v>69</v>
      </c>
      <c r="BF27" t="s">
        <v>69</v>
      </c>
      <c r="BG27" t="s">
        <v>69</v>
      </c>
      <c r="BH27" t="s">
        <v>69</v>
      </c>
      <c r="BI27">
        <v>942</v>
      </c>
      <c r="BJ27" t="s">
        <v>8946</v>
      </c>
      <c r="BK27" t="str">
        <f>HYPERLINK("http://dx.doi.org/10.3390/land11060942","http://dx.doi.org/10.3390/land11060942")</f>
        <v>http://dx.doi.org/10.3390/land11060942</v>
      </c>
      <c r="BL27" t="s">
        <v>69</v>
      </c>
      <c r="BM27" t="s">
        <v>69</v>
      </c>
      <c r="BN27">
        <v>31</v>
      </c>
      <c r="BO27" t="s">
        <v>8660</v>
      </c>
      <c r="BP27" t="s">
        <v>8661</v>
      </c>
      <c r="BQ27" t="s">
        <v>8662</v>
      </c>
      <c r="BR27" t="s">
        <v>8947</v>
      </c>
      <c r="BS27" t="s">
        <v>8948</v>
      </c>
      <c r="BT27" t="s">
        <v>69</v>
      </c>
      <c r="BU27" t="s">
        <v>8931</v>
      </c>
      <c r="BV27" t="s">
        <v>69</v>
      </c>
      <c r="BW27" t="s">
        <v>69</v>
      </c>
      <c r="BX27" t="s">
        <v>8526</v>
      </c>
      <c r="BY27" t="str">
        <f>HYPERLINK("https%3A%2F%2Fwww.webofscience.com%2Fwos%2Fwoscc%2Ffull-record%2FWOS:000816635000001","View Full Record in Web of Science")</f>
        <v>View Full Record in Web of Science</v>
      </c>
    </row>
    <row r="28" spans="1:77" ht="12.5" x14ac:dyDescent="0.25">
      <c r="A28" t="s">
        <v>8495</v>
      </c>
      <c r="B28" s="15" t="s">
        <v>32935</v>
      </c>
      <c r="C28" s="7" t="s">
        <v>33079</v>
      </c>
      <c r="D28" s="7"/>
      <c r="E28" s="7" t="s">
        <v>8490</v>
      </c>
      <c r="F28" t="s">
        <v>67</v>
      </c>
      <c r="G28" t="s">
        <v>31260</v>
      </c>
      <c r="H28" t="s">
        <v>69</v>
      </c>
      <c r="I28" t="s">
        <v>69</v>
      </c>
      <c r="J28" t="s">
        <v>69</v>
      </c>
      <c r="K28" t="s">
        <v>31260</v>
      </c>
      <c r="L28" t="s">
        <v>69</v>
      </c>
      <c r="M28" t="s">
        <v>69</v>
      </c>
      <c r="N28" t="s">
        <v>31261</v>
      </c>
      <c r="O28" t="s">
        <v>4679</v>
      </c>
      <c r="P28" t="s">
        <v>69</v>
      </c>
      <c r="Q28" t="s">
        <v>69</v>
      </c>
      <c r="R28" t="s">
        <v>8505</v>
      </c>
      <c r="S28" t="s">
        <v>8506</v>
      </c>
      <c r="T28" t="s">
        <v>69</v>
      </c>
      <c r="U28" t="s">
        <v>69</v>
      </c>
      <c r="V28" t="s">
        <v>69</v>
      </c>
      <c r="W28" t="s">
        <v>69</v>
      </c>
      <c r="X28" t="s">
        <v>69</v>
      </c>
      <c r="Y28" t="s">
        <v>31262</v>
      </c>
      <c r="Z28" t="s">
        <v>69</v>
      </c>
      <c r="AA28" t="s">
        <v>31263</v>
      </c>
      <c r="AB28" t="s">
        <v>31264</v>
      </c>
      <c r="AC28" t="s">
        <v>69</v>
      </c>
      <c r="AD28" t="s">
        <v>69</v>
      </c>
      <c r="AE28" t="s">
        <v>69</v>
      </c>
      <c r="AF28" t="s">
        <v>5705</v>
      </c>
      <c r="AG28" t="s">
        <v>5706</v>
      </c>
      <c r="AH28" t="s">
        <v>69</v>
      </c>
      <c r="AI28" t="s">
        <v>69</v>
      </c>
      <c r="AJ28" t="s">
        <v>69</v>
      </c>
      <c r="AK28" t="s">
        <v>69</v>
      </c>
      <c r="AL28">
        <v>35</v>
      </c>
      <c r="AM28">
        <v>8</v>
      </c>
      <c r="AN28">
        <v>8</v>
      </c>
      <c r="AO28">
        <v>0</v>
      </c>
      <c r="AP28">
        <v>6</v>
      </c>
      <c r="AQ28" t="s">
        <v>31265</v>
      </c>
      <c r="AR28" t="s">
        <v>31266</v>
      </c>
      <c r="AS28" t="s">
        <v>31267</v>
      </c>
      <c r="AT28" t="s">
        <v>4681</v>
      </c>
      <c r="AU28" t="s">
        <v>69</v>
      </c>
      <c r="AV28" t="s">
        <v>69</v>
      </c>
      <c r="AW28" t="s">
        <v>31268</v>
      </c>
      <c r="AX28" t="s">
        <v>31269</v>
      </c>
      <c r="AY28" t="s">
        <v>94</v>
      </c>
      <c r="AZ28">
        <v>2003</v>
      </c>
      <c r="BA28">
        <v>28</v>
      </c>
      <c r="BB28">
        <v>1</v>
      </c>
      <c r="BC28" t="s">
        <v>69</v>
      </c>
      <c r="BD28" t="s">
        <v>69</v>
      </c>
      <c r="BE28" t="s">
        <v>69</v>
      </c>
      <c r="BF28" t="s">
        <v>69</v>
      </c>
      <c r="BG28">
        <v>90</v>
      </c>
      <c r="BH28">
        <v>102</v>
      </c>
      <c r="BI28" t="s">
        <v>69</v>
      </c>
      <c r="BJ28" t="s">
        <v>31270</v>
      </c>
      <c r="BK28" t="str">
        <f>HYPERLINK("http://dx.doi.org/10.1080/02508060308691668","http://dx.doi.org/10.1080/02508060308691668")</f>
        <v>http://dx.doi.org/10.1080/02508060308691668</v>
      </c>
      <c r="BL28" t="s">
        <v>69</v>
      </c>
      <c r="BM28" t="s">
        <v>69</v>
      </c>
      <c r="BN28">
        <v>13</v>
      </c>
      <c r="BO28" t="s">
        <v>9229</v>
      </c>
      <c r="BP28" t="s">
        <v>8548</v>
      </c>
      <c r="BQ28" t="s">
        <v>9230</v>
      </c>
      <c r="BR28" t="s">
        <v>31271</v>
      </c>
      <c r="BS28" t="s">
        <v>31272</v>
      </c>
      <c r="BT28" t="s">
        <v>69</v>
      </c>
      <c r="BU28" t="s">
        <v>69</v>
      </c>
      <c r="BV28" t="s">
        <v>69</v>
      </c>
      <c r="BW28" t="s">
        <v>69</v>
      </c>
      <c r="BX28" t="s">
        <v>8526</v>
      </c>
      <c r="BY28" t="str">
        <f>HYPERLINK("https%3A%2F%2Fwww.webofscience.com%2Fwos%2Fwoscc%2Ffull-record%2FWOS:000182421800011","View Full Record in Web of Science")</f>
        <v>View Full Record in Web of Science</v>
      </c>
    </row>
    <row r="29" spans="1:77" ht="12.5" x14ac:dyDescent="0.25">
      <c r="A29" t="s">
        <v>8495</v>
      </c>
      <c r="B29" s="22" t="s">
        <v>32931</v>
      </c>
      <c r="C29" s="7"/>
      <c r="D29" s="7"/>
      <c r="E29" s="7"/>
      <c r="F29" t="s">
        <v>67</v>
      </c>
      <c r="G29" t="s">
        <v>17808</v>
      </c>
      <c r="H29" t="s">
        <v>69</v>
      </c>
      <c r="I29" t="s">
        <v>69</v>
      </c>
      <c r="J29" t="s">
        <v>69</v>
      </c>
      <c r="K29" t="s">
        <v>17809</v>
      </c>
      <c r="L29" t="s">
        <v>69</v>
      </c>
      <c r="M29" t="s">
        <v>69</v>
      </c>
      <c r="N29" t="s">
        <v>17810</v>
      </c>
      <c r="O29" t="s">
        <v>10306</v>
      </c>
      <c r="P29" t="s">
        <v>69</v>
      </c>
      <c r="Q29" t="s">
        <v>69</v>
      </c>
      <c r="R29" t="s">
        <v>8505</v>
      </c>
      <c r="S29" t="s">
        <v>8506</v>
      </c>
      <c r="T29" t="s">
        <v>69</v>
      </c>
      <c r="U29" t="s">
        <v>69</v>
      </c>
      <c r="V29" t="s">
        <v>69</v>
      </c>
      <c r="W29" t="s">
        <v>69</v>
      </c>
      <c r="X29" t="s">
        <v>69</v>
      </c>
      <c r="Y29" t="s">
        <v>17811</v>
      </c>
      <c r="Z29" t="s">
        <v>17812</v>
      </c>
      <c r="AA29" t="s">
        <v>17813</v>
      </c>
      <c r="AB29" t="s">
        <v>17814</v>
      </c>
      <c r="AC29" t="s">
        <v>69</v>
      </c>
      <c r="AD29" t="s">
        <v>17815</v>
      </c>
      <c r="AE29" t="s">
        <v>17816</v>
      </c>
      <c r="AF29" t="s">
        <v>17817</v>
      </c>
      <c r="AG29" t="s">
        <v>17818</v>
      </c>
      <c r="AH29" t="s">
        <v>17819</v>
      </c>
      <c r="AI29" t="s">
        <v>17820</v>
      </c>
      <c r="AJ29" t="s">
        <v>17821</v>
      </c>
      <c r="AK29" t="s">
        <v>69</v>
      </c>
      <c r="AL29">
        <v>32</v>
      </c>
      <c r="AM29">
        <v>6</v>
      </c>
      <c r="AN29">
        <v>6</v>
      </c>
      <c r="AO29">
        <v>20</v>
      </c>
      <c r="AP29">
        <v>77</v>
      </c>
      <c r="AQ29" t="s">
        <v>10315</v>
      </c>
      <c r="AR29" t="s">
        <v>10316</v>
      </c>
      <c r="AS29" t="s">
        <v>10317</v>
      </c>
      <c r="AT29" t="s">
        <v>10318</v>
      </c>
      <c r="AU29" t="s">
        <v>69</v>
      </c>
      <c r="AV29" t="s">
        <v>69</v>
      </c>
      <c r="AW29" t="s">
        <v>10306</v>
      </c>
      <c r="AX29" t="s">
        <v>10319</v>
      </c>
      <c r="AY29" t="s">
        <v>69</v>
      </c>
      <c r="AZ29">
        <v>2019</v>
      </c>
      <c r="BA29">
        <v>7</v>
      </c>
      <c r="BB29" t="s">
        <v>69</v>
      </c>
      <c r="BC29" t="s">
        <v>69</v>
      </c>
      <c r="BD29" t="s">
        <v>69</v>
      </c>
      <c r="BE29" t="s">
        <v>69</v>
      </c>
      <c r="BF29" t="s">
        <v>69</v>
      </c>
      <c r="BG29">
        <v>50330</v>
      </c>
      <c r="BH29">
        <v>50338</v>
      </c>
      <c r="BI29" t="s">
        <v>69</v>
      </c>
      <c r="BJ29" t="s">
        <v>17822</v>
      </c>
      <c r="BK29" t="str">
        <f>HYPERLINK("http://dx.doi.org/10.1109/ACCESS.2019.2910838","http://dx.doi.org/10.1109/ACCESS.2019.2910838")</f>
        <v>http://dx.doi.org/10.1109/ACCESS.2019.2910838</v>
      </c>
      <c r="BL29" t="s">
        <v>69</v>
      </c>
      <c r="BM29" t="s">
        <v>69</v>
      </c>
      <c r="BN29">
        <v>9</v>
      </c>
      <c r="BO29" t="s">
        <v>10321</v>
      </c>
      <c r="BP29" t="s">
        <v>8523</v>
      </c>
      <c r="BQ29" t="s">
        <v>10322</v>
      </c>
      <c r="BR29" t="s">
        <v>17823</v>
      </c>
      <c r="BS29" t="s">
        <v>17824</v>
      </c>
      <c r="BT29" t="s">
        <v>69</v>
      </c>
      <c r="BU29" t="s">
        <v>8931</v>
      </c>
      <c r="BV29" t="s">
        <v>69</v>
      </c>
      <c r="BW29" t="s">
        <v>69</v>
      </c>
      <c r="BX29" t="s">
        <v>8526</v>
      </c>
      <c r="BY29" t="str">
        <f>HYPERLINK("https%3A%2F%2Fwww.webofscience.com%2Fwos%2Fwoscc%2Ffull-record%2FWOS:000466771300001","View Full Record in Web of Science")</f>
        <v>View Full Record in Web of Science</v>
      </c>
    </row>
    <row r="30" spans="1:77" ht="12.5" x14ac:dyDescent="0.25">
      <c r="A30" t="s">
        <v>8495</v>
      </c>
      <c r="B30" s="7" t="s">
        <v>32933</v>
      </c>
      <c r="C30" s="7"/>
      <c r="D30" s="7"/>
      <c r="E30" s="7"/>
      <c r="F30" t="s">
        <v>67</v>
      </c>
      <c r="G30" t="s">
        <v>4605</v>
      </c>
      <c r="H30" t="s">
        <v>69</v>
      </c>
      <c r="I30" t="s">
        <v>69</v>
      </c>
      <c r="J30" t="s">
        <v>69</v>
      </c>
      <c r="K30" t="s">
        <v>4605</v>
      </c>
      <c r="L30" t="s">
        <v>69</v>
      </c>
      <c r="M30" t="s">
        <v>69</v>
      </c>
      <c r="N30" t="s">
        <v>4606</v>
      </c>
      <c r="O30" t="s">
        <v>4607</v>
      </c>
      <c r="P30" t="s">
        <v>69</v>
      </c>
      <c r="Q30" t="s">
        <v>69</v>
      </c>
      <c r="R30" t="s">
        <v>8505</v>
      </c>
      <c r="S30" t="s">
        <v>8506</v>
      </c>
      <c r="T30" t="s">
        <v>69</v>
      </c>
      <c r="U30" t="s">
        <v>69</v>
      </c>
      <c r="V30" t="s">
        <v>69</v>
      </c>
      <c r="W30" t="s">
        <v>69</v>
      </c>
      <c r="X30" t="s">
        <v>69</v>
      </c>
      <c r="Y30" t="s">
        <v>30589</v>
      </c>
      <c r="Z30" t="s">
        <v>69</v>
      </c>
      <c r="AA30" t="s">
        <v>4608</v>
      </c>
      <c r="AB30" t="s">
        <v>30590</v>
      </c>
      <c r="AC30" t="s">
        <v>69</v>
      </c>
      <c r="AD30" t="s">
        <v>69</v>
      </c>
      <c r="AE30" t="s">
        <v>69</v>
      </c>
      <c r="AF30" t="s">
        <v>69</v>
      </c>
      <c r="AG30" t="s">
        <v>69</v>
      </c>
      <c r="AH30" t="s">
        <v>69</v>
      </c>
      <c r="AI30" t="s">
        <v>69</v>
      </c>
      <c r="AJ30" t="s">
        <v>69</v>
      </c>
      <c r="AK30" t="s">
        <v>69</v>
      </c>
      <c r="AL30">
        <v>11</v>
      </c>
      <c r="AM30">
        <v>5</v>
      </c>
      <c r="AN30">
        <v>5</v>
      </c>
      <c r="AO30">
        <v>0</v>
      </c>
      <c r="AP30">
        <v>7</v>
      </c>
      <c r="AQ30" t="s">
        <v>8846</v>
      </c>
      <c r="AR30" t="s">
        <v>8847</v>
      </c>
      <c r="AS30" t="s">
        <v>8848</v>
      </c>
      <c r="AT30" t="s">
        <v>4609</v>
      </c>
      <c r="AU30" t="s">
        <v>4610</v>
      </c>
      <c r="AV30" t="s">
        <v>69</v>
      </c>
      <c r="AW30" t="s">
        <v>30591</v>
      </c>
      <c r="AX30" t="s">
        <v>30592</v>
      </c>
      <c r="AY30" t="s">
        <v>75</v>
      </c>
      <c r="AZ30">
        <v>2005</v>
      </c>
      <c r="BA30">
        <v>19</v>
      </c>
      <c r="BB30">
        <v>4</v>
      </c>
      <c r="BC30" t="s">
        <v>69</v>
      </c>
      <c r="BD30" t="s">
        <v>69</v>
      </c>
      <c r="BE30" t="s">
        <v>69</v>
      </c>
      <c r="BF30" t="s">
        <v>69</v>
      </c>
      <c r="BG30">
        <v>352</v>
      </c>
      <c r="BH30">
        <v>360</v>
      </c>
      <c r="BI30" t="s">
        <v>69</v>
      </c>
      <c r="BJ30" t="s">
        <v>4611</v>
      </c>
      <c r="BK30" t="str">
        <f>HYPERLINK("http://dx.doi.org/10.1111/j.1747-6593.2005.tb00573.x","http://dx.doi.org/10.1111/j.1747-6593.2005.tb00573.x")</f>
        <v>http://dx.doi.org/10.1111/j.1747-6593.2005.tb00573.x</v>
      </c>
      <c r="BL30" t="s">
        <v>69</v>
      </c>
      <c r="BM30" t="s">
        <v>69</v>
      </c>
      <c r="BN30">
        <v>9</v>
      </c>
      <c r="BO30" t="s">
        <v>15825</v>
      </c>
      <c r="BP30" t="s">
        <v>8548</v>
      </c>
      <c r="BQ30" t="s">
        <v>15826</v>
      </c>
      <c r="BR30" t="s">
        <v>30593</v>
      </c>
      <c r="BS30" t="s">
        <v>4612</v>
      </c>
      <c r="BT30" t="s">
        <v>69</v>
      </c>
      <c r="BU30" t="s">
        <v>69</v>
      </c>
      <c r="BV30" t="s">
        <v>69</v>
      </c>
      <c r="BW30" t="s">
        <v>69</v>
      </c>
      <c r="BX30" t="s">
        <v>8526</v>
      </c>
      <c r="BY30" t="str">
        <f>HYPERLINK("https%3A%2F%2Fwww.webofscience.com%2Fwos%2Fwoscc%2Ffull-record%2FWOS:000234305100009","View Full Record in Web of Science")</f>
        <v>View Full Record in Web of Science</v>
      </c>
    </row>
    <row r="31" spans="1:77" ht="12.5" x14ac:dyDescent="0.25">
      <c r="A31" t="s">
        <v>8495</v>
      </c>
      <c r="B31" s="22" t="s">
        <v>32931</v>
      </c>
      <c r="C31" s="7"/>
      <c r="D31" s="7"/>
      <c r="E31" s="7"/>
      <c r="F31" t="s">
        <v>67</v>
      </c>
      <c r="G31" t="s">
        <v>22381</v>
      </c>
      <c r="H31" t="s">
        <v>69</v>
      </c>
      <c r="I31" t="s">
        <v>69</v>
      </c>
      <c r="J31" t="s">
        <v>69</v>
      </c>
      <c r="K31" t="s">
        <v>22382</v>
      </c>
      <c r="L31" t="s">
        <v>69</v>
      </c>
      <c r="M31" t="s">
        <v>69</v>
      </c>
      <c r="N31" t="s">
        <v>22383</v>
      </c>
      <c r="O31" t="s">
        <v>22384</v>
      </c>
      <c r="P31" t="s">
        <v>69</v>
      </c>
      <c r="Q31" t="s">
        <v>69</v>
      </c>
      <c r="R31" t="s">
        <v>8505</v>
      </c>
      <c r="S31" t="s">
        <v>8506</v>
      </c>
      <c r="T31" t="s">
        <v>69</v>
      </c>
      <c r="U31" t="s">
        <v>69</v>
      </c>
      <c r="V31" t="s">
        <v>69</v>
      </c>
      <c r="W31" t="s">
        <v>69</v>
      </c>
      <c r="X31" t="s">
        <v>69</v>
      </c>
      <c r="Y31" t="s">
        <v>22385</v>
      </c>
      <c r="Z31" t="s">
        <v>69</v>
      </c>
      <c r="AA31" t="s">
        <v>22386</v>
      </c>
      <c r="AB31" t="s">
        <v>22387</v>
      </c>
      <c r="AC31" t="s">
        <v>69</v>
      </c>
      <c r="AD31" t="s">
        <v>22388</v>
      </c>
      <c r="AE31" t="s">
        <v>22389</v>
      </c>
      <c r="AF31" t="s">
        <v>69</v>
      </c>
      <c r="AG31" t="s">
        <v>69</v>
      </c>
      <c r="AH31" t="s">
        <v>69</v>
      </c>
      <c r="AI31" t="s">
        <v>69</v>
      </c>
      <c r="AJ31" t="s">
        <v>69</v>
      </c>
      <c r="AK31" t="s">
        <v>69</v>
      </c>
      <c r="AL31">
        <v>17</v>
      </c>
      <c r="AM31">
        <v>1</v>
      </c>
      <c r="AN31">
        <v>1</v>
      </c>
      <c r="AO31">
        <v>0</v>
      </c>
      <c r="AP31">
        <v>5</v>
      </c>
      <c r="AQ31" t="s">
        <v>22390</v>
      </c>
      <c r="AR31" t="s">
        <v>8763</v>
      </c>
      <c r="AS31" t="s">
        <v>22391</v>
      </c>
      <c r="AT31" t="s">
        <v>22392</v>
      </c>
      <c r="AU31" t="s">
        <v>69</v>
      </c>
      <c r="AV31" t="s">
        <v>69</v>
      </c>
      <c r="AW31" t="s">
        <v>22393</v>
      </c>
      <c r="AX31" t="s">
        <v>22394</v>
      </c>
      <c r="AY31" t="s">
        <v>274</v>
      </c>
      <c r="AZ31">
        <v>2015</v>
      </c>
      <c r="BA31" t="s">
        <v>69</v>
      </c>
      <c r="BB31" t="s">
        <v>69</v>
      </c>
      <c r="BC31" t="s">
        <v>69</v>
      </c>
      <c r="BD31" t="s">
        <v>69</v>
      </c>
      <c r="BE31" t="s">
        <v>69</v>
      </c>
      <c r="BF31" t="s">
        <v>69</v>
      </c>
      <c r="BG31" t="s">
        <v>69</v>
      </c>
      <c r="BH31" t="s">
        <v>69</v>
      </c>
      <c r="BI31" t="s">
        <v>22395</v>
      </c>
      <c r="BJ31" t="s">
        <v>22396</v>
      </c>
      <c r="BK31" t="str">
        <f>HYPERLINK("http://dx.doi.org/10.7717/peerj-cs.29","http://dx.doi.org/10.7717/peerj-cs.29")</f>
        <v>http://dx.doi.org/10.7717/peerj-cs.29</v>
      </c>
      <c r="BL31" t="s">
        <v>69</v>
      </c>
      <c r="BM31" t="s">
        <v>69</v>
      </c>
      <c r="BN31">
        <v>31</v>
      </c>
      <c r="BO31" t="s">
        <v>22397</v>
      </c>
      <c r="BP31" t="s">
        <v>8573</v>
      </c>
      <c r="BQ31" t="s">
        <v>10976</v>
      </c>
      <c r="BR31" t="s">
        <v>22398</v>
      </c>
      <c r="BS31" t="s">
        <v>22399</v>
      </c>
      <c r="BT31" t="s">
        <v>69</v>
      </c>
      <c r="BU31" t="s">
        <v>8931</v>
      </c>
      <c r="BV31" t="s">
        <v>69</v>
      </c>
      <c r="BW31" t="s">
        <v>69</v>
      </c>
      <c r="BX31" t="s">
        <v>8526</v>
      </c>
      <c r="BY31" t="str">
        <f>HYPERLINK("https%3A%2F%2Fwww.webofscience.com%2Fwos%2Fwoscc%2Ffull-record%2FWOS:000437430700006","View Full Record in Web of Science")</f>
        <v>View Full Record in Web of Science</v>
      </c>
    </row>
    <row r="32" spans="1:77" ht="12.5" x14ac:dyDescent="0.25">
      <c r="A32" t="s">
        <v>8495</v>
      </c>
      <c r="B32" s="7" t="s">
        <v>32933</v>
      </c>
      <c r="C32" s="7"/>
      <c r="D32" s="7"/>
      <c r="E32" s="7"/>
      <c r="F32" t="s">
        <v>67</v>
      </c>
      <c r="G32" t="s">
        <v>562</v>
      </c>
      <c r="H32" t="s">
        <v>69</v>
      </c>
      <c r="I32" t="s">
        <v>69</v>
      </c>
      <c r="J32" t="s">
        <v>69</v>
      </c>
      <c r="K32" t="s">
        <v>563</v>
      </c>
      <c r="L32" t="s">
        <v>69</v>
      </c>
      <c r="M32" t="s">
        <v>69</v>
      </c>
      <c r="N32" t="s">
        <v>564</v>
      </c>
      <c r="O32" t="s">
        <v>565</v>
      </c>
      <c r="P32" t="s">
        <v>69</v>
      </c>
      <c r="Q32" t="s">
        <v>69</v>
      </c>
      <c r="R32" t="s">
        <v>8505</v>
      </c>
      <c r="S32" t="s">
        <v>15797</v>
      </c>
      <c r="T32" t="s">
        <v>566</v>
      </c>
      <c r="U32" t="s">
        <v>567</v>
      </c>
      <c r="V32" t="s">
        <v>568</v>
      </c>
      <c r="W32" t="s">
        <v>69</v>
      </c>
      <c r="X32" t="s">
        <v>69</v>
      </c>
      <c r="Y32" t="s">
        <v>69</v>
      </c>
      <c r="Z32" t="s">
        <v>69</v>
      </c>
      <c r="AA32" t="s">
        <v>569</v>
      </c>
      <c r="AB32" t="s">
        <v>29743</v>
      </c>
      <c r="AC32" t="s">
        <v>69</v>
      </c>
      <c r="AD32" t="s">
        <v>29744</v>
      </c>
      <c r="AE32" t="s">
        <v>29745</v>
      </c>
      <c r="AF32" t="s">
        <v>69</v>
      </c>
      <c r="AG32" t="s">
        <v>69</v>
      </c>
      <c r="AH32" t="s">
        <v>69</v>
      </c>
      <c r="AI32" t="s">
        <v>69</v>
      </c>
      <c r="AJ32" t="s">
        <v>69</v>
      </c>
      <c r="AK32" t="s">
        <v>69</v>
      </c>
      <c r="AL32">
        <v>18</v>
      </c>
      <c r="AM32">
        <v>2</v>
      </c>
      <c r="AN32">
        <v>2</v>
      </c>
      <c r="AO32">
        <v>0</v>
      </c>
      <c r="AP32">
        <v>23</v>
      </c>
      <c r="AQ32" t="s">
        <v>8846</v>
      </c>
      <c r="AR32" t="s">
        <v>8847</v>
      </c>
      <c r="AS32" t="s">
        <v>8848</v>
      </c>
      <c r="AT32" t="s">
        <v>570</v>
      </c>
      <c r="AU32" t="s">
        <v>571</v>
      </c>
      <c r="AV32" t="s">
        <v>69</v>
      </c>
      <c r="AW32" t="s">
        <v>29746</v>
      </c>
      <c r="AX32" t="s">
        <v>29747</v>
      </c>
      <c r="AY32" t="s">
        <v>246</v>
      </c>
      <c r="AZ32">
        <v>2007</v>
      </c>
      <c r="BA32">
        <v>19</v>
      </c>
      <c r="BB32">
        <v>1</v>
      </c>
      <c r="BC32" t="s">
        <v>69</v>
      </c>
      <c r="BD32" t="s">
        <v>69</v>
      </c>
      <c r="BE32" t="s">
        <v>69</v>
      </c>
      <c r="BF32" t="s">
        <v>69</v>
      </c>
      <c r="BG32">
        <v>217</v>
      </c>
      <c r="BH32">
        <v>255</v>
      </c>
      <c r="BI32" t="s">
        <v>69</v>
      </c>
      <c r="BJ32" t="s">
        <v>572</v>
      </c>
      <c r="BK32" t="str">
        <f>HYPERLINK("http://dx.doi.org/10.1111/j.1467-8268.2007.00152.x","http://dx.doi.org/10.1111/j.1467-8268.2007.00152.x")</f>
        <v>http://dx.doi.org/10.1111/j.1467-8268.2007.00152.x</v>
      </c>
      <c r="BL32" t="s">
        <v>69</v>
      </c>
      <c r="BM32" t="s">
        <v>69</v>
      </c>
      <c r="BN32">
        <v>39</v>
      </c>
      <c r="BO32" t="s">
        <v>17018</v>
      </c>
      <c r="BP32" t="s">
        <v>18588</v>
      </c>
      <c r="BQ32" t="s">
        <v>17018</v>
      </c>
      <c r="BR32" t="s">
        <v>29748</v>
      </c>
      <c r="BS32" t="s">
        <v>573</v>
      </c>
      <c r="BT32" t="s">
        <v>69</v>
      </c>
      <c r="BU32" t="s">
        <v>69</v>
      </c>
      <c r="BV32" t="s">
        <v>69</v>
      </c>
      <c r="BW32" t="s">
        <v>69</v>
      </c>
      <c r="BX32" t="s">
        <v>8526</v>
      </c>
      <c r="BY32" t="str">
        <f>HYPERLINK("https%3A%2F%2Fwww.webofscience.com%2Fwos%2Fwoscc%2Ffull-record%2FWOS:000250402100009","View Full Record in Web of Science")</f>
        <v>View Full Record in Web of Science</v>
      </c>
    </row>
    <row r="33" spans="1:77" ht="12.5" x14ac:dyDescent="0.25">
      <c r="A33" t="s">
        <v>8495</v>
      </c>
      <c r="B33" s="7" t="s">
        <v>32933</v>
      </c>
      <c r="C33" s="7"/>
      <c r="D33" s="7"/>
      <c r="E33" s="7"/>
      <c r="F33" t="s">
        <v>67</v>
      </c>
      <c r="G33" t="s">
        <v>4463</v>
      </c>
      <c r="H33" t="s">
        <v>69</v>
      </c>
      <c r="I33" t="s">
        <v>69</v>
      </c>
      <c r="J33" t="s">
        <v>69</v>
      </c>
      <c r="K33" t="s">
        <v>4464</v>
      </c>
      <c r="L33" t="s">
        <v>69</v>
      </c>
      <c r="M33" t="s">
        <v>69</v>
      </c>
      <c r="N33" t="s">
        <v>4465</v>
      </c>
      <c r="O33" t="s">
        <v>4466</v>
      </c>
      <c r="P33" t="s">
        <v>69</v>
      </c>
      <c r="Q33" t="s">
        <v>69</v>
      </c>
      <c r="R33" t="s">
        <v>8505</v>
      </c>
      <c r="S33" t="s">
        <v>8506</v>
      </c>
      <c r="T33" t="s">
        <v>69</v>
      </c>
      <c r="U33" t="s">
        <v>69</v>
      </c>
      <c r="V33" t="s">
        <v>69</v>
      </c>
      <c r="W33" t="s">
        <v>69</v>
      </c>
      <c r="X33" t="s">
        <v>69</v>
      </c>
      <c r="Y33" t="s">
        <v>18121</v>
      </c>
      <c r="Z33" t="s">
        <v>18122</v>
      </c>
      <c r="AA33" t="s">
        <v>4467</v>
      </c>
      <c r="AB33" t="s">
        <v>18123</v>
      </c>
      <c r="AC33" t="s">
        <v>69</v>
      </c>
      <c r="AD33" t="s">
        <v>18124</v>
      </c>
      <c r="AE33" t="s">
        <v>18125</v>
      </c>
      <c r="AF33" t="s">
        <v>69</v>
      </c>
      <c r="AG33" t="s">
        <v>69</v>
      </c>
      <c r="AH33" t="s">
        <v>18126</v>
      </c>
      <c r="AI33" t="s">
        <v>18127</v>
      </c>
      <c r="AJ33" t="s">
        <v>18128</v>
      </c>
      <c r="AK33" t="s">
        <v>69</v>
      </c>
      <c r="AL33">
        <v>28</v>
      </c>
      <c r="AM33">
        <v>11</v>
      </c>
      <c r="AN33">
        <v>11</v>
      </c>
      <c r="AO33">
        <v>6</v>
      </c>
      <c r="AP33">
        <v>60</v>
      </c>
      <c r="AQ33" t="s">
        <v>8563</v>
      </c>
      <c r="AR33" t="s">
        <v>8564</v>
      </c>
      <c r="AS33" t="s">
        <v>8565</v>
      </c>
      <c r="AT33" t="s">
        <v>4468</v>
      </c>
      <c r="AU33" t="s">
        <v>4469</v>
      </c>
      <c r="AV33" t="s">
        <v>69</v>
      </c>
      <c r="AW33" t="s">
        <v>18129</v>
      </c>
      <c r="AX33" t="s">
        <v>18130</v>
      </c>
      <c r="AY33" t="s">
        <v>274</v>
      </c>
      <c r="AZ33">
        <v>2018</v>
      </c>
      <c r="BA33">
        <v>11</v>
      </c>
      <c r="BB33">
        <v>22</v>
      </c>
      <c r="BC33" t="s">
        <v>69</v>
      </c>
      <c r="BD33" t="s">
        <v>69</v>
      </c>
      <c r="BE33" t="s">
        <v>69</v>
      </c>
      <c r="BF33" t="s">
        <v>69</v>
      </c>
      <c r="BG33" t="s">
        <v>69</v>
      </c>
      <c r="BH33" t="s">
        <v>69</v>
      </c>
      <c r="BI33">
        <v>714</v>
      </c>
      <c r="BJ33" t="s">
        <v>4470</v>
      </c>
      <c r="BK33" t="str">
        <f>HYPERLINK("http://dx.doi.org/10.1007/s12517-018-4071-8","http://dx.doi.org/10.1007/s12517-018-4071-8")</f>
        <v>http://dx.doi.org/10.1007/s12517-018-4071-8</v>
      </c>
      <c r="BL33" t="s">
        <v>69</v>
      </c>
      <c r="BM33" t="s">
        <v>69</v>
      </c>
      <c r="BN33">
        <v>10</v>
      </c>
      <c r="BO33" t="s">
        <v>17732</v>
      </c>
      <c r="BP33" t="s">
        <v>8548</v>
      </c>
      <c r="BQ33" t="s">
        <v>17733</v>
      </c>
      <c r="BR33" t="s">
        <v>18131</v>
      </c>
      <c r="BS33" t="s">
        <v>4471</v>
      </c>
      <c r="BT33" t="s">
        <v>69</v>
      </c>
      <c r="BU33" t="s">
        <v>69</v>
      </c>
      <c r="BV33" t="s">
        <v>69</v>
      </c>
      <c r="BW33" t="s">
        <v>69</v>
      </c>
      <c r="BX33" t="s">
        <v>8526</v>
      </c>
      <c r="BY33" t="str">
        <f>HYPERLINK("https%3A%2F%2Fwww.webofscience.com%2Fwos%2Fwoscc%2Ffull-record%2FWOS:000450990400004","View Full Record in Web of Science")</f>
        <v>View Full Record in Web of Science</v>
      </c>
    </row>
    <row r="34" spans="1:77" ht="12.5" x14ac:dyDescent="0.25">
      <c r="A34" t="s">
        <v>8495</v>
      </c>
      <c r="B34" s="22" t="s">
        <v>32931</v>
      </c>
      <c r="C34" s="7"/>
      <c r="D34" s="7"/>
      <c r="E34" s="7"/>
      <c r="F34" t="s">
        <v>67</v>
      </c>
      <c r="G34" t="s">
        <v>12724</v>
      </c>
      <c r="H34" t="s">
        <v>69</v>
      </c>
      <c r="I34" t="s">
        <v>69</v>
      </c>
      <c r="J34" t="s">
        <v>69</v>
      </c>
      <c r="K34" t="s">
        <v>12725</v>
      </c>
      <c r="L34" t="s">
        <v>69</v>
      </c>
      <c r="M34" t="s">
        <v>69</v>
      </c>
      <c r="N34" t="s">
        <v>12726</v>
      </c>
      <c r="O34" t="s">
        <v>12727</v>
      </c>
      <c r="P34" t="s">
        <v>69</v>
      </c>
      <c r="Q34" t="s">
        <v>69</v>
      </c>
      <c r="R34" t="s">
        <v>8505</v>
      </c>
      <c r="S34" t="s">
        <v>8506</v>
      </c>
      <c r="T34" t="s">
        <v>69</v>
      </c>
      <c r="U34" t="s">
        <v>69</v>
      </c>
      <c r="V34" t="s">
        <v>69</v>
      </c>
      <c r="W34" t="s">
        <v>69</v>
      </c>
      <c r="X34" t="s">
        <v>69</v>
      </c>
      <c r="Y34" t="s">
        <v>12728</v>
      </c>
      <c r="Z34" t="s">
        <v>69</v>
      </c>
      <c r="AA34" t="s">
        <v>12729</v>
      </c>
      <c r="AB34" t="s">
        <v>12730</v>
      </c>
      <c r="AC34" t="s">
        <v>69</v>
      </c>
      <c r="AD34" t="s">
        <v>12731</v>
      </c>
      <c r="AE34" t="s">
        <v>12732</v>
      </c>
      <c r="AF34" t="s">
        <v>69</v>
      </c>
      <c r="AG34" t="s">
        <v>69</v>
      </c>
      <c r="AH34" t="s">
        <v>12733</v>
      </c>
      <c r="AI34" t="s">
        <v>12734</v>
      </c>
      <c r="AJ34" t="s">
        <v>12735</v>
      </c>
      <c r="AK34" t="s">
        <v>69</v>
      </c>
      <c r="AL34">
        <v>89</v>
      </c>
      <c r="AM34">
        <v>3</v>
      </c>
      <c r="AN34">
        <v>3</v>
      </c>
      <c r="AO34">
        <v>6</v>
      </c>
      <c r="AP34">
        <v>26</v>
      </c>
      <c r="AQ34" t="s">
        <v>12736</v>
      </c>
      <c r="AR34" t="s">
        <v>12737</v>
      </c>
      <c r="AS34" t="s">
        <v>12738</v>
      </c>
      <c r="AT34" t="s">
        <v>12739</v>
      </c>
      <c r="AU34" t="s">
        <v>12740</v>
      </c>
      <c r="AV34" t="s">
        <v>69</v>
      </c>
      <c r="AW34" t="s">
        <v>12741</v>
      </c>
      <c r="AX34" t="s">
        <v>12742</v>
      </c>
      <c r="AY34" t="s">
        <v>586</v>
      </c>
      <c r="AZ34">
        <v>2021</v>
      </c>
      <c r="BA34">
        <v>60</v>
      </c>
      <c r="BB34" t="s">
        <v>69</v>
      </c>
      <c r="BC34" t="s">
        <v>69</v>
      </c>
      <c r="BD34" t="s">
        <v>69</v>
      </c>
      <c r="BE34" t="s">
        <v>69</v>
      </c>
      <c r="BF34" t="s">
        <v>69</v>
      </c>
      <c r="BG34" t="s">
        <v>69</v>
      </c>
      <c r="BH34" t="s">
        <v>69</v>
      </c>
      <c r="BI34">
        <v>127087</v>
      </c>
      <c r="BJ34" t="s">
        <v>12743</v>
      </c>
      <c r="BK34" t="str">
        <f>HYPERLINK("http://dx.doi.org/10.1016/j.ufug.2021.127087","http://dx.doi.org/10.1016/j.ufug.2021.127087")</f>
        <v>http://dx.doi.org/10.1016/j.ufug.2021.127087</v>
      </c>
      <c r="BL34" t="s">
        <v>69</v>
      </c>
      <c r="BM34" t="s">
        <v>12704</v>
      </c>
      <c r="BN34">
        <v>13</v>
      </c>
      <c r="BO34" t="s">
        <v>12744</v>
      </c>
      <c r="BP34" t="s">
        <v>8523</v>
      </c>
      <c r="BQ34" t="s">
        <v>12745</v>
      </c>
      <c r="BR34" t="s">
        <v>12746</v>
      </c>
      <c r="BS34" t="s">
        <v>12747</v>
      </c>
      <c r="BT34" t="s">
        <v>69</v>
      </c>
      <c r="BU34" t="s">
        <v>9374</v>
      </c>
      <c r="BV34" t="s">
        <v>69</v>
      </c>
      <c r="BW34" t="s">
        <v>69</v>
      </c>
      <c r="BX34" t="s">
        <v>8526</v>
      </c>
      <c r="BY34" t="str">
        <f>HYPERLINK("https%3A%2F%2Fwww.webofscience.com%2Fwos%2Fwoscc%2Ffull-record%2FWOS:000636302600007","View Full Record in Web of Science")</f>
        <v>View Full Record in Web of Science</v>
      </c>
    </row>
    <row r="35" spans="1:77" ht="12.5" x14ac:dyDescent="0.25">
      <c r="A35" t="s">
        <v>8495</v>
      </c>
      <c r="B35" s="22" t="s">
        <v>32931</v>
      </c>
      <c r="C35" s="7"/>
      <c r="D35" s="7"/>
      <c r="E35" s="7"/>
      <c r="F35" t="s">
        <v>67</v>
      </c>
      <c r="G35" t="s">
        <v>29456</v>
      </c>
      <c r="H35" t="s">
        <v>69</v>
      </c>
      <c r="I35" t="s">
        <v>69</v>
      </c>
      <c r="J35" t="s">
        <v>69</v>
      </c>
      <c r="K35" t="s">
        <v>29457</v>
      </c>
      <c r="L35" t="s">
        <v>69</v>
      </c>
      <c r="M35" t="s">
        <v>69</v>
      </c>
      <c r="N35" t="s">
        <v>29458</v>
      </c>
      <c r="O35" t="s">
        <v>1969</v>
      </c>
      <c r="P35" t="s">
        <v>69</v>
      </c>
      <c r="Q35" t="s">
        <v>69</v>
      </c>
      <c r="R35" t="s">
        <v>8505</v>
      </c>
      <c r="S35" t="s">
        <v>8506</v>
      </c>
      <c r="T35" t="s">
        <v>69</v>
      </c>
      <c r="U35" t="s">
        <v>69</v>
      </c>
      <c r="V35" t="s">
        <v>69</v>
      </c>
      <c r="W35" t="s">
        <v>69</v>
      </c>
      <c r="X35" t="s">
        <v>69</v>
      </c>
      <c r="Y35" t="s">
        <v>29459</v>
      </c>
      <c r="Z35" t="s">
        <v>69</v>
      </c>
      <c r="AA35" t="s">
        <v>29460</v>
      </c>
      <c r="AB35" t="s">
        <v>29461</v>
      </c>
      <c r="AC35" t="s">
        <v>69</v>
      </c>
      <c r="AD35" t="s">
        <v>29462</v>
      </c>
      <c r="AE35" t="s">
        <v>29463</v>
      </c>
      <c r="AF35" t="s">
        <v>69</v>
      </c>
      <c r="AG35" t="s">
        <v>69</v>
      </c>
      <c r="AH35" t="s">
        <v>69</v>
      </c>
      <c r="AI35" t="s">
        <v>69</v>
      </c>
      <c r="AJ35" t="s">
        <v>69</v>
      </c>
      <c r="AK35" t="s">
        <v>69</v>
      </c>
      <c r="AL35">
        <v>24</v>
      </c>
      <c r="AM35">
        <v>33</v>
      </c>
      <c r="AN35">
        <v>33</v>
      </c>
      <c r="AO35">
        <v>0</v>
      </c>
      <c r="AP35">
        <v>1</v>
      </c>
      <c r="AQ35" t="s">
        <v>8586</v>
      </c>
      <c r="AR35" t="s">
        <v>8587</v>
      </c>
      <c r="AS35" t="s">
        <v>8588</v>
      </c>
      <c r="AT35" t="s">
        <v>1971</v>
      </c>
      <c r="AU35" t="s">
        <v>1972</v>
      </c>
      <c r="AV35" t="s">
        <v>69</v>
      </c>
      <c r="AW35" t="s">
        <v>15149</v>
      </c>
      <c r="AX35" t="s">
        <v>15150</v>
      </c>
      <c r="AY35" t="s">
        <v>69</v>
      </c>
      <c r="AZ35">
        <v>2008</v>
      </c>
      <c r="BA35">
        <v>19</v>
      </c>
      <c r="BB35">
        <v>4</v>
      </c>
      <c r="BC35" t="s">
        <v>69</v>
      </c>
      <c r="BD35" t="s">
        <v>69</v>
      </c>
      <c r="BE35" t="s">
        <v>114</v>
      </c>
      <c r="BF35" t="s">
        <v>69</v>
      </c>
      <c r="BG35">
        <v>467</v>
      </c>
      <c r="BH35">
        <v>479</v>
      </c>
      <c r="BI35" t="s">
        <v>69</v>
      </c>
      <c r="BJ35" t="s">
        <v>29464</v>
      </c>
      <c r="BK35" t="str">
        <f>HYPERLINK("http://dx.doi.org/10.1108/14777830810878650","http://dx.doi.org/10.1108/14777830810878650")</f>
        <v>http://dx.doi.org/10.1108/14777830810878650</v>
      </c>
      <c r="BL35" t="s">
        <v>69</v>
      </c>
      <c r="BM35" t="s">
        <v>69</v>
      </c>
      <c r="BN35">
        <v>13</v>
      </c>
      <c r="BO35" t="s">
        <v>8660</v>
      </c>
      <c r="BP35" t="s">
        <v>8573</v>
      </c>
      <c r="BQ35" t="s">
        <v>8662</v>
      </c>
      <c r="BR35" t="s">
        <v>29465</v>
      </c>
      <c r="BS35" t="s">
        <v>29466</v>
      </c>
      <c r="BT35" t="s">
        <v>69</v>
      </c>
      <c r="BU35" t="s">
        <v>69</v>
      </c>
      <c r="BV35" t="s">
        <v>69</v>
      </c>
      <c r="BW35" t="s">
        <v>69</v>
      </c>
      <c r="BX35" t="s">
        <v>8526</v>
      </c>
      <c r="BY35" t="str">
        <f>HYPERLINK("https%3A%2F%2Fwww.webofscience.com%2Fwos%2Fwoscc%2Ffull-record%2FWOS:000415377000018","View Full Record in Web of Science")</f>
        <v>View Full Record in Web of Science</v>
      </c>
    </row>
    <row r="36" spans="1:77" ht="12.5" x14ac:dyDescent="0.25">
      <c r="A36" t="s">
        <v>8495</v>
      </c>
      <c r="B36" s="22" t="s">
        <v>32931</v>
      </c>
      <c r="C36" s="7"/>
      <c r="D36" s="7"/>
      <c r="E36" s="7"/>
      <c r="F36" t="s">
        <v>67</v>
      </c>
      <c r="G36" t="s">
        <v>10832</v>
      </c>
      <c r="H36" t="s">
        <v>69</v>
      </c>
      <c r="I36" t="s">
        <v>69</v>
      </c>
      <c r="J36" t="s">
        <v>69</v>
      </c>
      <c r="K36" t="s">
        <v>10833</v>
      </c>
      <c r="L36" t="s">
        <v>69</v>
      </c>
      <c r="M36" t="s">
        <v>69</v>
      </c>
      <c r="N36" t="s">
        <v>10834</v>
      </c>
      <c r="O36" t="s">
        <v>10835</v>
      </c>
      <c r="P36" t="s">
        <v>69</v>
      </c>
      <c r="Q36" t="s">
        <v>69</v>
      </c>
      <c r="R36" t="s">
        <v>8505</v>
      </c>
      <c r="S36" t="s">
        <v>8556</v>
      </c>
      <c r="T36" t="s">
        <v>69</v>
      </c>
      <c r="U36" t="s">
        <v>69</v>
      </c>
      <c r="V36" t="s">
        <v>69</v>
      </c>
      <c r="W36" t="s">
        <v>69</v>
      </c>
      <c r="X36" t="s">
        <v>69</v>
      </c>
      <c r="Y36" t="s">
        <v>10836</v>
      </c>
      <c r="Z36" t="s">
        <v>10837</v>
      </c>
      <c r="AA36" t="s">
        <v>10838</v>
      </c>
      <c r="AB36" t="s">
        <v>10839</v>
      </c>
      <c r="AC36" t="s">
        <v>69</v>
      </c>
      <c r="AD36" t="s">
        <v>10840</v>
      </c>
      <c r="AE36" t="s">
        <v>10841</v>
      </c>
      <c r="AF36" t="s">
        <v>69</v>
      </c>
      <c r="AG36" t="s">
        <v>69</v>
      </c>
      <c r="AH36" t="s">
        <v>10842</v>
      </c>
      <c r="AI36" t="s">
        <v>9925</v>
      </c>
      <c r="AJ36" t="s">
        <v>10843</v>
      </c>
      <c r="AK36" t="s">
        <v>69</v>
      </c>
      <c r="AL36">
        <v>87</v>
      </c>
      <c r="AM36">
        <v>1</v>
      </c>
      <c r="AN36">
        <v>1</v>
      </c>
      <c r="AO36">
        <v>8</v>
      </c>
      <c r="AP36">
        <v>16</v>
      </c>
      <c r="AQ36" t="s">
        <v>8846</v>
      </c>
      <c r="AR36" t="s">
        <v>8847</v>
      </c>
      <c r="AS36" t="s">
        <v>8848</v>
      </c>
      <c r="AT36" t="s">
        <v>10844</v>
      </c>
      <c r="AU36" t="s">
        <v>10845</v>
      </c>
      <c r="AV36" t="s">
        <v>69</v>
      </c>
      <c r="AW36" t="s">
        <v>10846</v>
      </c>
      <c r="AX36" t="s">
        <v>10847</v>
      </c>
      <c r="AY36" t="s">
        <v>69</v>
      </c>
      <c r="AZ36" t="s">
        <v>69</v>
      </c>
      <c r="BA36" t="s">
        <v>69</v>
      </c>
      <c r="BB36" t="s">
        <v>69</v>
      </c>
      <c r="BC36" t="s">
        <v>69</v>
      </c>
      <c r="BD36" t="s">
        <v>69</v>
      </c>
      <c r="BE36" t="s">
        <v>69</v>
      </c>
      <c r="BF36" t="s">
        <v>69</v>
      </c>
      <c r="BG36" t="s">
        <v>69</v>
      </c>
      <c r="BH36" t="s">
        <v>69</v>
      </c>
      <c r="BI36" t="s">
        <v>69</v>
      </c>
      <c r="BJ36" t="s">
        <v>10848</v>
      </c>
      <c r="BK36" t="str">
        <f>HYPERLINK("http://dx.doi.org/10.1002/sd.2249","http://dx.doi.org/10.1002/sd.2249")</f>
        <v>http://dx.doi.org/10.1002/sd.2249</v>
      </c>
      <c r="BL36" t="s">
        <v>69</v>
      </c>
      <c r="BM36" t="s">
        <v>10646</v>
      </c>
      <c r="BN36">
        <v>24</v>
      </c>
      <c r="BO36" t="s">
        <v>10849</v>
      </c>
      <c r="BP36" t="s">
        <v>8661</v>
      </c>
      <c r="BQ36" t="s">
        <v>10850</v>
      </c>
      <c r="BR36" t="s">
        <v>10851</v>
      </c>
      <c r="BS36" t="s">
        <v>10852</v>
      </c>
      <c r="BT36" t="s">
        <v>69</v>
      </c>
      <c r="BU36" t="s">
        <v>69</v>
      </c>
      <c r="BV36" t="s">
        <v>69</v>
      </c>
      <c r="BW36" t="s">
        <v>69</v>
      </c>
      <c r="BX36" t="s">
        <v>8526</v>
      </c>
      <c r="BY36" t="str">
        <f>HYPERLINK("https%3A%2F%2Fwww.webofscience.com%2Fwos%2Fwoscc%2Ffull-record%2FWOS:000715149600001","View Full Record in Web of Science")</f>
        <v>View Full Record in Web of Science</v>
      </c>
    </row>
    <row r="37" spans="1:77" ht="12.5" x14ac:dyDescent="0.25">
      <c r="A37" t="s">
        <v>8495</v>
      </c>
      <c r="B37" s="22" t="s">
        <v>32931</v>
      </c>
      <c r="C37" s="7"/>
      <c r="D37" s="7"/>
      <c r="E37" s="7"/>
      <c r="F37" t="s">
        <v>67</v>
      </c>
      <c r="G37" t="s">
        <v>13759</v>
      </c>
      <c r="H37" t="s">
        <v>69</v>
      </c>
      <c r="I37" t="s">
        <v>69</v>
      </c>
      <c r="J37" t="s">
        <v>69</v>
      </c>
      <c r="K37" t="s">
        <v>13760</v>
      </c>
      <c r="L37" t="s">
        <v>69</v>
      </c>
      <c r="M37" t="s">
        <v>69</v>
      </c>
      <c r="N37" t="s">
        <v>13761</v>
      </c>
      <c r="O37" t="s">
        <v>6989</v>
      </c>
      <c r="P37" t="s">
        <v>69</v>
      </c>
      <c r="Q37" t="s">
        <v>69</v>
      </c>
      <c r="R37" t="s">
        <v>8505</v>
      </c>
      <c r="S37" t="s">
        <v>8506</v>
      </c>
      <c r="T37" t="s">
        <v>69</v>
      </c>
      <c r="U37" t="s">
        <v>69</v>
      </c>
      <c r="V37" t="s">
        <v>69</v>
      </c>
      <c r="W37" t="s">
        <v>69</v>
      </c>
      <c r="X37" t="s">
        <v>69</v>
      </c>
      <c r="Y37" t="s">
        <v>13762</v>
      </c>
      <c r="Z37" t="s">
        <v>69</v>
      </c>
      <c r="AA37" t="s">
        <v>13763</v>
      </c>
      <c r="AB37" t="s">
        <v>13764</v>
      </c>
      <c r="AC37" t="s">
        <v>69</v>
      </c>
      <c r="AD37" t="s">
        <v>13765</v>
      </c>
      <c r="AE37" t="s">
        <v>13766</v>
      </c>
      <c r="AF37" t="s">
        <v>13767</v>
      </c>
      <c r="AG37" t="s">
        <v>13768</v>
      </c>
      <c r="AH37" t="s">
        <v>69</v>
      </c>
      <c r="AI37" t="s">
        <v>69</v>
      </c>
      <c r="AJ37" t="s">
        <v>69</v>
      </c>
      <c r="AK37" t="s">
        <v>69</v>
      </c>
      <c r="AL37">
        <v>59</v>
      </c>
      <c r="AM37">
        <v>4</v>
      </c>
      <c r="AN37">
        <v>4</v>
      </c>
      <c r="AO37">
        <v>2</v>
      </c>
      <c r="AP37">
        <v>4</v>
      </c>
      <c r="AQ37" t="s">
        <v>13769</v>
      </c>
      <c r="AR37" t="s">
        <v>13770</v>
      </c>
      <c r="AS37" t="s">
        <v>13771</v>
      </c>
      <c r="AT37" t="s">
        <v>6993</v>
      </c>
      <c r="AU37" t="s">
        <v>69</v>
      </c>
      <c r="AV37" t="s">
        <v>69</v>
      </c>
      <c r="AW37" t="s">
        <v>13772</v>
      </c>
      <c r="AX37" t="s">
        <v>13773</v>
      </c>
      <c r="AY37" t="s">
        <v>451</v>
      </c>
      <c r="AZ37">
        <v>2021</v>
      </c>
      <c r="BA37">
        <v>8</v>
      </c>
      <c r="BB37">
        <v>1</v>
      </c>
      <c r="BC37" t="s">
        <v>69</v>
      </c>
      <c r="BD37" t="s">
        <v>69</v>
      </c>
      <c r="BE37" t="s">
        <v>69</v>
      </c>
      <c r="BF37" t="s">
        <v>69</v>
      </c>
      <c r="BG37" t="s">
        <v>69</v>
      </c>
      <c r="BH37" t="s">
        <v>69</v>
      </c>
      <c r="BI37">
        <v>1891701</v>
      </c>
      <c r="BJ37" t="s">
        <v>13774</v>
      </c>
      <c r="BK37" t="str">
        <f>HYPERLINK("http://dx.doi.org/10.1080/23311916.2021.1891701","http://dx.doi.org/10.1080/23311916.2021.1891701")</f>
        <v>http://dx.doi.org/10.1080/23311916.2021.1891701</v>
      </c>
      <c r="BL37" t="s">
        <v>69</v>
      </c>
      <c r="BM37" t="s">
        <v>69</v>
      </c>
      <c r="BN37">
        <v>23</v>
      </c>
      <c r="BO37" t="s">
        <v>9891</v>
      </c>
      <c r="BP37" t="s">
        <v>8573</v>
      </c>
      <c r="BQ37" t="s">
        <v>8445</v>
      </c>
      <c r="BR37" t="s">
        <v>13775</v>
      </c>
      <c r="BS37" t="s">
        <v>13776</v>
      </c>
      <c r="BT37" t="s">
        <v>69</v>
      </c>
      <c r="BU37" t="s">
        <v>8931</v>
      </c>
      <c r="BV37" t="s">
        <v>69</v>
      </c>
      <c r="BW37" t="s">
        <v>69</v>
      </c>
      <c r="BX37" t="s">
        <v>8526</v>
      </c>
      <c r="BY37" t="str">
        <f>HYPERLINK("https%3A%2F%2Fwww.webofscience.com%2Fwos%2Fwoscc%2Ffull-record%2FWOS:000626956400001","View Full Record in Web of Science")</f>
        <v>View Full Record in Web of Science</v>
      </c>
    </row>
    <row r="38" spans="1:77" ht="12.5" x14ac:dyDescent="0.25">
      <c r="A38" t="s">
        <v>8495</v>
      </c>
      <c r="B38" s="22" t="s">
        <v>32931</v>
      </c>
      <c r="C38" s="7"/>
      <c r="D38" s="7"/>
      <c r="E38" s="7"/>
      <c r="F38" t="s">
        <v>67</v>
      </c>
      <c r="G38" t="s">
        <v>15303</v>
      </c>
      <c r="H38" t="s">
        <v>69</v>
      </c>
      <c r="I38" t="s">
        <v>69</v>
      </c>
      <c r="J38" t="s">
        <v>69</v>
      </c>
      <c r="K38" t="s">
        <v>15304</v>
      </c>
      <c r="L38" t="s">
        <v>69</v>
      </c>
      <c r="M38" t="s">
        <v>69</v>
      </c>
      <c r="N38" t="s">
        <v>15305</v>
      </c>
      <c r="O38" t="s">
        <v>15306</v>
      </c>
      <c r="P38" t="s">
        <v>69</v>
      </c>
      <c r="Q38" t="s">
        <v>69</v>
      </c>
      <c r="R38" t="s">
        <v>8505</v>
      </c>
      <c r="S38" t="s">
        <v>8506</v>
      </c>
      <c r="T38" t="s">
        <v>69</v>
      </c>
      <c r="U38" t="s">
        <v>69</v>
      </c>
      <c r="V38" t="s">
        <v>69</v>
      </c>
      <c r="W38" t="s">
        <v>69</v>
      </c>
      <c r="X38" t="s">
        <v>69</v>
      </c>
      <c r="Y38" t="s">
        <v>15307</v>
      </c>
      <c r="Z38" t="s">
        <v>15308</v>
      </c>
      <c r="AA38" t="s">
        <v>15309</v>
      </c>
      <c r="AB38" t="s">
        <v>15310</v>
      </c>
      <c r="AC38" t="s">
        <v>69</v>
      </c>
      <c r="AD38" t="s">
        <v>15311</v>
      </c>
      <c r="AE38" t="s">
        <v>15312</v>
      </c>
      <c r="AF38" t="s">
        <v>15313</v>
      </c>
      <c r="AG38" t="s">
        <v>15314</v>
      </c>
      <c r="AH38" t="s">
        <v>15315</v>
      </c>
      <c r="AI38" t="s">
        <v>15316</v>
      </c>
      <c r="AJ38" t="s">
        <v>15317</v>
      </c>
      <c r="AK38" t="s">
        <v>69</v>
      </c>
      <c r="AL38">
        <v>43</v>
      </c>
      <c r="AM38">
        <v>20</v>
      </c>
      <c r="AN38">
        <v>20</v>
      </c>
      <c r="AO38">
        <v>8</v>
      </c>
      <c r="AP38">
        <v>20</v>
      </c>
      <c r="AQ38" t="s">
        <v>8636</v>
      </c>
      <c r="AR38" t="s">
        <v>8637</v>
      </c>
      <c r="AS38" t="s">
        <v>8638</v>
      </c>
      <c r="AT38" t="s">
        <v>15318</v>
      </c>
      <c r="AU38" t="s">
        <v>15319</v>
      </c>
      <c r="AV38" t="s">
        <v>69</v>
      </c>
      <c r="AW38" t="s">
        <v>15320</v>
      </c>
      <c r="AX38" t="s">
        <v>15321</v>
      </c>
      <c r="AY38" t="s">
        <v>586</v>
      </c>
      <c r="AZ38">
        <v>2020</v>
      </c>
      <c r="BA38">
        <v>172</v>
      </c>
      <c r="BB38" t="s">
        <v>69</v>
      </c>
      <c r="BC38" t="s">
        <v>69</v>
      </c>
      <c r="BD38" t="s">
        <v>69</v>
      </c>
      <c r="BE38" t="s">
        <v>69</v>
      </c>
      <c r="BF38" t="s">
        <v>69</v>
      </c>
      <c r="BG38" t="s">
        <v>69</v>
      </c>
      <c r="BH38" t="s">
        <v>69</v>
      </c>
      <c r="BI38">
        <v>105305</v>
      </c>
      <c r="BJ38" t="s">
        <v>15322</v>
      </c>
      <c r="BK38" t="str">
        <f>HYPERLINK("http://dx.doi.org/10.1016/j.compag.2020.105305","http://dx.doi.org/10.1016/j.compag.2020.105305")</f>
        <v>http://dx.doi.org/10.1016/j.compag.2020.105305</v>
      </c>
      <c r="BL38" t="s">
        <v>69</v>
      </c>
      <c r="BM38" t="s">
        <v>69</v>
      </c>
      <c r="BN38">
        <v>12</v>
      </c>
      <c r="BO38" t="s">
        <v>15323</v>
      </c>
      <c r="BP38" t="s">
        <v>8523</v>
      </c>
      <c r="BQ38" t="s">
        <v>15324</v>
      </c>
      <c r="BR38" t="s">
        <v>15325</v>
      </c>
      <c r="BS38" t="s">
        <v>15326</v>
      </c>
      <c r="BT38" t="s">
        <v>69</v>
      </c>
      <c r="BU38" t="s">
        <v>8746</v>
      </c>
      <c r="BV38" t="s">
        <v>69</v>
      </c>
      <c r="BW38" t="s">
        <v>69</v>
      </c>
      <c r="BX38" t="s">
        <v>8526</v>
      </c>
      <c r="BY38" t="str">
        <f>HYPERLINK("https%3A%2F%2Fwww.webofscience.com%2Fwos%2Fwoscc%2Ffull-record%2FWOS:000525324700029","View Full Record in Web of Science")</f>
        <v>View Full Record in Web of Science</v>
      </c>
    </row>
    <row r="39" spans="1:77" ht="12.5" x14ac:dyDescent="0.25">
      <c r="A39" t="s">
        <v>8495</v>
      </c>
      <c r="B39" s="15" t="s">
        <v>32933</v>
      </c>
      <c r="C39" s="7"/>
      <c r="D39" s="7"/>
      <c r="E39" s="7"/>
      <c r="F39" t="s">
        <v>67</v>
      </c>
      <c r="G39" t="s">
        <v>7014</v>
      </c>
      <c r="H39" t="s">
        <v>69</v>
      </c>
      <c r="I39" t="s">
        <v>69</v>
      </c>
      <c r="J39" t="s">
        <v>69</v>
      </c>
      <c r="K39" t="s">
        <v>7015</v>
      </c>
      <c r="L39" t="s">
        <v>69</v>
      </c>
      <c r="M39" t="s">
        <v>69</v>
      </c>
      <c r="N39" s="3" t="s">
        <v>7016</v>
      </c>
      <c r="O39" t="s">
        <v>2744</v>
      </c>
      <c r="P39" t="s">
        <v>69</v>
      </c>
      <c r="Q39" t="s">
        <v>69</v>
      </c>
      <c r="R39" t="s">
        <v>8505</v>
      </c>
      <c r="S39" t="s">
        <v>10174</v>
      </c>
      <c r="T39" t="s">
        <v>69</v>
      </c>
      <c r="U39" t="s">
        <v>69</v>
      </c>
      <c r="V39" t="s">
        <v>69</v>
      </c>
      <c r="W39" t="s">
        <v>69</v>
      </c>
      <c r="X39" t="s">
        <v>69</v>
      </c>
      <c r="Y39" t="s">
        <v>22216</v>
      </c>
      <c r="Z39" t="s">
        <v>22217</v>
      </c>
      <c r="AA39" t="s">
        <v>7017</v>
      </c>
      <c r="AB39" t="s">
        <v>22218</v>
      </c>
      <c r="AC39" t="s">
        <v>69</v>
      </c>
      <c r="AD39" t="s">
        <v>22219</v>
      </c>
      <c r="AE39" t="s">
        <v>22220</v>
      </c>
      <c r="AF39" t="s">
        <v>20646</v>
      </c>
      <c r="AG39" t="s">
        <v>20647</v>
      </c>
      <c r="AH39" t="s">
        <v>22221</v>
      </c>
      <c r="AI39" t="s">
        <v>22222</v>
      </c>
      <c r="AJ39" t="s">
        <v>22223</v>
      </c>
      <c r="AK39" t="s">
        <v>69</v>
      </c>
      <c r="AL39">
        <v>22</v>
      </c>
      <c r="AM39">
        <v>6</v>
      </c>
      <c r="AN39">
        <v>6</v>
      </c>
      <c r="AO39">
        <v>0</v>
      </c>
      <c r="AP39">
        <v>3</v>
      </c>
      <c r="AQ39" t="s">
        <v>8865</v>
      </c>
      <c r="AR39" t="s">
        <v>8612</v>
      </c>
      <c r="AS39" t="s">
        <v>8866</v>
      </c>
      <c r="AT39" t="s">
        <v>2746</v>
      </c>
      <c r="AU39" t="s">
        <v>2747</v>
      </c>
      <c r="AV39" t="s">
        <v>69</v>
      </c>
      <c r="AW39" t="s">
        <v>20651</v>
      </c>
      <c r="AX39" t="s">
        <v>20652</v>
      </c>
      <c r="AY39" t="s">
        <v>69</v>
      </c>
      <c r="AZ39">
        <v>2016</v>
      </c>
      <c r="BA39">
        <v>2</v>
      </c>
      <c r="BB39">
        <v>4</v>
      </c>
      <c r="BC39" t="s">
        <v>69</v>
      </c>
      <c r="BD39" t="s">
        <v>69</v>
      </c>
      <c r="BE39" t="s">
        <v>114</v>
      </c>
      <c r="BF39" t="s">
        <v>69</v>
      </c>
      <c r="BG39">
        <v>367</v>
      </c>
      <c r="BH39">
        <v>372</v>
      </c>
      <c r="BI39" t="s">
        <v>69</v>
      </c>
      <c r="BJ39" t="s">
        <v>7018</v>
      </c>
      <c r="BK39" t="str">
        <f>HYPERLINK("http://dx.doi.org/10.1080/23288604.2016.1202368","http://dx.doi.org/10.1080/23288604.2016.1202368")</f>
        <v>http://dx.doi.org/10.1080/23288604.2016.1202368</v>
      </c>
      <c r="BL39" t="s">
        <v>69</v>
      </c>
      <c r="BM39" t="s">
        <v>69</v>
      </c>
      <c r="BN39">
        <v>6</v>
      </c>
      <c r="BO39" t="s">
        <v>19970</v>
      </c>
      <c r="BP39" t="s">
        <v>8573</v>
      </c>
      <c r="BQ39" t="s">
        <v>11565</v>
      </c>
      <c r="BR39" t="s">
        <v>22224</v>
      </c>
      <c r="BS39" t="s">
        <v>7019</v>
      </c>
      <c r="BT39">
        <v>31514717</v>
      </c>
      <c r="BU39" t="s">
        <v>9374</v>
      </c>
      <c r="BV39" t="s">
        <v>69</v>
      </c>
      <c r="BW39" t="s">
        <v>69</v>
      </c>
      <c r="BX39" t="s">
        <v>8526</v>
      </c>
      <c r="BY39" t="str">
        <f>HYPERLINK("https%3A%2F%2Fwww.webofscience.com%2Fwos%2Fwoscc%2Ffull-record%2FWOS:000445285800009","View Full Record in Web of Science")</f>
        <v>View Full Record in Web of Science</v>
      </c>
    </row>
    <row r="40" spans="1:77" ht="12.5" x14ac:dyDescent="0.25">
      <c r="A40" t="s">
        <v>8495</v>
      </c>
      <c r="B40" s="22" t="s">
        <v>32931</v>
      </c>
      <c r="C40" s="7"/>
      <c r="D40" s="7"/>
      <c r="E40" s="7"/>
      <c r="F40" t="s">
        <v>67</v>
      </c>
      <c r="G40" t="s">
        <v>9665</v>
      </c>
      <c r="H40" t="s">
        <v>69</v>
      </c>
      <c r="I40" t="s">
        <v>69</v>
      </c>
      <c r="J40" t="s">
        <v>69</v>
      </c>
      <c r="K40" t="s">
        <v>9666</v>
      </c>
      <c r="L40" t="s">
        <v>69</v>
      </c>
      <c r="M40" t="s">
        <v>69</v>
      </c>
      <c r="N40" t="s">
        <v>9667</v>
      </c>
      <c r="O40" t="s">
        <v>9668</v>
      </c>
      <c r="P40" t="s">
        <v>69</v>
      </c>
      <c r="Q40" t="s">
        <v>69</v>
      </c>
      <c r="R40" t="s">
        <v>8505</v>
      </c>
      <c r="S40" t="s">
        <v>8506</v>
      </c>
      <c r="T40" t="s">
        <v>69</v>
      </c>
      <c r="U40" t="s">
        <v>69</v>
      </c>
      <c r="V40" t="s">
        <v>69</v>
      </c>
      <c r="W40" t="s">
        <v>69</v>
      </c>
      <c r="X40" t="s">
        <v>69</v>
      </c>
      <c r="Y40" t="s">
        <v>9669</v>
      </c>
      <c r="Z40" t="s">
        <v>9670</v>
      </c>
      <c r="AA40" t="s">
        <v>9671</v>
      </c>
      <c r="AB40" t="s">
        <v>9672</v>
      </c>
      <c r="AC40" t="s">
        <v>69</v>
      </c>
      <c r="AD40" t="s">
        <v>9673</v>
      </c>
      <c r="AE40" t="s">
        <v>9674</v>
      </c>
      <c r="AF40" t="s">
        <v>69</v>
      </c>
      <c r="AG40" t="s">
        <v>69</v>
      </c>
      <c r="AH40" t="s">
        <v>9675</v>
      </c>
      <c r="AI40" t="s">
        <v>9676</v>
      </c>
      <c r="AJ40" t="s">
        <v>9677</v>
      </c>
      <c r="AK40" t="s">
        <v>69</v>
      </c>
      <c r="AL40">
        <v>45</v>
      </c>
      <c r="AM40">
        <v>0</v>
      </c>
      <c r="AN40">
        <v>0</v>
      </c>
      <c r="AO40">
        <v>7</v>
      </c>
      <c r="AP40">
        <v>7</v>
      </c>
      <c r="AQ40" t="s">
        <v>8516</v>
      </c>
      <c r="AR40" t="s">
        <v>8517</v>
      </c>
      <c r="AS40" t="s">
        <v>8518</v>
      </c>
      <c r="AT40" t="s">
        <v>9678</v>
      </c>
      <c r="AU40" t="s">
        <v>9679</v>
      </c>
      <c r="AV40" t="s">
        <v>69</v>
      </c>
      <c r="AW40" t="s">
        <v>9680</v>
      </c>
      <c r="AX40" t="s">
        <v>9681</v>
      </c>
      <c r="AY40" t="s">
        <v>94</v>
      </c>
      <c r="AZ40">
        <v>2022</v>
      </c>
      <c r="BA40">
        <v>208</v>
      </c>
      <c r="BB40" t="s">
        <v>69</v>
      </c>
      <c r="BC40" t="s">
        <v>69</v>
      </c>
      <c r="BD40" t="s">
        <v>69</v>
      </c>
      <c r="BE40" t="s">
        <v>69</v>
      </c>
      <c r="BF40" t="s">
        <v>69</v>
      </c>
      <c r="BG40" t="s">
        <v>69</v>
      </c>
      <c r="BH40" t="s">
        <v>69</v>
      </c>
      <c r="BI40">
        <v>106637</v>
      </c>
      <c r="BJ40" t="s">
        <v>9682</v>
      </c>
      <c r="BK40" t="str">
        <f>HYPERLINK("http://dx.doi.org/10.1016/j.smallrumres.2022.106637","http://dx.doi.org/10.1016/j.smallrumres.2022.106637")</f>
        <v>http://dx.doi.org/10.1016/j.smallrumres.2022.106637</v>
      </c>
      <c r="BL40" t="s">
        <v>69</v>
      </c>
      <c r="BM40" t="s">
        <v>69</v>
      </c>
      <c r="BN40">
        <v>10</v>
      </c>
      <c r="BO40" t="s">
        <v>9683</v>
      </c>
      <c r="BP40" t="s">
        <v>8548</v>
      </c>
      <c r="BQ40" t="s">
        <v>8450</v>
      </c>
      <c r="BR40" t="s">
        <v>9684</v>
      </c>
      <c r="BS40" t="s">
        <v>9685</v>
      </c>
      <c r="BT40" t="s">
        <v>69</v>
      </c>
      <c r="BU40" t="s">
        <v>69</v>
      </c>
      <c r="BV40" t="s">
        <v>69</v>
      </c>
      <c r="BW40" t="s">
        <v>69</v>
      </c>
      <c r="BX40" t="s">
        <v>8526</v>
      </c>
      <c r="BY40" t="str">
        <f>HYPERLINK("https%3A%2F%2Fwww.webofscience.com%2Fwos%2Fwoscc%2Ffull-record%2FWOS:000788062900008","View Full Record in Web of Science")</f>
        <v>View Full Record in Web of Science</v>
      </c>
    </row>
    <row r="41" spans="1:77" ht="12.5" x14ac:dyDescent="0.25">
      <c r="A41" t="s">
        <v>8495</v>
      </c>
      <c r="B41" s="7" t="s">
        <v>32933</v>
      </c>
      <c r="C41" s="7"/>
      <c r="D41" s="7"/>
      <c r="E41" s="7"/>
      <c r="F41" t="s">
        <v>67</v>
      </c>
      <c r="G41" t="s">
        <v>6300</v>
      </c>
      <c r="H41" t="s">
        <v>69</v>
      </c>
      <c r="I41" t="s">
        <v>69</v>
      </c>
      <c r="J41" t="s">
        <v>69</v>
      </c>
      <c r="K41" t="s">
        <v>6301</v>
      </c>
      <c r="L41" t="s">
        <v>69</v>
      </c>
      <c r="M41" t="s">
        <v>69</v>
      </c>
      <c r="N41" t="s">
        <v>6302</v>
      </c>
      <c r="O41" t="s">
        <v>6303</v>
      </c>
      <c r="P41" t="s">
        <v>69</v>
      </c>
      <c r="Q41" t="s">
        <v>69</v>
      </c>
      <c r="R41" t="s">
        <v>8505</v>
      </c>
      <c r="S41" t="s">
        <v>8506</v>
      </c>
      <c r="T41" t="s">
        <v>69</v>
      </c>
      <c r="U41" t="s">
        <v>69</v>
      </c>
      <c r="V41" t="s">
        <v>69</v>
      </c>
      <c r="W41" t="s">
        <v>69</v>
      </c>
      <c r="X41" t="s">
        <v>69</v>
      </c>
      <c r="Y41" t="s">
        <v>69</v>
      </c>
      <c r="Z41" t="s">
        <v>69</v>
      </c>
      <c r="AA41" t="s">
        <v>6304</v>
      </c>
      <c r="AB41" t="s">
        <v>22794</v>
      </c>
      <c r="AC41" t="s">
        <v>69</v>
      </c>
      <c r="AD41" t="s">
        <v>22795</v>
      </c>
      <c r="AE41" t="s">
        <v>22796</v>
      </c>
      <c r="AF41" t="s">
        <v>69</v>
      </c>
      <c r="AG41" t="s">
        <v>69</v>
      </c>
      <c r="AH41" t="s">
        <v>69</v>
      </c>
      <c r="AI41" t="s">
        <v>69</v>
      </c>
      <c r="AJ41" t="s">
        <v>69</v>
      </c>
      <c r="AK41" t="s">
        <v>69</v>
      </c>
      <c r="AL41">
        <v>23</v>
      </c>
      <c r="AM41">
        <v>2</v>
      </c>
      <c r="AN41">
        <v>2</v>
      </c>
      <c r="AO41">
        <v>1</v>
      </c>
      <c r="AP41">
        <v>4</v>
      </c>
      <c r="AQ41" t="s">
        <v>8865</v>
      </c>
      <c r="AR41" t="s">
        <v>8612</v>
      </c>
      <c r="AS41" t="s">
        <v>8866</v>
      </c>
      <c r="AT41" t="s">
        <v>6305</v>
      </c>
      <c r="AU41" t="s">
        <v>6306</v>
      </c>
      <c r="AV41" t="s">
        <v>69</v>
      </c>
      <c r="AW41" t="s">
        <v>6303</v>
      </c>
      <c r="AX41" t="s">
        <v>22797</v>
      </c>
      <c r="AY41" t="s">
        <v>4530</v>
      </c>
      <c r="AZ41">
        <v>2015</v>
      </c>
      <c r="BA41">
        <v>51</v>
      </c>
      <c r="BB41">
        <v>2</v>
      </c>
      <c r="BC41" t="s">
        <v>69</v>
      </c>
      <c r="BD41" t="s">
        <v>69</v>
      </c>
      <c r="BE41" t="s">
        <v>69</v>
      </c>
      <c r="BF41" t="s">
        <v>69</v>
      </c>
      <c r="BG41">
        <v>16</v>
      </c>
      <c r="BH41">
        <v>27</v>
      </c>
      <c r="BI41" t="s">
        <v>69</v>
      </c>
      <c r="BJ41" t="s">
        <v>6307</v>
      </c>
      <c r="BK41" t="str">
        <f>HYPERLINK("http://dx.doi.org/10.1080/02513625.2015.1064644","http://dx.doi.org/10.1080/02513625.2015.1064644")</f>
        <v>http://dx.doi.org/10.1080/02513625.2015.1064644</v>
      </c>
      <c r="BL41" t="s">
        <v>69</v>
      </c>
      <c r="BM41" t="s">
        <v>69</v>
      </c>
      <c r="BN41">
        <v>12</v>
      </c>
      <c r="BO41" t="s">
        <v>14187</v>
      </c>
      <c r="BP41" t="s">
        <v>8661</v>
      </c>
      <c r="BQ41" t="s">
        <v>12182</v>
      </c>
      <c r="BR41" t="s">
        <v>22798</v>
      </c>
      <c r="BS41" t="s">
        <v>6308</v>
      </c>
      <c r="BT41" t="s">
        <v>69</v>
      </c>
      <c r="BU41" t="s">
        <v>10423</v>
      </c>
      <c r="BV41" t="s">
        <v>69</v>
      </c>
      <c r="BW41" t="s">
        <v>69</v>
      </c>
      <c r="BX41" t="s">
        <v>8526</v>
      </c>
      <c r="BY41" t="str">
        <f>HYPERLINK("https%3A%2F%2Fwww.webofscience.com%2Fwos%2Fwoscc%2Ffull-record%2FWOS:000359695300004","View Full Record in Web of Science")</f>
        <v>View Full Record in Web of Science</v>
      </c>
    </row>
    <row r="42" spans="1:77" ht="12.5" x14ac:dyDescent="0.25">
      <c r="A42" t="s">
        <v>8495</v>
      </c>
      <c r="B42" s="22" t="s">
        <v>32931</v>
      </c>
      <c r="C42" s="7"/>
      <c r="D42" s="7"/>
      <c r="E42" s="7"/>
      <c r="F42" t="s">
        <v>67</v>
      </c>
      <c r="G42" t="s">
        <v>19125</v>
      </c>
      <c r="H42" t="s">
        <v>69</v>
      </c>
      <c r="I42" t="s">
        <v>69</v>
      </c>
      <c r="J42" t="s">
        <v>69</v>
      </c>
      <c r="K42" t="s">
        <v>19126</v>
      </c>
      <c r="L42" t="s">
        <v>69</v>
      </c>
      <c r="M42" t="s">
        <v>69</v>
      </c>
      <c r="N42" t="s">
        <v>19127</v>
      </c>
      <c r="O42" t="s">
        <v>19128</v>
      </c>
      <c r="P42" t="s">
        <v>69</v>
      </c>
      <c r="Q42" t="s">
        <v>69</v>
      </c>
      <c r="R42" t="s">
        <v>8505</v>
      </c>
      <c r="S42" t="s">
        <v>8506</v>
      </c>
      <c r="T42" t="s">
        <v>69</v>
      </c>
      <c r="U42" t="s">
        <v>69</v>
      </c>
      <c r="V42" t="s">
        <v>69</v>
      </c>
      <c r="W42" t="s">
        <v>69</v>
      </c>
      <c r="X42" t="s">
        <v>69</v>
      </c>
      <c r="Y42" t="s">
        <v>19129</v>
      </c>
      <c r="Z42" t="s">
        <v>19130</v>
      </c>
      <c r="AA42" t="s">
        <v>19131</v>
      </c>
      <c r="AB42" t="s">
        <v>19132</v>
      </c>
      <c r="AC42" t="s">
        <v>69</v>
      </c>
      <c r="AD42" t="s">
        <v>19133</v>
      </c>
      <c r="AE42" t="s">
        <v>19134</v>
      </c>
      <c r="AF42" t="s">
        <v>1904</v>
      </c>
      <c r="AG42" t="s">
        <v>19135</v>
      </c>
      <c r="AH42" t="s">
        <v>69</v>
      </c>
      <c r="AI42" t="s">
        <v>69</v>
      </c>
      <c r="AJ42" t="s">
        <v>69</v>
      </c>
      <c r="AK42" t="s">
        <v>69</v>
      </c>
      <c r="AL42">
        <v>62</v>
      </c>
      <c r="AM42">
        <v>34</v>
      </c>
      <c r="AN42">
        <v>34</v>
      </c>
      <c r="AO42">
        <v>1</v>
      </c>
      <c r="AP42">
        <v>15</v>
      </c>
      <c r="AQ42" t="s">
        <v>8636</v>
      </c>
      <c r="AR42" t="s">
        <v>8637</v>
      </c>
      <c r="AS42" t="s">
        <v>8638</v>
      </c>
      <c r="AT42" t="s">
        <v>19136</v>
      </c>
      <c r="AU42" t="s">
        <v>19137</v>
      </c>
      <c r="AV42" t="s">
        <v>69</v>
      </c>
      <c r="AW42" t="s">
        <v>19138</v>
      </c>
      <c r="AX42" t="s">
        <v>19139</v>
      </c>
      <c r="AY42" t="s">
        <v>1384</v>
      </c>
      <c r="AZ42">
        <v>2018</v>
      </c>
      <c r="BA42">
        <v>212</v>
      </c>
      <c r="BB42" t="s">
        <v>69</v>
      </c>
      <c r="BC42" t="s">
        <v>69</v>
      </c>
      <c r="BD42" t="s">
        <v>69</v>
      </c>
      <c r="BE42" t="s">
        <v>69</v>
      </c>
      <c r="BF42" t="s">
        <v>69</v>
      </c>
      <c r="BG42">
        <v>428</v>
      </c>
      <c r="BH42">
        <v>442</v>
      </c>
      <c r="BI42" t="s">
        <v>69</v>
      </c>
      <c r="BJ42" t="s">
        <v>19140</v>
      </c>
      <c r="BK42" t="str">
        <f>HYPERLINK("http://dx.doi.org/10.1016/j.apenergy.2017.12.066","http://dx.doi.org/10.1016/j.apenergy.2017.12.066")</f>
        <v>http://dx.doi.org/10.1016/j.apenergy.2017.12.066</v>
      </c>
      <c r="BL42" t="s">
        <v>69</v>
      </c>
      <c r="BM42" t="s">
        <v>69</v>
      </c>
      <c r="BN42">
        <v>15</v>
      </c>
      <c r="BO42" t="s">
        <v>19141</v>
      </c>
      <c r="BP42" t="s">
        <v>8548</v>
      </c>
      <c r="BQ42" t="s">
        <v>19142</v>
      </c>
      <c r="BR42" t="s">
        <v>19143</v>
      </c>
      <c r="BS42" t="s">
        <v>19144</v>
      </c>
      <c r="BT42" t="s">
        <v>69</v>
      </c>
      <c r="BU42" t="s">
        <v>8622</v>
      </c>
      <c r="BV42" t="s">
        <v>69</v>
      </c>
      <c r="BW42" t="s">
        <v>69</v>
      </c>
      <c r="BX42" t="s">
        <v>8526</v>
      </c>
      <c r="BY42" t="str">
        <f>HYPERLINK("https%3A%2F%2Fwww.webofscience.com%2Fwos%2Fwoscc%2Ffull-record%2FWOS:000425200700031","View Full Record in Web of Science")</f>
        <v>View Full Record in Web of Science</v>
      </c>
    </row>
    <row r="43" spans="1:77" ht="12.5" x14ac:dyDescent="0.25">
      <c r="A43" t="s">
        <v>8495</v>
      </c>
      <c r="B43" s="7" t="s">
        <v>32933</v>
      </c>
      <c r="C43" s="7"/>
      <c r="D43" s="7"/>
      <c r="E43" s="7"/>
      <c r="F43" t="s">
        <v>67</v>
      </c>
      <c r="G43" t="s">
        <v>6107</v>
      </c>
      <c r="H43" t="s">
        <v>69</v>
      </c>
      <c r="I43" t="s">
        <v>69</v>
      </c>
      <c r="J43" t="s">
        <v>69</v>
      </c>
      <c r="K43" t="s">
        <v>6108</v>
      </c>
      <c r="L43" t="s">
        <v>69</v>
      </c>
      <c r="M43" t="s">
        <v>69</v>
      </c>
      <c r="N43" t="s">
        <v>6109</v>
      </c>
      <c r="O43" t="s">
        <v>352</v>
      </c>
      <c r="P43" t="s">
        <v>69</v>
      </c>
      <c r="Q43" t="s">
        <v>69</v>
      </c>
      <c r="R43" t="s">
        <v>8505</v>
      </c>
      <c r="S43" t="s">
        <v>8506</v>
      </c>
      <c r="T43" t="s">
        <v>69</v>
      </c>
      <c r="U43" t="s">
        <v>69</v>
      </c>
      <c r="V43" t="s">
        <v>69</v>
      </c>
      <c r="W43" t="s">
        <v>69</v>
      </c>
      <c r="X43" t="s">
        <v>69</v>
      </c>
      <c r="Y43" t="s">
        <v>18568</v>
      </c>
      <c r="Z43" t="s">
        <v>18569</v>
      </c>
      <c r="AA43" t="s">
        <v>6110</v>
      </c>
      <c r="AB43" t="s">
        <v>18570</v>
      </c>
      <c r="AC43" t="s">
        <v>69</v>
      </c>
      <c r="AD43" t="s">
        <v>18571</v>
      </c>
      <c r="AE43" t="s">
        <v>18572</v>
      </c>
      <c r="AF43" t="s">
        <v>69</v>
      </c>
      <c r="AG43" t="s">
        <v>69</v>
      </c>
      <c r="AH43" t="s">
        <v>69</v>
      </c>
      <c r="AI43" t="s">
        <v>69</v>
      </c>
      <c r="AJ43" t="s">
        <v>69</v>
      </c>
      <c r="AK43" t="s">
        <v>69</v>
      </c>
      <c r="AL43">
        <v>28</v>
      </c>
      <c r="AM43">
        <v>2</v>
      </c>
      <c r="AN43">
        <v>2</v>
      </c>
      <c r="AO43">
        <v>3</v>
      </c>
      <c r="AP43">
        <v>16</v>
      </c>
      <c r="AQ43" t="s">
        <v>8924</v>
      </c>
      <c r="AR43" t="s">
        <v>8925</v>
      </c>
      <c r="AS43" t="s">
        <v>8926</v>
      </c>
      <c r="AT43" t="s">
        <v>69</v>
      </c>
      <c r="AU43" t="s">
        <v>354</v>
      </c>
      <c r="AV43" t="s">
        <v>69</v>
      </c>
      <c r="AW43" t="s">
        <v>8958</v>
      </c>
      <c r="AX43" t="s">
        <v>8434</v>
      </c>
      <c r="AY43" t="s">
        <v>84</v>
      </c>
      <c r="AZ43">
        <v>2018</v>
      </c>
      <c r="BA43">
        <v>10</v>
      </c>
      <c r="BB43">
        <v>7</v>
      </c>
      <c r="BC43" t="s">
        <v>69</v>
      </c>
      <c r="BD43" t="s">
        <v>69</v>
      </c>
      <c r="BE43" t="s">
        <v>69</v>
      </c>
      <c r="BF43" t="s">
        <v>69</v>
      </c>
      <c r="BG43" t="s">
        <v>69</v>
      </c>
      <c r="BH43" t="s">
        <v>69</v>
      </c>
      <c r="BI43">
        <v>2354</v>
      </c>
      <c r="BJ43" t="s">
        <v>6111</v>
      </c>
      <c r="BK43" t="str">
        <f>HYPERLINK("http://dx.doi.org/10.3390/su10072354","http://dx.doi.org/10.3390/su10072354")</f>
        <v>http://dx.doi.org/10.3390/su10072354</v>
      </c>
      <c r="BL43" t="s">
        <v>69</v>
      </c>
      <c r="BM43" t="s">
        <v>69</v>
      </c>
      <c r="BN43">
        <v>11</v>
      </c>
      <c r="BO43" t="s">
        <v>8960</v>
      </c>
      <c r="BP43" t="s">
        <v>8523</v>
      </c>
      <c r="BQ43" t="s">
        <v>8961</v>
      </c>
      <c r="BR43" t="s">
        <v>18573</v>
      </c>
      <c r="BS43" t="s">
        <v>6112</v>
      </c>
      <c r="BT43" t="s">
        <v>69</v>
      </c>
      <c r="BU43" t="s">
        <v>8812</v>
      </c>
      <c r="BV43" t="s">
        <v>69</v>
      </c>
      <c r="BW43" t="s">
        <v>69</v>
      </c>
      <c r="BX43" t="s">
        <v>8526</v>
      </c>
      <c r="BY43" t="str">
        <f>HYPERLINK("https%3A%2F%2Fwww.webofscience.com%2Fwos%2Fwoscc%2Ffull-record%2FWOS:000440947600245","View Full Record in Web of Science")</f>
        <v>View Full Record in Web of Science</v>
      </c>
    </row>
    <row r="44" spans="1:77" ht="12.5" x14ac:dyDescent="0.25">
      <c r="A44" t="s">
        <v>8495</v>
      </c>
      <c r="B44" s="22" t="s">
        <v>32931</v>
      </c>
      <c r="C44" s="7"/>
      <c r="D44" s="7"/>
      <c r="E44" s="7"/>
      <c r="F44" t="s">
        <v>67</v>
      </c>
      <c r="G44" t="s">
        <v>11098</v>
      </c>
      <c r="H44" t="s">
        <v>69</v>
      </c>
      <c r="I44" t="s">
        <v>69</v>
      </c>
      <c r="J44" t="s">
        <v>69</v>
      </c>
      <c r="K44" t="s">
        <v>11099</v>
      </c>
      <c r="L44" t="s">
        <v>69</v>
      </c>
      <c r="M44" t="s">
        <v>69</v>
      </c>
      <c r="N44" t="s">
        <v>11100</v>
      </c>
      <c r="O44" t="s">
        <v>11101</v>
      </c>
      <c r="P44" t="s">
        <v>69</v>
      </c>
      <c r="Q44" t="s">
        <v>69</v>
      </c>
      <c r="R44" t="s">
        <v>8505</v>
      </c>
      <c r="S44" t="s">
        <v>8506</v>
      </c>
      <c r="T44" t="s">
        <v>69</v>
      </c>
      <c r="U44" t="s">
        <v>69</v>
      </c>
      <c r="V44" t="s">
        <v>69</v>
      </c>
      <c r="W44" t="s">
        <v>69</v>
      </c>
      <c r="X44" t="s">
        <v>69</v>
      </c>
      <c r="Y44" t="s">
        <v>11102</v>
      </c>
      <c r="Z44" t="s">
        <v>11103</v>
      </c>
      <c r="AA44" t="s">
        <v>11104</v>
      </c>
      <c r="AB44" t="s">
        <v>11105</v>
      </c>
      <c r="AC44" t="s">
        <v>69</v>
      </c>
      <c r="AD44" t="s">
        <v>11106</v>
      </c>
      <c r="AE44" t="s">
        <v>11107</v>
      </c>
      <c r="AF44" t="s">
        <v>69</v>
      </c>
      <c r="AG44" t="s">
        <v>11108</v>
      </c>
      <c r="AH44" t="s">
        <v>69</v>
      </c>
      <c r="AI44" t="s">
        <v>69</v>
      </c>
      <c r="AJ44" t="s">
        <v>69</v>
      </c>
      <c r="AK44" t="s">
        <v>69</v>
      </c>
      <c r="AL44">
        <v>114</v>
      </c>
      <c r="AM44">
        <v>1</v>
      </c>
      <c r="AN44">
        <v>1</v>
      </c>
      <c r="AO44">
        <v>4</v>
      </c>
      <c r="AP44">
        <v>5</v>
      </c>
      <c r="AQ44" t="s">
        <v>8846</v>
      </c>
      <c r="AR44" t="s">
        <v>8847</v>
      </c>
      <c r="AS44" t="s">
        <v>8848</v>
      </c>
      <c r="AT44" t="s">
        <v>11109</v>
      </c>
      <c r="AU44" t="s">
        <v>11110</v>
      </c>
      <c r="AV44" t="s">
        <v>69</v>
      </c>
      <c r="AW44" t="s">
        <v>11111</v>
      </c>
      <c r="AX44" t="s">
        <v>11112</v>
      </c>
      <c r="AY44" t="s">
        <v>373</v>
      </c>
      <c r="AZ44">
        <v>2022</v>
      </c>
      <c r="BA44">
        <v>59</v>
      </c>
      <c r="BB44">
        <v>1</v>
      </c>
      <c r="BC44" t="s">
        <v>69</v>
      </c>
      <c r="BD44" t="s">
        <v>69</v>
      </c>
      <c r="BE44" t="s">
        <v>114</v>
      </c>
      <c r="BF44" t="s">
        <v>69</v>
      </c>
      <c r="BG44">
        <v>14</v>
      </c>
      <c r="BH44">
        <v>33</v>
      </c>
      <c r="BI44" t="s">
        <v>69</v>
      </c>
      <c r="BJ44" t="s">
        <v>11113</v>
      </c>
      <c r="BK44" t="str">
        <f>HYPERLINK("http://dx.doi.org/10.1002/pits.22593","http://dx.doi.org/10.1002/pits.22593")</f>
        <v>http://dx.doi.org/10.1002/pits.22593</v>
      </c>
      <c r="BL44" t="s">
        <v>69</v>
      </c>
      <c r="BM44" t="s">
        <v>10991</v>
      </c>
      <c r="BN44">
        <v>20</v>
      </c>
      <c r="BO44" t="s">
        <v>11114</v>
      </c>
      <c r="BP44" t="s">
        <v>8661</v>
      </c>
      <c r="BQ44" t="s">
        <v>9001</v>
      </c>
      <c r="BR44" t="s">
        <v>11115</v>
      </c>
      <c r="BS44" t="s">
        <v>11116</v>
      </c>
      <c r="BT44" t="s">
        <v>69</v>
      </c>
      <c r="BU44" t="s">
        <v>69</v>
      </c>
      <c r="BV44" t="s">
        <v>69</v>
      </c>
      <c r="BW44" t="s">
        <v>69</v>
      </c>
      <c r="BX44" t="s">
        <v>8526</v>
      </c>
      <c r="BY44" t="str">
        <f>HYPERLINK("https%3A%2F%2Fwww.webofscience.com%2Fwos%2Fwoscc%2Ffull-record%2FWOS:000705113400001","View Full Record in Web of Science")</f>
        <v>View Full Record in Web of Science</v>
      </c>
    </row>
    <row r="45" spans="1:77" ht="12.5" x14ac:dyDescent="0.25">
      <c r="A45" t="s">
        <v>8495</v>
      </c>
      <c r="B45" s="22" t="s">
        <v>32931</v>
      </c>
      <c r="C45" s="7"/>
      <c r="D45" s="7"/>
      <c r="E45" s="7"/>
      <c r="F45" t="s">
        <v>67</v>
      </c>
      <c r="G45" t="s">
        <v>11508</v>
      </c>
      <c r="H45" t="s">
        <v>69</v>
      </c>
      <c r="I45" t="s">
        <v>69</v>
      </c>
      <c r="J45" t="s">
        <v>69</v>
      </c>
      <c r="K45" t="s">
        <v>11509</v>
      </c>
      <c r="L45" t="s">
        <v>69</v>
      </c>
      <c r="M45" t="s">
        <v>69</v>
      </c>
      <c r="N45" t="s">
        <v>11510</v>
      </c>
      <c r="O45" t="s">
        <v>11511</v>
      </c>
      <c r="P45" t="s">
        <v>69</v>
      </c>
      <c r="Q45" t="s">
        <v>69</v>
      </c>
      <c r="R45" t="s">
        <v>8505</v>
      </c>
      <c r="S45" t="s">
        <v>8556</v>
      </c>
      <c r="T45" t="s">
        <v>69</v>
      </c>
      <c r="U45" t="s">
        <v>69</v>
      </c>
      <c r="V45" t="s">
        <v>69</v>
      </c>
      <c r="W45" t="s">
        <v>69</v>
      </c>
      <c r="X45" t="s">
        <v>69</v>
      </c>
      <c r="Y45" t="s">
        <v>11512</v>
      </c>
      <c r="Z45" t="s">
        <v>11513</v>
      </c>
      <c r="AA45" t="s">
        <v>11514</v>
      </c>
      <c r="AB45" t="s">
        <v>11515</v>
      </c>
      <c r="AC45" t="s">
        <v>69</v>
      </c>
      <c r="AD45" t="s">
        <v>11516</v>
      </c>
      <c r="AE45" t="s">
        <v>11517</v>
      </c>
      <c r="AF45" t="s">
        <v>69</v>
      </c>
      <c r="AG45" t="s">
        <v>11518</v>
      </c>
      <c r="AH45" t="s">
        <v>69</v>
      </c>
      <c r="AI45" t="s">
        <v>69</v>
      </c>
      <c r="AJ45" t="s">
        <v>69</v>
      </c>
      <c r="AK45" t="s">
        <v>69</v>
      </c>
      <c r="AL45">
        <v>84</v>
      </c>
      <c r="AM45">
        <v>0</v>
      </c>
      <c r="AN45">
        <v>0</v>
      </c>
      <c r="AO45">
        <v>1</v>
      </c>
      <c r="AP45">
        <v>4</v>
      </c>
      <c r="AQ45" t="s">
        <v>8865</v>
      </c>
      <c r="AR45" t="s">
        <v>8612</v>
      </c>
      <c r="AS45" t="s">
        <v>8866</v>
      </c>
      <c r="AT45" t="s">
        <v>11519</v>
      </c>
      <c r="AU45" t="s">
        <v>11520</v>
      </c>
      <c r="AV45" t="s">
        <v>69</v>
      </c>
      <c r="AW45" t="s">
        <v>11521</v>
      </c>
      <c r="AX45" t="s">
        <v>11522</v>
      </c>
      <c r="AY45" t="s">
        <v>69</v>
      </c>
      <c r="AZ45" t="s">
        <v>69</v>
      </c>
      <c r="BA45" t="s">
        <v>69</v>
      </c>
      <c r="BB45" t="s">
        <v>69</v>
      </c>
      <c r="BC45" t="s">
        <v>69</v>
      </c>
      <c r="BD45" t="s">
        <v>69</v>
      </c>
      <c r="BE45" t="s">
        <v>69</v>
      </c>
      <c r="BF45" t="s">
        <v>69</v>
      </c>
      <c r="BG45" t="s">
        <v>69</v>
      </c>
      <c r="BH45" t="s">
        <v>69</v>
      </c>
      <c r="BI45" t="s">
        <v>69</v>
      </c>
      <c r="BJ45" t="s">
        <v>11523</v>
      </c>
      <c r="BK45" t="str">
        <f>HYPERLINK("http://dx.doi.org/10.1080/10291954.2021.1938882","http://dx.doi.org/10.1080/10291954.2021.1938882")</f>
        <v>http://dx.doi.org/10.1080/10291954.2021.1938882</v>
      </c>
      <c r="BL45" t="s">
        <v>69</v>
      </c>
      <c r="BM45" t="s">
        <v>11486</v>
      </c>
      <c r="BN45">
        <v>18</v>
      </c>
      <c r="BO45" t="s">
        <v>9749</v>
      </c>
      <c r="BP45" t="s">
        <v>8573</v>
      </c>
      <c r="BQ45" t="s">
        <v>8594</v>
      </c>
      <c r="BR45" t="s">
        <v>11524</v>
      </c>
      <c r="BS45" t="s">
        <v>11525</v>
      </c>
      <c r="BT45" t="s">
        <v>69</v>
      </c>
      <c r="BU45" t="s">
        <v>69</v>
      </c>
      <c r="BV45" t="s">
        <v>69</v>
      </c>
      <c r="BW45" t="s">
        <v>69</v>
      </c>
      <c r="BX45" t="s">
        <v>8526</v>
      </c>
      <c r="BY45" t="str">
        <f>HYPERLINK("https%3A%2F%2Fwww.webofscience.com%2Fwos%2Fwoscc%2Ffull-record%2FWOS:000690311600001","View Full Record in Web of Science")</f>
        <v>View Full Record in Web of Science</v>
      </c>
    </row>
    <row r="46" spans="1:77" ht="12.5" x14ac:dyDescent="0.25">
      <c r="A46" t="s">
        <v>8495</v>
      </c>
      <c r="B46" s="11" t="s">
        <v>32936</v>
      </c>
      <c r="C46" s="7" t="s">
        <v>33080</v>
      </c>
      <c r="D46" s="7"/>
      <c r="E46" s="7" t="s">
        <v>8490</v>
      </c>
      <c r="F46" t="s">
        <v>67</v>
      </c>
      <c r="G46" t="s">
        <v>10818</v>
      </c>
      <c r="H46" t="s">
        <v>69</v>
      </c>
      <c r="I46" t="s">
        <v>69</v>
      </c>
      <c r="J46" t="s">
        <v>69</v>
      </c>
      <c r="K46" t="s">
        <v>10819</v>
      </c>
      <c r="L46" t="s">
        <v>69</v>
      </c>
      <c r="M46" t="s">
        <v>69</v>
      </c>
      <c r="N46" t="s">
        <v>10820</v>
      </c>
      <c r="O46" t="s">
        <v>715</v>
      </c>
      <c r="P46" t="s">
        <v>69</v>
      </c>
      <c r="Q46" t="s">
        <v>69</v>
      </c>
      <c r="R46" t="s">
        <v>8505</v>
      </c>
      <c r="S46" t="s">
        <v>8506</v>
      </c>
      <c r="T46" t="s">
        <v>69</v>
      </c>
      <c r="U46" t="s">
        <v>69</v>
      </c>
      <c r="V46" t="s">
        <v>69</v>
      </c>
      <c r="W46" t="s">
        <v>69</v>
      </c>
      <c r="X46" t="s">
        <v>69</v>
      </c>
      <c r="Y46" t="s">
        <v>10821</v>
      </c>
      <c r="Z46" t="s">
        <v>10822</v>
      </c>
      <c r="AA46" t="s">
        <v>10823</v>
      </c>
      <c r="AB46" t="s">
        <v>10824</v>
      </c>
      <c r="AC46" t="s">
        <v>69</v>
      </c>
      <c r="AD46" t="s">
        <v>10825</v>
      </c>
      <c r="AE46" t="s">
        <v>10826</v>
      </c>
      <c r="AF46" t="s">
        <v>10827</v>
      </c>
      <c r="AG46" t="s">
        <v>10828</v>
      </c>
      <c r="AH46" t="s">
        <v>69</v>
      </c>
      <c r="AI46" t="s">
        <v>69</v>
      </c>
      <c r="AJ46" t="s">
        <v>69</v>
      </c>
      <c r="AK46" t="s">
        <v>69</v>
      </c>
      <c r="AL46">
        <v>103</v>
      </c>
      <c r="AM46">
        <v>5</v>
      </c>
      <c r="AN46">
        <v>5</v>
      </c>
      <c r="AO46">
        <v>4</v>
      </c>
      <c r="AP46">
        <v>14</v>
      </c>
      <c r="AQ46" t="s">
        <v>8846</v>
      </c>
      <c r="AR46" t="s">
        <v>8847</v>
      </c>
      <c r="AS46" t="s">
        <v>8848</v>
      </c>
      <c r="AT46" t="s">
        <v>719</v>
      </c>
      <c r="AU46" t="s">
        <v>720</v>
      </c>
      <c r="AV46" t="s">
        <v>69</v>
      </c>
      <c r="AW46" t="s">
        <v>9110</v>
      </c>
      <c r="AX46" t="s">
        <v>9111</v>
      </c>
      <c r="AY46" t="s">
        <v>94</v>
      </c>
      <c r="AZ46">
        <v>2022</v>
      </c>
      <c r="BA46">
        <v>31</v>
      </c>
      <c r="BB46">
        <v>3</v>
      </c>
      <c r="BC46" t="s">
        <v>69</v>
      </c>
      <c r="BD46" t="s">
        <v>69</v>
      </c>
      <c r="BE46" t="s">
        <v>69</v>
      </c>
      <c r="BF46" t="s">
        <v>69</v>
      </c>
      <c r="BG46">
        <v>1074</v>
      </c>
      <c r="BH46">
        <v>1090</v>
      </c>
      <c r="BI46" t="s">
        <v>69</v>
      </c>
      <c r="BJ46" t="s">
        <v>10829</v>
      </c>
      <c r="BK46" t="str">
        <f>HYPERLINK("http://dx.doi.org/10.1002/bse.2936","http://dx.doi.org/10.1002/bse.2936")</f>
        <v>http://dx.doi.org/10.1002/bse.2936</v>
      </c>
      <c r="BL46" t="s">
        <v>69</v>
      </c>
      <c r="BM46" t="s">
        <v>10646</v>
      </c>
      <c r="BN46">
        <v>17</v>
      </c>
      <c r="BO46" t="s">
        <v>9113</v>
      </c>
      <c r="BP46" t="s">
        <v>8661</v>
      </c>
      <c r="BQ46" t="s">
        <v>9114</v>
      </c>
      <c r="BR46" t="s">
        <v>10830</v>
      </c>
      <c r="BS46" t="s">
        <v>10831</v>
      </c>
      <c r="BT46" t="s">
        <v>69</v>
      </c>
      <c r="BU46" t="s">
        <v>69</v>
      </c>
      <c r="BV46" t="s">
        <v>69</v>
      </c>
      <c r="BW46" t="s">
        <v>69</v>
      </c>
      <c r="BX46" t="s">
        <v>8526</v>
      </c>
      <c r="BY46" t="str">
        <f>HYPERLINK("https%3A%2F%2Fwww.webofscience.com%2Fwos%2Fwoscc%2Ffull-record%2FWOS:000715878300001","View Full Record in Web of Science")</f>
        <v>View Full Record in Web of Science</v>
      </c>
    </row>
    <row r="47" spans="1:77" ht="12.5" x14ac:dyDescent="0.25">
      <c r="A47" t="s">
        <v>8495</v>
      </c>
      <c r="B47" s="7" t="s">
        <v>32933</v>
      </c>
      <c r="C47" s="7"/>
      <c r="D47" s="7"/>
      <c r="E47" s="7"/>
      <c r="F47" t="s">
        <v>67</v>
      </c>
      <c r="G47" t="s">
        <v>5111</v>
      </c>
      <c r="H47" t="s">
        <v>69</v>
      </c>
      <c r="I47" t="s">
        <v>69</v>
      </c>
      <c r="J47" t="s">
        <v>69</v>
      </c>
      <c r="K47" t="s">
        <v>5112</v>
      </c>
      <c r="L47" t="s">
        <v>69</v>
      </c>
      <c r="M47" t="s">
        <v>69</v>
      </c>
      <c r="N47" t="s">
        <v>5113</v>
      </c>
      <c r="O47" t="s">
        <v>4337</v>
      </c>
      <c r="P47" t="s">
        <v>69</v>
      </c>
      <c r="Q47" t="s">
        <v>69</v>
      </c>
      <c r="R47" t="s">
        <v>8505</v>
      </c>
      <c r="S47" t="s">
        <v>8506</v>
      </c>
      <c r="T47" t="s">
        <v>69</v>
      </c>
      <c r="U47" t="s">
        <v>69</v>
      </c>
      <c r="V47" t="s">
        <v>69</v>
      </c>
      <c r="W47" t="s">
        <v>69</v>
      </c>
      <c r="X47" t="s">
        <v>69</v>
      </c>
      <c r="Y47" t="s">
        <v>26709</v>
      </c>
      <c r="Z47" t="s">
        <v>26710</v>
      </c>
      <c r="AA47" t="s">
        <v>5114</v>
      </c>
      <c r="AB47" t="s">
        <v>26711</v>
      </c>
      <c r="AC47" t="s">
        <v>69</v>
      </c>
      <c r="AD47" t="s">
        <v>26712</v>
      </c>
      <c r="AE47" t="s">
        <v>26713</v>
      </c>
      <c r="AF47" t="s">
        <v>69</v>
      </c>
      <c r="AG47" t="s">
        <v>69</v>
      </c>
      <c r="AH47" t="s">
        <v>69</v>
      </c>
      <c r="AI47" t="s">
        <v>69</v>
      </c>
      <c r="AJ47" t="s">
        <v>69</v>
      </c>
      <c r="AK47" t="s">
        <v>69</v>
      </c>
      <c r="AL47">
        <v>23</v>
      </c>
      <c r="AM47">
        <v>5</v>
      </c>
      <c r="AN47">
        <v>6</v>
      </c>
      <c r="AO47">
        <v>1</v>
      </c>
      <c r="AP47">
        <v>22</v>
      </c>
      <c r="AQ47" t="s">
        <v>8636</v>
      </c>
      <c r="AR47" t="s">
        <v>8637</v>
      </c>
      <c r="AS47" t="s">
        <v>8638</v>
      </c>
      <c r="AT47" t="s">
        <v>4341</v>
      </c>
      <c r="AU47" t="s">
        <v>69</v>
      </c>
      <c r="AV47" t="s">
        <v>69</v>
      </c>
      <c r="AW47" t="s">
        <v>4337</v>
      </c>
      <c r="AX47" t="s">
        <v>8447</v>
      </c>
      <c r="AY47" t="s">
        <v>75</v>
      </c>
      <c r="AZ47">
        <v>2011</v>
      </c>
      <c r="BA47">
        <v>28</v>
      </c>
      <c r="BB47">
        <v>6</v>
      </c>
      <c r="BC47" t="s">
        <v>69</v>
      </c>
      <c r="BD47" t="s">
        <v>69</v>
      </c>
      <c r="BE47" t="s">
        <v>114</v>
      </c>
      <c r="BF47" t="s">
        <v>69</v>
      </c>
      <c r="BG47">
        <v>567</v>
      </c>
      <c r="BH47">
        <v>575</v>
      </c>
      <c r="BI47" t="s">
        <v>69</v>
      </c>
      <c r="BJ47" t="s">
        <v>5115</v>
      </c>
      <c r="BK47" t="str">
        <f>HYPERLINK("http://dx.doi.org/10.1016/j.cities.2011.06.002","http://dx.doi.org/10.1016/j.cities.2011.06.002")</f>
        <v>http://dx.doi.org/10.1016/j.cities.2011.06.002</v>
      </c>
      <c r="BL47" t="s">
        <v>69</v>
      </c>
      <c r="BM47" t="s">
        <v>69</v>
      </c>
      <c r="BN47">
        <v>9</v>
      </c>
      <c r="BO47" t="s">
        <v>8475</v>
      </c>
      <c r="BP47" t="s">
        <v>8661</v>
      </c>
      <c r="BQ47" t="s">
        <v>8475</v>
      </c>
      <c r="BR47" t="s">
        <v>26714</v>
      </c>
      <c r="BS47" t="s">
        <v>5116</v>
      </c>
      <c r="BT47" t="s">
        <v>69</v>
      </c>
      <c r="BU47" t="s">
        <v>69</v>
      </c>
      <c r="BV47" t="s">
        <v>69</v>
      </c>
      <c r="BW47" t="s">
        <v>69</v>
      </c>
      <c r="BX47" t="s">
        <v>8526</v>
      </c>
      <c r="BY47" t="str">
        <f>HYPERLINK("https%3A%2F%2Fwww.webofscience.com%2Fwos%2Fwoscc%2Ffull-record%2FWOS:000296488100009","View Full Record in Web of Science")</f>
        <v>View Full Record in Web of Science</v>
      </c>
    </row>
    <row r="48" spans="1:77" ht="12.5" x14ac:dyDescent="0.25">
      <c r="A48" t="s">
        <v>8495</v>
      </c>
      <c r="B48" s="22" t="s">
        <v>32931</v>
      </c>
      <c r="C48" s="7"/>
      <c r="D48" s="7"/>
      <c r="E48" s="7"/>
      <c r="F48" t="s">
        <v>67</v>
      </c>
      <c r="G48" t="s">
        <v>27289</v>
      </c>
      <c r="H48" t="s">
        <v>69</v>
      </c>
      <c r="I48" t="s">
        <v>69</v>
      </c>
      <c r="J48" t="s">
        <v>69</v>
      </c>
      <c r="K48" t="s">
        <v>27290</v>
      </c>
      <c r="L48" t="s">
        <v>69</v>
      </c>
      <c r="M48" t="s">
        <v>69</v>
      </c>
      <c r="N48" t="s">
        <v>27291</v>
      </c>
      <c r="O48" t="s">
        <v>387</v>
      </c>
      <c r="P48" t="s">
        <v>69</v>
      </c>
      <c r="Q48" t="s">
        <v>69</v>
      </c>
      <c r="R48" t="s">
        <v>8505</v>
      </c>
      <c r="S48" t="s">
        <v>8506</v>
      </c>
      <c r="T48" t="s">
        <v>69</v>
      </c>
      <c r="U48" t="s">
        <v>69</v>
      </c>
      <c r="V48" t="s">
        <v>69</v>
      </c>
      <c r="W48" t="s">
        <v>69</v>
      </c>
      <c r="X48" t="s">
        <v>69</v>
      </c>
      <c r="Y48" t="s">
        <v>27292</v>
      </c>
      <c r="Z48" t="s">
        <v>27293</v>
      </c>
      <c r="AA48" t="s">
        <v>27294</v>
      </c>
      <c r="AB48" t="s">
        <v>27295</v>
      </c>
      <c r="AC48" t="s">
        <v>69</v>
      </c>
      <c r="AD48" t="s">
        <v>27296</v>
      </c>
      <c r="AE48" t="s">
        <v>27297</v>
      </c>
      <c r="AF48" t="s">
        <v>27298</v>
      </c>
      <c r="AG48" t="s">
        <v>27299</v>
      </c>
      <c r="AH48" t="s">
        <v>69</v>
      </c>
      <c r="AI48" t="s">
        <v>69</v>
      </c>
      <c r="AJ48" t="s">
        <v>69</v>
      </c>
      <c r="AK48" t="s">
        <v>69</v>
      </c>
      <c r="AL48">
        <v>30</v>
      </c>
      <c r="AM48">
        <v>58</v>
      </c>
      <c r="AN48">
        <v>59</v>
      </c>
      <c r="AO48">
        <v>1</v>
      </c>
      <c r="AP48">
        <v>7</v>
      </c>
      <c r="AQ48" t="s">
        <v>8586</v>
      </c>
      <c r="AR48" t="s">
        <v>8587</v>
      </c>
      <c r="AS48" t="s">
        <v>8588</v>
      </c>
      <c r="AT48" t="s">
        <v>390</v>
      </c>
      <c r="AU48" t="s">
        <v>391</v>
      </c>
      <c r="AV48" t="s">
        <v>69</v>
      </c>
      <c r="AW48" t="s">
        <v>16996</v>
      </c>
      <c r="AX48" t="s">
        <v>16997</v>
      </c>
      <c r="AY48" t="s">
        <v>69</v>
      </c>
      <c r="AZ48">
        <v>2011</v>
      </c>
      <c r="BA48">
        <v>1</v>
      </c>
      <c r="BB48">
        <v>1</v>
      </c>
      <c r="BC48" t="s">
        <v>69</v>
      </c>
      <c r="BD48" t="s">
        <v>69</v>
      </c>
      <c r="BE48" t="s">
        <v>69</v>
      </c>
      <c r="BF48" t="s">
        <v>69</v>
      </c>
      <c r="BG48">
        <v>32</v>
      </c>
      <c r="BH48">
        <v>44</v>
      </c>
      <c r="BI48" t="s">
        <v>69</v>
      </c>
      <c r="BJ48" t="s">
        <v>27300</v>
      </c>
      <c r="BK48" t="str">
        <f>HYPERLINK("http://dx.doi.org/10.1108/20441241111143768","http://dx.doi.org/10.1108/20441241111143768")</f>
        <v>http://dx.doi.org/10.1108/20441241111143768</v>
      </c>
      <c r="BL48" t="s">
        <v>69</v>
      </c>
      <c r="BM48" t="s">
        <v>69</v>
      </c>
      <c r="BN48">
        <v>13</v>
      </c>
      <c r="BO48" t="s">
        <v>13537</v>
      </c>
      <c r="BP48" t="s">
        <v>8573</v>
      </c>
      <c r="BQ48" t="s">
        <v>8445</v>
      </c>
      <c r="BR48" t="s">
        <v>27301</v>
      </c>
      <c r="BS48" t="s">
        <v>27302</v>
      </c>
      <c r="BT48" t="s">
        <v>69</v>
      </c>
      <c r="BU48" t="s">
        <v>69</v>
      </c>
      <c r="BV48" t="s">
        <v>69</v>
      </c>
      <c r="BW48" t="s">
        <v>69</v>
      </c>
      <c r="BX48" t="s">
        <v>8526</v>
      </c>
      <c r="BY48" t="str">
        <f>HYPERLINK("https%3A%2F%2Fwww.webofscience.com%2Fwos%2Fwoscc%2Ffull-record%2FWOS:000215224700004","View Full Record in Web of Science")</f>
        <v>View Full Record in Web of Science</v>
      </c>
    </row>
    <row r="49" spans="1:77" ht="12.5" x14ac:dyDescent="0.25">
      <c r="A49" t="s">
        <v>8495</v>
      </c>
      <c r="B49" s="7" t="s">
        <v>32933</v>
      </c>
      <c r="C49" s="7"/>
      <c r="D49" s="7"/>
      <c r="E49" s="7"/>
      <c r="F49" t="s">
        <v>67</v>
      </c>
      <c r="G49" t="s">
        <v>2265</v>
      </c>
      <c r="H49" t="s">
        <v>69</v>
      </c>
      <c r="I49" t="s">
        <v>69</v>
      </c>
      <c r="J49" t="s">
        <v>69</v>
      </c>
      <c r="K49" t="s">
        <v>2266</v>
      </c>
      <c r="L49" t="s">
        <v>69</v>
      </c>
      <c r="M49" t="s">
        <v>69</v>
      </c>
      <c r="N49" t="s">
        <v>2267</v>
      </c>
      <c r="O49" t="s">
        <v>1602</v>
      </c>
      <c r="P49" t="s">
        <v>69</v>
      </c>
      <c r="Q49" t="s">
        <v>69</v>
      </c>
      <c r="R49" t="s">
        <v>8505</v>
      </c>
      <c r="S49" t="s">
        <v>8506</v>
      </c>
      <c r="T49" t="s">
        <v>69</v>
      </c>
      <c r="U49" t="s">
        <v>69</v>
      </c>
      <c r="V49" t="s">
        <v>69</v>
      </c>
      <c r="W49" t="s">
        <v>69</v>
      </c>
      <c r="X49" t="s">
        <v>69</v>
      </c>
      <c r="Y49" t="s">
        <v>17292</v>
      </c>
      <c r="Z49" t="s">
        <v>69</v>
      </c>
      <c r="AA49" t="s">
        <v>2268</v>
      </c>
      <c r="AB49" t="s">
        <v>17293</v>
      </c>
      <c r="AC49" t="s">
        <v>69</v>
      </c>
      <c r="AD49" t="s">
        <v>17294</v>
      </c>
      <c r="AE49" t="s">
        <v>17295</v>
      </c>
      <c r="AF49" t="s">
        <v>69</v>
      </c>
      <c r="AG49" t="s">
        <v>69</v>
      </c>
      <c r="AH49" t="s">
        <v>17296</v>
      </c>
      <c r="AI49" t="s">
        <v>17296</v>
      </c>
      <c r="AJ49" t="s">
        <v>17297</v>
      </c>
      <c r="AK49" t="s">
        <v>69</v>
      </c>
      <c r="AL49">
        <v>33</v>
      </c>
      <c r="AM49">
        <v>10</v>
      </c>
      <c r="AN49">
        <v>10</v>
      </c>
      <c r="AO49">
        <v>2</v>
      </c>
      <c r="AP49">
        <v>15</v>
      </c>
      <c r="AQ49" t="s">
        <v>8762</v>
      </c>
      <c r="AR49" t="s">
        <v>8763</v>
      </c>
      <c r="AS49" t="s">
        <v>8764</v>
      </c>
      <c r="AT49" t="s">
        <v>1604</v>
      </c>
      <c r="AU49" t="s">
        <v>2269</v>
      </c>
      <c r="AV49" t="s">
        <v>69</v>
      </c>
      <c r="AW49" t="s">
        <v>15091</v>
      </c>
      <c r="AX49" t="s">
        <v>15092</v>
      </c>
      <c r="AY49" t="s">
        <v>586</v>
      </c>
      <c r="AZ49">
        <v>2019</v>
      </c>
      <c r="BA49">
        <v>56</v>
      </c>
      <c r="BB49">
        <v>6</v>
      </c>
      <c r="BC49" t="s">
        <v>69</v>
      </c>
      <c r="BD49" t="s">
        <v>69</v>
      </c>
      <c r="BE49" t="s">
        <v>69</v>
      </c>
      <c r="BF49" t="s">
        <v>69</v>
      </c>
      <c r="BG49">
        <v>1234</v>
      </c>
      <c r="BH49">
        <v>1249</v>
      </c>
      <c r="BI49" t="s">
        <v>69</v>
      </c>
      <c r="BJ49" t="s">
        <v>2270</v>
      </c>
      <c r="BK49" t="str">
        <f>HYPERLINK("http://dx.doi.org/10.1177/0042098018757601","http://dx.doi.org/10.1177/0042098018757601")</f>
        <v>http://dx.doi.org/10.1177/0042098018757601</v>
      </c>
      <c r="BL49" t="s">
        <v>69</v>
      </c>
      <c r="BM49" t="s">
        <v>69</v>
      </c>
      <c r="BN49">
        <v>16</v>
      </c>
      <c r="BO49" t="s">
        <v>15093</v>
      </c>
      <c r="BP49" t="s">
        <v>8661</v>
      </c>
      <c r="BQ49" t="s">
        <v>15094</v>
      </c>
      <c r="BR49" t="s">
        <v>17298</v>
      </c>
      <c r="BS49" t="s">
        <v>2271</v>
      </c>
      <c r="BT49" t="s">
        <v>69</v>
      </c>
      <c r="BU49" t="s">
        <v>69</v>
      </c>
      <c r="BV49" t="s">
        <v>69</v>
      </c>
      <c r="BW49" t="s">
        <v>69</v>
      </c>
      <c r="BX49" t="s">
        <v>8526</v>
      </c>
      <c r="BY49" t="str">
        <f>HYPERLINK("https%3A%2F%2Fwww.webofscience.com%2Fwos%2Fwoscc%2Ffull-record%2FWOS:000463031800010","View Full Record in Web of Science")</f>
        <v>View Full Record in Web of Science</v>
      </c>
    </row>
    <row r="50" spans="1:77" ht="12.5" x14ac:dyDescent="0.25">
      <c r="A50" t="s">
        <v>8495</v>
      </c>
      <c r="B50" s="7" t="s">
        <v>32933</v>
      </c>
      <c r="C50" s="7"/>
      <c r="D50" s="7"/>
      <c r="E50" s="7"/>
      <c r="F50" t="s">
        <v>67</v>
      </c>
      <c r="G50" t="s">
        <v>5951</v>
      </c>
      <c r="H50" t="s">
        <v>69</v>
      </c>
      <c r="I50" t="s">
        <v>69</v>
      </c>
      <c r="J50" t="s">
        <v>69</v>
      </c>
      <c r="K50" t="s">
        <v>5952</v>
      </c>
      <c r="L50" t="s">
        <v>69</v>
      </c>
      <c r="M50" t="s">
        <v>69</v>
      </c>
      <c r="N50" t="s">
        <v>5953</v>
      </c>
      <c r="O50" t="s">
        <v>5954</v>
      </c>
      <c r="P50" t="s">
        <v>69</v>
      </c>
      <c r="Q50" t="s">
        <v>69</v>
      </c>
      <c r="R50" t="s">
        <v>8505</v>
      </c>
      <c r="S50" t="s">
        <v>8506</v>
      </c>
      <c r="T50" t="s">
        <v>69</v>
      </c>
      <c r="U50" t="s">
        <v>69</v>
      </c>
      <c r="V50" t="s">
        <v>69</v>
      </c>
      <c r="W50" t="s">
        <v>69</v>
      </c>
      <c r="X50" t="s">
        <v>69</v>
      </c>
      <c r="Y50" t="s">
        <v>69</v>
      </c>
      <c r="Z50" t="s">
        <v>69</v>
      </c>
      <c r="AA50" t="s">
        <v>5955</v>
      </c>
      <c r="AB50" t="s">
        <v>19818</v>
      </c>
      <c r="AC50" t="s">
        <v>69</v>
      </c>
      <c r="AD50" t="s">
        <v>19819</v>
      </c>
      <c r="AE50" t="s">
        <v>69</v>
      </c>
      <c r="AF50" t="s">
        <v>69</v>
      </c>
      <c r="AG50" t="s">
        <v>69</v>
      </c>
      <c r="AH50" t="s">
        <v>69</v>
      </c>
      <c r="AI50" t="s">
        <v>69</v>
      </c>
      <c r="AJ50" t="s">
        <v>69</v>
      </c>
      <c r="AK50" t="s">
        <v>69</v>
      </c>
      <c r="AL50">
        <v>26</v>
      </c>
      <c r="AM50">
        <v>2</v>
      </c>
      <c r="AN50">
        <v>2</v>
      </c>
      <c r="AO50">
        <v>0</v>
      </c>
      <c r="AP50">
        <v>10</v>
      </c>
      <c r="AQ50" t="s">
        <v>8846</v>
      </c>
      <c r="AR50" t="s">
        <v>8847</v>
      </c>
      <c r="AS50" t="s">
        <v>8848</v>
      </c>
      <c r="AT50" t="s">
        <v>5956</v>
      </c>
      <c r="AU50" t="s">
        <v>5957</v>
      </c>
      <c r="AV50" t="s">
        <v>69</v>
      </c>
      <c r="AW50" t="s">
        <v>19820</v>
      </c>
      <c r="AX50" t="s">
        <v>19821</v>
      </c>
      <c r="AY50" t="s">
        <v>274</v>
      </c>
      <c r="AZ50">
        <v>2017</v>
      </c>
      <c r="BA50">
        <v>8</v>
      </c>
      <c r="BB50">
        <v>4</v>
      </c>
      <c r="BC50" t="s">
        <v>69</v>
      </c>
      <c r="BD50" t="s">
        <v>69</v>
      </c>
      <c r="BE50" t="s">
        <v>69</v>
      </c>
      <c r="BF50" t="s">
        <v>69</v>
      </c>
      <c r="BG50">
        <v>569</v>
      </c>
      <c r="BH50">
        <v>573</v>
      </c>
      <c r="BI50" t="s">
        <v>69</v>
      </c>
      <c r="BJ50" t="s">
        <v>5958</v>
      </c>
      <c r="BK50" t="str">
        <f>HYPERLINK("http://dx.doi.org/10.1111/1758-5899.12470","http://dx.doi.org/10.1111/1758-5899.12470")</f>
        <v>http://dx.doi.org/10.1111/1758-5899.12470</v>
      </c>
      <c r="BL50" t="s">
        <v>69</v>
      </c>
      <c r="BM50" t="s">
        <v>69</v>
      </c>
      <c r="BN50">
        <v>5</v>
      </c>
      <c r="BO50" t="s">
        <v>16728</v>
      </c>
      <c r="BP50" t="s">
        <v>8661</v>
      </c>
      <c r="BQ50" t="s">
        <v>16729</v>
      </c>
      <c r="BR50" t="s">
        <v>19822</v>
      </c>
      <c r="BS50" t="s">
        <v>5959</v>
      </c>
      <c r="BT50" t="s">
        <v>69</v>
      </c>
      <c r="BU50" t="s">
        <v>69</v>
      </c>
      <c r="BV50" t="s">
        <v>69</v>
      </c>
      <c r="BW50" t="s">
        <v>69</v>
      </c>
      <c r="BX50" t="s">
        <v>8526</v>
      </c>
      <c r="BY50" t="str">
        <f>HYPERLINK("https%3A%2F%2Fwww.webofscience.com%2Fwos%2Fwoscc%2Ffull-record%2FWOS:000416427200016","View Full Record in Web of Science")</f>
        <v>View Full Record in Web of Science</v>
      </c>
    </row>
    <row r="51" spans="1:77" ht="12.5" x14ac:dyDescent="0.25">
      <c r="A51" t="s">
        <v>8495</v>
      </c>
      <c r="B51" s="22" t="s">
        <v>32931</v>
      </c>
      <c r="C51" s="7"/>
      <c r="D51" s="7"/>
      <c r="E51" s="7"/>
      <c r="F51" t="s">
        <v>67</v>
      </c>
      <c r="G51" t="s">
        <v>15937</v>
      </c>
      <c r="H51" t="s">
        <v>69</v>
      </c>
      <c r="I51" t="s">
        <v>69</v>
      </c>
      <c r="J51" t="s">
        <v>69</v>
      </c>
      <c r="K51" t="s">
        <v>15938</v>
      </c>
      <c r="L51" t="s">
        <v>69</v>
      </c>
      <c r="M51" t="s">
        <v>69</v>
      </c>
      <c r="N51" t="s">
        <v>15939</v>
      </c>
      <c r="O51" t="s">
        <v>15940</v>
      </c>
      <c r="P51" t="s">
        <v>69</v>
      </c>
      <c r="Q51" t="s">
        <v>69</v>
      </c>
      <c r="R51" t="s">
        <v>8505</v>
      </c>
      <c r="S51" t="s">
        <v>8506</v>
      </c>
      <c r="T51" t="s">
        <v>69</v>
      </c>
      <c r="U51" t="s">
        <v>69</v>
      </c>
      <c r="V51" t="s">
        <v>69</v>
      </c>
      <c r="W51" t="s">
        <v>69</v>
      </c>
      <c r="X51" t="s">
        <v>69</v>
      </c>
      <c r="Y51" t="s">
        <v>15941</v>
      </c>
      <c r="Z51" t="s">
        <v>15942</v>
      </c>
      <c r="AA51" t="s">
        <v>15943</v>
      </c>
      <c r="AB51" t="s">
        <v>15944</v>
      </c>
      <c r="AC51" t="s">
        <v>69</v>
      </c>
      <c r="AD51" t="s">
        <v>15945</v>
      </c>
      <c r="AE51" t="s">
        <v>15946</v>
      </c>
      <c r="AF51" t="s">
        <v>1120</v>
      </c>
      <c r="AG51" t="s">
        <v>15947</v>
      </c>
      <c r="AH51" t="s">
        <v>69</v>
      </c>
      <c r="AI51" t="s">
        <v>69</v>
      </c>
      <c r="AJ51" t="s">
        <v>69</v>
      </c>
      <c r="AK51" t="s">
        <v>69</v>
      </c>
      <c r="AL51">
        <v>20</v>
      </c>
      <c r="AM51">
        <v>2</v>
      </c>
      <c r="AN51">
        <v>2</v>
      </c>
      <c r="AO51">
        <v>0</v>
      </c>
      <c r="AP51">
        <v>7</v>
      </c>
      <c r="AQ51" t="s">
        <v>8846</v>
      </c>
      <c r="AR51" t="s">
        <v>8847</v>
      </c>
      <c r="AS51" t="s">
        <v>8848</v>
      </c>
      <c r="AT51" t="s">
        <v>15948</v>
      </c>
      <c r="AU51" t="s">
        <v>15949</v>
      </c>
      <c r="AV51" t="s">
        <v>69</v>
      </c>
      <c r="AW51" t="s">
        <v>15950</v>
      </c>
      <c r="AX51" t="s">
        <v>15951</v>
      </c>
      <c r="AY51" t="s">
        <v>84</v>
      </c>
      <c r="AZ51">
        <v>2020</v>
      </c>
      <c r="BA51">
        <v>39</v>
      </c>
      <c r="BB51">
        <v>4</v>
      </c>
      <c r="BC51" t="s">
        <v>69</v>
      </c>
      <c r="BD51" t="s">
        <v>69</v>
      </c>
      <c r="BE51" t="s">
        <v>114</v>
      </c>
      <c r="BF51" t="s">
        <v>69</v>
      </c>
      <c r="BG51" t="s">
        <v>69</v>
      </c>
      <c r="BH51" t="s">
        <v>69</v>
      </c>
      <c r="BI51" t="s">
        <v>15952</v>
      </c>
      <c r="BJ51" t="s">
        <v>15953</v>
      </c>
      <c r="BK51" t="str">
        <f>HYPERLINK("http://dx.doi.org/10.1002/ep.13385","http://dx.doi.org/10.1002/ep.13385")</f>
        <v>http://dx.doi.org/10.1002/ep.13385</v>
      </c>
      <c r="BL51" t="s">
        <v>69</v>
      </c>
      <c r="BM51" t="s">
        <v>15934</v>
      </c>
      <c r="BN51">
        <v>9</v>
      </c>
      <c r="BO51" t="s">
        <v>15954</v>
      </c>
      <c r="BP51" t="s">
        <v>8548</v>
      </c>
      <c r="BQ51" t="s">
        <v>8644</v>
      </c>
      <c r="BR51" t="s">
        <v>15955</v>
      </c>
      <c r="BS51" t="s">
        <v>15956</v>
      </c>
      <c r="BT51" t="s">
        <v>69</v>
      </c>
      <c r="BU51" t="s">
        <v>69</v>
      </c>
      <c r="BV51" t="s">
        <v>69</v>
      </c>
      <c r="BW51" t="s">
        <v>69</v>
      </c>
      <c r="BX51" t="s">
        <v>8526</v>
      </c>
      <c r="BY51" t="str">
        <f>HYPERLINK("https%3A%2F%2Fwww.webofscience.com%2Fwos%2Fwoscc%2Ffull-record%2FWOS:000506441100001","View Full Record in Web of Science")</f>
        <v>View Full Record in Web of Science</v>
      </c>
    </row>
    <row r="52" spans="1:77" ht="12.5" x14ac:dyDescent="0.25">
      <c r="A52" t="s">
        <v>8495</v>
      </c>
      <c r="B52" s="22" t="s">
        <v>32931</v>
      </c>
      <c r="C52" s="7"/>
      <c r="D52" s="7"/>
      <c r="E52" s="7"/>
      <c r="F52" t="s">
        <v>67</v>
      </c>
      <c r="G52" t="s">
        <v>9913</v>
      </c>
      <c r="H52" t="s">
        <v>69</v>
      </c>
      <c r="I52" t="s">
        <v>69</v>
      </c>
      <c r="J52" t="s">
        <v>69</v>
      </c>
      <c r="K52" t="s">
        <v>9914</v>
      </c>
      <c r="L52" t="s">
        <v>69</v>
      </c>
      <c r="M52" t="s">
        <v>69</v>
      </c>
      <c r="N52" t="s">
        <v>9915</v>
      </c>
      <c r="O52" t="s">
        <v>1902</v>
      </c>
      <c r="P52" t="s">
        <v>69</v>
      </c>
      <c r="Q52" t="s">
        <v>69</v>
      </c>
      <c r="R52" t="s">
        <v>8505</v>
      </c>
      <c r="S52" t="s">
        <v>8506</v>
      </c>
      <c r="T52" t="s">
        <v>69</v>
      </c>
      <c r="U52" t="s">
        <v>69</v>
      </c>
      <c r="V52" t="s">
        <v>69</v>
      </c>
      <c r="W52" t="s">
        <v>69</v>
      </c>
      <c r="X52" t="s">
        <v>69</v>
      </c>
      <c r="Y52" t="s">
        <v>9916</v>
      </c>
      <c r="Z52" t="s">
        <v>9917</v>
      </c>
      <c r="AA52" t="s">
        <v>9918</v>
      </c>
      <c r="AB52" t="s">
        <v>9919</v>
      </c>
      <c r="AC52" t="s">
        <v>69</v>
      </c>
      <c r="AD52" t="s">
        <v>9920</v>
      </c>
      <c r="AE52" t="s">
        <v>9921</v>
      </c>
      <c r="AF52" t="s">
        <v>9922</v>
      </c>
      <c r="AG52" t="s">
        <v>9923</v>
      </c>
      <c r="AH52" t="s">
        <v>9924</v>
      </c>
      <c r="AI52" t="s">
        <v>9925</v>
      </c>
      <c r="AJ52" t="s">
        <v>9926</v>
      </c>
      <c r="AK52" t="s">
        <v>69</v>
      </c>
      <c r="AL52">
        <v>128</v>
      </c>
      <c r="AM52">
        <v>5</v>
      </c>
      <c r="AN52">
        <v>5</v>
      </c>
      <c r="AO52">
        <v>6</v>
      </c>
      <c r="AP52">
        <v>6</v>
      </c>
      <c r="AQ52" t="s">
        <v>9145</v>
      </c>
      <c r="AR52" t="s">
        <v>8637</v>
      </c>
      <c r="AS52" t="s">
        <v>9146</v>
      </c>
      <c r="AT52" t="s">
        <v>1906</v>
      </c>
      <c r="AU52" t="s">
        <v>9927</v>
      </c>
      <c r="AV52" t="s">
        <v>69</v>
      </c>
      <c r="AW52" t="s">
        <v>9928</v>
      </c>
      <c r="AX52" t="s">
        <v>9929</v>
      </c>
      <c r="AY52" t="s">
        <v>191</v>
      </c>
      <c r="AZ52">
        <v>2022</v>
      </c>
      <c r="BA52">
        <v>185</v>
      </c>
      <c r="BB52" t="s">
        <v>69</v>
      </c>
      <c r="BC52" t="s">
        <v>69</v>
      </c>
      <c r="BD52" t="s">
        <v>69</v>
      </c>
      <c r="BE52" t="s">
        <v>69</v>
      </c>
      <c r="BF52" t="s">
        <v>69</v>
      </c>
      <c r="BG52">
        <v>321</v>
      </c>
      <c r="BH52">
        <v>337</v>
      </c>
      <c r="BI52" t="s">
        <v>69</v>
      </c>
      <c r="BJ52" t="s">
        <v>9930</v>
      </c>
      <c r="BK52" t="str">
        <f>HYPERLINK("http://dx.doi.org/10.1016/j.renene.2021.12.077","http://dx.doi.org/10.1016/j.renene.2021.12.077")</f>
        <v>http://dx.doi.org/10.1016/j.renene.2021.12.077</v>
      </c>
      <c r="BL52" t="s">
        <v>69</v>
      </c>
      <c r="BM52" t="s">
        <v>69</v>
      </c>
      <c r="BN52">
        <v>17</v>
      </c>
      <c r="BO52" t="s">
        <v>9931</v>
      </c>
      <c r="BP52" t="s">
        <v>8523</v>
      </c>
      <c r="BQ52" t="s">
        <v>9932</v>
      </c>
      <c r="BR52" t="s">
        <v>9933</v>
      </c>
      <c r="BS52" t="s">
        <v>9934</v>
      </c>
      <c r="BT52" t="s">
        <v>69</v>
      </c>
      <c r="BU52" t="s">
        <v>69</v>
      </c>
      <c r="BV52" t="s">
        <v>69</v>
      </c>
      <c r="BW52" t="s">
        <v>69</v>
      </c>
      <c r="BX52" t="s">
        <v>8526</v>
      </c>
      <c r="BY52" t="str">
        <f>HYPERLINK("https%3A%2F%2Fwww.webofscience.com%2Fwos%2Fwoscc%2Ffull-record%2FWOS:000778545900013","View Full Record in Web of Science")</f>
        <v>View Full Record in Web of Science</v>
      </c>
    </row>
    <row r="53" spans="1:77" ht="12.5" x14ac:dyDescent="0.25">
      <c r="A53" t="s">
        <v>8495</v>
      </c>
      <c r="B53" s="22" t="s">
        <v>32931</v>
      </c>
      <c r="C53" s="7"/>
      <c r="D53" s="7"/>
      <c r="E53" s="7"/>
      <c r="F53" t="s">
        <v>67</v>
      </c>
      <c r="G53" t="s">
        <v>8774</v>
      </c>
      <c r="H53" t="s">
        <v>69</v>
      </c>
      <c r="I53" t="s">
        <v>69</v>
      </c>
      <c r="J53" t="s">
        <v>69</v>
      </c>
      <c r="K53" t="s">
        <v>8775</v>
      </c>
      <c r="L53" t="s">
        <v>69</v>
      </c>
      <c r="M53" t="s">
        <v>69</v>
      </c>
      <c r="N53" t="s">
        <v>8776</v>
      </c>
      <c r="O53" t="s">
        <v>8777</v>
      </c>
      <c r="P53" t="s">
        <v>69</v>
      </c>
      <c r="Q53" t="s">
        <v>69</v>
      </c>
      <c r="R53" t="s">
        <v>8505</v>
      </c>
      <c r="S53" t="s">
        <v>8556</v>
      </c>
      <c r="T53" t="s">
        <v>69</v>
      </c>
      <c r="U53" t="s">
        <v>69</v>
      </c>
      <c r="V53" t="s">
        <v>69</v>
      </c>
      <c r="W53" t="s">
        <v>69</v>
      </c>
      <c r="X53" t="s">
        <v>69</v>
      </c>
      <c r="Y53" t="s">
        <v>8778</v>
      </c>
      <c r="Z53" t="s">
        <v>8779</v>
      </c>
      <c r="AA53" t="s">
        <v>8780</v>
      </c>
      <c r="AB53" t="s">
        <v>8781</v>
      </c>
      <c r="AC53" t="s">
        <v>69</v>
      </c>
      <c r="AD53" t="s">
        <v>8782</v>
      </c>
      <c r="AE53" t="s">
        <v>8783</v>
      </c>
      <c r="AF53" t="s">
        <v>8784</v>
      </c>
      <c r="AG53" t="s">
        <v>8785</v>
      </c>
      <c r="AH53" t="s">
        <v>69</v>
      </c>
      <c r="AI53" t="s">
        <v>69</v>
      </c>
      <c r="AJ53" t="s">
        <v>69</v>
      </c>
      <c r="AK53" t="s">
        <v>69</v>
      </c>
      <c r="AL53">
        <v>90</v>
      </c>
      <c r="AM53">
        <v>0</v>
      </c>
      <c r="AN53">
        <v>0</v>
      </c>
      <c r="AO53">
        <v>3</v>
      </c>
      <c r="AP53">
        <v>3</v>
      </c>
      <c r="AQ53" t="s">
        <v>8586</v>
      </c>
      <c r="AR53" t="s">
        <v>8587</v>
      </c>
      <c r="AS53" t="s">
        <v>8588</v>
      </c>
      <c r="AT53" t="s">
        <v>8786</v>
      </c>
      <c r="AU53" t="s">
        <v>8787</v>
      </c>
      <c r="AV53" t="s">
        <v>69</v>
      </c>
      <c r="AW53" t="s">
        <v>8788</v>
      </c>
      <c r="AX53" t="s">
        <v>8789</v>
      </c>
      <c r="AY53" t="s">
        <v>69</v>
      </c>
      <c r="AZ53" t="s">
        <v>69</v>
      </c>
      <c r="BA53" t="s">
        <v>69</v>
      </c>
      <c r="BB53" t="s">
        <v>69</v>
      </c>
      <c r="BC53" t="s">
        <v>69</v>
      </c>
      <c r="BD53" t="s">
        <v>69</v>
      </c>
      <c r="BE53" t="s">
        <v>69</v>
      </c>
      <c r="BF53" t="s">
        <v>69</v>
      </c>
      <c r="BG53" t="s">
        <v>69</v>
      </c>
      <c r="BH53" t="s">
        <v>69</v>
      </c>
      <c r="BI53" t="s">
        <v>69</v>
      </c>
      <c r="BJ53" t="s">
        <v>8790</v>
      </c>
      <c r="BK53" t="str">
        <f>HYPERLINK("http://dx.doi.org/10.1108/JFMM-03-2022-0044","http://dx.doi.org/10.1108/JFMM-03-2022-0044")</f>
        <v>http://dx.doi.org/10.1108/JFMM-03-2022-0044</v>
      </c>
      <c r="BL53" t="s">
        <v>69</v>
      </c>
      <c r="BM53" t="s">
        <v>8742</v>
      </c>
      <c r="BN53">
        <v>25</v>
      </c>
      <c r="BO53" t="s">
        <v>8791</v>
      </c>
      <c r="BP53" t="s">
        <v>8661</v>
      </c>
      <c r="BQ53" t="s">
        <v>8594</v>
      </c>
      <c r="BR53" t="s">
        <v>8792</v>
      </c>
      <c r="BS53" t="s">
        <v>8793</v>
      </c>
      <c r="BT53" t="s">
        <v>69</v>
      </c>
      <c r="BU53" t="s">
        <v>69</v>
      </c>
      <c r="BV53" t="s">
        <v>69</v>
      </c>
      <c r="BW53" t="s">
        <v>69</v>
      </c>
      <c r="BX53" t="s">
        <v>8526</v>
      </c>
      <c r="BY53" t="str">
        <f>HYPERLINK("https%3A%2F%2Fwww.webofscience.com%2Fwos%2Fwoscc%2Ffull-record%2FWOS:000811685700001","View Full Record in Web of Science")</f>
        <v>View Full Record in Web of Science</v>
      </c>
    </row>
    <row r="54" spans="1:77" ht="12.5" x14ac:dyDescent="0.25">
      <c r="A54" t="s">
        <v>8495</v>
      </c>
      <c r="B54" s="7" t="s">
        <v>32933</v>
      </c>
      <c r="C54" s="7"/>
      <c r="D54" s="7"/>
      <c r="E54" s="7"/>
      <c r="F54" t="s">
        <v>67</v>
      </c>
      <c r="G54" t="s">
        <v>6316</v>
      </c>
      <c r="H54" t="s">
        <v>69</v>
      </c>
      <c r="I54" t="s">
        <v>69</v>
      </c>
      <c r="J54" t="s">
        <v>69</v>
      </c>
      <c r="K54" t="s">
        <v>6317</v>
      </c>
      <c r="L54" t="s">
        <v>69</v>
      </c>
      <c r="M54" t="s">
        <v>69</v>
      </c>
      <c r="N54" t="s">
        <v>6318</v>
      </c>
      <c r="O54" t="s">
        <v>1990</v>
      </c>
      <c r="P54" t="s">
        <v>69</v>
      </c>
      <c r="Q54" t="s">
        <v>69</v>
      </c>
      <c r="R54" t="s">
        <v>8505</v>
      </c>
      <c r="S54" t="s">
        <v>8506</v>
      </c>
      <c r="T54" t="s">
        <v>69</v>
      </c>
      <c r="U54" t="s">
        <v>69</v>
      </c>
      <c r="V54" t="s">
        <v>69</v>
      </c>
      <c r="W54" t="s">
        <v>69</v>
      </c>
      <c r="X54" t="s">
        <v>69</v>
      </c>
      <c r="Y54" t="s">
        <v>15133</v>
      </c>
      <c r="Z54" t="s">
        <v>15134</v>
      </c>
      <c r="AA54" t="s">
        <v>6319</v>
      </c>
      <c r="AB54" t="s">
        <v>15135</v>
      </c>
      <c r="AC54" t="s">
        <v>69</v>
      </c>
      <c r="AD54" t="s">
        <v>15136</v>
      </c>
      <c r="AE54" t="s">
        <v>15137</v>
      </c>
      <c r="AF54" t="s">
        <v>69</v>
      </c>
      <c r="AG54" t="s">
        <v>15138</v>
      </c>
      <c r="AH54" t="s">
        <v>69</v>
      </c>
      <c r="AI54" t="s">
        <v>69</v>
      </c>
      <c r="AJ54" t="s">
        <v>69</v>
      </c>
      <c r="AK54" t="s">
        <v>69</v>
      </c>
      <c r="AL54">
        <v>79</v>
      </c>
      <c r="AM54">
        <v>0</v>
      </c>
      <c r="AN54">
        <v>0</v>
      </c>
      <c r="AO54">
        <v>1</v>
      </c>
      <c r="AP54">
        <v>3</v>
      </c>
      <c r="AQ54" t="s">
        <v>8846</v>
      </c>
      <c r="AR54" t="s">
        <v>8847</v>
      </c>
      <c r="AS54" t="s">
        <v>8848</v>
      </c>
      <c r="AT54" t="s">
        <v>1992</v>
      </c>
      <c r="AU54" t="s">
        <v>1993</v>
      </c>
      <c r="AV54" t="s">
        <v>69</v>
      </c>
      <c r="AW54" t="s">
        <v>15139</v>
      </c>
      <c r="AX54" t="s">
        <v>15140</v>
      </c>
      <c r="AY54" t="s">
        <v>191</v>
      </c>
      <c r="AZ54">
        <v>2022</v>
      </c>
      <c r="BA54">
        <v>38</v>
      </c>
      <c r="BB54">
        <v>1</v>
      </c>
      <c r="BC54" t="s">
        <v>69</v>
      </c>
      <c r="BD54" t="s">
        <v>69</v>
      </c>
      <c r="BE54" t="s">
        <v>69</v>
      </c>
      <c r="BF54" t="s">
        <v>69</v>
      </c>
      <c r="BG54">
        <v>3</v>
      </c>
      <c r="BH54">
        <v>28</v>
      </c>
      <c r="BI54" t="s">
        <v>69</v>
      </c>
      <c r="BJ54" t="s">
        <v>6320</v>
      </c>
      <c r="BK54" t="str">
        <f>HYPERLINK("http://dx.doi.org/10.1111/faam.12252","http://dx.doi.org/10.1111/faam.12252")</f>
        <v>http://dx.doi.org/10.1111/faam.12252</v>
      </c>
      <c r="BL54" t="s">
        <v>69</v>
      </c>
      <c r="BM54" t="s">
        <v>732</v>
      </c>
      <c r="BN54">
        <v>26</v>
      </c>
      <c r="BO54" t="s">
        <v>9749</v>
      </c>
      <c r="BP54" t="s">
        <v>8573</v>
      </c>
      <c r="BQ54" t="s">
        <v>8594</v>
      </c>
      <c r="BR54" t="s">
        <v>15141</v>
      </c>
      <c r="BS54" t="s">
        <v>6321</v>
      </c>
      <c r="BT54" t="s">
        <v>69</v>
      </c>
      <c r="BU54" t="s">
        <v>10995</v>
      </c>
      <c r="BV54" t="s">
        <v>69</v>
      </c>
      <c r="BW54" t="s">
        <v>69</v>
      </c>
      <c r="BX54" t="s">
        <v>8526</v>
      </c>
      <c r="BY54" t="str">
        <f>HYPERLINK("https%3A%2F%2Fwww.webofscience.com%2Fwos%2Fwoscc%2Ffull-record%2FWOS:000535092200001","View Full Record in Web of Science")</f>
        <v>View Full Record in Web of Science</v>
      </c>
    </row>
    <row r="55" spans="1:77" ht="12.5" x14ac:dyDescent="0.25">
      <c r="A55" t="s">
        <v>8495</v>
      </c>
      <c r="B55" s="22" t="s">
        <v>32931</v>
      </c>
      <c r="C55" s="7"/>
      <c r="D55" s="7"/>
      <c r="E55" s="7"/>
      <c r="F55" t="s">
        <v>67</v>
      </c>
      <c r="G55" t="s">
        <v>23717</v>
      </c>
      <c r="H55" t="s">
        <v>69</v>
      </c>
      <c r="I55" t="s">
        <v>69</v>
      </c>
      <c r="J55" t="s">
        <v>69</v>
      </c>
      <c r="K55" t="s">
        <v>23718</v>
      </c>
      <c r="L55" t="s">
        <v>69</v>
      </c>
      <c r="M55" t="s">
        <v>69</v>
      </c>
      <c r="N55" t="s">
        <v>23719</v>
      </c>
      <c r="O55" t="s">
        <v>23720</v>
      </c>
      <c r="P55" t="s">
        <v>69</v>
      </c>
      <c r="Q55" t="s">
        <v>69</v>
      </c>
      <c r="R55" t="s">
        <v>8505</v>
      </c>
      <c r="S55" t="s">
        <v>8506</v>
      </c>
      <c r="T55" t="s">
        <v>69</v>
      </c>
      <c r="U55" t="s">
        <v>69</v>
      </c>
      <c r="V55" t="s">
        <v>69</v>
      </c>
      <c r="W55" t="s">
        <v>69</v>
      </c>
      <c r="X55" t="s">
        <v>69</v>
      </c>
      <c r="Y55" t="s">
        <v>23721</v>
      </c>
      <c r="Z55" t="s">
        <v>23722</v>
      </c>
      <c r="AA55" t="s">
        <v>23723</v>
      </c>
      <c r="AB55" t="s">
        <v>23724</v>
      </c>
      <c r="AC55" t="s">
        <v>69</v>
      </c>
      <c r="AD55" t="s">
        <v>23725</v>
      </c>
      <c r="AE55" t="s">
        <v>23726</v>
      </c>
      <c r="AF55" t="s">
        <v>23727</v>
      </c>
      <c r="AG55" t="s">
        <v>23728</v>
      </c>
      <c r="AH55" t="s">
        <v>69</v>
      </c>
      <c r="AI55" t="s">
        <v>69</v>
      </c>
      <c r="AJ55" t="s">
        <v>69</v>
      </c>
      <c r="AK55" t="s">
        <v>69</v>
      </c>
      <c r="AL55">
        <v>54</v>
      </c>
      <c r="AM55">
        <v>14</v>
      </c>
      <c r="AN55">
        <v>14</v>
      </c>
      <c r="AO55">
        <v>0</v>
      </c>
      <c r="AP55">
        <v>13</v>
      </c>
      <c r="AQ55" t="s">
        <v>9203</v>
      </c>
      <c r="AR55" t="s">
        <v>8763</v>
      </c>
      <c r="AS55" t="s">
        <v>9204</v>
      </c>
      <c r="AT55" t="s">
        <v>23729</v>
      </c>
      <c r="AU55" t="s">
        <v>69</v>
      </c>
      <c r="AV55" t="s">
        <v>69</v>
      </c>
      <c r="AW55" t="s">
        <v>23730</v>
      </c>
      <c r="AX55" t="s">
        <v>23731</v>
      </c>
      <c r="AY55" t="s">
        <v>6504</v>
      </c>
      <c r="AZ55">
        <v>2014</v>
      </c>
      <c r="BA55">
        <v>14</v>
      </c>
      <c r="BB55" t="s">
        <v>69</v>
      </c>
      <c r="BC55" t="s">
        <v>69</v>
      </c>
      <c r="BD55" t="s">
        <v>69</v>
      </c>
      <c r="BE55" t="s">
        <v>69</v>
      </c>
      <c r="BF55" t="s">
        <v>69</v>
      </c>
      <c r="BG55" t="s">
        <v>69</v>
      </c>
      <c r="BH55" t="s">
        <v>69</v>
      </c>
      <c r="BI55">
        <v>236</v>
      </c>
      <c r="BJ55" t="s">
        <v>23732</v>
      </c>
      <c r="BK55" t="str">
        <f>HYPERLINK("http://dx.doi.org/10.1186/1471-2393-14-236","http://dx.doi.org/10.1186/1471-2393-14-236")</f>
        <v>http://dx.doi.org/10.1186/1471-2393-14-236</v>
      </c>
      <c r="BL55" t="s">
        <v>69</v>
      </c>
      <c r="BM55" t="s">
        <v>69</v>
      </c>
      <c r="BN55">
        <v>14</v>
      </c>
      <c r="BO55" t="s">
        <v>23733</v>
      </c>
      <c r="BP55" t="s">
        <v>8523</v>
      </c>
      <c r="BQ55" t="s">
        <v>23733</v>
      </c>
      <c r="BR55" t="s">
        <v>23734</v>
      </c>
      <c r="BS55" t="s">
        <v>23735</v>
      </c>
      <c r="BT55">
        <v>25034120</v>
      </c>
      <c r="BU55" t="s">
        <v>8812</v>
      </c>
      <c r="BV55" t="s">
        <v>69</v>
      </c>
      <c r="BW55" t="s">
        <v>69</v>
      </c>
      <c r="BX55" t="s">
        <v>8526</v>
      </c>
      <c r="BY55" t="str">
        <f>HYPERLINK("https%3A%2F%2Fwww.webofscience.com%2Fwos%2Fwoscc%2Ffull-record%2FWOS:000339376600001","View Full Record in Web of Science")</f>
        <v>View Full Record in Web of Science</v>
      </c>
    </row>
    <row r="56" spans="1:77" ht="12.5" x14ac:dyDescent="0.25">
      <c r="A56" t="s">
        <v>8495</v>
      </c>
      <c r="B56" s="7" t="s">
        <v>32933</v>
      </c>
      <c r="C56" s="7"/>
      <c r="D56" s="7"/>
      <c r="E56" s="7"/>
      <c r="F56" t="s">
        <v>67</v>
      </c>
      <c r="G56" t="s">
        <v>329</v>
      </c>
      <c r="H56" t="s">
        <v>69</v>
      </c>
      <c r="I56" t="s">
        <v>69</v>
      </c>
      <c r="J56" t="s">
        <v>69</v>
      </c>
      <c r="K56" t="s">
        <v>330</v>
      </c>
      <c r="L56" t="s">
        <v>69</v>
      </c>
      <c r="M56" t="s">
        <v>69</v>
      </c>
      <c r="N56" t="s">
        <v>2970</v>
      </c>
      <c r="O56" t="s">
        <v>2971</v>
      </c>
      <c r="P56" t="s">
        <v>69</v>
      </c>
      <c r="Q56" t="s">
        <v>69</v>
      </c>
      <c r="R56" t="s">
        <v>8505</v>
      </c>
      <c r="S56" t="s">
        <v>8506</v>
      </c>
      <c r="T56" t="s">
        <v>69</v>
      </c>
      <c r="U56" t="s">
        <v>69</v>
      </c>
      <c r="V56" t="s">
        <v>69</v>
      </c>
      <c r="W56" t="s">
        <v>69</v>
      </c>
      <c r="X56" t="s">
        <v>69</v>
      </c>
      <c r="Y56" t="s">
        <v>22027</v>
      </c>
      <c r="Z56" t="s">
        <v>69</v>
      </c>
      <c r="AA56" t="s">
        <v>2972</v>
      </c>
      <c r="AB56" t="s">
        <v>22028</v>
      </c>
      <c r="AC56" t="s">
        <v>69</v>
      </c>
      <c r="AD56" t="s">
        <v>22029</v>
      </c>
      <c r="AE56" t="s">
        <v>22030</v>
      </c>
      <c r="AF56" t="s">
        <v>69</v>
      </c>
      <c r="AG56" t="s">
        <v>69</v>
      </c>
      <c r="AH56" t="s">
        <v>22031</v>
      </c>
      <c r="AI56" t="s">
        <v>22031</v>
      </c>
      <c r="AJ56" t="s">
        <v>22032</v>
      </c>
      <c r="AK56" t="s">
        <v>69</v>
      </c>
      <c r="AL56">
        <v>31</v>
      </c>
      <c r="AM56">
        <v>3</v>
      </c>
      <c r="AN56">
        <v>3</v>
      </c>
      <c r="AO56">
        <v>1</v>
      </c>
      <c r="AP56">
        <v>9</v>
      </c>
      <c r="AQ56" t="s">
        <v>8586</v>
      </c>
      <c r="AR56" t="s">
        <v>8587</v>
      </c>
      <c r="AS56" t="s">
        <v>8588</v>
      </c>
      <c r="AT56" t="s">
        <v>2973</v>
      </c>
      <c r="AU56" t="s">
        <v>2974</v>
      </c>
      <c r="AV56" t="s">
        <v>69</v>
      </c>
      <c r="AW56" t="s">
        <v>14174</v>
      </c>
      <c r="AX56" t="s">
        <v>14175</v>
      </c>
      <c r="AY56" t="s">
        <v>69</v>
      </c>
      <c r="AZ56">
        <v>2016</v>
      </c>
      <c r="BA56">
        <v>14</v>
      </c>
      <c r="BB56">
        <v>3</v>
      </c>
      <c r="BC56" t="s">
        <v>69</v>
      </c>
      <c r="BD56" t="s">
        <v>69</v>
      </c>
      <c r="BE56" t="s">
        <v>69</v>
      </c>
      <c r="BF56" t="s">
        <v>69</v>
      </c>
      <c r="BG56">
        <v>249</v>
      </c>
      <c r="BH56">
        <v>265</v>
      </c>
      <c r="BI56" t="s">
        <v>69</v>
      </c>
      <c r="BJ56" t="s">
        <v>2975</v>
      </c>
      <c r="BK56" t="str">
        <f>HYPERLINK("http://dx.doi.org/10.1108/JFM-05-2015-0017","http://dx.doi.org/10.1108/JFM-05-2015-0017")</f>
        <v>http://dx.doi.org/10.1108/JFM-05-2015-0017</v>
      </c>
      <c r="BL56" t="s">
        <v>69</v>
      </c>
      <c r="BM56" t="s">
        <v>69</v>
      </c>
      <c r="BN56">
        <v>17</v>
      </c>
      <c r="BO56" t="s">
        <v>9410</v>
      </c>
      <c r="BP56" t="s">
        <v>8573</v>
      </c>
      <c r="BQ56" t="s">
        <v>8594</v>
      </c>
      <c r="BR56" t="s">
        <v>22033</v>
      </c>
      <c r="BS56" t="s">
        <v>2976</v>
      </c>
      <c r="BT56" t="s">
        <v>69</v>
      </c>
      <c r="BU56" t="s">
        <v>69</v>
      </c>
      <c r="BV56" t="s">
        <v>69</v>
      </c>
      <c r="BW56" t="s">
        <v>69</v>
      </c>
      <c r="BX56" t="s">
        <v>8526</v>
      </c>
      <c r="BY56" t="str">
        <f>HYPERLINK("https%3A%2F%2Fwww.webofscience.com%2Fwos%2Fwoscc%2Ffull-record%2FWOS:000379807600003","View Full Record in Web of Science")</f>
        <v>View Full Record in Web of Science</v>
      </c>
    </row>
    <row r="57" spans="1:77" ht="12.5" x14ac:dyDescent="0.25">
      <c r="A57" t="s">
        <v>8495</v>
      </c>
      <c r="B57" s="22" t="s">
        <v>32931</v>
      </c>
      <c r="C57" s="7"/>
      <c r="D57" s="7"/>
      <c r="E57" s="7"/>
      <c r="F57" t="s">
        <v>67</v>
      </c>
      <c r="G57" t="s">
        <v>31372</v>
      </c>
      <c r="H57" t="s">
        <v>69</v>
      </c>
      <c r="I57" t="s">
        <v>69</v>
      </c>
      <c r="J57" t="s">
        <v>69</v>
      </c>
      <c r="K57" t="s">
        <v>31372</v>
      </c>
      <c r="L57" t="s">
        <v>69</v>
      </c>
      <c r="M57" t="s">
        <v>69</v>
      </c>
      <c r="N57" t="s">
        <v>31373</v>
      </c>
      <c r="O57" t="s">
        <v>31374</v>
      </c>
      <c r="P57" t="s">
        <v>69</v>
      </c>
      <c r="Q57" t="s">
        <v>69</v>
      </c>
      <c r="R57" t="s">
        <v>8505</v>
      </c>
      <c r="S57" t="s">
        <v>8506</v>
      </c>
      <c r="T57" t="s">
        <v>69</v>
      </c>
      <c r="U57" t="s">
        <v>69</v>
      </c>
      <c r="V57" t="s">
        <v>69</v>
      </c>
      <c r="W57" t="s">
        <v>69</v>
      </c>
      <c r="X57" t="s">
        <v>69</v>
      </c>
      <c r="Y57" t="s">
        <v>31375</v>
      </c>
      <c r="Z57" t="s">
        <v>69</v>
      </c>
      <c r="AA57" t="s">
        <v>31376</v>
      </c>
      <c r="AB57" t="s">
        <v>31377</v>
      </c>
      <c r="AC57" t="s">
        <v>69</v>
      </c>
      <c r="AD57" t="s">
        <v>31378</v>
      </c>
      <c r="AE57" t="s">
        <v>69</v>
      </c>
      <c r="AF57" t="s">
        <v>69</v>
      </c>
      <c r="AG57" t="s">
        <v>69</v>
      </c>
      <c r="AH57" t="s">
        <v>69</v>
      </c>
      <c r="AI57" t="s">
        <v>69</v>
      </c>
      <c r="AJ57" t="s">
        <v>69</v>
      </c>
      <c r="AK57" t="s">
        <v>69</v>
      </c>
      <c r="AL57">
        <v>16</v>
      </c>
      <c r="AM57">
        <v>0</v>
      </c>
      <c r="AN57">
        <v>0</v>
      </c>
      <c r="AO57">
        <v>0</v>
      </c>
      <c r="AP57">
        <v>1</v>
      </c>
      <c r="AQ57" t="s">
        <v>31379</v>
      </c>
      <c r="AR57" t="s">
        <v>26670</v>
      </c>
      <c r="AS57" t="s">
        <v>31380</v>
      </c>
      <c r="AT57" t="s">
        <v>31381</v>
      </c>
      <c r="AU57" t="s">
        <v>69</v>
      </c>
      <c r="AV57" t="s">
        <v>69</v>
      </c>
      <c r="AW57" t="s">
        <v>31382</v>
      </c>
      <c r="AX57" t="s">
        <v>31383</v>
      </c>
      <c r="AY57" t="s">
        <v>619</v>
      </c>
      <c r="AZ57">
        <v>2002</v>
      </c>
      <c r="BA57">
        <v>19</v>
      </c>
      <c r="BB57">
        <v>6</v>
      </c>
      <c r="BC57" t="s">
        <v>69</v>
      </c>
      <c r="BD57" t="s">
        <v>69</v>
      </c>
      <c r="BE57" t="s">
        <v>69</v>
      </c>
      <c r="BF57" t="s">
        <v>69</v>
      </c>
      <c r="BG57">
        <v>412</v>
      </c>
      <c r="BH57">
        <v>422</v>
      </c>
      <c r="BI57" t="s">
        <v>69</v>
      </c>
      <c r="BJ57" t="s">
        <v>31384</v>
      </c>
      <c r="BK57" t="str">
        <f>HYPERLINK("http://dx.doi.org/10.1046/j.1525-1446.2002.19603.x","http://dx.doi.org/10.1046/j.1525-1446.2002.19603.x")</f>
        <v>http://dx.doi.org/10.1046/j.1525-1446.2002.19603.x</v>
      </c>
      <c r="BL57" t="s">
        <v>69</v>
      </c>
      <c r="BM57" t="s">
        <v>69</v>
      </c>
      <c r="BN57">
        <v>11</v>
      </c>
      <c r="BO57" t="s">
        <v>31385</v>
      </c>
      <c r="BP57" t="s">
        <v>8661</v>
      </c>
      <c r="BQ57" t="s">
        <v>31385</v>
      </c>
      <c r="BR57" t="s">
        <v>31386</v>
      </c>
      <c r="BS57" t="s">
        <v>31387</v>
      </c>
      <c r="BT57">
        <v>12406176</v>
      </c>
      <c r="BU57" t="s">
        <v>69</v>
      </c>
      <c r="BV57" t="s">
        <v>69</v>
      </c>
      <c r="BW57" t="s">
        <v>69</v>
      </c>
      <c r="BX57" t="s">
        <v>8526</v>
      </c>
      <c r="BY57" t="str">
        <f>HYPERLINK("https%3A%2F%2Fwww.webofscience.com%2Fwos%2Fwoscc%2Ffull-record%2FWOS:000178858200003","View Full Record in Web of Science")</f>
        <v>View Full Record in Web of Science</v>
      </c>
    </row>
    <row r="58" spans="1:77" ht="12.5" x14ac:dyDescent="0.25">
      <c r="A58" t="s">
        <v>8495</v>
      </c>
      <c r="B58" s="7" t="s">
        <v>32933</v>
      </c>
      <c r="C58" s="7"/>
      <c r="D58" s="7"/>
      <c r="E58" s="7"/>
      <c r="F58" t="s">
        <v>67</v>
      </c>
      <c r="G58" t="s">
        <v>7326</v>
      </c>
      <c r="H58" t="s">
        <v>69</v>
      </c>
      <c r="I58" t="s">
        <v>69</v>
      </c>
      <c r="J58" t="s">
        <v>69</v>
      </c>
      <c r="K58" t="s">
        <v>7327</v>
      </c>
      <c r="L58" t="s">
        <v>69</v>
      </c>
      <c r="M58" t="s">
        <v>69</v>
      </c>
      <c r="N58" t="s">
        <v>7328</v>
      </c>
      <c r="O58" t="s">
        <v>632</v>
      </c>
      <c r="P58" t="s">
        <v>69</v>
      </c>
      <c r="Q58" t="s">
        <v>69</v>
      </c>
      <c r="R58" t="s">
        <v>8505</v>
      </c>
      <c r="S58" t="s">
        <v>8506</v>
      </c>
      <c r="T58" t="s">
        <v>69</v>
      </c>
      <c r="U58" t="s">
        <v>69</v>
      </c>
      <c r="V58" t="s">
        <v>69</v>
      </c>
      <c r="W58" t="s">
        <v>69</v>
      </c>
      <c r="X58" t="s">
        <v>69</v>
      </c>
      <c r="Y58" t="s">
        <v>16561</v>
      </c>
      <c r="Z58" t="s">
        <v>16562</v>
      </c>
      <c r="AA58" t="s">
        <v>7329</v>
      </c>
      <c r="AB58" t="s">
        <v>16563</v>
      </c>
      <c r="AC58" t="s">
        <v>69</v>
      </c>
      <c r="AD58" t="s">
        <v>16564</v>
      </c>
      <c r="AE58" t="s">
        <v>16565</v>
      </c>
      <c r="AF58" t="s">
        <v>16566</v>
      </c>
      <c r="AG58" t="s">
        <v>7330</v>
      </c>
      <c r="AH58" t="s">
        <v>16567</v>
      </c>
      <c r="AI58" t="s">
        <v>16568</v>
      </c>
      <c r="AJ58" t="s">
        <v>16569</v>
      </c>
      <c r="AK58" t="s">
        <v>69</v>
      </c>
      <c r="AL58">
        <v>59</v>
      </c>
      <c r="AM58">
        <v>45</v>
      </c>
      <c r="AN58">
        <v>45</v>
      </c>
      <c r="AO58">
        <v>18</v>
      </c>
      <c r="AP58">
        <v>93</v>
      </c>
      <c r="AQ58" t="s">
        <v>8516</v>
      </c>
      <c r="AR58" t="s">
        <v>8517</v>
      </c>
      <c r="AS58" t="s">
        <v>8518</v>
      </c>
      <c r="AT58" t="s">
        <v>634</v>
      </c>
      <c r="AU58" t="s">
        <v>635</v>
      </c>
      <c r="AV58" t="s">
        <v>69</v>
      </c>
      <c r="AW58" t="s">
        <v>8714</v>
      </c>
      <c r="AX58" t="s">
        <v>8715</v>
      </c>
      <c r="AY58" t="s">
        <v>7048</v>
      </c>
      <c r="AZ58">
        <v>2019</v>
      </c>
      <c r="BA58">
        <v>686</v>
      </c>
      <c r="BB58" t="s">
        <v>69</v>
      </c>
      <c r="BC58" t="s">
        <v>69</v>
      </c>
      <c r="BD58" t="s">
        <v>69</v>
      </c>
      <c r="BE58" t="s">
        <v>69</v>
      </c>
      <c r="BF58" t="s">
        <v>69</v>
      </c>
      <c r="BG58">
        <v>856</v>
      </c>
      <c r="BH58">
        <v>868</v>
      </c>
      <c r="BI58" t="s">
        <v>69</v>
      </c>
      <c r="BJ58" t="s">
        <v>7331</v>
      </c>
      <c r="BK58" t="str">
        <f>HYPERLINK("http://dx.doi.org/10.1016/j.scitotenv.2019.06.051","http://dx.doi.org/10.1016/j.scitotenv.2019.06.051")</f>
        <v>http://dx.doi.org/10.1016/j.scitotenv.2019.06.051</v>
      </c>
      <c r="BL58" t="s">
        <v>69</v>
      </c>
      <c r="BM58" t="s">
        <v>69</v>
      </c>
      <c r="BN58">
        <v>13</v>
      </c>
      <c r="BO58" t="s">
        <v>8717</v>
      </c>
      <c r="BP58" t="s">
        <v>8523</v>
      </c>
      <c r="BQ58" t="s">
        <v>8662</v>
      </c>
      <c r="BR58" t="s">
        <v>16570</v>
      </c>
      <c r="BS58" t="s">
        <v>7332</v>
      </c>
      <c r="BT58">
        <v>31412525</v>
      </c>
      <c r="BU58" t="s">
        <v>10363</v>
      </c>
      <c r="BV58" t="s">
        <v>69</v>
      </c>
      <c r="BW58" t="s">
        <v>69</v>
      </c>
      <c r="BX58" t="s">
        <v>8526</v>
      </c>
      <c r="BY58" t="str">
        <f>HYPERLINK("https%3A%2F%2Fwww.webofscience.com%2Fwos%2Fwoscc%2Ffull-record%2FWOS:000479029700077","View Full Record in Web of Science")</f>
        <v>View Full Record in Web of Science</v>
      </c>
    </row>
    <row r="59" spans="1:77" ht="12.5" x14ac:dyDescent="0.25">
      <c r="A59" t="s">
        <v>8495</v>
      </c>
      <c r="B59" s="22" t="s">
        <v>32931</v>
      </c>
      <c r="C59" s="7"/>
      <c r="D59" s="7"/>
      <c r="E59" s="7"/>
      <c r="F59" t="s">
        <v>67</v>
      </c>
      <c r="G59" t="s">
        <v>20968</v>
      </c>
      <c r="H59" t="s">
        <v>69</v>
      </c>
      <c r="I59" t="s">
        <v>69</v>
      </c>
      <c r="J59" t="s">
        <v>69</v>
      </c>
      <c r="K59" t="s">
        <v>20969</v>
      </c>
      <c r="L59" t="s">
        <v>69</v>
      </c>
      <c r="M59" t="s">
        <v>69</v>
      </c>
      <c r="N59" t="s">
        <v>20970</v>
      </c>
      <c r="O59" t="s">
        <v>20971</v>
      </c>
      <c r="P59" t="s">
        <v>69</v>
      </c>
      <c r="Q59" t="s">
        <v>69</v>
      </c>
      <c r="R59" t="s">
        <v>8505</v>
      </c>
      <c r="S59" t="s">
        <v>8506</v>
      </c>
      <c r="T59" t="s">
        <v>69</v>
      </c>
      <c r="U59" t="s">
        <v>69</v>
      </c>
      <c r="V59" t="s">
        <v>69</v>
      </c>
      <c r="W59" t="s">
        <v>69</v>
      </c>
      <c r="X59" t="s">
        <v>69</v>
      </c>
      <c r="Y59" t="s">
        <v>20972</v>
      </c>
      <c r="Z59" t="s">
        <v>20973</v>
      </c>
      <c r="AA59" t="s">
        <v>20974</v>
      </c>
      <c r="AB59" t="s">
        <v>20975</v>
      </c>
      <c r="AC59" t="s">
        <v>69</v>
      </c>
      <c r="AD59" t="s">
        <v>20976</v>
      </c>
      <c r="AE59" t="s">
        <v>20977</v>
      </c>
      <c r="AF59" t="s">
        <v>20978</v>
      </c>
      <c r="AG59" t="s">
        <v>20979</v>
      </c>
      <c r="AH59" t="s">
        <v>20980</v>
      </c>
      <c r="AI59" t="s">
        <v>20981</v>
      </c>
      <c r="AJ59" t="s">
        <v>20982</v>
      </c>
      <c r="AK59" t="s">
        <v>69</v>
      </c>
      <c r="AL59">
        <v>75</v>
      </c>
      <c r="AM59">
        <v>8</v>
      </c>
      <c r="AN59">
        <v>8</v>
      </c>
      <c r="AO59">
        <v>0</v>
      </c>
      <c r="AP59">
        <v>13</v>
      </c>
      <c r="AQ59" t="s">
        <v>8865</v>
      </c>
      <c r="AR59" t="s">
        <v>8612</v>
      </c>
      <c r="AS59" t="s">
        <v>8866</v>
      </c>
      <c r="AT59" t="s">
        <v>20983</v>
      </c>
      <c r="AU59" t="s">
        <v>20984</v>
      </c>
      <c r="AV59" t="s">
        <v>69</v>
      </c>
      <c r="AW59" t="s">
        <v>20985</v>
      </c>
      <c r="AX59" t="s">
        <v>20986</v>
      </c>
      <c r="AY59" t="s">
        <v>69</v>
      </c>
      <c r="AZ59">
        <v>2017</v>
      </c>
      <c r="BA59">
        <v>12</v>
      </c>
      <c r="BB59">
        <v>4</v>
      </c>
      <c r="BC59" t="s">
        <v>69</v>
      </c>
      <c r="BD59" t="s">
        <v>69</v>
      </c>
      <c r="BE59" t="s">
        <v>69</v>
      </c>
      <c r="BF59" t="s">
        <v>69</v>
      </c>
      <c r="BG59">
        <v>432</v>
      </c>
      <c r="BH59">
        <v>448</v>
      </c>
      <c r="BI59" t="s">
        <v>69</v>
      </c>
      <c r="BJ59" t="s">
        <v>20987</v>
      </c>
      <c r="BK59" t="str">
        <f>HYPERLINK("http://dx.doi.org/10.1080/17441692.2016.1170868","http://dx.doi.org/10.1080/17441692.2016.1170868")</f>
        <v>http://dx.doi.org/10.1080/17441692.2016.1170868</v>
      </c>
      <c r="BL59" t="s">
        <v>69</v>
      </c>
      <c r="BM59" t="s">
        <v>69</v>
      </c>
      <c r="BN59">
        <v>17</v>
      </c>
      <c r="BO59" t="s">
        <v>8810</v>
      </c>
      <c r="BP59" t="s">
        <v>8661</v>
      </c>
      <c r="BQ59" t="s">
        <v>8810</v>
      </c>
      <c r="BR59" t="s">
        <v>20988</v>
      </c>
      <c r="BS59" t="s">
        <v>20989</v>
      </c>
      <c r="BT59">
        <v>27079136</v>
      </c>
      <c r="BU59" t="s">
        <v>9292</v>
      </c>
      <c r="BV59" t="s">
        <v>69</v>
      </c>
      <c r="BW59" t="s">
        <v>69</v>
      </c>
      <c r="BX59" t="s">
        <v>8526</v>
      </c>
      <c r="BY59" t="str">
        <f>HYPERLINK("https%3A%2F%2Fwww.webofscience.com%2Fwos%2Fwoscc%2Ffull-record%2FWOS:000395009700004","View Full Record in Web of Science")</f>
        <v>View Full Record in Web of Science</v>
      </c>
    </row>
    <row r="60" spans="1:77" ht="12.5" x14ac:dyDescent="0.25">
      <c r="A60" t="s">
        <v>8495</v>
      </c>
      <c r="B60" s="7" t="s">
        <v>32933</v>
      </c>
      <c r="C60" s="7"/>
      <c r="D60" s="7"/>
      <c r="E60" s="7"/>
      <c r="F60" t="s">
        <v>67</v>
      </c>
      <c r="G60" t="s">
        <v>8203</v>
      </c>
      <c r="H60" t="s">
        <v>69</v>
      </c>
      <c r="I60" t="s">
        <v>69</v>
      </c>
      <c r="J60" t="s">
        <v>69</v>
      </c>
      <c r="K60" t="s">
        <v>8204</v>
      </c>
      <c r="L60" t="s">
        <v>69</v>
      </c>
      <c r="M60" t="s">
        <v>69</v>
      </c>
      <c r="N60" t="s">
        <v>8205</v>
      </c>
      <c r="O60" t="s">
        <v>4079</v>
      </c>
      <c r="P60" t="s">
        <v>69</v>
      </c>
      <c r="Q60" t="s">
        <v>69</v>
      </c>
      <c r="R60" t="s">
        <v>8505</v>
      </c>
      <c r="S60" t="s">
        <v>8506</v>
      </c>
      <c r="T60" t="s">
        <v>69</v>
      </c>
      <c r="U60" t="s">
        <v>69</v>
      </c>
      <c r="V60" t="s">
        <v>69</v>
      </c>
      <c r="W60" t="s">
        <v>69</v>
      </c>
      <c r="X60" t="s">
        <v>69</v>
      </c>
      <c r="Y60" t="s">
        <v>21755</v>
      </c>
      <c r="Z60" t="s">
        <v>21756</v>
      </c>
      <c r="AA60" t="s">
        <v>8206</v>
      </c>
      <c r="AB60" t="s">
        <v>21757</v>
      </c>
      <c r="AC60" t="s">
        <v>69</v>
      </c>
      <c r="AD60" t="s">
        <v>21758</v>
      </c>
      <c r="AE60" t="s">
        <v>21759</v>
      </c>
      <c r="AF60" t="s">
        <v>69</v>
      </c>
      <c r="AG60" t="s">
        <v>69</v>
      </c>
      <c r="AH60" t="s">
        <v>69</v>
      </c>
      <c r="AI60" t="s">
        <v>69</v>
      </c>
      <c r="AJ60" t="s">
        <v>69</v>
      </c>
      <c r="AK60" t="s">
        <v>69</v>
      </c>
      <c r="AL60">
        <v>54</v>
      </c>
      <c r="AM60">
        <v>26</v>
      </c>
      <c r="AN60">
        <v>27</v>
      </c>
      <c r="AO60">
        <v>1</v>
      </c>
      <c r="AP60">
        <v>23</v>
      </c>
      <c r="AQ60" t="s">
        <v>18779</v>
      </c>
      <c r="AR60" t="s">
        <v>8993</v>
      </c>
      <c r="AS60" t="s">
        <v>18780</v>
      </c>
      <c r="AT60" t="s">
        <v>4084</v>
      </c>
      <c r="AU60" t="s">
        <v>8000</v>
      </c>
      <c r="AV60" t="s">
        <v>69</v>
      </c>
      <c r="AW60" t="s">
        <v>18781</v>
      </c>
      <c r="AX60" t="s">
        <v>18782</v>
      </c>
      <c r="AY60" t="s">
        <v>8207</v>
      </c>
      <c r="AZ60">
        <v>2016</v>
      </c>
      <c r="BA60">
        <v>116</v>
      </c>
      <c r="BB60" t="s">
        <v>69</v>
      </c>
      <c r="BC60" t="s">
        <v>69</v>
      </c>
      <c r="BD60" t="s">
        <v>69</v>
      </c>
      <c r="BE60" t="s">
        <v>69</v>
      </c>
      <c r="BF60" t="s">
        <v>69</v>
      </c>
      <c r="BG60">
        <v>522</v>
      </c>
      <c r="BH60">
        <v>534</v>
      </c>
      <c r="BI60" t="s">
        <v>69</v>
      </c>
      <c r="BJ60" t="s">
        <v>8208</v>
      </c>
      <c r="BK60" t="str">
        <f>HYPERLINK("http://dx.doi.org/10.1016/j.enbuild.2016.01.022","http://dx.doi.org/10.1016/j.enbuild.2016.01.022")</f>
        <v>http://dx.doi.org/10.1016/j.enbuild.2016.01.022</v>
      </c>
      <c r="BL60" t="s">
        <v>69</v>
      </c>
      <c r="BM60" t="s">
        <v>69</v>
      </c>
      <c r="BN60">
        <v>13</v>
      </c>
      <c r="BO60" t="s">
        <v>18783</v>
      </c>
      <c r="BP60" t="s">
        <v>8548</v>
      </c>
      <c r="BQ60" t="s">
        <v>18784</v>
      </c>
      <c r="BR60" t="s">
        <v>21760</v>
      </c>
      <c r="BS60" t="s">
        <v>8209</v>
      </c>
      <c r="BT60" t="s">
        <v>69</v>
      </c>
      <c r="BU60" t="s">
        <v>69</v>
      </c>
      <c r="BV60" t="s">
        <v>69</v>
      </c>
      <c r="BW60" t="s">
        <v>69</v>
      </c>
      <c r="BX60" t="s">
        <v>8526</v>
      </c>
      <c r="BY60" t="str">
        <f>HYPERLINK("https%3A%2F%2Fwww.webofscience.com%2Fwos%2Fwoscc%2Ffull-record%2FWOS:000373863300046","View Full Record in Web of Science")</f>
        <v>View Full Record in Web of Science</v>
      </c>
    </row>
    <row r="61" spans="1:77" ht="12.5" x14ac:dyDescent="0.25">
      <c r="A61" t="s">
        <v>8495</v>
      </c>
      <c r="B61" s="7" t="s">
        <v>32933</v>
      </c>
      <c r="C61" s="7"/>
      <c r="D61" s="7"/>
      <c r="E61" s="7"/>
      <c r="F61" t="s">
        <v>67</v>
      </c>
      <c r="G61" t="s">
        <v>8089</v>
      </c>
      <c r="H61" t="s">
        <v>69</v>
      </c>
      <c r="I61" t="s">
        <v>69</v>
      </c>
      <c r="J61" t="s">
        <v>69</v>
      </c>
      <c r="K61" t="s">
        <v>8090</v>
      </c>
      <c r="L61" t="s">
        <v>69</v>
      </c>
      <c r="M61" t="s">
        <v>69</v>
      </c>
      <c r="N61" t="s">
        <v>8091</v>
      </c>
      <c r="O61" t="s">
        <v>8092</v>
      </c>
      <c r="P61" t="s">
        <v>69</v>
      </c>
      <c r="Q61" t="s">
        <v>69</v>
      </c>
      <c r="R61" t="s">
        <v>8505</v>
      </c>
      <c r="S61" t="s">
        <v>8506</v>
      </c>
      <c r="T61" t="s">
        <v>69</v>
      </c>
      <c r="U61" t="s">
        <v>69</v>
      </c>
      <c r="V61" t="s">
        <v>69</v>
      </c>
      <c r="W61" t="s">
        <v>69</v>
      </c>
      <c r="X61" t="s">
        <v>69</v>
      </c>
      <c r="Y61" t="s">
        <v>16849</v>
      </c>
      <c r="Z61" t="s">
        <v>16850</v>
      </c>
      <c r="AA61" t="s">
        <v>8093</v>
      </c>
      <c r="AB61" t="s">
        <v>16851</v>
      </c>
      <c r="AC61" t="s">
        <v>69</v>
      </c>
      <c r="AD61" t="s">
        <v>16852</v>
      </c>
      <c r="AE61" t="s">
        <v>16853</v>
      </c>
      <c r="AF61" t="s">
        <v>69</v>
      </c>
      <c r="AG61" t="s">
        <v>69</v>
      </c>
      <c r="AH61" t="s">
        <v>69</v>
      </c>
      <c r="AI61" t="s">
        <v>69</v>
      </c>
      <c r="AJ61" t="s">
        <v>69</v>
      </c>
      <c r="AK61" t="s">
        <v>69</v>
      </c>
      <c r="AL61">
        <v>62</v>
      </c>
      <c r="AM61">
        <v>7</v>
      </c>
      <c r="AN61">
        <v>8</v>
      </c>
      <c r="AO61">
        <v>4</v>
      </c>
      <c r="AP61">
        <v>11</v>
      </c>
      <c r="AQ61" t="s">
        <v>9047</v>
      </c>
      <c r="AR61" t="s">
        <v>8693</v>
      </c>
      <c r="AS61" t="s">
        <v>11784</v>
      </c>
      <c r="AT61" t="s">
        <v>8094</v>
      </c>
      <c r="AU61" t="s">
        <v>8095</v>
      </c>
      <c r="AV61" t="s">
        <v>69</v>
      </c>
      <c r="AW61" t="s">
        <v>16854</v>
      </c>
      <c r="AX61" t="s">
        <v>16855</v>
      </c>
      <c r="AY61" t="s">
        <v>255</v>
      </c>
      <c r="AZ61">
        <v>2019</v>
      </c>
      <c r="BA61">
        <v>10</v>
      </c>
      <c r="BB61">
        <v>3</v>
      </c>
      <c r="BC61" t="s">
        <v>69</v>
      </c>
      <c r="BD61" t="s">
        <v>69</v>
      </c>
      <c r="BE61" t="s">
        <v>69</v>
      </c>
      <c r="BF61" t="s">
        <v>69</v>
      </c>
      <c r="BG61">
        <v>1272</v>
      </c>
      <c r="BH61">
        <v>1296</v>
      </c>
      <c r="BI61" t="s">
        <v>69</v>
      </c>
      <c r="BJ61" t="s">
        <v>8096</v>
      </c>
      <c r="BK61" t="str">
        <f>HYPERLINK("http://dx.doi.org/10.1007/s13132-018-0521-5","http://dx.doi.org/10.1007/s13132-018-0521-5")</f>
        <v>http://dx.doi.org/10.1007/s13132-018-0521-5</v>
      </c>
      <c r="BL61" t="s">
        <v>69</v>
      </c>
      <c r="BM61" t="s">
        <v>69</v>
      </c>
      <c r="BN61">
        <v>25</v>
      </c>
      <c r="BO61" t="s">
        <v>9726</v>
      </c>
      <c r="BP61" t="s">
        <v>8661</v>
      </c>
      <c r="BQ61" t="s">
        <v>8594</v>
      </c>
      <c r="BR61" t="s">
        <v>16856</v>
      </c>
      <c r="BS61" t="s">
        <v>8097</v>
      </c>
      <c r="BT61" t="s">
        <v>69</v>
      </c>
      <c r="BU61" t="s">
        <v>10363</v>
      </c>
      <c r="BV61" t="s">
        <v>69</v>
      </c>
      <c r="BW61" t="s">
        <v>69</v>
      </c>
      <c r="BX61" t="s">
        <v>8526</v>
      </c>
      <c r="BY61" t="str">
        <f>HYPERLINK("https%3A%2F%2Fwww.webofscience.com%2Fwos%2Fwoscc%2Ffull-record%2FWOS:000479145300019","View Full Record in Web of Science")</f>
        <v>View Full Record in Web of Science</v>
      </c>
    </row>
    <row r="62" spans="1:77" ht="12.5" x14ac:dyDescent="0.25">
      <c r="A62" t="s">
        <v>8495</v>
      </c>
      <c r="B62" s="22" t="s">
        <v>32931</v>
      </c>
      <c r="C62" s="7"/>
      <c r="D62" s="7"/>
      <c r="E62" s="7"/>
      <c r="F62" t="s">
        <v>67</v>
      </c>
      <c r="G62" t="s">
        <v>31667</v>
      </c>
      <c r="H62" t="s">
        <v>69</v>
      </c>
      <c r="I62" t="s">
        <v>69</v>
      </c>
      <c r="J62" t="s">
        <v>69</v>
      </c>
      <c r="K62" t="s">
        <v>31667</v>
      </c>
      <c r="L62" t="s">
        <v>69</v>
      </c>
      <c r="M62" t="s">
        <v>69</v>
      </c>
      <c r="N62" t="s">
        <v>31668</v>
      </c>
      <c r="O62" t="s">
        <v>29970</v>
      </c>
      <c r="P62" t="s">
        <v>69</v>
      </c>
      <c r="Q62" t="s">
        <v>69</v>
      </c>
      <c r="R62" t="s">
        <v>8505</v>
      </c>
      <c r="S62" t="s">
        <v>8506</v>
      </c>
      <c r="T62" t="s">
        <v>69</v>
      </c>
      <c r="U62" t="s">
        <v>69</v>
      </c>
      <c r="V62" t="s">
        <v>69</v>
      </c>
      <c r="W62" t="s">
        <v>69</v>
      </c>
      <c r="X62" t="s">
        <v>69</v>
      </c>
      <c r="Y62" t="s">
        <v>69</v>
      </c>
      <c r="Z62" t="s">
        <v>69</v>
      </c>
      <c r="AA62" t="s">
        <v>31669</v>
      </c>
      <c r="AB62" t="s">
        <v>31670</v>
      </c>
      <c r="AC62" t="s">
        <v>69</v>
      </c>
      <c r="AD62" t="s">
        <v>31671</v>
      </c>
      <c r="AE62" t="s">
        <v>69</v>
      </c>
      <c r="AF62" t="s">
        <v>69</v>
      </c>
      <c r="AG62" t="s">
        <v>69</v>
      </c>
      <c r="AH62" t="s">
        <v>69</v>
      </c>
      <c r="AI62" t="s">
        <v>69</v>
      </c>
      <c r="AJ62" t="s">
        <v>69</v>
      </c>
      <c r="AK62" t="s">
        <v>69</v>
      </c>
      <c r="AL62">
        <v>15</v>
      </c>
      <c r="AM62">
        <v>4</v>
      </c>
      <c r="AN62">
        <v>4</v>
      </c>
      <c r="AO62">
        <v>0</v>
      </c>
      <c r="AP62">
        <v>3</v>
      </c>
      <c r="AQ62" t="s">
        <v>29982</v>
      </c>
      <c r="AR62" t="s">
        <v>9979</v>
      </c>
      <c r="AS62" t="s">
        <v>31672</v>
      </c>
      <c r="AT62" t="s">
        <v>29984</v>
      </c>
      <c r="AU62" t="s">
        <v>69</v>
      </c>
      <c r="AV62" t="s">
        <v>69</v>
      </c>
      <c r="AW62" t="s">
        <v>29986</v>
      </c>
      <c r="AX62" t="s">
        <v>29987</v>
      </c>
      <c r="AY62" t="s">
        <v>69</v>
      </c>
      <c r="AZ62">
        <v>2001</v>
      </c>
      <c r="BA62">
        <v>3</v>
      </c>
      <c r="BB62">
        <v>4</v>
      </c>
      <c r="BC62" t="s">
        <v>69</v>
      </c>
      <c r="BD62" t="s">
        <v>69</v>
      </c>
      <c r="BE62" t="s">
        <v>69</v>
      </c>
      <c r="BF62" t="s">
        <v>69</v>
      </c>
      <c r="BG62">
        <v>425</v>
      </c>
      <c r="BH62">
        <v>431</v>
      </c>
      <c r="BI62" t="s">
        <v>69</v>
      </c>
      <c r="BJ62" t="s">
        <v>31673</v>
      </c>
      <c r="BK62" t="str">
        <f>HYPERLINK("http://dx.doi.org/10.1039/b101351n","http://dx.doi.org/10.1039/b101351n")</f>
        <v>http://dx.doi.org/10.1039/b101351n</v>
      </c>
      <c r="BL62" t="s">
        <v>69</v>
      </c>
      <c r="BM62" t="s">
        <v>69</v>
      </c>
      <c r="BN62">
        <v>7</v>
      </c>
      <c r="BO62" t="s">
        <v>29989</v>
      </c>
      <c r="BP62" t="s">
        <v>8548</v>
      </c>
      <c r="BQ62" t="s">
        <v>29990</v>
      </c>
      <c r="BR62" t="s">
        <v>31674</v>
      </c>
      <c r="BS62" t="s">
        <v>31675</v>
      </c>
      <c r="BT62">
        <v>11523445</v>
      </c>
      <c r="BU62" t="s">
        <v>69</v>
      </c>
      <c r="BV62" t="s">
        <v>69</v>
      </c>
      <c r="BW62" t="s">
        <v>69</v>
      </c>
      <c r="BX62" t="s">
        <v>8526</v>
      </c>
      <c r="BY62" t="str">
        <f>HYPERLINK("https%3A%2F%2Fwww.webofscience.com%2Fwos%2Fwoscc%2Ffull-record%2FWOS:000170170500018","View Full Record in Web of Science")</f>
        <v>View Full Record in Web of Science</v>
      </c>
    </row>
    <row r="63" spans="1:77" ht="12.5" x14ac:dyDescent="0.25">
      <c r="A63" t="s">
        <v>8495</v>
      </c>
      <c r="B63" s="22" t="s">
        <v>32931</v>
      </c>
      <c r="C63" s="7"/>
      <c r="D63" s="7"/>
      <c r="E63" s="7"/>
      <c r="F63" t="s">
        <v>67</v>
      </c>
      <c r="G63" t="s">
        <v>28107</v>
      </c>
      <c r="H63" t="s">
        <v>69</v>
      </c>
      <c r="I63" t="s">
        <v>69</v>
      </c>
      <c r="J63" t="s">
        <v>69</v>
      </c>
      <c r="K63" t="s">
        <v>28108</v>
      </c>
      <c r="L63" t="s">
        <v>69</v>
      </c>
      <c r="M63" t="s">
        <v>69</v>
      </c>
      <c r="N63" t="s">
        <v>28109</v>
      </c>
      <c r="O63" t="s">
        <v>3658</v>
      </c>
      <c r="P63" t="s">
        <v>69</v>
      </c>
      <c r="Q63" t="s">
        <v>69</v>
      </c>
      <c r="R63" t="s">
        <v>8505</v>
      </c>
      <c r="S63" t="s">
        <v>8506</v>
      </c>
      <c r="T63" t="s">
        <v>69</v>
      </c>
      <c r="U63" t="s">
        <v>69</v>
      </c>
      <c r="V63" t="s">
        <v>69</v>
      </c>
      <c r="W63" t="s">
        <v>69</v>
      </c>
      <c r="X63" t="s">
        <v>69</v>
      </c>
      <c r="Y63" t="s">
        <v>69</v>
      </c>
      <c r="Z63" t="s">
        <v>28110</v>
      </c>
      <c r="AA63" t="s">
        <v>28111</v>
      </c>
      <c r="AB63" t="s">
        <v>28112</v>
      </c>
      <c r="AC63" t="s">
        <v>69</v>
      </c>
      <c r="AD63" t="s">
        <v>28113</v>
      </c>
      <c r="AE63" t="s">
        <v>28114</v>
      </c>
      <c r="AF63" t="s">
        <v>69</v>
      </c>
      <c r="AG63" t="s">
        <v>69</v>
      </c>
      <c r="AH63" t="s">
        <v>69</v>
      </c>
      <c r="AI63" t="s">
        <v>69</v>
      </c>
      <c r="AJ63" t="s">
        <v>69</v>
      </c>
      <c r="AK63" t="s">
        <v>69</v>
      </c>
      <c r="AL63">
        <v>39</v>
      </c>
      <c r="AM63">
        <v>18</v>
      </c>
      <c r="AN63">
        <v>21</v>
      </c>
      <c r="AO63">
        <v>0</v>
      </c>
      <c r="AP63">
        <v>15</v>
      </c>
      <c r="AQ63" t="s">
        <v>8865</v>
      </c>
      <c r="AR63" t="s">
        <v>8612</v>
      </c>
      <c r="AS63" t="s">
        <v>8866</v>
      </c>
      <c r="AT63" t="s">
        <v>3660</v>
      </c>
      <c r="AU63" t="s">
        <v>3661</v>
      </c>
      <c r="AV63" t="s">
        <v>69</v>
      </c>
      <c r="AW63" t="s">
        <v>17632</v>
      </c>
      <c r="AX63" t="s">
        <v>17633</v>
      </c>
      <c r="AY63" t="s">
        <v>69</v>
      </c>
      <c r="AZ63">
        <v>2010</v>
      </c>
      <c r="BA63">
        <v>20</v>
      </c>
      <c r="BB63">
        <v>4</v>
      </c>
      <c r="BC63" t="s">
        <v>69</v>
      </c>
      <c r="BD63" t="s">
        <v>69</v>
      </c>
      <c r="BE63" t="s">
        <v>69</v>
      </c>
      <c r="BF63" t="s">
        <v>69</v>
      </c>
      <c r="BG63">
        <v>288</v>
      </c>
      <c r="BH63">
        <v>315</v>
      </c>
      <c r="BI63" t="s">
        <v>28115</v>
      </c>
      <c r="BJ63" t="s">
        <v>28116</v>
      </c>
      <c r="BK63" t="str">
        <f>HYPERLINK("http://dx.doi.org/10.1080/10474412.2010.522878","http://dx.doi.org/10.1080/10474412.2010.522878")</f>
        <v>http://dx.doi.org/10.1080/10474412.2010.522878</v>
      </c>
      <c r="BL63" t="s">
        <v>69</v>
      </c>
      <c r="BM63" t="s">
        <v>69</v>
      </c>
      <c r="BN63">
        <v>28</v>
      </c>
      <c r="BO63" t="s">
        <v>11114</v>
      </c>
      <c r="BP63" t="s">
        <v>8661</v>
      </c>
      <c r="BQ63" t="s">
        <v>9001</v>
      </c>
      <c r="BR63" t="s">
        <v>28117</v>
      </c>
      <c r="BS63" t="s">
        <v>28118</v>
      </c>
      <c r="BT63" t="s">
        <v>69</v>
      </c>
      <c r="BU63" t="s">
        <v>69</v>
      </c>
      <c r="BV63" t="s">
        <v>69</v>
      </c>
      <c r="BW63" t="s">
        <v>69</v>
      </c>
      <c r="BX63" t="s">
        <v>8526</v>
      </c>
      <c r="BY63" t="str">
        <f>HYPERLINK("https%3A%2F%2Fwww.webofscience.com%2Fwos%2Fwoscc%2Ffull-record%2FWOS:000285352300002","View Full Record in Web of Science")</f>
        <v>View Full Record in Web of Science</v>
      </c>
    </row>
    <row r="64" spans="1:77" ht="12.5" x14ac:dyDescent="0.25">
      <c r="A64" t="s">
        <v>8495</v>
      </c>
      <c r="B64" s="22" t="s">
        <v>32933</v>
      </c>
      <c r="C64" s="7"/>
      <c r="D64" s="7"/>
      <c r="E64" s="7"/>
      <c r="F64" t="s">
        <v>67</v>
      </c>
      <c r="G64" t="s">
        <v>313</v>
      </c>
      <c r="H64" t="s">
        <v>69</v>
      </c>
      <c r="I64" t="s">
        <v>69</v>
      </c>
      <c r="J64" t="s">
        <v>69</v>
      </c>
      <c r="K64" t="s">
        <v>314</v>
      </c>
      <c r="L64" t="s">
        <v>69</v>
      </c>
      <c r="M64" t="s">
        <v>69</v>
      </c>
      <c r="N64" t="s">
        <v>315</v>
      </c>
      <c r="O64" t="s">
        <v>316</v>
      </c>
      <c r="P64" t="s">
        <v>69</v>
      </c>
      <c r="Q64" t="s">
        <v>69</v>
      </c>
      <c r="R64" t="s">
        <v>8505</v>
      </c>
      <c r="S64" t="s">
        <v>8506</v>
      </c>
      <c r="T64" t="s">
        <v>69</v>
      </c>
      <c r="U64" t="s">
        <v>69</v>
      </c>
      <c r="V64" t="s">
        <v>69</v>
      </c>
      <c r="W64" t="s">
        <v>69</v>
      </c>
      <c r="X64" t="s">
        <v>69</v>
      </c>
      <c r="Y64" t="s">
        <v>14189</v>
      </c>
      <c r="Z64" t="s">
        <v>14190</v>
      </c>
      <c r="AA64" t="s">
        <v>317</v>
      </c>
      <c r="AB64" t="s">
        <v>14191</v>
      </c>
      <c r="AC64" t="s">
        <v>69</v>
      </c>
      <c r="AD64" t="s">
        <v>14192</v>
      </c>
      <c r="AE64" t="s">
        <v>14193</v>
      </c>
      <c r="AF64" t="s">
        <v>69</v>
      </c>
      <c r="AG64" t="s">
        <v>69</v>
      </c>
      <c r="AH64" t="s">
        <v>69</v>
      </c>
      <c r="AI64" t="s">
        <v>69</v>
      </c>
      <c r="AJ64" t="s">
        <v>69</v>
      </c>
      <c r="AK64" t="s">
        <v>69</v>
      </c>
      <c r="AL64">
        <v>71</v>
      </c>
      <c r="AM64">
        <v>1</v>
      </c>
      <c r="AN64">
        <v>1</v>
      </c>
      <c r="AO64">
        <v>1</v>
      </c>
      <c r="AP64">
        <v>5</v>
      </c>
      <c r="AQ64" t="s">
        <v>8586</v>
      </c>
      <c r="AR64" t="s">
        <v>8587</v>
      </c>
      <c r="AS64" t="s">
        <v>8588</v>
      </c>
      <c r="AT64" t="s">
        <v>318</v>
      </c>
      <c r="AU64" t="s">
        <v>319</v>
      </c>
      <c r="AV64" t="s">
        <v>69</v>
      </c>
      <c r="AW64" t="s">
        <v>11313</v>
      </c>
      <c r="AX64" t="s">
        <v>11314</v>
      </c>
      <c r="AY64" t="s">
        <v>14194</v>
      </c>
      <c r="AZ64">
        <v>2021</v>
      </c>
      <c r="BA64">
        <v>21</v>
      </c>
      <c r="BB64">
        <v>2</v>
      </c>
      <c r="BC64" t="s">
        <v>69</v>
      </c>
      <c r="BD64" t="s">
        <v>69</v>
      </c>
      <c r="BE64" t="s">
        <v>69</v>
      </c>
      <c r="BF64" t="s">
        <v>69</v>
      </c>
      <c r="BG64">
        <v>321</v>
      </c>
      <c r="BH64">
        <v>344</v>
      </c>
      <c r="BI64" t="s">
        <v>69</v>
      </c>
      <c r="BJ64" t="s">
        <v>320</v>
      </c>
      <c r="BK64" t="str">
        <f>HYPERLINK("http://dx.doi.org/10.1108/CI-12-2019-0153","http://dx.doi.org/10.1108/CI-12-2019-0153")</f>
        <v>http://dx.doi.org/10.1108/CI-12-2019-0153</v>
      </c>
      <c r="BL64" t="s">
        <v>69</v>
      </c>
      <c r="BM64" t="s">
        <v>311</v>
      </c>
      <c r="BN64">
        <v>24</v>
      </c>
      <c r="BO64" t="s">
        <v>10105</v>
      </c>
      <c r="BP64" t="s">
        <v>8573</v>
      </c>
      <c r="BQ64" t="s">
        <v>10105</v>
      </c>
      <c r="BR64" t="s">
        <v>14195</v>
      </c>
      <c r="BS64" t="s">
        <v>321</v>
      </c>
      <c r="BT64" t="s">
        <v>69</v>
      </c>
      <c r="BU64" t="s">
        <v>69</v>
      </c>
      <c r="BV64" t="s">
        <v>69</v>
      </c>
      <c r="BW64" t="s">
        <v>69</v>
      </c>
      <c r="BX64" t="s">
        <v>8526</v>
      </c>
      <c r="BY64" t="str">
        <f>HYPERLINK("https%3A%2F%2Fwww.webofscience.com%2Fwos%2Fwoscc%2Ffull-record%2FWOS:000574593100001","View Full Record in Web of Science")</f>
        <v>View Full Record in Web of Science</v>
      </c>
    </row>
    <row r="65" spans="1:77" ht="12.5" x14ac:dyDescent="0.25">
      <c r="A65" t="s">
        <v>8495</v>
      </c>
      <c r="B65" s="7" t="s">
        <v>32933</v>
      </c>
      <c r="C65" s="7"/>
      <c r="D65" s="7"/>
      <c r="E65" s="7"/>
      <c r="F65" t="s">
        <v>67</v>
      </c>
      <c r="G65" t="s">
        <v>7789</v>
      </c>
      <c r="H65" t="s">
        <v>69</v>
      </c>
      <c r="I65" t="s">
        <v>69</v>
      </c>
      <c r="J65" t="s">
        <v>69</v>
      </c>
      <c r="K65" t="s">
        <v>7790</v>
      </c>
      <c r="L65" t="s">
        <v>69</v>
      </c>
      <c r="M65" t="s">
        <v>69</v>
      </c>
      <c r="N65" t="s">
        <v>7791</v>
      </c>
      <c r="O65" t="s">
        <v>7792</v>
      </c>
      <c r="P65" t="s">
        <v>69</v>
      </c>
      <c r="Q65" t="s">
        <v>69</v>
      </c>
      <c r="R65" t="s">
        <v>8505</v>
      </c>
      <c r="S65" t="s">
        <v>8506</v>
      </c>
      <c r="T65" t="s">
        <v>69</v>
      </c>
      <c r="U65" t="s">
        <v>69</v>
      </c>
      <c r="V65" t="s">
        <v>69</v>
      </c>
      <c r="W65" t="s">
        <v>69</v>
      </c>
      <c r="X65" t="s">
        <v>69</v>
      </c>
      <c r="Y65" t="s">
        <v>21888</v>
      </c>
      <c r="Z65" t="s">
        <v>69</v>
      </c>
      <c r="AA65" t="s">
        <v>7793</v>
      </c>
      <c r="AB65" t="s">
        <v>21889</v>
      </c>
      <c r="AC65" t="s">
        <v>69</v>
      </c>
      <c r="AD65" t="s">
        <v>21890</v>
      </c>
      <c r="AE65" t="s">
        <v>21891</v>
      </c>
      <c r="AF65" t="s">
        <v>69</v>
      </c>
      <c r="AG65" t="s">
        <v>69</v>
      </c>
      <c r="AH65" t="s">
        <v>69</v>
      </c>
      <c r="AI65" t="s">
        <v>69</v>
      </c>
      <c r="AJ65" t="s">
        <v>69</v>
      </c>
      <c r="AK65" t="s">
        <v>69</v>
      </c>
      <c r="AL65">
        <v>25</v>
      </c>
      <c r="AM65">
        <v>1</v>
      </c>
      <c r="AN65">
        <v>1</v>
      </c>
      <c r="AO65">
        <v>0</v>
      </c>
      <c r="AP65">
        <v>4</v>
      </c>
      <c r="AQ65" t="s">
        <v>21892</v>
      </c>
      <c r="AR65" t="s">
        <v>21893</v>
      </c>
      <c r="AS65" t="s">
        <v>21894</v>
      </c>
      <c r="AT65" t="s">
        <v>7794</v>
      </c>
      <c r="AU65" t="s">
        <v>7795</v>
      </c>
      <c r="AV65" t="s">
        <v>69</v>
      </c>
      <c r="AW65" t="s">
        <v>21895</v>
      </c>
      <c r="AX65" t="s">
        <v>21896</v>
      </c>
      <c r="AY65" t="s">
        <v>69</v>
      </c>
      <c r="AZ65">
        <v>2016</v>
      </c>
      <c r="BA65">
        <v>12</v>
      </c>
      <c r="BB65">
        <v>1</v>
      </c>
      <c r="BC65" t="s">
        <v>69</v>
      </c>
      <c r="BD65" t="s">
        <v>69</v>
      </c>
      <c r="BE65" t="s">
        <v>69</v>
      </c>
      <c r="BF65" t="s">
        <v>69</v>
      </c>
      <c r="BG65">
        <v>23</v>
      </c>
      <c r="BH65">
        <v>31</v>
      </c>
      <c r="BI65" t="s">
        <v>69</v>
      </c>
      <c r="BJ65" t="s">
        <v>69</v>
      </c>
      <c r="BK65" t="s">
        <v>69</v>
      </c>
      <c r="BL65" t="s">
        <v>69</v>
      </c>
      <c r="BM65" t="s">
        <v>69</v>
      </c>
      <c r="BN65">
        <v>9</v>
      </c>
      <c r="BO65" t="s">
        <v>10815</v>
      </c>
      <c r="BP65" t="s">
        <v>8573</v>
      </c>
      <c r="BQ65" t="s">
        <v>8450</v>
      </c>
      <c r="BR65" t="s">
        <v>21897</v>
      </c>
      <c r="BS65" t="s">
        <v>7796</v>
      </c>
      <c r="BT65" t="s">
        <v>69</v>
      </c>
      <c r="BU65" t="s">
        <v>69</v>
      </c>
      <c r="BV65" t="s">
        <v>69</v>
      </c>
      <c r="BW65" t="s">
        <v>69</v>
      </c>
      <c r="BX65" t="s">
        <v>8526</v>
      </c>
      <c r="BY65" t="str">
        <f>HYPERLINK("https%3A%2F%2Fwww.webofscience.com%2Fwos%2Fwoscc%2Ffull-record%2FWOS:000382770100004","View Full Record in Web of Science")</f>
        <v>View Full Record in Web of Science</v>
      </c>
    </row>
    <row r="66" spans="1:77" ht="12.5" x14ac:dyDescent="0.25">
      <c r="A66" t="s">
        <v>8495</v>
      </c>
      <c r="B66" s="7" t="s">
        <v>32933</v>
      </c>
      <c r="C66" s="7"/>
      <c r="D66" s="7"/>
      <c r="E66" s="7"/>
      <c r="F66" t="s">
        <v>67</v>
      </c>
      <c r="G66" t="s">
        <v>3000</v>
      </c>
      <c r="H66" t="s">
        <v>69</v>
      </c>
      <c r="I66" t="s">
        <v>69</v>
      </c>
      <c r="J66" t="s">
        <v>69</v>
      </c>
      <c r="K66" t="s">
        <v>3001</v>
      </c>
      <c r="L66" t="s">
        <v>69</v>
      </c>
      <c r="M66" t="s">
        <v>69</v>
      </c>
      <c r="N66" t="s">
        <v>3002</v>
      </c>
      <c r="O66" t="s">
        <v>3003</v>
      </c>
      <c r="P66" t="s">
        <v>69</v>
      </c>
      <c r="Q66" t="s">
        <v>69</v>
      </c>
      <c r="R66" t="s">
        <v>8505</v>
      </c>
      <c r="S66" t="s">
        <v>8506</v>
      </c>
      <c r="T66" t="s">
        <v>69</v>
      </c>
      <c r="U66" t="s">
        <v>69</v>
      </c>
      <c r="V66" t="s">
        <v>69</v>
      </c>
      <c r="W66" t="s">
        <v>69</v>
      </c>
      <c r="X66" t="s">
        <v>69</v>
      </c>
      <c r="Y66" t="s">
        <v>22473</v>
      </c>
      <c r="Z66" t="s">
        <v>69</v>
      </c>
      <c r="AA66" t="s">
        <v>3004</v>
      </c>
      <c r="AB66" t="s">
        <v>22474</v>
      </c>
      <c r="AC66" t="s">
        <v>69</v>
      </c>
      <c r="AD66" t="s">
        <v>22475</v>
      </c>
      <c r="AE66" t="s">
        <v>22476</v>
      </c>
      <c r="AF66" t="s">
        <v>69</v>
      </c>
      <c r="AG66" t="s">
        <v>69</v>
      </c>
      <c r="AH66" t="s">
        <v>69</v>
      </c>
      <c r="AI66" t="s">
        <v>69</v>
      </c>
      <c r="AJ66" t="s">
        <v>69</v>
      </c>
      <c r="AK66" t="s">
        <v>69</v>
      </c>
      <c r="AL66">
        <v>10</v>
      </c>
      <c r="AM66">
        <v>6</v>
      </c>
      <c r="AN66">
        <v>6</v>
      </c>
      <c r="AO66">
        <v>1</v>
      </c>
      <c r="AP66">
        <v>1</v>
      </c>
      <c r="AQ66" t="s">
        <v>22477</v>
      </c>
      <c r="AR66" t="s">
        <v>22478</v>
      </c>
      <c r="AS66" t="s">
        <v>22479</v>
      </c>
      <c r="AT66" t="s">
        <v>3005</v>
      </c>
      <c r="AU66" t="s">
        <v>3006</v>
      </c>
      <c r="AV66" t="s">
        <v>69</v>
      </c>
      <c r="AW66" t="s">
        <v>22480</v>
      </c>
      <c r="AX66" t="s">
        <v>22481</v>
      </c>
      <c r="AY66" t="s">
        <v>255</v>
      </c>
      <c r="AZ66">
        <v>2015</v>
      </c>
      <c r="BA66">
        <v>47</v>
      </c>
      <c r="BB66">
        <v>8</v>
      </c>
      <c r="BC66" t="s">
        <v>69</v>
      </c>
      <c r="BD66" t="s">
        <v>69</v>
      </c>
      <c r="BE66" t="s">
        <v>69</v>
      </c>
      <c r="BF66" t="s">
        <v>69</v>
      </c>
      <c r="BG66">
        <v>682</v>
      </c>
      <c r="BH66">
        <v>687</v>
      </c>
      <c r="BI66" t="s">
        <v>69</v>
      </c>
      <c r="BJ66" t="s">
        <v>3007</v>
      </c>
      <c r="BK66" t="str">
        <f>HYPERLINK("http://dx.doi.org/10.2340/16501977-1997","http://dx.doi.org/10.2340/16501977-1997")</f>
        <v>http://dx.doi.org/10.2340/16501977-1997</v>
      </c>
      <c r="BL66" t="s">
        <v>69</v>
      </c>
      <c r="BM66" t="s">
        <v>69</v>
      </c>
      <c r="BN66">
        <v>6</v>
      </c>
      <c r="BO66" t="s">
        <v>22482</v>
      </c>
      <c r="BP66" t="s">
        <v>8548</v>
      </c>
      <c r="BQ66" t="s">
        <v>22482</v>
      </c>
      <c r="BR66" t="s">
        <v>22483</v>
      </c>
      <c r="BS66" t="s">
        <v>3008</v>
      </c>
      <c r="BT66">
        <v>26271518</v>
      </c>
      <c r="BU66" t="s">
        <v>8931</v>
      </c>
      <c r="BV66" t="s">
        <v>69</v>
      </c>
      <c r="BW66" t="s">
        <v>69</v>
      </c>
      <c r="BX66" t="s">
        <v>8526</v>
      </c>
      <c r="BY66" t="str">
        <f>HYPERLINK("https%3A%2F%2Fwww.webofscience.com%2Fwos%2Fwoscc%2Ffull-record%2FWOS:000361420600003","View Full Record in Web of Science")</f>
        <v>View Full Record in Web of Science</v>
      </c>
    </row>
    <row r="67" spans="1:77" ht="12.5" x14ac:dyDescent="0.25">
      <c r="A67" t="s">
        <v>8495</v>
      </c>
      <c r="B67" s="22" t="s">
        <v>32931</v>
      </c>
      <c r="C67" s="7"/>
      <c r="D67" s="7"/>
      <c r="E67" s="7"/>
      <c r="F67" t="s">
        <v>67</v>
      </c>
      <c r="G67" t="s">
        <v>12134</v>
      </c>
      <c r="H67" t="s">
        <v>69</v>
      </c>
      <c r="I67" t="s">
        <v>69</v>
      </c>
      <c r="J67" t="s">
        <v>69</v>
      </c>
      <c r="K67" t="s">
        <v>12135</v>
      </c>
      <c r="L67" t="s">
        <v>69</v>
      </c>
      <c r="M67" t="s">
        <v>69</v>
      </c>
      <c r="N67" t="s">
        <v>12136</v>
      </c>
      <c r="O67" t="s">
        <v>12137</v>
      </c>
      <c r="P67" t="s">
        <v>69</v>
      </c>
      <c r="Q67" t="s">
        <v>69</v>
      </c>
      <c r="R67" t="s">
        <v>8505</v>
      </c>
      <c r="S67" t="s">
        <v>8506</v>
      </c>
      <c r="T67" t="s">
        <v>69</v>
      </c>
      <c r="U67" t="s">
        <v>69</v>
      </c>
      <c r="V67" t="s">
        <v>69</v>
      </c>
      <c r="W67" t="s">
        <v>69</v>
      </c>
      <c r="X67" t="s">
        <v>69</v>
      </c>
      <c r="Y67" t="s">
        <v>12138</v>
      </c>
      <c r="Z67" t="s">
        <v>12139</v>
      </c>
      <c r="AA67" t="s">
        <v>12140</v>
      </c>
      <c r="AB67" t="s">
        <v>12141</v>
      </c>
      <c r="AC67" t="s">
        <v>69</v>
      </c>
      <c r="AD67" t="s">
        <v>12142</v>
      </c>
      <c r="AE67" t="s">
        <v>12143</v>
      </c>
      <c r="AF67" t="s">
        <v>69</v>
      </c>
      <c r="AG67" t="s">
        <v>12144</v>
      </c>
      <c r="AH67" t="s">
        <v>69</v>
      </c>
      <c r="AI67" t="s">
        <v>69</v>
      </c>
      <c r="AJ67" t="s">
        <v>69</v>
      </c>
      <c r="AK67" t="s">
        <v>69</v>
      </c>
      <c r="AL67">
        <v>61</v>
      </c>
      <c r="AM67">
        <v>0</v>
      </c>
      <c r="AN67">
        <v>0</v>
      </c>
      <c r="AO67">
        <v>1</v>
      </c>
      <c r="AP67">
        <v>6</v>
      </c>
      <c r="AQ67" t="s">
        <v>8586</v>
      </c>
      <c r="AR67" t="s">
        <v>8587</v>
      </c>
      <c r="AS67" t="s">
        <v>8588</v>
      </c>
      <c r="AT67" t="s">
        <v>12145</v>
      </c>
      <c r="AU67" t="s">
        <v>69</v>
      </c>
      <c r="AV67" t="s">
        <v>69</v>
      </c>
      <c r="AW67" t="s">
        <v>12146</v>
      </c>
      <c r="AX67" t="s">
        <v>12147</v>
      </c>
      <c r="AY67" t="s">
        <v>12148</v>
      </c>
      <c r="AZ67">
        <v>2021</v>
      </c>
      <c r="BA67">
        <v>25</v>
      </c>
      <c r="BB67">
        <v>4</v>
      </c>
      <c r="BC67" t="s">
        <v>69</v>
      </c>
      <c r="BD67" t="s">
        <v>69</v>
      </c>
      <c r="BE67" t="s">
        <v>69</v>
      </c>
      <c r="BF67" t="s">
        <v>69</v>
      </c>
      <c r="BG67">
        <v>396</v>
      </c>
      <c r="BH67">
        <v>413</v>
      </c>
      <c r="BI67" t="s">
        <v>69</v>
      </c>
      <c r="BJ67" t="s">
        <v>12149</v>
      </c>
      <c r="BK67" t="str">
        <f>HYPERLINK("http://dx.doi.org/10.1108/RJTA-11-2020-0130","http://dx.doi.org/10.1108/RJTA-11-2020-0130")</f>
        <v>http://dx.doi.org/10.1108/RJTA-11-2020-0130</v>
      </c>
      <c r="BL67" t="s">
        <v>69</v>
      </c>
      <c r="BM67" t="s">
        <v>12111</v>
      </c>
      <c r="BN67">
        <v>18</v>
      </c>
      <c r="BO67" t="s">
        <v>12150</v>
      </c>
      <c r="BP67" t="s">
        <v>8573</v>
      </c>
      <c r="BQ67" t="s">
        <v>12151</v>
      </c>
      <c r="BR67" t="s">
        <v>12152</v>
      </c>
      <c r="BS67" t="s">
        <v>12153</v>
      </c>
      <c r="BT67" t="s">
        <v>69</v>
      </c>
      <c r="BU67" t="s">
        <v>69</v>
      </c>
      <c r="BV67" t="s">
        <v>69</v>
      </c>
      <c r="BW67" t="s">
        <v>69</v>
      </c>
      <c r="BX67" t="s">
        <v>8526</v>
      </c>
      <c r="BY67" t="str">
        <f>HYPERLINK("https%3A%2F%2Fwww.webofscience.com%2Fwos%2Fwoscc%2Ffull-record%2FWOS:000654441400001","View Full Record in Web of Science")</f>
        <v>View Full Record in Web of Science</v>
      </c>
    </row>
    <row r="68" spans="1:77" ht="12.5" x14ac:dyDescent="0.25">
      <c r="A68" t="s">
        <v>8495</v>
      </c>
      <c r="B68" s="7" t="s">
        <v>32933</v>
      </c>
      <c r="C68" s="7"/>
      <c r="D68" s="7"/>
      <c r="E68" s="7"/>
      <c r="F68" t="s">
        <v>67</v>
      </c>
      <c r="G68" t="s">
        <v>6986</v>
      </c>
      <c r="H68" t="s">
        <v>69</v>
      </c>
      <c r="I68" t="s">
        <v>69</v>
      </c>
      <c r="J68" t="s">
        <v>69</v>
      </c>
      <c r="K68" t="s">
        <v>6987</v>
      </c>
      <c r="L68" t="s">
        <v>69</v>
      </c>
      <c r="M68" t="s">
        <v>69</v>
      </c>
      <c r="N68" t="s">
        <v>6988</v>
      </c>
      <c r="O68" t="s">
        <v>6989</v>
      </c>
      <c r="P68" t="s">
        <v>69</v>
      </c>
      <c r="Q68" t="s">
        <v>69</v>
      </c>
      <c r="R68" t="s">
        <v>8505</v>
      </c>
      <c r="S68" t="s">
        <v>8442</v>
      </c>
      <c r="T68" t="s">
        <v>69</v>
      </c>
      <c r="U68" t="s">
        <v>69</v>
      </c>
      <c r="V68" t="s">
        <v>69</v>
      </c>
      <c r="W68" t="s">
        <v>69</v>
      </c>
      <c r="X68" t="s">
        <v>69</v>
      </c>
      <c r="Y68" t="s">
        <v>22200</v>
      </c>
      <c r="Z68" t="s">
        <v>22201</v>
      </c>
      <c r="AA68" t="s">
        <v>6990</v>
      </c>
      <c r="AB68" t="s">
        <v>22202</v>
      </c>
      <c r="AC68" t="s">
        <v>69</v>
      </c>
      <c r="AD68" t="s">
        <v>22203</v>
      </c>
      <c r="AE68" t="s">
        <v>22204</v>
      </c>
      <c r="AF68" t="s">
        <v>6991</v>
      </c>
      <c r="AG68" t="s">
        <v>6992</v>
      </c>
      <c r="AH68" t="s">
        <v>69</v>
      </c>
      <c r="AI68" t="s">
        <v>69</v>
      </c>
      <c r="AJ68" t="s">
        <v>69</v>
      </c>
      <c r="AK68" t="s">
        <v>69</v>
      </c>
      <c r="AL68">
        <v>51</v>
      </c>
      <c r="AM68">
        <v>47</v>
      </c>
      <c r="AN68">
        <v>46</v>
      </c>
      <c r="AO68">
        <v>3</v>
      </c>
      <c r="AP68">
        <v>12</v>
      </c>
      <c r="AQ68" t="s">
        <v>13769</v>
      </c>
      <c r="AR68" t="s">
        <v>13770</v>
      </c>
      <c r="AS68" t="s">
        <v>13771</v>
      </c>
      <c r="AT68" t="s">
        <v>6993</v>
      </c>
      <c r="AU68" t="s">
        <v>69</v>
      </c>
      <c r="AV68" t="s">
        <v>69</v>
      </c>
      <c r="AW68" t="s">
        <v>13772</v>
      </c>
      <c r="AX68" t="s">
        <v>13773</v>
      </c>
      <c r="AY68" t="s">
        <v>69</v>
      </c>
      <c r="AZ68">
        <v>2016</v>
      </c>
      <c r="BA68">
        <v>3</v>
      </c>
      <c r="BB68">
        <v>1</v>
      </c>
      <c r="BC68" t="s">
        <v>69</v>
      </c>
      <c r="BD68" t="s">
        <v>69</v>
      </c>
      <c r="BE68" t="s">
        <v>69</v>
      </c>
      <c r="BF68" t="s">
        <v>69</v>
      </c>
      <c r="BG68" t="s">
        <v>69</v>
      </c>
      <c r="BH68" t="s">
        <v>69</v>
      </c>
      <c r="BI68">
        <v>1155274</v>
      </c>
      <c r="BJ68" t="s">
        <v>6994</v>
      </c>
      <c r="BK68" t="str">
        <f>HYPERLINK("http://dx.doi.org/10.1080/23311916.2016.1155274","http://dx.doi.org/10.1080/23311916.2016.1155274")</f>
        <v>http://dx.doi.org/10.1080/23311916.2016.1155274</v>
      </c>
      <c r="BL68" t="s">
        <v>69</v>
      </c>
      <c r="BM68" t="s">
        <v>69</v>
      </c>
      <c r="BN68">
        <v>26</v>
      </c>
      <c r="BO68" t="s">
        <v>9891</v>
      </c>
      <c r="BP68" t="s">
        <v>8573</v>
      </c>
      <c r="BQ68" t="s">
        <v>8445</v>
      </c>
      <c r="BR68" t="s">
        <v>22205</v>
      </c>
      <c r="BS68" t="s">
        <v>6995</v>
      </c>
      <c r="BT68" t="s">
        <v>69</v>
      </c>
      <c r="BU68" t="s">
        <v>9352</v>
      </c>
      <c r="BV68" t="s">
        <v>69</v>
      </c>
      <c r="BW68" t="s">
        <v>69</v>
      </c>
      <c r="BX68" t="s">
        <v>8526</v>
      </c>
      <c r="BY68" t="str">
        <f>HYPERLINK("https%3A%2F%2Fwww.webofscience.com%2Fwos%2Fwoscc%2Ffull-record%2FWOS:000397384100017","View Full Record in Web of Science")</f>
        <v>View Full Record in Web of Science</v>
      </c>
    </row>
    <row r="69" spans="1:77" ht="12.5" x14ac:dyDescent="0.25">
      <c r="A69" t="s">
        <v>8495</v>
      </c>
      <c r="B69" s="7" t="s">
        <v>32933</v>
      </c>
      <c r="C69" s="7"/>
      <c r="D69" s="7"/>
      <c r="E69" s="7"/>
      <c r="F69" t="s">
        <v>67</v>
      </c>
      <c r="G69" t="s">
        <v>1683</v>
      </c>
      <c r="H69" t="s">
        <v>69</v>
      </c>
      <c r="I69" t="s">
        <v>69</v>
      </c>
      <c r="J69" t="s">
        <v>69</v>
      </c>
      <c r="K69" t="s">
        <v>1683</v>
      </c>
      <c r="L69" t="s">
        <v>69</v>
      </c>
      <c r="M69" t="s">
        <v>69</v>
      </c>
      <c r="N69" t="s">
        <v>1684</v>
      </c>
      <c r="O69" t="s">
        <v>473</v>
      </c>
      <c r="P69" t="s">
        <v>69</v>
      </c>
      <c r="Q69" t="s">
        <v>69</v>
      </c>
      <c r="R69" t="s">
        <v>8505</v>
      </c>
      <c r="S69" t="s">
        <v>8506</v>
      </c>
      <c r="T69" t="s">
        <v>69</v>
      </c>
      <c r="U69" t="s">
        <v>69</v>
      </c>
      <c r="V69" t="s">
        <v>69</v>
      </c>
      <c r="W69" t="s">
        <v>69</v>
      </c>
      <c r="X69" t="s">
        <v>69</v>
      </c>
      <c r="Y69" t="s">
        <v>31366</v>
      </c>
      <c r="Z69" t="s">
        <v>31367</v>
      </c>
      <c r="AA69" t="s">
        <v>1685</v>
      </c>
      <c r="AB69" t="s">
        <v>31368</v>
      </c>
      <c r="AC69" t="s">
        <v>69</v>
      </c>
      <c r="AD69" t="s">
        <v>31369</v>
      </c>
      <c r="AE69" t="s">
        <v>31370</v>
      </c>
      <c r="AF69" t="s">
        <v>69</v>
      </c>
      <c r="AG69" t="s">
        <v>69</v>
      </c>
      <c r="AH69" t="s">
        <v>69</v>
      </c>
      <c r="AI69" t="s">
        <v>69</v>
      </c>
      <c r="AJ69" t="s">
        <v>69</v>
      </c>
      <c r="AK69" t="s">
        <v>69</v>
      </c>
      <c r="AL69">
        <v>12</v>
      </c>
      <c r="AM69">
        <v>5</v>
      </c>
      <c r="AN69">
        <v>7</v>
      </c>
      <c r="AO69">
        <v>0</v>
      </c>
      <c r="AP69">
        <v>6</v>
      </c>
      <c r="AQ69" t="s">
        <v>18272</v>
      </c>
      <c r="AR69" t="s">
        <v>8763</v>
      </c>
      <c r="AS69" t="s">
        <v>18273</v>
      </c>
      <c r="AT69" t="s">
        <v>475</v>
      </c>
      <c r="AU69" t="s">
        <v>476</v>
      </c>
      <c r="AV69" t="s">
        <v>69</v>
      </c>
      <c r="AW69" t="s">
        <v>18274</v>
      </c>
      <c r="AX69" t="s">
        <v>18275</v>
      </c>
      <c r="AY69" t="s">
        <v>274</v>
      </c>
      <c r="AZ69">
        <v>2002</v>
      </c>
      <c r="BA69">
        <v>66</v>
      </c>
      <c r="BB69">
        <v>3</v>
      </c>
      <c r="BC69" t="s">
        <v>69</v>
      </c>
      <c r="BD69" t="s">
        <v>69</v>
      </c>
      <c r="BE69" t="s">
        <v>69</v>
      </c>
      <c r="BF69" t="s">
        <v>69</v>
      </c>
      <c r="BG69">
        <v>307</v>
      </c>
      <c r="BH69">
        <v>316</v>
      </c>
      <c r="BI69" t="s">
        <v>69</v>
      </c>
      <c r="BJ69" t="s">
        <v>1686</v>
      </c>
      <c r="BK69" t="str">
        <f>HYPERLINK("http://dx.doi.org/10.1006/jema.2002.0586","http://dx.doi.org/10.1006/jema.2002.0586")</f>
        <v>http://dx.doi.org/10.1006/jema.2002.0586</v>
      </c>
      <c r="BL69" t="s">
        <v>69</v>
      </c>
      <c r="BM69" t="s">
        <v>69</v>
      </c>
      <c r="BN69">
        <v>10</v>
      </c>
      <c r="BO69" t="s">
        <v>8717</v>
      </c>
      <c r="BP69" t="s">
        <v>8548</v>
      </c>
      <c r="BQ69" t="s">
        <v>8662</v>
      </c>
      <c r="BR69" t="s">
        <v>31371</v>
      </c>
      <c r="BS69" t="s">
        <v>1687</v>
      </c>
      <c r="BT69">
        <v>12448408</v>
      </c>
      <c r="BU69" t="s">
        <v>69</v>
      </c>
      <c r="BV69" t="s">
        <v>69</v>
      </c>
      <c r="BW69" t="s">
        <v>69</v>
      </c>
      <c r="BX69" t="s">
        <v>8526</v>
      </c>
      <c r="BY69" t="str">
        <f>HYPERLINK("https%3A%2F%2Fwww.webofscience.com%2Fwos%2Fwoscc%2Ffull-record%2FWOS:000178984800008","View Full Record in Web of Science")</f>
        <v>View Full Record in Web of Science</v>
      </c>
    </row>
    <row r="70" spans="1:77" ht="12.5" x14ac:dyDescent="0.25">
      <c r="A70" t="s">
        <v>8495</v>
      </c>
      <c r="B70" s="7" t="s">
        <v>32933</v>
      </c>
      <c r="C70" s="7"/>
      <c r="D70" s="7"/>
      <c r="E70" s="7"/>
      <c r="F70" t="s">
        <v>67</v>
      </c>
      <c r="G70" t="s">
        <v>1160</v>
      </c>
      <c r="H70" t="s">
        <v>69</v>
      </c>
      <c r="I70" t="s">
        <v>69</v>
      </c>
      <c r="J70" t="s">
        <v>69</v>
      </c>
      <c r="K70" t="s">
        <v>1161</v>
      </c>
      <c r="L70" t="s">
        <v>69</v>
      </c>
      <c r="M70" t="s">
        <v>69</v>
      </c>
      <c r="N70" t="s">
        <v>1162</v>
      </c>
      <c r="O70" t="s">
        <v>436</v>
      </c>
      <c r="P70" t="s">
        <v>69</v>
      </c>
      <c r="Q70" t="s">
        <v>69</v>
      </c>
      <c r="R70" t="s">
        <v>8505</v>
      </c>
      <c r="S70" t="s">
        <v>8506</v>
      </c>
      <c r="T70" t="s">
        <v>69</v>
      </c>
      <c r="U70" t="s">
        <v>69</v>
      </c>
      <c r="V70" t="s">
        <v>69</v>
      </c>
      <c r="W70" t="s">
        <v>69</v>
      </c>
      <c r="X70" t="s">
        <v>69</v>
      </c>
      <c r="Y70" t="s">
        <v>20586</v>
      </c>
      <c r="Z70" t="s">
        <v>20587</v>
      </c>
      <c r="AA70" t="s">
        <v>1163</v>
      </c>
      <c r="AB70" t="s">
        <v>20588</v>
      </c>
      <c r="AC70" t="s">
        <v>69</v>
      </c>
      <c r="AD70" t="s">
        <v>20589</v>
      </c>
      <c r="AE70" t="s">
        <v>20590</v>
      </c>
      <c r="AF70" t="s">
        <v>1164</v>
      </c>
      <c r="AG70" t="s">
        <v>1165</v>
      </c>
      <c r="AH70" t="s">
        <v>20591</v>
      </c>
      <c r="AI70" t="s">
        <v>20592</v>
      </c>
      <c r="AJ70" t="s">
        <v>20593</v>
      </c>
      <c r="AK70" t="s">
        <v>69</v>
      </c>
      <c r="AL70">
        <v>38</v>
      </c>
      <c r="AM70">
        <v>26</v>
      </c>
      <c r="AN70">
        <v>27</v>
      </c>
      <c r="AO70">
        <v>1</v>
      </c>
      <c r="AP70">
        <v>36</v>
      </c>
      <c r="AQ70" t="s">
        <v>8636</v>
      </c>
      <c r="AR70" t="s">
        <v>8637</v>
      </c>
      <c r="AS70" t="s">
        <v>8638</v>
      </c>
      <c r="AT70" t="s">
        <v>440</v>
      </c>
      <c r="AU70" t="s">
        <v>441</v>
      </c>
      <c r="AV70" t="s">
        <v>69</v>
      </c>
      <c r="AW70" t="s">
        <v>8639</v>
      </c>
      <c r="AX70" t="s">
        <v>8640</v>
      </c>
      <c r="AY70" t="s">
        <v>442</v>
      </c>
      <c r="AZ70">
        <v>2017</v>
      </c>
      <c r="BA70">
        <v>142</v>
      </c>
      <c r="BB70" t="s">
        <v>69</v>
      </c>
      <c r="BC70">
        <v>1</v>
      </c>
      <c r="BD70" t="s">
        <v>69</v>
      </c>
      <c r="BE70" t="s">
        <v>114</v>
      </c>
      <c r="BF70" t="s">
        <v>69</v>
      </c>
      <c r="BG70">
        <v>157</v>
      </c>
      <c r="BH70">
        <v>172</v>
      </c>
      <c r="BI70" t="s">
        <v>69</v>
      </c>
      <c r="BJ70" t="s">
        <v>1166</v>
      </c>
      <c r="BK70" t="str">
        <f>HYPERLINK("http://dx.doi.org/10.1016/j.jclepro.2016.06.189","http://dx.doi.org/10.1016/j.jclepro.2016.06.189")</f>
        <v>http://dx.doi.org/10.1016/j.jclepro.2016.06.189</v>
      </c>
      <c r="BL70" t="s">
        <v>69</v>
      </c>
      <c r="BM70" t="s">
        <v>69</v>
      </c>
      <c r="BN70">
        <v>16</v>
      </c>
      <c r="BO70" t="s">
        <v>8643</v>
      </c>
      <c r="BP70" t="s">
        <v>8523</v>
      </c>
      <c r="BQ70" t="s">
        <v>8644</v>
      </c>
      <c r="BR70" t="s">
        <v>20594</v>
      </c>
      <c r="BS70" t="s">
        <v>1167</v>
      </c>
      <c r="BT70" t="s">
        <v>69</v>
      </c>
      <c r="BU70" t="s">
        <v>69</v>
      </c>
      <c r="BV70" t="s">
        <v>69</v>
      </c>
      <c r="BW70" t="s">
        <v>69</v>
      </c>
      <c r="BX70" t="s">
        <v>8526</v>
      </c>
      <c r="BY70" t="str">
        <f>HYPERLINK("https%3A%2F%2Fwww.webofscience.com%2Fwos%2Fwoscc%2Ffull-record%2FWOS:000391897300015","View Full Record in Web of Science")</f>
        <v>View Full Record in Web of Science</v>
      </c>
    </row>
    <row r="71" spans="1:77" ht="12.5" x14ac:dyDescent="0.25">
      <c r="A71" t="s">
        <v>8495</v>
      </c>
      <c r="B71" s="22" t="s">
        <v>32931</v>
      </c>
      <c r="C71" s="7"/>
      <c r="D71" s="7"/>
      <c r="E71" s="7"/>
      <c r="F71" t="s">
        <v>67</v>
      </c>
      <c r="G71" t="s">
        <v>22123</v>
      </c>
      <c r="H71" t="s">
        <v>69</v>
      </c>
      <c r="I71" t="s">
        <v>69</v>
      </c>
      <c r="J71" t="s">
        <v>69</v>
      </c>
      <c r="K71" t="s">
        <v>22124</v>
      </c>
      <c r="L71" t="s">
        <v>69</v>
      </c>
      <c r="M71" t="s">
        <v>69</v>
      </c>
      <c r="N71" t="s">
        <v>22125</v>
      </c>
      <c r="O71" t="s">
        <v>22126</v>
      </c>
      <c r="P71" t="s">
        <v>69</v>
      </c>
      <c r="Q71" t="s">
        <v>69</v>
      </c>
      <c r="R71" t="s">
        <v>8505</v>
      </c>
      <c r="S71" t="s">
        <v>8442</v>
      </c>
      <c r="T71" t="s">
        <v>69</v>
      </c>
      <c r="U71" t="s">
        <v>69</v>
      </c>
      <c r="V71" t="s">
        <v>69</v>
      </c>
      <c r="W71" t="s">
        <v>69</v>
      </c>
      <c r="X71" t="s">
        <v>69</v>
      </c>
      <c r="Y71" t="s">
        <v>22127</v>
      </c>
      <c r="Z71" t="s">
        <v>22128</v>
      </c>
      <c r="AA71" t="s">
        <v>22129</v>
      </c>
      <c r="AB71" t="s">
        <v>22130</v>
      </c>
      <c r="AC71" t="s">
        <v>69</v>
      </c>
      <c r="AD71" t="s">
        <v>22131</v>
      </c>
      <c r="AE71" t="s">
        <v>22132</v>
      </c>
      <c r="AF71" t="s">
        <v>69</v>
      </c>
      <c r="AG71" t="s">
        <v>69</v>
      </c>
      <c r="AH71" t="s">
        <v>69</v>
      </c>
      <c r="AI71" t="s">
        <v>69</v>
      </c>
      <c r="AJ71" t="s">
        <v>69</v>
      </c>
      <c r="AK71" t="s">
        <v>69</v>
      </c>
      <c r="AL71">
        <v>66</v>
      </c>
      <c r="AM71">
        <v>9</v>
      </c>
      <c r="AN71">
        <v>9</v>
      </c>
      <c r="AO71">
        <v>0</v>
      </c>
      <c r="AP71">
        <v>0</v>
      </c>
      <c r="AQ71" t="s">
        <v>22133</v>
      </c>
      <c r="AR71" t="s">
        <v>22134</v>
      </c>
      <c r="AS71" t="s">
        <v>22135</v>
      </c>
      <c r="AT71" t="s">
        <v>22136</v>
      </c>
      <c r="AU71" t="s">
        <v>69</v>
      </c>
      <c r="AV71" t="s">
        <v>69</v>
      </c>
      <c r="AW71" t="s">
        <v>22126</v>
      </c>
      <c r="AX71" t="s">
        <v>22137</v>
      </c>
      <c r="AY71" t="s">
        <v>373</v>
      </c>
      <c r="AZ71">
        <v>2016</v>
      </c>
      <c r="BA71">
        <v>19</v>
      </c>
      <c r="BB71">
        <v>1</v>
      </c>
      <c r="BC71" t="s">
        <v>69</v>
      </c>
      <c r="BD71" t="s">
        <v>69</v>
      </c>
      <c r="BE71" t="s">
        <v>69</v>
      </c>
      <c r="BF71" t="s">
        <v>69</v>
      </c>
      <c r="BG71" t="s">
        <v>22138</v>
      </c>
      <c r="BH71" t="s">
        <v>22139</v>
      </c>
      <c r="BI71" t="s">
        <v>69</v>
      </c>
      <c r="BJ71" t="s">
        <v>69</v>
      </c>
      <c r="BK71" t="s">
        <v>69</v>
      </c>
      <c r="BL71" t="s">
        <v>69</v>
      </c>
      <c r="BM71" t="s">
        <v>69</v>
      </c>
      <c r="BN71">
        <v>14</v>
      </c>
      <c r="BO71" t="s">
        <v>22140</v>
      </c>
      <c r="BP71" t="s">
        <v>8548</v>
      </c>
      <c r="BQ71" t="s">
        <v>22141</v>
      </c>
      <c r="BR71" t="s">
        <v>22142</v>
      </c>
      <c r="BS71" t="s">
        <v>22143</v>
      </c>
      <c r="BT71">
        <v>26752478</v>
      </c>
      <c r="BU71" t="s">
        <v>69</v>
      </c>
      <c r="BV71" t="s">
        <v>69</v>
      </c>
      <c r="BW71" t="s">
        <v>69</v>
      </c>
      <c r="BX71" t="s">
        <v>8526</v>
      </c>
      <c r="BY71" t="str">
        <f>HYPERLINK("https%3A%2F%2Fwww.webofscience.com%2Fwos%2Fwoscc%2Ffull-record%2FWOS:000368990800001","View Full Record in Web of Science")</f>
        <v>View Full Record in Web of Science</v>
      </c>
    </row>
    <row r="72" spans="1:77" ht="12.5" x14ac:dyDescent="0.25">
      <c r="A72" t="s">
        <v>8495</v>
      </c>
      <c r="B72" s="15" t="s">
        <v>32937</v>
      </c>
      <c r="C72" s="7" t="s">
        <v>33081</v>
      </c>
      <c r="D72" s="7"/>
      <c r="E72" s="7" t="s">
        <v>8490</v>
      </c>
      <c r="F72" t="s">
        <v>67</v>
      </c>
      <c r="G72" t="s">
        <v>31944</v>
      </c>
      <c r="H72" t="s">
        <v>69</v>
      </c>
      <c r="I72" t="s">
        <v>69</v>
      </c>
      <c r="J72" t="s">
        <v>69</v>
      </c>
      <c r="K72" t="s">
        <v>31944</v>
      </c>
      <c r="L72" t="s">
        <v>69</v>
      </c>
      <c r="M72" t="s">
        <v>69</v>
      </c>
      <c r="N72" t="s">
        <v>31945</v>
      </c>
      <c r="O72" t="s">
        <v>31165</v>
      </c>
      <c r="P72" t="s">
        <v>69</v>
      </c>
      <c r="Q72" t="s">
        <v>69</v>
      </c>
      <c r="R72" t="s">
        <v>8505</v>
      </c>
      <c r="S72" t="s">
        <v>8442</v>
      </c>
      <c r="T72" t="s">
        <v>69</v>
      </c>
      <c r="U72" t="s">
        <v>69</v>
      </c>
      <c r="V72" t="s">
        <v>69</v>
      </c>
      <c r="W72" t="s">
        <v>69</v>
      </c>
      <c r="X72" t="s">
        <v>69</v>
      </c>
      <c r="Y72" t="s">
        <v>31946</v>
      </c>
      <c r="Z72" t="s">
        <v>69</v>
      </c>
      <c r="AA72" t="s">
        <v>31947</v>
      </c>
      <c r="AB72" t="s">
        <v>31948</v>
      </c>
      <c r="AC72" t="s">
        <v>69</v>
      </c>
      <c r="AD72" t="s">
        <v>31949</v>
      </c>
      <c r="AE72" t="s">
        <v>69</v>
      </c>
      <c r="AF72" t="s">
        <v>69</v>
      </c>
      <c r="AG72" t="s">
        <v>69</v>
      </c>
      <c r="AH72" t="s">
        <v>69</v>
      </c>
      <c r="AI72" t="s">
        <v>69</v>
      </c>
      <c r="AJ72" t="s">
        <v>69</v>
      </c>
      <c r="AK72" t="s">
        <v>69</v>
      </c>
      <c r="AL72">
        <v>24</v>
      </c>
      <c r="AM72">
        <v>1</v>
      </c>
      <c r="AN72">
        <v>1</v>
      </c>
      <c r="AO72">
        <v>5</v>
      </c>
      <c r="AP72">
        <v>22</v>
      </c>
      <c r="AQ72" t="s">
        <v>17140</v>
      </c>
      <c r="AR72" t="s">
        <v>8517</v>
      </c>
      <c r="AS72" t="s">
        <v>17141</v>
      </c>
      <c r="AT72" t="s">
        <v>31169</v>
      </c>
      <c r="AU72" t="s">
        <v>69</v>
      </c>
      <c r="AV72" t="s">
        <v>69</v>
      </c>
      <c r="AW72" t="s">
        <v>31170</v>
      </c>
      <c r="AX72" t="s">
        <v>31171</v>
      </c>
      <c r="AY72" t="s">
        <v>84</v>
      </c>
      <c r="AZ72">
        <v>1999</v>
      </c>
      <c r="BA72">
        <v>53</v>
      </c>
      <c r="BB72" t="s">
        <v>145</v>
      </c>
      <c r="BC72" t="s">
        <v>69</v>
      </c>
      <c r="BD72" t="s">
        <v>69</v>
      </c>
      <c r="BE72" t="s">
        <v>69</v>
      </c>
      <c r="BF72" t="s">
        <v>69</v>
      </c>
      <c r="BG72">
        <v>259</v>
      </c>
      <c r="BH72">
        <v>296</v>
      </c>
      <c r="BI72" t="s">
        <v>69</v>
      </c>
      <c r="BJ72" t="s">
        <v>31950</v>
      </c>
      <c r="BK72" t="str">
        <f>HYPERLINK("http://dx.doi.org/10.1016/S0013-7952(99)00046-0","http://dx.doi.org/10.1016/S0013-7952(99)00046-0")</f>
        <v>http://dx.doi.org/10.1016/S0013-7952(99)00046-0</v>
      </c>
      <c r="BL72" t="s">
        <v>69</v>
      </c>
      <c r="BM72" t="s">
        <v>69</v>
      </c>
      <c r="BN72">
        <v>38</v>
      </c>
      <c r="BO72" t="s">
        <v>31173</v>
      </c>
      <c r="BP72" t="s">
        <v>8548</v>
      </c>
      <c r="BQ72" t="s">
        <v>29172</v>
      </c>
      <c r="BR72" t="s">
        <v>31951</v>
      </c>
      <c r="BS72" t="s">
        <v>31952</v>
      </c>
      <c r="BT72" t="s">
        <v>69</v>
      </c>
      <c r="BU72" t="s">
        <v>69</v>
      </c>
      <c r="BV72" t="s">
        <v>69</v>
      </c>
      <c r="BW72" t="s">
        <v>69</v>
      </c>
      <c r="BX72" t="s">
        <v>8526</v>
      </c>
      <c r="BY72" t="str">
        <f>HYPERLINK("https%3A%2F%2Fwww.webofscience.com%2Fwos%2Fwoscc%2Ffull-record%2FWOS:000081602300005","View Full Record in Web of Science")</f>
        <v>View Full Record in Web of Science</v>
      </c>
    </row>
    <row r="73" spans="1:77" ht="12.5" x14ac:dyDescent="0.25">
      <c r="A73" t="s">
        <v>8495</v>
      </c>
      <c r="B73" s="22" t="s">
        <v>32931</v>
      </c>
      <c r="C73" s="7"/>
      <c r="D73" s="7"/>
      <c r="E73" s="7"/>
      <c r="F73" t="s">
        <v>67</v>
      </c>
      <c r="G73" t="s">
        <v>31505</v>
      </c>
      <c r="H73" t="s">
        <v>69</v>
      </c>
      <c r="I73" t="s">
        <v>69</v>
      </c>
      <c r="J73" t="s">
        <v>69</v>
      </c>
      <c r="K73" t="s">
        <v>31505</v>
      </c>
      <c r="L73" t="s">
        <v>69</v>
      </c>
      <c r="M73" t="s">
        <v>69</v>
      </c>
      <c r="N73" t="s">
        <v>31506</v>
      </c>
      <c r="O73" t="s">
        <v>31507</v>
      </c>
      <c r="P73" t="s">
        <v>69</v>
      </c>
      <c r="Q73" t="s">
        <v>69</v>
      </c>
      <c r="R73" t="s">
        <v>8505</v>
      </c>
      <c r="S73" t="s">
        <v>8506</v>
      </c>
      <c r="T73" t="s">
        <v>69</v>
      </c>
      <c r="U73" t="s">
        <v>69</v>
      </c>
      <c r="V73" t="s">
        <v>69</v>
      </c>
      <c r="W73" t="s">
        <v>69</v>
      </c>
      <c r="X73" t="s">
        <v>69</v>
      </c>
      <c r="Y73" t="s">
        <v>69</v>
      </c>
      <c r="Z73" t="s">
        <v>31508</v>
      </c>
      <c r="AA73" t="s">
        <v>31509</v>
      </c>
      <c r="AB73" t="s">
        <v>31510</v>
      </c>
      <c r="AC73" t="s">
        <v>69</v>
      </c>
      <c r="AD73" t="s">
        <v>31511</v>
      </c>
      <c r="AE73" t="s">
        <v>69</v>
      </c>
      <c r="AF73" t="s">
        <v>69</v>
      </c>
      <c r="AG73" t="s">
        <v>31512</v>
      </c>
      <c r="AH73" t="s">
        <v>69</v>
      </c>
      <c r="AI73" t="s">
        <v>69</v>
      </c>
      <c r="AJ73" t="s">
        <v>69</v>
      </c>
      <c r="AK73" t="s">
        <v>69</v>
      </c>
      <c r="AL73">
        <v>30</v>
      </c>
      <c r="AM73">
        <v>0</v>
      </c>
      <c r="AN73">
        <v>0</v>
      </c>
      <c r="AO73">
        <v>1</v>
      </c>
      <c r="AP73">
        <v>9</v>
      </c>
      <c r="AQ73" t="s">
        <v>31513</v>
      </c>
      <c r="AR73" t="s">
        <v>26670</v>
      </c>
      <c r="AS73" t="s">
        <v>31514</v>
      </c>
      <c r="AT73" t="s">
        <v>31515</v>
      </c>
      <c r="AU73" t="s">
        <v>69</v>
      </c>
      <c r="AV73" t="s">
        <v>69</v>
      </c>
      <c r="AW73" t="s">
        <v>31516</v>
      </c>
      <c r="AX73" t="s">
        <v>31517</v>
      </c>
      <c r="AY73" t="s">
        <v>1710</v>
      </c>
      <c r="AZ73">
        <v>2001</v>
      </c>
      <c r="BA73">
        <v>31</v>
      </c>
      <c r="BB73">
        <v>4</v>
      </c>
      <c r="BC73" t="s">
        <v>69</v>
      </c>
      <c r="BD73" t="s">
        <v>69</v>
      </c>
      <c r="BE73" t="s">
        <v>69</v>
      </c>
      <c r="BF73" t="s">
        <v>69</v>
      </c>
      <c r="BG73">
        <v>399</v>
      </c>
      <c r="BH73">
        <v>420</v>
      </c>
      <c r="BI73" t="s">
        <v>69</v>
      </c>
      <c r="BJ73" t="s">
        <v>31518</v>
      </c>
      <c r="BK73" t="str">
        <f>HYPERLINK("http://dx.doi.org/10.1111/0362-6784.00205","http://dx.doi.org/10.1111/0362-6784.00205")</f>
        <v>http://dx.doi.org/10.1111/0362-6784.00205</v>
      </c>
      <c r="BL73" t="s">
        <v>69</v>
      </c>
      <c r="BM73" t="s">
        <v>69</v>
      </c>
      <c r="BN73">
        <v>22</v>
      </c>
      <c r="BO73" t="s">
        <v>9290</v>
      </c>
      <c r="BP73" t="s">
        <v>8661</v>
      </c>
      <c r="BQ73" t="s">
        <v>9290</v>
      </c>
      <c r="BR73" t="s">
        <v>31519</v>
      </c>
      <c r="BS73" t="s">
        <v>31520</v>
      </c>
      <c r="BT73" t="s">
        <v>69</v>
      </c>
      <c r="BU73" t="s">
        <v>69</v>
      </c>
      <c r="BV73" t="s">
        <v>69</v>
      </c>
      <c r="BW73" t="s">
        <v>69</v>
      </c>
      <c r="BX73" t="s">
        <v>8526</v>
      </c>
      <c r="BY73" t="str">
        <f>HYPERLINK("https%3A%2F%2Fwww.webofscience.com%2Fwos%2Fwoscc%2Ffull-record%2FWOS:000172875500002","View Full Record in Web of Science")</f>
        <v>View Full Record in Web of Science</v>
      </c>
    </row>
    <row r="74" spans="1:77" ht="12.5" x14ac:dyDescent="0.25">
      <c r="A74" t="s">
        <v>8495</v>
      </c>
      <c r="B74" s="15" t="s">
        <v>32938</v>
      </c>
      <c r="C74" s="7"/>
      <c r="D74" s="7"/>
      <c r="E74" s="7"/>
      <c r="F74" t="s">
        <v>67</v>
      </c>
      <c r="G74" t="s">
        <v>176</v>
      </c>
      <c r="H74" t="s">
        <v>69</v>
      </c>
      <c r="I74" t="s">
        <v>69</v>
      </c>
      <c r="J74" t="s">
        <v>69</v>
      </c>
      <c r="K74" t="s">
        <v>177</v>
      </c>
      <c r="L74" t="s">
        <v>69</v>
      </c>
      <c r="M74" t="s">
        <v>69</v>
      </c>
      <c r="N74" s="11" t="s">
        <v>178</v>
      </c>
      <c r="O74" t="s">
        <v>179</v>
      </c>
      <c r="P74" t="s">
        <v>69</v>
      </c>
      <c r="Q74" t="s">
        <v>69</v>
      </c>
      <c r="R74" t="s">
        <v>8505</v>
      </c>
      <c r="S74" t="s">
        <v>8506</v>
      </c>
      <c r="T74" t="s">
        <v>69</v>
      </c>
      <c r="U74" t="s">
        <v>69</v>
      </c>
      <c r="V74" t="s">
        <v>69</v>
      </c>
      <c r="W74" t="s">
        <v>69</v>
      </c>
      <c r="X74" t="s">
        <v>69</v>
      </c>
      <c r="Y74" t="s">
        <v>23760</v>
      </c>
      <c r="Z74" t="s">
        <v>69</v>
      </c>
      <c r="AA74" t="s">
        <v>180</v>
      </c>
      <c r="AB74" t="s">
        <v>23761</v>
      </c>
      <c r="AC74" t="s">
        <v>69</v>
      </c>
      <c r="AD74" t="s">
        <v>23762</v>
      </c>
      <c r="AE74" t="s">
        <v>23763</v>
      </c>
      <c r="AF74" t="s">
        <v>69</v>
      </c>
      <c r="AG74" t="s">
        <v>69</v>
      </c>
      <c r="AH74" t="s">
        <v>23764</v>
      </c>
      <c r="AI74" t="s">
        <v>23765</v>
      </c>
      <c r="AJ74" t="s">
        <v>23766</v>
      </c>
      <c r="AK74" t="s">
        <v>69</v>
      </c>
      <c r="AL74">
        <v>50</v>
      </c>
      <c r="AM74">
        <v>8</v>
      </c>
      <c r="AN74">
        <v>9</v>
      </c>
      <c r="AO74">
        <v>1</v>
      </c>
      <c r="AP74">
        <v>17</v>
      </c>
      <c r="AQ74" t="s">
        <v>9047</v>
      </c>
      <c r="AR74" t="s">
        <v>8693</v>
      </c>
      <c r="AS74" t="s">
        <v>16643</v>
      </c>
      <c r="AT74" t="s">
        <v>181</v>
      </c>
      <c r="AU74" t="s">
        <v>182</v>
      </c>
      <c r="AV74" t="s">
        <v>69</v>
      </c>
      <c r="AW74" t="s">
        <v>17432</v>
      </c>
      <c r="AX74" t="s">
        <v>17433</v>
      </c>
      <c r="AY74" t="s">
        <v>84</v>
      </c>
      <c r="AZ74">
        <v>2014</v>
      </c>
      <c r="BA74">
        <v>54</v>
      </c>
      <c r="BB74">
        <v>1</v>
      </c>
      <c r="BC74" t="s">
        <v>69</v>
      </c>
      <c r="BD74" t="s">
        <v>69</v>
      </c>
      <c r="BE74" t="s">
        <v>69</v>
      </c>
      <c r="BF74" t="s">
        <v>69</v>
      </c>
      <c r="BG74">
        <v>3</v>
      </c>
      <c r="BH74">
        <v>13</v>
      </c>
      <c r="BI74" t="s">
        <v>69</v>
      </c>
      <c r="BJ74" t="s">
        <v>183</v>
      </c>
      <c r="BK74" t="str">
        <f>HYPERLINK("http://dx.doi.org/10.1007/s00267-014-0285-z","http://dx.doi.org/10.1007/s00267-014-0285-z")</f>
        <v>http://dx.doi.org/10.1007/s00267-014-0285-z</v>
      </c>
      <c r="BL74" t="s">
        <v>69</v>
      </c>
      <c r="BM74" t="s">
        <v>69</v>
      </c>
      <c r="BN74">
        <v>11</v>
      </c>
      <c r="BO74" t="s">
        <v>8717</v>
      </c>
      <c r="BP74" t="s">
        <v>8548</v>
      </c>
      <c r="BQ74" t="s">
        <v>8662</v>
      </c>
      <c r="BR74" t="s">
        <v>23767</v>
      </c>
      <c r="BS74" t="s">
        <v>184</v>
      </c>
      <c r="BT74">
        <v>24809286</v>
      </c>
      <c r="BU74" t="s">
        <v>17250</v>
      </c>
      <c r="BV74" t="s">
        <v>69</v>
      </c>
      <c r="BW74" t="s">
        <v>69</v>
      </c>
      <c r="BX74" t="s">
        <v>8526</v>
      </c>
      <c r="BY74" t="str">
        <f>HYPERLINK("https%3A%2F%2Fwww.webofscience.com%2Fwos%2Fwoscc%2Ffull-record%2FWOS:000337285900002","View Full Record in Web of Science")</f>
        <v>View Full Record in Web of Science</v>
      </c>
    </row>
    <row r="75" spans="1:77" ht="12.5" x14ac:dyDescent="0.25">
      <c r="A75" t="s">
        <v>8495</v>
      </c>
      <c r="B75" s="22" t="s">
        <v>32933</v>
      </c>
      <c r="C75" s="7"/>
      <c r="D75" s="7"/>
      <c r="E75" s="7"/>
      <c r="F75" t="s">
        <v>67</v>
      </c>
      <c r="G75" t="s">
        <v>8280</v>
      </c>
      <c r="H75" t="s">
        <v>69</v>
      </c>
      <c r="I75" t="s">
        <v>69</v>
      </c>
      <c r="J75" t="s">
        <v>69</v>
      </c>
      <c r="K75" t="s">
        <v>8281</v>
      </c>
      <c r="L75" t="s">
        <v>69</v>
      </c>
      <c r="M75" t="s">
        <v>8282</v>
      </c>
      <c r="N75" s="4" t="s">
        <v>8283</v>
      </c>
      <c r="O75" t="s">
        <v>8284</v>
      </c>
      <c r="P75" t="s">
        <v>69</v>
      </c>
      <c r="Q75" t="s">
        <v>69</v>
      </c>
      <c r="R75" t="s">
        <v>8505</v>
      </c>
      <c r="S75" t="s">
        <v>8506</v>
      </c>
      <c r="T75" t="s">
        <v>69</v>
      </c>
      <c r="U75" t="s">
        <v>69</v>
      </c>
      <c r="V75" t="s">
        <v>69</v>
      </c>
      <c r="W75" t="s">
        <v>69</v>
      </c>
      <c r="X75" t="s">
        <v>69</v>
      </c>
      <c r="Y75" t="s">
        <v>19927</v>
      </c>
      <c r="Z75" t="s">
        <v>19928</v>
      </c>
      <c r="AA75" t="s">
        <v>8285</v>
      </c>
      <c r="AB75" t="s">
        <v>19929</v>
      </c>
      <c r="AC75" t="s">
        <v>69</v>
      </c>
      <c r="AD75" t="s">
        <v>19930</v>
      </c>
      <c r="AE75" t="s">
        <v>19931</v>
      </c>
      <c r="AF75" t="s">
        <v>19932</v>
      </c>
      <c r="AG75" t="s">
        <v>19933</v>
      </c>
      <c r="AH75" t="s">
        <v>19934</v>
      </c>
      <c r="AI75" t="s">
        <v>19935</v>
      </c>
      <c r="AJ75" t="s">
        <v>19936</v>
      </c>
      <c r="AK75" t="s">
        <v>69</v>
      </c>
      <c r="AL75">
        <v>30</v>
      </c>
      <c r="AM75">
        <v>33</v>
      </c>
      <c r="AN75">
        <v>33</v>
      </c>
      <c r="AO75">
        <v>1</v>
      </c>
      <c r="AP75">
        <v>3</v>
      </c>
      <c r="AQ75" t="s">
        <v>8692</v>
      </c>
      <c r="AR75" t="s">
        <v>8693</v>
      </c>
      <c r="AS75" t="s">
        <v>18139</v>
      </c>
      <c r="AT75" t="s">
        <v>8286</v>
      </c>
      <c r="AU75" t="s">
        <v>8287</v>
      </c>
      <c r="AV75" t="s">
        <v>69</v>
      </c>
      <c r="AW75" t="s">
        <v>19937</v>
      </c>
      <c r="AX75" t="s">
        <v>19938</v>
      </c>
      <c r="AY75" t="s">
        <v>381</v>
      </c>
      <c r="AZ75">
        <v>2017</v>
      </c>
      <c r="BA75">
        <v>17</v>
      </c>
      <c r="BB75">
        <v>10</v>
      </c>
      <c r="BC75" t="s">
        <v>69</v>
      </c>
      <c r="BD75" t="s">
        <v>69</v>
      </c>
      <c r="BE75" t="s">
        <v>69</v>
      </c>
      <c r="BF75" t="s">
        <v>69</v>
      </c>
      <c r="BG75">
        <v>1383</v>
      </c>
      <c r="BH75">
        <v>1392</v>
      </c>
      <c r="BI75" t="s">
        <v>69</v>
      </c>
      <c r="BJ75" t="s">
        <v>8288</v>
      </c>
      <c r="BK75" t="str">
        <f>HYPERLINK("http://dx.doi.org/10.1016/j.spinee.2017.05.031","http://dx.doi.org/10.1016/j.spinee.2017.05.031")</f>
        <v>http://dx.doi.org/10.1016/j.spinee.2017.05.031</v>
      </c>
      <c r="BL75" t="s">
        <v>69</v>
      </c>
      <c r="BM75" t="s">
        <v>69</v>
      </c>
      <c r="BN75">
        <v>10</v>
      </c>
      <c r="BO75" t="s">
        <v>19939</v>
      </c>
      <c r="BP75" t="s">
        <v>8548</v>
      </c>
      <c r="BQ75" t="s">
        <v>19940</v>
      </c>
      <c r="BR75" t="s">
        <v>19941</v>
      </c>
      <c r="BS75" t="s">
        <v>8289</v>
      </c>
      <c r="BT75">
        <v>28716636</v>
      </c>
      <c r="BU75" t="s">
        <v>8622</v>
      </c>
      <c r="BV75" t="s">
        <v>69</v>
      </c>
      <c r="BW75" t="s">
        <v>69</v>
      </c>
      <c r="BX75" t="s">
        <v>8526</v>
      </c>
      <c r="BY75" t="str">
        <f>HYPERLINK("https%3A%2F%2Fwww.webofscience.com%2Fwos%2Fwoscc%2Ffull-record%2FWOS:000415273900001","View Full Record in Web of Science")</f>
        <v>View Full Record in Web of Science</v>
      </c>
    </row>
    <row r="76" spans="1:77" ht="12.5" x14ac:dyDescent="0.25">
      <c r="A76" t="s">
        <v>8495</v>
      </c>
      <c r="B76" s="7" t="s">
        <v>32933</v>
      </c>
      <c r="C76" s="7"/>
      <c r="D76" s="7"/>
      <c r="E76" s="7"/>
      <c r="F76" t="s">
        <v>67</v>
      </c>
      <c r="G76" t="s">
        <v>5168</v>
      </c>
      <c r="H76" t="s">
        <v>69</v>
      </c>
      <c r="I76" t="s">
        <v>69</v>
      </c>
      <c r="J76" t="s">
        <v>69</v>
      </c>
      <c r="K76" t="s">
        <v>5169</v>
      </c>
      <c r="L76" t="s">
        <v>69</v>
      </c>
      <c r="M76" t="s">
        <v>69</v>
      </c>
      <c r="N76" t="s">
        <v>5170</v>
      </c>
      <c r="O76" t="s">
        <v>5171</v>
      </c>
      <c r="P76" t="s">
        <v>69</v>
      </c>
      <c r="Q76" t="s">
        <v>69</v>
      </c>
      <c r="R76" t="s">
        <v>14800</v>
      </c>
      <c r="S76" t="s">
        <v>8506</v>
      </c>
      <c r="T76" t="s">
        <v>69</v>
      </c>
      <c r="U76" t="s">
        <v>69</v>
      </c>
      <c r="V76" t="s">
        <v>69</v>
      </c>
      <c r="W76" t="s">
        <v>69</v>
      </c>
      <c r="X76" t="s">
        <v>69</v>
      </c>
      <c r="Y76" t="s">
        <v>27220</v>
      </c>
      <c r="Z76" t="s">
        <v>27221</v>
      </c>
      <c r="AA76" t="s">
        <v>5172</v>
      </c>
      <c r="AB76" t="s">
        <v>27222</v>
      </c>
      <c r="AC76" t="s">
        <v>69</v>
      </c>
      <c r="AD76" t="s">
        <v>27223</v>
      </c>
      <c r="AE76" t="s">
        <v>27224</v>
      </c>
      <c r="AF76" t="s">
        <v>5173</v>
      </c>
      <c r="AG76" t="s">
        <v>5174</v>
      </c>
      <c r="AH76" t="s">
        <v>69</v>
      </c>
      <c r="AI76" t="s">
        <v>69</v>
      </c>
      <c r="AJ76" t="s">
        <v>69</v>
      </c>
      <c r="AK76" t="s">
        <v>69</v>
      </c>
      <c r="AL76">
        <v>19</v>
      </c>
      <c r="AM76">
        <v>2</v>
      </c>
      <c r="AN76">
        <v>2</v>
      </c>
      <c r="AO76">
        <v>0</v>
      </c>
      <c r="AP76">
        <v>9</v>
      </c>
      <c r="AQ76" t="s">
        <v>17244</v>
      </c>
      <c r="AR76" t="s">
        <v>17245</v>
      </c>
      <c r="AS76" t="s">
        <v>17246</v>
      </c>
      <c r="AT76" t="s">
        <v>5175</v>
      </c>
      <c r="AU76" t="s">
        <v>69</v>
      </c>
      <c r="AV76" t="s">
        <v>69</v>
      </c>
      <c r="AW76" t="s">
        <v>27225</v>
      </c>
      <c r="AX76" t="s">
        <v>27226</v>
      </c>
      <c r="AY76" t="s">
        <v>2512</v>
      </c>
      <c r="AZ76">
        <v>2011</v>
      </c>
      <c r="BA76">
        <v>20</v>
      </c>
      <c r="BB76" t="s">
        <v>336</v>
      </c>
      <c r="BC76" t="s">
        <v>69</v>
      </c>
      <c r="BD76" t="s">
        <v>69</v>
      </c>
      <c r="BE76" t="s">
        <v>69</v>
      </c>
      <c r="BF76" t="s">
        <v>69</v>
      </c>
      <c r="BG76">
        <v>105</v>
      </c>
      <c r="BH76">
        <v>111</v>
      </c>
      <c r="BI76" t="s">
        <v>69</v>
      </c>
      <c r="BJ76" t="s">
        <v>5176</v>
      </c>
      <c r="BK76" t="str">
        <f>HYPERLINK("http://dx.doi.org/10.1684/agr.2010.0463","http://dx.doi.org/10.1684/agr.2010.0463")</f>
        <v>http://dx.doi.org/10.1684/agr.2010.0463</v>
      </c>
      <c r="BL76" t="s">
        <v>69</v>
      </c>
      <c r="BM76" t="s">
        <v>69</v>
      </c>
      <c r="BN76">
        <v>7</v>
      </c>
      <c r="BO76" t="s">
        <v>27227</v>
      </c>
      <c r="BP76" t="s">
        <v>8548</v>
      </c>
      <c r="BQ76" t="s">
        <v>8450</v>
      </c>
      <c r="BR76" t="s">
        <v>27228</v>
      </c>
      <c r="BS76" t="s">
        <v>5177</v>
      </c>
      <c r="BT76" t="s">
        <v>69</v>
      </c>
      <c r="BU76" t="s">
        <v>24397</v>
      </c>
      <c r="BV76" t="s">
        <v>69</v>
      </c>
      <c r="BW76" t="s">
        <v>69</v>
      </c>
      <c r="BX76" t="s">
        <v>8526</v>
      </c>
      <c r="BY76" t="str">
        <f>HYPERLINK("https%3A%2F%2Fwww.webofscience.com%2Fwos%2Fwoscc%2Ffull-record%2FWOS:000290230300016","View Full Record in Web of Science")</f>
        <v>View Full Record in Web of Science</v>
      </c>
    </row>
    <row r="77" spans="1:77" ht="12.5" x14ac:dyDescent="0.25">
      <c r="A77" t="s">
        <v>8495</v>
      </c>
      <c r="B77" s="7" t="s">
        <v>32933</v>
      </c>
      <c r="C77" s="7"/>
      <c r="D77" s="7"/>
      <c r="E77" s="7"/>
      <c r="F77" t="s">
        <v>67</v>
      </c>
      <c r="G77" t="s">
        <v>1769</v>
      </c>
      <c r="H77" t="s">
        <v>69</v>
      </c>
      <c r="I77" t="s">
        <v>69</v>
      </c>
      <c r="J77" t="s">
        <v>69</v>
      </c>
      <c r="K77" t="s">
        <v>1769</v>
      </c>
      <c r="L77" t="s">
        <v>69</v>
      </c>
      <c r="M77" t="s">
        <v>69</v>
      </c>
      <c r="N77" t="s">
        <v>1770</v>
      </c>
      <c r="O77" t="s">
        <v>1771</v>
      </c>
      <c r="P77" t="s">
        <v>69</v>
      </c>
      <c r="Q77" t="s">
        <v>69</v>
      </c>
      <c r="R77" t="s">
        <v>8505</v>
      </c>
      <c r="S77" t="s">
        <v>8506</v>
      </c>
      <c r="T77" t="s">
        <v>69</v>
      </c>
      <c r="U77" t="s">
        <v>69</v>
      </c>
      <c r="V77" t="s">
        <v>69</v>
      </c>
      <c r="W77" t="s">
        <v>69</v>
      </c>
      <c r="X77" t="s">
        <v>69</v>
      </c>
      <c r="Y77" t="s">
        <v>31919</v>
      </c>
      <c r="Z77" t="s">
        <v>69</v>
      </c>
      <c r="AA77" t="s">
        <v>1772</v>
      </c>
      <c r="AB77" t="s">
        <v>31920</v>
      </c>
      <c r="AC77" t="s">
        <v>69</v>
      </c>
      <c r="AD77" t="s">
        <v>31921</v>
      </c>
      <c r="AE77" t="s">
        <v>69</v>
      </c>
      <c r="AF77" t="s">
        <v>69</v>
      </c>
      <c r="AG77" t="s">
        <v>69</v>
      </c>
      <c r="AH77" t="s">
        <v>69</v>
      </c>
      <c r="AI77" t="s">
        <v>69</v>
      </c>
      <c r="AJ77" t="s">
        <v>69</v>
      </c>
      <c r="AK77" t="s">
        <v>69</v>
      </c>
      <c r="AL77">
        <v>33</v>
      </c>
      <c r="AM77">
        <v>2</v>
      </c>
      <c r="AN77">
        <v>2</v>
      </c>
      <c r="AO77">
        <v>0</v>
      </c>
      <c r="AP77">
        <v>5</v>
      </c>
      <c r="AQ77" t="s">
        <v>28353</v>
      </c>
      <c r="AR77" t="s">
        <v>31922</v>
      </c>
      <c r="AS77" t="s">
        <v>31923</v>
      </c>
      <c r="AT77" t="s">
        <v>1773</v>
      </c>
      <c r="AU77" t="s">
        <v>69</v>
      </c>
      <c r="AV77" t="s">
        <v>69</v>
      </c>
      <c r="AW77" t="s">
        <v>31924</v>
      </c>
      <c r="AX77" t="s">
        <v>31925</v>
      </c>
      <c r="AY77" t="s">
        <v>1774</v>
      </c>
      <c r="AZ77">
        <v>1999</v>
      </c>
      <c r="BA77">
        <v>16</v>
      </c>
      <c r="BB77">
        <v>5</v>
      </c>
      <c r="BC77" t="s">
        <v>69</v>
      </c>
      <c r="BD77" t="s">
        <v>69</v>
      </c>
      <c r="BE77" t="s">
        <v>69</v>
      </c>
      <c r="BF77" t="s">
        <v>69</v>
      </c>
      <c r="BG77">
        <v>463</v>
      </c>
      <c r="BH77">
        <v>472</v>
      </c>
      <c r="BI77" t="s">
        <v>69</v>
      </c>
      <c r="BJ77" t="s">
        <v>69</v>
      </c>
      <c r="BK77" t="s">
        <v>69</v>
      </c>
      <c r="BL77" t="s">
        <v>69</v>
      </c>
      <c r="BM77" t="s">
        <v>69</v>
      </c>
      <c r="BN77">
        <v>10</v>
      </c>
      <c r="BO77" t="s">
        <v>17548</v>
      </c>
      <c r="BP77" t="s">
        <v>8661</v>
      </c>
      <c r="BQ77" t="s">
        <v>15524</v>
      </c>
      <c r="BR77" t="s">
        <v>31926</v>
      </c>
      <c r="BS77" t="s">
        <v>1775</v>
      </c>
      <c r="BT77" t="s">
        <v>69</v>
      </c>
      <c r="BU77" t="s">
        <v>69</v>
      </c>
      <c r="BV77" t="s">
        <v>69</v>
      </c>
      <c r="BW77" t="s">
        <v>69</v>
      </c>
      <c r="BX77" t="s">
        <v>8526</v>
      </c>
      <c r="BY77" t="str">
        <f>HYPERLINK("https%3A%2F%2Fwww.webofscience.com%2Fwos%2Fwoscc%2Ffull-record%2FWOS:000082886600006","View Full Record in Web of Science")</f>
        <v>View Full Record in Web of Science</v>
      </c>
    </row>
    <row r="78" spans="1:77" ht="12.5" x14ac:dyDescent="0.25">
      <c r="A78" t="s">
        <v>8495</v>
      </c>
      <c r="B78" s="22" t="s">
        <v>32931</v>
      </c>
      <c r="C78" s="7"/>
      <c r="D78" s="7"/>
      <c r="E78" s="7"/>
      <c r="F78" t="s">
        <v>67</v>
      </c>
      <c r="G78" t="s">
        <v>20131</v>
      </c>
      <c r="H78" t="s">
        <v>69</v>
      </c>
      <c r="I78" t="s">
        <v>69</v>
      </c>
      <c r="J78" t="s">
        <v>69</v>
      </c>
      <c r="K78" t="s">
        <v>20132</v>
      </c>
      <c r="L78" t="s">
        <v>69</v>
      </c>
      <c r="M78" t="s">
        <v>69</v>
      </c>
      <c r="N78" t="s">
        <v>20133</v>
      </c>
      <c r="O78" t="s">
        <v>20134</v>
      </c>
      <c r="P78" t="s">
        <v>69</v>
      </c>
      <c r="Q78" t="s">
        <v>69</v>
      </c>
      <c r="R78" t="s">
        <v>8505</v>
      </c>
      <c r="S78" t="s">
        <v>8506</v>
      </c>
      <c r="T78" t="s">
        <v>69</v>
      </c>
      <c r="U78" t="s">
        <v>69</v>
      </c>
      <c r="V78" t="s">
        <v>69</v>
      </c>
      <c r="W78" t="s">
        <v>69</v>
      </c>
      <c r="X78" t="s">
        <v>69</v>
      </c>
      <c r="Y78" t="s">
        <v>69</v>
      </c>
      <c r="Z78" t="s">
        <v>69</v>
      </c>
      <c r="AA78" t="s">
        <v>20135</v>
      </c>
      <c r="AB78" t="s">
        <v>20136</v>
      </c>
      <c r="AC78" t="s">
        <v>69</v>
      </c>
      <c r="AD78" t="s">
        <v>20137</v>
      </c>
      <c r="AE78" t="s">
        <v>20138</v>
      </c>
      <c r="AF78" t="s">
        <v>69</v>
      </c>
      <c r="AG78" t="s">
        <v>69</v>
      </c>
      <c r="AH78" t="s">
        <v>20139</v>
      </c>
      <c r="AI78" t="s">
        <v>20140</v>
      </c>
      <c r="AJ78" t="s">
        <v>20141</v>
      </c>
      <c r="AK78" t="s">
        <v>69</v>
      </c>
      <c r="AL78">
        <v>2</v>
      </c>
      <c r="AM78">
        <v>5</v>
      </c>
      <c r="AN78">
        <v>5</v>
      </c>
      <c r="AO78">
        <v>0</v>
      </c>
      <c r="AP78">
        <v>6</v>
      </c>
      <c r="AQ78" t="s">
        <v>9145</v>
      </c>
      <c r="AR78" t="s">
        <v>8637</v>
      </c>
      <c r="AS78" t="s">
        <v>9146</v>
      </c>
      <c r="AT78" t="s">
        <v>20142</v>
      </c>
      <c r="AU78" t="s">
        <v>20143</v>
      </c>
      <c r="AV78" t="s">
        <v>69</v>
      </c>
      <c r="AW78" t="s">
        <v>20144</v>
      </c>
      <c r="AX78" t="s">
        <v>20145</v>
      </c>
      <c r="AY78" t="s">
        <v>201</v>
      </c>
      <c r="AZ78">
        <v>2017</v>
      </c>
      <c r="BA78">
        <v>137</v>
      </c>
      <c r="BB78" t="s">
        <v>69</v>
      </c>
      <c r="BC78" t="s">
        <v>69</v>
      </c>
      <c r="BD78" t="s">
        <v>69</v>
      </c>
      <c r="BE78" t="s">
        <v>69</v>
      </c>
      <c r="BF78" t="s">
        <v>69</v>
      </c>
      <c r="BG78">
        <v>482</v>
      </c>
      <c r="BH78">
        <v>489</v>
      </c>
      <c r="BI78" t="s">
        <v>69</v>
      </c>
      <c r="BJ78" t="s">
        <v>20146</v>
      </c>
      <c r="BK78" t="str">
        <f>HYPERLINK("http://dx.doi.org/10.1016/j.actaastro.2017.01.005","http://dx.doi.org/10.1016/j.actaastro.2017.01.005")</f>
        <v>http://dx.doi.org/10.1016/j.actaastro.2017.01.005</v>
      </c>
      <c r="BL78" t="s">
        <v>69</v>
      </c>
      <c r="BM78" t="s">
        <v>69</v>
      </c>
      <c r="BN78">
        <v>8</v>
      </c>
      <c r="BO78" t="s">
        <v>14497</v>
      </c>
      <c r="BP78" t="s">
        <v>8548</v>
      </c>
      <c r="BQ78" t="s">
        <v>8445</v>
      </c>
      <c r="BR78" t="s">
        <v>20147</v>
      </c>
      <c r="BS78" t="s">
        <v>20148</v>
      </c>
      <c r="BT78" t="s">
        <v>69</v>
      </c>
      <c r="BU78" t="s">
        <v>69</v>
      </c>
      <c r="BV78" t="s">
        <v>69</v>
      </c>
      <c r="BW78" t="s">
        <v>69</v>
      </c>
      <c r="BX78" t="s">
        <v>8526</v>
      </c>
      <c r="BY78" t="str">
        <f>HYPERLINK("https%3A%2F%2Fwww.webofscience.com%2Fwos%2Fwoscc%2Ffull-record%2FWOS:000405042000048","View Full Record in Web of Science")</f>
        <v>View Full Record in Web of Science</v>
      </c>
    </row>
    <row r="79" spans="1:77" ht="12.5" x14ac:dyDescent="0.25">
      <c r="A79" t="s">
        <v>8495</v>
      </c>
      <c r="B79" s="7" t="s">
        <v>32933</v>
      </c>
      <c r="C79" s="7"/>
      <c r="D79" s="7"/>
      <c r="E79" s="7"/>
      <c r="F79" t="s">
        <v>67</v>
      </c>
      <c r="G79" t="s">
        <v>7020</v>
      </c>
      <c r="H79" t="s">
        <v>69</v>
      </c>
      <c r="I79" t="s">
        <v>69</v>
      </c>
      <c r="J79" t="s">
        <v>69</v>
      </c>
      <c r="K79" t="s">
        <v>7021</v>
      </c>
      <c r="L79" t="s">
        <v>69</v>
      </c>
      <c r="M79" t="s">
        <v>69</v>
      </c>
      <c r="N79" t="s">
        <v>7022</v>
      </c>
      <c r="O79" t="s">
        <v>1799</v>
      </c>
      <c r="P79" t="s">
        <v>69</v>
      </c>
      <c r="Q79" t="s">
        <v>69</v>
      </c>
      <c r="R79" t="s">
        <v>8505</v>
      </c>
      <c r="S79" t="s">
        <v>8506</v>
      </c>
      <c r="T79" t="s">
        <v>69</v>
      </c>
      <c r="U79" t="s">
        <v>69</v>
      </c>
      <c r="V79" t="s">
        <v>69</v>
      </c>
      <c r="W79" t="s">
        <v>69</v>
      </c>
      <c r="X79" t="s">
        <v>69</v>
      </c>
      <c r="Y79" t="s">
        <v>15118</v>
      </c>
      <c r="Z79" t="s">
        <v>15119</v>
      </c>
      <c r="AA79" t="s">
        <v>7023</v>
      </c>
      <c r="AB79" t="s">
        <v>15120</v>
      </c>
      <c r="AC79" t="s">
        <v>69</v>
      </c>
      <c r="AD79" t="s">
        <v>15121</v>
      </c>
      <c r="AE79" t="s">
        <v>15122</v>
      </c>
      <c r="AF79" t="s">
        <v>15123</v>
      </c>
      <c r="AG79" t="s">
        <v>15124</v>
      </c>
      <c r="AH79" t="s">
        <v>15125</v>
      </c>
      <c r="AI79" t="s">
        <v>15126</v>
      </c>
      <c r="AJ79" t="s">
        <v>15127</v>
      </c>
      <c r="AK79" t="s">
        <v>69</v>
      </c>
      <c r="AL79">
        <v>76</v>
      </c>
      <c r="AM79">
        <v>4</v>
      </c>
      <c r="AN79">
        <v>4</v>
      </c>
      <c r="AO79">
        <v>12</v>
      </c>
      <c r="AP79">
        <v>58</v>
      </c>
      <c r="AQ79" t="s">
        <v>8846</v>
      </c>
      <c r="AR79" t="s">
        <v>8847</v>
      </c>
      <c r="AS79" t="s">
        <v>8848</v>
      </c>
      <c r="AT79" t="s">
        <v>1801</v>
      </c>
      <c r="AU79" t="s">
        <v>6345</v>
      </c>
      <c r="AV79" t="s">
        <v>69</v>
      </c>
      <c r="AW79" t="s">
        <v>15128</v>
      </c>
      <c r="AX79" t="s">
        <v>15129</v>
      </c>
      <c r="AY79" t="s">
        <v>255</v>
      </c>
      <c r="AZ79">
        <v>2020</v>
      </c>
      <c r="BA79">
        <v>40</v>
      </c>
      <c r="BB79">
        <v>9</v>
      </c>
      <c r="BC79" t="s">
        <v>69</v>
      </c>
      <c r="BD79" t="s">
        <v>69</v>
      </c>
      <c r="BE79" t="s">
        <v>69</v>
      </c>
      <c r="BF79" t="s">
        <v>69</v>
      </c>
      <c r="BG79">
        <v>1863</v>
      </c>
      <c r="BH79">
        <v>1886</v>
      </c>
      <c r="BI79" t="s">
        <v>69</v>
      </c>
      <c r="BJ79" t="s">
        <v>7024</v>
      </c>
      <c r="BK79" t="str">
        <f>HYPERLINK("http://dx.doi.org/10.1111/risa.13509","http://dx.doi.org/10.1111/risa.13509")</f>
        <v>http://dx.doi.org/10.1111/risa.13509</v>
      </c>
      <c r="BL79" t="s">
        <v>69</v>
      </c>
      <c r="BM79" t="s">
        <v>732</v>
      </c>
      <c r="BN79">
        <v>24</v>
      </c>
      <c r="BO79" t="s">
        <v>15130</v>
      </c>
      <c r="BP79" t="s">
        <v>8523</v>
      </c>
      <c r="BQ79" t="s">
        <v>15131</v>
      </c>
      <c r="BR79" t="s">
        <v>15132</v>
      </c>
      <c r="BS79" t="s">
        <v>7025</v>
      </c>
      <c r="BT79">
        <v>32469115</v>
      </c>
      <c r="BU79" t="s">
        <v>69</v>
      </c>
      <c r="BV79" t="s">
        <v>69</v>
      </c>
      <c r="BW79" t="s">
        <v>69</v>
      </c>
      <c r="BX79" t="s">
        <v>8526</v>
      </c>
      <c r="BY79" t="str">
        <f>HYPERLINK("https%3A%2F%2Fwww.webofscience.com%2Fwos%2Fwoscc%2Ffull-record%2FWOS:000536232800001","View Full Record in Web of Science")</f>
        <v>View Full Record in Web of Science</v>
      </c>
    </row>
    <row r="80" spans="1:77" ht="12.5" x14ac:dyDescent="0.25">
      <c r="A80" t="s">
        <v>8495</v>
      </c>
      <c r="B80" s="22" t="s">
        <v>32931</v>
      </c>
      <c r="C80" s="7"/>
      <c r="D80" s="7"/>
      <c r="E80" s="7"/>
      <c r="F80" t="s">
        <v>67</v>
      </c>
      <c r="G80" t="s">
        <v>26647</v>
      </c>
      <c r="H80" t="s">
        <v>69</v>
      </c>
      <c r="I80" t="s">
        <v>69</v>
      </c>
      <c r="J80" t="s">
        <v>69</v>
      </c>
      <c r="K80" t="s">
        <v>26648</v>
      </c>
      <c r="L80" t="s">
        <v>69</v>
      </c>
      <c r="M80" t="s">
        <v>69</v>
      </c>
      <c r="N80" t="s">
        <v>26649</v>
      </c>
      <c r="O80" t="s">
        <v>26650</v>
      </c>
      <c r="P80" t="s">
        <v>69</v>
      </c>
      <c r="Q80" t="s">
        <v>69</v>
      </c>
      <c r="R80" t="s">
        <v>8505</v>
      </c>
      <c r="S80" t="s">
        <v>8506</v>
      </c>
      <c r="T80" t="s">
        <v>69</v>
      </c>
      <c r="U80" t="s">
        <v>69</v>
      </c>
      <c r="V80" t="s">
        <v>69</v>
      </c>
      <c r="W80" t="s">
        <v>69</v>
      </c>
      <c r="X80" t="s">
        <v>69</v>
      </c>
      <c r="Y80" t="s">
        <v>69</v>
      </c>
      <c r="Z80" t="s">
        <v>26651</v>
      </c>
      <c r="AA80" t="s">
        <v>26652</v>
      </c>
      <c r="AB80" t="s">
        <v>26653</v>
      </c>
      <c r="AC80" t="s">
        <v>69</v>
      </c>
      <c r="AD80" t="s">
        <v>26654</v>
      </c>
      <c r="AE80" t="s">
        <v>26655</v>
      </c>
      <c r="AF80" t="s">
        <v>26656</v>
      </c>
      <c r="AG80" t="s">
        <v>26657</v>
      </c>
      <c r="AH80" t="s">
        <v>69</v>
      </c>
      <c r="AI80" t="s">
        <v>69</v>
      </c>
      <c r="AJ80" t="s">
        <v>69</v>
      </c>
      <c r="AK80" t="s">
        <v>69</v>
      </c>
      <c r="AL80">
        <v>51</v>
      </c>
      <c r="AM80">
        <v>1</v>
      </c>
      <c r="AN80">
        <v>1</v>
      </c>
      <c r="AO80">
        <v>0</v>
      </c>
      <c r="AP80">
        <v>21</v>
      </c>
      <c r="AQ80" t="s">
        <v>8611</v>
      </c>
      <c r="AR80" t="s">
        <v>8612</v>
      </c>
      <c r="AS80" t="s">
        <v>8613</v>
      </c>
      <c r="AT80" t="s">
        <v>26658</v>
      </c>
      <c r="AU80" t="s">
        <v>26659</v>
      </c>
      <c r="AV80" t="s">
        <v>69</v>
      </c>
      <c r="AW80" t="s">
        <v>26660</v>
      </c>
      <c r="AX80" t="s">
        <v>26661</v>
      </c>
      <c r="AY80" t="s">
        <v>69</v>
      </c>
      <c r="AZ80">
        <v>2012</v>
      </c>
      <c r="BA80">
        <v>32</v>
      </c>
      <c r="BB80">
        <v>3</v>
      </c>
      <c r="BC80" t="s">
        <v>69</v>
      </c>
      <c r="BD80" t="s">
        <v>69</v>
      </c>
      <c r="BE80" t="s">
        <v>69</v>
      </c>
      <c r="BF80" t="s">
        <v>69</v>
      </c>
      <c r="BG80">
        <v>333</v>
      </c>
      <c r="BH80">
        <v>349</v>
      </c>
      <c r="BI80" t="s">
        <v>69</v>
      </c>
      <c r="BJ80" t="s">
        <v>26662</v>
      </c>
      <c r="BK80" t="str">
        <f>HYPERLINK("http://dx.doi.org/10.1080/01441647.2011.647837","http://dx.doi.org/10.1080/01441647.2011.647837")</f>
        <v>http://dx.doi.org/10.1080/01441647.2011.647837</v>
      </c>
      <c r="BL80" t="s">
        <v>69</v>
      </c>
      <c r="BM80" t="s">
        <v>69</v>
      </c>
      <c r="BN80">
        <v>17</v>
      </c>
      <c r="BO80" t="s">
        <v>16486</v>
      </c>
      <c r="BP80" t="s">
        <v>8661</v>
      </c>
      <c r="BQ80" t="s">
        <v>16486</v>
      </c>
      <c r="BR80" t="s">
        <v>26663</v>
      </c>
      <c r="BS80" t="s">
        <v>26664</v>
      </c>
      <c r="BT80" t="s">
        <v>69</v>
      </c>
      <c r="BU80" t="s">
        <v>69</v>
      </c>
      <c r="BV80" t="s">
        <v>69</v>
      </c>
      <c r="BW80" t="s">
        <v>69</v>
      </c>
      <c r="BX80" t="s">
        <v>8526</v>
      </c>
      <c r="BY80" t="str">
        <f>HYPERLINK("https%3A%2F%2Fwww.webofscience.com%2Fwos%2Fwoscc%2Ffull-record%2FWOS:000303592100004","View Full Record in Web of Science")</f>
        <v>View Full Record in Web of Science</v>
      </c>
    </row>
    <row r="81" spans="1:77" ht="12.5" x14ac:dyDescent="0.25">
      <c r="A81" t="s">
        <v>8495</v>
      </c>
      <c r="B81" s="22" t="s">
        <v>32931</v>
      </c>
      <c r="C81" s="7"/>
      <c r="D81" s="7"/>
      <c r="E81" s="7"/>
      <c r="F81" t="s">
        <v>67</v>
      </c>
      <c r="G81" t="s">
        <v>28889</v>
      </c>
      <c r="H81" t="s">
        <v>69</v>
      </c>
      <c r="I81" t="s">
        <v>69</v>
      </c>
      <c r="J81" t="s">
        <v>69</v>
      </c>
      <c r="K81" t="s">
        <v>28890</v>
      </c>
      <c r="L81" t="s">
        <v>69</v>
      </c>
      <c r="M81" t="s">
        <v>69</v>
      </c>
      <c r="N81" t="s">
        <v>28891</v>
      </c>
      <c r="O81" t="s">
        <v>10050</v>
      </c>
      <c r="P81" t="s">
        <v>69</v>
      </c>
      <c r="Q81" t="s">
        <v>69</v>
      </c>
      <c r="R81" t="s">
        <v>8505</v>
      </c>
      <c r="S81" t="s">
        <v>8506</v>
      </c>
      <c r="T81" t="s">
        <v>69</v>
      </c>
      <c r="U81" t="s">
        <v>69</v>
      </c>
      <c r="V81" t="s">
        <v>69</v>
      </c>
      <c r="W81" t="s">
        <v>69</v>
      </c>
      <c r="X81" t="s">
        <v>69</v>
      </c>
      <c r="Y81" t="s">
        <v>28892</v>
      </c>
      <c r="Z81" t="s">
        <v>69</v>
      </c>
      <c r="AA81" t="s">
        <v>28893</v>
      </c>
      <c r="AB81" t="s">
        <v>28894</v>
      </c>
      <c r="AC81" t="s">
        <v>69</v>
      </c>
      <c r="AD81" t="s">
        <v>28895</v>
      </c>
      <c r="AE81" t="s">
        <v>28896</v>
      </c>
      <c r="AF81" t="s">
        <v>69</v>
      </c>
      <c r="AG81" t="s">
        <v>28897</v>
      </c>
      <c r="AH81" t="s">
        <v>69</v>
      </c>
      <c r="AI81" t="s">
        <v>69</v>
      </c>
      <c r="AJ81" t="s">
        <v>69</v>
      </c>
      <c r="AK81" t="s">
        <v>69</v>
      </c>
      <c r="AL81">
        <v>17</v>
      </c>
      <c r="AM81">
        <v>1</v>
      </c>
      <c r="AN81">
        <v>1</v>
      </c>
      <c r="AO81">
        <v>0</v>
      </c>
      <c r="AP81">
        <v>1</v>
      </c>
      <c r="AQ81" t="s">
        <v>8586</v>
      </c>
      <c r="AR81" t="s">
        <v>8587</v>
      </c>
      <c r="AS81" t="s">
        <v>8588</v>
      </c>
      <c r="AT81" t="s">
        <v>10059</v>
      </c>
      <c r="AU81" t="s">
        <v>10060</v>
      </c>
      <c r="AV81" t="s">
        <v>69</v>
      </c>
      <c r="AW81" t="s">
        <v>10061</v>
      </c>
      <c r="AX81" t="s">
        <v>10062</v>
      </c>
      <c r="AY81" t="s">
        <v>69</v>
      </c>
      <c r="AZ81">
        <v>2009</v>
      </c>
      <c r="BA81">
        <v>14</v>
      </c>
      <c r="BB81">
        <v>1</v>
      </c>
      <c r="BC81" t="s">
        <v>69</v>
      </c>
      <c r="BD81" t="s">
        <v>69</v>
      </c>
      <c r="BE81" t="s">
        <v>69</v>
      </c>
      <c r="BF81" t="s">
        <v>69</v>
      </c>
      <c r="BG81">
        <v>79</v>
      </c>
      <c r="BH81">
        <v>89</v>
      </c>
      <c r="BI81" t="s">
        <v>69</v>
      </c>
      <c r="BJ81" t="s">
        <v>28898</v>
      </c>
      <c r="BK81" t="str">
        <f>HYPERLINK("http://dx.doi.org/10.1108/13664380910942653","http://dx.doi.org/10.1108/13664380910942653")</f>
        <v>http://dx.doi.org/10.1108/13664380910942653</v>
      </c>
      <c r="BL81" t="s">
        <v>69</v>
      </c>
      <c r="BM81" t="s">
        <v>69</v>
      </c>
      <c r="BN81">
        <v>11</v>
      </c>
      <c r="BO81" t="s">
        <v>9749</v>
      </c>
      <c r="BP81" t="s">
        <v>8573</v>
      </c>
      <c r="BQ81" t="s">
        <v>8594</v>
      </c>
      <c r="BR81" t="s">
        <v>28899</v>
      </c>
      <c r="BS81" t="s">
        <v>28900</v>
      </c>
      <c r="BT81" t="s">
        <v>69</v>
      </c>
      <c r="BU81" t="s">
        <v>69</v>
      </c>
      <c r="BV81" t="s">
        <v>69</v>
      </c>
      <c r="BW81" t="s">
        <v>69</v>
      </c>
      <c r="BX81" t="s">
        <v>8526</v>
      </c>
      <c r="BY81" t="str">
        <f>HYPERLINK("https%3A%2F%2Fwww.webofscience.com%2Fwos%2Fwoscc%2Ffull-record%2FWOS:000211558800006","View Full Record in Web of Science")</f>
        <v>View Full Record in Web of Science</v>
      </c>
    </row>
    <row r="82" spans="1:77" ht="12.5" x14ac:dyDescent="0.25">
      <c r="A82" t="s">
        <v>8495</v>
      </c>
      <c r="B82" s="7" t="s">
        <v>32933</v>
      </c>
      <c r="C82" s="7"/>
      <c r="D82" s="7"/>
      <c r="E82" s="7"/>
      <c r="F82" t="s">
        <v>67</v>
      </c>
      <c r="G82" t="s">
        <v>2075</v>
      </c>
      <c r="H82" t="s">
        <v>69</v>
      </c>
      <c r="I82" t="s">
        <v>69</v>
      </c>
      <c r="J82" t="s">
        <v>69</v>
      </c>
      <c r="K82" t="s">
        <v>2076</v>
      </c>
      <c r="L82" t="s">
        <v>69</v>
      </c>
      <c r="M82" t="s">
        <v>69</v>
      </c>
      <c r="N82" t="s">
        <v>2077</v>
      </c>
      <c r="O82" t="s">
        <v>2078</v>
      </c>
      <c r="P82" t="s">
        <v>69</v>
      </c>
      <c r="Q82" t="s">
        <v>69</v>
      </c>
      <c r="R82" t="s">
        <v>8505</v>
      </c>
      <c r="S82" t="s">
        <v>8506</v>
      </c>
      <c r="T82" t="s">
        <v>69</v>
      </c>
      <c r="U82" t="s">
        <v>69</v>
      </c>
      <c r="V82" t="s">
        <v>69</v>
      </c>
      <c r="W82" t="s">
        <v>69</v>
      </c>
      <c r="X82" t="s">
        <v>69</v>
      </c>
      <c r="Y82" t="s">
        <v>16043</v>
      </c>
      <c r="Z82" t="s">
        <v>69</v>
      </c>
      <c r="AA82" t="s">
        <v>2079</v>
      </c>
      <c r="AB82" t="s">
        <v>16044</v>
      </c>
      <c r="AC82" t="s">
        <v>69</v>
      </c>
      <c r="AD82" t="s">
        <v>16045</v>
      </c>
      <c r="AE82" t="s">
        <v>16046</v>
      </c>
      <c r="AF82" t="s">
        <v>2080</v>
      </c>
      <c r="AG82" t="s">
        <v>16047</v>
      </c>
      <c r="AH82" t="s">
        <v>69</v>
      </c>
      <c r="AI82" t="s">
        <v>69</v>
      </c>
      <c r="AJ82" t="s">
        <v>69</v>
      </c>
      <c r="AK82" t="s">
        <v>69</v>
      </c>
      <c r="AL82">
        <v>93</v>
      </c>
      <c r="AM82">
        <v>4</v>
      </c>
      <c r="AN82">
        <v>4</v>
      </c>
      <c r="AO82">
        <v>4</v>
      </c>
      <c r="AP82">
        <v>18</v>
      </c>
      <c r="AQ82" t="s">
        <v>16048</v>
      </c>
      <c r="AR82" t="s">
        <v>8517</v>
      </c>
      <c r="AS82" t="s">
        <v>16049</v>
      </c>
      <c r="AT82" t="s">
        <v>2081</v>
      </c>
      <c r="AU82" t="s">
        <v>2082</v>
      </c>
      <c r="AV82" t="s">
        <v>69</v>
      </c>
      <c r="AW82" t="s">
        <v>16050</v>
      </c>
      <c r="AX82" t="s">
        <v>16051</v>
      </c>
      <c r="AY82" t="s">
        <v>69</v>
      </c>
      <c r="AZ82">
        <v>2020</v>
      </c>
      <c r="BA82">
        <v>39</v>
      </c>
      <c r="BB82">
        <v>4</v>
      </c>
      <c r="BC82" t="s">
        <v>69</v>
      </c>
      <c r="BD82" t="s">
        <v>69</v>
      </c>
      <c r="BE82" t="s">
        <v>69</v>
      </c>
      <c r="BF82" t="s">
        <v>69</v>
      </c>
      <c r="BG82">
        <v>511</v>
      </c>
      <c r="BH82">
        <v>527</v>
      </c>
      <c r="BI82" t="s">
        <v>69</v>
      </c>
      <c r="BJ82" t="s">
        <v>2083</v>
      </c>
      <c r="BK82" t="str">
        <f>HYPERLINK("http://dx.doi.org/10.3233/HSM-201034","http://dx.doi.org/10.3233/HSM-201034")</f>
        <v>http://dx.doi.org/10.3233/HSM-201034</v>
      </c>
      <c r="BL82" t="s">
        <v>69</v>
      </c>
      <c r="BM82" t="s">
        <v>69</v>
      </c>
      <c r="BN82">
        <v>17</v>
      </c>
      <c r="BO82" t="s">
        <v>9410</v>
      </c>
      <c r="BP82" t="s">
        <v>8573</v>
      </c>
      <c r="BQ82" t="s">
        <v>8594</v>
      </c>
      <c r="BR82" t="s">
        <v>16052</v>
      </c>
      <c r="BS82" t="s">
        <v>2084</v>
      </c>
      <c r="BT82" t="s">
        <v>69</v>
      </c>
      <c r="BU82" t="s">
        <v>69</v>
      </c>
      <c r="BV82" t="s">
        <v>69</v>
      </c>
      <c r="BW82" t="s">
        <v>69</v>
      </c>
      <c r="BX82" t="s">
        <v>8526</v>
      </c>
      <c r="BY82" t="str">
        <f>HYPERLINK("https%3A%2F%2Fwww.webofscience.com%2Fwos%2Fwoscc%2Ffull-record%2FWOS:000592803300004","View Full Record in Web of Science")</f>
        <v>View Full Record in Web of Science</v>
      </c>
    </row>
    <row r="83" spans="1:77" ht="12.5" x14ac:dyDescent="0.25">
      <c r="A83" t="s">
        <v>8495</v>
      </c>
      <c r="B83" s="22" t="s">
        <v>32931</v>
      </c>
      <c r="C83" s="7"/>
      <c r="D83" s="7"/>
      <c r="E83" s="7"/>
      <c r="F83" t="s">
        <v>67</v>
      </c>
      <c r="G83" t="s">
        <v>27422</v>
      </c>
      <c r="H83" t="s">
        <v>69</v>
      </c>
      <c r="I83" t="s">
        <v>69</v>
      </c>
      <c r="J83" t="s">
        <v>69</v>
      </c>
      <c r="K83" t="s">
        <v>27423</v>
      </c>
      <c r="L83" t="s">
        <v>69</v>
      </c>
      <c r="M83" t="s">
        <v>69</v>
      </c>
      <c r="N83" t="s">
        <v>27424</v>
      </c>
      <c r="O83" t="s">
        <v>27425</v>
      </c>
      <c r="P83" t="s">
        <v>69</v>
      </c>
      <c r="Q83" t="s">
        <v>69</v>
      </c>
      <c r="R83" t="s">
        <v>8505</v>
      </c>
      <c r="S83" t="s">
        <v>8506</v>
      </c>
      <c r="T83" t="s">
        <v>69</v>
      </c>
      <c r="U83" t="s">
        <v>69</v>
      </c>
      <c r="V83" t="s">
        <v>69</v>
      </c>
      <c r="W83" t="s">
        <v>69</v>
      </c>
      <c r="X83" t="s">
        <v>69</v>
      </c>
      <c r="Y83" t="s">
        <v>27426</v>
      </c>
      <c r="Z83" t="s">
        <v>69</v>
      </c>
      <c r="AA83" t="s">
        <v>27427</v>
      </c>
      <c r="AB83" t="s">
        <v>27428</v>
      </c>
      <c r="AC83" t="s">
        <v>69</v>
      </c>
      <c r="AD83" t="s">
        <v>27429</v>
      </c>
      <c r="AE83" t="s">
        <v>27430</v>
      </c>
      <c r="AF83" t="s">
        <v>27431</v>
      </c>
      <c r="AG83" t="s">
        <v>27432</v>
      </c>
      <c r="AH83" t="s">
        <v>69</v>
      </c>
      <c r="AI83" t="s">
        <v>69</v>
      </c>
      <c r="AJ83" t="s">
        <v>69</v>
      </c>
      <c r="AK83" t="s">
        <v>69</v>
      </c>
      <c r="AL83">
        <v>25</v>
      </c>
      <c r="AM83">
        <v>6</v>
      </c>
      <c r="AN83">
        <v>6</v>
      </c>
      <c r="AO83">
        <v>0</v>
      </c>
      <c r="AP83">
        <v>1</v>
      </c>
      <c r="AQ83" t="s">
        <v>8586</v>
      </c>
      <c r="AR83" t="s">
        <v>8587</v>
      </c>
      <c r="AS83" t="s">
        <v>8588</v>
      </c>
      <c r="AT83" t="s">
        <v>27433</v>
      </c>
      <c r="AU83" t="s">
        <v>69</v>
      </c>
      <c r="AV83" t="s">
        <v>69</v>
      </c>
      <c r="AW83" t="s">
        <v>27434</v>
      </c>
      <c r="AX83" t="s">
        <v>27435</v>
      </c>
      <c r="AY83" t="s">
        <v>69</v>
      </c>
      <c r="AZ83">
        <v>2011</v>
      </c>
      <c r="BA83">
        <v>4</v>
      </c>
      <c r="BB83">
        <v>1</v>
      </c>
      <c r="BC83" t="s">
        <v>69</v>
      </c>
      <c r="BD83" t="s">
        <v>69</v>
      </c>
      <c r="BE83" t="s">
        <v>69</v>
      </c>
      <c r="BF83" t="s">
        <v>69</v>
      </c>
      <c r="BG83">
        <v>62</v>
      </c>
      <c r="BH83">
        <v>81</v>
      </c>
      <c r="BI83" t="s">
        <v>69</v>
      </c>
      <c r="BJ83" t="s">
        <v>27436</v>
      </c>
      <c r="BK83" t="str">
        <f>HYPERLINK("http://dx.doi.org/10.1108/17554251111110122","http://dx.doi.org/10.1108/17554251111110122")</f>
        <v>http://dx.doi.org/10.1108/17554251111110122</v>
      </c>
      <c r="BL83" t="s">
        <v>69</v>
      </c>
      <c r="BM83" t="s">
        <v>69</v>
      </c>
      <c r="BN83">
        <v>20</v>
      </c>
      <c r="BO83" t="s">
        <v>9410</v>
      </c>
      <c r="BP83" t="s">
        <v>8573</v>
      </c>
      <c r="BQ83" t="s">
        <v>8594</v>
      </c>
      <c r="BR83" t="s">
        <v>27437</v>
      </c>
      <c r="BS83" t="s">
        <v>27438</v>
      </c>
      <c r="BT83" t="s">
        <v>69</v>
      </c>
      <c r="BU83" t="s">
        <v>69</v>
      </c>
      <c r="BV83" t="s">
        <v>69</v>
      </c>
      <c r="BW83" t="s">
        <v>69</v>
      </c>
      <c r="BX83" t="s">
        <v>8526</v>
      </c>
      <c r="BY83" t="str">
        <f>HYPERLINK("https%3A%2F%2Fwww.webofscience.com%2Fwos%2Fwoscc%2Ffull-record%2FWOS:000214551000004","View Full Record in Web of Science")</f>
        <v>View Full Record in Web of Science</v>
      </c>
    </row>
    <row r="84" spans="1:77" ht="12.5" x14ac:dyDescent="0.25">
      <c r="A84" t="s">
        <v>8495</v>
      </c>
      <c r="B84" s="22" t="s">
        <v>32931</v>
      </c>
      <c r="C84" s="7"/>
      <c r="D84" s="7"/>
      <c r="E84" s="7"/>
      <c r="F84" t="s">
        <v>67</v>
      </c>
      <c r="G84" t="s">
        <v>26504</v>
      </c>
      <c r="H84" t="s">
        <v>69</v>
      </c>
      <c r="I84" t="s">
        <v>69</v>
      </c>
      <c r="J84" t="s">
        <v>69</v>
      </c>
      <c r="K84" t="s">
        <v>26505</v>
      </c>
      <c r="L84" t="s">
        <v>69</v>
      </c>
      <c r="M84" t="s">
        <v>69</v>
      </c>
      <c r="N84" t="s">
        <v>26506</v>
      </c>
      <c r="O84" t="s">
        <v>11049</v>
      </c>
      <c r="P84" t="s">
        <v>69</v>
      </c>
      <c r="Q84" t="s">
        <v>69</v>
      </c>
      <c r="R84" t="s">
        <v>8505</v>
      </c>
      <c r="S84" t="s">
        <v>8506</v>
      </c>
      <c r="T84" t="s">
        <v>69</v>
      </c>
      <c r="U84" t="s">
        <v>69</v>
      </c>
      <c r="V84" t="s">
        <v>69</v>
      </c>
      <c r="W84" t="s">
        <v>69</v>
      </c>
      <c r="X84" t="s">
        <v>69</v>
      </c>
      <c r="Y84" t="s">
        <v>26507</v>
      </c>
      <c r="Z84" t="s">
        <v>69</v>
      </c>
      <c r="AA84" t="s">
        <v>26508</v>
      </c>
      <c r="AB84" t="s">
        <v>26509</v>
      </c>
      <c r="AC84" t="s">
        <v>69</v>
      </c>
      <c r="AD84" t="s">
        <v>26510</v>
      </c>
      <c r="AE84" t="s">
        <v>26511</v>
      </c>
      <c r="AF84" t="s">
        <v>69</v>
      </c>
      <c r="AG84" t="s">
        <v>69</v>
      </c>
      <c r="AH84" t="s">
        <v>69</v>
      </c>
      <c r="AI84" t="s">
        <v>69</v>
      </c>
      <c r="AJ84" t="s">
        <v>69</v>
      </c>
      <c r="AK84" t="s">
        <v>69</v>
      </c>
      <c r="AL84">
        <v>86</v>
      </c>
      <c r="AM84">
        <v>10</v>
      </c>
      <c r="AN84">
        <v>10</v>
      </c>
      <c r="AO84">
        <v>0</v>
      </c>
      <c r="AP84">
        <v>1</v>
      </c>
      <c r="AQ84" t="s">
        <v>8586</v>
      </c>
      <c r="AR84" t="s">
        <v>8587</v>
      </c>
      <c r="AS84" t="s">
        <v>8588</v>
      </c>
      <c r="AT84" t="s">
        <v>11058</v>
      </c>
      <c r="AU84" t="s">
        <v>11059</v>
      </c>
      <c r="AV84" t="s">
        <v>69</v>
      </c>
      <c r="AW84" t="s">
        <v>11060</v>
      </c>
      <c r="AX84" t="s">
        <v>11061</v>
      </c>
      <c r="AY84" t="s">
        <v>69</v>
      </c>
      <c r="AZ84">
        <v>2012</v>
      </c>
      <c r="BA84">
        <v>25</v>
      </c>
      <c r="BB84">
        <v>6</v>
      </c>
      <c r="BC84" t="s">
        <v>69</v>
      </c>
      <c r="BD84" t="s">
        <v>69</v>
      </c>
      <c r="BE84" t="s">
        <v>69</v>
      </c>
      <c r="BF84" t="s">
        <v>69</v>
      </c>
      <c r="BG84">
        <v>509</v>
      </c>
      <c r="BH84" t="s">
        <v>219</v>
      </c>
      <c r="BI84" t="s">
        <v>69</v>
      </c>
      <c r="BJ84" t="s">
        <v>26512</v>
      </c>
      <c r="BK84" t="str">
        <f>HYPERLINK("http://dx.doi.org/10.1108/17410391211272810","http://dx.doi.org/10.1108/17410391211272810")</f>
        <v>http://dx.doi.org/10.1108/17410391211272810</v>
      </c>
      <c r="BL84" t="s">
        <v>69</v>
      </c>
      <c r="BM84" t="s">
        <v>69</v>
      </c>
      <c r="BN84">
        <v>29</v>
      </c>
      <c r="BO84" t="s">
        <v>11063</v>
      </c>
      <c r="BP84" t="s">
        <v>8573</v>
      </c>
      <c r="BQ84" t="s">
        <v>11064</v>
      </c>
      <c r="BR84" t="s">
        <v>26513</v>
      </c>
      <c r="BS84" t="s">
        <v>26514</v>
      </c>
      <c r="BT84" t="s">
        <v>69</v>
      </c>
      <c r="BU84" t="s">
        <v>69</v>
      </c>
      <c r="BV84" t="s">
        <v>69</v>
      </c>
      <c r="BW84" t="s">
        <v>69</v>
      </c>
      <c r="BX84" t="s">
        <v>8526</v>
      </c>
      <c r="BY84" t="str">
        <f>HYPERLINK("https%3A%2F%2Fwww.webofscience.com%2Fwos%2Fwoscc%2Ffull-record%2FWOS:000212900700002","View Full Record in Web of Science")</f>
        <v>View Full Record in Web of Science</v>
      </c>
    </row>
    <row r="85" spans="1:77" ht="12.5" x14ac:dyDescent="0.25">
      <c r="A85" t="s">
        <v>8495</v>
      </c>
      <c r="B85" s="22" t="s">
        <v>32931</v>
      </c>
      <c r="C85" s="7"/>
      <c r="D85" s="7"/>
      <c r="E85" s="7"/>
      <c r="F85" t="s">
        <v>67</v>
      </c>
      <c r="G85" t="s">
        <v>26573</v>
      </c>
      <c r="H85" t="s">
        <v>69</v>
      </c>
      <c r="I85" t="s">
        <v>69</v>
      </c>
      <c r="J85" t="s">
        <v>69</v>
      </c>
      <c r="K85" t="s">
        <v>26574</v>
      </c>
      <c r="L85" t="s">
        <v>69</v>
      </c>
      <c r="M85" t="s">
        <v>69</v>
      </c>
      <c r="N85" t="s">
        <v>26575</v>
      </c>
      <c r="O85" t="s">
        <v>26576</v>
      </c>
      <c r="P85" t="s">
        <v>69</v>
      </c>
      <c r="Q85" t="s">
        <v>69</v>
      </c>
      <c r="R85" t="s">
        <v>25721</v>
      </c>
      <c r="S85" t="s">
        <v>8506</v>
      </c>
      <c r="T85" t="s">
        <v>69</v>
      </c>
      <c r="U85" t="s">
        <v>69</v>
      </c>
      <c r="V85" t="s">
        <v>69</v>
      </c>
      <c r="W85" t="s">
        <v>69</v>
      </c>
      <c r="X85" t="s">
        <v>69</v>
      </c>
      <c r="Y85" t="s">
        <v>26577</v>
      </c>
      <c r="Z85" t="s">
        <v>69</v>
      </c>
      <c r="AA85" t="s">
        <v>26578</v>
      </c>
      <c r="AB85" t="s">
        <v>26579</v>
      </c>
      <c r="AC85" t="s">
        <v>69</v>
      </c>
      <c r="AD85" t="s">
        <v>26580</v>
      </c>
      <c r="AE85" t="s">
        <v>26581</v>
      </c>
      <c r="AF85" t="s">
        <v>26582</v>
      </c>
      <c r="AG85" t="s">
        <v>69</v>
      </c>
      <c r="AH85" t="s">
        <v>69</v>
      </c>
      <c r="AI85" t="s">
        <v>69</v>
      </c>
      <c r="AJ85" t="s">
        <v>69</v>
      </c>
      <c r="AK85" t="s">
        <v>69</v>
      </c>
      <c r="AL85">
        <v>13</v>
      </c>
      <c r="AM85">
        <v>5</v>
      </c>
      <c r="AN85">
        <v>5</v>
      </c>
      <c r="AO85">
        <v>0</v>
      </c>
      <c r="AP85">
        <v>0</v>
      </c>
      <c r="AQ85" t="s">
        <v>26583</v>
      </c>
      <c r="AR85" t="s">
        <v>26584</v>
      </c>
      <c r="AS85" t="s">
        <v>26585</v>
      </c>
      <c r="AT85" t="s">
        <v>26586</v>
      </c>
      <c r="AU85" t="s">
        <v>69</v>
      </c>
      <c r="AV85" t="s">
        <v>69</v>
      </c>
      <c r="AW85" t="s">
        <v>26576</v>
      </c>
      <c r="AX85" t="s">
        <v>26587</v>
      </c>
      <c r="AY85" t="s">
        <v>69</v>
      </c>
      <c r="AZ85">
        <v>2012</v>
      </c>
      <c r="BA85">
        <v>7</v>
      </c>
      <c r="BB85">
        <v>2</v>
      </c>
      <c r="BC85" t="s">
        <v>69</v>
      </c>
      <c r="BD85" t="s">
        <v>69</v>
      </c>
      <c r="BE85" t="s">
        <v>69</v>
      </c>
      <c r="BF85" t="s">
        <v>69</v>
      </c>
      <c r="BG85">
        <v>94</v>
      </c>
      <c r="BH85">
        <v>102</v>
      </c>
      <c r="BI85" t="s">
        <v>69</v>
      </c>
      <c r="BJ85" t="s">
        <v>69</v>
      </c>
      <c r="BK85" t="s">
        <v>69</v>
      </c>
      <c r="BL85" t="s">
        <v>69</v>
      </c>
      <c r="BM85" t="s">
        <v>69</v>
      </c>
      <c r="BN85">
        <v>9</v>
      </c>
      <c r="BO85" t="s">
        <v>8449</v>
      </c>
      <c r="BP85" t="s">
        <v>8573</v>
      </c>
      <c r="BQ85" t="s">
        <v>8449</v>
      </c>
      <c r="BR85" t="s">
        <v>26588</v>
      </c>
      <c r="BS85" t="s">
        <v>26589</v>
      </c>
      <c r="BT85" t="s">
        <v>69</v>
      </c>
      <c r="BU85" t="s">
        <v>69</v>
      </c>
      <c r="BV85" t="s">
        <v>69</v>
      </c>
      <c r="BW85" t="s">
        <v>69</v>
      </c>
      <c r="BX85" t="s">
        <v>8526</v>
      </c>
      <c r="BY85" t="str">
        <f>HYPERLINK("https%3A%2F%2Fwww.webofscience.com%2Fwos%2Fwoscc%2Ffull-record%2FWOS:000421686800002","View Full Record in Web of Science")</f>
        <v>View Full Record in Web of Science</v>
      </c>
    </row>
    <row r="86" spans="1:77" ht="12.5" x14ac:dyDescent="0.25">
      <c r="A86" t="s">
        <v>8495</v>
      </c>
      <c r="B86" s="22" t="s">
        <v>32931</v>
      </c>
      <c r="C86" s="7"/>
      <c r="D86" s="7"/>
      <c r="E86" s="7"/>
      <c r="F86" t="s">
        <v>67</v>
      </c>
      <c r="G86" t="s">
        <v>21416</v>
      </c>
      <c r="H86" t="s">
        <v>69</v>
      </c>
      <c r="I86" t="s">
        <v>69</v>
      </c>
      <c r="J86" t="s">
        <v>69</v>
      </c>
      <c r="K86" t="s">
        <v>21417</v>
      </c>
      <c r="L86" t="s">
        <v>69</v>
      </c>
      <c r="M86" t="s">
        <v>69</v>
      </c>
      <c r="N86" t="s">
        <v>21418</v>
      </c>
      <c r="O86" t="s">
        <v>1128</v>
      </c>
      <c r="P86" t="s">
        <v>69</v>
      </c>
      <c r="Q86" t="s">
        <v>69</v>
      </c>
      <c r="R86" t="s">
        <v>8505</v>
      </c>
      <c r="S86" t="s">
        <v>8506</v>
      </c>
      <c r="T86" t="s">
        <v>69</v>
      </c>
      <c r="U86" t="s">
        <v>69</v>
      </c>
      <c r="V86" t="s">
        <v>69</v>
      </c>
      <c r="W86" t="s">
        <v>69</v>
      </c>
      <c r="X86" t="s">
        <v>69</v>
      </c>
      <c r="Y86" t="s">
        <v>21419</v>
      </c>
      <c r="Z86" t="s">
        <v>21420</v>
      </c>
      <c r="AA86" t="s">
        <v>21421</v>
      </c>
      <c r="AB86" t="s">
        <v>21422</v>
      </c>
      <c r="AC86" t="s">
        <v>69</v>
      </c>
      <c r="AD86" t="s">
        <v>21423</v>
      </c>
      <c r="AE86" t="s">
        <v>21424</v>
      </c>
      <c r="AF86" t="s">
        <v>21425</v>
      </c>
      <c r="AG86" t="s">
        <v>21426</v>
      </c>
      <c r="AH86" t="s">
        <v>21427</v>
      </c>
      <c r="AI86" t="s">
        <v>21428</v>
      </c>
      <c r="AJ86" t="s">
        <v>21429</v>
      </c>
      <c r="AK86" t="s">
        <v>69</v>
      </c>
      <c r="AL86">
        <v>131</v>
      </c>
      <c r="AM86">
        <v>16</v>
      </c>
      <c r="AN86">
        <v>16</v>
      </c>
      <c r="AO86">
        <v>2</v>
      </c>
      <c r="AP86">
        <v>60</v>
      </c>
      <c r="AQ86" t="s">
        <v>8636</v>
      </c>
      <c r="AR86" t="s">
        <v>8637</v>
      </c>
      <c r="AS86" t="s">
        <v>8638</v>
      </c>
      <c r="AT86" t="s">
        <v>1130</v>
      </c>
      <c r="AU86" t="s">
        <v>1131</v>
      </c>
      <c r="AV86" t="s">
        <v>69</v>
      </c>
      <c r="AW86" t="s">
        <v>1128</v>
      </c>
      <c r="AX86" t="s">
        <v>8658</v>
      </c>
      <c r="AY86" t="s">
        <v>255</v>
      </c>
      <c r="AZ86">
        <v>2016</v>
      </c>
      <c r="BA86">
        <v>55</v>
      </c>
      <c r="BB86" t="s">
        <v>69</v>
      </c>
      <c r="BC86" t="s">
        <v>69</v>
      </c>
      <c r="BD86" t="s">
        <v>69</v>
      </c>
      <c r="BE86" t="s">
        <v>69</v>
      </c>
      <c r="BF86" t="s">
        <v>69</v>
      </c>
      <c r="BG86">
        <v>240</v>
      </c>
      <c r="BH86">
        <v>256</v>
      </c>
      <c r="BI86" t="s">
        <v>69</v>
      </c>
      <c r="BJ86" t="s">
        <v>21430</v>
      </c>
      <c r="BK86" t="str">
        <f>HYPERLINK("http://dx.doi.org/10.1016/j.landusepol.2016.04.005","http://dx.doi.org/10.1016/j.landusepol.2016.04.005")</f>
        <v>http://dx.doi.org/10.1016/j.landusepol.2016.04.005</v>
      </c>
      <c r="BL86" t="s">
        <v>69</v>
      </c>
      <c r="BM86" t="s">
        <v>69</v>
      </c>
      <c r="BN86">
        <v>17</v>
      </c>
      <c r="BO86" t="s">
        <v>8660</v>
      </c>
      <c r="BP86" t="s">
        <v>8661</v>
      </c>
      <c r="BQ86" t="s">
        <v>8662</v>
      </c>
      <c r="BR86" t="s">
        <v>21431</v>
      </c>
      <c r="BS86" t="s">
        <v>21433</v>
      </c>
      <c r="BT86" t="s">
        <v>69</v>
      </c>
      <c r="BU86" t="s">
        <v>21432</v>
      </c>
      <c r="BV86" t="s">
        <v>69</v>
      </c>
      <c r="BW86" t="s">
        <v>69</v>
      </c>
      <c r="BX86" t="s">
        <v>8526</v>
      </c>
      <c r="BY86" t="str">
        <f>HYPERLINK("https%3A%2F%2Fwww.webofscience.com%2Fwos%2Fwoscc%2Ffull-record%2FWOS:000376803100022","View Full Record in Web of Science")</f>
        <v>View Full Record in Web of Science</v>
      </c>
    </row>
    <row r="87" spans="1:77" ht="12.5" x14ac:dyDescent="0.25">
      <c r="A87" t="s">
        <v>8495</v>
      </c>
      <c r="B87" s="7" t="s">
        <v>32933</v>
      </c>
      <c r="C87" s="7"/>
      <c r="D87" s="7"/>
      <c r="E87" s="7"/>
      <c r="F87" t="s">
        <v>67</v>
      </c>
      <c r="G87" t="s">
        <v>3077</v>
      </c>
      <c r="H87" t="s">
        <v>69</v>
      </c>
      <c r="I87" t="s">
        <v>69</v>
      </c>
      <c r="J87" t="s">
        <v>69</v>
      </c>
      <c r="K87" t="s">
        <v>3078</v>
      </c>
      <c r="L87" t="s">
        <v>69</v>
      </c>
      <c r="M87" t="s">
        <v>69</v>
      </c>
      <c r="N87" t="s">
        <v>3079</v>
      </c>
      <c r="O87" t="s">
        <v>387</v>
      </c>
      <c r="P87" t="s">
        <v>69</v>
      </c>
      <c r="Q87" t="s">
        <v>69</v>
      </c>
      <c r="R87" t="s">
        <v>8505</v>
      </c>
      <c r="S87" t="s">
        <v>8506</v>
      </c>
      <c r="T87" t="s">
        <v>69</v>
      </c>
      <c r="U87" t="s">
        <v>69</v>
      </c>
      <c r="V87" t="s">
        <v>69</v>
      </c>
      <c r="W87" t="s">
        <v>69</v>
      </c>
      <c r="X87" t="s">
        <v>69</v>
      </c>
      <c r="Y87" t="s">
        <v>23045</v>
      </c>
      <c r="Z87" t="s">
        <v>69</v>
      </c>
      <c r="AA87" t="s">
        <v>3080</v>
      </c>
      <c r="AB87" t="s">
        <v>23046</v>
      </c>
      <c r="AC87" t="s">
        <v>69</v>
      </c>
      <c r="AD87" t="s">
        <v>23047</v>
      </c>
      <c r="AE87" t="s">
        <v>23048</v>
      </c>
      <c r="AF87" t="s">
        <v>3081</v>
      </c>
      <c r="AG87" t="s">
        <v>3082</v>
      </c>
      <c r="AH87" t="s">
        <v>69</v>
      </c>
      <c r="AI87" t="s">
        <v>69</v>
      </c>
      <c r="AJ87" t="s">
        <v>69</v>
      </c>
      <c r="AK87" t="s">
        <v>69</v>
      </c>
      <c r="AL87">
        <v>55</v>
      </c>
      <c r="AM87">
        <v>47</v>
      </c>
      <c r="AN87">
        <v>48</v>
      </c>
      <c r="AO87">
        <v>0</v>
      </c>
      <c r="AP87">
        <v>57</v>
      </c>
      <c r="AQ87" t="s">
        <v>8586</v>
      </c>
      <c r="AR87" t="s">
        <v>8587</v>
      </c>
      <c r="AS87" t="s">
        <v>8588</v>
      </c>
      <c r="AT87" t="s">
        <v>390</v>
      </c>
      <c r="AU87" t="s">
        <v>391</v>
      </c>
      <c r="AV87" t="s">
        <v>69</v>
      </c>
      <c r="AW87" t="s">
        <v>16996</v>
      </c>
      <c r="AX87" t="s">
        <v>16997</v>
      </c>
      <c r="AY87" t="s">
        <v>69</v>
      </c>
      <c r="AZ87">
        <v>2015</v>
      </c>
      <c r="BA87">
        <v>5</v>
      </c>
      <c r="BB87">
        <v>1</v>
      </c>
      <c r="BC87" t="s">
        <v>69</v>
      </c>
      <c r="BD87" t="s">
        <v>69</v>
      </c>
      <c r="BE87" t="s">
        <v>69</v>
      </c>
      <c r="BF87" t="s">
        <v>69</v>
      </c>
      <c r="BG87">
        <v>4</v>
      </c>
      <c r="BH87">
        <v>21</v>
      </c>
      <c r="BI87" t="s">
        <v>69</v>
      </c>
      <c r="BJ87" t="s">
        <v>3083</v>
      </c>
      <c r="BK87" t="str">
        <f>HYPERLINK("http://dx.doi.org/10.1108/BEPAM-07-2013-0023","http://dx.doi.org/10.1108/BEPAM-07-2013-0023")</f>
        <v>http://dx.doi.org/10.1108/BEPAM-07-2013-0023</v>
      </c>
      <c r="BL87" t="s">
        <v>69</v>
      </c>
      <c r="BM87" t="s">
        <v>69</v>
      </c>
      <c r="BN87">
        <v>18</v>
      </c>
      <c r="BO87" t="s">
        <v>13537</v>
      </c>
      <c r="BP87" t="s">
        <v>8573</v>
      </c>
      <c r="BQ87" t="s">
        <v>8445</v>
      </c>
      <c r="BR87" t="s">
        <v>23049</v>
      </c>
      <c r="BS87" t="s">
        <v>3084</v>
      </c>
      <c r="BT87" t="s">
        <v>69</v>
      </c>
      <c r="BU87" t="s">
        <v>69</v>
      </c>
      <c r="BV87" t="s">
        <v>69</v>
      </c>
      <c r="BW87" t="s">
        <v>69</v>
      </c>
      <c r="BX87" t="s">
        <v>8526</v>
      </c>
      <c r="BY87" t="str">
        <f>HYPERLINK("https%3A%2F%2Fwww.webofscience.com%2Fwos%2Fwoscc%2Ffull-record%2FWOS:000359444700001","View Full Record in Web of Science")</f>
        <v>View Full Record in Web of Science</v>
      </c>
    </row>
    <row r="88" spans="1:77" ht="12.5" x14ac:dyDescent="0.25">
      <c r="A88" t="s">
        <v>8495</v>
      </c>
      <c r="B88" s="22" t="s">
        <v>32931</v>
      </c>
      <c r="C88" s="7"/>
      <c r="D88" s="7"/>
      <c r="E88" s="7"/>
      <c r="F88" t="s">
        <v>67</v>
      </c>
      <c r="G88" t="s">
        <v>9488</v>
      </c>
      <c r="H88" t="s">
        <v>69</v>
      </c>
      <c r="I88" t="s">
        <v>69</v>
      </c>
      <c r="J88" t="s">
        <v>69</v>
      </c>
      <c r="K88" t="s">
        <v>9489</v>
      </c>
      <c r="L88" t="s">
        <v>69</v>
      </c>
      <c r="M88" t="s">
        <v>69</v>
      </c>
      <c r="N88" t="s">
        <v>9490</v>
      </c>
      <c r="O88" t="s">
        <v>9491</v>
      </c>
      <c r="P88" t="s">
        <v>69</v>
      </c>
      <c r="Q88" t="s">
        <v>69</v>
      </c>
      <c r="R88" t="s">
        <v>8505</v>
      </c>
      <c r="S88" t="s">
        <v>8506</v>
      </c>
      <c r="T88" t="s">
        <v>69</v>
      </c>
      <c r="U88" t="s">
        <v>69</v>
      </c>
      <c r="V88" t="s">
        <v>69</v>
      </c>
      <c r="W88" t="s">
        <v>69</v>
      </c>
      <c r="X88" t="s">
        <v>69</v>
      </c>
      <c r="Y88" t="s">
        <v>9492</v>
      </c>
      <c r="Z88" t="s">
        <v>9493</v>
      </c>
      <c r="AA88" t="s">
        <v>9494</v>
      </c>
      <c r="AB88" t="s">
        <v>9495</v>
      </c>
      <c r="AC88" t="s">
        <v>69</v>
      </c>
      <c r="AD88" t="s">
        <v>9496</v>
      </c>
      <c r="AE88" t="s">
        <v>9497</v>
      </c>
      <c r="AF88" t="s">
        <v>69</v>
      </c>
      <c r="AG88" t="s">
        <v>9498</v>
      </c>
      <c r="AH88" t="s">
        <v>9499</v>
      </c>
      <c r="AI88" t="s">
        <v>9499</v>
      </c>
      <c r="AJ88" t="s">
        <v>9500</v>
      </c>
      <c r="AK88" t="s">
        <v>69</v>
      </c>
      <c r="AL88">
        <v>25</v>
      </c>
      <c r="AM88">
        <v>0</v>
      </c>
      <c r="AN88">
        <v>0</v>
      </c>
      <c r="AO88">
        <v>0</v>
      </c>
      <c r="AP88">
        <v>0</v>
      </c>
      <c r="AQ88" t="s">
        <v>8846</v>
      </c>
      <c r="AR88" t="s">
        <v>8847</v>
      </c>
      <c r="AS88" t="s">
        <v>8848</v>
      </c>
      <c r="AT88" t="s">
        <v>9501</v>
      </c>
      <c r="AU88" t="s">
        <v>9502</v>
      </c>
      <c r="AV88" t="s">
        <v>69</v>
      </c>
      <c r="AW88" t="s">
        <v>9503</v>
      </c>
      <c r="AX88" t="s">
        <v>9504</v>
      </c>
      <c r="AY88" t="s">
        <v>586</v>
      </c>
      <c r="AZ88">
        <v>2022</v>
      </c>
      <c r="BA88">
        <v>30</v>
      </c>
      <c r="BB88">
        <v>4</v>
      </c>
      <c r="BC88" t="s">
        <v>69</v>
      </c>
      <c r="BD88" t="s">
        <v>69</v>
      </c>
      <c r="BE88" t="s">
        <v>69</v>
      </c>
      <c r="BF88" t="s">
        <v>69</v>
      </c>
      <c r="BG88">
        <v>1053</v>
      </c>
      <c r="BH88">
        <v>1060</v>
      </c>
      <c r="BI88" t="s">
        <v>69</v>
      </c>
      <c r="BJ88" t="s">
        <v>9505</v>
      </c>
      <c r="BK88" t="str">
        <f>HYPERLINK("http://dx.doi.org/10.1111/jonm.13602","http://dx.doi.org/10.1111/jonm.13602")</f>
        <v>http://dx.doi.org/10.1111/jonm.13602</v>
      </c>
      <c r="BL88" t="s">
        <v>69</v>
      </c>
      <c r="BM88" t="s">
        <v>9485</v>
      </c>
      <c r="BN88">
        <v>8</v>
      </c>
      <c r="BO88" t="s">
        <v>9506</v>
      </c>
      <c r="BP88" t="s">
        <v>8523</v>
      </c>
      <c r="BQ88" t="s">
        <v>9507</v>
      </c>
      <c r="BR88" t="s">
        <v>9508</v>
      </c>
      <c r="BS88" t="s">
        <v>9509</v>
      </c>
      <c r="BT88">
        <v>35307900</v>
      </c>
      <c r="BU88" t="s">
        <v>8622</v>
      </c>
      <c r="BV88" t="s">
        <v>69</v>
      </c>
      <c r="BW88" t="s">
        <v>69</v>
      </c>
      <c r="BX88" t="s">
        <v>8526</v>
      </c>
      <c r="BY88" t="str">
        <f>HYPERLINK("https%3A%2F%2Fwww.webofscience.com%2Fwos%2Fwoscc%2Ffull-record%2FWOS:000773267100001","View Full Record in Web of Science")</f>
        <v>View Full Record in Web of Science</v>
      </c>
    </row>
    <row r="89" spans="1:77" ht="12.5" x14ac:dyDescent="0.25">
      <c r="A89" t="s">
        <v>8495</v>
      </c>
      <c r="B89" s="22" t="s">
        <v>32931</v>
      </c>
      <c r="C89" s="7"/>
      <c r="D89" s="7"/>
      <c r="E89" s="7"/>
      <c r="F89" t="s">
        <v>67</v>
      </c>
      <c r="G89" t="s">
        <v>17375</v>
      </c>
      <c r="H89" t="s">
        <v>69</v>
      </c>
      <c r="I89" t="s">
        <v>69</v>
      </c>
      <c r="J89" t="s">
        <v>69</v>
      </c>
      <c r="K89" t="s">
        <v>17376</v>
      </c>
      <c r="L89" t="s">
        <v>69</v>
      </c>
      <c r="M89" t="s">
        <v>69</v>
      </c>
      <c r="N89" t="s">
        <v>17377</v>
      </c>
      <c r="O89" t="s">
        <v>17378</v>
      </c>
      <c r="P89" t="s">
        <v>69</v>
      </c>
      <c r="Q89" t="s">
        <v>69</v>
      </c>
      <c r="R89" t="s">
        <v>8505</v>
      </c>
      <c r="S89" t="s">
        <v>8506</v>
      </c>
      <c r="T89" t="s">
        <v>69</v>
      </c>
      <c r="U89" t="s">
        <v>69</v>
      </c>
      <c r="V89" t="s">
        <v>69</v>
      </c>
      <c r="W89" t="s">
        <v>69</v>
      </c>
      <c r="X89" t="s">
        <v>69</v>
      </c>
      <c r="Y89" t="s">
        <v>17379</v>
      </c>
      <c r="Z89" t="s">
        <v>17380</v>
      </c>
      <c r="AA89" t="s">
        <v>17381</v>
      </c>
      <c r="AB89" t="s">
        <v>17382</v>
      </c>
      <c r="AC89" t="s">
        <v>69</v>
      </c>
      <c r="AD89" t="s">
        <v>17383</v>
      </c>
      <c r="AE89" t="s">
        <v>17384</v>
      </c>
      <c r="AF89" t="s">
        <v>69</v>
      </c>
      <c r="AG89" t="s">
        <v>69</v>
      </c>
      <c r="AH89" t="s">
        <v>69</v>
      </c>
      <c r="AI89" t="s">
        <v>69</v>
      </c>
      <c r="AJ89" t="s">
        <v>69</v>
      </c>
      <c r="AK89" t="s">
        <v>69</v>
      </c>
      <c r="AL89">
        <v>40</v>
      </c>
      <c r="AM89">
        <v>2</v>
      </c>
      <c r="AN89">
        <v>2</v>
      </c>
      <c r="AO89">
        <v>0</v>
      </c>
      <c r="AP89">
        <v>1</v>
      </c>
      <c r="AQ89" t="s">
        <v>9554</v>
      </c>
      <c r="AR89" t="s">
        <v>9555</v>
      </c>
      <c r="AS89" t="s">
        <v>9556</v>
      </c>
      <c r="AT89" t="s">
        <v>17385</v>
      </c>
      <c r="AU89" t="s">
        <v>17386</v>
      </c>
      <c r="AV89" t="s">
        <v>69</v>
      </c>
      <c r="AW89" t="s">
        <v>17387</v>
      </c>
      <c r="AX89" t="s">
        <v>17388</v>
      </c>
      <c r="AY89" t="s">
        <v>246</v>
      </c>
      <c r="AZ89">
        <v>2019</v>
      </c>
      <c r="BA89">
        <v>4</v>
      </c>
      <c r="BB89">
        <v>2</v>
      </c>
      <c r="BC89" t="s">
        <v>69</v>
      </c>
      <c r="BD89" t="s">
        <v>69</v>
      </c>
      <c r="BE89" t="s">
        <v>69</v>
      </c>
      <c r="BF89" t="s">
        <v>69</v>
      </c>
      <c r="BG89">
        <v>187</v>
      </c>
      <c r="BH89">
        <v>195</v>
      </c>
      <c r="BI89" t="s">
        <v>69</v>
      </c>
      <c r="BJ89" t="s">
        <v>17389</v>
      </c>
      <c r="BK89" t="str">
        <f>HYPERLINK("http://dx.doi.org/10.1177/2380084418815458","http://dx.doi.org/10.1177/2380084418815458")</f>
        <v>http://dx.doi.org/10.1177/2380084418815458</v>
      </c>
      <c r="BL89" t="s">
        <v>69</v>
      </c>
      <c r="BM89" t="s">
        <v>69</v>
      </c>
      <c r="BN89">
        <v>9</v>
      </c>
      <c r="BO89" t="s">
        <v>17390</v>
      </c>
      <c r="BP89" t="s">
        <v>8573</v>
      </c>
      <c r="BQ89" t="s">
        <v>17390</v>
      </c>
      <c r="BR89" t="s">
        <v>17391</v>
      </c>
      <c r="BS89" t="s">
        <v>17392</v>
      </c>
      <c r="BT89">
        <v>30931706</v>
      </c>
      <c r="BU89" t="s">
        <v>69</v>
      </c>
      <c r="BV89" t="s">
        <v>69</v>
      </c>
      <c r="BW89" t="s">
        <v>69</v>
      </c>
      <c r="BX89" t="s">
        <v>8526</v>
      </c>
      <c r="BY89" t="str">
        <f>HYPERLINK("https%3A%2F%2Fwww.webofscience.com%2Fwos%2Fwoscc%2Ffull-record%2FWOS:000489598100011","View Full Record in Web of Science")</f>
        <v>View Full Record in Web of Science</v>
      </c>
    </row>
    <row r="90" spans="1:77" ht="12.5" x14ac:dyDescent="0.25">
      <c r="A90" t="s">
        <v>8495</v>
      </c>
      <c r="B90" s="7" t="s">
        <v>32933</v>
      </c>
      <c r="C90" s="7"/>
      <c r="D90" s="7"/>
      <c r="E90" s="7"/>
      <c r="F90" t="s">
        <v>67</v>
      </c>
      <c r="G90" t="s">
        <v>4095</v>
      </c>
      <c r="H90" t="s">
        <v>69</v>
      </c>
      <c r="I90" t="s">
        <v>69</v>
      </c>
      <c r="J90" t="s">
        <v>69</v>
      </c>
      <c r="K90" t="s">
        <v>4095</v>
      </c>
      <c r="L90" t="s">
        <v>69</v>
      </c>
      <c r="M90" t="s">
        <v>69</v>
      </c>
      <c r="N90" t="s">
        <v>4096</v>
      </c>
      <c r="O90" t="s">
        <v>4097</v>
      </c>
      <c r="P90" t="s">
        <v>69</v>
      </c>
      <c r="Q90" t="s">
        <v>69</v>
      </c>
      <c r="R90" t="s">
        <v>8505</v>
      </c>
      <c r="S90" t="s">
        <v>8506</v>
      </c>
      <c r="T90" t="s">
        <v>69</v>
      </c>
      <c r="U90" t="s">
        <v>69</v>
      </c>
      <c r="V90" t="s">
        <v>69</v>
      </c>
      <c r="W90" t="s">
        <v>69</v>
      </c>
      <c r="X90" t="s">
        <v>69</v>
      </c>
      <c r="Y90" t="s">
        <v>31615</v>
      </c>
      <c r="Z90" t="s">
        <v>31616</v>
      </c>
      <c r="AA90" t="s">
        <v>4098</v>
      </c>
      <c r="AB90" t="s">
        <v>31617</v>
      </c>
      <c r="AC90" t="s">
        <v>69</v>
      </c>
      <c r="AD90" t="s">
        <v>31618</v>
      </c>
      <c r="AE90" t="s">
        <v>69</v>
      </c>
      <c r="AF90" t="s">
        <v>69</v>
      </c>
      <c r="AG90" t="s">
        <v>69</v>
      </c>
      <c r="AH90" t="s">
        <v>69</v>
      </c>
      <c r="AI90" t="s">
        <v>69</v>
      </c>
      <c r="AJ90" t="s">
        <v>69</v>
      </c>
      <c r="AK90" t="s">
        <v>69</v>
      </c>
      <c r="AL90">
        <v>23</v>
      </c>
      <c r="AM90">
        <v>15</v>
      </c>
      <c r="AN90">
        <v>15</v>
      </c>
      <c r="AO90">
        <v>1</v>
      </c>
      <c r="AP90">
        <v>23</v>
      </c>
      <c r="AQ90" t="s">
        <v>31619</v>
      </c>
      <c r="AR90" t="s">
        <v>31620</v>
      </c>
      <c r="AS90" t="s">
        <v>31621</v>
      </c>
      <c r="AT90" t="s">
        <v>4099</v>
      </c>
      <c r="AU90" t="s">
        <v>69</v>
      </c>
      <c r="AV90" t="s">
        <v>69</v>
      </c>
      <c r="AW90" t="s">
        <v>19769</v>
      </c>
      <c r="AX90" t="s">
        <v>19770</v>
      </c>
      <c r="AY90" t="s">
        <v>94</v>
      </c>
      <c r="AZ90">
        <v>2001</v>
      </c>
      <c r="BA90">
        <v>17</v>
      </c>
      <c r="BB90">
        <v>1</v>
      </c>
      <c r="BC90" t="s">
        <v>69</v>
      </c>
      <c r="BD90" t="s">
        <v>69</v>
      </c>
      <c r="BE90" t="s">
        <v>69</v>
      </c>
      <c r="BF90" t="s">
        <v>69</v>
      </c>
      <c r="BG90">
        <v>48</v>
      </c>
      <c r="BH90">
        <v>56</v>
      </c>
      <c r="BI90" t="s">
        <v>69</v>
      </c>
      <c r="BJ90" t="s">
        <v>69</v>
      </c>
      <c r="BK90" t="s">
        <v>69</v>
      </c>
      <c r="BL90" t="s">
        <v>69</v>
      </c>
      <c r="BM90" t="s">
        <v>69</v>
      </c>
      <c r="BN90">
        <v>9</v>
      </c>
      <c r="BO90" t="s">
        <v>17154</v>
      </c>
      <c r="BP90" t="s">
        <v>8548</v>
      </c>
      <c r="BQ90" t="s">
        <v>8450</v>
      </c>
      <c r="BR90" t="s">
        <v>31622</v>
      </c>
      <c r="BS90" t="s">
        <v>4100</v>
      </c>
      <c r="BT90" t="s">
        <v>69</v>
      </c>
      <c r="BU90" t="s">
        <v>69</v>
      </c>
      <c r="BV90" t="s">
        <v>69</v>
      </c>
      <c r="BW90" t="s">
        <v>69</v>
      </c>
      <c r="BX90" t="s">
        <v>8526</v>
      </c>
      <c r="BY90" t="str">
        <f>HYPERLINK("https%3A%2F%2Fwww.webofscience.com%2Fwos%2Fwoscc%2Ffull-record%2FWOS:000168473200007","View Full Record in Web of Science")</f>
        <v>View Full Record in Web of Science</v>
      </c>
    </row>
    <row r="91" spans="1:77" ht="12.5" x14ac:dyDescent="0.25">
      <c r="A91" t="s">
        <v>8495</v>
      </c>
      <c r="B91" s="7" t="s">
        <v>32933</v>
      </c>
      <c r="C91" s="7"/>
      <c r="D91" s="7"/>
      <c r="E91" s="7"/>
      <c r="F91" t="s">
        <v>67</v>
      </c>
      <c r="G91" t="s">
        <v>2129</v>
      </c>
      <c r="H91" t="s">
        <v>69</v>
      </c>
      <c r="I91" t="s">
        <v>69</v>
      </c>
      <c r="J91" t="s">
        <v>69</v>
      </c>
      <c r="K91" t="s">
        <v>2130</v>
      </c>
      <c r="L91" t="s">
        <v>69</v>
      </c>
      <c r="M91" t="s">
        <v>69</v>
      </c>
      <c r="N91" t="s">
        <v>2131</v>
      </c>
      <c r="O91" t="s">
        <v>352</v>
      </c>
      <c r="P91" t="s">
        <v>69</v>
      </c>
      <c r="Q91" t="s">
        <v>69</v>
      </c>
      <c r="R91" t="s">
        <v>8505</v>
      </c>
      <c r="S91" t="s">
        <v>8442</v>
      </c>
      <c r="T91" t="s">
        <v>69</v>
      </c>
      <c r="U91" t="s">
        <v>69</v>
      </c>
      <c r="V91" t="s">
        <v>69</v>
      </c>
      <c r="W91" t="s">
        <v>69</v>
      </c>
      <c r="X91" t="s">
        <v>69</v>
      </c>
      <c r="Y91" t="s">
        <v>16657</v>
      </c>
      <c r="Z91" t="s">
        <v>16658</v>
      </c>
      <c r="AA91" t="s">
        <v>2132</v>
      </c>
      <c r="AB91" t="s">
        <v>16659</v>
      </c>
      <c r="AC91" t="s">
        <v>69</v>
      </c>
      <c r="AD91" t="s">
        <v>16660</v>
      </c>
      <c r="AE91" t="s">
        <v>16661</v>
      </c>
      <c r="AF91" t="s">
        <v>2133</v>
      </c>
      <c r="AG91" t="s">
        <v>2134</v>
      </c>
      <c r="AH91" t="s">
        <v>16662</v>
      </c>
      <c r="AI91" t="s">
        <v>69</v>
      </c>
      <c r="AJ91" t="s">
        <v>16663</v>
      </c>
      <c r="AK91" t="s">
        <v>69</v>
      </c>
      <c r="AL91">
        <v>146</v>
      </c>
      <c r="AM91">
        <v>23</v>
      </c>
      <c r="AN91">
        <v>23</v>
      </c>
      <c r="AO91">
        <v>38</v>
      </c>
      <c r="AP91">
        <v>128</v>
      </c>
      <c r="AQ91" t="s">
        <v>8924</v>
      </c>
      <c r="AR91" t="s">
        <v>8925</v>
      </c>
      <c r="AS91" t="s">
        <v>8926</v>
      </c>
      <c r="AT91" t="s">
        <v>69</v>
      </c>
      <c r="AU91" t="s">
        <v>354</v>
      </c>
      <c r="AV91" t="s">
        <v>69</v>
      </c>
      <c r="AW91" t="s">
        <v>8958</v>
      </c>
      <c r="AX91" t="s">
        <v>8434</v>
      </c>
      <c r="AY91" t="s">
        <v>904</v>
      </c>
      <c r="AZ91">
        <v>2019</v>
      </c>
      <c r="BA91">
        <v>11</v>
      </c>
      <c r="BB91">
        <v>19</v>
      </c>
      <c r="BC91" t="s">
        <v>69</v>
      </c>
      <c r="BD91" t="s">
        <v>69</v>
      </c>
      <c r="BE91" t="s">
        <v>69</v>
      </c>
      <c r="BF91" t="s">
        <v>69</v>
      </c>
      <c r="BG91" t="s">
        <v>69</v>
      </c>
      <c r="BH91" t="s">
        <v>69</v>
      </c>
      <c r="BI91">
        <v>5385</v>
      </c>
      <c r="BJ91" t="s">
        <v>2135</v>
      </c>
      <c r="BK91" t="str">
        <f>HYPERLINK("http://dx.doi.org/10.3390/su11195385","http://dx.doi.org/10.3390/su11195385")</f>
        <v>http://dx.doi.org/10.3390/su11195385</v>
      </c>
      <c r="BL91" t="s">
        <v>69</v>
      </c>
      <c r="BM91" t="s">
        <v>69</v>
      </c>
      <c r="BN91">
        <v>29</v>
      </c>
      <c r="BO91" t="s">
        <v>8960</v>
      </c>
      <c r="BP91" t="s">
        <v>8523</v>
      </c>
      <c r="BQ91" t="s">
        <v>8961</v>
      </c>
      <c r="BR91" t="s">
        <v>16656</v>
      </c>
      <c r="BS91" t="s">
        <v>2136</v>
      </c>
      <c r="BT91" t="s">
        <v>69</v>
      </c>
      <c r="BU91" t="s">
        <v>12220</v>
      </c>
      <c r="BV91" t="s">
        <v>69</v>
      </c>
      <c r="BW91" t="s">
        <v>69</v>
      </c>
      <c r="BX91" t="s">
        <v>8526</v>
      </c>
      <c r="BY91" t="str">
        <f>HYPERLINK("https%3A%2F%2Fwww.webofscience.com%2Fwos%2Fwoscc%2Ffull-record%2FWOS:000493525500244","View Full Record in Web of Science")</f>
        <v>View Full Record in Web of Science</v>
      </c>
    </row>
    <row r="92" spans="1:77" x14ac:dyDescent="0.3">
      <c r="A92" t="s">
        <v>8495</v>
      </c>
      <c r="B92" s="12" t="s">
        <v>32939</v>
      </c>
      <c r="F92" t="s">
        <v>67</v>
      </c>
      <c r="G92" t="s">
        <v>6722</v>
      </c>
      <c r="H92" t="s">
        <v>69</v>
      </c>
      <c r="I92" t="s">
        <v>69</v>
      </c>
      <c r="J92" t="s">
        <v>69</v>
      </c>
      <c r="K92" s="3" t="s">
        <v>6723</v>
      </c>
      <c r="L92" t="s">
        <v>69</v>
      </c>
      <c r="M92" t="s">
        <v>69</v>
      </c>
      <c r="N92" s="2" t="s">
        <v>6724</v>
      </c>
      <c r="O92" t="s">
        <v>6725</v>
      </c>
      <c r="P92" t="s">
        <v>69</v>
      </c>
      <c r="Q92" t="s">
        <v>69</v>
      </c>
      <c r="R92" t="s">
        <v>8505</v>
      </c>
      <c r="S92" t="s">
        <v>8506</v>
      </c>
      <c r="T92" t="s">
        <v>69</v>
      </c>
      <c r="U92" t="s">
        <v>69</v>
      </c>
      <c r="V92" t="s">
        <v>69</v>
      </c>
      <c r="W92" t="s">
        <v>69</v>
      </c>
      <c r="X92" t="s">
        <v>69</v>
      </c>
      <c r="Y92" t="s">
        <v>25312</v>
      </c>
      <c r="Z92" t="s">
        <v>25313</v>
      </c>
      <c r="AA92" t="s">
        <v>6726</v>
      </c>
      <c r="AB92" t="s">
        <v>25314</v>
      </c>
      <c r="AC92" t="s">
        <v>69</v>
      </c>
      <c r="AD92" t="s">
        <v>25315</v>
      </c>
      <c r="AE92" t="s">
        <v>25316</v>
      </c>
      <c r="AF92" t="s">
        <v>25317</v>
      </c>
      <c r="AG92" t="s">
        <v>25318</v>
      </c>
      <c r="AH92" t="s">
        <v>69</v>
      </c>
      <c r="AI92" t="s">
        <v>69</v>
      </c>
      <c r="AJ92" t="s">
        <v>69</v>
      </c>
      <c r="AK92" t="s">
        <v>69</v>
      </c>
      <c r="AL92">
        <v>37</v>
      </c>
      <c r="AM92">
        <v>25</v>
      </c>
      <c r="AN92">
        <v>26</v>
      </c>
      <c r="AO92">
        <v>1</v>
      </c>
      <c r="AP92">
        <v>35</v>
      </c>
      <c r="AQ92" t="s">
        <v>8586</v>
      </c>
      <c r="AR92" t="s">
        <v>8587</v>
      </c>
      <c r="AS92" t="s">
        <v>8588</v>
      </c>
      <c r="AT92" t="s">
        <v>6727</v>
      </c>
      <c r="AU92" t="s">
        <v>6728</v>
      </c>
      <c r="AV92" t="s">
        <v>69</v>
      </c>
      <c r="AW92" t="s">
        <v>25319</v>
      </c>
      <c r="AX92" t="s">
        <v>25320</v>
      </c>
      <c r="AY92" t="s">
        <v>69</v>
      </c>
      <c r="AZ92">
        <v>2013</v>
      </c>
      <c r="BA92">
        <v>51</v>
      </c>
      <c r="BB92">
        <v>3</v>
      </c>
      <c r="BC92" t="s">
        <v>69</v>
      </c>
      <c r="BD92" t="s">
        <v>69</v>
      </c>
      <c r="BE92" t="s">
        <v>69</v>
      </c>
      <c r="BF92" t="s">
        <v>69</v>
      </c>
      <c r="BG92">
        <v>566</v>
      </c>
      <c r="BH92">
        <v>593</v>
      </c>
      <c r="BI92" t="s">
        <v>69</v>
      </c>
      <c r="BJ92" t="s">
        <v>6729</v>
      </c>
      <c r="BK92" t="str">
        <f>HYPERLINK("http://dx.doi.org/10.1108/00251741311309661","http://dx.doi.org/10.1108/00251741311309661")</f>
        <v>http://dx.doi.org/10.1108/00251741311309661</v>
      </c>
      <c r="BL92" t="s">
        <v>69</v>
      </c>
      <c r="BM92" t="s">
        <v>69</v>
      </c>
      <c r="BN92">
        <v>28</v>
      </c>
      <c r="BO92" t="s">
        <v>8791</v>
      </c>
      <c r="BP92" t="s">
        <v>8661</v>
      </c>
      <c r="BQ92" t="s">
        <v>8594</v>
      </c>
      <c r="BR92" t="s">
        <v>25321</v>
      </c>
      <c r="BS92" t="s">
        <v>6730</v>
      </c>
      <c r="BT92" t="s">
        <v>69</v>
      </c>
      <c r="BU92" t="s">
        <v>69</v>
      </c>
      <c r="BV92" t="s">
        <v>69</v>
      </c>
      <c r="BW92" t="s">
        <v>69</v>
      </c>
      <c r="BX92" t="s">
        <v>8526</v>
      </c>
      <c r="BY92" t="str">
        <f>HYPERLINK("https%3A%2F%2Fwww.webofscience.com%2Fwos%2Fwoscc%2Ffull-record%2FWOS:000317797900007","View Full Record in Web of Science")</f>
        <v>View Full Record in Web of Science</v>
      </c>
    </row>
    <row r="93" spans="1:77" x14ac:dyDescent="0.3">
      <c r="A93" t="s">
        <v>8495</v>
      </c>
      <c r="B93" s="12" t="s">
        <v>33052</v>
      </c>
      <c r="F93" t="s">
        <v>67</v>
      </c>
      <c r="G93" t="s">
        <v>329</v>
      </c>
      <c r="H93" t="s">
        <v>69</v>
      </c>
      <c r="I93" t="s">
        <v>69</v>
      </c>
      <c r="J93" t="s">
        <v>69</v>
      </c>
      <c r="K93" t="s">
        <v>330</v>
      </c>
      <c r="L93" t="s">
        <v>69</v>
      </c>
      <c r="M93" t="s">
        <v>69</v>
      </c>
      <c r="N93" s="2" t="s">
        <v>331</v>
      </c>
      <c r="O93" t="s">
        <v>332</v>
      </c>
      <c r="P93" t="s">
        <v>69</v>
      </c>
      <c r="Q93" t="s">
        <v>69</v>
      </c>
      <c r="R93" t="s">
        <v>8505</v>
      </c>
      <c r="S93" t="s">
        <v>8506</v>
      </c>
      <c r="T93" t="s">
        <v>69</v>
      </c>
      <c r="U93" t="s">
        <v>69</v>
      </c>
      <c r="V93" t="s">
        <v>69</v>
      </c>
      <c r="W93" t="s">
        <v>69</v>
      </c>
      <c r="X93" t="s">
        <v>69</v>
      </c>
      <c r="Y93" t="s">
        <v>16279</v>
      </c>
      <c r="Z93" t="s">
        <v>16227</v>
      </c>
      <c r="AA93" t="s">
        <v>333</v>
      </c>
      <c r="AB93" t="s">
        <v>16280</v>
      </c>
      <c r="AC93" t="s">
        <v>69</v>
      </c>
      <c r="AD93" t="s">
        <v>16281</v>
      </c>
      <c r="AE93" t="s">
        <v>16282</v>
      </c>
      <c r="AF93" t="s">
        <v>69</v>
      </c>
      <c r="AG93" t="s">
        <v>69</v>
      </c>
      <c r="AH93" t="s">
        <v>16283</v>
      </c>
      <c r="AI93" t="s">
        <v>16283</v>
      </c>
      <c r="AJ93" t="s">
        <v>16284</v>
      </c>
      <c r="AK93" t="s">
        <v>69</v>
      </c>
      <c r="AL93">
        <v>42</v>
      </c>
      <c r="AM93">
        <v>6</v>
      </c>
      <c r="AN93">
        <v>6</v>
      </c>
      <c r="AO93">
        <v>4</v>
      </c>
      <c r="AP93">
        <v>9</v>
      </c>
      <c r="AQ93" t="s">
        <v>8586</v>
      </c>
      <c r="AR93" t="s">
        <v>8587</v>
      </c>
      <c r="AS93" t="s">
        <v>8588</v>
      </c>
      <c r="AT93" t="s">
        <v>334</v>
      </c>
      <c r="AU93" t="s">
        <v>335</v>
      </c>
      <c r="AV93" t="s">
        <v>69</v>
      </c>
      <c r="AW93" t="s">
        <v>332</v>
      </c>
      <c r="AX93" t="s">
        <v>16285</v>
      </c>
      <c r="AY93" t="s">
        <v>69</v>
      </c>
      <c r="AZ93">
        <v>2020</v>
      </c>
      <c r="BA93">
        <v>38</v>
      </c>
      <c r="BB93" t="s">
        <v>336</v>
      </c>
      <c r="BC93" t="s">
        <v>69</v>
      </c>
      <c r="BD93" t="s">
        <v>69</v>
      </c>
      <c r="BE93" t="s">
        <v>69</v>
      </c>
      <c r="BF93" t="s">
        <v>69</v>
      </c>
      <c r="BG93">
        <v>98</v>
      </c>
      <c r="BH93">
        <v>113</v>
      </c>
      <c r="BI93" t="s">
        <v>69</v>
      </c>
      <c r="BJ93" t="s">
        <v>337</v>
      </c>
      <c r="BK93" t="str">
        <f>HYPERLINK("http://dx.doi.org/10.1108/F-12-2018-0147","http://dx.doi.org/10.1108/F-12-2018-0147")</f>
        <v>http://dx.doi.org/10.1108/F-12-2018-0147</v>
      </c>
      <c r="BL93" t="s">
        <v>69</v>
      </c>
      <c r="BM93" t="s">
        <v>69</v>
      </c>
      <c r="BN93">
        <v>16</v>
      </c>
      <c r="BO93" t="s">
        <v>9410</v>
      </c>
      <c r="BP93" t="s">
        <v>8573</v>
      </c>
      <c r="BQ93" t="s">
        <v>8594</v>
      </c>
      <c r="BR93" t="s">
        <v>16286</v>
      </c>
      <c r="BS93" t="s">
        <v>338</v>
      </c>
      <c r="BT93" t="s">
        <v>69</v>
      </c>
      <c r="BU93" t="s">
        <v>69</v>
      </c>
      <c r="BV93" t="s">
        <v>69</v>
      </c>
      <c r="BW93" t="s">
        <v>69</v>
      </c>
      <c r="BX93" t="s">
        <v>8526</v>
      </c>
      <c r="BY93" t="str">
        <f>HYPERLINK("https%3A%2F%2Fwww.webofscience.com%2Fwos%2Fwoscc%2Ffull-record%2FWOS:000507569100001","View Full Record in Web of Science")</f>
        <v>View Full Record in Web of Science</v>
      </c>
    </row>
    <row r="94" spans="1:77" ht="12.5" x14ac:dyDescent="0.25">
      <c r="A94" t="s">
        <v>8495</v>
      </c>
      <c r="B94" s="22" t="s">
        <v>32931</v>
      </c>
      <c r="C94" s="7"/>
      <c r="D94" s="7"/>
      <c r="E94" s="7"/>
      <c r="F94" t="s">
        <v>67</v>
      </c>
      <c r="G94" t="s">
        <v>8700</v>
      </c>
      <c r="H94" t="s">
        <v>69</v>
      </c>
      <c r="I94" t="s">
        <v>69</v>
      </c>
      <c r="J94" t="s">
        <v>69</v>
      </c>
      <c r="K94" t="s">
        <v>8701</v>
      </c>
      <c r="L94" t="s">
        <v>69</v>
      </c>
      <c r="M94" t="s">
        <v>69</v>
      </c>
      <c r="N94" t="s">
        <v>8702</v>
      </c>
      <c r="O94" t="s">
        <v>632</v>
      </c>
      <c r="P94" t="s">
        <v>69</v>
      </c>
      <c r="Q94" t="s">
        <v>69</v>
      </c>
      <c r="R94" t="s">
        <v>8505</v>
      </c>
      <c r="S94" t="s">
        <v>8442</v>
      </c>
      <c r="T94" t="s">
        <v>69</v>
      </c>
      <c r="U94" t="s">
        <v>69</v>
      </c>
      <c r="V94" t="s">
        <v>69</v>
      </c>
      <c r="W94" t="s">
        <v>69</v>
      </c>
      <c r="X94" t="s">
        <v>69</v>
      </c>
      <c r="Y94" t="s">
        <v>8703</v>
      </c>
      <c r="Z94" t="s">
        <v>8704</v>
      </c>
      <c r="AA94" t="s">
        <v>8705</v>
      </c>
      <c r="AB94" t="s">
        <v>8706</v>
      </c>
      <c r="AC94" t="s">
        <v>69</v>
      </c>
      <c r="AD94" t="s">
        <v>8707</v>
      </c>
      <c r="AE94" t="s">
        <v>8708</v>
      </c>
      <c r="AF94" t="s">
        <v>8709</v>
      </c>
      <c r="AG94" t="s">
        <v>8710</v>
      </c>
      <c r="AH94" t="s">
        <v>8711</v>
      </c>
      <c r="AI94" t="s">
        <v>8712</v>
      </c>
      <c r="AJ94" t="s">
        <v>8713</v>
      </c>
      <c r="AK94" t="s">
        <v>69</v>
      </c>
      <c r="AL94">
        <v>94</v>
      </c>
      <c r="AM94">
        <v>0</v>
      </c>
      <c r="AN94">
        <v>0</v>
      </c>
      <c r="AO94">
        <v>12</v>
      </c>
      <c r="AP94">
        <v>12</v>
      </c>
      <c r="AQ94" t="s">
        <v>8516</v>
      </c>
      <c r="AR94" t="s">
        <v>8517</v>
      </c>
      <c r="AS94" t="s">
        <v>8518</v>
      </c>
      <c r="AT94" t="s">
        <v>634</v>
      </c>
      <c r="AU94" t="s">
        <v>635</v>
      </c>
      <c r="AV94" t="s">
        <v>69</v>
      </c>
      <c r="AW94" t="s">
        <v>8714</v>
      </c>
      <c r="AX94" t="s">
        <v>8715</v>
      </c>
      <c r="AY94" t="s">
        <v>2216</v>
      </c>
      <c r="AZ94">
        <v>2022</v>
      </c>
      <c r="BA94">
        <v>828</v>
      </c>
      <c r="BB94" t="s">
        <v>69</v>
      </c>
      <c r="BC94" t="s">
        <v>69</v>
      </c>
      <c r="BD94" t="s">
        <v>69</v>
      </c>
      <c r="BE94" t="s">
        <v>69</v>
      </c>
      <c r="BF94" t="s">
        <v>69</v>
      </c>
      <c r="BG94" t="s">
        <v>69</v>
      </c>
      <c r="BH94" t="s">
        <v>69</v>
      </c>
      <c r="BI94">
        <v>154523</v>
      </c>
      <c r="BJ94" t="s">
        <v>8716</v>
      </c>
      <c r="BK94" t="str">
        <f>HYPERLINK("http://dx.doi.org/10.1016/j.scitotenv.2022.154523","http://dx.doi.org/10.1016/j.scitotenv.2022.154523")</f>
        <v>http://dx.doi.org/10.1016/j.scitotenv.2022.154523</v>
      </c>
      <c r="BL94" t="s">
        <v>69</v>
      </c>
      <c r="BM94" t="s">
        <v>69</v>
      </c>
      <c r="BN94">
        <v>12</v>
      </c>
      <c r="BO94" t="s">
        <v>8717</v>
      </c>
      <c r="BP94" t="s">
        <v>8523</v>
      </c>
      <c r="BQ94" t="s">
        <v>8662</v>
      </c>
      <c r="BR94" t="s">
        <v>8718</v>
      </c>
      <c r="BS94" t="s">
        <v>8719</v>
      </c>
      <c r="BT94">
        <v>35292319</v>
      </c>
      <c r="BU94" t="s">
        <v>69</v>
      </c>
      <c r="BV94" t="s">
        <v>69</v>
      </c>
      <c r="BW94" t="s">
        <v>69</v>
      </c>
      <c r="BX94" t="s">
        <v>8526</v>
      </c>
      <c r="BY94" t="str">
        <f>HYPERLINK("https%3A%2F%2Fwww.webofscience.com%2Fwos%2Fwoscc%2Ffull-record%2FWOS:000790382800014","View Full Record in Web of Science")</f>
        <v>View Full Record in Web of Science</v>
      </c>
    </row>
    <row r="95" spans="1:77" ht="12.5" x14ac:dyDescent="0.25">
      <c r="A95" t="s">
        <v>8495</v>
      </c>
      <c r="B95" s="7" t="s">
        <v>32933</v>
      </c>
      <c r="C95" s="7"/>
      <c r="D95" s="7"/>
      <c r="E95" s="7"/>
      <c r="F95" t="s">
        <v>67</v>
      </c>
      <c r="G95" t="s">
        <v>7109</v>
      </c>
      <c r="H95" t="s">
        <v>69</v>
      </c>
      <c r="I95" t="s">
        <v>69</v>
      </c>
      <c r="J95" t="s">
        <v>69</v>
      </c>
      <c r="K95" t="s">
        <v>7110</v>
      </c>
      <c r="L95" t="s">
        <v>69</v>
      </c>
      <c r="M95" t="s">
        <v>69</v>
      </c>
      <c r="N95" t="s">
        <v>7111</v>
      </c>
      <c r="O95" t="s">
        <v>436</v>
      </c>
      <c r="P95" t="s">
        <v>69</v>
      </c>
      <c r="Q95" t="s">
        <v>69</v>
      </c>
      <c r="R95" t="s">
        <v>8505</v>
      </c>
      <c r="S95" t="s">
        <v>8442</v>
      </c>
      <c r="T95" t="s">
        <v>69</v>
      </c>
      <c r="U95" t="s">
        <v>69</v>
      </c>
      <c r="V95" t="s">
        <v>69</v>
      </c>
      <c r="W95" t="s">
        <v>69</v>
      </c>
      <c r="X95" t="s">
        <v>69</v>
      </c>
      <c r="Y95" t="s">
        <v>17581</v>
      </c>
      <c r="Z95" t="s">
        <v>17582</v>
      </c>
      <c r="AA95" t="s">
        <v>7112</v>
      </c>
      <c r="AB95" t="s">
        <v>17583</v>
      </c>
      <c r="AC95" t="s">
        <v>69</v>
      </c>
      <c r="AD95" t="s">
        <v>17584</v>
      </c>
      <c r="AE95" t="s">
        <v>17585</v>
      </c>
      <c r="AF95" t="s">
        <v>7113</v>
      </c>
      <c r="AG95" t="s">
        <v>17586</v>
      </c>
      <c r="AH95" t="s">
        <v>69</v>
      </c>
      <c r="AI95" t="s">
        <v>69</v>
      </c>
      <c r="AJ95" t="s">
        <v>69</v>
      </c>
      <c r="AK95" t="s">
        <v>69</v>
      </c>
      <c r="AL95">
        <v>120</v>
      </c>
      <c r="AM95">
        <v>240</v>
      </c>
      <c r="AN95">
        <v>243</v>
      </c>
      <c r="AO95">
        <v>32</v>
      </c>
      <c r="AP95">
        <v>217</v>
      </c>
      <c r="AQ95" t="s">
        <v>8636</v>
      </c>
      <c r="AR95" t="s">
        <v>8637</v>
      </c>
      <c r="AS95" t="s">
        <v>8638</v>
      </c>
      <c r="AT95" t="s">
        <v>440</v>
      </c>
      <c r="AU95" t="s">
        <v>441</v>
      </c>
      <c r="AV95" t="s">
        <v>69</v>
      </c>
      <c r="AW95" t="s">
        <v>8639</v>
      </c>
      <c r="AX95" t="s">
        <v>8640</v>
      </c>
      <c r="AY95" t="s">
        <v>6297</v>
      </c>
      <c r="AZ95">
        <v>2019</v>
      </c>
      <c r="BA95">
        <v>207</v>
      </c>
      <c r="BB95" t="s">
        <v>69</v>
      </c>
      <c r="BC95" t="s">
        <v>69</v>
      </c>
      <c r="BD95" t="s">
        <v>69</v>
      </c>
      <c r="BE95" t="s">
        <v>69</v>
      </c>
      <c r="BF95" t="s">
        <v>69</v>
      </c>
      <c r="BG95">
        <v>542</v>
      </c>
      <c r="BH95">
        <v>559</v>
      </c>
      <c r="BI95" t="s">
        <v>69</v>
      </c>
      <c r="BJ95" t="s">
        <v>7114</v>
      </c>
      <c r="BK95" t="str">
        <f>HYPERLINK("http://dx.doi.org/10.1016/j.jclepro.2018.10.014","http://dx.doi.org/10.1016/j.jclepro.2018.10.014")</f>
        <v>http://dx.doi.org/10.1016/j.jclepro.2018.10.014</v>
      </c>
      <c r="BL95" t="s">
        <v>69</v>
      </c>
      <c r="BM95" t="s">
        <v>69</v>
      </c>
      <c r="BN95">
        <v>18</v>
      </c>
      <c r="BO95" t="s">
        <v>8643</v>
      </c>
      <c r="BP95" t="s">
        <v>8548</v>
      </c>
      <c r="BQ95" t="s">
        <v>8644</v>
      </c>
      <c r="BR95" t="s">
        <v>17587</v>
      </c>
      <c r="BS95" t="s">
        <v>7115</v>
      </c>
      <c r="BT95" t="s">
        <v>69</v>
      </c>
      <c r="BU95" t="s">
        <v>10995</v>
      </c>
      <c r="BV95" t="s">
        <v>15211</v>
      </c>
      <c r="BW95" t="s">
        <v>15212</v>
      </c>
      <c r="BX95" t="s">
        <v>8526</v>
      </c>
      <c r="BY95" t="str">
        <f>HYPERLINK("https%3A%2F%2Fwww.webofscience.com%2Fwos%2Fwoscc%2Ffull-record%2FWOS:000451105200046","View Full Record in Web of Science")</f>
        <v>View Full Record in Web of Science</v>
      </c>
    </row>
    <row r="96" spans="1:77" ht="12.5" x14ac:dyDescent="0.25">
      <c r="A96" t="s">
        <v>8495</v>
      </c>
      <c r="B96" s="22" t="s">
        <v>32931</v>
      </c>
      <c r="C96" s="7"/>
      <c r="D96" s="7"/>
      <c r="E96" s="7"/>
      <c r="F96" t="s">
        <v>67</v>
      </c>
      <c r="G96" t="s">
        <v>11855</v>
      </c>
      <c r="H96" t="s">
        <v>69</v>
      </c>
      <c r="I96" t="s">
        <v>69</v>
      </c>
      <c r="J96" t="s">
        <v>69</v>
      </c>
      <c r="K96" t="s">
        <v>11856</v>
      </c>
      <c r="L96" t="s">
        <v>69</v>
      </c>
      <c r="M96" t="s">
        <v>69</v>
      </c>
      <c r="N96" t="s">
        <v>11857</v>
      </c>
      <c r="O96" t="s">
        <v>6876</v>
      </c>
      <c r="P96" t="s">
        <v>69</v>
      </c>
      <c r="Q96" t="s">
        <v>69</v>
      </c>
      <c r="R96" t="s">
        <v>8505</v>
      </c>
      <c r="S96" t="s">
        <v>8506</v>
      </c>
      <c r="T96" t="s">
        <v>69</v>
      </c>
      <c r="U96" t="s">
        <v>69</v>
      </c>
      <c r="V96" t="s">
        <v>69</v>
      </c>
      <c r="W96" t="s">
        <v>69</v>
      </c>
      <c r="X96" t="s">
        <v>69</v>
      </c>
      <c r="Y96" t="s">
        <v>11858</v>
      </c>
      <c r="Z96" t="s">
        <v>11859</v>
      </c>
      <c r="AA96" t="s">
        <v>11860</v>
      </c>
      <c r="AB96" t="s">
        <v>11861</v>
      </c>
      <c r="AC96" t="s">
        <v>69</v>
      </c>
      <c r="AD96" t="s">
        <v>11862</v>
      </c>
      <c r="AE96" t="s">
        <v>11863</v>
      </c>
      <c r="AF96" t="s">
        <v>69</v>
      </c>
      <c r="AG96" t="s">
        <v>69</v>
      </c>
      <c r="AH96" t="s">
        <v>69</v>
      </c>
      <c r="AI96" t="s">
        <v>69</v>
      </c>
      <c r="AJ96" t="s">
        <v>69</v>
      </c>
      <c r="AK96" t="s">
        <v>69</v>
      </c>
      <c r="AL96">
        <v>17</v>
      </c>
      <c r="AM96">
        <v>0</v>
      </c>
      <c r="AN96">
        <v>0</v>
      </c>
      <c r="AO96">
        <v>0</v>
      </c>
      <c r="AP96">
        <v>0</v>
      </c>
      <c r="AQ96" t="s">
        <v>10538</v>
      </c>
      <c r="AR96" t="s">
        <v>10539</v>
      </c>
      <c r="AS96" t="s">
        <v>10540</v>
      </c>
      <c r="AT96" t="s">
        <v>6879</v>
      </c>
      <c r="AU96" t="s">
        <v>6880</v>
      </c>
      <c r="AV96" t="s">
        <v>69</v>
      </c>
      <c r="AW96" t="s">
        <v>11864</v>
      </c>
      <c r="AX96" t="s">
        <v>11865</v>
      </c>
      <c r="AY96" t="s">
        <v>5888</v>
      </c>
      <c r="AZ96">
        <v>2021</v>
      </c>
      <c r="BA96">
        <v>25</v>
      </c>
      <c r="BB96">
        <v>3</v>
      </c>
      <c r="BC96" t="s">
        <v>69</v>
      </c>
      <c r="BD96" t="s">
        <v>69</v>
      </c>
      <c r="BE96" t="s">
        <v>69</v>
      </c>
      <c r="BF96" t="s">
        <v>69</v>
      </c>
      <c r="BG96">
        <v>163</v>
      </c>
      <c r="BH96">
        <v>168</v>
      </c>
      <c r="BI96" t="s">
        <v>69</v>
      </c>
      <c r="BJ96" t="s">
        <v>11866</v>
      </c>
      <c r="BK96" t="str">
        <f>HYPERLINK("http://dx.doi.org/10.4103/ijoem.ijoem_409_20","http://dx.doi.org/10.4103/ijoem.ijoem_409_20")</f>
        <v>http://dx.doi.org/10.4103/ijoem.ijoem_409_20</v>
      </c>
      <c r="BL96" t="s">
        <v>69</v>
      </c>
      <c r="BM96" t="s">
        <v>69</v>
      </c>
      <c r="BN96">
        <v>6</v>
      </c>
      <c r="BO96" t="s">
        <v>8810</v>
      </c>
      <c r="BP96" t="s">
        <v>8573</v>
      </c>
      <c r="BQ96" t="s">
        <v>8810</v>
      </c>
      <c r="BR96" t="s">
        <v>11867</v>
      </c>
      <c r="BS96" t="s">
        <v>11868</v>
      </c>
      <c r="BT96">
        <v>34759604</v>
      </c>
      <c r="BU96" t="s">
        <v>10423</v>
      </c>
      <c r="BV96" t="s">
        <v>69</v>
      </c>
      <c r="BW96" t="s">
        <v>69</v>
      </c>
      <c r="BX96" t="s">
        <v>8526</v>
      </c>
      <c r="BY96" t="str">
        <f>HYPERLINK("https%3A%2F%2Fwww.webofscience.com%2Fwos%2Fwoscc%2Ffull-record%2FWOS:000720981400008","View Full Record in Web of Science")</f>
        <v>View Full Record in Web of Science</v>
      </c>
    </row>
    <row r="97" spans="1:77" ht="12.5" x14ac:dyDescent="0.25">
      <c r="A97" t="s">
        <v>8495</v>
      </c>
      <c r="B97" s="7" t="s">
        <v>32933</v>
      </c>
      <c r="C97" s="7"/>
      <c r="D97" s="7"/>
      <c r="E97" s="7"/>
      <c r="F97" t="s">
        <v>67</v>
      </c>
      <c r="G97" t="s">
        <v>2488</v>
      </c>
      <c r="H97" t="s">
        <v>69</v>
      </c>
      <c r="I97" t="s">
        <v>69</v>
      </c>
      <c r="J97" t="s">
        <v>69</v>
      </c>
      <c r="K97" t="s">
        <v>2489</v>
      </c>
      <c r="L97" t="s">
        <v>69</v>
      </c>
      <c r="M97" t="s">
        <v>69</v>
      </c>
      <c r="N97" t="s">
        <v>2490</v>
      </c>
      <c r="O97" t="s">
        <v>2491</v>
      </c>
      <c r="P97" t="s">
        <v>69</v>
      </c>
      <c r="Q97" t="s">
        <v>69</v>
      </c>
      <c r="R97" t="s">
        <v>8505</v>
      </c>
      <c r="S97" t="s">
        <v>8506</v>
      </c>
      <c r="T97" t="s">
        <v>69</v>
      </c>
      <c r="U97" t="s">
        <v>69</v>
      </c>
      <c r="V97" t="s">
        <v>69</v>
      </c>
      <c r="W97" t="s">
        <v>69</v>
      </c>
      <c r="X97" t="s">
        <v>69</v>
      </c>
      <c r="Y97" t="s">
        <v>19580</v>
      </c>
      <c r="Z97" t="s">
        <v>19581</v>
      </c>
      <c r="AA97" t="s">
        <v>2492</v>
      </c>
      <c r="AB97" t="s">
        <v>19582</v>
      </c>
      <c r="AC97" t="s">
        <v>69</v>
      </c>
      <c r="AD97" t="s">
        <v>19583</v>
      </c>
      <c r="AE97" t="s">
        <v>19584</v>
      </c>
      <c r="AF97" t="s">
        <v>2493</v>
      </c>
      <c r="AG97" t="s">
        <v>2494</v>
      </c>
      <c r="AH97" t="s">
        <v>69</v>
      </c>
      <c r="AI97" t="s">
        <v>69</v>
      </c>
      <c r="AJ97" t="s">
        <v>69</v>
      </c>
      <c r="AK97" t="s">
        <v>69</v>
      </c>
      <c r="AL97">
        <v>19</v>
      </c>
      <c r="AM97">
        <v>2</v>
      </c>
      <c r="AN97">
        <v>2</v>
      </c>
      <c r="AO97">
        <v>1</v>
      </c>
      <c r="AP97">
        <v>6</v>
      </c>
      <c r="AQ97" t="s">
        <v>17216</v>
      </c>
      <c r="AR97" t="s">
        <v>17217</v>
      </c>
      <c r="AS97" t="s">
        <v>17218</v>
      </c>
      <c r="AT97" t="s">
        <v>2495</v>
      </c>
      <c r="AU97" t="s">
        <v>69</v>
      </c>
      <c r="AV97" t="s">
        <v>69</v>
      </c>
      <c r="AW97" t="s">
        <v>19585</v>
      </c>
      <c r="AX97" t="s">
        <v>19586</v>
      </c>
      <c r="AY97" t="s">
        <v>69</v>
      </c>
      <c r="AZ97">
        <v>2018</v>
      </c>
      <c r="BA97">
        <v>8</v>
      </c>
      <c r="BB97">
        <v>1</v>
      </c>
      <c r="BC97" t="s">
        <v>69</v>
      </c>
      <c r="BD97" t="s">
        <v>69</v>
      </c>
      <c r="BE97" t="s">
        <v>69</v>
      </c>
      <c r="BF97" t="s">
        <v>69</v>
      </c>
      <c r="BG97">
        <v>56</v>
      </c>
      <c r="BH97">
        <v>80</v>
      </c>
      <c r="BI97" t="s">
        <v>69</v>
      </c>
      <c r="BJ97" t="s">
        <v>2496</v>
      </c>
      <c r="BK97" t="str">
        <f>HYPERLINK("http://dx.doi.org/10.3991/ijep.v8i1.7667","http://dx.doi.org/10.3991/ijep.v8i1.7667")</f>
        <v>http://dx.doi.org/10.3991/ijep.v8i1.7667</v>
      </c>
      <c r="BL97" t="s">
        <v>69</v>
      </c>
      <c r="BM97" t="s">
        <v>69</v>
      </c>
      <c r="BN97">
        <v>25</v>
      </c>
      <c r="BO97" t="s">
        <v>19587</v>
      </c>
      <c r="BP97" t="s">
        <v>8573</v>
      </c>
      <c r="BQ97" t="s">
        <v>9290</v>
      </c>
      <c r="BR97" t="s">
        <v>19588</v>
      </c>
      <c r="BS97" t="s">
        <v>2497</v>
      </c>
      <c r="BT97" t="s">
        <v>69</v>
      </c>
      <c r="BU97" t="s">
        <v>8931</v>
      </c>
      <c r="BV97" t="s">
        <v>69</v>
      </c>
      <c r="BW97" t="s">
        <v>69</v>
      </c>
      <c r="BX97" t="s">
        <v>8526</v>
      </c>
      <c r="BY97" t="str">
        <f>HYPERLINK("https%3A%2F%2Fwww.webofscience.com%2Fwos%2Fwoscc%2Ffull-record%2FWOS:000428715300005","View Full Record in Web of Science")</f>
        <v>View Full Record in Web of Science</v>
      </c>
    </row>
    <row r="98" spans="1:77" ht="12.5" x14ac:dyDescent="0.25">
      <c r="A98" t="s">
        <v>8495</v>
      </c>
      <c r="B98" s="22" t="s">
        <v>32931</v>
      </c>
      <c r="C98" s="7"/>
      <c r="D98" s="7"/>
      <c r="E98" s="7"/>
      <c r="F98" t="s">
        <v>67</v>
      </c>
      <c r="G98" t="s">
        <v>14750</v>
      </c>
      <c r="H98" t="s">
        <v>69</v>
      </c>
      <c r="I98" t="s">
        <v>69</v>
      </c>
      <c r="J98" t="s">
        <v>69</v>
      </c>
      <c r="K98" t="s">
        <v>14751</v>
      </c>
      <c r="L98" t="s">
        <v>69</v>
      </c>
      <c r="M98" t="s">
        <v>69</v>
      </c>
      <c r="N98" t="s">
        <v>14752</v>
      </c>
      <c r="O98" t="s">
        <v>14753</v>
      </c>
      <c r="P98" t="s">
        <v>69</v>
      </c>
      <c r="Q98" t="s">
        <v>69</v>
      </c>
      <c r="R98" t="s">
        <v>8505</v>
      </c>
      <c r="S98" t="s">
        <v>8506</v>
      </c>
      <c r="T98" t="s">
        <v>69</v>
      </c>
      <c r="U98" t="s">
        <v>69</v>
      </c>
      <c r="V98" t="s">
        <v>69</v>
      </c>
      <c r="W98" t="s">
        <v>69</v>
      </c>
      <c r="X98" t="s">
        <v>69</v>
      </c>
      <c r="Y98" t="s">
        <v>14754</v>
      </c>
      <c r="Z98" t="s">
        <v>14755</v>
      </c>
      <c r="AA98" t="s">
        <v>14756</v>
      </c>
      <c r="AB98" t="s">
        <v>14757</v>
      </c>
      <c r="AC98" t="s">
        <v>69</v>
      </c>
      <c r="AD98" t="s">
        <v>14758</v>
      </c>
      <c r="AE98" t="s">
        <v>14759</v>
      </c>
      <c r="AF98" t="s">
        <v>14760</v>
      </c>
      <c r="AG98" t="s">
        <v>14761</v>
      </c>
      <c r="AH98" t="s">
        <v>14762</v>
      </c>
      <c r="AI98" t="s">
        <v>14763</v>
      </c>
      <c r="AJ98" t="s">
        <v>14764</v>
      </c>
      <c r="AK98" t="s">
        <v>69</v>
      </c>
      <c r="AL98">
        <v>35</v>
      </c>
      <c r="AM98">
        <v>1</v>
      </c>
      <c r="AN98">
        <v>1</v>
      </c>
      <c r="AO98">
        <v>1</v>
      </c>
      <c r="AP98">
        <v>6</v>
      </c>
      <c r="AQ98" t="s">
        <v>8992</v>
      </c>
      <c r="AR98" t="s">
        <v>8993</v>
      </c>
      <c r="AS98" t="s">
        <v>8994</v>
      </c>
      <c r="AT98" t="s">
        <v>69</v>
      </c>
      <c r="AU98" t="s">
        <v>14765</v>
      </c>
      <c r="AV98" t="s">
        <v>69</v>
      </c>
      <c r="AW98" t="s">
        <v>14766</v>
      </c>
      <c r="AX98" t="s">
        <v>14767</v>
      </c>
      <c r="AY98" t="s">
        <v>364</v>
      </c>
      <c r="AZ98">
        <v>2020</v>
      </c>
      <c r="BA98">
        <v>7</v>
      </c>
      <c r="BB98" t="s">
        <v>69</v>
      </c>
      <c r="BC98" t="s">
        <v>69</v>
      </c>
      <c r="BD98" t="s">
        <v>69</v>
      </c>
      <c r="BE98" t="s">
        <v>69</v>
      </c>
      <c r="BF98" t="s">
        <v>69</v>
      </c>
      <c r="BG98" t="s">
        <v>69</v>
      </c>
      <c r="BH98" t="s">
        <v>69</v>
      </c>
      <c r="BI98">
        <v>361</v>
      </c>
      <c r="BJ98" t="s">
        <v>14768</v>
      </c>
      <c r="BK98" t="str">
        <f>HYPERLINK("http://dx.doi.org/10.3389/fvets.2020.00361","http://dx.doi.org/10.3389/fvets.2020.00361")</f>
        <v>http://dx.doi.org/10.3389/fvets.2020.00361</v>
      </c>
      <c r="BL98" t="s">
        <v>69</v>
      </c>
      <c r="BM98" t="s">
        <v>69</v>
      </c>
      <c r="BN98">
        <v>18</v>
      </c>
      <c r="BO98" t="s">
        <v>14769</v>
      </c>
      <c r="BP98" t="s">
        <v>8548</v>
      </c>
      <c r="BQ98" t="s">
        <v>14769</v>
      </c>
      <c r="BR98" t="s">
        <v>14770</v>
      </c>
      <c r="BS98" t="s">
        <v>14772</v>
      </c>
      <c r="BT98">
        <v>32714948</v>
      </c>
      <c r="BU98" t="s">
        <v>14771</v>
      </c>
      <c r="BV98" t="s">
        <v>69</v>
      </c>
      <c r="BW98" t="s">
        <v>69</v>
      </c>
      <c r="BX98" t="s">
        <v>8526</v>
      </c>
      <c r="BY98" t="str">
        <f>HYPERLINK("https%3A%2F%2Fwww.webofscience.com%2Fwos%2Fwoscc%2Ffull-record%2FWOS:000553777600001","View Full Record in Web of Science")</f>
        <v>View Full Record in Web of Science</v>
      </c>
    </row>
    <row r="99" spans="1:77" ht="12.5" x14ac:dyDescent="0.25">
      <c r="A99" t="s">
        <v>8495</v>
      </c>
      <c r="B99" s="11" t="s">
        <v>32940</v>
      </c>
      <c r="C99" s="7" t="s">
        <v>33082</v>
      </c>
      <c r="D99" s="7"/>
      <c r="E99" s="7" t="s">
        <v>8490</v>
      </c>
      <c r="F99" t="s">
        <v>67</v>
      </c>
      <c r="G99" t="s">
        <v>28996</v>
      </c>
      <c r="H99" t="s">
        <v>69</v>
      </c>
      <c r="I99" t="s">
        <v>69</v>
      </c>
      <c r="J99" t="s">
        <v>69</v>
      </c>
      <c r="K99" t="s">
        <v>28997</v>
      </c>
      <c r="L99" t="s">
        <v>69</v>
      </c>
      <c r="M99" t="s">
        <v>69</v>
      </c>
      <c r="N99" t="s">
        <v>28998</v>
      </c>
      <c r="O99" t="s">
        <v>28999</v>
      </c>
      <c r="P99" t="s">
        <v>69</v>
      </c>
      <c r="Q99" t="s">
        <v>69</v>
      </c>
      <c r="R99" t="s">
        <v>10071</v>
      </c>
      <c r="S99" t="s">
        <v>8506</v>
      </c>
      <c r="T99" t="s">
        <v>69</v>
      </c>
      <c r="U99" t="s">
        <v>69</v>
      </c>
      <c r="V99" t="s">
        <v>69</v>
      </c>
      <c r="W99" t="s">
        <v>69</v>
      </c>
      <c r="X99" t="s">
        <v>69</v>
      </c>
      <c r="Y99" t="s">
        <v>29000</v>
      </c>
      <c r="Z99" t="s">
        <v>69</v>
      </c>
      <c r="AA99" t="s">
        <v>29001</v>
      </c>
      <c r="AB99" t="s">
        <v>29002</v>
      </c>
      <c r="AC99" t="s">
        <v>69</v>
      </c>
      <c r="AD99" t="s">
        <v>29003</v>
      </c>
      <c r="AE99" t="s">
        <v>69</v>
      </c>
      <c r="AF99" t="s">
        <v>69</v>
      </c>
      <c r="AG99" t="s">
        <v>69</v>
      </c>
      <c r="AH99" t="s">
        <v>69</v>
      </c>
      <c r="AI99" t="s">
        <v>69</v>
      </c>
      <c r="AJ99" t="s">
        <v>69</v>
      </c>
      <c r="AK99" t="s">
        <v>69</v>
      </c>
      <c r="AL99">
        <v>50</v>
      </c>
      <c r="AM99">
        <v>0</v>
      </c>
      <c r="AN99">
        <v>0</v>
      </c>
      <c r="AO99">
        <v>0</v>
      </c>
      <c r="AP99">
        <v>0</v>
      </c>
      <c r="AQ99" t="s">
        <v>29004</v>
      </c>
      <c r="AR99" t="s">
        <v>21649</v>
      </c>
      <c r="AS99" t="s">
        <v>29005</v>
      </c>
      <c r="AT99" t="s">
        <v>29006</v>
      </c>
      <c r="AU99" t="s">
        <v>69</v>
      </c>
      <c r="AV99" t="s">
        <v>69</v>
      </c>
      <c r="AW99" t="s">
        <v>29007</v>
      </c>
      <c r="AX99" t="s">
        <v>29008</v>
      </c>
      <c r="AY99" t="s">
        <v>75</v>
      </c>
      <c r="AZ99">
        <v>2008</v>
      </c>
      <c r="BA99">
        <v>65</v>
      </c>
      <c r="BB99">
        <v>146</v>
      </c>
      <c r="BC99" t="s">
        <v>69</v>
      </c>
      <c r="BD99" t="s">
        <v>69</v>
      </c>
      <c r="BE99" t="s">
        <v>69</v>
      </c>
      <c r="BF99" t="s">
        <v>69</v>
      </c>
      <c r="BG99">
        <v>112</v>
      </c>
      <c r="BH99">
        <v>145</v>
      </c>
      <c r="BI99" t="s">
        <v>69</v>
      </c>
      <c r="BJ99" t="s">
        <v>69</v>
      </c>
      <c r="BK99" t="s">
        <v>69</v>
      </c>
      <c r="BL99" t="s">
        <v>69</v>
      </c>
      <c r="BM99" t="s">
        <v>69</v>
      </c>
      <c r="BN99">
        <v>34</v>
      </c>
      <c r="BO99" t="s">
        <v>8452</v>
      </c>
      <c r="BP99" t="s">
        <v>8573</v>
      </c>
      <c r="BQ99" t="s">
        <v>10084</v>
      </c>
      <c r="BR99" t="s">
        <v>29009</v>
      </c>
      <c r="BS99" t="s">
        <v>29010</v>
      </c>
      <c r="BT99" t="s">
        <v>69</v>
      </c>
      <c r="BU99" t="s">
        <v>69</v>
      </c>
      <c r="BV99" t="s">
        <v>69</v>
      </c>
      <c r="BW99" t="s">
        <v>69</v>
      </c>
      <c r="BX99" t="s">
        <v>8526</v>
      </c>
      <c r="BY99" t="str">
        <f>HYPERLINK("https%3A%2F%2Fwww.webofscience.com%2Fwos%2Fwoscc%2Ffull-record%2FWOS:000215518100005","View Full Record in Web of Science")</f>
        <v>View Full Record in Web of Science</v>
      </c>
    </row>
    <row r="100" spans="1:77" ht="12.5" x14ac:dyDescent="0.25">
      <c r="A100" t="s">
        <v>8495</v>
      </c>
      <c r="B100" s="7" t="s">
        <v>32933</v>
      </c>
      <c r="C100" s="7"/>
      <c r="D100" s="7"/>
      <c r="E100" s="7"/>
      <c r="F100" t="s">
        <v>67</v>
      </c>
      <c r="G100" t="s">
        <v>7911</v>
      </c>
      <c r="H100" t="s">
        <v>69</v>
      </c>
      <c r="I100" t="s">
        <v>69</v>
      </c>
      <c r="J100" t="s">
        <v>69</v>
      </c>
      <c r="K100" t="s">
        <v>7912</v>
      </c>
      <c r="L100" t="s">
        <v>69</v>
      </c>
      <c r="M100" t="s">
        <v>69</v>
      </c>
      <c r="N100" t="s">
        <v>7913</v>
      </c>
      <c r="O100" t="s">
        <v>7914</v>
      </c>
      <c r="P100" t="s">
        <v>69</v>
      </c>
      <c r="Q100" t="s">
        <v>69</v>
      </c>
      <c r="R100" t="s">
        <v>8505</v>
      </c>
      <c r="S100" t="s">
        <v>8506</v>
      </c>
      <c r="T100" t="s">
        <v>69</v>
      </c>
      <c r="U100" t="s">
        <v>69</v>
      </c>
      <c r="V100" t="s">
        <v>69</v>
      </c>
      <c r="W100" t="s">
        <v>69</v>
      </c>
      <c r="X100" t="s">
        <v>69</v>
      </c>
      <c r="Y100" t="s">
        <v>69</v>
      </c>
      <c r="Z100" t="s">
        <v>69</v>
      </c>
      <c r="AA100" t="s">
        <v>7915</v>
      </c>
      <c r="AB100" t="s">
        <v>17896</v>
      </c>
      <c r="AC100" t="s">
        <v>69</v>
      </c>
      <c r="AD100" t="s">
        <v>17897</v>
      </c>
      <c r="AE100" t="s">
        <v>17898</v>
      </c>
      <c r="AF100" t="s">
        <v>69</v>
      </c>
      <c r="AG100" t="s">
        <v>69</v>
      </c>
      <c r="AH100" t="s">
        <v>69</v>
      </c>
      <c r="AI100" t="s">
        <v>69</v>
      </c>
      <c r="AJ100" t="s">
        <v>69</v>
      </c>
      <c r="AK100" t="s">
        <v>69</v>
      </c>
      <c r="AL100">
        <v>18</v>
      </c>
      <c r="AM100">
        <v>0</v>
      </c>
      <c r="AN100">
        <v>0</v>
      </c>
      <c r="AO100">
        <v>1</v>
      </c>
      <c r="AP100">
        <v>1</v>
      </c>
      <c r="AQ100" t="s">
        <v>13178</v>
      </c>
      <c r="AR100" t="s">
        <v>13179</v>
      </c>
      <c r="AS100" t="s">
        <v>13180</v>
      </c>
      <c r="AT100" t="s">
        <v>7916</v>
      </c>
      <c r="AU100" t="s">
        <v>7917</v>
      </c>
      <c r="AV100" t="s">
        <v>69</v>
      </c>
      <c r="AW100" t="s">
        <v>17899</v>
      </c>
      <c r="AX100" t="s">
        <v>17900</v>
      </c>
      <c r="AY100" t="s">
        <v>69</v>
      </c>
      <c r="AZ100">
        <v>2019</v>
      </c>
      <c r="BA100">
        <v>36</v>
      </c>
      <c r="BB100">
        <v>1</v>
      </c>
      <c r="BC100" t="s">
        <v>69</v>
      </c>
      <c r="BD100" t="s">
        <v>69</v>
      </c>
      <c r="BE100" t="s">
        <v>69</v>
      </c>
      <c r="BF100" t="s">
        <v>69</v>
      </c>
      <c r="BG100">
        <v>135</v>
      </c>
      <c r="BH100">
        <v>160</v>
      </c>
      <c r="BI100" t="s">
        <v>69</v>
      </c>
      <c r="BJ100" t="s">
        <v>69</v>
      </c>
      <c r="BK100" t="s">
        <v>69</v>
      </c>
      <c r="BL100" t="s">
        <v>69</v>
      </c>
      <c r="BM100" t="s">
        <v>69</v>
      </c>
      <c r="BN100">
        <v>26</v>
      </c>
      <c r="BO100" t="s">
        <v>8452</v>
      </c>
      <c r="BP100" t="s">
        <v>8573</v>
      </c>
      <c r="BQ100" t="s">
        <v>10084</v>
      </c>
      <c r="BR100" t="s">
        <v>17901</v>
      </c>
      <c r="BS100" t="s">
        <v>7918</v>
      </c>
      <c r="BT100" t="s">
        <v>69</v>
      </c>
      <c r="BU100" t="s">
        <v>69</v>
      </c>
      <c r="BV100" t="s">
        <v>69</v>
      </c>
      <c r="BW100" t="s">
        <v>69</v>
      </c>
      <c r="BX100" t="s">
        <v>8526</v>
      </c>
      <c r="BY100" t="str">
        <f>HYPERLINK("https%3A%2F%2Fwww.webofscience.com%2Fwos%2Fwoscc%2Ffull-record%2FWOS:000457251500006","View Full Record in Web of Science")</f>
        <v>View Full Record in Web of Science</v>
      </c>
    </row>
    <row r="101" spans="1:77" ht="12.5" x14ac:dyDescent="0.25">
      <c r="A101" t="s">
        <v>8495</v>
      </c>
      <c r="B101" s="7" t="s">
        <v>32933</v>
      </c>
      <c r="C101" s="7"/>
      <c r="D101" s="7"/>
      <c r="E101" s="7"/>
      <c r="F101" t="s">
        <v>67</v>
      </c>
      <c r="G101" t="s">
        <v>498</v>
      </c>
      <c r="H101" t="s">
        <v>69</v>
      </c>
      <c r="I101" t="s">
        <v>69</v>
      </c>
      <c r="J101" t="s">
        <v>69</v>
      </c>
      <c r="K101" t="s">
        <v>499</v>
      </c>
      <c r="L101" t="s">
        <v>69</v>
      </c>
      <c r="M101" t="s">
        <v>69</v>
      </c>
      <c r="N101" t="s">
        <v>500</v>
      </c>
      <c r="O101" t="s">
        <v>436</v>
      </c>
      <c r="P101" t="s">
        <v>69</v>
      </c>
      <c r="Q101" t="s">
        <v>69</v>
      </c>
      <c r="R101" t="s">
        <v>8505</v>
      </c>
      <c r="S101" t="s">
        <v>8506</v>
      </c>
      <c r="T101" t="s">
        <v>69</v>
      </c>
      <c r="U101" t="s">
        <v>69</v>
      </c>
      <c r="V101" t="s">
        <v>69</v>
      </c>
      <c r="W101" t="s">
        <v>69</v>
      </c>
      <c r="X101" t="s">
        <v>69</v>
      </c>
      <c r="Y101" t="s">
        <v>24399</v>
      </c>
      <c r="Z101" t="s">
        <v>24400</v>
      </c>
      <c r="AA101" t="s">
        <v>501</v>
      </c>
      <c r="AB101" t="s">
        <v>24401</v>
      </c>
      <c r="AC101" t="s">
        <v>69</v>
      </c>
      <c r="AD101" t="s">
        <v>24402</v>
      </c>
      <c r="AE101" t="s">
        <v>24403</v>
      </c>
      <c r="AF101" t="s">
        <v>502</v>
      </c>
      <c r="AG101" t="s">
        <v>503</v>
      </c>
      <c r="AH101" t="s">
        <v>24404</v>
      </c>
      <c r="AI101" t="s">
        <v>24405</v>
      </c>
      <c r="AJ101" t="s">
        <v>24406</v>
      </c>
      <c r="AK101" t="s">
        <v>69</v>
      </c>
      <c r="AL101">
        <v>56</v>
      </c>
      <c r="AM101">
        <v>55</v>
      </c>
      <c r="AN101">
        <v>57</v>
      </c>
      <c r="AO101">
        <v>6</v>
      </c>
      <c r="AP101">
        <v>83</v>
      </c>
      <c r="AQ101" t="s">
        <v>8636</v>
      </c>
      <c r="AR101" t="s">
        <v>8637</v>
      </c>
      <c r="AS101" t="s">
        <v>8638</v>
      </c>
      <c r="AT101" t="s">
        <v>440</v>
      </c>
      <c r="AU101" t="s">
        <v>441</v>
      </c>
      <c r="AV101" t="s">
        <v>69</v>
      </c>
      <c r="AW101" t="s">
        <v>8639</v>
      </c>
      <c r="AX101" t="s">
        <v>8640</v>
      </c>
      <c r="AY101" t="s">
        <v>504</v>
      </c>
      <c r="AZ101">
        <v>2013</v>
      </c>
      <c r="BA101">
        <v>61</v>
      </c>
      <c r="BB101" t="s">
        <v>69</v>
      </c>
      <c r="BC101" t="s">
        <v>69</v>
      </c>
      <c r="BD101" t="s">
        <v>69</v>
      </c>
      <c r="BE101" t="s">
        <v>69</v>
      </c>
      <c r="BF101" t="s">
        <v>69</v>
      </c>
      <c r="BG101">
        <v>6</v>
      </c>
      <c r="BH101">
        <v>12</v>
      </c>
      <c r="BI101" t="s">
        <v>69</v>
      </c>
      <c r="BJ101" t="s">
        <v>505</v>
      </c>
      <c r="BK101" t="str">
        <f>HYPERLINK("http://dx.doi.org/10.1016/j.jclepro.2013.05.014","http://dx.doi.org/10.1016/j.jclepro.2013.05.014")</f>
        <v>http://dx.doi.org/10.1016/j.jclepro.2013.05.014</v>
      </c>
      <c r="BL101" t="s">
        <v>69</v>
      </c>
      <c r="BM101" t="s">
        <v>69</v>
      </c>
      <c r="BN101">
        <v>7</v>
      </c>
      <c r="BO101" t="s">
        <v>8643</v>
      </c>
      <c r="BP101" t="s">
        <v>8523</v>
      </c>
      <c r="BQ101" t="s">
        <v>8644</v>
      </c>
      <c r="BR101" t="s">
        <v>24407</v>
      </c>
      <c r="BS101" t="s">
        <v>506</v>
      </c>
      <c r="BT101" t="s">
        <v>69</v>
      </c>
      <c r="BU101" t="s">
        <v>69</v>
      </c>
      <c r="BV101" t="s">
        <v>69</v>
      </c>
      <c r="BW101" t="s">
        <v>69</v>
      </c>
      <c r="BX101" t="s">
        <v>8526</v>
      </c>
      <c r="BY101" t="str">
        <f>HYPERLINK("https%3A%2F%2Fwww.webofscience.com%2Fwos%2Fwoscc%2Ffull-record%2FWOS:000327676600002","View Full Record in Web of Science")</f>
        <v>View Full Record in Web of Science</v>
      </c>
    </row>
    <row r="102" spans="1:77" ht="12.5" x14ac:dyDescent="0.25">
      <c r="A102" t="s">
        <v>8495</v>
      </c>
      <c r="B102" s="7" t="s">
        <v>32933</v>
      </c>
      <c r="C102" s="7"/>
      <c r="D102" s="7"/>
      <c r="E102" s="7"/>
      <c r="F102" t="s">
        <v>67</v>
      </c>
      <c r="G102" t="s">
        <v>3519</v>
      </c>
      <c r="H102" t="s">
        <v>69</v>
      </c>
      <c r="I102" t="s">
        <v>69</v>
      </c>
      <c r="J102" t="s">
        <v>69</v>
      </c>
      <c r="K102" t="s">
        <v>3520</v>
      </c>
      <c r="L102" t="s">
        <v>69</v>
      </c>
      <c r="M102" t="s">
        <v>69</v>
      </c>
      <c r="N102" t="s">
        <v>3521</v>
      </c>
      <c r="O102" t="s">
        <v>3522</v>
      </c>
      <c r="P102" t="s">
        <v>69</v>
      </c>
      <c r="Q102" t="s">
        <v>69</v>
      </c>
      <c r="R102" t="s">
        <v>8505</v>
      </c>
      <c r="S102" t="s">
        <v>8506</v>
      </c>
      <c r="T102" t="s">
        <v>69</v>
      </c>
      <c r="U102" t="s">
        <v>69</v>
      </c>
      <c r="V102" t="s">
        <v>69</v>
      </c>
      <c r="W102" t="s">
        <v>69</v>
      </c>
      <c r="X102" t="s">
        <v>69</v>
      </c>
      <c r="Y102" t="s">
        <v>69</v>
      </c>
      <c r="Z102" t="s">
        <v>69</v>
      </c>
      <c r="AA102" t="s">
        <v>3523</v>
      </c>
      <c r="AB102" t="s">
        <v>27647</v>
      </c>
      <c r="AC102" t="s">
        <v>69</v>
      </c>
      <c r="AD102" t="s">
        <v>27648</v>
      </c>
      <c r="AE102" t="s">
        <v>27649</v>
      </c>
      <c r="AF102" t="s">
        <v>69</v>
      </c>
      <c r="AG102" t="s">
        <v>69</v>
      </c>
      <c r="AH102" t="s">
        <v>27650</v>
      </c>
      <c r="AI102" t="s">
        <v>27651</v>
      </c>
      <c r="AJ102" t="s">
        <v>27652</v>
      </c>
      <c r="AK102" t="s">
        <v>69</v>
      </c>
      <c r="AL102">
        <v>19</v>
      </c>
      <c r="AM102">
        <v>38</v>
      </c>
      <c r="AN102">
        <v>40</v>
      </c>
      <c r="AO102">
        <v>0</v>
      </c>
      <c r="AP102">
        <v>29</v>
      </c>
      <c r="AQ102" t="s">
        <v>8846</v>
      </c>
      <c r="AR102" t="s">
        <v>8847</v>
      </c>
      <c r="AS102" t="s">
        <v>8848</v>
      </c>
      <c r="AT102" t="s">
        <v>3524</v>
      </c>
      <c r="AU102" t="s">
        <v>3525</v>
      </c>
      <c r="AV102" t="s">
        <v>69</v>
      </c>
      <c r="AW102" t="s">
        <v>27653</v>
      </c>
      <c r="AX102" t="s">
        <v>27654</v>
      </c>
      <c r="AY102" t="s">
        <v>201</v>
      </c>
      <c r="AZ102">
        <v>2010</v>
      </c>
      <c r="BA102">
        <v>8</v>
      </c>
      <c r="BB102">
        <v>6</v>
      </c>
      <c r="BC102" t="s">
        <v>69</v>
      </c>
      <c r="BD102" t="s">
        <v>69</v>
      </c>
      <c r="BE102" t="s">
        <v>69</v>
      </c>
      <c r="BF102" t="s">
        <v>69</v>
      </c>
      <c r="BG102">
        <v>299</v>
      </c>
      <c r="BH102">
        <v>305</v>
      </c>
      <c r="BI102" t="s">
        <v>69</v>
      </c>
      <c r="BJ102" t="s">
        <v>3526</v>
      </c>
      <c r="BK102" t="str">
        <f>HYPERLINK("http://dx.doi.org/10.1890/090143","http://dx.doi.org/10.1890/090143")</f>
        <v>http://dx.doi.org/10.1890/090143</v>
      </c>
      <c r="BL102" t="s">
        <v>69</v>
      </c>
      <c r="BM102" t="s">
        <v>69</v>
      </c>
      <c r="BN102">
        <v>7</v>
      </c>
      <c r="BO102" t="s">
        <v>27655</v>
      </c>
      <c r="BP102" t="s">
        <v>8548</v>
      </c>
      <c r="BQ102" t="s">
        <v>8662</v>
      </c>
      <c r="BR102" t="s">
        <v>27656</v>
      </c>
      <c r="BS102" t="s">
        <v>3527</v>
      </c>
      <c r="BT102" t="s">
        <v>69</v>
      </c>
      <c r="BU102" t="s">
        <v>69</v>
      </c>
      <c r="BV102" t="s">
        <v>69</v>
      </c>
      <c r="BW102" t="s">
        <v>69</v>
      </c>
      <c r="BX102" t="s">
        <v>8526</v>
      </c>
      <c r="BY102" t="str">
        <f>HYPERLINK("https%3A%2F%2Fwww.webofscience.com%2Fwos%2Fwoscc%2Ffull-record%2FWOS:000280871100004","View Full Record in Web of Science")</f>
        <v>View Full Record in Web of Science</v>
      </c>
    </row>
    <row r="103" spans="1:77" ht="12.5" x14ac:dyDescent="0.25">
      <c r="A103" t="s">
        <v>8495</v>
      </c>
      <c r="B103" s="7" t="s">
        <v>32933</v>
      </c>
      <c r="C103" s="7"/>
      <c r="D103" s="7"/>
      <c r="E103" s="7"/>
      <c r="F103" t="s">
        <v>67</v>
      </c>
      <c r="G103" t="s">
        <v>4087</v>
      </c>
      <c r="H103" t="s">
        <v>69</v>
      </c>
      <c r="I103" t="s">
        <v>69</v>
      </c>
      <c r="J103" t="s">
        <v>69</v>
      </c>
      <c r="K103" t="s">
        <v>4087</v>
      </c>
      <c r="L103" t="s">
        <v>69</v>
      </c>
      <c r="M103" t="s">
        <v>69</v>
      </c>
      <c r="N103" t="s">
        <v>4088</v>
      </c>
      <c r="O103" t="s">
        <v>4089</v>
      </c>
      <c r="P103" t="s">
        <v>69</v>
      </c>
      <c r="Q103" t="s">
        <v>69</v>
      </c>
      <c r="R103" t="s">
        <v>8505</v>
      </c>
      <c r="S103" t="s">
        <v>8506</v>
      </c>
      <c r="T103" t="s">
        <v>69</v>
      </c>
      <c r="U103" t="s">
        <v>69</v>
      </c>
      <c r="V103" t="s">
        <v>69</v>
      </c>
      <c r="W103" t="s">
        <v>69</v>
      </c>
      <c r="X103" t="s">
        <v>69</v>
      </c>
      <c r="Y103" t="s">
        <v>31606</v>
      </c>
      <c r="Z103" t="s">
        <v>69</v>
      </c>
      <c r="AA103" t="s">
        <v>4090</v>
      </c>
      <c r="AB103" t="s">
        <v>31607</v>
      </c>
      <c r="AC103" t="s">
        <v>69</v>
      </c>
      <c r="AD103" t="s">
        <v>31608</v>
      </c>
      <c r="AE103" t="s">
        <v>69</v>
      </c>
      <c r="AF103" t="s">
        <v>69</v>
      </c>
      <c r="AG103" t="s">
        <v>69</v>
      </c>
      <c r="AH103" t="s">
        <v>69</v>
      </c>
      <c r="AI103" t="s">
        <v>69</v>
      </c>
      <c r="AJ103" t="s">
        <v>69</v>
      </c>
      <c r="AK103" t="s">
        <v>69</v>
      </c>
      <c r="AL103">
        <v>56</v>
      </c>
      <c r="AM103">
        <v>19</v>
      </c>
      <c r="AN103">
        <v>20</v>
      </c>
      <c r="AO103">
        <v>0</v>
      </c>
      <c r="AP103">
        <v>4</v>
      </c>
      <c r="AQ103" t="s">
        <v>31609</v>
      </c>
      <c r="AR103" t="s">
        <v>31610</v>
      </c>
      <c r="AS103" t="s">
        <v>31611</v>
      </c>
      <c r="AT103" t="s">
        <v>4091</v>
      </c>
      <c r="AU103" t="s">
        <v>69</v>
      </c>
      <c r="AV103" t="s">
        <v>69</v>
      </c>
      <c r="AW103" t="s">
        <v>31612</v>
      </c>
      <c r="AX103" t="s">
        <v>31613</v>
      </c>
      <c r="AY103" t="s">
        <v>4092</v>
      </c>
      <c r="AZ103">
        <v>2001</v>
      </c>
      <c r="BA103">
        <v>13</v>
      </c>
      <c r="BB103">
        <v>1</v>
      </c>
      <c r="BC103" t="s">
        <v>69</v>
      </c>
      <c r="BD103" t="s">
        <v>69</v>
      </c>
      <c r="BE103" t="s">
        <v>69</v>
      </c>
      <c r="BF103" t="s">
        <v>69</v>
      </c>
      <c r="BG103">
        <v>33</v>
      </c>
      <c r="BH103">
        <v>54</v>
      </c>
      <c r="BI103" t="s">
        <v>69</v>
      </c>
      <c r="BJ103" t="s">
        <v>4093</v>
      </c>
      <c r="BK103" t="str">
        <f>HYPERLINK("http://dx.doi.org/10.1353/cp.2001.0014","http://dx.doi.org/10.1353/cp.2001.0014")</f>
        <v>http://dx.doi.org/10.1353/cp.2001.0014</v>
      </c>
      <c r="BL103" t="s">
        <v>69</v>
      </c>
      <c r="BM103" t="s">
        <v>69</v>
      </c>
      <c r="BN103">
        <v>22</v>
      </c>
      <c r="BO103" t="s">
        <v>17049</v>
      </c>
      <c r="BP103" t="s">
        <v>8661</v>
      </c>
      <c r="BQ103" t="s">
        <v>17049</v>
      </c>
      <c r="BR103" t="s">
        <v>31614</v>
      </c>
      <c r="BS103" t="s">
        <v>4094</v>
      </c>
      <c r="BT103" t="s">
        <v>69</v>
      </c>
      <c r="BU103" t="s">
        <v>10423</v>
      </c>
      <c r="BV103" t="s">
        <v>69</v>
      </c>
      <c r="BW103" t="s">
        <v>69</v>
      </c>
      <c r="BX103" t="s">
        <v>8526</v>
      </c>
      <c r="BY103" t="str">
        <f>HYPERLINK("https%3A%2F%2Fwww.webofscience.com%2Fwos%2Fwoscc%2Ffull-record%2FWOS:000167486900002","View Full Record in Web of Science")</f>
        <v>View Full Record in Web of Science</v>
      </c>
    </row>
    <row r="104" spans="1:77" ht="12.5" x14ac:dyDescent="0.25">
      <c r="A104" t="s">
        <v>8495</v>
      </c>
      <c r="B104" s="22" t="s">
        <v>32931</v>
      </c>
      <c r="C104" s="7"/>
      <c r="D104" s="7"/>
      <c r="E104" s="7"/>
      <c r="F104" t="s">
        <v>67</v>
      </c>
      <c r="G104" t="s">
        <v>15891</v>
      </c>
      <c r="H104" t="s">
        <v>69</v>
      </c>
      <c r="I104" t="s">
        <v>69</v>
      </c>
      <c r="J104" t="s">
        <v>69</v>
      </c>
      <c r="K104" t="s">
        <v>15892</v>
      </c>
      <c r="L104" t="s">
        <v>69</v>
      </c>
      <c r="M104" t="s">
        <v>69</v>
      </c>
      <c r="N104" t="s">
        <v>15893</v>
      </c>
      <c r="O104" t="s">
        <v>15894</v>
      </c>
      <c r="P104" t="s">
        <v>69</v>
      </c>
      <c r="Q104" t="s">
        <v>69</v>
      </c>
      <c r="R104" t="s">
        <v>8505</v>
      </c>
      <c r="S104" t="s">
        <v>8506</v>
      </c>
      <c r="T104" t="s">
        <v>69</v>
      </c>
      <c r="U104" t="s">
        <v>69</v>
      </c>
      <c r="V104" t="s">
        <v>69</v>
      </c>
      <c r="W104" t="s">
        <v>69</v>
      </c>
      <c r="X104" t="s">
        <v>69</v>
      </c>
      <c r="Y104" t="s">
        <v>69</v>
      </c>
      <c r="Z104" t="s">
        <v>15895</v>
      </c>
      <c r="AA104" t="s">
        <v>15896</v>
      </c>
      <c r="AB104" t="s">
        <v>15897</v>
      </c>
      <c r="AC104" t="s">
        <v>69</v>
      </c>
      <c r="AD104" t="s">
        <v>15898</v>
      </c>
      <c r="AE104" t="s">
        <v>15899</v>
      </c>
      <c r="AF104" t="s">
        <v>69</v>
      </c>
      <c r="AG104" t="s">
        <v>69</v>
      </c>
      <c r="AH104" t="s">
        <v>69</v>
      </c>
      <c r="AI104" t="s">
        <v>69</v>
      </c>
      <c r="AJ104" t="s">
        <v>69</v>
      </c>
      <c r="AK104" t="s">
        <v>69</v>
      </c>
      <c r="AL104">
        <v>74</v>
      </c>
      <c r="AM104">
        <v>1</v>
      </c>
      <c r="AN104">
        <v>1</v>
      </c>
      <c r="AO104">
        <v>0</v>
      </c>
      <c r="AP104">
        <v>3</v>
      </c>
      <c r="AQ104" t="s">
        <v>15900</v>
      </c>
      <c r="AR104" t="s">
        <v>15901</v>
      </c>
      <c r="AS104" t="s">
        <v>15902</v>
      </c>
      <c r="AT104" t="s">
        <v>15903</v>
      </c>
      <c r="AU104" t="s">
        <v>15904</v>
      </c>
      <c r="AV104" t="s">
        <v>69</v>
      </c>
      <c r="AW104" t="s">
        <v>15905</v>
      </c>
      <c r="AX104" t="s">
        <v>15906</v>
      </c>
      <c r="AY104" t="s">
        <v>133</v>
      </c>
      <c r="AZ104">
        <v>2020</v>
      </c>
      <c r="BA104">
        <v>64</v>
      </c>
      <c r="BB104">
        <v>1</v>
      </c>
      <c r="BC104" t="s">
        <v>69</v>
      </c>
      <c r="BD104" t="s">
        <v>69</v>
      </c>
      <c r="BE104" t="s">
        <v>69</v>
      </c>
      <c r="BF104" t="s">
        <v>69</v>
      </c>
      <c r="BG104">
        <v>66</v>
      </c>
      <c r="BH104">
        <v>86</v>
      </c>
      <c r="BI104" t="s">
        <v>69</v>
      </c>
      <c r="BJ104" t="s">
        <v>15907</v>
      </c>
      <c r="BK104" t="str">
        <f>HYPERLINK("http://dx.doi.org/10.1086/706822","http://dx.doi.org/10.1086/706822")</f>
        <v>http://dx.doi.org/10.1086/706822</v>
      </c>
      <c r="BL104" t="s">
        <v>69</v>
      </c>
      <c r="BM104" t="s">
        <v>69</v>
      </c>
      <c r="BN104">
        <v>21</v>
      </c>
      <c r="BO104" t="s">
        <v>9290</v>
      </c>
      <c r="BP104" t="s">
        <v>8661</v>
      </c>
      <c r="BQ104" t="s">
        <v>9290</v>
      </c>
      <c r="BR104" t="s">
        <v>15908</v>
      </c>
      <c r="BS104" t="s">
        <v>15909</v>
      </c>
      <c r="BT104" t="s">
        <v>69</v>
      </c>
      <c r="BU104" t="s">
        <v>69</v>
      </c>
      <c r="BV104" t="s">
        <v>69</v>
      </c>
      <c r="BW104" t="s">
        <v>69</v>
      </c>
      <c r="BX104" t="s">
        <v>8526</v>
      </c>
      <c r="BY104" t="str">
        <f>HYPERLINK("https%3A%2F%2Fwww.webofscience.com%2Fwos%2Fwoscc%2Ffull-record%2FWOS:000515701900004","View Full Record in Web of Science")</f>
        <v>View Full Record in Web of Science</v>
      </c>
    </row>
    <row r="105" spans="1:77" ht="12.5" x14ac:dyDescent="0.25">
      <c r="A105" t="s">
        <v>8495</v>
      </c>
      <c r="B105" s="7" t="s">
        <v>32933</v>
      </c>
      <c r="C105" s="7"/>
      <c r="D105" s="7"/>
      <c r="E105" s="7"/>
      <c r="F105" t="s">
        <v>67</v>
      </c>
      <c r="G105" t="s">
        <v>605</v>
      </c>
      <c r="H105" t="s">
        <v>69</v>
      </c>
      <c r="I105" t="s">
        <v>69</v>
      </c>
      <c r="J105" t="s">
        <v>69</v>
      </c>
      <c r="K105" t="s">
        <v>606</v>
      </c>
      <c r="L105" t="s">
        <v>69</v>
      </c>
      <c r="M105" t="s">
        <v>69</v>
      </c>
      <c r="N105" t="s">
        <v>607</v>
      </c>
      <c r="O105" t="s">
        <v>608</v>
      </c>
      <c r="P105" t="s">
        <v>69</v>
      </c>
      <c r="Q105" t="s">
        <v>69</v>
      </c>
      <c r="R105" t="s">
        <v>8505</v>
      </c>
      <c r="S105" t="s">
        <v>8506</v>
      </c>
      <c r="T105" t="s">
        <v>69</v>
      </c>
      <c r="U105" t="s">
        <v>69</v>
      </c>
      <c r="V105" t="s">
        <v>69</v>
      </c>
      <c r="W105" t="s">
        <v>69</v>
      </c>
      <c r="X105" t="s">
        <v>69</v>
      </c>
      <c r="Y105" t="s">
        <v>16721</v>
      </c>
      <c r="Z105" t="s">
        <v>16722</v>
      </c>
      <c r="AA105" t="s">
        <v>609</v>
      </c>
      <c r="AB105" t="s">
        <v>16723</v>
      </c>
      <c r="AC105" t="s">
        <v>69</v>
      </c>
      <c r="AD105" t="s">
        <v>16724</v>
      </c>
      <c r="AE105" t="s">
        <v>16725</v>
      </c>
      <c r="AF105" t="s">
        <v>69</v>
      </c>
      <c r="AG105" t="s">
        <v>610</v>
      </c>
      <c r="AH105" t="s">
        <v>69</v>
      </c>
      <c r="AI105" t="s">
        <v>69</v>
      </c>
      <c r="AJ105" t="s">
        <v>69</v>
      </c>
      <c r="AK105" t="s">
        <v>69</v>
      </c>
      <c r="AL105">
        <v>59</v>
      </c>
      <c r="AM105">
        <v>3</v>
      </c>
      <c r="AN105">
        <v>3</v>
      </c>
      <c r="AO105">
        <v>3</v>
      </c>
      <c r="AP105">
        <v>6</v>
      </c>
      <c r="AQ105" t="s">
        <v>9978</v>
      </c>
      <c r="AR105" t="s">
        <v>9979</v>
      </c>
      <c r="AS105" t="s">
        <v>9980</v>
      </c>
      <c r="AT105" t="s">
        <v>69</v>
      </c>
      <c r="AU105" t="s">
        <v>611</v>
      </c>
      <c r="AV105" t="s">
        <v>69</v>
      </c>
      <c r="AW105" t="s">
        <v>16726</v>
      </c>
      <c r="AX105" t="s">
        <v>16727</v>
      </c>
      <c r="AY105" t="s">
        <v>255</v>
      </c>
      <c r="AZ105">
        <v>2019</v>
      </c>
      <c r="BA105">
        <v>21</v>
      </c>
      <c r="BB105">
        <v>3</v>
      </c>
      <c r="BC105" t="s">
        <v>69</v>
      </c>
      <c r="BD105" t="s">
        <v>69</v>
      </c>
      <c r="BE105" t="s">
        <v>69</v>
      </c>
      <c r="BF105" t="s">
        <v>69</v>
      </c>
      <c r="BG105">
        <v>297</v>
      </c>
      <c r="BH105">
        <v>326</v>
      </c>
      <c r="BI105" t="s">
        <v>69</v>
      </c>
      <c r="BJ105" t="s">
        <v>612</v>
      </c>
      <c r="BK105" t="str">
        <f>HYPERLINK("http://dx.doi.org/10.1017/bap.2019.6","http://dx.doi.org/10.1017/bap.2019.6")</f>
        <v>http://dx.doi.org/10.1017/bap.2019.6</v>
      </c>
      <c r="BL105" t="s">
        <v>69</v>
      </c>
      <c r="BM105" t="s">
        <v>69</v>
      </c>
      <c r="BN105">
        <v>30</v>
      </c>
      <c r="BO105" t="s">
        <v>16728</v>
      </c>
      <c r="BP105" t="s">
        <v>8661</v>
      </c>
      <c r="BQ105" t="s">
        <v>16729</v>
      </c>
      <c r="BR105" t="s">
        <v>16730</v>
      </c>
      <c r="BS105" t="s">
        <v>613</v>
      </c>
      <c r="BT105" t="s">
        <v>69</v>
      </c>
      <c r="BU105" t="s">
        <v>10648</v>
      </c>
      <c r="BV105" t="s">
        <v>69</v>
      </c>
      <c r="BW105" t="s">
        <v>69</v>
      </c>
      <c r="BX105" t="s">
        <v>8526</v>
      </c>
      <c r="BY105" t="str">
        <f>HYPERLINK("https%3A%2F%2Fwww.webofscience.com%2Fwos%2Fwoscc%2Ffull-record%2FWOS:000513003000001","View Full Record in Web of Science")</f>
        <v>View Full Record in Web of Science</v>
      </c>
    </row>
    <row r="106" spans="1:77" ht="12.5" x14ac:dyDescent="0.25">
      <c r="A106" t="s">
        <v>8495</v>
      </c>
      <c r="B106" s="22" t="s">
        <v>32931</v>
      </c>
      <c r="C106" s="7"/>
      <c r="D106" s="7"/>
      <c r="E106" s="7"/>
      <c r="F106" t="s">
        <v>67</v>
      </c>
      <c r="G106" t="s">
        <v>28719</v>
      </c>
      <c r="H106" t="s">
        <v>69</v>
      </c>
      <c r="I106" t="s">
        <v>69</v>
      </c>
      <c r="J106" t="s">
        <v>69</v>
      </c>
      <c r="K106" t="s">
        <v>28720</v>
      </c>
      <c r="L106" t="s">
        <v>69</v>
      </c>
      <c r="M106" t="s">
        <v>69</v>
      </c>
      <c r="N106" t="s">
        <v>28721</v>
      </c>
      <c r="O106" t="s">
        <v>28722</v>
      </c>
      <c r="P106" t="s">
        <v>69</v>
      </c>
      <c r="Q106" t="s">
        <v>69</v>
      </c>
      <c r="R106" t="s">
        <v>8505</v>
      </c>
      <c r="S106" t="s">
        <v>8506</v>
      </c>
      <c r="T106" t="s">
        <v>69</v>
      </c>
      <c r="U106" t="s">
        <v>69</v>
      </c>
      <c r="V106" t="s">
        <v>69</v>
      </c>
      <c r="W106" t="s">
        <v>69</v>
      </c>
      <c r="X106" t="s">
        <v>69</v>
      </c>
      <c r="Y106" t="s">
        <v>28723</v>
      </c>
      <c r="Z106" t="s">
        <v>69</v>
      </c>
      <c r="AA106" t="s">
        <v>28724</v>
      </c>
      <c r="AB106" t="s">
        <v>28725</v>
      </c>
      <c r="AC106" t="s">
        <v>69</v>
      </c>
      <c r="AD106" t="s">
        <v>28726</v>
      </c>
      <c r="AE106" t="s">
        <v>28727</v>
      </c>
      <c r="AF106" t="s">
        <v>69</v>
      </c>
      <c r="AG106" t="s">
        <v>69</v>
      </c>
      <c r="AH106" t="s">
        <v>69</v>
      </c>
      <c r="AI106" t="s">
        <v>69</v>
      </c>
      <c r="AJ106" t="s">
        <v>69</v>
      </c>
      <c r="AK106" t="s">
        <v>69</v>
      </c>
      <c r="AL106">
        <v>0</v>
      </c>
      <c r="AM106">
        <v>0</v>
      </c>
      <c r="AN106">
        <v>0</v>
      </c>
      <c r="AO106">
        <v>0</v>
      </c>
      <c r="AP106">
        <v>0</v>
      </c>
      <c r="AQ106" t="s">
        <v>28728</v>
      </c>
      <c r="AR106" t="s">
        <v>28729</v>
      </c>
      <c r="AS106" t="s">
        <v>28730</v>
      </c>
      <c r="AT106" t="s">
        <v>28731</v>
      </c>
      <c r="AU106" t="s">
        <v>28732</v>
      </c>
      <c r="AV106" t="s">
        <v>69</v>
      </c>
      <c r="AW106" t="s">
        <v>28733</v>
      </c>
      <c r="AX106" t="s">
        <v>28734</v>
      </c>
      <c r="AY106" t="s">
        <v>69</v>
      </c>
      <c r="AZ106">
        <v>2009</v>
      </c>
      <c r="BA106">
        <v>9</v>
      </c>
      <c r="BB106" t="s">
        <v>69</v>
      </c>
      <c r="BC106" t="s">
        <v>69</v>
      </c>
      <c r="BD106" t="s">
        <v>69</v>
      </c>
      <c r="BE106" t="s">
        <v>69</v>
      </c>
      <c r="BF106" t="s">
        <v>69</v>
      </c>
      <c r="BG106">
        <v>215</v>
      </c>
      <c r="BH106">
        <v>229</v>
      </c>
      <c r="BI106" t="s">
        <v>69</v>
      </c>
      <c r="BJ106" t="s">
        <v>69</v>
      </c>
      <c r="BK106" t="s">
        <v>69</v>
      </c>
      <c r="BL106" t="s">
        <v>69</v>
      </c>
      <c r="BM106" t="s">
        <v>69</v>
      </c>
      <c r="BN106">
        <v>15</v>
      </c>
      <c r="BO106" t="s">
        <v>11206</v>
      </c>
      <c r="BP106" t="s">
        <v>8573</v>
      </c>
      <c r="BQ106" t="s">
        <v>11208</v>
      </c>
      <c r="BR106" t="s">
        <v>28735</v>
      </c>
      <c r="BS106" t="s">
        <v>28736</v>
      </c>
      <c r="BT106" t="s">
        <v>69</v>
      </c>
      <c r="BU106" t="s">
        <v>69</v>
      </c>
      <c r="BV106" t="s">
        <v>69</v>
      </c>
      <c r="BW106" t="s">
        <v>69</v>
      </c>
      <c r="BX106" t="s">
        <v>8526</v>
      </c>
      <c r="BY106" t="str">
        <f>HYPERLINK("https%3A%2F%2Fwww.webofscience.com%2Fwos%2Fwoscc%2Ffull-record%2FWOS:000216452200009","View Full Record in Web of Science")</f>
        <v>View Full Record in Web of Science</v>
      </c>
    </row>
    <row r="107" spans="1:77" ht="12.5" x14ac:dyDescent="0.25">
      <c r="A107" t="s">
        <v>8495</v>
      </c>
      <c r="B107" s="22" t="s">
        <v>32931</v>
      </c>
      <c r="C107" s="7"/>
      <c r="D107" s="7"/>
      <c r="E107" s="7"/>
      <c r="F107" t="s">
        <v>67</v>
      </c>
      <c r="G107" t="s">
        <v>12783</v>
      </c>
      <c r="H107" t="s">
        <v>69</v>
      </c>
      <c r="I107" t="s">
        <v>69</v>
      </c>
      <c r="J107" t="s">
        <v>69</v>
      </c>
      <c r="K107" t="s">
        <v>12784</v>
      </c>
      <c r="L107" t="s">
        <v>69</v>
      </c>
      <c r="M107" t="s">
        <v>69</v>
      </c>
      <c r="N107" t="s">
        <v>12785</v>
      </c>
      <c r="O107" t="s">
        <v>5875</v>
      </c>
      <c r="P107" t="s">
        <v>69</v>
      </c>
      <c r="Q107" t="s">
        <v>69</v>
      </c>
      <c r="R107" t="s">
        <v>8505</v>
      </c>
      <c r="S107" t="s">
        <v>8506</v>
      </c>
      <c r="T107" t="s">
        <v>69</v>
      </c>
      <c r="U107" t="s">
        <v>69</v>
      </c>
      <c r="V107" t="s">
        <v>69</v>
      </c>
      <c r="W107" t="s">
        <v>69</v>
      </c>
      <c r="X107" t="s">
        <v>69</v>
      </c>
      <c r="Y107" t="s">
        <v>12786</v>
      </c>
      <c r="Z107" t="s">
        <v>69</v>
      </c>
      <c r="AA107" t="s">
        <v>12787</v>
      </c>
      <c r="AB107" t="s">
        <v>12788</v>
      </c>
      <c r="AC107" t="s">
        <v>69</v>
      </c>
      <c r="AD107" t="s">
        <v>12789</v>
      </c>
      <c r="AE107" t="s">
        <v>12790</v>
      </c>
      <c r="AF107" t="s">
        <v>69</v>
      </c>
      <c r="AG107" t="s">
        <v>69</v>
      </c>
      <c r="AH107" t="s">
        <v>12791</v>
      </c>
      <c r="AI107" t="s">
        <v>12792</v>
      </c>
      <c r="AJ107" t="s">
        <v>12793</v>
      </c>
      <c r="AK107" t="s">
        <v>69</v>
      </c>
      <c r="AL107">
        <v>8</v>
      </c>
      <c r="AM107">
        <v>1</v>
      </c>
      <c r="AN107">
        <v>1</v>
      </c>
      <c r="AO107">
        <v>1</v>
      </c>
      <c r="AP107">
        <v>4</v>
      </c>
      <c r="AQ107" t="s">
        <v>8846</v>
      </c>
      <c r="AR107" t="s">
        <v>8847</v>
      </c>
      <c r="AS107" t="s">
        <v>8848</v>
      </c>
      <c r="AT107" t="s">
        <v>5877</v>
      </c>
      <c r="AU107" t="s">
        <v>5878</v>
      </c>
      <c r="AV107" t="s">
        <v>69</v>
      </c>
      <c r="AW107" t="s">
        <v>12794</v>
      </c>
      <c r="AX107" t="s">
        <v>12795</v>
      </c>
      <c r="AY107" t="s">
        <v>246</v>
      </c>
      <c r="AZ107">
        <v>2021</v>
      </c>
      <c r="BA107">
        <v>40</v>
      </c>
      <c r="BB107">
        <v>4</v>
      </c>
      <c r="BC107" t="s">
        <v>69</v>
      </c>
      <c r="BD107" t="s">
        <v>69</v>
      </c>
      <c r="BE107" t="s">
        <v>69</v>
      </c>
      <c r="BF107" t="s">
        <v>69</v>
      </c>
      <c r="BG107">
        <v>1188</v>
      </c>
      <c r="BH107">
        <v>1193</v>
      </c>
      <c r="BI107" t="s">
        <v>69</v>
      </c>
      <c r="BJ107" t="s">
        <v>12796</v>
      </c>
      <c r="BK107" t="str">
        <f>HYPERLINK("http://dx.doi.org/10.1002/etc.4977","http://dx.doi.org/10.1002/etc.4977")</f>
        <v>http://dx.doi.org/10.1002/etc.4977</v>
      </c>
      <c r="BL107" t="s">
        <v>69</v>
      </c>
      <c r="BM107" t="s">
        <v>12704</v>
      </c>
      <c r="BN107">
        <v>6</v>
      </c>
      <c r="BO107" t="s">
        <v>12797</v>
      </c>
      <c r="BP107" t="s">
        <v>8548</v>
      </c>
      <c r="BQ107" t="s">
        <v>12798</v>
      </c>
      <c r="BR107" t="s">
        <v>12799</v>
      </c>
      <c r="BS107" t="s">
        <v>12800</v>
      </c>
      <c r="BT107">
        <v>33369771</v>
      </c>
      <c r="BU107" t="s">
        <v>69</v>
      </c>
      <c r="BV107" t="s">
        <v>69</v>
      </c>
      <c r="BW107" t="s">
        <v>69</v>
      </c>
      <c r="BX107" t="s">
        <v>8526</v>
      </c>
      <c r="BY107" t="str">
        <f>HYPERLINK("https%3A%2F%2Fwww.webofscience.com%2Fwos%2Fwoscc%2Ffull-record%2FWOS:000626983400001","View Full Record in Web of Science")</f>
        <v>View Full Record in Web of Science</v>
      </c>
    </row>
    <row r="108" spans="1:77" x14ac:dyDescent="0.3">
      <c r="A108" t="s">
        <v>8495</v>
      </c>
      <c r="B108" s="10" t="s">
        <v>32943</v>
      </c>
      <c r="F108" t="s">
        <v>67</v>
      </c>
      <c r="G108" t="s">
        <v>4334</v>
      </c>
      <c r="H108" t="s">
        <v>69</v>
      </c>
      <c r="I108" t="s">
        <v>69</v>
      </c>
      <c r="J108" t="s">
        <v>69</v>
      </c>
      <c r="K108" s="2" t="s">
        <v>4335</v>
      </c>
      <c r="L108" t="s">
        <v>69</v>
      </c>
      <c r="M108" t="s">
        <v>69</v>
      </c>
      <c r="N108" s="2" t="s">
        <v>4336</v>
      </c>
      <c r="O108" t="s">
        <v>4337</v>
      </c>
      <c r="P108" t="s">
        <v>69</v>
      </c>
      <c r="Q108" t="s">
        <v>69</v>
      </c>
      <c r="R108" t="s">
        <v>8505</v>
      </c>
      <c r="S108" t="s">
        <v>8506</v>
      </c>
      <c r="T108" t="s">
        <v>69</v>
      </c>
      <c r="U108" t="s">
        <v>69</v>
      </c>
      <c r="V108" t="s">
        <v>69</v>
      </c>
      <c r="W108" t="s">
        <v>69</v>
      </c>
      <c r="X108" t="s">
        <v>69</v>
      </c>
      <c r="Y108" t="s">
        <v>19250</v>
      </c>
      <c r="Z108" t="s">
        <v>19251</v>
      </c>
      <c r="AA108" t="s">
        <v>4338</v>
      </c>
      <c r="AB108" t="s">
        <v>19252</v>
      </c>
      <c r="AC108" t="s">
        <v>69</v>
      </c>
      <c r="AD108" t="s">
        <v>19253</v>
      </c>
      <c r="AE108" t="s">
        <v>19254</v>
      </c>
      <c r="AF108" t="s">
        <v>4339</v>
      </c>
      <c r="AG108" t="s">
        <v>4340</v>
      </c>
      <c r="AH108" t="s">
        <v>69</v>
      </c>
      <c r="AI108" t="s">
        <v>69</v>
      </c>
      <c r="AJ108" t="s">
        <v>69</v>
      </c>
      <c r="AK108" t="s">
        <v>69</v>
      </c>
      <c r="AL108">
        <v>139</v>
      </c>
      <c r="AM108">
        <v>56</v>
      </c>
      <c r="AN108">
        <v>57</v>
      </c>
      <c r="AO108">
        <v>6</v>
      </c>
      <c r="AP108">
        <v>59</v>
      </c>
      <c r="AQ108" t="s">
        <v>8636</v>
      </c>
      <c r="AR108" t="s">
        <v>8637</v>
      </c>
      <c r="AS108" t="s">
        <v>8638</v>
      </c>
      <c r="AT108" t="s">
        <v>4341</v>
      </c>
      <c r="AU108" t="s">
        <v>4342</v>
      </c>
      <c r="AV108" t="s">
        <v>69</v>
      </c>
      <c r="AW108" t="s">
        <v>4337</v>
      </c>
      <c r="AX108" t="s">
        <v>8447</v>
      </c>
      <c r="AY108" t="s">
        <v>191</v>
      </c>
      <c r="AZ108">
        <v>2018</v>
      </c>
      <c r="BA108">
        <v>72</v>
      </c>
      <c r="BB108" t="s">
        <v>69</v>
      </c>
      <c r="BC108" t="s">
        <v>514</v>
      </c>
      <c r="BD108" t="s">
        <v>69</v>
      </c>
      <c r="BE108" t="s">
        <v>69</v>
      </c>
      <c r="BF108" t="s">
        <v>69</v>
      </c>
      <c r="BG108">
        <v>295</v>
      </c>
      <c r="BH108">
        <v>309</v>
      </c>
      <c r="BI108" t="s">
        <v>69</v>
      </c>
      <c r="BJ108" t="s">
        <v>4343</v>
      </c>
      <c r="BK108" t="str">
        <f>HYPERLINK("http://dx.doi.org/10.1016/j.cities.2017.09.008","http://dx.doi.org/10.1016/j.cities.2017.09.008")</f>
        <v>http://dx.doi.org/10.1016/j.cities.2017.09.008</v>
      </c>
      <c r="BL108" t="s">
        <v>69</v>
      </c>
      <c r="BM108" t="s">
        <v>69</v>
      </c>
      <c r="BN108">
        <v>15</v>
      </c>
      <c r="BO108" t="s">
        <v>8475</v>
      </c>
      <c r="BP108" t="s">
        <v>8661</v>
      </c>
      <c r="BQ108" t="s">
        <v>8475</v>
      </c>
      <c r="BR108" t="s">
        <v>19255</v>
      </c>
      <c r="BS108" t="s">
        <v>4344</v>
      </c>
      <c r="BT108" t="s">
        <v>69</v>
      </c>
      <c r="BU108" t="s">
        <v>69</v>
      </c>
      <c r="BV108" t="s">
        <v>69</v>
      </c>
      <c r="BW108" t="s">
        <v>69</v>
      </c>
      <c r="BX108" t="s">
        <v>8526</v>
      </c>
      <c r="BY108" t="str">
        <f>HYPERLINK("https%3A%2F%2Fwww.webofscience.com%2Fwos%2Fwoscc%2Ffull-record%2FWOS:000419414700010","View Full Record in Web of Science")</f>
        <v>View Full Record in Web of Science</v>
      </c>
    </row>
    <row r="109" spans="1:77" ht="12.5" x14ac:dyDescent="0.25">
      <c r="A109" t="s">
        <v>8495</v>
      </c>
      <c r="B109" s="7" t="s">
        <v>32933</v>
      </c>
      <c r="C109" s="7"/>
      <c r="D109" s="7"/>
      <c r="E109" s="7"/>
      <c r="F109" t="s">
        <v>67</v>
      </c>
      <c r="G109" t="s">
        <v>6354</v>
      </c>
      <c r="H109" t="s">
        <v>69</v>
      </c>
      <c r="I109" t="s">
        <v>69</v>
      </c>
      <c r="J109" t="s">
        <v>69</v>
      </c>
      <c r="K109" t="s">
        <v>6355</v>
      </c>
      <c r="L109" t="s">
        <v>69</v>
      </c>
      <c r="M109" t="s">
        <v>69</v>
      </c>
      <c r="N109" t="s">
        <v>6356</v>
      </c>
      <c r="O109" t="s">
        <v>2691</v>
      </c>
      <c r="P109" t="s">
        <v>69</v>
      </c>
      <c r="Q109" t="s">
        <v>69</v>
      </c>
      <c r="R109" t="s">
        <v>8505</v>
      </c>
      <c r="S109" t="s">
        <v>8506</v>
      </c>
      <c r="T109" t="s">
        <v>69</v>
      </c>
      <c r="U109" t="s">
        <v>69</v>
      </c>
      <c r="V109" t="s">
        <v>69</v>
      </c>
      <c r="W109" t="s">
        <v>69</v>
      </c>
      <c r="X109" t="s">
        <v>69</v>
      </c>
      <c r="Y109" t="s">
        <v>28045</v>
      </c>
      <c r="Z109" t="s">
        <v>28046</v>
      </c>
      <c r="AA109" t="s">
        <v>6357</v>
      </c>
      <c r="AB109" t="s">
        <v>28047</v>
      </c>
      <c r="AC109" t="s">
        <v>69</v>
      </c>
      <c r="AD109" t="s">
        <v>28048</v>
      </c>
      <c r="AE109" t="s">
        <v>28049</v>
      </c>
      <c r="AF109" t="s">
        <v>28050</v>
      </c>
      <c r="AG109" t="s">
        <v>28051</v>
      </c>
      <c r="AH109" t="s">
        <v>69</v>
      </c>
      <c r="AI109" t="s">
        <v>69</v>
      </c>
      <c r="AJ109" t="s">
        <v>69</v>
      </c>
      <c r="AK109" t="s">
        <v>69</v>
      </c>
      <c r="AL109">
        <v>42</v>
      </c>
      <c r="AM109">
        <v>14</v>
      </c>
      <c r="AN109">
        <v>15</v>
      </c>
      <c r="AO109">
        <v>1</v>
      </c>
      <c r="AP109">
        <v>27</v>
      </c>
      <c r="AQ109" t="s">
        <v>8586</v>
      </c>
      <c r="AR109" t="s">
        <v>8587</v>
      </c>
      <c r="AS109" t="s">
        <v>8588</v>
      </c>
      <c r="AT109" t="s">
        <v>2693</v>
      </c>
      <c r="AU109" t="s">
        <v>2694</v>
      </c>
      <c r="AV109" t="s">
        <v>69</v>
      </c>
      <c r="AW109" t="s">
        <v>20616</v>
      </c>
      <c r="AX109" t="s">
        <v>20617</v>
      </c>
      <c r="AY109" t="s">
        <v>69</v>
      </c>
      <c r="AZ109">
        <v>2010</v>
      </c>
      <c r="BA109">
        <v>2</v>
      </c>
      <c r="BB109">
        <v>1</v>
      </c>
      <c r="BC109" t="s">
        <v>69</v>
      </c>
      <c r="BD109" t="s">
        <v>69</v>
      </c>
      <c r="BE109" t="s">
        <v>69</v>
      </c>
      <c r="BF109" t="s">
        <v>69</v>
      </c>
      <c r="BG109">
        <v>84</v>
      </c>
      <c r="BH109">
        <v>97</v>
      </c>
      <c r="BI109" t="s">
        <v>69</v>
      </c>
      <c r="BJ109" t="s">
        <v>6358</v>
      </c>
      <c r="BK109" t="str">
        <f>HYPERLINK("http://dx.doi.org/10.1108/17568691011020274","http://dx.doi.org/10.1108/17568691011020274")</f>
        <v>http://dx.doi.org/10.1108/17568691011020274</v>
      </c>
      <c r="BL109" t="s">
        <v>69</v>
      </c>
      <c r="BM109" t="s">
        <v>69</v>
      </c>
      <c r="BN109">
        <v>14</v>
      </c>
      <c r="BO109" t="s">
        <v>8660</v>
      </c>
      <c r="BP109" t="s">
        <v>8661</v>
      </c>
      <c r="BQ109" t="s">
        <v>8662</v>
      </c>
      <c r="BR109" t="s">
        <v>28052</v>
      </c>
      <c r="BS109" t="s">
        <v>6359</v>
      </c>
      <c r="BT109" t="s">
        <v>69</v>
      </c>
      <c r="BU109" t="s">
        <v>69</v>
      </c>
      <c r="BV109" t="s">
        <v>69</v>
      </c>
      <c r="BW109" t="s">
        <v>69</v>
      </c>
      <c r="BX109" t="s">
        <v>8526</v>
      </c>
      <c r="BY109" t="str">
        <f>HYPERLINK("https%3A%2F%2Fwww.webofscience.com%2Fwos%2Fwoscc%2Ffull-record%2FWOS:000290086200006","View Full Record in Web of Science")</f>
        <v>View Full Record in Web of Science</v>
      </c>
    </row>
    <row r="110" spans="1:77" ht="12.5" x14ac:dyDescent="0.25">
      <c r="A110" t="s">
        <v>8495</v>
      </c>
      <c r="B110" s="7" t="s">
        <v>32933</v>
      </c>
      <c r="C110" s="7"/>
      <c r="D110" s="7"/>
      <c r="E110" s="7"/>
      <c r="F110" t="s">
        <v>67</v>
      </c>
      <c r="G110" t="s">
        <v>4596</v>
      </c>
      <c r="H110" t="s">
        <v>69</v>
      </c>
      <c r="I110" t="s">
        <v>69</v>
      </c>
      <c r="J110" t="s">
        <v>69</v>
      </c>
      <c r="K110" t="s">
        <v>4597</v>
      </c>
      <c r="L110" t="s">
        <v>69</v>
      </c>
      <c r="M110" t="s">
        <v>69</v>
      </c>
      <c r="N110" t="s">
        <v>4598</v>
      </c>
      <c r="O110" t="s">
        <v>4599</v>
      </c>
      <c r="P110" t="s">
        <v>69</v>
      </c>
      <c r="Q110" t="s">
        <v>69</v>
      </c>
      <c r="R110" t="s">
        <v>8505</v>
      </c>
      <c r="S110" t="s">
        <v>8506</v>
      </c>
      <c r="T110" t="s">
        <v>69</v>
      </c>
      <c r="U110" t="s">
        <v>69</v>
      </c>
      <c r="V110" t="s">
        <v>69</v>
      </c>
      <c r="W110" t="s">
        <v>69</v>
      </c>
      <c r="X110" t="s">
        <v>69</v>
      </c>
      <c r="Y110" t="s">
        <v>21842</v>
      </c>
      <c r="Z110" t="s">
        <v>21843</v>
      </c>
      <c r="AA110" t="s">
        <v>4600</v>
      </c>
      <c r="AB110" t="s">
        <v>21844</v>
      </c>
      <c r="AC110" t="s">
        <v>69</v>
      </c>
      <c r="AD110" t="s">
        <v>21845</v>
      </c>
      <c r="AE110" t="s">
        <v>21846</v>
      </c>
      <c r="AF110" t="s">
        <v>69</v>
      </c>
      <c r="AG110" t="s">
        <v>69</v>
      </c>
      <c r="AH110" t="s">
        <v>21847</v>
      </c>
      <c r="AI110" t="s">
        <v>21848</v>
      </c>
      <c r="AJ110" t="s">
        <v>21849</v>
      </c>
      <c r="AK110" t="s">
        <v>69</v>
      </c>
      <c r="AL110">
        <v>55</v>
      </c>
      <c r="AM110">
        <v>16</v>
      </c>
      <c r="AN110">
        <v>16</v>
      </c>
      <c r="AO110">
        <v>1</v>
      </c>
      <c r="AP110">
        <v>59</v>
      </c>
      <c r="AQ110" t="s">
        <v>8846</v>
      </c>
      <c r="AR110" t="s">
        <v>8847</v>
      </c>
      <c r="AS110" t="s">
        <v>8848</v>
      </c>
      <c r="AT110" t="s">
        <v>4601</v>
      </c>
      <c r="AU110" t="s">
        <v>4602</v>
      </c>
      <c r="AV110" t="s">
        <v>69</v>
      </c>
      <c r="AW110" t="s">
        <v>8849</v>
      </c>
      <c r="AX110" t="s">
        <v>8850</v>
      </c>
      <c r="AY110" t="s">
        <v>191</v>
      </c>
      <c r="AZ110">
        <v>2016</v>
      </c>
      <c r="BA110">
        <v>52</v>
      </c>
      <c r="BB110">
        <v>1</v>
      </c>
      <c r="BC110" t="s">
        <v>69</v>
      </c>
      <c r="BD110" t="s">
        <v>69</v>
      </c>
      <c r="BE110" t="s">
        <v>69</v>
      </c>
      <c r="BF110" t="s">
        <v>69</v>
      </c>
      <c r="BG110">
        <v>222</v>
      </c>
      <c r="BH110">
        <v>240</v>
      </c>
      <c r="BI110" t="s">
        <v>69</v>
      </c>
      <c r="BJ110" t="s">
        <v>4603</v>
      </c>
      <c r="BK110" t="str">
        <f>HYPERLINK("http://dx.doi.org/10.1111/1752-1688.12378","http://dx.doi.org/10.1111/1752-1688.12378")</f>
        <v>http://dx.doi.org/10.1111/1752-1688.12378</v>
      </c>
      <c r="BL110" t="s">
        <v>69</v>
      </c>
      <c r="BM110" t="s">
        <v>69</v>
      </c>
      <c r="BN110">
        <v>19</v>
      </c>
      <c r="BO110" t="s">
        <v>8852</v>
      </c>
      <c r="BP110" t="s">
        <v>8548</v>
      </c>
      <c r="BQ110" t="s">
        <v>8853</v>
      </c>
      <c r="BR110" t="s">
        <v>21850</v>
      </c>
      <c r="BS110" t="s">
        <v>4604</v>
      </c>
      <c r="BT110" t="s">
        <v>69</v>
      </c>
      <c r="BU110" t="s">
        <v>69</v>
      </c>
      <c r="BV110" t="s">
        <v>69</v>
      </c>
      <c r="BW110" t="s">
        <v>69</v>
      </c>
      <c r="BX110" t="s">
        <v>8526</v>
      </c>
      <c r="BY110" t="str">
        <f>HYPERLINK("https%3A%2F%2Fwww.webofscience.com%2Fwos%2Fwoscc%2Ffull-record%2FWOS:000369999100015","View Full Record in Web of Science")</f>
        <v>View Full Record in Web of Science</v>
      </c>
    </row>
    <row r="111" spans="1:77" ht="12.5" x14ac:dyDescent="0.25">
      <c r="A111" t="s">
        <v>8495</v>
      </c>
      <c r="B111" s="22" t="s">
        <v>32931</v>
      </c>
      <c r="C111" s="7"/>
      <c r="D111" s="7"/>
      <c r="E111" s="7"/>
      <c r="F111" t="s">
        <v>67</v>
      </c>
      <c r="G111" t="s">
        <v>23797</v>
      </c>
      <c r="H111" t="s">
        <v>69</v>
      </c>
      <c r="K111" t="s">
        <v>23798</v>
      </c>
      <c r="L111" t="s">
        <v>69</v>
      </c>
      <c r="M111" t="s">
        <v>69</v>
      </c>
      <c r="N111" t="s">
        <v>23799</v>
      </c>
      <c r="O111" t="s">
        <v>12117</v>
      </c>
      <c r="P111" t="s">
        <v>69</v>
      </c>
      <c r="Q111" t="s">
        <v>69</v>
      </c>
      <c r="R111" t="s">
        <v>8505</v>
      </c>
      <c r="S111" t="s">
        <v>8506</v>
      </c>
      <c r="T111" t="s">
        <v>69</v>
      </c>
      <c r="U111" t="s">
        <v>69</v>
      </c>
      <c r="V111" t="s">
        <v>69</v>
      </c>
      <c r="W111" t="s">
        <v>69</v>
      </c>
      <c r="X111" t="s">
        <v>69</v>
      </c>
      <c r="Y111" t="s">
        <v>23800</v>
      </c>
      <c r="Z111" t="s">
        <v>23801</v>
      </c>
      <c r="AA111" t="s">
        <v>23802</v>
      </c>
      <c r="AB111" t="s">
        <v>23803</v>
      </c>
      <c r="AC111" t="s">
        <v>69</v>
      </c>
      <c r="AD111" t="s">
        <v>23804</v>
      </c>
      <c r="AE111" t="s">
        <v>23805</v>
      </c>
      <c r="AF111" t="s">
        <v>23806</v>
      </c>
      <c r="AG111" t="s">
        <v>23807</v>
      </c>
      <c r="AH111" t="s">
        <v>69</v>
      </c>
      <c r="AI111" t="s">
        <v>69</v>
      </c>
      <c r="AJ111" t="s">
        <v>69</v>
      </c>
      <c r="AK111" t="s">
        <v>69</v>
      </c>
      <c r="AL111">
        <v>32</v>
      </c>
      <c r="AM111">
        <v>9</v>
      </c>
      <c r="AN111">
        <v>10</v>
      </c>
      <c r="AO111">
        <v>2</v>
      </c>
      <c r="AP111">
        <v>26</v>
      </c>
      <c r="AQ111" t="s">
        <v>8846</v>
      </c>
      <c r="AR111" t="s">
        <v>8847</v>
      </c>
      <c r="AS111" t="s">
        <v>8848</v>
      </c>
      <c r="AT111" t="s">
        <v>12126</v>
      </c>
      <c r="AU111" t="s">
        <v>12127</v>
      </c>
      <c r="AV111" t="s">
        <v>69</v>
      </c>
      <c r="AW111" t="s">
        <v>12128</v>
      </c>
      <c r="AX111" t="s">
        <v>12129</v>
      </c>
      <c r="AY111" t="s">
        <v>1375</v>
      </c>
      <c r="AZ111">
        <v>2014</v>
      </c>
      <c r="BA111">
        <v>21</v>
      </c>
      <c r="BB111">
        <v>3</v>
      </c>
      <c r="BC111" t="s">
        <v>69</v>
      </c>
      <c r="BD111" t="s">
        <v>69</v>
      </c>
      <c r="BE111" t="s">
        <v>114</v>
      </c>
      <c r="BF111" t="s">
        <v>69</v>
      </c>
      <c r="BG111">
        <v>155</v>
      </c>
      <c r="BH111">
        <v>166</v>
      </c>
      <c r="BI111" t="s">
        <v>69</v>
      </c>
      <c r="BJ111" t="s">
        <v>23808</v>
      </c>
      <c r="BK111" t="str">
        <f>HYPERLINK("http://dx.doi.org/10.1002/csr.1314","http://dx.doi.org/10.1002/csr.1314")</f>
        <v>http://dx.doi.org/10.1002/csr.1314</v>
      </c>
      <c r="BL111" t="s">
        <v>69</v>
      </c>
      <c r="BM111" t="s">
        <v>69</v>
      </c>
      <c r="BN111">
        <v>12</v>
      </c>
      <c r="BO111" t="s">
        <v>9113</v>
      </c>
      <c r="BP111" t="s">
        <v>8661</v>
      </c>
      <c r="BQ111" t="s">
        <v>9114</v>
      </c>
      <c r="BR111" t="s">
        <v>23809</v>
      </c>
      <c r="BS111" t="s">
        <v>23810</v>
      </c>
      <c r="BT111" t="s">
        <v>69</v>
      </c>
      <c r="BU111" t="s">
        <v>10423</v>
      </c>
      <c r="BV111" t="s">
        <v>69</v>
      </c>
      <c r="BW111" t="s">
        <v>69</v>
      </c>
      <c r="BX111" t="s">
        <v>8526</v>
      </c>
      <c r="BY111" t="str">
        <f>HYPERLINK("https%3A%2F%2Fwww.webofscience.com%2Fwos%2Fwoscc%2Ffull-record%2FWOS:000340291000004","View Full Record in Web of Science")</f>
        <v>View Full Record in Web of Science</v>
      </c>
    </row>
    <row r="112" spans="1:77" ht="12.5" x14ac:dyDescent="0.25">
      <c r="A112" t="s">
        <v>8495</v>
      </c>
      <c r="B112" s="22" t="s">
        <v>32931</v>
      </c>
      <c r="C112" s="7"/>
      <c r="D112" s="7"/>
      <c r="E112" s="7"/>
      <c r="F112" t="s">
        <v>67</v>
      </c>
      <c r="G112" t="s">
        <v>11139</v>
      </c>
      <c r="H112" t="s">
        <v>69</v>
      </c>
      <c r="I112" t="s">
        <v>69</v>
      </c>
      <c r="J112" t="s">
        <v>69</v>
      </c>
      <c r="K112" t="s">
        <v>11140</v>
      </c>
      <c r="L112" t="s">
        <v>69</v>
      </c>
      <c r="M112" t="s">
        <v>69</v>
      </c>
      <c r="N112" t="s">
        <v>11141</v>
      </c>
      <c r="O112" t="s">
        <v>11142</v>
      </c>
      <c r="P112" t="s">
        <v>69</v>
      </c>
      <c r="Q112" t="s">
        <v>69</v>
      </c>
      <c r="R112" t="s">
        <v>8505</v>
      </c>
      <c r="S112" t="s">
        <v>8442</v>
      </c>
      <c r="T112" t="s">
        <v>69</v>
      </c>
      <c r="U112" t="s">
        <v>69</v>
      </c>
      <c r="V112" t="s">
        <v>69</v>
      </c>
      <c r="W112" t="s">
        <v>69</v>
      </c>
      <c r="X112" t="s">
        <v>69</v>
      </c>
      <c r="Y112" t="s">
        <v>11143</v>
      </c>
      <c r="Z112" t="s">
        <v>11144</v>
      </c>
      <c r="AA112" t="s">
        <v>11145</v>
      </c>
      <c r="AB112" t="s">
        <v>11146</v>
      </c>
      <c r="AC112" t="s">
        <v>69</v>
      </c>
      <c r="AD112" t="s">
        <v>11147</v>
      </c>
      <c r="AE112" t="s">
        <v>11148</v>
      </c>
      <c r="AF112" t="s">
        <v>69</v>
      </c>
      <c r="AG112" t="s">
        <v>11149</v>
      </c>
      <c r="AH112" t="s">
        <v>69</v>
      </c>
      <c r="AI112" t="s">
        <v>69</v>
      </c>
      <c r="AJ112" t="s">
        <v>69</v>
      </c>
      <c r="AK112" t="s">
        <v>69</v>
      </c>
      <c r="AL112">
        <v>109</v>
      </c>
      <c r="AM112">
        <v>0</v>
      </c>
      <c r="AN112">
        <v>0</v>
      </c>
      <c r="AO112">
        <v>1</v>
      </c>
      <c r="AP112">
        <v>7</v>
      </c>
      <c r="AQ112" t="s">
        <v>8516</v>
      </c>
      <c r="AR112" t="s">
        <v>8517</v>
      </c>
      <c r="AS112" t="s">
        <v>8518</v>
      </c>
      <c r="AT112" t="s">
        <v>11150</v>
      </c>
      <c r="AU112" t="s">
        <v>11151</v>
      </c>
      <c r="AV112" t="s">
        <v>69</v>
      </c>
      <c r="AW112" t="s">
        <v>11152</v>
      </c>
      <c r="AX112" t="s">
        <v>11153</v>
      </c>
      <c r="AY112" t="s">
        <v>373</v>
      </c>
      <c r="AZ112">
        <v>2022</v>
      </c>
      <c r="BA112">
        <v>58</v>
      </c>
      <c r="BB112" t="s">
        <v>69</v>
      </c>
      <c r="BC112" t="s">
        <v>69</v>
      </c>
      <c r="BD112" t="s">
        <v>69</v>
      </c>
      <c r="BE112" t="s">
        <v>69</v>
      </c>
      <c r="BF112" t="s">
        <v>69</v>
      </c>
      <c r="BG112" t="s">
        <v>69</v>
      </c>
      <c r="BH112" t="s">
        <v>69</v>
      </c>
      <c r="BI112">
        <v>102075</v>
      </c>
      <c r="BJ112" t="s">
        <v>11154</v>
      </c>
      <c r="BK112" t="str">
        <f>HYPERLINK("http://dx.doi.org/10.1016/j.psychsport.2021.102075","http://dx.doi.org/10.1016/j.psychsport.2021.102075")</f>
        <v>http://dx.doi.org/10.1016/j.psychsport.2021.102075</v>
      </c>
      <c r="BL112" t="s">
        <v>69</v>
      </c>
      <c r="BM112" t="s">
        <v>10991</v>
      </c>
      <c r="BN112">
        <v>10</v>
      </c>
      <c r="BO112" t="s">
        <v>10399</v>
      </c>
      <c r="BP112" t="s">
        <v>8523</v>
      </c>
      <c r="BQ112" t="s">
        <v>10400</v>
      </c>
      <c r="BR112" t="s">
        <v>11155</v>
      </c>
      <c r="BS112" t="s">
        <v>11156</v>
      </c>
      <c r="BT112" t="s">
        <v>69</v>
      </c>
      <c r="BU112" t="s">
        <v>69</v>
      </c>
      <c r="BV112" t="s">
        <v>69</v>
      </c>
      <c r="BW112" t="s">
        <v>69</v>
      </c>
      <c r="BX112" t="s">
        <v>8526</v>
      </c>
      <c r="BY112" t="str">
        <f>HYPERLINK("https%3A%2F%2Fwww.webofscience.com%2Fwos%2Fwoscc%2Ffull-record%2FWOS:000710000400009","View Full Record in Web of Science")</f>
        <v>View Full Record in Web of Science</v>
      </c>
    </row>
    <row r="113" spans="1:77" ht="12.5" x14ac:dyDescent="0.25">
      <c r="A113" t="s">
        <v>8495</v>
      </c>
      <c r="B113" s="24" t="s">
        <v>32941</v>
      </c>
      <c r="C113" s="7" t="s">
        <v>33083</v>
      </c>
      <c r="D113" s="7"/>
      <c r="E113" s="7" t="s">
        <v>8490</v>
      </c>
      <c r="F113" t="s">
        <v>67</v>
      </c>
      <c r="G113" t="s">
        <v>30522</v>
      </c>
      <c r="H113" t="s">
        <v>69</v>
      </c>
      <c r="I113" t="s">
        <v>69</v>
      </c>
      <c r="J113" t="s">
        <v>69</v>
      </c>
      <c r="K113" t="s">
        <v>30523</v>
      </c>
      <c r="L113" t="s">
        <v>69</v>
      </c>
      <c r="M113" t="s">
        <v>69</v>
      </c>
      <c r="N113" t="s">
        <v>30524</v>
      </c>
      <c r="O113" t="s">
        <v>1969</v>
      </c>
      <c r="P113" t="s">
        <v>69</v>
      </c>
      <c r="Q113" t="s">
        <v>69</v>
      </c>
      <c r="R113" t="s">
        <v>8505</v>
      </c>
      <c r="S113" t="s">
        <v>8506</v>
      </c>
      <c r="T113" t="s">
        <v>69</v>
      </c>
      <c r="U113" t="s">
        <v>69</v>
      </c>
      <c r="V113" t="s">
        <v>69</v>
      </c>
      <c r="W113" t="s">
        <v>69</v>
      </c>
      <c r="X113" t="s">
        <v>69</v>
      </c>
      <c r="Y113" t="s">
        <v>30525</v>
      </c>
      <c r="Z113" t="s">
        <v>69</v>
      </c>
      <c r="AA113" t="s">
        <v>30526</v>
      </c>
      <c r="AB113" t="s">
        <v>30527</v>
      </c>
      <c r="AC113" t="s">
        <v>69</v>
      </c>
      <c r="AD113" t="s">
        <v>30528</v>
      </c>
      <c r="AE113" t="s">
        <v>30529</v>
      </c>
      <c r="AF113" t="s">
        <v>69</v>
      </c>
      <c r="AG113" t="s">
        <v>30530</v>
      </c>
      <c r="AH113" t="s">
        <v>69</v>
      </c>
      <c r="AI113" t="s">
        <v>69</v>
      </c>
      <c r="AJ113" t="s">
        <v>69</v>
      </c>
      <c r="AK113" t="s">
        <v>69</v>
      </c>
      <c r="AL113">
        <v>56</v>
      </c>
      <c r="AM113">
        <v>38</v>
      </c>
      <c r="AN113">
        <v>39</v>
      </c>
      <c r="AO113">
        <v>0</v>
      </c>
      <c r="AP113">
        <v>0</v>
      </c>
      <c r="AQ113" t="s">
        <v>8586</v>
      </c>
      <c r="AR113" t="s">
        <v>8587</v>
      </c>
      <c r="AS113" t="s">
        <v>8588</v>
      </c>
      <c r="AT113" t="s">
        <v>1971</v>
      </c>
      <c r="AU113" t="s">
        <v>1972</v>
      </c>
      <c r="AV113" t="s">
        <v>69</v>
      </c>
      <c r="AW113" t="s">
        <v>15149</v>
      </c>
      <c r="AX113" t="s">
        <v>15150</v>
      </c>
      <c r="AY113" t="s">
        <v>69</v>
      </c>
      <c r="AZ113">
        <v>2006</v>
      </c>
      <c r="BA113">
        <v>17</v>
      </c>
      <c r="BB113">
        <v>6</v>
      </c>
      <c r="BC113" t="s">
        <v>69</v>
      </c>
      <c r="BD113" t="s">
        <v>69</v>
      </c>
      <c r="BE113" t="s">
        <v>69</v>
      </c>
      <c r="BF113" t="s">
        <v>69</v>
      </c>
      <c r="BG113">
        <v>689</v>
      </c>
      <c r="BH113">
        <v>706</v>
      </c>
      <c r="BI113" t="s">
        <v>69</v>
      </c>
      <c r="BJ113" t="s">
        <v>30531</v>
      </c>
      <c r="BK113" t="str">
        <f>HYPERLINK("http://dx.doi.org/10.1108/14777830610702520","http://dx.doi.org/10.1108/14777830610702520")</f>
        <v>http://dx.doi.org/10.1108/14777830610702520</v>
      </c>
      <c r="BL113" t="s">
        <v>69</v>
      </c>
      <c r="BM113" t="s">
        <v>69</v>
      </c>
      <c r="BN113">
        <v>18</v>
      </c>
      <c r="BO113" t="s">
        <v>8660</v>
      </c>
      <c r="BP113" t="s">
        <v>8573</v>
      </c>
      <c r="BQ113" t="s">
        <v>8662</v>
      </c>
      <c r="BR113" t="s">
        <v>30532</v>
      </c>
      <c r="BS113" t="s">
        <v>30533</v>
      </c>
      <c r="BT113" t="s">
        <v>69</v>
      </c>
      <c r="BU113" t="s">
        <v>69</v>
      </c>
      <c r="BV113" t="s">
        <v>69</v>
      </c>
      <c r="BW113" t="s">
        <v>69</v>
      </c>
      <c r="BX113" t="s">
        <v>8526</v>
      </c>
      <c r="BY113" t="str">
        <f>HYPERLINK("https%3A%2F%2Fwww.webofscience.com%2Fwos%2Fwoscc%2Ffull-record%2FWOS:000415237400017","View Full Record in Web of Science")</f>
        <v>View Full Record in Web of Science</v>
      </c>
    </row>
    <row r="114" spans="1:77" ht="12.5" x14ac:dyDescent="0.25">
      <c r="A114" t="s">
        <v>8495</v>
      </c>
      <c r="B114" s="7" t="s">
        <v>32942</v>
      </c>
      <c r="C114" s="7"/>
      <c r="D114" s="7"/>
      <c r="E114" s="7" t="s">
        <v>33053</v>
      </c>
      <c r="F114" t="s">
        <v>67</v>
      </c>
      <c r="G114" t="s">
        <v>24914</v>
      </c>
      <c r="H114" t="s">
        <v>69</v>
      </c>
      <c r="I114" t="s">
        <v>69</v>
      </c>
      <c r="J114" t="s">
        <v>69</v>
      </c>
      <c r="K114" t="s">
        <v>24915</v>
      </c>
      <c r="L114" t="s">
        <v>69</v>
      </c>
      <c r="M114" t="s">
        <v>69</v>
      </c>
      <c r="N114" t="s">
        <v>24916</v>
      </c>
      <c r="O114" t="s">
        <v>24917</v>
      </c>
      <c r="P114" t="s">
        <v>69</v>
      </c>
      <c r="Q114" t="s">
        <v>69</v>
      </c>
      <c r="R114" t="s">
        <v>10153</v>
      </c>
      <c r="S114" t="s">
        <v>8506</v>
      </c>
      <c r="T114" t="s">
        <v>69</v>
      </c>
      <c r="U114" t="s">
        <v>69</v>
      </c>
      <c r="V114" t="s">
        <v>69</v>
      </c>
      <c r="W114" t="s">
        <v>69</v>
      </c>
      <c r="X114" t="s">
        <v>69</v>
      </c>
      <c r="Y114" t="s">
        <v>24918</v>
      </c>
      <c r="Z114" t="s">
        <v>69</v>
      </c>
      <c r="AA114" t="s">
        <v>24919</v>
      </c>
      <c r="AB114" t="s">
        <v>24920</v>
      </c>
      <c r="AC114" t="s">
        <v>69</v>
      </c>
      <c r="AD114" t="s">
        <v>24921</v>
      </c>
      <c r="AE114" t="s">
        <v>24922</v>
      </c>
      <c r="AF114" t="s">
        <v>24923</v>
      </c>
      <c r="AG114" t="s">
        <v>69</v>
      </c>
      <c r="AH114" t="s">
        <v>69</v>
      </c>
      <c r="AI114" t="s">
        <v>69</v>
      </c>
      <c r="AJ114" t="s">
        <v>69</v>
      </c>
      <c r="AK114" t="s">
        <v>69</v>
      </c>
      <c r="AL114">
        <v>27</v>
      </c>
      <c r="AM114">
        <v>0</v>
      </c>
      <c r="AN114">
        <v>2</v>
      </c>
      <c r="AO114">
        <v>0</v>
      </c>
      <c r="AP114">
        <v>0</v>
      </c>
      <c r="AQ114" t="s">
        <v>13738</v>
      </c>
      <c r="AR114" t="s">
        <v>13739</v>
      </c>
      <c r="AS114" t="s">
        <v>13740</v>
      </c>
      <c r="AT114" t="s">
        <v>24924</v>
      </c>
      <c r="AU114" t="s">
        <v>69</v>
      </c>
      <c r="AV114" t="s">
        <v>69</v>
      </c>
      <c r="AW114" t="s">
        <v>24925</v>
      </c>
      <c r="AX114" t="s">
        <v>24926</v>
      </c>
      <c r="AY114" t="s">
        <v>6479</v>
      </c>
      <c r="AZ114">
        <v>2013</v>
      </c>
      <c r="BA114">
        <v>2</v>
      </c>
      <c r="BB114">
        <v>2</v>
      </c>
      <c r="BC114" t="s">
        <v>69</v>
      </c>
      <c r="BD114" t="s">
        <v>69</v>
      </c>
      <c r="BE114" t="s">
        <v>69</v>
      </c>
      <c r="BF114" t="s">
        <v>69</v>
      </c>
      <c r="BG114">
        <v>125</v>
      </c>
      <c r="BH114">
        <v>153</v>
      </c>
      <c r="BI114" t="s">
        <v>69</v>
      </c>
      <c r="BJ114" t="s">
        <v>24927</v>
      </c>
      <c r="BK114" s="25" t="str">
        <f>HYPERLINK("http://dx.doi.org/10.5585/geas.v2i2.55","http://dx.doi.org/10.5585/geas.v2i2.55")</f>
        <v>http://dx.doi.org/10.5585/geas.v2i2.55</v>
      </c>
      <c r="BL114" t="s">
        <v>69</v>
      </c>
      <c r="BM114" t="s">
        <v>69</v>
      </c>
      <c r="BN114">
        <v>29</v>
      </c>
      <c r="BO114" t="s">
        <v>17917</v>
      </c>
      <c r="BP114" t="s">
        <v>8573</v>
      </c>
      <c r="BQ114" t="s">
        <v>8961</v>
      </c>
      <c r="BR114" t="s">
        <v>24928</v>
      </c>
      <c r="BS114" t="s">
        <v>24929</v>
      </c>
      <c r="BT114" t="s">
        <v>69</v>
      </c>
      <c r="BU114" t="s">
        <v>12220</v>
      </c>
      <c r="BV114" t="s">
        <v>69</v>
      </c>
      <c r="BW114" t="s">
        <v>69</v>
      </c>
      <c r="BX114" t="s">
        <v>8526</v>
      </c>
      <c r="BY114" t="str">
        <f>HYPERLINK("https%3A%2F%2Fwww.webofscience.com%2Fwos%2Fwoscc%2Ffull-record%2FWOS:000216013900006","View Full Record in Web of Science")</f>
        <v>View Full Record in Web of Science</v>
      </c>
    </row>
    <row r="115" spans="1:77" ht="12.5" x14ac:dyDescent="0.25">
      <c r="A115" t="s">
        <v>8495</v>
      </c>
      <c r="B115" s="22" t="s">
        <v>32931</v>
      </c>
      <c r="C115" s="7"/>
      <c r="D115" s="7"/>
      <c r="E115" s="7"/>
      <c r="F115" t="s">
        <v>67</v>
      </c>
      <c r="G115" t="s">
        <v>29301</v>
      </c>
      <c r="H115" t="s">
        <v>69</v>
      </c>
      <c r="I115" t="s">
        <v>69</v>
      </c>
      <c r="J115" t="s">
        <v>69</v>
      </c>
      <c r="K115" t="s">
        <v>29302</v>
      </c>
      <c r="L115" t="s">
        <v>69</v>
      </c>
      <c r="M115" t="s">
        <v>69</v>
      </c>
      <c r="N115" t="s">
        <v>29303</v>
      </c>
      <c r="O115" t="s">
        <v>29304</v>
      </c>
      <c r="P115" t="s">
        <v>69</v>
      </c>
      <c r="Q115" t="s">
        <v>69</v>
      </c>
      <c r="R115" t="s">
        <v>8505</v>
      </c>
      <c r="S115" t="s">
        <v>8506</v>
      </c>
      <c r="T115" t="s">
        <v>69</v>
      </c>
      <c r="U115" t="s">
        <v>69</v>
      </c>
      <c r="V115" t="s">
        <v>69</v>
      </c>
      <c r="W115" t="s">
        <v>69</v>
      </c>
      <c r="X115" t="s">
        <v>69</v>
      </c>
      <c r="Y115" t="s">
        <v>29305</v>
      </c>
      <c r="Z115" t="s">
        <v>69</v>
      </c>
      <c r="AA115" t="s">
        <v>29306</v>
      </c>
      <c r="AB115" t="s">
        <v>29307</v>
      </c>
      <c r="AC115" t="s">
        <v>69</v>
      </c>
      <c r="AD115" t="s">
        <v>29308</v>
      </c>
      <c r="AE115" t="s">
        <v>29309</v>
      </c>
      <c r="AF115" t="s">
        <v>69</v>
      </c>
      <c r="AG115" t="s">
        <v>69</v>
      </c>
      <c r="AH115" t="s">
        <v>69</v>
      </c>
      <c r="AI115" t="s">
        <v>69</v>
      </c>
      <c r="AJ115" t="s">
        <v>69</v>
      </c>
      <c r="AK115" t="s">
        <v>69</v>
      </c>
      <c r="AL115">
        <v>34</v>
      </c>
      <c r="AM115">
        <v>39</v>
      </c>
      <c r="AN115">
        <v>40</v>
      </c>
      <c r="AO115">
        <v>0</v>
      </c>
      <c r="AP115">
        <v>0</v>
      </c>
      <c r="AQ115" t="s">
        <v>8636</v>
      </c>
      <c r="AR115" t="s">
        <v>8637</v>
      </c>
      <c r="AS115" t="s">
        <v>8638</v>
      </c>
      <c r="AT115" t="s">
        <v>29310</v>
      </c>
      <c r="AU115" t="s">
        <v>29311</v>
      </c>
      <c r="AV115" t="s">
        <v>69</v>
      </c>
      <c r="AW115" t="s">
        <v>29304</v>
      </c>
      <c r="AX115" t="s">
        <v>29312</v>
      </c>
      <c r="AY115" t="s">
        <v>191</v>
      </c>
      <c r="AZ115">
        <v>2008</v>
      </c>
      <c r="BA115">
        <v>14</v>
      </c>
      <c r="BB115">
        <v>1</v>
      </c>
      <c r="BC115" t="s">
        <v>69</v>
      </c>
      <c r="BD115" t="s">
        <v>69</v>
      </c>
      <c r="BE115" t="s">
        <v>69</v>
      </c>
      <c r="BF115" t="s">
        <v>69</v>
      </c>
      <c r="BG115">
        <v>24</v>
      </c>
      <c r="BH115">
        <v>31</v>
      </c>
      <c r="BI115" t="s">
        <v>69</v>
      </c>
      <c r="BJ115" t="s">
        <v>29313</v>
      </c>
      <c r="BK115" t="str">
        <f>HYPERLINK("http://dx.doi.org/10.1016/j.radi.2006.07.001","http://dx.doi.org/10.1016/j.radi.2006.07.001")</f>
        <v>http://dx.doi.org/10.1016/j.radi.2006.07.001</v>
      </c>
      <c r="BL115" t="s">
        <v>69</v>
      </c>
      <c r="BM115" t="s">
        <v>69</v>
      </c>
      <c r="BN115">
        <v>8</v>
      </c>
      <c r="BO115" t="s">
        <v>14443</v>
      </c>
      <c r="BP115" t="s">
        <v>8573</v>
      </c>
      <c r="BQ115" t="s">
        <v>14443</v>
      </c>
      <c r="BR115" t="s">
        <v>29314</v>
      </c>
      <c r="BS115" t="s">
        <v>29315</v>
      </c>
      <c r="BT115" t="s">
        <v>69</v>
      </c>
      <c r="BU115" t="s">
        <v>69</v>
      </c>
      <c r="BV115" t="s">
        <v>69</v>
      </c>
      <c r="BW115" t="s">
        <v>69</v>
      </c>
      <c r="BX115" t="s">
        <v>8526</v>
      </c>
      <c r="BY115" t="str">
        <f>HYPERLINK("https%3A%2F%2Fwww.webofscience.com%2Fwos%2Fwoscc%2Ffull-record%2FWOS:000213740100005","View Full Record in Web of Science")</f>
        <v>View Full Record in Web of Science</v>
      </c>
    </row>
    <row r="116" spans="1:77" ht="12.5" x14ac:dyDescent="0.25">
      <c r="A116" t="s">
        <v>8495</v>
      </c>
      <c r="B116" s="7" t="s">
        <v>32933</v>
      </c>
      <c r="C116" s="7"/>
      <c r="D116" s="7"/>
      <c r="E116" s="7"/>
      <c r="F116" t="s">
        <v>67</v>
      </c>
      <c r="G116" t="s">
        <v>4834</v>
      </c>
      <c r="H116" t="s">
        <v>69</v>
      </c>
      <c r="I116" t="s">
        <v>69</v>
      </c>
      <c r="J116" t="s">
        <v>69</v>
      </c>
      <c r="K116" t="s">
        <v>4834</v>
      </c>
      <c r="L116" t="s">
        <v>69</v>
      </c>
      <c r="M116" t="s">
        <v>69</v>
      </c>
      <c r="N116" t="s">
        <v>4835</v>
      </c>
      <c r="O116" t="s">
        <v>4836</v>
      </c>
      <c r="P116" t="s">
        <v>69</v>
      </c>
      <c r="Q116" t="s">
        <v>69</v>
      </c>
      <c r="R116" t="s">
        <v>10071</v>
      </c>
      <c r="S116" t="s">
        <v>8442</v>
      </c>
      <c r="T116" t="s">
        <v>69</v>
      </c>
      <c r="U116" t="s">
        <v>69</v>
      </c>
      <c r="V116" t="s">
        <v>69</v>
      </c>
      <c r="W116" t="s">
        <v>69</v>
      </c>
      <c r="X116" t="s">
        <v>69</v>
      </c>
      <c r="Y116" t="s">
        <v>32133</v>
      </c>
      <c r="Z116" t="s">
        <v>69</v>
      </c>
      <c r="AA116" t="s">
        <v>4837</v>
      </c>
      <c r="AB116" t="s">
        <v>32134</v>
      </c>
      <c r="AC116" t="s">
        <v>69</v>
      </c>
      <c r="AD116" t="s">
        <v>32135</v>
      </c>
      <c r="AE116" t="s">
        <v>69</v>
      </c>
      <c r="AF116" t="s">
        <v>69</v>
      </c>
      <c r="AG116" t="s">
        <v>69</v>
      </c>
      <c r="AH116" t="s">
        <v>69</v>
      </c>
      <c r="AI116" t="s">
        <v>69</v>
      </c>
      <c r="AJ116" t="s">
        <v>69</v>
      </c>
      <c r="AK116" t="s">
        <v>69</v>
      </c>
      <c r="AL116">
        <v>34</v>
      </c>
      <c r="AM116">
        <v>0</v>
      </c>
      <c r="AN116">
        <v>0</v>
      </c>
      <c r="AO116">
        <v>0</v>
      </c>
      <c r="AP116">
        <v>5</v>
      </c>
      <c r="AQ116" t="s">
        <v>32136</v>
      </c>
      <c r="AR116" t="s">
        <v>32137</v>
      </c>
      <c r="AS116" t="s">
        <v>32138</v>
      </c>
      <c r="AT116" t="s">
        <v>4838</v>
      </c>
      <c r="AU116" t="s">
        <v>69</v>
      </c>
      <c r="AV116" t="s">
        <v>69</v>
      </c>
      <c r="AW116" t="s">
        <v>32139</v>
      </c>
      <c r="AX116" t="s">
        <v>32140</v>
      </c>
      <c r="AY116" t="s">
        <v>2512</v>
      </c>
      <c r="AZ116">
        <v>1998</v>
      </c>
      <c r="BA116">
        <v>13</v>
      </c>
      <c r="BB116">
        <v>1</v>
      </c>
      <c r="BC116" t="s">
        <v>69</v>
      </c>
      <c r="BD116" t="s">
        <v>69</v>
      </c>
      <c r="BE116" t="s">
        <v>69</v>
      </c>
      <c r="BF116" t="s">
        <v>69</v>
      </c>
      <c r="BG116">
        <v>77</v>
      </c>
      <c r="BH116">
        <v>89</v>
      </c>
      <c r="BI116" t="s">
        <v>69</v>
      </c>
      <c r="BJ116" t="s">
        <v>69</v>
      </c>
      <c r="BK116" t="s">
        <v>69</v>
      </c>
      <c r="BL116" t="s">
        <v>69</v>
      </c>
      <c r="BM116" t="s">
        <v>69</v>
      </c>
      <c r="BN116">
        <v>13</v>
      </c>
      <c r="BO116" t="s">
        <v>9229</v>
      </c>
      <c r="BP116" t="s">
        <v>8548</v>
      </c>
      <c r="BQ116" t="s">
        <v>9230</v>
      </c>
      <c r="BR116" t="s">
        <v>32141</v>
      </c>
      <c r="BS116" t="s">
        <v>4839</v>
      </c>
      <c r="BT116" t="s">
        <v>69</v>
      </c>
      <c r="BU116" t="s">
        <v>69</v>
      </c>
      <c r="BV116" t="s">
        <v>69</v>
      </c>
      <c r="BW116" t="s">
        <v>69</v>
      </c>
      <c r="BX116" t="s">
        <v>8526</v>
      </c>
      <c r="BY116" t="str">
        <f>HYPERLINK("https%3A%2F%2Fwww.webofscience.com%2Fwos%2Fwoscc%2Ffull-record%2FWOS:000071654000007","View Full Record in Web of Science")</f>
        <v>View Full Record in Web of Science</v>
      </c>
    </row>
    <row r="117" spans="1:77" ht="12.5" x14ac:dyDescent="0.25">
      <c r="A117" t="s">
        <v>8495</v>
      </c>
      <c r="B117" s="7" t="s">
        <v>32944</v>
      </c>
      <c r="C117" s="7"/>
      <c r="D117" s="7"/>
      <c r="E117" s="7" t="s">
        <v>33053</v>
      </c>
      <c r="F117" t="s">
        <v>67</v>
      </c>
      <c r="G117" t="s">
        <v>29708</v>
      </c>
      <c r="H117" t="s">
        <v>69</v>
      </c>
      <c r="I117" t="s">
        <v>69</v>
      </c>
      <c r="J117" t="s">
        <v>69</v>
      </c>
      <c r="K117" t="s">
        <v>29709</v>
      </c>
      <c r="L117" t="s">
        <v>69</v>
      </c>
      <c r="M117" t="s">
        <v>69</v>
      </c>
      <c r="N117" t="s">
        <v>29710</v>
      </c>
      <c r="O117" t="s">
        <v>29711</v>
      </c>
      <c r="P117" t="s">
        <v>69</v>
      </c>
      <c r="Q117" t="s">
        <v>69</v>
      </c>
      <c r="R117" t="s">
        <v>8505</v>
      </c>
      <c r="S117" t="s">
        <v>8506</v>
      </c>
      <c r="T117" t="s">
        <v>69</v>
      </c>
      <c r="U117" t="s">
        <v>69</v>
      </c>
      <c r="V117" t="s">
        <v>69</v>
      </c>
      <c r="W117" t="s">
        <v>69</v>
      </c>
      <c r="X117" t="s">
        <v>69</v>
      </c>
      <c r="Y117" t="s">
        <v>29712</v>
      </c>
      <c r="Z117" t="s">
        <v>69</v>
      </c>
      <c r="AA117" t="s">
        <v>29713</v>
      </c>
      <c r="AB117" t="s">
        <v>29714</v>
      </c>
      <c r="AC117" t="s">
        <v>69</v>
      </c>
      <c r="AD117" t="s">
        <v>29715</v>
      </c>
      <c r="AE117" t="s">
        <v>29716</v>
      </c>
      <c r="AF117" t="s">
        <v>69</v>
      </c>
      <c r="AG117" t="s">
        <v>69</v>
      </c>
      <c r="AH117" t="s">
        <v>69</v>
      </c>
      <c r="AI117" t="s">
        <v>69</v>
      </c>
      <c r="AJ117" t="s">
        <v>69</v>
      </c>
      <c r="AK117" t="s">
        <v>69</v>
      </c>
      <c r="AL117">
        <v>13</v>
      </c>
      <c r="AM117">
        <v>4</v>
      </c>
      <c r="AN117">
        <v>4</v>
      </c>
      <c r="AO117">
        <v>0</v>
      </c>
      <c r="AP117">
        <v>0</v>
      </c>
      <c r="AQ117" t="s">
        <v>9091</v>
      </c>
      <c r="AR117" t="s">
        <v>8763</v>
      </c>
      <c r="AS117" t="s">
        <v>15468</v>
      </c>
      <c r="AT117" t="s">
        <v>29717</v>
      </c>
      <c r="AU117" t="s">
        <v>69</v>
      </c>
      <c r="AV117" t="s">
        <v>69</v>
      </c>
      <c r="AW117" t="s">
        <v>29718</v>
      </c>
      <c r="AX117" t="s">
        <v>29719</v>
      </c>
      <c r="AY117" t="s">
        <v>155</v>
      </c>
      <c r="AZ117">
        <v>2007</v>
      </c>
      <c r="BA117">
        <v>2</v>
      </c>
      <c r="BB117">
        <v>2</v>
      </c>
      <c r="BC117" t="s">
        <v>69</v>
      </c>
      <c r="BD117" t="s">
        <v>69</v>
      </c>
      <c r="BE117" t="s">
        <v>69</v>
      </c>
      <c r="BF117" t="s">
        <v>69</v>
      </c>
      <c r="BG117" t="s">
        <v>69</v>
      </c>
      <c r="BH117" t="s">
        <v>69</v>
      </c>
      <c r="BI117" t="s">
        <v>29720</v>
      </c>
      <c r="BJ117" t="s">
        <v>29721</v>
      </c>
      <c r="BK117" t="str">
        <f>HYPERLINK("http://dx.doi.org/10.2166/WPT.2007054","http://dx.doi.org/10.2166/WPT.2007054")</f>
        <v>http://dx.doi.org/10.2166/WPT.2007054</v>
      </c>
      <c r="BL117" t="s">
        <v>69</v>
      </c>
      <c r="BM117" t="s">
        <v>69</v>
      </c>
      <c r="BN117">
        <v>9</v>
      </c>
      <c r="BO117" t="s">
        <v>9096</v>
      </c>
      <c r="BP117" t="s">
        <v>8573</v>
      </c>
      <c r="BQ117" t="s">
        <v>9096</v>
      </c>
      <c r="BR117" t="s">
        <v>29722</v>
      </c>
      <c r="BS117" t="s">
        <v>29723</v>
      </c>
      <c r="BT117" t="s">
        <v>69</v>
      </c>
      <c r="BU117" t="s">
        <v>69</v>
      </c>
      <c r="BV117" t="s">
        <v>69</v>
      </c>
      <c r="BW117" t="s">
        <v>69</v>
      </c>
      <c r="BX117" t="s">
        <v>8526</v>
      </c>
      <c r="BY117" t="str">
        <f>HYPERLINK("https%3A%2F%2Fwww.webofscience.com%2Fwos%2Fwoscc%2Ffull-record%2FWOS:000420194300026","View Full Record in Web of Science")</f>
        <v>View Full Record in Web of Science</v>
      </c>
    </row>
    <row r="118" spans="1:77" ht="12.5" x14ac:dyDescent="0.25">
      <c r="A118" t="s">
        <v>8495</v>
      </c>
      <c r="B118" s="7" t="s">
        <v>32933</v>
      </c>
      <c r="C118" s="7"/>
      <c r="D118" s="7"/>
      <c r="E118" s="7"/>
      <c r="F118" t="s">
        <v>67</v>
      </c>
      <c r="G118" t="s">
        <v>4200</v>
      </c>
      <c r="H118" t="s">
        <v>69</v>
      </c>
      <c r="I118" t="s">
        <v>69</v>
      </c>
      <c r="J118" t="s">
        <v>69</v>
      </c>
      <c r="K118" t="s">
        <v>4200</v>
      </c>
      <c r="L118" t="s">
        <v>69</v>
      </c>
      <c r="M118" t="s">
        <v>69</v>
      </c>
      <c r="N118" t="s">
        <v>4201</v>
      </c>
      <c r="O118" t="s">
        <v>4202</v>
      </c>
      <c r="P118" t="s">
        <v>69</v>
      </c>
      <c r="Q118" t="s">
        <v>69</v>
      </c>
      <c r="R118" t="s">
        <v>8505</v>
      </c>
      <c r="S118" t="s">
        <v>8506</v>
      </c>
      <c r="T118" t="s">
        <v>69</v>
      </c>
      <c r="U118" t="s">
        <v>69</v>
      </c>
      <c r="V118" t="s">
        <v>69</v>
      </c>
      <c r="W118" t="s">
        <v>69</v>
      </c>
      <c r="X118" t="s">
        <v>69</v>
      </c>
      <c r="Y118" t="s">
        <v>69</v>
      </c>
      <c r="Z118" t="s">
        <v>69</v>
      </c>
      <c r="AA118" t="s">
        <v>4203</v>
      </c>
      <c r="AB118" t="s">
        <v>69</v>
      </c>
      <c r="AC118" t="s">
        <v>69</v>
      </c>
      <c r="AD118" t="s">
        <v>69</v>
      </c>
      <c r="AE118" t="s">
        <v>69</v>
      </c>
      <c r="AF118" t="s">
        <v>69</v>
      </c>
      <c r="AG118" t="s">
        <v>69</v>
      </c>
      <c r="AH118" t="s">
        <v>69</v>
      </c>
      <c r="AI118" t="s">
        <v>69</v>
      </c>
      <c r="AJ118" t="s">
        <v>69</v>
      </c>
      <c r="AK118" t="s">
        <v>69</v>
      </c>
      <c r="AL118">
        <v>6</v>
      </c>
      <c r="AM118">
        <v>4</v>
      </c>
      <c r="AN118">
        <v>5</v>
      </c>
      <c r="AO118">
        <v>0</v>
      </c>
      <c r="AP118">
        <v>1</v>
      </c>
      <c r="AQ118" t="s">
        <v>10352</v>
      </c>
      <c r="AR118" t="s">
        <v>8637</v>
      </c>
      <c r="AS118" t="s">
        <v>32331</v>
      </c>
      <c r="AT118" t="s">
        <v>4204</v>
      </c>
      <c r="AU118" t="s">
        <v>69</v>
      </c>
      <c r="AV118" t="s">
        <v>69</v>
      </c>
      <c r="AW118" t="s">
        <v>4202</v>
      </c>
      <c r="AX118" t="s">
        <v>8453</v>
      </c>
      <c r="AY118" t="s">
        <v>69</v>
      </c>
      <c r="AZ118">
        <v>1997</v>
      </c>
      <c r="BA118">
        <v>70</v>
      </c>
      <c r="BB118">
        <v>4</v>
      </c>
      <c r="BC118" t="s">
        <v>69</v>
      </c>
      <c r="BD118" t="s">
        <v>69</v>
      </c>
      <c r="BE118" t="s">
        <v>69</v>
      </c>
      <c r="BF118" t="s">
        <v>69</v>
      </c>
      <c r="BG118">
        <v>343</v>
      </c>
      <c r="BH118">
        <v>349</v>
      </c>
      <c r="BI118" t="s">
        <v>69</v>
      </c>
      <c r="BJ118" t="s">
        <v>4205</v>
      </c>
      <c r="BK118" t="str">
        <f>HYPERLINK("http://dx.doi.org/10.1093/forestry/70.4.343","http://dx.doi.org/10.1093/forestry/70.4.343")</f>
        <v>http://dx.doi.org/10.1093/forestry/70.4.343</v>
      </c>
      <c r="BL118" t="s">
        <v>69</v>
      </c>
      <c r="BM118" t="s">
        <v>69</v>
      </c>
      <c r="BN118">
        <v>7</v>
      </c>
      <c r="BO118" t="s">
        <v>8453</v>
      </c>
      <c r="BP118" t="s">
        <v>8548</v>
      </c>
      <c r="BQ118" t="s">
        <v>8453</v>
      </c>
      <c r="BR118" t="s">
        <v>32332</v>
      </c>
      <c r="BS118" t="s">
        <v>4206</v>
      </c>
      <c r="BT118" t="s">
        <v>69</v>
      </c>
      <c r="BU118" t="s">
        <v>19019</v>
      </c>
      <c r="BV118" t="s">
        <v>69</v>
      </c>
      <c r="BW118" t="s">
        <v>69</v>
      </c>
      <c r="BX118" t="s">
        <v>8526</v>
      </c>
      <c r="BY118" t="str">
        <f>HYPERLINK("https%3A%2F%2Fwww.webofscience.com%2Fwos%2Fwoscc%2Ffull-record%2FWOS:A1997YG23200009","View Full Record in Web of Science")</f>
        <v>View Full Record in Web of Science</v>
      </c>
    </row>
    <row r="119" spans="1:77" ht="12.5" x14ac:dyDescent="0.25">
      <c r="A119" t="s">
        <v>8495</v>
      </c>
      <c r="B119" s="22" t="s">
        <v>32931</v>
      </c>
      <c r="C119" s="7"/>
      <c r="D119" s="7"/>
      <c r="E119" s="7"/>
      <c r="F119" t="s">
        <v>67</v>
      </c>
      <c r="G119" t="s">
        <v>30142</v>
      </c>
      <c r="H119" t="s">
        <v>69</v>
      </c>
      <c r="I119" t="s">
        <v>69</v>
      </c>
      <c r="J119" t="s">
        <v>69</v>
      </c>
      <c r="K119" t="s">
        <v>30143</v>
      </c>
      <c r="L119" t="s">
        <v>69</v>
      </c>
      <c r="M119" t="s">
        <v>69</v>
      </c>
      <c r="N119" t="s">
        <v>30144</v>
      </c>
      <c r="O119" t="s">
        <v>15306</v>
      </c>
      <c r="P119" t="s">
        <v>69</v>
      </c>
      <c r="Q119" t="s">
        <v>69</v>
      </c>
      <c r="R119" t="s">
        <v>8505</v>
      </c>
      <c r="S119" t="s">
        <v>8506</v>
      </c>
      <c r="T119" t="s">
        <v>69</v>
      </c>
      <c r="U119" t="s">
        <v>69</v>
      </c>
      <c r="V119" t="s">
        <v>69</v>
      </c>
      <c r="W119" t="s">
        <v>69</v>
      </c>
      <c r="X119" t="s">
        <v>69</v>
      </c>
      <c r="Y119" t="s">
        <v>30145</v>
      </c>
      <c r="Z119" t="s">
        <v>30146</v>
      </c>
      <c r="AA119" t="s">
        <v>30147</v>
      </c>
      <c r="AB119" t="s">
        <v>30148</v>
      </c>
      <c r="AC119" t="s">
        <v>69</v>
      </c>
      <c r="AD119" t="s">
        <v>30149</v>
      </c>
      <c r="AE119" t="s">
        <v>30150</v>
      </c>
      <c r="AF119" t="s">
        <v>30151</v>
      </c>
      <c r="AG119" t="s">
        <v>30152</v>
      </c>
      <c r="AH119" t="s">
        <v>69</v>
      </c>
      <c r="AI119" t="s">
        <v>69</v>
      </c>
      <c r="AJ119" t="s">
        <v>69</v>
      </c>
      <c r="AK119" t="s">
        <v>69</v>
      </c>
      <c r="AL119">
        <v>40</v>
      </c>
      <c r="AM119">
        <v>104</v>
      </c>
      <c r="AN119">
        <v>108</v>
      </c>
      <c r="AO119">
        <v>0</v>
      </c>
      <c r="AP119">
        <v>29</v>
      </c>
      <c r="AQ119" t="s">
        <v>8636</v>
      </c>
      <c r="AR119" t="s">
        <v>8637</v>
      </c>
      <c r="AS119" t="s">
        <v>8638</v>
      </c>
      <c r="AT119" t="s">
        <v>15318</v>
      </c>
      <c r="AU119" t="s">
        <v>69</v>
      </c>
      <c r="AV119" t="s">
        <v>69</v>
      </c>
      <c r="AW119" t="s">
        <v>15320</v>
      </c>
      <c r="AX119" t="s">
        <v>15321</v>
      </c>
      <c r="AY119" t="s">
        <v>201</v>
      </c>
      <c r="AZ119">
        <v>2006</v>
      </c>
      <c r="BA119">
        <v>53</v>
      </c>
      <c r="BB119">
        <v>1</v>
      </c>
      <c r="BC119" t="s">
        <v>69</v>
      </c>
      <c r="BD119" t="s">
        <v>69</v>
      </c>
      <c r="BE119" t="s">
        <v>69</v>
      </c>
      <c r="BF119" t="s">
        <v>69</v>
      </c>
      <c r="BG119">
        <v>13</v>
      </c>
      <c r="BH119">
        <v>27</v>
      </c>
      <c r="BI119" t="s">
        <v>69</v>
      </c>
      <c r="BJ119" t="s">
        <v>30153</v>
      </c>
      <c r="BK119" t="str">
        <f>HYPERLINK("http://dx.doi.org/10.1016/j.compag.2006.03.002","http://dx.doi.org/10.1016/j.compag.2006.03.002")</f>
        <v>http://dx.doi.org/10.1016/j.compag.2006.03.002</v>
      </c>
      <c r="BL119" t="s">
        <v>69</v>
      </c>
      <c r="BM119" t="s">
        <v>69</v>
      </c>
      <c r="BN119">
        <v>15</v>
      </c>
      <c r="BO119" t="s">
        <v>15323</v>
      </c>
      <c r="BP119" t="s">
        <v>8548</v>
      </c>
      <c r="BQ119" t="s">
        <v>15324</v>
      </c>
      <c r="BR119" t="s">
        <v>30154</v>
      </c>
      <c r="BS119" t="s">
        <v>30155</v>
      </c>
      <c r="BT119" t="s">
        <v>69</v>
      </c>
      <c r="BU119" t="s">
        <v>69</v>
      </c>
      <c r="BV119" t="s">
        <v>69</v>
      </c>
      <c r="BW119" t="s">
        <v>69</v>
      </c>
      <c r="BX119" t="s">
        <v>8526</v>
      </c>
      <c r="BY119" t="str">
        <f>HYPERLINK("https%3A%2F%2Fwww.webofscience.com%2Fwos%2Fwoscc%2Ffull-record%2FWOS:000239379000002","View Full Record in Web of Science")</f>
        <v>View Full Record in Web of Science</v>
      </c>
    </row>
    <row r="120" spans="1:77" ht="12.5" x14ac:dyDescent="0.25">
      <c r="A120" t="s">
        <v>8495</v>
      </c>
      <c r="B120" s="22" t="s">
        <v>32931</v>
      </c>
      <c r="C120" s="7"/>
      <c r="D120" s="7"/>
      <c r="E120" s="7"/>
      <c r="F120" t="s">
        <v>67</v>
      </c>
      <c r="G120" t="s">
        <v>30707</v>
      </c>
      <c r="H120" t="s">
        <v>69</v>
      </c>
      <c r="I120" t="s">
        <v>69</v>
      </c>
      <c r="J120" t="s">
        <v>69</v>
      </c>
      <c r="K120" t="s">
        <v>30708</v>
      </c>
      <c r="L120" t="s">
        <v>69</v>
      </c>
      <c r="M120" t="s">
        <v>69</v>
      </c>
      <c r="N120" t="s">
        <v>30709</v>
      </c>
      <c r="O120" t="s">
        <v>30710</v>
      </c>
      <c r="P120" t="s">
        <v>69</v>
      </c>
      <c r="Q120" t="s">
        <v>69</v>
      </c>
      <c r="R120" t="s">
        <v>12534</v>
      </c>
      <c r="S120" t="s">
        <v>8506</v>
      </c>
      <c r="T120" t="s">
        <v>69</v>
      </c>
      <c r="U120" t="s">
        <v>69</v>
      </c>
      <c r="V120" t="s">
        <v>69</v>
      </c>
      <c r="W120" t="s">
        <v>69</v>
      </c>
      <c r="X120" t="s">
        <v>69</v>
      </c>
      <c r="Y120" t="s">
        <v>30711</v>
      </c>
      <c r="Z120" t="s">
        <v>69</v>
      </c>
      <c r="AA120" t="s">
        <v>30712</v>
      </c>
      <c r="AB120" t="s">
        <v>30713</v>
      </c>
      <c r="AC120" t="s">
        <v>69</v>
      </c>
      <c r="AD120" t="s">
        <v>30714</v>
      </c>
      <c r="AE120" t="s">
        <v>30715</v>
      </c>
      <c r="AF120" t="s">
        <v>69</v>
      </c>
      <c r="AG120" t="s">
        <v>69</v>
      </c>
      <c r="AH120" t="s">
        <v>69</v>
      </c>
      <c r="AI120" t="s">
        <v>69</v>
      </c>
      <c r="AJ120" t="s">
        <v>69</v>
      </c>
      <c r="AK120" t="s">
        <v>69</v>
      </c>
      <c r="AL120">
        <v>0</v>
      </c>
      <c r="AM120">
        <v>0</v>
      </c>
      <c r="AN120">
        <v>0</v>
      </c>
      <c r="AO120">
        <v>0</v>
      </c>
      <c r="AP120">
        <v>0</v>
      </c>
      <c r="AQ120" t="s">
        <v>23706</v>
      </c>
      <c r="AR120" t="s">
        <v>19533</v>
      </c>
      <c r="AS120" t="s">
        <v>23707</v>
      </c>
      <c r="AT120" t="s">
        <v>30716</v>
      </c>
      <c r="AU120" t="s">
        <v>30717</v>
      </c>
      <c r="AV120" t="s">
        <v>69</v>
      </c>
      <c r="AW120" t="s">
        <v>30718</v>
      </c>
      <c r="AX120" t="s">
        <v>30719</v>
      </c>
      <c r="AY120" t="s">
        <v>191</v>
      </c>
      <c r="AZ120">
        <v>2005</v>
      </c>
      <c r="BA120">
        <v>21</v>
      </c>
      <c r="BB120">
        <v>1</v>
      </c>
      <c r="BC120" t="s">
        <v>69</v>
      </c>
      <c r="BD120" t="s">
        <v>69</v>
      </c>
      <c r="BE120" t="s">
        <v>69</v>
      </c>
      <c r="BF120" t="s">
        <v>69</v>
      </c>
      <c r="BG120">
        <v>22</v>
      </c>
      <c r="BH120">
        <v>25</v>
      </c>
      <c r="BI120" t="s">
        <v>69</v>
      </c>
      <c r="BJ120" t="s">
        <v>30720</v>
      </c>
      <c r="BK120" t="str">
        <f>HYPERLINK("http://dx.doi.org/10.1055/s-2005-836299","http://dx.doi.org/10.1055/s-2005-836299")</f>
        <v>http://dx.doi.org/10.1055/s-2005-836299</v>
      </c>
      <c r="BL120" t="s">
        <v>69</v>
      </c>
      <c r="BM120" t="s">
        <v>69</v>
      </c>
      <c r="BN120">
        <v>4</v>
      </c>
      <c r="BO120" t="s">
        <v>10024</v>
      </c>
      <c r="BP120" t="s">
        <v>8573</v>
      </c>
      <c r="BQ120" t="s">
        <v>10024</v>
      </c>
      <c r="BR120" t="s">
        <v>30721</v>
      </c>
      <c r="BS120" t="s">
        <v>30722</v>
      </c>
      <c r="BT120" t="s">
        <v>69</v>
      </c>
      <c r="BU120" t="s">
        <v>69</v>
      </c>
      <c r="BV120" t="s">
        <v>69</v>
      </c>
      <c r="BW120" t="s">
        <v>69</v>
      </c>
      <c r="BX120" t="s">
        <v>8526</v>
      </c>
      <c r="BY120" t="str">
        <f>HYPERLINK("https%3A%2F%2Fwww.webofscience.com%2Fwos%2Fwoscc%2Ffull-record%2FWOS:000217411600005","View Full Record in Web of Science")</f>
        <v>View Full Record in Web of Science</v>
      </c>
    </row>
    <row r="121" spans="1:77" ht="12.5" x14ac:dyDescent="0.25">
      <c r="A121" t="s">
        <v>8495</v>
      </c>
      <c r="B121" s="7" t="s">
        <v>32933</v>
      </c>
      <c r="C121" s="7"/>
      <c r="D121" s="7"/>
      <c r="E121" s="7"/>
      <c r="F121" t="s">
        <v>67</v>
      </c>
      <c r="G121" t="s">
        <v>3459</v>
      </c>
      <c r="H121" t="s">
        <v>69</v>
      </c>
      <c r="I121" t="s">
        <v>69</v>
      </c>
      <c r="J121" t="s">
        <v>69</v>
      </c>
      <c r="K121" t="s">
        <v>3460</v>
      </c>
      <c r="L121" t="s">
        <v>69</v>
      </c>
      <c r="M121" t="s">
        <v>69</v>
      </c>
      <c r="N121" t="s">
        <v>3461</v>
      </c>
      <c r="O121" t="s">
        <v>90</v>
      </c>
      <c r="P121" t="s">
        <v>69</v>
      </c>
      <c r="Q121" t="s">
        <v>69</v>
      </c>
      <c r="R121" t="s">
        <v>8505</v>
      </c>
      <c r="S121" t="s">
        <v>8506</v>
      </c>
      <c r="T121" t="s">
        <v>69</v>
      </c>
      <c r="U121" t="s">
        <v>69</v>
      </c>
      <c r="V121" t="s">
        <v>69</v>
      </c>
      <c r="W121" t="s">
        <v>69</v>
      </c>
      <c r="X121" t="s">
        <v>69</v>
      </c>
      <c r="Y121" t="s">
        <v>27136</v>
      </c>
      <c r="Z121" t="s">
        <v>27130</v>
      </c>
      <c r="AA121" t="s">
        <v>3462</v>
      </c>
      <c r="AB121" t="s">
        <v>27137</v>
      </c>
      <c r="AC121" t="s">
        <v>69</v>
      </c>
      <c r="AD121" t="s">
        <v>27138</v>
      </c>
      <c r="AE121" t="s">
        <v>27139</v>
      </c>
      <c r="AF121" t="s">
        <v>3455</v>
      </c>
      <c r="AG121" t="s">
        <v>3456</v>
      </c>
      <c r="AH121" t="s">
        <v>69</v>
      </c>
      <c r="AI121" t="s">
        <v>69</v>
      </c>
      <c r="AJ121" t="s">
        <v>69</v>
      </c>
      <c r="AK121" t="s">
        <v>69</v>
      </c>
      <c r="AL121">
        <v>46</v>
      </c>
      <c r="AM121">
        <v>58</v>
      </c>
      <c r="AN121">
        <v>58</v>
      </c>
      <c r="AO121">
        <v>1</v>
      </c>
      <c r="AP121">
        <v>20</v>
      </c>
      <c r="AQ121" t="s">
        <v>9047</v>
      </c>
      <c r="AR121" t="s">
        <v>9048</v>
      </c>
      <c r="AS121" t="s">
        <v>9049</v>
      </c>
      <c r="AT121" t="s">
        <v>92</v>
      </c>
      <c r="AU121" t="s">
        <v>93</v>
      </c>
      <c r="AV121" t="s">
        <v>69</v>
      </c>
      <c r="AW121" t="s">
        <v>27104</v>
      </c>
      <c r="AX121" t="s">
        <v>27105</v>
      </c>
      <c r="AY121" t="s">
        <v>94</v>
      </c>
      <c r="AZ121">
        <v>2011</v>
      </c>
      <c r="BA121">
        <v>11</v>
      </c>
      <c r="BB121">
        <v>1</v>
      </c>
      <c r="BC121" t="s">
        <v>69</v>
      </c>
      <c r="BD121" t="s">
        <v>69</v>
      </c>
      <c r="BE121" t="s">
        <v>69</v>
      </c>
      <c r="BF121" t="s">
        <v>69</v>
      </c>
      <c r="BG121">
        <v>85</v>
      </c>
      <c r="BH121">
        <v>98</v>
      </c>
      <c r="BI121" t="s">
        <v>69</v>
      </c>
      <c r="BJ121" t="s">
        <v>3463</v>
      </c>
      <c r="BK121" t="str">
        <f>HYPERLINK("http://dx.doi.org/10.1007/s10784-011-9147-9","http://dx.doi.org/10.1007/s10784-011-9147-9")</f>
        <v>http://dx.doi.org/10.1007/s10784-011-9147-9</v>
      </c>
      <c r="BL121" t="s">
        <v>69</v>
      </c>
      <c r="BM121" t="s">
        <v>69</v>
      </c>
      <c r="BN121">
        <v>14</v>
      </c>
      <c r="BO121" t="s">
        <v>27106</v>
      </c>
      <c r="BP121" t="s">
        <v>8661</v>
      </c>
      <c r="BQ121" t="s">
        <v>27107</v>
      </c>
      <c r="BR121" t="s">
        <v>27108</v>
      </c>
      <c r="BS121" t="s">
        <v>3464</v>
      </c>
      <c r="BT121" t="s">
        <v>69</v>
      </c>
      <c r="BU121" t="s">
        <v>8746</v>
      </c>
      <c r="BV121" t="s">
        <v>69</v>
      </c>
      <c r="BW121" t="s">
        <v>69</v>
      </c>
      <c r="BX121" t="s">
        <v>8526</v>
      </c>
      <c r="BY121" t="str">
        <f>HYPERLINK("https%3A%2F%2Fwww.webofscience.com%2Fwos%2Fwoscc%2Ffull-record%2FWOS:000293788900006","View Full Record in Web of Science")</f>
        <v>View Full Record in Web of Science</v>
      </c>
    </row>
    <row r="122" spans="1:77" ht="12.5" x14ac:dyDescent="0.25">
      <c r="A122" t="s">
        <v>8495</v>
      </c>
      <c r="B122" s="7" t="s">
        <v>32933</v>
      </c>
      <c r="C122" s="7"/>
      <c r="D122" s="7"/>
      <c r="E122" s="7"/>
      <c r="F122" t="s">
        <v>67</v>
      </c>
      <c r="G122" t="s">
        <v>985</v>
      </c>
      <c r="H122" t="s">
        <v>69</v>
      </c>
      <c r="I122" t="s">
        <v>69</v>
      </c>
      <c r="J122" t="s">
        <v>69</v>
      </c>
      <c r="K122" t="s">
        <v>986</v>
      </c>
      <c r="L122" t="s">
        <v>69</v>
      </c>
      <c r="M122" t="s">
        <v>69</v>
      </c>
      <c r="N122" t="s">
        <v>987</v>
      </c>
      <c r="O122" t="s">
        <v>988</v>
      </c>
      <c r="P122" t="s">
        <v>69</v>
      </c>
      <c r="Q122" t="s">
        <v>69</v>
      </c>
      <c r="R122" t="s">
        <v>10071</v>
      </c>
      <c r="S122" t="s">
        <v>8506</v>
      </c>
      <c r="T122" t="s">
        <v>69</v>
      </c>
      <c r="U122" t="s">
        <v>69</v>
      </c>
      <c r="V122" t="s">
        <v>69</v>
      </c>
      <c r="W122" t="s">
        <v>69</v>
      </c>
      <c r="X122" t="s">
        <v>69</v>
      </c>
      <c r="Y122" t="s">
        <v>17735</v>
      </c>
      <c r="Z122" t="s">
        <v>69</v>
      </c>
      <c r="AA122" t="s">
        <v>989</v>
      </c>
      <c r="AB122" t="s">
        <v>69</v>
      </c>
      <c r="AC122" t="s">
        <v>69</v>
      </c>
      <c r="AD122" t="s">
        <v>69</v>
      </c>
      <c r="AE122" t="s">
        <v>17736</v>
      </c>
      <c r="AF122" t="s">
        <v>69</v>
      </c>
      <c r="AG122" t="s">
        <v>69</v>
      </c>
      <c r="AH122" t="s">
        <v>69</v>
      </c>
      <c r="AI122" t="s">
        <v>69</v>
      </c>
      <c r="AJ122" t="s">
        <v>69</v>
      </c>
      <c r="AK122" t="s">
        <v>69</v>
      </c>
      <c r="AL122">
        <v>39</v>
      </c>
      <c r="AM122">
        <v>2</v>
      </c>
      <c r="AN122">
        <v>2</v>
      </c>
      <c r="AO122">
        <v>1</v>
      </c>
      <c r="AP122">
        <v>4</v>
      </c>
      <c r="AQ122" t="s">
        <v>17737</v>
      </c>
      <c r="AR122" t="s">
        <v>16204</v>
      </c>
      <c r="AS122" t="s">
        <v>17738</v>
      </c>
      <c r="AT122" t="s">
        <v>990</v>
      </c>
      <c r="AU122" t="s">
        <v>991</v>
      </c>
      <c r="AV122" t="s">
        <v>69</v>
      </c>
      <c r="AW122" t="s">
        <v>17739</v>
      </c>
      <c r="AX122" t="s">
        <v>17740</v>
      </c>
      <c r="AY122" t="s">
        <v>69</v>
      </c>
      <c r="AZ122">
        <v>2019</v>
      </c>
      <c r="BA122">
        <v>32</v>
      </c>
      <c r="BB122">
        <v>2</v>
      </c>
      <c r="BC122" t="s">
        <v>69</v>
      </c>
      <c r="BD122" t="s">
        <v>69</v>
      </c>
      <c r="BE122" t="s">
        <v>69</v>
      </c>
      <c r="BF122" t="s">
        <v>69</v>
      </c>
      <c r="BG122">
        <v>431</v>
      </c>
      <c r="BH122">
        <v>444</v>
      </c>
      <c r="BI122" t="s">
        <v>69</v>
      </c>
      <c r="BJ122" t="s">
        <v>992</v>
      </c>
      <c r="BK122" t="str">
        <f>HYPERLINK("http://dx.doi.org/10.5209/cuts.58801","http://dx.doi.org/10.5209/cuts.58801")</f>
        <v>http://dx.doi.org/10.5209/cuts.58801</v>
      </c>
      <c r="BL122" t="s">
        <v>69</v>
      </c>
      <c r="BM122" t="s">
        <v>69</v>
      </c>
      <c r="BN122">
        <v>14</v>
      </c>
      <c r="BO122" t="s">
        <v>17741</v>
      </c>
      <c r="BP122" t="s">
        <v>8573</v>
      </c>
      <c r="BQ122" t="s">
        <v>17741</v>
      </c>
      <c r="BR122" t="s">
        <v>17742</v>
      </c>
      <c r="BS122" t="s">
        <v>993</v>
      </c>
      <c r="BT122" t="s">
        <v>69</v>
      </c>
      <c r="BU122" t="s">
        <v>8931</v>
      </c>
      <c r="BV122" t="s">
        <v>69</v>
      </c>
      <c r="BW122" t="s">
        <v>69</v>
      </c>
      <c r="BX122" t="s">
        <v>8526</v>
      </c>
      <c r="BY122" t="str">
        <f>HYPERLINK("https%3A%2F%2Fwww.webofscience.com%2Fwos%2Fwoscc%2Ffull-record%2FWOS:000480516600013","View Full Record in Web of Science")</f>
        <v>View Full Record in Web of Science</v>
      </c>
    </row>
    <row r="123" spans="1:77" ht="12.5" x14ac:dyDescent="0.25">
      <c r="A123" t="s">
        <v>8495</v>
      </c>
      <c r="B123" s="7" t="s">
        <v>32944</v>
      </c>
      <c r="C123" s="7"/>
      <c r="D123" s="7"/>
      <c r="E123" s="7" t="s">
        <v>33053</v>
      </c>
      <c r="F123" t="s">
        <v>67</v>
      </c>
      <c r="G123" t="s">
        <v>30485</v>
      </c>
      <c r="H123" t="s">
        <v>69</v>
      </c>
      <c r="I123" t="s">
        <v>69</v>
      </c>
      <c r="J123" t="s">
        <v>69</v>
      </c>
      <c r="K123" t="s">
        <v>30486</v>
      </c>
      <c r="L123" t="s">
        <v>69</v>
      </c>
      <c r="M123" t="s">
        <v>69</v>
      </c>
      <c r="N123" t="s">
        <v>30487</v>
      </c>
      <c r="O123" t="s">
        <v>30488</v>
      </c>
      <c r="P123" t="s">
        <v>69</v>
      </c>
      <c r="Q123" t="s">
        <v>69</v>
      </c>
      <c r="R123" t="s">
        <v>8505</v>
      </c>
      <c r="S123" t="s">
        <v>8506</v>
      </c>
      <c r="T123" t="s">
        <v>69</v>
      </c>
      <c r="U123" t="s">
        <v>69</v>
      </c>
      <c r="V123" t="s">
        <v>69</v>
      </c>
      <c r="W123" t="s">
        <v>69</v>
      </c>
      <c r="X123" t="s">
        <v>69</v>
      </c>
      <c r="Y123" t="s">
        <v>30489</v>
      </c>
      <c r="Z123" t="s">
        <v>69</v>
      </c>
      <c r="AA123" t="s">
        <v>30490</v>
      </c>
      <c r="AB123" t="s">
        <v>30491</v>
      </c>
      <c r="AC123" t="s">
        <v>69</v>
      </c>
      <c r="AD123" t="s">
        <v>30492</v>
      </c>
      <c r="AE123" t="s">
        <v>30493</v>
      </c>
      <c r="AF123" t="s">
        <v>69</v>
      </c>
      <c r="AG123" t="s">
        <v>1932</v>
      </c>
      <c r="AH123" t="s">
        <v>69</v>
      </c>
      <c r="AI123" t="s">
        <v>69</v>
      </c>
      <c r="AJ123" t="s">
        <v>69</v>
      </c>
      <c r="AK123" t="s">
        <v>69</v>
      </c>
      <c r="AL123">
        <v>33</v>
      </c>
      <c r="AM123">
        <v>39</v>
      </c>
      <c r="AN123">
        <v>39</v>
      </c>
      <c r="AO123">
        <v>0</v>
      </c>
      <c r="AP123">
        <v>0</v>
      </c>
      <c r="AQ123" t="s">
        <v>8865</v>
      </c>
      <c r="AR123" t="s">
        <v>8612</v>
      </c>
      <c r="AS123" t="s">
        <v>8866</v>
      </c>
      <c r="AT123" t="s">
        <v>30494</v>
      </c>
      <c r="AU123" t="s">
        <v>30495</v>
      </c>
      <c r="AV123" t="s">
        <v>69</v>
      </c>
      <c r="AW123" t="s">
        <v>30496</v>
      </c>
      <c r="AX123" t="s">
        <v>30497</v>
      </c>
      <c r="AY123" t="s">
        <v>69</v>
      </c>
      <c r="AZ123">
        <v>2006</v>
      </c>
      <c r="BA123">
        <v>12</v>
      </c>
      <c r="BB123">
        <v>1</v>
      </c>
      <c r="BC123" t="s">
        <v>69</v>
      </c>
      <c r="BD123" t="s">
        <v>69</v>
      </c>
      <c r="BE123" t="s">
        <v>69</v>
      </c>
      <c r="BF123" t="s">
        <v>69</v>
      </c>
      <c r="BG123">
        <v>5</v>
      </c>
      <c r="BH123">
        <v>16</v>
      </c>
      <c r="BI123" t="s">
        <v>69</v>
      </c>
      <c r="BJ123" t="s">
        <v>30498</v>
      </c>
      <c r="BK123" t="str">
        <f>HYPERLINK("http://dx.doi.org/10.1080/13892240600740787","http://dx.doi.org/10.1080/13892240600740787")</f>
        <v>http://dx.doi.org/10.1080/13892240600740787</v>
      </c>
      <c r="BL123" t="s">
        <v>69</v>
      </c>
      <c r="BM123" t="s">
        <v>69</v>
      </c>
      <c r="BN123">
        <v>12</v>
      </c>
      <c r="BO123" t="s">
        <v>15416</v>
      </c>
      <c r="BP123" t="s">
        <v>8573</v>
      </c>
      <c r="BQ123" t="s">
        <v>15417</v>
      </c>
      <c r="BR123" t="s">
        <v>30499</v>
      </c>
      <c r="BS123" t="s">
        <v>30500</v>
      </c>
      <c r="BT123" t="s">
        <v>69</v>
      </c>
      <c r="BU123" t="s">
        <v>69</v>
      </c>
      <c r="BV123" t="s">
        <v>69</v>
      </c>
      <c r="BW123" t="s">
        <v>69</v>
      </c>
      <c r="BX123" t="s">
        <v>8526</v>
      </c>
      <c r="BY123" t="str">
        <f>HYPERLINK("https%3A%2F%2Fwww.webofscience.com%2Fwos%2Fwoscc%2Ffull-record%2FWOS:000212625800002","View Full Record in Web of Science")</f>
        <v>View Full Record in Web of Science</v>
      </c>
    </row>
    <row r="124" spans="1:77" ht="12.5" x14ac:dyDescent="0.25">
      <c r="A124" t="s">
        <v>8495</v>
      </c>
      <c r="B124" s="7" t="s">
        <v>32933</v>
      </c>
      <c r="C124" s="7"/>
      <c r="D124" s="7"/>
      <c r="E124" s="7"/>
      <c r="F124" t="s">
        <v>67</v>
      </c>
      <c r="G124" t="s">
        <v>6883</v>
      </c>
      <c r="H124" t="s">
        <v>69</v>
      </c>
      <c r="I124" t="s">
        <v>69</v>
      </c>
      <c r="J124" t="s">
        <v>69</v>
      </c>
      <c r="K124" t="s">
        <v>6884</v>
      </c>
      <c r="L124" t="s">
        <v>69</v>
      </c>
      <c r="M124" t="s">
        <v>69</v>
      </c>
      <c r="N124" t="s">
        <v>6885</v>
      </c>
      <c r="O124" t="s">
        <v>6886</v>
      </c>
      <c r="P124" t="s">
        <v>69</v>
      </c>
      <c r="Q124" t="s">
        <v>69</v>
      </c>
      <c r="R124" t="s">
        <v>10071</v>
      </c>
      <c r="S124" t="s">
        <v>8506</v>
      </c>
      <c r="T124" t="s">
        <v>69</v>
      </c>
      <c r="U124" t="s">
        <v>69</v>
      </c>
      <c r="V124" t="s">
        <v>69</v>
      </c>
      <c r="W124" t="s">
        <v>69</v>
      </c>
      <c r="X124" t="s">
        <v>69</v>
      </c>
      <c r="Y124" t="s">
        <v>17799</v>
      </c>
      <c r="Z124" t="s">
        <v>17800</v>
      </c>
      <c r="AA124" t="s">
        <v>6887</v>
      </c>
      <c r="AB124" t="s">
        <v>17801</v>
      </c>
      <c r="AC124" t="s">
        <v>69</v>
      </c>
      <c r="AD124" t="s">
        <v>17802</v>
      </c>
      <c r="AE124" t="s">
        <v>17803</v>
      </c>
      <c r="AF124" t="s">
        <v>6888</v>
      </c>
      <c r="AG124" t="s">
        <v>6889</v>
      </c>
      <c r="AH124" t="s">
        <v>69</v>
      </c>
      <c r="AI124" t="s">
        <v>69</v>
      </c>
      <c r="AJ124" t="s">
        <v>69</v>
      </c>
      <c r="AK124" t="s">
        <v>69</v>
      </c>
      <c r="AL124">
        <v>32</v>
      </c>
      <c r="AM124">
        <v>2</v>
      </c>
      <c r="AN124">
        <v>2</v>
      </c>
      <c r="AO124">
        <v>3</v>
      </c>
      <c r="AP124">
        <v>8</v>
      </c>
      <c r="AQ124" t="s">
        <v>17737</v>
      </c>
      <c r="AR124" t="s">
        <v>16204</v>
      </c>
      <c r="AS124" t="s">
        <v>17738</v>
      </c>
      <c r="AT124" t="s">
        <v>6890</v>
      </c>
      <c r="AU124" t="s">
        <v>6891</v>
      </c>
      <c r="AV124" t="s">
        <v>69</v>
      </c>
      <c r="AW124" t="s">
        <v>17804</v>
      </c>
      <c r="AX124" t="s">
        <v>17805</v>
      </c>
      <c r="AY124" t="s">
        <v>69</v>
      </c>
      <c r="AZ124">
        <v>2019</v>
      </c>
      <c r="BA124" t="s">
        <v>69</v>
      </c>
      <c r="BB124">
        <v>130</v>
      </c>
      <c r="BC124" t="s">
        <v>69</v>
      </c>
      <c r="BD124" t="s">
        <v>69</v>
      </c>
      <c r="BE124" t="s">
        <v>69</v>
      </c>
      <c r="BF124" t="s">
        <v>69</v>
      </c>
      <c r="BG124">
        <v>73</v>
      </c>
      <c r="BH124">
        <v>98</v>
      </c>
      <c r="BI124" t="s">
        <v>69</v>
      </c>
      <c r="BJ124" t="s">
        <v>6892</v>
      </c>
      <c r="BK124" t="str">
        <f>HYPERLINK("http://dx.doi.org/10.5209/REVE.62811","http://dx.doi.org/10.5209/REVE.62811")</f>
        <v>http://dx.doi.org/10.5209/REVE.62811</v>
      </c>
      <c r="BL124" t="s">
        <v>69</v>
      </c>
      <c r="BM124" t="s">
        <v>69</v>
      </c>
      <c r="BN124">
        <v>26</v>
      </c>
      <c r="BO124" t="s">
        <v>9726</v>
      </c>
      <c r="BP124" t="s">
        <v>8573</v>
      </c>
      <c r="BQ124" t="s">
        <v>8594</v>
      </c>
      <c r="BR124" t="s">
        <v>17806</v>
      </c>
      <c r="BS124" t="s">
        <v>6893</v>
      </c>
      <c r="BT124" t="s">
        <v>69</v>
      </c>
      <c r="BU124" t="s">
        <v>17807</v>
      </c>
      <c r="BV124" t="s">
        <v>69</v>
      </c>
      <c r="BW124" t="s">
        <v>69</v>
      </c>
      <c r="BX124" t="s">
        <v>8526</v>
      </c>
      <c r="BY124" t="str">
        <f>HYPERLINK("https%3A%2F%2Fwww.webofscience.com%2Fwos%2Fwoscc%2Ffull-record%2FWOS:000467074700004","View Full Record in Web of Science")</f>
        <v>View Full Record in Web of Science</v>
      </c>
    </row>
    <row r="125" spans="1:77" ht="12.5" x14ac:dyDescent="0.25">
      <c r="A125" t="s">
        <v>8495</v>
      </c>
      <c r="B125" s="22" t="s">
        <v>32931</v>
      </c>
      <c r="C125" s="7"/>
      <c r="D125" s="7"/>
      <c r="E125" s="7"/>
      <c r="F125" t="s">
        <v>67</v>
      </c>
      <c r="G125" t="s">
        <v>32795</v>
      </c>
      <c r="H125" t="s">
        <v>69</v>
      </c>
      <c r="I125" t="s">
        <v>69</v>
      </c>
      <c r="J125" t="s">
        <v>69</v>
      </c>
      <c r="K125" t="s">
        <v>32795</v>
      </c>
      <c r="L125" t="s">
        <v>69</v>
      </c>
      <c r="M125" t="s">
        <v>69</v>
      </c>
      <c r="N125" t="s">
        <v>32796</v>
      </c>
      <c r="O125" t="s">
        <v>32797</v>
      </c>
      <c r="P125" t="s">
        <v>69</v>
      </c>
      <c r="Q125" t="s">
        <v>69</v>
      </c>
      <c r="R125" t="s">
        <v>8505</v>
      </c>
      <c r="S125" t="s">
        <v>8506</v>
      </c>
      <c r="T125" t="s">
        <v>69</v>
      </c>
      <c r="U125" t="s">
        <v>69</v>
      </c>
      <c r="V125" t="s">
        <v>69</v>
      </c>
      <c r="W125" t="s">
        <v>69</v>
      </c>
      <c r="X125" t="s">
        <v>69</v>
      </c>
      <c r="Y125" t="s">
        <v>32798</v>
      </c>
      <c r="Z125" t="s">
        <v>69</v>
      </c>
      <c r="AA125" t="s">
        <v>32799</v>
      </c>
      <c r="AB125" t="s">
        <v>32800</v>
      </c>
      <c r="AC125" t="s">
        <v>69</v>
      </c>
      <c r="AD125" t="s">
        <v>32801</v>
      </c>
      <c r="AE125" t="s">
        <v>69</v>
      </c>
      <c r="AF125" t="s">
        <v>69</v>
      </c>
      <c r="AG125" t="s">
        <v>32802</v>
      </c>
      <c r="AH125" t="s">
        <v>69</v>
      </c>
      <c r="AI125" t="s">
        <v>69</v>
      </c>
      <c r="AJ125" t="s">
        <v>69</v>
      </c>
      <c r="AK125" t="s">
        <v>69</v>
      </c>
      <c r="AL125">
        <v>18</v>
      </c>
      <c r="AM125">
        <v>4</v>
      </c>
      <c r="AN125">
        <v>4</v>
      </c>
      <c r="AO125">
        <v>0</v>
      </c>
      <c r="AP125">
        <v>0</v>
      </c>
      <c r="AQ125" t="s">
        <v>32803</v>
      </c>
      <c r="AR125" t="s">
        <v>32804</v>
      </c>
      <c r="AS125" t="s">
        <v>32805</v>
      </c>
      <c r="AT125" t="s">
        <v>32806</v>
      </c>
      <c r="AU125" t="s">
        <v>69</v>
      </c>
      <c r="AV125" t="s">
        <v>69</v>
      </c>
      <c r="AW125" t="s">
        <v>32807</v>
      </c>
      <c r="AX125" t="s">
        <v>69</v>
      </c>
      <c r="AY125" t="s">
        <v>586</v>
      </c>
      <c r="AZ125">
        <v>1993</v>
      </c>
      <c r="BA125">
        <v>140</v>
      </c>
      <c r="BB125">
        <v>3</v>
      </c>
      <c r="BC125" t="s">
        <v>69</v>
      </c>
      <c r="BD125" t="s">
        <v>69</v>
      </c>
      <c r="BE125" t="s">
        <v>69</v>
      </c>
      <c r="BF125" t="s">
        <v>69</v>
      </c>
      <c r="BG125">
        <v>166</v>
      </c>
      <c r="BH125">
        <v>176</v>
      </c>
      <c r="BI125" t="s">
        <v>69</v>
      </c>
      <c r="BJ125" t="s">
        <v>32808</v>
      </c>
      <c r="BK125" t="str">
        <f>HYPERLINK("http://dx.doi.org/10.1049/ip-b.1993.0021","http://dx.doi.org/10.1049/ip-b.1993.0021")</f>
        <v>http://dx.doi.org/10.1049/ip-b.1993.0021</v>
      </c>
      <c r="BL125" t="s">
        <v>69</v>
      </c>
      <c r="BM125" t="s">
        <v>69</v>
      </c>
      <c r="BN125">
        <v>11</v>
      </c>
      <c r="BO125" t="s">
        <v>22702</v>
      </c>
      <c r="BP125" t="s">
        <v>8548</v>
      </c>
      <c r="BQ125" t="s">
        <v>8445</v>
      </c>
      <c r="BR125" t="s">
        <v>32809</v>
      </c>
      <c r="BS125" t="s">
        <v>32810</v>
      </c>
      <c r="BT125" t="s">
        <v>69</v>
      </c>
      <c r="BU125" t="s">
        <v>69</v>
      </c>
      <c r="BV125" t="s">
        <v>69</v>
      </c>
      <c r="BW125" t="s">
        <v>69</v>
      </c>
      <c r="BX125" t="s">
        <v>8526</v>
      </c>
      <c r="BY125" t="str">
        <f>HYPERLINK("https%3A%2F%2Fwww.webofscience.com%2Fwos%2Fwoscc%2Ffull-record%2FWOS:A1993LE77700002","View Full Record in Web of Science")</f>
        <v>View Full Record in Web of Science</v>
      </c>
    </row>
    <row r="126" spans="1:77" ht="12.5" x14ac:dyDescent="0.25">
      <c r="A126" t="s">
        <v>8495</v>
      </c>
      <c r="B126" s="7" t="s">
        <v>32933</v>
      </c>
      <c r="C126" s="7"/>
      <c r="D126" s="7"/>
      <c r="E126" s="7"/>
      <c r="F126" t="s">
        <v>67</v>
      </c>
      <c r="G126" t="s">
        <v>1947</v>
      </c>
      <c r="H126" t="s">
        <v>69</v>
      </c>
      <c r="I126" t="s">
        <v>69</v>
      </c>
      <c r="J126" t="s">
        <v>69</v>
      </c>
      <c r="K126" t="s">
        <v>1948</v>
      </c>
      <c r="L126" t="s">
        <v>69</v>
      </c>
      <c r="M126" t="s">
        <v>69</v>
      </c>
      <c r="N126" t="s">
        <v>1949</v>
      </c>
      <c r="O126" t="s">
        <v>1950</v>
      </c>
      <c r="P126" t="s">
        <v>69</v>
      </c>
      <c r="Q126" t="s">
        <v>69</v>
      </c>
      <c r="R126" t="s">
        <v>8505</v>
      </c>
      <c r="S126" t="s">
        <v>8442</v>
      </c>
      <c r="T126" t="s">
        <v>69</v>
      </c>
      <c r="U126" t="s">
        <v>69</v>
      </c>
      <c r="V126" t="s">
        <v>69</v>
      </c>
      <c r="W126" t="s">
        <v>69</v>
      </c>
      <c r="X126" t="s">
        <v>69</v>
      </c>
      <c r="Y126" t="s">
        <v>14840</v>
      </c>
      <c r="Z126" t="s">
        <v>14841</v>
      </c>
      <c r="AA126" t="s">
        <v>1951</v>
      </c>
      <c r="AB126" t="s">
        <v>14842</v>
      </c>
      <c r="AC126" t="s">
        <v>69</v>
      </c>
      <c r="AD126" t="s">
        <v>14843</v>
      </c>
      <c r="AE126" t="s">
        <v>14844</v>
      </c>
      <c r="AF126" t="s">
        <v>69</v>
      </c>
      <c r="AG126" t="s">
        <v>69</v>
      </c>
      <c r="AH126" t="s">
        <v>69</v>
      </c>
      <c r="AI126" t="s">
        <v>69</v>
      </c>
      <c r="AJ126" t="s">
        <v>69</v>
      </c>
      <c r="AK126" t="s">
        <v>69</v>
      </c>
      <c r="AL126">
        <v>77</v>
      </c>
      <c r="AM126">
        <v>7</v>
      </c>
      <c r="AN126">
        <v>7</v>
      </c>
      <c r="AO126">
        <v>2</v>
      </c>
      <c r="AP126">
        <v>4</v>
      </c>
      <c r="AQ126" t="s">
        <v>9178</v>
      </c>
      <c r="AR126" t="s">
        <v>8763</v>
      </c>
      <c r="AS126" t="s">
        <v>9179</v>
      </c>
      <c r="AT126" t="s">
        <v>1952</v>
      </c>
      <c r="AU126" t="s">
        <v>1953</v>
      </c>
      <c r="AV126" t="s">
        <v>69</v>
      </c>
      <c r="AW126" t="s">
        <v>14845</v>
      </c>
      <c r="AX126" t="s">
        <v>14846</v>
      </c>
      <c r="AY126" t="s">
        <v>84</v>
      </c>
      <c r="AZ126">
        <v>2020</v>
      </c>
      <c r="BA126">
        <v>11</v>
      </c>
      <c r="BB126">
        <v>4</v>
      </c>
      <c r="BC126" t="s">
        <v>69</v>
      </c>
      <c r="BD126" t="s">
        <v>69</v>
      </c>
      <c r="BE126" t="s">
        <v>69</v>
      </c>
      <c r="BF126" t="s">
        <v>69</v>
      </c>
      <c r="BG126">
        <v>293</v>
      </c>
      <c r="BH126">
        <v>302</v>
      </c>
      <c r="BI126" t="s">
        <v>69</v>
      </c>
      <c r="BJ126" t="s">
        <v>1954</v>
      </c>
      <c r="BK126" t="str">
        <f>HYPERLINK("http://dx.doi.org/10.1136/flgastro-2019-101241","http://dx.doi.org/10.1136/flgastro-2019-101241")</f>
        <v>http://dx.doi.org/10.1136/flgastro-2019-101241</v>
      </c>
      <c r="BL126" t="s">
        <v>69</v>
      </c>
      <c r="BM126" t="s">
        <v>69</v>
      </c>
      <c r="BN126">
        <v>10</v>
      </c>
      <c r="BO126" t="s">
        <v>14847</v>
      </c>
      <c r="BP126" t="s">
        <v>8573</v>
      </c>
      <c r="BQ126" t="s">
        <v>14847</v>
      </c>
      <c r="BR126" t="s">
        <v>14848</v>
      </c>
      <c r="BS126" t="s">
        <v>1955</v>
      </c>
      <c r="BT126">
        <v>32582422</v>
      </c>
      <c r="BU126" t="s">
        <v>10363</v>
      </c>
      <c r="BV126" t="s">
        <v>69</v>
      </c>
      <c r="BW126" t="s">
        <v>69</v>
      </c>
      <c r="BX126" t="s">
        <v>8526</v>
      </c>
      <c r="BY126" t="str">
        <f>HYPERLINK("https%3A%2F%2Fwww.webofscience.com%2Fwos%2Fwoscc%2Ffull-record%2FWOS:000542943900008","View Full Record in Web of Science")</f>
        <v>View Full Record in Web of Science</v>
      </c>
    </row>
    <row r="127" spans="1:77" ht="12.5" x14ac:dyDescent="0.25">
      <c r="A127" t="s">
        <v>8495</v>
      </c>
      <c r="B127" s="7" t="s">
        <v>32933</v>
      </c>
      <c r="C127" s="7"/>
      <c r="D127" s="7"/>
      <c r="E127" s="7"/>
      <c r="F127" t="s">
        <v>67</v>
      </c>
      <c r="G127" t="s">
        <v>5197</v>
      </c>
      <c r="H127" t="s">
        <v>69</v>
      </c>
      <c r="I127" t="s">
        <v>69</v>
      </c>
      <c r="J127" t="s">
        <v>69</v>
      </c>
      <c r="K127" t="s">
        <v>5197</v>
      </c>
      <c r="L127" t="s">
        <v>69</v>
      </c>
      <c r="M127" t="s">
        <v>69</v>
      </c>
      <c r="N127" s="3" t="s">
        <v>5198</v>
      </c>
      <c r="O127" t="s">
        <v>5199</v>
      </c>
      <c r="P127" t="s">
        <v>69</v>
      </c>
      <c r="Q127" t="s">
        <v>69</v>
      </c>
      <c r="R127" t="s">
        <v>8505</v>
      </c>
      <c r="S127" t="s">
        <v>15797</v>
      </c>
      <c r="T127" t="s">
        <v>5200</v>
      </c>
      <c r="U127" t="s">
        <v>5201</v>
      </c>
      <c r="V127" t="s">
        <v>5202</v>
      </c>
      <c r="W127" t="s">
        <v>69</v>
      </c>
      <c r="X127" t="s">
        <v>5203</v>
      </c>
      <c r="Y127" t="s">
        <v>69</v>
      </c>
      <c r="Z127" t="s">
        <v>31676</v>
      </c>
      <c r="AA127" t="s">
        <v>5204</v>
      </c>
      <c r="AB127" t="s">
        <v>31677</v>
      </c>
      <c r="AC127" t="s">
        <v>69</v>
      </c>
      <c r="AD127" t="s">
        <v>31678</v>
      </c>
      <c r="AE127" t="s">
        <v>31679</v>
      </c>
      <c r="AF127" t="s">
        <v>69</v>
      </c>
      <c r="AG127" t="s">
        <v>69</v>
      </c>
      <c r="AH127" t="s">
        <v>69</v>
      </c>
      <c r="AI127" t="s">
        <v>69</v>
      </c>
      <c r="AJ127" t="s">
        <v>69</v>
      </c>
      <c r="AK127" t="s">
        <v>69</v>
      </c>
      <c r="AL127">
        <v>118</v>
      </c>
      <c r="AM127">
        <v>3</v>
      </c>
      <c r="AN127">
        <v>3</v>
      </c>
      <c r="AO127">
        <v>0</v>
      </c>
      <c r="AP127">
        <v>15</v>
      </c>
      <c r="AQ127" t="s">
        <v>31680</v>
      </c>
      <c r="AR127" t="s">
        <v>31681</v>
      </c>
      <c r="AS127" t="s">
        <v>31682</v>
      </c>
      <c r="AT127" t="s">
        <v>5205</v>
      </c>
      <c r="AU127" t="s">
        <v>69</v>
      </c>
      <c r="AV127" t="s">
        <v>69</v>
      </c>
      <c r="AW127" t="s">
        <v>31683</v>
      </c>
      <c r="AX127" t="s">
        <v>31684</v>
      </c>
      <c r="AY127" t="s">
        <v>69</v>
      </c>
      <c r="AZ127">
        <v>2001</v>
      </c>
      <c r="BA127">
        <v>8</v>
      </c>
      <c r="BB127" t="s">
        <v>69</v>
      </c>
      <c r="BC127" t="s">
        <v>69</v>
      </c>
      <c r="BD127" t="s">
        <v>69</v>
      </c>
      <c r="BE127">
        <v>1</v>
      </c>
      <c r="BF127" t="s">
        <v>69</v>
      </c>
      <c r="BG127">
        <v>57</v>
      </c>
      <c r="BH127">
        <v>90</v>
      </c>
      <c r="BI127" t="s">
        <v>69</v>
      </c>
      <c r="BJ127" t="s">
        <v>5206</v>
      </c>
      <c r="BK127" t="str">
        <f>HYPERLINK("http://dx.doi.org/10.1656/1092-6194(2001)8[57:AVHHWV]2.0.CO;2","http://dx.doi.org/10.1656/1092-6194(2001)8[57:AVHHWV]2.0.CO;2")</f>
        <v>http://dx.doi.org/10.1656/1092-6194(2001)8[57:AVHHWV]2.0.CO;2</v>
      </c>
      <c r="BL127" t="s">
        <v>69</v>
      </c>
      <c r="BM127" t="s">
        <v>69</v>
      </c>
      <c r="BN127">
        <v>34</v>
      </c>
      <c r="BO127" t="s">
        <v>15451</v>
      </c>
      <c r="BP127" t="s">
        <v>15808</v>
      </c>
      <c r="BQ127" t="s">
        <v>15452</v>
      </c>
      <c r="BR127" t="s">
        <v>31685</v>
      </c>
      <c r="BS127" t="s">
        <v>5207</v>
      </c>
      <c r="BT127" t="s">
        <v>69</v>
      </c>
      <c r="BU127" t="s">
        <v>69</v>
      </c>
      <c r="BV127" t="s">
        <v>69</v>
      </c>
      <c r="BW127" t="s">
        <v>69</v>
      </c>
      <c r="BX127" t="s">
        <v>8526</v>
      </c>
      <c r="BY127" t="str">
        <f>HYPERLINK("https%3A%2F%2Fwww.webofscience.com%2Fwos%2Fwoscc%2Ffull-record%2FWOS:000175117700008","View Full Record in Web of Science")</f>
        <v>View Full Record in Web of Science</v>
      </c>
    </row>
    <row r="128" spans="1:77" ht="12.5" x14ac:dyDescent="0.25">
      <c r="A128" t="s">
        <v>8495</v>
      </c>
      <c r="B128" s="7" t="s">
        <v>32933</v>
      </c>
      <c r="C128" s="7"/>
      <c r="D128" s="7"/>
      <c r="E128" s="7"/>
      <c r="F128" t="s">
        <v>67</v>
      </c>
      <c r="G128" t="s">
        <v>1837</v>
      </c>
      <c r="H128" t="s">
        <v>69</v>
      </c>
      <c r="I128" t="s">
        <v>69</v>
      </c>
      <c r="J128" t="s">
        <v>69</v>
      </c>
      <c r="K128" t="s">
        <v>1838</v>
      </c>
      <c r="L128" t="s">
        <v>69</v>
      </c>
      <c r="M128" t="s">
        <v>69</v>
      </c>
      <c r="N128" t="s">
        <v>1839</v>
      </c>
      <c r="O128" t="s">
        <v>436</v>
      </c>
      <c r="P128" t="s">
        <v>69</v>
      </c>
      <c r="Q128" t="s">
        <v>69</v>
      </c>
      <c r="R128" t="s">
        <v>8505</v>
      </c>
      <c r="S128" t="s">
        <v>8506</v>
      </c>
      <c r="T128" t="s">
        <v>69</v>
      </c>
      <c r="U128" t="s">
        <v>69</v>
      </c>
      <c r="V128" t="s">
        <v>69</v>
      </c>
      <c r="W128" t="s">
        <v>69</v>
      </c>
      <c r="X128" t="s">
        <v>69</v>
      </c>
      <c r="Y128" t="s">
        <v>13392</v>
      </c>
      <c r="Z128" t="s">
        <v>13393</v>
      </c>
      <c r="AA128" t="s">
        <v>1840</v>
      </c>
      <c r="AB128" t="s">
        <v>13394</v>
      </c>
      <c r="AC128" t="s">
        <v>69</v>
      </c>
      <c r="AD128" t="s">
        <v>13395</v>
      </c>
      <c r="AE128" t="s">
        <v>13396</v>
      </c>
      <c r="AF128" t="s">
        <v>1841</v>
      </c>
      <c r="AG128" t="s">
        <v>69</v>
      </c>
      <c r="AH128" t="s">
        <v>13397</v>
      </c>
      <c r="AI128" t="s">
        <v>13397</v>
      </c>
      <c r="AJ128" t="s">
        <v>13398</v>
      </c>
      <c r="AK128" t="s">
        <v>69</v>
      </c>
      <c r="AL128">
        <v>94</v>
      </c>
      <c r="AM128">
        <v>3</v>
      </c>
      <c r="AN128">
        <v>3</v>
      </c>
      <c r="AO128">
        <v>4</v>
      </c>
      <c r="AP128">
        <v>19</v>
      </c>
      <c r="AQ128" t="s">
        <v>8636</v>
      </c>
      <c r="AR128" t="s">
        <v>8637</v>
      </c>
      <c r="AS128" t="s">
        <v>8638</v>
      </c>
      <c r="AT128" t="s">
        <v>440</v>
      </c>
      <c r="AU128" t="s">
        <v>441</v>
      </c>
      <c r="AV128" t="s">
        <v>69</v>
      </c>
      <c r="AW128" t="s">
        <v>8639</v>
      </c>
      <c r="AX128" t="s">
        <v>8640</v>
      </c>
      <c r="AY128" t="s">
        <v>442</v>
      </c>
      <c r="AZ128">
        <v>2021</v>
      </c>
      <c r="BA128">
        <v>280</v>
      </c>
      <c r="BB128" t="s">
        <v>69</v>
      </c>
      <c r="BC128">
        <v>2</v>
      </c>
      <c r="BD128" t="s">
        <v>69</v>
      </c>
      <c r="BE128" t="s">
        <v>69</v>
      </c>
      <c r="BF128" t="s">
        <v>69</v>
      </c>
      <c r="BG128" t="s">
        <v>69</v>
      </c>
      <c r="BH128" t="s">
        <v>69</v>
      </c>
      <c r="BI128">
        <v>123702</v>
      </c>
      <c r="BJ128" t="s">
        <v>1842</v>
      </c>
      <c r="BK128" t="str">
        <f>HYPERLINK("http://dx.doi.org/10.1016/j.jclepro.2020.123702","http://dx.doi.org/10.1016/j.jclepro.2020.123702")</f>
        <v>http://dx.doi.org/10.1016/j.jclepro.2020.123702</v>
      </c>
      <c r="BL128" t="s">
        <v>69</v>
      </c>
      <c r="BM128" t="s">
        <v>69</v>
      </c>
      <c r="BN128">
        <v>10</v>
      </c>
      <c r="BO128" t="s">
        <v>8643</v>
      </c>
      <c r="BP128" t="s">
        <v>8523</v>
      </c>
      <c r="BQ128" t="s">
        <v>8644</v>
      </c>
      <c r="BR128" t="s">
        <v>13399</v>
      </c>
      <c r="BS128" t="s">
        <v>1843</v>
      </c>
      <c r="BT128" t="s">
        <v>69</v>
      </c>
      <c r="BU128" t="s">
        <v>69</v>
      </c>
      <c r="BV128" t="s">
        <v>69</v>
      </c>
      <c r="BW128" t="s">
        <v>69</v>
      </c>
      <c r="BX128" t="s">
        <v>8526</v>
      </c>
      <c r="BY128" t="str">
        <f>HYPERLINK("https%3A%2F%2Fwww.webofscience.com%2Fwos%2Fwoscc%2Ffull-record%2FWOS:000605181700008","View Full Record in Web of Science")</f>
        <v>View Full Record in Web of Science</v>
      </c>
    </row>
    <row r="129" spans="1:77" x14ac:dyDescent="0.3">
      <c r="A129" t="s">
        <v>8495</v>
      </c>
      <c r="B129" s="9" t="s">
        <v>32942</v>
      </c>
      <c r="E129" s="9" t="s">
        <v>33053</v>
      </c>
      <c r="F129" t="s">
        <v>67</v>
      </c>
      <c r="G129" t="s">
        <v>12066</v>
      </c>
      <c r="H129" t="s">
        <v>69</v>
      </c>
      <c r="I129" t="s">
        <v>69</v>
      </c>
      <c r="J129" t="s">
        <v>69</v>
      </c>
      <c r="K129" t="s">
        <v>12067</v>
      </c>
      <c r="L129" t="s">
        <v>69</v>
      </c>
      <c r="M129" t="s">
        <v>69</v>
      </c>
      <c r="N129" t="s">
        <v>12068</v>
      </c>
      <c r="O129" t="s">
        <v>12069</v>
      </c>
      <c r="P129" t="s">
        <v>69</v>
      </c>
      <c r="Q129" t="s">
        <v>69</v>
      </c>
      <c r="R129" t="s">
        <v>8505</v>
      </c>
      <c r="S129" t="s">
        <v>8506</v>
      </c>
      <c r="T129" t="s">
        <v>69</v>
      </c>
      <c r="U129" t="s">
        <v>69</v>
      </c>
      <c r="V129" t="s">
        <v>69</v>
      </c>
      <c r="W129" t="s">
        <v>69</v>
      </c>
      <c r="X129" t="s">
        <v>69</v>
      </c>
      <c r="Y129" t="s">
        <v>69</v>
      </c>
      <c r="Z129" t="s">
        <v>69</v>
      </c>
      <c r="AA129" t="s">
        <v>12070</v>
      </c>
      <c r="AB129" t="s">
        <v>12071</v>
      </c>
      <c r="AC129" t="s">
        <v>69</v>
      </c>
      <c r="AD129" t="s">
        <v>12072</v>
      </c>
      <c r="AE129" t="s">
        <v>69</v>
      </c>
      <c r="AF129" t="s">
        <v>69</v>
      </c>
      <c r="AG129" t="s">
        <v>69</v>
      </c>
      <c r="AH129" t="s">
        <v>69</v>
      </c>
      <c r="AI129" t="s">
        <v>69</v>
      </c>
      <c r="AJ129" t="s">
        <v>69</v>
      </c>
      <c r="AK129" t="s">
        <v>69</v>
      </c>
      <c r="AL129">
        <v>2</v>
      </c>
      <c r="AM129">
        <v>0</v>
      </c>
      <c r="AN129">
        <v>0</v>
      </c>
      <c r="AO129">
        <v>0</v>
      </c>
      <c r="AP129">
        <v>0</v>
      </c>
      <c r="AQ129" t="s">
        <v>12073</v>
      </c>
      <c r="AR129" t="s">
        <v>12074</v>
      </c>
      <c r="AS129" t="s">
        <v>12075</v>
      </c>
      <c r="AT129" t="s">
        <v>12076</v>
      </c>
      <c r="AU129" t="s">
        <v>69</v>
      </c>
      <c r="AV129" t="s">
        <v>69</v>
      </c>
      <c r="AW129" t="s">
        <v>12077</v>
      </c>
      <c r="AX129" t="s">
        <v>12078</v>
      </c>
      <c r="AY129" t="s">
        <v>155</v>
      </c>
      <c r="AZ129">
        <v>2021</v>
      </c>
      <c r="BA129">
        <v>56</v>
      </c>
      <c r="BB129">
        <v>2</v>
      </c>
      <c r="BC129" t="s">
        <v>69</v>
      </c>
      <c r="BD129" t="s">
        <v>69</v>
      </c>
      <c r="BE129" t="s">
        <v>69</v>
      </c>
      <c r="BF129" t="s">
        <v>69</v>
      </c>
      <c r="BG129">
        <v>117</v>
      </c>
      <c r="BH129">
        <v>125</v>
      </c>
      <c r="BI129" t="s">
        <v>69</v>
      </c>
      <c r="BJ129" t="s">
        <v>69</v>
      </c>
      <c r="BK129" t="s">
        <v>69</v>
      </c>
      <c r="BL129" t="s">
        <v>69</v>
      </c>
      <c r="BM129" t="s">
        <v>69</v>
      </c>
      <c r="BN129">
        <v>9</v>
      </c>
      <c r="BO129" t="s">
        <v>12079</v>
      </c>
      <c r="BP129" t="s">
        <v>8573</v>
      </c>
      <c r="BQ129" t="s">
        <v>8445</v>
      </c>
      <c r="BR129" t="s">
        <v>12080</v>
      </c>
      <c r="BS129" t="s">
        <v>12081</v>
      </c>
      <c r="BT129" t="s">
        <v>69</v>
      </c>
      <c r="BU129" t="s">
        <v>69</v>
      </c>
      <c r="BV129" t="s">
        <v>69</v>
      </c>
      <c r="BW129" t="s">
        <v>69</v>
      </c>
      <c r="BX129" t="s">
        <v>8526</v>
      </c>
      <c r="BY129" t="str">
        <f>HYPERLINK("https%3A%2F%2Fwww.webofscience.com%2Fwos%2Fwoscc%2Ffull-record%2FWOS:000664039600011","View Full Record in Web of Science")</f>
        <v>View Full Record in Web of Science</v>
      </c>
    </row>
    <row r="130" spans="1:77" ht="12.5" x14ac:dyDescent="0.25">
      <c r="A130" t="s">
        <v>8495</v>
      </c>
      <c r="B130" s="7" t="s">
        <v>32933</v>
      </c>
      <c r="C130" s="7"/>
      <c r="D130" s="7"/>
      <c r="E130" s="7"/>
      <c r="F130" t="s">
        <v>67</v>
      </c>
      <c r="G130" t="s">
        <v>4058</v>
      </c>
      <c r="H130" t="s">
        <v>69</v>
      </c>
      <c r="I130" t="s">
        <v>69</v>
      </c>
      <c r="J130" t="s">
        <v>69</v>
      </c>
      <c r="K130" t="s">
        <v>4058</v>
      </c>
      <c r="L130" t="s">
        <v>69</v>
      </c>
      <c r="M130" t="s">
        <v>69</v>
      </c>
      <c r="N130" t="s">
        <v>4059</v>
      </c>
      <c r="O130" t="s">
        <v>3592</v>
      </c>
      <c r="P130" t="s">
        <v>69</v>
      </c>
      <c r="Q130" t="s">
        <v>69</v>
      </c>
      <c r="R130" t="s">
        <v>8505</v>
      </c>
      <c r="S130" t="s">
        <v>8506</v>
      </c>
      <c r="T130" t="s">
        <v>69</v>
      </c>
      <c r="U130" t="s">
        <v>69</v>
      </c>
      <c r="V130" t="s">
        <v>69</v>
      </c>
      <c r="W130" t="s">
        <v>69</v>
      </c>
      <c r="X130" t="s">
        <v>69</v>
      </c>
      <c r="Y130" t="s">
        <v>31580</v>
      </c>
      <c r="Z130" t="s">
        <v>24758</v>
      </c>
      <c r="AA130" t="s">
        <v>4060</v>
      </c>
      <c r="AB130" t="s">
        <v>31581</v>
      </c>
      <c r="AC130" t="s">
        <v>69</v>
      </c>
      <c r="AD130" t="s">
        <v>31582</v>
      </c>
      <c r="AE130" t="s">
        <v>31583</v>
      </c>
      <c r="AF130" t="s">
        <v>69</v>
      </c>
      <c r="AG130" t="s">
        <v>69</v>
      </c>
      <c r="AH130" t="s">
        <v>69</v>
      </c>
      <c r="AI130" t="s">
        <v>69</v>
      </c>
      <c r="AJ130" t="s">
        <v>69</v>
      </c>
      <c r="AK130" t="s">
        <v>69</v>
      </c>
      <c r="AL130">
        <v>17</v>
      </c>
      <c r="AM130">
        <v>14</v>
      </c>
      <c r="AN130">
        <v>14</v>
      </c>
      <c r="AO130">
        <v>0</v>
      </c>
      <c r="AP130">
        <v>9</v>
      </c>
      <c r="AQ130" t="s">
        <v>8516</v>
      </c>
      <c r="AR130" t="s">
        <v>8517</v>
      </c>
      <c r="AS130" t="s">
        <v>8518</v>
      </c>
      <c r="AT130" t="s">
        <v>3594</v>
      </c>
      <c r="AU130" t="s">
        <v>3595</v>
      </c>
      <c r="AV130" t="s">
        <v>69</v>
      </c>
      <c r="AW130" t="s">
        <v>8519</v>
      </c>
      <c r="AX130" t="s">
        <v>8520</v>
      </c>
      <c r="AY130" t="s">
        <v>477</v>
      </c>
      <c r="AZ130">
        <v>2001</v>
      </c>
      <c r="BA130">
        <v>56</v>
      </c>
      <c r="BB130" t="s">
        <v>336</v>
      </c>
      <c r="BC130" t="s">
        <v>69</v>
      </c>
      <c r="BD130" t="s">
        <v>69</v>
      </c>
      <c r="BE130" t="s">
        <v>69</v>
      </c>
      <c r="BF130" t="s">
        <v>69</v>
      </c>
      <c r="BG130">
        <v>1</v>
      </c>
      <c r="BH130">
        <v>9</v>
      </c>
      <c r="BI130" t="s">
        <v>69</v>
      </c>
      <c r="BJ130" t="s">
        <v>4061</v>
      </c>
      <c r="BK130" t="str">
        <f>HYPERLINK("http://dx.doi.org/10.1016/S0169-2046(01)00156-6","http://dx.doi.org/10.1016/S0169-2046(01)00156-6")</f>
        <v>http://dx.doi.org/10.1016/S0169-2046(01)00156-6</v>
      </c>
      <c r="BL130" t="s">
        <v>69</v>
      </c>
      <c r="BM130" t="s">
        <v>69</v>
      </c>
      <c r="BN130">
        <v>9</v>
      </c>
      <c r="BO130" t="s">
        <v>8522</v>
      </c>
      <c r="BP130" t="s">
        <v>8523</v>
      </c>
      <c r="BQ130" t="s">
        <v>8524</v>
      </c>
      <c r="BR130" t="s">
        <v>31584</v>
      </c>
      <c r="BS130" t="s">
        <v>4062</v>
      </c>
      <c r="BT130" t="s">
        <v>69</v>
      </c>
      <c r="BU130" t="s">
        <v>69</v>
      </c>
      <c r="BV130" t="s">
        <v>69</v>
      </c>
      <c r="BW130" t="s">
        <v>69</v>
      </c>
      <c r="BX130" t="s">
        <v>8526</v>
      </c>
      <c r="BY130" t="str">
        <f>HYPERLINK("https%3A%2F%2Fwww.webofscience.com%2Fwos%2Fwoscc%2Ffull-record%2FWOS:000170987200001","View Full Record in Web of Science")</f>
        <v>View Full Record in Web of Science</v>
      </c>
    </row>
    <row r="131" spans="1:77" ht="12.5" x14ac:dyDescent="0.25">
      <c r="A131" t="s">
        <v>8495</v>
      </c>
      <c r="B131" s="7" t="s">
        <v>32933</v>
      </c>
      <c r="C131" s="7"/>
      <c r="D131" s="7"/>
      <c r="E131" s="7"/>
      <c r="F131" t="s">
        <v>67</v>
      </c>
      <c r="G131" t="s">
        <v>1055</v>
      </c>
      <c r="H131" t="s">
        <v>69</v>
      </c>
      <c r="I131" t="s">
        <v>69</v>
      </c>
      <c r="J131" t="s">
        <v>69</v>
      </c>
      <c r="K131" t="s">
        <v>1056</v>
      </c>
      <c r="L131" t="s">
        <v>69</v>
      </c>
      <c r="M131" t="s">
        <v>69</v>
      </c>
      <c r="N131" t="s">
        <v>1057</v>
      </c>
      <c r="O131" t="s">
        <v>1058</v>
      </c>
      <c r="P131" t="s">
        <v>69</v>
      </c>
      <c r="Q131" t="s">
        <v>69</v>
      </c>
      <c r="R131" t="s">
        <v>8505</v>
      </c>
      <c r="S131" t="s">
        <v>8506</v>
      </c>
      <c r="T131" t="s">
        <v>69</v>
      </c>
      <c r="U131" t="s">
        <v>69</v>
      </c>
      <c r="V131" t="s">
        <v>69</v>
      </c>
      <c r="W131" t="s">
        <v>69</v>
      </c>
      <c r="X131" t="s">
        <v>69</v>
      </c>
      <c r="Y131" t="s">
        <v>69</v>
      </c>
      <c r="Z131" t="s">
        <v>18542</v>
      </c>
      <c r="AA131" t="s">
        <v>1059</v>
      </c>
      <c r="AB131" t="s">
        <v>18543</v>
      </c>
      <c r="AC131" t="s">
        <v>69</v>
      </c>
      <c r="AD131" t="s">
        <v>18544</v>
      </c>
      <c r="AE131" t="s">
        <v>69</v>
      </c>
      <c r="AF131" t="s">
        <v>1060</v>
      </c>
      <c r="AG131" t="s">
        <v>1061</v>
      </c>
      <c r="AH131" t="s">
        <v>18545</v>
      </c>
      <c r="AI131" t="s">
        <v>18546</v>
      </c>
      <c r="AJ131" t="s">
        <v>18547</v>
      </c>
      <c r="AK131" t="s">
        <v>69</v>
      </c>
      <c r="AL131">
        <v>109</v>
      </c>
      <c r="AM131">
        <v>14</v>
      </c>
      <c r="AN131">
        <v>15</v>
      </c>
      <c r="AO131">
        <v>3</v>
      </c>
      <c r="AP131">
        <v>12</v>
      </c>
      <c r="AQ131" t="s">
        <v>18548</v>
      </c>
      <c r="AR131" t="s">
        <v>18549</v>
      </c>
      <c r="AS131" t="s">
        <v>18550</v>
      </c>
      <c r="AT131" t="s">
        <v>1062</v>
      </c>
      <c r="AU131" t="s">
        <v>1063</v>
      </c>
      <c r="AV131" t="s">
        <v>69</v>
      </c>
      <c r="AW131" t="s">
        <v>18551</v>
      </c>
      <c r="AX131" t="s">
        <v>18552</v>
      </c>
      <c r="AY131" t="s">
        <v>84</v>
      </c>
      <c r="AZ131">
        <v>2018</v>
      </c>
      <c r="BA131">
        <v>59</v>
      </c>
      <c r="BB131">
        <v>3</v>
      </c>
      <c r="BC131" t="s">
        <v>69</v>
      </c>
      <c r="BD131" t="s">
        <v>69</v>
      </c>
      <c r="BE131" t="s">
        <v>69</v>
      </c>
      <c r="BF131" t="s">
        <v>69</v>
      </c>
      <c r="BG131">
        <v>620</v>
      </c>
      <c r="BH131">
        <v>651</v>
      </c>
      <c r="BI131" t="s">
        <v>69</v>
      </c>
      <c r="BJ131" t="s">
        <v>1064</v>
      </c>
      <c r="BK131" t="str">
        <f>HYPERLINK("http://dx.doi.org/10.1353/tech.2018.0061","http://dx.doi.org/10.1353/tech.2018.0061")</f>
        <v>http://dx.doi.org/10.1353/tech.2018.0061</v>
      </c>
      <c r="BL131" t="s">
        <v>69</v>
      </c>
      <c r="BM131" t="s">
        <v>69</v>
      </c>
      <c r="BN131">
        <v>32</v>
      </c>
      <c r="BO131" t="s">
        <v>16099</v>
      </c>
      <c r="BP131" t="s">
        <v>18553</v>
      </c>
      <c r="BQ131" t="s">
        <v>16101</v>
      </c>
      <c r="BR131" t="s">
        <v>18554</v>
      </c>
      <c r="BS131" t="s">
        <v>1065</v>
      </c>
      <c r="BT131">
        <v>30245497</v>
      </c>
      <c r="BU131" t="s">
        <v>10065</v>
      </c>
      <c r="BV131" t="s">
        <v>69</v>
      </c>
      <c r="BW131" t="s">
        <v>69</v>
      </c>
      <c r="BX131" t="s">
        <v>8526</v>
      </c>
      <c r="BY131" t="str">
        <f>HYPERLINK("https%3A%2F%2Fwww.webofscience.com%2Fwos%2Fwoscc%2Ffull-record%2FWOS:000445099900004","View Full Record in Web of Science")</f>
        <v>View Full Record in Web of Science</v>
      </c>
    </row>
    <row r="132" spans="1:77" ht="12.5" x14ac:dyDescent="0.25">
      <c r="A132" t="s">
        <v>8495</v>
      </c>
      <c r="B132" s="22" t="s">
        <v>32931</v>
      </c>
      <c r="C132" s="7"/>
      <c r="D132" s="7"/>
      <c r="E132" s="7"/>
      <c r="F132" t="s">
        <v>67</v>
      </c>
      <c r="G132" t="s">
        <v>24209</v>
      </c>
      <c r="H132" t="s">
        <v>69</v>
      </c>
      <c r="I132" t="s">
        <v>69</v>
      </c>
      <c r="J132" t="s">
        <v>69</v>
      </c>
      <c r="K132" t="s">
        <v>24210</v>
      </c>
      <c r="L132" t="s">
        <v>69</v>
      </c>
      <c r="M132" t="s">
        <v>69</v>
      </c>
      <c r="N132" t="s">
        <v>24211</v>
      </c>
      <c r="O132" t="s">
        <v>24212</v>
      </c>
      <c r="P132" t="s">
        <v>69</v>
      </c>
      <c r="Q132" t="s">
        <v>69</v>
      </c>
      <c r="R132" t="s">
        <v>8505</v>
      </c>
      <c r="S132" t="s">
        <v>8506</v>
      </c>
      <c r="T132" t="s">
        <v>69</v>
      </c>
      <c r="U132" t="s">
        <v>69</v>
      </c>
      <c r="V132" t="s">
        <v>69</v>
      </c>
      <c r="W132" t="s">
        <v>69</v>
      </c>
      <c r="X132" t="s">
        <v>69</v>
      </c>
      <c r="Y132" t="s">
        <v>24213</v>
      </c>
      <c r="Z132" t="s">
        <v>69</v>
      </c>
      <c r="AA132" t="s">
        <v>24214</v>
      </c>
      <c r="AB132" t="s">
        <v>24215</v>
      </c>
      <c r="AC132" t="s">
        <v>69</v>
      </c>
      <c r="AD132" t="s">
        <v>24216</v>
      </c>
      <c r="AE132" t="s">
        <v>24217</v>
      </c>
      <c r="AF132" t="s">
        <v>69</v>
      </c>
      <c r="AG132" t="s">
        <v>69</v>
      </c>
      <c r="AH132" t="s">
        <v>69</v>
      </c>
      <c r="AI132" t="s">
        <v>69</v>
      </c>
      <c r="AJ132" t="s">
        <v>69</v>
      </c>
      <c r="AK132" t="s">
        <v>69</v>
      </c>
      <c r="AL132">
        <v>66</v>
      </c>
      <c r="AM132">
        <v>3</v>
      </c>
      <c r="AN132">
        <v>3</v>
      </c>
      <c r="AO132">
        <v>0</v>
      </c>
      <c r="AP132">
        <v>1</v>
      </c>
      <c r="AQ132" t="s">
        <v>8586</v>
      </c>
      <c r="AR132" t="s">
        <v>8587</v>
      </c>
      <c r="AS132" t="s">
        <v>8588</v>
      </c>
      <c r="AT132" t="s">
        <v>24218</v>
      </c>
      <c r="AU132" t="s">
        <v>24219</v>
      </c>
      <c r="AV132" t="s">
        <v>69</v>
      </c>
      <c r="AW132" t="s">
        <v>24220</v>
      </c>
      <c r="AX132" t="s">
        <v>24221</v>
      </c>
      <c r="AY132" t="s">
        <v>69</v>
      </c>
      <c r="AZ132">
        <v>2014</v>
      </c>
      <c r="BA132">
        <v>6</v>
      </c>
      <c r="BB132" t="s">
        <v>336</v>
      </c>
      <c r="BC132" t="s">
        <v>69</v>
      </c>
      <c r="BD132" t="s">
        <v>69</v>
      </c>
      <c r="BE132" t="s">
        <v>69</v>
      </c>
      <c r="BF132" t="s">
        <v>69</v>
      </c>
      <c r="BG132">
        <v>91</v>
      </c>
      <c r="BH132">
        <v>105</v>
      </c>
      <c r="BI132" t="s">
        <v>69</v>
      </c>
      <c r="BJ132" t="s">
        <v>24222</v>
      </c>
      <c r="BK132" t="str">
        <f>HYPERLINK("http://dx.doi.org/10.1108/IJLBE-05-2013-0022","http://dx.doi.org/10.1108/IJLBE-05-2013-0022")</f>
        <v>http://dx.doi.org/10.1108/IJLBE-05-2013-0022</v>
      </c>
      <c r="BL132" t="s">
        <v>69</v>
      </c>
      <c r="BM132" t="s">
        <v>69</v>
      </c>
      <c r="BN132">
        <v>15</v>
      </c>
      <c r="BO132" t="s">
        <v>8452</v>
      </c>
      <c r="BP132" t="s">
        <v>8573</v>
      </c>
      <c r="BQ132" t="s">
        <v>10084</v>
      </c>
      <c r="BR132" t="s">
        <v>24223</v>
      </c>
      <c r="BS132" t="s">
        <v>24224</v>
      </c>
      <c r="BT132" t="s">
        <v>69</v>
      </c>
      <c r="BU132" t="s">
        <v>69</v>
      </c>
      <c r="BV132" t="s">
        <v>69</v>
      </c>
      <c r="BW132" t="s">
        <v>69</v>
      </c>
      <c r="BX132" t="s">
        <v>8526</v>
      </c>
      <c r="BY132" t="str">
        <f>HYPERLINK("https%3A%2F%2Fwww.webofscience.com%2Fwos%2Fwoscc%2Ffull-record%2FWOS:000214026700007","View Full Record in Web of Science")</f>
        <v>View Full Record in Web of Science</v>
      </c>
    </row>
    <row r="133" spans="1:77" x14ac:dyDescent="0.3">
      <c r="A133" t="s">
        <v>8495</v>
      </c>
      <c r="B133" s="9" t="s">
        <v>32942</v>
      </c>
      <c r="C133" s="9" t="s">
        <v>33084</v>
      </c>
      <c r="E133" s="9" t="s">
        <v>8490</v>
      </c>
      <c r="F133" t="s">
        <v>67</v>
      </c>
      <c r="G133" t="s">
        <v>29375</v>
      </c>
      <c r="H133" t="s">
        <v>69</v>
      </c>
      <c r="I133" t="s">
        <v>69</v>
      </c>
      <c r="J133" t="s">
        <v>69</v>
      </c>
      <c r="K133" t="s">
        <v>29376</v>
      </c>
      <c r="L133" t="s">
        <v>69</v>
      </c>
      <c r="M133" t="s">
        <v>69</v>
      </c>
      <c r="N133" t="s">
        <v>29377</v>
      </c>
      <c r="O133" t="s">
        <v>7734</v>
      </c>
      <c r="P133" t="s">
        <v>69</v>
      </c>
      <c r="Q133" t="s">
        <v>69</v>
      </c>
      <c r="R133" t="s">
        <v>8505</v>
      </c>
      <c r="S133" t="s">
        <v>8506</v>
      </c>
      <c r="T133" t="s">
        <v>69</v>
      </c>
      <c r="U133" t="s">
        <v>69</v>
      </c>
      <c r="V133" t="s">
        <v>69</v>
      </c>
      <c r="W133" t="s">
        <v>69</v>
      </c>
      <c r="X133" t="s">
        <v>69</v>
      </c>
      <c r="Y133" t="s">
        <v>29378</v>
      </c>
      <c r="Z133" t="s">
        <v>69</v>
      </c>
      <c r="AA133" t="s">
        <v>29379</v>
      </c>
      <c r="AB133" t="s">
        <v>29380</v>
      </c>
      <c r="AC133" t="s">
        <v>69</v>
      </c>
      <c r="AD133" t="s">
        <v>29381</v>
      </c>
      <c r="AE133" t="s">
        <v>29382</v>
      </c>
      <c r="AF133" t="s">
        <v>69</v>
      </c>
      <c r="AG133" t="s">
        <v>69</v>
      </c>
      <c r="AH133" t="s">
        <v>69</v>
      </c>
      <c r="AI133" t="s">
        <v>69</v>
      </c>
      <c r="AJ133" t="s">
        <v>69</v>
      </c>
      <c r="AK133" t="s">
        <v>69</v>
      </c>
      <c r="AL133">
        <v>21</v>
      </c>
      <c r="AM133">
        <v>0</v>
      </c>
      <c r="AN133">
        <v>0</v>
      </c>
      <c r="AO133">
        <v>0</v>
      </c>
      <c r="AP133">
        <v>0</v>
      </c>
      <c r="AQ133" t="s">
        <v>8586</v>
      </c>
      <c r="AR133" t="s">
        <v>8587</v>
      </c>
      <c r="AS133" t="s">
        <v>8588</v>
      </c>
      <c r="AT133" t="s">
        <v>7738</v>
      </c>
      <c r="AU133" t="s">
        <v>7739</v>
      </c>
      <c r="AV133" t="s">
        <v>69</v>
      </c>
      <c r="AW133" t="s">
        <v>7734</v>
      </c>
      <c r="AX133" t="s">
        <v>20901</v>
      </c>
      <c r="AY133" t="s">
        <v>69</v>
      </c>
      <c r="AZ133">
        <v>2008</v>
      </c>
      <c r="BA133">
        <v>10</v>
      </c>
      <c r="BB133">
        <v>4</v>
      </c>
      <c r="BC133" t="s">
        <v>69</v>
      </c>
      <c r="BD133" t="s">
        <v>69</v>
      </c>
      <c r="BE133" t="s">
        <v>114</v>
      </c>
      <c r="BF133" t="s">
        <v>69</v>
      </c>
      <c r="BG133">
        <v>31</v>
      </c>
      <c r="BH133">
        <v>42</v>
      </c>
      <c r="BI133" t="s">
        <v>69</v>
      </c>
      <c r="BJ133" t="s">
        <v>29383</v>
      </c>
      <c r="BK133" t="str">
        <f>HYPERLINK("http://dx.doi.org/10.1108/14636680810908028","http://dx.doi.org/10.1108/14636680810908028")</f>
        <v>http://dx.doi.org/10.1108/14636680810908028</v>
      </c>
      <c r="BL133" t="s">
        <v>69</v>
      </c>
      <c r="BM133" t="s">
        <v>69</v>
      </c>
      <c r="BN133">
        <v>12</v>
      </c>
      <c r="BO133" t="s">
        <v>14187</v>
      </c>
      <c r="BP133" t="s">
        <v>8573</v>
      </c>
      <c r="BQ133" t="s">
        <v>12182</v>
      </c>
      <c r="BR133" t="s">
        <v>29384</v>
      </c>
      <c r="BS133" t="s">
        <v>29385</v>
      </c>
      <c r="BT133" t="s">
        <v>69</v>
      </c>
      <c r="BU133" t="s">
        <v>69</v>
      </c>
      <c r="BV133" t="s">
        <v>69</v>
      </c>
      <c r="BW133" t="s">
        <v>69</v>
      </c>
      <c r="BX133" t="s">
        <v>8526</v>
      </c>
      <c r="BY133" t="str">
        <f>HYPERLINK("https%3A%2F%2Fwww.webofscience.com%2Fwos%2Fwoscc%2Ffull-record%2FWOS:000213096300004","View Full Record in Web of Science")</f>
        <v>View Full Record in Web of Science</v>
      </c>
    </row>
    <row r="134" spans="1:77" x14ac:dyDescent="0.3">
      <c r="A134" t="s">
        <v>8495</v>
      </c>
      <c r="B134" s="12" t="s">
        <v>32945</v>
      </c>
      <c r="F134" t="s">
        <v>67</v>
      </c>
      <c r="G134" t="s">
        <v>4968</v>
      </c>
      <c r="H134" t="s">
        <v>69</v>
      </c>
      <c r="I134" t="s">
        <v>69</v>
      </c>
      <c r="J134" t="s">
        <v>69</v>
      </c>
      <c r="K134" s="3" t="s">
        <v>4968</v>
      </c>
      <c r="L134" t="s">
        <v>69</v>
      </c>
      <c r="M134" t="s">
        <v>69</v>
      </c>
      <c r="N134" s="2" t="s">
        <v>4969</v>
      </c>
      <c r="O134" t="s">
        <v>4970</v>
      </c>
      <c r="P134" t="s">
        <v>69</v>
      </c>
      <c r="Q134" t="s">
        <v>69</v>
      </c>
      <c r="R134" t="s">
        <v>8505</v>
      </c>
      <c r="S134" t="s">
        <v>15797</v>
      </c>
      <c r="T134" t="s">
        <v>4971</v>
      </c>
      <c r="U134" t="s">
        <v>4972</v>
      </c>
      <c r="V134" t="s">
        <v>4973</v>
      </c>
      <c r="W134" t="s">
        <v>4974</v>
      </c>
      <c r="X134" t="s">
        <v>69</v>
      </c>
      <c r="Y134" t="s">
        <v>69</v>
      </c>
      <c r="Z134" t="s">
        <v>69</v>
      </c>
      <c r="AA134" t="s">
        <v>4975</v>
      </c>
      <c r="AB134" t="s">
        <v>31961</v>
      </c>
      <c r="AC134" t="s">
        <v>69</v>
      </c>
      <c r="AD134" t="s">
        <v>31962</v>
      </c>
      <c r="AE134" t="s">
        <v>69</v>
      </c>
      <c r="AF134" t="s">
        <v>69</v>
      </c>
      <c r="AG134" t="s">
        <v>69</v>
      </c>
      <c r="AH134" t="s">
        <v>69</v>
      </c>
      <c r="AI134" t="s">
        <v>69</v>
      </c>
      <c r="AJ134" t="s">
        <v>69</v>
      </c>
      <c r="AK134" t="s">
        <v>69</v>
      </c>
      <c r="AL134">
        <v>110</v>
      </c>
      <c r="AM134">
        <v>92</v>
      </c>
      <c r="AN134">
        <v>93</v>
      </c>
      <c r="AO134">
        <v>0</v>
      </c>
      <c r="AP134">
        <v>20</v>
      </c>
      <c r="AQ134" t="s">
        <v>31963</v>
      </c>
      <c r="AR134" t="s">
        <v>10186</v>
      </c>
      <c r="AS134" t="s">
        <v>31964</v>
      </c>
      <c r="AT134" t="s">
        <v>4976</v>
      </c>
      <c r="AU134" t="s">
        <v>69</v>
      </c>
      <c r="AV134" t="s">
        <v>69</v>
      </c>
      <c r="AW134" t="s">
        <v>26697</v>
      </c>
      <c r="AX134" t="s">
        <v>26698</v>
      </c>
      <c r="AY134" t="s">
        <v>1628</v>
      </c>
      <c r="AZ134">
        <v>1999</v>
      </c>
      <c r="BA134">
        <v>73</v>
      </c>
      <c r="BB134">
        <v>2</v>
      </c>
      <c r="BC134" t="s">
        <v>69</v>
      </c>
      <c r="BD134" t="s">
        <v>69</v>
      </c>
      <c r="BE134" t="s">
        <v>69</v>
      </c>
      <c r="BF134" t="s">
        <v>69</v>
      </c>
      <c r="BG134">
        <v>190</v>
      </c>
      <c r="BH134">
        <v>220</v>
      </c>
      <c r="BI134" t="s">
        <v>69</v>
      </c>
      <c r="BJ134" t="s">
        <v>4977</v>
      </c>
      <c r="BK134" t="str">
        <f>HYPERLINK("http://dx.doi.org/10.2307/3116240","http://dx.doi.org/10.2307/3116240")</f>
        <v>http://dx.doi.org/10.2307/3116240</v>
      </c>
      <c r="BL134" t="s">
        <v>69</v>
      </c>
      <c r="BM134" t="s">
        <v>69</v>
      </c>
      <c r="BN134">
        <v>31</v>
      </c>
      <c r="BO134" t="s">
        <v>26699</v>
      </c>
      <c r="BP134" t="s">
        <v>31324</v>
      </c>
      <c r="BQ134" t="s">
        <v>15524</v>
      </c>
      <c r="BR134" t="s">
        <v>31965</v>
      </c>
      <c r="BS134" t="s">
        <v>4978</v>
      </c>
      <c r="BT134" t="s">
        <v>69</v>
      </c>
      <c r="BU134" t="s">
        <v>69</v>
      </c>
      <c r="BV134" t="s">
        <v>69</v>
      </c>
      <c r="BW134" t="s">
        <v>69</v>
      </c>
      <c r="BX134" t="s">
        <v>8526</v>
      </c>
      <c r="BY134" t="str">
        <f>HYPERLINK("https%3A%2F%2Fwww.webofscience.com%2Fwos%2Fwoscc%2Ffull-record%2FWOS:000085409300002","View Full Record in Web of Science")</f>
        <v>View Full Record in Web of Science</v>
      </c>
    </row>
    <row r="135" spans="1:77" x14ac:dyDescent="0.3">
      <c r="A135" t="s">
        <v>8495</v>
      </c>
      <c r="B135" s="9" t="s">
        <v>32942</v>
      </c>
      <c r="C135" s="9" t="s">
        <v>33085</v>
      </c>
      <c r="E135" s="9" t="s">
        <v>8490</v>
      </c>
      <c r="F135" t="s">
        <v>67</v>
      </c>
      <c r="G135" t="s">
        <v>15708</v>
      </c>
      <c r="H135" t="s">
        <v>69</v>
      </c>
      <c r="I135" t="s">
        <v>69</v>
      </c>
      <c r="J135" t="s">
        <v>69</v>
      </c>
      <c r="K135" t="s">
        <v>15709</v>
      </c>
      <c r="L135" t="s">
        <v>69</v>
      </c>
      <c r="M135" t="s">
        <v>69</v>
      </c>
      <c r="N135" t="s">
        <v>15710</v>
      </c>
      <c r="O135" t="s">
        <v>15711</v>
      </c>
      <c r="P135" t="s">
        <v>69</v>
      </c>
      <c r="Q135" t="s">
        <v>69</v>
      </c>
      <c r="R135" t="s">
        <v>8505</v>
      </c>
      <c r="S135" t="s">
        <v>8506</v>
      </c>
      <c r="T135" t="s">
        <v>69</v>
      </c>
      <c r="U135" t="s">
        <v>69</v>
      </c>
      <c r="V135" t="s">
        <v>69</v>
      </c>
      <c r="W135" t="s">
        <v>69</v>
      </c>
      <c r="X135" t="s">
        <v>69</v>
      </c>
      <c r="Y135" t="s">
        <v>15712</v>
      </c>
      <c r="Z135" t="s">
        <v>15713</v>
      </c>
      <c r="AA135" t="s">
        <v>15714</v>
      </c>
      <c r="AB135" t="s">
        <v>15715</v>
      </c>
      <c r="AC135" t="s">
        <v>69</v>
      </c>
      <c r="AD135" t="s">
        <v>15716</v>
      </c>
      <c r="AE135" t="s">
        <v>15717</v>
      </c>
      <c r="AF135" t="s">
        <v>69</v>
      </c>
      <c r="AG135" t="s">
        <v>69</v>
      </c>
      <c r="AH135" t="s">
        <v>15718</v>
      </c>
      <c r="AI135" t="s">
        <v>15719</v>
      </c>
      <c r="AJ135" t="s">
        <v>15720</v>
      </c>
      <c r="AK135" t="s">
        <v>69</v>
      </c>
      <c r="AL135">
        <v>49</v>
      </c>
      <c r="AM135">
        <v>7</v>
      </c>
      <c r="AN135">
        <v>7</v>
      </c>
      <c r="AO135">
        <v>24</v>
      </c>
      <c r="AP135">
        <v>74</v>
      </c>
      <c r="AQ135" t="s">
        <v>9047</v>
      </c>
      <c r="AR135" t="s">
        <v>9048</v>
      </c>
      <c r="AS135" t="s">
        <v>9049</v>
      </c>
      <c r="AT135" t="s">
        <v>15721</v>
      </c>
      <c r="AU135" t="s">
        <v>15722</v>
      </c>
      <c r="AV135" t="s">
        <v>69</v>
      </c>
      <c r="AW135" t="s">
        <v>15723</v>
      </c>
      <c r="AX135" t="s">
        <v>15724</v>
      </c>
      <c r="AY135" t="s">
        <v>75</v>
      </c>
      <c r="AZ135">
        <v>2020</v>
      </c>
      <c r="BA135">
        <v>35</v>
      </c>
      <c r="BB135">
        <v>4</v>
      </c>
      <c r="BC135" t="s">
        <v>69</v>
      </c>
      <c r="BD135" t="s">
        <v>69</v>
      </c>
      <c r="BE135" t="s">
        <v>69</v>
      </c>
      <c r="BF135" t="s">
        <v>69</v>
      </c>
      <c r="BG135">
        <v>1177</v>
      </c>
      <c r="BH135">
        <v>1199</v>
      </c>
      <c r="BI135" t="s">
        <v>69</v>
      </c>
      <c r="BJ135" t="s">
        <v>15725</v>
      </c>
      <c r="BK135" t="str">
        <f>HYPERLINK("http://dx.doi.org/10.1007/s10901-020-09733-9","http://dx.doi.org/10.1007/s10901-020-09733-9")</f>
        <v>http://dx.doi.org/10.1007/s10901-020-09733-9</v>
      </c>
      <c r="BL135" t="s">
        <v>69</v>
      </c>
      <c r="BM135" t="s">
        <v>7867</v>
      </c>
      <c r="BN135">
        <v>23</v>
      </c>
      <c r="BO135" t="s">
        <v>15726</v>
      </c>
      <c r="BP135" t="s">
        <v>8661</v>
      </c>
      <c r="BQ135" t="s">
        <v>15727</v>
      </c>
      <c r="BR135" t="s">
        <v>15728</v>
      </c>
      <c r="BS135" t="s">
        <v>15729</v>
      </c>
      <c r="BT135" t="s">
        <v>69</v>
      </c>
      <c r="BU135" t="s">
        <v>8622</v>
      </c>
      <c r="BV135" t="s">
        <v>69</v>
      </c>
      <c r="BW135" t="s">
        <v>69</v>
      </c>
      <c r="BX135" t="s">
        <v>8526</v>
      </c>
      <c r="BY135" t="str">
        <f>HYPERLINK("https%3A%2F%2Fwww.webofscience.com%2Fwos%2Fwoscc%2Ffull-record%2FWOS:000516228700001","View Full Record in Web of Science")</f>
        <v>View Full Record in Web of Science</v>
      </c>
    </row>
    <row r="136" spans="1:77" ht="12.5" x14ac:dyDescent="0.25">
      <c r="A136" t="s">
        <v>8495</v>
      </c>
      <c r="B136" s="7" t="s">
        <v>32933</v>
      </c>
      <c r="C136" s="7"/>
      <c r="D136" s="7"/>
      <c r="E136" s="7"/>
      <c r="F136" t="s">
        <v>67</v>
      </c>
      <c r="G136" t="s">
        <v>8137</v>
      </c>
      <c r="H136" t="s">
        <v>69</v>
      </c>
      <c r="I136" t="s">
        <v>69</v>
      </c>
      <c r="J136" t="s">
        <v>69</v>
      </c>
      <c r="K136" t="s">
        <v>8138</v>
      </c>
      <c r="L136" t="s">
        <v>69</v>
      </c>
      <c r="M136" t="s">
        <v>69</v>
      </c>
      <c r="N136" t="s">
        <v>8139</v>
      </c>
      <c r="O136" t="s">
        <v>8140</v>
      </c>
      <c r="P136" t="s">
        <v>69</v>
      </c>
      <c r="Q136" t="s">
        <v>69</v>
      </c>
      <c r="R136" t="s">
        <v>8505</v>
      </c>
      <c r="S136" t="s">
        <v>8506</v>
      </c>
      <c r="T136" t="s">
        <v>69</v>
      </c>
      <c r="U136" t="s">
        <v>69</v>
      </c>
      <c r="V136" t="s">
        <v>69</v>
      </c>
      <c r="W136" t="s">
        <v>69</v>
      </c>
      <c r="X136" t="s">
        <v>69</v>
      </c>
      <c r="Y136" t="s">
        <v>18944</v>
      </c>
      <c r="Z136" t="s">
        <v>18945</v>
      </c>
      <c r="AA136" t="s">
        <v>8141</v>
      </c>
      <c r="AB136" t="s">
        <v>18946</v>
      </c>
      <c r="AC136" t="s">
        <v>69</v>
      </c>
      <c r="AD136" t="s">
        <v>18947</v>
      </c>
      <c r="AE136" t="s">
        <v>18948</v>
      </c>
      <c r="AF136" t="s">
        <v>8142</v>
      </c>
      <c r="AG136" t="s">
        <v>18949</v>
      </c>
      <c r="AH136" t="s">
        <v>69</v>
      </c>
      <c r="AI136" t="s">
        <v>69</v>
      </c>
      <c r="AJ136" t="s">
        <v>69</v>
      </c>
      <c r="AK136" t="s">
        <v>69</v>
      </c>
      <c r="AL136">
        <v>95</v>
      </c>
      <c r="AM136">
        <v>13</v>
      </c>
      <c r="AN136">
        <v>14</v>
      </c>
      <c r="AO136">
        <v>1</v>
      </c>
      <c r="AP136">
        <v>2</v>
      </c>
      <c r="AQ136" t="s">
        <v>18749</v>
      </c>
      <c r="AR136" t="s">
        <v>8763</v>
      </c>
      <c r="AS136" t="s">
        <v>18750</v>
      </c>
      <c r="AT136" t="s">
        <v>8143</v>
      </c>
      <c r="AU136" t="s">
        <v>8144</v>
      </c>
      <c r="AV136" t="s">
        <v>69</v>
      </c>
      <c r="AW136" t="s">
        <v>18950</v>
      </c>
      <c r="AX136" t="s">
        <v>18951</v>
      </c>
      <c r="AY136" t="s">
        <v>7502</v>
      </c>
      <c r="AZ136">
        <v>2018</v>
      </c>
      <c r="BA136">
        <v>72</v>
      </c>
      <c r="BB136" t="s">
        <v>69</v>
      </c>
      <c r="BC136" t="s">
        <v>69</v>
      </c>
      <c r="BD136" t="s">
        <v>69</v>
      </c>
      <c r="BE136" t="s">
        <v>69</v>
      </c>
      <c r="BF136" t="s">
        <v>69</v>
      </c>
      <c r="BG136" t="s">
        <v>69</v>
      </c>
      <c r="BH136" t="s">
        <v>69</v>
      </c>
      <c r="BI136">
        <v>5</v>
      </c>
      <c r="BJ136" t="s">
        <v>8145</v>
      </c>
      <c r="BK136" t="str">
        <f>HYPERLINK("http://dx.doi.org/10.1186/s10152-018-0507-5","http://dx.doi.org/10.1186/s10152-018-0507-5")</f>
        <v>http://dx.doi.org/10.1186/s10152-018-0507-5</v>
      </c>
      <c r="BL136" t="s">
        <v>69</v>
      </c>
      <c r="BM136" t="s">
        <v>69</v>
      </c>
      <c r="BN136">
        <v>10</v>
      </c>
      <c r="BO136" t="s">
        <v>18952</v>
      </c>
      <c r="BP136" t="s">
        <v>8548</v>
      </c>
      <c r="BQ136" t="s">
        <v>18952</v>
      </c>
      <c r="BR136" t="s">
        <v>18953</v>
      </c>
      <c r="BS136" t="s">
        <v>8146</v>
      </c>
      <c r="BT136" t="s">
        <v>69</v>
      </c>
      <c r="BU136" t="s">
        <v>9352</v>
      </c>
      <c r="BV136" t="s">
        <v>69</v>
      </c>
      <c r="BW136" t="s">
        <v>69</v>
      </c>
      <c r="BX136" t="s">
        <v>8526</v>
      </c>
      <c r="BY136" t="str">
        <f>HYPERLINK("https%3A%2F%2Fwww.webofscience.com%2Fwos%2Fwoscc%2Ffull-record%2FWOS:000432371400001","View Full Record in Web of Science")</f>
        <v>View Full Record in Web of Science</v>
      </c>
    </row>
    <row r="137" spans="1:77" ht="12.5" x14ac:dyDescent="0.25">
      <c r="A137" t="s">
        <v>8495</v>
      </c>
      <c r="B137" s="22" t="s">
        <v>32931</v>
      </c>
      <c r="C137" s="7"/>
      <c r="D137" s="7"/>
      <c r="E137" s="7"/>
      <c r="F137" t="s">
        <v>67</v>
      </c>
      <c r="G137" t="s">
        <v>13065</v>
      </c>
      <c r="H137" t="s">
        <v>69</v>
      </c>
      <c r="I137" t="s">
        <v>69</v>
      </c>
      <c r="J137" t="s">
        <v>69</v>
      </c>
      <c r="K137" t="s">
        <v>13066</v>
      </c>
      <c r="L137" t="s">
        <v>69</v>
      </c>
      <c r="M137" t="s">
        <v>69</v>
      </c>
      <c r="N137" t="s">
        <v>13067</v>
      </c>
      <c r="O137" t="s">
        <v>5162</v>
      </c>
      <c r="P137" t="s">
        <v>69</v>
      </c>
      <c r="Q137" t="s">
        <v>69</v>
      </c>
      <c r="R137" t="s">
        <v>8505</v>
      </c>
      <c r="S137" t="s">
        <v>8506</v>
      </c>
      <c r="T137" t="s">
        <v>69</v>
      </c>
      <c r="U137" t="s">
        <v>69</v>
      </c>
      <c r="V137" t="s">
        <v>69</v>
      </c>
      <c r="W137" t="s">
        <v>69</v>
      </c>
      <c r="X137" t="s">
        <v>69</v>
      </c>
      <c r="Y137" t="s">
        <v>13068</v>
      </c>
      <c r="Z137" t="s">
        <v>13069</v>
      </c>
      <c r="AA137" t="s">
        <v>13070</v>
      </c>
      <c r="AB137" t="s">
        <v>13071</v>
      </c>
      <c r="AC137" t="s">
        <v>69</v>
      </c>
      <c r="AD137" t="s">
        <v>13072</v>
      </c>
      <c r="AE137" t="s">
        <v>13073</v>
      </c>
      <c r="AF137" t="s">
        <v>13074</v>
      </c>
      <c r="AG137" t="s">
        <v>13075</v>
      </c>
      <c r="AH137" t="s">
        <v>13076</v>
      </c>
      <c r="AI137" t="s">
        <v>13077</v>
      </c>
      <c r="AJ137" t="s">
        <v>13078</v>
      </c>
      <c r="AK137" t="s">
        <v>69</v>
      </c>
      <c r="AL137">
        <v>39</v>
      </c>
      <c r="AM137">
        <v>5</v>
      </c>
      <c r="AN137">
        <v>5</v>
      </c>
      <c r="AO137">
        <v>4</v>
      </c>
      <c r="AP137">
        <v>8</v>
      </c>
      <c r="AQ137" t="s">
        <v>8636</v>
      </c>
      <c r="AR137" t="s">
        <v>8637</v>
      </c>
      <c r="AS137" t="s">
        <v>8638</v>
      </c>
      <c r="AT137" t="s">
        <v>5164</v>
      </c>
      <c r="AU137" t="s">
        <v>5165</v>
      </c>
      <c r="AV137" t="s">
        <v>69</v>
      </c>
      <c r="AW137" t="s">
        <v>11987</v>
      </c>
      <c r="AX137" t="s">
        <v>11988</v>
      </c>
      <c r="AY137" t="s">
        <v>586</v>
      </c>
      <c r="AZ137">
        <v>2021</v>
      </c>
      <c r="BA137">
        <v>127</v>
      </c>
      <c r="BB137" t="s">
        <v>69</v>
      </c>
      <c r="BC137" t="s">
        <v>69</v>
      </c>
      <c r="BD137" t="s">
        <v>69</v>
      </c>
      <c r="BE137" t="s">
        <v>69</v>
      </c>
      <c r="BF137" t="s">
        <v>69</v>
      </c>
      <c r="BG137" t="s">
        <v>69</v>
      </c>
      <c r="BH137" t="s">
        <v>69</v>
      </c>
      <c r="BI137">
        <v>104443</v>
      </c>
      <c r="BJ137" t="s">
        <v>13079</v>
      </c>
      <c r="BK137" t="str">
        <f>HYPERLINK("http://dx.doi.org/10.1016/j.marpol.2021.104443","http://dx.doi.org/10.1016/j.marpol.2021.104443")</f>
        <v>http://dx.doi.org/10.1016/j.marpol.2021.104443</v>
      </c>
      <c r="BL137" t="s">
        <v>69</v>
      </c>
      <c r="BM137" t="s">
        <v>13029</v>
      </c>
      <c r="BN137">
        <v>15</v>
      </c>
      <c r="BO137" t="s">
        <v>11990</v>
      </c>
      <c r="BP137" t="s">
        <v>8661</v>
      </c>
      <c r="BQ137" t="s">
        <v>11991</v>
      </c>
      <c r="BR137" t="s">
        <v>13080</v>
      </c>
      <c r="BS137" t="s">
        <v>13081</v>
      </c>
      <c r="BT137" t="s">
        <v>69</v>
      </c>
      <c r="BU137" t="s">
        <v>8746</v>
      </c>
      <c r="BV137" t="s">
        <v>69</v>
      </c>
      <c r="BW137" t="s">
        <v>69</v>
      </c>
      <c r="BX137" t="s">
        <v>8526</v>
      </c>
      <c r="BY137" t="str">
        <f>HYPERLINK("https%3A%2F%2Fwww.webofscience.com%2Fwos%2Fwoscc%2Ffull-record%2FWOS:000653628000016","View Full Record in Web of Science")</f>
        <v>View Full Record in Web of Science</v>
      </c>
    </row>
    <row r="138" spans="1:77" x14ac:dyDescent="0.3">
      <c r="A138" t="s">
        <v>8495</v>
      </c>
      <c r="B138" s="9" t="s">
        <v>32942</v>
      </c>
      <c r="C138" s="9" t="s">
        <v>33086</v>
      </c>
      <c r="E138" s="9" t="s">
        <v>8490</v>
      </c>
      <c r="F138" t="s">
        <v>67</v>
      </c>
      <c r="G138" t="s">
        <v>28370</v>
      </c>
      <c r="H138" t="s">
        <v>69</v>
      </c>
      <c r="I138" t="s">
        <v>69</v>
      </c>
      <c r="J138" t="s">
        <v>69</v>
      </c>
      <c r="K138" t="s">
        <v>28371</v>
      </c>
      <c r="L138" t="s">
        <v>69</v>
      </c>
      <c r="M138" t="s">
        <v>69</v>
      </c>
      <c r="N138" t="s">
        <v>28372</v>
      </c>
      <c r="O138" t="s">
        <v>715</v>
      </c>
      <c r="P138" t="s">
        <v>69</v>
      </c>
      <c r="Q138" t="s">
        <v>69</v>
      </c>
      <c r="R138" t="s">
        <v>8505</v>
      </c>
      <c r="S138" t="s">
        <v>8506</v>
      </c>
      <c r="T138" t="s">
        <v>69</v>
      </c>
      <c r="U138" t="s">
        <v>69</v>
      </c>
      <c r="V138" t="s">
        <v>69</v>
      </c>
      <c r="W138" t="s">
        <v>69</v>
      </c>
      <c r="X138" t="s">
        <v>69</v>
      </c>
      <c r="Y138" t="s">
        <v>28373</v>
      </c>
      <c r="Z138" t="s">
        <v>28374</v>
      </c>
      <c r="AA138" t="s">
        <v>28375</v>
      </c>
      <c r="AB138" t="s">
        <v>28376</v>
      </c>
      <c r="AC138" t="s">
        <v>69</v>
      </c>
      <c r="AD138" t="s">
        <v>28377</v>
      </c>
      <c r="AE138" t="s">
        <v>28378</v>
      </c>
      <c r="AF138" t="s">
        <v>69</v>
      </c>
      <c r="AG138" t="s">
        <v>69</v>
      </c>
      <c r="AH138" t="s">
        <v>69</v>
      </c>
      <c r="AI138" t="s">
        <v>69</v>
      </c>
      <c r="AJ138" t="s">
        <v>69</v>
      </c>
      <c r="AK138" t="s">
        <v>69</v>
      </c>
      <c r="AL138">
        <v>29</v>
      </c>
      <c r="AM138">
        <v>9</v>
      </c>
      <c r="AN138">
        <v>9</v>
      </c>
      <c r="AO138">
        <v>0</v>
      </c>
      <c r="AP138">
        <v>38</v>
      </c>
      <c r="AQ138" t="s">
        <v>14856</v>
      </c>
      <c r="AR138" t="s">
        <v>26670</v>
      </c>
      <c r="AS138" t="s">
        <v>28379</v>
      </c>
      <c r="AT138" t="s">
        <v>719</v>
      </c>
      <c r="AU138" t="s">
        <v>69</v>
      </c>
      <c r="AV138" t="s">
        <v>69</v>
      </c>
      <c r="AW138" t="s">
        <v>9110</v>
      </c>
      <c r="AX138" t="s">
        <v>9111</v>
      </c>
      <c r="AY138" t="s">
        <v>255</v>
      </c>
      <c r="AZ138">
        <v>2009</v>
      </c>
      <c r="BA138">
        <v>18</v>
      </c>
      <c r="BB138">
        <v>6</v>
      </c>
      <c r="BC138" t="s">
        <v>69</v>
      </c>
      <c r="BD138" t="s">
        <v>69</v>
      </c>
      <c r="BE138" t="s">
        <v>69</v>
      </c>
      <c r="BF138" t="s">
        <v>69</v>
      </c>
      <c r="BG138">
        <v>380</v>
      </c>
      <c r="BH138">
        <v>396</v>
      </c>
      <c r="BI138" t="s">
        <v>69</v>
      </c>
      <c r="BJ138" t="s">
        <v>28380</v>
      </c>
      <c r="BK138" t="str">
        <f>HYPERLINK("http://dx.doi.org/10.1002/bse.605","http://dx.doi.org/10.1002/bse.605")</f>
        <v>http://dx.doi.org/10.1002/bse.605</v>
      </c>
      <c r="BL138" t="s">
        <v>69</v>
      </c>
      <c r="BM138" t="s">
        <v>69</v>
      </c>
      <c r="BN138">
        <v>17</v>
      </c>
      <c r="BO138" t="s">
        <v>9113</v>
      </c>
      <c r="BP138" t="s">
        <v>8661</v>
      </c>
      <c r="BQ138" t="s">
        <v>9114</v>
      </c>
      <c r="BR138" t="s">
        <v>28381</v>
      </c>
      <c r="BS138" t="s">
        <v>28382</v>
      </c>
      <c r="BT138" t="s">
        <v>69</v>
      </c>
      <c r="BU138" t="s">
        <v>69</v>
      </c>
      <c r="BV138" t="s">
        <v>69</v>
      </c>
      <c r="BW138" t="s">
        <v>69</v>
      </c>
      <c r="BX138" t="s">
        <v>8526</v>
      </c>
      <c r="BY138" t="str">
        <f>HYPERLINK("https%3A%2F%2Fwww.webofscience.com%2Fwos%2Fwoscc%2Ffull-record%2FWOS:000207902900003","View Full Record in Web of Science")</f>
        <v>View Full Record in Web of Science</v>
      </c>
    </row>
    <row r="139" spans="1:77" ht="12.5" x14ac:dyDescent="0.25">
      <c r="A139" t="s">
        <v>8495</v>
      </c>
      <c r="B139" s="7" t="s">
        <v>32933</v>
      </c>
      <c r="C139" s="7"/>
      <c r="D139" s="7"/>
      <c r="E139" s="7"/>
      <c r="F139" t="s">
        <v>67</v>
      </c>
      <c r="G139" t="s">
        <v>7934</v>
      </c>
      <c r="H139" t="s">
        <v>69</v>
      </c>
      <c r="I139" t="s">
        <v>69</v>
      </c>
      <c r="J139" t="s">
        <v>69</v>
      </c>
      <c r="K139" t="s">
        <v>7935</v>
      </c>
      <c r="L139" t="s">
        <v>69</v>
      </c>
      <c r="M139" t="s">
        <v>69</v>
      </c>
      <c r="N139" t="s">
        <v>7936</v>
      </c>
      <c r="O139" t="s">
        <v>7038</v>
      </c>
      <c r="P139" t="s">
        <v>69</v>
      </c>
      <c r="Q139" t="s">
        <v>69</v>
      </c>
      <c r="R139" t="s">
        <v>8505</v>
      </c>
      <c r="S139" t="s">
        <v>8506</v>
      </c>
      <c r="T139" t="s">
        <v>69</v>
      </c>
      <c r="U139" t="s">
        <v>69</v>
      </c>
      <c r="V139" t="s">
        <v>69</v>
      </c>
      <c r="W139" t="s">
        <v>69</v>
      </c>
      <c r="X139" t="s">
        <v>69</v>
      </c>
      <c r="Y139" t="s">
        <v>24647</v>
      </c>
      <c r="Z139" t="s">
        <v>24648</v>
      </c>
      <c r="AA139" t="s">
        <v>7937</v>
      </c>
      <c r="AB139" t="s">
        <v>24649</v>
      </c>
      <c r="AC139" t="s">
        <v>69</v>
      </c>
      <c r="AD139" t="s">
        <v>24650</v>
      </c>
      <c r="AE139" t="s">
        <v>24651</v>
      </c>
      <c r="AF139" t="s">
        <v>7938</v>
      </c>
      <c r="AG139" t="s">
        <v>7939</v>
      </c>
      <c r="AH139" t="s">
        <v>69</v>
      </c>
      <c r="AI139" t="s">
        <v>69</v>
      </c>
      <c r="AJ139" t="s">
        <v>69</v>
      </c>
      <c r="AK139" t="s">
        <v>69</v>
      </c>
      <c r="AL139">
        <v>44</v>
      </c>
      <c r="AM139">
        <v>14</v>
      </c>
      <c r="AN139">
        <v>14</v>
      </c>
      <c r="AO139">
        <v>0</v>
      </c>
      <c r="AP139">
        <v>22</v>
      </c>
      <c r="AQ139" t="s">
        <v>9203</v>
      </c>
      <c r="AR139" t="s">
        <v>8763</v>
      </c>
      <c r="AS139" t="s">
        <v>9204</v>
      </c>
      <c r="AT139" t="s">
        <v>7040</v>
      </c>
      <c r="AU139" t="s">
        <v>69</v>
      </c>
      <c r="AV139" t="s">
        <v>69</v>
      </c>
      <c r="AW139" t="s">
        <v>9205</v>
      </c>
      <c r="AX139" t="s">
        <v>9206</v>
      </c>
      <c r="AY139" t="s">
        <v>7940</v>
      </c>
      <c r="AZ139">
        <v>2013</v>
      </c>
      <c r="BA139">
        <v>11</v>
      </c>
      <c r="BB139" t="s">
        <v>69</v>
      </c>
      <c r="BC139" t="s">
        <v>69</v>
      </c>
      <c r="BD139" t="s">
        <v>69</v>
      </c>
      <c r="BE139" t="s">
        <v>69</v>
      </c>
      <c r="BF139" t="s">
        <v>69</v>
      </c>
      <c r="BG139" t="s">
        <v>69</v>
      </c>
      <c r="BH139" t="s">
        <v>69</v>
      </c>
      <c r="BI139">
        <v>38</v>
      </c>
      <c r="BJ139" t="s">
        <v>7941</v>
      </c>
      <c r="BK139" t="str">
        <f>HYPERLINK("http://dx.doi.org/10.1186/1478-4505-11-38","http://dx.doi.org/10.1186/1478-4505-11-38")</f>
        <v>http://dx.doi.org/10.1186/1478-4505-11-38</v>
      </c>
      <c r="BL139" t="s">
        <v>69</v>
      </c>
      <c r="BM139" t="s">
        <v>69</v>
      </c>
      <c r="BN139">
        <v>11</v>
      </c>
      <c r="BO139" t="s">
        <v>9208</v>
      </c>
      <c r="BP139" t="s">
        <v>8661</v>
      </c>
      <c r="BQ139" t="s">
        <v>9209</v>
      </c>
      <c r="BR139" t="s">
        <v>24652</v>
      </c>
      <c r="BS139" t="s">
        <v>7942</v>
      </c>
      <c r="BT139">
        <v>24139603</v>
      </c>
      <c r="BU139" t="s">
        <v>9352</v>
      </c>
      <c r="BV139" t="s">
        <v>69</v>
      </c>
      <c r="BW139" t="s">
        <v>69</v>
      </c>
      <c r="BX139" t="s">
        <v>8526</v>
      </c>
      <c r="BY139" t="str">
        <f>HYPERLINK("https%3A%2F%2Fwww.webofscience.com%2Fwos%2Fwoscc%2Ffull-record%2FWOS:000326579100001","View Full Record in Web of Science")</f>
        <v>View Full Record in Web of Science</v>
      </c>
    </row>
    <row r="140" spans="1:77" ht="12.5" x14ac:dyDescent="0.25">
      <c r="A140" t="s">
        <v>8495</v>
      </c>
      <c r="B140" s="22" t="s">
        <v>32931</v>
      </c>
      <c r="C140" s="7"/>
      <c r="D140" s="7"/>
      <c r="E140" s="7"/>
      <c r="F140" t="s">
        <v>67</v>
      </c>
      <c r="G140" t="s">
        <v>10671</v>
      </c>
      <c r="H140" t="s">
        <v>69</v>
      </c>
      <c r="I140" t="s">
        <v>69</v>
      </c>
      <c r="J140" t="s">
        <v>69</v>
      </c>
      <c r="K140" t="s">
        <v>10672</v>
      </c>
      <c r="L140" t="s">
        <v>69</v>
      </c>
      <c r="M140" t="s">
        <v>69</v>
      </c>
      <c r="N140" t="s">
        <v>10673</v>
      </c>
      <c r="O140" t="s">
        <v>6437</v>
      </c>
      <c r="P140" t="s">
        <v>69</v>
      </c>
      <c r="Q140" t="s">
        <v>69</v>
      </c>
      <c r="R140" t="s">
        <v>8505</v>
      </c>
      <c r="S140" t="s">
        <v>8506</v>
      </c>
      <c r="T140" t="s">
        <v>69</v>
      </c>
      <c r="U140" t="s">
        <v>69</v>
      </c>
      <c r="V140" t="s">
        <v>69</v>
      </c>
      <c r="W140" t="s">
        <v>69</v>
      </c>
      <c r="X140" t="s">
        <v>69</v>
      </c>
      <c r="Y140" t="s">
        <v>10674</v>
      </c>
      <c r="Z140" t="s">
        <v>10675</v>
      </c>
      <c r="AA140" t="s">
        <v>10676</v>
      </c>
      <c r="AB140" t="s">
        <v>10677</v>
      </c>
      <c r="AC140" t="s">
        <v>69</v>
      </c>
      <c r="AD140" t="s">
        <v>10678</v>
      </c>
      <c r="AE140" t="s">
        <v>10679</v>
      </c>
      <c r="AF140" t="s">
        <v>69</v>
      </c>
      <c r="AG140" t="s">
        <v>69</v>
      </c>
      <c r="AH140" t="s">
        <v>10680</v>
      </c>
      <c r="AI140" t="s">
        <v>10681</v>
      </c>
      <c r="AJ140" t="s">
        <v>10682</v>
      </c>
      <c r="AK140" t="s">
        <v>69</v>
      </c>
      <c r="AL140">
        <v>45</v>
      </c>
      <c r="AM140">
        <v>1</v>
      </c>
      <c r="AN140">
        <v>1</v>
      </c>
      <c r="AO140">
        <v>58</v>
      </c>
      <c r="AP140">
        <v>90</v>
      </c>
      <c r="AQ140" t="s">
        <v>9145</v>
      </c>
      <c r="AR140" t="s">
        <v>8637</v>
      </c>
      <c r="AS140" t="s">
        <v>9146</v>
      </c>
      <c r="AT140" t="s">
        <v>6439</v>
      </c>
      <c r="AU140" t="s">
        <v>10683</v>
      </c>
      <c r="AV140" t="s">
        <v>69</v>
      </c>
      <c r="AW140" t="s">
        <v>10684</v>
      </c>
      <c r="AX140" t="s">
        <v>10685</v>
      </c>
      <c r="AY140" t="s">
        <v>133</v>
      </c>
      <c r="AZ140">
        <v>2022</v>
      </c>
      <c r="BA140">
        <v>209</v>
      </c>
      <c r="BB140" t="s">
        <v>69</v>
      </c>
      <c r="BC140" t="s">
        <v>69</v>
      </c>
      <c r="BD140" t="s">
        <v>69</v>
      </c>
      <c r="BE140" t="s">
        <v>69</v>
      </c>
      <c r="BF140" t="s">
        <v>69</v>
      </c>
      <c r="BG140" t="s">
        <v>69</v>
      </c>
      <c r="BH140" t="s">
        <v>69</v>
      </c>
      <c r="BI140">
        <v>117885</v>
      </c>
      <c r="BJ140" t="s">
        <v>10686</v>
      </c>
      <c r="BK140" t="str">
        <f>HYPERLINK("http://dx.doi.org/10.1016/j.watres.2021.117885","http://dx.doi.org/10.1016/j.watres.2021.117885")</f>
        <v>http://dx.doi.org/10.1016/j.watres.2021.117885</v>
      </c>
      <c r="BL140" t="s">
        <v>69</v>
      </c>
      <c r="BM140" t="s">
        <v>10646</v>
      </c>
      <c r="BN140">
        <v>9</v>
      </c>
      <c r="BO140" t="s">
        <v>10687</v>
      </c>
      <c r="BP140" t="s">
        <v>8548</v>
      </c>
      <c r="BQ140" t="s">
        <v>10688</v>
      </c>
      <c r="BR140" t="s">
        <v>10689</v>
      </c>
      <c r="BS140" t="s">
        <v>10690</v>
      </c>
      <c r="BT140">
        <v>34847392</v>
      </c>
      <c r="BU140" t="s">
        <v>69</v>
      </c>
      <c r="BV140" t="s">
        <v>69</v>
      </c>
      <c r="BW140" t="s">
        <v>69</v>
      </c>
      <c r="BX140" t="s">
        <v>8526</v>
      </c>
      <c r="BY140" t="str">
        <f>HYPERLINK("https%3A%2F%2Fwww.webofscience.com%2Fwos%2Fwoscc%2Ffull-record%2FWOS:000724975900009","View Full Record in Web of Science")</f>
        <v>View Full Record in Web of Science</v>
      </c>
    </row>
    <row r="141" spans="1:77" ht="12.5" x14ac:dyDescent="0.25">
      <c r="A141" t="s">
        <v>8495</v>
      </c>
      <c r="B141" s="7" t="s">
        <v>32933</v>
      </c>
      <c r="C141" s="7"/>
      <c r="D141" s="7"/>
      <c r="E141" s="7"/>
      <c r="F141" t="s">
        <v>67</v>
      </c>
      <c r="G141" t="s">
        <v>236</v>
      </c>
      <c r="H141" t="s">
        <v>69</v>
      </c>
      <c r="I141" t="s">
        <v>69</v>
      </c>
      <c r="J141" t="s">
        <v>69</v>
      </c>
      <c r="K141" t="s">
        <v>236</v>
      </c>
      <c r="L141" t="s">
        <v>69</v>
      </c>
      <c r="M141" t="s">
        <v>69</v>
      </c>
      <c r="N141" t="s">
        <v>237</v>
      </c>
      <c r="O141" t="s">
        <v>238</v>
      </c>
      <c r="P141" t="s">
        <v>69</v>
      </c>
      <c r="Q141" t="s">
        <v>69</v>
      </c>
      <c r="R141" t="s">
        <v>8505</v>
      </c>
      <c r="S141" t="s">
        <v>15797</v>
      </c>
      <c r="T141" t="s">
        <v>239</v>
      </c>
      <c r="U141" t="s">
        <v>240</v>
      </c>
      <c r="V141" t="s">
        <v>241</v>
      </c>
      <c r="W141" t="s">
        <v>69</v>
      </c>
      <c r="X141" t="s">
        <v>242</v>
      </c>
      <c r="Y141" t="s">
        <v>30316</v>
      </c>
      <c r="Z141" t="s">
        <v>69</v>
      </c>
      <c r="AA141" t="s">
        <v>243</v>
      </c>
      <c r="AB141" t="s">
        <v>30317</v>
      </c>
      <c r="AC141" t="s">
        <v>69</v>
      </c>
      <c r="AD141" t="s">
        <v>30318</v>
      </c>
      <c r="AE141" t="s">
        <v>30319</v>
      </c>
      <c r="AF141" t="s">
        <v>69</v>
      </c>
      <c r="AG141" t="s">
        <v>69</v>
      </c>
      <c r="AH141" t="s">
        <v>69</v>
      </c>
      <c r="AI141" t="s">
        <v>69</v>
      </c>
      <c r="AJ141" t="s">
        <v>69</v>
      </c>
      <c r="AK141" t="s">
        <v>69</v>
      </c>
      <c r="AL141">
        <v>38</v>
      </c>
      <c r="AM141">
        <v>4</v>
      </c>
      <c r="AN141">
        <v>4</v>
      </c>
      <c r="AO141">
        <v>0</v>
      </c>
      <c r="AP141">
        <v>9</v>
      </c>
      <c r="AQ141" t="s">
        <v>15611</v>
      </c>
      <c r="AR141" t="s">
        <v>10924</v>
      </c>
      <c r="AS141" t="s">
        <v>15612</v>
      </c>
      <c r="AT141" t="s">
        <v>244</v>
      </c>
      <c r="AU141" t="s">
        <v>245</v>
      </c>
      <c r="AV141" t="s">
        <v>69</v>
      </c>
      <c r="AW141" t="s">
        <v>30320</v>
      </c>
      <c r="AX141" t="s">
        <v>30321</v>
      </c>
      <c r="AY141" t="s">
        <v>246</v>
      </c>
      <c r="AZ141">
        <v>2006</v>
      </c>
      <c r="BA141">
        <v>12</v>
      </c>
      <c r="BB141">
        <v>2</v>
      </c>
      <c r="BC141" t="s">
        <v>69</v>
      </c>
      <c r="BD141" t="s">
        <v>69</v>
      </c>
      <c r="BE141" t="s">
        <v>69</v>
      </c>
      <c r="BF141" t="s">
        <v>69</v>
      </c>
      <c r="BG141">
        <v>339</v>
      </c>
      <c r="BH141">
        <v>362</v>
      </c>
      <c r="BI141" t="s">
        <v>69</v>
      </c>
      <c r="BJ141" t="s">
        <v>247</v>
      </c>
      <c r="BK141" t="str">
        <f>HYPERLINK("http://dx.doi.org/10.1080/10807030500536850","http://dx.doi.org/10.1080/10807030500536850")</f>
        <v>http://dx.doi.org/10.1080/10807030500536850</v>
      </c>
      <c r="BL141" t="s">
        <v>69</v>
      </c>
      <c r="BM141" t="s">
        <v>69</v>
      </c>
      <c r="BN141">
        <v>24</v>
      </c>
      <c r="BO141" t="s">
        <v>24534</v>
      </c>
      <c r="BP141" t="s">
        <v>15808</v>
      </c>
      <c r="BQ141" t="s">
        <v>15452</v>
      </c>
      <c r="BR141" t="s">
        <v>30322</v>
      </c>
      <c r="BS141" t="s">
        <v>248</v>
      </c>
      <c r="BT141" t="s">
        <v>69</v>
      </c>
      <c r="BU141" t="s">
        <v>69</v>
      </c>
      <c r="BV141" t="s">
        <v>69</v>
      </c>
      <c r="BW141" t="s">
        <v>69</v>
      </c>
      <c r="BX141" t="s">
        <v>8526</v>
      </c>
      <c r="BY141" t="str">
        <f>HYPERLINK("https%3A%2F%2Fwww.webofscience.com%2Fwos%2Fwoscc%2Ffull-record%2FWOS:000237022500013","View Full Record in Web of Science")</f>
        <v>View Full Record in Web of Science</v>
      </c>
    </row>
    <row r="142" spans="1:77" ht="12.5" x14ac:dyDescent="0.25">
      <c r="A142" t="s">
        <v>8495</v>
      </c>
      <c r="B142" s="22" t="s">
        <v>32931</v>
      </c>
      <c r="C142" s="7"/>
      <c r="D142" s="7"/>
      <c r="E142" s="7"/>
      <c r="F142" t="s">
        <v>627</v>
      </c>
      <c r="G142" t="s">
        <v>30395</v>
      </c>
      <c r="H142" t="s">
        <v>69</v>
      </c>
      <c r="I142" t="s">
        <v>30396</v>
      </c>
      <c r="J142" t="s">
        <v>69</v>
      </c>
      <c r="K142" t="s">
        <v>30397</v>
      </c>
      <c r="L142" t="s">
        <v>69</v>
      </c>
      <c r="M142" t="s">
        <v>69</v>
      </c>
      <c r="N142" t="s">
        <v>30398</v>
      </c>
      <c r="O142" t="s">
        <v>30399</v>
      </c>
      <c r="P142" t="s">
        <v>30400</v>
      </c>
      <c r="Q142" t="s">
        <v>69</v>
      </c>
      <c r="R142" t="s">
        <v>8505</v>
      </c>
      <c r="S142" t="s">
        <v>15797</v>
      </c>
      <c r="T142" t="s">
        <v>30401</v>
      </c>
      <c r="U142" t="s">
        <v>30402</v>
      </c>
      <c r="V142" t="s">
        <v>30403</v>
      </c>
      <c r="W142" t="s">
        <v>30404</v>
      </c>
      <c r="X142" t="s">
        <v>69</v>
      </c>
      <c r="Y142" t="s">
        <v>69</v>
      </c>
      <c r="Z142" t="s">
        <v>69</v>
      </c>
      <c r="AA142" t="s">
        <v>30405</v>
      </c>
      <c r="AB142" t="s">
        <v>30406</v>
      </c>
      <c r="AC142" t="s">
        <v>69</v>
      </c>
      <c r="AD142" t="s">
        <v>30407</v>
      </c>
      <c r="AE142" t="s">
        <v>30408</v>
      </c>
      <c r="AF142" t="s">
        <v>69</v>
      </c>
      <c r="AG142" t="s">
        <v>69</v>
      </c>
      <c r="AH142" t="s">
        <v>69</v>
      </c>
      <c r="AI142" t="s">
        <v>69</v>
      </c>
      <c r="AJ142" t="s">
        <v>69</v>
      </c>
      <c r="AK142" t="s">
        <v>69</v>
      </c>
      <c r="AL142">
        <v>8</v>
      </c>
      <c r="AM142">
        <v>0</v>
      </c>
      <c r="AN142">
        <v>0</v>
      </c>
      <c r="AO142">
        <v>0</v>
      </c>
      <c r="AP142">
        <v>2</v>
      </c>
      <c r="AQ142" t="s">
        <v>30409</v>
      </c>
      <c r="AR142" t="s">
        <v>11361</v>
      </c>
      <c r="AS142" t="s">
        <v>30410</v>
      </c>
      <c r="AT142" t="s">
        <v>4011</v>
      </c>
      <c r="AU142" t="s">
        <v>5699</v>
      </c>
      <c r="AV142" t="s">
        <v>30411</v>
      </c>
      <c r="AW142" t="s">
        <v>30412</v>
      </c>
      <c r="AX142" t="s">
        <v>69</v>
      </c>
      <c r="AY142" t="s">
        <v>69</v>
      </c>
      <c r="AZ142">
        <v>2006</v>
      </c>
      <c r="BA142">
        <v>3982</v>
      </c>
      <c r="BB142" t="s">
        <v>69</v>
      </c>
      <c r="BC142" t="s">
        <v>69</v>
      </c>
      <c r="BD142" t="s">
        <v>69</v>
      </c>
      <c r="BE142" t="s">
        <v>69</v>
      </c>
      <c r="BF142" t="s">
        <v>69</v>
      </c>
      <c r="BG142">
        <v>222</v>
      </c>
      <c r="BH142">
        <v>233</v>
      </c>
      <c r="BI142" t="s">
        <v>69</v>
      </c>
      <c r="BJ142" t="s">
        <v>69</v>
      </c>
      <c r="BK142" t="s">
        <v>69</v>
      </c>
      <c r="BL142" t="s">
        <v>69</v>
      </c>
      <c r="BM142" t="s">
        <v>69</v>
      </c>
      <c r="BN142">
        <v>12</v>
      </c>
      <c r="BO142" t="s">
        <v>30413</v>
      </c>
      <c r="BP142" t="s">
        <v>29550</v>
      </c>
      <c r="BQ142" t="s">
        <v>10976</v>
      </c>
      <c r="BR142" t="s">
        <v>30414</v>
      </c>
      <c r="BS142" t="s">
        <v>30415</v>
      </c>
      <c r="BT142" t="s">
        <v>69</v>
      </c>
      <c r="BU142" t="s">
        <v>69</v>
      </c>
      <c r="BV142" t="s">
        <v>69</v>
      </c>
      <c r="BW142" t="s">
        <v>69</v>
      </c>
      <c r="BX142" t="s">
        <v>8526</v>
      </c>
      <c r="BY142" t="str">
        <f>HYPERLINK("https%3A%2F%2Fwww.webofscience.com%2Fwos%2Fwoscc%2Ffull-record%2FWOS:000237648300025","View Full Record in Web of Science")</f>
        <v>View Full Record in Web of Science</v>
      </c>
    </row>
    <row r="143" spans="1:77" x14ac:dyDescent="0.3">
      <c r="A143" t="s">
        <v>8495</v>
      </c>
      <c r="B143" s="9" t="s">
        <v>32947</v>
      </c>
      <c r="C143" s="9" t="s">
        <v>33086</v>
      </c>
      <c r="E143" s="9" t="s">
        <v>8490</v>
      </c>
      <c r="F143" t="s">
        <v>67</v>
      </c>
      <c r="G143" t="s">
        <v>19842</v>
      </c>
      <c r="H143" t="s">
        <v>69</v>
      </c>
      <c r="I143" t="s">
        <v>69</v>
      </c>
      <c r="J143" t="s">
        <v>69</v>
      </c>
      <c r="K143" t="s">
        <v>19843</v>
      </c>
      <c r="L143" t="s">
        <v>69</v>
      </c>
      <c r="M143" t="s">
        <v>69</v>
      </c>
      <c r="N143" t="s">
        <v>19844</v>
      </c>
      <c r="O143" t="s">
        <v>881</v>
      </c>
      <c r="P143" t="s">
        <v>69</v>
      </c>
      <c r="Q143" t="s">
        <v>69</v>
      </c>
      <c r="R143" t="s">
        <v>8505</v>
      </c>
      <c r="S143" t="s">
        <v>8506</v>
      </c>
      <c r="T143" t="s">
        <v>69</v>
      </c>
      <c r="U143" t="s">
        <v>69</v>
      </c>
      <c r="V143" t="s">
        <v>69</v>
      </c>
      <c r="W143" t="s">
        <v>69</v>
      </c>
      <c r="X143" t="s">
        <v>69</v>
      </c>
      <c r="Y143" t="s">
        <v>19845</v>
      </c>
      <c r="Z143" t="s">
        <v>19846</v>
      </c>
      <c r="AA143" t="s">
        <v>19847</v>
      </c>
      <c r="AB143" t="s">
        <v>19848</v>
      </c>
      <c r="AC143" t="s">
        <v>69</v>
      </c>
      <c r="AD143" t="s">
        <v>19849</v>
      </c>
      <c r="AE143" t="s">
        <v>19850</v>
      </c>
      <c r="AF143" t="s">
        <v>19851</v>
      </c>
      <c r="AG143" t="s">
        <v>19852</v>
      </c>
      <c r="AH143" t="s">
        <v>19853</v>
      </c>
      <c r="AI143" t="s">
        <v>19854</v>
      </c>
      <c r="AJ143" t="s">
        <v>19855</v>
      </c>
      <c r="AK143" t="s">
        <v>69</v>
      </c>
      <c r="AL143">
        <v>63</v>
      </c>
      <c r="AM143">
        <v>174</v>
      </c>
      <c r="AN143">
        <v>179</v>
      </c>
      <c r="AO143">
        <v>17</v>
      </c>
      <c r="AP143">
        <v>169</v>
      </c>
      <c r="AQ143" t="s">
        <v>17140</v>
      </c>
      <c r="AR143" t="s">
        <v>8517</v>
      </c>
      <c r="AS143" t="s">
        <v>17141</v>
      </c>
      <c r="AT143" t="s">
        <v>883</v>
      </c>
      <c r="AU143" t="s">
        <v>884</v>
      </c>
      <c r="AV143" t="s">
        <v>69</v>
      </c>
      <c r="AW143" t="s">
        <v>12415</v>
      </c>
      <c r="AX143" t="s">
        <v>12416</v>
      </c>
      <c r="AY143" t="s">
        <v>274</v>
      </c>
      <c r="AZ143">
        <v>2017</v>
      </c>
      <c r="BA143">
        <v>126</v>
      </c>
      <c r="BB143" t="s">
        <v>69</v>
      </c>
      <c r="BC143" t="s">
        <v>69</v>
      </c>
      <c r="BD143" t="s">
        <v>69</v>
      </c>
      <c r="BE143" t="s">
        <v>69</v>
      </c>
      <c r="BF143" t="s">
        <v>69</v>
      </c>
      <c r="BG143">
        <v>86</v>
      </c>
      <c r="BH143">
        <v>98</v>
      </c>
      <c r="BI143" t="s">
        <v>69</v>
      </c>
      <c r="BJ143" t="s">
        <v>19856</v>
      </c>
      <c r="BK143" t="str">
        <f>HYPERLINK("http://dx.doi.org/10.1016/j.resconrec.2017.07.034","http://dx.doi.org/10.1016/j.resconrec.2017.07.034")</f>
        <v>http://dx.doi.org/10.1016/j.resconrec.2017.07.034</v>
      </c>
      <c r="BL143" t="s">
        <v>69</v>
      </c>
      <c r="BM143" t="s">
        <v>69</v>
      </c>
      <c r="BN143">
        <v>13</v>
      </c>
      <c r="BO143" t="s">
        <v>8743</v>
      </c>
      <c r="BP143" t="s">
        <v>8548</v>
      </c>
      <c r="BQ143" t="s">
        <v>8744</v>
      </c>
      <c r="BR143" t="s">
        <v>19857</v>
      </c>
      <c r="BS143" t="s">
        <v>19858</v>
      </c>
      <c r="BT143" t="s">
        <v>69</v>
      </c>
      <c r="BU143" t="s">
        <v>16029</v>
      </c>
      <c r="BV143" t="s">
        <v>69</v>
      </c>
      <c r="BW143" t="s">
        <v>69</v>
      </c>
      <c r="BX143" t="s">
        <v>8526</v>
      </c>
      <c r="BY143" t="str">
        <f>HYPERLINK("https%3A%2F%2Fwww.webofscience.com%2Fwos%2Fwoscc%2Ffull-record%2FWOS:000411298400014","View Full Record in Web of Science")</f>
        <v>View Full Record in Web of Science</v>
      </c>
    </row>
    <row r="144" spans="1:77" ht="12.5" x14ac:dyDescent="0.25">
      <c r="A144" t="s">
        <v>8495</v>
      </c>
      <c r="B144" s="7" t="s">
        <v>32933</v>
      </c>
      <c r="C144" s="7"/>
      <c r="D144" s="7"/>
      <c r="E144" s="7"/>
      <c r="F144" t="s">
        <v>67</v>
      </c>
      <c r="G144" t="s">
        <v>2472</v>
      </c>
      <c r="H144" t="s">
        <v>69</v>
      </c>
      <c r="I144" t="s">
        <v>69</v>
      </c>
      <c r="J144" t="s">
        <v>69</v>
      </c>
      <c r="K144" t="s">
        <v>2473</v>
      </c>
      <c r="L144" t="s">
        <v>69</v>
      </c>
      <c r="M144" t="s">
        <v>69</v>
      </c>
      <c r="N144" t="s">
        <v>2474</v>
      </c>
      <c r="O144" t="s">
        <v>2475</v>
      </c>
      <c r="P144" t="s">
        <v>69</v>
      </c>
      <c r="Q144" t="s">
        <v>69</v>
      </c>
      <c r="R144" t="s">
        <v>8505</v>
      </c>
      <c r="S144" t="s">
        <v>8506</v>
      </c>
      <c r="T144" t="s">
        <v>69</v>
      </c>
      <c r="U144" t="s">
        <v>69</v>
      </c>
      <c r="V144" t="s">
        <v>69</v>
      </c>
      <c r="W144" t="s">
        <v>69</v>
      </c>
      <c r="X144" t="s">
        <v>69</v>
      </c>
      <c r="Y144" t="s">
        <v>19492</v>
      </c>
      <c r="Z144" t="s">
        <v>19493</v>
      </c>
      <c r="AA144" t="s">
        <v>2476</v>
      </c>
      <c r="AB144" t="s">
        <v>19494</v>
      </c>
      <c r="AC144" t="s">
        <v>69</v>
      </c>
      <c r="AD144" t="s">
        <v>19495</v>
      </c>
      <c r="AE144" t="s">
        <v>19496</v>
      </c>
      <c r="AF144" t="s">
        <v>2477</v>
      </c>
      <c r="AG144" t="s">
        <v>2478</v>
      </c>
      <c r="AH144" t="s">
        <v>19497</v>
      </c>
      <c r="AI144" t="s">
        <v>19498</v>
      </c>
      <c r="AJ144" t="s">
        <v>19499</v>
      </c>
      <c r="AK144" t="s">
        <v>69</v>
      </c>
      <c r="AL144">
        <v>110</v>
      </c>
      <c r="AM144">
        <v>5</v>
      </c>
      <c r="AN144">
        <v>5</v>
      </c>
      <c r="AO144">
        <v>0</v>
      </c>
      <c r="AP144">
        <v>12</v>
      </c>
      <c r="AQ144" t="s">
        <v>8586</v>
      </c>
      <c r="AR144" t="s">
        <v>8587</v>
      </c>
      <c r="AS144" t="s">
        <v>8588</v>
      </c>
      <c r="AT144" t="s">
        <v>2479</v>
      </c>
      <c r="AU144" t="s">
        <v>69</v>
      </c>
      <c r="AV144" t="s">
        <v>69</v>
      </c>
      <c r="AW144" t="s">
        <v>9888</v>
      </c>
      <c r="AX144" t="s">
        <v>9889</v>
      </c>
      <c r="AY144" t="s">
        <v>69</v>
      </c>
      <c r="AZ144">
        <v>2018</v>
      </c>
      <c r="BA144">
        <v>16</v>
      </c>
      <c r="BB144">
        <v>3</v>
      </c>
      <c r="BC144" t="s">
        <v>69</v>
      </c>
      <c r="BD144" t="s">
        <v>69</v>
      </c>
      <c r="BE144" t="s">
        <v>69</v>
      </c>
      <c r="BF144" t="s">
        <v>69</v>
      </c>
      <c r="BG144">
        <v>360</v>
      </c>
      <c r="BH144">
        <v>384</v>
      </c>
      <c r="BI144" t="s">
        <v>69</v>
      </c>
      <c r="BJ144" t="s">
        <v>2480</v>
      </c>
      <c r="BK144" t="str">
        <f>HYPERLINK("http://dx.doi.org/10.1108/JEDT-12-2017-0125","http://dx.doi.org/10.1108/JEDT-12-2017-0125")</f>
        <v>http://dx.doi.org/10.1108/JEDT-12-2017-0125</v>
      </c>
      <c r="BL144" t="s">
        <v>69</v>
      </c>
      <c r="BM144" t="s">
        <v>69</v>
      </c>
      <c r="BN144">
        <v>25</v>
      </c>
      <c r="BO144" t="s">
        <v>9891</v>
      </c>
      <c r="BP144" t="s">
        <v>8573</v>
      </c>
      <c r="BQ144" t="s">
        <v>8445</v>
      </c>
      <c r="BR144" t="s">
        <v>19500</v>
      </c>
      <c r="BS144" t="s">
        <v>2481</v>
      </c>
      <c r="BT144" t="s">
        <v>69</v>
      </c>
      <c r="BU144" t="s">
        <v>69</v>
      </c>
      <c r="BV144" t="s">
        <v>69</v>
      </c>
      <c r="BW144" t="s">
        <v>69</v>
      </c>
      <c r="BX144" t="s">
        <v>8526</v>
      </c>
      <c r="BY144" t="str">
        <f>HYPERLINK("https%3A%2F%2Fwww.webofscience.com%2Fwos%2Fwoscc%2Ffull-record%2FWOS:000437162600002","View Full Record in Web of Science")</f>
        <v>View Full Record in Web of Science</v>
      </c>
    </row>
    <row r="145" spans="1:77" ht="12.5" x14ac:dyDescent="0.25">
      <c r="A145" t="s">
        <v>8495</v>
      </c>
      <c r="B145" s="7" t="s">
        <v>32933</v>
      </c>
      <c r="C145" s="7"/>
      <c r="D145" s="7"/>
      <c r="E145" s="7"/>
      <c r="F145" t="s">
        <v>67</v>
      </c>
      <c r="G145" t="s">
        <v>1368</v>
      </c>
      <c r="H145" t="s">
        <v>69</v>
      </c>
      <c r="I145" t="s">
        <v>69</v>
      </c>
      <c r="J145" t="s">
        <v>69</v>
      </c>
      <c r="K145" t="s">
        <v>1369</v>
      </c>
      <c r="L145" t="s">
        <v>69</v>
      </c>
      <c r="M145" t="s">
        <v>69</v>
      </c>
      <c r="N145" t="s">
        <v>1370</v>
      </c>
      <c r="O145" t="s">
        <v>1371</v>
      </c>
      <c r="P145" t="s">
        <v>69</v>
      </c>
      <c r="Q145" t="s">
        <v>69</v>
      </c>
      <c r="R145" t="s">
        <v>8505</v>
      </c>
      <c r="S145" t="s">
        <v>8506</v>
      </c>
      <c r="T145" t="s">
        <v>69</v>
      </c>
      <c r="U145" t="s">
        <v>69</v>
      </c>
      <c r="V145" t="s">
        <v>69</v>
      </c>
      <c r="W145" t="s">
        <v>69</v>
      </c>
      <c r="X145" t="s">
        <v>69</v>
      </c>
      <c r="Y145" t="s">
        <v>69</v>
      </c>
      <c r="Z145" t="s">
        <v>23823</v>
      </c>
      <c r="AA145" t="s">
        <v>1372</v>
      </c>
      <c r="AB145" t="s">
        <v>23824</v>
      </c>
      <c r="AC145" t="s">
        <v>69</v>
      </c>
      <c r="AD145" t="s">
        <v>23825</v>
      </c>
      <c r="AE145" t="s">
        <v>23826</v>
      </c>
      <c r="AF145" t="s">
        <v>69</v>
      </c>
      <c r="AG145" t="s">
        <v>69</v>
      </c>
      <c r="AH145" t="s">
        <v>69</v>
      </c>
      <c r="AI145" t="s">
        <v>69</v>
      </c>
      <c r="AJ145" t="s">
        <v>69</v>
      </c>
      <c r="AK145" t="s">
        <v>69</v>
      </c>
      <c r="AL145">
        <v>45</v>
      </c>
      <c r="AM145">
        <v>9</v>
      </c>
      <c r="AN145">
        <v>9</v>
      </c>
      <c r="AO145">
        <v>0</v>
      </c>
      <c r="AP145">
        <v>8</v>
      </c>
      <c r="AQ145" t="s">
        <v>10352</v>
      </c>
      <c r="AR145" t="s">
        <v>8637</v>
      </c>
      <c r="AS145" t="s">
        <v>10353</v>
      </c>
      <c r="AT145" t="s">
        <v>1373</v>
      </c>
      <c r="AU145" t="s">
        <v>1374</v>
      </c>
      <c r="AV145" t="s">
        <v>69</v>
      </c>
      <c r="AW145" t="s">
        <v>23827</v>
      </c>
      <c r="AX145" t="s">
        <v>23828</v>
      </c>
      <c r="AY145" t="s">
        <v>1375</v>
      </c>
      <c r="AZ145">
        <v>2014</v>
      </c>
      <c r="BA145">
        <v>49</v>
      </c>
      <c r="BB145">
        <v>3</v>
      </c>
      <c r="BC145" t="s">
        <v>69</v>
      </c>
      <c r="BD145" t="s">
        <v>69</v>
      </c>
      <c r="BE145" t="s">
        <v>69</v>
      </c>
      <c r="BF145" t="s">
        <v>69</v>
      </c>
      <c r="BG145">
        <v>356</v>
      </c>
      <c r="BH145">
        <v>362</v>
      </c>
      <c r="BI145" t="s">
        <v>69</v>
      </c>
      <c r="BJ145" t="s">
        <v>1376</v>
      </c>
      <c r="BK145" t="str">
        <f>HYPERLINK("http://dx.doi.org/10.1093/alcalc/agt142","http://dx.doi.org/10.1093/alcalc/agt142")</f>
        <v>http://dx.doi.org/10.1093/alcalc/agt142</v>
      </c>
      <c r="BL145" t="s">
        <v>69</v>
      </c>
      <c r="BM145" t="s">
        <v>69</v>
      </c>
      <c r="BN145">
        <v>7</v>
      </c>
      <c r="BO145" t="s">
        <v>19419</v>
      </c>
      <c r="BP145" t="s">
        <v>8523</v>
      </c>
      <c r="BQ145" t="s">
        <v>19419</v>
      </c>
      <c r="BR145" t="s">
        <v>23829</v>
      </c>
      <c r="BS145" t="s">
        <v>1377</v>
      </c>
      <c r="BT145">
        <v>24052534</v>
      </c>
      <c r="BU145" t="s">
        <v>9374</v>
      </c>
      <c r="BV145" t="s">
        <v>69</v>
      </c>
      <c r="BW145" t="s">
        <v>69</v>
      </c>
      <c r="BX145" t="s">
        <v>8526</v>
      </c>
      <c r="BY145" t="str">
        <f>HYPERLINK("https%3A%2F%2Fwww.webofscience.com%2Fwos%2Fwoscc%2Ffull-record%2FWOS:000335331100019","View Full Record in Web of Science")</f>
        <v>View Full Record in Web of Science</v>
      </c>
    </row>
    <row r="146" spans="1:77" ht="12.5" x14ac:dyDescent="0.25">
      <c r="A146" t="s">
        <v>8495</v>
      </c>
      <c r="B146" s="7" t="s">
        <v>32933</v>
      </c>
      <c r="C146" s="7"/>
      <c r="D146" s="7"/>
      <c r="E146" s="7"/>
      <c r="F146" t="s">
        <v>67</v>
      </c>
      <c r="G146" t="s">
        <v>6534</v>
      </c>
      <c r="H146" t="s">
        <v>69</v>
      </c>
      <c r="I146" t="s">
        <v>69</v>
      </c>
      <c r="J146" t="s">
        <v>69</v>
      </c>
      <c r="K146" t="s">
        <v>6535</v>
      </c>
      <c r="L146" t="s">
        <v>69</v>
      </c>
      <c r="M146" t="s">
        <v>69</v>
      </c>
      <c r="N146" t="s">
        <v>6536</v>
      </c>
      <c r="O146" t="s">
        <v>6537</v>
      </c>
      <c r="P146" t="s">
        <v>69</v>
      </c>
      <c r="Q146" t="s">
        <v>69</v>
      </c>
      <c r="R146" t="s">
        <v>8505</v>
      </c>
      <c r="S146" t="s">
        <v>8506</v>
      </c>
      <c r="T146" t="s">
        <v>69</v>
      </c>
      <c r="U146" t="s">
        <v>69</v>
      </c>
      <c r="V146" t="s">
        <v>69</v>
      </c>
      <c r="W146" t="s">
        <v>69</v>
      </c>
      <c r="X146" t="s">
        <v>69</v>
      </c>
      <c r="Y146" t="s">
        <v>25190</v>
      </c>
      <c r="Z146" t="s">
        <v>69</v>
      </c>
      <c r="AA146" t="s">
        <v>6538</v>
      </c>
      <c r="AB146" t="s">
        <v>25191</v>
      </c>
      <c r="AC146" t="s">
        <v>69</v>
      </c>
      <c r="AD146" t="s">
        <v>25192</v>
      </c>
      <c r="AE146" t="s">
        <v>25193</v>
      </c>
      <c r="AF146" t="s">
        <v>25194</v>
      </c>
      <c r="AG146" t="s">
        <v>25195</v>
      </c>
      <c r="AH146" t="s">
        <v>25196</v>
      </c>
      <c r="AI146" t="s">
        <v>25196</v>
      </c>
      <c r="AJ146" t="s">
        <v>25197</v>
      </c>
      <c r="AK146" t="s">
        <v>69</v>
      </c>
      <c r="AL146">
        <v>43</v>
      </c>
      <c r="AM146">
        <v>8</v>
      </c>
      <c r="AN146">
        <v>8</v>
      </c>
      <c r="AO146">
        <v>0</v>
      </c>
      <c r="AP146">
        <v>69</v>
      </c>
      <c r="AQ146" t="s">
        <v>25198</v>
      </c>
      <c r="AR146" t="s">
        <v>8763</v>
      </c>
      <c r="AS146" t="s">
        <v>25199</v>
      </c>
      <c r="AT146" t="s">
        <v>6539</v>
      </c>
      <c r="AU146" t="s">
        <v>6540</v>
      </c>
      <c r="AV146" t="s">
        <v>69</v>
      </c>
      <c r="AW146" t="s">
        <v>6537</v>
      </c>
      <c r="AX146" t="s">
        <v>25200</v>
      </c>
      <c r="AY146" t="s">
        <v>6541</v>
      </c>
      <c r="AZ146">
        <v>2013</v>
      </c>
      <c r="BA146">
        <v>3</v>
      </c>
      <c r="BB146">
        <v>1</v>
      </c>
      <c r="BC146" t="s">
        <v>69</v>
      </c>
      <c r="BD146" t="s">
        <v>69</v>
      </c>
      <c r="BE146" t="s">
        <v>69</v>
      </c>
      <c r="BF146" t="s">
        <v>69</v>
      </c>
      <c r="BG146" t="s">
        <v>69</v>
      </c>
      <c r="BH146" t="s">
        <v>69</v>
      </c>
      <c r="BI146">
        <v>20120039</v>
      </c>
      <c r="BJ146" t="s">
        <v>6542</v>
      </c>
      <c r="BK146" t="str">
        <f>HYPERLINK("http://dx.doi.org/10.1098/rsfs.2012.0039","http://dx.doi.org/10.1098/rsfs.2012.0039")</f>
        <v>http://dx.doi.org/10.1098/rsfs.2012.0039</v>
      </c>
      <c r="BL146" t="s">
        <v>69</v>
      </c>
      <c r="BM146" t="s">
        <v>69</v>
      </c>
      <c r="BN146">
        <v>9</v>
      </c>
      <c r="BO146" t="s">
        <v>24555</v>
      </c>
      <c r="BP146" t="s">
        <v>8523</v>
      </c>
      <c r="BQ146" t="s">
        <v>24556</v>
      </c>
      <c r="BR146" t="s">
        <v>25201</v>
      </c>
      <c r="BS146" t="s">
        <v>6543</v>
      </c>
      <c r="BT146">
        <v>24427512</v>
      </c>
      <c r="BU146" t="s">
        <v>25202</v>
      </c>
      <c r="BV146" t="s">
        <v>69</v>
      </c>
      <c r="BW146" t="s">
        <v>69</v>
      </c>
      <c r="BX146" t="s">
        <v>8526</v>
      </c>
      <c r="BY146" t="str">
        <f>HYPERLINK("https%3A%2F%2Fwww.webofscience.com%2Fwos%2Fwoscc%2Ffull-record%2FWOS:000312740800004","View Full Record in Web of Science")</f>
        <v>View Full Record in Web of Science</v>
      </c>
    </row>
    <row r="147" spans="1:77" ht="12.5" x14ac:dyDescent="0.25">
      <c r="A147" t="s">
        <v>8495</v>
      </c>
      <c r="B147" s="22" t="s">
        <v>32931</v>
      </c>
      <c r="C147" s="7"/>
      <c r="D147" s="7"/>
      <c r="E147" s="7"/>
      <c r="F147" t="s">
        <v>67</v>
      </c>
      <c r="G147" t="s">
        <v>26933</v>
      </c>
      <c r="H147" t="s">
        <v>69</v>
      </c>
      <c r="I147" t="s">
        <v>69</v>
      </c>
      <c r="J147" t="s">
        <v>69</v>
      </c>
      <c r="K147" t="s">
        <v>26934</v>
      </c>
      <c r="L147" t="s">
        <v>69</v>
      </c>
      <c r="M147" t="s">
        <v>69</v>
      </c>
      <c r="N147" t="s">
        <v>26935</v>
      </c>
      <c r="O147" t="s">
        <v>26936</v>
      </c>
      <c r="P147" t="s">
        <v>69</v>
      </c>
      <c r="Q147" t="s">
        <v>69</v>
      </c>
      <c r="R147" t="s">
        <v>8505</v>
      </c>
      <c r="S147" t="s">
        <v>8506</v>
      </c>
      <c r="T147" t="s">
        <v>69</v>
      </c>
      <c r="U147" t="s">
        <v>69</v>
      </c>
      <c r="V147" t="s">
        <v>69</v>
      </c>
      <c r="W147" t="s">
        <v>69</v>
      </c>
      <c r="X147" t="s">
        <v>69</v>
      </c>
      <c r="Y147" t="s">
        <v>26937</v>
      </c>
      <c r="Z147" t="s">
        <v>69</v>
      </c>
      <c r="AA147" t="s">
        <v>26938</v>
      </c>
      <c r="AB147" t="s">
        <v>26939</v>
      </c>
      <c r="AC147" t="s">
        <v>69</v>
      </c>
      <c r="AD147" t="s">
        <v>26940</v>
      </c>
      <c r="AE147" t="s">
        <v>26941</v>
      </c>
      <c r="AF147" t="s">
        <v>69</v>
      </c>
      <c r="AG147" t="s">
        <v>69</v>
      </c>
      <c r="AH147" t="s">
        <v>69</v>
      </c>
      <c r="AI147" t="s">
        <v>69</v>
      </c>
      <c r="AJ147" t="s">
        <v>69</v>
      </c>
      <c r="AK147" t="s">
        <v>69</v>
      </c>
      <c r="AL147">
        <v>60</v>
      </c>
      <c r="AM147">
        <v>25</v>
      </c>
      <c r="AN147">
        <v>25</v>
      </c>
      <c r="AO147">
        <v>0</v>
      </c>
      <c r="AP147">
        <v>1</v>
      </c>
      <c r="AQ147" t="s">
        <v>10097</v>
      </c>
      <c r="AR147" t="s">
        <v>10098</v>
      </c>
      <c r="AS147" t="s">
        <v>10099</v>
      </c>
      <c r="AT147" t="s">
        <v>26942</v>
      </c>
      <c r="AU147" t="s">
        <v>26943</v>
      </c>
      <c r="AV147" t="s">
        <v>69</v>
      </c>
      <c r="AW147" t="s">
        <v>26944</v>
      </c>
      <c r="AX147" t="s">
        <v>26945</v>
      </c>
      <c r="AY147" t="s">
        <v>84</v>
      </c>
      <c r="AZ147">
        <v>2011</v>
      </c>
      <c r="BA147">
        <v>16</v>
      </c>
      <c r="BB147">
        <v>2</v>
      </c>
      <c r="BC147" t="s">
        <v>69</v>
      </c>
      <c r="BD147" t="s">
        <v>69</v>
      </c>
      <c r="BE147" t="s">
        <v>69</v>
      </c>
      <c r="BF147" t="s">
        <v>69</v>
      </c>
      <c r="BG147">
        <v>77</v>
      </c>
      <c r="BH147">
        <v>105</v>
      </c>
      <c r="BI147" t="s">
        <v>69</v>
      </c>
      <c r="BJ147" t="s">
        <v>69</v>
      </c>
      <c r="BK147" t="s">
        <v>69</v>
      </c>
      <c r="BL147" t="s">
        <v>69</v>
      </c>
      <c r="BM147" t="s">
        <v>69</v>
      </c>
      <c r="BN147">
        <v>29</v>
      </c>
      <c r="BO147" t="s">
        <v>9410</v>
      </c>
      <c r="BP147" t="s">
        <v>8573</v>
      </c>
      <c r="BQ147" t="s">
        <v>8594</v>
      </c>
      <c r="BR147" t="s">
        <v>26946</v>
      </c>
      <c r="BS147" t="s">
        <v>26947</v>
      </c>
      <c r="BT147" t="s">
        <v>69</v>
      </c>
      <c r="BU147" t="s">
        <v>69</v>
      </c>
      <c r="BV147" t="s">
        <v>69</v>
      </c>
      <c r="BW147" t="s">
        <v>69</v>
      </c>
      <c r="BX147" t="s">
        <v>8526</v>
      </c>
      <c r="BY147" t="str">
        <f>HYPERLINK("https%3A%2F%2Fwww.webofscience.com%2Fwos%2Fwoscc%2Ffull-record%2FWOS:000210018200004","View Full Record in Web of Science")</f>
        <v>View Full Record in Web of Science</v>
      </c>
    </row>
    <row r="148" spans="1:77" ht="12.5" x14ac:dyDescent="0.25">
      <c r="A148" t="s">
        <v>8495</v>
      </c>
      <c r="B148" s="7" t="s">
        <v>32933</v>
      </c>
      <c r="C148" s="7"/>
      <c r="D148" s="7"/>
      <c r="E148" s="7"/>
      <c r="F148" t="s">
        <v>67</v>
      </c>
      <c r="G148" t="s">
        <v>7804</v>
      </c>
      <c r="H148" t="s">
        <v>69</v>
      </c>
      <c r="I148" t="s">
        <v>69</v>
      </c>
      <c r="J148" t="s">
        <v>69</v>
      </c>
      <c r="K148" t="s">
        <v>7805</v>
      </c>
      <c r="L148" t="s">
        <v>69</v>
      </c>
      <c r="M148" t="s">
        <v>69</v>
      </c>
      <c r="N148" t="s">
        <v>7806</v>
      </c>
      <c r="O148" t="s">
        <v>436</v>
      </c>
      <c r="P148" t="s">
        <v>69</v>
      </c>
      <c r="Q148" t="s">
        <v>69</v>
      </c>
      <c r="R148" t="s">
        <v>8505</v>
      </c>
      <c r="S148" t="s">
        <v>8506</v>
      </c>
      <c r="T148" t="s">
        <v>69</v>
      </c>
      <c r="U148" t="s">
        <v>69</v>
      </c>
      <c r="V148" t="s">
        <v>69</v>
      </c>
      <c r="W148" t="s">
        <v>69</v>
      </c>
      <c r="X148" t="s">
        <v>69</v>
      </c>
      <c r="Y148" t="s">
        <v>22294</v>
      </c>
      <c r="Z148" t="s">
        <v>22295</v>
      </c>
      <c r="AA148" t="s">
        <v>7807</v>
      </c>
      <c r="AB148" t="s">
        <v>22296</v>
      </c>
      <c r="AC148" t="s">
        <v>69</v>
      </c>
      <c r="AD148" t="s">
        <v>22297</v>
      </c>
      <c r="AE148" t="s">
        <v>22298</v>
      </c>
      <c r="AF148" t="s">
        <v>7808</v>
      </c>
      <c r="AG148" t="s">
        <v>7809</v>
      </c>
      <c r="AH148" t="s">
        <v>22299</v>
      </c>
      <c r="AI148" t="s">
        <v>22300</v>
      </c>
      <c r="AJ148" t="s">
        <v>22301</v>
      </c>
      <c r="AK148" t="s">
        <v>69</v>
      </c>
      <c r="AL148">
        <v>68</v>
      </c>
      <c r="AM148">
        <v>33</v>
      </c>
      <c r="AN148">
        <v>34</v>
      </c>
      <c r="AO148">
        <v>3</v>
      </c>
      <c r="AP148">
        <v>57</v>
      </c>
      <c r="AQ148" t="s">
        <v>8636</v>
      </c>
      <c r="AR148" t="s">
        <v>8637</v>
      </c>
      <c r="AS148" t="s">
        <v>8638</v>
      </c>
      <c r="AT148" t="s">
        <v>440</v>
      </c>
      <c r="AU148" t="s">
        <v>441</v>
      </c>
      <c r="AV148" t="s">
        <v>69</v>
      </c>
      <c r="AW148" t="s">
        <v>8639</v>
      </c>
      <c r="AX148" t="s">
        <v>8640</v>
      </c>
      <c r="AY148" t="s">
        <v>863</v>
      </c>
      <c r="AZ148">
        <v>2015</v>
      </c>
      <c r="BA148">
        <v>109</v>
      </c>
      <c r="BB148" t="s">
        <v>69</v>
      </c>
      <c r="BC148" t="s">
        <v>69</v>
      </c>
      <c r="BD148" t="s">
        <v>69</v>
      </c>
      <c r="BE148" t="s">
        <v>114</v>
      </c>
      <c r="BF148" t="s">
        <v>69</v>
      </c>
      <c r="BG148">
        <v>62</v>
      </c>
      <c r="BH148">
        <v>75</v>
      </c>
      <c r="BI148" t="s">
        <v>69</v>
      </c>
      <c r="BJ148" t="s">
        <v>7810</v>
      </c>
      <c r="BK148" t="str">
        <f>HYPERLINK("http://dx.doi.org/10.1016/j.jclepro.2015.06.140","http://dx.doi.org/10.1016/j.jclepro.2015.06.140")</f>
        <v>http://dx.doi.org/10.1016/j.jclepro.2015.06.140</v>
      </c>
      <c r="BL148" t="s">
        <v>69</v>
      </c>
      <c r="BM148" t="s">
        <v>69</v>
      </c>
      <c r="BN148">
        <v>14</v>
      </c>
      <c r="BO148" t="s">
        <v>8643</v>
      </c>
      <c r="BP148" t="s">
        <v>8523</v>
      </c>
      <c r="BQ148" t="s">
        <v>8644</v>
      </c>
      <c r="BR148" t="s">
        <v>22302</v>
      </c>
      <c r="BS148" t="s">
        <v>7811</v>
      </c>
      <c r="BT148" t="s">
        <v>69</v>
      </c>
      <c r="BU148" t="s">
        <v>9374</v>
      </c>
      <c r="BV148" t="s">
        <v>69</v>
      </c>
      <c r="BW148" t="s">
        <v>69</v>
      </c>
      <c r="BX148" t="s">
        <v>8526</v>
      </c>
      <c r="BY148" t="str">
        <f>HYPERLINK("https%3A%2F%2Fwww.webofscience.com%2Fwos%2Fwoscc%2Ffull-record%2FWOS:000367410000006","View Full Record in Web of Science")</f>
        <v>View Full Record in Web of Science</v>
      </c>
    </row>
    <row r="149" spans="1:77" ht="12.5" x14ac:dyDescent="0.25">
      <c r="A149" t="s">
        <v>8495</v>
      </c>
      <c r="B149" s="22" t="s">
        <v>32931</v>
      </c>
      <c r="C149" s="7"/>
      <c r="D149" s="7"/>
      <c r="E149" s="7"/>
      <c r="F149" t="s">
        <v>67</v>
      </c>
      <c r="G149" t="s">
        <v>18879</v>
      </c>
      <c r="H149" t="s">
        <v>69</v>
      </c>
      <c r="I149" t="s">
        <v>69</v>
      </c>
      <c r="J149" t="s">
        <v>69</v>
      </c>
      <c r="K149" t="s">
        <v>18880</v>
      </c>
      <c r="L149" t="s">
        <v>69</v>
      </c>
      <c r="M149" t="s">
        <v>69</v>
      </c>
      <c r="N149" t="s">
        <v>18881</v>
      </c>
      <c r="O149" t="s">
        <v>18882</v>
      </c>
      <c r="P149" t="s">
        <v>69</v>
      </c>
      <c r="Q149" t="s">
        <v>69</v>
      </c>
      <c r="R149" t="s">
        <v>8505</v>
      </c>
      <c r="S149" t="s">
        <v>8506</v>
      </c>
      <c r="T149" t="s">
        <v>69</v>
      </c>
      <c r="U149" t="s">
        <v>69</v>
      </c>
      <c r="V149" t="s">
        <v>69</v>
      </c>
      <c r="W149" t="s">
        <v>69</v>
      </c>
      <c r="X149" t="s">
        <v>69</v>
      </c>
      <c r="Y149" t="s">
        <v>18883</v>
      </c>
      <c r="Z149" t="s">
        <v>18884</v>
      </c>
      <c r="AA149" t="s">
        <v>18885</v>
      </c>
      <c r="AB149" t="s">
        <v>18886</v>
      </c>
      <c r="AC149" t="s">
        <v>69</v>
      </c>
      <c r="AD149" t="s">
        <v>18887</v>
      </c>
      <c r="AE149" t="s">
        <v>18888</v>
      </c>
      <c r="AF149" t="s">
        <v>18889</v>
      </c>
      <c r="AG149" t="s">
        <v>18890</v>
      </c>
      <c r="AH149" t="s">
        <v>18891</v>
      </c>
      <c r="AI149" t="s">
        <v>18892</v>
      </c>
      <c r="AJ149" t="s">
        <v>18893</v>
      </c>
      <c r="AK149" t="s">
        <v>69</v>
      </c>
      <c r="AL149">
        <v>46</v>
      </c>
      <c r="AM149">
        <v>5</v>
      </c>
      <c r="AN149">
        <v>5</v>
      </c>
      <c r="AO149">
        <v>3</v>
      </c>
      <c r="AP149">
        <v>20</v>
      </c>
      <c r="AQ149" t="s">
        <v>9047</v>
      </c>
      <c r="AR149" t="s">
        <v>8693</v>
      </c>
      <c r="AS149" t="s">
        <v>16643</v>
      </c>
      <c r="AT149" t="s">
        <v>18894</v>
      </c>
      <c r="AU149" t="s">
        <v>18895</v>
      </c>
      <c r="AV149" t="s">
        <v>69</v>
      </c>
      <c r="AW149" t="s">
        <v>18896</v>
      </c>
      <c r="AX149" t="s">
        <v>18897</v>
      </c>
      <c r="AY149" t="s">
        <v>586</v>
      </c>
      <c r="AZ149">
        <v>2018</v>
      </c>
      <c r="BA149">
        <v>25</v>
      </c>
      <c r="BB149">
        <v>5</v>
      </c>
      <c r="BC149" t="s">
        <v>69</v>
      </c>
      <c r="BD149" t="s">
        <v>69</v>
      </c>
      <c r="BE149" t="s">
        <v>69</v>
      </c>
      <c r="BF149" t="s">
        <v>69</v>
      </c>
      <c r="BG149">
        <v>524</v>
      </c>
      <c r="BH149">
        <v>538</v>
      </c>
      <c r="BI149" t="s">
        <v>69</v>
      </c>
      <c r="BJ149" t="s">
        <v>18898</v>
      </c>
      <c r="BK149" t="str">
        <f>HYPERLINK("http://dx.doi.org/10.1007/s42243-018-0064-9","http://dx.doi.org/10.1007/s42243-018-0064-9")</f>
        <v>http://dx.doi.org/10.1007/s42243-018-0064-9</v>
      </c>
      <c r="BL149" t="s">
        <v>69</v>
      </c>
      <c r="BM149" t="s">
        <v>69</v>
      </c>
      <c r="BN149">
        <v>15</v>
      </c>
      <c r="BO149" t="s">
        <v>18899</v>
      </c>
      <c r="BP149" t="s">
        <v>8523</v>
      </c>
      <c r="BQ149" t="s">
        <v>18899</v>
      </c>
      <c r="BR149" t="s">
        <v>18900</v>
      </c>
      <c r="BS149" t="s">
        <v>18901</v>
      </c>
      <c r="BT149" t="s">
        <v>69</v>
      </c>
      <c r="BU149" t="s">
        <v>69</v>
      </c>
      <c r="BV149" t="s">
        <v>69</v>
      </c>
      <c r="BW149" t="s">
        <v>69</v>
      </c>
      <c r="BX149" t="s">
        <v>8526</v>
      </c>
      <c r="BY149" t="str">
        <f>HYPERLINK("https%3A%2F%2Fwww.webofscience.com%2Fwos%2Fwoscc%2Ffull-record%2FWOS:000435396400006","View Full Record in Web of Science")</f>
        <v>View Full Record in Web of Science</v>
      </c>
    </row>
    <row r="150" spans="1:77" ht="12.5" x14ac:dyDescent="0.25">
      <c r="A150" t="s">
        <v>8495</v>
      </c>
      <c r="B150" s="7" t="s">
        <v>32933</v>
      </c>
      <c r="C150" s="7"/>
      <c r="D150" s="7"/>
      <c r="E150" s="7"/>
      <c r="F150" t="s">
        <v>67</v>
      </c>
      <c r="G150" t="s">
        <v>464</v>
      </c>
      <c r="H150" t="s">
        <v>69</v>
      </c>
      <c r="I150" t="s">
        <v>69</v>
      </c>
      <c r="J150" t="s">
        <v>69</v>
      </c>
      <c r="K150" t="s">
        <v>465</v>
      </c>
      <c r="L150" t="s">
        <v>69</v>
      </c>
      <c r="M150" t="s">
        <v>69</v>
      </c>
      <c r="N150" t="s">
        <v>466</v>
      </c>
      <c r="O150" t="s">
        <v>352</v>
      </c>
      <c r="P150" t="s">
        <v>69</v>
      </c>
      <c r="Q150" t="s">
        <v>69</v>
      </c>
      <c r="R150" t="s">
        <v>8505</v>
      </c>
      <c r="S150" t="s">
        <v>8506</v>
      </c>
      <c r="T150" t="s">
        <v>69</v>
      </c>
      <c r="U150" t="s">
        <v>69</v>
      </c>
      <c r="V150" t="s">
        <v>69</v>
      </c>
      <c r="W150" t="s">
        <v>69</v>
      </c>
      <c r="X150" t="s">
        <v>69</v>
      </c>
      <c r="Y150" t="s">
        <v>21516</v>
      </c>
      <c r="Z150" t="s">
        <v>21517</v>
      </c>
      <c r="AA150" t="s">
        <v>467</v>
      </c>
      <c r="AB150" t="s">
        <v>21518</v>
      </c>
      <c r="AC150" t="s">
        <v>69</v>
      </c>
      <c r="AD150" t="s">
        <v>21519</v>
      </c>
      <c r="AE150" t="s">
        <v>21520</v>
      </c>
      <c r="AF150" t="s">
        <v>21521</v>
      </c>
      <c r="AG150" t="s">
        <v>21522</v>
      </c>
      <c r="AH150" t="s">
        <v>21523</v>
      </c>
      <c r="AI150" t="s">
        <v>21523</v>
      </c>
      <c r="AJ150" t="s">
        <v>21524</v>
      </c>
      <c r="AK150" t="s">
        <v>69</v>
      </c>
      <c r="AL150">
        <v>60</v>
      </c>
      <c r="AM150">
        <v>12</v>
      </c>
      <c r="AN150">
        <v>12</v>
      </c>
      <c r="AO150">
        <v>0</v>
      </c>
      <c r="AP150">
        <v>26</v>
      </c>
      <c r="AQ150" t="s">
        <v>19814</v>
      </c>
      <c r="AR150" t="s">
        <v>8925</v>
      </c>
      <c r="AS150" t="s">
        <v>8926</v>
      </c>
      <c r="AT150" t="s">
        <v>354</v>
      </c>
      <c r="AU150" t="s">
        <v>69</v>
      </c>
      <c r="AV150" t="s">
        <v>69</v>
      </c>
      <c r="AW150" t="s">
        <v>8958</v>
      </c>
      <c r="AX150" t="s">
        <v>8434</v>
      </c>
      <c r="AY150" t="s">
        <v>84</v>
      </c>
      <c r="AZ150">
        <v>2016</v>
      </c>
      <c r="BA150">
        <v>8</v>
      </c>
      <c r="BB150">
        <v>7</v>
      </c>
      <c r="BC150" t="s">
        <v>69</v>
      </c>
      <c r="BD150" t="s">
        <v>69</v>
      </c>
      <c r="BE150" t="s">
        <v>69</v>
      </c>
      <c r="BF150" t="s">
        <v>69</v>
      </c>
      <c r="BG150" t="s">
        <v>69</v>
      </c>
      <c r="BH150" t="s">
        <v>69</v>
      </c>
      <c r="BI150">
        <v>603</v>
      </c>
      <c r="BJ150" t="s">
        <v>468</v>
      </c>
      <c r="BK150" t="str">
        <f>HYPERLINK("http://dx.doi.org/10.3390/su8070603","http://dx.doi.org/10.3390/su8070603")</f>
        <v>http://dx.doi.org/10.3390/su8070603</v>
      </c>
      <c r="BL150" t="s">
        <v>69</v>
      </c>
      <c r="BM150" t="s">
        <v>69</v>
      </c>
      <c r="BN150">
        <v>25</v>
      </c>
      <c r="BO150" t="s">
        <v>8960</v>
      </c>
      <c r="BP150" t="s">
        <v>8523</v>
      </c>
      <c r="BQ150" t="s">
        <v>8961</v>
      </c>
      <c r="BR150" t="s">
        <v>21525</v>
      </c>
      <c r="BS150" t="s">
        <v>469</v>
      </c>
      <c r="BT150" t="s">
        <v>69</v>
      </c>
      <c r="BU150" t="s">
        <v>16763</v>
      </c>
      <c r="BV150" t="s">
        <v>69</v>
      </c>
      <c r="BW150" t="s">
        <v>69</v>
      </c>
      <c r="BX150" t="s">
        <v>8526</v>
      </c>
      <c r="BY150" t="str">
        <f>HYPERLINK("https%3A%2F%2Fwww.webofscience.com%2Fwos%2Fwoscc%2Ffull-record%2FWOS:000380760400014","View Full Record in Web of Science")</f>
        <v>View Full Record in Web of Science</v>
      </c>
    </row>
    <row r="151" spans="1:77" ht="12.5" x14ac:dyDescent="0.25">
      <c r="A151" t="s">
        <v>8495</v>
      </c>
      <c r="B151" s="7" t="s">
        <v>32933</v>
      </c>
      <c r="C151" s="7"/>
      <c r="D151" s="7"/>
      <c r="E151" s="7"/>
      <c r="F151" t="s">
        <v>67</v>
      </c>
      <c r="G151" t="s">
        <v>936</v>
      </c>
      <c r="H151" t="s">
        <v>69</v>
      </c>
      <c r="I151" t="s">
        <v>69</v>
      </c>
      <c r="J151" t="s">
        <v>69</v>
      </c>
      <c r="K151" t="s">
        <v>937</v>
      </c>
      <c r="L151" t="s">
        <v>69</v>
      </c>
      <c r="M151" t="s">
        <v>69</v>
      </c>
      <c r="N151" t="s">
        <v>938</v>
      </c>
      <c r="O151" t="s">
        <v>632</v>
      </c>
      <c r="P151" t="s">
        <v>69</v>
      </c>
      <c r="Q151" t="s">
        <v>69</v>
      </c>
      <c r="R151" t="s">
        <v>8505</v>
      </c>
      <c r="S151" t="s">
        <v>8442</v>
      </c>
      <c r="T151" t="s">
        <v>69</v>
      </c>
      <c r="U151" t="s">
        <v>69</v>
      </c>
      <c r="V151" t="s">
        <v>69</v>
      </c>
      <c r="W151" t="s">
        <v>69</v>
      </c>
      <c r="X151" t="s">
        <v>69</v>
      </c>
      <c r="Y151" t="s">
        <v>17133</v>
      </c>
      <c r="Z151" t="s">
        <v>17134</v>
      </c>
      <c r="AA151" t="s">
        <v>939</v>
      </c>
      <c r="AB151" t="s">
        <v>17135</v>
      </c>
      <c r="AC151" t="s">
        <v>69</v>
      </c>
      <c r="AD151" t="s">
        <v>17136</v>
      </c>
      <c r="AE151" t="s">
        <v>17137</v>
      </c>
      <c r="AF151" t="s">
        <v>17138</v>
      </c>
      <c r="AG151" t="s">
        <v>17139</v>
      </c>
      <c r="AH151" t="s">
        <v>69</v>
      </c>
      <c r="AI151" t="s">
        <v>69</v>
      </c>
      <c r="AJ151" t="s">
        <v>69</v>
      </c>
      <c r="AK151" t="s">
        <v>69</v>
      </c>
      <c r="AL151">
        <v>130</v>
      </c>
      <c r="AM151">
        <v>66</v>
      </c>
      <c r="AN151">
        <v>66</v>
      </c>
      <c r="AO151">
        <v>17</v>
      </c>
      <c r="AP151">
        <v>144</v>
      </c>
      <c r="AQ151" t="s">
        <v>17140</v>
      </c>
      <c r="AR151" t="s">
        <v>8517</v>
      </c>
      <c r="AS151" t="s">
        <v>17141</v>
      </c>
      <c r="AT151" t="s">
        <v>634</v>
      </c>
      <c r="AU151" t="s">
        <v>635</v>
      </c>
      <c r="AV151" t="s">
        <v>69</v>
      </c>
      <c r="AW151" t="s">
        <v>8714</v>
      </c>
      <c r="AX151" t="s">
        <v>8715</v>
      </c>
      <c r="AY151" t="s">
        <v>940</v>
      </c>
      <c r="AZ151">
        <v>2019</v>
      </c>
      <c r="BA151">
        <v>670</v>
      </c>
      <c r="BB151" t="s">
        <v>69</v>
      </c>
      <c r="BC151" t="s">
        <v>69</v>
      </c>
      <c r="BD151" t="s">
        <v>69</v>
      </c>
      <c r="BE151" t="s">
        <v>69</v>
      </c>
      <c r="BF151" t="s">
        <v>69</v>
      </c>
      <c r="BG151">
        <v>555</v>
      </c>
      <c r="BH151">
        <v>568</v>
      </c>
      <c r="BI151" t="s">
        <v>69</v>
      </c>
      <c r="BJ151" t="s">
        <v>941</v>
      </c>
      <c r="BK151" t="str">
        <f>HYPERLINK("http://dx.doi.org/10.1016/j.scitotenv.2019.03.261","http://dx.doi.org/10.1016/j.scitotenv.2019.03.261")</f>
        <v>http://dx.doi.org/10.1016/j.scitotenv.2019.03.261</v>
      </c>
      <c r="BL151" t="s">
        <v>69</v>
      </c>
      <c r="BM151" t="s">
        <v>69</v>
      </c>
      <c r="BN151">
        <v>14</v>
      </c>
      <c r="BO151" t="s">
        <v>8717</v>
      </c>
      <c r="BP151" t="s">
        <v>8548</v>
      </c>
      <c r="BQ151" t="s">
        <v>8662</v>
      </c>
      <c r="BR151" t="s">
        <v>17142</v>
      </c>
      <c r="BS151" t="s">
        <v>942</v>
      </c>
      <c r="BT151">
        <v>30909033</v>
      </c>
      <c r="BU151" t="s">
        <v>69</v>
      </c>
      <c r="BV151" t="s">
        <v>69</v>
      </c>
      <c r="BW151" t="s">
        <v>69</v>
      </c>
      <c r="BX151" t="s">
        <v>8526</v>
      </c>
      <c r="BY151" t="str">
        <f>HYPERLINK("https%3A%2F%2Fwww.webofscience.com%2Fwos%2Fwoscc%2Ffull-record%2FWOS:000464681800055","View Full Record in Web of Science")</f>
        <v>View Full Record in Web of Science</v>
      </c>
    </row>
    <row r="152" spans="1:77" ht="12.5" x14ac:dyDescent="0.25">
      <c r="A152" t="s">
        <v>8495</v>
      </c>
      <c r="B152" s="7" t="s">
        <v>32933</v>
      </c>
      <c r="C152" s="7"/>
      <c r="D152" s="7"/>
      <c r="E152" s="7"/>
      <c r="F152" t="s">
        <v>67</v>
      </c>
      <c r="G152" t="s">
        <v>6442</v>
      </c>
      <c r="H152" t="s">
        <v>69</v>
      </c>
      <c r="I152" t="s">
        <v>69</v>
      </c>
      <c r="J152" t="s">
        <v>69</v>
      </c>
      <c r="K152" t="s">
        <v>6443</v>
      </c>
      <c r="L152" t="s">
        <v>69</v>
      </c>
      <c r="M152" t="s">
        <v>69</v>
      </c>
      <c r="N152" t="s">
        <v>6444</v>
      </c>
      <c r="O152" t="s">
        <v>6445</v>
      </c>
      <c r="P152" t="s">
        <v>69</v>
      </c>
      <c r="Q152" t="s">
        <v>69</v>
      </c>
      <c r="R152" t="s">
        <v>8505</v>
      </c>
      <c r="S152" t="s">
        <v>8506</v>
      </c>
      <c r="T152" t="s">
        <v>69</v>
      </c>
      <c r="U152" t="s">
        <v>69</v>
      </c>
      <c r="V152" t="s">
        <v>69</v>
      </c>
      <c r="W152" t="s">
        <v>69</v>
      </c>
      <c r="X152" t="s">
        <v>69</v>
      </c>
      <c r="Y152" t="s">
        <v>27581</v>
      </c>
      <c r="Z152" t="s">
        <v>27582</v>
      </c>
      <c r="AA152" t="s">
        <v>6446</v>
      </c>
      <c r="AB152" t="s">
        <v>27583</v>
      </c>
      <c r="AC152" t="s">
        <v>69</v>
      </c>
      <c r="AD152" t="s">
        <v>27584</v>
      </c>
      <c r="AE152" t="s">
        <v>69</v>
      </c>
      <c r="AF152" t="s">
        <v>6447</v>
      </c>
      <c r="AG152" t="s">
        <v>6448</v>
      </c>
      <c r="AH152" t="s">
        <v>27585</v>
      </c>
      <c r="AI152" t="s">
        <v>27585</v>
      </c>
      <c r="AJ152" t="s">
        <v>27586</v>
      </c>
      <c r="AK152" t="s">
        <v>69</v>
      </c>
      <c r="AL152">
        <v>16</v>
      </c>
      <c r="AM152">
        <v>0</v>
      </c>
      <c r="AN152">
        <v>0</v>
      </c>
      <c r="AO152">
        <v>0</v>
      </c>
      <c r="AP152">
        <v>5</v>
      </c>
      <c r="AQ152" t="s">
        <v>27587</v>
      </c>
      <c r="AR152" t="s">
        <v>27588</v>
      </c>
      <c r="AS152" t="s">
        <v>27589</v>
      </c>
      <c r="AT152" t="s">
        <v>6449</v>
      </c>
      <c r="AU152" t="s">
        <v>69</v>
      </c>
      <c r="AV152" t="s">
        <v>69</v>
      </c>
      <c r="AW152" t="s">
        <v>27590</v>
      </c>
      <c r="AX152" t="s">
        <v>27591</v>
      </c>
      <c r="AY152" t="s">
        <v>274</v>
      </c>
      <c r="AZ152">
        <v>2010</v>
      </c>
      <c r="BA152">
        <v>48</v>
      </c>
      <c r="BB152">
        <v>6</v>
      </c>
      <c r="BC152" t="s">
        <v>69</v>
      </c>
      <c r="BD152" t="s">
        <v>69</v>
      </c>
      <c r="BE152" t="s">
        <v>69</v>
      </c>
      <c r="BF152" t="s">
        <v>69</v>
      </c>
      <c r="BG152">
        <v>749</v>
      </c>
      <c r="BH152">
        <v>757</v>
      </c>
      <c r="BI152" t="s">
        <v>69</v>
      </c>
      <c r="BJ152" t="s">
        <v>6450</v>
      </c>
      <c r="BK152" t="str">
        <f>HYPERLINK("http://dx.doi.org/10.2486/indhealth.MS1113","http://dx.doi.org/10.2486/indhealth.MS1113")</f>
        <v>http://dx.doi.org/10.2486/indhealth.MS1113</v>
      </c>
      <c r="BL152" t="s">
        <v>69</v>
      </c>
      <c r="BM152" t="s">
        <v>69</v>
      </c>
      <c r="BN152">
        <v>9</v>
      </c>
      <c r="BO152" t="s">
        <v>23971</v>
      </c>
      <c r="BP152" t="s">
        <v>8548</v>
      </c>
      <c r="BQ152" t="s">
        <v>23972</v>
      </c>
      <c r="BR152" t="s">
        <v>27592</v>
      </c>
      <c r="BS152" t="s">
        <v>6451</v>
      </c>
      <c r="BT152">
        <v>20616473</v>
      </c>
      <c r="BU152" t="s">
        <v>9374</v>
      </c>
      <c r="BV152" t="s">
        <v>69</v>
      </c>
      <c r="BW152" t="s">
        <v>69</v>
      </c>
      <c r="BX152" t="s">
        <v>8526</v>
      </c>
      <c r="BY152" t="str">
        <f>HYPERLINK("https%3A%2F%2Fwww.webofscience.com%2Fwos%2Fwoscc%2Ffull-record%2FWOS:000284811900002","View Full Record in Web of Science")</f>
        <v>View Full Record in Web of Science</v>
      </c>
    </row>
    <row r="153" spans="1:77" ht="12.5" x14ac:dyDescent="0.25">
      <c r="A153" t="s">
        <v>8495</v>
      </c>
      <c r="B153" s="22" t="s">
        <v>32931</v>
      </c>
      <c r="C153" s="7"/>
      <c r="D153" s="7"/>
      <c r="E153" s="7"/>
      <c r="F153" t="s">
        <v>67</v>
      </c>
      <c r="G153" t="s">
        <v>6550</v>
      </c>
      <c r="H153" t="s">
        <v>69</v>
      </c>
      <c r="I153" t="s">
        <v>69</v>
      </c>
      <c r="J153" t="s">
        <v>69</v>
      </c>
      <c r="K153" t="s">
        <v>6551</v>
      </c>
      <c r="L153" t="s">
        <v>69</v>
      </c>
      <c r="M153" t="s">
        <v>69</v>
      </c>
      <c r="N153" t="s">
        <v>28125</v>
      </c>
      <c r="O153" t="s">
        <v>28126</v>
      </c>
      <c r="P153" t="s">
        <v>69</v>
      </c>
      <c r="Q153" t="s">
        <v>69</v>
      </c>
      <c r="R153" t="s">
        <v>8505</v>
      </c>
      <c r="S153" t="s">
        <v>8506</v>
      </c>
      <c r="T153" t="s">
        <v>69</v>
      </c>
      <c r="U153" t="s">
        <v>69</v>
      </c>
      <c r="V153" t="s">
        <v>69</v>
      </c>
      <c r="W153" t="s">
        <v>69</v>
      </c>
      <c r="X153" t="s">
        <v>69</v>
      </c>
      <c r="Y153" t="s">
        <v>28127</v>
      </c>
      <c r="Z153" t="s">
        <v>69</v>
      </c>
      <c r="AA153" t="s">
        <v>28128</v>
      </c>
      <c r="AB153" t="s">
        <v>28129</v>
      </c>
      <c r="AC153" t="s">
        <v>69</v>
      </c>
      <c r="AD153" t="s">
        <v>28130</v>
      </c>
      <c r="AE153" t="s">
        <v>27702</v>
      </c>
      <c r="AF153" t="s">
        <v>6447</v>
      </c>
      <c r="AG153" t="s">
        <v>6448</v>
      </c>
      <c r="AH153" t="s">
        <v>69</v>
      </c>
      <c r="AI153" t="s">
        <v>69</v>
      </c>
      <c r="AJ153" t="s">
        <v>69</v>
      </c>
      <c r="AK153" t="s">
        <v>69</v>
      </c>
      <c r="AL153">
        <v>24</v>
      </c>
      <c r="AM153">
        <v>0</v>
      </c>
      <c r="AN153">
        <v>0</v>
      </c>
      <c r="AO153">
        <v>0</v>
      </c>
      <c r="AP153">
        <v>0</v>
      </c>
      <c r="AQ153" t="s">
        <v>8611</v>
      </c>
      <c r="AR153" t="s">
        <v>8612</v>
      </c>
      <c r="AS153" t="s">
        <v>8613</v>
      </c>
      <c r="AT153" t="s">
        <v>28131</v>
      </c>
      <c r="AU153" t="s">
        <v>28132</v>
      </c>
      <c r="AV153" t="s">
        <v>69</v>
      </c>
      <c r="AW153" t="s">
        <v>28133</v>
      </c>
      <c r="AX153" t="s">
        <v>28134</v>
      </c>
      <c r="AY153" t="s">
        <v>69</v>
      </c>
      <c r="AZ153">
        <v>2010</v>
      </c>
      <c r="BA153">
        <v>27</v>
      </c>
      <c r="BB153">
        <v>6</v>
      </c>
      <c r="BC153" t="s">
        <v>69</v>
      </c>
      <c r="BD153" t="s">
        <v>69</v>
      </c>
      <c r="BE153" t="s">
        <v>69</v>
      </c>
      <c r="BF153" t="s">
        <v>69</v>
      </c>
      <c r="BG153">
        <v>438</v>
      </c>
      <c r="BH153">
        <v>448</v>
      </c>
      <c r="BI153" t="s">
        <v>69</v>
      </c>
      <c r="BJ153" t="s">
        <v>28135</v>
      </c>
      <c r="BK153" t="str">
        <f>HYPERLINK("http://dx.doi.org/10.1080/10170669.2010.525850","http://dx.doi.org/10.1080/10170669.2010.525850")</f>
        <v>http://dx.doi.org/10.1080/10170669.2010.525850</v>
      </c>
      <c r="BL153" t="s">
        <v>69</v>
      </c>
      <c r="BM153" t="s">
        <v>69</v>
      </c>
      <c r="BN153">
        <v>11</v>
      </c>
      <c r="BO153" t="s">
        <v>10459</v>
      </c>
      <c r="BP153" t="s">
        <v>8573</v>
      </c>
      <c r="BQ153" t="s">
        <v>8445</v>
      </c>
      <c r="BR153" t="s">
        <v>28136</v>
      </c>
      <c r="BS153" t="s">
        <v>28137</v>
      </c>
      <c r="BT153" t="s">
        <v>69</v>
      </c>
      <c r="BU153" t="s">
        <v>69</v>
      </c>
      <c r="BV153" t="s">
        <v>69</v>
      </c>
      <c r="BW153" t="s">
        <v>69</v>
      </c>
      <c r="BX153" t="s">
        <v>8526</v>
      </c>
      <c r="BY153" t="str">
        <f>HYPERLINK("https%3A%2F%2Fwww.webofscience.com%2Fwos%2Fwoscc%2Ffull-record%2FWOS:000218797800004","View Full Record in Web of Science")</f>
        <v>View Full Record in Web of Science</v>
      </c>
    </row>
    <row r="154" spans="1:77" ht="12.5" x14ac:dyDescent="0.25">
      <c r="A154" t="s">
        <v>8495</v>
      </c>
      <c r="B154" s="7" t="s">
        <v>32933</v>
      </c>
      <c r="C154" s="7"/>
      <c r="D154" s="7"/>
      <c r="E154" s="7"/>
      <c r="F154" t="s">
        <v>67</v>
      </c>
      <c r="G154" t="s">
        <v>6550</v>
      </c>
      <c r="H154" t="s">
        <v>69</v>
      </c>
      <c r="I154" t="s">
        <v>69</v>
      </c>
      <c r="J154" t="s">
        <v>69</v>
      </c>
      <c r="K154" t="s">
        <v>6551</v>
      </c>
      <c r="L154" t="s">
        <v>69</v>
      </c>
      <c r="M154" t="s">
        <v>69</v>
      </c>
      <c r="N154" t="s">
        <v>6552</v>
      </c>
      <c r="O154" t="s">
        <v>6553</v>
      </c>
      <c r="P154" t="s">
        <v>69</v>
      </c>
      <c r="Q154" t="s">
        <v>69</v>
      </c>
      <c r="R154" t="s">
        <v>8505</v>
      </c>
      <c r="S154" t="s">
        <v>8506</v>
      </c>
      <c r="T154" t="s">
        <v>69</v>
      </c>
      <c r="U154" t="s">
        <v>69</v>
      </c>
      <c r="V154" t="s">
        <v>69</v>
      </c>
      <c r="W154" t="s">
        <v>69</v>
      </c>
      <c r="X154" t="s">
        <v>69</v>
      </c>
      <c r="Y154" t="s">
        <v>27698</v>
      </c>
      <c r="Z154" t="s">
        <v>27699</v>
      </c>
      <c r="AA154" t="s">
        <v>6554</v>
      </c>
      <c r="AB154" t="s">
        <v>27700</v>
      </c>
      <c r="AC154" t="s">
        <v>69</v>
      </c>
      <c r="AD154" t="s">
        <v>27701</v>
      </c>
      <c r="AE154" t="s">
        <v>27702</v>
      </c>
      <c r="AF154" t="s">
        <v>6447</v>
      </c>
      <c r="AG154" t="s">
        <v>6448</v>
      </c>
      <c r="AH154" t="s">
        <v>27703</v>
      </c>
      <c r="AI154" t="s">
        <v>27703</v>
      </c>
      <c r="AJ154" t="s">
        <v>27703</v>
      </c>
      <c r="AK154" t="s">
        <v>69</v>
      </c>
      <c r="AL154">
        <v>22</v>
      </c>
      <c r="AM154">
        <v>1</v>
      </c>
      <c r="AN154">
        <v>2</v>
      </c>
      <c r="AO154">
        <v>1</v>
      </c>
      <c r="AP154">
        <v>11</v>
      </c>
      <c r="AQ154" t="s">
        <v>10352</v>
      </c>
      <c r="AR154" t="s">
        <v>8637</v>
      </c>
      <c r="AS154" t="s">
        <v>10353</v>
      </c>
      <c r="AT154" t="s">
        <v>6555</v>
      </c>
      <c r="AU154" t="s">
        <v>6556</v>
      </c>
      <c r="AV154" t="s">
        <v>69</v>
      </c>
      <c r="AW154" t="s">
        <v>27704</v>
      </c>
      <c r="AX154" t="s">
        <v>27705</v>
      </c>
      <c r="AY154" t="s">
        <v>84</v>
      </c>
      <c r="AZ154">
        <v>2010</v>
      </c>
      <c r="BA154">
        <v>54</v>
      </c>
      <c r="BB154">
        <v>5</v>
      </c>
      <c r="BC154" t="s">
        <v>69</v>
      </c>
      <c r="BD154" t="s">
        <v>69</v>
      </c>
      <c r="BE154" t="s">
        <v>69</v>
      </c>
      <c r="BF154" t="s">
        <v>69</v>
      </c>
      <c r="BG154">
        <v>557</v>
      </c>
      <c r="BH154">
        <v>565</v>
      </c>
      <c r="BI154" t="s">
        <v>69</v>
      </c>
      <c r="BJ154" t="s">
        <v>6557</v>
      </c>
      <c r="BK154" t="str">
        <f>HYPERLINK("http://dx.doi.org/10.1093/annhyg/meq017","http://dx.doi.org/10.1093/annhyg/meq017")</f>
        <v>http://dx.doi.org/10.1093/annhyg/meq017</v>
      </c>
      <c r="BL154" t="s">
        <v>69</v>
      </c>
      <c r="BM154" t="s">
        <v>69</v>
      </c>
      <c r="BN154">
        <v>9</v>
      </c>
      <c r="BO154" t="s">
        <v>27706</v>
      </c>
      <c r="BP154" t="s">
        <v>8548</v>
      </c>
      <c r="BQ154" t="s">
        <v>27706</v>
      </c>
      <c r="BR154" t="s">
        <v>27707</v>
      </c>
      <c r="BS154" t="s">
        <v>6558</v>
      </c>
      <c r="BT154">
        <v>20332160</v>
      </c>
      <c r="BU154" t="s">
        <v>9374</v>
      </c>
      <c r="BV154" t="s">
        <v>69</v>
      </c>
      <c r="BW154" t="s">
        <v>69</v>
      </c>
      <c r="BX154" t="s">
        <v>8526</v>
      </c>
      <c r="BY154" t="str">
        <f>HYPERLINK("https%3A%2F%2Fwww.webofscience.com%2Fwos%2Fwoscc%2Ffull-record%2FWOS:000280415100007","View Full Record in Web of Science")</f>
        <v>View Full Record in Web of Science</v>
      </c>
    </row>
    <row r="155" spans="1:77" ht="12.5" x14ac:dyDescent="0.25">
      <c r="A155" t="s">
        <v>8495</v>
      </c>
      <c r="B155" s="22" t="s">
        <v>32931</v>
      </c>
      <c r="C155" s="7"/>
      <c r="D155" s="7"/>
      <c r="E155" s="7"/>
      <c r="F155" t="s">
        <v>67</v>
      </c>
      <c r="G155" t="s">
        <v>19801</v>
      </c>
      <c r="H155" t="s">
        <v>69</v>
      </c>
      <c r="I155" t="s">
        <v>69</v>
      </c>
      <c r="J155" t="s">
        <v>69</v>
      </c>
      <c r="K155" t="s">
        <v>19802</v>
      </c>
      <c r="L155" t="s">
        <v>69</v>
      </c>
      <c r="M155" t="s">
        <v>69</v>
      </c>
      <c r="N155" t="s">
        <v>19803</v>
      </c>
      <c r="O155" t="s">
        <v>2107</v>
      </c>
      <c r="P155" t="s">
        <v>69</v>
      </c>
      <c r="Q155" t="s">
        <v>69</v>
      </c>
      <c r="R155" t="s">
        <v>8505</v>
      </c>
      <c r="S155" t="s">
        <v>8506</v>
      </c>
      <c r="T155" t="s">
        <v>69</v>
      </c>
      <c r="U155" t="s">
        <v>69</v>
      </c>
      <c r="V155" t="s">
        <v>69</v>
      </c>
      <c r="W155" t="s">
        <v>69</v>
      </c>
      <c r="X155" t="s">
        <v>69</v>
      </c>
      <c r="Y155" t="s">
        <v>19804</v>
      </c>
      <c r="Z155" t="s">
        <v>19805</v>
      </c>
      <c r="AA155" t="s">
        <v>19806</v>
      </c>
      <c r="AB155" t="s">
        <v>19807</v>
      </c>
      <c r="AC155" t="s">
        <v>69</v>
      </c>
      <c r="AD155" t="s">
        <v>19808</v>
      </c>
      <c r="AE155" t="s">
        <v>19809</v>
      </c>
      <c r="AF155" t="s">
        <v>69</v>
      </c>
      <c r="AG155" t="s">
        <v>19810</v>
      </c>
      <c r="AH155" t="s">
        <v>19811</v>
      </c>
      <c r="AI155" t="s">
        <v>19812</v>
      </c>
      <c r="AJ155" t="s">
        <v>19813</v>
      </c>
      <c r="AK155" t="s">
        <v>69</v>
      </c>
      <c r="AL155">
        <v>38</v>
      </c>
      <c r="AM155">
        <v>5</v>
      </c>
      <c r="AN155">
        <v>5</v>
      </c>
      <c r="AO155">
        <v>1</v>
      </c>
      <c r="AP155">
        <v>3</v>
      </c>
      <c r="AQ155" t="s">
        <v>19814</v>
      </c>
      <c r="AR155" t="s">
        <v>8925</v>
      </c>
      <c r="AS155" t="s">
        <v>8926</v>
      </c>
      <c r="AT155" t="s">
        <v>2110</v>
      </c>
      <c r="AU155" t="s">
        <v>69</v>
      </c>
      <c r="AV155" t="s">
        <v>69</v>
      </c>
      <c r="AW155" t="s">
        <v>10592</v>
      </c>
      <c r="AX155" t="s">
        <v>10593</v>
      </c>
      <c r="AY155" t="s">
        <v>274</v>
      </c>
      <c r="AZ155">
        <v>2017</v>
      </c>
      <c r="BA155">
        <v>14</v>
      </c>
      <c r="BB155">
        <v>11</v>
      </c>
      <c r="BC155" t="s">
        <v>69</v>
      </c>
      <c r="BD155" t="s">
        <v>69</v>
      </c>
      <c r="BE155" t="s">
        <v>69</v>
      </c>
      <c r="BF155" t="s">
        <v>69</v>
      </c>
      <c r="BG155" t="s">
        <v>69</v>
      </c>
      <c r="BH155" t="s">
        <v>69</v>
      </c>
      <c r="BI155">
        <v>1299</v>
      </c>
      <c r="BJ155" t="s">
        <v>19815</v>
      </c>
      <c r="BK155" t="str">
        <f>HYPERLINK("http://dx.doi.org/10.3390/ijerph14111299","http://dx.doi.org/10.3390/ijerph14111299")</f>
        <v>http://dx.doi.org/10.3390/ijerph14111299</v>
      </c>
      <c r="BL155" t="s">
        <v>69</v>
      </c>
      <c r="BM155" t="s">
        <v>69</v>
      </c>
      <c r="BN155">
        <v>14</v>
      </c>
      <c r="BO155" t="s">
        <v>10595</v>
      </c>
      <c r="BP155" t="s">
        <v>8523</v>
      </c>
      <c r="BQ155" t="s">
        <v>10596</v>
      </c>
      <c r="BR155" t="s">
        <v>19816</v>
      </c>
      <c r="BS155" t="s">
        <v>19817</v>
      </c>
      <c r="BT155">
        <v>29072618</v>
      </c>
      <c r="BU155" t="s">
        <v>10482</v>
      </c>
      <c r="BV155" t="s">
        <v>69</v>
      </c>
      <c r="BW155" t="s">
        <v>69</v>
      </c>
      <c r="BX155" t="s">
        <v>8526</v>
      </c>
      <c r="BY155" t="str">
        <f>HYPERLINK("https%3A%2F%2Fwww.webofscience.com%2Fwos%2Fwoscc%2Ffull-record%2FWOS:000416545200015","View Full Record in Web of Science")</f>
        <v>View Full Record in Web of Science</v>
      </c>
    </row>
    <row r="156" spans="1:77" ht="12.5" x14ac:dyDescent="0.25">
      <c r="A156" t="s">
        <v>8495</v>
      </c>
      <c r="B156" s="7" t="s">
        <v>32933</v>
      </c>
      <c r="C156" s="7"/>
      <c r="D156" s="7"/>
      <c r="E156" s="7"/>
      <c r="F156" t="s">
        <v>67</v>
      </c>
      <c r="G156" t="s">
        <v>6277</v>
      </c>
      <c r="H156" t="s">
        <v>69</v>
      </c>
      <c r="I156" t="s">
        <v>69</v>
      </c>
      <c r="J156" t="s">
        <v>69</v>
      </c>
      <c r="K156" t="s">
        <v>6278</v>
      </c>
      <c r="L156" t="s">
        <v>69</v>
      </c>
      <c r="M156" t="s">
        <v>69</v>
      </c>
      <c r="N156" t="s">
        <v>6279</v>
      </c>
      <c r="O156" t="s">
        <v>6280</v>
      </c>
      <c r="P156" t="s">
        <v>69</v>
      </c>
      <c r="Q156" t="s">
        <v>69</v>
      </c>
      <c r="R156" t="s">
        <v>8505</v>
      </c>
      <c r="S156" t="s">
        <v>8506</v>
      </c>
      <c r="T156" t="s">
        <v>69</v>
      </c>
      <c r="U156" t="s">
        <v>69</v>
      </c>
      <c r="V156" t="s">
        <v>69</v>
      </c>
      <c r="W156" t="s">
        <v>69</v>
      </c>
      <c r="X156" t="s">
        <v>69</v>
      </c>
      <c r="Y156" t="s">
        <v>24958</v>
      </c>
      <c r="Z156" t="s">
        <v>24959</v>
      </c>
      <c r="AA156" t="s">
        <v>6281</v>
      </c>
      <c r="AB156" t="s">
        <v>24960</v>
      </c>
      <c r="AC156" t="s">
        <v>69</v>
      </c>
      <c r="AD156" t="s">
        <v>24961</v>
      </c>
      <c r="AE156" t="s">
        <v>24962</v>
      </c>
      <c r="AF156" t="s">
        <v>69</v>
      </c>
      <c r="AG156" t="s">
        <v>24963</v>
      </c>
      <c r="AH156" t="s">
        <v>69</v>
      </c>
      <c r="AI156" t="s">
        <v>69</v>
      </c>
      <c r="AJ156" t="s">
        <v>69</v>
      </c>
      <c r="AK156" t="s">
        <v>69</v>
      </c>
      <c r="AL156">
        <v>90</v>
      </c>
      <c r="AM156">
        <v>43</v>
      </c>
      <c r="AN156">
        <v>43</v>
      </c>
      <c r="AO156">
        <v>0</v>
      </c>
      <c r="AP156">
        <v>66</v>
      </c>
      <c r="AQ156" t="s">
        <v>18272</v>
      </c>
      <c r="AR156" t="s">
        <v>8763</v>
      </c>
      <c r="AS156" t="s">
        <v>18273</v>
      </c>
      <c r="AT156" t="s">
        <v>6282</v>
      </c>
      <c r="AU156" t="s">
        <v>6283</v>
      </c>
      <c r="AV156" t="s">
        <v>69</v>
      </c>
      <c r="AW156" t="s">
        <v>24964</v>
      </c>
      <c r="AX156" t="s">
        <v>24965</v>
      </c>
      <c r="AY156" t="s">
        <v>155</v>
      </c>
      <c r="AZ156">
        <v>2013</v>
      </c>
      <c r="BA156">
        <v>34</v>
      </c>
      <c r="BB156" t="s">
        <v>69</v>
      </c>
      <c r="BC156" t="s">
        <v>69</v>
      </c>
      <c r="BD156" t="s">
        <v>69</v>
      </c>
      <c r="BE156" t="s">
        <v>69</v>
      </c>
      <c r="BF156" t="s">
        <v>69</v>
      </c>
      <c r="BG156">
        <v>137</v>
      </c>
      <c r="BH156">
        <v>150</v>
      </c>
      <c r="BI156" t="s">
        <v>69</v>
      </c>
      <c r="BJ156" t="s">
        <v>6284</v>
      </c>
      <c r="BK156" t="str">
        <f>HYPERLINK("http://dx.doi.org/10.1016/j.jenvp.2013.02.002","http://dx.doi.org/10.1016/j.jenvp.2013.02.002")</f>
        <v>http://dx.doi.org/10.1016/j.jenvp.2013.02.002</v>
      </c>
      <c r="BL156" t="s">
        <v>69</v>
      </c>
      <c r="BM156" t="s">
        <v>69</v>
      </c>
      <c r="BN156">
        <v>14</v>
      </c>
      <c r="BO156" t="s">
        <v>24966</v>
      </c>
      <c r="BP156" t="s">
        <v>8661</v>
      </c>
      <c r="BQ156" t="s">
        <v>24967</v>
      </c>
      <c r="BR156" t="s">
        <v>24968</v>
      </c>
      <c r="BS156" t="s">
        <v>6285</v>
      </c>
      <c r="BT156" t="s">
        <v>69</v>
      </c>
      <c r="BU156" t="s">
        <v>69</v>
      </c>
      <c r="BV156" t="s">
        <v>69</v>
      </c>
      <c r="BW156" t="s">
        <v>69</v>
      </c>
      <c r="BX156" t="s">
        <v>8526</v>
      </c>
      <c r="BY156" t="str">
        <f>HYPERLINK("https%3A%2F%2Fwww.webofscience.com%2Fwos%2Fwoscc%2Ffull-record%2FWOS:000319641800013","View Full Record in Web of Science")</f>
        <v>View Full Record in Web of Science</v>
      </c>
    </row>
    <row r="157" spans="1:77" ht="12.5" x14ac:dyDescent="0.25">
      <c r="A157" t="s">
        <v>8495</v>
      </c>
      <c r="B157" s="7" t="s">
        <v>32933</v>
      </c>
      <c r="C157" s="7"/>
      <c r="D157" s="7"/>
      <c r="E157" s="7"/>
      <c r="F157" t="s">
        <v>67</v>
      </c>
      <c r="G157" t="s">
        <v>7974</v>
      </c>
      <c r="H157" t="s">
        <v>69</v>
      </c>
      <c r="I157" t="s">
        <v>69</v>
      </c>
      <c r="J157" t="s">
        <v>69</v>
      </c>
      <c r="K157" t="s">
        <v>7975</v>
      </c>
      <c r="L157" t="s">
        <v>69</v>
      </c>
      <c r="M157" t="s">
        <v>69</v>
      </c>
      <c r="N157" t="s">
        <v>7976</v>
      </c>
      <c r="O157" t="s">
        <v>4552</v>
      </c>
      <c r="P157" t="s">
        <v>69</v>
      </c>
      <c r="Q157" t="s">
        <v>69</v>
      </c>
      <c r="R157" t="s">
        <v>8505</v>
      </c>
      <c r="S157" t="s">
        <v>8506</v>
      </c>
      <c r="T157" t="s">
        <v>69</v>
      </c>
      <c r="U157" t="s">
        <v>69</v>
      </c>
      <c r="V157" t="s">
        <v>69</v>
      </c>
      <c r="W157" t="s">
        <v>69</v>
      </c>
      <c r="X157" t="s">
        <v>69</v>
      </c>
      <c r="Y157" t="s">
        <v>26344</v>
      </c>
      <c r="Z157" t="s">
        <v>69</v>
      </c>
      <c r="AA157" t="s">
        <v>7977</v>
      </c>
      <c r="AB157" t="s">
        <v>26345</v>
      </c>
      <c r="AC157" t="s">
        <v>69</v>
      </c>
      <c r="AD157" t="s">
        <v>26346</v>
      </c>
      <c r="AE157" t="s">
        <v>26347</v>
      </c>
      <c r="AF157" t="s">
        <v>69</v>
      </c>
      <c r="AG157" t="s">
        <v>69</v>
      </c>
      <c r="AH157" t="s">
        <v>69</v>
      </c>
      <c r="AI157" t="s">
        <v>69</v>
      </c>
      <c r="AJ157" t="s">
        <v>69</v>
      </c>
      <c r="AK157" t="s">
        <v>69</v>
      </c>
      <c r="AL157">
        <v>16</v>
      </c>
      <c r="AM157">
        <v>5</v>
      </c>
      <c r="AN157">
        <v>5</v>
      </c>
      <c r="AO157">
        <v>2</v>
      </c>
      <c r="AP157">
        <v>8</v>
      </c>
      <c r="AQ157" t="s">
        <v>9091</v>
      </c>
      <c r="AR157" t="s">
        <v>8763</v>
      </c>
      <c r="AS157" t="s">
        <v>15468</v>
      </c>
      <c r="AT157" t="s">
        <v>4556</v>
      </c>
      <c r="AU157" t="s">
        <v>69</v>
      </c>
      <c r="AV157" t="s">
        <v>69</v>
      </c>
      <c r="AW157" t="s">
        <v>4552</v>
      </c>
      <c r="AX157" t="s">
        <v>9094</v>
      </c>
      <c r="AY157" t="s">
        <v>69</v>
      </c>
      <c r="AZ157">
        <v>2012</v>
      </c>
      <c r="BA157">
        <v>14</v>
      </c>
      <c r="BB157" t="s">
        <v>69</v>
      </c>
      <c r="BC157" t="s">
        <v>69</v>
      </c>
      <c r="BD157">
        <v>1</v>
      </c>
      <c r="BE157" t="s">
        <v>69</v>
      </c>
      <c r="BF157" t="s">
        <v>69</v>
      </c>
      <c r="BG157">
        <v>121</v>
      </c>
      <c r="BH157">
        <v>135</v>
      </c>
      <c r="BI157" t="s">
        <v>69</v>
      </c>
      <c r="BJ157" t="s">
        <v>7978</v>
      </c>
      <c r="BK157" t="str">
        <f>HYPERLINK("http://dx.doi.org/10.2166/wp.2012.006","http://dx.doi.org/10.2166/wp.2012.006")</f>
        <v>http://dx.doi.org/10.2166/wp.2012.006</v>
      </c>
      <c r="BL157" t="s">
        <v>69</v>
      </c>
      <c r="BM157" t="s">
        <v>69</v>
      </c>
      <c r="BN157">
        <v>15</v>
      </c>
      <c r="BO157" t="s">
        <v>9096</v>
      </c>
      <c r="BP157" t="s">
        <v>8548</v>
      </c>
      <c r="BQ157" t="s">
        <v>9096</v>
      </c>
      <c r="BR157" t="s">
        <v>26348</v>
      </c>
      <c r="BS157" t="s">
        <v>7979</v>
      </c>
      <c r="BT157" t="s">
        <v>69</v>
      </c>
      <c r="BU157" t="s">
        <v>69</v>
      </c>
      <c r="BV157" t="s">
        <v>69</v>
      </c>
      <c r="BW157" t="s">
        <v>69</v>
      </c>
      <c r="BX157" t="s">
        <v>8526</v>
      </c>
      <c r="BY157" t="str">
        <f>HYPERLINK("https%3A%2F%2Fwww.webofscience.com%2Fwos%2Fwoscc%2Ffull-record%2FWOS:000301183200011","View Full Record in Web of Science")</f>
        <v>View Full Record in Web of Science</v>
      </c>
    </row>
    <row r="158" spans="1:77" ht="12.5" x14ac:dyDescent="0.25">
      <c r="A158" t="s">
        <v>8495</v>
      </c>
      <c r="B158" s="7" t="s">
        <v>32933</v>
      </c>
      <c r="C158" s="7"/>
      <c r="D158" s="7"/>
      <c r="E158" s="7"/>
      <c r="F158" t="s">
        <v>67</v>
      </c>
      <c r="G158" t="s">
        <v>5483</v>
      </c>
      <c r="H158" t="s">
        <v>69</v>
      </c>
      <c r="I158" t="s">
        <v>69</v>
      </c>
      <c r="J158" t="s">
        <v>69</v>
      </c>
      <c r="K158" t="s">
        <v>5484</v>
      </c>
      <c r="L158" t="s">
        <v>69</v>
      </c>
      <c r="M158" t="s">
        <v>69</v>
      </c>
      <c r="N158" t="s">
        <v>5485</v>
      </c>
      <c r="O158" t="s">
        <v>3274</v>
      </c>
      <c r="P158" t="s">
        <v>69</v>
      </c>
      <c r="Q158" t="s">
        <v>69</v>
      </c>
      <c r="R158" t="s">
        <v>8505</v>
      </c>
      <c r="S158" t="s">
        <v>8506</v>
      </c>
      <c r="T158" t="s">
        <v>69</v>
      </c>
      <c r="U158" t="s">
        <v>69</v>
      </c>
      <c r="V158" t="s">
        <v>69</v>
      </c>
      <c r="W158" t="s">
        <v>69</v>
      </c>
      <c r="X158" t="s">
        <v>69</v>
      </c>
      <c r="Y158" t="s">
        <v>69</v>
      </c>
      <c r="Z158" t="s">
        <v>29770</v>
      </c>
      <c r="AA158" t="s">
        <v>5486</v>
      </c>
      <c r="AB158" t="s">
        <v>29771</v>
      </c>
      <c r="AC158" t="s">
        <v>69</v>
      </c>
      <c r="AD158" t="s">
        <v>29772</v>
      </c>
      <c r="AE158" t="s">
        <v>29773</v>
      </c>
      <c r="AF158" t="s">
        <v>69</v>
      </c>
      <c r="AG158" t="s">
        <v>69</v>
      </c>
      <c r="AH158" t="s">
        <v>69</v>
      </c>
      <c r="AI158" t="s">
        <v>69</v>
      </c>
      <c r="AJ158" t="s">
        <v>69</v>
      </c>
      <c r="AK158" t="s">
        <v>69</v>
      </c>
      <c r="AL158">
        <v>22</v>
      </c>
      <c r="AM158">
        <v>14</v>
      </c>
      <c r="AN158">
        <v>14</v>
      </c>
      <c r="AO158">
        <v>1</v>
      </c>
      <c r="AP158">
        <v>29</v>
      </c>
      <c r="AQ158" t="s">
        <v>17140</v>
      </c>
      <c r="AR158" t="s">
        <v>8517</v>
      </c>
      <c r="AS158" t="s">
        <v>17141</v>
      </c>
      <c r="AT158" t="s">
        <v>3276</v>
      </c>
      <c r="AU158" t="s">
        <v>69</v>
      </c>
      <c r="AV158" t="s">
        <v>69</v>
      </c>
      <c r="AW158" t="s">
        <v>24546</v>
      </c>
      <c r="AX158" t="s">
        <v>24547</v>
      </c>
      <c r="AY158" t="s">
        <v>5487</v>
      </c>
      <c r="AZ158">
        <v>2007</v>
      </c>
      <c r="BA158">
        <v>140</v>
      </c>
      <c r="BB158">
        <v>3</v>
      </c>
      <c r="BC158" t="s">
        <v>69</v>
      </c>
      <c r="BD158" t="s">
        <v>69</v>
      </c>
      <c r="BE158" t="s">
        <v>69</v>
      </c>
      <c r="BF158" t="s">
        <v>69</v>
      </c>
      <c r="BG158">
        <v>488</v>
      </c>
      <c r="BH158">
        <v>503</v>
      </c>
      <c r="BI158" t="s">
        <v>69</v>
      </c>
      <c r="BJ158" t="s">
        <v>5488</v>
      </c>
      <c r="BK158" t="str">
        <f>HYPERLINK("http://dx.doi.org/10.1016/j.jhazmat.2006.10.049","http://dx.doi.org/10.1016/j.jhazmat.2006.10.049")</f>
        <v>http://dx.doi.org/10.1016/j.jhazmat.2006.10.049</v>
      </c>
      <c r="BL158" t="s">
        <v>69</v>
      </c>
      <c r="BM158" t="s">
        <v>69</v>
      </c>
      <c r="BN158">
        <v>16</v>
      </c>
      <c r="BO158" t="s">
        <v>8743</v>
      </c>
      <c r="BP158" t="s">
        <v>8548</v>
      </c>
      <c r="BQ158" t="s">
        <v>8744</v>
      </c>
      <c r="BR158" t="s">
        <v>29774</v>
      </c>
      <c r="BS158" t="s">
        <v>5489</v>
      </c>
      <c r="BT158">
        <v>17110025</v>
      </c>
      <c r="BU158" t="s">
        <v>69</v>
      </c>
      <c r="BV158" t="s">
        <v>69</v>
      </c>
      <c r="BW158" t="s">
        <v>69</v>
      </c>
      <c r="BX158" t="s">
        <v>8526</v>
      </c>
      <c r="BY158" t="str">
        <f>HYPERLINK("https%3A%2F%2Fwww.webofscience.com%2Fwos%2Fwoscc%2Ffull-record%2FWOS:000244772700008","View Full Record in Web of Science")</f>
        <v>View Full Record in Web of Science</v>
      </c>
    </row>
    <row r="159" spans="1:77" ht="12.5" x14ac:dyDescent="0.25">
      <c r="A159" t="s">
        <v>8495</v>
      </c>
      <c r="B159" s="7" t="s">
        <v>32933</v>
      </c>
      <c r="C159" s="7"/>
      <c r="D159" s="7"/>
      <c r="E159" s="7"/>
      <c r="F159" t="s">
        <v>67</v>
      </c>
      <c r="G159" t="s">
        <v>2482</v>
      </c>
      <c r="H159" t="s">
        <v>69</v>
      </c>
      <c r="I159" t="s">
        <v>69</v>
      </c>
      <c r="J159" t="s">
        <v>69</v>
      </c>
      <c r="K159" t="s">
        <v>2483</v>
      </c>
      <c r="L159" t="s">
        <v>69</v>
      </c>
      <c r="M159" t="s">
        <v>69</v>
      </c>
      <c r="N159" t="s">
        <v>2484</v>
      </c>
      <c r="O159" t="s">
        <v>1969</v>
      </c>
      <c r="P159" t="s">
        <v>69</v>
      </c>
      <c r="Q159" t="s">
        <v>69</v>
      </c>
      <c r="R159" t="s">
        <v>8505</v>
      </c>
      <c r="S159" t="s">
        <v>8506</v>
      </c>
      <c r="T159" t="s">
        <v>69</v>
      </c>
      <c r="U159" t="s">
        <v>69</v>
      </c>
      <c r="V159" t="s">
        <v>69</v>
      </c>
      <c r="W159" t="s">
        <v>69</v>
      </c>
      <c r="X159" t="s">
        <v>69</v>
      </c>
      <c r="Y159" t="s">
        <v>19399</v>
      </c>
      <c r="Z159" t="s">
        <v>19400</v>
      </c>
      <c r="AA159" t="s">
        <v>2485</v>
      </c>
      <c r="AB159" t="s">
        <v>19401</v>
      </c>
      <c r="AC159" t="s">
        <v>69</v>
      </c>
      <c r="AD159" t="s">
        <v>19402</v>
      </c>
      <c r="AE159" t="s">
        <v>19403</v>
      </c>
      <c r="AF159" t="s">
        <v>19404</v>
      </c>
      <c r="AG159" t="s">
        <v>19405</v>
      </c>
      <c r="AH159" t="s">
        <v>69</v>
      </c>
      <c r="AI159" t="s">
        <v>69</v>
      </c>
      <c r="AJ159" t="s">
        <v>69</v>
      </c>
      <c r="AK159" t="s">
        <v>69</v>
      </c>
      <c r="AL159">
        <v>51</v>
      </c>
      <c r="AM159">
        <v>3</v>
      </c>
      <c r="AN159">
        <v>3</v>
      </c>
      <c r="AO159">
        <v>1</v>
      </c>
      <c r="AP159">
        <v>3</v>
      </c>
      <c r="AQ159" t="s">
        <v>8586</v>
      </c>
      <c r="AR159" t="s">
        <v>8587</v>
      </c>
      <c r="AS159" t="s">
        <v>8588</v>
      </c>
      <c r="AT159" t="s">
        <v>1971</v>
      </c>
      <c r="AU159" t="s">
        <v>1972</v>
      </c>
      <c r="AV159" t="s">
        <v>69</v>
      </c>
      <c r="AW159" t="s">
        <v>15149</v>
      </c>
      <c r="AX159" t="s">
        <v>15150</v>
      </c>
      <c r="AY159" t="s">
        <v>69</v>
      </c>
      <c r="AZ159">
        <v>2018</v>
      </c>
      <c r="BA159">
        <v>29</v>
      </c>
      <c r="BB159">
        <v>1</v>
      </c>
      <c r="BC159" t="s">
        <v>69</v>
      </c>
      <c r="BD159" t="s">
        <v>69</v>
      </c>
      <c r="BE159" t="s">
        <v>69</v>
      </c>
      <c r="BF159" t="s">
        <v>69</v>
      </c>
      <c r="BG159">
        <v>49</v>
      </c>
      <c r="BH159">
        <v>62</v>
      </c>
      <c r="BI159" t="s">
        <v>69</v>
      </c>
      <c r="BJ159" t="s">
        <v>2486</v>
      </c>
      <c r="BK159" t="str">
        <f>HYPERLINK("http://dx.doi.org/10.1108/MEQ-10-2016-0072","http://dx.doi.org/10.1108/MEQ-10-2016-0072")</f>
        <v>http://dx.doi.org/10.1108/MEQ-10-2016-0072</v>
      </c>
      <c r="BL159" t="s">
        <v>69</v>
      </c>
      <c r="BM159" t="s">
        <v>69</v>
      </c>
      <c r="BN159">
        <v>14</v>
      </c>
      <c r="BO159" t="s">
        <v>8660</v>
      </c>
      <c r="BP159" t="s">
        <v>8573</v>
      </c>
      <c r="BQ159" t="s">
        <v>8662</v>
      </c>
      <c r="BR159" t="s">
        <v>19406</v>
      </c>
      <c r="BS159" t="s">
        <v>2487</v>
      </c>
      <c r="BT159" t="s">
        <v>69</v>
      </c>
      <c r="BU159" t="s">
        <v>69</v>
      </c>
      <c r="BV159" t="s">
        <v>69</v>
      </c>
      <c r="BW159" t="s">
        <v>69</v>
      </c>
      <c r="BX159" t="s">
        <v>8526</v>
      </c>
      <c r="BY159" t="str">
        <f>HYPERLINK("https%3A%2F%2Fwww.webofscience.com%2Fwos%2Fwoscc%2Ffull-record%2FWOS:000418357300004","View Full Record in Web of Science")</f>
        <v>View Full Record in Web of Science</v>
      </c>
    </row>
    <row r="160" spans="1:77" ht="12.5" x14ac:dyDescent="0.25">
      <c r="A160" t="s">
        <v>8495</v>
      </c>
      <c r="B160" s="22" t="s">
        <v>32931</v>
      </c>
      <c r="C160" s="7"/>
      <c r="D160" s="7"/>
      <c r="E160" s="7"/>
      <c r="F160" t="s">
        <v>67</v>
      </c>
      <c r="G160" t="s">
        <v>20365</v>
      </c>
      <c r="H160" t="s">
        <v>69</v>
      </c>
      <c r="I160" t="s">
        <v>69</v>
      </c>
      <c r="J160" t="s">
        <v>69</v>
      </c>
      <c r="K160" t="s">
        <v>20366</v>
      </c>
      <c r="L160" t="s">
        <v>69</v>
      </c>
      <c r="M160" t="s">
        <v>69</v>
      </c>
      <c r="N160" t="s">
        <v>20367</v>
      </c>
      <c r="O160" t="s">
        <v>20368</v>
      </c>
      <c r="P160" t="s">
        <v>69</v>
      </c>
      <c r="Q160" t="s">
        <v>69</v>
      </c>
      <c r="R160" t="s">
        <v>8505</v>
      </c>
      <c r="S160" t="s">
        <v>8506</v>
      </c>
      <c r="T160" t="s">
        <v>69</v>
      </c>
      <c r="U160" t="s">
        <v>69</v>
      </c>
      <c r="V160" t="s">
        <v>69</v>
      </c>
      <c r="W160" t="s">
        <v>69</v>
      </c>
      <c r="X160" t="s">
        <v>69</v>
      </c>
      <c r="Y160" t="s">
        <v>20369</v>
      </c>
      <c r="Z160" t="s">
        <v>20370</v>
      </c>
      <c r="AA160" t="s">
        <v>20371</v>
      </c>
      <c r="AB160" t="s">
        <v>20372</v>
      </c>
      <c r="AC160" t="s">
        <v>69</v>
      </c>
      <c r="AD160" t="s">
        <v>20373</v>
      </c>
      <c r="AE160" t="s">
        <v>20374</v>
      </c>
      <c r="AF160" t="s">
        <v>20375</v>
      </c>
      <c r="AG160" t="s">
        <v>20376</v>
      </c>
      <c r="AH160" t="s">
        <v>69</v>
      </c>
      <c r="AI160" t="s">
        <v>69</v>
      </c>
      <c r="AJ160" t="s">
        <v>69</v>
      </c>
      <c r="AK160" t="s">
        <v>69</v>
      </c>
      <c r="AL160">
        <v>31</v>
      </c>
      <c r="AM160">
        <v>10</v>
      </c>
      <c r="AN160">
        <v>10</v>
      </c>
      <c r="AO160">
        <v>0</v>
      </c>
      <c r="AP160">
        <v>19</v>
      </c>
      <c r="AQ160" t="s">
        <v>9554</v>
      </c>
      <c r="AR160" t="s">
        <v>9555</v>
      </c>
      <c r="AS160" t="s">
        <v>9556</v>
      </c>
      <c r="AT160" t="s">
        <v>20377</v>
      </c>
      <c r="AU160" t="s">
        <v>20378</v>
      </c>
      <c r="AV160" t="s">
        <v>69</v>
      </c>
      <c r="AW160" t="s">
        <v>20379</v>
      </c>
      <c r="AX160" t="s">
        <v>20380</v>
      </c>
      <c r="AY160" t="s">
        <v>20381</v>
      </c>
      <c r="AZ160">
        <v>2017</v>
      </c>
      <c r="BA160">
        <v>54</v>
      </c>
      <c r="BB160" t="s">
        <v>69</v>
      </c>
      <c r="BC160" t="s">
        <v>69</v>
      </c>
      <c r="BD160" t="s">
        <v>69</v>
      </c>
      <c r="BE160" t="s">
        <v>69</v>
      </c>
      <c r="BF160" t="s">
        <v>69</v>
      </c>
      <c r="BG160" t="s">
        <v>69</v>
      </c>
      <c r="BH160" t="s">
        <v>69</v>
      </c>
      <c r="BI160">
        <v>46958017707872</v>
      </c>
      <c r="BJ160" t="s">
        <v>20382</v>
      </c>
      <c r="BK160" t="str">
        <f>HYPERLINK("http://dx.doi.org/10.1177/0046958017707872","http://dx.doi.org/10.1177/0046958017707872")</f>
        <v>http://dx.doi.org/10.1177/0046958017707872</v>
      </c>
      <c r="BL160" t="s">
        <v>69</v>
      </c>
      <c r="BM160" t="s">
        <v>69</v>
      </c>
      <c r="BN160">
        <v>6</v>
      </c>
      <c r="BO160" t="s">
        <v>9809</v>
      </c>
      <c r="BP160" t="s">
        <v>8523</v>
      </c>
      <c r="BQ160" t="s">
        <v>9209</v>
      </c>
      <c r="BR160" t="s">
        <v>20383</v>
      </c>
      <c r="BS160" t="s">
        <v>20384</v>
      </c>
      <c r="BT160">
        <v>28494624</v>
      </c>
      <c r="BU160" t="s">
        <v>9352</v>
      </c>
      <c r="BV160" t="s">
        <v>69</v>
      </c>
      <c r="BW160" t="s">
        <v>69</v>
      </c>
      <c r="BX160" t="s">
        <v>8526</v>
      </c>
      <c r="BY160" t="str">
        <f>HYPERLINK("https%3A%2F%2Fwww.webofscience.com%2Fwos%2Fwoscc%2Ffull-record%2FWOS:000401154600001","View Full Record in Web of Science")</f>
        <v>View Full Record in Web of Science</v>
      </c>
    </row>
    <row r="161" spans="1:77" ht="12.5" x14ac:dyDescent="0.25">
      <c r="A161" t="s">
        <v>8495</v>
      </c>
      <c r="B161" s="7" t="s">
        <v>32933</v>
      </c>
      <c r="C161" s="7"/>
      <c r="D161" s="7"/>
      <c r="E161" s="7"/>
      <c r="F161" t="s">
        <v>67</v>
      </c>
      <c r="G161" t="s">
        <v>6944</v>
      </c>
      <c r="H161" t="s">
        <v>69</v>
      </c>
      <c r="I161" t="s">
        <v>69</v>
      </c>
      <c r="J161" t="s">
        <v>69</v>
      </c>
      <c r="K161" t="s">
        <v>6945</v>
      </c>
      <c r="L161" t="s">
        <v>69</v>
      </c>
      <c r="M161" t="s">
        <v>69</v>
      </c>
      <c r="N161" t="s">
        <v>6946</v>
      </c>
      <c r="O161" t="s">
        <v>6947</v>
      </c>
      <c r="P161" t="s">
        <v>69</v>
      </c>
      <c r="Q161" t="s">
        <v>69</v>
      </c>
      <c r="R161" t="s">
        <v>8505</v>
      </c>
      <c r="S161" t="s">
        <v>8506</v>
      </c>
      <c r="T161" t="s">
        <v>69</v>
      </c>
      <c r="U161" t="s">
        <v>69</v>
      </c>
      <c r="V161" t="s">
        <v>69</v>
      </c>
      <c r="W161" t="s">
        <v>69</v>
      </c>
      <c r="X161" t="s">
        <v>69</v>
      </c>
      <c r="Y161" t="s">
        <v>21139</v>
      </c>
      <c r="Z161" t="s">
        <v>21140</v>
      </c>
      <c r="AA161" t="s">
        <v>6948</v>
      </c>
      <c r="AB161" t="s">
        <v>21141</v>
      </c>
      <c r="AC161" t="s">
        <v>69</v>
      </c>
      <c r="AD161" t="s">
        <v>21142</v>
      </c>
      <c r="AE161" t="s">
        <v>21143</v>
      </c>
      <c r="AF161" t="s">
        <v>21144</v>
      </c>
      <c r="AG161" t="s">
        <v>21145</v>
      </c>
      <c r="AH161" t="s">
        <v>69</v>
      </c>
      <c r="AI161" t="s">
        <v>69</v>
      </c>
      <c r="AJ161" t="s">
        <v>69</v>
      </c>
      <c r="AK161" t="s">
        <v>69</v>
      </c>
      <c r="AL161">
        <v>83</v>
      </c>
      <c r="AM161">
        <v>29</v>
      </c>
      <c r="AN161">
        <v>32</v>
      </c>
      <c r="AO161">
        <v>0</v>
      </c>
      <c r="AP161">
        <v>3</v>
      </c>
      <c r="AQ161" t="s">
        <v>8516</v>
      </c>
      <c r="AR161" t="s">
        <v>8517</v>
      </c>
      <c r="AS161" t="s">
        <v>8518</v>
      </c>
      <c r="AT161" t="s">
        <v>69</v>
      </c>
      <c r="AU161" t="s">
        <v>6949</v>
      </c>
      <c r="AV161" t="s">
        <v>69</v>
      </c>
      <c r="AW161" t="s">
        <v>21146</v>
      </c>
      <c r="AX161" t="s">
        <v>21147</v>
      </c>
      <c r="AY161" t="s">
        <v>75</v>
      </c>
      <c r="AZ161">
        <v>2016</v>
      </c>
      <c r="BA161">
        <v>8</v>
      </c>
      <c r="BB161" t="s">
        <v>69</v>
      </c>
      <c r="BC161" t="s">
        <v>69</v>
      </c>
      <c r="BD161" t="s">
        <v>69</v>
      </c>
      <c r="BE161" t="s">
        <v>69</v>
      </c>
      <c r="BF161" t="s">
        <v>69</v>
      </c>
      <c r="BG161">
        <v>82</v>
      </c>
      <c r="BH161">
        <v>94</v>
      </c>
      <c r="BI161" t="s">
        <v>69</v>
      </c>
      <c r="BJ161" t="s">
        <v>6950</v>
      </c>
      <c r="BK161" t="str">
        <f>HYPERLINK("http://dx.doi.org/10.1016/j.ejrh.2016.06.003","http://dx.doi.org/10.1016/j.ejrh.2016.06.003")</f>
        <v>http://dx.doi.org/10.1016/j.ejrh.2016.06.003</v>
      </c>
      <c r="BL161" t="s">
        <v>69</v>
      </c>
      <c r="BM161" t="s">
        <v>69</v>
      </c>
      <c r="BN161">
        <v>13</v>
      </c>
      <c r="BO161" t="s">
        <v>9096</v>
      </c>
      <c r="BP161" t="s">
        <v>8573</v>
      </c>
      <c r="BQ161" t="s">
        <v>9096</v>
      </c>
      <c r="BR161" t="s">
        <v>21148</v>
      </c>
      <c r="BS161" t="s">
        <v>6951</v>
      </c>
      <c r="BT161" t="s">
        <v>69</v>
      </c>
      <c r="BU161" t="s">
        <v>8931</v>
      </c>
      <c r="BV161" t="s">
        <v>69</v>
      </c>
      <c r="BW161" t="s">
        <v>69</v>
      </c>
      <c r="BX161" t="s">
        <v>8526</v>
      </c>
      <c r="BY161" t="str">
        <f>HYPERLINK("https%3A%2F%2Fwww.webofscience.com%2Fwos%2Fwoscc%2Ffull-record%2FWOS:000407358500007","View Full Record in Web of Science")</f>
        <v>View Full Record in Web of Science</v>
      </c>
    </row>
    <row r="162" spans="1:77" x14ac:dyDescent="0.3">
      <c r="A162" t="s">
        <v>8495</v>
      </c>
      <c r="B162" s="9" t="s">
        <v>32948</v>
      </c>
      <c r="C162" s="9" t="s">
        <v>33081</v>
      </c>
      <c r="E162" s="9" t="s">
        <v>8490</v>
      </c>
      <c r="F162" t="s">
        <v>67</v>
      </c>
      <c r="G162" t="s">
        <v>9880</v>
      </c>
      <c r="H162" t="s">
        <v>69</v>
      </c>
      <c r="I162" t="s">
        <v>69</v>
      </c>
      <c r="J162" t="s">
        <v>69</v>
      </c>
      <c r="K162" t="s">
        <v>9881</v>
      </c>
      <c r="L162" t="s">
        <v>69</v>
      </c>
      <c r="M162" t="s">
        <v>69</v>
      </c>
      <c r="N162" t="s">
        <v>9882</v>
      </c>
      <c r="O162" t="s">
        <v>2475</v>
      </c>
      <c r="P162" t="s">
        <v>69</v>
      </c>
      <c r="Q162" t="s">
        <v>69</v>
      </c>
      <c r="R162" t="s">
        <v>8505</v>
      </c>
      <c r="S162" t="s">
        <v>8556</v>
      </c>
      <c r="T162" t="s">
        <v>69</v>
      </c>
      <c r="U162" t="s">
        <v>69</v>
      </c>
      <c r="V162" t="s">
        <v>69</v>
      </c>
      <c r="W162" t="s">
        <v>69</v>
      </c>
      <c r="X162" t="s">
        <v>69</v>
      </c>
      <c r="Y162" t="s">
        <v>9883</v>
      </c>
      <c r="Z162" t="s">
        <v>69</v>
      </c>
      <c r="AA162" t="s">
        <v>9884</v>
      </c>
      <c r="AB162" t="s">
        <v>9885</v>
      </c>
      <c r="AC162" t="s">
        <v>69</v>
      </c>
      <c r="AD162" t="s">
        <v>9886</v>
      </c>
      <c r="AE162" t="s">
        <v>9887</v>
      </c>
      <c r="AF162" t="s">
        <v>69</v>
      </c>
      <c r="AG162" t="s">
        <v>69</v>
      </c>
      <c r="AH162" t="s">
        <v>69</v>
      </c>
      <c r="AI162" t="s">
        <v>69</v>
      </c>
      <c r="AJ162" t="s">
        <v>69</v>
      </c>
      <c r="AK162" t="s">
        <v>69</v>
      </c>
      <c r="AL162">
        <v>76</v>
      </c>
      <c r="AM162">
        <v>0</v>
      </c>
      <c r="AN162">
        <v>0</v>
      </c>
      <c r="AO162">
        <v>3</v>
      </c>
      <c r="AP162">
        <v>3</v>
      </c>
      <c r="AQ162" t="s">
        <v>8586</v>
      </c>
      <c r="AR162" t="s">
        <v>8587</v>
      </c>
      <c r="AS162" t="s">
        <v>8588</v>
      </c>
      <c r="AT162" t="s">
        <v>2479</v>
      </c>
      <c r="AU162" t="s">
        <v>69</v>
      </c>
      <c r="AV162" t="s">
        <v>69</v>
      </c>
      <c r="AW162" t="s">
        <v>9888</v>
      </c>
      <c r="AX162" t="s">
        <v>9889</v>
      </c>
      <c r="AY162" t="s">
        <v>69</v>
      </c>
      <c r="AZ162" t="s">
        <v>69</v>
      </c>
      <c r="BA162" t="s">
        <v>69</v>
      </c>
      <c r="BB162" t="s">
        <v>69</v>
      </c>
      <c r="BC162" t="s">
        <v>69</v>
      </c>
      <c r="BD162" t="s">
        <v>69</v>
      </c>
      <c r="BE162" t="s">
        <v>69</v>
      </c>
      <c r="BF162" t="s">
        <v>69</v>
      </c>
      <c r="BG162" t="s">
        <v>69</v>
      </c>
      <c r="BH162" t="s">
        <v>69</v>
      </c>
      <c r="BI162" t="s">
        <v>69</v>
      </c>
      <c r="BJ162" t="s">
        <v>9890</v>
      </c>
      <c r="BK162" t="str">
        <f>HYPERLINK("http://dx.doi.org/10.1108/JEDT-11-2021-0640","http://dx.doi.org/10.1108/JEDT-11-2021-0640")</f>
        <v>http://dx.doi.org/10.1108/JEDT-11-2021-0640</v>
      </c>
      <c r="BL162" t="s">
        <v>69</v>
      </c>
      <c r="BM162" t="s">
        <v>9808</v>
      </c>
      <c r="BN162">
        <v>24</v>
      </c>
      <c r="BO162" t="s">
        <v>9891</v>
      </c>
      <c r="BP162" t="s">
        <v>8573</v>
      </c>
      <c r="BQ162" t="s">
        <v>8445</v>
      </c>
      <c r="BR162" t="s">
        <v>9892</v>
      </c>
      <c r="BS162" t="s">
        <v>9893</v>
      </c>
      <c r="BT162" t="s">
        <v>69</v>
      </c>
      <c r="BU162" t="s">
        <v>69</v>
      </c>
      <c r="BV162" t="s">
        <v>69</v>
      </c>
      <c r="BW162" t="s">
        <v>69</v>
      </c>
      <c r="BX162" t="s">
        <v>8526</v>
      </c>
      <c r="BY162" t="str">
        <f>HYPERLINK("https%3A%2F%2Fwww.webofscience.com%2Fwos%2Fwoscc%2Ffull-record%2FWOS:000753512400001","View Full Record in Web of Science")</f>
        <v>View Full Record in Web of Science</v>
      </c>
    </row>
    <row r="163" spans="1:77" ht="12.5" x14ac:dyDescent="0.25">
      <c r="A163" t="s">
        <v>8495</v>
      </c>
      <c r="B163" s="22" t="s">
        <v>32931</v>
      </c>
      <c r="C163" s="7"/>
      <c r="D163" s="7"/>
      <c r="E163" s="7"/>
      <c r="F163" t="s">
        <v>67</v>
      </c>
      <c r="G163" t="s">
        <v>11067</v>
      </c>
      <c r="H163" t="s">
        <v>69</v>
      </c>
      <c r="I163" t="s">
        <v>69</v>
      </c>
      <c r="J163" t="s">
        <v>69</v>
      </c>
      <c r="K163" t="s">
        <v>11068</v>
      </c>
      <c r="L163" t="s">
        <v>69</v>
      </c>
      <c r="M163" t="s">
        <v>69</v>
      </c>
      <c r="N163" t="s">
        <v>11069</v>
      </c>
      <c r="O163" t="s">
        <v>11070</v>
      </c>
      <c r="P163" t="s">
        <v>69</v>
      </c>
      <c r="Q163" t="s">
        <v>69</v>
      </c>
      <c r="R163" t="s">
        <v>8505</v>
      </c>
      <c r="S163" t="s">
        <v>8506</v>
      </c>
      <c r="T163" t="s">
        <v>69</v>
      </c>
      <c r="U163" t="s">
        <v>69</v>
      </c>
      <c r="V163" t="s">
        <v>69</v>
      </c>
      <c r="W163" t="s">
        <v>69</v>
      </c>
      <c r="X163" t="s">
        <v>69</v>
      </c>
      <c r="Y163" t="s">
        <v>11071</v>
      </c>
      <c r="Z163" t="s">
        <v>11072</v>
      </c>
      <c r="AA163" t="s">
        <v>11073</v>
      </c>
      <c r="AB163" t="s">
        <v>11074</v>
      </c>
      <c r="AC163" t="s">
        <v>69</v>
      </c>
      <c r="AD163" t="s">
        <v>11075</v>
      </c>
      <c r="AE163" t="s">
        <v>11076</v>
      </c>
      <c r="AF163" t="s">
        <v>69</v>
      </c>
      <c r="AG163" t="s">
        <v>69</v>
      </c>
      <c r="AH163" t="s">
        <v>69</v>
      </c>
      <c r="AI163" t="s">
        <v>69</v>
      </c>
      <c r="AJ163" t="s">
        <v>69</v>
      </c>
      <c r="AK163" t="s">
        <v>69</v>
      </c>
      <c r="AL163">
        <v>50</v>
      </c>
      <c r="AM163">
        <v>0</v>
      </c>
      <c r="AN163">
        <v>0</v>
      </c>
      <c r="AO163">
        <v>1</v>
      </c>
      <c r="AP163">
        <v>1</v>
      </c>
      <c r="AQ163" t="s">
        <v>8611</v>
      </c>
      <c r="AR163" t="s">
        <v>8612</v>
      </c>
      <c r="AS163" t="s">
        <v>8613</v>
      </c>
      <c r="AT163" t="s">
        <v>11077</v>
      </c>
      <c r="AU163" t="s">
        <v>11078</v>
      </c>
      <c r="AV163" t="s">
        <v>69</v>
      </c>
      <c r="AW163" t="s">
        <v>11079</v>
      </c>
      <c r="AX163" t="s">
        <v>11080</v>
      </c>
      <c r="AY163" t="s">
        <v>922</v>
      </c>
      <c r="AZ163">
        <v>2021</v>
      </c>
      <c r="BA163">
        <v>14</v>
      </c>
      <c r="BB163">
        <v>6</v>
      </c>
      <c r="BC163" t="s">
        <v>69</v>
      </c>
      <c r="BD163" t="s">
        <v>69</v>
      </c>
      <c r="BE163" t="s">
        <v>69</v>
      </c>
      <c r="BF163" t="s">
        <v>69</v>
      </c>
      <c r="BG163">
        <v>1893</v>
      </c>
      <c r="BH163">
        <v>1906</v>
      </c>
      <c r="BI163" t="s">
        <v>69</v>
      </c>
      <c r="BJ163" t="s">
        <v>11081</v>
      </c>
      <c r="BK163" t="str">
        <f>HYPERLINK("http://dx.doi.org/10.1080/19397038.2021.1986589","http://dx.doi.org/10.1080/19397038.2021.1986589")</f>
        <v>http://dx.doi.org/10.1080/19397038.2021.1986589</v>
      </c>
      <c r="BL163" t="s">
        <v>69</v>
      </c>
      <c r="BM163" t="s">
        <v>10991</v>
      </c>
      <c r="BN163">
        <v>14</v>
      </c>
      <c r="BO163" t="s">
        <v>10126</v>
      </c>
      <c r="BP163" t="s">
        <v>8573</v>
      </c>
      <c r="BQ163" t="s">
        <v>8620</v>
      </c>
      <c r="BR163" t="s">
        <v>11082</v>
      </c>
      <c r="BS163" t="s">
        <v>11083</v>
      </c>
      <c r="BT163" t="s">
        <v>69</v>
      </c>
      <c r="BU163" t="s">
        <v>9374</v>
      </c>
      <c r="BV163" t="s">
        <v>69</v>
      </c>
      <c r="BW163" t="s">
        <v>69</v>
      </c>
      <c r="BX163" t="s">
        <v>8526</v>
      </c>
      <c r="BY163" t="str">
        <f>HYPERLINK("https%3A%2F%2Fwww.webofscience.com%2Fwos%2Fwoscc%2Ffull-record%2FWOS:000708249100001","View Full Record in Web of Science")</f>
        <v>View Full Record in Web of Science</v>
      </c>
    </row>
    <row r="164" spans="1:77" ht="12.5" x14ac:dyDescent="0.25">
      <c r="A164" t="s">
        <v>8495</v>
      </c>
      <c r="B164" s="22" t="s">
        <v>32931</v>
      </c>
      <c r="C164" s="7"/>
      <c r="D164" s="7"/>
      <c r="E164" s="7"/>
      <c r="F164" t="s">
        <v>67</v>
      </c>
      <c r="G164" t="s">
        <v>9542</v>
      </c>
      <c r="H164" t="s">
        <v>69</v>
      </c>
      <c r="I164" t="s">
        <v>69</v>
      </c>
      <c r="J164" t="s">
        <v>69</v>
      </c>
      <c r="K164" t="s">
        <v>9543</v>
      </c>
      <c r="L164" t="s">
        <v>69</v>
      </c>
      <c r="M164" t="s">
        <v>69</v>
      </c>
      <c r="N164" t="s">
        <v>9544</v>
      </c>
      <c r="O164" t="s">
        <v>1457</v>
      </c>
      <c r="P164" t="s">
        <v>69</v>
      </c>
      <c r="Q164" t="s">
        <v>69</v>
      </c>
      <c r="R164" t="s">
        <v>8505</v>
      </c>
      <c r="S164" t="s">
        <v>8556</v>
      </c>
      <c r="T164" t="s">
        <v>69</v>
      </c>
      <c r="U164" t="s">
        <v>69</v>
      </c>
      <c r="V164" t="s">
        <v>69</v>
      </c>
      <c r="W164" t="s">
        <v>69</v>
      </c>
      <c r="X164" t="s">
        <v>69</v>
      </c>
      <c r="Y164" t="s">
        <v>9545</v>
      </c>
      <c r="Z164" t="s">
        <v>69</v>
      </c>
      <c r="AA164" t="s">
        <v>9546</v>
      </c>
      <c r="AB164" t="s">
        <v>9547</v>
      </c>
      <c r="AC164" t="s">
        <v>69</v>
      </c>
      <c r="AD164" t="s">
        <v>9548</v>
      </c>
      <c r="AE164" t="s">
        <v>9549</v>
      </c>
      <c r="AF164" t="s">
        <v>69</v>
      </c>
      <c r="AG164" t="s">
        <v>9550</v>
      </c>
      <c r="AH164" t="s">
        <v>9551</v>
      </c>
      <c r="AI164" t="s">
        <v>9552</v>
      </c>
      <c r="AJ164" t="s">
        <v>9553</v>
      </c>
      <c r="AK164" t="s">
        <v>69</v>
      </c>
      <c r="AL164">
        <v>37</v>
      </c>
      <c r="AM164">
        <v>0</v>
      </c>
      <c r="AN164">
        <v>0</v>
      </c>
      <c r="AO164">
        <v>0</v>
      </c>
      <c r="AP164">
        <v>0</v>
      </c>
      <c r="AQ164" t="s">
        <v>9554</v>
      </c>
      <c r="AR164" t="s">
        <v>9555</v>
      </c>
      <c r="AS164" t="s">
        <v>9556</v>
      </c>
      <c r="AT164" t="s">
        <v>1460</v>
      </c>
      <c r="AU164" t="s">
        <v>1461</v>
      </c>
      <c r="AV164" t="s">
        <v>69</v>
      </c>
      <c r="AW164" t="s">
        <v>9557</v>
      </c>
      <c r="AX164" t="s">
        <v>9558</v>
      </c>
      <c r="AY164" t="s">
        <v>69</v>
      </c>
      <c r="AZ164" t="s">
        <v>69</v>
      </c>
      <c r="BA164" t="s">
        <v>69</v>
      </c>
      <c r="BB164" t="s">
        <v>69</v>
      </c>
      <c r="BC164" t="s">
        <v>69</v>
      </c>
      <c r="BD164" t="s">
        <v>69</v>
      </c>
      <c r="BE164" t="s">
        <v>69</v>
      </c>
      <c r="BF164" t="s">
        <v>69</v>
      </c>
      <c r="BG164" t="s">
        <v>69</v>
      </c>
      <c r="BH164" t="s">
        <v>69</v>
      </c>
      <c r="BI164">
        <v>3611981221082534</v>
      </c>
      <c r="BJ164" t="s">
        <v>9559</v>
      </c>
      <c r="BK164" t="str">
        <f>HYPERLINK("http://dx.doi.org/10.1177/03611981221082534","http://dx.doi.org/10.1177/03611981221082534")</f>
        <v>http://dx.doi.org/10.1177/03611981221082534</v>
      </c>
      <c r="BL164" t="s">
        <v>69</v>
      </c>
      <c r="BM164" t="s">
        <v>9485</v>
      </c>
      <c r="BN164">
        <v>13</v>
      </c>
      <c r="BO164" t="s">
        <v>9560</v>
      </c>
      <c r="BP164" t="s">
        <v>8548</v>
      </c>
      <c r="BQ164" t="s">
        <v>9561</v>
      </c>
      <c r="BR164" t="s">
        <v>9562</v>
      </c>
      <c r="BS164" t="s">
        <v>9563</v>
      </c>
      <c r="BT164" t="s">
        <v>69</v>
      </c>
      <c r="BU164" t="s">
        <v>69</v>
      </c>
      <c r="BV164" t="s">
        <v>69</v>
      </c>
      <c r="BW164" t="s">
        <v>69</v>
      </c>
      <c r="BX164" t="s">
        <v>8526</v>
      </c>
      <c r="BY164" t="str">
        <f>HYPERLINK("https%3A%2F%2Fwww.webofscience.com%2Fwos%2Fwoscc%2Ffull-record%2FWOS:000772404000001","View Full Record in Web of Science")</f>
        <v>View Full Record in Web of Science</v>
      </c>
    </row>
    <row r="165" spans="1:77" ht="12.5" x14ac:dyDescent="0.25">
      <c r="A165" t="s">
        <v>8495</v>
      </c>
      <c r="B165" s="22" t="s">
        <v>32931</v>
      </c>
      <c r="C165" s="7"/>
      <c r="D165" s="7"/>
      <c r="E165" s="7"/>
      <c r="F165" t="s">
        <v>67</v>
      </c>
      <c r="G165" t="s">
        <v>27677</v>
      </c>
      <c r="H165" t="s">
        <v>69</v>
      </c>
      <c r="I165" t="s">
        <v>69</v>
      </c>
      <c r="J165" t="s">
        <v>69</v>
      </c>
      <c r="K165" t="s">
        <v>27678</v>
      </c>
      <c r="L165" t="s">
        <v>69</v>
      </c>
      <c r="M165" t="s">
        <v>69</v>
      </c>
      <c r="N165" t="s">
        <v>27679</v>
      </c>
      <c r="O165" t="s">
        <v>26109</v>
      </c>
      <c r="P165" t="s">
        <v>69</v>
      </c>
      <c r="Q165" t="s">
        <v>69</v>
      </c>
      <c r="R165" t="s">
        <v>8505</v>
      </c>
      <c r="S165" t="s">
        <v>8506</v>
      </c>
      <c r="T165" t="s">
        <v>69</v>
      </c>
      <c r="U165" t="s">
        <v>69</v>
      </c>
      <c r="V165" t="s">
        <v>69</v>
      </c>
      <c r="W165" t="s">
        <v>69</v>
      </c>
      <c r="X165" t="s">
        <v>69</v>
      </c>
      <c r="Y165" t="s">
        <v>27680</v>
      </c>
      <c r="Z165" t="s">
        <v>69</v>
      </c>
      <c r="AA165" t="s">
        <v>27681</v>
      </c>
      <c r="AB165" t="s">
        <v>27682</v>
      </c>
      <c r="AC165" t="s">
        <v>69</v>
      </c>
      <c r="AD165" t="s">
        <v>27683</v>
      </c>
      <c r="AE165" t="s">
        <v>27684</v>
      </c>
      <c r="AF165" t="s">
        <v>69</v>
      </c>
      <c r="AG165" t="s">
        <v>69</v>
      </c>
      <c r="AH165" t="s">
        <v>69</v>
      </c>
      <c r="AI165" t="s">
        <v>69</v>
      </c>
      <c r="AJ165" t="s">
        <v>69</v>
      </c>
      <c r="AK165" t="s">
        <v>69</v>
      </c>
      <c r="AL165">
        <v>26</v>
      </c>
      <c r="AM165">
        <v>5</v>
      </c>
      <c r="AN165">
        <v>5</v>
      </c>
      <c r="AO165">
        <v>4</v>
      </c>
      <c r="AP165">
        <v>10</v>
      </c>
      <c r="AQ165" t="s">
        <v>26115</v>
      </c>
      <c r="AR165" t="s">
        <v>26116</v>
      </c>
      <c r="AS165" t="s">
        <v>26117</v>
      </c>
      <c r="AT165" t="s">
        <v>26118</v>
      </c>
      <c r="AU165" t="s">
        <v>26119</v>
      </c>
      <c r="AV165" t="s">
        <v>69</v>
      </c>
      <c r="AW165" t="s">
        <v>26120</v>
      </c>
      <c r="AX165" t="s">
        <v>26121</v>
      </c>
      <c r="AY165" t="s">
        <v>201</v>
      </c>
      <c r="AZ165">
        <v>2010</v>
      </c>
      <c r="BA165">
        <v>25</v>
      </c>
      <c r="BB165">
        <v>2</v>
      </c>
      <c r="BC165" t="s">
        <v>69</v>
      </c>
      <c r="BD165" t="s">
        <v>69</v>
      </c>
      <c r="BE165" t="s">
        <v>69</v>
      </c>
      <c r="BF165" t="s">
        <v>69</v>
      </c>
      <c r="BG165">
        <v>161</v>
      </c>
      <c r="BH165">
        <v>214</v>
      </c>
      <c r="BI165" t="s">
        <v>69</v>
      </c>
      <c r="BJ165" t="s">
        <v>27685</v>
      </c>
      <c r="BK165" t="str">
        <f>HYPERLINK("http://dx.doi.org/10.4067/S0718-50732010000200002","http://dx.doi.org/10.4067/S0718-50732010000200002")</f>
        <v>http://dx.doi.org/10.4067/S0718-50732010000200002</v>
      </c>
      <c r="BL165" t="s">
        <v>69</v>
      </c>
      <c r="BM165" t="s">
        <v>69</v>
      </c>
      <c r="BN165">
        <v>54</v>
      </c>
      <c r="BO165" t="s">
        <v>10105</v>
      </c>
      <c r="BP165" t="s">
        <v>8573</v>
      </c>
      <c r="BQ165" t="s">
        <v>10105</v>
      </c>
      <c r="BR165" t="s">
        <v>27686</v>
      </c>
      <c r="BS165" t="s">
        <v>27687</v>
      </c>
      <c r="BT165" t="s">
        <v>69</v>
      </c>
      <c r="BU165" t="s">
        <v>12220</v>
      </c>
      <c r="BV165" t="s">
        <v>69</v>
      </c>
      <c r="BW165" t="s">
        <v>69</v>
      </c>
      <c r="BX165" t="s">
        <v>8526</v>
      </c>
      <c r="BY165" t="str">
        <f>HYPERLINK("https%3A%2F%2Fwww.webofscience.com%2Fwos%2Fwoscc%2Ffull-record%2FWOS:000420978400002","View Full Record in Web of Science")</f>
        <v>View Full Record in Web of Science</v>
      </c>
    </row>
    <row r="166" spans="1:77" ht="12.5" x14ac:dyDescent="0.25">
      <c r="A166" t="s">
        <v>8495</v>
      </c>
      <c r="B166" s="22" t="s">
        <v>32931</v>
      </c>
      <c r="C166" s="7"/>
      <c r="D166" s="7"/>
      <c r="E166" s="7"/>
      <c r="F166" t="s">
        <v>67</v>
      </c>
      <c r="G166" t="s">
        <v>17649</v>
      </c>
      <c r="H166" t="s">
        <v>69</v>
      </c>
      <c r="I166" t="s">
        <v>69</v>
      </c>
      <c r="J166" t="s">
        <v>69</v>
      </c>
      <c r="K166" t="s">
        <v>17650</v>
      </c>
      <c r="L166" t="s">
        <v>69</v>
      </c>
      <c r="M166" t="s">
        <v>69</v>
      </c>
      <c r="N166" t="s">
        <v>17651</v>
      </c>
      <c r="O166" t="s">
        <v>17652</v>
      </c>
      <c r="P166" t="s">
        <v>69</v>
      </c>
      <c r="Q166" t="s">
        <v>69</v>
      </c>
      <c r="R166" t="s">
        <v>8505</v>
      </c>
      <c r="S166" t="s">
        <v>8506</v>
      </c>
      <c r="T166" t="s">
        <v>69</v>
      </c>
      <c r="U166" t="s">
        <v>69</v>
      </c>
      <c r="V166" t="s">
        <v>69</v>
      </c>
      <c r="W166" t="s">
        <v>69</v>
      </c>
      <c r="X166" t="s">
        <v>69</v>
      </c>
      <c r="Y166" t="s">
        <v>17653</v>
      </c>
      <c r="Z166" t="s">
        <v>17654</v>
      </c>
      <c r="AA166" t="s">
        <v>17655</v>
      </c>
      <c r="AB166" t="s">
        <v>17656</v>
      </c>
      <c r="AC166" t="s">
        <v>69</v>
      </c>
      <c r="AD166" t="s">
        <v>17657</v>
      </c>
      <c r="AE166" t="s">
        <v>17658</v>
      </c>
      <c r="AF166" t="s">
        <v>69</v>
      </c>
      <c r="AG166" t="s">
        <v>69</v>
      </c>
      <c r="AH166" t="s">
        <v>69</v>
      </c>
      <c r="AI166" t="s">
        <v>69</v>
      </c>
      <c r="AJ166" t="s">
        <v>69</v>
      </c>
      <c r="AK166" t="s">
        <v>69</v>
      </c>
      <c r="AL166">
        <v>70</v>
      </c>
      <c r="AM166">
        <v>7</v>
      </c>
      <c r="AN166">
        <v>7</v>
      </c>
      <c r="AO166">
        <v>1</v>
      </c>
      <c r="AP166">
        <v>9</v>
      </c>
      <c r="AQ166" t="s">
        <v>17659</v>
      </c>
      <c r="AR166" t="s">
        <v>14820</v>
      </c>
      <c r="AS166" t="s">
        <v>17660</v>
      </c>
      <c r="AT166" t="s">
        <v>17661</v>
      </c>
      <c r="AU166" t="s">
        <v>69</v>
      </c>
      <c r="AV166" t="s">
        <v>69</v>
      </c>
      <c r="AW166" t="s">
        <v>17662</v>
      </c>
      <c r="AX166" t="s">
        <v>17663</v>
      </c>
      <c r="AY166" t="s">
        <v>69</v>
      </c>
      <c r="AZ166">
        <v>2019</v>
      </c>
      <c r="BA166">
        <v>21</v>
      </c>
      <c r="BB166" t="s">
        <v>69</v>
      </c>
      <c r="BC166" t="s">
        <v>69</v>
      </c>
      <c r="BD166" t="s">
        <v>627</v>
      </c>
      <c r="BE166" t="s">
        <v>69</v>
      </c>
      <c r="BF166" t="s">
        <v>69</v>
      </c>
      <c r="BG166">
        <v>1657</v>
      </c>
      <c r="BH166">
        <v>1671</v>
      </c>
      <c r="BI166" t="s">
        <v>69</v>
      </c>
      <c r="BJ166" t="s">
        <v>69</v>
      </c>
      <c r="BK166" t="s">
        <v>69</v>
      </c>
      <c r="BL166" t="s">
        <v>69</v>
      </c>
      <c r="BM166" t="s">
        <v>69</v>
      </c>
      <c r="BN166">
        <v>15</v>
      </c>
      <c r="BO166" t="s">
        <v>17664</v>
      </c>
      <c r="BP166" t="s">
        <v>8548</v>
      </c>
      <c r="BQ166" t="s">
        <v>8450</v>
      </c>
      <c r="BR166" t="s">
        <v>17665</v>
      </c>
      <c r="BS166" t="s">
        <v>17666</v>
      </c>
      <c r="BT166" t="s">
        <v>69</v>
      </c>
      <c r="BU166" t="s">
        <v>69</v>
      </c>
      <c r="BV166" t="s">
        <v>69</v>
      </c>
      <c r="BW166" t="s">
        <v>69</v>
      </c>
      <c r="BX166" t="s">
        <v>8526</v>
      </c>
      <c r="BY166" t="str">
        <f>HYPERLINK("https%3A%2F%2Fwww.webofscience.com%2Fwos%2Fwoscc%2Ffull-record%2FWOS:000504634300002","View Full Record in Web of Science")</f>
        <v>View Full Record in Web of Science</v>
      </c>
    </row>
    <row r="167" spans="1:77" ht="12.5" x14ac:dyDescent="0.25">
      <c r="A167" t="s">
        <v>8495</v>
      </c>
      <c r="B167" s="22" t="s">
        <v>32931</v>
      </c>
      <c r="C167" s="7"/>
      <c r="D167" s="7"/>
      <c r="E167" s="7"/>
      <c r="F167" t="s">
        <v>67</v>
      </c>
      <c r="G167" t="s">
        <v>13452</v>
      </c>
      <c r="H167" t="s">
        <v>69</v>
      </c>
      <c r="I167" t="s">
        <v>69</v>
      </c>
      <c r="J167" t="s">
        <v>69</v>
      </c>
      <c r="K167" t="s">
        <v>13453</v>
      </c>
      <c r="L167" t="s">
        <v>69</v>
      </c>
      <c r="M167" t="s">
        <v>69</v>
      </c>
      <c r="N167" t="s">
        <v>13454</v>
      </c>
      <c r="O167" t="s">
        <v>13455</v>
      </c>
      <c r="P167" t="s">
        <v>69</v>
      </c>
      <c r="Q167" t="s">
        <v>69</v>
      </c>
      <c r="R167" t="s">
        <v>8505</v>
      </c>
      <c r="S167" t="s">
        <v>8506</v>
      </c>
      <c r="T167" t="s">
        <v>69</v>
      </c>
      <c r="U167" t="s">
        <v>69</v>
      </c>
      <c r="V167" t="s">
        <v>69</v>
      </c>
      <c r="W167" t="s">
        <v>69</v>
      </c>
      <c r="X167" t="s">
        <v>69</v>
      </c>
      <c r="Y167" t="s">
        <v>13456</v>
      </c>
      <c r="Z167" t="s">
        <v>13457</v>
      </c>
      <c r="AA167" t="s">
        <v>13458</v>
      </c>
      <c r="AB167" t="s">
        <v>13459</v>
      </c>
      <c r="AC167" t="s">
        <v>69</v>
      </c>
      <c r="AD167" t="s">
        <v>13460</v>
      </c>
      <c r="AE167" t="s">
        <v>13461</v>
      </c>
      <c r="AF167" t="s">
        <v>13462</v>
      </c>
      <c r="AG167" t="s">
        <v>13463</v>
      </c>
      <c r="AH167" t="s">
        <v>13464</v>
      </c>
      <c r="AI167" t="s">
        <v>13465</v>
      </c>
      <c r="AJ167" t="s">
        <v>13466</v>
      </c>
      <c r="AK167" t="s">
        <v>69</v>
      </c>
      <c r="AL167">
        <v>97</v>
      </c>
      <c r="AM167">
        <v>1</v>
      </c>
      <c r="AN167">
        <v>1</v>
      </c>
      <c r="AO167">
        <v>2</v>
      </c>
      <c r="AP167">
        <v>3</v>
      </c>
      <c r="AQ167" t="s">
        <v>13467</v>
      </c>
      <c r="AR167" t="s">
        <v>13468</v>
      </c>
      <c r="AS167" t="s">
        <v>13469</v>
      </c>
      <c r="AT167" t="s">
        <v>13470</v>
      </c>
      <c r="AU167" t="s">
        <v>69</v>
      </c>
      <c r="AV167" t="s">
        <v>69</v>
      </c>
      <c r="AW167" t="s">
        <v>13471</v>
      </c>
      <c r="AX167" t="s">
        <v>13472</v>
      </c>
      <c r="AY167" t="s">
        <v>69</v>
      </c>
      <c r="AZ167">
        <v>2021</v>
      </c>
      <c r="BA167">
        <v>14</v>
      </c>
      <c r="BB167" t="s">
        <v>69</v>
      </c>
      <c r="BC167" t="s">
        <v>69</v>
      </c>
      <c r="BD167" t="s">
        <v>69</v>
      </c>
      <c r="BE167" t="s">
        <v>69</v>
      </c>
      <c r="BF167" t="s">
        <v>69</v>
      </c>
      <c r="BG167">
        <v>389</v>
      </c>
      <c r="BH167">
        <v>409</v>
      </c>
      <c r="BI167" t="s">
        <v>69</v>
      </c>
      <c r="BJ167" t="s">
        <v>13473</v>
      </c>
      <c r="BK167" t="str">
        <f>HYPERLINK("http://dx.doi.org/10.2147/MDER.S328996","http://dx.doi.org/10.2147/MDER.S328996")</f>
        <v>http://dx.doi.org/10.2147/MDER.S328996</v>
      </c>
      <c r="BL167" t="s">
        <v>69</v>
      </c>
      <c r="BM167" t="s">
        <v>69</v>
      </c>
      <c r="BN167">
        <v>21</v>
      </c>
      <c r="BO167" t="s">
        <v>13474</v>
      </c>
      <c r="BP167" t="s">
        <v>8573</v>
      </c>
      <c r="BQ167" t="s">
        <v>8445</v>
      </c>
      <c r="BR167" t="s">
        <v>13475</v>
      </c>
      <c r="BS167" t="s">
        <v>13476</v>
      </c>
      <c r="BT167">
        <v>34853541</v>
      </c>
      <c r="BU167" t="s">
        <v>9352</v>
      </c>
      <c r="BV167" t="s">
        <v>69</v>
      </c>
      <c r="BW167" t="s">
        <v>69</v>
      </c>
      <c r="BX167" t="s">
        <v>8526</v>
      </c>
      <c r="BY167" t="str">
        <f>HYPERLINK("https%3A%2F%2Fwww.webofscience.com%2Fwos%2Fwoscc%2Ffull-record%2FWOS:000724691700001","View Full Record in Web of Science")</f>
        <v>View Full Record in Web of Science</v>
      </c>
    </row>
    <row r="168" spans="1:77" x14ac:dyDescent="0.3">
      <c r="A168" t="s">
        <v>8495</v>
      </c>
      <c r="B168" s="10" t="s">
        <v>32949</v>
      </c>
      <c r="C168" s="9" t="s">
        <v>33087</v>
      </c>
      <c r="E168" s="9" t="s">
        <v>8490</v>
      </c>
      <c r="F168" t="s">
        <v>67</v>
      </c>
      <c r="G168" t="s">
        <v>27082</v>
      </c>
      <c r="H168" t="s">
        <v>69</v>
      </c>
      <c r="I168" t="s">
        <v>69</v>
      </c>
      <c r="J168" t="s">
        <v>69</v>
      </c>
      <c r="K168" t="s">
        <v>27083</v>
      </c>
      <c r="L168" t="s">
        <v>69</v>
      </c>
      <c r="M168" t="s">
        <v>69</v>
      </c>
      <c r="N168" t="s">
        <v>27084</v>
      </c>
      <c r="O168" t="s">
        <v>27085</v>
      </c>
      <c r="P168" t="s">
        <v>69</v>
      </c>
      <c r="Q168" t="s">
        <v>69</v>
      </c>
      <c r="R168" t="s">
        <v>8505</v>
      </c>
      <c r="S168" t="s">
        <v>8442</v>
      </c>
      <c r="T168" t="s">
        <v>69</v>
      </c>
      <c r="U168" t="s">
        <v>69</v>
      </c>
      <c r="V168" t="s">
        <v>69</v>
      </c>
      <c r="W168" t="s">
        <v>69</v>
      </c>
      <c r="X168" t="s">
        <v>69</v>
      </c>
      <c r="Y168" t="s">
        <v>27086</v>
      </c>
      <c r="Z168" t="s">
        <v>69</v>
      </c>
      <c r="AA168" t="s">
        <v>27087</v>
      </c>
      <c r="AB168" t="s">
        <v>27088</v>
      </c>
      <c r="AC168" t="s">
        <v>69</v>
      </c>
      <c r="AD168" t="s">
        <v>27089</v>
      </c>
      <c r="AE168" t="s">
        <v>27090</v>
      </c>
      <c r="AF168" t="s">
        <v>69</v>
      </c>
      <c r="AG168" t="s">
        <v>69</v>
      </c>
      <c r="AH168" t="s">
        <v>69</v>
      </c>
      <c r="AI168" t="s">
        <v>69</v>
      </c>
      <c r="AJ168" t="s">
        <v>69</v>
      </c>
      <c r="AK168" t="s">
        <v>69</v>
      </c>
      <c r="AL168">
        <v>23</v>
      </c>
      <c r="AM168">
        <v>5</v>
      </c>
      <c r="AN168">
        <v>5</v>
      </c>
      <c r="AO168">
        <v>0</v>
      </c>
      <c r="AP168">
        <v>0</v>
      </c>
      <c r="AQ168" t="s">
        <v>27091</v>
      </c>
      <c r="AR168" t="s">
        <v>13701</v>
      </c>
      <c r="AS168" t="s">
        <v>27092</v>
      </c>
      <c r="AT168" t="s">
        <v>27093</v>
      </c>
      <c r="AU168" t="s">
        <v>27094</v>
      </c>
      <c r="AV168" t="s">
        <v>69</v>
      </c>
      <c r="AW168" t="s">
        <v>27095</v>
      </c>
      <c r="AX168" t="s">
        <v>27096</v>
      </c>
      <c r="AY168" t="s">
        <v>246</v>
      </c>
      <c r="AZ168">
        <v>2011</v>
      </c>
      <c r="BA168">
        <v>48</v>
      </c>
      <c r="BB168">
        <v>5</v>
      </c>
      <c r="BC168" t="s">
        <v>69</v>
      </c>
      <c r="BD168" t="s">
        <v>69</v>
      </c>
      <c r="BE168" t="s">
        <v>69</v>
      </c>
      <c r="BF168" t="s">
        <v>69</v>
      </c>
      <c r="BG168">
        <v>125</v>
      </c>
      <c r="BH168">
        <v>140</v>
      </c>
      <c r="BI168" t="s">
        <v>69</v>
      </c>
      <c r="BJ168" t="s">
        <v>69</v>
      </c>
      <c r="BK168" t="s">
        <v>69</v>
      </c>
      <c r="BL168" t="s">
        <v>69</v>
      </c>
      <c r="BM168" t="s">
        <v>69</v>
      </c>
      <c r="BN168">
        <v>16</v>
      </c>
      <c r="BO168" t="s">
        <v>13241</v>
      </c>
      <c r="BP168" t="s">
        <v>8573</v>
      </c>
      <c r="BQ168" t="s">
        <v>10084</v>
      </c>
      <c r="BR168" t="s">
        <v>27097</v>
      </c>
      <c r="BS168" t="s">
        <v>27098</v>
      </c>
      <c r="BT168" t="s">
        <v>69</v>
      </c>
      <c r="BU168" t="s">
        <v>69</v>
      </c>
      <c r="BV168" t="s">
        <v>69</v>
      </c>
      <c r="BW168" t="s">
        <v>69</v>
      </c>
      <c r="BX168" t="s">
        <v>8526</v>
      </c>
      <c r="BY168" t="str">
        <f>HYPERLINK("https%3A%2F%2Fwww.webofscience.com%2Fwos%2Fwoscc%2Ffull-record%2FWOS:000443249300008","View Full Record in Web of Science")</f>
        <v>View Full Record in Web of Science</v>
      </c>
    </row>
    <row r="169" spans="1:77" ht="12.5" x14ac:dyDescent="0.25">
      <c r="A169" t="s">
        <v>8495</v>
      </c>
      <c r="B169" s="7" t="s">
        <v>32933</v>
      </c>
      <c r="C169" s="7"/>
      <c r="D169" s="7"/>
      <c r="E169" s="7"/>
      <c r="F169" t="s">
        <v>67</v>
      </c>
      <c r="G169" t="s">
        <v>6404</v>
      </c>
      <c r="H169" t="s">
        <v>69</v>
      </c>
      <c r="I169" t="s">
        <v>69</v>
      </c>
      <c r="J169" t="s">
        <v>69</v>
      </c>
      <c r="K169" t="s">
        <v>6405</v>
      </c>
      <c r="L169" t="s">
        <v>69</v>
      </c>
      <c r="M169" t="s">
        <v>69</v>
      </c>
      <c r="N169" t="s">
        <v>6406</v>
      </c>
      <c r="O169" t="s">
        <v>6407</v>
      </c>
      <c r="P169" t="s">
        <v>69</v>
      </c>
      <c r="Q169" t="s">
        <v>69</v>
      </c>
      <c r="R169" t="s">
        <v>25259</v>
      </c>
      <c r="S169" t="s">
        <v>8506</v>
      </c>
      <c r="T169" t="s">
        <v>69</v>
      </c>
      <c r="U169" t="s">
        <v>69</v>
      </c>
      <c r="V169" t="s">
        <v>69</v>
      </c>
      <c r="W169" t="s">
        <v>69</v>
      </c>
      <c r="X169" t="s">
        <v>69</v>
      </c>
      <c r="Y169" t="s">
        <v>27524</v>
      </c>
      <c r="Z169" t="s">
        <v>69</v>
      </c>
      <c r="AA169" t="s">
        <v>6408</v>
      </c>
      <c r="AB169" t="s">
        <v>27525</v>
      </c>
      <c r="AC169" t="s">
        <v>69</v>
      </c>
      <c r="AD169" t="s">
        <v>27526</v>
      </c>
      <c r="AE169" t="s">
        <v>27527</v>
      </c>
      <c r="AF169" t="s">
        <v>69</v>
      </c>
      <c r="AG169" t="s">
        <v>6409</v>
      </c>
      <c r="AH169" t="s">
        <v>69</v>
      </c>
      <c r="AI169" t="s">
        <v>69</v>
      </c>
      <c r="AJ169" t="s">
        <v>69</v>
      </c>
      <c r="AK169" t="s">
        <v>69</v>
      </c>
      <c r="AL169">
        <v>49</v>
      </c>
      <c r="AM169">
        <v>4</v>
      </c>
      <c r="AN169">
        <v>4</v>
      </c>
      <c r="AO169">
        <v>0</v>
      </c>
      <c r="AP169">
        <v>3</v>
      </c>
      <c r="AQ169" t="s">
        <v>27528</v>
      </c>
      <c r="AR169" t="s">
        <v>13701</v>
      </c>
      <c r="AS169" t="s">
        <v>27529</v>
      </c>
      <c r="AT169" t="s">
        <v>6410</v>
      </c>
      <c r="AU169" t="s">
        <v>69</v>
      </c>
      <c r="AV169" t="s">
        <v>69</v>
      </c>
      <c r="AW169" t="s">
        <v>27530</v>
      </c>
      <c r="AX169" t="s">
        <v>27531</v>
      </c>
      <c r="AY169" t="s">
        <v>69</v>
      </c>
      <c r="AZ169">
        <v>2011</v>
      </c>
      <c r="BA169">
        <v>135</v>
      </c>
      <c r="BB169" t="s">
        <v>2217</v>
      </c>
      <c r="BC169" t="s">
        <v>69</v>
      </c>
      <c r="BD169" t="s">
        <v>69</v>
      </c>
      <c r="BE169" t="s">
        <v>69</v>
      </c>
      <c r="BF169" t="s">
        <v>69</v>
      </c>
      <c r="BG169">
        <v>449</v>
      </c>
      <c r="BH169">
        <v>466</v>
      </c>
      <c r="BI169" t="s">
        <v>69</v>
      </c>
      <c r="BJ169" t="s">
        <v>69</v>
      </c>
      <c r="BK169" t="s">
        <v>69</v>
      </c>
      <c r="BL169" t="s">
        <v>69</v>
      </c>
      <c r="BM169" t="s">
        <v>69</v>
      </c>
      <c r="BN169">
        <v>18</v>
      </c>
      <c r="BO169" t="s">
        <v>8453</v>
      </c>
      <c r="BP169" t="s">
        <v>8548</v>
      </c>
      <c r="BQ169" t="s">
        <v>8453</v>
      </c>
      <c r="BR169" t="s">
        <v>27532</v>
      </c>
      <c r="BS169" t="s">
        <v>6411</v>
      </c>
      <c r="BT169" t="s">
        <v>69</v>
      </c>
      <c r="BU169" t="s">
        <v>69</v>
      </c>
      <c r="BV169" t="s">
        <v>69</v>
      </c>
      <c r="BW169" t="s">
        <v>69</v>
      </c>
      <c r="BX169" t="s">
        <v>8526</v>
      </c>
      <c r="BY169" t="str">
        <f>HYPERLINK("https%3A%2F%2Fwww.webofscience.com%2Fwos%2Fwoscc%2Ffull-record%2FWOS:000297378300003","View Full Record in Web of Science")</f>
        <v>View Full Record in Web of Science</v>
      </c>
    </row>
    <row r="170" spans="1:77" ht="12.5" x14ac:dyDescent="0.25">
      <c r="A170" t="s">
        <v>8495</v>
      </c>
      <c r="B170" s="22" t="s">
        <v>32931</v>
      </c>
      <c r="C170" s="7"/>
      <c r="D170" s="7"/>
      <c r="E170" s="7"/>
      <c r="F170" t="s">
        <v>67</v>
      </c>
      <c r="G170" t="s">
        <v>10599</v>
      </c>
      <c r="H170" t="s">
        <v>69</v>
      </c>
      <c r="I170" t="s">
        <v>69</v>
      </c>
      <c r="J170" t="s">
        <v>69</v>
      </c>
      <c r="K170" t="s">
        <v>10600</v>
      </c>
      <c r="L170" t="s">
        <v>69</v>
      </c>
      <c r="M170" t="s">
        <v>69</v>
      </c>
      <c r="N170" t="s">
        <v>10601</v>
      </c>
      <c r="O170" t="s">
        <v>352</v>
      </c>
      <c r="P170" t="s">
        <v>69</v>
      </c>
      <c r="Q170" t="s">
        <v>69</v>
      </c>
      <c r="R170" t="s">
        <v>8505</v>
      </c>
      <c r="S170" t="s">
        <v>8506</v>
      </c>
      <c r="T170" t="s">
        <v>69</v>
      </c>
      <c r="U170" t="s">
        <v>69</v>
      </c>
      <c r="V170" t="s">
        <v>69</v>
      </c>
      <c r="W170" t="s">
        <v>69</v>
      </c>
      <c r="X170" t="s">
        <v>69</v>
      </c>
      <c r="Y170" t="s">
        <v>10602</v>
      </c>
      <c r="Z170" t="s">
        <v>10603</v>
      </c>
      <c r="AA170" t="s">
        <v>10604</v>
      </c>
      <c r="AB170" t="s">
        <v>10605</v>
      </c>
      <c r="AC170" t="s">
        <v>69</v>
      </c>
      <c r="AD170" t="s">
        <v>10606</v>
      </c>
      <c r="AE170" t="s">
        <v>10607</v>
      </c>
      <c r="AF170" t="s">
        <v>69</v>
      </c>
      <c r="AG170" t="s">
        <v>69</v>
      </c>
      <c r="AH170" t="s">
        <v>10608</v>
      </c>
      <c r="AI170" t="s">
        <v>10609</v>
      </c>
      <c r="AJ170" t="s">
        <v>10610</v>
      </c>
      <c r="AK170" t="s">
        <v>69</v>
      </c>
      <c r="AL170">
        <v>49</v>
      </c>
      <c r="AM170">
        <v>0</v>
      </c>
      <c r="AN170">
        <v>0</v>
      </c>
      <c r="AO170">
        <v>9</v>
      </c>
      <c r="AP170">
        <v>12</v>
      </c>
      <c r="AQ170" t="s">
        <v>8924</v>
      </c>
      <c r="AR170" t="s">
        <v>8925</v>
      </c>
      <c r="AS170" t="s">
        <v>8926</v>
      </c>
      <c r="AT170" t="s">
        <v>69</v>
      </c>
      <c r="AU170" t="s">
        <v>354</v>
      </c>
      <c r="AV170" t="s">
        <v>69</v>
      </c>
      <c r="AW170" t="s">
        <v>8958</v>
      </c>
      <c r="AX170" t="s">
        <v>8434</v>
      </c>
      <c r="AY170" t="s">
        <v>75</v>
      </c>
      <c r="AZ170">
        <v>2021</v>
      </c>
      <c r="BA170">
        <v>13</v>
      </c>
      <c r="BB170">
        <v>24</v>
      </c>
      <c r="BC170" t="s">
        <v>69</v>
      </c>
      <c r="BD170" t="s">
        <v>69</v>
      </c>
      <c r="BE170" t="s">
        <v>69</v>
      </c>
      <c r="BF170" t="s">
        <v>69</v>
      </c>
      <c r="BG170" t="s">
        <v>69</v>
      </c>
      <c r="BH170" t="s">
        <v>69</v>
      </c>
      <c r="BI170">
        <v>13694</v>
      </c>
      <c r="BJ170" t="s">
        <v>10611</v>
      </c>
      <c r="BK170" t="str">
        <f>HYPERLINK("http://dx.doi.org/10.3390/su132413694","http://dx.doi.org/10.3390/su132413694")</f>
        <v>http://dx.doi.org/10.3390/su132413694</v>
      </c>
      <c r="BL170" t="s">
        <v>69</v>
      </c>
      <c r="BM170" t="s">
        <v>69</v>
      </c>
      <c r="BN170">
        <v>18</v>
      </c>
      <c r="BO170" t="s">
        <v>8960</v>
      </c>
      <c r="BP170" t="s">
        <v>8523</v>
      </c>
      <c r="BQ170" t="s">
        <v>8961</v>
      </c>
      <c r="BR170" t="s">
        <v>10612</v>
      </c>
      <c r="BS170" t="s">
        <v>10613</v>
      </c>
      <c r="BT170" t="s">
        <v>69</v>
      </c>
      <c r="BU170" t="s">
        <v>8812</v>
      </c>
      <c r="BV170" t="s">
        <v>69</v>
      </c>
      <c r="BW170" t="s">
        <v>69</v>
      </c>
      <c r="BX170" t="s">
        <v>8526</v>
      </c>
      <c r="BY170" t="str">
        <f>HYPERLINK("https%3A%2F%2Fwww.webofscience.com%2Fwos%2Fwoscc%2Ffull-record%2FWOS:000737475300001","View Full Record in Web of Science")</f>
        <v>View Full Record in Web of Science</v>
      </c>
    </row>
    <row r="171" spans="1:77" ht="12.5" x14ac:dyDescent="0.25">
      <c r="A171" t="s">
        <v>8495</v>
      </c>
      <c r="B171" s="7" t="s">
        <v>32933</v>
      </c>
      <c r="C171" s="7"/>
      <c r="D171" s="7"/>
      <c r="E171" s="7"/>
      <c r="F171" t="s">
        <v>67</v>
      </c>
      <c r="G171" t="s">
        <v>1322</v>
      </c>
      <c r="H171" t="s">
        <v>69</v>
      </c>
      <c r="I171" t="s">
        <v>69</v>
      </c>
      <c r="J171" t="s">
        <v>69</v>
      </c>
      <c r="K171" t="s">
        <v>1323</v>
      </c>
      <c r="L171" t="s">
        <v>69</v>
      </c>
      <c r="M171" t="s">
        <v>69</v>
      </c>
      <c r="N171" t="s">
        <v>1324</v>
      </c>
      <c r="O171" t="s">
        <v>436</v>
      </c>
      <c r="P171" t="s">
        <v>69</v>
      </c>
      <c r="Q171" t="s">
        <v>69</v>
      </c>
      <c r="R171" t="s">
        <v>8505</v>
      </c>
      <c r="S171" t="s">
        <v>8506</v>
      </c>
      <c r="T171" t="s">
        <v>69</v>
      </c>
      <c r="U171" t="s">
        <v>69</v>
      </c>
      <c r="V171" t="s">
        <v>69</v>
      </c>
      <c r="W171" t="s">
        <v>69</v>
      </c>
      <c r="X171" t="s">
        <v>69</v>
      </c>
      <c r="Y171" t="s">
        <v>23211</v>
      </c>
      <c r="Z171" t="s">
        <v>23212</v>
      </c>
      <c r="AA171" t="s">
        <v>1325</v>
      </c>
      <c r="AB171" t="s">
        <v>23213</v>
      </c>
      <c r="AC171" t="s">
        <v>69</v>
      </c>
      <c r="AD171" t="s">
        <v>23214</v>
      </c>
      <c r="AE171" t="s">
        <v>23215</v>
      </c>
      <c r="AF171" t="s">
        <v>69</v>
      </c>
      <c r="AG171" t="s">
        <v>23216</v>
      </c>
      <c r="AH171" t="s">
        <v>69</v>
      </c>
      <c r="AI171" t="s">
        <v>69</v>
      </c>
      <c r="AJ171" t="s">
        <v>69</v>
      </c>
      <c r="AK171" t="s">
        <v>69</v>
      </c>
      <c r="AL171">
        <v>67</v>
      </c>
      <c r="AM171">
        <v>19</v>
      </c>
      <c r="AN171">
        <v>19</v>
      </c>
      <c r="AO171">
        <v>3</v>
      </c>
      <c r="AP171">
        <v>38</v>
      </c>
      <c r="AQ171" t="s">
        <v>8636</v>
      </c>
      <c r="AR171" t="s">
        <v>8637</v>
      </c>
      <c r="AS171" t="s">
        <v>8638</v>
      </c>
      <c r="AT171" t="s">
        <v>440</v>
      </c>
      <c r="AU171" t="s">
        <v>441</v>
      </c>
      <c r="AV171" t="s">
        <v>69</v>
      </c>
      <c r="AW171" t="s">
        <v>8639</v>
      </c>
      <c r="AX171" t="s">
        <v>8640</v>
      </c>
      <c r="AY171" t="s">
        <v>451</v>
      </c>
      <c r="AZ171">
        <v>2015</v>
      </c>
      <c r="BA171">
        <v>86</v>
      </c>
      <c r="BB171" t="s">
        <v>69</v>
      </c>
      <c r="BC171" t="s">
        <v>69</v>
      </c>
      <c r="BD171" t="s">
        <v>69</v>
      </c>
      <c r="BE171" t="s">
        <v>69</v>
      </c>
      <c r="BF171" t="s">
        <v>69</v>
      </c>
      <c r="BG171">
        <v>245</v>
      </c>
      <c r="BH171">
        <v>255</v>
      </c>
      <c r="BI171" t="s">
        <v>69</v>
      </c>
      <c r="BJ171" t="s">
        <v>1326</v>
      </c>
      <c r="BK171" t="str">
        <f>HYPERLINK("http://dx.doi.org/10.1016/j.jclepro.2014.08.021","http://dx.doi.org/10.1016/j.jclepro.2014.08.021")</f>
        <v>http://dx.doi.org/10.1016/j.jclepro.2014.08.021</v>
      </c>
      <c r="BL171" t="s">
        <v>69</v>
      </c>
      <c r="BM171" t="s">
        <v>69</v>
      </c>
      <c r="BN171">
        <v>11</v>
      </c>
      <c r="BO171" t="s">
        <v>8643</v>
      </c>
      <c r="BP171" t="s">
        <v>8523</v>
      </c>
      <c r="BQ171" t="s">
        <v>8644</v>
      </c>
      <c r="BR171" t="s">
        <v>23217</v>
      </c>
      <c r="BS171" t="s">
        <v>1327</v>
      </c>
      <c r="BT171" t="s">
        <v>69</v>
      </c>
      <c r="BU171" t="s">
        <v>69</v>
      </c>
      <c r="BV171" t="s">
        <v>69</v>
      </c>
      <c r="BW171" t="s">
        <v>69</v>
      </c>
      <c r="BX171" t="s">
        <v>8526</v>
      </c>
      <c r="BY171" t="str">
        <f>HYPERLINK("https%3A%2F%2Fwww.webofscience.com%2Fwos%2Fwoscc%2Ffull-record%2FWOS:000347501000027","View Full Record in Web of Science")</f>
        <v>View Full Record in Web of Science</v>
      </c>
    </row>
    <row r="172" spans="1:77" ht="12.5" x14ac:dyDescent="0.25">
      <c r="A172" t="s">
        <v>8495</v>
      </c>
      <c r="B172" s="7" t="s">
        <v>32933</v>
      </c>
      <c r="C172" s="7"/>
      <c r="D172" s="7"/>
      <c r="E172" s="7"/>
      <c r="F172" t="s">
        <v>67</v>
      </c>
      <c r="G172" t="s">
        <v>4120</v>
      </c>
      <c r="H172" t="s">
        <v>69</v>
      </c>
      <c r="I172" t="s">
        <v>69</v>
      </c>
      <c r="J172" t="s">
        <v>69</v>
      </c>
      <c r="K172" t="s">
        <v>4120</v>
      </c>
      <c r="L172" t="s">
        <v>69</v>
      </c>
      <c r="M172" t="s">
        <v>69</v>
      </c>
      <c r="N172" t="s">
        <v>4121</v>
      </c>
      <c r="O172" t="s">
        <v>4122</v>
      </c>
      <c r="P172" t="s">
        <v>69</v>
      </c>
      <c r="Q172" t="s">
        <v>69</v>
      </c>
      <c r="R172" t="s">
        <v>8505</v>
      </c>
      <c r="S172" t="s">
        <v>8506</v>
      </c>
      <c r="T172" t="s">
        <v>69</v>
      </c>
      <c r="U172" t="s">
        <v>69</v>
      </c>
      <c r="V172" t="s">
        <v>69</v>
      </c>
      <c r="W172" t="s">
        <v>69</v>
      </c>
      <c r="X172" t="s">
        <v>69</v>
      </c>
      <c r="Y172" t="s">
        <v>69</v>
      </c>
      <c r="Z172" t="s">
        <v>31818</v>
      </c>
      <c r="AA172" t="s">
        <v>4123</v>
      </c>
      <c r="AB172" t="s">
        <v>31819</v>
      </c>
      <c r="AC172" t="s">
        <v>69</v>
      </c>
      <c r="AD172" t="s">
        <v>31820</v>
      </c>
      <c r="AE172" t="s">
        <v>69</v>
      </c>
      <c r="AF172" t="s">
        <v>69</v>
      </c>
      <c r="AG172" t="s">
        <v>69</v>
      </c>
      <c r="AH172" t="s">
        <v>69</v>
      </c>
      <c r="AI172" t="s">
        <v>69</v>
      </c>
      <c r="AJ172" t="s">
        <v>69</v>
      </c>
      <c r="AK172" t="s">
        <v>69</v>
      </c>
      <c r="AL172">
        <v>49</v>
      </c>
      <c r="AM172">
        <v>26</v>
      </c>
      <c r="AN172">
        <v>26</v>
      </c>
      <c r="AO172">
        <v>1</v>
      </c>
      <c r="AP172">
        <v>19</v>
      </c>
      <c r="AQ172" t="s">
        <v>17140</v>
      </c>
      <c r="AR172" t="s">
        <v>8517</v>
      </c>
      <c r="AS172" t="s">
        <v>17141</v>
      </c>
      <c r="AT172" t="s">
        <v>4124</v>
      </c>
      <c r="AU172" t="s">
        <v>69</v>
      </c>
      <c r="AV172" t="s">
        <v>69</v>
      </c>
      <c r="AW172" t="s">
        <v>4122</v>
      </c>
      <c r="AX172" t="s">
        <v>31821</v>
      </c>
      <c r="AY172" t="s">
        <v>155</v>
      </c>
      <c r="AZ172">
        <v>2000</v>
      </c>
      <c r="BA172">
        <v>27</v>
      </c>
      <c r="BB172" t="s">
        <v>1726</v>
      </c>
      <c r="BC172" t="s">
        <v>69</v>
      </c>
      <c r="BD172" t="s">
        <v>69</v>
      </c>
      <c r="BE172" t="s">
        <v>69</v>
      </c>
      <c r="BF172" t="s">
        <v>69</v>
      </c>
      <c r="BG172">
        <v>301</v>
      </c>
      <c r="BH172">
        <v>325</v>
      </c>
      <c r="BI172" t="s">
        <v>69</v>
      </c>
      <c r="BJ172" t="s">
        <v>4125</v>
      </c>
      <c r="BK172" t="str">
        <f>HYPERLINK("http://dx.doi.org/10.1016/S0304-422X(00)00007-3","http://dx.doi.org/10.1016/S0304-422X(00)00007-3")</f>
        <v>http://dx.doi.org/10.1016/S0304-422X(00)00007-3</v>
      </c>
      <c r="BL172" t="s">
        <v>69</v>
      </c>
      <c r="BM172" t="s">
        <v>69</v>
      </c>
      <c r="BN172">
        <v>25</v>
      </c>
      <c r="BO172" t="s">
        <v>31822</v>
      </c>
      <c r="BP172" t="s">
        <v>11207</v>
      </c>
      <c r="BQ172" t="s">
        <v>31822</v>
      </c>
      <c r="BR172" t="s">
        <v>31823</v>
      </c>
      <c r="BS172" t="s">
        <v>4126</v>
      </c>
      <c r="BT172" t="s">
        <v>69</v>
      </c>
      <c r="BU172" t="s">
        <v>69</v>
      </c>
      <c r="BV172" t="s">
        <v>69</v>
      </c>
      <c r="BW172" t="s">
        <v>69</v>
      </c>
      <c r="BX172" t="s">
        <v>8526</v>
      </c>
      <c r="BY172" t="str">
        <f>HYPERLINK("https%3A%2F%2Fwww.webofscience.com%2Fwos%2Fwoscc%2Ffull-record%2FWOS:000087951200001","View Full Record in Web of Science")</f>
        <v>View Full Record in Web of Science</v>
      </c>
    </row>
    <row r="173" spans="1:77" ht="12.5" x14ac:dyDescent="0.25">
      <c r="A173" t="s">
        <v>8495</v>
      </c>
      <c r="B173" s="22" t="s">
        <v>32931</v>
      </c>
      <c r="C173" s="7"/>
      <c r="D173" s="7"/>
      <c r="E173" s="7"/>
      <c r="F173" t="s">
        <v>67</v>
      </c>
      <c r="G173" t="s">
        <v>20110</v>
      </c>
      <c r="H173" t="s">
        <v>69</v>
      </c>
      <c r="I173" t="s">
        <v>69</v>
      </c>
      <c r="J173" t="s">
        <v>69</v>
      </c>
      <c r="K173" t="s">
        <v>20111</v>
      </c>
      <c r="L173" t="s">
        <v>69</v>
      </c>
      <c r="M173" t="s">
        <v>69</v>
      </c>
      <c r="N173" t="s">
        <v>20112</v>
      </c>
      <c r="O173" t="s">
        <v>20113</v>
      </c>
      <c r="P173" t="s">
        <v>69</v>
      </c>
      <c r="Q173" t="s">
        <v>69</v>
      </c>
      <c r="R173" t="s">
        <v>8505</v>
      </c>
      <c r="S173" t="s">
        <v>8506</v>
      </c>
      <c r="T173" t="s">
        <v>69</v>
      </c>
      <c r="U173" t="s">
        <v>69</v>
      </c>
      <c r="V173" t="s">
        <v>69</v>
      </c>
      <c r="W173" t="s">
        <v>69</v>
      </c>
      <c r="X173" t="s">
        <v>69</v>
      </c>
      <c r="Y173" t="s">
        <v>20114</v>
      </c>
      <c r="Z173" t="s">
        <v>20115</v>
      </c>
      <c r="AA173" t="s">
        <v>20116</v>
      </c>
      <c r="AB173" t="s">
        <v>20117</v>
      </c>
      <c r="AC173" t="s">
        <v>69</v>
      </c>
      <c r="AD173" t="s">
        <v>20118</v>
      </c>
      <c r="AE173" t="s">
        <v>20119</v>
      </c>
      <c r="AF173" t="s">
        <v>20120</v>
      </c>
      <c r="AG173" t="s">
        <v>20121</v>
      </c>
      <c r="AH173" t="s">
        <v>69</v>
      </c>
      <c r="AI173" t="s">
        <v>69</v>
      </c>
      <c r="AJ173" t="s">
        <v>69</v>
      </c>
      <c r="AK173" t="s">
        <v>69</v>
      </c>
      <c r="AL173">
        <v>102</v>
      </c>
      <c r="AM173">
        <v>11</v>
      </c>
      <c r="AN173">
        <v>12</v>
      </c>
      <c r="AO173">
        <v>3</v>
      </c>
      <c r="AP173">
        <v>73</v>
      </c>
      <c r="AQ173" t="s">
        <v>8636</v>
      </c>
      <c r="AR173" t="s">
        <v>8637</v>
      </c>
      <c r="AS173" t="s">
        <v>8638</v>
      </c>
      <c r="AT173" t="s">
        <v>20122</v>
      </c>
      <c r="AU173" t="s">
        <v>20123</v>
      </c>
      <c r="AV173" t="s">
        <v>69</v>
      </c>
      <c r="AW173" t="s">
        <v>20124</v>
      </c>
      <c r="AX173" t="s">
        <v>20125</v>
      </c>
      <c r="AY173" t="s">
        <v>201</v>
      </c>
      <c r="AZ173">
        <v>2017</v>
      </c>
      <c r="BA173">
        <v>61</v>
      </c>
      <c r="BB173" t="s">
        <v>69</v>
      </c>
      <c r="BC173" t="s">
        <v>69</v>
      </c>
      <c r="BD173" t="s">
        <v>69</v>
      </c>
      <c r="BE173" t="s">
        <v>69</v>
      </c>
      <c r="BF173" t="s">
        <v>69</v>
      </c>
      <c r="BG173">
        <v>511</v>
      </c>
      <c r="BH173">
        <v>522</v>
      </c>
      <c r="BI173" t="s">
        <v>69</v>
      </c>
      <c r="BJ173" t="s">
        <v>20126</v>
      </c>
      <c r="BK173" t="str">
        <f>HYPERLINK("http://dx.doi.org/10.1016/j.tourman.2017.03.023","http://dx.doi.org/10.1016/j.tourman.2017.03.023")</f>
        <v>http://dx.doi.org/10.1016/j.tourman.2017.03.023</v>
      </c>
      <c r="BL173" t="s">
        <v>69</v>
      </c>
      <c r="BM173" t="s">
        <v>69</v>
      </c>
      <c r="BN173">
        <v>12</v>
      </c>
      <c r="BO173" t="s">
        <v>20127</v>
      </c>
      <c r="BP173" t="s">
        <v>8661</v>
      </c>
      <c r="BQ173" t="s">
        <v>20128</v>
      </c>
      <c r="BR173" t="s">
        <v>20129</v>
      </c>
      <c r="BS173" t="s">
        <v>20130</v>
      </c>
      <c r="BT173" t="s">
        <v>69</v>
      </c>
      <c r="BU173" t="s">
        <v>10995</v>
      </c>
      <c r="BV173" t="s">
        <v>69</v>
      </c>
      <c r="BW173" t="s">
        <v>69</v>
      </c>
      <c r="BX173" t="s">
        <v>8526</v>
      </c>
      <c r="BY173" t="str">
        <f>HYPERLINK("https%3A%2F%2Fwww.webofscience.com%2Fwos%2Fwoscc%2Ffull-record%2FWOS:000401398200051","View Full Record in Web of Science")</f>
        <v>View Full Record in Web of Science</v>
      </c>
    </row>
    <row r="174" spans="1:77" ht="12.5" x14ac:dyDescent="0.25">
      <c r="A174" t="s">
        <v>8495</v>
      </c>
      <c r="B174" s="7" t="s">
        <v>32933</v>
      </c>
      <c r="C174" s="7"/>
      <c r="D174" s="7"/>
      <c r="E174" s="7"/>
      <c r="F174" t="s">
        <v>67</v>
      </c>
      <c r="G174" t="s">
        <v>2688</v>
      </c>
      <c r="H174" t="s">
        <v>69</v>
      </c>
      <c r="I174" t="s">
        <v>69</v>
      </c>
      <c r="J174" t="s">
        <v>69</v>
      </c>
      <c r="K174" t="s">
        <v>2689</v>
      </c>
      <c r="L174" t="s">
        <v>69</v>
      </c>
      <c r="M174" t="s">
        <v>69</v>
      </c>
      <c r="N174" t="s">
        <v>2690</v>
      </c>
      <c r="O174" t="s">
        <v>2691</v>
      </c>
      <c r="P174" t="s">
        <v>69</v>
      </c>
      <c r="Q174" t="s">
        <v>69</v>
      </c>
      <c r="R174" t="s">
        <v>8505</v>
      </c>
      <c r="S174" t="s">
        <v>8506</v>
      </c>
      <c r="T174" t="s">
        <v>69</v>
      </c>
      <c r="U174" t="s">
        <v>69</v>
      </c>
      <c r="V174" t="s">
        <v>69</v>
      </c>
      <c r="W174" t="s">
        <v>69</v>
      </c>
      <c r="X174" t="s">
        <v>69</v>
      </c>
      <c r="Y174" t="s">
        <v>20609</v>
      </c>
      <c r="Z174" t="s">
        <v>20610</v>
      </c>
      <c r="AA174" t="s">
        <v>2692</v>
      </c>
      <c r="AB174" t="s">
        <v>20611</v>
      </c>
      <c r="AC174" t="s">
        <v>69</v>
      </c>
      <c r="AD174" t="s">
        <v>20612</v>
      </c>
      <c r="AE174" t="s">
        <v>20613</v>
      </c>
      <c r="AF174" t="s">
        <v>20614</v>
      </c>
      <c r="AG174" t="s">
        <v>20615</v>
      </c>
      <c r="AH174" t="s">
        <v>69</v>
      </c>
      <c r="AI174" t="s">
        <v>69</v>
      </c>
      <c r="AJ174" t="s">
        <v>69</v>
      </c>
      <c r="AK174" t="s">
        <v>69</v>
      </c>
      <c r="AL174">
        <v>81</v>
      </c>
      <c r="AM174">
        <v>18</v>
      </c>
      <c r="AN174">
        <v>18</v>
      </c>
      <c r="AO174">
        <v>1</v>
      </c>
      <c r="AP174">
        <v>16</v>
      </c>
      <c r="AQ174" t="s">
        <v>8586</v>
      </c>
      <c r="AR174" t="s">
        <v>8587</v>
      </c>
      <c r="AS174" t="s">
        <v>8588</v>
      </c>
      <c r="AT174" t="s">
        <v>2693</v>
      </c>
      <c r="AU174" t="s">
        <v>2694</v>
      </c>
      <c r="AV174" t="s">
        <v>69</v>
      </c>
      <c r="AW174" t="s">
        <v>20616</v>
      </c>
      <c r="AX174" t="s">
        <v>20617</v>
      </c>
      <c r="AY174" t="s">
        <v>69</v>
      </c>
      <c r="AZ174">
        <v>2017</v>
      </c>
      <c r="BA174">
        <v>9</v>
      </c>
      <c r="BB174">
        <v>5</v>
      </c>
      <c r="BC174" t="s">
        <v>69</v>
      </c>
      <c r="BD174" t="s">
        <v>69</v>
      </c>
      <c r="BE174" t="s">
        <v>69</v>
      </c>
      <c r="BF174" t="s">
        <v>69</v>
      </c>
      <c r="BG174">
        <v>707</v>
      </c>
      <c r="BH174">
        <v>727</v>
      </c>
      <c r="BI174" t="s">
        <v>69</v>
      </c>
      <c r="BJ174" t="s">
        <v>2695</v>
      </c>
      <c r="BK174" t="str">
        <f>HYPERLINK("http://dx.doi.org/10.1108/IJCCSM-09-2016-0142","http://dx.doi.org/10.1108/IJCCSM-09-2016-0142")</f>
        <v>http://dx.doi.org/10.1108/IJCCSM-09-2016-0142</v>
      </c>
      <c r="BL174" t="s">
        <v>69</v>
      </c>
      <c r="BM174" t="s">
        <v>69</v>
      </c>
      <c r="BN174">
        <v>21</v>
      </c>
      <c r="BO174" t="s">
        <v>8660</v>
      </c>
      <c r="BP174" t="s">
        <v>8661</v>
      </c>
      <c r="BQ174" t="s">
        <v>8662</v>
      </c>
      <c r="BR174" t="s">
        <v>20618</v>
      </c>
      <c r="BS174" t="s">
        <v>2696</v>
      </c>
      <c r="BT174" t="s">
        <v>69</v>
      </c>
      <c r="BU174" t="s">
        <v>20619</v>
      </c>
      <c r="BV174" t="s">
        <v>69</v>
      </c>
      <c r="BW174" t="s">
        <v>69</v>
      </c>
      <c r="BX174" t="s">
        <v>8526</v>
      </c>
      <c r="BY174" t="str">
        <f>HYPERLINK("https%3A%2F%2Fwww.webofscience.com%2Fwos%2Fwoscc%2Ffull-record%2FWOS:000408830700009","View Full Record in Web of Science")</f>
        <v>View Full Record in Web of Science</v>
      </c>
    </row>
    <row r="175" spans="1:77" ht="12.5" x14ac:dyDescent="0.25">
      <c r="A175" t="s">
        <v>8495</v>
      </c>
      <c r="B175" s="7" t="s">
        <v>32933</v>
      </c>
      <c r="C175" s="7"/>
      <c r="D175" s="7"/>
      <c r="E175" s="7"/>
      <c r="F175" t="s">
        <v>67</v>
      </c>
      <c r="G175" t="s">
        <v>1656</v>
      </c>
      <c r="H175" t="s">
        <v>69</v>
      </c>
      <c r="I175" t="s">
        <v>69</v>
      </c>
      <c r="J175" t="s">
        <v>69</v>
      </c>
      <c r="K175" t="s">
        <v>1657</v>
      </c>
      <c r="L175" t="s">
        <v>69</v>
      </c>
      <c r="M175" t="s">
        <v>69</v>
      </c>
      <c r="N175" t="s">
        <v>1658</v>
      </c>
      <c r="O175" t="s">
        <v>1659</v>
      </c>
      <c r="P175" t="s">
        <v>69</v>
      </c>
      <c r="Q175" t="s">
        <v>69</v>
      </c>
      <c r="R175" t="s">
        <v>8505</v>
      </c>
      <c r="S175" t="s">
        <v>8506</v>
      </c>
      <c r="T175" t="s">
        <v>69</v>
      </c>
      <c r="U175" t="s">
        <v>69</v>
      </c>
      <c r="V175" t="s">
        <v>69</v>
      </c>
      <c r="W175" t="s">
        <v>69</v>
      </c>
      <c r="X175" t="s">
        <v>69</v>
      </c>
      <c r="Y175" t="s">
        <v>30858</v>
      </c>
      <c r="Z175" t="s">
        <v>69</v>
      </c>
      <c r="AA175" t="s">
        <v>1660</v>
      </c>
      <c r="AB175" t="s">
        <v>30859</v>
      </c>
      <c r="AC175" t="s">
        <v>69</v>
      </c>
      <c r="AD175" t="s">
        <v>30860</v>
      </c>
      <c r="AE175" t="s">
        <v>69</v>
      </c>
      <c r="AF175" t="s">
        <v>1661</v>
      </c>
      <c r="AG175" t="s">
        <v>1662</v>
      </c>
      <c r="AH175" t="s">
        <v>69</v>
      </c>
      <c r="AI175" t="s">
        <v>69</v>
      </c>
      <c r="AJ175" t="s">
        <v>69</v>
      </c>
      <c r="AK175" t="s">
        <v>69</v>
      </c>
      <c r="AL175">
        <v>72</v>
      </c>
      <c r="AM175">
        <v>5</v>
      </c>
      <c r="AN175">
        <v>5</v>
      </c>
      <c r="AO175">
        <v>0</v>
      </c>
      <c r="AP175">
        <v>5</v>
      </c>
      <c r="AQ175" t="s">
        <v>27240</v>
      </c>
      <c r="AR175" t="s">
        <v>8587</v>
      </c>
      <c r="AS175" t="s">
        <v>8588</v>
      </c>
      <c r="AT175" t="s">
        <v>1663</v>
      </c>
      <c r="AU175" t="s">
        <v>1664</v>
      </c>
      <c r="AV175" t="s">
        <v>69</v>
      </c>
      <c r="AW175" t="s">
        <v>30861</v>
      </c>
      <c r="AX175" t="s">
        <v>30862</v>
      </c>
      <c r="AY175" t="s">
        <v>69</v>
      </c>
      <c r="AZ175">
        <v>2005</v>
      </c>
      <c r="BA175">
        <v>39</v>
      </c>
      <c r="BB175" t="s">
        <v>336</v>
      </c>
      <c r="BC175" t="s">
        <v>69</v>
      </c>
      <c r="BD175" t="s">
        <v>69</v>
      </c>
      <c r="BE175" t="s">
        <v>69</v>
      </c>
      <c r="BF175" t="s">
        <v>69</v>
      </c>
      <c r="BG175">
        <v>110</v>
      </c>
      <c r="BH175">
        <v>128</v>
      </c>
      <c r="BI175" t="s">
        <v>69</v>
      </c>
      <c r="BJ175" t="s">
        <v>1665</v>
      </c>
      <c r="BK175" t="str">
        <f>HYPERLINK("http://dx.doi.org/10.1108/03090560510572043","http://dx.doi.org/10.1108/03090560510572043")</f>
        <v>http://dx.doi.org/10.1108/03090560510572043</v>
      </c>
      <c r="BL175" t="s">
        <v>69</v>
      </c>
      <c r="BM175" t="s">
        <v>69</v>
      </c>
      <c r="BN175">
        <v>19</v>
      </c>
      <c r="BO175" t="s">
        <v>8444</v>
      </c>
      <c r="BP175" t="s">
        <v>8661</v>
      </c>
      <c r="BQ175" t="s">
        <v>8594</v>
      </c>
      <c r="BR175" t="s">
        <v>30863</v>
      </c>
      <c r="BS175" t="s">
        <v>1666</v>
      </c>
      <c r="BT175" t="s">
        <v>69</v>
      </c>
      <c r="BU175" t="s">
        <v>69</v>
      </c>
      <c r="BV175" t="s">
        <v>69</v>
      </c>
      <c r="BW175" t="s">
        <v>69</v>
      </c>
      <c r="BX175" t="s">
        <v>8526</v>
      </c>
      <c r="BY175" t="str">
        <f>HYPERLINK("https%3A%2F%2Fwww.webofscience.com%2Fwos%2Fwoscc%2Ffull-record%2FWOS:000209058800007","View Full Record in Web of Science")</f>
        <v>View Full Record in Web of Science</v>
      </c>
    </row>
    <row r="176" spans="1:77" x14ac:dyDescent="0.3">
      <c r="A176" t="s">
        <v>8495</v>
      </c>
      <c r="B176" s="9" t="s">
        <v>32948</v>
      </c>
      <c r="C176" s="9" t="s">
        <v>33088</v>
      </c>
      <c r="D176" s="10" t="s">
        <v>8490</v>
      </c>
      <c r="E176" s="9" t="s">
        <v>8490</v>
      </c>
      <c r="F176" t="s">
        <v>67</v>
      </c>
      <c r="G176" t="s">
        <v>22237</v>
      </c>
      <c r="H176" t="s">
        <v>69</v>
      </c>
      <c r="I176" t="s">
        <v>69</v>
      </c>
      <c r="J176" t="s">
        <v>69</v>
      </c>
      <c r="K176" t="s">
        <v>22238</v>
      </c>
      <c r="L176" t="s">
        <v>69</v>
      </c>
      <c r="M176" t="s">
        <v>69</v>
      </c>
      <c r="N176" t="s">
        <v>22239</v>
      </c>
      <c r="O176" t="s">
        <v>5060</v>
      </c>
      <c r="P176" t="s">
        <v>69</v>
      </c>
      <c r="Q176" t="s">
        <v>69</v>
      </c>
      <c r="R176" t="s">
        <v>8505</v>
      </c>
      <c r="S176" t="s">
        <v>8506</v>
      </c>
      <c r="T176" t="s">
        <v>69</v>
      </c>
      <c r="U176" t="s">
        <v>69</v>
      </c>
      <c r="V176" t="s">
        <v>69</v>
      </c>
      <c r="W176" t="s">
        <v>69</v>
      </c>
      <c r="X176" t="s">
        <v>69</v>
      </c>
      <c r="Y176" t="s">
        <v>22240</v>
      </c>
      <c r="Z176" t="s">
        <v>22241</v>
      </c>
      <c r="AA176" t="s">
        <v>22242</v>
      </c>
      <c r="AB176" t="s">
        <v>22243</v>
      </c>
      <c r="AC176" t="s">
        <v>69</v>
      </c>
      <c r="AD176" t="s">
        <v>22244</v>
      </c>
      <c r="AE176" t="s">
        <v>22245</v>
      </c>
      <c r="AF176" t="s">
        <v>69</v>
      </c>
      <c r="AG176" t="s">
        <v>69</v>
      </c>
      <c r="AH176" t="s">
        <v>22246</v>
      </c>
      <c r="AI176" t="s">
        <v>22247</v>
      </c>
      <c r="AJ176" t="s">
        <v>22248</v>
      </c>
      <c r="AK176" t="s">
        <v>69</v>
      </c>
      <c r="AL176">
        <v>89</v>
      </c>
      <c r="AM176">
        <v>53</v>
      </c>
      <c r="AN176">
        <v>54</v>
      </c>
      <c r="AO176">
        <v>1</v>
      </c>
      <c r="AP176">
        <v>26</v>
      </c>
      <c r="AQ176" t="s">
        <v>8865</v>
      </c>
      <c r="AR176" t="s">
        <v>8612</v>
      </c>
      <c r="AS176" t="s">
        <v>8866</v>
      </c>
      <c r="AT176" t="s">
        <v>5062</v>
      </c>
      <c r="AU176" t="s">
        <v>5063</v>
      </c>
      <c r="AV176" t="s">
        <v>69</v>
      </c>
      <c r="AW176" t="s">
        <v>19666</v>
      </c>
      <c r="AX176" t="s">
        <v>19667</v>
      </c>
      <c r="AY176" t="s">
        <v>69</v>
      </c>
      <c r="AZ176">
        <v>2016</v>
      </c>
      <c r="BA176">
        <v>37</v>
      </c>
      <c r="BB176">
        <v>4</v>
      </c>
      <c r="BC176" t="s">
        <v>69</v>
      </c>
      <c r="BD176" t="s">
        <v>69</v>
      </c>
      <c r="BE176" t="s">
        <v>69</v>
      </c>
      <c r="BF176" t="s">
        <v>69</v>
      </c>
      <c r="BG176">
        <v>572</v>
      </c>
      <c r="BH176">
        <v>589</v>
      </c>
      <c r="BI176" t="s">
        <v>69</v>
      </c>
      <c r="BJ176" t="s">
        <v>22249</v>
      </c>
      <c r="BK176" t="str">
        <f>HYPERLINK("http://dx.doi.org/10.1080/02723638.2016.1139879","http://dx.doi.org/10.1080/02723638.2016.1139879")</f>
        <v>http://dx.doi.org/10.1080/02723638.2016.1139879</v>
      </c>
      <c r="BL176" t="s">
        <v>69</v>
      </c>
      <c r="BM176" t="s">
        <v>69</v>
      </c>
      <c r="BN176">
        <v>18</v>
      </c>
      <c r="BO176" t="s">
        <v>19668</v>
      </c>
      <c r="BP176" t="s">
        <v>8661</v>
      </c>
      <c r="BQ176" t="s">
        <v>19668</v>
      </c>
      <c r="BR176" t="s">
        <v>22250</v>
      </c>
      <c r="BS176" t="s">
        <v>22251</v>
      </c>
      <c r="BT176" t="s">
        <v>69</v>
      </c>
      <c r="BU176" t="s">
        <v>69</v>
      </c>
      <c r="BV176" t="s">
        <v>69</v>
      </c>
      <c r="BW176" t="s">
        <v>69</v>
      </c>
      <c r="BX176" t="s">
        <v>8526</v>
      </c>
      <c r="BY176" t="str">
        <f>HYPERLINK("https%3A%2F%2Fwww.webofscience.com%2Fwos%2Fwoscc%2Ffull-record%2FWOS:000379762300007","View Full Record in Web of Science")</f>
        <v>View Full Record in Web of Science</v>
      </c>
    </row>
    <row r="177" spans="1:77" ht="12.5" x14ac:dyDescent="0.25">
      <c r="A177" t="s">
        <v>8495</v>
      </c>
      <c r="B177" s="22" t="s">
        <v>32931</v>
      </c>
      <c r="C177" s="7"/>
      <c r="D177" s="7"/>
      <c r="E177" s="7"/>
      <c r="F177" t="s">
        <v>67</v>
      </c>
      <c r="G177" t="s">
        <v>8720</v>
      </c>
      <c r="H177" t="s">
        <v>69</v>
      </c>
      <c r="I177" t="s">
        <v>69</v>
      </c>
      <c r="J177" t="s">
        <v>69</v>
      </c>
      <c r="K177" t="s">
        <v>8721</v>
      </c>
      <c r="L177" t="s">
        <v>69</v>
      </c>
      <c r="M177" t="s">
        <v>69</v>
      </c>
      <c r="N177" t="s">
        <v>8722</v>
      </c>
      <c r="O177" t="s">
        <v>8723</v>
      </c>
      <c r="P177" t="s">
        <v>69</v>
      </c>
      <c r="Q177" t="s">
        <v>69</v>
      </c>
      <c r="R177" t="s">
        <v>8505</v>
      </c>
      <c r="S177" t="s">
        <v>8556</v>
      </c>
      <c r="T177" t="s">
        <v>69</v>
      </c>
      <c r="U177" t="s">
        <v>69</v>
      </c>
      <c r="V177" t="s">
        <v>69</v>
      </c>
      <c r="W177" t="s">
        <v>69</v>
      </c>
      <c r="X177" t="s">
        <v>69</v>
      </c>
      <c r="Y177" t="s">
        <v>8724</v>
      </c>
      <c r="Z177" t="s">
        <v>8725</v>
      </c>
      <c r="AA177" t="s">
        <v>8726</v>
      </c>
      <c r="AB177" t="s">
        <v>8727</v>
      </c>
      <c r="AC177" t="s">
        <v>69</v>
      </c>
      <c r="AD177" t="s">
        <v>8728</v>
      </c>
      <c r="AE177" t="s">
        <v>8729</v>
      </c>
      <c r="AF177" t="s">
        <v>69</v>
      </c>
      <c r="AG177" t="s">
        <v>8730</v>
      </c>
      <c r="AH177" t="s">
        <v>8731</v>
      </c>
      <c r="AI177" t="s">
        <v>8732</v>
      </c>
      <c r="AJ177" t="s">
        <v>8733</v>
      </c>
      <c r="AK177" t="s">
        <v>69</v>
      </c>
      <c r="AL177">
        <v>101</v>
      </c>
      <c r="AM177">
        <v>0</v>
      </c>
      <c r="AN177">
        <v>0</v>
      </c>
      <c r="AO177">
        <v>7</v>
      </c>
      <c r="AP177">
        <v>7</v>
      </c>
      <c r="AQ177" t="s">
        <v>8734</v>
      </c>
      <c r="AR177" t="s">
        <v>8735</v>
      </c>
      <c r="AS177" t="s">
        <v>8736</v>
      </c>
      <c r="AT177" t="s">
        <v>8737</v>
      </c>
      <c r="AU177" t="s">
        <v>8738</v>
      </c>
      <c r="AV177" t="s">
        <v>69</v>
      </c>
      <c r="AW177" t="s">
        <v>8739</v>
      </c>
      <c r="AX177" t="s">
        <v>8740</v>
      </c>
      <c r="AY177" t="s">
        <v>69</v>
      </c>
      <c r="AZ177" t="s">
        <v>69</v>
      </c>
      <c r="BA177" t="s">
        <v>69</v>
      </c>
      <c r="BB177" t="s">
        <v>69</v>
      </c>
      <c r="BC177" t="s">
        <v>69</v>
      </c>
      <c r="BD177" t="s">
        <v>69</v>
      </c>
      <c r="BE177" t="s">
        <v>69</v>
      </c>
      <c r="BF177" t="s">
        <v>69</v>
      </c>
      <c r="BG177" t="s">
        <v>69</v>
      </c>
      <c r="BH177" t="s">
        <v>69</v>
      </c>
      <c r="BI177" t="s">
        <v>69</v>
      </c>
      <c r="BJ177" t="s">
        <v>8741</v>
      </c>
      <c r="BK177" t="str">
        <f>HYPERLINK("http://dx.doi.org/10.1021/acs.est.1c08918","http://dx.doi.org/10.1021/acs.est.1c08918")</f>
        <v>http://dx.doi.org/10.1021/acs.est.1c08918</v>
      </c>
      <c r="BL177" t="s">
        <v>69</v>
      </c>
      <c r="BM177" t="s">
        <v>8742</v>
      </c>
      <c r="BN177">
        <v>12</v>
      </c>
      <c r="BO177" t="s">
        <v>8743</v>
      </c>
      <c r="BP177" t="s">
        <v>8548</v>
      </c>
      <c r="BQ177" t="s">
        <v>8744</v>
      </c>
      <c r="BR177" t="s">
        <v>8745</v>
      </c>
      <c r="BS177" t="s">
        <v>8747</v>
      </c>
      <c r="BT177">
        <v>35732277</v>
      </c>
      <c r="BU177" t="s">
        <v>8746</v>
      </c>
      <c r="BV177" t="s">
        <v>69</v>
      </c>
      <c r="BW177" t="s">
        <v>69</v>
      </c>
      <c r="BX177" t="s">
        <v>8526</v>
      </c>
      <c r="BY177" t="str">
        <f>HYPERLINK("https%3A%2F%2Fwww.webofscience.com%2Fwos%2Fwoscc%2Ffull-record%2FWOS:000820601900001","View Full Record in Web of Science")</f>
        <v>View Full Record in Web of Science</v>
      </c>
    </row>
    <row r="178" spans="1:77" ht="12.5" x14ac:dyDescent="0.25">
      <c r="A178" t="s">
        <v>8495</v>
      </c>
      <c r="B178" s="22" t="s">
        <v>32931</v>
      </c>
      <c r="C178" s="7"/>
      <c r="D178" s="7"/>
      <c r="E178" s="7"/>
      <c r="F178" t="s">
        <v>67</v>
      </c>
      <c r="G178" t="s">
        <v>22144</v>
      </c>
      <c r="H178" t="s">
        <v>69</v>
      </c>
      <c r="I178" t="s">
        <v>69</v>
      </c>
      <c r="J178" t="s">
        <v>69</v>
      </c>
      <c r="K178" t="s">
        <v>22145</v>
      </c>
      <c r="L178" t="s">
        <v>69</v>
      </c>
      <c r="M178" t="s">
        <v>69</v>
      </c>
      <c r="N178" t="s">
        <v>22146</v>
      </c>
      <c r="O178" t="s">
        <v>22147</v>
      </c>
      <c r="P178" t="s">
        <v>69</v>
      </c>
      <c r="Q178" t="s">
        <v>69</v>
      </c>
      <c r="R178" t="s">
        <v>8505</v>
      </c>
      <c r="S178" t="s">
        <v>8506</v>
      </c>
      <c r="T178" t="s">
        <v>69</v>
      </c>
      <c r="U178" t="s">
        <v>69</v>
      </c>
      <c r="V178" t="s">
        <v>69</v>
      </c>
      <c r="W178" t="s">
        <v>69</v>
      </c>
      <c r="X178" t="s">
        <v>69</v>
      </c>
      <c r="Y178" t="s">
        <v>22148</v>
      </c>
      <c r="Z178" t="s">
        <v>22149</v>
      </c>
      <c r="AA178" t="s">
        <v>22150</v>
      </c>
      <c r="AB178" t="s">
        <v>22151</v>
      </c>
      <c r="AC178" t="s">
        <v>69</v>
      </c>
      <c r="AD178" t="s">
        <v>22152</v>
      </c>
      <c r="AE178" t="s">
        <v>22153</v>
      </c>
      <c r="AF178" t="s">
        <v>69</v>
      </c>
      <c r="AG178" t="s">
        <v>69</v>
      </c>
      <c r="AH178" t="s">
        <v>69</v>
      </c>
      <c r="AI178" t="s">
        <v>69</v>
      </c>
      <c r="AJ178" t="s">
        <v>69</v>
      </c>
      <c r="AK178" t="s">
        <v>69</v>
      </c>
      <c r="AL178">
        <v>19</v>
      </c>
      <c r="AM178">
        <v>27</v>
      </c>
      <c r="AN178">
        <v>27</v>
      </c>
      <c r="AO178">
        <v>0</v>
      </c>
      <c r="AP178">
        <v>22</v>
      </c>
      <c r="AQ178" t="s">
        <v>9047</v>
      </c>
      <c r="AR178" t="s">
        <v>9048</v>
      </c>
      <c r="AS178" t="s">
        <v>9049</v>
      </c>
      <c r="AT178" t="s">
        <v>22154</v>
      </c>
      <c r="AU178" t="s">
        <v>22155</v>
      </c>
      <c r="AV178" t="s">
        <v>69</v>
      </c>
      <c r="AW178" t="s">
        <v>22156</v>
      </c>
      <c r="AX178" t="s">
        <v>22157</v>
      </c>
      <c r="AY178" t="s">
        <v>373</v>
      </c>
      <c r="AZ178">
        <v>2016</v>
      </c>
      <c r="BA178">
        <v>48</v>
      </c>
      <c r="BB178">
        <v>1</v>
      </c>
      <c r="BC178" t="s">
        <v>69</v>
      </c>
      <c r="BD178" t="s">
        <v>69</v>
      </c>
      <c r="BE178" t="s">
        <v>69</v>
      </c>
      <c r="BF178" t="s">
        <v>69</v>
      </c>
      <c r="BG178">
        <v>189</v>
      </c>
      <c r="BH178">
        <v>197</v>
      </c>
      <c r="BI178" t="s">
        <v>69</v>
      </c>
      <c r="BJ178" t="s">
        <v>22158</v>
      </c>
      <c r="BK178" t="str">
        <f>HYPERLINK("http://dx.doi.org/10.1007/s11250-015-0939-8","http://dx.doi.org/10.1007/s11250-015-0939-8")</f>
        <v>http://dx.doi.org/10.1007/s11250-015-0939-8</v>
      </c>
      <c r="BL178" t="s">
        <v>69</v>
      </c>
      <c r="BM178" t="s">
        <v>69</v>
      </c>
      <c r="BN178">
        <v>9</v>
      </c>
      <c r="BO178" t="s">
        <v>10221</v>
      </c>
      <c r="BP178" t="s">
        <v>8548</v>
      </c>
      <c r="BQ178" t="s">
        <v>10222</v>
      </c>
      <c r="BR178" t="s">
        <v>22159</v>
      </c>
      <c r="BS178" t="s">
        <v>22160</v>
      </c>
      <c r="BT178">
        <v>26526955</v>
      </c>
      <c r="BU178" t="s">
        <v>69</v>
      </c>
      <c r="BV178" t="s">
        <v>69</v>
      </c>
      <c r="BW178" t="s">
        <v>69</v>
      </c>
      <c r="BX178" t="s">
        <v>8526</v>
      </c>
      <c r="BY178" t="str">
        <f>HYPERLINK("https%3A%2F%2Fwww.webofscience.com%2Fwos%2Fwoscc%2Ffull-record%2FWOS:000369009100025","View Full Record in Web of Science")</f>
        <v>View Full Record in Web of Science</v>
      </c>
    </row>
    <row r="179" spans="1:77" x14ac:dyDescent="0.3">
      <c r="A179" t="s">
        <v>8495</v>
      </c>
      <c r="B179" s="9" t="s">
        <v>32950</v>
      </c>
      <c r="C179" s="9" t="s">
        <v>33115</v>
      </c>
      <c r="D179" s="9" t="s">
        <v>8491</v>
      </c>
      <c r="E179" s="9" t="s">
        <v>8490</v>
      </c>
      <c r="F179" t="s">
        <v>67</v>
      </c>
      <c r="G179" t="s">
        <v>25970</v>
      </c>
      <c r="H179" t="s">
        <v>69</v>
      </c>
      <c r="I179" t="s">
        <v>69</v>
      </c>
      <c r="J179" t="s">
        <v>69</v>
      </c>
      <c r="K179" t="s">
        <v>25971</v>
      </c>
      <c r="L179" t="s">
        <v>69</v>
      </c>
      <c r="M179" t="s">
        <v>69</v>
      </c>
      <c r="N179" t="s">
        <v>25972</v>
      </c>
      <c r="O179" t="s">
        <v>12565</v>
      </c>
      <c r="P179" t="s">
        <v>69</v>
      </c>
      <c r="Q179" t="s">
        <v>69</v>
      </c>
      <c r="R179" t="s">
        <v>8505</v>
      </c>
      <c r="S179" t="s">
        <v>8506</v>
      </c>
      <c r="T179" t="s">
        <v>69</v>
      </c>
      <c r="U179" t="s">
        <v>69</v>
      </c>
      <c r="V179" t="s">
        <v>69</v>
      </c>
      <c r="W179" t="s">
        <v>69</v>
      </c>
      <c r="X179" t="s">
        <v>69</v>
      </c>
      <c r="Y179" t="s">
        <v>25973</v>
      </c>
      <c r="Z179" t="s">
        <v>25974</v>
      </c>
      <c r="AA179" t="s">
        <v>25975</v>
      </c>
      <c r="AB179" t="s">
        <v>25976</v>
      </c>
      <c r="AC179" t="s">
        <v>69</v>
      </c>
      <c r="AD179" t="s">
        <v>25977</v>
      </c>
      <c r="AE179" t="s">
        <v>25978</v>
      </c>
      <c r="AF179" t="s">
        <v>12571</v>
      </c>
      <c r="AG179" t="s">
        <v>12572</v>
      </c>
      <c r="AH179" t="s">
        <v>69</v>
      </c>
      <c r="AI179" t="s">
        <v>69</v>
      </c>
      <c r="AJ179" t="s">
        <v>69</v>
      </c>
      <c r="AK179" t="s">
        <v>69</v>
      </c>
      <c r="AL179">
        <v>61</v>
      </c>
      <c r="AM179">
        <v>49</v>
      </c>
      <c r="AN179">
        <v>49</v>
      </c>
      <c r="AO179">
        <v>2</v>
      </c>
      <c r="AP179">
        <v>27</v>
      </c>
      <c r="AQ179" t="s">
        <v>8636</v>
      </c>
      <c r="AR179" t="s">
        <v>8637</v>
      </c>
      <c r="AS179" t="s">
        <v>8638</v>
      </c>
      <c r="AT179" t="s">
        <v>12576</v>
      </c>
      <c r="AU179" t="s">
        <v>12577</v>
      </c>
      <c r="AV179" t="s">
        <v>69</v>
      </c>
      <c r="AW179" t="s">
        <v>12578</v>
      </c>
      <c r="AX179" t="s">
        <v>12579</v>
      </c>
      <c r="AY179" t="s">
        <v>155</v>
      </c>
      <c r="AZ179">
        <v>2012</v>
      </c>
      <c r="BA179">
        <v>31</v>
      </c>
      <c r="BB179">
        <v>2</v>
      </c>
      <c r="BC179" t="s">
        <v>69</v>
      </c>
      <c r="BD179" t="s">
        <v>69</v>
      </c>
      <c r="BE179" t="s">
        <v>69</v>
      </c>
      <c r="BF179" t="s">
        <v>69</v>
      </c>
      <c r="BG179">
        <v>405</v>
      </c>
      <c r="BH179">
        <v>418</v>
      </c>
      <c r="BI179" t="s">
        <v>69</v>
      </c>
      <c r="BJ179" t="s">
        <v>25979</v>
      </c>
      <c r="BK179" t="str">
        <f>HYPERLINK("http://dx.doi.org/10.1016/j.ijhm.2011.06.016","http://dx.doi.org/10.1016/j.ijhm.2011.06.016")</f>
        <v>http://dx.doi.org/10.1016/j.ijhm.2011.06.016</v>
      </c>
      <c r="BL179" t="s">
        <v>69</v>
      </c>
      <c r="BM179" t="s">
        <v>69</v>
      </c>
      <c r="BN179">
        <v>14</v>
      </c>
      <c r="BO179" t="s">
        <v>10278</v>
      </c>
      <c r="BP179" t="s">
        <v>8661</v>
      </c>
      <c r="BQ179" t="s">
        <v>10279</v>
      </c>
      <c r="BR179" t="s">
        <v>25980</v>
      </c>
      <c r="BS179" t="s">
        <v>25981</v>
      </c>
      <c r="BT179" t="s">
        <v>69</v>
      </c>
      <c r="BU179" t="s">
        <v>69</v>
      </c>
      <c r="BV179" t="s">
        <v>69</v>
      </c>
      <c r="BW179" t="s">
        <v>69</v>
      </c>
      <c r="BX179" t="s">
        <v>8526</v>
      </c>
      <c r="BY179" t="str">
        <f>HYPERLINK("https%3A%2F%2Fwww.webofscience.com%2Fwos%2Fwoscc%2Ffull-record%2FWOS:000300467900013","View Full Record in Web of Science")</f>
        <v>View Full Record in Web of Science</v>
      </c>
    </row>
    <row r="180" spans="1:77" ht="12.5" x14ac:dyDescent="0.25">
      <c r="A180" t="s">
        <v>8495</v>
      </c>
      <c r="B180" s="7" t="s">
        <v>32933</v>
      </c>
      <c r="C180" s="7"/>
      <c r="D180" s="7"/>
      <c r="E180" s="7"/>
      <c r="F180" t="s">
        <v>67</v>
      </c>
      <c r="G180" t="s">
        <v>5208</v>
      </c>
      <c r="H180" t="s">
        <v>69</v>
      </c>
      <c r="I180" t="s">
        <v>69</v>
      </c>
      <c r="J180" t="s">
        <v>69</v>
      </c>
      <c r="K180" t="s">
        <v>5209</v>
      </c>
      <c r="L180" t="s">
        <v>69</v>
      </c>
      <c r="M180" t="s">
        <v>69</v>
      </c>
      <c r="N180" t="s">
        <v>5210</v>
      </c>
      <c r="O180" t="s">
        <v>294</v>
      </c>
      <c r="P180" t="s">
        <v>69</v>
      </c>
      <c r="Q180" t="s">
        <v>69</v>
      </c>
      <c r="R180" t="s">
        <v>8505</v>
      </c>
      <c r="S180" t="s">
        <v>8506</v>
      </c>
      <c r="T180" t="s">
        <v>69</v>
      </c>
      <c r="U180" t="s">
        <v>69</v>
      </c>
      <c r="V180" t="s">
        <v>69</v>
      </c>
      <c r="W180" t="s">
        <v>69</v>
      </c>
      <c r="X180" t="s">
        <v>69</v>
      </c>
      <c r="Y180" t="s">
        <v>26208</v>
      </c>
      <c r="Z180" t="s">
        <v>26209</v>
      </c>
      <c r="AA180" t="s">
        <v>5211</v>
      </c>
      <c r="AB180" t="s">
        <v>26210</v>
      </c>
      <c r="AC180" t="s">
        <v>69</v>
      </c>
      <c r="AD180" t="s">
        <v>26211</v>
      </c>
      <c r="AE180" t="s">
        <v>26212</v>
      </c>
      <c r="AF180" t="s">
        <v>26213</v>
      </c>
      <c r="AG180" t="s">
        <v>5212</v>
      </c>
      <c r="AH180" t="s">
        <v>26214</v>
      </c>
      <c r="AI180" t="s">
        <v>20592</v>
      </c>
      <c r="AJ180" t="s">
        <v>26215</v>
      </c>
      <c r="AK180" t="s">
        <v>69</v>
      </c>
      <c r="AL180">
        <v>39</v>
      </c>
      <c r="AM180">
        <v>308</v>
      </c>
      <c r="AN180">
        <v>330</v>
      </c>
      <c r="AO180">
        <v>22</v>
      </c>
      <c r="AP180">
        <v>342</v>
      </c>
      <c r="AQ180" t="s">
        <v>8563</v>
      </c>
      <c r="AR180" t="s">
        <v>8564</v>
      </c>
      <c r="AS180" t="s">
        <v>8565</v>
      </c>
      <c r="AT180" t="s">
        <v>297</v>
      </c>
      <c r="AU180" t="s">
        <v>298</v>
      </c>
      <c r="AV180" t="s">
        <v>69</v>
      </c>
      <c r="AW180" t="s">
        <v>13428</v>
      </c>
      <c r="AX180" t="s">
        <v>13429</v>
      </c>
      <c r="AY180" t="s">
        <v>191</v>
      </c>
      <c r="AZ180">
        <v>2012</v>
      </c>
      <c r="BA180">
        <v>19</v>
      </c>
      <c r="BB180">
        <v>2</v>
      </c>
      <c r="BC180" t="s">
        <v>69</v>
      </c>
      <c r="BD180" t="s">
        <v>69</v>
      </c>
      <c r="BE180" t="s">
        <v>69</v>
      </c>
      <c r="BF180" t="s">
        <v>69</v>
      </c>
      <c r="BG180">
        <v>550</v>
      </c>
      <c r="BH180">
        <v>558</v>
      </c>
      <c r="BI180" t="s">
        <v>69</v>
      </c>
      <c r="BJ180" t="s">
        <v>5213</v>
      </c>
      <c r="BK180" t="str">
        <f>HYPERLINK("http://dx.doi.org/10.1007/s11356-011-0576-3","http://dx.doi.org/10.1007/s11356-011-0576-3")</f>
        <v>http://dx.doi.org/10.1007/s11356-011-0576-3</v>
      </c>
      <c r="BL180" t="s">
        <v>69</v>
      </c>
      <c r="BM180" t="s">
        <v>69</v>
      </c>
      <c r="BN180">
        <v>9</v>
      </c>
      <c r="BO180" t="s">
        <v>8717</v>
      </c>
      <c r="BP180" t="s">
        <v>8548</v>
      </c>
      <c r="BQ180" t="s">
        <v>8662</v>
      </c>
      <c r="BR180" t="s">
        <v>26216</v>
      </c>
      <c r="BS180" t="s">
        <v>5214</v>
      </c>
      <c r="BT180">
        <v>21850484</v>
      </c>
      <c r="BU180" t="s">
        <v>16029</v>
      </c>
      <c r="BV180" t="s">
        <v>69</v>
      </c>
      <c r="BW180" t="s">
        <v>69</v>
      </c>
      <c r="BX180" t="s">
        <v>8526</v>
      </c>
      <c r="BY180" t="str">
        <f>HYPERLINK("https%3A%2F%2Fwww.webofscience.com%2Fwos%2Fwoscc%2Ffull-record%2FWOS:000299330800024","View Full Record in Web of Science")</f>
        <v>View Full Record in Web of Science</v>
      </c>
    </row>
    <row r="181" spans="1:77" ht="12.5" x14ac:dyDescent="0.25">
      <c r="A181" t="s">
        <v>8495</v>
      </c>
      <c r="B181" s="7" t="s">
        <v>32933</v>
      </c>
      <c r="C181" s="7"/>
      <c r="D181" s="7"/>
      <c r="E181" s="7"/>
      <c r="F181" t="s">
        <v>67</v>
      </c>
      <c r="G181" t="s">
        <v>3719</v>
      </c>
      <c r="H181" t="s">
        <v>69</v>
      </c>
      <c r="I181" t="s">
        <v>69</v>
      </c>
      <c r="J181" t="s">
        <v>69</v>
      </c>
      <c r="K181" t="s">
        <v>3720</v>
      </c>
      <c r="L181" t="s">
        <v>69</v>
      </c>
      <c r="M181" t="s">
        <v>69</v>
      </c>
      <c r="N181" t="s">
        <v>3721</v>
      </c>
      <c r="O181" t="s">
        <v>3722</v>
      </c>
      <c r="P181" t="s">
        <v>69</v>
      </c>
      <c r="Q181" t="s">
        <v>69</v>
      </c>
      <c r="R181" t="s">
        <v>8505</v>
      </c>
      <c r="S181" t="s">
        <v>8506</v>
      </c>
      <c r="T181" t="s">
        <v>69</v>
      </c>
      <c r="U181" t="s">
        <v>69</v>
      </c>
      <c r="V181" t="s">
        <v>69</v>
      </c>
      <c r="W181" t="s">
        <v>69</v>
      </c>
      <c r="X181" t="s">
        <v>69</v>
      </c>
      <c r="Y181" t="s">
        <v>29587</v>
      </c>
      <c r="Z181" t="s">
        <v>69</v>
      </c>
      <c r="AA181" t="s">
        <v>3723</v>
      </c>
      <c r="AB181" t="s">
        <v>29588</v>
      </c>
      <c r="AC181" t="s">
        <v>69</v>
      </c>
      <c r="AD181" t="s">
        <v>29589</v>
      </c>
      <c r="AE181" t="s">
        <v>69</v>
      </c>
      <c r="AF181" t="s">
        <v>69</v>
      </c>
      <c r="AG181" t="s">
        <v>69</v>
      </c>
      <c r="AH181" t="s">
        <v>69</v>
      </c>
      <c r="AI181" t="s">
        <v>69</v>
      </c>
      <c r="AJ181" t="s">
        <v>69</v>
      </c>
      <c r="AK181" t="s">
        <v>69</v>
      </c>
      <c r="AL181">
        <v>4</v>
      </c>
      <c r="AM181">
        <v>2</v>
      </c>
      <c r="AN181">
        <v>3</v>
      </c>
      <c r="AO181">
        <v>1</v>
      </c>
      <c r="AP181">
        <v>13</v>
      </c>
      <c r="AQ181" t="s">
        <v>29590</v>
      </c>
      <c r="AR181" t="s">
        <v>8763</v>
      </c>
      <c r="AS181" t="s">
        <v>29591</v>
      </c>
      <c r="AT181" t="s">
        <v>3724</v>
      </c>
      <c r="AU181" t="s">
        <v>69</v>
      </c>
      <c r="AV181" t="s">
        <v>69</v>
      </c>
      <c r="AW181" t="s">
        <v>25129</v>
      </c>
      <c r="AX181" t="s">
        <v>25130</v>
      </c>
      <c r="AY181" t="s">
        <v>255</v>
      </c>
      <c r="AZ181">
        <v>2007</v>
      </c>
      <c r="BA181">
        <v>160</v>
      </c>
      <c r="BB181">
        <v>3</v>
      </c>
      <c r="BC181" t="s">
        <v>69</v>
      </c>
      <c r="BD181" t="s">
        <v>69</v>
      </c>
      <c r="BE181" t="s">
        <v>69</v>
      </c>
      <c r="BF181" t="s">
        <v>69</v>
      </c>
      <c r="BG181">
        <v>127</v>
      </c>
      <c r="BH181">
        <v>133</v>
      </c>
      <c r="BI181" t="s">
        <v>69</v>
      </c>
      <c r="BJ181" t="s">
        <v>3725</v>
      </c>
      <c r="BK181" t="str">
        <f>HYPERLINK("http://dx.doi.org/10.1680/muen.2007.160.3.127","http://dx.doi.org/10.1680/muen.2007.160.3.127")</f>
        <v>http://dx.doi.org/10.1680/muen.2007.160.3.127</v>
      </c>
      <c r="BL181" t="s">
        <v>69</v>
      </c>
      <c r="BM181" t="s">
        <v>69</v>
      </c>
      <c r="BN181">
        <v>7</v>
      </c>
      <c r="BO181" t="s">
        <v>13537</v>
      </c>
      <c r="BP181" t="s">
        <v>8548</v>
      </c>
      <c r="BQ181" t="s">
        <v>8445</v>
      </c>
      <c r="BR181" t="s">
        <v>29592</v>
      </c>
      <c r="BS181" t="s">
        <v>3726</v>
      </c>
      <c r="BT181" t="s">
        <v>69</v>
      </c>
      <c r="BU181" t="s">
        <v>69</v>
      </c>
      <c r="BV181" t="s">
        <v>69</v>
      </c>
      <c r="BW181" t="s">
        <v>69</v>
      </c>
      <c r="BX181" t="s">
        <v>8526</v>
      </c>
      <c r="BY181" t="str">
        <f>HYPERLINK("https%3A%2F%2Fwww.webofscience.com%2Fwos%2Fwoscc%2Ffull-record%2FWOS:000250301000003","View Full Record in Web of Science")</f>
        <v>View Full Record in Web of Science</v>
      </c>
    </row>
    <row r="182" spans="1:77" ht="12.5" x14ac:dyDescent="0.25">
      <c r="A182" t="s">
        <v>8495</v>
      </c>
      <c r="B182" s="7" t="s">
        <v>32933</v>
      </c>
      <c r="C182" s="7"/>
      <c r="D182" s="7"/>
      <c r="E182" s="7"/>
      <c r="F182" t="s">
        <v>67</v>
      </c>
      <c r="G182" t="s">
        <v>4628</v>
      </c>
      <c r="H182" t="s">
        <v>69</v>
      </c>
      <c r="I182" t="s">
        <v>69</v>
      </c>
      <c r="J182" t="s">
        <v>69</v>
      </c>
      <c r="K182" t="s">
        <v>4629</v>
      </c>
      <c r="L182" t="s">
        <v>69</v>
      </c>
      <c r="M182" t="s">
        <v>69</v>
      </c>
      <c r="N182" t="s">
        <v>4630</v>
      </c>
      <c r="O182" t="s">
        <v>4631</v>
      </c>
      <c r="P182" t="s">
        <v>69</v>
      </c>
      <c r="Q182" t="s">
        <v>69</v>
      </c>
      <c r="R182" t="s">
        <v>8505</v>
      </c>
      <c r="S182" t="s">
        <v>8506</v>
      </c>
      <c r="T182" t="s">
        <v>69</v>
      </c>
      <c r="U182" t="s">
        <v>69</v>
      </c>
      <c r="V182" t="s">
        <v>69</v>
      </c>
      <c r="W182" t="s">
        <v>69</v>
      </c>
      <c r="X182" t="s">
        <v>69</v>
      </c>
      <c r="Y182" t="s">
        <v>26665</v>
      </c>
      <c r="Z182" t="s">
        <v>69</v>
      </c>
      <c r="AA182" t="s">
        <v>4632</v>
      </c>
      <c r="AB182" t="s">
        <v>26666</v>
      </c>
      <c r="AC182" t="s">
        <v>69</v>
      </c>
      <c r="AD182" t="s">
        <v>26667</v>
      </c>
      <c r="AE182" t="s">
        <v>26668</v>
      </c>
      <c r="AF182" t="s">
        <v>4633</v>
      </c>
      <c r="AG182" t="s">
        <v>26669</v>
      </c>
      <c r="AH182" t="s">
        <v>69</v>
      </c>
      <c r="AI182" t="s">
        <v>69</v>
      </c>
      <c r="AJ182" t="s">
        <v>69</v>
      </c>
      <c r="AK182" t="s">
        <v>69</v>
      </c>
      <c r="AL182">
        <v>16</v>
      </c>
      <c r="AM182">
        <v>14</v>
      </c>
      <c r="AN182">
        <v>14</v>
      </c>
      <c r="AO182">
        <v>2</v>
      </c>
      <c r="AP182">
        <v>15</v>
      </c>
      <c r="AQ182" t="s">
        <v>21110</v>
      </c>
      <c r="AR182" t="s">
        <v>26670</v>
      </c>
      <c r="AS182" t="s">
        <v>26671</v>
      </c>
      <c r="AT182" t="s">
        <v>4634</v>
      </c>
      <c r="AU182" t="s">
        <v>69</v>
      </c>
      <c r="AV182" t="s">
        <v>69</v>
      </c>
      <c r="AW182" t="s">
        <v>26672</v>
      </c>
      <c r="AX182" t="s">
        <v>26673</v>
      </c>
      <c r="AY182" t="s">
        <v>75</v>
      </c>
      <c r="AZ182">
        <v>2011</v>
      </c>
      <c r="BA182">
        <v>60</v>
      </c>
      <c r="BB182" t="s">
        <v>69</v>
      </c>
      <c r="BC182" t="s">
        <v>69</v>
      </c>
      <c r="BD182">
        <v>1</v>
      </c>
      <c r="BE182" t="s">
        <v>69</v>
      </c>
      <c r="BF182" t="s">
        <v>69</v>
      </c>
      <c r="BG182">
        <v>35</v>
      </c>
      <c r="BH182">
        <v>41</v>
      </c>
      <c r="BI182" t="s">
        <v>69</v>
      </c>
      <c r="BJ182" t="s">
        <v>4635</v>
      </c>
      <c r="BK182" t="str">
        <f>HYPERLINK("http://dx.doi.org/10.1002/ird.665","http://dx.doi.org/10.1002/ird.665")</f>
        <v>http://dx.doi.org/10.1002/ird.665</v>
      </c>
      <c r="BL182" t="s">
        <v>69</v>
      </c>
      <c r="BM182" t="s">
        <v>69</v>
      </c>
      <c r="BN182">
        <v>7</v>
      </c>
      <c r="BO182" t="s">
        <v>26674</v>
      </c>
      <c r="BP182" t="s">
        <v>8548</v>
      </c>
      <c r="BQ182" t="s">
        <v>26675</v>
      </c>
      <c r="BR182" t="s">
        <v>26676</v>
      </c>
      <c r="BS182" t="s">
        <v>4636</v>
      </c>
      <c r="BT182" t="s">
        <v>69</v>
      </c>
      <c r="BU182" t="s">
        <v>69</v>
      </c>
      <c r="BV182" t="s">
        <v>69</v>
      </c>
      <c r="BW182" t="s">
        <v>69</v>
      </c>
      <c r="BX182" t="s">
        <v>8526</v>
      </c>
      <c r="BY182" t="str">
        <f>HYPERLINK("https%3A%2F%2Fwww.webofscience.com%2Fwos%2Fwoscc%2Ffull-record%2FWOS:000298343100006","View Full Record in Web of Science")</f>
        <v>View Full Record in Web of Science</v>
      </c>
    </row>
    <row r="183" spans="1:77" ht="12.5" x14ac:dyDescent="0.25">
      <c r="A183" t="s">
        <v>8495</v>
      </c>
      <c r="B183" s="7" t="s">
        <v>32933</v>
      </c>
      <c r="C183" s="7"/>
      <c r="D183" s="7"/>
      <c r="E183" s="7"/>
      <c r="F183" t="s">
        <v>67</v>
      </c>
      <c r="G183" t="s">
        <v>5326</v>
      </c>
      <c r="H183" t="s">
        <v>69</v>
      </c>
      <c r="I183" t="s">
        <v>69</v>
      </c>
      <c r="J183" t="s">
        <v>69</v>
      </c>
      <c r="K183" t="s">
        <v>5327</v>
      </c>
      <c r="L183" t="s">
        <v>69</v>
      </c>
      <c r="M183" t="s">
        <v>69</v>
      </c>
      <c r="N183" t="s">
        <v>5328</v>
      </c>
      <c r="O183" t="s">
        <v>5329</v>
      </c>
      <c r="P183" t="s">
        <v>69</v>
      </c>
      <c r="Q183" t="s">
        <v>69</v>
      </c>
      <c r="R183" t="s">
        <v>8505</v>
      </c>
      <c r="S183" t="s">
        <v>8506</v>
      </c>
      <c r="T183" t="s">
        <v>69</v>
      </c>
      <c r="U183" t="s">
        <v>69</v>
      </c>
      <c r="V183" t="s">
        <v>69</v>
      </c>
      <c r="W183" t="s">
        <v>69</v>
      </c>
      <c r="X183" t="s">
        <v>69</v>
      </c>
      <c r="Y183" t="s">
        <v>14427</v>
      </c>
      <c r="Z183" t="s">
        <v>69</v>
      </c>
      <c r="AA183" t="s">
        <v>5330</v>
      </c>
      <c r="AB183" t="s">
        <v>14428</v>
      </c>
      <c r="AC183" t="s">
        <v>69</v>
      </c>
      <c r="AD183" t="s">
        <v>14429</v>
      </c>
      <c r="AE183" t="s">
        <v>14430</v>
      </c>
      <c r="AF183" t="s">
        <v>69</v>
      </c>
      <c r="AG183" t="s">
        <v>69</v>
      </c>
      <c r="AH183" t="s">
        <v>69</v>
      </c>
      <c r="AI183" t="s">
        <v>69</v>
      </c>
      <c r="AJ183" t="s">
        <v>69</v>
      </c>
      <c r="AK183" t="s">
        <v>69</v>
      </c>
      <c r="AL183">
        <v>20</v>
      </c>
      <c r="AM183">
        <v>4</v>
      </c>
      <c r="AN183">
        <v>4</v>
      </c>
      <c r="AO183">
        <v>1</v>
      </c>
      <c r="AP183">
        <v>12</v>
      </c>
      <c r="AQ183" t="s">
        <v>10538</v>
      </c>
      <c r="AR183" t="s">
        <v>10539</v>
      </c>
      <c r="AS183" t="s">
        <v>14431</v>
      </c>
      <c r="AT183" t="s">
        <v>5331</v>
      </c>
      <c r="AU183" t="s">
        <v>5332</v>
      </c>
      <c r="AV183" t="s">
        <v>69</v>
      </c>
      <c r="AW183" t="s">
        <v>14432</v>
      </c>
      <c r="AX183" t="s">
        <v>14433</v>
      </c>
      <c r="AY183" t="s">
        <v>1053</v>
      </c>
      <c r="AZ183">
        <v>2020</v>
      </c>
      <c r="BA183">
        <v>27</v>
      </c>
      <c r="BB183">
        <v>3</v>
      </c>
      <c r="BC183" t="s">
        <v>69</v>
      </c>
      <c r="BD183" t="s">
        <v>69</v>
      </c>
      <c r="BE183" t="s">
        <v>69</v>
      </c>
      <c r="BF183" t="s">
        <v>69</v>
      </c>
      <c r="BG183">
        <v>178</v>
      </c>
      <c r="BH183">
        <v>185</v>
      </c>
      <c r="BI183" t="s">
        <v>69</v>
      </c>
      <c r="BJ183" t="s">
        <v>5333</v>
      </c>
      <c r="BK183" t="str">
        <f>HYPERLINK("http://dx.doi.org/10.4103/jfcm.JFCM_92_20","http://dx.doi.org/10.4103/jfcm.JFCM_92_20")</f>
        <v>http://dx.doi.org/10.4103/jfcm.JFCM_92_20</v>
      </c>
      <c r="BL183" t="s">
        <v>69</v>
      </c>
      <c r="BM183" t="s">
        <v>69</v>
      </c>
      <c r="BN183">
        <v>8</v>
      </c>
      <c r="BO183" t="s">
        <v>8810</v>
      </c>
      <c r="BP183" t="s">
        <v>8573</v>
      </c>
      <c r="BQ183" t="s">
        <v>8810</v>
      </c>
      <c r="BR183" t="s">
        <v>14434</v>
      </c>
      <c r="BS183" t="s">
        <v>5334</v>
      </c>
      <c r="BT183">
        <v>33354148</v>
      </c>
      <c r="BU183" t="s">
        <v>10423</v>
      </c>
      <c r="BV183" t="s">
        <v>69</v>
      </c>
      <c r="BW183" t="s">
        <v>69</v>
      </c>
      <c r="BX183" t="s">
        <v>8526</v>
      </c>
      <c r="BY183" t="str">
        <f>HYPERLINK("https%3A%2F%2Fwww.webofscience.com%2Fwos%2Fwoscc%2Ffull-record%2FWOS:000577092000004","View Full Record in Web of Science")</f>
        <v>View Full Record in Web of Science</v>
      </c>
    </row>
    <row r="184" spans="1:77" ht="12.5" x14ac:dyDescent="0.25">
      <c r="A184" t="s">
        <v>8495</v>
      </c>
      <c r="B184" s="7" t="s">
        <v>32933</v>
      </c>
      <c r="C184" s="7"/>
      <c r="D184" s="7"/>
      <c r="E184" s="7"/>
      <c r="F184" t="s">
        <v>67</v>
      </c>
      <c r="G184" t="s">
        <v>8180</v>
      </c>
      <c r="H184" t="s">
        <v>69</v>
      </c>
      <c r="I184" t="s">
        <v>69</v>
      </c>
      <c r="J184" t="s">
        <v>69</v>
      </c>
      <c r="K184" t="s">
        <v>8181</v>
      </c>
      <c r="L184" t="s">
        <v>69</v>
      </c>
      <c r="M184" t="s">
        <v>69</v>
      </c>
      <c r="N184" t="s">
        <v>8182</v>
      </c>
      <c r="O184" t="s">
        <v>4079</v>
      </c>
      <c r="P184" t="s">
        <v>69</v>
      </c>
      <c r="Q184" t="s">
        <v>69</v>
      </c>
      <c r="R184" t="s">
        <v>8505</v>
      </c>
      <c r="S184" t="s">
        <v>8506</v>
      </c>
      <c r="T184" t="s">
        <v>69</v>
      </c>
      <c r="U184" t="s">
        <v>69</v>
      </c>
      <c r="V184" t="s">
        <v>69</v>
      </c>
      <c r="W184" t="s">
        <v>69</v>
      </c>
      <c r="X184" t="s">
        <v>69</v>
      </c>
      <c r="Y184" t="s">
        <v>21279</v>
      </c>
      <c r="Z184" t="s">
        <v>21280</v>
      </c>
      <c r="AA184" t="s">
        <v>8183</v>
      </c>
      <c r="AB184" t="s">
        <v>21281</v>
      </c>
      <c r="AC184" t="s">
        <v>69</v>
      </c>
      <c r="AD184" t="s">
        <v>21282</v>
      </c>
      <c r="AE184" t="s">
        <v>21283</v>
      </c>
      <c r="AF184" t="s">
        <v>69</v>
      </c>
      <c r="AG184" t="s">
        <v>8184</v>
      </c>
      <c r="AH184" t="s">
        <v>69</v>
      </c>
      <c r="AI184" t="s">
        <v>69</v>
      </c>
      <c r="AJ184" t="s">
        <v>69</v>
      </c>
      <c r="AK184" t="s">
        <v>69</v>
      </c>
      <c r="AL184">
        <v>33</v>
      </c>
      <c r="AM184">
        <v>42</v>
      </c>
      <c r="AN184">
        <v>42</v>
      </c>
      <c r="AO184">
        <v>3</v>
      </c>
      <c r="AP184">
        <v>32</v>
      </c>
      <c r="AQ184" t="s">
        <v>18779</v>
      </c>
      <c r="AR184" t="s">
        <v>8993</v>
      </c>
      <c r="AS184" t="s">
        <v>18780</v>
      </c>
      <c r="AT184" t="s">
        <v>4084</v>
      </c>
      <c r="AU184" t="s">
        <v>8000</v>
      </c>
      <c r="AV184" t="s">
        <v>69</v>
      </c>
      <c r="AW184" t="s">
        <v>18781</v>
      </c>
      <c r="AX184" t="s">
        <v>18782</v>
      </c>
      <c r="AY184" t="s">
        <v>8185</v>
      </c>
      <c r="AZ184">
        <v>2016</v>
      </c>
      <c r="BA184">
        <v>128</v>
      </c>
      <c r="BB184" t="s">
        <v>69</v>
      </c>
      <c r="BC184" t="s">
        <v>69</v>
      </c>
      <c r="BD184" t="s">
        <v>69</v>
      </c>
      <c r="BE184" t="s">
        <v>69</v>
      </c>
      <c r="BF184" t="s">
        <v>69</v>
      </c>
      <c r="BG184">
        <v>431</v>
      </c>
      <c r="BH184">
        <v>441</v>
      </c>
      <c r="BI184" t="s">
        <v>69</v>
      </c>
      <c r="BJ184" t="s">
        <v>8186</v>
      </c>
      <c r="BK184" t="str">
        <f>HYPERLINK("http://dx.doi.org/10.1016/j.enbuild.2016.06.092","http://dx.doi.org/10.1016/j.enbuild.2016.06.092")</f>
        <v>http://dx.doi.org/10.1016/j.enbuild.2016.06.092</v>
      </c>
      <c r="BL184" t="s">
        <v>69</v>
      </c>
      <c r="BM184" t="s">
        <v>69</v>
      </c>
      <c r="BN184">
        <v>11</v>
      </c>
      <c r="BO184" t="s">
        <v>18783</v>
      </c>
      <c r="BP184" t="s">
        <v>8548</v>
      </c>
      <c r="BQ184" t="s">
        <v>18784</v>
      </c>
      <c r="BR184" t="s">
        <v>21284</v>
      </c>
      <c r="BS184" t="s">
        <v>8187</v>
      </c>
      <c r="BT184" t="s">
        <v>69</v>
      </c>
      <c r="BU184" t="s">
        <v>8622</v>
      </c>
      <c r="BV184" t="s">
        <v>69</v>
      </c>
      <c r="BW184" t="s">
        <v>69</v>
      </c>
      <c r="BX184" t="s">
        <v>8526</v>
      </c>
      <c r="BY184" t="str">
        <f>HYPERLINK("https%3A%2F%2Fwww.webofscience.com%2Fwos%2Fwoscc%2Ffull-record%2FWOS:000382794200035","View Full Record in Web of Science")</f>
        <v>View Full Record in Web of Science</v>
      </c>
    </row>
    <row r="185" spans="1:77" ht="12.5" x14ac:dyDescent="0.25">
      <c r="A185" t="s">
        <v>8495</v>
      </c>
      <c r="B185" s="22" t="s">
        <v>32931</v>
      </c>
      <c r="C185" s="7"/>
      <c r="D185" s="7"/>
      <c r="E185" s="7"/>
      <c r="F185" t="s">
        <v>67</v>
      </c>
      <c r="G185" t="s">
        <v>10385</v>
      </c>
      <c r="H185" t="s">
        <v>69</v>
      </c>
      <c r="I185" t="s">
        <v>69</v>
      </c>
      <c r="J185" t="s">
        <v>69</v>
      </c>
      <c r="K185" t="s">
        <v>10386</v>
      </c>
      <c r="L185" t="s">
        <v>69</v>
      </c>
      <c r="M185" t="s">
        <v>69</v>
      </c>
      <c r="N185" t="s">
        <v>10387</v>
      </c>
      <c r="O185" t="s">
        <v>10388</v>
      </c>
      <c r="P185" t="s">
        <v>69</v>
      </c>
      <c r="Q185" t="s">
        <v>69</v>
      </c>
      <c r="R185" t="s">
        <v>8505</v>
      </c>
      <c r="S185" t="s">
        <v>8556</v>
      </c>
      <c r="T185" t="s">
        <v>69</v>
      </c>
      <c r="U185" t="s">
        <v>69</v>
      </c>
      <c r="V185" t="s">
        <v>69</v>
      </c>
      <c r="W185" t="s">
        <v>69</v>
      </c>
      <c r="X185" t="s">
        <v>69</v>
      </c>
      <c r="Y185" t="s">
        <v>69</v>
      </c>
      <c r="Z185" t="s">
        <v>10389</v>
      </c>
      <c r="AA185" t="s">
        <v>10390</v>
      </c>
      <c r="AB185" t="s">
        <v>10391</v>
      </c>
      <c r="AC185" t="s">
        <v>69</v>
      </c>
      <c r="AD185" t="s">
        <v>10392</v>
      </c>
      <c r="AE185" t="s">
        <v>10393</v>
      </c>
      <c r="AF185" t="s">
        <v>69</v>
      </c>
      <c r="AG185" t="s">
        <v>69</v>
      </c>
      <c r="AH185" t="s">
        <v>69</v>
      </c>
      <c r="AI185" t="s">
        <v>69</v>
      </c>
      <c r="AJ185" t="s">
        <v>69</v>
      </c>
      <c r="AK185" t="s">
        <v>69</v>
      </c>
      <c r="AL185">
        <v>94</v>
      </c>
      <c r="AM185">
        <v>1</v>
      </c>
      <c r="AN185">
        <v>1</v>
      </c>
      <c r="AO185">
        <v>6</v>
      </c>
      <c r="AP185">
        <v>7</v>
      </c>
      <c r="AQ185" t="s">
        <v>8611</v>
      </c>
      <c r="AR185" t="s">
        <v>8612</v>
      </c>
      <c r="AS185" t="s">
        <v>8613</v>
      </c>
      <c r="AT185" t="s">
        <v>10394</v>
      </c>
      <c r="AU185" t="s">
        <v>10395</v>
      </c>
      <c r="AV185" t="s">
        <v>69</v>
      </c>
      <c r="AW185" t="s">
        <v>10396</v>
      </c>
      <c r="AX185" t="s">
        <v>10397</v>
      </c>
      <c r="AY185" t="s">
        <v>69</v>
      </c>
      <c r="AZ185" t="s">
        <v>69</v>
      </c>
      <c r="BA185" t="s">
        <v>69</v>
      </c>
      <c r="BB185" t="s">
        <v>69</v>
      </c>
      <c r="BC185" t="s">
        <v>69</v>
      </c>
      <c r="BD185" t="s">
        <v>69</v>
      </c>
      <c r="BE185" t="s">
        <v>69</v>
      </c>
      <c r="BF185" t="s">
        <v>69</v>
      </c>
      <c r="BG185" t="s">
        <v>69</v>
      </c>
      <c r="BH185" t="s">
        <v>69</v>
      </c>
      <c r="BI185" t="s">
        <v>69</v>
      </c>
      <c r="BJ185" t="s">
        <v>10398</v>
      </c>
      <c r="BK185" t="str">
        <f>HYPERLINK("http://dx.doi.org/10.1080/10413200.2021.2015480","http://dx.doi.org/10.1080/10413200.2021.2015480")</f>
        <v>http://dx.doi.org/10.1080/10413200.2021.2015480</v>
      </c>
      <c r="BL185" t="s">
        <v>69</v>
      </c>
      <c r="BM185" t="s">
        <v>10359</v>
      </c>
      <c r="BN185">
        <v>18</v>
      </c>
      <c r="BO185" t="s">
        <v>10399</v>
      </c>
      <c r="BP185" t="s">
        <v>8523</v>
      </c>
      <c r="BQ185" t="s">
        <v>10400</v>
      </c>
      <c r="BR185" t="s">
        <v>10401</v>
      </c>
      <c r="BS185" t="s">
        <v>10402</v>
      </c>
      <c r="BT185" t="s">
        <v>69</v>
      </c>
      <c r="BU185" t="s">
        <v>69</v>
      </c>
      <c r="BV185" t="s">
        <v>69</v>
      </c>
      <c r="BW185" t="s">
        <v>69</v>
      </c>
      <c r="BX185" t="s">
        <v>8526</v>
      </c>
      <c r="BY185" t="str">
        <f>HYPERLINK("https%3A%2F%2Fwww.webofscience.com%2Fwos%2Fwoscc%2Ffull-record%2FWOS:000733681100001","View Full Record in Web of Science")</f>
        <v>View Full Record in Web of Science</v>
      </c>
    </row>
    <row r="186" spans="1:77" ht="12.5" x14ac:dyDescent="0.25">
      <c r="A186" t="s">
        <v>8495</v>
      </c>
      <c r="B186" s="22" t="s">
        <v>32931</v>
      </c>
      <c r="C186" s="7"/>
      <c r="D186" s="7"/>
      <c r="E186" s="7"/>
      <c r="F186" t="s">
        <v>67</v>
      </c>
      <c r="G186" t="s">
        <v>24718</v>
      </c>
      <c r="H186" t="s">
        <v>69</v>
      </c>
      <c r="I186" t="s">
        <v>69</v>
      </c>
      <c r="J186" t="s">
        <v>69</v>
      </c>
      <c r="K186" t="s">
        <v>24719</v>
      </c>
      <c r="L186" t="s">
        <v>69</v>
      </c>
      <c r="M186" t="s">
        <v>69</v>
      </c>
      <c r="N186" t="s">
        <v>24720</v>
      </c>
      <c r="O186" t="s">
        <v>24721</v>
      </c>
      <c r="P186" t="s">
        <v>69</v>
      </c>
      <c r="Q186" t="s">
        <v>69</v>
      </c>
      <c r="R186" t="s">
        <v>8505</v>
      </c>
      <c r="S186" t="s">
        <v>8506</v>
      </c>
      <c r="T186" t="s">
        <v>69</v>
      </c>
      <c r="U186" t="s">
        <v>69</v>
      </c>
      <c r="V186" t="s">
        <v>69</v>
      </c>
      <c r="W186" t="s">
        <v>69</v>
      </c>
      <c r="X186" t="s">
        <v>69</v>
      </c>
      <c r="Y186" t="s">
        <v>24722</v>
      </c>
      <c r="Z186" t="s">
        <v>24723</v>
      </c>
      <c r="AA186" t="s">
        <v>24724</v>
      </c>
      <c r="AB186" t="s">
        <v>24725</v>
      </c>
      <c r="AC186" t="s">
        <v>69</v>
      </c>
      <c r="AD186" t="s">
        <v>24726</v>
      </c>
      <c r="AE186" t="s">
        <v>24727</v>
      </c>
      <c r="AF186" t="s">
        <v>69</v>
      </c>
      <c r="AG186" t="s">
        <v>24728</v>
      </c>
      <c r="AH186" t="s">
        <v>69</v>
      </c>
      <c r="AI186" t="s">
        <v>69</v>
      </c>
      <c r="AJ186" t="s">
        <v>69</v>
      </c>
      <c r="AK186" t="s">
        <v>69</v>
      </c>
      <c r="AL186">
        <v>67</v>
      </c>
      <c r="AM186">
        <v>6</v>
      </c>
      <c r="AN186">
        <v>6</v>
      </c>
      <c r="AO186">
        <v>0</v>
      </c>
      <c r="AP186">
        <v>17</v>
      </c>
      <c r="AQ186" t="s">
        <v>8865</v>
      </c>
      <c r="AR186" t="s">
        <v>8612</v>
      </c>
      <c r="AS186" t="s">
        <v>8866</v>
      </c>
      <c r="AT186" t="s">
        <v>24729</v>
      </c>
      <c r="AU186" t="s">
        <v>24730</v>
      </c>
      <c r="AV186" t="s">
        <v>69</v>
      </c>
      <c r="AW186" t="s">
        <v>24731</v>
      </c>
      <c r="AX186" t="s">
        <v>24732</v>
      </c>
      <c r="AY186" t="s">
        <v>477</v>
      </c>
      <c r="AZ186">
        <v>2013</v>
      </c>
      <c r="BA186">
        <v>33</v>
      </c>
      <c r="BB186">
        <v>3</v>
      </c>
      <c r="BC186" t="s">
        <v>69</v>
      </c>
      <c r="BD186" t="s">
        <v>69</v>
      </c>
      <c r="BE186" t="s">
        <v>69</v>
      </c>
      <c r="BF186" t="s">
        <v>69</v>
      </c>
      <c r="BG186">
        <v>350</v>
      </c>
      <c r="BH186">
        <v>363</v>
      </c>
      <c r="BI186" t="s">
        <v>69</v>
      </c>
      <c r="BJ186" t="s">
        <v>24733</v>
      </c>
      <c r="BK186" t="str">
        <f>HYPERLINK("http://dx.doi.org/10.1080/02188791.2013.787389","http://dx.doi.org/10.1080/02188791.2013.787389")</f>
        <v>http://dx.doi.org/10.1080/02188791.2013.787389</v>
      </c>
      <c r="BL186" t="s">
        <v>69</v>
      </c>
      <c r="BM186" t="s">
        <v>69</v>
      </c>
      <c r="BN186">
        <v>14</v>
      </c>
      <c r="BO186" t="s">
        <v>9290</v>
      </c>
      <c r="BP186" t="s">
        <v>8661</v>
      </c>
      <c r="BQ186" t="s">
        <v>9290</v>
      </c>
      <c r="BR186" t="s">
        <v>24734</v>
      </c>
      <c r="BS186" t="s">
        <v>24735</v>
      </c>
      <c r="BT186" t="s">
        <v>69</v>
      </c>
      <c r="BU186" t="s">
        <v>69</v>
      </c>
      <c r="BV186" t="s">
        <v>69</v>
      </c>
      <c r="BW186" t="s">
        <v>69</v>
      </c>
      <c r="BX186" t="s">
        <v>8526</v>
      </c>
      <c r="BY186" t="str">
        <f>HYPERLINK("https%3A%2F%2Fwww.webofscience.com%2Fwos%2Fwoscc%2Ffull-record%2FWOS:000324569500009","View Full Record in Web of Science")</f>
        <v>View Full Record in Web of Science</v>
      </c>
    </row>
    <row r="187" spans="1:77" ht="12.5" x14ac:dyDescent="0.25">
      <c r="A187" t="s">
        <v>8495</v>
      </c>
      <c r="B187" s="7" t="s">
        <v>32933</v>
      </c>
      <c r="C187" s="7"/>
      <c r="D187" s="7"/>
      <c r="E187" s="7"/>
      <c r="F187" t="s">
        <v>67</v>
      </c>
      <c r="G187" t="s">
        <v>2961</v>
      </c>
      <c r="H187" t="s">
        <v>69</v>
      </c>
      <c r="I187" t="s">
        <v>69</v>
      </c>
      <c r="J187" t="s">
        <v>69</v>
      </c>
      <c r="K187" t="s">
        <v>2962</v>
      </c>
      <c r="L187" t="s">
        <v>69</v>
      </c>
      <c r="M187" t="s">
        <v>69</v>
      </c>
      <c r="N187" t="s">
        <v>2963</v>
      </c>
      <c r="O187" t="s">
        <v>2964</v>
      </c>
      <c r="P187" t="s">
        <v>69</v>
      </c>
      <c r="Q187" t="s">
        <v>69</v>
      </c>
      <c r="R187" t="s">
        <v>8505</v>
      </c>
      <c r="S187" t="s">
        <v>8506</v>
      </c>
      <c r="T187" t="s">
        <v>69</v>
      </c>
      <c r="U187" t="s">
        <v>69</v>
      </c>
      <c r="V187" t="s">
        <v>69</v>
      </c>
      <c r="W187" t="s">
        <v>69</v>
      </c>
      <c r="X187" t="s">
        <v>69</v>
      </c>
      <c r="Y187" t="s">
        <v>21970</v>
      </c>
      <c r="Z187" t="s">
        <v>69</v>
      </c>
      <c r="AA187" t="s">
        <v>2965</v>
      </c>
      <c r="AB187" t="s">
        <v>21971</v>
      </c>
      <c r="AC187" t="s">
        <v>69</v>
      </c>
      <c r="AD187" t="s">
        <v>21972</v>
      </c>
      <c r="AE187" t="s">
        <v>21973</v>
      </c>
      <c r="AF187" t="s">
        <v>69</v>
      </c>
      <c r="AG187" t="s">
        <v>69</v>
      </c>
      <c r="AH187" t="s">
        <v>69</v>
      </c>
      <c r="AI187" t="s">
        <v>69</v>
      </c>
      <c r="AJ187" t="s">
        <v>69</v>
      </c>
      <c r="AK187" t="s">
        <v>69</v>
      </c>
      <c r="AL187">
        <v>15</v>
      </c>
      <c r="AM187">
        <v>10</v>
      </c>
      <c r="AN187">
        <v>10</v>
      </c>
      <c r="AO187">
        <v>3</v>
      </c>
      <c r="AP187">
        <v>12</v>
      </c>
      <c r="AQ187" t="s">
        <v>8586</v>
      </c>
      <c r="AR187" t="s">
        <v>8587</v>
      </c>
      <c r="AS187" t="s">
        <v>8588</v>
      </c>
      <c r="AT187" t="s">
        <v>2966</v>
      </c>
      <c r="AU187" t="s">
        <v>2967</v>
      </c>
      <c r="AV187" t="s">
        <v>69</v>
      </c>
      <c r="AW187" t="s">
        <v>21974</v>
      </c>
      <c r="AX187" t="s">
        <v>21975</v>
      </c>
      <c r="AY187" t="s">
        <v>69</v>
      </c>
      <c r="AZ187">
        <v>2016</v>
      </c>
      <c r="BA187">
        <v>7</v>
      </c>
      <c r="BB187">
        <v>4</v>
      </c>
      <c r="BC187" t="s">
        <v>69</v>
      </c>
      <c r="BD187" t="s">
        <v>69</v>
      </c>
      <c r="BE187" t="s">
        <v>114</v>
      </c>
      <c r="BF187" t="s">
        <v>69</v>
      </c>
      <c r="BG187">
        <v>474</v>
      </c>
      <c r="BH187">
        <v>493</v>
      </c>
      <c r="BI187" t="s">
        <v>69</v>
      </c>
      <c r="BJ187" t="s">
        <v>2968</v>
      </c>
      <c r="BK187" t="str">
        <f>HYPERLINK("http://dx.doi.org/10.1108/SAMPJ-07-2015-0062","http://dx.doi.org/10.1108/SAMPJ-07-2015-0062")</f>
        <v>http://dx.doi.org/10.1108/SAMPJ-07-2015-0062</v>
      </c>
      <c r="BL187" t="s">
        <v>69</v>
      </c>
      <c r="BM187" t="s">
        <v>69</v>
      </c>
      <c r="BN187">
        <v>20</v>
      </c>
      <c r="BO187" t="s">
        <v>21976</v>
      </c>
      <c r="BP187" t="s">
        <v>8661</v>
      </c>
      <c r="BQ187" t="s">
        <v>21977</v>
      </c>
      <c r="BR187" t="s">
        <v>21978</v>
      </c>
      <c r="BS187" t="s">
        <v>2969</v>
      </c>
      <c r="BT187" t="s">
        <v>69</v>
      </c>
      <c r="BU187" t="s">
        <v>69</v>
      </c>
      <c r="BV187" t="s">
        <v>69</v>
      </c>
      <c r="BW187" t="s">
        <v>69</v>
      </c>
      <c r="BX187" t="s">
        <v>8526</v>
      </c>
      <c r="BY187" t="str">
        <f>HYPERLINK("https%3A%2F%2Fwww.webofscience.com%2Fwos%2Fwoscc%2Ffull-record%2FWOS:000390771300001","View Full Record in Web of Science")</f>
        <v>View Full Record in Web of Science</v>
      </c>
    </row>
    <row r="188" spans="1:77" ht="12.5" x14ac:dyDescent="0.25">
      <c r="A188" t="s">
        <v>8495</v>
      </c>
      <c r="B188" s="7" t="s">
        <v>32933</v>
      </c>
      <c r="C188" s="7"/>
      <c r="D188" s="7"/>
      <c r="E188" s="7"/>
      <c r="F188" t="s">
        <v>67</v>
      </c>
      <c r="G188" t="s">
        <v>5267</v>
      </c>
      <c r="H188" t="s">
        <v>69</v>
      </c>
      <c r="I188" t="s">
        <v>69</v>
      </c>
      <c r="J188" t="s">
        <v>69</v>
      </c>
      <c r="K188" t="s">
        <v>5268</v>
      </c>
      <c r="L188" t="s">
        <v>69</v>
      </c>
      <c r="M188" t="s">
        <v>69</v>
      </c>
      <c r="N188" t="s">
        <v>5269</v>
      </c>
      <c r="O188" t="s">
        <v>5270</v>
      </c>
      <c r="P188" t="s">
        <v>69</v>
      </c>
      <c r="Q188" t="s">
        <v>69</v>
      </c>
      <c r="R188" t="s">
        <v>8505</v>
      </c>
      <c r="S188" t="s">
        <v>15797</v>
      </c>
      <c r="T188" t="s">
        <v>5271</v>
      </c>
      <c r="U188" t="s">
        <v>5272</v>
      </c>
      <c r="V188" t="s">
        <v>5273</v>
      </c>
      <c r="W188" t="s">
        <v>69</v>
      </c>
      <c r="X188" t="s">
        <v>69</v>
      </c>
      <c r="Y188" t="s">
        <v>69</v>
      </c>
      <c r="Z188" t="s">
        <v>28456</v>
      </c>
      <c r="AA188" t="s">
        <v>5274</v>
      </c>
      <c r="AB188" t="s">
        <v>28457</v>
      </c>
      <c r="AC188" t="s">
        <v>69</v>
      </c>
      <c r="AD188" t="s">
        <v>28458</v>
      </c>
      <c r="AE188" t="s">
        <v>28459</v>
      </c>
      <c r="AF188" t="s">
        <v>5275</v>
      </c>
      <c r="AG188" t="s">
        <v>69</v>
      </c>
      <c r="AH188" t="s">
        <v>69</v>
      </c>
      <c r="AI188" t="s">
        <v>69</v>
      </c>
      <c r="AJ188" t="s">
        <v>69</v>
      </c>
      <c r="AK188" t="s">
        <v>69</v>
      </c>
      <c r="AL188">
        <v>74</v>
      </c>
      <c r="AM188">
        <v>865</v>
      </c>
      <c r="AN188">
        <v>923</v>
      </c>
      <c r="AO188">
        <v>13</v>
      </c>
      <c r="AP188">
        <v>297</v>
      </c>
      <c r="AQ188" t="s">
        <v>8846</v>
      </c>
      <c r="AR188" t="s">
        <v>8847</v>
      </c>
      <c r="AS188" t="s">
        <v>8848</v>
      </c>
      <c r="AT188" t="s">
        <v>5276</v>
      </c>
      <c r="AU188" t="s">
        <v>5277</v>
      </c>
      <c r="AV188" t="s">
        <v>69</v>
      </c>
      <c r="AW188" t="s">
        <v>10812</v>
      </c>
      <c r="AX188" t="s">
        <v>10813</v>
      </c>
      <c r="AY188" t="s">
        <v>1375</v>
      </c>
      <c r="AZ188">
        <v>2009</v>
      </c>
      <c r="BA188">
        <v>101</v>
      </c>
      <c r="BB188">
        <v>3</v>
      </c>
      <c r="BC188" t="s">
        <v>69</v>
      </c>
      <c r="BD188" t="s">
        <v>69</v>
      </c>
      <c r="BE188" t="s">
        <v>69</v>
      </c>
      <c r="BF188" t="s">
        <v>69</v>
      </c>
      <c r="BG188">
        <v>426</v>
      </c>
      <c r="BH188">
        <v>437</v>
      </c>
      <c r="BI188" t="s">
        <v>69</v>
      </c>
      <c r="BJ188" t="s">
        <v>5278</v>
      </c>
      <c r="BK188" t="str">
        <f>HYPERLINK("http://dx.doi.org/10.2134/agronj2008.0139s","http://dx.doi.org/10.2134/agronj2008.0139s")</f>
        <v>http://dx.doi.org/10.2134/agronj2008.0139s</v>
      </c>
      <c r="BL188" t="s">
        <v>69</v>
      </c>
      <c r="BM188" t="s">
        <v>69</v>
      </c>
      <c r="BN188">
        <v>12</v>
      </c>
      <c r="BO188" t="s">
        <v>10815</v>
      </c>
      <c r="BP188" t="s">
        <v>15808</v>
      </c>
      <c r="BQ188" t="s">
        <v>8450</v>
      </c>
      <c r="BR188" t="s">
        <v>28460</v>
      </c>
      <c r="BS188" t="s">
        <v>5279</v>
      </c>
      <c r="BT188" t="s">
        <v>69</v>
      </c>
      <c r="BU188" t="s">
        <v>69</v>
      </c>
      <c r="BV188" t="s">
        <v>69</v>
      </c>
      <c r="BW188" t="s">
        <v>69</v>
      </c>
      <c r="BX188" t="s">
        <v>8526</v>
      </c>
      <c r="BY188" t="str">
        <f>HYPERLINK("https%3A%2F%2Fwww.webofscience.com%2Fwos%2Fwoscc%2Ffull-record%2FWOS:000265899200002","View Full Record in Web of Science")</f>
        <v>View Full Record in Web of Science</v>
      </c>
    </row>
    <row r="189" spans="1:77" ht="12.5" x14ac:dyDescent="0.25">
      <c r="A189" t="s">
        <v>8495</v>
      </c>
      <c r="B189" s="22" t="s">
        <v>32931</v>
      </c>
      <c r="C189" s="7"/>
      <c r="D189" s="7"/>
      <c r="E189" s="7"/>
      <c r="F189" t="s">
        <v>67</v>
      </c>
      <c r="G189" t="s">
        <v>25438</v>
      </c>
      <c r="H189" t="s">
        <v>69</v>
      </c>
      <c r="I189" t="s">
        <v>69</v>
      </c>
      <c r="J189" t="s">
        <v>69</v>
      </c>
      <c r="K189" t="s">
        <v>25439</v>
      </c>
      <c r="L189" t="s">
        <v>69</v>
      </c>
      <c r="M189" t="s">
        <v>69</v>
      </c>
      <c r="N189" t="s">
        <v>25440</v>
      </c>
      <c r="O189" t="s">
        <v>25441</v>
      </c>
      <c r="P189" t="s">
        <v>69</v>
      </c>
      <c r="Q189" t="s">
        <v>69</v>
      </c>
      <c r="R189" t="s">
        <v>8505</v>
      </c>
      <c r="S189" t="s">
        <v>8506</v>
      </c>
      <c r="T189" t="s">
        <v>69</v>
      </c>
      <c r="U189" t="s">
        <v>69</v>
      </c>
      <c r="V189" t="s">
        <v>69</v>
      </c>
      <c r="W189" t="s">
        <v>69</v>
      </c>
      <c r="X189" t="s">
        <v>69</v>
      </c>
      <c r="Y189" t="s">
        <v>25442</v>
      </c>
      <c r="Z189" t="s">
        <v>69</v>
      </c>
      <c r="AA189" t="s">
        <v>25443</v>
      </c>
      <c r="AB189" t="s">
        <v>25444</v>
      </c>
      <c r="AC189" t="s">
        <v>69</v>
      </c>
      <c r="AD189" t="s">
        <v>25445</v>
      </c>
      <c r="AE189" t="s">
        <v>25446</v>
      </c>
      <c r="AF189" t="s">
        <v>25447</v>
      </c>
      <c r="AG189" t="s">
        <v>25448</v>
      </c>
      <c r="AH189" t="s">
        <v>69</v>
      </c>
      <c r="AI189" t="s">
        <v>69</v>
      </c>
      <c r="AJ189" t="s">
        <v>69</v>
      </c>
      <c r="AK189" t="s">
        <v>69</v>
      </c>
      <c r="AL189">
        <v>10</v>
      </c>
      <c r="AM189">
        <v>1</v>
      </c>
      <c r="AN189">
        <v>1</v>
      </c>
      <c r="AO189">
        <v>0</v>
      </c>
      <c r="AP189">
        <v>7</v>
      </c>
      <c r="AQ189" t="s">
        <v>8586</v>
      </c>
      <c r="AR189" t="s">
        <v>8587</v>
      </c>
      <c r="AS189" t="s">
        <v>8588</v>
      </c>
      <c r="AT189" t="s">
        <v>14965</v>
      </c>
      <c r="AU189" t="s">
        <v>14966</v>
      </c>
      <c r="AV189" t="s">
        <v>69</v>
      </c>
      <c r="AW189" t="s">
        <v>14967</v>
      </c>
      <c r="AX189" t="s">
        <v>14968</v>
      </c>
      <c r="AY189" t="s">
        <v>69</v>
      </c>
      <c r="AZ189">
        <v>2013</v>
      </c>
      <c r="BA189">
        <v>7</v>
      </c>
      <c r="BB189">
        <v>1</v>
      </c>
      <c r="BC189" t="s">
        <v>69</v>
      </c>
      <c r="BD189" t="s">
        <v>69</v>
      </c>
      <c r="BE189" t="s">
        <v>114</v>
      </c>
      <c r="BF189" t="s">
        <v>69</v>
      </c>
      <c r="BG189">
        <v>12</v>
      </c>
      <c r="BH189">
        <v>22</v>
      </c>
      <c r="BI189" t="s">
        <v>69</v>
      </c>
      <c r="BJ189" t="s">
        <v>25449</v>
      </c>
      <c r="BK189" t="str">
        <f>HYPERLINK("http://dx.doi.org/10.1108/17506201311315572","http://dx.doi.org/10.1108/17506201311315572")</f>
        <v>http://dx.doi.org/10.1108/17506201311315572</v>
      </c>
      <c r="BL189" t="s">
        <v>69</v>
      </c>
      <c r="BM189" t="s">
        <v>69</v>
      </c>
      <c r="BN189">
        <v>11</v>
      </c>
      <c r="BO189" t="s">
        <v>8444</v>
      </c>
      <c r="BP189" t="s">
        <v>8573</v>
      </c>
      <c r="BQ189" t="s">
        <v>8594</v>
      </c>
      <c r="BR189" t="s">
        <v>25450</v>
      </c>
      <c r="BS189" t="s">
        <v>25451</v>
      </c>
      <c r="BT189" t="s">
        <v>69</v>
      </c>
      <c r="BU189" t="s">
        <v>69</v>
      </c>
      <c r="BV189" t="s">
        <v>69</v>
      </c>
      <c r="BW189" t="s">
        <v>69</v>
      </c>
      <c r="BX189" t="s">
        <v>8526</v>
      </c>
      <c r="BY189" t="str">
        <f>HYPERLINK("https%3A%2F%2Fwww.webofscience.com%2Fwos%2Fwoscc%2Ffull-record%2FWOS:000213990100003","View Full Record in Web of Science")</f>
        <v>View Full Record in Web of Science</v>
      </c>
    </row>
    <row r="190" spans="1:77" ht="12.5" x14ac:dyDescent="0.25">
      <c r="A190" t="s">
        <v>8495</v>
      </c>
      <c r="B190" s="7" t="s">
        <v>32933</v>
      </c>
      <c r="C190" s="7"/>
      <c r="D190" s="7"/>
      <c r="E190" s="7"/>
      <c r="F190" t="s">
        <v>67</v>
      </c>
      <c r="G190" t="s">
        <v>8321</v>
      </c>
      <c r="H190" t="s">
        <v>69</v>
      </c>
      <c r="I190" t="s">
        <v>69</v>
      </c>
      <c r="J190" t="s">
        <v>69</v>
      </c>
      <c r="K190" t="s">
        <v>8321</v>
      </c>
      <c r="L190" t="s">
        <v>69</v>
      </c>
      <c r="M190" t="s">
        <v>69</v>
      </c>
      <c r="N190" t="s">
        <v>8322</v>
      </c>
      <c r="O190" t="s">
        <v>8323</v>
      </c>
      <c r="P190" t="s">
        <v>69</v>
      </c>
      <c r="Q190" t="s">
        <v>69</v>
      </c>
      <c r="R190" t="s">
        <v>8505</v>
      </c>
      <c r="S190" t="s">
        <v>8506</v>
      </c>
      <c r="T190" t="s">
        <v>69</v>
      </c>
      <c r="U190" t="s">
        <v>69</v>
      </c>
      <c r="V190" t="s">
        <v>69</v>
      </c>
      <c r="W190" t="s">
        <v>69</v>
      </c>
      <c r="X190" t="s">
        <v>69</v>
      </c>
      <c r="Y190" t="s">
        <v>31359</v>
      </c>
      <c r="Z190" t="s">
        <v>69</v>
      </c>
      <c r="AA190" t="s">
        <v>8324</v>
      </c>
      <c r="AB190" t="s">
        <v>31360</v>
      </c>
      <c r="AC190" t="s">
        <v>69</v>
      </c>
      <c r="AD190" t="s">
        <v>31361</v>
      </c>
      <c r="AE190" t="s">
        <v>31362</v>
      </c>
      <c r="AF190" t="s">
        <v>69</v>
      </c>
      <c r="AG190" t="s">
        <v>69</v>
      </c>
      <c r="AH190" t="s">
        <v>69</v>
      </c>
      <c r="AI190" t="s">
        <v>69</v>
      </c>
      <c r="AJ190" t="s">
        <v>69</v>
      </c>
      <c r="AK190" t="s">
        <v>69</v>
      </c>
      <c r="AL190">
        <v>46</v>
      </c>
      <c r="AM190">
        <v>4</v>
      </c>
      <c r="AN190">
        <v>4</v>
      </c>
      <c r="AO190">
        <v>1</v>
      </c>
      <c r="AP190">
        <v>9</v>
      </c>
      <c r="AQ190" t="s">
        <v>8865</v>
      </c>
      <c r="AR190" t="s">
        <v>8612</v>
      </c>
      <c r="AS190" t="s">
        <v>8866</v>
      </c>
      <c r="AT190" t="s">
        <v>8325</v>
      </c>
      <c r="AU190" t="s">
        <v>8326</v>
      </c>
      <c r="AV190" t="s">
        <v>69</v>
      </c>
      <c r="AW190" t="s">
        <v>31363</v>
      </c>
      <c r="AX190" t="s">
        <v>31364</v>
      </c>
      <c r="AY190" t="s">
        <v>274</v>
      </c>
      <c r="AZ190">
        <v>2002</v>
      </c>
      <c r="BA190">
        <v>17</v>
      </c>
      <c r="BB190">
        <v>6</v>
      </c>
      <c r="BC190" t="s">
        <v>69</v>
      </c>
      <c r="BD190" t="s">
        <v>69</v>
      </c>
      <c r="BE190" t="s">
        <v>69</v>
      </c>
      <c r="BF190" t="s">
        <v>69</v>
      </c>
      <c r="BG190">
        <v>895</v>
      </c>
      <c r="BH190">
        <v>918</v>
      </c>
      <c r="BI190" t="s">
        <v>69</v>
      </c>
      <c r="BJ190" t="s">
        <v>8327</v>
      </c>
      <c r="BK190" t="str">
        <f>HYPERLINK("http://dx.doi.org/10.1080/02673030215998","http://dx.doi.org/10.1080/02673030215998")</f>
        <v>http://dx.doi.org/10.1080/02673030215998</v>
      </c>
      <c r="BL190" t="s">
        <v>69</v>
      </c>
      <c r="BM190" t="s">
        <v>69</v>
      </c>
      <c r="BN190">
        <v>24</v>
      </c>
      <c r="BO190" t="s">
        <v>15726</v>
      </c>
      <c r="BP190" t="s">
        <v>8661</v>
      </c>
      <c r="BQ190" t="s">
        <v>15727</v>
      </c>
      <c r="BR190" t="s">
        <v>31365</v>
      </c>
      <c r="BS190" t="s">
        <v>8328</v>
      </c>
      <c r="BT190" t="s">
        <v>69</v>
      </c>
      <c r="BU190" t="s">
        <v>69</v>
      </c>
      <c r="BV190" t="s">
        <v>69</v>
      </c>
      <c r="BW190" t="s">
        <v>69</v>
      </c>
      <c r="BX190" t="s">
        <v>8526</v>
      </c>
      <c r="BY190" t="str">
        <f>HYPERLINK("https%3A%2F%2Fwww.webofscience.com%2Fwos%2Fwoscc%2Ffull-record%2FWOS:000181160700005","View Full Record in Web of Science")</f>
        <v>View Full Record in Web of Science</v>
      </c>
    </row>
    <row r="191" spans="1:77" x14ac:dyDescent="0.3">
      <c r="A191" t="s">
        <v>8495</v>
      </c>
      <c r="B191" s="9" t="s">
        <v>32948</v>
      </c>
      <c r="C191" s="9" t="s">
        <v>33114</v>
      </c>
      <c r="D191" s="9" t="s">
        <v>8491</v>
      </c>
      <c r="E191" s="9" t="s">
        <v>8490</v>
      </c>
      <c r="F191" t="s">
        <v>67</v>
      </c>
      <c r="G191" t="s">
        <v>20542</v>
      </c>
      <c r="H191" t="s">
        <v>69</v>
      </c>
      <c r="I191" t="s">
        <v>69</v>
      </c>
      <c r="J191" t="s">
        <v>69</v>
      </c>
      <c r="K191" t="s">
        <v>20543</v>
      </c>
      <c r="L191" t="s">
        <v>69</v>
      </c>
      <c r="M191" t="s">
        <v>69</v>
      </c>
      <c r="N191" t="s">
        <v>20544</v>
      </c>
      <c r="O191" t="s">
        <v>20545</v>
      </c>
      <c r="P191" t="s">
        <v>69</v>
      </c>
      <c r="Q191" t="s">
        <v>69</v>
      </c>
      <c r="R191" t="s">
        <v>8505</v>
      </c>
      <c r="S191" t="s">
        <v>8506</v>
      </c>
      <c r="T191" t="s">
        <v>69</v>
      </c>
      <c r="U191" t="s">
        <v>69</v>
      </c>
      <c r="V191" t="s">
        <v>69</v>
      </c>
      <c r="W191" t="s">
        <v>69</v>
      </c>
      <c r="X191" t="s">
        <v>69</v>
      </c>
      <c r="Y191" t="s">
        <v>20546</v>
      </c>
      <c r="Z191" t="s">
        <v>20547</v>
      </c>
      <c r="AA191" t="s">
        <v>20548</v>
      </c>
      <c r="AB191" t="s">
        <v>20549</v>
      </c>
      <c r="AC191" t="s">
        <v>69</v>
      </c>
      <c r="AD191" t="s">
        <v>20550</v>
      </c>
      <c r="AE191" t="s">
        <v>20551</v>
      </c>
      <c r="AF191" t="s">
        <v>20552</v>
      </c>
      <c r="AG191" t="s">
        <v>20553</v>
      </c>
      <c r="AH191" t="s">
        <v>20554</v>
      </c>
      <c r="AI191" t="s">
        <v>20555</v>
      </c>
      <c r="AJ191" t="s">
        <v>20556</v>
      </c>
      <c r="AK191" t="s">
        <v>69</v>
      </c>
      <c r="AL191">
        <v>73</v>
      </c>
      <c r="AM191">
        <v>20</v>
      </c>
      <c r="AN191">
        <v>20</v>
      </c>
      <c r="AO191">
        <v>2</v>
      </c>
      <c r="AP191">
        <v>9</v>
      </c>
      <c r="AQ191" t="s">
        <v>9554</v>
      </c>
      <c r="AR191" t="s">
        <v>9555</v>
      </c>
      <c r="AS191" t="s">
        <v>9556</v>
      </c>
      <c r="AT191" t="s">
        <v>2020</v>
      </c>
      <c r="AU191" t="s">
        <v>2021</v>
      </c>
      <c r="AV191" t="s">
        <v>69</v>
      </c>
      <c r="AW191" t="s">
        <v>15699</v>
      </c>
      <c r="AX191" t="s">
        <v>15700</v>
      </c>
      <c r="AY191" t="s">
        <v>191</v>
      </c>
      <c r="AZ191">
        <v>2017</v>
      </c>
      <c r="BA191">
        <v>49</v>
      </c>
      <c r="BB191">
        <v>2</v>
      </c>
      <c r="BC191" t="s">
        <v>69</v>
      </c>
      <c r="BD191" t="s">
        <v>69</v>
      </c>
      <c r="BE191" t="s">
        <v>69</v>
      </c>
      <c r="BF191" t="s">
        <v>69</v>
      </c>
      <c r="BG191">
        <v>314</v>
      </c>
      <c r="BH191">
        <v>331</v>
      </c>
      <c r="BI191" t="s">
        <v>69</v>
      </c>
      <c r="BJ191" t="s">
        <v>20557</v>
      </c>
      <c r="BK191" t="str">
        <f>HYPERLINK("http://dx.doi.org/10.1177/0308518X16668170","http://dx.doi.org/10.1177/0308518X16668170")</f>
        <v>http://dx.doi.org/10.1177/0308518X16668170</v>
      </c>
      <c r="BL191" t="s">
        <v>69</v>
      </c>
      <c r="BM191" t="s">
        <v>69</v>
      </c>
      <c r="BN191">
        <v>18</v>
      </c>
      <c r="BO191" t="s">
        <v>15669</v>
      </c>
      <c r="BP191" t="s">
        <v>8661</v>
      </c>
      <c r="BQ191" t="s">
        <v>15670</v>
      </c>
      <c r="BR191" t="s">
        <v>20558</v>
      </c>
      <c r="BS191" t="s">
        <v>20559</v>
      </c>
      <c r="BT191" t="s">
        <v>69</v>
      </c>
      <c r="BU191" t="s">
        <v>69</v>
      </c>
      <c r="BV191" t="s">
        <v>69</v>
      </c>
      <c r="BW191" t="s">
        <v>69</v>
      </c>
      <c r="BX191" t="s">
        <v>8526</v>
      </c>
      <c r="BY191" t="str">
        <f>HYPERLINK("https%3A%2F%2Fwww.webofscience.com%2Fwos%2Fwoscc%2Ffull-record%2FWOS:000396922700006","View Full Record in Web of Science")</f>
        <v>View Full Record in Web of Science</v>
      </c>
    </row>
    <row r="192" spans="1:77" ht="12.5" x14ac:dyDescent="0.25">
      <c r="A192" t="s">
        <v>8495</v>
      </c>
      <c r="B192" s="7" t="s">
        <v>32933</v>
      </c>
      <c r="C192" s="7"/>
      <c r="D192" s="7"/>
      <c r="E192" s="7"/>
      <c r="F192" t="s">
        <v>67</v>
      </c>
      <c r="G192" t="s">
        <v>4766</v>
      </c>
      <c r="H192" t="s">
        <v>69</v>
      </c>
      <c r="I192" t="s">
        <v>69</v>
      </c>
      <c r="J192" t="s">
        <v>69</v>
      </c>
      <c r="K192" t="s">
        <v>4767</v>
      </c>
      <c r="L192" t="s">
        <v>69</v>
      </c>
      <c r="M192" t="s">
        <v>69</v>
      </c>
      <c r="N192" t="s">
        <v>4768</v>
      </c>
      <c r="O192" t="s">
        <v>4166</v>
      </c>
      <c r="P192" t="s">
        <v>69</v>
      </c>
      <c r="Q192" t="s">
        <v>69</v>
      </c>
      <c r="R192" t="s">
        <v>8505</v>
      </c>
      <c r="S192" t="s">
        <v>8506</v>
      </c>
      <c r="T192" t="s">
        <v>69</v>
      </c>
      <c r="U192" t="s">
        <v>69</v>
      </c>
      <c r="V192" t="s">
        <v>69</v>
      </c>
      <c r="W192" t="s">
        <v>69</v>
      </c>
      <c r="X192" t="s">
        <v>69</v>
      </c>
      <c r="Y192" t="s">
        <v>23658</v>
      </c>
      <c r="Z192" t="s">
        <v>23659</v>
      </c>
      <c r="AA192" t="s">
        <v>4769</v>
      </c>
      <c r="AB192" t="s">
        <v>23660</v>
      </c>
      <c r="AC192" t="s">
        <v>69</v>
      </c>
      <c r="AD192" t="s">
        <v>23661</v>
      </c>
      <c r="AE192" t="s">
        <v>23662</v>
      </c>
      <c r="AF192" t="s">
        <v>4770</v>
      </c>
      <c r="AG192" t="s">
        <v>4771</v>
      </c>
      <c r="AH192" t="s">
        <v>23663</v>
      </c>
      <c r="AI192" t="s">
        <v>23438</v>
      </c>
      <c r="AJ192" t="s">
        <v>69</v>
      </c>
      <c r="AK192" t="s">
        <v>69</v>
      </c>
      <c r="AL192">
        <v>61</v>
      </c>
      <c r="AM192">
        <v>21</v>
      </c>
      <c r="AN192">
        <v>24</v>
      </c>
      <c r="AO192">
        <v>0</v>
      </c>
      <c r="AP192">
        <v>39</v>
      </c>
      <c r="AQ192" t="s">
        <v>8636</v>
      </c>
      <c r="AR192" t="s">
        <v>8637</v>
      </c>
      <c r="AS192" t="s">
        <v>8638</v>
      </c>
      <c r="AT192" t="s">
        <v>4168</v>
      </c>
      <c r="AU192" t="s">
        <v>4169</v>
      </c>
      <c r="AV192" t="s">
        <v>69</v>
      </c>
      <c r="AW192" t="s">
        <v>23664</v>
      </c>
      <c r="AX192" t="s">
        <v>23665</v>
      </c>
      <c r="AY192" t="s">
        <v>201</v>
      </c>
      <c r="AZ192">
        <v>2014</v>
      </c>
      <c r="BA192">
        <v>52</v>
      </c>
      <c r="BB192" t="s">
        <v>69</v>
      </c>
      <c r="BC192" t="s">
        <v>69</v>
      </c>
      <c r="BD192" t="s">
        <v>69</v>
      </c>
      <c r="BE192" t="s">
        <v>69</v>
      </c>
      <c r="BF192" t="s">
        <v>69</v>
      </c>
      <c r="BG192">
        <v>14</v>
      </c>
      <c r="BH192">
        <v>24</v>
      </c>
      <c r="BI192" t="s">
        <v>69</v>
      </c>
      <c r="BJ192" t="s">
        <v>4772</v>
      </c>
      <c r="BK192" t="str">
        <f>HYPERLINK("http://dx.doi.org/10.1016/j.apgeog.2014.04.009","http://dx.doi.org/10.1016/j.apgeog.2014.04.009")</f>
        <v>http://dx.doi.org/10.1016/j.apgeog.2014.04.009</v>
      </c>
      <c r="BL192" t="s">
        <v>69</v>
      </c>
      <c r="BM192" t="s">
        <v>69</v>
      </c>
      <c r="BN192">
        <v>11</v>
      </c>
      <c r="BO192" t="s">
        <v>8446</v>
      </c>
      <c r="BP192" t="s">
        <v>8661</v>
      </c>
      <c r="BQ192" t="s">
        <v>8446</v>
      </c>
      <c r="BR192" t="s">
        <v>23666</v>
      </c>
      <c r="BS192" t="s">
        <v>4773</v>
      </c>
      <c r="BT192" t="s">
        <v>69</v>
      </c>
      <c r="BU192" t="s">
        <v>9292</v>
      </c>
      <c r="BV192" t="s">
        <v>69</v>
      </c>
      <c r="BW192" t="s">
        <v>69</v>
      </c>
      <c r="BX192" t="s">
        <v>8526</v>
      </c>
      <c r="BY192" t="str">
        <f>HYPERLINK("https%3A%2F%2Fwww.webofscience.com%2Fwos%2Fwoscc%2Ffull-record%2FWOS:000340224900002","View Full Record in Web of Science")</f>
        <v>View Full Record in Web of Science</v>
      </c>
    </row>
    <row r="193" spans="1:77" ht="12.5" x14ac:dyDescent="0.25">
      <c r="A193" t="s">
        <v>8495</v>
      </c>
      <c r="B193" s="22" t="s">
        <v>32931</v>
      </c>
      <c r="C193" s="7"/>
      <c r="D193" s="7"/>
      <c r="E193" s="7"/>
      <c r="F193" t="s">
        <v>67</v>
      </c>
      <c r="G193" t="s">
        <v>11262</v>
      </c>
      <c r="H193" t="s">
        <v>69</v>
      </c>
      <c r="I193" t="s">
        <v>69</v>
      </c>
      <c r="J193" t="s">
        <v>69</v>
      </c>
      <c r="K193" t="s">
        <v>11263</v>
      </c>
      <c r="L193" t="s">
        <v>69</v>
      </c>
      <c r="M193" t="s">
        <v>69</v>
      </c>
      <c r="N193" t="s">
        <v>11264</v>
      </c>
      <c r="O193" t="s">
        <v>11265</v>
      </c>
      <c r="P193" t="s">
        <v>69</v>
      </c>
      <c r="Q193" t="s">
        <v>69</v>
      </c>
      <c r="R193" t="s">
        <v>8505</v>
      </c>
      <c r="S193" t="s">
        <v>8506</v>
      </c>
      <c r="T193" t="s">
        <v>69</v>
      </c>
      <c r="U193" t="s">
        <v>69</v>
      </c>
      <c r="V193" t="s">
        <v>69</v>
      </c>
      <c r="W193" t="s">
        <v>69</v>
      </c>
      <c r="X193" t="s">
        <v>69</v>
      </c>
      <c r="Y193" t="s">
        <v>11266</v>
      </c>
      <c r="Z193" t="s">
        <v>11267</v>
      </c>
      <c r="AA193" t="s">
        <v>11268</v>
      </c>
      <c r="AB193" t="s">
        <v>11269</v>
      </c>
      <c r="AC193" t="s">
        <v>69</v>
      </c>
      <c r="AD193" t="s">
        <v>11270</v>
      </c>
      <c r="AE193" t="s">
        <v>11271</v>
      </c>
      <c r="AF193" t="s">
        <v>69</v>
      </c>
      <c r="AG193" t="s">
        <v>11272</v>
      </c>
      <c r="AH193" t="s">
        <v>11273</v>
      </c>
      <c r="AI193" t="s">
        <v>11274</v>
      </c>
      <c r="AJ193" t="s">
        <v>11275</v>
      </c>
      <c r="AK193" t="s">
        <v>69</v>
      </c>
      <c r="AL193">
        <v>46</v>
      </c>
      <c r="AM193">
        <v>2</v>
      </c>
      <c r="AN193">
        <v>2</v>
      </c>
      <c r="AO193">
        <v>5</v>
      </c>
      <c r="AP193">
        <v>9</v>
      </c>
      <c r="AQ193" t="s">
        <v>11276</v>
      </c>
      <c r="AR193" t="s">
        <v>11277</v>
      </c>
      <c r="AS193" t="s">
        <v>11278</v>
      </c>
      <c r="AT193" t="s">
        <v>11279</v>
      </c>
      <c r="AU193" t="s">
        <v>69</v>
      </c>
      <c r="AV193" t="s">
        <v>69</v>
      </c>
      <c r="AW193" t="s">
        <v>11280</v>
      </c>
      <c r="AX193" t="s">
        <v>11281</v>
      </c>
      <c r="AY193" t="s">
        <v>381</v>
      </c>
      <c r="AZ193">
        <v>2021</v>
      </c>
      <c r="BA193">
        <v>16</v>
      </c>
      <c r="BB193">
        <v>10</v>
      </c>
      <c r="BC193" t="s">
        <v>69</v>
      </c>
      <c r="BD193" t="s">
        <v>69</v>
      </c>
      <c r="BE193" t="s">
        <v>69</v>
      </c>
      <c r="BF193" t="s">
        <v>69</v>
      </c>
      <c r="BG193" t="s">
        <v>69</v>
      </c>
      <c r="BH193" t="s">
        <v>69</v>
      </c>
      <c r="BI193">
        <v>104019</v>
      </c>
      <c r="BJ193" t="s">
        <v>11282</v>
      </c>
      <c r="BK193" t="str">
        <f>HYPERLINK("http://dx.doi.org/10.1088/1748-9326/ac24d0","http://dx.doi.org/10.1088/1748-9326/ac24d0")</f>
        <v>http://dx.doi.org/10.1088/1748-9326/ac24d0</v>
      </c>
      <c r="BL193" t="s">
        <v>69</v>
      </c>
      <c r="BM193" t="s">
        <v>69</v>
      </c>
      <c r="BN193">
        <v>14</v>
      </c>
      <c r="BO193" t="s">
        <v>11283</v>
      </c>
      <c r="BP193" t="s">
        <v>8523</v>
      </c>
      <c r="BQ193" t="s">
        <v>11284</v>
      </c>
      <c r="BR193" t="s">
        <v>11285</v>
      </c>
      <c r="BS193" t="s">
        <v>11286</v>
      </c>
      <c r="BT193" t="s">
        <v>69</v>
      </c>
      <c r="BU193" t="s">
        <v>8812</v>
      </c>
      <c r="BV193" t="s">
        <v>69</v>
      </c>
      <c r="BW193" t="s">
        <v>69</v>
      </c>
      <c r="BX193" t="s">
        <v>8526</v>
      </c>
      <c r="BY193" t="str">
        <f>HYPERLINK("https%3A%2F%2Fwww.webofscience.com%2Fwos%2Fwoscc%2Ffull-record%2FWOS:000701260500001","View Full Record in Web of Science")</f>
        <v>View Full Record in Web of Science</v>
      </c>
    </row>
    <row r="194" spans="1:77" ht="12.5" x14ac:dyDescent="0.25">
      <c r="A194" t="s">
        <v>8495</v>
      </c>
      <c r="B194" s="22" t="s">
        <v>32931</v>
      </c>
      <c r="C194" s="7"/>
      <c r="D194" s="7"/>
      <c r="E194" s="7"/>
      <c r="F194" t="s">
        <v>67</v>
      </c>
      <c r="G194" t="s">
        <v>11475</v>
      </c>
      <c r="H194" t="s">
        <v>69</v>
      </c>
      <c r="I194" t="s">
        <v>69</v>
      </c>
      <c r="J194" t="s">
        <v>69</v>
      </c>
      <c r="K194" t="s">
        <v>11476</v>
      </c>
      <c r="L194" t="s">
        <v>69</v>
      </c>
      <c r="M194" t="s">
        <v>69</v>
      </c>
      <c r="N194" t="s">
        <v>11477</v>
      </c>
      <c r="O194" t="s">
        <v>10050</v>
      </c>
      <c r="P194" t="s">
        <v>69</v>
      </c>
      <c r="Q194" t="s">
        <v>69</v>
      </c>
      <c r="R194" t="s">
        <v>8505</v>
      </c>
      <c r="S194" t="s">
        <v>8506</v>
      </c>
      <c r="T194" t="s">
        <v>69</v>
      </c>
      <c r="U194" t="s">
        <v>69</v>
      </c>
      <c r="V194" t="s">
        <v>69</v>
      </c>
      <c r="W194" t="s">
        <v>69</v>
      </c>
      <c r="X194" t="s">
        <v>69</v>
      </c>
      <c r="Y194" t="s">
        <v>11478</v>
      </c>
      <c r="Z194" t="s">
        <v>11479</v>
      </c>
      <c r="AA194" t="s">
        <v>11480</v>
      </c>
      <c r="AB194" t="s">
        <v>11481</v>
      </c>
      <c r="AC194" t="s">
        <v>69</v>
      </c>
      <c r="AD194" t="s">
        <v>11482</v>
      </c>
      <c r="AE194" t="s">
        <v>11483</v>
      </c>
      <c r="AF194" t="s">
        <v>69</v>
      </c>
      <c r="AG194" t="s">
        <v>11484</v>
      </c>
      <c r="AH194" t="s">
        <v>69</v>
      </c>
      <c r="AI194" t="s">
        <v>69</v>
      </c>
      <c r="AJ194" t="s">
        <v>69</v>
      </c>
      <c r="AK194" t="s">
        <v>69</v>
      </c>
      <c r="AL194">
        <v>65</v>
      </c>
      <c r="AM194">
        <v>2</v>
      </c>
      <c r="AN194">
        <v>2</v>
      </c>
      <c r="AO194">
        <v>1</v>
      </c>
      <c r="AP194">
        <v>1</v>
      </c>
      <c r="AQ194" t="s">
        <v>8586</v>
      </c>
      <c r="AR194" t="s">
        <v>8587</v>
      </c>
      <c r="AS194" t="s">
        <v>8588</v>
      </c>
      <c r="AT194" t="s">
        <v>10059</v>
      </c>
      <c r="AU194" t="s">
        <v>10060</v>
      </c>
      <c r="AV194" t="s">
        <v>69</v>
      </c>
      <c r="AW194" t="s">
        <v>10061</v>
      </c>
      <c r="AX194" t="s">
        <v>10062</v>
      </c>
      <c r="AY194" t="s">
        <v>5150</v>
      </c>
      <c r="AZ194">
        <v>2022</v>
      </c>
      <c r="BA194">
        <v>27</v>
      </c>
      <c r="BB194">
        <v>2</v>
      </c>
      <c r="BC194" t="s">
        <v>69</v>
      </c>
      <c r="BD194" t="s">
        <v>69</v>
      </c>
      <c r="BE194" t="s">
        <v>69</v>
      </c>
      <c r="BF194" t="s">
        <v>69</v>
      </c>
      <c r="BG194">
        <v>259</v>
      </c>
      <c r="BH194">
        <v>278</v>
      </c>
      <c r="BI194" t="s">
        <v>69</v>
      </c>
      <c r="BJ194" t="s">
        <v>11485</v>
      </c>
      <c r="BK194" t="str">
        <f>HYPERLINK("http://dx.doi.org/10.1108/JFMPC-01-2021-0002","http://dx.doi.org/10.1108/JFMPC-01-2021-0002")</f>
        <v>http://dx.doi.org/10.1108/JFMPC-01-2021-0002</v>
      </c>
      <c r="BL194" t="s">
        <v>69</v>
      </c>
      <c r="BM194" t="s">
        <v>11486</v>
      </c>
      <c r="BN194">
        <v>20</v>
      </c>
      <c r="BO194" t="s">
        <v>9749</v>
      </c>
      <c r="BP194" t="s">
        <v>8573</v>
      </c>
      <c r="BQ194" t="s">
        <v>8594</v>
      </c>
      <c r="BR194" t="s">
        <v>11487</v>
      </c>
      <c r="BS194" t="s">
        <v>11488</v>
      </c>
      <c r="BT194" t="s">
        <v>69</v>
      </c>
      <c r="BU194" t="s">
        <v>69</v>
      </c>
      <c r="BV194" t="s">
        <v>69</v>
      </c>
      <c r="BW194" t="s">
        <v>69</v>
      </c>
      <c r="BX194" t="s">
        <v>8526</v>
      </c>
      <c r="BY194" t="str">
        <f>HYPERLINK("https%3A%2F%2Fwww.webofscience.com%2Fwos%2Fwoscc%2Ffull-record%2FWOS:000691727300001","View Full Record in Web of Science")</f>
        <v>View Full Record in Web of Science</v>
      </c>
    </row>
    <row r="195" spans="1:77" ht="12.5" x14ac:dyDescent="0.25">
      <c r="A195" t="s">
        <v>8495</v>
      </c>
      <c r="B195" s="7" t="s">
        <v>32933</v>
      </c>
      <c r="C195" s="7"/>
      <c r="D195" s="7"/>
      <c r="E195" s="7"/>
      <c r="F195" t="s">
        <v>67</v>
      </c>
      <c r="G195" t="s">
        <v>5521</v>
      </c>
      <c r="H195" t="s">
        <v>69</v>
      </c>
      <c r="I195" t="s">
        <v>69</v>
      </c>
      <c r="J195" t="s">
        <v>69</v>
      </c>
      <c r="K195" t="s">
        <v>5522</v>
      </c>
      <c r="L195" t="s">
        <v>69</v>
      </c>
      <c r="M195" t="s">
        <v>69</v>
      </c>
      <c r="N195" t="s">
        <v>5523</v>
      </c>
      <c r="O195" t="s">
        <v>5524</v>
      </c>
      <c r="P195" t="s">
        <v>69</v>
      </c>
      <c r="Q195" t="s">
        <v>69</v>
      </c>
      <c r="R195" t="s">
        <v>8505</v>
      </c>
      <c r="S195" t="s">
        <v>18574</v>
      </c>
      <c r="T195" t="s">
        <v>69</v>
      </c>
      <c r="U195" t="s">
        <v>69</v>
      </c>
      <c r="V195" t="s">
        <v>69</v>
      </c>
      <c r="W195" t="s">
        <v>69</v>
      </c>
      <c r="X195" t="s">
        <v>69</v>
      </c>
      <c r="Y195" t="s">
        <v>69</v>
      </c>
      <c r="Z195" t="s">
        <v>69</v>
      </c>
      <c r="AA195" t="s">
        <v>5525</v>
      </c>
      <c r="AB195" t="s">
        <v>18575</v>
      </c>
      <c r="AC195" t="s">
        <v>69</v>
      </c>
      <c r="AD195" t="s">
        <v>18576</v>
      </c>
      <c r="AE195" t="s">
        <v>18577</v>
      </c>
      <c r="AF195" t="s">
        <v>69</v>
      </c>
      <c r="AG195" t="s">
        <v>69</v>
      </c>
      <c r="AH195" t="s">
        <v>69</v>
      </c>
      <c r="AI195" t="s">
        <v>69</v>
      </c>
      <c r="AJ195" t="s">
        <v>69</v>
      </c>
      <c r="AK195" t="s">
        <v>69</v>
      </c>
      <c r="AL195">
        <v>1</v>
      </c>
      <c r="AM195">
        <v>0</v>
      </c>
      <c r="AN195">
        <v>0</v>
      </c>
      <c r="AO195">
        <v>0</v>
      </c>
      <c r="AP195">
        <v>4</v>
      </c>
      <c r="AQ195" t="s">
        <v>8826</v>
      </c>
      <c r="AR195" t="s">
        <v>8827</v>
      </c>
      <c r="AS195" t="s">
        <v>8828</v>
      </c>
      <c r="AT195" t="s">
        <v>5526</v>
      </c>
      <c r="AU195" t="s">
        <v>5527</v>
      </c>
      <c r="AV195" t="s">
        <v>69</v>
      </c>
      <c r="AW195" t="s">
        <v>18578</v>
      </c>
      <c r="AX195" t="s">
        <v>18579</v>
      </c>
      <c r="AY195" t="s">
        <v>84</v>
      </c>
      <c r="AZ195">
        <v>2018</v>
      </c>
      <c r="BA195">
        <v>29</v>
      </c>
      <c r="BB195">
        <v>2</v>
      </c>
      <c r="BC195" t="s">
        <v>69</v>
      </c>
      <c r="BD195" t="s">
        <v>69</v>
      </c>
      <c r="BE195" t="s">
        <v>69</v>
      </c>
      <c r="BF195" t="s">
        <v>69</v>
      </c>
      <c r="BG195">
        <v>184</v>
      </c>
      <c r="BH195">
        <v>190</v>
      </c>
      <c r="BI195" t="s">
        <v>69</v>
      </c>
      <c r="BJ195" t="s">
        <v>5528</v>
      </c>
      <c r="BK195" t="str">
        <f>HYPERLINK("http://dx.doi.org/10.1071/HR18011","http://dx.doi.org/10.1071/HR18011")</f>
        <v>http://dx.doi.org/10.1071/HR18011</v>
      </c>
      <c r="BL195" t="s">
        <v>69</v>
      </c>
      <c r="BM195" t="s">
        <v>69</v>
      </c>
      <c r="BN195">
        <v>7</v>
      </c>
      <c r="BO195" t="s">
        <v>16099</v>
      </c>
      <c r="BP195" t="s">
        <v>16100</v>
      </c>
      <c r="BQ195" t="s">
        <v>16101</v>
      </c>
      <c r="BR195" t="s">
        <v>18580</v>
      </c>
      <c r="BS195" t="s">
        <v>5529</v>
      </c>
      <c r="BT195" t="s">
        <v>69</v>
      </c>
      <c r="BU195" t="s">
        <v>69</v>
      </c>
      <c r="BV195" t="s">
        <v>69</v>
      </c>
      <c r="BW195" t="s">
        <v>69</v>
      </c>
      <c r="BX195" t="s">
        <v>8526</v>
      </c>
      <c r="BY195" t="str">
        <f>HYPERLINK("https%3A%2F%2Fwww.webofscience.com%2Fwos%2Fwoscc%2Ffull-record%2FWOS:000440402100013","View Full Record in Web of Science")</f>
        <v>View Full Record in Web of Science</v>
      </c>
    </row>
    <row r="196" spans="1:77" x14ac:dyDescent="0.3">
      <c r="A196" t="s">
        <v>8495</v>
      </c>
      <c r="B196" s="10" t="s">
        <v>32951</v>
      </c>
      <c r="F196" t="s">
        <v>67</v>
      </c>
      <c r="G196" t="s">
        <v>4345</v>
      </c>
      <c r="H196" t="s">
        <v>69</v>
      </c>
      <c r="I196" t="s">
        <v>69</v>
      </c>
      <c r="J196" t="s">
        <v>69</v>
      </c>
      <c r="K196" s="2" t="s">
        <v>4346</v>
      </c>
      <c r="L196" t="s">
        <v>69</v>
      </c>
      <c r="M196" t="s">
        <v>69</v>
      </c>
      <c r="N196" s="11" t="s">
        <v>4347</v>
      </c>
      <c r="O196" t="s">
        <v>4348</v>
      </c>
      <c r="P196" t="s">
        <v>69</v>
      </c>
      <c r="Q196" t="s">
        <v>69</v>
      </c>
      <c r="R196" t="s">
        <v>8505</v>
      </c>
      <c r="S196" t="s">
        <v>8506</v>
      </c>
      <c r="T196" t="s">
        <v>69</v>
      </c>
      <c r="U196" t="s">
        <v>69</v>
      </c>
      <c r="V196" t="s">
        <v>69</v>
      </c>
      <c r="W196" t="s">
        <v>69</v>
      </c>
      <c r="X196" t="s">
        <v>69</v>
      </c>
      <c r="Y196" t="s">
        <v>18412</v>
      </c>
      <c r="Z196" t="s">
        <v>18413</v>
      </c>
      <c r="AA196" t="s">
        <v>4349</v>
      </c>
      <c r="AB196" t="s">
        <v>18414</v>
      </c>
      <c r="AC196" t="s">
        <v>69</v>
      </c>
      <c r="AD196" t="s">
        <v>18415</v>
      </c>
      <c r="AE196" t="s">
        <v>18416</v>
      </c>
      <c r="AF196" t="s">
        <v>4350</v>
      </c>
      <c r="AG196" t="s">
        <v>4351</v>
      </c>
      <c r="AH196" t="s">
        <v>18417</v>
      </c>
      <c r="AI196" t="s">
        <v>18418</v>
      </c>
      <c r="AJ196" t="s">
        <v>18419</v>
      </c>
      <c r="AK196" t="s">
        <v>69</v>
      </c>
      <c r="AL196">
        <v>29</v>
      </c>
      <c r="AM196">
        <v>8</v>
      </c>
      <c r="AN196">
        <v>8</v>
      </c>
      <c r="AO196">
        <v>2</v>
      </c>
      <c r="AP196">
        <v>9</v>
      </c>
      <c r="AQ196" t="s">
        <v>17140</v>
      </c>
      <c r="AR196" t="s">
        <v>8517</v>
      </c>
      <c r="AS196" t="s">
        <v>17141</v>
      </c>
      <c r="AT196" t="s">
        <v>4352</v>
      </c>
      <c r="AU196" t="s">
        <v>4353</v>
      </c>
      <c r="AV196" t="s">
        <v>69</v>
      </c>
      <c r="AW196" t="s">
        <v>18420</v>
      </c>
      <c r="AX196" t="s">
        <v>18421</v>
      </c>
      <c r="AY196" t="s">
        <v>255</v>
      </c>
      <c r="AZ196">
        <v>2018</v>
      </c>
      <c r="BA196">
        <v>28</v>
      </c>
      <c r="BB196" t="s">
        <v>69</v>
      </c>
      <c r="BC196" t="s">
        <v>69</v>
      </c>
      <c r="BD196" t="s">
        <v>69</v>
      </c>
      <c r="BE196" t="s">
        <v>69</v>
      </c>
      <c r="BF196" t="s">
        <v>69</v>
      </c>
      <c r="BG196">
        <v>70</v>
      </c>
      <c r="BH196">
        <v>78</v>
      </c>
      <c r="BI196" t="s">
        <v>69</v>
      </c>
      <c r="BJ196" t="s">
        <v>4354</v>
      </c>
      <c r="BK196" t="str">
        <f>HYPERLINK("http://dx.doi.org/10.1016/j.eist.2018.02.003","http://dx.doi.org/10.1016/j.eist.2018.02.003")</f>
        <v>http://dx.doi.org/10.1016/j.eist.2018.02.003</v>
      </c>
      <c r="BL196" t="s">
        <v>69</v>
      </c>
      <c r="BM196" t="s">
        <v>69</v>
      </c>
      <c r="BN196">
        <v>9</v>
      </c>
      <c r="BO196" t="s">
        <v>11791</v>
      </c>
      <c r="BP196" t="s">
        <v>8523</v>
      </c>
      <c r="BQ196" t="s">
        <v>8662</v>
      </c>
      <c r="BR196" t="s">
        <v>18422</v>
      </c>
      <c r="BS196" t="s">
        <v>4355</v>
      </c>
      <c r="BT196" t="s">
        <v>69</v>
      </c>
      <c r="BU196" t="s">
        <v>69</v>
      </c>
      <c r="BV196" t="s">
        <v>69</v>
      </c>
      <c r="BW196" t="s">
        <v>69</v>
      </c>
      <c r="BX196" t="s">
        <v>8526</v>
      </c>
      <c r="BY196" t="str">
        <f>HYPERLINK("https%3A%2F%2Fwww.webofscience.com%2Fwos%2Fwoscc%2Ffull-record%2FWOS:000442451900006","View Full Record in Web of Science")</f>
        <v>View Full Record in Web of Science</v>
      </c>
    </row>
    <row r="197" spans="1:77" ht="12.5" x14ac:dyDescent="0.25">
      <c r="A197" t="s">
        <v>8495</v>
      </c>
      <c r="B197" s="7" t="s">
        <v>32933</v>
      </c>
      <c r="C197" s="7"/>
      <c r="D197" s="7"/>
      <c r="E197" s="7"/>
      <c r="F197" t="s">
        <v>67</v>
      </c>
      <c r="G197" t="s">
        <v>6766</v>
      </c>
      <c r="H197" t="s">
        <v>69</v>
      </c>
      <c r="I197" t="s">
        <v>69</v>
      </c>
      <c r="J197" t="s">
        <v>69</v>
      </c>
      <c r="K197" t="s">
        <v>6767</v>
      </c>
      <c r="L197" t="s">
        <v>69</v>
      </c>
      <c r="M197" t="s">
        <v>69</v>
      </c>
      <c r="N197" t="s">
        <v>6768</v>
      </c>
      <c r="O197" t="s">
        <v>2753</v>
      </c>
      <c r="P197" t="s">
        <v>69</v>
      </c>
      <c r="Q197" t="s">
        <v>69</v>
      </c>
      <c r="R197" t="s">
        <v>8505</v>
      </c>
      <c r="S197" t="s">
        <v>8506</v>
      </c>
      <c r="T197" t="s">
        <v>69</v>
      </c>
      <c r="U197" t="s">
        <v>69</v>
      </c>
      <c r="V197" t="s">
        <v>69</v>
      </c>
      <c r="W197" t="s">
        <v>69</v>
      </c>
      <c r="X197" t="s">
        <v>69</v>
      </c>
      <c r="Y197" t="s">
        <v>19625</v>
      </c>
      <c r="Z197" t="s">
        <v>19626</v>
      </c>
      <c r="AA197" t="s">
        <v>6769</v>
      </c>
      <c r="AB197" t="s">
        <v>19627</v>
      </c>
      <c r="AC197" t="s">
        <v>69</v>
      </c>
      <c r="AD197" t="s">
        <v>19628</v>
      </c>
      <c r="AE197" t="s">
        <v>19629</v>
      </c>
      <c r="AF197" t="s">
        <v>6770</v>
      </c>
      <c r="AG197" t="s">
        <v>6771</v>
      </c>
      <c r="AH197" t="s">
        <v>69</v>
      </c>
      <c r="AI197" t="s">
        <v>69</v>
      </c>
      <c r="AJ197" t="s">
        <v>69</v>
      </c>
      <c r="AK197" t="s">
        <v>69</v>
      </c>
      <c r="AL197">
        <v>64</v>
      </c>
      <c r="AM197">
        <v>8</v>
      </c>
      <c r="AN197">
        <v>8</v>
      </c>
      <c r="AO197">
        <v>0</v>
      </c>
      <c r="AP197">
        <v>17</v>
      </c>
      <c r="AQ197" t="s">
        <v>8586</v>
      </c>
      <c r="AR197" t="s">
        <v>8587</v>
      </c>
      <c r="AS197" t="s">
        <v>8588</v>
      </c>
      <c r="AT197" t="s">
        <v>2756</v>
      </c>
      <c r="AU197" t="s">
        <v>2757</v>
      </c>
      <c r="AV197" t="s">
        <v>69</v>
      </c>
      <c r="AW197" t="s">
        <v>14987</v>
      </c>
      <c r="AX197" t="s">
        <v>14988</v>
      </c>
      <c r="AY197" t="s">
        <v>69</v>
      </c>
      <c r="AZ197">
        <v>2018</v>
      </c>
      <c r="BA197">
        <v>36</v>
      </c>
      <c r="BB197">
        <v>1</v>
      </c>
      <c r="BC197" t="s">
        <v>69</v>
      </c>
      <c r="BD197" t="s">
        <v>69</v>
      </c>
      <c r="BE197" t="s">
        <v>114</v>
      </c>
      <c r="BF197" t="s">
        <v>69</v>
      </c>
      <c r="BG197">
        <v>67</v>
      </c>
      <c r="BH197">
        <v>85</v>
      </c>
      <c r="BI197" t="s">
        <v>69</v>
      </c>
      <c r="BJ197" t="s">
        <v>6772</v>
      </c>
      <c r="BK197" t="str">
        <f>HYPERLINK("http://dx.doi.org/10.1108/PM-08-2016-0046","http://dx.doi.org/10.1108/PM-08-2016-0046")</f>
        <v>http://dx.doi.org/10.1108/PM-08-2016-0046</v>
      </c>
      <c r="BL197" t="s">
        <v>69</v>
      </c>
      <c r="BM197" t="s">
        <v>69</v>
      </c>
      <c r="BN197">
        <v>19</v>
      </c>
      <c r="BO197" t="s">
        <v>9410</v>
      </c>
      <c r="BP197" t="s">
        <v>8573</v>
      </c>
      <c r="BQ197" t="s">
        <v>8594</v>
      </c>
      <c r="BR197" t="s">
        <v>19630</v>
      </c>
      <c r="BS197" t="s">
        <v>6773</v>
      </c>
      <c r="BT197" t="s">
        <v>69</v>
      </c>
      <c r="BU197" t="s">
        <v>9292</v>
      </c>
      <c r="BV197" t="s">
        <v>69</v>
      </c>
      <c r="BW197" t="s">
        <v>69</v>
      </c>
      <c r="BX197" t="s">
        <v>8526</v>
      </c>
      <c r="BY197" t="str">
        <f>HYPERLINK("https%3A%2F%2Fwww.webofscience.com%2Fwos%2Fwoscc%2Ffull-record%2FWOS:000424464100005","View Full Record in Web of Science")</f>
        <v>View Full Record in Web of Science</v>
      </c>
    </row>
    <row r="198" spans="1:77" x14ac:dyDescent="0.3">
      <c r="A198" t="s">
        <v>8495</v>
      </c>
      <c r="B198" s="9" t="s">
        <v>32950</v>
      </c>
      <c r="D198" s="9" t="s">
        <v>8491</v>
      </c>
      <c r="E198" s="9" t="s">
        <v>8490</v>
      </c>
      <c r="F198" t="s">
        <v>67</v>
      </c>
      <c r="G198" t="s">
        <v>10009</v>
      </c>
      <c r="H198" t="s">
        <v>69</v>
      </c>
      <c r="I198" t="s">
        <v>69</v>
      </c>
      <c r="J198" t="s">
        <v>69</v>
      </c>
      <c r="K198" t="s">
        <v>10010</v>
      </c>
      <c r="L198" t="s">
        <v>69</v>
      </c>
      <c r="M198" t="s">
        <v>69</v>
      </c>
      <c r="N198" t="s">
        <v>10011</v>
      </c>
      <c r="O198" t="s">
        <v>10012</v>
      </c>
      <c r="P198" t="s">
        <v>69</v>
      </c>
      <c r="Q198" t="s">
        <v>69</v>
      </c>
      <c r="R198" t="s">
        <v>8505</v>
      </c>
      <c r="S198" t="s">
        <v>8506</v>
      </c>
      <c r="T198" t="s">
        <v>69</v>
      </c>
      <c r="U198" t="s">
        <v>69</v>
      </c>
      <c r="V198" t="s">
        <v>69</v>
      </c>
      <c r="W198" t="s">
        <v>69</v>
      </c>
      <c r="X198" t="s">
        <v>69</v>
      </c>
      <c r="Y198" t="s">
        <v>10013</v>
      </c>
      <c r="Z198" t="s">
        <v>10014</v>
      </c>
      <c r="AA198" t="s">
        <v>10015</v>
      </c>
      <c r="AB198" t="s">
        <v>10016</v>
      </c>
      <c r="AC198" t="s">
        <v>69</v>
      </c>
      <c r="AD198" t="s">
        <v>10017</v>
      </c>
      <c r="AE198" t="s">
        <v>10018</v>
      </c>
      <c r="AF198" t="s">
        <v>69</v>
      </c>
      <c r="AG198" t="s">
        <v>69</v>
      </c>
      <c r="AH198" t="s">
        <v>69</v>
      </c>
      <c r="AI198" t="s">
        <v>69</v>
      </c>
      <c r="AJ198" t="s">
        <v>69</v>
      </c>
      <c r="AK198" t="s">
        <v>69</v>
      </c>
      <c r="AL198">
        <v>68</v>
      </c>
      <c r="AM198">
        <v>0</v>
      </c>
      <c r="AN198">
        <v>0</v>
      </c>
      <c r="AO198">
        <v>11</v>
      </c>
      <c r="AP198">
        <v>11</v>
      </c>
      <c r="AQ198" t="s">
        <v>8992</v>
      </c>
      <c r="AR198" t="s">
        <v>8993</v>
      </c>
      <c r="AS198" t="s">
        <v>8994</v>
      </c>
      <c r="AT198" t="s">
        <v>69</v>
      </c>
      <c r="AU198" t="s">
        <v>10019</v>
      </c>
      <c r="AV198" t="s">
        <v>69</v>
      </c>
      <c r="AW198" t="s">
        <v>10020</v>
      </c>
      <c r="AX198" t="s">
        <v>10021</v>
      </c>
      <c r="AY198" t="s">
        <v>10022</v>
      </c>
      <c r="AZ198">
        <v>2022</v>
      </c>
      <c r="BA198">
        <v>3</v>
      </c>
      <c r="BB198" t="s">
        <v>69</v>
      </c>
      <c r="BC198" t="s">
        <v>69</v>
      </c>
      <c r="BD198" t="s">
        <v>69</v>
      </c>
      <c r="BE198" t="s">
        <v>69</v>
      </c>
      <c r="BF198" t="s">
        <v>69</v>
      </c>
      <c r="BG198" t="s">
        <v>69</v>
      </c>
      <c r="BH198" t="s">
        <v>69</v>
      </c>
      <c r="BI198">
        <v>752085</v>
      </c>
      <c r="BJ198" t="s">
        <v>10023</v>
      </c>
      <c r="BK198" t="str">
        <f>HYPERLINK("http://dx.doi.org/10.3389/fspor.2021.752085","http://dx.doi.org/10.3389/fspor.2021.752085")</f>
        <v>http://dx.doi.org/10.3389/fspor.2021.752085</v>
      </c>
      <c r="BL198" t="s">
        <v>69</v>
      </c>
      <c r="BM198" t="s">
        <v>69</v>
      </c>
      <c r="BN198">
        <v>15</v>
      </c>
      <c r="BO198" t="s">
        <v>10024</v>
      </c>
      <c r="BP198" t="s">
        <v>8573</v>
      </c>
      <c r="BQ198" t="s">
        <v>10024</v>
      </c>
      <c r="BR198" t="s">
        <v>10025</v>
      </c>
      <c r="BS198" t="s">
        <v>10026</v>
      </c>
      <c r="BT198">
        <v>35098117</v>
      </c>
      <c r="BU198" t="s">
        <v>9352</v>
      </c>
      <c r="BV198" t="s">
        <v>69</v>
      </c>
      <c r="BW198" t="s">
        <v>69</v>
      </c>
      <c r="BX198" t="s">
        <v>8526</v>
      </c>
      <c r="BY198" t="str">
        <f>HYPERLINK("https%3A%2F%2Fwww.webofscience.com%2Fwos%2Fwoscc%2Ffull-record%2FWOS:000758770500001","View Full Record in Web of Science")</f>
        <v>View Full Record in Web of Science</v>
      </c>
    </row>
    <row r="199" spans="1:77" ht="12.5" x14ac:dyDescent="0.25">
      <c r="A199" t="s">
        <v>8495</v>
      </c>
      <c r="B199" s="22" t="s">
        <v>32931</v>
      </c>
      <c r="C199" s="7"/>
      <c r="D199" s="7"/>
      <c r="E199" s="7"/>
      <c r="F199" t="s">
        <v>67</v>
      </c>
      <c r="G199" t="s">
        <v>19264</v>
      </c>
      <c r="H199" t="s">
        <v>69</v>
      </c>
      <c r="I199" t="s">
        <v>69</v>
      </c>
      <c r="J199" t="s">
        <v>69</v>
      </c>
      <c r="K199" t="s">
        <v>19265</v>
      </c>
      <c r="L199" t="s">
        <v>69</v>
      </c>
      <c r="M199" t="s">
        <v>69</v>
      </c>
      <c r="N199" t="s">
        <v>19266</v>
      </c>
      <c r="O199" t="s">
        <v>19267</v>
      </c>
      <c r="P199" t="s">
        <v>69</v>
      </c>
      <c r="Q199" t="s">
        <v>69</v>
      </c>
      <c r="R199" t="s">
        <v>8505</v>
      </c>
      <c r="S199" t="s">
        <v>8506</v>
      </c>
      <c r="T199" t="s">
        <v>69</v>
      </c>
      <c r="U199" t="s">
        <v>69</v>
      </c>
      <c r="V199" t="s">
        <v>69</v>
      </c>
      <c r="W199" t="s">
        <v>69</v>
      </c>
      <c r="X199" t="s">
        <v>69</v>
      </c>
      <c r="Y199" t="s">
        <v>19268</v>
      </c>
      <c r="Z199" t="s">
        <v>19269</v>
      </c>
      <c r="AA199" t="s">
        <v>19270</v>
      </c>
      <c r="AB199" t="s">
        <v>19271</v>
      </c>
      <c r="AC199" t="s">
        <v>69</v>
      </c>
      <c r="AD199" t="s">
        <v>19272</v>
      </c>
      <c r="AE199" t="s">
        <v>19273</v>
      </c>
      <c r="AF199" t="s">
        <v>69</v>
      </c>
      <c r="AG199" t="s">
        <v>69</v>
      </c>
      <c r="AH199" t="s">
        <v>19274</v>
      </c>
      <c r="AI199" t="s">
        <v>19275</v>
      </c>
      <c r="AJ199" t="s">
        <v>19276</v>
      </c>
      <c r="AK199" t="s">
        <v>69</v>
      </c>
      <c r="AL199">
        <v>84</v>
      </c>
      <c r="AM199">
        <v>52</v>
      </c>
      <c r="AN199">
        <v>52</v>
      </c>
      <c r="AO199">
        <v>1</v>
      </c>
      <c r="AP199">
        <v>13</v>
      </c>
      <c r="AQ199" t="s">
        <v>9203</v>
      </c>
      <c r="AR199" t="s">
        <v>8763</v>
      </c>
      <c r="AS199" t="s">
        <v>9204</v>
      </c>
      <c r="AT199" t="s">
        <v>19277</v>
      </c>
      <c r="AU199" t="s">
        <v>69</v>
      </c>
      <c r="AV199" t="s">
        <v>69</v>
      </c>
      <c r="AW199" t="s">
        <v>19278</v>
      </c>
      <c r="AX199" t="s">
        <v>19279</v>
      </c>
      <c r="AY199" t="s">
        <v>19280</v>
      </c>
      <c r="AZ199">
        <v>2018</v>
      </c>
      <c r="BA199">
        <v>13</v>
      </c>
      <c r="BB199" t="s">
        <v>69</v>
      </c>
      <c r="BC199" t="s">
        <v>69</v>
      </c>
      <c r="BD199" t="s">
        <v>69</v>
      </c>
      <c r="BE199" t="s">
        <v>69</v>
      </c>
      <c r="BF199" t="s">
        <v>69</v>
      </c>
      <c r="BG199" t="s">
        <v>69</v>
      </c>
      <c r="BH199" t="s">
        <v>69</v>
      </c>
      <c r="BI199">
        <v>5</v>
      </c>
      <c r="BJ199" t="s">
        <v>19281</v>
      </c>
      <c r="BK199" t="str">
        <f>HYPERLINK("http://dx.doi.org/10.1186/s13012-017-0705-6","http://dx.doi.org/10.1186/s13012-017-0705-6")</f>
        <v>http://dx.doi.org/10.1186/s13012-017-0705-6</v>
      </c>
      <c r="BL199" t="s">
        <v>69</v>
      </c>
      <c r="BM199" t="s">
        <v>69</v>
      </c>
      <c r="BN199">
        <v>14</v>
      </c>
      <c r="BO199" t="s">
        <v>9809</v>
      </c>
      <c r="BP199" t="s">
        <v>8523</v>
      </c>
      <c r="BQ199" t="s">
        <v>9209</v>
      </c>
      <c r="BR199" t="s">
        <v>19282</v>
      </c>
      <c r="BS199" t="s">
        <v>19283</v>
      </c>
      <c r="BT199">
        <v>29310673</v>
      </c>
      <c r="BU199" t="s">
        <v>9352</v>
      </c>
      <c r="BV199" t="s">
        <v>69</v>
      </c>
      <c r="BW199" t="s">
        <v>69</v>
      </c>
      <c r="BX199" t="s">
        <v>8526</v>
      </c>
      <c r="BY199" t="str">
        <f>HYPERLINK("https%3A%2F%2Fwww.webofscience.com%2Fwos%2Fwoscc%2Ffull-record%2FWOS:000419901700001","View Full Record in Web of Science")</f>
        <v>View Full Record in Web of Science</v>
      </c>
    </row>
    <row r="200" spans="1:77" ht="12.5" x14ac:dyDescent="0.25">
      <c r="A200" t="s">
        <v>8495</v>
      </c>
      <c r="B200" s="22" t="s">
        <v>32931</v>
      </c>
      <c r="C200" s="7"/>
      <c r="D200" s="7"/>
      <c r="E200" s="7"/>
      <c r="F200" t="s">
        <v>67</v>
      </c>
      <c r="G200" t="s">
        <v>8665</v>
      </c>
      <c r="H200" t="s">
        <v>69</v>
      </c>
      <c r="I200" t="s">
        <v>69</v>
      </c>
      <c r="J200" t="s">
        <v>69</v>
      </c>
      <c r="K200" t="s">
        <v>8666</v>
      </c>
      <c r="L200" t="s">
        <v>69</v>
      </c>
      <c r="M200" t="s">
        <v>69</v>
      </c>
      <c r="N200" t="s">
        <v>8667</v>
      </c>
      <c r="O200" t="s">
        <v>1351</v>
      </c>
      <c r="P200" t="s">
        <v>69</v>
      </c>
      <c r="Q200" t="s">
        <v>69</v>
      </c>
      <c r="R200" t="s">
        <v>8505</v>
      </c>
      <c r="S200" t="s">
        <v>8506</v>
      </c>
      <c r="T200" t="s">
        <v>69</v>
      </c>
      <c r="U200" t="s">
        <v>69</v>
      </c>
      <c r="V200" t="s">
        <v>69</v>
      </c>
      <c r="W200" t="s">
        <v>69</v>
      </c>
      <c r="X200" t="s">
        <v>69</v>
      </c>
      <c r="Y200" t="s">
        <v>8668</v>
      </c>
      <c r="Z200" t="s">
        <v>8669</v>
      </c>
      <c r="AA200" t="s">
        <v>8670</v>
      </c>
      <c r="AB200" t="s">
        <v>8671</v>
      </c>
      <c r="AC200" t="s">
        <v>69</v>
      </c>
      <c r="AD200" t="s">
        <v>8672</v>
      </c>
      <c r="AE200" t="s">
        <v>8673</v>
      </c>
      <c r="AF200" t="s">
        <v>69</v>
      </c>
      <c r="AG200" t="s">
        <v>8674</v>
      </c>
      <c r="AH200" t="s">
        <v>8675</v>
      </c>
      <c r="AI200" t="s">
        <v>8675</v>
      </c>
      <c r="AJ200" t="s">
        <v>8676</v>
      </c>
      <c r="AK200" t="s">
        <v>69</v>
      </c>
      <c r="AL200">
        <v>78</v>
      </c>
      <c r="AM200">
        <v>0</v>
      </c>
      <c r="AN200">
        <v>0</v>
      </c>
      <c r="AO200">
        <v>15</v>
      </c>
      <c r="AP200">
        <v>15</v>
      </c>
      <c r="AQ200" t="s">
        <v>8539</v>
      </c>
      <c r="AR200" t="s">
        <v>8540</v>
      </c>
      <c r="AS200" t="s">
        <v>8541</v>
      </c>
      <c r="AT200" t="s">
        <v>1353</v>
      </c>
      <c r="AU200" t="s">
        <v>1354</v>
      </c>
      <c r="AV200" t="s">
        <v>69</v>
      </c>
      <c r="AW200" t="s">
        <v>8677</v>
      </c>
      <c r="AX200" t="s">
        <v>8678</v>
      </c>
      <c r="AY200" t="s">
        <v>2216</v>
      </c>
      <c r="AZ200">
        <v>2022</v>
      </c>
      <c r="BA200">
        <v>38</v>
      </c>
      <c r="BB200">
        <v>4</v>
      </c>
      <c r="BC200" t="s">
        <v>69</v>
      </c>
      <c r="BD200" t="s">
        <v>69</v>
      </c>
      <c r="BE200" t="s">
        <v>69</v>
      </c>
      <c r="BF200" t="s">
        <v>69</v>
      </c>
      <c r="BG200" t="s">
        <v>69</v>
      </c>
      <c r="BH200" t="s">
        <v>69</v>
      </c>
      <c r="BI200">
        <v>5022009</v>
      </c>
      <c r="BJ200" t="s">
        <v>8679</v>
      </c>
      <c r="BK200" t="str">
        <f>HYPERLINK("http://dx.doi.org/10.1061/(ASCE)ME.1943-5479.0001062","http://dx.doi.org/10.1061/(ASCE)ME.1943-5479.0001062")</f>
        <v>http://dx.doi.org/10.1061/(ASCE)ME.1943-5479.0001062</v>
      </c>
      <c r="BL200" t="s">
        <v>69</v>
      </c>
      <c r="BM200" t="s">
        <v>69</v>
      </c>
      <c r="BN200">
        <v>18</v>
      </c>
      <c r="BO200" t="s">
        <v>8680</v>
      </c>
      <c r="BP200" t="s">
        <v>8523</v>
      </c>
      <c r="BQ200" t="s">
        <v>8445</v>
      </c>
      <c r="BR200" t="s">
        <v>8681</v>
      </c>
      <c r="BS200" t="s">
        <v>8682</v>
      </c>
      <c r="BT200" t="s">
        <v>69</v>
      </c>
      <c r="BU200" t="s">
        <v>69</v>
      </c>
      <c r="BV200" t="s">
        <v>69</v>
      </c>
      <c r="BW200" t="s">
        <v>69</v>
      </c>
      <c r="BX200" t="s">
        <v>8526</v>
      </c>
      <c r="BY200" t="str">
        <f>HYPERLINK("https%3A%2F%2Fwww.webofscience.com%2Fwos%2Fwoscc%2Ffull-record%2FWOS:000796074900016","View Full Record in Web of Science")</f>
        <v>View Full Record in Web of Science</v>
      </c>
    </row>
    <row r="201" spans="1:77" ht="12.5" x14ac:dyDescent="0.25">
      <c r="A201" t="s">
        <v>8495</v>
      </c>
      <c r="B201" s="22" t="s">
        <v>32931</v>
      </c>
      <c r="C201" s="7"/>
      <c r="D201" s="7"/>
      <c r="E201" s="7"/>
      <c r="F201" t="s">
        <v>67</v>
      </c>
      <c r="G201" t="s">
        <v>12314</v>
      </c>
      <c r="H201" t="s">
        <v>69</v>
      </c>
      <c r="I201" t="s">
        <v>69</v>
      </c>
      <c r="J201" t="s">
        <v>69</v>
      </c>
      <c r="K201" t="s">
        <v>12315</v>
      </c>
      <c r="L201" t="s">
        <v>69</v>
      </c>
      <c r="M201" t="s">
        <v>69</v>
      </c>
      <c r="N201" t="s">
        <v>12316</v>
      </c>
      <c r="O201" t="s">
        <v>12317</v>
      </c>
      <c r="P201" t="s">
        <v>69</v>
      </c>
      <c r="Q201" t="s">
        <v>69</v>
      </c>
      <c r="R201" t="s">
        <v>8505</v>
      </c>
      <c r="S201" t="s">
        <v>8506</v>
      </c>
      <c r="T201" t="s">
        <v>69</v>
      </c>
      <c r="U201" t="s">
        <v>69</v>
      </c>
      <c r="V201" t="s">
        <v>69</v>
      </c>
      <c r="W201" t="s">
        <v>69</v>
      </c>
      <c r="X201" t="s">
        <v>69</v>
      </c>
      <c r="Y201" t="s">
        <v>12318</v>
      </c>
      <c r="Z201" t="s">
        <v>69</v>
      </c>
      <c r="AA201" t="s">
        <v>12319</v>
      </c>
      <c r="AB201" t="s">
        <v>12320</v>
      </c>
      <c r="AC201" t="s">
        <v>69</v>
      </c>
      <c r="AD201" t="s">
        <v>12321</v>
      </c>
      <c r="AE201" t="s">
        <v>12322</v>
      </c>
      <c r="AF201" t="s">
        <v>69</v>
      </c>
      <c r="AG201" t="s">
        <v>69</v>
      </c>
      <c r="AH201" t="s">
        <v>12323</v>
      </c>
      <c r="AI201" t="s">
        <v>12323</v>
      </c>
      <c r="AJ201" t="s">
        <v>12324</v>
      </c>
      <c r="AK201" t="s">
        <v>69</v>
      </c>
      <c r="AL201">
        <v>43</v>
      </c>
      <c r="AM201">
        <v>2</v>
      </c>
      <c r="AN201">
        <v>2</v>
      </c>
      <c r="AO201">
        <v>1</v>
      </c>
      <c r="AP201">
        <v>3</v>
      </c>
      <c r="AQ201" t="s">
        <v>9203</v>
      </c>
      <c r="AR201" t="s">
        <v>8763</v>
      </c>
      <c r="AS201" t="s">
        <v>9204</v>
      </c>
      <c r="AT201" t="s">
        <v>69</v>
      </c>
      <c r="AU201" t="s">
        <v>12325</v>
      </c>
      <c r="AV201" t="s">
        <v>69</v>
      </c>
      <c r="AW201" t="s">
        <v>12326</v>
      </c>
      <c r="AX201" t="s">
        <v>12327</v>
      </c>
      <c r="AY201" t="s">
        <v>12328</v>
      </c>
      <c r="AZ201">
        <v>2021</v>
      </c>
      <c r="BA201">
        <v>21</v>
      </c>
      <c r="BB201">
        <v>1</v>
      </c>
      <c r="BC201" t="s">
        <v>69</v>
      </c>
      <c r="BD201" t="s">
        <v>69</v>
      </c>
      <c r="BE201" t="s">
        <v>69</v>
      </c>
      <c r="BF201" t="s">
        <v>69</v>
      </c>
      <c r="BG201" t="s">
        <v>69</v>
      </c>
      <c r="BH201" t="s">
        <v>69</v>
      </c>
      <c r="BI201">
        <v>402</v>
      </c>
      <c r="BJ201" t="s">
        <v>12329</v>
      </c>
      <c r="BK201" t="str">
        <f>HYPERLINK("http://dx.doi.org/10.1186/s12913-021-06402-7","http://dx.doi.org/10.1186/s12913-021-06402-7")</f>
        <v>http://dx.doi.org/10.1186/s12913-021-06402-7</v>
      </c>
      <c r="BL201" t="s">
        <v>69</v>
      </c>
      <c r="BM201" t="s">
        <v>69</v>
      </c>
      <c r="BN201">
        <v>14</v>
      </c>
      <c r="BO201" t="s">
        <v>9209</v>
      </c>
      <c r="BP201" t="s">
        <v>8548</v>
      </c>
      <c r="BQ201" t="s">
        <v>9209</v>
      </c>
      <c r="BR201" t="s">
        <v>12330</v>
      </c>
      <c r="BS201" t="s">
        <v>12331</v>
      </c>
      <c r="BT201">
        <v>33926425</v>
      </c>
      <c r="BU201" t="s">
        <v>9352</v>
      </c>
      <c r="BV201" t="s">
        <v>69</v>
      </c>
      <c r="BW201" t="s">
        <v>69</v>
      </c>
      <c r="BX201" t="s">
        <v>8526</v>
      </c>
      <c r="BY201" t="str">
        <f>HYPERLINK("https%3A%2F%2Fwww.webofscience.com%2Fwos%2Fwoscc%2Ffull-record%2FWOS:000654934100006","View Full Record in Web of Science")</f>
        <v>View Full Record in Web of Science</v>
      </c>
    </row>
    <row r="202" spans="1:77" ht="12.5" x14ac:dyDescent="0.25">
      <c r="A202" t="s">
        <v>8495</v>
      </c>
      <c r="B202" s="7" t="s">
        <v>32933</v>
      </c>
      <c r="C202" s="7"/>
      <c r="D202" s="7"/>
      <c r="E202" s="7"/>
      <c r="F202" t="s">
        <v>67</v>
      </c>
      <c r="G202" t="s">
        <v>470</v>
      </c>
      <c r="H202" t="s">
        <v>69</v>
      </c>
      <c r="I202" t="s">
        <v>69</v>
      </c>
      <c r="J202" t="s">
        <v>69</v>
      </c>
      <c r="K202" t="s">
        <v>471</v>
      </c>
      <c r="L202" t="s">
        <v>69</v>
      </c>
      <c r="M202" t="s">
        <v>69</v>
      </c>
      <c r="N202" t="s">
        <v>472</v>
      </c>
      <c r="O202" t="s">
        <v>473</v>
      </c>
      <c r="P202" t="s">
        <v>69</v>
      </c>
      <c r="Q202" t="s">
        <v>69</v>
      </c>
      <c r="R202" t="s">
        <v>8505</v>
      </c>
      <c r="S202" t="s">
        <v>8506</v>
      </c>
      <c r="T202" t="s">
        <v>69</v>
      </c>
      <c r="U202" t="s">
        <v>69</v>
      </c>
      <c r="V202" t="s">
        <v>69</v>
      </c>
      <c r="W202" t="s">
        <v>69</v>
      </c>
      <c r="X202" t="s">
        <v>69</v>
      </c>
      <c r="Y202" t="s">
        <v>22503</v>
      </c>
      <c r="Z202" t="s">
        <v>22504</v>
      </c>
      <c r="AA202" t="s">
        <v>474</v>
      </c>
      <c r="AB202" t="s">
        <v>22505</v>
      </c>
      <c r="AC202" t="s">
        <v>69</v>
      </c>
      <c r="AD202" t="s">
        <v>22506</v>
      </c>
      <c r="AE202" t="s">
        <v>22507</v>
      </c>
      <c r="AF202" t="s">
        <v>69</v>
      </c>
      <c r="AG202" t="s">
        <v>69</v>
      </c>
      <c r="AH202" t="s">
        <v>22508</v>
      </c>
      <c r="AI202" t="s">
        <v>22508</v>
      </c>
      <c r="AJ202" t="s">
        <v>22509</v>
      </c>
      <c r="AK202" t="s">
        <v>69</v>
      </c>
      <c r="AL202">
        <v>45</v>
      </c>
      <c r="AM202">
        <v>17</v>
      </c>
      <c r="AN202">
        <v>19</v>
      </c>
      <c r="AO202">
        <v>2</v>
      </c>
      <c r="AP202">
        <v>50</v>
      </c>
      <c r="AQ202" t="s">
        <v>18272</v>
      </c>
      <c r="AR202" t="s">
        <v>8763</v>
      </c>
      <c r="AS202" t="s">
        <v>18273</v>
      </c>
      <c r="AT202" t="s">
        <v>475</v>
      </c>
      <c r="AU202" t="s">
        <v>476</v>
      </c>
      <c r="AV202" t="s">
        <v>69</v>
      </c>
      <c r="AW202" t="s">
        <v>18274</v>
      </c>
      <c r="AX202" t="s">
        <v>18275</v>
      </c>
      <c r="AY202" t="s">
        <v>477</v>
      </c>
      <c r="AZ202">
        <v>2015</v>
      </c>
      <c r="BA202">
        <v>160</v>
      </c>
      <c r="BB202" t="s">
        <v>69</v>
      </c>
      <c r="BC202" t="s">
        <v>69</v>
      </c>
      <c r="BD202" t="s">
        <v>69</v>
      </c>
      <c r="BE202" t="s">
        <v>69</v>
      </c>
      <c r="BF202" t="s">
        <v>69</v>
      </c>
      <c r="BG202">
        <v>241</v>
      </c>
      <c r="BH202">
        <v>253</v>
      </c>
      <c r="BI202" t="s">
        <v>69</v>
      </c>
      <c r="BJ202" t="s">
        <v>478</v>
      </c>
      <c r="BK202" t="str">
        <f>HYPERLINK("http://dx.doi.org/10.1016/j.jenvman.2015.06.022","http://dx.doi.org/10.1016/j.jenvman.2015.06.022")</f>
        <v>http://dx.doi.org/10.1016/j.jenvman.2015.06.022</v>
      </c>
      <c r="BL202" t="s">
        <v>69</v>
      </c>
      <c r="BM202" t="s">
        <v>69</v>
      </c>
      <c r="BN202">
        <v>13</v>
      </c>
      <c r="BO202" t="s">
        <v>8717</v>
      </c>
      <c r="BP202" t="s">
        <v>8548</v>
      </c>
      <c r="BQ202" t="s">
        <v>8662</v>
      </c>
      <c r="BR202" t="s">
        <v>22510</v>
      </c>
      <c r="BS202" t="s">
        <v>479</v>
      </c>
      <c r="BT202">
        <v>26119331</v>
      </c>
      <c r="BU202" t="s">
        <v>10995</v>
      </c>
      <c r="BV202" t="s">
        <v>69</v>
      </c>
      <c r="BW202" t="s">
        <v>69</v>
      </c>
      <c r="BX202" t="s">
        <v>8526</v>
      </c>
      <c r="BY202" t="str">
        <f>HYPERLINK("https%3A%2F%2Fwww.webofscience.com%2Fwos%2Fwoscc%2Ffull-record%2FWOS:000358973300024","View Full Record in Web of Science")</f>
        <v>View Full Record in Web of Science</v>
      </c>
    </row>
    <row r="203" spans="1:77" ht="12.5" x14ac:dyDescent="0.25">
      <c r="A203" t="s">
        <v>8495</v>
      </c>
      <c r="B203" s="7" t="s">
        <v>32933</v>
      </c>
      <c r="C203" s="7"/>
      <c r="D203" s="7"/>
      <c r="E203" s="7"/>
      <c r="F203" t="s">
        <v>67</v>
      </c>
      <c r="G203" t="s">
        <v>3842</v>
      </c>
      <c r="H203" t="s">
        <v>69</v>
      </c>
      <c r="I203" t="s">
        <v>69</v>
      </c>
      <c r="J203" t="s">
        <v>69</v>
      </c>
      <c r="K203" t="s">
        <v>3842</v>
      </c>
      <c r="L203" t="s">
        <v>69</v>
      </c>
      <c r="M203" t="s">
        <v>69</v>
      </c>
      <c r="N203" t="s">
        <v>3843</v>
      </c>
      <c r="O203" t="s">
        <v>3844</v>
      </c>
      <c r="P203" t="s">
        <v>69</v>
      </c>
      <c r="Q203" t="s">
        <v>69</v>
      </c>
      <c r="R203" t="s">
        <v>8505</v>
      </c>
      <c r="S203" t="s">
        <v>8506</v>
      </c>
      <c r="T203" t="s">
        <v>69</v>
      </c>
      <c r="U203" t="s">
        <v>69</v>
      </c>
      <c r="V203" t="s">
        <v>69</v>
      </c>
      <c r="W203" t="s">
        <v>69</v>
      </c>
      <c r="X203" t="s">
        <v>69</v>
      </c>
      <c r="Y203" t="s">
        <v>69</v>
      </c>
      <c r="Z203" t="s">
        <v>30323</v>
      </c>
      <c r="AA203" t="s">
        <v>3845</v>
      </c>
      <c r="AB203" t="s">
        <v>30324</v>
      </c>
      <c r="AC203" t="s">
        <v>69</v>
      </c>
      <c r="AD203" t="s">
        <v>30325</v>
      </c>
      <c r="AE203" t="s">
        <v>30326</v>
      </c>
      <c r="AF203" t="s">
        <v>69</v>
      </c>
      <c r="AG203" t="s">
        <v>69</v>
      </c>
      <c r="AH203" t="s">
        <v>69</v>
      </c>
      <c r="AI203" t="s">
        <v>69</v>
      </c>
      <c r="AJ203" t="s">
        <v>69</v>
      </c>
      <c r="AK203" t="s">
        <v>69</v>
      </c>
      <c r="AL203">
        <v>37</v>
      </c>
      <c r="AM203">
        <v>17</v>
      </c>
      <c r="AN203">
        <v>18</v>
      </c>
      <c r="AO203">
        <v>1</v>
      </c>
      <c r="AP203">
        <v>18</v>
      </c>
      <c r="AQ203" t="s">
        <v>15611</v>
      </c>
      <c r="AR203" t="s">
        <v>10924</v>
      </c>
      <c r="AS203" t="s">
        <v>15612</v>
      </c>
      <c r="AT203" t="s">
        <v>3846</v>
      </c>
      <c r="AU203" t="s">
        <v>3847</v>
      </c>
      <c r="AV203" t="s">
        <v>69</v>
      </c>
      <c r="AW203" t="s">
        <v>30327</v>
      </c>
      <c r="AX203" t="s">
        <v>30328</v>
      </c>
      <c r="AY203" t="s">
        <v>3848</v>
      </c>
      <c r="AZ203">
        <v>2006</v>
      </c>
      <c r="BA203">
        <v>69</v>
      </c>
      <c r="BB203" t="s">
        <v>3849</v>
      </c>
      <c r="BC203" t="s">
        <v>69</v>
      </c>
      <c r="BD203" t="s">
        <v>69</v>
      </c>
      <c r="BE203" t="s">
        <v>69</v>
      </c>
      <c r="BF203" t="s">
        <v>69</v>
      </c>
      <c r="BG203">
        <v>735</v>
      </c>
      <c r="BH203">
        <v>758</v>
      </c>
      <c r="BI203" t="s">
        <v>69</v>
      </c>
      <c r="BJ203" t="s">
        <v>3850</v>
      </c>
      <c r="BK203" t="str">
        <f>HYPERLINK("http://dx.doi.org/10.1080/15287390500261281","http://dx.doi.org/10.1080/15287390500261281")</f>
        <v>http://dx.doi.org/10.1080/15287390500261281</v>
      </c>
      <c r="BL203" t="s">
        <v>69</v>
      </c>
      <c r="BM203" t="s">
        <v>69</v>
      </c>
      <c r="BN203">
        <v>24</v>
      </c>
      <c r="BO203" t="s">
        <v>23971</v>
      </c>
      <c r="BP203" t="s">
        <v>8548</v>
      </c>
      <c r="BQ203" t="s">
        <v>23972</v>
      </c>
      <c r="BR203" t="s">
        <v>30329</v>
      </c>
      <c r="BS203" t="s">
        <v>3851</v>
      </c>
      <c r="BT203">
        <v>16608836</v>
      </c>
      <c r="BU203" t="s">
        <v>69</v>
      </c>
      <c r="BV203" t="s">
        <v>69</v>
      </c>
      <c r="BW203" t="s">
        <v>69</v>
      </c>
      <c r="BX203" t="s">
        <v>8526</v>
      </c>
      <c r="BY203" t="str">
        <f>HYPERLINK("https%3A%2F%2Fwww.webofscience.com%2Fwos%2Fwoscc%2Ffull-record%2FWOS:000236605100011","View Full Record in Web of Science")</f>
        <v>View Full Record in Web of Science</v>
      </c>
    </row>
    <row r="204" spans="1:77" ht="12.5" x14ac:dyDescent="0.25">
      <c r="A204" t="s">
        <v>8495</v>
      </c>
      <c r="B204" s="7" t="s">
        <v>32933</v>
      </c>
      <c r="C204" s="7"/>
      <c r="D204" s="7"/>
      <c r="E204" s="7"/>
      <c r="F204" t="s">
        <v>67</v>
      </c>
      <c r="G204" t="s">
        <v>8223</v>
      </c>
      <c r="H204" t="s">
        <v>69</v>
      </c>
      <c r="I204" t="s">
        <v>69</v>
      </c>
      <c r="J204" t="s">
        <v>69</v>
      </c>
      <c r="K204" t="s">
        <v>8224</v>
      </c>
      <c r="L204" t="s">
        <v>69</v>
      </c>
      <c r="M204" t="s">
        <v>69</v>
      </c>
      <c r="N204" t="s">
        <v>8225</v>
      </c>
      <c r="O204" t="s">
        <v>8226</v>
      </c>
      <c r="P204" t="s">
        <v>69</v>
      </c>
      <c r="Q204" t="s">
        <v>69</v>
      </c>
      <c r="R204" t="s">
        <v>8505</v>
      </c>
      <c r="S204" t="s">
        <v>8506</v>
      </c>
      <c r="T204" t="s">
        <v>69</v>
      </c>
      <c r="U204" t="s">
        <v>69</v>
      </c>
      <c r="V204" t="s">
        <v>69</v>
      </c>
      <c r="W204" t="s">
        <v>69</v>
      </c>
      <c r="X204" t="s">
        <v>69</v>
      </c>
      <c r="Y204" t="s">
        <v>19914</v>
      </c>
      <c r="Z204" t="s">
        <v>19915</v>
      </c>
      <c r="AA204" t="s">
        <v>8227</v>
      </c>
      <c r="AB204" t="s">
        <v>19916</v>
      </c>
      <c r="AC204" t="s">
        <v>69</v>
      </c>
      <c r="AD204" t="s">
        <v>19917</v>
      </c>
      <c r="AE204" t="s">
        <v>19918</v>
      </c>
      <c r="AF204" t="s">
        <v>69</v>
      </c>
      <c r="AG204" t="s">
        <v>8228</v>
      </c>
      <c r="AH204" t="s">
        <v>69</v>
      </c>
      <c r="AI204" t="s">
        <v>69</v>
      </c>
      <c r="AJ204" t="s">
        <v>69</v>
      </c>
      <c r="AK204" t="s">
        <v>69</v>
      </c>
      <c r="AL204">
        <v>30</v>
      </c>
      <c r="AM204">
        <v>1</v>
      </c>
      <c r="AN204">
        <v>1</v>
      </c>
      <c r="AO204">
        <v>0</v>
      </c>
      <c r="AP204">
        <v>2</v>
      </c>
      <c r="AQ204" t="s">
        <v>9047</v>
      </c>
      <c r="AR204" t="s">
        <v>9048</v>
      </c>
      <c r="AS204" t="s">
        <v>9049</v>
      </c>
      <c r="AT204" t="s">
        <v>8229</v>
      </c>
      <c r="AU204" t="s">
        <v>8230</v>
      </c>
      <c r="AV204" t="s">
        <v>69</v>
      </c>
      <c r="AW204" t="s">
        <v>19243</v>
      </c>
      <c r="AX204" t="s">
        <v>19244</v>
      </c>
      <c r="AY204" t="s">
        <v>381</v>
      </c>
      <c r="AZ204">
        <v>2017</v>
      </c>
      <c r="BA204">
        <v>10</v>
      </c>
      <c r="BB204">
        <v>5</v>
      </c>
      <c r="BC204" t="s">
        <v>69</v>
      </c>
      <c r="BD204" t="s">
        <v>69</v>
      </c>
      <c r="BE204" t="s">
        <v>69</v>
      </c>
      <c r="BF204" t="s">
        <v>69</v>
      </c>
      <c r="BG204">
        <v>1269</v>
      </c>
      <c r="BH204">
        <v>1278</v>
      </c>
      <c r="BI204" t="s">
        <v>69</v>
      </c>
      <c r="BJ204" t="s">
        <v>8231</v>
      </c>
      <c r="BK204" t="str">
        <f>HYPERLINK("http://dx.doi.org/10.1007/s12053-017-9517-4","http://dx.doi.org/10.1007/s12053-017-9517-4")</f>
        <v>http://dx.doi.org/10.1007/s12053-017-9517-4</v>
      </c>
      <c r="BL204" t="s">
        <v>69</v>
      </c>
      <c r="BM204" t="s">
        <v>69</v>
      </c>
      <c r="BN204">
        <v>10</v>
      </c>
      <c r="BO204" t="s">
        <v>19246</v>
      </c>
      <c r="BP204" t="s">
        <v>8523</v>
      </c>
      <c r="BQ204" t="s">
        <v>19247</v>
      </c>
      <c r="BR204" t="s">
        <v>19919</v>
      </c>
      <c r="BS204" t="s">
        <v>8232</v>
      </c>
      <c r="BT204" t="s">
        <v>69</v>
      </c>
      <c r="BU204" t="s">
        <v>69</v>
      </c>
      <c r="BV204" t="s">
        <v>69</v>
      </c>
      <c r="BW204" t="s">
        <v>69</v>
      </c>
      <c r="BX204" t="s">
        <v>8526</v>
      </c>
      <c r="BY204" t="str">
        <f>HYPERLINK("https%3A%2F%2Fwww.webofscience.com%2Fwos%2Fwoscc%2Ffull-record%2FWOS:000411865800014","View Full Record in Web of Science")</f>
        <v>View Full Record in Web of Science</v>
      </c>
    </row>
    <row r="205" spans="1:77" ht="12.5" x14ac:dyDescent="0.25">
      <c r="A205" t="s">
        <v>8495</v>
      </c>
      <c r="B205" s="22" t="s">
        <v>32931</v>
      </c>
      <c r="C205" s="7"/>
      <c r="D205" s="7"/>
      <c r="E205" s="7"/>
      <c r="F205" t="s">
        <v>67</v>
      </c>
      <c r="G205" t="s">
        <v>27896</v>
      </c>
      <c r="H205" t="s">
        <v>69</v>
      </c>
      <c r="I205" t="s">
        <v>69</v>
      </c>
      <c r="J205" t="s">
        <v>69</v>
      </c>
      <c r="K205" t="s">
        <v>27897</v>
      </c>
      <c r="L205" t="s">
        <v>69</v>
      </c>
      <c r="M205" t="s">
        <v>69</v>
      </c>
      <c r="N205" t="s">
        <v>27898</v>
      </c>
      <c r="O205" t="s">
        <v>16515</v>
      </c>
      <c r="P205" t="s">
        <v>69</v>
      </c>
      <c r="Q205" t="s">
        <v>69</v>
      </c>
      <c r="R205" t="s">
        <v>8505</v>
      </c>
      <c r="S205" t="s">
        <v>8506</v>
      </c>
      <c r="T205" t="s">
        <v>69</v>
      </c>
      <c r="U205" t="s">
        <v>69</v>
      </c>
      <c r="V205" t="s">
        <v>69</v>
      </c>
      <c r="W205" t="s">
        <v>69</v>
      </c>
      <c r="X205" t="s">
        <v>69</v>
      </c>
      <c r="Y205" t="s">
        <v>69</v>
      </c>
      <c r="Z205" t="s">
        <v>27899</v>
      </c>
      <c r="AA205" t="s">
        <v>27900</v>
      </c>
      <c r="AB205" t="s">
        <v>27901</v>
      </c>
      <c r="AC205" t="s">
        <v>69</v>
      </c>
      <c r="AD205" t="s">
        <v>27902</v>
      </c>
      <c r="AE205" t="s">
        <v>27903</v>
      </c>
      <c r="AF205" t="s">
        <v>69</v>
      </c>
      <c r="AG205" t="s">
        <v>69</v>
      </c>
      <c r="AH205" t="s">
        <v>27904</v>
      </c>
      <c r="AI205" t="s">
        <v>27905</v>
      </c>
      <c r="AJ205" t="s">
        <v>27906</v>
      </c>
      <c r="AK205" t="s">
        <v>69</v>
      </c>
      <c r="AL205">
        <v>17</v>
      </c>
      <c r="AM205">
        <v>3</v>
      </c>
      <c r="AN205">
        <v>3</v>
      </c>
      <c r="AO205">
        <v>0</v>
      </c>
      <c r="AP205">
        <v>13</v>
      </c>
      <c r="AQ205" t="s">
        <v>9047</v>
      </c>
      <c r="AR205" t="s">
        <v>9048</v>
      </c>
      <c r="AS205" t="s">
        <v>9049</v>
      </c>
      <c r="AT205" t="s">
        <v>16525</v>
      </c>
      <c r="AU205" t="s">
        <v>16526</v>
      </c>
      <c r="AV205" t="s">
        <v>69</v>
      </c>
      <c r="AW205" t="s">
        <v>16515</v>
      </c>
      <c r="AX205" t="s">
        <v>16527</v>
      </c>
      <c r="AY205" t="s">
        <v>191</v>
      </c>
      <c r="AZ205">
        <v>2010</v>
      </c>
      <c r="BA205">
        <v>98</v>
      </c>
      <c r="BB205" t="s">
        <v>145</v>
      </c>
      <c r="BC205" t="s">
        <v>69</v>
      </c>
      <c r="BD205" t="s">
        <v>69</v>
      </c>
      <c r="BE205" t="s">
        <v>114</v>
      </c>
      <c r="BF205" t="s">
        <v>69</v>
      </c>
      <c r="BG205">
        <v>551</v>
      </c>
      <c r="BH205">
        <v>563</v>
      </c>
      <c r="BI205" t="s">
        <v>69</v>
      </c>
      <c r="BJ205" t="s">
        <v>27907</v>
      </c>
      <c r="BK205" t="str">
        <f>HYPERLINK("http://dx.doi.org/10.1007/s10584-009-9745-5","http://dx.doi.org/10.1007/s10584-009-9745-5")</f>
        <v>http://dx.doi.org/10.1007/s10584-009-9745-5</v>
      </c>
      <c r="BL205" t="s">
        <v>69</v>
      </c>
      <c r="BM205" t="s">
        <v>69</v>
      </c>
      <c r="BN205">
        <v>13</v>
      </c>
      <c r="BO205" t="s">
        <v>11283</v>
      </c>
      <c r="BP205" t="s">
        <v>8548</v>
      </c>
      <c r="BQ205" t="s">
        <v>11284</v>
      </c>
      <c r="BR205" t="s">
        <v>27908</v>
      </c>
      <c r="BS205" t="s">
        <v>27909</v>
      </c>
      <c r="BT205" t="s">
        <v>69</v>
      </c>
      <c r="BU205" t="s">
        <v>69</v>
      </c>
      <c r="BV205" t="s">
        <v>69</v>
      </c>
      <c r="BW205" t="s">
        <v>69</v>
      </c>
      <c r="BX205" t="s">
        <v>8526</v>
      </c>
      <c r="BY205" t="str">
        <f>HYPERLINK("https%3A%2F%2Fwww.webofscience.com%2Fwos%2Fwoscc%2Ffull-record%2FWOS:000275319100012","View Full Record in Web of Science")</f>
        <v>View Full Record in Web of Science</v>
      </c>
    </row>
    <row r="206" spans="1:77" ht="12.5" x14ac:dyDescent="0.25">
      <c r="A206" t="s">
        <v>8495</v>
      </c>
      <c r="B206" s="22" t="s">
        <v>32931</v>
      </c>
      <c r="C206" s="7"/>
      <c r="D206" s="7"/>
      <c r="E206" s="7"/>
      <c r="F206" t="s">
        <v>67</v>
      </c>
      <c r="G206" t="s">
        <v>16157</v>
      </c>
      <c r="H206" t="s">
        <v>69</v>
      </c>
      <c r="I206" t="s">
        <v>69</v>
      </c>
      <c r="J206" t="s">
        <v>69</v>
      </c>
      <c r="K206" t="s">
        <v>16158</v>
      </c>
      <c r="L206" t="s">
        <v>69</v>
      </c>
      <c r="M206" t="s">
        <v>69</v>
      </c>
      <c r="N206" t="s">
        <v>16159</v>
      </c>
      <c r="O206" t="s">
        <v>2475</v>
      </c>
      <c r="P206" t="s">
        <v>69</v>
      </c>
      <c r="Q206" t="s">
        <v>69</v>
      </c>
      <c r="R206" t="s">
        <v>8505</v>
      </c>
      <c r="S206" t="s">
        <v>8506</v>
      </c>
      <c r="T206" t="s">
        <v>69</v>
      </c>
      <c r="U206" t="s">
        <v>69</v>
      </c>
      <c r="V206" t="s">
        <v>69</v>
      </c>
      <c r="W206" t="s">
        <v>69</v>
      </c>
      <c r="X206" t="s">
        <v>69</v>
      </c>
      <c r="Y206" t="s">
        <v>16160</v>
      </c>
      <c r="Z206" t="s">
        <v>16161</v>
      </c>
      <c r="AA206" t="s">
        <v>16162</v>
      </c>
      <c r="AB206" t="s">
        <v>16163</v>
      </c>
      <c r="AC206" t="s">
        <v>69</v>
      </c>
      <c r="AD206" t="s">
        <v>16164</v>
      </c>
      <c r="AE206" t="s">
        <v>16165</v>
      </c>
      <c r="AF206" t="s">
        <v>389</v>
      </c>
      <c r="AG206" t="s">
        <v>69</v>
      </c>
      <c r="AH206" t="s">
        <v>69</v>
      </c>
      <c r="AI206" t="s">
        <v>69</v>
      </c>
      <c r="AJ206" t="s">
        <v>69</v>
      </c>
      <c r="AK206" t="s">
        <v>69</v>
      </c>
      <c r="AL206">
        <v>64</v>
      </c>
      <c r="AM206">
        <v>10</v>
      </c>
      <c r="AN206">
        <v>10</v>
      </c>
      <c r="AO206">
        <v>2</v>
      </c>
      <c r="AP206">
        <v>8</v>
      </c>
      <c r="AQ206" t="s">
        <v>8586</v>
      </c>
      <c r="AR206" t="s">
        <v>8587</v>
      </c>
      <c r="AS206" t="s">
        <v>8588</v>
      </c>
      <c r="AT206" t="s">
        <v>2479</v>
      </c>
      <c r="AU206" t="s">
        <v>69</v>
      </c>
      <c r="AV206" t="s">
        <v>69</v>
      </c>
      <c r="AW206" t="s">
        <v>9888</v>
      </c>
      <c r="AX206" t="s">
        <v>9889</v>
      </c>
      <c r="AY206" t="s">
        <v>69</v>
      </c>
      <c r="AZ206">
        <v>2020</v>
      </c>
      <c r="BA206">
        <v>18</v>
      </c>
      <c r="BB206">
        <v>4</v>
      </c>
      <c r="BC206" t="s">
        <v>69</v>
      </c>
      <c r="BD206" t="s">
        <v>69</v>
      </c>
      <c r="BE206" t="s">
        <v>69</v>
      </c>
      <c r="BF206" t="s">
        <v>69</v>
      </c>
      <c r="BG206">
        <v>865</v>
      </c>
      <c r="BH206">
        <v>881</v>
      </c>
      <c r="BI206" t="s">
        <v>69</v>
      </c>
      <c r="BJ206" t="s">
        <v>16166</v>
      </c>
      <c r="BK206" t="str">
        <f>HYPERLINK("http://dx.doi.org/10.1108/JEDT-06-2019-0151","http://dx.doi.org/10.1108/JEDT-06-2019-0151")</f>
        <v>http://dx.doi.org/10.1108/JEDT-06-2019-0151</v>
      </c>
      <c r="BL206" t="s">
        <v>69</v>
      </c>
      <c r="BM206" t="s">
        <v>69</v>
      </c>
      <c r="BN206">
        <v>17</v>
      </c>
      <c r="BO206" t="s">
        <v>9891</v>
      </c>
      <c r="BP206" t="s">
        <v>8573</v>
      </c>
      <c r="BQ206" t="s">
        <v>8445</v>
      </c>
      <c r="BR206" t="s">
        <v>16167</v>
      </c>
      <c r="BS206" t="s">
        <v>16168</v>
      </c>
      <c r="BT206" t="s">
        <v>69</v>
      </c>
      <c r="BU206" t="s">
        <v>69</v>
      </c>
      <c r="BV206" t="s">
        <v>69</v>
      </c>
      <c r="BW206" t="s">
        <v>69</v>
      </c>
      <c r="BX206" t="s">
        <v>8526</v>
      </c>
      <c r="BY206" t="str">
        <f>HYPERLINK("https%3A%2F%2Fwww.webofscience.com%2Fwos%2Fwoscc%2Ffull-record%2FWOS:000542493200007","View Full Record in Web of Science")</f>
        <v>View Full Record in Web of Science</v>
      </c>
    </row>
    <row r="207" spans="1:77" ht="12.5" x14ac:dyDescent="0.25">
      <c r="A207" t="s">
        <v>8495</v>
      </c>
      <c r="B207" s="22" t="s">
        <v>32931</v>
      </c>
      <c r="C207" s="7"/>
      <c r="D207" s="7"/>
      <c r="E207" s="7"/>
      <c r="F207" t="s">
        <v>67</v>
      </c>
      <c r="G207" t="s">
        <v>18036</v>
      </c>
      <c r="H207" t="s">
        <v>69</v>
      </c>
      <c r="I207" t="s">
        <v>69</v>
      </c>
      <c r="J207" t="s">
        <v>69</v>
      </c>
      <c r="K207" t="s">
        <v>18037</v>
      </c>
      <c r="L207" t="s">
        <v>69</v>
      </c>
      <c r="M207" t="s">
        <v>69</v>
      </c>
      <c r="N207" t="s">
        <v>18038</v>
      </c>
      <c r="O207" t="s">
        <v>18039</v>
      </c>
      <c r="P207" t="s">
        <v>69</v>
      </c>
      <c r="Q207" t="s">
        <v>69</v>
      </c>
      <c r="R207" t="s">
        <v>8505</v>
      </c>
      <c r="S207" t="s">
        <v>8506</v>
      </c>
      <c r="T207" t="s">
        <v>69</v>
      </c>
      <c r="U207" t="s">
        <v>69</v>
      </c>
      <c r="V207" t="s">
        <v>69</v>
      </c>
      <c r="W207" t="s">
        <v>69</v>
      </c>
      <c r="X207" t="s">
        <v>69</v>
      </c>
      <c r="Y207" t="s">
        <v>18040</v>
      </c>
      <c r="Z207" t="s">
        <v>18041</v>
      </c>
      <c r="AA207" t="s">
        <v>18042</v>
      </c>
      <c r="AB207" t="s">
        <v>18043</v>
      </c>
      <c r="AC207" t="s">
        <v>69</v>
      </c>
      <c r="AD207" t="s">
        <v>18044</v>
      </c>
      <c r="AE207" t="s">
        <v>18045</v>
      </c>
      <c r="AF207" t="s">
        <v>69</v>
      </c>
      <c r="AG207" t="s">
        <v>69</v>
      </c>
      <c r="AH207" t="s">
        <v>69</v>
      </c>
      <c r="AI207" t="s">
        <v>69</v>
      </c>
      <c r="AJ207" t="s">
        <v>69</v>
      </c>
      <c r="AK207" t="s">
        <v>69</v>
      </c>
      <c r="AL207">
        <v>50</v>
      </c>
      <c r="AM207">
        <v>5</v>
      </c>
      <c r="AN207">
        <v>5</v>
      </c>
      <c r="AO207">
        <v>1</v>
      </c>
      <c r="AP207">
        <v>10</v>
      </c>
      <c r="AQ207" t="s">
        <v>9554</v>
      </c>
      <c r="AR207" t="s">
        <v>9555</v>
      </c>
      <c r="AS207" t="s">
        <v>9556</v>
      </c>
      <c r="AT207" t="s">
        <v>18046</v>
      </c>
      <c r="AU207" t="s">
        <v>18047</v>
      </c>
      <c r="AV207" t="s">
        <v>69</v>
      </c>
      <c r="AW207" t="s">
        <v>18048</v>
      </c>
      <c r="AX207" t="s">
        <v>18049</v>
      </c>
      <c r="AY207" t="s">
        <v>75</v>
      </c>
      <c r="AZ207">
        <v>2018</v>
      </c>
      <c r="BA207">
        <v>49</v>
      </c>
      <c r="BB207">
        <v>6</v>
      </c>
      <c r="BC207" t="s">
        <v>69</v>
      </c>
      <c r="BD207" t="s">
        <v>69</v>
      </c>
      <c r="BE207" t="s">
        <v>69</v>
      </c>
      <c r="BF207" t="s">
        <v>69</v>
      </c>
      <c r="BG207">
        <v>602</v>
      </c>
      <c r="BH207">
        <v>619</v>
      </c>
      <c r="BI207" t="s">
        <v>69</v>
      </c>
      <c r="BJ207" t="s">
        <v>18050</v>
      </c>
      <c r="BK207" t="str">
        <f>HYPERLINK("http://dx.doi.org/10.1177/1046878118770831","http://dx.doi.org/10.1177/1046878118770831")</f>
        <v>http://dx.doi.org/10.1177/1046878118770831</v>
      </c>
      <c r="BL207" t="s">
        <v>69</v>
      </c>
      <c r="BM207" t="s">
        <v>69</v>
      </c>
      <c r="BN207">
        <v>18</v>
      </c>
      <c r="BO207" t="s">
        <v>18051</v>
      </c>
      <c r="BP207" t="s">
        <v>8573</v>
      </c>
      <c r="BQ207" t="s">
        <v>18052</v>
      </c>
      <c r="BR207" t="s">
        <v>18053</v>
      </c>
      <c r="BS207" t="s">
        <v>18054</v>
      </c>
      <c r="BT207" t="s">
        <v>69</v>
      </c>
      <c r="BU207" t="s">
        <v>69</v>
      </c>
      <c r="BV207" t="s">
        <v>69</v>
      </c>
      <c r="BW207" t="s">
        <v>69</v>
      </c>
      <c r="BX207" t="s">
        <v>8526</v>
      </c>
      <c r="BY207" t="str">
        <f>HYPERLINK("https%3A%2F%2Fwww.webofscience.com%2Fwos%2Fwoscc%2Ffull-record%2FWOS:000453535000002","View Full Record in Web of Science")</f>
        <v>View Full Record in Web of Science</v>
      </c>
    </row>
    <row r="208" spans="1:77" ht="12.5" x14ac:dyDescent="0.25">
      <c r="A208" t="s">
        <v>8495</v>
      </c>
      <c r="B208" s="7" t="s">
        <v>32933</v>
      </c>
      <c r="C208" s="7"/>
      <c r="D208" s="7"/>
      <c r="E208" s="7"/>
      <c r="F208" t="s">
        <v>67</v>
      </c>
      <c r="G208" t="s">
        <v>8233</v>
      </c>
      <c r="H208" t="s">
        <v>69</v>
      </c>
      <c r="I208" t="s">
        <v>69</v>
      </c>
      <c r="J208" t="s">
        <v>69</v>
      </c>
      <c r="K208" t="s">
        <v>8234</v>
      </c>
      <c r="L208" t="s">
        <v>69</v>
      </c>
      <c r="M208" t="s">
        <v>69</v>
      </c>
      <c r="N208" t="s">
        <v>8235</v>
      </c>
      <c r="O208" t="s">
        <v>2753</v>
      </c>
      <c r="P208" t="s">
        <v>69</v>
      </c>
      <c r="Q208" t="s">
        <v>69</v>
      </c>
      <c r="R208" t="s">
        <v>8505</v>
      </c>
      <c r="S208" t="s">
        <v>8506</v>
      </c>
      <c r="T208" t="s">
        <v>69</v>
      </c>
      <c r="U208" t="s">
        <v>69</v>
      </c>
      <c r="V208" t="s">
        <v>69</v>
      </c>
      <c r="W208" t="s">
        <v>69</v>
      </c>
      <c r="X208" t="s">
        <v>69</v>
      </c>
      <c r="Y208" t="s">
        <v>14980</v>
      </c>
      <c r="Z208" t="s">
        <v>14981</v>
      </c>
      <c r="AA208" t="s">
        <v>8236</v>
      </c>
      <c r="AB208" t="s">
        <v>14982</v>
      </c>
      <c r="AC208" t="s">
        <v>69</v>
      </c>
      <c r="AD208" t="s">
        <v>14983</v>
      </c>
      <c r="AE208" t="s">
        <v>14984</v>
      </c>
      <c r="AF208" t="s">
        <v>14985</v>
      </c>
      <c r="AG208" t="s">
        <v>14986</v>
      </c>
      <c r="AH208" t="s">
        <v>69</v>
      </c>
      <c r="AI208" t="s">
        <v>69</v>
      </c>
      <c r="AJ208" t="s">
        <v>69</v>
      </c>
      <c r="AK208" t="s">
        <v>69</v>
      </c>
      <c r="AL208">
        <v>70</v>
      </c>
      <c r="AM208">
        <v>1</v>
      </c>
      <c r="AN208">
        <v>1</v>
      </c>
      <c r="AO208">
        <v>2</v>
      </c>
      <c r="AP208">
        <v>4</v>
      </c>
      <c r="AQ208" t="s">
        <v>8586</v>
      </c>
      <c r="AR208" t="s">
        <v>8587</v>
      </c>
      <c r="AS208" t="s">
        <v>8588</v>
      </c>
      <c r="AT208" t="s">
        <v>2756</v>
      </c>
      <c r="AU208" t="s">
        <v>2757</v>
      </c>
      <c r="AV208" t="s">
        <v>69</v>
      </c>
      <c r="AW208" t="s">
        <v>14987</v>
      </c>
      <c r="AX208" t="s">
        <v>14988</v>
      </c>
      <c r="AY208" t="s">
        <v>5150</v>
      </c>
      <c r="AZ208">
        <v>2020</v>
      </c>
      <c r="BA208">
        <v>38</v>
      </c>
      <c r="BB208">
        <v>3</v>
      </c>
      <c r="BC208" t="s">
        <v>69</v>
      </c>
      <c r="BD208" t="s">
        <v>69</v>
      </c>
      <c r="BE208" t="s">
        <v>69</v>
      </c>
      <c r="BF208" t="s">
        <v>69</v>
      </c>
      <c r="BG208">
        <v>457</v>
      </c>
      <c r="BH208">
        <v>477</v>
      </c>
      <c r="BI208" t="s">
        <v>69</v>
      </c>
      <c r="BJ208" t="s">
        <v>8237</v>
      </c>
      <c r="BK208" t="str">
        <f>HYPERLINK("http://dx.doi.org/10.1108/PM-03-2019-0012","http://dx.doi.org/10.1108/PM-03-2019-0012")</f>
        <v>http://dx.doi.org/10.1108/PM-03-2019-0012</v>
      </c>
      <c r="BL208" t="s">
        <v>69</v>
      </c>
      <c r="BM208" t="s">
        <v>69</v>
      </c>
      <c r="BN208">
        <v>21</v>
      </c>
      <c r="BO208" t="s">
        <v>9410</v>
      </c>
      <c r="BP208" t="s">
        <v>8573</v>
      </c>
      <c r="BQ208" t="s">
        <v>8594</v>
      </c>
      <c r="BR208" t="s">
        <v>14989</v>
      </c>
      <c r="BS208" t="s">
        <v>8238</v>
      </c>
      <c r="BT208" t="s">
        <v>69</v>
      </c>
      <c r="BU208" t="s">
        <v>69</v>
      </c>
      <c r="BV208" t="s">
        <v>69</v>
      </c>
      <c r="BW208" t="s">
        <v>69</v>
      </c>
      <c r="BX208" t="s">
        <v>8526</v>
      </c>
      <c r="BY208" t="str">
        <f>HYPERLINK("https%3A%2F%2Fwww.webofscience.com%2Fwos%2Fwoscc%2Ffull-record%2FWOS:000536844800008","View Full Record in Web of Science")</f>
        <v>View Full Record in Web of Science</v>
      </c>
    </row>
    <row r="209" spans="1:77" x14ac:dyDescent="0.3">
      <c r="A209" t="s">
        <v>8495</v>
      </c>
      <c r="B209" s="9" t="s">
        <v>32950</v>
      </c>
      <c r="D209" s="9" t="s">
        <v>8491</v>
      </c>
      <c r="E209" s="9" t="s">
        <v>8490</v>
      </c>
      <c r="F209" t="s">
        <v>67</v>
      </c>
      <c r="G209" t="s">
        <v>14689</v>
      </c>
      <c r="H209" t="s">
        <v>69</v>
      </c>
      <c r="I209" t="s">
        <v>69</v>
      </c>
      <c r="J209" t="s">
        <v>69</v>
      </c>
      <c r="K209" t="s">
        <v>14690</v>
      </c>
      <c r="L209" t="s">
        <v>69</v>
      </c>
      <c r="M209" t="s">
        <v>69</v>
      </c>
      <c r="N209" t="s">
        <v>14691</v>
      </c>
      <c r="O209" t="s">
        <v>14692</v>
      </c>
      <c r="P209" t="s">
        <v>69</v>
      </c>
      <c r="Q209" t="s">
        <v>69</v>
      </c>
      <c r="R209" t="s">
        <v>8505</v>
      </c>
      <c r="S209" t="s">
        <v>8506</v>
      </c>
      <c r="T209" t="s">
        <v>69</v>
      </c>
      <c r="U209" t="s">
        <v>69</v>
      </c>
      <c r="V209" t="s">
        <v>69</v>
      </c>
      <c r="W209" t="s">
        <v>69</v>
      </c>
      <c r="X209" t="s">
        <v>69</v>
      </c>
      <c r="Y209" t="s">
        <v>14693</v>
      </c>
      <c r="Z209" t="s">
        <v>14694</v>
      </c>
      <c r="AA209" t="s">
        <v>14695</v>
      </c>
      <c r="AB209" t="s">
        <v>14696</v>
      </c>
      <c r="AC209" t="s">
        <v>69</v>
      </c>
      <c r="AD209" t="s">
        <v>14697</v>
      </c>
      <c r="AE209" t="s">
        <v>14698</v>
      </c>
      <c r="AF209" t="s">
        <v>14699</v>
      </c>
      <c r="AG209" t="s">
        <v>14700</v>
      </c>
      <c r="AH209" t="s">
        <v>69</v>
      </c>
      <c r="AI209" t="s">
        <v>69</v>
      </c>
      <c r="AJ209" t="s">
        <v>69</v>
      </c>
      <c r="AK209" t="s">
        <v>69</v>
      </c>
      <c r="AL209">
        <v>76</v>
      </c>
      <c r="AM209">
        <v>3</v>
      </c>
      <c r="AN209">
        <v>3</v>
      </c>
      <c r="AO209">
        <v>2</v>
      </c>
      <c r="AP209">
        <v>9</v>
      </c>
      <c r="AQ209" t="s">
        <v>8586</v>
      </c>
      <c r="AR209" t="s">
        <v>8587</v>
      </c>
      <c r="AS209" t="s">
        <v>8588</v>
      </c>
      <c r="AT209" t="s">
        <v>14701</v>
      </c>
      <c r="AU209" t="s">
        <v>14702</v>
      </c>
      <c r="AV209" t="s">
        <v>69</v>
      </c>
      <c r="AW209" t="s">
        <v>14703</v>
      </c>
      <c r="AX209" t="s">
        <v>14704</v>
      </c>
      <c r="AY209" t="s">
        <v>11504</v>
      </c>
      <c r="AZ209">
        <v>2021</v>
      </c>
      <c r="BA209">
        <v>29</v>
      </c>
      <c r="BB209">
        <v>1</v>
      </c>
      <c r="BC209" t="s">
        <v>69</v>
      </c>
      <c r="BD209" t="s">
        <v>69</v>
      </c>
      <c r="BE209" t="s">
        <v>69</v>
      </c>
      <c r="BF209" t="s">
        <v>69</v>
      </c>
      <c r="BG209">
        <v>39</v>
      </c>
      <c r="BH209">
        <v>59</v>
      </c>
      <c r="BI209" t="s">
        <v>69</v>
      </c>
      <c r="BJ209" t="s">
        <v>14705</v>
      </c>
      <c r="BK209" t="str">
        <f>HYPERLINK("http://dx.doi.org/10.1108/MEDAR-03-2020-0802","http://dx.doi.org/10.1108/MEDAR-03-2020-0802")</f>
        <v>http://dx.doi.org/10.1108/MEDAR-03-2020-0802</v>
      </c>
      <c r="BL209" t="s">
        <v>69</v>
      </c>
      <c r="BM209" t="s">
        <v>702</v>
      </c>
      <c r="BN209">
        <v>21</v>
      </c>
      <c r="BO209" t="s">
        <v>9749</v>
      </c>
      <c r="BP209" t="s">
        <v>8573</v>
      </c>
      <c r="BQ209" t="s">
        <v>8594</v>
      </c>
      <c r="BR209" t="s">
        <v>14706</v>
      </c>
      <c r="BS209" t="s">
        <v>14707</v>
      </c>
      <c r="BT209" t="s">
        <v>69</v>
      </c>
      <c r="BU209" t="s">
        <v>69</v>
      </c>
      <c r="BV209" t="s">
        <v>69</v>
      </c>
      <c r="BW209" t="s">
        <v>69</v>
      </c>
      <c r="BX209" t="s">
        <v>8526</v>
      </c>
      <c r="BY209" t="str">
        <f>HYPERLINK("https%3A%2F%2Fwww.webofscience.com%2Fwos%2Fwoscc%2Ffull-record%2FWOS:000553189000001","View Full Record in Web of Science")</f>
        <v>View Full Record in Web of Science</v>
      </c>
    </row>
    <row r="210" spans="1:77" ht="12.5" x14ac:dyDescent="0.25">
      <c r="A210" t="s">
        <v>8495</v>
      </c>
      <c r="B210" s="7" t="s">
        <v>32933</v>
      </c>
      <c r="C210" s="7"/>
      <c r="D210" s="7"/>
      <c r="E210" s="7"/>
      <c r="F210" t="s">
        <v>67</v>
      </c>
      <c r="G210" t="s">
        <v>4164</v>
      </c>
      <c r="H210" t="s">
        <v>69</v>
      </c>
      <c r="I210" t="s">
        <v>69</v>
      </c>
      <c r="J210" t="s">
        <v>69</v>
      </c>
      <c r="K210" t="s">
        <v>4164</v>
      </c>
      <c r="L210" t="s">
        <v>69</v>
      </c>
      <c r="M210" t="s">
        <v>69</v>
      </c>
      <c r="N210" t="s">
        <v>4165</v>
      </c>
      <c r="O210" t="s">
        <v>4166</v>
      </c>
      <c r="P210" t="s">
        <v>69</v>
      </c>
      <c r="Q210" t="s">
        <v>69</v>
      </c>
      <c r="R210" t="s">
        <v>8505</v>
      </c>
      <c r="S210" t="s">
        <v>8506</v>
      </c>
      <c r="T210" t="s">
        <v>69</v>
      </c>
      <c r="U210" t="s">
        <v>69</v>
      </c>
      <c r="V210" t="s">
        <v>69</v>
      </c>
      <c r="W210" t="s">
        <v>69</v>
      </c>
      <c r="X210" t="s">
        <v>69</v>
      </c>
      <c r="Y210" t="s">
        <v>32064</v>
      </c>
      <c r="Z210" t="s">
        <v>32065</v>
      </c>
      <c r="AA210" t="s">
        <v>4167</v>
      </c>
      <c r="AB210" t="s">
        <v>32066</v>
      </c>
      <c r="AC210" t="s">
        <v>69</v>
      </c>
      <c r="AD210" t="s">
        <v>32067</v>
      </c>
      <c r="AE210" t="s">
        <v>32068</v>
      </c>
      <c r="AF210" t="s">
        <v>69</v>
      </c>
      <c r="AG210" t="s">
        <v>69</v>
      </c>
      <c r="AH210" t="s">
        <v>69</v>
      </c>
      <c r="AI210" t="s">
        <v>69</v>
      </c>
      <c r="AJ210" t="s">
        <v>69</v>
      </c>
      <c r="AK210" t="s">
        <v>69</v>
      </c>
      <c r="AL210">
        <v>61</v>
      </c>
      <c r="AM210">
        <v>7</v>
      </c>
      <c r="AN210">
        <v>7</v>
      </c>
      <c r="AO210">
        <v>1</v>
      </c>
      <c r="AP210">
        <v>9</v>
      </c>
      <c r="AQ210" t="s">
        <v>8636</v>
      </c>
      <c r="AR210" t="s">
        <v>8637</v>
      </c>
      <c r="AS210" t="s">
        <v>8638</v>
      </c>
      <c r="AT210" t="s">
        <v>4168</v>
      </c>
      <c r="AU210" t="s">
        <v>4169</v>
      </c>
      <c r="AV210" t="s">
        <v>69</v>
      </c>
      <c r="AW210" t="s">
        <v>23664</v>
      </c>
      <c r="AX210" t="s">
        <v>23665</v>
      </c>
      <c r="AY210" t="s">
        <v>84</v>
      </c>
      <c r="AZ210">
        <v>1998</v>
      </c>
      <c r="BA210">
        <v>18</v>
      </c>
      <c r="BB210">
        <v>3</v>
      </c>
      <c r="BC210" t="s">
        <v>69</v>
      </c>
      <c r="BD210" t="s">
        <v>69</v>
      </c>
      <c r="BE210" t="s">
        <v>69</v>
      </c>
      <c r="BF210" t="s">
        <v>69</v>
      </c>
      <c r="BG210">
        <v>275</v>
      </c>
      <c r="BH210">
        <v>295</v>
      </c>
      <c r="BI210" t="s">
        <v>69</v>
      </c>
      <c r="BJ210" t="s">
        <v>4170</v>
      </c>
      <c r="BK210" t="str">
        <f>HYPERLINK("http://dx.doi.org/10.1016/S0143-6228(98)00018-6","http://dx.doi.org/10.1016/S0143-6228(98)00018-6")</f>
        <v>http://dx.doi.org/10.1016/S0143-6228(98)00018-6</v>
      </c>
      <c r="BL210" t="s">
        <v>69</v>
      </c>
      <c r="BM210" t="s">
        <v>69</v>
      </c>
      <c r="BN210">
        <v>21</v>
      </c>
      <c r="BO210" t="s">
        <v>8446</v>
      </c>
      <c r="BP210" t="s">
        <v>8661</v>
      </c>
      <c r="BQ210" t="s">
        <v>8446</v>
      </c>
      <c r="BR210" t="s">
        <v>32069</v>
      </c>
      <c r="BS210" t="s">
        <v>4171</v>
      </c>
      <c r="BT210" t="s">
        <v>69</v>
      </c>
      <c r="BU210" t="s">
        <v>69</v>
      </c>
      <c r="BV210" t="s">
        <v>69</v>
      </c>
      <c r="BW210" t="s">
        <v>69</v>
      </c>
      <c r="BX210" t="s">
        <v>8526</v>
      </c>
      <c r="BY210" t="str">
        <f>HYPERLINK("https%3A%2F%2Fwww.webofscience.com%2Fwos%2Fwoscc%2Ffull-record%2FWOS:000076692000005","View Full Record in Web of Science")</f>
        <v>View Full Record in Web of Science</v>
      </c>
    </row>
    <row r="211" spans="1:77" ht="12.5" x14ac:dyDescent="0.25">
      <c r="A211" t="s">
        <v>8495</v>
      </c>
      <c r="B211" s="7" t="s">
        <v>32933</v>
      </c>
      <c r="C211" s="7"/>
      <c r="D211" s="7"/>
      <c r="E211" s="7"/>
      <c r="F211" t="s">
        <v>67</v>
      </c>
      <c r="G211" t="s">
        <v>5702</v>
      </c>
      <c r="H211" t="s">
        <v>69</v>
      </c>
      <c r="I211" t="s">
        <v>69</v>
      </c>
      <c r="J211" t="s">
        <v>69</v>
      </c>
      <c r="K211" t="s">
        <v>5702</v>
      </c>
      <c r="L211" t="s">
        <v>69</v>
      </c>
      <c r="M211" t="s">
        <v>69</v>
      </c>
      <c r="N211" t="s">
        <v>5703</v>
      </c>
      <c r="O211" t="s">
        <v>5129</v>
      </c>
      <c r="P211" t="s">
        <v>69</v>
      </c>
      <c r="Q211" t="s">
        <v>69</v>
      </c>
      <c r="R211" t="s">
        <v>8505</v>
      </c>
      <c r="S211" t="s">
        <v>8506</v>
      </c>
      <c r="T211" t="s">
        <v>69</v>
      </c>
      <c r="U211" t="s">
        <v>69</v>
      </c>
      <c r="V211" t="s">
        <v>69</v>
      </c>
      <c r="W211" t="s">
        <v>69</v>
      </c>
      <c r="X211" t="s">
        <v>69</v>
      </c>
      <c r="Y211" t="s">
        <v>69</v>
      </c>
      <c r="Z211" t="s">
        <v>69</v>
      </c>
      <c r="AA211" t="s">
        <v>5704</v>
      </c>
      <c r="AB211" t="s">
        <v>30630</v>
      </c>
      <c r="AC211" t="s">
        <v>69</v>
      </c>
      <c r="AD211" t="s">
        <v>30631</v>
      </c>
      <c r="AE211" t="s">
        <v>30632</v>
      </c>
      <c r="AF211" t="s">
        <v>5705</v>
      </c>
      <c r="AG211" t="s">
        <v>5706</v>
      </c>
      <c r="AH211" t="s">
        <v>69</v>
      </c>
      <c r="AI211" t="s">
        <v>69</v>
      </c>
      <c r="AJ211" t="s">
        <v>69</v>
      </c>
      <c r="AK211" t="s">
        <v>69</v>
      </c>
      <c r="AL211">
        <v>21</v>
      </c>
      <c r="AM211">
        <v>5</v>
      </c>
      <c r="AN211">
        <v>5</v>
      </c>
      <c r="AO211">
        <v>0</v>
      </c>
      <c r="AP211">
        <v>3</v>
      </c>
      <c r="AQ211" t="s">
        <v>8865</v>
      </c>
      <c r="AR211" t="s">
        <v>8612</v>
      </c>
      <c r="AS211" t="s">
        <v>8866</v>
      </c>
      <c r="AT211" t="s">
        <v>5131</v>
      </c>
      <c r="AU211" t="s">
        <v>5707</v>
      </c>
      <c r="AV211" t="s">
        <v>69</v>
      </c>
      <c r="AW211" t="s">
        <v>30633</v>
      </c>
      <c r="AX211" t="s">
        <v>30634</v>
      </c>
      <c r="AY211" t="s">
        <v>155</v>
      </c>
      <c r="AZ211">
        <v>2005</v>
      </c>
      <c r="BA211">
        <v>21</v>
      </c>
      <c r="BB211">
        <v>2</v>
      </c>
      <c r="BC211" t="s">
        <v>69</v>
      </c>
      <c r="BD211" t="s">
        <v>69</v>
      </c>
      <c r="BE211" t="s">
        <v>69</v>
      </c>
      <c r="BF211" t="s">
        <v>69</v>
      </c>
      <c r="BG211">
        <v>325</v>
      </c>
      <c r="BH211">
        <v>340</v>
      </c>
      <c r="BI211" t="s">
        <v>69</v>
      </c>
      <c r="BJ211" t="s">
        <v>5708</v>
      </c>
      <c r="BK211" t="str">
        <f>HYPERLINK("http://dx.doi.org/10.1080/07900620500036455","http://dx.doi.org/10.1080/07900620500036455")</f>
        <v>http://dx.doi.org/10.1080/07900620500036455</v>
      </c>
      <c r="BL211" t="s">
        <v>69</v>
      </c>
      <c r="BM211" t="s">
        <v>69</v>
      </c>
      <c r="BN211">
        <v>16</v>
      </c>
      <c r="BO211" t="s">
        <v>9096</v>
      </c>
      <c r="BP211" t="s">
        <v>8548</v>
      </c>
      <c r="BQ211" t="s">
        <v>9096</v>
      </c>
      <c r="BR211" t="s">
        <v>30635</v>
      </c>
      <c r="BS211" t="s">
        <v>5709</v>
      </c>
      <c r="BT211" t="s">
        <v>69</v>
      </c>
      <c r="BU211" t="s">
        <v>69</v>
      </c>
      <c r="BV211" t="s">
        <v>69</v>
      </c>
      <c r="BW211" t="s">
        <v>69</v>
      </c>
      <c r="BX211" t="s">
        <v>8526</v>
      </c>
      <c r="BY211" t="str">
        <f>HYPERLINK("https%3A%2F%2Fwww.webofscience.com%2Fwos%2Fwoscc%2Ffull-record%2FWOS:000230307600009","View Full Record in Web of Science")</f>
        <v>View Full Record in Web of Science</v>
      </c>
    </row>
    <row r="212" spans="1:77" ht="12.5" x14ac:dyDescent="0.25">
      <c r="A212" t="s">
        <v>8495</v>
      </c>
      <c r="B212" s="22" t="s">
        <v>32931</v>
      </c>
      <c r="C212" s="7"/>
      <c r="D212" s="7"/>
      <c r="E212" s="7"/>
      <c r="F212" t="s">
        <v>67</v>
      </c>
      <c r="G212" t="s">
        <v>8891</v>
      </c>
      <c r="H212" t="s">
        <v>69</v>
      </c>
      <c r="I212" t="s">
        <v>69</v>
      </c>
      <c r="J212" t="s">
        <v>69</v>
      </c>
      <c r="K212" t="s">
        <v>8892</v>
      </c>
      <c r="L212" t="s">
        <v>69</v>
      </c>
      <c r="M212" t="s">
        <v>69</v>
      </c>
      <c r="N212" t="s">
        <v>8893</v>
      </c>
      <c r="O212" t="s">
        <v>8894</v>
      </c>
      <c r="P212" t="s">
        <v>69</v>
      </c>
      <c r="Q212" t="s">
        <v>69</v>
      </c>
      <c r="R212" t="s">
        <v>8505</v>
      </c>
      <c r="S212" t="s">
        <v>8506</v>
      </c>
      <c r="T212" t="s">
        <v>69</v>
      </c>
      <c r="U212" t="s">
        <v>69</v>
      </c>
      <c r="V212" t="s">
        <v>69</v>
      </c>
      <c r="W212" t="s">
        <v>69</v>
      </c>
      <c r="X212" t="s">
        <v>69</v>
      </c>
      <c r="Y212" t="s">
        <v>69</v>
      </c>
      <c r="Z212" t="s">
        <v>69</v>
      </c>
      <c r="AA212" t="s">
        <v>8895</v>
      </c>
      <c r="AB212" t="s">
        <v>8896</v>
      </c>
      <c r="AC212" t="s">
        <v>69</v>
      </c>
      <c r="AD212" t="s">
        <v>8897</v>
      </c>
      <c r="AE212" t="s">
        <v>8898</v>
      </c>
      <c r="AF212" t="s">
        <v>69</v>
      </c>
      <c r="AG212" t="s">
        <v>69</v>
      </c>
      <c r="AH212" t="s">
        <v>69</v>
      </c>
      <c r="AI212" t="s">
        <v>69</v>
      </c>
      <c r="AJ212" t="s">
        <v>69</v>
      </c>
      <c r="AK212" t="s">
        <v>69</v>
      </c>
      <c r="AL212">
        <v>19</v>
      </c>
      <c r="AM212">
        <v>0</v>
      </c>
      <c r="AN212">
        <v>0</v>
      </c>
      <c r="AO212">
        <v>1</v>
      </c>
      <c r="AP212">
        <v>1</v>
      </c>
      <c r="AQ212" t="s">
        <v>8899</v>
      </c>
      <c r="AR212" t="s">
        <v>8900</v>
      </c>
      <c r="AS212" t="s">
        <v>8901</v>
      </c>
      <c r="AT212" t="s">
        <v>8902</v>
      </c>
      <c r="AU212" t="s">
        <v>8903</v>
      </c>
      <c r="AV212" t="s">
        <v>69</v>
      </c>
      <c r="AW212" t="s">
        <v>8904</v>
      </c>
      <c r="AX212" t="s">
        <v>8905</v>
      </c>
      <c r="AY212" t="s">
        <v>155</v>
      </c>
      <c r="AZ212">
        <v>2022</v>
      </c>
      <c r="BA212">
        <v>106</v>
      </c>
      <c r="BB212">
        <v>6</v>
      </c>
      <c r="BC212" t="s">
        <v>69</v>
      </c>
      <c r="BD212" t="s">
        <v>69</v>
      </c>
      <c r="BE212" t="s">
        <v>69</v>
      </c>
      <c r="BF212" t="s">
        <v>69</v>
      </c>
      <c r="BG212">
        <v>1646</v>
      </c>
      <c r="BH212">
        <v>1652</v>
      </c>
      <c r="BI212" t="s">
        <v>69</v>
      </c>
      <c r="BJ212" t="s">
        <v>8906</v>
      </c>
      <c r="BK212" t="str">
        <f>HYPERLINK("http://dx.doi.org/10.4269/ajtmh.21-1195","http://dx.doi.org/10.4269/ajtmh.21-1195")</f>
        <v>http://dx.doi.org/10.4269/ajtmh.21-1195</v>
      </c>
      <c r="BL212" t="s">
        <v>69</v>
      </c>
      <c r="BM212" t="s">
        <v>69</v>
      </c>
      <c r="BN212">
        <v>7</v>
      </c>
      <c r="BO212" t="s">
        <v>8907</v>
      </c>
      <c r="BP212" t="s">
        <v>8548</v>
      </c>
      <c r="BQ212" t="s">
        <v>8907</v>
      </c>
      <c r="BR212" t="s">
        <v>8908</v>
      </c>
      <c r="BS212" t="s">
        <v>8910</v>
      </c>
      <c r="BT212">
        <v>35405637</v>
      </c>
      <c r="BU212" t="s">
        <v>8909</v>
      </c>
      <c r="BV212" t="s">
        <v>69</v>
      </c>
      <c r="BW212" t="s">
        <v>69</v>
      </c>
      <c r="BX212" t="s">
        <v>8526</v>
      </c>
      <c r="BY212" t="str">
        <f>HYPERLINK("https%3A%2F%2Fwww.webofscience.com%2Fwos%2Fwoscc%2Ffull-record%2FWOS:000828652200020","View Full Record in Web of Science")</f>
        <v>View Full Record in Web of Science</v>
      </c>
    </row>
    <row r="213" spans="1:77" ht="12.5" x14ac:dyDescent="0.25">
      <c r="A213" t="s">
        <v>8495</v>
      </c>
      <c r="B213" s="7" t="s">
        <v>32933</v>
      </c>
      <c r="C213" s="7"/>
      <c r="D213" s="7"/>
      <c r="E213" s="7"/>
      <c r="F213" t="s">
        <v>67</v>
      </c>
      <c r="G213" t="s">
        <v>1885</v>
      </c>
      <c r="H213" t="s">
        <v>69</v>
      </c>
      <c r="I213" t="s">
        <v>69</v>
      </c>
      <c r="J213" t="s">
        <v>69</v>
      </c>
      <c r="K213" t="s">
        <v>1886</v>
      </c>
      <c r="L213" t="s">
        <v>69</v>
      </c>
      <c r="M213" t="s">
        <v>69</v>
      </c>
      <c r="N213" t="s">
        <v>1887</v>
      </c>
      <c r="O213" t="s">
        <v>352</v>
      </c>
      <c r="P213" t="s">
        <v>69</v>
      </c>
      <c r="Q213" t="s">
        <v>69</v>
      </c>
      <c r="R213" t="s">
        <v>8505</v>
      </c>
      <c r="S213" t="s">
        <v>8506</v>
      </c>
      <c r="T213" t="s">
        <v>69</v>
      </c>
      <c r="U213" t="s">
        <v>69</v>
      </c>
      <c r="V213" t="s">
        <v>69</v>
      </c>
      <c r="W213" t="s">
        <v>69</v>
      </c>
      <c r="X213" t="s">
        <v>69</v>
      </c>
      <c r="Y213" t="s">
        <v>14370</v>
      </c>
      <c r="Z213" t="s">
        <v>14371</v>
      </c>
      <c r="AA213" t="s">
        <v>1888</v>
      </c>
      <c r="AB213" t="s">
        <v>14372</v>
      </c>
      <c r="AC213" t="s">
        <v>69</v>
      </c>
      <c r="AD213" t="s">
        <v>14373</v>
      </c>
      <c r="AE213" t="s">
        <v>14374</v>
      </c>
      <c r="AF213" t="s">
        <v>14375</v>
      </c>
      <c r="AG213" t="s">
        <v>14376</v>
      </c>
      <c r="AH213" t="s">
        <v>14377</v>
      </c>
      <c r="AI213" t="s">
        <v>14378</v>
      </c>
      <c r="AJ213" t="s">
        <v>14379</v>
      </c>
      <c r="AK213" t="s">
        <v>69</v>
      </c>
      <c r="AL213">
        <v>70</v>
      </c>
      <c r="AM213">
        <v>7</v>
      </c>
      <c r="AN213">
        <v>7</v>
      </c>
      <c r="AO213">
        <v>5</v>
      </c>
      <c r="AP213">
        <v>32</v>
      </c>
      <c r="AQ213" t="s">
        <v>8924</v>
      </c>
      <c r="AR213" t="s">
        <v>8925</v>
      </c>
      <c r="AS213" t="s">
        <v>8926</v>
      </c>
      <c r="AT213" t="s">
        <v>69</v>
      </c>
      <c r="AU213" t="s">
        <v>354</v>
      </c>
      <c r="AV213" t="s">
        <v>69</v>
      </c>
      <c r="AW213" t="s">
        <v>8958</v>
      </c>
      <c r="AX213" t="s">
        <v>8434</v>
      </c>
      <c r="AY213" t="s">
        <v>255</v>
      </c>
      <c r="AZ213">
        <v>2020</v>
      </c>
      <c r="BA213">
        <v>12</v>
      </c>
      <c r="BB213">
        <v>18</v>
      </c>
      <c r="BC213" t="s">
        <v>69</v>
      </c>
      <c r="BD213" t="s">
        <v>69</v>
      </c>
      <c r="BE213" t="s">
        <v>69</v>
      </c>
      <c r="BF213" t="s">
        <v>69</v>
      </c>
      <c r="BG213" t="s">
        <v>69</v>
      </c>
      <c r="BH213" t="s">
        <v>69</v>
      </c>
      <c r="BI213">
        <v>7546</v>
      </c>
      <c r="BJ213" t="s">
        <v>1889</v>
      </c>
      <c r="BK213" t="str">
        <f>HYPERLINK("http://dx.doi.org/10.3390/su12187546","http://dx.doi.org/10.3390/su12187546")</f>
        <v>http://dx.doi.org/10.3390/su12187546</v>
      </c>
      <c r="BL213" t="s">
        <v>69</v>
      </c>
      <c r="BM213" t="s">
        <v>69</v>
      </c>
      <c r="BN213">
        <v>16</v>
      </c>
      <c r="BO213" t="s">
        <v>8960</v>
      </c>
      <c r="BP213" t="s">
        <v>8523</v>
      </c>
      <c r="BQ213" t="s">
        <v>8961</v>
      </c>
      <c r="BR213" t="s">
        <v>14380</v>
      </c>
      <c r="BS213" t="s">
        <v>1890</v>
      </c>
      <c r="BT213" t="s">
        <v>69</v>
      </c>
      <c r="BU213" t="s">
        <v>8812</v>
      </c>
      <c r="BV213" t="s">
        <v>69</v>
      </c>
      <c r="BW213" t="s">
        <v>69</v>
      </c>
      <c r="BX213" t="s">
        <v>8526</v>
      </c>
      <c r="BY213" t="str">
        <f>HYPERLINK("https%3A%2F%2Fwww.webofscience.com%2Fwos%2Fwoscc%2Ffull-record%2FWOS:000584314400001","View Full Record in Web of Science")</f>
        <v>View Full Record in Web of Science</v>
      </c>
    </row>
    <row r="214" spans="1:77" ht="12.5" x14ac:dyDescent="0.25">
      <c r="A214" t="s">
        <v>8495</v>
      </c>
      <c r="B214" s="7" t="s">
        <v>32933</v>
      </c>
      <c r="C214" s="7"/>
      <c r="D214" s="7"/>
      <c r="E214" s="7"/>
      <c r="F214" t="s">
        <v>67</v>
      </c>
      <c r="G214" t="s">
        <v>4613</v>
      </c>
      <c r="H214" t="s">
        <v>69</v>
      </c>
      <c r="I214" t="s">
        <v>69</v>
      </c>
      <c r="J214" t="s">
        <v>69</v>
      </c>
      <c r="K214" t="s">
        <v>4614</v>
      </c>
      <c r="L214" t="s">
        <v>69</v>
      </c>
      <c r="M214" t="s">
        <v>69</v>
      </c>
      <c r="N214" t="s">
        <v>4615</v>
      </c>
      <c r="O214" t="s">
        <v>3237</v>
      </c>
      <c r="P214" t="s">
        <v>69</v>
      </c>
      <c r="Q214" t="s">
        <v>69</v>
      </c>
      <c r="R214" t="s">
        <v>8505</v>
      </c>
      <c r="S214" t="s">
        <v>8506</v>
      </c>
      <c r="T214" t="s">
        <v>69</v>
      </c>
      <c r="U214" t="s">
        <v>69</v>
      </c>
      <c r="V214" t="s">
        <v>69</v>
      </c>
      <c r="W214" t="s">
        <v>69</v>
      </c>
      <c r="X214" t="s">
        <v>69</v>
      </c>
      <c r="Y214" t="s">
        <v>69</v>
      </c>
      <c r="Z214" t="s">
        <v>69</v>
      </c>
      <c r="AA214" t="s">
        <v>4616</v>
      </c>
      <c r="AB214" t="s">
        <v>20961</v>
      </c>
      <c r="AC214" t="s">
        <v>69</v>
      </c>
      <c r="AD214" t="s">
        <v>20962</v>
      </c>
      <c r="AE214" t="s">
        <v>20963</v>
      </c>
      <c r="AF214" t="s">
        <v>69</v>
      </c>
      <c r="AG214" t="s">
        <v>69</v>
      </c>
      <c r="AH214" t="s">
        <v>20964</v>
      </c>
      <c r="AI214" t="s">
        <v>20964</v>
      </c>
      <c r="AJ214" t="s">
        <v>20965</v>
      </c>
      <c r="AK214" t="s">
        <v>69</v>
      </c>
      <c r="AL214">
        <v>71</v>
      </c>
      <c r="AM214">
        <v>1</v>
      </c>
      <c r="AN214">
        <v>1</v>
      </c>
      <c r="AO214">
        <v>0</v>
      </c>
      <c r="AP214">
        <v>3</v>
      </c>
      <c r="AQ214" t="s">
        <v>8865</v>
      </c>
      <c r="AR214" t="s">
        <v>8612</v>
      </c>
      <c r="AS214" t="s">
        <v>8866</v>
      </c>
      <c r="AT214" t="s">
        <v>3239</v>
      </c>
      <c r="AU214" t="s">
        <v>3240</v>
      </c>
      <c r="AV214" t="s">
        <v>69</v>
      </c>
      <c r="AW214" t="s">
        <v>3237</v>
      </c>
      <c r="AX214" t="s">
        <v>20966</v>
      </c>
      <c r="AY214" t="s">
        <v>69</v>
      </c>
      <c r="AZ214">
        <v>2017</v>
      </c>
      <c r="BA214">
        <v>22</v>
      </c>
      <c r="BB214">
        <v>1</v>
      </c>
      <c r="BC214" t="s">
        <v>69</v>
      </c>
      <c r="BD214" t="s">
        <v>69</v>
      </c>
      <c r="BE214" t="s">
        <v>69</v>
      </c>
      <c r="BF214" t="s">
        <v>69</v>
      </c>
      <c r="BG214">
        <v>129</v>
      </c>
      <c r="BH214">
        <v>150</v>
      </c>
      <c r="BI214" t="s">
        <v>69</v>
      </c>
      <c r="BJ214" t="s">
        <v>4617</v>
      </c>
      <c r="BK214" t="str">
        <f>HYPERLINK("http://dx.doi.org/10.1080/14650045.2016.1210130","http://dx.doi.org/10.1080/14650045.2016.1210130")</f>
        <v>http://dx.doi.org/10.1080/14650045.2016.1210130</v>
      </c>
      <c r="BL214" t="s">
        <v>69</v>
      </c>
      <c r="BM214" t="s">
        <v>69</v>
      </c>
      <c r="BN214">
        <v>22</v>
      </c>
      <c r="BO214" t="s">
        <v>14081</v>
      </c>
      <c r="BP214" t="s">
        <v>8661</v>
      </c>
      <c r="BQ214" t="s">
        <v>14082</v>
      </c>
      <c r="BR214" t="s">
        <v>20967</v>
      </c>
      <c r="BS214" t="s">
        <v>4618</v>
      </c>
      <c r="BT214" t="s">
        <v>69</v>
      </c>
      <c r="BU214" t="s">
        <v>69</v>
      </c>
      <c r="BV214" t="s">
        <v>69</v>
      </c>
      <c r="BW214" t="s">
        <v>69</v>
      </c>
      <c r="BX214" t="s">
        <v>8526</v>
      </c>
      <c r="BY214" t="str">
        <f>HYPERLINK("https%3A%2F%2Fwww.webofscience.com%2Fwos%2Fwoscc%2Ffull-record%2FWOS:000394440200008","View Full Record in Web of Science")</f>
        <v>View Full Record in Web of Science</v>
      </c>
    </row>
    <row r="215" spans="1:77" ht="12.5" x14ac:dyDescent="0.25">
      <c r="A215" t="s">
        <v>8495</v>
      </c>
      <c r="B215" s="7" t="s">
        <v>32933</v>
      </c>
      <c r="C215" s="7"/>
      <c r="D215" s="7"/>
      <c r="E215" s="7"/>
      <c r="F215" t="s">
        <v>67</v>
      </c>
      <c r="G215" t="s">
        <v>6617</v>
      </c>
      <c r="H215" t="s">
        <v>69</v>
      </c>
      <c r="I215" t="s">
        <v>69</v>
      </c>
      <c r="J215" t="s">
        <v>69</v>
      </c>
      <c r="K215" t="s">
        <v>6618</v>
      </c>
      <c r="L215" t="s">
        <v>69</v>
      </c>
      <c r="M215" t="s">
        <v>69</v>
      </c>
      <c r="N215" t="s">
        <v>6619</v>
      </c>
      <c r="O215" t="s">
        <v>3893</v>
      </c>
      <c r="P215" t="s">
        <v>69</v>
      </c>
      <c r="Q215" t="s">
        <v>69</v>
      </c>
      <c r="R215" t="s">
        <v>8505</v>
      </c>
      <c r="S215" t="s">
        <v>8506</v>
      </c>
      <c r="T215" t="s">
        <v>69</v>
      </c>
      <c r="U215" t="s">
        <v>69</v>
      </c>
      <c r="V215" t="s">
        <v>69</v>
      </c>
      <c r="W215" t="s">
        <v>69</v>
      </c>
      <c r="X215" t="s">
        <v>69</v>
      </c>
      <c r="Y215" t="s">
        <v>19960</v>
      </c>
      <c r="Z215" t="s">
        <v>19961</v>
      </c>
      <c r="AA215" t="s">
        <v>6620</v>
      </c>
      <c r="AB215" t="s">
        <v>19962</v>
      </c>
      <c r="AC215" t="s">
        <v>69</v>
      </c>
      <c r="AD215" t="s">
        <v>19963</v>
      </c>
      <c r="AE215" t="s">
        <v>19964</v>
      </c>
      <c r="AF215" t="s">
        <v>69</v>
      </c>
      <c r="AG215" t="s">
        <v>19965</v>
      </c>
      <c r="AH215" t="s">
        <v>19966</v>
      </c>
      <c r="AI215" t="s">
        <v>19966</v>
      </c>
      <c r="AJ215" t="s">
        <v>19967</v>
      </c>
      <c r="AK215" t="s">
        <v>69</v>
      </c>
      <c r="AL215">
        <v>58</v>
      </c>
      <c r="AM215">
        <v>2</v>
      </c>
      <c r="AN215">
        <v>2</v>
      </c>
      <c r="AO215">
        <v>0</v>
      </c>
      <c r="AP215">
        <v>9</v>
      </c>
      <c r="AQ215" t="s">
        <v>10352</v>
      </c>
      <c r="AR215" t="s">
        <v>8637</v>
      </c>
      <c r="AS215" t="s">
        <v>10353</v>
      </c>
      <c r="AT215" t="s">
        <v>3896</v>
      </c>
      <c r="AU215" t="s">
        <v>6621</v>
      </c>
      <c r="AV215" t="s">
        <v>69</v>
      </c>
      <c r="AW215" t="s">
        <v>19968</v>
      </c>
      <c r="AX215" t="s">
        <v>19969</v>
      </c>
      <c r="AY215" t="s">
        <v>381</v>
      </c>
      <c r="AZ215">
        <v>2017</v>
      </c>
      <c r="BA215">
        <v>32</v>
      </c>
      <c r="BB215">
        <v>5</v>
      </c>
      <c r="BC215" t="s">
        <v>69</v>
      </c>
      <c r="BD215" t="s">
        <v>69</v>
      </c>
      <c r="BE215" t="s">
        <v>69</v>
      </c>
      <c r="BF215" t="s">
        <v>69</v>
      </c>
      <c r="BG215">
        <v>840</v>
      </c>
      <c r="BH215">
        <v>849</v>
      </c>
      <c r="BI215" t="s">
        <v>69</v>
      </c>
      <c r="BJ215" t="s">
        <v>6622</v>
      </c>
      <c r="BK215" t="str">
        <f>HYPERLINK("http://dx.doi.org/10.1093/heapro/daw016","http://dx.doi.org/10.1093/heapro/daw016")</f>
        <v>http://dx.doi.org/10.1093/heapro/daw016</v>
      </c>
      <c r="BL215" t="s">
        <v>69</v>
      </c>
      <c r="BM215" t="s">
        <v>69</v>
      </c>
      <c r="BN215">
        <v>10</v>
      </c>
      <c r="BO215" t="s">
        <v>19970</v>
      </c>
      <c r="BP215" t="s">
        <v>8661</v>
      </c>
      <c r="BQ215" t="s">
        <v>11565</v>
      </c>
      <c r="BR215" t="s">
        <v>19971</v>
      </c>
      <c r="BS215" t="s">
        <v>6623</v>
      </c>
      <c r="BT215">
        <v>27006367</v>
      </c>
      <c r="BU215" t="s">
        <v>9374</v>
      </c>
      <c r="BV215" t="s">
        <v>69</v>
      </c>
      <c r="BW215" t="s">
        <v>69</v>
      </c>
      <c r="BX215" t="s">
        <v>8526</v>
      </c>
      <c r="BY215" t="str">
        <f>HYPERLINK("https%3A%2F%2Fwww.webofscience.com%2Fwos%2Fwoscc%2Ffull-record%2FWOS:000412570300009","View Full Record in Web of Science")</f>
        <v>View Full Record in Web of Science</v>
      </c>
    </row>
    <row r="216" spans="1:77" ht="12.5" x14ac:dyDescent="0.25">
      <c r="A216" t="s">
        <v>8495</v>
      </c>
      <c r="B216" s="22" t="s">
        <v>32931</v>
      </c>
      <c r="C216" s="7"/>
      <c r="D216" s="7"/>
      <c r="E216" s="7"/>
      <c r="F216" t="s">
        <v>67</v>
      </c>
      <c r="G216" t="s">
        <v>15165</v>
      </c>
      <c r="H216" t="s">
        <v>69</v>
      </c>
      <c r="I216" t="s">
        <v>69</v>
      </c>
      <c r="J216" t="s">
        <v>69</v>
      </c>
      <c r="K216" t="s">
        <v>15166</v>
      </c>
      <c r="L216" t="s">
        <v>69</v>
      </c>
      <c r="M216" t="s">
        <v>69</v>
      </c>
      <c r="N216" t="s">
        <v>15167</v>
      </c>
      <c r="O216" t="s">
        <v>15168</v>
      </c>
      <c r="P216" t="s">
        <v>69</v>
      </c>
      <c r="Q216" t="s">
        <v>69</v>
      </c>
      <c r="R216" t="s">
        <v>8505</v>
      </c>
      <c r="S216" t="s">
        <v>8506</v>
      </c>
      <c r="T216" t="s">
        <v>69</v>
      </c>
      <c r="U216" t="s">
        <v>69</v>
      </c>
      <c r="V216" t="s">
        <v>69</v>
      </c>
      <c r="W216" t="s">
        <v>69</v>
      </c>
      <c r="X216" t="s">
        <v>69</v>
      </c>
      <c r="Y216" t="s">
        <v>15169</v>
      </c>
      <c r="Z216" t="s">
        <v>15170</v>
      </c>
      <c r="AA216" t="s">
        <v>15171</v>
      </c>
      <c r="AB216" t="s">
        <v>15172</v>
      </c>
      <c r="AC216" t="s">
        <v>69</v>
      </c>
      <c r="AD216" t="s">
        <v>15173</v>
      </c>
      <c r="AE216" t="s">
        <v>15174</v>
      </c>
      <c r="AF216" t="s">
        <v>15175</v>
      </c>
      <c r="AG216" t="s">
        <v>15176</v>
      </c>
      <c r="AH216" t="s">
        <v>15177</v>
      </c>
      <c r="AI216" t="s">
        <v>15177</v>
      </c>
      <c r="AJ216" t="s">
        <v>15178</v>
      </c>
      <c r="AK216" t="s">
        <v>69</v>
      </c>
      <c r="AL216">
        <v>48</v>
      </c>
      <c r="AM216">
        <v>2</v>
      </c>
      <c r="AN216">
        <v>2</v>
      </c>
      <c r="AO216">
        <v>1</v>
      </c>
      <c r="AP216">
        <v>3</v>
      </c>
      <c r="AQ216" t="s">
        <v>8846</v>
      </c>
      <c r="AR216" t="s">
        <v>8847</v>
      </c>
      <c r="AS216" t="s">
        <v>8848</v>
      </c>
      <c r="AT216" t="s">
        <v>15179</v>
      </c>
      <c r="AU216" t="s">
        <v>15180</v>
      </c>
      <c r="AV216" t="s">
        <v>69</v>
      </c>
      <c r="AW216" t="s">
        <v>15181</v>
      </c>
      <c r="AX216" t="s">
        <v>15182</v>
      </c>
      <c r="AY216" t="s">
        <v>373</v>
      </c>
      <c r="AZ216">
        <v>2021</v>
      </c>
      <c r="BA216">
        <v>27</v>
      </c>
      <c r="BB216">
        <v>1</v>
      </c>
      <c r="BC216" t="s">
        <v>69</v>
      </c>
      <c r="BD216" t="s">
        <v>69</v>
      </c>
      <c r="BE216" t="s">
        <v>69</v>
      </c>
      <c r="BF216" t="s">
        <v>69</v>
      </c>
      <c r="BG216">
        <v>98</v>
      </c>
      <c r="BH216">
        <v>119</v>
      </c>
      <c r="BI216" t="s">
        <v>69</v>
      </c>
      <c r="BJ216" t="s">
        <v>15183</v>
      </c>
      <c r="BK216" t="str">
        <f>HYPERLINK("http://dx.doi.org/10.1111/eufm.12268","http://dx.doi.org/10.1111/eufm.12268")</f>
        <v>http://dx.doi.org/10.1111/eufm.12268</v>
      </c>
      <c r="BL216" t="s">
        <v>69</v>
      </c>
      <c r="BM216" t="s">
        <v>732</v>
      </c>
      <c r="BN216">
        <v>22</v>
      </c>
      <c r="BO216" t="s">
        <v>9749</v>
      </c>
      <c r="BP216" t="s">
        <v>8661</v>
      </c>
      <c r="BQ216" t="s">
        <v>8594</v>
      </c>
      <c r="BR216" t="s">
        <v>15184</v>
      </c>
      <c r="BS216" t="s">
        <v>15185</v>
      </c>
      <c r="BT216" t="s">
        <v>69</v>
      </c>
      <c r="BU216" t="s">
        <v>10995</v>
      </c>
      <c r="BV216" t="s">
        <v>69</v>
      </c>
      <c r="BW216" t="s">
        <v>69</v>
      </c>
      <c r="BX216" t="s">
        <v>8526</v>
      </c>
      <c r="BY216" t="str">
        <f>HYPERLINK("https%3A%2F%2Fwww.webofscience.com%2Fwos%2Fwoscc%2Ffull-record%2FWOS:000533558300001","View Full Record in Web of Science")</f>
        <v>View Full Record in Web of Science</v>
      </c>
    </row>
    <row r="217" spans="1:77" ht="12.5" x14ac:dyDescent="0.25">
      <c r="A217" t="s">
        <v>8495</v>
      </c>
      <c r="B217" s="22" t="s">
        <v>32931</v>
      </c>
      <c r="C217" s="7"/>
      <c r="D217" s="7"/>
      <c r="E217" s="7"/>
      <c r="F217" t="s">
        <v>67</v>
      </c>
      <c r="G217" t="s">
        <v>14906</v>
      </c>
      <c r="H217" t="s">
        <v>69</v>
      </c>
      <c r="I217" t="s">
        <v>69</v>
      </c>
      <c r="J217" t="s">
        <v>69</v>
      </c>
      <c r="K217" t="s">
        <v>14907</v>
      </c>
      <c r="L217" t="s">
        <v>69</v>
      </c>
      <c r="M217" t="s">
        <v>69</v>
      </c>
      <c r="N217" t="s">
        <v>14908</v>
      </c>
      <c r="O217" t="s">
        <v>14038</v>
      </c>
      <c r="P217" t="s">
        <v>69</v>
      </c>
      <c r="Q217" t="s">
        <v>69</v>
      </c>
      <c r="R217" t="s">
        <v>8505</v>
      </c>
      <c r="S217" t="s">
        <v>8506</v>
      </c>
      <c r="T217" t="s">
        <v>69</v>
      </c>
      <c r="U217" t="s">
        <v>69</v>
      </c>
      <c r="V217" t="s">
        <v>69</v>
      </c>
      <c r="W217" t="s">
        <v>69</v>
      </c>
      <c r="X217" t="s">
        <v>69</v>
      </c>
      <c r="Y217" t="s">
        <v>14909</v>
      </c>
      <c r="Z217" t="s">
        <v>14910</v>
      </c>
      <c r="AA217" t="s">
        <v>14911</v>
      </c>
      <c r="AB217" t="s">
        <v>14912</v>
      </c>
      <c r="AC217" t="s">
        <v>69</v>
      </c>
      <c r="AD217" t="s">
        <v>14913</v>
      </c>
      <c r="AE217" t="s">
        <v>14914</v>
      </c>
      <c r="AF217" t="s">
        <v>14915</v>
      </c>
      <c r="AG217" t="s">
        <v>14916</v>
      </c>
      <c r="AH217" t="s">
        <v>14917</v>
      </c>
      <c r="AI217" t="s">
        <v>14918</v>
      </c>
      <c r="AJ217" t="s">
        <v>14919</v>
      </c>
      <c r="AK217" t="s">
        <v>69</v>
      </c>
      <c r="AL217">
        <v>35</v>
      </c>
      <c r="AM217">
        <v>5</v>
      </c>
      <c r="AN217">
        <v>5</v>
      </c>
      <c r="AO217">
        <v>3</v>
      </c>
      <c r="AP217">
        <v>5</v>
      </c>
      <c r="AQ217" t="s">
        <v>9203</v>
      </c>
      <c r="AR217" t="s">
        <v>8763</v>
      </c>
      <c r="AS217" t="s">
        <v>9204</v>
      </c>
      <c r="AT217" t="s">
        <v>69</v>
      </c>
      <c r="AU217" t="s">
        <v>14047</v>
      </c>
      <c r="AV217" t="s">
        <v>69</v>
      </c>
      <c r="AW217" t="s">
        <v>14048</v>
      </c>
      <c r="AX217" t="s">
        <v>14049</v>
      </c>
      <c r="AY217" t="s">
        <v>14920</v>
      </c>
      <c r="AZ217">
        <v>2020</v>
      </c>
      <c r="BA217">
        <v>21</v>
      </c>
      <c r="BB217">
        <v>1</v>
      </c>
      <c r="BC217" t="s">
        <v>69</v>
      </c>
      <c r="BD217" t="s">
        <v>69</v>
      </c>
      <c r="BE217" t="s">
        <v>69</v>
      </c>
      <c r="BF217" t="s">
        <v>69</v>
      </c>
      <c r="BG217" t="s">
        <v>69</v>
      </c>
      <c r="BH217" t="s">
        <v>69</v>
      </c>
      <c r="BI217" t="s">
        <v>69</v>
      </c>
      <c r="BJ217" t="s">
        <v>14921</v>
      </c>
      <c r="BK217" t="str">
        <f>HYPERLINK("http://dx.doi.org/10.1186/s12875-020-01188-9","http://dx.doi.org/10.1186/s12875-020-01188-9")</f>
        <v>http://dx.doi.org/10.1186/s12875-020-01188-9</v>
      </c>
      <c r="BL217" t="s">
        <v>69</v>
      </c>
      <c r="BM217" t="s">
        <v>69</v>
      </c>
      <c r="BN217">
        <v>10</v>
      </c>
      <c r="BO217" t="s">
        <v>14051</v>
      </c>
      <c r="BP217" t="s">
        <v>8523</v>
      </c>
      <c r="BQ217" t="s">
        <v>9451</v>
      </c>
      <c r="BR217" t="s">
        <v>14922</v>
      </c>
      <c r="BS217" t="s">
        <v>14923</v>
      </c>
      <c r="BT217">
        <v>32576144</v>
      </c>
      <c r="BU217" t="s">
        <v>10482</v>
      </c>
      <c r="BV217" t="s">
        <v>69</v>
      </c>
      <c r="BW217" t="s">
        <v>69</v>
      </c>
      <c r="BX217" t="s">
        <v>8526</v>
      </c>
      <c r="BY217" t="str">
        <f>HYPERLINK("https%3A%2F%2Fwww.webofscience.com%2Fwos%2Fwoscc%2Ffull-record%2FWOS:000544892500002","View Full Record in Web of Science")</f>
        <v>View Full Record in Web of Science</v>
      </c>
    </row>
    <row r="218" spans="1:77" ht="12.5" x14ac:dyDescent="0.25">
      <c r="A218" t="s">
        <v>8495</v>
      </c>
      <c r="B218" s="7" t="s">
        <v>32933</v>
      </c>
      <c r="C218" s="7"/>
      <c r="D218" s="7"/>
      <c r="E218" s="7"/>
      <c r="F218" t="s">
        <v>67</v>
      </c>
      <c r="G218" t="s">
        <v>5741</v>
      </c>
      <c r="H218" t="s">
        <v>69</v>
      </c>
      <c r="I218" t="s">
        <v>69</v>
      </c>
      <c r="J218" t="s">
        <v>69</v>
      </c>
      <c r="K218" t="s">
        <v>5742</v>
      </c>
      <c r="L218" t="s">
        <v>69</v>
      </c>
      <c r="M218" t="s">
        <v>69</v>
      </c>
      <c r="N218" t="s">
        <v>5743</v>
      </c>
      <c r="O218" t="s">
        <v>2475</v>
      </c>
      <c r="P218" t="s">
        <v>69</v>
      </c>
      <c r="Q218" t="s">
        <v>69</v>
      </c>
      <c r="R218" t="s">
        <v>8505</v>
      </c>
      <c r="S218" t="s">
        <v>8506</v>
      </c>
      <c r="T218" t="s">
        <v>69</v>
      </c>
      <c r="U218" t="s">
        <v>69</v>
      </c>
      <c r="V218" t="s">
        <v>69</v>
      </c>
      <c r="W218" t="s">
        <v>69</v>
      </c>
      <c r="X218" t="s">
        <v>69</v>
      </c>
      <c r="Y218" t="s">
        <v>23252</v>
      </c>
      <c r="Z218" t="s">
        <v>23253</v>
      </c>
      <c r="AA218" t="s">
        <v>5744</v>
      </c>
      <c r="AB218" t="s">
        <v>23254</v>
      </c>
      <c r="AC218" t="s">
        <v>69</v>
      </c>
      <c r="AD218" t="s">
        <v>23255</v>
      </c>
      <c r="AE218" t="s">
        <v>23256</v>
      </c>
      <c r="AF218" t="s">
        <v>69</v>
      </c>
      <c r="AG218" t="s">
        <v>23257</v>
      </c>
      <c r="AH218" t="s">
        <v>69</v>
      </c>
      <c r="AI218" t="s">
        <v>69</v>
      </c>
      <c r="AJ218" t="s">
        <v>69</v>
      </c>
      <c r="AK218" t="s">
        <v>69</v>
      </c>
      <c r="AL218">
        <v>87</v>
      </c>
      <c r="AM218">
        <v>4</v>
      </c>
      <c r="AN218">
        <v>4</v>
      </c>
      <c r="AO218">
        <v>0</v>
      </c>
      <c r="AP218">
        <v>7</v>
      </c>
      <c r="AQ218" t="s">
        <v>8586</v>
      </c>
      <c r="AR218" t="s">
        <v>8587</v>
      </c>
      <c r="AS218" t="s">
        <v>8588</v>
      </c>
      <c r="AT218" t="s">
        <v>2479</v>
      </c>
      <c r="AU218" t="s">
        <v>69</v>
      </c>
      <c r="AV218" t="s">
        <v>69</v>
      </c>
      <c r="AW218" t="s">
        <v>9888</v>
      </c>
      <c r="AX218" t="s">
        <v>9889</v>
      </c>
      <c r="AY218" t="s">
        <v>69</v>
      </c>
      <c r="AZ218">
        <v>2015</v>
      </c>
      <c r="BA218">
        <v>13</v>
      </c>
      <c r="BB218">
        <v>4</v>
      </c>
      <c r="BC218" t="s">
        <v>69</v>
      </c>
      <c r="BD218" t="s">
        <v>69</v>
      </c>
      <c r="BE218" t="s">
        <v>69</v>
      </c>
      <c r="BF218" t="s">
        <v>69</v>
      </c>
      <c r="BG218">
        <v>612</v>
      </c>
      <c r="BH218">
        <v>631</v>
      </c>
      <c r="BI218" t="s">
        <v>69</v>
      </c>
      <c r="BJ218" t="s">
        <v>5745</v>
      </c>
      <c r="BK218" t="str">
        <f>HYPERLINK("http://dx.doi.org/10.1108/JEDT-10-2014-0067","http://dx.doi.org/10.1108/JEDT-10-2014-0067")</f>
        <v>http://dx.doi.org/10.1108/JEDT-10-2014-0067</v>
      </c>
      <c r="BL218" t="s">
        <v>69</v>
      </c>
      <c r="BM218" t="s">
        <v>69</v>
      </c>
      <c r="BN218">
        <v>20</v>
      </c>
      <c r="BO218" t="s">
        <v>9891</v>
      </c>
      <c r="BP218" t="s">
        <v>8573</v>
      </c>
      <c r="BQ218" t="s">
        <v>8445</v>
      </c>
      <c r="BR218" t="s">
        <v>23258</v>
      </c>
      <c r="BS218" t="s">
        <v>5746</v>
      </c>
      <c r="BT218" t="s">
        <v>69</v>
      </c>
      <c r="BU218" t="s">
        <v>69</v>
      </c>
      <c r="BV218" t="s">
        <v>69</v>
      </c>
      <c r="BW218" t="s">
        <v>69</v>
      </c>
      <c r="BX218" t="s">
        <v>8526</v>
      </c>
      <c r="BY218" t="str">
        <f>HYPERLINK("https%3A%2F%2Fwww.webofscience.com%2Fwos%2Fwoscc%2Ffull-record%2FWOS:000216278300007","View Full Record in Web of Science")</f>
        <v>View Full Record in Web of Science</v>
      </c>
    </row>
    <row r="219" spans="1:77" ht="12.5" x14ac:dyDescent="0.25">
      <c r="A219" t="s">
        <v>8495</v>
      </c>
      <c r="B219" s="22" t="s">
        <v>32931</v>
      </c>
      <c r="C219" s="7"/>
      <c r="D219" s="7"/>
      <c r="E219" s="7"/>
      <c r="F219" t="s">
        <v>67</v>
      </c>
      <c r="G219" t="s">
        <v>12583</v>
      </c>
      <c r="H219" t="s">
        <v>69</v>
      </c>
      <c r="I219" t="s">
        <v>69</v>
      </c>
      <c r="J219" t="s">
        <v>69</v>
      </c>
      <c r="K219" t="s">
        <v>12584</v>
      </c>
      <c r="L219" t="s">
        <v>69</v>
      </c>
      <c r="M219" t="s">
        <v>69</v>
      </c>
      <c r="N219" t="s">
        <v>12585</v>
      </c>
      <c r="O219" t="s">
        <v>2107</v>
      </c>
      <c r="P219" t="s">
        <v>69</v>
      </c>
      <c r="Q219" t="s">
        <v>69</v>
      </c>
      <c r="R219" t="s">
        <v>8505</v>
      </c>
      <c r="S219" t="s">
        <v>8506</v>
      </c>
      <c r="T219" t="s">
        <v>69</v>
      </c>
      <c r="U219" t="s">
        <v>69</v>
      </c>
      <c r="V219" t="s">
        <v>69</v>
      </c>
      <c r="W219" t="s">
        <v>69</v>
      </c>
      <c r="X219" t="s">
        <v>69</v>
      </c>
      <c r="Y219" t="s">
        <v>12586</v>
      </c>
      <c r="Z219" t="s">
        <v>69</v>
      </c>
      <c r="AA219" t="s">
        <v>12587</v>
      </c>
      <c r="AB219" t="s">
        <v>12588</v>
      </c>
      <c r="AC219" t="s">
        <v>69</v>
      </c>
      <c r="AD219" t="s">
        <v>12589</v>
      </c>
      <c r="AE219" t="s">
        <v>12590</v>
      </c>
      <c r="AF219" t="s">
        <v>69</v>
      </c>
      <c r="AG219" t="s">
        <v>12591</v>
      </c>
      <c r="AH219" t="s">
        <v>69</v>
      </c>
      <c r="AI219" t="s">
        <v>69</v>
      </c>
      <c r="AJ219" t="s">
        <v>69</v>
      </c>
      <c r="AK219" t="s">
        <v>69</v>
      </c>
      <c r="AL219">
        <v>78</v>
      </c>
      <c r="AM219">
        <v>3</v>
      </c>
      <c r="AN219">
        <v>3</v>
      </c>
      <c r="AO219">
        <v>1</v>
      </c>
      <c r="AP219">
        <v>4</v>
      </c>
      <c r="AQ219" t="s">
        <v>8924</v>
      </c>
      <c r="AR219" t="s">
        <v>8925</v>
      </c>
      <c r="AS219" t="s">
        <v>8926</v>
      </c>
      <c r="AT219" t="s">
        <v>69</v>
      </c>
      <c r="AU219" t="s">
        <v>2110</v>
      </c>
      <c r="AV219" t="s">
        <v>69</v>
      </c>
      <c r="AW219" t="s">
        <v>10592</v>
      </c>
      <c r="AX219" t="s">
        <v>10593</v>
      </c>
      <c r="AY219" t="s">
        <v>246</v>
      </c>
      <c r="AZ219">
        <v>2021</v>
      </c>
      <c r="BA219">
        <v>18</v>
      </c>
      <c r="BB219">
        <v>7</v>
      </c>
      <c r="BC219" t="s">
        <v>69</v>
      </c>
      <c r="BD219" t="s">
        <v>69</v>
      </c>
      <c r="BE219" t="s">
        <v>69</v>
      </c>
      <c r="BF219" t="s">
        <v>69</v>
      </c>
      <c r="BG219" t="s">
        <v>69</v>
      </c>
      <c r="BH219" t="s">
        <v>69</v>
      </c>
      <c r="BI219">
        <v>3553</v>
      </c>
      <c r="BJ219" t="s">
        <v>12592</v>
      </c>
      <c r="BK219" t="str">
        <f>HYPERLINK("http://dx.doi.org/10.3390/ijerph18073553","http://dx.doi.org/10.3390/ijerph18073553")</f>
        <v>http://dx.doi.org/10.3390/ijerph18073553</v>
      </c>
      <c r="BL219" t="s">
        <v>69</v>
      </c>
      <c r="BM219" t="s">
        <v>69</v>
      </c>
      <c r="BN219">
        <v>18</v>
      </c>
      <c r="BO219" t="s">
        <v>10595</v>
      </c>
      <c r="BP219" t="s">
        <v>8523</v>
      </c>
      <c r="BQ219" t="s">
        <v>10596</v>
      </c>
      <c r="BR219" t="s">
        <v>12593</v>
      </c>
      <c r="BS219" t="s">
        <v>12594</v>
      </c>
      <c r="BT219">
        <v>33805581</v>
      </c>
      <c r="BU219" t="s">
        <v>9352</v>
      </c>
      <c r="BV219" t="s">
        <v>69</v>
      </c>
      <c r="BW219" t="s">
        <v>69</v>
      </c>
      <c r="BX219" t="s">
        <v>8526</v>
      </c>
      <c r="BY219" t="str">
        <f>HYPERLINK("https%3A%2F%2Fwww.webofscience.com%2Fwos%2Fwoscc%2Ffull-record%2FWOS:000638519200001","View Full Record in Web of Science")</f>
        <v>View Full Record in Web of Science</v>
      </c>
    </row>
    <row r="220" spans="1:77" ht="12.5" x14ac:dyDescent="0.25">
      <c r="A220" t="s">
        <v>8495</v>
      </c>
      <c r="B220" s="7" t="s">
        <v>32933</v>
      </c>
      <c r="C220" s="7"/>
      <c r="D220" s="7"/>
      <c r="E220" s="7"/>
      <c r="F220" t="s">
        <v>67</v>
      </c>
      <c r="G220" t="s">
        <v>1891</v>
      </c>
      <c r="H220" t="s">
        <v>69</v>
      </c>
      <c r="I220" t="s">
        <v>69</v>
      </c>
      <c r="J220" t="s">
        <v>69</v>
      </c>
      <c r="K220" t="s">
        <v>1892</v>
      </c>
      <c r="L220" t="s">
        <v>69</v>
      </c>
      <c r="M220" t="s">
        <v>69</v>
      </c>
      <c r="N220" t="s">
        <v>1893</v>
      </c>
      <c r="O220" t="s">
        <v>1894</v>
      </c>
      <c r="P220" t="s">
        <v>69</v>
      </c>
      <c r="Q220" t="s">
        <v>69</v>
      </c>
      <c r="R220" t="s">
        <v>8505</v>
      </c>
      <c r="S220" t="s">
        <v>8506</v>
      </c>
      <c r="T220" t="s">
        <v>69</v>
      </c>
      <c r="U220" t="s">
        <v>69</v>
      </c>
      <c r="V220" t="s">
        <v>69</v>
      </c>
      <c r="W220" t="s">
        <v>69</v>
      </c>
      <c r="X220" t="s">
        <v>69</v>
      </c>
      <c r="Y220" t="s">
        <v>14435</v>
      </c>
      <c r="Z220" t="s">
        <v>14436</v>
      </c>
      <c r="AA220" t="s">
        <v>1895</v>
      </c>
      <c r="AB220" t="s">
        <v>14437</v>
      </c>
      <c r="AC220" t="s">
        <v>69</v>
      </c>
      <c r="AD220" t="s">
        <v>14438</v>
      </c>
      <c r="AE220" t="s">
        <v>14439</v>
      </c>
      <c r="AF220" t="s">
        <v>69</v>
      </c>
      <c r="AG220" t="s">
        <v>14440</v>
      </c>
      <c r="AH220" t="s">
        <v>69</v>
      </c>
      <c r="AI220" t="s">
        <v>69</v>
      </c>
      <c r="AJ220" t="s">
        <v>69</v>
      </c>
      <c r="AK220" t="s">
        <v>69</v>
      </c>
      <c r="AL220">
        <v>35</v>
      </c>
      <c r="AM220">
        <v>0</v>
      </c>
      <c r="AN220">
        <v>0</v>
      </c>
      <c r="AO220">
        <v>2</v>
      </c>
      <c r="AP220">
        <v>2</v>
      </c>
      <c r="AQ220" t="s">
        <v>8692</v>
      </c>
      <c r="AR220" t="s">
        <v>8693</v>
      </c>
      <c r="AS220" t="s">
        <v>8694</v>
      </c>
      <c r="AT220" t="s">
        <v>1896</v>
      </c>
      <c r="AU220" t="s">
        <v>69</v>
      </c>
      <c r="AV220" t="s">
        <v>69</v>
      </c>
      <c r="AW220" t="s">
        <v>14441</v>
      </c>
      <c r="AX220" t="s">
        <v>14442</v>
      </c>
      <c r="AY220" t="s">
        <v>255</v>
      </c>
      <c r="AZ220">
        <v>2020</v>
      </c>
      <c r="BA220">
        <v>51</v>
      </c>
      <c r="BB220">
        <v>3</v>
      </c>
      <c r="BC220" t="s">
        <v>69</v>
      </c>
      <c r="BD220" t="s">
        <v>69</v>
      </c>
      <c r="BE220" t="s">
        <v>69</v>
      </c>
      <c r="BF220" t="s">
        <v>69</v>
      </c>
      <c r="BG220">
        <v>425</v>
      </c>
      <c r="BH220">
        <v>435</v>
      </c>
      <c r="BI220" t="s">
        <v>69</v>
      </c>
      <c r="BJ220" t="s">
        <v>1897</v>
      </c>
      <c r="BK220" t="str">
        <f>HYPERLINK("http://dx.doi.org/10.1016/j.jmir.2020.05.002","http://dx.doi.org/10.1016/j.jmir.2020.05.002")</f>
        <v>http://dx.doi.org/10.1016/j.jmir.2020.05.002</v>
      </c>
      <c r="BL220" t="s">
        <v>69</v>
      </c>
      <c r="BM220" t="s">
        <v>69</v>
      </c>
      <c r="BN220">
        <v>11</v>
      </c>
      <c r="BO220" t="s">
        <v>14443</v>
      </c>
      <c r="BP220" t="s">
        <v>8573</v>
      </c>
      <c r="BQ220" t="s">
        <v>14443</v>
      </c>
      <c r="BR220" t="s">
        <v>14444</v>
      </c>
      <c r="BS220" t="s">
        <v>1898</v>
      </c>
      <c r="BT220">
        <v>32536512</v>
      </c>
      <c r="BU220" t="s">
        <v>69</v>
      </c>
      <c r="BV220" t="s">
        <v>69</v>
      </c>
      <c r="BW220" t="s">
        <v>69</v>
      </c>
      <c r="BX220" t="s">
        <v>8526</v>
      </c>
      <c r="BY220" t="str">
        <f>HYPERLINK("https%3A%2F%2Fwww.webofscience.com%2Fwos%2Fwoscc%2Ffull-record%2FWOS:000576693700002","View Full Record in Web of Science")</f>
        <v>View Full Record in Web of Science</v>
      </c>
    </row>
    <row r="221" spans="1:77" ht="12.5" x14ac:dyDescent="0.25">
      <c r="A221" t="s">
        <v>8495</v>
      </c>
      <c r="B221" s="22" t="s">
        <v>32931</v>
      </c>
      <c r="C221" s="7"/>
      <c r="D221" s="7"/>
      <c r="E221" s="7"/>
      <c r="F221" t="s">
        <v>67</v>
      </c>
      <c r="G221" t="s">
        <v>15652</v>
      </c>
      <c r="H221" t="s">
        <v>69</v>
      </c>
      <c r="I221" t="s">
        <v>69</v>
      </c>
      <c r="J221" t="s">
        <v>69</v>
      </c>
      <c r="K221" t="s">
        <v>15653</v>
      </c>
      <c r="L221" t="s">
        <v>69</v>
      </c>
      <c r="M221" t="s">
        <v>69</v>
      </c>
      <c r="N221" t="s">
        <v>15654</v>
      </c>
      <c r="O221" t="s">
        <v>15655</v>
      </c>
      <c r="P221" t="s">
        <v>69</v>
      </c>
      <c r="Q221" t="s">
        <v>69</v>
      </c>
      <c r="R221" t="s">
        <v>8505</v>
      </c>
      <c r="S221" t="s">
        <v>8506</v>
      </c>
      <c r="T221" t="s">
        <v>69</v>
      </c>
      <c r="U221" t="s">
        <v>69</v>
      </c>
      <c r="V221" t="s">
        <v>69</v>
      </c>
      <c r="W221" t="s">
        <v>69</v>
      </c>
      <c r="X221" t="s">
        <v>69</v>
      </c>
      <c r="Y221" t="s">
        <v>15656</v>
      </c>
      <c r="Z221" t="s">
        <v>69</v>
      </c>
      <c r="AA221" t="s">
        <v>15657</v>
      </c>
      <c r="AB221" t="s">
        <v>15658</v>
      </c>
      <c r="AC221" t="s">
        <v>69</v>
      </c>
      <c r="AD221" t="s">
        <v>15659</v>
      </c>
      <c r="AE221" t="s">
        <v>15660</v>
      </c>
      <c r="AF221" t="s">
        <v>69</v>
      </c>
      <c r="AG221" t="s">
        <v>15661</v>
      </c>
      <c r="AH221" t="s">
        <v>15662</v>
      </c>
      <c r="AI221" t="s">
        <v>15662</v>
      </c>
      <c r="AJ221" t="s">
        <v>15663</v>
      </c>
      <c r="AK221" t="s">
        <v>69</v>
      </c>
      <c r="AL221">
        <v>61</v>
      </c>
      <c r="AM221">
        <v>6</v>
      </c>
      <c r="AN221">
        <v>6</v>
      </c>
      <c r="AO221">
        <v>0</v>
      </c>
      <c r="AP221">
        <v>0</v>
      </c>
      <c r="AQ221" t="s">
        <v>9554</v>
      </c>
      <c r="AR221" t="s">
        <v>9555</v>
      </c>
      <c r="AS221" t="s">
        <v>9556</v>
      </c>
      <c r="AT221" t="s">
        <v>15664</v>
      </c>
      <c r="AU221" t="s">
        <v>15665</v>
      </c>
      <c r="AV221" t="s">
        <v>69</v>
      </c>
      <c r="AW221" t="s">
        <v>15666</v>
      </c>
      <c r="AX221" t="s">
        <v>15667</v>
      </c>
      <c r="AY221" t="s">
        <v>94</v>
      </c>
      <c r="AZ221">
        <v>2020</v>
      </c>
      <c r="BA221">
        <v>3</v>
      </c>
      <c r="BB221">
        <v>1</v>
      </c>
      <c r="BC221" t="s">
        <v>69</v>
      </c>
      <c r="BD221" t="s">
        <v>69</v>
      </c>
      <c r="BE221" t="s">
        <v>114</v>
      </c>
      <c r="BF221" t="s">
        <v>69</v>
      </c>
      <c r="BG221">
        <v>3</v>
      </c>
      <c r="BH221">
        <v>19</v>
      </c>
      <c r="BI221" t="s">
        <v>69</v>
      </c>
      <c r="BJ221" t="s">
        <v>15668</v>
      </c>
      <c r="BK221" t="str">
        <f>HYPERLINK("http://dx.doi.org/10.1177/2514848619898092","http://dx.doi.org/10.1177/2514848619898092")</f>
        <v>http://dx.doi.org/10.1177/2514848619898092</v>
      </c>
      <c r="BL221" t="s">
        <v>69</v>
      </c>
      <c r="BM221" t="s">
        <v>69</v>
      </c>
      <c r="BN221">
        <v>17</v>
      </c>
      <c r="BO221" t="s">
        <v>15669</v>
      </c>
      <c r="BP221" t="s">
        <v>8661</v>
      </c>
      <c r="BQ221" t="s">
        <v>15670</v>
      </c>
      <c r="BR221" t="s">
        <v>15671</v>
      </c>
      <c r="BS221" t="s">
        <v>15672</v>
      </c>
      <c r="BT221" t="s">
        <v>69</v>
      </c>
      <c r="BU221" t="s">
        <v>69</v>
      </c>
      <c r="BV221" t="s">
        <v>69</v>
      </c>
      <c r="BW221" t="s">
        <v>69</v>
      </c>
      <c r="BX221" t="s">
        <v>8526</v>
      </c>
      <c r="BY221" t="str">
        <f>HYPERLINK("https%3A%2F%2Fwww.webofscience.com%2Fwos%2Fwoscc%2Ffull-record%2FWOS:000755970100001","View Full Record in Web of Science")</f>
        <v>View Full Record in Web of Science</v>
      </c>
    </row>
    <row r="222" spans="1:77" ht="12.5" x14ac:dyDescent="0.25">
      <c r="A222" t="s">
        <v>8495</v>
      </c>
      <c r="B222" s="22" t="s">
        <v>32931</v>
      </c>
      <c r="C222" s="7"/>
      <c r="D222" s="7"/>
      <c r="E222" s="7"/>
      <c r="F222" t="s">
        <v>67</v>
      </c>
      <c r="G222" t="s">
        <v>28026</v>
      </c>
      <c r="H222" t="s">
        <v>69</v>
      </c>
      <c r="I222" t="s">
        <v>69</v>
      </c>
      <c r="J222" t="s">
        <v>69</v>
      </c>
      <c r="K222" t="s">
        <v>28027</v>
      </c>
      <c r="L222" t="s">
        <v>69</v>
      </c>
      <c r="M222" t="s">
        <v>69</v>
      </c>
      <c r="N222" t="s">
        <v>28028</v>
      </c>
      <c r="O222" t="s">
        <v>28029</v>
      </c>
      <c r="P222" t="s">
        <v>69</v>
      </c>
      <c r="Q222" t="s">
        <v>69</v>
      </c>
      <c r="R222" t="s">
        <v>8505</v>
      </c>
      <c r="S222" t="s">
        <v>8506</v>
      </c>
      <c r="T222" t="s">
        <v>69</v>
      </c>
      <c r="U222" t="s">
        <v>69</v>
      </c>
      <c r="V222" t="s">
        <v>69</v>
      </c>
      <c r="W222" t="s">
        <v>69</v>
      </c>
      <c r="X222" t="s">
        <v>69</v>
      </c>
      <c r="Y222" t="s">
        <v>28030</v>
      </c>
      <c r="Z222" t="s">
        <v>69</v>
      </c>
      <c r="AA222" t="s">
        <v>28031</v>
      </c>
      <c r="AB222" t="s">
        <v>28032</v>
      </c>
      <c r="AC222" t="s">
        <v>69</v>
      </c>
      <c r="AD222" t="s">
        <v>28033</v>
      </c>
      <c r="AE222" t="s">
        <v>28034</v>
      </c>
      <c r="AF222" t="s">
        <v>69</v>
      </c>
      <c r="AG222" t="s">
        <v>69</v>
      </c>
      <c r="AH222" t="s">
        <v>69</v>
      </c>
      <c r="AI222" t="s">
        <v>69</v>
      </c>
      <c r="AJ222" t="s">
        <v>69</v>
      </c>
      <c r="AK222" t="s">
        <v>69</v>
      </c>
      <c r="AL222">
        <v>4</v>
      </c>
      <c r="AM222">
        <v>0</v>
      </c>
      <c r="AN222">
        <v>0</v>
      </c>
      <c r="AO222">
        <v>0</v>
      </c>
      <c r="AP222">
        <v>1</v>
      </c>
      <c r="AQ222" t="s">
        <v>28035</v>
      </c>
      <c r="AR222" t="s">
        <v>28036</v>
      </c>
      <c r="AS222" t="s">
        <v>28037</v>
      </c>
      <c r="AT222" t="s">
        <v>28038</v>
      </c>
      <c r="AU222" t="s">
        <v>28039</v>
      </c>
      <c r="AV222" t="s">
        <v>69</v>
      </c>
      <c r="AW222" t="s">
        <v>28040</v>
      </c>
      <c r="AX222" t="s">
        <v>28041</v>
      </c>
      <c r="AY222" t="s">
        <v>69</v>
      </c>
      <c r="AZ222">
        <v>2010</v>
      </c>
      <c r="BA222">
        <v>19</v>
      </c>
      <c r="BB222" t="s">
        <v>28042</v>
      </c>
      <c r="BC222" t="s">
        <v>69</v>
      </c>
      <c r="BD222" t="s">
        <v>69</v>
      </c>
      <c r="BE222" t="s">
        <v>114</v>
      </c>
      <c r="BF222" t="s">
        <v>69</v>
      </c>
      <c r="BG222">
        <v>2385</v>
      </c>
      <c r="BH222">
        <v>2388</v>
      </c>
      <c r="BI222" t="s">
        <v>69</v>
      </c>
      <c r="BJ222" t="s">
        <v>69</v>
      </c>
      <c r="BK222" t="s">
        <v>69</v>
      </c>
      <c r="BL222" t="s">
        <v>69</v>
      </c>
      <c r="BM222" t="s">
        <v>69</v>
      </c>
      <c r="BN222">
        <v>4</v>
      </c>
      <c r="BO222" t="s">
        <v>8717</v>
      </c>
      <c r="BP222" t="s">
        <v>8548</v>
      </c>
      <c r="BQ222" t="s">
        <v>8662</v>
      </c>
      <c r="BR222" t="s">
        <v>28043</v>
      </c>
      <c r="BS222" t="s">
        <v>28044</v>
      </c>
      <c r="BT222" t="s">
        <v>69</v>
      </c>
      <c r="BU222" t="s">
        <v>69</v>
      </c>
      <c r="BV222" t="s">
        <v>69</v>
      </c>
      <c r="BW222" t="s">
        <v>69</v>
      </c>
      <c r="BX222" t="s">
        <v>8526</v>
      </c>
      <c r="BY222" t="str">
        <f>HYPERLINK("https%3A%2F%2Fwww.webofscience.com%2Fwos%2Fwoscc%2Ffull-record%2FWOS:000285178700013","View Full Record in Web of Science")</f>
        <v>View Full Record in Web of Science</v>
      </c>
    </row>
    <row r="223" spans="1:77" ht="12.5" x14ac:dyDescent="0.25">
      <c r="A223" t="s">
        <v>8495</v>
      </c>
      <c r="B223" s="7" t="s">
        <v>32933</v>
      </c>
      <c r="C223" s="7"/>
      <c r="D223" s="7"/>
      <c r="E223" s="7"/>
      <c r="F223" t="s">
        <v>67</v>
      </c>
      <c r="G223" t="s">
        <v>1919</v>
      </c>
      <c r="H223" t="s">
        <v>69</v>
      </c>
      <c r="I223" t="s">
        <v>69</v>
      </c>
      <c r="J223" t="s">
        <v>69</v>
      </c>
      <c r="K223" t="s">
        <v>1920</v>
      </c>
      <c r="L223" t="s">
        <v>69</v>
      </c>
      <c r="M223" t="s">
        <v>69</v>
      </c>
      <c r="N223" t="s">
        <v>1921</v>
      </c>
      <c r="O223" t="s">
        <v>1690</v>
      </c>
      <c r="P223" t="s">
        <v>69</v>
      </c>
      <c r="Q223" t="s">
        <v>69</v>
      </c>
      <c r="R223" t="s">
        <v>8505</v>
      </c>
      <c r="S223" t="s">
        <v>8506</v>
      </c>
      <c r="T223" t="s">
        <v>69</v>
      </c>
      <c r="U223" t="s">
        <v>69</v>
      </c>
      <c r="V223" t="s">
        <v>69</v>
      </c>
      <c r="W223" t="s">
        <v>69</v>
      </c>
      <c r="X223" t="s">
        <v>69</v>
      </c>
      <c r="Y223" t="s">
        <v>14590</v>
      </c>
      <c r="Z223" t="s">
        <v>69</v>
      </c>
      <c r="AA223" t="s">
        <v>1922</v>
      </c>
      <c r="AB223" t="s">
        <v>14591</v>
      </c>
      <c r="AC223" t="s">
        <v>69</v>
      </c>
      <c r="AD223" t="s">
        <v>14592</v>
      </c>
      <c r="AE223" t="s">
        <v>14593</v>
      </c>
      <c r="AF223" t="s">
        <v>1923</v>
      </c>
      <c r="AG223" t="s">
        <v>14594</v>
      </c>
      <c r="AH223" t="s">
        <v>14595</v>
      </c>
      <c r="AI223" t="s">
        <v>14596</v>
      </c>
      <c r="AJ223" t="s">
        <v>14597</v>
      </c>
      <c r="AK223" t="s">
        <v>69</v>
      </c>
      <c r="AL223">
        <v>19</v>
      </c>
      <c r="AM223">
        <v>3</v>
      </c>
      <c r="AN223">
        <v>3</v>
      </c>
      <c r="AO223">
        <v>2</v>
      </c>
      <c r="AP223">
        <v>8</v>
      </c>
      <c r="AQ223" t="s">
        <v>8762</v>
      </c>
      <c r="AR223" t="s">
        <v>8763</v>
      </c>
      <c r="AS223" t="s">
        <v>8764</v>
      </c>
      <c r="AT223" t="s">
        <v>1692</v>
      </c>
      <c r="AU223" t="s">
        <v>1924</v>
      </c>
      <c r="AV223" t="s">
        <v>69</v>
      </c>
      <c r="AW223" t="s">
        <v>14598</v>
      </c>
      <c r="AX223" t="s">
        <v>14599</v>
      </c>
      <c r="AY223" t="s">
        <v>274</v>
      </c>
      <c r="AZ223">
        <v>2020</v>
      </c>
      <c r="BA223">
        <v>54</v>
      </c>
      <c r="BB223">
        <v>11</v>
      </c>
      <c r="BC223" t="s">
        <v>69</v>
      </c>
      <c r="BD223" t="s">
        <v>69</v>
      </c>
      <c r="BE223" t="s">
        <v>69</v>
      </c>
      <c r="BF223" t="s">
        <v>69</v>
      </c>
      <c r="BG223">
        <v>1061</v>
      </c>
      <c r="BH223">
        <v>1066</v>
      </c>
      <c r="BI223">
        <v>4867420946840</v>
      </c>
      <c r="BJ223" t="s">
        <v>1925</v>
      </c>
      <c r="BK223" t="str">
        <f>HYPERLINK("http://dx.doi.org/10.1177/0004867420946840","http://dx.doi.org/10.1177/0004867420946840")</f>
        <v>http://dx.doi.org/10.1177/0004867420946840</v>
      </c>
      <c r="BL223" t="s">
        <v>69</v>
      </c>
      <c r="BM223" t="s">
        <v>1917</v>
      </c>
      <c r="BN223">
        <v>6</v>
      </c>
      <c r="BO223" t="s">
        <v>9332</v>
      </c>
      <c r="BP223" t="s">
        <v>8523</v>
      </c>
      <c r="BQ223" t="s">
        <v>9332</v>
      </c>
      <c r="BR223" t="s">
        <v>14600</v>
      </c>
      <c r="BS223" t="s">
        <v>1926</v>
      </c>
      <c r="BT223">
        <v>32794411</v>
      </c>
      <c r="BU223" t="s">
        <v>69</v>
      </c>
      <c r="BV223" t="s">
        <v>69</v>
      </c>
      <c r="BW223" t="s">
        <v>69</v>
      </c>
      <c r="BX223" t="s">
        <v>8526</v>
      </c>
      <c r="BY223" t="str">
        <f>HYPERLINK("https%3A%2F%2Fwww.webofscience.com%2Fwos%2Fwoscc%2Ffull-record%2FWOS:000560194700001","View Full Record in Web of Science")</f>
        <v>View Full Record in Web of Science</v>
      </c>
    </row>
    <row r="224" spans="1:77" ht="12.5" x14ac:dyDescent="0.25">
      <c r="A224" t="s">
        <v>8495</v>
      </c>
      <c r="B224" s="22" t="s">
        <v>32931</v>
      </c>
      <c r="C224" s="7"/>
      <c r="D224" s="7"/>
      <c r="E224" s="7"/>
      <c r="F224" t="s">
        <v>67</v>
      </c>
      <c r="G224" t="s">
        <v>12875</v>
      </c>
      <c r="H224" t="s">
        <v>69</v>
      </c>
      <c r="I224" t="s">
        <v>69</v>
      </c>
      <c r="J224" t="s">
        <v>69</v>
      </c>
      <c r="K224" t="s">
        <v>12876</v>
      </c>
      <c r="L224" t="s">
        <v>69</v>
      </c>
      <c r="M224" t="s">
        <v>69</v>
      </c>
      <c r="N224" t="s">
        <v>12877</v>
      </c>
      <c r="O224" t="s">
        <v>12878</v>
      </c>
      <c r="P224" t="s">
        <v>69</v>
      </c>
      <c r="Q224" t="s">
        <v>69</v>
      </c>
      <c r="R224" t="s">
        <v>8505</v>
      </c>
      <c r="S224" t="s">
        <v>8506</v>
      </c>
      <c r="T224" t="s">
        <v>69</v>
      </c>
      <c r="U224" t="s">
        <v>69</v>
      </c>
      <c r="V224" t="s">
        <v>69</v>
      </c>
      <c r="W224" t="s">
        <v>69</v>
      </c>
      <c r="X224" t="s">
        <v>69</v>
      </c>
      <c r="Y224" t="s">
        <v>12879</v>
      </c>
      <c r="Z224" t="s">
        <v>12880</v>
      </c>
      <c r="AA224" t="s">
        <v>12881</v>
      </c>
      <c r="AB224" t="s">
        <v>12882</v>
      </c>
      <c r="AC224" t="s">
        <v>69</v>
      </c>
      <c r="AD224" t="s">
        <v>12883</v>
      </c>
      <c r="AE224" t="s">
        <v>12884</v>
      </c>
      <c r="AF224" t="s">
        <v>69</v>
      </c>
      <c r="AG224" t="s">
        <v>12885</v>
      </c>
      <c r="AH224" t="s">
        <v>69</v>
      </c>
      <c r="AI224" t="s">
        <v>69</v>
      </c>
      <c r="AJ224" t="s">
        <v>69</v>
      </c>
      <c r="AK224" t="s">
        <v>69</v>
      </c>
      <c r="AL224">
        <v>54</v>
      </c>
      <c r="AM224">
        <v>2</v>
      </c>
      <c r="AN224">
        <v>2</v>
      </c>
      <c r="AO224">
        <v>0</v>
      </c>
      <c r="AP224">
        <v>1</v>
      </c>
      <c r="AQ224" t="s">
        <v>12886</v>
      </c>
      <c r="AR224" t="s">
        <v>8735</v>
      </c>
      <c r="AS224" t="s">
        <v>12887</v>
      </c>
      <c r="AT224" t="s">
        <v>12888</v>
      </c>
      <c r="AU224" t="s">
        <v>12889</v>
      </c>
      <c r="AV224" t="s">
        <v>69</v>
      </c>
      <c r="AW224" t="s">
        <v>12890</v>
      </c>
      <c r="AX224" t="s">
        <v>12891</v>
      </c>
      <c r="AY224" t="s">
        <v>94</v>
      </c>
      <c r="AZ224">
        <v>2021</v>
      </c>
      <c r="BA224">
        <v>7</v>
      </c>
      <c r="BB224">
        <v>1</v>
      </c>
      <c r="BC224" t="s">
        <v>69</v>
      </c>
      <c r="BD224" t="s">
        <v>69</v>
      </c>
      <c r="BE224" t="s">
        <v>69</v>
      </c>
      <c r="BF224" t="s">
        <v>69</v>
      </c>
      <c r="BG224">
        <v>46</v>
      </c>
      <c r="BH224">
        <v>54</v>
      </c>
      <c r="BI224" t="s">
        <v>69</v>
      </c>
      <c r="BJ224" t="s">
        <v>12892</v>
      </c>
      <c r="BK224" t="str">
        <f>HYPERLINK("http://dx.doi.org/10.1037/tps0000243","http://dx.doi.org/10.1037/tps0000243")</f>
        <v>http://dx.doi.org/10.1037/tps0000243</v>
      </c>
      <c r="BL224" t="s">
        <v>69</v>
      </c>
      <c r="BM224" t="s">
        <v>69</v>
      </c>
      <c r="BN224">
        <v>9</v>
      </c>
      <c r="BO224" t="s">
        <v>12893</v>
      </c>
      <c r="BP224" t="s">
        <v>8573</v>
      </c>
      <c r="BQ224" t="s">
        <v>9001</v>
      </c>
      <c r="BR224" t="s">
        <v>12894</v>
      </c>
      <c r="BS224" t="s">
        <v>12895</v>
      </c>
      <c r="BT224" t="s">
        <v>69</v>
      </c>
      <c r="BU224" t="s">
        <v>69</v>
      </c>
      <c r="BV224" t="s">
        <v>69</v>
      </c>
      <c r="BW224" t="s">
        <v>69</v>
      </c>
      <c r="BX224" t="s">
        <v>8526</v>
      </c>
      <c r="BY224" t="str">
        <f>HYPERLINK("https%3A%2F%2Fwww.webofscience.com%2Fwos%2Fwoscc%2Ffull-record%2FWOS:000657302900005","View Full Record in Web of Science")</f>
        <v>View Full Record in Web of Science</v>
      </c>
    </row>
    <row r="225" spans="1:77" ht="12.5" x14ac:dyDescent="0.25">
      <c r="A225" t="s">
        <v>8495</v>
      </c>
      <c r="B225" s="7" t="s">
        <v>32933</v>
      </c>
      <c r="C225" s="7"/>
      <c r="D225" s="7"/>
      <c r="E225" s="7"/>
      <c r="F225" t="s">
        <v>67</v>
      </c>
      <c r="G225" t="s">
        <v>1854</v>
      </c>
      <c r="H225" t="s">
        <v>69</v>
      </c>
      <c r="I225" t="s">
        <v>69</v>
      </c>
      <c r="J225" t="s">
        <v>69</v>
      </c>
      <c r="K225" t="s">
        <v>1855</v>
      </c>
      <c r="L225" t="s">
        <v>69</v>
      </c>
      <c r="M225" t="s">
        <v>69</v>
      </c>
      <c r="N225" t="s">
        <v>1856</v>
      </c>
      <c r="O225" t="s">
        <v>1857</v>
      </c>
      <c r="P225" t="s">
        <v>69</v>
      </c>
      <c r="Q225" t="s">
        <v>69</v>
      </c>
      <c r="R225" t="s">
        <v>8505</v>
      </c>
      <c r="S225" t="s">
        <v>8506</v>
      </c>
      <c r="T225" t="s">
        <v>69</v>
      </c>
      <c r="U225" t="s">
        <v>69</v>
      </c>
      <c r="V225" t="s">
        <v>69</v>
      </c>
      <c r="W225" t="s">
        <v>69</v>
      </c>
      <c r="X225" t="s">
        <v>69</v>
      </c>
      <c r="Y225" t="s">
        <v>13936</v>
      </c>
      <c r="Z225" t="s">
        <v>13937</v>
      </c>
      <c r="AA225" t="s">
        <v>1858</v>
      </c>
      <c r="AB225" t="s">
        <v>13938</v>
      </c>
      <c r="AC225" t="s">
        <v>69</v>
      </c>
      <c r="AD225" t="s">
        <v>13939</v>
      </c>
      <c r="AE225" t="s">
        <v>13940</v>
      </c>
      <c r="AF225" t="s">
        <v>69</v>
      </c>
      <c r="AG225" t="s">
        <v>69</v>
      </c>
      <c r="AH225" t="s">
        <v>69</v>
      </c>
      <c r="AI225" t="s">
        <v>69</v>
      </c>
      <c r="AJ225" t="s">
        <v>69</v>
      </c>
      <c r="AK225" t="s">
        <v>69</v>
      </c>
      <c r="AL225">
        <v>124</v>
      </c>
      <c r="AM225">
        <v>4</v>
      </c>
      <c r="AN225">
        <v>4</v>
      </c>
      <c r="AO225">
        <v>3</v>
      </c>
      <c r="AP225">
        <v>13</v>
      </c>
      <c r="AQ225" t="s">
        <v>8586</v>
      </c>
      <c r="AR225" t="s">
        <v>8587</v>
      </c>
      <c r="AS225" t="s">
        <v>8588</v>
      </c>
      <c r="AT225" t="s">
        <v>1859</v>
      </c>
      <c r="AU225" t="s">
        <v>69</v>
      </c>
      <c r="AV225" t="s">
        <v>69</v>
      </c>
      <c r="AW225" t="s">
        <v>13941</v>
      </c>
      <c r="AX225" t="s">
        <v>13942</v>
      </c>
      <c r="AY225" t="s">
        <v>13943</v>
      </c>
      <c r="AZ225">
        <v>2021</v>
      </c>
      <c r="BA225">
        <v>14</v>
      </c>
      <c r="BB225">
        <v>1</v>
      </c>
      <c r="BC225" t="s">
        <v>69</v>
      </c>
      <c r="BD225" t="s">
        <v>69</v>
      </c>
      <c r="BE225" t="s">
        <v>114</v>
      </c>
      <c r="BF225" t="s">
        <v>69</v>
      </c>
      <c r="BG225">
        <v>170</v>
      </c>
      <c r="BH225">
        <v>201</v>
      </c>
      <c r="BI225" t="s">
        <v>69</v>
      </c>
      <c r="BJ225" t="s">
        <v>1860</v>
      </c>
      <c r="BK225" t="str">
        <f>HYPERLINK("http://dx.doi.org/10.1108/JGOSS-08-2020-0050","http://dx.doi.org/10.1108/JGOSS-08-2020-0050")</f>
        <v>http://dx.doi.org/10.1108/JGOSS-08-2020-0050</v>
      </c>
      <c r="BL225" t="s">
        <v>69</v>
      </c>
      <c r="BM225" t="s">
        <v>1852</v>
      </c>
      <c r="BN225">
        <v>32</v>
      </c>
      <c r="BO225" t="s">
        <v>9410</v>
      </c>
      <c r="BP225" t="s">
        <v>8573</v>
      </c>
      <c r="BQ225" t="s">
        <v>8594</v>
      </c>
      <c r="BR225" t="s">
        <v>13944</v>
      </c>
      <c r="BS225" t="s">
        <v>1861</v>
      </c>
      <c r="BT225" t="s">
        <v>69</v>
      </c>
      <c r="BU225" t="s">
        <v>69</v>
      </c>
      <c r="BV225" t="s">
        <v>69</v>
      </c>
      <c r="BW225" t="s">
        <v>69</v>
      </c>
      <c r="BX225" t="s">
        <v>8526</v>
      </c>
      <c r="BY225" t="str">
        <f>HYPERLINK("https%3A%2F%2Fwww.webofscience.com%2Fwos%2Fwoscc%2Ffull-record%2FWOS:000597867800001","View Full Record in Web of Science")</f>
        <v>View Full Record in Web of Science</v>
      </c>
    </row>
    <row r="226" spans="1:77" ht="12.5" x14ac:dyDescent="0.25">
      <c r="A226" t="s">
        <v>8495</v>
      </c>
      <c r="B226" s="7" t="s">
        <v>32933</v>
      </c>
      <c r="C226" s="7"/>
      <c r="D226" s="7"/>
      <c r="E226" s="7"/>
      <c r="F226" t="s">
        <v>67</v>
      </c>
      <c r="G226" t="s">
        <v>2035</v>
      </c>
      <c r="H226" t="s">
        <v>69</v>
      </c>
      <c r="I226" t="s">
        <v>69</v>
      </c>
      <c r="J226" t="s">
        <v>69</v>
      </c>
      <c r="K226" t="s">
        <v>2036</v>
      </c>
      <c r="L226" t="s">
        <v>69</v>
      </c>
      <c r="M226" t="s">
        <v>69</v>
      </c>
      <c r="N226" t="s">
        <v>2037</v>
      </c>
      <c r="O226" t="s">
        <v>632</v>
      </c>
      <c r="P226" t="s">
        <v>69</v>
      </c>
      <c r="Q226" t="s">
        <v>69</v>
      </c>
      <c r="R226" t="s">
        <v>8505</v>
      </c>
      <c r="S226" t="s">
        <v>8506</v>
      </c>
      <c r="T226" t="s">
        <v>69</v>
      </c>
      <c r="U226" t="s">
        <v>69</v>
      </c>
      <c r="V226" t="s">
        <v>69</v>
      </c>
      <c r="W226" t="s">
        <v>69</v>
      </c>
      <c r="X226" t="s">
        <v>69</v>
      </c>
      <c r="Y226" t="s">
        <v>16319</v>
      </c>
      <c r="Z226" t="s">
        <v>16320</v>
      </c>
      <c r="AA226" t="s">
        <v>2038</v>
      </c>
      <c r="AB226" t="s">
        <v>16321</v>
      </c>
      <c r="AC226" t="s">
        <v>69</v>
      </c>
      <c r="AD226" t="s">
        <v>16322</v>
      </c>
      <c r="AE226" t="s">
        <v>16323</v>
      </c>
      <c r="AF226" t="s">
        <v>69</v>
      </c>
      <c r="AG226" t="s">
        <v>69</v>
      </c>
      <c r="AH226" t="s">
        <v>16324</v>
      </c>
      <c r="AI226" t="s">
        <v>16325</v>
      </c>
      <c r="AJ226" t="s">
        <v>16326</v>
      </c>
      <c r="AK226" t="s">
        <v>69</v>
      </c>
      <c r="AL226">
        <v>63</v>
      </c>
      <c r="AM226">
        <v>2</v>
      </c>
      <c r="AN226">
        <v>2</v>
      </c>
      <c r="AO226">
        <v>0</v>
      </c>
      <c r="AP226">
        <v>9</v>
      </c>
      <c r="AQ226" t="s">
        <v>8516</v>
      </c>
      <c r="AR226" t="s">
        <v>8517</v>
      </c>
      <c r="AS226" t="s">
        <v>8518</v>
      </c>
      <c r="AT226" t="s">
        <v>634</v>
      </c>
      <c r="AU226" t="s">
        <v>635</v>
      </c>
      <c r="AV226" t="s">
        <v>69</v>
      </c>
      <c r="AW226" t="s">
        <v>8714</v>
      </c>
      <c r="AX226" t="s">
        <v>8715</v>
      </c>
      <c r="AY226" t="s">
        <v>451</v>
      </c>
      <c r="AZ226">
        <v>2020</v>
      </c>
      <c r="BA226">
        <v>698</v>
      </c>
      <c r="BB226" t="s">
        <v>69</v>
      </c>
      <c r="BC226" t="s">
        <v>69</v>
      </c>
      <c r="BD226" t="s">
        <v>69</v>
      </c>
      <c r="BE226" t="s">
        <v>69</v>
      </c>
      <c r="BF226" t="s">
        <v>69</v>
      </c>
      <c r="BG226" t="s">
        <v>69</v>
      </c>
      <c r="BH226" t="s">
        <v>69</v>
      </c>
      <c r="BI226">
        <v>134265</v>
      </c>
      <c r="BJ226" t="s">
        <v>2039</v>
      </c>
      <c r="BK226" t="str">
        <f>HYPERLINK("http://dx.doi.org/10.1016/j.scitotenv.2019.134265","http://dx.doi.org/10.1016/j.scitotenv.2019.134265")</f>
        <v>http://dx.doi.org/10.1016/j.scitotenv.2019.134265</v>
      </c>
      <c r="BL226" t="s">
        <v>69</v>
      </c>
      <c r="BM226" t="s">
        <v>69</v>
      </c>
      <c r="BN226">
        <v>13</v>
      </c>
      <c r="BO226" t="s">
        <v>8717</v>
      </c>
      <c r="BP226" t="s">
        <v>8523</v>
      </c>
      <c r="BQ226" t="s">
        <v>8662</v>
      </c>
      <c r="BR226" t="s">
        <v>16327</v>
      </c>
      <c r="BS226" t="s">
        <v>2040</v>
      </c>
      <c r="BT226">
        <v>31505356</v>
      </c>
      <c r="BU226" t="s">
        <v>69</v>
      </c>
      <c r="BV226" t="s">
        <v>69</v>
      </c>
      <c r="BW226" t="s">
        <v>69</v>
      </c>
      <c r="BX226" t="s">
        <v>8526</v>
      </c>
      <c r="BY226" t="str">
        <f>HYPERLINK("https%3A%2F%2Fwww.webofscience.com%2Fwos%2Fwoscc%2Ffull-record%2FWOS:000500580700084","View Full Record in Web of Science")</f>
        <v>View Full Record in Web of Science</v>
      </c>
    </row>
    <row r="227" spans="1:77" ht="12.5" x14ac:dyDescent="0.25">
      <c r="A227" t="s">
        <v>8495</v>
      </c>
      <c r="B227" s="7" t="s">
        <v>32933</v>
      </c>
      <c r="C227" s="7"/>
      <c r="D227" s="7"/>
      <c r="E227" s="7"/>
      <c r="F227" t="s">
        <v>67</v>
      </c>
      <c r="G227" t="s">
        <v>6996</v>
      </c>
      <c r="H227" t="s">
        <v>69</v>
      </c>
      <c r="I227" t="s">
        <v>69</v>
      </c>
      <c r="J227" t="s">
        <v>69</v>
      </c>
      <c r="K227" t="s">
        <v>6997</v>
      </c>
      <c r="L227" t="s">
        <v>69</v>
      </c>
      <c r="M227" t="s">
        <v>69</v>
      </c>
      <c r="N227" t="s">
        <v>6998</v>
      </c>
      <c r="O227" t="s">
        <v>6999</v>
      </c>
      <c r="P227" t="s">
        <v>69</v>
      </c>
      <c r="Q227" t="s">
        <v>69</v>
      </c>
      <c r="R227" t="s">
        <v>8505</v>
      </c>
      <c r="S227" t="s">
        <v>8506</v>
      </c>
      <c r="T227" t="s">
        <v>69</v>
      </c>
      <c r="U227" t="s">
        <v>69</v>
      </c>
      <c r="V227" t="s">
        <v>69</v>
      </c>
      <c r="W227" t="s">
        <v>69</v>
      </c>
      <c r="X227" t="s">
        <v>69</v>
      </c>
      <c r="Y227" t="s">
        <v>19090</v>
      </c>
      <c r="Z227" t="s">
        <v>69</v>
      </c>
      <c r="AA227" t="s">
        <v>7000</v>
      </c>
      <c r="AB227" t="s">
        <v>19091</v>
      </c>
      <c r="AC227" t="s">
        <v>69</v>
      </c>
      <c r="AD227" t="s">
        <v>19092</v>
      </c>
      <c r="AE227" t="s">
        <v>19093</v>
      </c>
      <c r="AF227" t="s">
        <v>69</v>
      </c>
      <c r="AG227" t="s">
        <v>69</v>
      </c>
      <c r="AH227" t="s">
        <v>69</v>
      </c>
      <c r="AI227" t="s">
        <v>69</v>
      </c>
      <c r="AJ227" t="s">
        <v>69</v>
      </c>
      <c r="AK227" t="s">
        <v>69</v>
      </c>
      <c r="AL227">
        <v>35</v>
      </c>
      <c r="AM227">
        <v>1</v>
      </c>
      <c r="AN227">
        <v>1</v>
      </c>
      <c r="AO227">
        <v>1</v>
      </c>
      <c r="AP227">
        <v>1</v>
      </c>
      <c r="AQ227" t="s">
        <v>9554</v>
      </c>
      <c r="AR227" t="s">
        <v>9555</v>
      </c>
      <c r="AS227" t="s">
        <v>9556</v>
      </c>
      <c r="AT227" t="s">
        <v>7001</v>
      </c>
      <c r="AU227" t="s">
        <v>7002</v>
      </c>
      <c r="AV227" t="s">
        <v>69</v>
      </c>
      <c r="AW227" t="s">
        <v>19094</v>
      </c>
      <c r="AX227" t="s">
        <v>19095</v>
      </c>
      <c r="AY227" t="s">
        <v>94</v>
      </c>
      <c r="AZ227">
        <v>2018</v>
      </c>
      <c r="BA227">
        <v>9</v>
      </c>
      <c r="BB227">
        <v>1</v>
      </c>
      <c r="BC227" t="s">
        <v>69</v>
      </c>
      <c r="BD227" t="s">
        <v>69</v>
      </c>
      <c r="BE227" t="s">
        <v>69</v>
      </c>
      <c r="BF227" t="s">
        <v>69</v>
      </c>
      <c r="BG227">
        <v>7</v>
      </c>
      <c r="BH227">
        <v>23</v>
      </c>
      <c r="BI227" t="s">
        <v>69</v>
      </c>
      <c r="BJ227" t="s">
        <v>7003</v>
      </c>
      <c r="BK227" t="str">
        <f>HYPERLINK("http://dx.doi.org/10.1177/2031952518756907","http://dx.doi.org/10.1177/2031952518756907")</f>
        <v>http://dx.doi.org/10.1177/2031952518756907</v>
      </c>
      <c r="BL227" t="s">
        <v>69</v>
      </c>
      <c r="BM227" t="s">
        <v>69</v>
      </c>
      <c r="BN227">
        <v>17</v>
      </c>
      <c r="BO227" t="s">
        <v>8452</v>
      </c>
      <c r="BP227" t="s">
        <v>8573</v>
      </c>
      <c r="BQ227" t="s">
        <v>10084</v>
      </c>
      <c r="BR227" t="s">
        <v>19096</v>
      </c>
      <c r="BS227" t="s">
        <v>7004</v>
      </c>
      <c r="BT227" t="s">
        <v>69</v>
      </c>
      <c r="BU227" t="s">
        <v>69</v>
      </c>
      <c r="BV227" t="s">
        <v>69</v>
      </c>
      <c r="BW227" t="s">
        <v>69</v>
      </c>
      <c r="BX227" t="s">
        <v>8526</v>
      </c>
      <c r="BY227" t="str">
        <f>HYPERLINK("https%3A%2F%2Fwww.webofscience.com%2Fwos%2Fwoscc%2Ffull-record%2FWOS:000596362400002","View Full Record in Web of Science")</f>
        <v>View Full Record in Web of Science</v>
      </c>
    </row>
    <row r="228" spans="1:77" ht="12.5" x14ac:dyDescent="0.25">
      <c r="A228" t="s">
        <v>8495</v>
      </c>
      <c r="B228" s="22" t="s">
        <v>32931</v>
      </c>
      <c r="C228" s="7"/>
      <c r="D228" s="7"/>
      <c r="E228" s="7"/>
      <c r="F228" t="s">
        <v>67</v>
      </c>
      <c r="G228" t="s">
        <v>30864</v>
      </c>
      <c r="H228" t="s">
        <v>69</v>
      </c>
      <c r="I228" t="s">
        <v>69</v>
      </c>
      <c r="J228" t="s">
        <v>69</v>
      </c>
      <c r="K228" t="s">
        <v>30865</v>
      </c>
      <c r="L228" t="s">
        <v>69</v>
      </c>
      <c r="M228" t="s">
        <v>69</v>
      </c>
      <c r="N228" t="s">
        <v>30866</v>
      </c>
      <c r="O228" t="s">
        <v>30867</v>
      </c>
      <c r="P228" t="s">
        <v>69</v>
      </c>
      <c r="Q228" t="s">
        <v>69</v>
      </c>
      <c r="R228" t="s">
        <v>8505</v>
      </c>
      <c r="S228" t="s">
        <v>8506</v>
      </c>
      <c r="T228" t="s">
        <v>69</v>
      </c>
      <c r="U228" t="s">
        <v>69</v>
      </c>
      <c r="V228" t="s">
        <v>69</v>
      </c>
      <c r="W228" t="s">
        <v>69</v>
      </c>
      <c r="X228" t="s">
        <v>69</v>
      </c>
      <c r="Y228" t="s">
        <v>30868</v>
      </c>
      <c r="Z228" t="s">
        <v>69</v>
      </c>
      <c r="AA228" t="s">
        <v>30869</v>
      </c>
      <c r="AB228" t="s">
        <v>30870</v>
      </c>
      <c r="AC228" t="s">
        <v>69</v>
      </c>
      <c r="AD228" t="s">
        <v>30871</v>
      </c>
      <c r="AE228" t="s">
        <v>69</v>
      </c>
      <c r="AF228" t="s">
        <v>69</v>
      </c>
      <c r="AG228" t="s">
        <v>69</v>
      </c>
      <c r="AH228" t="s">
        <v>69</v>
      </c>
      <c r="AI228" t="s">
        <v>69</v>
      </c>
      <c r="AJ228" t="s">
        <v>69</v>
      </c>
      <c r="AK228" t="s">
        <v>69</v>
      </c>
      <c r="AL228">
        <v>11</v>
      </c>
      <c r="AM228">
        <v>6</v>
      </c>
      <c r="AN228">
        <v>6</v>
      </c>
      <c r="AO228">
        <v>0</v>
      </c>
      <c r="AP228">
        <v>0</v>
      </c>
      <c r="AQ228" t="s">
        <v>8865</v>
      </c>
      <c r="AR228" t="s">
        <v>8612</v>
      </c>
      <c r="AS228" t="s">
        <v>8866</v>
      </c>
      <c r="AT228" t="s">
        <v>30872</v>
      </c>
      <c r="AU228" t="s">
        <v>30873</v>
      </c>
      <c r="AV228" t="s">
        <v>69</v>
      </c>
      <c r="AW228" t="s">
        <v>30874</v>
      </c>
      <c r="AX228" t="s">
        <v>30875</v>
      </c>
      <c r="AY228" t="s">
        <v>69</v>
      </c>
      <c r="AZ228">
        <v>2005</v>
      </c>
      <c r="BA228">
        <v>7</v>
      </c>
      <c r="BB228">
        <v>4</v>
      </c>
      <c r="BC228" t="s">
        <v>69</v>
      </c>
      <c r="BD228" t="s">
        <v>69</v>
      </c>
      <c r="BE228" t="s">
        <v>69</v>
      </c>
      <c r="BF228" t="s">
        <v>69</v>
      </c>
      <c r="BG228">
        <v>217</v>
      </c>
      <c r="BH228">
        <v>233</v>
      </c>
      <c r="BI228" t="s">
        <v>69</v>
      </c>
      <c r="BJ228" t="s">
        <v>30876</v>
      </c>
      <c r="BK228" t="str">
        <f>HYPERLINK("http://dx.doi.org/10.1080/13642530500367597","http://dx.doi.org/10.1080/13642530500367597")</f>
        <v>http://dx.doi.org/10.1080/13642530500367597</v>
      </c>
      <c r="BL228" t="s">
        <v>69</v>
      </c>
      <c r="BM228" t="s">
        <v>69</v>
      </c>
      <c r="BN228">
        <v>17</v>
      </c>
      <c r="BO228" t="s">
        <v>30877</v>
      </c>
      <c r="BP228" t="s">
        <v>8573</v>
      </c>
      <c r="BQ228" t="s">
        <v>9001</v>
      </c>
      <c r="BR228" t="s">
        <v>30878</v>
      </c>
      <c r="BS228" t="s">
        <v>30879</v>
      </c>
      <c r="BT228" t="s">
        <v>69</v>
      </c>
      <c r="BU228" t="s">
        <v>69</v>
      </c>
      <c r="BV228" t="s">
        <v>69</v>
      </c>
      <c r="BW228" t="s">
        <v>69</v>
      </c>
      <c r="BX228" t="s">
        <v>8526</v>
      </c>
      <c r="BY228" t="str">
        <f>HYPERLINK("https%3A%2F%2Fwww.webofscience.com%2Fwos%2Fwoscc%2Ffull-record%2FWOS:000211899000002","View Full Record in Web of Science")</f>
        <v>View Full Record in Web of Science</v>
      </c>
    </row>
    <row r="229" spans="1:77" ht="12.5" x14ac:dyDescent="0.25">
      <c r="A229" t="s">
        <v>8495</v>
      </c>
      <c r="B229" s="7" t="s">
        <v>32933</v>
      </c>
      <c r="C229" s="7"/>
      <c r="D229" s="7"/>
      <c r="E229" s="7"/>
      <c r="F229" t="s">
        <v>67</v>
      </c>
      <c r="G229" t="s">
        <v>3300</v>
      </c>
      <c r="H229" t="s">
        <v>69</v>
      </c>
      <c r="I229" t="s">
        <v>69</v>
      </c>
      <c r="J229" t="s">
        <v>69</v>
      </c>
      <c r="K229" t="s">
        <v>3301</v>
      </c>
      <c r="L229" t="s">
        <v>69</v>
      </c>
      <c r="M229" t="s">
        <v>69</v>
      </c>
      <c r="N229" t="s">
        <v>3302</v>
      </c>
      <c r="O229" t="s">
        <v>3303</v>
      </c>
      <c r="P229" t="s">
        <v>69</v>
      </c>
      <c r="Q229" t="s">
        <v>69</v>
      </c>
      <c r="R229" t="s">
        <v>8505</v>
      </c>
      <c r="S229" t="s">
        <v>8506</v>
      </c>
      <c r="T229" t="s">
        <v>69</v>
      </c>
      <c r="U229" t="s">
        <v>69</v>
      </c>
      <c r="V229" t="s">
        <v>69</v>
      </c>
      <c r="W229" t="s">
        <v>69</v>
      </c>
      <c r="X229" t="s">
        <v>69</v>
      </c>
      <c r="Y229" t="s">
        <v>24822</v>
      </c>
      <c r="Z229" t="s">
        <v>24823</v>
      </c>
      <c r="AA229" t="s">
        <v>3304</v>
      </c>
      <c r="AB229" t="s">
        <v>24824</v>
      </c>
      <c r="AC229" t="s">
        <v>69</v>
      </c>
      <c r="AD229" t="s">
        <v>24825</v>
      </c>
      <c r="AE229" t="s">
        <v>24826</v>
      </c>
      <c r="AF229" t="s">
        <v>69</v>
      </c>
      <c r="AG229" t="s">
        <v>69</v>
      </c>
      <c r="AH229" t="s">
        <v>69</v>
      </c>
      <c r="AI229" t="s">
        <v>69</v>
      </c>
      <c r="AJ229" t="s">
        <v>69</v>
      </c>
      <c r="AK229" t="s">
        <v>69</v>
      </c>
      <c r="AL229">
        <v>68</v>
      </c>
      <c r="AM229">
        <v>14</v>
      </c>
      <c r="AN229">
        <v>14</v>
      </c>
      <c r="AO229">
        <v>0</v>
      </c>
      <c r="AP229">
        <v>56</v>
      </c>
      <c r="AQ229" t="s">
        <v>8611</v>
      </c>
      <c r="AR229" t="s">
        <v>8612</v>
      </c>
      <c r="AS229" t="s">
        <v>8613</v>
      </c>
      <c r="AT229" t="s">
        <v>3305</v>
      </c>
      <c r="AU229" t="s">
        <v>3306</v>
      </c>
      <c r="AV229" t="s">
        <v>69</v>
      </c>
      <c r="AW229" t="s">
        <v>21266</v>
      </c>
      <c r="AX229" t="s">
        <v>21267</v>
      </c>
      <c r="AY229" t="s">
        <v>84</v>
      </c>
      <c r="AZ229">
        <v>2013</v>
      </c>
      <c r="BA229">
        <v>89</v>
      </c>
      <c r="BB229">
        <v>3</v>
      </c>
      <c r="BC229" t="s">
        <v>69</v>
      </c>
      <c r="BD229" t="s">
        <v>69</v>
      </c>
      <c r="BE229" t="s">
        <v>69</v>
      </c>
      <c r="BF229" t="s">
        <v>69</v>
      </c>
      <c r="BG229">
        <v>285</v>
      </c>
      <c r="BH229">
        <v>307</v>
      </c>
      <c r="BI229" t="s">
        <v>69</v>
      </c>
      <c r="BJ229" t="s">
        <v>3307</v>
      </c>
      <c r="BK229" t="str">
        <f>HYPERLINK("http://dx.doi.org/10.1111/ecge.12005","http://dx.doi.org/10.1111/ecge.12005")</f>
        <v>http://dx.doi.org/10.1111/ecge.12005</v>
      </c>
      <c r="BL229" t="s">
        <v>69</v>
      </c>
      <c r="BM229" t="s">
        <v>69</v>
      </c>
      <c r="BN229">
        <v>23</v>
      </c>
      <c r="BO229" t="s">
        <v>21269</v>
      </c>
      <c r="BP229" t="s">
        <v>8661</v>
      </c>
      <c r="BQ229" t="s">
        <v>21270</v>
      </c>
      <c r="BR229" t="s">
        <v>24827</v>
      </c>
      <c r="BS229" t="s">
        <v>3308</v>
      </c>
      <c r="BT229" t="s">
        <v>69</v>
      </c>
      <c r="BU229" t="s">
        <v>69</v>
      </c>
      <c r="BV229" t="s">
        <v>69</v>
      </c>
      <c r="BW229" t="s">
        <v>69</v>
      </c>
      <c r="BX229" t="s">
        <v>8526</v>
      </c>
      <c r="BY229" t="str">
        <f>HYPERLINK("https%3A%2F%2Fwww.webofscience.com%2Fwos%2Fwoscc%2Ffull-record%2FWOS:000320780000004","View Full Record in Web of Science")</f>
        <v>View Full Record in Web of Science</v>
      </c>
    </row>
    <row r="230" spans="1:77" ht="12.5" x14ac:dyDescent="0.25">
      <c r="A230" t="s">
        <v>8495</v>
      </c>
      <c r="B230" s="7" t="s">
        <v>32933</v>
      </c>
      <c r="C230" s="7"/>
      <c r="D230" s="7"/>
      <c r="E230" s="7"/>
      <c r="F230" t="s">
        <v>67</v>
      </c>
      <c r="G230" t="s">
        <v>8261</v>
      </c>
      <c r="H230" t="s">
        <v>69</v>
      </c>
      <c r="I230" t="s">
        <v>69</v>
      </c>
      <c r="J230" t="s">
        <v>69</v>
      </c>
      <c r="K230" t="s">
        <v>8262</v>
      </c>
      <c r="L230" t="s">
        <v>69</v>
      </c>
      <c r="M230" t="s">
        <v>69</v>
      </c>
      <c r="N230" t="s">
        <v>8263</v>
      </c>
      <c r="O230" t="s">
        <v>8264</v>
      </c>
      <c r="P230" t="s">
        <v>69</v>
      </c>
      <c r="Q230" t="s">
        <v>69</v>
      </c>
      <c r="R230" t="s">
        <v>10071</v>
      </c>
      <c r="S230" t="s">
        <v>8506</v>
      </c>
      <c r="T230" t="s">
        <v>69</v>
      </c>
      <c r="U230" t="s">
        <v>69</v>
      </c>
      <c r="V230" t="s">
        <v>69</v>
      </c>
      <c r="W230" t="s">
        <v>69</v>
      </c>
      <c r="X230" t="s">
        <v>69</v>
      </c>
      <c r="Y230" t="s">
        <v>16147</v>
      </c>
      <c r="Z230" t="s">
        <v>69</v>
      </c>
      <c r="AA230" t="s">
        <v>8265</v>
      </c>
      <c r="AB230" t="s">
        <v>16148</v>
      </c>
      <c r="AC230" t="s">
        <v>69</v>
      </c>
      <c r="AD230" t="s">
        <v>16149</v>
      </c>
      <c r="AE230" t="s">
        <v>16150</v>
      </c>
      <c r="AF230" t="s">
        <v>69</v>
      </c>
      <c r="AG230" t="s">
        <v>69</v>
      </c>
      <c r="AH230" t="s">
        <v>69</v>
      </c>
      <c r="AI230" t="s">
        <v>69</v>
      </c>
      <c r="AJ230" t="s">
        <v>69</v>
      </c>
      <c r="AK230" t="s">
        <v>69</v>
      </c>
      <c r="AL230">
        <v>24</v>
      </c>
      <c r="AM230">
        <v>1</v>
      </c>
      <c r="AN230">
        <v>1</v>
      </c>
      <c r="AO230">
        <v>0</v>
      </c>
      <c r="AP230">
        <v>0</v>
      </c>
      <c r="AQ230" t="s">
        <v>16151</v>
      </c>
      <c r="AR230" t="s">
        <v>16152</v>
      </c>
      <c r="AS230" t="s">
        <v>16153</v>
      </c>
      <c r="AT230" t="s">
        <v>8266</v>
      </c>
      <c r="AU230" t="s">
        <v>69</v>
      </c>
      <c r="AV230" t="s">
        <v>69</v>
      </c>
      <c r="AW230" t="s">
        <v>16154</v>
      </c>
      <c r="AX230" t="s">
        <v>16155</v>
      </c>
      <c r="AY230" t="s">
        <v>2654</v>
      </c>
      <c r="AZ230">
        <v>2020</v>
      </c>
      <c r="BA230" t="s">
        <v>69</v>
      </c>
      <c r="BB230">
        <v>15</v>
      </c>
      <c r="BC230" t="s">
        <v>69</v>
      </c>
      <c r="BD230" t="s">
        <v>69</v>
      </c>
      <c r="BE230" t="s">
        <v>69</v>
      </c>
      <c r="BF230" t="s">
        <v>69</v>
      </c>
      <c r="BG230">
        <v>45</v>
      </c>
      <c r="BH230">
        <v>56</v>
      </c>
      <c r="BI230" t="s">
        <v>69</v>
      </c>
      <c r="BJ230" t="s">
        <v>8267</v>
      </c>
      <c r="BK230" t="str">
        <f>HYPERLINK("http://dx.doi.org/10.17561/at.15.4710","http://dx.doi.org/10.17561/at.15.4710")</f>
        <v>http://dx.doi.org/10.17561/at.15.4710</v>
      </c>
      <c r="BL230" t="s">
        <v>69</v>
      </c>
      <c r="BM230" t="s">
        <v>69</v>
      </c>
      <c r="BN230">
        <v>12</v>
      </c>
      <c r="BO230" t="s">
        <v>9096</v>
      </c>
      <c r="BP230" t="s">
        <v>8573</v>
      </c>
      <c r="BQ230" t="s">
        <v>9096</v>
      </c>
      <c r="BR230" t="s">
        <v>16156</v>
      </c>
      <c r="BS230" t="s">
        <v>8268</v>
      </c>
      <c r="BT230" t="s">
        <v>69</v>
      </c>
      <c r="BU230" t="s">
        <v>12220</v>
      </c>
      <c r="BV230" t="s">
        <v>69</v>
      </c>
      <c r="BW230" t="s">
        <v>69</v>
      </c>
      <c r="BX230" t="s">
        <v>8526</v>
      </c>
      <c r="BY230" t="str">
        <f>HYPERLINK("https%3A%2F%2Fwww.webofscience.com%2Fwos%2Fwoscc%2Ffull-record%2FWOS:000546181700005","View Full Record in Web of Science")</f>
        <v>View Full Record in Web of Science</v>
      </c>
    </row>
    <row r="231" spans="1:77" ht="12.5" x14ac:dyDescent="0.25">
      <c r="A231" t="s">
        <v>8495</v>
      </c>
      <c r="B231" s="22" t="s">
        <v>32931</v>
      </c>
      <c r="C231" s="7"/>
      <c r="D231" s="7"/>
      <c r="E231" s="7"/>
      <c r="F231" t="s">
        <v>67</v>
      </c>
      <c r="G231" t="s">
        <v>13561</v>
      </c>
      <c r="H231" t="s">
        <v>69</v>
      </c>
      <c r="I231" t="s">
        <v>69</v>
      </c>
      <c r="J231" t="s">
        <v>69</v>
      </c>
      <c r="K231" t="s">
        <v>13562</v>
      </c>
      <c r="L231" t="s">
        <v>69</v>
      </c>
      <c r="M231" t="s">
        <v>69</v>
      </c>
      <c r="N231" t="s">
        <v>13563</v>
      </c>
      <c r="O231" t="s">
        <v>13564</v>
      </c>
      <c r="P231" t="s">
        <v>69</v>
      </c>
      <c r="Q231" t="s">
        <v>69</v>
      </c>
      <c r="R231" t="s">
        <v>8505</v>
      </c>
      <c r="S231" t="s">
        <v>8506</v>
      </c>
      <c r="T231" t="s">
        <v>69</v>
      </c>
      <c r="U231" t="s">
        <v>69</v>
      </c>
      <c r="V231" t="s">
        <v>69</v>
      </c>
      <c r="W231" t="s">
        <v>69</v>
      </c>
      <c r="X231" t="s">
        <v>69</v>
      </c>
      <c r="Y231" t="s">
        <v>13565</v>
      </c>
      <c r="Z231" t="s">
        <v>13566</v>
      </c>
      <c r="AA231" t="s">
        <v>13567</v>
      </c>
      <c r="AB231" t="s">
        <v>13568</v>
      </c>
      <c r="AC231" t="s">
        <v>69</v>
      </c>
      <c r="AD231" t="s">
        <v>13569</v>
      </c>
      <c r="AE231" t="s">
        <v>13570</v>
      </c>
      <c r="AF231" t="s">
        <v>13571</v>
      </c>
      <c r="AG231" t="s">
        <v>13572</v>
      </c>
      <c r="AH231" t="s">
        <v>13573</v>
      </c>
      <c r="AI231" t="s">
        <v>13574</v>
      </c>
      <c r="AJ231" t="s">
        <v>13575</v>
      </c>
      <c r="AK231" t="s">
        <v>69</v>
      </c>
      <c r="AL231">
        <v>52</v>
      </c>
      <c r="AM231">
        <v>6</v>
      </c>
      <c r="AN231">
        <v>6</v>
      </c>
      <c r="AO231">
        <v>19</v>
      </c>
      <c r="AP231">
        <v>28</v>
      </c>
      <c r="AQ231" t="s">
        <v>13576</v>
      </c>
      <c r="AR231" t="s">
        <v>13577</v>
      </c>
      <c r="AS231" t="s">
        <v>13578</v>
      </c>
      <c r="AT231" t="s">
        <v>13579</v>
      </c>
      <c r="AU231" t="s">
        <v>13580</v>
      </c>
      <c r="AV231" t="s">
        <v>69</v>
      </c>
      <c r="AW231" t="s">
        <v>13581</v>
      </c>
      <c r="AX231" t="s">
        <v>13582</v>
      </c>
      <c r="AY231" t="s">
        <v>69</v>
      </c>
      <c r="AZ231">
        <v>2021</v>
      </c>
      <c r="BA231">
        <v>14</v>
      </c>
      <c r="BB231">
        <v>3</v>
      </c>
      <c r="BC231" t="s">
        <v>69</v>
      </c>
      <c r="BD231" t="s">
        <v>69</v>
      </c>
      <c r="BE231" t="s">
        <v>69</v>
      </c>
      <c r="BF231" t="s">
        <v>69</v>
      </c>
      <c r="BG231">
        <v>425</v>
      </c>
      <c r="BH231">
        <v>438</v>
      </c>
      <c r="BI231" t="s">
        <v>69</v>
      </c>
      <c r="BJ231" t="s">
        <v>13583</v>
      </c>
      <c r="BK231" t="str">
        <f>HYPERLINK("http://dx.doi.org/10.3926/jiem.3413","http://dx.doi.org/10.3926/jiem.3413")</f>
        <v>http://dx.doi.org/10.3926/jiem.3413</v>
      </c>
      <c r="BL231" t="s">
        <v>69</v>
      </c>
      <c r="BM231" t="s">
        <v>69</v>
      </c>
      <c r="BN231">
        <v>14</v>
      </c>
      <c r="BO231" t="s">
        <v>10459</v>
      </c>
      <c r="BP231" t="s">
        <v>8573</v>
      </c>
      <c r="BQ231" t="s">
        <v>8445</v>
      </c>
      <c r="BR231" t="s">
        <v>13584</v>
      </c>
      <c r="BS231" t="s">
        <v>13585</v>
      </c>
      <c r="BT231" t="s">
        <v>69</v>
      </c>
      <c r="BU231" t="s">
        <v>11853</v>
      </c>
      <c r="BV231" t="s">
        <v>69</v>
      </c>
      <c r="BW231" t="s">
        <v>69</v>
      </c>
      <c r="BX231" t="s">
        <v>8526</v>
      </c>
      <c r="BY231" t="str">
        <f>HYPERLINK("https%3A%2F%2Fwww.webofscience.com%2Fwos%2Fwoscc%2Ffull-record%2FWOS:000688608600002","View Full Record in Web of Science")</f>
        <v>View Full Record in Web of Science</v>
      </c>
    </row>
    <row r="232" spans="1:77" ht="12.5" x14ac:dyDescent="0.25">
      <c r="A232" t="s">
        <v>8495</v>
      </c>
      <c r="B232" s="7" t="s">
        <v>32933</v>
      </c>
      <c r="C232" s="7"/>
      <c r="D232" s="7"/>
      <c r="E232" s="7"/>
      <c r="F232" t="s">
        <v>67</v>
      </c>
      <c r="G232" t="s">
        <v>1003</v>
      </c>
      <c r="H232" t="s">
        <v>69</v>
      </c>
      <c r="I232" t="s">
        <v>69</v>
      </c>
      <c r="J232" t="s">
        <v>69</v>
      </c>
      <c r="K232" t="s">
        <v>1004</v>
      </c>
      <c r="L232" t="s">
        <v>69</v>
      </c>
      <c r="M232" t="s">
        <v>69</v>
      </c>
      <c r="N232" t="s">
        <v>1005</v>
      </c>
      <c r="O232" t="s">
        <v>1006</v>
      </c>
      <c r="P232" t="s">
        <v>69</v>
      </c>
      <c r="Q232" t="s">
        <v>69</v>
      </c>
      <c r="R232" t="s">
        <v>8505</v>
      </c>
      <c r="S232" t="s">
        <v>8506</v>
      </c>
      <c r="T232" t="s">
        <v>69</v>
      </c>
      <c r="U232" t="s">
        <v>69</v>
      </c>
      <c r="V232" t="s">
        <v>69</v>
      </c>
      <c r="W232" t="s">
        <v>69</v>
      </c>
      <c r="X232" t="s">
        <v>69</v>
      </c>
      <c r="Y232" t="s">
        <v>17723</v>
      </c>
      <c r="Z232" t="s">
        <v>69</v>
      </c>
      <c r="AA232" t="s">
        <v>1007</v>
      </c>
      <c r="AB232" t="s">
        <v>17724</v>
      </c>
      <c r="AC232" t="s">
        <v>69</v>
      </c>
      <c r="AD232" t="s">
        <v>17725</v>
      </c>
      <c r="AE232" t="s">
        <v>17726</v>
      </c>
      <c r="AF232" t="s">
        <v>69</v>
      </c>
      <c r="AG232" t="s">
        <v>69</v>
      </c>
      <c r="AH232" t="s">
        <v>69</v>
      </c>
      <c r="AI232" t="s">
        <v>69</v>
      </c>
      <c r="AJ232" t="s">
        <v>69</v>
      </c>
      <c r="AK232" t="s">
        <v>69</v>
      </c>
      <c r="AL232">
        <v>49</v>
      </c>
      <c r="AM232">
        <v>0</v>
      </c>
      <c r="AN232">
        <v>0</v>
      </c>
      <c r="AO232">
        <v>1</v>
      </c>
      <c r="AP232">
        <v>6</v>
      </c>
      <c r="AQ232" t="s">
        <v>17727</v>
      </c>
      <c r="AR232" t="s">
        <v>17728</v>
      </c>
      <c r="AS232" t="s">
        <v>17729</v>
      </c>
      <c r="AT232" t="s">
        <v>1008</v>
      </c>
      <c r="AU232" t="s">
        <v>69</v>
      </c>
      <c r="AV232" t="s">
        <v>69</v>
      </c>
      <c r="AW232" t="s">
        <v>17730</v>
      </c>
      <c r="AX232" t="s">
        <v>17731</v>
      </c>
      <c r="AY232" t="s">
        <v>69</v>
      </c>
      <c r="AZ232">
        <v>2019</v>
      </c>
      <c r="BA232">
        <v>5</v>
      </c>
      <c r="BB232">
        <v>3</v>
      </c>
      <c r="BC232" t="s">
        <v>69</v>
      </c>
      <c r="BD232" t="s">
        <v>69</v>
      </c>
      <c r="BE232" t="s">
        <v>69</v>
      </c>
      <c r="BF232" t="s">
        <v>69</v>
      </c>
      <c r="BG232">
        <v>480</v>
      </c>
      <c r="BH232">
        <v>492</v>
      </c>
      <c r="BI232" t="s">
        <v>69</v>
      </c>
      <c r="BJ232" t="s">
        <v>1009</v>
      </c>
      <c r="BK232" t="str">
        <f>HYPERLINK("http://dx.doi.org/10.3934/geosci.2019.3.480","http://dx.doi.org/10.3934/geosci.2019.3.480")</f>
        <v>http://dx.doi.org/10.3934/geosci.2019.3.480</v>
      </c>
      <c r="BL232" t="s">
        <v>69</v>
      </c>
      <c r="BM232" t="s">
        <v>69</v>
      </c>
      <c r="BN232">
        <v>13</v>
      </c>
      <c r="BO232" t="s">
        <v>17732</v>
      </c>
      <c r="BP232" t="s">
        <v>8573</v>
      </c>
      <c r="BQ232" t="s">
        <v>17733</v>
      </c>
      <c r="BR232" t="s">
        <v>17734</v>
      </c>
      <c r="BS232" t="s">
        <v>1010</v>
      </c>
      <c r="BT232" t="s">
        <v>69</v>
      </c>
      <c r="BU232" t="s">
        <v>8931</v>
      </c>
      <c r="BV232" t="s">
        <v>69</v>
      </c>
      <c r="BW232" t="s">
        <v>69</v>
      </c>
      <c r="BX232" t="s">
        <v>8526</v>
      </c>
      <c r="BY232" t="str">
        <f>HYPERLINK("https%3A%2F%2Fwww.webofscience.com%2Fwos%2Fwoscc%2Ffull-record%2FWOS:000484690300006","View Full Record in Web of Science")</f>
        <v>View Full Record in Web of Science</v>
      </c>
    </row>
    <row r="233" spans="1:77" ht="12.5" x14ac:dyDescent="0.25">
      <c r="A233" t="s">
        <v>8495</v>
      </c>
      <c r="B233" s="22" t="s">
        <v>32931</v>
      </c>
      <c r="C233" s="7"/>
      <c r="D233" s="7"/>
      <c r="E233" s="7"/>
      <c r="F233" t="s">
        <v>67</v>
      </c>
      <c r="G233" t="s">
        <v>28611</v>
      </c>
      <c r="H233" t="s">
        <v>69</v>
      </c>
      <c r="I233" t="s">
        <v>69</v>
      </c>
      <c r="J233" t="s">
        <v>69</v>
      </c>
      <c r="K233" t="s">
        <v>28612</v>
      </c>
      <c r="L233" t="s">
        <v>69</v>
      </c>
      <c r="M233" t="s">
        <v>69</v>
      </c>
      <c r="N233" t="s">
        <v>28613</v>
      </c>
      <c r="O233" t="s">
        <v>28614</v>
      </c>
      <c r="P233" t="s">
        <v>69</v>
      </c>
      <c r="Q233" t="s">
        <v>69</v>
      </c>
      <c r="R233" t="s">
        <v>8505</v>
      </c>
      <c r="S233" t="s">
        <v>8506</v>
      </c>
      <c r="T233" t="s">
        <v>69</v>
      </c>
      <c r="U233" t="s">
        <v>69</v>
      </c>
      <c r="V233" t="s">
        <v>69</v>
      </c>
      <c r="W233" t="s">
        <v>69</v>
      </c>
      <c r="X233" t="s">
        <v>69</v>
      </c>
      <c r="Y233" t="s">
        <v>69</v>
      </c>
      <c r="Z233" t="s">
        <v>28615</v>
      </c>
      <c r="AA233" t="s">
        <v>28616</v>
      </c>
      <c r="AB233" t="s">
        <v>28617</v>
      </c>
      <c r="AC233" t="s">
        <v>69</v>
      </c>
      <c r="AD233" t="s">
        <v>28618</v>
      </c>
      <c r="AE233" t="s">
        <v>69</v>
      </c>
      <c r="AF233" t="s">
        <v>28619</v>
      </c>
      <c r="AG233" t="s">
        <v>28620</v>
      </c>
      <c r="AH233" t="s">
        <v>69</v>
      </c>
      <c r="AI233" t="s">
        <v>69</v>
      </c>
      <c r="AJ233" t="s">
        <v>69</v>
      </c>
      <c r="AK233" t="s">
        <v>69</v>
      </c>
      <c r="AL233">
        <v>28</v>
      </c>
      <c r="AM233">
        <v>10</v>
      </c>
      <c r="AN233">
        <v>10</v>
      </c>
      <c r="AO233">
        <v>0</v>
      </c>
      <c r="AP233">
        <v>13</v>
      </c>
      <c r="AQ233" t="s">
        <v>28621</v>
      </c>
      <c r="AR233" t="s">
        <v>28622</v>
      </c>
      <c r="AS233" t="s">
        <v>28623</v>
      </c>
      <c r="AT233" t="s">
        <v>28624</v>
      </c>
      <c r="AU233" t="s">
        <v>28625</v>
      </c>
      <c r="AV233" t="s">
        <v>69</v>
      </c>
      <c r="AW233" t="s">
        <v>28626</v>
      </c>
      <c r="AX233" t="s">
        <v>28627</v>
      </c>
      <c r="AY233" t="s">
        <v>191</v>
      </c>
      <c r="AZ233">
        <v>2009</v>
      </c>
      <c r="BA233">
        <v>85</v>
      </c>
      <c r="BB233">
        <v>1</v>
      </c>
      <c r="BC233" t="s">
        <v>69</v>
      </c>
      <c r="BD233" t="s">
        <v>69</v>
      </c>
      <c r="BE233" t="s">
        <v>69</v>
      </c>
      <c r="BF233" t="s">
        <v>69</v>
      </c>
      <c r="BG233">
        <v>186</v>
      </c>
      <c r="BH233">
        <v>200</v>
      </c>
      <c r="BI233" t="s">
        <v>69</v>
      </c>
      <c r="BJ233" t="s">
        <v>28628</v>
      </c>
      <c r="BK233" t="str">
        <f>HYPERLINK("http://dx.doi.org/10.3368/le.85.1.186","http://dx.doi.org/10.3368/le.85.1.186")</f>
        <v>http://dx.doi.org/10.3368/le.85.1.186</v>
      </c>
      <c r="BL233" t="s">
        <v>69</v>
      </c>
      <c r="BM233" t="s">
        <v>69</v>
      </c>
      <c r="BN233">
        <v>15</v>
      </c>
      <c r="BO233" t="s">
        <v>24848</v>
      </c>
      <c r="BP233" t="s">
        <v>8661</v>
      </c>
      <c r="BQ233" t="s">
        <v>9114</v>
      </c>
      <c r="BR233" t="s">
        <v>28629</v>
      </c>
      <c r="BS233" t="s">
        <v>28630</v>
      </c>
      <c r="BT233" t="s">
        <v>69</v>
      </c>
      <c r="BU233" t="s">
        <v>69</v>
      </c>
      <c r="BV233" t="s">
        <v>69</v>
      </c>
      <c r="BW233" t="s">
        <v>69</v>
      </c>
      <c r="BX233" t="s">
        <v>8526</v>
      </c>
      <c r="BY233" t="str">
        <f>HYPERLINK("https%3A%2F%2Fwww.webofscience.com%2Fwos%2Fwoscc%2Ffull-record%2FWOS:000262344800012","View Full Record in Web of Science")</f>
        <v>View Full Record in Web of Science</v>
      </c>
    </row>
    <row r="234" spans="1:77" ht="12.5" x14ac:dyDescent="0.25">
      <c r="A234" t="s">
        <v>8495</v>
      </c>
      <c r="B234" s="22" t="s">
        <v>32931</v>
      </c>
      <c r="C234" s="7"/>
      <c r="D234" s="7"/>
      <c r="E234" s="7"/>
      <c r="F234" t="s">
        <v>67</v>
      </c>
      <c r="G234" t="s">
        <v>25497</v>
      </c>
      <c r="H234" t="s">
        <v>69</v>
      </c>
      <c r="I234" t="s">
        <v>69</v>
      </c>
      <c r="J234" t="s">
        <v>69</v>
      </c>
      <c r="K234" t="s">
        <v>25498</v>
      </c>
      <c r="L234" t="s">
        <v>69</v>
      </c>
      <c r="M234" t="s">
        <v>69</v>
      </c>
      <c r="N234" t="s">
        <v>25499</v>
      </c>
      <c r="O234" t="s">
        <v>25500</v>
      </c>
      <c r="P234" t="s">
        <v>69</v>
      </c>
      <c r="Q234" t="s">
        <v>69</v>
      </c>
      <c r="R234" t="s">
        <v>10071</v>
      </c>
      <c r="S234" t="s">
        <v>8506</v>
      </c>
      <c r="T234" t="s">
        <v>69</v>
      </c>
      <c r="U234" t="s">
        <v>69</v>
      </c>
      <c r="V234" t="s">
        <v>69</v>
      </c>
      <c r="W234" t="s">
        <v>69</v>
      </c>
      <c r="X234" t="s">
        <v>69</v>
      </c>
      <c r="Y234" t="s">
        <v>25501</v>
      </c>
      <c r="Z234" t="s">
        <v>69</v>
      </c>
      <c r="AA234" t="s">
        <v>25502</v>
      </c>
      <c r="AB234" t="s">
        <v>25503</v>
      </c>
      <c r="AC234" t="s">
        <v>69</v>
      </c>
      <c r="AD234" t="s">
        <v>25504</v>
      </c>
      <c r="AE234" t="s">
        <v>69</v>
      </c>
      <c r="AF234" t="s">
        <v>69</v>
      </c>
      <c r="AG234" t="s">
        <v>69</v>
      </c>
      <c r="AH234" t="s">
        <v>69</v>
      </c>
      <c r="AI234" t="s">
        <v>69</v>
      </c>
      <c r="AJ234" t="s">
        <v>69</v>
      </c>
      <c r="AK234" t="s">
        <v>69</v>
      </c>
      <c r="AL234">
        <v>50</v>
      </c>
      <c r="AM234">
        <v>0</v>
      </c>
      <c r="AN234">
        <v>0</v>
      </c>
      <c r="AO234">
        <v>0</v>
      </c>
      <c r="AP234">
        <v>0</v>
      </c>
      <c r="AQ234" t="s">
        <v>25505</v>
      </c>
      <c r="AR234" t="s">
        <v>16078</v>
      </c>
      <c r="AS234" t="s">
        <v>25506</v>
      </c>
      <c r="AT234" t="s">
        <v>25507</v>
      </c>
      <c r="AU234" t="s">
        <v>25508</v>
      </c>
      <c r="AV234" t="s">
        <v>69</v>
      </c>
      <c r="AW234" t="s">
        <v>25500</v>
      </c>
      <c r="AX234" t="s">
        <v>25509</v>
      </c>
      <c r="AY234" t="s">
        <v>2654</v>
      </c>
      <c r="AZ234">
        <v>2013</v>
      </c>
      <c r="BA234">
        <v>7</v>
      </c>
      <c r="BB234">
        <v>14</v>
      </c>
      <c r="BC234" t="s">
        <v>69</v>
      </c>
      <c r="BD234" t="s">
        <v>69</v>
      </c>
      <c r="BE234" t="s">
        <v>69</v>
      </c>
      <c r="BF234" t="s">
        <v>69</v>
      </c>
      <c r="BG234">
        <v>103</v>
      </c>
      <c r="BH234">
        <v>116</v>
      </c>
      <c r="BI234" t="s">
        <v>69</v>
      </c>
      <c r="BJ234" t="s">
        <v>69</v>
      </c>
      <c r="BK234" t="s">
        <v>69</v>
      </c>
      <c r="BL234" t="s">
        <v>69</v>
      </c>
      <c r="BM234" t="s">
        <v>69</v>
      </c>
      <c r="BN234">
        <v>14</v>
      </c>
      <c r="BO234" t="s">
        <v>8475</v>
      </c>
      <c r="BP234" t="s">
        <v>8573</v>
      </c>
      <c r="BQ234" t="s">
        <v>8475</v>
      </c>
      <c r="BR234" t="s">
        <v>25510</v>
      </c>
      <c r="BS234" t="s">
        <v>25511</v>
      </c>
      <c r="BT234" t="s">
        <v>69</v>
      </c>
      <c r="BU234" t="s">
        <v>69</v>
      </c>
      <c r="BV234" t="s">
        <v>69</v>
      </c>
      <c r="BW234" t="s">
        <v>69</v>
      </c>
      <c r="BX234" t="s">
        <v>8526</v>
      </c>
      <c r="BY234" t="str">
        <f>HYPERLINK("https%3A%2F%2Fwww.webofscience.com%2Fwos%2Fwoscc%2Ffull-record%2FWOS:000219739200008","View Full Record in Web of Science")</f>
        <v>View Full Record in Web of Science</v>
      </c>
    </row>
    <row r="235" spans="1:77" ht="12.5" x14ac:dyDescent="0.25">
      <c r="A235" t="s">
        <v>8495</v>
      </c>
      <c r="B235" s="7" t="s">
        <v>32933</v>
      </c>
      <c r="C235" s="7"/>
      <c r="D235" s="7"/>
      <c r="E235" s="7"/>
      <c r="F235" t="s">
        <v>67</v>
      </c>
      <c r="G235" t="s">
        <v>4840</v>
      </c>
      <c r="H235" t="s">
        <v>69</v>
      </c>
      <c r="I235" t="s">
        <v>69</v>
      </c>
      <c r="J235" t="s">
        <v>69</v>
      </c>
      <c r="K235" t="s">
        <v>4841</v>
      </c>
      <c r="L235" t="s">
        <v>69</v>
      </c>
      <c r="M235" t="s">
        <v>69</v>
      </c>
      <c r="N235" t="s">
        <v>4842</v>
      </c>
      <c r="O235" t="s">
        <v>4029</v>
      </c>
      <c r="P235" t="s">
        <v>69</v>
      </c>
      <c r="Q235" t="s">
        <v>69</v>
      </c>
      <c r="R235" t="s">
        <v>8505</v>
      </c>
      <c r="S235" t="s">
        <v>8506</v>
      </c>
      <c r="T235" t="s">
        <v>69</v>
      </c>
      <c r="U235" t="s">
        <v>69</v>
      </c>
      <c r="V235" t="s">
        <v>69</v>
      </c>
      <c r="W235" t="s">
        <v>69</v>
      </c>
      <c r="X235" t="s">
        <v>69</v>
      </c>
      <c r="Y235" t="s">
        <v>69</v>
      </c>
      <c r="Z235" t="s">
        <v>15603</v>
      </c>
      <c r="AA235" t="s">
        <v>4843</v>
      </c>
      <c r="AB235" t="s">
        <v>15604</v>
      </c>
      <c r="AC235" t="s">
        <v>69</v>
      </c>
      <c r="AD235" t="s">
        <v>15605</v>
      </c>
      <c r="AE235" t="s">
        <v>15606</v>
      </c>
      <c r="AF235" t="s">
        <v>69</v>
      </c>
      <c r="AG235" t="s">
        <v>15607</v>
      </c>
      <c r="AH235" t="s">
        <v>15608</v>
      </c>
      <c r="AI235" t="s">
        <v>15609</v>
      </c>
      <c r="AJ235" t="s">
        <v>15610</v>
      </c>
      <c r="AK235" t="s">
        <v>69</v>
      </c>
      <c r="AL235">
        <v>50</v>
      </c>
      <c r="AM235">
        <v>43</v>
      </c>
      <c r="AN235">
        <v>45</v>
      </c>
      <c r="AO235">
        <v>13</v>
      </c>
      <c r="AP235">
        <v>103</v>
      </c>
      <c r="AQ235" t="s">
        <v>15611</v>
      </c>
      <c r="AR235" t="s">
        <v>10924</v>
      </c>
      <c r="AS235" t="s">
        <v>15612</v>
      </c>
      <c r="AT235" t="s">
        <v>4031</v>
      </c>
      <c r="AU235" t="s">
        <v>4844</v>
      </c>
      <c r="AV235" t="s">
        <v>69</v>
      </c>
      <c r="AW235" t="s">
        <v>15613</v>
      </c>
      <c r="AX235" t="s">
        <v>15614</v>
      </c>
      <c r="AY235" t="s">
        <v>837</v>
      </c>
      <c r="AZ235">
        <v>2020</v>
      </c>
      <c r="BA235">
        <v>46</v>
      </c>
      <c r="BB235">
        <v>1</v>
      </c>
      <c r="BC235" t="s">
        <v>69</v>
      </c>
      <c r="BD235" t="s">
        <v>69</v>
      </c>
      <c r="BE235" t="s">
        <v>69</v>
      </c>
      <c r="BF235" t="s">
        <v>69</v>
      </c>
      <c r="BG235">
        <v>15</v>
      </c>
      <c r="BH235">
        <v>33</v>
      </c>
      <c r="BI235" t="s">
        <v>69</v>
      </c>
      <c r="BJ235" t="s">
        <v>4845</v>
      </c>
      <c r="BK235" t="str">
        <f>HYPERLINK("http://dx.doi.org/10.1080/07038992.2019.1711366","http://dx.doi.org/10.1080/07038992.2019.1711366")</f>
        <v>http://dx.doi.org/10.1080/07038992.2019.1711366</v>
      </c>
      <c r="BL235" t="s">
        <v>69</v>
      </c>
      <c r="BM235" t="s">
        <v>4822</v>
      </c>
      <c r="BN235">
        <v>19</v>
      </c>
      <c r="BO235" t="s">
        <v>15615</v>
      </c>
      <c r="BP235" t="s">
        <v>8548</v>
      </c>
      <c r="BQ235" t="s">
        <v>15615</v>
      </c>
      <c r="BR235" t="s">
        <v>15616</v>
      </c>
      <c r="BS235" t="s">
        <v>4846</v>
      </c>
      <c r="BT235" t="s">
        <v>69</v>
      </c>
      <c r="BU235" t="s">
        <v>69</v>
      </c>
      <c r="BV235" t="s">
        <v>69</v>
      </c>
      <c r="BW235" t="s">
        <v>69</v>
      </c>
      <c r="BX235" t="s">
        <v>8526</v>
      </c>
      <c r="BY235" t="str">
        <f>HYPERLINK("https%3A%2F%2Fwww.webofscience.com%2Fwos%2Fwoscc%2Ffull-record%2FWOS:000519147100001","View Full Record in Web of Science")</f>
        <v>View Full Record in Web of Science</v>
      </c>
    </row>
    <row r="236" spans="1:77" ht="12.5" x14ac:dyDescent="0.25">
      <c r="A236" t="s">
        <v>8495</v>
      </c>
      <c r="B236" s="22" t="s">
        <v>32931</v>
      </c>
      <c r="C236" s="7"/>
      <c r="D236" s="7"/>
      <c r="E236" s="7"/>
      <c r="F236" t="s">
        <v>67</v>
      </c>
      <c r="G236" t="s">
        <v>30571</v>
      </c>
      <c r="H236" t="s">
        <v>69</v>
      </c>
      <c r="I236" t="s">
        <v>69</v>
      </c>
      <c r="J236" t="s">
        <v>69</v>
      </c>
      <c r="K236" t="s">
        <v>30572</v>
      </c>
      <c r="L236" t="s">
        <v>69</v>
      </c>
      <c r="M236" t="s">
        <v>69</v>
      </c>
      <c r="N236" t="s">
        <v>30573</v>
      </c>
      <c r="O236" t="s">
        <v>23782</v>
      </c>
      <c r="P236" t="s">
        <v>69</v>
      </c>
      <c r="Q236" t="s">
        <v>69</v>
      </c>
      <c r="R236" t="s">
        <v>8505</v>
      </c>
      <c r="S236" t="s">
        <v>8506</v>
      </c>
      <c r="T236" t="s">
        <v>69</v>
      </c>
      <c r="U236" t="s">
        <v>69</v>
      </c>
      <c r="V236" t="s">
        <v>69</v>
      </c>
      <c r="W236" t="s">
        <v>69</v>
      </c>
      <c r="X236" t="s">
        <v>69</v>
      </c>
      <c r="Y236" t="s">
        <v>30574</v>
      </c>
      <c r="Z236" t="s">
        <v>69</v>
      </c>
      <c r="AA236" t="s">
        <v>30575</v>
      </c>
      <c r="AB236" t="s">
        <v>30576</v>
      </c>
      <c r="AC236" t="s">
        <v>69</v>
      </c>
      <c r="AD236" t="s">
        <v>30577</v>
      </c>
      <c r="AE236" t="s">
        <v>30578</v>
      </c>
      <c r="AF236" t="s">
        <v>69</v>
      </c>
      <c r="AG236" t="s">
        <v>69</v>
      </c>
      <c r="AH236" t="s">
        <v>69</v>
      </c>
      <c r="AI236" t="s">
        <v>69</v>
      </c>
      <c r="AJ236" t="s">
        <v>69</v>
      </c>
      <c r="AK236" t="s">
        <v>69</v>
      </c>
      <c r="AL236">
        <v>0</v>
      </c>
      <c r="AM236">
        <v>1</v>
      </c>
      <c r="AN236">
        <v>1</v>
      </c>
      <c r="AO236">
        <v>0</v>
      </c>
      <c r="AP236">
        <v>0</v>
      </c>
      <c r="AQ236" t="s">
        <v>18342</v>
      </c>
      <c r="AR236" t="s">
        <v>18343</v>
      </c>
      <c r="AS236" t="s">
        <v>18344</v>
      </c>
      <c r="AT236" t="s">
        <v>23791</v>
      </c>
      <c r="AU236" t="s">
        <v>69</v>
      </c>
      <c r="AV236" t="s">
        <v>69</v>
      </c>
      <c r="AW236" t="s">
        <v>23792</v>
      </c>
      <c r="AX236" t="s">
        <v>23793</v>
      </c>
      <c r="AY236" t="s">
        <v>75</v>
      </c>
      <c r="AZ236">
        <v>2005</v>
      </c>
      <c r="BA236">
        <v>5</v>
      </c>
      <c r="BB236">
        <v>4</v>
      </c>
      <c r="BC236" t="s">
        <v>69</v>
      </c>
      <c r="BD236" t="s">
        <v>69</v>
      </c>
      <c r="BE236" t="s">
        <v>114</v>
      </c>
      <c r="BF236" t="s">
        <v>69</v>
      </c>
      <c r="BG236" t="s">
        <v>69</v>
      </c>
      <c r="BH236" t="s">
        <v>69</v>
      </c>
      <c r="BI236">
        <v>18</v>
      </c>
      <c r="BJ236" t="s">
        <v>30579</v>
      </c>
      <c r="BK236" t="str">
        <f>HYPERLINK("http://dx.doi.org/10.2202/1524-5861.1153","http://dx.doi.org/10.2202/1524-5861.1153")</f>
        <v>http://dx.doi.org/10.2202/1524-5861.1153</v>
      </c>
      <c r="BL236" t="s">
        <v>69</v>
      </c>
      <c r="BM236" t="s">
        <v>69</v>
      </c>
      <c r="BN236">
        <v>10</v>
      </c>
      <c r="BO236" t="s">
        <v>9726</v>
      </c>
      <c r="BP236" t="s">
        <v>8573</v>
      </c>
      <c r="BQ236" t="s">
        <v>8594</v>
      </c>
      <c r="BR236" t="s">
        <v>30580</v>
      </c>
      <c r="BS236" t="s">
        <v>30581</v>
      </c>
      <c r="BT236" t="s">
        <v>69</v>
      </c>
      <c r="BU236" t="s">
        <v>69</v>
      </c>
      <c r="BV236" t="s">
        <v>69</v>
      </c>
      <c r="BW236" t="s">
        <v>69</v>
      </c>
      <c r="BX236" t="s">
        <v>8526</v>
      </c>
      <c r="BY236" t="str">
        <f>HYPERLINK("https%3A%2F%2Fwww.webofscience.com%2Fwos%2Fwoscc%2Ffull-record%2FWOS:000442148200018","View Full Record in Web of Science")</f>
        <v>View Full Record in Web of Science</v>
      </c>
    </row>
    <row r="237" spans="1:77" ht="12.5" x14ac:dyDescent="0.25">
      <c r="A237" t="s">
        <v>8495</v>
      </c>
      <c r="B237" s="22" t="s">
        <v>32931</v>
      </c>
      <c r="C237" s="7"/>
      <c r="D237" s="7"/>
      <c r="E237" s="7"/>
      <c r="F237" t="s">
        <v>67</v>
      </c>
      <c r="G237" t="s">
        <v>22662</v>
      </c>
      <c r="H237" t="s">
        <v>69</v>
      </c>
      <c r="I237" t="s">
        <v>69</v>
      </c>
      <c r="J237" t="s">
        <v>69</v>
      </c>
      <c r="K237" t="s">
        <v>22663</v>
      </c>
      <c r="L237" t="s">
        <v>69</v>
      </c>
      <c r="M237" t="s">
        <v>69</v>
      </c>
      <c r="N237" t="s">
        <v>22664</v>
      </c>
      <c r="O237" t="s">
        <v>22665</v>
      </c>
      <c r="P237" t="s">
        <v>69</v>
      </c>
      <c r="Q237" t="s">
        <v>69</v>
      </c>
      <c r="R237" t="s">
        <v>8505</v>
      </c>
      <c r="S237" t="s">
        <v>8506</v>
      </c>
      <c r="T237" t="s">
        <v>69</v>
      </c>
      <c r="U237" t="s">
        <v>69</v>
      </c>
      <c r="V237" t="s">
        <v>69</v>
      </c>
      <c r="W237" t="s">
        <v>69</v>
      </c>
      <c r="X237" t="s">
        <v>69</v>
      </c>
      <c r="Y237" t="s">
        <v>69</v>
      </c>
      <c r="Z237" t="s">
        <v>22666</v>
      </c>
      <c r="AA237" t="s">
        <v>22667</v>
      </c>
      <c r="AB237" t="s">
        <v>22668</v>
      </c>
      <c r="AC237" t="s">
        <v>69</v>
      </c>
      <c r="AD237" t="s">
        <v>22669</v>
      </c>
      <c r="AE237" t="s">
        <v>22670</v>
      </c>
      <c r="AF237" t="s">
        <v>22671</v>
      </c>
      <c r="AG237" t="s">
        <v>22672</v>
      </c>
      <c r="AH237" t="s">
        <v>22673</v>
      </c>
      <c r="AI237" t="s">
        <v>22674</v>
      </c>
      <c r="AJ237" t="s">
        <v>22675</v>
      </c>
      <c r="AK237" t="s">
        <v>69</v>
      </c>
      <c r="AL237">
        <v>33</v>
      </c>
      <c r="AM237">
        <v>8</v>
      </c>
      <c r="AN237">
        <v>8</v>
      </c>
      <c r="AO237">
        <v>0</v>
      </c>
      <c r="AP237">
        <v>2</v>
      </c>
      <c r="AQ237" t="s">
        <v>14489</v>
      </c>
      <c r="AR237" t="s">
        <v>14490</v>
      </c>
      <c r="AS237" t="s">
        <v>14491</v>
      </c>
      <c r="AT237" t="s">
        <v>22676</v>
      </c>
      <c r="AU237" t="s">
        <v>22677</v>
      </c>
      <c r="AV237" t="s">
        <v>69</v>
      </c>
      <c r="AW237" t="s">
        <v>22678</v>
      </c>
      <c r="AX237" t="s">
        <v>22679</v>
      </c>
      <c r="AY237" t="s">
        <v>4429</v>
      </c>
      <c r="AZ237">
        <v>2015</v>
      </c>
      <c r="BA237">
        <v>13</v>
      </c>
      <c r="BB237">
        <v>3</v>
      </c>
      <c r="BC237" t="s">
        <v>69</v>
      </c>
      <c r="BD237" t="s">
        <v>69</v>
      </c>
      <c r="BE237" t="s">
        <v>69</v>
      </c>
      <c r="BF237" t="s">
        <v>69</v>
      </c>
      <c r="BG237">
        <v>212</v>
      </c>
      <c r="BH237">
        <v>218</v>
      </c>
      <c r="BI237" t="s">
        <v>69</v>
      </c>
      <c r="BJ237" t="s">
        <v>22680</v>
      </c>
      <c r="BK237" t="str">
        <f>HYPERLINK("http://dx.doi.org/10.1089/bio.2015.0007","http://dx.doi.org/10.1089/bio.2015.0007")</f>
        <v>http://dx.doi.org/10.1089/bio.2015.0007</v>
      </c>
      <c r="BL237" t="s">
        <v>69</v>
      </c>
      <c r="BM237" t="s">
        <v>69</v>
      </c>
      <c r="BN237">
        <v>7</v>
      </c>
      <c r="BO237" t="s">
        <v>22681</v>
      </c>
      <c r="BP237" t="s">
        <v>8548</v>
      </c>
      <c r="BQ237" t="s">
        <v>22682</v>
      </c>
      <c r="BR237" t="s">
        <v>22683</v>
      </c>
      <c r="BS237" t="s">
        <v>22684</v>
      </c>
      <c r="BT237">
        <v>26035012</v>
      </c>
      <c r="BU237" t="s">
        <v>69</v>
      </c>
      <c r="BV237" t="s">
        <v>69</v>
      </c>
      <c r="BW237" t="s">
        <v>69</v>
      </c>
      <c r="BX237" t="s">
        <v>8526</v>
      </c>
      <c r="BY237" t="str">
        <f>HYPERLINK("https%3A%2F%2Fwww.webofscience.com%2Fwos%2Fwoscc%2Ffull-record%2FWOS:000363940000010","View Full Record in Web of Science")</f>
        <v>View Full Record in Web of Science</v>
      </c>
    </row>
    <row r="238" spans="1:77" ht="12.5" x14ac:dyDescent="0.25">
      <c r="A238" t="s">
        <v>8495</v>
      </c>
      <c r="B238" s="22" t="s">
        <v>32931</v>
      </c>
      <c r="C238" s="7"/>
      <c r="D238" s="7"/>
      <c r="E238" s="7"/>
      <c r="F238" t="s">
        <v>67</v>
      </c>
      <c r="G238" t="s">
        <v>30343</v>
      </c>
      <c r="H238" t="s">
        <v>69</v>
      </c>
      <c r="I238" t="s">
        <v>69</v>
      </c>
      <c r="J238" t="s">
        <v>69</v>
      </c>
      <c r="K238" t="s">
        <v>30343</v>
      </c>
      <c r="L238" t="s">
        <v>69</v>
      </c>
      <c r="M238" t="s">
        <v>69</v>
      </c>
      <c r="N238" t="s">
        <v>30344</v>
      </c>
      <c r="O238" t="s">
        <v>30345</v>
      </c>
      <c r="P238" t="s">
        <v>69</v>
      </c>
      <c r="Q238" t="s">
        <v>69</v>
      </c>
      <c r="R238" t="s">
        <v>8505</v>
      </c>
      <c r="S238" t="s">
        <v>8442</v>
      </c>
      <c r="T238" t="s">
        <v>69</v>
      </c>
      <c r="U238" t="s">
        <v>69</v>
      </c>
      <c r="V238" t="s">
        <v>69</v>
      </c>
      <c r="W238" t="s">
        <v>69</v>
      </c>
      <c r="X238" t="s">
        <v>69</v>
      </c>
      <c r="Y238" t="s">
        <v>30346</v>
      </c>
      <c r="Z238" t="s">
        <v>30347</v>
      </c>
      <c r="AA238" t="s">
        <v>30348</v>
      </c>
      <c r="AB238" t="s">
        <v>30349</v>
      </c>
      <c r="AC238" t="s">
        <v>69</v>
      </c>
      <c r="AD238" t="s">
        <v>30350</v>
      </c>
      <c r="AE238" t="s">
        <v>30351</v>
      </c>
      <c r="AF238" t="s">
        <v>69</v>
      </c>
      <c r="AG238" t="s">
        <v>69</v>
      </c>
      <c r="AH238" t="s">
        <v>30352</v>
      </c>
      <c r="AI238" t="s">
        <v>30353</v>
      </c>
      <c r="AJ238" t="s">
        <v>69</v>
      </c>
      <c r="AK238" t="s">
        <v>69</v>
      </c>
      <c r="AL238">
        <v>165</v>
      </c>
      <c r="AM238">
        <v>114</v>
      </c>
      <c r="AN238">
        <v>120</v>
      </c>
      <c r="AO238">
        <v>3</v>
      </c>
      <c r="AP238">
        <v>38</v>
      </c>
      <c r="AQ238" t="s">
        <v>30354</v>
      </c>
      <c r="AR238" t="s">
        <v>30355</v>
      </c>
      <c r="AS238" t="s">
        <v>30356</v>
      </c>
      <c r="AT238" t="s">
        <v>30357</v>
      </c>
      <c r="AU238" t="s">
        <v>30358</v>
      </c>
      <c r="AV238" t="s">
        <v>69</v>
      </c>
      <c r="AW238" t="s">
        <v>30359</v>
      </c>
      <c r="AX238" t="s">
        <v>30360</v>
      </c>
      <c r="AY238" t="s">
        <v>94</v>
      </c>
      <c r="AZ238">
        <v>2006</v>
      </c>
      <c r="BA238">
        <v>7</v>
      </c>
      <c r="BB238">
        <v>3</v>
      </c>
      <c r="BC238" t="s">
        <v>69</v>
      </c>
      <c r="BD238" t="s">
        <v>69</v>
      </c>
      <c r="BE238" t="s">
        <v>69</v>
      </c>
      <c r="BF238" t="s">
        <v>69</v>
      </c>
      <c r="BG238">
        <v>265</v>
      </c>
      <c r="BH238">
        <v>277</v>
      </c>
      <c r="BI238" t="s">
        <v>69</v>
      </c>
      <c r="BJ238" t="s">
        <v>30361</v>
      </c>
      <c r="BK238" t="str">
        <f>HYPERLINK("http://dx.doi.org/10.2174/138945006776054942","http://dx.doi.org/10.2174/138945006776054942")</f>
        <v>http://dx.doi.org/10.2174/138945006776054942</v>
      </c>
      <c r="BL238" t="s">
        <v>69</v>
      </c>
      <c r="BM238" t="s">
        <v>69</v>
      </c>
      <c r="BN238">
        <v>13</v>
      </c>
      <c r="BO238" t="s">
        <v>15044</v>
      </c>
      <c r="BP238" t="s">
        <v>8548</v>
      </c>
      <c r="BQ238" t="s">
        <v>15044</v>
      </c>
      <c r="BR238" t="s">
        <v>30362</v>
      </c>
      <c r="BS238" t="s">
        <v>30363</v>
      </c>
      <c r="BT238">
        <v>16515527</v>
      </c>
      <c r="BU238" t="s">
        <v>69</v>
      </c>
      <c r="BV238" t="s">
        <v>69</v>
      </c>
      <c r="BW238" t="s">
        <v>69</v>
      </c>
      <c r="BX238" t="s">
        <v>8526</v>
      </c>
      <c r="BY238" t="str">
        <f>HYPERLINK("https%3A%2F%2Fwww.webofscience.com%2Fwos%2Fwoscc%2Ffull-record%2FWOS:000235965400004","View Full Record in Web of Science")</f>
        <v>View Full Record in Web of Science</v>
      </c>
    </row>
    <row r="239" spans="1:77" ht="12.5" x14ac:dyDescent="0.25">
      <c r="A239" t="s">
        <v>8495</v>
      </c>
      <c r="B239" s="22" t="s">
        <v>32931</v>
      </c>
      <c r="C239" s="7"/>
      <c r="D239" s="7"/>
      <c r="E239" s="7"/>
      <c r="F239" t="s">
        <v>67</v>
      </c>
      <c r="G239" t="s">
        <v>13431</v>
      </c>
      <c r="H239" t="s">
        <v>69</v>
      </c>
      <c r="I239" t="s">
        <v>69</v>
      </c>
      <c r="J239" t="s">
        <v>69</v>
      </c>
      <c r="K239" t="s">
        <v>13432</v>
      </c>
      <c r="L239" t="s">
        <v>69</v>
      </c>
      <c r="M239" t="s">
        <v>69</v>
      </c>
      <c r="N239" t="s">
        <v>13433</v>
      </c>
      <c r="O239" t="s">
        <v>13434</v>
      </c>
      <c r="P239" t="s">
        <v>69</v>
      </c>
      <c r="Q239" t="s">
        <v>69</v>
      </c>
      <c r="R239" t="s">
        <v>8505</v>
      </c>
      <c r="S239" t="s">
        <v>8506</v>
      </c>
      <c r="T239" t="s">
        <v>69</v>
      </c>
      <c r="U239" t="s">
        <v>69</v>
      </c>
      <c r="V239" t="s">
        <v>69</v>
      </c>
      <c r="W239" t="s">
        <v>69</v>
      </c>
      <c r="X239" t="s">
        <v>69</v>
      </c>
      <c r="Y239" t="s">
        <v>13435</v>
      </c>
      <c r="Z239" t="s">
        <v>69</v>
      </c>
      <c r="AA239" t="s">
        <v>13436</v>
      </c>
      <c r="AB239" t="s">
        <v>13437</v>
      </c>
      <c r="AC239" t="s">
        <v>69</v>
      </c>
      <c r="AD239" t="s">
        <v>13438</v>
      </c>
      <c r="AE239" t="s">
        <v>13439</v>
      </c>
      <c r="AF239" t="s">
        <v>13440</v>
      </c>
      <c r="AG239" t="s">
        <v>13441</v>
      </c>
      <c r="AH239" t="s">
        <v>69</v>
      </c>
      <c r="AI239" t="s">
        <v>69</v>
      </c>
      <c r="AJ239" t="s">
        <v>69</v>
      </c>
      <c r="AK239" t="s">
        <v>69</v>
      </c>
      <c r="AL239">
        <v>18</v>
      </c>
      <c r="AM239">
        <v>0</v>
      </c>
      <c r="AN239">
        <v>0</v>
      </c>
      <c r="AO239">
        <v>5</v>
      </c>
      <c r="AP239">
        <v>5</v>
      </c>
      <c r="AQ239" t="s">
        <v>13442</v>
      </c>
      <c r="AR239" t="s">
        <v>13443</v>
      </c>
      <c r="AS239" t="s">
        <v>13444</v>
      </c>
      <c r="AT239" t="s">
        <v>13445</v>
      </c>
      <c r="AU239" t="s">
        <v>13446</v>
      </c>
      <c r="AV239" t="s">
        <v>69</v>
      </c>
      <c r="AW239" t="s">
        <v>13447</v>
      </c>
      <c r="AX239" t="s">
        <v>13448</v>
      </c>
      <c r="AY239" t="s">
        <v>69</v>
      </c>
      <c r="AZ239">
        <v>2021</v>
      </c>
      <c r="BA239">
        <v>15</v>
      </c>
      <c r="BB239">
        <v>2</v>
      </c>
      <c r="BC239" t="s">
        <v>69</v>
      </c>
      <c r="BD239" t="s">
        <v>69</v>
      </c>
      <c r="BE239" t="s">
        <v>69</v>
      </c>
      <c r="BF239" t="s">
        <v>69</v>
      </c>
      <c r="BG239">
        <v>161</v>
      </c>
      <c r="BH239">
        <v>169</v>
      </c>
      <c r="BI239" t="s">
        <v>69</v>
      </c>
      <c r="BJ239" t="s">
        <v>13449</v>
      </c>
      <c r="BK239" t="str">
        <f>HYPERLINK("http://dx.doi.org/10.15551/pesd2021152013","http://dx.doi.org/10.15551/pesd2021152013")</f>
        <v>http://dx.doi.org/10.15551/pesd2021152013</v>
      </c>
      <c r="BL239" t="s">
        <v>69</v>
      </c>
      <c r="BM239" t="s">
        <v>69</v>
      </c>
      <c r="BN239">
        <v>9</v>
      </c>
      <c r="BO239" t="s">
        <v>8446</v>
      </c>
      <c r="BP239" t="s">
        <v>8573</v>
      </c>
      <c r="BQ239" t="s">
        <v>8446</v>
      </c>
      <c r="BR239" t="s">
        <v>13450</v>
      </c>
      <c r="BS239" t="s">
        <v>13451</v>
      </c>
      <c r="BT239" t="s">
        <v>69</v>
      </c>
      <c r="BU239" t="s">
        <v>8931</v>
      </c>
      <c r="BV239" t="s">
        <v>69</v>
      </c>
      <c r="BW239" t="s">
        <v>69</v>
      </c>
      <c r="BX239" t="s">
        <v>8526</v>
      </c>
      <c r="BY239" t="str">
        <f>HYPERLINK("https%3A%2F%2Fwww.webofscience.com%2Fwos%2Fwoscc%2Ffull-record%2FWOS:000744252400014","View Full Record in Web of Science")</f>
        <v>View Full Record in Web of Science</v>
      </c>
    </row>
    <row r="240" spans="1:77" ht="12.5" x14ac:dyDescent="0.25">
      <c r="A240" t="s">
        <v>8495</v>
      </c>
      <c r="B240" s="7" t="s">
        <v>32933</v>
      </c>
      <c r="C240" s="7"/>
      <c r="D240" s="7"/>
      <c r="E240" s="7"/>
      <c r="F240" t="s">
        <v>67</v>
      </c>
      <c r="G240" t="s">
        <v>4472</v>
      </c>
      <c r="H240" t="s">
        <v>69</v>
      </c>
      <c r="I240" t="s">
        <v>69</v>
      </c>
      <c r="J240" t="s">
        <v>69</v>
      </c>
      <c r="K240" t="s">
        <v>4473</v>
      </c>
      <c r="L240" t="s">
        <v>69</v>
      </c>
      <c r="M240" t="s">
        <v>69</v>
      </c>
      <c r="N240" t="s">
        <v>4474</v>
      </c>
      <c r="O240" t="s">
        <v>4475</v>
      </c>
      <c r="P240" t="s">
        <v>69</v>
      </c>
      <c r="Q240" t="s">
        <v>69</v>
      </c>
      <c r="R240" t="s">
        <v>8505</v>
      </c>
      <c r="S240" t="s">
        <v>15797</v>
      </c>
      <c r="T240" t="s">
        <v>4476</v>
      </c>
      <c r="U240" t="s">
        <v>4477</v>
      </c>
      <c r="V240" t="s">
        <v>4478</v>
      </c>
      <c r="W240" t="s">
        <v>69</v>
      </c>
      <c r="X240" t="s">
        <v>4479</v>
      </c>
      <c r="Y240" t="s">
        <v>30219</v>
      </c>
      <c r="Z240" t="s">
        <v>30220</v>
      </c>
      <c r="AA240" t="s">
        <v>4480</v>
      </c>
      <c r="AB240" t="s">
        <v>30221</v>
      </c>
      <c r="AC240" t="s">
        <v>69</v>
      </c>
      <c r="AD240" t="s">
        <v>30222</v>
      </c>
      <c r="AE240" t="s">
        <v>30223</v>
      </c>
      <c r="AF240" t="s">
        <v>30224</v>
      </c>
      <c r="AG240" t="s">
        <v>4481</v>
      </c>
      <c r="AH240" t="s">
        <v>69</v>
      </c>
      <c r="AI240" t="s">
        <v>69</v>
      </c>
      <c r="AJ240" t="s">
        <v>69</v>
      </c>
      <c r="AK240" t="s">
        <v>69</v>
      </c>
      <c r="AL240">
        <v>217</v>
      </c>
      <c r="AM240">
        <v>51</v>
      </c>
      <c r="AN240">
        <v>54</v>
      </c>
      <c r="AO240">
        <v>0</v>
      </c>
      <c r="AP240">
        <v>78</v>
      </c>
      <c r="AQ240" t="s">
        <v>9047</v>
      </c>
      <c r="AR240" t="s">
        <v>9048</v>
      </c>
      <c r="AS240" t="s">
        <v>9049</v>
      </c>
      <c r="AT240" t="s">
        <v>4482</v>
      </c>
      <c r="AU240" t="s">
        <v>4483</v>
      </c>
      <c r="AV240" t="s">
        <v>69</v>
      </c>
      <c r="AW240" t="s">
        <v>4475</v>
      </c>
      <c r="AX240" t="s">
        <v>30225</v>
      </c>
      <c r="AY240" t="s">
        <v>84</v>
      </c>
      <c r="AZ240">
        <v>2006</v>
      </c>
      <c r="BA240">
        <v>565</v>
      </c>
      <c r="BB240" t="s">
        <v>69</v>
      </c>
      <c r="BC240" t="s">
        <v>69</v>
      </c>
      <c r="BD240" t="s">
        <v>69</v>
      </c>
      <c r="BE240" t="s">
        <v>69</v>
      </c>
      <c r="BF240" t="s">
        <v>69</v>
      </c>
      <c r="BG240">
        <v>165</v>
      </c>
      <c r="BH240">
        <v>186</v>
      </c>
      <c r="BI240" t="s">
        <v>69</v>
      </c>
      <c r="BJ240" t="s">
        <v>4484</v>
      </c>
      <c r="BK240" t="str">
        <f>HYPERLINK("http://dx.doi.org/10.1007/s10750-005-1912-8","http://dx.doi.org/10.1007/s10750-005-1912-8")</f>
        <v>http://dx.doi.org/10.1007/s10750-005-1912-8</v>
      </c>
      <c r="BL240" t="s">
        <v>69</v>
      </c>
      <c r="BM240" t="s">
        <v>69</v>
      </c>
      <c r="BN240">
        <v>22</v>
      </c>
      <c r="BO240" t="s">
        <v>27778</v>
      </c>
      <c r="BP240" t="s">
        <v>15808</v>
      </c>
      <c r="BQ240" t="s">
        <v>27778</v>
      </c>
      <c r="BR240" t="s">
        <v>30226</v>
      </c>
      <c r="BS240" t="s">
        <v>4485</v>
      </c>
      <c r="BT240" t="s">
        <v>69</v>
      </c>
      <c r="BU240" t="s">
        <v>69</v>
      </c>
      <c r="BV240" t="s">
        <v>69</v>
      </c>
      <c r="BW240" t="s">
        <v>69</v>
      </c>
      <c r="BX240" t="s">
        <v>8526</v>
      </c>
      <c r="BY240" t="str">
        <f>HYPERLINK("https%3A%2F%2Fwww.webofscience.com%2Fwos%2Fwoscc%2Ffull-record%2FWOS:000237670600012","View Full Record in Web of Science")</f>
        <v>View Full Record in Web of Science</v>
      </c>
    </row>
    <row r="241" spans="1:77" ht="12.5" x14ac:dyDescent="0.25">
      <c r="A241" t="s">
        <v>8495</v>
      </c>
      <c r="B241" s="22" t="s">
        <v>32931</v>
      </c>
      <c r="C241" s="7"/>
      <c r="D241" s="7"/>
      <c r="E241" s="7"/>
      <c r="F241" t="s">
        <v>67</v>
      </c>
      <c r="G241" t="s">
        <v>22705</v>
      </c>
      <c r="H241" t="s">
        <v>69</v>
      </c>
      <c r="I241" t="s">
        <v>69</v>
      </c>
      <c r="J241" t="s">
        <v>69</v>
      </c>
      <c r="K241" t="s">
        <v>22706</v>
      </c>
      <c r="L241" t="s">
        <v>69</v>
      </c>
      <c r="M241" t="s">
        <v>69</v>
      </c>
      <c r="N241" t="s">
        <v>22707</v>
      </c>
      <c r="O241" t="s">
        <v>22708</v>
      </c>
      <c r="P241" t="s">
        <v>69</v>
      </c>
      <c r="Q241" t="s">
        <v>69</v>
      </c>
      <c r="R241" t="s">
        <v>8505</v>
      </c>
      <c r="S241" t="s">
        <v>8506</v>
      </c>
      <c r="T241" t="s">
        <v>69</v>
      </c>
      <c r="U241" t="s">
        <v>69</v>
      </c>
      <c r="V241" t="s">
        <v>69</v>
      </c>
      <c r="W241" t="s">
        <v>69</v>
      </c>
      <c r="X241" t="s">
        <v>69</v>
      </c>
      <c r="Y241" t="s">
        <v>22709</v>
      </c>
      <c r="Z241" t="s">
        <v>69</v>
      </c>
      <c r="AA241" t="s">
        <v>22710</v>
      </c>
      <c r="AB241" t="s">
        <v>22711</v>
      </c>
      <c r="AC241" t="s">
        <v>69</v>
      </c>
      <c r="AD241" t="s">
        <v>22712</v>
      </c>
      <c r="AE241" t="s">
        <v>22713</v>
      </c>
      <c r="AF241" t="s">
        <v>69</v>
      </c>
      <c r="AG241" t="s">
        <v>69</v>
      </c>
      <c r="AH241" t="s">
        <v>69</v>
      </c>
      <c r="AI241" t="s">
        <v>69</v>
      </c>
      <c r="AJ241" t="s">
        <v>69</v>
      </c>
      <c r="AK241" t="s">
        <v>69</v>
      </c>
      <c r="AL241">
        <v>42</v>
      </c>
      <c r="AM241">
        <v>7</v>
      </c>
      <c r="AN241">
        <v>7</v>
      </c>
      <c r="AO241">
        <v>0</v>
      </c>
      <c r="AP241">
        <v>10</v>
      </c>
      <c r="AQ241" t="s">
        <v>9047</v>
      </c>
      <c r="AR241" t="s">
        <v>9048</v>
      </c>
      <c r="AS241" t="s">
        <v>9049</v>
      </c>
      <c r="AT241" t="s">
        <v>22714</v>
      </c>
      <c r="AU241" t="s">
        <v>22715</v>
      </c>
      <c r="AV241" t="s">
        <v>69</v>
      </c>
      <c r="AW241" t="s">
        <v>22716</v>
      </c>
      <c r="AX241" t="s">
        <v>22717</v>
      </c>
      <c r="AY241" t="s">
        <v>155</v>
      </c>
      <c r="AZ241">
        <v>2015</v>
      </c>
      <c r="BA241">
        <v>24</v>
      </c>
      <c r="BB241" t="s">
        <v>4267</v>
      </c>
      <c r="BC241" t="s">
        <v>69</v>
      </c>
      <c r="BD241" t="s">
        <v>69</v>
      </c>
      <c r="BE241" t="s">
        <v>114</v>
      </c>
      <c r="BF241" t="s">
        <v>69</v>
      </c>
      <c r="BG241">
        <v>223</v>
      </c>
      <c r="BH241">
        <v>249</v>
      </c>
      <c r="BI241" t="s">
        <v>69</v>
      </c>
      <c r="BJ241" t="s">
        <v>22718</v>
      </c>
      <c r="BK241" t="str">
        <f>HYPERLINK("http://dx.doi.org/10.1007/s10606-015-9223-8","http://dx.doi.org/10.1007/s10606-015-9223-8")</f>
        <v>http://dx.doi.org/10.1007/s10606-015-9223-8</v>
      </c>
      <c r="BL241" t="s">
        <v>69</v>
      </c>
      <c r="BM241" t="s">
        <v>69</v>
      </c>
      <c r="BN241">
        <v>27</v>
      </c>
      <c r="BO241" t="s">
        <v>22719</v>
      </c>
      <c r="BP241" t="s">
        <v>8548</v>
      </c>
      <c r="BQ241" t="s">
        <v>10976</v>
      </c>
      <c r="BR241" t="s">
        <v>22720</v>
      </c>
      <c r="BS241" t="s">
        <v>22721</v>
      </c>
      <c r="BT241" t="s">
        <v>69</v>
      </c>
      <c r="BU241" t="s">
        <v>9292</v>
      </c>
      <c r="BV241" t="s">
        <v>69</v>
      </c>
      <c r="BW241" t="s">
        <v>69</v>
      </c>
      <c r="BX241" t="s">
        <v>8526</v>
      </c>
      <c r="BY241" t="str">
        <f>HYPERLINK("https%3A%2F%2Fwww.webofscience.com%2Fwos%2Fwoscc%2Ffull-record%2FWOS:000354957500007","View Full Record in Web of Science")</f>
        <v>View Full Record in Web of Science</v>
      </c>
    </row>
    <row r="242" spans="1:77" ht="12.5" x14ac:dyDescent="0.25">
      <c r="A242" t="s">
        <v>8495</v>
      </c>
      <c r="B242" s="22" t="s">
        <v>32931</v>
      </c>
      <c r="C242" s="7"/>
      <c r="D242" s="7"/>
      <c r="E242" s="7"/>
      <c r="F242" t="s">
        <v>67</v>
      </c>
      <c r="G242" t="s">
        <v>10129</v>
      </c>
      <c r="H242" t="s">
        <v>69</v>
      </c>
      <c r="I242" t="s">
        <v>69</v>
      </c>
      <c r="J242" t="s">
        <v>69</v>
      </c>
      <c r="K242" t="s">
        <v>10130</v>
      </c>
      <c r="L242" t="s">
        <v>69</v>
      </c>
      <c r="M242" t="s">
        <v>69</v>
      </c>
      <c r="N242" t="s">
        <v>10131</v>
      </c>
      <c r="O242" t="s">
        <v>10132</v>
      </c>
      <c r="P242" t="s">
        <v>69</v>
      </c>
      <c r="Q242" t="s">
        <v>69</v>
      </c>
      <c r="R242" t="s">
        <v>8505</v>
      </c>
      <c r="S242" t="s">
        <v>8442</v>
      </c>
      <c r="T242" t="s">
        <v>69</v>
      </c>
      <c r="U242" t="s">
        <v>69</v>
      </c>
      <c r="V242" t="s">
        <v>69</v>
      </c>
      <c r="W242" t="s">
        <v>69</v>
      </c>
      <c r="X242" t="s">
        <v>69</v>
      </c>
      <c r="Y242" t="s">
        <v>10133</v>
      </c>
      <c r="Z242" t="s">
        <v>10134</v>
      </c>
      <c r="AA242" t="s">
        <v>10135</v>
      </c>
      <c r="AB242" t="s">
        <v>10136</v>
      </c>
      <c r="AC242" t="s">
        <v>69</v>
      </c>
      <c r="AD242" t="s">
        <v>10137</v>
      </c>
      <c r="AE242" t="s">
        <v>69</v>
      </c>
      <c r="AF242" t="s">
        <v>10138</v>
      </c>
      <c r="AG242" t="s">
        <v>10139</v>
      </c>
      <c r="AH242" t="s">
        <v>69</v>
      </c>
      <c r="AI242" t="s">
        <v>69</v>
      </c>
      <c r="AJ242" t="s">
        <v>69</v>
      </c>
      <c r="AK242" t="s">
        <v>69</v>
      </c>
      <c r="AL242">
        <v>68</v>
      </c>
      <c r="AM242">
        <v>0</v>
      </c>
      <c r="AN242">
        <v>0</v>
      </c>
      <c r="AO242">
        <v>3</v>
      </c>
      <c r="AP242">
        <v>3</v>
      </c>
      <c r="AQ242" t="s">
        <v>10140</v>
      </c>
      <c r="AR242" t="s">
        <v>10141</v>
      </c>
      <c r="AS242" t="s">
        <v>10142</v>
      </c>
      <c r="AT242" t="s">
        <v>10143</v>
      </c>
      <c r="AU242" t="s">
        <v>69</v>
      </c>
      <c r="AV242" t="s">
        <v>69</v>
      </c>
      <c r="AW242" t="s">
        <v>10144</v>
      </c>
      <c r="AX242" t="s">
        <v>10145</v>
      </c>
      <c r="AY242" t="s">
        <v>69</v>
      </c>
      <c r="AZ242">
        <v>2022</v>
      </c>
      <c r="BA242">
        <v>12</v>
      </c>
      <c r="BB242" t="s">
        <v>336</v>
      </c>
      <c r="BC242" t="s">
        <v>69</v>
      </c>
      <c r="BD242" t="s">
        <v>69</v>
      </c>
      <c r="BE242" t="s">
        <v>69</v>
      </c>
      <c r="BF242" t="s">
        <v>69</v>
      </c>
      <c r="BG242" t="s">
        <v>69</v>
      </c>
      <c r="BH242" t="s">
        <v>69</v>
      </c>
      <c r="BI242">
        <v>22010202</v>
      </c>
      <c r="BJ242" t="s">
        <v>10146</v>
      </c>
      <c r="BK242" t="str">
        <f>HYPERLINK("http://dx.doi.org/10.22215/timreview/1479","http://dx.doi.org/10.22215/timreview/1479")</f>
        <v>http://dx.doi.org/10.22215/timreview/1479</v>
      </c>
      <c r="BL242" t="s">
        <v>69</v>
      </c>
      <c r="BM242" t="s">
        <v>69</v>
      </c>
      <c r="BN242">
        <v>17</v>
      </c>
      <c r="BO242" t="s">
        <v>9410</v>
      </c>
      <c r="BP242" t="s">
        <v>8573</v>
      </c>
      <c r="BQ242" t="s">
        <v>8594</v>
      </c>
      <c r="BR242" t="s">
        <v>10147</v>
      </c>
      <c r="BS242" t="s">
        <v>10148</v>
      </c>
      <c r="BT242" t="s">
        <v>69</v>
      </c>
      <c r="BU242" t="s">
        <v>69</v>
      </c>
      <c r="BV242" t="s">
        <v>69</v>
      </c>
      <c r="BW242" t="s">
        <v>69</v>
      </c>
      <c r="BX242" t="s">
        <v>8526</v>
      </c>
      <c r="BY242" t="str">
        <f>HYPERLINK("https%3A%2F%2Fwww.webofscience.com%2Fwos%2Fwoscc%2Ffull-record%2FWOS:000810941100006","View Full Record in Web of Science")</f>
        <v>View Full Record in Web of Science</v>
      </c>
    </row>
    <row r="243" spans="1:77" ht="12.5" x14ac:dyDescent="0.25">
      <c r="A243" t="s">
        <v>8495</v>
      </c>
      <c r="B243" s="22" t="s">
        <v>32931</v>
      </c>
      <c r="C243" s="7"/>
      <c r="D243" s="7"/>
      <c r="E243" s="7"/>
      <c r="F243" t="s">
        <v>67</v>
      </c>
      <c r="G243" t="s">
        <v>11602</v>
      </c>
      <c r="H243" t="s">
        <v>69</v>
      </c>
      <c r="I243" t="s">
        <v>69</v>
      </c>
      <c r="J243" t="s">
        <v>69</v>
      </c>
      <c r="K243" t="s">
        <v>11603</v>
      </c>
      <c r="L243" t="s">
        <v>69</v>
      </c>
      <c r="M243" t="s">
        <v>69</v>
      </c>
      <c r="N243" t="s">
        <v>11604</v>
      </c>
      <c r="O243" t="s">
        <v>436</v>
      </c>
      <c r="P243" t="s">
        <v>69</v>
      </c>
      <c r="Q243" t="s">
        <v>69</v>
      </c>
      <c r="R243" t="s">
        <v>8505</v>
      </c>
      <c r="S243" t="s">
        <v>8506</v>
      </c>
      <c r="T243" t="s">
        <v>69</v>
      </c>
      <c r="U243" t="s">
        <v>69</v>
      </c>
      <c r="V243" t="s">
        <v>69</v>
      </c>
      <c r="W243" t="s">
        <v>69</v>
      </c>
      <c r="X243" t="s">
        <v>69</v>
      </c>
      <c r="Y243" t="s">
        <v>11605</v>
      </c>
      <c r="Z243" t="s">
        <v>11606</v>
      </c>
      <c r="AA243" t="s">
        <v>11607</v>
      </c>
      <c r="AB243" t="s">
        <v>11608</v>
      </c>
      <c r="AC243" t="s">
        <v>69</v>
      </c>
      <c r="AD243" t="s">
        <v>11609</v>
      </c>
      <c r="AE243" t="s">
        <v>11610</v>
      </c>
      <c r="AF243" t="s">
        <v>11611</v>
      </c>
      <c r="AG243" t="s">
        <v>11612</v>
      </c>
      <c r="AH243" t="s">
        <v>69</v>
      </c>
      <c r="AI243" t="s">
        <v>69</v>
      </c>
      <c r="AJ243" t="s">
        <v>69</v>
      </c>
      <c r="AK243" t="s">
        <v>69</v>
      </c>
      <c r="AL243">
        <v>251</v>
      </c>
      <c r="AM243">
        <v>12</v>
      </c>
      <c r="AN243">
        <v>12</v>
      </c>
      <c r="AO243">
        <v>35</v>
      </c>
      <c r="AP243">
        <v>40</v>
      </c>
      <c r="AQ243" t="s">
        <v>8636</v>
      </c>
      <c r="AR243" t="s">
        <v>8637</v>
      </c>
      <c r="AS243" t="s">
        <v>8638</v>
      </c>
      <c r="AT243" t="s">
        <v>440</v>
      </c>
      <c r="AU243" t="s">
        <v>441</v>
      </c>
      <c r="AV243" t="s">
        <v>69</v>
      </c>
      <c r="AW243" t="s">
        <v>8639</v>
      </c>
      <c r="AX243" t="s">
        <v>8640</v>
      </c>
      <c r="AY243" t="s">
        <v>7048</v>
      </c>
      <c r="AZ243">
        <v>2021</v>
      </c>
      <c r="BA243">
        <v>318</v>
      </c>
      <c r="BB243" t="s">
        <v>69</v>
      </c>
      <c r="BC243" t="s">
        <v>69</v>
      </c>
      <c r="BD243" t="s">
        <v>69</v>
      </c>
      <c r="BE243" t="s">
        <v>69</v>
      </c>
      <c r="BF243" t="s">
        <v>69</v>
      </c>
      <c r="BG243" t="s">
        <v>69</v>
      </c>
      <c r="BH243" t="s">
        <v>69</v>
      </c>
      <c r="BI243">
        <v>128474</v>
      </c>
      <c r="BJ243" t="s">
        <v>11613</v>
      </c>
      <c r="BK243" t="str">
        <f>HYPERLINK("http://dx.doi.org/10.1016/j.jclepro.2021.128474","http://dx.doi.org/10.1016/j.jclepro.2021.128474")</f>
        <v>http://dx.doi.org/10.1016/j.jclepro.2021.128474</v>
      </c>
      <c r="BL243" t="s">
        <v>69</v>
      </c>
      <c r="BM243" t="s">
        <v>11486</v>
      </c>
      <c r="BN243">
        <v>19</v>
      </c>
      <c r="BO243" t="s">
        <v>8643</v>
      </c>
      <c r="BP243" t="s">
        <v>8523</v>
      </c>
      <c r="BQ243" t="s">
        <v>8644</v>
      </c>
      <c r="BR243" t="s">
        <v>11614</v>
      </c>
      <c r="BS243" t="s">
        <v>11615</v>
      </c>
      <c r="BT243" t="s">
        <v>69</v>
      </c>
      <c r="BU243" t="s">
        <v>9374</v>
      </c>
      <c r="BV243" t="s">
        <v>69</v>
      </c>
      <c r="BW243" t="s">
        <v>69</v>
      </c>
      <c r="BX243" t="s">
        <v>8526</v>
      </c>
      <c r="BY243" t="str">
        <f>HYPERLINK("https%3A%2F%2Fwww.webofscience.com%2Fwos%2Fwoscc%2Ffull-record%2FWOS:000725268100001","View Full Record in Web of Science")</f>
        <v>View Full Record in Web of Science</v>
      </c>
    </row>
    <row r="244" spans="1:77" ht="12.5" x14ac:dyDescent="0.25">
      <c r="A244" t="s">
        <v>8495</v>
      </c>
      <c r="B244" s="22" t="s">
        <v>32931</v>
      </c>
      <c r="C244" s="7"/>
      <c r="D244" s="7"/>
      <c r="E244" s="7"/>
      <c r="F244" t="s">
        <v>67</v>
      </c>
      <c r="G244" t="s">
        <v>11813</v>
      </c>
      <c r="H244" t="s">
        <v>69</v>
      </c>
      <c r="I244" t="s">
        <v>69</v>
      </c>
      <c r="J244" t="s">
        <v>69</v>
      </c>
      <c r="K244" t="s">
        <v>11814</v>
      </c>
      <c r="L244" t="s">
        <v>69</v>
      </c>
      <c r="M244" t="s">
        <v>69</v>
      </c>
      <c r="N244" t="s">
        <v>11815</v>
      </c>
      <c r="O244" t="s">
        <v>11816</v>
      </c>
      <c r="P244" t="s">
        <v>69</v>
      </c>
      <c r="Q244" t="s">
        <v>69</v>
      </c>
      <c r="R244" t="s">
        <v>8505</v>
      </c>
      <c r="S244" t="s">
        <v>8506</v>
      </c>
      <c r="T244" t="s">
        <v>69</v>
      </c>
      <c r="U244" t="s">
        <v>69</v>
      </c>
      <c r="V244" t="s">
        <v>69</v>
      </c>
      <c r="W244" t="s">
        <v>69</v>
      </c>
      <c r="X244" t="s">
        <v>69</v>
      </c>
      <c r="Y244" t="s">
        <v>11817</v>
      </c>
      <c r="Z244" t="s">
        <v>69</v>
      </c>
      <c r="AA244" t="s">
        <v>11818</v>
      </c>
      <c r="AB244" t="s">
        <v>11819</v>
      </c>
      <c r="AC244" t="s">
        <v>69</v>
      </c>
      <c r="AD244" t="s">
        <v>11820</v>
      </c>
      <c r="AE244" t="s">
        <v>11821</v>
      </c>
      <c r="AF244" t="s">
        <v>11822</v>
      </c>
      <c r="AG244" t="s">
        <v>11823</v>
      </c>
      <c r="AH244" t="s">
        <v>11824</v>
      </c>
      <c r="AI244" t="s">
        <v>11825</v>
      </c>
      <c r="AJ244" t="s">
        <v>11826</v>
      </c>
      <c r="AK244" t="s">
        <v>69</v>
      </c>
      <c r="AL244">
        <v>87</v>
      </c>
      <c r="AM244">
        <v>0</v>
      </c>
      <c r="AN244">
        <v>0</v>
      </c>
      <c r="AO244">
        <v>1</v>
      </c>
      <c r="AP244">
        <v>7</v>
      </c>
      <c r="AQ244" t="s">
        <v>8516</v>
      </c>
      <c r="AR244" t="s">
        <v>8517</v>
      </c>
      <c r="AS244" t="s">
        <v>8518</v>
      </c>
      <c r="AT244" t="s">
        <v>11827</v>
      </c>
      <c r="AU244" t="s">
        <v>69</v>
      </c>
      <c r="AV244" t="s">
        <v>69</v>
      </c>
      <c r="AW244" t="s">
        <v>11816</v>
      </c>
      <c r="AX244" t="s">
        <v>11828</v>
      </c>
      <c r="AY244" t="s">
        <v>84</v>
      </c>
      <c r="AZ244">
        <v>2021</v>
      </c>
      <c r="BA244">
        <v>23</v>
      </c>
      <c r="BB244" t="s">
        <v>69</v>
      </c>
      <c r="BC244" t="s">
        <v>69</v>
      </c>
      <c r="BD244" t="s">
        <v>69</v>
      </c>
      <c r="BE244" t="s">
        <v>69</v>
      </c>
      <c r="BF244" t="s">
        <v>69</v>
      </c>
      <c r="BG244" t="s">
        <v>69</v>
      </c>
      <c r="BH244" t="s">
        <v>69</v>
      </c>
      <c r="BI244">
        <v>100337</v>
      </c>
      <c r="BJ244" t="s">
        <v>11829</v>
      </c>
      <c r="BK244" t="str">
        <f>HYPERLINK("http://dx.doi.org/10.1016/j.impact.2021.100337","http://dx.doi.org/10.1016/j.impact.2021.100337")</f>
        <v>http://dx.doi.org/10.1016/j.impact.2021.100337</v>
      </c>
      <c r="BL244" t="s">
        <v>69</v>
      </c>
      <c r="BM244" t="s">
        <v>11790</v>
      </c>
      <c r="BN244">
        <v>14</v>
      </c>
      <c r="BO244" t="s">
        <v>11830</v>
      </c>
      <c r="BP244" t="s">
        <v>8548</v>
      </c>
      <c r="BQ244" t="s">
        <v>11831</v>
      </c>
      <c r="BR244" t="s">
        <v>11832</v>
      </c>
      <c r="BS244" t="s">
        <v>11833</v>
      </c>
      <c r="BT244">
        <v>35559838</v>
      </c>
      <c r="BU244" t="s">
        <v>69</v>
      </c>
      <c r="BV244" t="s">
        <v>69</v>
      </c>
      <c r="BW244" t="s">
        <v>69</v>
      </c>
      <c r="BX244" t="s">
        <v>8526</v>
      </c>
      <c r="BY244" t="str">
        <f>HYPERLINK("https%3A%2F%2Fwww.webofscience.com%2Fwos%2Fwoscc%2Ffull-record%2FWOS:000693220800009","View Full Record in Web of Science")</f>
        <v>View Full Record in Web of Science</v>
      </c>
    </row>
    <row r="245" spans="1:77" ht="12.5" x14ac:dyDescent="0.25">
      <c r="A245" t="s">
        <v>8495</v>
      </c>
      <c r="B245" s="7" t="s">
        <v>32933</v>
      </c>
      <c r="C245" s="7"/>
      <c r="D245" s="7"/>
      <c r="E245" s="7"/>
      <c r="F245" t="s">
        <v>67</v>
      </c>
      <c r="G245" t="s">
        <v>3253</v>
      </c>
      <c r="H245" t="s">
        <v>69</v>
      </c>
      <c r="I245" t="s">
        <v>69</v>
      </c>
      <c r="J245" t="s">
        <v>69</v>
      </c>
      <c r="K245" t="s">
        <v>3254</v>
      </c>
      <c r="L245" t="s">
        <v>69</v>
      </c>
      <c r="M245" t="s">
        <v>69</v>
      </c>
      <c r="N245" t="s">
        <v>3255</v>
      </c>
      <c r="O245" t="s">
        <v>3256</v>
      </c>
      <c r="P245" t="s">
        <v>69</v>
      </c>
      <c r="Q245" t="s">
        <v>69</v>
      </c>
      <c r="R245" t="s">
        <v>8505</v>
      </c>
      <c r="S245" t="s">
        <v>8506</v>
      </c>
      <c r="T245" t="s">
        <v>69</v>
      </c>
      <c r="U245" t="s">
        <v>69</v>
      </c>
      <c r="V245" t="s">
        <v>69</v>
      </c>
      <c r="W245" t="s">
        <v>69</v>
      </c>
      <c r="X245" t="s">
        <v>69</v>
      </c>
      <c r="Y245" t="s">
        <v>24461</v>
      </c>
      <c r="Z245" t="s">
        <v>24462</v>
      </c>
      <c r="AA245" t="s">
        <v>3257</v>
      </c>
      <c r="AB245" t="s">
        <v>24463</v>
      </c>
      <c r="AC245" t="s">
        <v>69</v>
      </c>
      <c r="AD245" t="s">
        <v>24464</v>
      </c>
      <c r="AE245" t="s">
        <v>24465</v>
      </c>
      <c r="AF245" t="s">
        <v>24466</v>
      </c>
      <c r="AG245" t="s">
        <v>3258</v>
      </c>
      <c r="AH245" t="s">
        <v>69</v>
      </c>
      <c r="AI245" t="s">
        <v>69</v>
      </c>
      <c r="AJ245" t="s">
        <v>69</v>
      </c>
      <c r="AK245" t="s">
        <v>69</v>
      </c>
      <c r="AL245">
        <v>140</v>
      </c>
      <c r="AM245">
        <v>52</v>
      </c>
      <c r="AN245">
        <v>52</v>
      </c>
      <c r="AO245">
        <v>4</v>
      </c>
      <c r="AP245">
        <v>56</v>
      </c>
      <c r="AQ245" t="s">
        <v>9047</v>
      </c>
      <c r="AR245" t="s">
        <v>8693</v>
      </c>
      <c r="AS245" t="s">
        <v>16643</v>
      </c>
      <c r="AT245" t="s">
        <v>3259</v>
      </c>
      <c r="AU245" t="s">
        <v>3260</v>
      </c>
      <c r="AV245" t="s">
        <v>69</v>
      </c>
      <c r="AW245" t="s">
        <v>24467</v>
      </c>
      <c r="AX245" t="s">
        <v>24468</v>
      </c>
      <c r="AY245" t="s">
        <v>75</v>
      </c>
      <c r="AZ245">
        <v>2013</v>
      </c>
      <c r="BA245">
        <v>30</v>
      </c>
      <c r="BB245">
        <v>4</v>
      </c>
      <c r="BC245" t="s">
        <v>69</v>
      </c>
      <c r="BD245" t="s">
        <v>69</v>
      </c>
      <c r="BE245" t="s">
        <v>69</v>
      </c>
      <c r="BF245" t="s">
        <v>69</v>
      </c>
      <c r="BG245">
        <v>1059</v>
      </c>
      <c r="BH245">
        <v>1086</v>
      </c>
      <c r="BI245" t="s">
        <v>69</v>
      </c>
      <c r="BJ245" t="s">
        <v>3261</v>
      </c>
      <c r="BK245" t="str">
        <f>HYPERLINK("http://dx.doi.org/10.1007/s10490-013-9363-7","http://dx.doi.org/10.1007/s10490-013-9363-7")</f>
        <v>http://dx.doi.org/10.1007/s10490-013-9363-7</v>
      </c>
      <c r="BL245" t="s">
        <v>69</v>
      </c>
      <c r="BM245" t="s">
        <v>69</v>
      </c>
      <c r="BN245">
        <v>28</v>
      </c>
      <c r="BO245" t="s">
        <v>9410</v>
      </c>
      <c r="BP245" t="s">
        <v>8661</v>
      </c>
      <c r="BQ245" t="s">
        <v>8594</v>
      </c>
      <c r="BR245" t="s">
        <v>24469</v>
      </c>
      <c r="BS245" t="s">
        <v>3262</v>
      </c>
      <c r="BT245" t="s">
        <v>69</v>
      </c>
      <c r="BU245" t="s">
        <v>69</v>
      </c>
      <c r="BV245" t="s">
        <v>69</v>
      </c>
      <c r="BW245" t="s">
        <v>69</v>
      </c>
      <c r="BX245" t="s">
        <v>8526</v>
      </c>
      <c r="BY245" t="str">
        <f>HYPERLINK("https%3A%2F%2Fwww.webofscience.com%2Fwos%2Fwoscc%2Ffull-record%2FWOS:000326735000005","View Full Record in Web of Science")</f>
        <v>View Full Record in Web of Science</v>
      </c>
    </row>
    <row r="246" spans="1:77" x14ac:dyDescent="0.3">
      <c r="A246" t="s">
        <v>8495</v>
      </c>
      <c r="B246" s="10" t="s">
        <v>32952</v>
      </c>
      <c r="F246" t="s">
        <v>67</v>
      </c>
      <c r="G246" t="s">
        <v>4328</v>
      </c>
      <c r="H246" t="s">
        <v>69</v>
      </c>
      <c r="I246" t="s">
        <v>69</v>
      </c>
      <c r="J246" t="s">
        <v>69</v>
      </c>
      <c r="K246" s="2" t="s">
        <v>4329</v>
      </c>
      <c r="L246" t="s">
        <v>69</v>
      </c>
      <c r="M246" t="s">
        <v>69</v>
      </c>
      <c r="N246" s="2" t="s">
        <v>4330</v>
      </c>
      <c r="O246" t="s">
        <v>2365</v>
      </c>
      <c r="P246" t="s">
        <v>69</v>
      </c>
      <c r="Q246" t="s">
        <v>69</v>
      </c>
      <c r="R246" t="s">
        <v>8505</v>
      </c>
      <c r="S246" t="s">
        <v>8506</v>
      </c>
      <c r="T246" t="s">
        <v>69</v>
      </c>
      <c r="U246" t="s">
        <v>69</v>
      </c>
      <c r="V246" t="s">
        <v>69</v>
      </c>
      <c r="W246" t="s">
        <v>69</v>
      </c>
      <c r="X246" t="s">
        <v>69</v>
      </c>
      <c r="Y246" t="s">
        <v>17416</v>
      </c>
      <c r="Z246" t="s">
        <v>17417</v>
      </c>
      <c r="AA246" t="s">
        <v>4331</v>
      </c>
      <c r="AB246" t="s">
        <v>17418</v>
      </c>
      <c r="AC246" t="s">
        <v>69</v>
      </c>
      <c r="AD246" t="s">
        <v>17419</v>
      </c>
      <c r="AE246" t="s">
        <v>17420</v>
      </c>
      <c r="AF246" t="s">
        <v>69</v>
      </c>
      <c r="AG246" t="s">
        <v>69</v>
      </c>
      <c r="AH246" t="s">
        <v>17421</v>
      </c>
      <c r="AI246" t="s">
        <v>17421</v>
      </c>
      <c r="AJ246" t="s">
        <v>17422</v>
      </c>
      <c r="AK246" t="s">
        <v>69</v>
      </c>
      <c r="AL246">
        <v>26</v>
      </c>
      <c r="AM246">
        <v>16</v>
      </c>
      <c r="AN246">
        <v>16</v>
      </c>
      <c r="AO246">
        <v>0</v>
      </c>
      <c r="AP246">
        <v>6</v>
      </c>
      <c r="AQ246" t="s">
        <v>8636</v>
      </c>
      <c r="AR246" t="s">
        <v>8637</v>
      </c>
      <c r="AS246" t="s">
        <v>8638</v>
      </c>
      <c r="AT246" t="s">
        <v>2368</v>
      </c>
      <c r="AU246" t="s">
        <v>2369</v>
      </c>
      <c r="AV246" t="s">
        <v>69</v>
      </c>
      <c r="AW246" t="s">
        <v>12397</v>
      </c>
      <c r="AX246" t="s">
        <v>12398</v>
      </c>
      <c r="AY246" t="s">
        <v>246</v>
      </c>
      <c r="AZ246">
        <v>2019</v>
      </c>
      <c r="BA246">
        <v>6</v>
      </c>
      <c r="BB246">
        <v>2</v>
      </c>
      <c r="BC246" t="s">
        <v>69</v>
      </c>
      <c r="BD246" t="s">
        <v>69</v>
      </c>
      <c r="BE246" t="s">
        <v>69</v>
      </c>
      <c r="BF246" t="s">
        <v>69</v>
      </c>
      <c r="BG246">
        <v>443</v>
      </c>
      <c r="BH246">
        <v>453</v>
      </c>
      <c r="BI246" t="s">
        <v>69</v>
      </c>
      <c r="BJ246" t="s">
        <v>4332</v>
      </c>
      <c r="BK246" t="str">
        <f>HYPERLINK("http://dx.doi.org/10.1016/j.exis.2019.01.007","http://dx.doi.org/10.1016/j.exis.2019.01.007")</f>
        <v>http://dx.doi.org/10.1016/j.exis.2019.01.007</v>
      </c>
      <c r="BL246" t="s">
        <v>69</v>
      </c>
      <c r="BM246" t="s">
        <v>69</v>
      </c>
      <c r="BN246">
        <v>11</v>
      </c>
      <c r="BO246" t="s">
        <v>8660</v>
      </c>
      <c r="BP246" t="s">
        <v>8661</v>
      </c>
      <c r="BQ246" t="s">
        <v>8662</v>
      </c>
      <c r="BR246" t="s">
        <v>17423</v>
      </c>
      <c r="BS246" t="s">
        <v>4333</v>
      </c>
      <c r="BT246" t="s">
        <v>69</v>
      </c>
      <c r="BU246" t="s">
        <v>69</v>
      </c>
      <c r="BV246" t="s">
        <v>69</v>
      </c>
      <c r="BW246" t="s">
        <v>69</v>
      </c>
      <c r="BX246" t="s">
        <v>8526</v>
      </c>
      <c r="BY246" t="str">
        <f>HYPERLINK("https%3A%2F%2Fwww.webofscience.com%2Fwos%2Fwoscc%2Ffull-record%2FWOS:000466795300019","View Full Record in Web of Science")</f>
        <v>View Full Record in Web of Science</v>
      </c>
    </row>
    <row r="247" spans="1:77" ht="12.5" x14ac:dyDescent="0.25">
      <c r="A247" t="s">
        <v>8495</v>
      </c>
      <c r="B247" s="22" t="s">
        <v>32931</v>
      </c>
      <c r="C247" s="7"/>
      <c r="D247" s="7"/>
      <c r="E247" s="7"/>
      <c r="F247" t="s">
        <v>67</v>
      </c>
      <c r="G247" t="s">
        <v>32368</v>
      </c>
      <c r="H247" t="s">
        <v>69</v>
      </c>
      <c r="I247" t="s">
        <v>69</v>
      </c>
      <c r="J247" t="s">
        <v>69</v>
      </c>
      <c r="K247" t="s">
        <v>32368</v>
      </c>
      <c r="L247" t="s">
        <v>69</v>
      </c>
      <c r="M247" t="s">
        <v>69</v>
      </c>
      <c r="N247" t="s">
        <v>32369</v>
      </c>
      <c r="O247" t="s">
        <v>32370</v>
      </c>
      <c r="P247" t="s">
        <v>69</v>
      </c>
      <c r="Q247" t="s">
        <v>69</v>
      </c>
      <c r="R247" t="s">
        <v>8505</v>
      </c>
      <c r="S247" t="s">
        <v>8506</v>
      </c>
      <c r="T247" t="s">
        <v>69</v>
      </c>
      <c r="U247" t="s">
        <v>69</v>
      </c>
      <c r="V247" t="s">
        <v>69</v>
      </c>
      <c r="W247" t="s">
        <v>69</v>
      </c>
      <c r="X247" t="s">
        <v>69</v>
      </c>
      <c r="Y247" t="s">
        <v>32371</v>
      </c>
      <c r="Z247" t="s">
        <v>32372</v>
      </c>
      <c r="AA247" t="s">
        <v>32373</v>
      </c>
      <c r="AB247" t="s">
        <v>32374</v>
      </c>
      <c r="AC247" t="s">
        <v>69</v>
      </c>
      <c r="AD247" t="s">
        <v>32375</v>
      </c>
      <c r="AE247" t="s">
        <v>69</v>
      </c>
      <c r="AF247" t="s">
        <v>69</v>
      </c>
      <c r="AG247" t="s">
        <v>69</v>
      </c>
      <c r="AH247" t="s">
        <v>69</v>
      </c>
      <c r="AI247" t="s">
        <v>69</v>
      </c>
      <c r="AJ247" t="s">
        <v>69</v>
      </c>
      <c r="AK247" t="s">
        <v>69</v>
      </c>
      <c r="AL247">
        <v>16</v>
      </c>
      <c r="AM247">
        <v>2</v>
      </c>
      <c r="AN247">
        <v>2</v>
      </c>
      <c r="AO247">
        <v>0</v>
      </c>
      <c r="AP247">
        <v>4</v>
      </c>
      <c r="AQ247" t="s">
        <v>32376</v>
      </c>
      <c r="AR247" t="s">
        <v>10141</v>
      </c>
      <c r="AS247" t="s">
        <v>32377</v>
      </c>
      <c r="AT247" t="s">
        <v>32378</v>
      </c>
      <c r="AU247" t="s">
        <v>69</v>
      </c>
      <c r="AV247" t="s">
        <v>69</v>
      </c>
      <c r="AW247" t="s">
        <v>32379</v>
      </c>
      <c r="AX247" t="s">
        <v>32380</v>
      </c>
      <c r="AY247" t="s">
        <v>75</v>
      </c>
      <c r="AZ247">
        <v>1996</v>
      </c>
      <c r="BA247">
        <v>33</v>
      </c>
      <c r="BB247">
        <v>6</v>
      </c>
      <c r="BC247" t="s">
        <v>69</v>
      </c>
      <c r="BD247" t="s">
        <v>69</v>
      </c>
      <c r="BE247" t="s">
        <v>69</v>
      </c>
      <c r="BF247" t="s">
        <v>69</v>
      </c>
      <c r="BG247">
        <v>926</v>
      </c>
      <c r="BH247">
        <v>936</v>
      </c>
      <c r="BI247" t="s">
        <v>69</v>
      </c>
      <c r="BJ247" t="s">
        <v>32381</v>
      </c>
      <c r="BK247" t="str">
        <f>HYPERLINK("http://dx.doi.org/10.1139/t96-122","http://dx.doi.org/10.1139/t96-122")</f>
        <v>http://dx.doi.org/10.1139/t96-122</v>
      </c>
      <c r="BL247" t="s">
        <v>69</v>
      </c>
      <c r="BM247" t="s">
        <v>69</v>
      </c>
      <c r="BN247">
        <v>11</v>
      </c>
      <c r="BO247" t="s">
        <v>31173</v>
      </c>
      <c r="BP247" t="s">
        <v>8548</v>
      </c>
      <c r="BQ247" t="s">
        <v>29172</v>
      </c>
      <c r="BR247" t="s">
        <v>32382</v>
      </c>
      <c r="BS247" t="s">
        <v>32383</v>
      </c>
      <c r="BT247" t="s">
        <v>69</v>
      </c>
      <c r="BU247" t="s">
        <v>69</v>
      </c>
      <c r="BV247" t="s">
        <v>69</v>
      </c>
      <c r="BW247" t="s">
        <v>69</v>
      </c>
      <c r="BX247" t="s">
        <v>8526</v>
      </c>
      <c r="BY247" t="str">
        <f>HYPERLINK("https%3A%2F%2Fwww.webofscience.com%2Fwos%2Fwoscc%2Ffull-record%2FWOS:A1996WE25600008","View Full Record in Web of Science")</f>
        <v>View Full Record in Web of Science</v>
      </c>
    </row>
    <row r="248" spans="1:77" ht="12.5" x14ac:dyDescent="0.25">
      <c r="A248" t="s">
        <v>8495</v>
      </c>
      <c r="B248" s="7" t="s">
        <v>32933</v>
      </c>
      <c r="C248" s="7"/>
      <c r="D248" s="7"/>
      <c r="E248" s="7"/>
      <c r="F248" t="s">
        <v>67</v>
      </c>
      <c r="G248" t="s">
        <v>8009</v>
      </c>
      <c r="H248" t="s">
        <v>69</v>
      </c>
      <c r="I248" t="s">
        <v>69</v>
      </c>
      <c r="J248" t="s">
        <v>69</v>
      </c>
      <c r="K248" t="s">
        <v>8010</v>
      </c>
      <c r="L248" t="s">
        <v>69</v>
      </c>
      <c r="M248" t="s">
        <v>69</v>
      </c>
      <c r="N248" t="s">
        <v>8011</v>
      </c>
      <c r="O248" t="s">
        <v>8012</v>
      </c>
      <c r="P248" t="s">
        <v>69</v>
      </c>
      <c r="Q248" t="s">
        <v>69</v>
      </c>
      <c r="R248" t="s">
        <v>8505</v>
      </c>
      <c r="S248" t="s">
        <v>8506</v>
      </c>
      <c r="T248" t="s">
        <v>69</v>
      </c>
      <c r="U248" t="s">
        <v>69</v>
      </c>
      <c r="V248" t="s">
        <v>69</v>
      </c>
      <c r="W248" t="s">
        <v>69</v>
      </c>
      <c r="X248" t="s">
        <v>69</v>
      </c>
      <c r="Y248" t="s">
        <v>20385</v>
      </c>
      <c r="Z248" t="s">
        <v>69</v>
      </c>
      <c r="AA248" t="s">
        <v>8013</v>
      </c>
      <c r="AB248" t="s">
        <v>20386</v>
      </c>
      <c r="AC248" t="s">
        <v>69</v>
      </c>
      <c r="AD248" t="s">
        <v>20387</v>
      </c>
      <c r="AE248" t="s">
        <v>20388</v>
      </c>
      <c r="AF248" t="s">
        <v>69</v>
      </c>
      <c r="AG248" t="s">
        <v>69</v>
      </c>
      <c r="AH248" t="s">
        <v>20389</v>
      </c>
      <c r="AI248" t="s">
        <v>20389</v>
      </c>
      <c r="AJ248" t="s">
        <v>20390</v>
      </c>
      <c r="AK248" t="s">
        <v>69</v>
      </c>
      <c r="AL248">
        <v>113</v>
      </c>
      <c r="AM248">
        <v>12</v>
      </c>
      <c r="AN248">
        <v>12</v>
      </c>
      <c r="AO248">
        <v>4</v>
      </c>
      <c r="AP248">
        <v>40</v>
      </c>
      <c r="AQ248" t="s">
        <v>9554</v>
      </c>
      <c r="AR248" t="s">
        <v>9555</v>
      </c>
      <c r="AS248" t="s">
        <v>9556</v>
      </c>
      <c r="AT248" t="s">
        <v>8014</v>
      </c>
      <c r="AU248" t="s">
        <v>8015</v>
      </c>
      <c r="AV248" t="s">
        <v>69</v>
      </c>
      <c r="AW248" t="s">
        <v>17984</v>
      </c>
      <c r="AX248" t="s">
        <v>17985</v>
      </c>
      <c r="AY248" t="s">
        <v>586</v>
      </c>
      <c r="AZ248">
        <v>2017</v>
      </c>
      <c r="BA248">
        <v>43</v>
      </c>
      <c r="BB248">
        <v>3</v>
      </c>
      <c r="BC248" t="s">
        <v>69</v>
      </c>
      <c r="BD248" t="s">
        <v>69</v>
      </c>
      <c r="BE248" t="s">
        <v>69</v>
      </c>
      <c r="BF248" t="s">
        <v>69</v>
      </c>
      <c r="BG248">
        <v>470</v>
      </c>
      <c r="BH248">
        <v>492</v>
      </c>
      <c r="BI248" t="s">
        <v>69</v>
      </c>
      <c r="BJ248" t="s">
        <v>8016</v>
      </c>
      <c r="BK248" t="str">
        <f>HYPERLINK("http://dx.doi.org/10.1177/0096144215612065","http://dx.doi.org/10.1177/0096144215612065")</f>
        <v>http://dx.doi.org/10.1177/0096144215612065</v>
      </c>
      <c r="BL248" t="s">
        <v>69</v>
      </c>
      <c r="BM248" t="s">
        <v>69</v>
      </c>
      <c r="BN248">
        <v>23</v>
      </c>
      <c r="BO248" t="s">
        <v>17987</v>
      </c>
      <c r="BP248" t="s">
        <v>12201</v>
      </c>
      <c r="BQ248" t="s">
        <v>17988</v>
      </c>
      <c r="BR248" t="s">
        <v>20391</v>
      </c>
      <c r="BS248" t="s">
        <v>8017</v>
      </c>
      <c r="BT248" t="s">
        <v>69</v>
      </c>
      <c r="BU248" t="s">
        <v>69</v>
      </c>
      <c r="BV248" t="s">
        <v>69</v>
      </c>
      <c r="BW248" t="s">
        <v>69</v>
      </c>
      <c r="BX248" t="s">
        <v>8526</v>
      </c>
      <c r="BY248" t="str">
        <f>HYPERLINK("https%3A%2F%2Fwww.webofscience.com%2Fwos%2Fwoscc%2Ffull-record%2FWOS:000400165000006","View Full Record in Web of Science")</f>
        <v>View Full Record in Web of Science</v>
      </c>
    </row>
    <row r="249" spans="1:77" ht="12.5" x14ac:dyDescent="0.25">
      <c r="A249" t="s">
        <v>8495</v>
      </c>
      <c r="B249" s="7" t="s">
        <v>32933</v>
      </c>
      <c r="C249" s="7"/>
      <c r="D249" s="7"/>
      <c r="E249" s="7"/>
      <c r="F249" t="s">
        <v>67</v>
      </c>
      <c r="G249" t="s">
        <v>6236</v>
      </c>
      <c r="H249" t="s">
        <v>69</v>
      </c>
      <c r="I249" t="s">
        <v>69</v>
      </c>
      <c r="J249" t="s">
        <v>69</v>
      </c>
      <c r="K249" t="s">
        <v>6237</v>
      </c>
      <c r="L249" t="s">
        <v>69</v>
      </c>
      <c r="M249" t="s">
        <v>69</v>
      </c>
      <c r="N249" t="s">
        <v>6238</v>
      </c>
      <c r="O249" t="s">
        <v>6239</v>
      </c>
      <c r="P249" t="s">
        <v>69</v>
      </c>
      <c r="Q249" t="s">
        <v>69</v>
      </c>
      <c r="R249" t="s">
        <v>10071</v>
      </c>
      <c r="S249" t="s">
        <v>8506</v>
      </c>
      <c r="T249" t="s">
        <v>69</v>
      </c>
      <c r="U249" t="s">
        <v>69</v>
      </c>
      <c r="V249" t="s">
        <v>69</v>
      </c>
      <c r="W249" t="s">
        <v>69</v>
      </c>
      <c r="X249" t="s">
        <v>69</v>
      </c>
      <c r="Y249" t="s">
        <v>29505</v>
      </c>
      <c r="Z249" t="s">
        <v>69</v>
      </c>
      <c r="AA249" t="s">
        <v>6240</v>
      </c>
      <c r="AB249" t="s">
        <v>29506</v>
      </c>
      <c r="AC249" t="s">
        <v>69</v>
      </c>
      <c r="AD249" t="s">
        <v>29507</v>
      </c>
      <c r="AE249" t="s">
        <v>29508</v>
      </c>
      <c r="AF249" t="s">
        <v>69</v>
      </c>
      <c r="AG249" t="s">
        <v>69</v>
      </c>
      <c r="AH249" t="s">
        <v>69</v>
      </c>
      <c r="AI249" t="s">
        <v>69</v>
      </c>
      <c r="AJ249" t="s">
        <v>69</v>
      </c>
      <c r="AK249" t="s">
        <v>69</v>
      </c>
      <c r="AL249">
        <v>23</v>
      </c>
      <c r="AM249">
        <v>9</v>
      </c>
      <c r="AN249">
        <v>15</v>
      </c>
      <c r="AO249">
        <v>0</v>
      </c>
      <c r="AP249">
        <v>6</v>
      </c>
      <c r="AQ249" t="s">
        <v>29509</v>
      </c>
      <c r="AR249" t="s">
        <v>26116</v>
      </c>
      <c r="AS249" t="s">
        <v>29510</v>
      </c>
      <c r="AT249" t="s">
        <v>6241</v>
      </c>
      <c r="AU249" t="s">
        <v>6242</v>
      </c>
      <c r="AV249" t="s">
        <v>69</v>
      </c>
      <c r="AW249" t="s">
        <v>29511</v>
      </c>
      <c r="AX249" t="s">
        <v>29512</v>
      </c>
      <c r="AY249" t="s">
        <v>75</v>
      </c>
      <c r="AZ249">
        <v>2007</v>
      </c>
      <c r="BA249">
        <v>33</v>
      </c>
      <c r="BB249">
        <v>100</v>
      </c>
      <c r="BC249" t="s">
        <v>69</v>
      </c>
      <c r="BD249" t="s">
        <v>69</v>
      </c>
      <c r="BE249" t="s">
        <v>69</v>
      </c>
      <c r="BF249" t="s">
        <v>69</v>
      </c>
      <c r="BG249">
        <v>149</v>
      </c>
      <c r="BH249">
        <v>164</v>
      </c>
      <c r="BI249" t="s">
        <v>69</v>
      </c>
      <c r="BJ249" t="s">
        <v>69</v>
      </c>
      <c r="BK249" t="s">
        <v>69</v>
      </c>
      <c r="BL249" t="s">
        <v>69</v>
      </c>
      <c r="BM249" t="s">
        <v>69</v>
      </c>
      <c r="BN249">
        <v>16</v>
      </c>
      <c r="BO249" t="s">
        <v>8475</v>
      </c>
      <c r="BP249" t="s">
        <v>8661</v>
      </c>
      <c r="BQ249" t="s">
        <v>8475</v>
      </c>
      <c r="BR249" t="s">
        <v>29513</v>
      </c>
      <c r="BS249" t="s">
        <v>6243</v>
      </c>
      <c r="BT249" t="s">
        <v>69</v>
      </c>
      <c r="BU249" t="s">
        <v>69</v>
      </c>
      <c r="BV249" t="s">
        <v>69</v>
      </c>
      <c r="BW249" t="s">
        <v>69</v>
      </c>
      <c r="BX249" t="s">
        <v>8526</v>
      </c>
      <c r="BY249" t="str">
        <f>HYPERLINK("https%3A%2F%2Fwww.webofscience.com%2Fwos%2Fwoscc%2Ffull-record%2FWOS:000252031500008","View Full Record in Web of Science")</f>
        <v>View Full Record in Web of Science</v>
      </c>
    </row>
    <row r="250" spans="1:77" ht="12.5" x14ac:dyDescent="0.25">
      <c r="A250" t="s">
        <v>8495</v>
      </c>
      <c r="B250" s="7" t="s">
        <v>32933</v>
      </c>
      <c r="C250" s="7"/>
      <c r="D250" s="7"/>
      <c r="E250" s="7"/>
      <c r="F250" t="s">
        <v>67</v>
      </c>
      <c r="G250" t="s">
        <v>2865</v>
      </c>
      <c r="H250" t="s">
        <v>69</v>
      </c>
      <c r="I250" t="s">
        <v>69</v>
      </c>
      <c r="J250" t="s">
        <v>69</v>
      </c>
      <c r="K250" t="s">
        <v>2866</v>
      </c>
      <c r="L250" t="s">
        <v>69</v>
      </c>
      <c r="M250" t="s">
        <v>69</v>
      </c>
      <c r="N250" t="s">
        <v>2867</v>
      </c>
      <c r="O250" t="s">
        <v>2868</v>
      </c>
      <c r="P250" t="s">
        <v>69</v>
      </c>
      <c r="Q250" t="s">
        <v>69</v>
      </c>
      <c r="R250" t="s">
        <v>8505</v>
      </c>
      <c r="S250" t="s">
        <v>8506</v>
      </c>
      <c r="T250" t="s">
        <v>69</v>
      </c>
      <c r="U250" t="s">
        <v>69</v>
      </c>
      <c r="V250" t="s">
        <v>69</v>
      </c>
      <c r="W250" t="s">
        <v>69</v>
      </c>
      <c r="X250" t="s">
        <v>69</v>
      </c>
      <c r="Y250" t="s">
        <v>69</v>
      </c>
      <c r="Z250" t="s">
        <v>21701</v>
      </c>
      <c r="AA250" t="s">
        <v>2869</v>
      </c>
      <c r="AB250" t="s">
        <v>21702</v>
      </c>
      <c r="AC250" t="s">
        <v>69</v>
      </c>
      <c r="AD250" t="s">
        <v>21703</v>
      </c>
      <c r="AE250" t="s">
        <v>21704</v>
      </c>
      <c r="AF250" t="s">
        <v>69</v>
      </c>
      <c r="AG250" t="s">
        <v>69</v>
      </c>
      <c r="AH250" t="s">
        <v>69</v>
      </c>
      <c r="AI250" t="s">
        <v>69</v>
      </c>
      <c r="AJ250" t="s">
        <v>69</v>
      </c>
      <c r="AK250" t="s">
        <v>69</v>
      </c>
      <c r="AL250">
        <v>38</v>
      </c>
      <c r="AM250">
        <v>20</v>
      </c>
      <c r="AN250">
        <v>20</v>
      </c>
      <c r="AO250">
        <v>0</v>
      </c>
      <c r="AP250">
        <v>8</v>
      </c>
      <c r="AQ250" t="s">
        <v>8846</v>
      </c>
      <c r="AR250" t="s">
        <v>8847</v>
      </c>
      <c r="AS250" t="s">
        <v>8848</v>
      </c>
      <c r="AT250" t="s">
        <v>2870</v>
      </c>
      <c r="AU250" t="s">
        <v>2871</v>
      </c>
      <c r="AV250" t="s">
        <v>69</v>
      </c>
      <c r="AW250" t="s">
        <v>21705</v>
      </c>
      <c r="AX250" t="s">
        <v>21706</v>
      </c>
      <c r="AY250" t="s">
        <v>586</v>
      </c>
      <c r="AZ250">
        <v>2016</v>
      </c>
      <c r="BA250">
        <v>16</v>
      </c>
      <c r="BB250">
        <v>2</v>
      </c>
      <c r="BC250" t="s">
        <v>69</v>
      </c>
      <c r="BD250" t="s">
        <v>69</v>
      </c>
      <c r="BE250" t="s">
        <v>69</v>
      </c>
      <c r="BF250" t="s">
        <v>69</v>
      </c>
      <c r="BG250">
        <v>118</v>
      </c>
      <c r="BH250">
        <v>127</v>
      </c>
      <c r="BI250" t="s">
        <v>69</v>
      </c>
      <c r="BJ250" t="s">
        <v>2872</v>
      </c>
      <c r="BK250" t="str">
        <f>HYPERLINK("http://dx.doi.org/10.1002/pa.1555","http://dx.doi.org/10.1002/pa.1555")</f>
        <v>http://dx.doi.org/10.1002/pa.1555</v>
      </c>
      <c r="BL250" t="s">
        <v>69</v>
      </c>
      <c r="BM250" t="s">
        <v>69</v>
      </c>
      <c r="BN250">
        <v>10</v>
      </c>
      <c r="BO250" t="s">
        <v>12182</v>
      </c>
      <c r="BP250" t="s">
        <v>8573</v>
      </c>
      <c r="BQ250" t="s">
        <v>12182</v>
      </c>
      <c r="BR250" t="s">
        <v>21707</v>
      </c>
      <c r="BS250" t="s">
        <v>2873</v>
      </c>
      <c r="BT250" t="s">
        <v>69</v>
      </c>
      <c r="BU250" t="s">
        <v>9292</v>
      </c>
      <c r="BV250" t="s">
        <v>69</v>
      </c>
      <c r="BW250" t="s">
        <v>69</v>
      </c>
      <c r="BX250" t="s">
        <v>8526</v>
      </c>
      <c r="BY250" t="str">
        <f>HYPERLINK("https%3A%2F%2Fwww.webofscience.com%2Fwos%2Fwoscc%2Ffull-record%2FWOS:000375857900003","View Full Record in Web of Science")</f>
        <v>View Full Record in Web of Science</v>
      </c>
    </row>
    <row r="251" spans="1:77" x14ac:dyDescent="0.3">
      <c r="A251" t="s">
        <v>8495</v>
      </c>
      <c r="B251" s="10" t="s">
        <v>32953</v>
      </c>
      <c r="F251" t="s">
        <v>67</v>
      </c>
      <c r="G251" t="s">
        <v>5029</v>
      </c>
      <c r="H251" t="s">
        <v>69</v>
      </c>
      <c r="I251" t="s">
        <v>69</v>
      </c>
      <c r="J251" t="s">
        <v>69</v>
      </c>
      <c r="K251" s="2" t="s">
        <v>5030</v>
      </c>
      <c r="L251" t="s">
        <v>69</v>
      </c>
      <c r="M251" t="s">
        <v>69</v>
      </c>
      <c r="N251" s="2" t="s">
        <v>5031</v>
      </c>
      <c r="O251" t="s">
        <v>5032</v>
      </c>
      <c r="P251" t="s">
        <v>69</v>
      </c>
      <c r="Q251" t="s">
        <v>69</v>
      </c>
      <c r="R251" t="s">
        <v>8505</v>
      </c>
      <c r="S251" t="s">
        <v>8506</v>
      </c>
      <c r="T251" t="s">
        <v>69</v>
      </c>
      <c r="U251" t="s">
        <v>69</v>
      </c>
      <c r="V251" t="s">
        <v>69</v>
      </c>
      <c r="W251" t="s">
        <v>69</v>
      </c>
      <c r="X251" t="s">
        <v>69</v>
      </c>
      <c r="Y251" t="s">
        <v>25738</v>
      </c>
      <c r="Z251" t="s">
        <v>69</v>
      </c>
      <c r="AA251" t="s">
        <v>5033</v>
      </c>
      <c r="AB251" t="s">
        <v>25739</v>
      </c>
      <c r="AC251" t="s">
        <v>69</v>
      </c>
      <c r="AD251" t="s">
        <v>25740</v>
      </c>
      <c r="AE251" t="s">
        <v>25741</v>
      </c>
      <c r="AF251" t="s">
        <v>69</v>
      </c>
      <c r="AG251" t="s">
        <v>69</v>
      </c>
      <c r="AH251" t="s">
        <v>69</v>
      </c>
      <c r="AI251" t="s">
        <v>69</v>
      </c>
      <c r="AJ251" t="s">
        <v>69</v>
      </c>
      <c r="AK251" t="s">
        <v>69</v>
      </c>
      <c r="AL251">
        <v>33</v>
      </c>
      <c r="AM251">
        <v>6</v>
      </c>
      <c r="AN251">
        <v>6</v>
      </c>
      <c r="AO251">
        <v>0</v>
      </c>
      <c r="AP251">
        <v>18</v>
      </c>
      <c r="AQ251" t="s">
        <v>8762</v>
      </c>
      <c r="AR251" t="s">
        <v>8763</v>
      </c>
      <c r="AS251" t="s">
        <v>8764</v>
      </c>
      <c r="AT251" t="s">
        <v>5034</v>
      </c>
      <c r="AU251" t="s">
        <v>5035</v>
      </c>
      <c r="AV251" t="s">
        <v>69</v>
      </c>
      <c r="AW251" t="s">
        <v>25742</v>
      </c>
      <c r="AX251" t="s">
        <v>25743</v>
      </c>
      <c r="AY251" t="s">
        <v>75</v>
      </c>
      <c r="AZ251">
        <v>2012</v>
      </c>
      <c r="BA251">
        <v>55</v>
      </c>
      <c r="BB251">
        <v>4</v>
      </c>
      <c r="BC251" t="s">
        <v>69</v>
      </c>
      <c r="BD251" t="s">
        <v>69</v>
      </c>
      <c r="BE251" t="s">
        <v>69</v>
      </c>
      <c r="BF251" t="s">
        <v>69</v>
      </c>
      <c r="BG251">
        <v>321</v>
      </c>
      <c r="BH251">
        <v>334</v>
      </c>
      <c r="BI251" t="s">
        <v>69</v>
      </c>
      <c r="BJ251" t="s">
        <v>5036</v>
      </c>
      <c r="BK251" t="str">
        <f>HYPERLINK("http://dx.doi.org/10.1177/0001699312460252","http://dx.doi.org/10.1177/0001699312460252")</f>
        <v>http://dx.doi.org/10.1177/0001699312460252</v>
      </c>
      <c r="BL251" t="s">
        <v>69</v>
      </c>
      <c r="BM251" t="s">
        <v>69</v>
      </c>
      <c r="BN251">
        <v>14</v>
      </c>
      <c r="BO251" t="s">
        <v>12930</v>
      </c>
      <c r="BP251" t="s">
        <v>8661</v>
      </c>
      <c r="BQ251" t="s">
        <v>12930</v>
      </c>
      <c r="BR251" t="s">
        <v>25744</v>
      </c>
      <c r="BS251" t="s">
        <v>5037</v>
      </c>
      <c r="BT251" t="s">
        <v>69</v>
      </c>
      <c r="BU251" t="s">
        <v>9292</v>
      </c>
      <c r="BV251" t="s">
        <v>69</v>
      </c>
      <c r="BW251" t="s">
        <v>69</v>
      </c>
      <c r="BX251" t="s">
        <v>8526</v>
      </c>
      <c r="BY251" t="str">
        <f>HYPERLINK("https%3A%2F%2Fwww.webofscience.com%2Fwos%2Fwoscc%2Ffull-record%2FWOS:000310535800002","View Full Record in Web of Science")</f>
        <v>View Full Record in Web of Science</v>
      </c>
    </row>
    <row r="252" spans="1:77" ht="12.5" x14ac:dyDescent="0.25">
      <c r="A252" t="s">
        <v>8495</v>
      </c>
      <c r="B252" s="22" t="s">
        <v>32931</v>
      </c>
      <c r="C252" s="7"/>
      <c r="D252" s="7"/>
      <c r="E252" s="7"/>
      <c r="F252" t="s">
        <v>67</v>
      </c>
      <c r="G252" t="s">
        <v>24503</v>
      </c>
      <c r="H252" t="s">
        <v>69</v>
      </c>
      <c r="I252" t="s">
        <v>69</v>
      </c>
      <c r="J252" t="s">
        <v>69</v>
      </c>
      <c r="K252" t="s">
        <v>24504</v>
      </c>
      <c r="L252" t="s">
        <v>69</v>
      </c>
      <c r="M252" t="s">
        <v>69</v>
      </c>
      <c r="N252" t="s">
        <v>24505</v>
      </c>
      <c r="O252" t="s">
        <v>24506</v>
      </c>
      <c r="P252" t="s">
        <v>69</v>
      </c>
      <c r="Q252" t="s">
        <v>69</v>
      </c>
      <c r="R252" t="s">
        <v>8505</v>
      </c>
      <c r="S252" t="s">
        <v>8506</v>
      </c>
      <c r="T252" t="s">
        <v>69</v>
      </c>
      <c r="U252" t="s">
        <v>69</v>
      </c>
      <c r="V252" t="s">
        <v>69</v>
      </c>
      <c r="W252" t="s">
        <v>69</v>
      </c>
      <c r="X252" t="s">
        <v>69</v>
      </c>
      <c r="Y252" t="s">
        <v>24507</v>
      </c>
      <c r="Z252" t="s">
        <v>69</v>
      </c>
      <c r="AA252" t="s">
        <v>24508</v>
      </c>
      <c r="AB252" t="s">
        <v>24509</v>
      </c>
      <c r="AC252" t="s">
        <v>69</v>
      </c>
      <c r="AD252" t="s">
        <v>24510</v>
      </c>
      <c r="AE252" t="s">
        <v>69</v>
      </c>
      <c r="AF252" t="s">
        <v>69</v>
      </c>
      <c r="AG252" t="s">
        <v>69</v>
      </c>
      <c r="AH252" t="s">
        <v>69</v>
      </c>
      <c r="AI252" t="s">
        <v>69</v>
      </c>
      <c r="AJ252" t="s">
        <v>69</v>
      </c>
      <c r="AK252" t="s">
        <v>69</v>
      </c>
      <c r="AL252">
        <v>5</v>
      </c>
      <c r="AM252">
        <v>1</v>
      </c>
      <c r="AN252">
        <v>1</v>
      </c>
      <c r="AO252">
        <v>0</v>
      </c>
      <c r="AP252">
        <v>0</v>
      </c>
      <c r="AQ252" t="s">
        <v>13195</v>
      </c>
      <c r="AR252" t="s">
        <v>13196</v>
      </c>
      <c r="AS252" t="s">
        <v>13197</v>
      </c>
      <c r="AT252" t="s">
        <v>24511</v>
      </c>
      <c r="AU252" t="s">
        <v>24512</v>
      </c>
      <c r="AV252" t="s">
        <v>69</v>
      </c>
      <c r="AW252" t="s">
        <v>24513</v>
      </c>
      <c r="AX252" t="s">
        <v>24514</v>
      </c>
      <c r="AY252" t="s">
        <v>75</v>
      </c>
      <c r="AZ252">
        <v>2013</v>
      </c>
      <c r="BA252">
        <v>166</v>
      </c>
      <c r="BB252">
        <v>6</v>
      </c>
      <c r="BC252" t="s">
        <v>69</v>
      </c>
      <c r="BD252" t="s">
        <v>69</v>
      </c>
      <c r="BE252" t="s">
        <v>69</v>
      </c>
      <c r="BF252" t="s">
        <v>69</v>
      </c>
      <c r="BG252">
        <v>273</v>
      </c>
      <c r="BH252">
        <v>276</v>
      </c>
      <c r="BI252">
        <v>1200021</v>
      </c>
      <c r="BJ252" t="s">
        <v>24515</v>
      </c>
      <c r="BK252" t="str">
        <f>HYPERLINK("http://dx.doi.org/10.1680/mpal.12.00021","http://dx.doi.org/10.1680/mpal.12.00021")</f>
        <v>http://dx.doi.org/10.1680/mpal.12.00021</v>
      </c>
      <c r="BL252" t="s">
        <v>69</v>
      </c>
      <c r="BM252" t="s">
        <v>69</v>
      </c>
      <c r="BN252">
        <v>4</v>
      </c>
      <c r="BO252" t="s">
        <v>9410</v>
      </c>
      <c r="BP252" t="s">
        <v>8573</v>
      </c>
      <c r="BQ252" t="s">
        <v>8594</v>
      </c>
      <c r="BR252" t="s">
        <v>24516</v>
      </c>
      <c r="BS252" t="s">
        <v>24517</v>
      </c>
      <c r="BT252" t="s">
        <v>69</v>
      </c>
      <c r="BU252" t="s">
        <v>69</v>
      </c>
      <c r="BV252" t="s">
        <v>69</v>
      </c>
      <c r="BW252" t="s">
        <v>69</v>
      </c>
      <c r="BX252" t="s">
        <v>8526</v>
      </c>
      <c r="BY252" t="str">
        <f>HYPERLINK("https%3A%2F%2Fwww.webofscience.com%2Fwos%2Fwoscc%2Ffull-record%2FWOS:000215435400002","View Full Record in Web of Science")</f>
        <v>View Full Record in Web of Science</v>
      </c>
    </row>
    <row r="253" spans="1:77" ht="12.5" x14ac:dyDescent="0.25">
      <c r="A253" t="s">
        <v>8495</v>
      </c>
      <c r="B253" s="22" t="s">
        <v>32931</v>
      </c>
      <c r="C253" s="7"/>
      <c r="D253" s="7"/>
      <c r="E253" s="7"/>
      <c r="F253" t="s">
        <v>67</v>
      </c>
      <c r="G253" t="s">
        <v>20818</v>
      </c>
      <c r="H253" t="s">
        <v>69</v>
      </c>
      <c r="I253" t="s">
        <v>69</v>
      </c>
      <c r="J253" t="s">
        <v>69</v>
      </c>
      <c r="K253" t="s">
        <v>20819</v>
      </c>
      <c r="L253" t="s">
        <v>69</v>
      </c>
      <c r="M253" t="s">
        <v>69</v>
      </c>
      <c r="N253" t="s">
        <v>20820</v>
      </c>
      <c r="O253" t="s">
        <v>20821</v>
      </c>
      <c r="P253" t="s">
        <v>69</v>
      </c>
      <c r="Q253" t="s">
        <v>69</v>
      </c>
      <c r="R253" t="s">
        <v>8505</v>
      </c>
      <c r="S253" t="s">
        <v>8506</v>
      </c>
      <c r="T253" t="s">
        <v>69</v>
      </c>
      <c r="U253" t="s">
        <v>69</v>
      </c>
      <c r="V253" t="s">
        <v>69</v>
      </c>
      <c r="W253" t="s">
        <v>69</v>
      </c>
      <c r="X253" t="s">
        <v>69</v>
      </c>
      <c r="Y253" t="s">
        <v>20822</v>
      </c>
      <c r="Z253" t="s">
        <v>20823</v>
      </c>
      <c r="AA253" t="s">
        <v>20824</v>
      </c>
      <c r="AB253" t="s">
        <v>20825</v>
      </c>
      <c r="AC253" t="s">
        <v>69</v>
      </c>
      <c r="AD253" t="s">
        <v>20826</v>
      </c>
      <c r="AE253" t="s">
        <v>20827</v>
      </c>
      <c r="AF253" t="s">
        <v>69</v>
      </c>
      <c r="AG253" t="s">
        <v>20828</v>
      </c>
      <c r="AH253" t="s">
        <v>69</v>
      </c>
      <c r="AI253" t="s">
        <v>69</v>
      </c>
      <c r="AJ253" t="s">
        <v>69</v>
      </c>
      <c r="AK253" t="s">
        <v>69</v>
      </c>
      <c r="AL253">
        <v>27</v>
      </c>
      <c r="AM253">
        <v>11</v>
      </c>
      <c r="AN253">
        <v>11</v>
      </c>
      <c r="AO253">
        <v>0</v>
      </c>
      <c r="AP253">
        <v>5</v>
      </c>
      <c r="AQ253" t="s">
        <v>8865</v>
      </c>
      <c r="AR253" t="s">
        <v>8612</v>
      </c>
      <c r="AS253" t="s">
        <v>8866</v>
      </c>
      <c r="AT253" t="s">
        <v>20829</v>
      </c>
      <c r="AU253" t="s">
        <v>69</v>
      </c>
      <c r="AV253" t="s">
        <v>69</v>
      </c>
      <c r="AW253" t="s">
        <v>20830</v>
      </c>
      <c r="AX253" t="s">
        <v>20831</v>
      </c>
      <c r="AY253" t="s">
        <v>69</v>
      </c>
      <c r="AZ253">
        <v>2017</v>
      </c>
      <c r="BA253">
        <v>8</v>
      </c>
      <c r="BB253">
        <v>2</v>
      </c>
      <c r="BC253" t="s">
        <v>69</v>
      </c>
      <c r="BD253" t="s">
        <v>69</v>
      </c>
      <c r="BE253" t="s">
        <v>114</v>
      </c>
      <c r="BF253" t="s">
        <v>69</v>
      </c>
      <c r="BG253">
        <v>121</v>
      </c>
      <c r="BH253">
        <v>130</v>
      </c>
      <c r="BI253" t="s">
        <v>69</v>
      </c>
      <c r="BJ253" t="s">
        <v>20832</v>
      </c>
      <c r="BK253" t="str">
        <f>HYPERLINK("http://dx.doi.org/10.1080/21520704.2017.1287142","http://dx.doi.org/10.1080/21520704.2017.1287142")</f>
        <v>http://dx.doi.org/10.1080/21520704.2017.1287142</v>
      </c>
      <c r="BL253" t="s">
        <v>69</v>
      </c>
      <c r="BM253" t="s">
        <v>69</v>
      </c>
      <c r="BN253">
        <v>10</v>
      </c>
      <c r="BO253" t="s">
        <v>15649</v>
      </c>
      <c r="BP253" t="s">
        <v>8573</v>
      </c>
      <c r="BQ253" t="s">
        <v>9001</v>
      </c>
      <c r="BR253" t="s">
        <v>20833</v>
      </c>
      <c r="BS253" t="s">
        <v>20834</v>
      </c>
      <c r="BT253" t="s">
        <v>69</v>
      </c>
      <c r="BU253" t="s">
        <v>69</v>
      </c>
      <c r="BV253" t="s">
        <v>69</v>
      </c>
      <c r="BW253" t="s">
        <v>69</v>
      </c>
      <c r="BX253" t="s">
        <v>8526</v>
      </c>
      <c r="BY253" t="str">
        <f>HYPERLINK("https%3A%2F%2Fwww.webofscience.com%2Fwos%2Fwoscc%2Ffull-record%2FWOS:000411379600006","View Full Record in Web of Science")</f>
        <v>View Full Record in Web of Science</v>
      </c>
    </row>
    <row r="254" spans="1:77" ht="12.5" x14ac:dyDescent="0.25">
      <c r="A254" t="s">
        <v>8495</v>
      </c>
      <c r="B254" s="7" t="s">
        <v>32933</v>
      </c>
      <c r="C254" s="7"/>
      <c r="D254" s="7"/>
      <c r="E254" s="7"/>
      <c r="F254" t="s">
        <v>67</v>
      </c>
      <c r="G254" t="s">
        <v>2523</v>
      </c>
      <c r="H254" t="s">
        <v>69</v>
      </c>
      <c r="I254" t="s">
        <v>69</v>
      </c>
      <c r="J254" t="s">
        <v>69</v>
      </c>
      <c r="K254" t="s">
        <v>2524</v>
      </c>
      <c r="L254" t="s">
        <v>69</v>
      </c>
      <c r="M254" t="s">
        <v>69</v>
      </c>
      <c r="N254" t="s">
        <v>2525</v>
      </c>
      <c r="O254" t="s">
        <v>2526</v>
      </c>
      <c r="P254" t="s">
        <v>69</v>
      </c>
      <c r="Q254" t="s">
        <v>69</v>
      </c>
      <c r="R254" t="s">
        <v>8505</v>
      </c>
      <c r="S254" t="s">
        <v>8506</v>
      </c>
      <c r="T254" t="s">
        <v>69</v>
      </c>
      <c r="U254" t="s">
        <v>69</v>
      </c>
      <c r="V254" t="s">
        <v>69</v>
      </c>
      <c r="W254" t="s">
        <v>69</v>
      </c>
      <c r="X254" t="s">
        <v>69</v>
      </c>
      <c r="Y254" t="s">
        <v>19706</v>
      </c>
      <c r="Z254" t="s">
        <v>19707</v>
      </c>
      <c r="AA254" t="s">
        <v>2527</v>
      </c>
      <c r="AB254" t="s">
        <v>19708</v>
      </c>
      <c r="AC254" t="s">
        <v>69</v>
      </c>
      <c r="AD254" t="s">
        <v>19709</v>
      </c>
      <c r="AE254" t="s">
        <v>19710</v>
      </c>
      <c r="AF254" t="s">
        <v>69</v>
      </c>
      <c r="AG254" t="s">
        <v>19711</v>
      </c>
      <c r="AH254" t="s">
        <v>19712</v>
      </c>
      <c r="AI254" t="s">
        <v>19712</v>
      </c>
      <c r="AJ254" t="s">
        <v>19713</v>
      </c>
      <c r="AK254" t="s">
        <v>69</v>
      </c>
      <c r="AL254">
        <v>31</v>
      </c>
      <c r="AM254">
        <v>3</v>
      </c>
      <c r="AN254">
        <v>3</v>
      </c>
      <c r="AO254">
        <v>0</v>
      </c>
      <c r="AP254">
        <v>3</v>
      </c>
      <c r="AQ254" t="s">
        <v>10352</v>
      </c>
      <c r="AR254" t="s">
        <v>8637</v>
      </c>
      <c r="AS254" t="s">
        <v>10353</v>
      </c>
      <c r="AT254" t="s">
        <v>2528</v>
      </c>
      <c r="AU254" t="s">
        <v>2529</v>
      </c>
      <c r="AV254" t="s">
        <v>69</v>
      </c>
      <c r="AW254" t="s">
        <v>19714</v>
      </c>
      <c r="AX254" t="s">
        <v>19715</v>
      </c>
      <c r="AY254" t="s">
        <v>75</v>
      </c>
      <c r="AZ254">
        <v>2017</v>
      </c>
      <c r="BA254">
        <v>7</v>
      </c>
      <c r="BB254">
        <v>4</v>
      </c>
      <c r="BC254" t="s">
        <v>69</v>
      </c>
      <c r="BD254" t="s">
        <v>69</v>
      </c>
      <c r="BE254" t="s">
        <v>69</v>
      </c>
      <c r="BF254" t="s">
        <v>69</v>
      </c>
      <c r="BG254">
        <v>783</v>
      </c>
      <c r="BH254">
        <v>792</v>
      </c>
      <c r="BI254" t="s">
        <v>69</v>
      </c>
      <c r="BJ254" t="s">
        <v>2530</v>
      </c>
      <c r="BK254" t="str">
        <f>HYPERLINK("http://dx.doi.org/10.1007/s13142-017-0480-6","http://dx.doi.org/10.1007/s13142-017-0480-6")</f>
        <v>http://dx.doi.org/10.1007/s13142-017-0480-6</v>
      </c>
      <c r="BL254" t="s">
        <v>69</v>
      </c>
      <c r="BM254" t="s">
        <v>69</v>
      </c>
      <c r="BN254">
        <v>10</v>
      </c>
      <c r="BO254" t="s">
        <v>8810</v>
      </c>
      <c r="BP254" t="s">
        <v>8523</v>
      </c>
      <c r="BQ254" t="s">
        <v>8810</v>
      </c>
      <c r="BR254" t="s">
        <v>19716</v>
      </c>
      <c r="BS254" t="s">
        <v>2531</v>
      </c>
      <c r="BT254">
        <v>28290143</v>
      </c>
      <c r="BU254" t="s">
        <v>19717</v>
      </c>
      <c r="BV254" t="s">
        <v>69</v>
      </c>
      <c r="BW254" t="s">
        <v>69</v>
      </c>
      <c r="BX254" t="s">
        <v>8526</v>
      </c>
      <c r="BY254" t="str">
        <f>HYPERLINK("https%3A%2F%2Fwww.webofscience.com%2Fwos%2Fwoscc%2Ffull-record%2FWOS:000418894100015","View Full Record in Web of Science")</f>
        <v>View Full Record in Web of Science</v>
      </c>
    </row>
    <row r="255" spans="1:77" ht="12.5" x14ac:dyDescent="0.25">
      <c r="A255" t="s">
        <v>8495</v>
      </c>
      <c r="B255" s="22" t="s">
        <v>32931</v>
      </c>
      <c r="C255" s="7"/>
      <c r="D255" s="7"/>
      <c r="E255" s="7"/>
      <c r="F255" t="s">
        <v>67</v>
      </c>
      <c r="G255" t="s">
        <v>20787</v>
      </c>
      <c r="H255" t="s">
        <v>69</v>
      </c>
      <c r="I255" t="s">
        <v>69</v>
      </c>
      <c r="J255" t="s">
        <v>69</v>
      </c>
      <c r="K255" t="s">
        <v>20788</v>
      </c>
      <c r="L255" t="s">
        <v>69</v>
      </c>
      <c r="M255" t="s">
        <v>69</v>
      </c>
      <c r="N255" t="s">
        <v>20789</v>
      </c>
      <c r="O255" t="s">
        <v>20790</v>
      </c>
      <c r="P255" t="s">
        <v>69</v>
      </c>
      <c r="Q255" t="s">
        <v>69</v>
      </c>
      <c r="R255" t="s">
        <v>8505</v>
      </c>
      <c r="S255" t="s">
        <v>8506</v>
      </c>
      <c r="T255" t="s">
        <v>69</v>
      </c>
      <c r="U255" t="s">
        <v>69</v>
      </c>
      <c r="V255" t="s">
        <v>69</v>
      </c>
      <c r="W255" t="s">
        <v>69</v>
      </c>
      <c r="X255" t="s">
        <v>69</v>
      </c>
      <c r="Y255" t="s">
        <v>20791</v>
      </c>
      <c r="Z255" t="s">
        <v>20792</v>
      </c>
      <c r="AA255" t="s">
        <v>20793</v>
      </c>
      <c r="AB255" t="s">
        <v>20794</v>
      </c>
      <c r="AC255" t="s">
        <v>69</v>
      </c>
      <c r="AD255" t="s">
        <v>20795</v>
      </c>
      <c r="AE255" t="s">
        <v>20796</v>
      </c>
      <c r="AF255" t="s">
        <v>20797</v>
      </c>
      <c r="AG255" t="s">
        <v>20798</v>
      </c>
      <c r="AH255" t="s">
        <v>20799</v>
      </c>
      <c r="AI255" t="s">
        <v>20799</v>
      </c>
      <c r="AJ255" t="s">
        <v>20800</v>
      </c>
      <c r="AK255" t="s">
        <v>69</v>
      </c>
      <c r="AL255">
        <v>65</v>
      </c>
      <c r="AM255">
        <v>7</v>
      </c>
      <c r="AN255">
        <v>7</v>
      </c>
      <c r="AO255">
        <v>1</v>
      </c>
      <c r="AP255">
        <v>11</v>
      </c>
      <c r="AQ255" t="s">
        <v>8865</v>
      </c>
      <c r="AR255" t="s">
        <v>8612</v>
      </c>
      <c r="AS255" t="s">
        <v>8866</v>
      </c>
      <c r="AT255" t="s">
        <v>20801</v>
      </c>
      <c r="AU255" t="s">
        <v>20802</v>
      </c>
      <c r="AV255" t="s">
        <v>69</v>
      </c>
      <c r="AW255" t="s">
        <v>20803</v>
      </c>
      <c r="AX255" t="s">
        <v>20804</v>
      </c>
      <c r="AY255" t="s">
        <v>69</v>
      </c>
      <c r="AZ255">
        <v>2017</v>
      </c>
      <c r="BA255">
        <v>34</v>
      </c>
      <c r="BB255">
        <v>3</v>
      </c>
      <c r="BC255" t="s">
        <v>69</v>
      </c>
      <c r="BD255" t="s">
        <v>69</v>
      </c>
      <c r="BE255" t="s">
        <v>69</v>
      </c>
      <c r="BF255" t="s">
        <v>69</v>
      </c>
      <c r="BG255">
        <v>233</v>
      </c>
      <c r="BH255">
        <v>250</v>
      </c>
      <c r="BI255" t="s">
        <v>69</v>
      </c>
      <c r="BJ255" t="s">
        <v>20805</v>
      </c>
      <c r="BK255" t="str">
        <f>HYPERLINK("http://dx.doi.org/10.1080/09599916.2017.1320684","http://dx.doi.org/10.1080/09599916.2017.1320684")</f>
        <v>http://dx.doi.org/10.1080/09599916.2017.1320684</v>
      </c>
      <c r="BL255" t="s">
        <v>69</v>
      </c>
      <c r="BM255" t="s">
        <v>69</v>
      </c>
      <c r="BN255">
        <v>18</v>
      </c>
      <c r="BO255" t="s">
        <v>8475</v>
      </c>
      <c r="BP255" t="s">
        <v>8573</v>
      </c>
      <c r="BQ255" t="s">
        <v>8475</v>
      </c>
      <c r="BR255" t="s">
        <v>20806</v>
      </c>
      <c r="BS255" t="s">
        <v>20807</v>
      </c>
      <c r="BT255" t="s">
        <v>69</v>
      </c>
      <c r="BU255" t="s">
        <v>69</v>
      </c>
      <c r="BV255" t="s">
        <v>69</v>
      </c>
      <c r="BW255" t="s">
        <v>69</v>
      </c>
      <c r="BX255" t="s">
        <v>8526</v>
      </c>
      <c r="BY255" t="str">
        <f>HYPERLINK("https%3A%2F%2Fwww.webofscience.com%2Fwos%2Fwoscc%2Ffull-record%2FWOS:000412366100004","View Full Record in Web of Science")</f>
        <v>View Full Record in Web of Science</v>
      </c>
    </row>
    <row r="256" spans="1:77" ht="12.5" x14ac:dyDescent="0.25">
      <c r="A256" t="s">
        <v>8495</v>
      </c>
      <c r="B256" s="22" t="s">
        <v>32931</v>
      </c>
      <c r="C256" s="7"/>
      <c r="D256" s="7"/>
      <c r="E256" s="7"/>
      <c r="F256" t="s">
        <v>67</v>
      </c>
      <c r="G256" t="s">
        <v>26515</v>
      </c>
      <c r="H256" t="s">
        <v>69</v>
      </c>
      <c r="I256" t="s">
        <v>69</v>
      </c>
      <c r="J256" t="s">
        <v>69</v>
      </c>
      <c r="K256" t="s">
        <v>26516</v>
      </c>
      <c r="L256" t="s">
        <v>69</v>
      </c>
      <c r="M256" t="s">
        <v>69</v>
      </c>
      <c r="N256" t="s">
        <v>26517</v>
      </c>
      <c r="O256" t="s">
        <v>26518</v>
      </c>
      <c r="P256" t="s">
        <v>69</v>
      </c>
      <c r="Q256" t="s">
        <v>69</v>
      </c>
      <c r="R256" t="s">
        <v>8505</v>
      </c>
      <c r="S256" t="s">
        <v>8506</v>
      </c>
      <c r="T256" t="s">
        <v>69</v>
      </c>
      <c r="U256" t="s">
        <v>69</v>
      </c>
      <c r="V256" t="s">
        <v>69</v>
      </c>
      <c r="W256" t="s">
        <v>69</v>
      </c>
      <c r="X256" t="s">
        <v>69</v>
      </c>
      <c r="Y256" t="s">
        <v>26519</v>
      </c>
      <c r="Z256" t="s">
        <v>69</v>
      </c>
      <c r="AA256" t="s">
        <v>26520</v>
      </c>
      <c r="AB256" t="s">
        <v>26521</v>
      </c>
      <c r="AC256" t="s">
        <v>69</v>
      </c>
      <c r="AD256" t="s">
        <v>26522</v>
      </c>
      <c r="AE256" t="s">
        <v>26523</v>
      </c>
      <c r="AF256" t="s">
        <v>69</v>
      </c>
      <c r="AG256" t="s">
        <v>69</v>
      </c>
      <c r="AH256" t="s">
        <v>69</v>
      </c>
      <c r="AI256" t="s">
        <v>69</v>
      </c>
      <c r="AJ256" t="s">
        <v>69</v>
      </c>
      <c r="AK256" t="s">
        <v>69</v>
      </c>
      <c r="AL256">
        <v>0</v>
      </c>
      <c r="AM256">
        <v>2</v>
      </c>
      <c r="AN256">
        <v>2</v>
      </c>
      <c r="AO256">
        <v>0</v>
      </c>
      <c r="AP256">
        <v>5</v>
      </c>
      <c r="AQ256" t="s">
        <v>8865</v>
      </c>
      <c r="AR256" t="s">
        <v>8612</v>
      </c>
      <c r="AS256" t="s">
        <v>8866</v>
      </c>
      <c r="AT256" t="s">
        <v>26524</v>
      </c>
      <c r="AU256" t="s">
        <v>26525</v>
      </c>
      <c r="AV256" t="s">
        <v>69</v>
      </c>
      <c r="AW256" t="s">
        <v>26526</v>
      </c>
      <c r="AX256" t="s">
        <v>26527</v>
      </c>
      <c r="AY256" t="s">
        <v>69</v>
      </c>
      <c r="AZ256">
        <v>2012</v>
      </c>
      <c r="BA256">
        <v>9</v>
      </c>
      <c r="BB256" t="s">
        <v>336</v>
      </c>
      <c r="BC256" t="s">
        <v>69</v>
      </c>
      <c r="BD256" t="s">
        <v>69</v>
      </c>
      <c r="BE256" t="s">
        <v>114</v>
      </c>
      <c r="BF256" t="s">
        <v>69</v>
      </c>
      <c r="BG256">
        <v>27</v>
      </c>
      <c r="BH256">
        <v>42</v>
      </c>
      <c r="BI256" t="s">
        <v>69</v>
      </c>
      <c r="BJ256" t="s">
        <v>26528</v>
      </c>
      <c r="BK256" t="str">
        <f>HYPERLINK("http://dx.doi.org/10.1080/15433714.2012.636309","http://dx.doi.org/10.1080/15433714.2012.636309")</f>
        <v>http://dx.doi.org/10.1080/15433714.2012.636309</v>
      </c>
      <c r="BL256" t="s">
        <v>69</v>
      </c>
      <c r="BM256" t="s">
        <v>69</v>
      </c>
      <c r="BN256">
        <v>16</v>
      </c>
      <c r="BO256" t="s">
        <v>17741</v>
      </c>
      <c r="BP256" t="s">
        <v>8573</v>
      </c>
      <c r="BQ256" t="s">
        <v>17741</v>
      </c>
      <c r="BR256" t="s">
        <v>26529</v>
      </c>
      <c r="BS256" t="s">
        <v>26530</v>
      </c>
      <c r="BT256">
        <v>22409610</v>
      </c>
      <c r="BU256" t="s">
        <v>69</v>
      </c>
      <c r="BV256" t="s">
        <v>69</v>
      </c>
      <c r="BW256" t="s">
        <v>69</v>
      </c>
      <c r="BX256" t="s">
        <v>8526</v>
      </c>
      <c r="BY256" t="str">
        <f>HYPERLINK("https%3A%2F%2Fwww.webofscience.com%2Fwos%2Fwoscc%2Ffull-record%2FWOS:000439905000004","View Full Record in Web of Science")</f>
        <v>View Full Record in Web of Science</v>
      </c>
    </row>
    <row r="257" spans="1:77" ht="12.5" x14ac:dyDescent="0.25">
      <c r="A257" t="s">
        <v>8495</v>
      </c>
      <c r="B257" s="22" t="s">
        <v>32931</v>
      </c>
      <c r="C257" s="7"/>
      <c r="D257" s="7"/>
      <c r="E257" s="7"/>
      <c r="F257" t="s">
        <v>67</v>
      </c>
      <c r="G257" t="s">
        <v>24283</v>
      </c>
      <c r="H257" t="s">
        <v>69</v>
      </c>
      <c r="I257" t="s">
        <v>69</v>
      </c>
      <c r="J257" t="s">
        <v>69</v>
      </c>
      <c r="K257" t="s">
        <v>24284</v>
      </c>
      <c r="L257" t="s">
        <v>69</v>
      </c>
      <c r="M257" t="s">
        <v>69</v>
      </c>
      <c r="N257" t="s">
        <v>24285</v>
      </c>
      <c r="O257" t="s">
        <v>1969</v>
      </c>
      <c r="P257" t="s">
        <v>69</v>
      </c>
      <c r="Q257" t="s">
        <v>69</v>
      </c>
      <c r="R257" t="s">
        <v>8505</v>
      </c>
      <c r="S257" t="s">
        <v>8506</v>
      </c>
      <c r="T257" t="s">
        <v>69</v>
      </c>
      <c r="U257" t="s">
        <v>69</v>
      </c>
      <c r="V257" t="s">
        <v>69</v>
      </c>
      <c r="W257" t="s">
        <v>69</v>
      </c>
      <c r="X257" t="s">
        <v>69</v>
      </c>
      <c r="Y257" t="s">
        <v>24286</v>
      </c>
      <c r="Z257" t="s">
        <v>69</v>
      </c>
      <c r="AA257" t="s">
        <v>24287</v>
      </c>
      <c r="AB257" t="s">
        <v>24288</v>
      </c>
      <c r="AC257" t="s">
        <v>69</v>
      </c>
      <c r="AD257" t="s">
        <v>24289</v>
      </c>
      <c r="AE257" t="s">
        <v>24290</v>
      </c>
      <c r="AF257" t="s">
        <v>24291</v>
      </c>
      <c r="AG257" t="s">
        <v>24292</v>
      </c>
      <c r="AH257" t="s">
        <v>24293</v>
      </c>
      <c r="AI257" t="s">
        <v>24293</v>
      </c>
      <c r="AJ257" t="s">
        <v>24294</v>
      </c>
      <c r="AK257" t="s">
        <v>69</v>
      </c>
      <c r="AL257">
        <v>8</v>
      </c>
      <c r="AM257">
        <v>0</v>
      </c>
      <c r="AN257">
        <v>0</v>
      </c>
      <c r="AO257">
        <v>0</v>
      </c>
      <c r="AP257">
        <v>0</v>
      </c>
      <c r="AQ257" t="s">
        <v>8586</v>
      </c>
      <c r="AR257" t="s">
        <v>8587</v>
      </c>
      <c r="AS257" t="s">
        <v>8588</v>
      </c>
      <c r="AT257" t="s">
        <v>1971</v>
      </c>
      <c r="AU257" t="s">
        <v>1972</v>
      </c>
      <c r="AV257" t="s">
        <v>69</v>
      </c>
      <c r="AW257" t="s">
        <v>15149</v>
      </c>
      <c r="AX257" t="s">
        <v>15150</v>
      </c>
      <c r="AY257" t="s">
        <v>69</v>
      </c>
      <c r="AZ257">
        <v>2014</v>
      </c>
      <c r="BA257">
        <v>25</v>
      </c>
      <c r="BB257">
        <v>3</v>
      </c>
      <c r="BC257" t="s">
        <v>69</v>
      </c>
      <c r="BD257" t="s">
        <v>69</v>
      </c>
      <c r="BE257" t="s">
        <v>69</v>
      </c>
      <c r="BF257" t="s">
        <v>69</v>
      </c>
      <c r="BG257">
        <v>313</v>
      </c>
      <c r="BH257">
        <v>323</v>
      </c>
      <c r="BI257" t="s">
        <v>69</v>
      </c>
      <c r="BJ257" t="s">
        <v>24295</v>
      </c>
      <c r="BK257" t="str">
        <f>HYPERLINK("http://dx.doi.org/10.1108/MEQ-11-2013-0131","http://dx.doi.org/10.1108/MEQ-11-2013-0131")</f>
        <v>http://dx.doi.org/10.1108/MEQ-11-2013-0131</v>
      </c>
      <c r="BL257" t="s">
        <v>69</v>
      </c>
      <c r="BM257" t="s">
        <v>69</v>
      </c>
      <c r="BN257">
        <v>11</v>
      </c>
      <c r="BO257" t="s">
        <v>8660</v>
      </c>
      <c r="BP257" t="s">
        <v>8573</v>
      </c>
      <c r="BQ257" t="s">
        <v>8662</v>
      </c>
      <c r="BR257" t="s">
        <v>24296</v>
      </c>
      <c r="BS257" t="s">
        <v>24297</v>
      </c>
      <c r="BT257" t="s">
        <v>69</v>
      </c>
      <c r="BU257" t="s">
        <v>69</v>
      </c>
      <c r="BV257" t="s">
        <v>69</v>
      </c>
      <c r="BW257" t="s">
        <v>69</v>
      </c>
      <c r="BX257" t="s">
        <v>8526</v>
      </c>
      <c r="BY257" t="str">
        <f>HYPERLINK("https%3A%2F%2Fwww.webofscience.com%2Fwos%2Fwoscc%2Ffull-record%2FWOS:000485156800005","View Full Record in Web of Science")</f>
        <v>View Full Record in Web of Science</v>
      </c>
    </row>
    <row r="258" spans="1:77" ht="12.5" x14ac:dyDescent="0.25">
      <c r="A258" t="s">
        <v>8495</v>
      </c>
      <c r="B258" s="7" t="s">
        <v>32933</v>
      </c>
      <c r="C258" s="7"/>
      <c r="D258" s="7"/>
      <c r="E258" s="7"/>
      <c r="F258" t="s">
        <v>67</v>
      </c>
      <c r="G258" t="s">
        <v>3234</v>
      </c>
      <c r="H258" t="s">
        <v>69</v>
      </c>
      <c r="I258" t="s">
        <v>69</v>
      </c>
      <c r="J258" t="s">
        <v>69</v>
      </c>
      <c r="K258" t="s">
        <v>3235</v>
      </c>
      <c r="L258" t="s">
        <v>69</v>
      </c>
      <c r="M258" t="s">
        <v>69</v>
      </c>
      <c r="N258" t="s">
        <v>3236</v>
      </c>
      <c r="O258" t="s">
        <v>3237</v>
      </c>
      <c r="P258" t="s">
        <v>69</v>
      </c>
      <c r="Q258" t="s">
        <v>69</v>
      </c>
      <c r="R258" t="s">
        <v>8505</v>
      </c>
      <c r="S258" t="s">
        <v>8506</v>
      </c>
      <c r="T258" t="s">
        <v>69</v>
      </c>
      <c r="U258" t="s">
        <v>69</v>
      </c>
      <c r="V258" t="s">
        <v>69</v>
      </c>
      <c r="W258" t="s">
        <v>69</v>
      </c>
      <c r="X258" t="s">
        <v>69</v>
      </c>
      <c r="Y258" t="s">
        <v>69</v>
      </c>
      <c r="Z258" t="s">
        <v>24034</v>
      </c>
      <c r="AA258" t="s">
        <v>3238</v>
      </c>
      <c r="AB258" t="s">
        <v>24035</v>
      </c>
      <c r="AC258" t="s">
        <v>69</v>
      </c>
      <c r="AD258" t="s">
        <v>24036</v>
      </c>
      <c r="AE258" t="s">
        <v>24037</v>
      </c>
      <c r="AF258" t="s">
        <v>24038</v>
      </c>
      <c r="AG258" t="s">
        <v>24039</v>
      </c>
      <c r="AH258" t="s">
        <v>69</v>
      </c>
      <c r="AI258" t="s">
        <v>69</v>
      </c>
      <c r="AJ258" t="s">
        <v>69</v>
      </c>
      <c r="AK258" t="s">
        <v>69</v>
      </c>
      <c r="AL258">
        <v>61</v>
      </c>
      <c r="AM258">
        <v>1</v>
      </c>
      <c r="AN258">
        <v>1</v>
      </c>
      <c r="AO258">
        <v>0</v>
      </c>
      <c r="AP258">
        <v>3</v>
      </c>
      <c r="AQ258" t="s">
        <v>8865</v>
      </c>
      <c r="AR258" t="s">
        <v>8612</v>
      </c>
      <c r="AS258" t="s">
        <v>8866</v>
      </c>
      <c r="AT258" t="s">
        <v>3239</v>
      </c>
      <c r="AU258" t="s">
        <v>3240</v>
      </c>
      <c r="AV258" t="s">
        <v>69</v>
      </c>
      <c r="AW258" t="s">
        <v>3237</v>
      </c>
      <c r="AX258" t="s">
        <v>20966</v>
      </c>
      <c r="AY258" t="s">
        <v>69</v>
      </c>
      <c r="AZ258">
        <v>2014</v>
      </c>
      <c r="BA258">
        <v>19</v>
      </c>
      <c r="BB258">
        <v>3</v>
      </c>
      <c r="BC258" t="s">
        <v>69</v>
      </c>
      <c r="BD258" t="s">
        <v>69</v>
      </c>
      <c r="BE258" t="s">
        <v>69</v>
      </c>
      <c r="BF258" t="s">
        <v>69</v>
      </c>
      <c r="BG258">
        <v>540</v>
      </c>
      <c r="BH258">
        <v>564</v>
      </c>
      <c r="BI258" t="s">
        <v>69</v>
      </c>
      <c r="BJ258" t="s">
        <v>3241</v>
      </c>
      <c r="BK258" t="str">
        <f>HYPERLINK("http://dx.doi.org/10.1080/14650045.2014.883381","http://dx.doi.org/10.1080/14650045.2014.883381")</f>
        <v>http://dx.doi.org/10.1080/14650045.2014.883381</v>
      </c>
      <c r="BL258" t="s">
        <v>69</v>
      </c>
      <c r="BM258" t="s">
        <v>69</v>
      </c>
      <c r="BN258">
        <v>25</v>
      </c>
      <c r="BO258" t="s">
        <v>14081</v>
      </c>
      <c r="BP258" t="s">
        <v>8661</v>
      </c>
      <c r="BQ258" t="s">
        <v>14082</v>
      </c>
      <c r="BR258" t="s">
        <v>24040</v>
      </c>
      <c r="BS258" t="s">
        <v>3242</v>
      </c>
      <c r="BT258" t="s">
        <v>69</v>
      </c>
      <c r="BU258" t="s">
        <v>69</v>
      </c>
      <c r="BV258" t="s">
        <v>69</v>
      </c>
      <c r="BW258" t="s">
        <v>69</v>
      </c>
      <c r="BX258" t="s">
        <v>8526</v>
      </c>
      <c r="BY258" t="str">
        <f>HYPERLINK("https%3A%2F%2Fwww.webofscience.com%2Fwos%2Fwoscc%2Ffull-record%2FWOS:000342293500004","View Full Record in Web of Science")</f>
        <v>View Full Record in Web of Science</v>
      </c>
    </row>
    <row r="259" spans="1:77" ht="12.5" x14ac:dyDescent="0.25">
      <c r="A259" t="s">
        <v>8495</v>
      </c>
      <c r="B259" s="7" t="s">
        <v>32933</v>
      </c>
      <c r="C259" s="7"/>
      <c r="D259" s="7"/>
      <c r="E259" s="7"/>
      <c r="F259" t="s">
        <v>67</v>
      </c>
      <c r="G259" t="s">
        <v>3891</v>
      </c>
      <c r="H259" t="s">
        <v>69</v>
      </c>
      <c r="I259" t="s">
        <v>69</v>
      </c>
      <c r="J259" t="s">
        <v>69</v>
      </c>
      <c r="K259" t="s">
        <v>3891</v>
      </c>
      <c r="L259" t="s">
        <v>69</v>
      </c>
      <c r="M259" t="s">
        <v>69</v>
      </c>
      <c r="N259" t="s">
        <v>3892</v>
      </c>
      <c r="O259" t="s">
        <v>3893</v>
      </c>
      <c r="P259" t="s">
        <v>69</v>
      </c>
      <c r="Q259" t="s">
        <v>69</v>
      </c>
      <c r="R259" t="s">
        <v>8505</v>
      </c>
      <c r="S259" t="s">
        <v>8506</v>
      </c>
      <c r="T259" t="s">
        <v>69</v>
      </c>
      <c r="U259" t="s">
        <v>69</v>
      </c>
      <c r="V259" t="s">
        <v>69</v>
      </c>
      <c r="W259" t="s">
        <v>69</v>
      </c>
      <c r="X259" t="s">
        <v>69</v>
      </c>
      <c r="Y259" t="s">
        <v>30602</v>
      </c>
      <c r="Z259" t="s">
        <v>69</v>
      </c>
      <c r="AA259" t="s">
        <v>3894</v>
      </c>
      <c r="AB259" t="s">
        <v>30603</v>
      </c>
      <c r="AC259" t="s">
        <v>69</v>
      </c>
      <c r="AD259" t="s">
        <v>30604</v>
      </c>
      <c r="AE259" t="s">
        <v>30605</v>
      </c>
      <c r="AF259" t="s">
        <v>30606</v>
      </c>
      <c r="AG259" t="s">
        <v>3895</v>
      </c>
      <c r="AH259" t="s">
        <v>69</v>
      </c>
      <c r="AI259" t="s">
        <v>69</v>
      </c>
      <c r="AJ259" t="s">
        <v>69</v>
      </c>
      <c r="AK259" t="s">
        <v>69</v>
      </c>
      <c r="AL259">
        <v>13</v>
      </c>
      <c r="AM259">
        <v>22</v>
      </c>
      <c r="AN259">
        <v>22</v>
      </c>
      <c r="AO259">
        <v>0</v>
      </c>
      <c r="AP259">
        <v>9</v>
      </c>
      <c r="AQ259" t="s">
        <v>10352</v>
      </c>
      <c r="AR259" t="s">
        <v>8637</v>
      </c>
      <c r="AS259" t="s">
        <v>10353</v>
      </c>
      <c r="AT259" t="s">
        <v>3896</v>
      </c>
      <c r="AU259" t="s">
        <v>69</v>
      </c>
      <c r="AV259" t="s">
        <v>69</v>
      </c>
      <c r="AW259" t="s">
        <v>19968</v>
      </c>
      <c r="AX259" t="s">
        <v>19969</v>
      </c>
      <c r="AY259" t="s">
        <v>477</v>
      </c>
      <c r="AZ259">
        <v>2005</v>
      </c>
      <c r="BA259">
        <v>20</v>
      </c>
      <c r="BB259">
        <v>3</v>
      </c>
      <c r="BC259" t="s">
        <v>69</v>
      </c>
      <c r="BD259" t="s">
        <v>69</v>
      </c>
      <c r="BE259" t="s">
        <v>69</v>
      </c>
      <c r="BF259" t="s">
        <v>69</v>
      </c>
      <c r="BG259">
        <v>285</v>
      </c>
      <c r="BH259">
        <v>295</v>
      </c>
      <c r="BI259" t="s">
        <v>69</v>
      </c>
      <c r="BJ259" t="s">
        <v>3897</v>
      </c>
      <c r="BK259" t="str">
        <f>HYPERLINK("http://dx.doi.org/10.1093/heapro/dai003","http://dx.doi.org/10.1093/heapro/dai003")</f>
        <v>http://dx.doi.org/10.1093/heapro/dai003</v>
      </c>
      <c r="BL259" t="s">
        <v>69</v>
      </c>
      <c r="BM259" t="s">
        <v>69</v>
      </c>
      <c r="BN259">
        <v>11</v>
      </c>
      <c r="BO259" t="s">
        <v>19970</v>
      </c>
      <c r="BP259" t="s">
        <v>8661</v>
      </c>
      <c r="BQ259" t="s">
        <v>11565</v>
      </c>
      <c r="BR259" t="s">
        <v>30607</v>
      </c>
      <c r="BS259" t="s">
        <v>3898</v>
      </c>
      <c r="BT259">
        <v>15788525</v>
      </c>
      <c r="BU259" t="s">
        <v>9374</v>
      </c>
      <c r="BV259" t="s">
        <v>69</v>
      </c>
      <c r="BW259" t="s">
        <v>69</v>
      </c>
      <c r="BX259" t="s">
        <v>8526</v>
      </c>
      <c r="BY259" t="str">
        <f>HYPERLINK("https%3A%2F%2Fwww.webofscience.com%2Fwos%2Fwoscc%2Ffull-record%2FWOS:000231693300010","View Full Record in Web of Science")</f>
        <v>View Full Record in Web of Science</v>
      </c>
    </row>
    <row r="260" spans="1:77" ht="12.5" x14ac:dyDescent="0.25">
      <c r="A260" t="s">
        <v>8495</v>
      </c>
      <c r="B260" s="7" t="s">
        <v>32933</v>
      </c>
      <c r="C260" s="7"/>
      <c r="D260" s="7"/>
      <c r="E260" s="7"/>
      <c r="F260" t="s">
        <v>67</v>
      </c>
      <c r="G260" t="s">
        <v>4077</v>
      </c>
      <c r="H260" t="s">
        <v>69</v>
      </c>
      <c r="I260" t="s">
        <v>69</v>
      </c>
      <c r="J260" t="s">
        <v>69</v>
      </c>
      <c r="K260" t="s">
        <v>4077</v>
      </c>
      <c r="L260" t="s">
        <v>69</v>
      </c>
      <c r="M260" t="s">
        <v>69</v>
      </c>
      <c r="N260" t="s">
        <v>4078</v>
      </c>
      <c r="O260" t="s">
        <v>4079</v>
      </c>
      <c r="P260" t="s">
        <v>69</v>
      </c>
      <c r="Q260" t="s">
        <v>69</v>
      </c>
      <c r="R260" t="s">
        <v>8505</v>
      </c>
      <c r="S260" t="s">
        <v>15797</v>
      </c>
      <c r="T260" t="s">
        <v>4080</v>
      </c>
      <c r="U260" t="s">
        <v>4081</v>
      </c>
      <c r="V260" t="s">
        <v>4082</v>
      </c>
      <c r="W260" t="s">
        <v>69</v>
      </c>
      <c r="X260" t="s">
        <v>69</v>
      </c>
      <c r="Y260" t="s">
        <v>31603</v>
      </c>
      <c r="Z260" t="s">
        <v>69</v>
      </c>
      <c r="AA260" t="s">
        <v>4083</v>
      </c>
      <c r="AB260" t="s">
        <v>69</v>
      </c>
      <c r="AC260" t="s">
        <v>69</v>
      </c>
      <c r="AD260" t="s">
        <v>31604</v>
      </c>
      <c r="AE260" t="s">
        <v>69</v>
      </c>
      <c r="AF260" t="s">
        <v>69</v>
      </c>
      <c r="AG260" t="s">
        <v>69</v>
      </c>
      <c r="AH260" t="s">
        <v>69</v>
      </c>
      <c r="AI260" t="s">
        <v>69</v>
      </c>
      <c r="AJ260" t="s">
        <v>69</v>
      </c>
      <c r="AK260" t="s">
        <v>69</v>
      </c>
      <c r="AL260">
        <v>37</v>
      </c>
      <c r="AM260">
        <v>12</v>
      </c>
      <c r="AN260">
        <v>13</v>
      </c>
      <c r="AO260">
        <v>0</v>
      </c>
      <c r="AP260">
        <v>4</v>
      </c>
      <c r="AQ260" t="s">
        <v>18779</v>
      </c>
      <c r="AR260" t="s">
        <v>8993</v>
      </c>
      <c r="AS260" t="s">
        <v>18780</v>
      </c>
      <c r="AT260" t="s">
        <v>4084</v>
      </c>
      <c r="AU260" t="s">
        <v>69</v>
      </c>
      <c r="AV260" t="s">
        <v>69</v>
      </c>
      <c r="AW260" t="s">
        <v>18781</v>
      </c>
      <c r="AX260" t="s">
        <v>18782</v>
      </c>
      <c r="AY260" t="s">
        <v>246</v>
      </c>
      <c r="AZ260">
        <v>2001</v>
      </c>
      <c r="BA260">
        <v>33</v>
      </c>
      <c r="BB260">
        <v>4</v>
      </c>
      <c r="BC260" t="s">
        <v>69</v>
      </c>
      <c r="BD260" t="s">
        <v>69</v>
      </c>
      <c r="BE260" t="s">
        <v>114</v>
      </c>
      <c r="BF260" t="s">
        <v>69</v>
      </c>
      <c r="BG260">
        <v>291</v>
      </c>
      <c r="BH260">
        <v>302</v>
      </c>
      <c r="BI260" t="s">
        <v>69</v>
      </c>
      <c r="BJ260" t="s">
        <v>4085</v>
      </c>
      <c r="BK260" t="str">
        <f>HYPERLINK("http://dx.doi.org/10.1016/S0378-7788(00)00111-0","http://dx.doi.org/10.1016/S0378-7788(00)00111-0")</f>
        <v>http://dx.doi.org/10.1016/S0378-7788(00)00111-0</v>
      </c>
      <c r="BL260" t="s">
        <v>69</v>
      </c>
      <c r="BM260" t="s">
        <v>69</v>
      </c>
      <c r="BN260">
        <v>12</v>
      </c>
      <c r="BO260" t="s">
        <v>18783</v>
      </c>
      <c r="BP260" t="s">
        <v>29550</v>
      </c>
      <c r="BQ260" t="s">
        <v>18784</v>
      </c>
      <c r="BR260" t="s">
        <v>31605</v>
      </c>
      <c r="BS260" t="s">
        <v>4086</v>
      </c>
      <c r="BT260" t="s">
        <v>69</v>
      </c>
      <c r="BU260" t="s">
        <v>69</v>
      </c>
      <c r="BV260" t="s">
        <v>69</v>
      </c>
      <c r="BW260" t="s">
        <v>69</v>
      </c>
      <c r="BX260" t="s">
        <v>8526</v>
      </c>
      <c r="BY260" t="str">
        <f>HYPERLINK("https%3A%2F%2Fwww.webofscience.com%2Fwos%2Fwoscc%2Ffull-record%2FWOS:000167272000002","View Full Record in Web of Science")</f>
        <v>View Full Record in Web of Science</v>
      </c>
    </row>
    <row r="261" spans="1:77" ht="12.5" x14ac:dyDescent="0.25">
      <c r="A261" t="s">
        <v>8495</v>
      </c>
      <c r="B261" s="7" t="s">
        <v>32933</v>
      </c>
      <c r="C261" s="7"/>
      <c r="D261" s="7"/>
      <c r="E261" s="7"/>
      <c r="F261" t="s">
        <v>67</v>
      </c>
      <c r="G261" t="s">
        <v>1464</v>
      </c>
      <c r="H261" t="s">
        <v>69</v>
      </c>
      <c r="I261" t="s">
        <v>69</v>
      </c>
      <c r="J261" t="s">
        <v>69</v>
      </c>
      <c r="K261" t="s">
        <v>1465</v>
      </c>
      <c r="L261" t="s">
        <v>69</v>
      </c>
      <c r="M261" t="s">
        <v>69</v>
      </c>
      <c r="N261" t="s">
        <v>1466</v>
      </c>
      <c r="O261" t="s">
        <v>1467</v>
      </c>
      <c r="P261" t="s">
        <v>69</v>
      </c>
      <c r="Q261" t="s">
        <v>69</v>
      </c>
      <c r="R261" t="s">
        <v>8505</v>
      </c>
      <c r="S261" t="s">
        <v>8506</v>
      </c>
      <c r="T261" t="s">
        <v>69</v>
      </c>
      <c r="U261" t="s">
        <v>69</v>
      </c>
      <c r="V261" t="s">
        <v>69</v>
      </c>
      <c r="W261" t="s">
        <v>69</v>
      </c>
      <c r="X261" t="s">
        <v>69</v>
      </c>
      <c r="Y261" t="s">
        <v>26277</v>
      </c>
      <c r="Z261" t="s">
        <v>26278</v>
      </c>
      <c r="AA261" t="s">
        <v>1468</v>
      </c>
      <c r="AB261" t="s">
        <v>26279</v>
      </c>
      <c r="AC261" t="s">
        <v>69</v>
      </c>
      <c r="AD261" t="s">
        <v>26280</v>
      </c>
      <c r="AE261" t="s">
        <v>26281</v>
      </c>
      <c r="AF261" t="s">
        <v>69</v>
      </c>
      <c r="AG261" t="s">
        <v>69</v>
      </c>
      <c r="AH261" t="s">
        <v>69</v>
      </c>
      <c r="AI261" t="s">
        <v>69</v>
      </c>
      <c r="AJ261" t="s">
        <v>69</v>
      </c>
      <c r="AK261" t="s">
        <v>69</v>
      </c>
      <c r="AL261">
        <v>48</v>
      </c>
      <c r="AM261">
        <v>10</v>
      </c>
      <c r="AN261">
        <v>10</v>
      </c>
      <c r="AO261">
        <v>0</v>
      </c>
      <c r="AP261">
        <v>17</v>
      </c>
      <c r="AQ261" t="s">
        <v>8762</v>
      </c>
      <c r="AR261" t="s">
        <v>8763</v>
      </c>
      <c r="AS261" t="s">
        <v>8764</v>
      </c>
      <c r="AT261" t="s">
        <v>1469</v>
      </c>
      <c r="AU261" t="s">
        <v>1470</v>
      </c>
      <c r="AV261" t="s">
        <v>69</v>
      </c>
      <c r="AW261" t="s">
        <v>22443</v>
      </c>
      <c r="AX261" t="s">
        <v>22444</v>
      </c>
      <c r="AY261" t="s">
        <v>69</v>
      </c>
      <c r="AZ261">
        <v>2012</v>
      </c>
      <c r="BA261">
        <v>30</v>
      </c>
      <c r="BB261">
        <v>4</v>
      </c>
      <c r="BC261" t="s">
        <v>69</v>
      </c>
      <c r="BD261" t="s">
        <v>69</v>
      </c>
      <c r="BE261" t="s">
        <v>69</v>
      </c>
      <c r="BF261" t="s">
        <v>69</v>
      </c>
      <c r="BG261">
        <v>643</v>
      </c>
      <c r="BH261">
        <v>657</v>
      </c>
      <c r="BI261" t="s">
        <v>69</v>
      </c>
      <c r="BJ261" t="s">
        <v>1471</v>
      </c>
      <c r="BK261" t="str">
        <f>HYPERLINK("http://dx.doi.org/10.1068/c11251","http://dx.doi.org/10.1068/c11251")</f>
        <v>http://dx.doi.org/10.1068/c11251</v>
      </c>
      <c r="BL261" t="s">
        <v>69</v>
      </c>
      <c r="BM261" t="s">
        <v>69</v>
      </c>
      <c r="BN261">
        <v>15</v>
      </c>
      <c r="BO261" t="s">
        <v>22445</v>
      </c>
      <c r="BP261" t="s">
        <v>8661</v>
      </c>
      <c r="BQ261" t="s">
        <v>15243</v>
      </c>
      <c r="BR261" t="s">
        <v>26282</v>
      </c>
      <c r="BS261" t="s">
        <v>1472</v>
      </c>
      <c r="BT261" t="s">
        <v>69</v>
      </c>
      <c r="BU261" t="s">
        <v>69</v>
      </c>
      <c r="BV261" t="s">
        <v>69</v>
      </c>
      <c r="BW261" t="s">
        <v>69</v>
      </c>
      <c r="BX261" t="s">
        <v>8526</v>
      </c>
      <c r="BY261" t="str">
        <f>HYPERLINK("https%3A%2F%2Fwww.webofscience.com%2Fwos%2Fwoscc%2Ffull-record%2FWOS:000308474200006","View Full Record in Web of Science")</f>
        <v>View Full Record in Web of Science</v>
      </c>
    </row>
    <row r="262" spans="1:77" ht="12.5" x14ac:dyDescent="0.25">
      <c r="A262" t="s">
        <v>8495</v>
      </c>
      <c r="B262" s="22" t="s">
        <v>32931</v>
      </c>
      <c r="C262" s="7"/>
      <c r="D262" s="7"/>
      <c r="E262" s="7"/>
      <c r="F262" t="s">
        <v>67</v>
      </c>
      <c r="G262" t="s">
        <v>24262</v>
      </c>
      <c r="H262" t="s">
        <v>69</v>
      </c>
      <c r="I262" t="s">
        <v>69</v>
      </c>
      <c r="J262" t="s">
        <v>69</v>
      </c>
      <c r="K262" t="s">
        <v>24263</v>
      </c>
      <c r="L262" t="s">
        <v>69</v>
      </c>
      <c r="M262" t="s">
        <v>69</v>
      </c>
      <c r="N262" t="s">
        <v>24264</v>
      </c>
      <c r="O262" t="s">
        <v>13522</v>
      </c>
      <c r="P262" t="s">
        <v>69</v>
      </c>
      <c r="Q262" t="s">
        <v>69</v>
      </c>
      <c r="R262" t="s">
        <v>8505</v>
      </c>
      <c r="S262" t="s">
        <v>8506</v>
      </c>
      <c r="T262" t="s">
        <v>69</v>
      </c>
      <c r="U262" t="s">
        <v>69</v>
      </c>
      <c r="V262" t="s">
        <v>69</v>
      </c>
      <c r="W262" t="s">
        <v>69</v>
      </c>
      <c r="X262" t="s">
        <v>69</v>
      </c>
      <c r="Y262" t="s">
        <v>24265</v>
      </c>
      <c r="Z262" t="s">
        <v>69</v>
      </c>
      <c r="AA262" t="s">
        <v>24266</v>
      </c>
      <c r="AB262" t="s">
        <v>24267</v>
      </c>
      <c r="AC262" t="s">
        <v>69</v>
      </c>
      <c r="AD262" t="s">
        <v>24268</v>
      </c>
      <c r="AE262" t="s">
        <v>24269</v>
      </c>
      <c r="AF262" t="s">
        <v>69</v>
      </c>
      <c r="AG262" t="s">
        <v>69</v>
      </c>
      <c r="AH262" t="s">
        <v>69</v>
      </c>
      <c r="AI262" t="s">
        <v>69</v>
      </c>
      <c r="AJ262" t="s">
        <v>69</v>
      </c>
      <c r="AK262" t="s">
        <v>69</v>
      </c>
      <c r="AL262">
        <v>52</v>
      </c>
      <c r="AM262">
        <v>31</v>
      </c>
      <c r="AN262">
        <v>33</v>
      </c>
      <c r="AO262">
        <v>0</v>
      </c>
      <c r="AP262">
        <v>4</v>
      </c>
      <c r="AQ262" t="s">
        <v>13530</v>
      </c>
      <c r="AR262" t="s">
        <v>13531</v>
      </c>
      <c r="AS262" t="s">
        <v>13532</v>
      </c>
      <c r="AT262" t="s">
        <v>13533</v>
      </c>
      <c r="AU262" t="s">
        <v>69</v>
      </c>
      <c r="AV262" t="s">
        <v>69</v>
      </c>
      <c r="AW262" t="s">
        <v>13534</v>
      </c>
      <c r="AX262" t="s">
        <v>13535</v>
      </c>
      <c r="AY262" t="s">
        <v>69</v>
      </c>
      <c r="AZ262">
        <v>2014</v>
      </c>
      <c r="BA262">
        <v>19</v>
      </c>
      <c r="BB262" t="s">
        <v>69</v>
      </c>
      <c r="BC262" t="s">
        <v>69</v>
      </c>
      <c r="BD262" t="s">
        <v>69</v>
      </c>
      <c r="BE262" t="s">
        <v>69</v>
      </c>
      <c r="BF262" t="s">
        <v>69</v>
      </c>
      <c r="BG262">
        <v>126</v>
      </c>
      <c r="BH262">
        <v>149</v>
      </c>
      <c r="BI262" t="s">
        <v>69</v>
      </c>
      <c r="BJ262" t="s">
        <v>69</v>
      </c>
      <c r="BK262" t="s">
        <v>69</v>
      </c>
      <c r="BL262" t="s">
        <v>69</v>
      </c>
      <c r="BM262" t="s">
        <v>69</v>
      </c>
      <c r="BN262">
        <v>24</v>
      </c>
      <c r="BO262" t="s">
        <v>13537</v>
      </c>
      <c r="BP262" t="s">
        <v>8573</v>
      </c>
      <c r="BQ262" t="s">
        <v>8445</v>
      </c>
      <c r="BR262" t="s">
        <v>24270</v>
      </c>
      <c r="BS262" t="s">
        <v>24271</v>
      </c>
      <c r="BT262" t="s">
        <v>69</v>
      </c>
      <c r="BU262" t="s">
        <v>69</v>
      </c>
      <c r="BV262" t="s">
        <v>69</v>
      </c>
      <c r="BW262" t="s">
        <v>69</v>
      </c>
      <c r="BX262" t="s">
        <v>8526</v>
      </c>
      <c r="BY262" t="str">
        <f>HYPERLINK("https%3A%2F%2Fwww.webofscience.com%2Fwos%2Fwoscc%2Ffull-record%2FWOS:000210032400007","View Full Record in Web of Science")</f>
        <v>View Full Record in Web of Science</v>
      </c>
    </row>
    <row r="263" spans="1:77" ht="12.5" x14ac:dyDescent="0.25">
      <c r="A263" t="s">
        <v>8495</v>
      </c>
      <c r="B263" s="7" t="s">
        <v>32933</v>
      </c>
      <c r="C263" s="7"/>
      <c r="D263" s="7"/>
      <c r="E263" s="7"/>
      <c r="F263" t="s">
        <v>67</v>
      </c>
      <c r="G263" t="s">
        <v>1546</v>
      </c>
      <c r="H263" t="s">
        <v>69</v>
      </c>
      <c r="I263" t="s">
        <v>69</v>
      </c>
      <c r="J263" t="s">
        <v>69</v>
      </c>
      <c r="K263" t="s">
        <v>1547</v>
      </c>
      <c r="L263" t="s">
        <v>69</v>
      </c>
      <c r="M263" t="s">
        <v>69</v>
      </c>
      <c r="N263" t="s">
        <v>1548</v>
      </c>
      <c r="O263" t="s">
        <v>436</v>
      </c>
      <c r="P263" t="s">
        <v>69</v>
      </c>
      <c r="Q263" t="s">
        <v>69</v>
      </c>
      <c r="R263" t="s">
        <v>8505</v>
      </c>
      <c r="S263" t="s">
        <v>8506</v>
      </c>
      <c r="T263" t="s">
        <v>69</v>
      </c>
      <c r="U263" t="s">
        <v>69</v>
      </c>
      <c r="V263" t="s">
        <v>69</v>
      </c>
      <c r="W263" t="s">
        <v>69</v>
      </c>
      <c r="X263" t="s">
        <v>69</v>
      </c>
      <c r="Y263" t="s">
        <v>28856</v>
      </c>
      <c r="Z263" t="s">
        <v>69</v>
      </c>
      <c r="AA263" t="s">
        <v>1549</v>
      </c>
      <c r="AB263" t="s">
        <v>28857</v>
      </c>
      <c r="AC263" t="s">
        <v>69</v>
      </c>
      <c r="AD263" t="s">
        <v>28858</v>
      </c>
      <c r="AE263" t="s">
        <v>28859</v>
      </c>
      <c r="AF263" t="s">
        <v>1550</v>
      </c>
      <c r="AG263" t="s">
        <v>69</v>
      </c>
      <c r="AH263" t="s">
        <v>28860</v>
      </c>
      <c r="AI263" t="s">
        <v>28861</v>
      </c>
      <c r="AJ263" t="s">
        <v>28862</v>
      </c>
      <c r="AK263" t="s">
        <v>69</v>
      </c>
      <c r="AL263">
        <v>73</v>
      </c>
      <c r="AM263">
        <v>293</v>
      </c>
      <c r="AN263">
        <v>302</v>
      </c>
      <c r="AO263">
        <v>9</v>
      </c>
      <c r="AP263">
        <v>152</v>
      </c>
      <c r="AQ263" t="s">
        <v>8636</v>
      </c>
      <c r="AR263" t="s">
        <v>8637</v>
      </c>
      <c r="AS263" t="s">
        <v>8638</v>
      </c>
      <c r="AT263" t="s">
        <v>440</v>
      </c>
      <c r="AU263" t="s">
        <v>441</v>
      </c>
      <c r="AV263" t="s">
        <v>69</v>
      </c>
      <c r="AW263" t="s">
        <v>8639</v>
      </c>
      <c r="AX263" t="s">
        <v>8640</v>
      </c>
      <c r="AY263" t="s">
        <v>69</v>
      </c>
      <c r="AZ263">
        <v>2009</v>
      </c>
      <c r="BA263">
        <v>17</v>
      </c>
      <c r="BB263">
        <v>6</v>
      </c>
      <c r="BC263" t="s">
        <v>69</v>
      </c>
      <c r="BD263" t="s">
        <v>69</v>
      </c>
      <c r="BE263" t="s">
        <v>69</v>
      </c>
      <c r="BF263" t="s">
        <v>69</v>
      </c>
      <c r="BG263">
        <v>571</v>
      </c>
      <c r="BH263">
        <v>580</v>
      </c>
      <c r="BI263" t="s">
        <v>69</v>
      </c>
      <c r="BJ263" t="s">
        <v>1551</v>
      </c>
      <c r="BK263" t="str">
        <f>HYPERLINK("http://dx.doi.org/10.1016/j.jclepro.2008.12.009","http://dx.doi.org/10.1016/j.jclepro.2008.12.009")</f>
        <v>http://dx.doi.org/10.1016/j.jclepro.2008.12.009</v>
      </c>
      <c r="BL263" t="s">
        <v>69</v>
      </c>
      <c r="BM263" t="s">
        <v>69</v>
      </c>
      <c r="BN263">
        <v>10</v>
      </c>
      <c r="BO263" t="s">
        <v>8643</v>
      </c>
      <c r="BP263" t="s">
        <v>8523</v>
      </c>
      <c r="BQ263" t="s">
        <v>8644</v>
      </c>
      <c r="BR263" t="s">
        <v>28863</v>
      </c>
      <c r="BS263" t="s">
        <v>1552</v>
      </c>
      <c r="BT263" t="s">
        <v>69</v>
      </c>
      <c r="BU263" t="s">
        <v>69</v>
      </c>
      <c r="BV263" t="s">
        <v>69</v>
      </c>
      <c r="BW263" t="s">
        <v>69</v>
      </c>
      <c r="BX263" t="s">
        <v>8526</v>
      </c>
      <c r="BY263" t="str">
        <f>HYPERLINK("https%3A%2F%2Fwww.webofscience.com%2Fwos%2Fwoscc%2Ffull-record%2FWOS:000264330600001","View Full Record in Web of Science")</f>
        <v>View Full Record in Web of Science</v>
      </c>
    </row>
    <row r="264" spans="1:77" ht="12.5" x14ac:dyDescent="0.25">
      <c r="A264" t="s">
        <v>8495</v>
      </c>
      <c r="B264" s="7" t="s">
        <v>32933</v>
      </c>
      <c r="C264" s="7"/>
      <c r="D264" s="7"/>
      <c r="E264" s="7"/>
      <c r="F264" t="s">
        <v>67</v>
      </c>
      <c r="G264" t="s">
        <v>1328</v>
      </c>
      <c r="H264" t="s">
        <v>69</v>
      </c>
      <c r="I264" t="s">
        <v>69</v>
      </c>
      <c r="J264" t="s">
        <v>69</v>
      </c>
      <c r="K264" t="s">
        <v>1329</v>
      </c>
      <c r="L264" t="s">
        <v>69</v>
      </c>
      <c r="M264" t="s">
        <v>69</v>
      </c>
      <c r="N264" t="s">
        <v>1330</v>
      </c>
      <c r="O264" t="s">
        <v>1331</v>
      </c>
      <c r="P264" t="s">
        <v>69</v>
      </c>
      <c r="Q264" t="s">
        <v>69</v>
      </c>
      <c r="R264" t="s">
        <v>8505</v>
      </c>
      <c r="S264" t="s">
        <v>8506</v>
      </c>
      <c r="T264" t="s">
        <v>69</v>
      </c>
      <c r="U264" t="s">
        <v>69</v>
      </c>
      <c r="V264" t="s">
        <v>69</v>
      </c>
      <c r="W264" t="s">
        <v>69</v>
      </c>
      <c r="X264" t="s">
        <v>69</v>
      </c>
      <c r="Y264" t="s">
        <v>23364</v>
      </c>
      <c r="Z264" t="s">
        <v>23365</v>
      </c>
      <c r="AA264" t="s">
        <v>1332</v>
      </c>
      <c r="AB264" t="s">
        <v>23366</v>
      </c>
      <c r="AC264" t="s">
        <v>69</v>
      </c>
      <c r="AD264" t="s">
        <v>23367</v>
      </c>
      <c r="AE264" t="s">
        <v>23368</v>
      </c>
      <c r="AF264" t="s">
        <v>1333</v>
      </c>
      <c r="AG264" t="s">
        <v>1334</v>
      </c>
      <c r="AH264" t="s">
        <v>69</v>
      </c>
      <c r="AI264" t="s">
        <v>69</v>
      </c>
      <c r="AJ264" t="s">
        <v>69</v>
      </c>
      <c r="AK264" t="s">
        <v>69</v>
      </c>
      <c r="AL264">
        <v>68</v>
      </c>
      <c r="AM264">
        <v>15</v>
      </c>
      <c r="AN264">
        <v>15</v>
      </c>
      <c r="AO264">
        <v>1</v>
      </c>
      <c r="AP264">
        <v>39</v>
      </c>
      <c r="AQ264" t="s">
        <v>8846</v>
      </c>
      <c r="AR264" t="s">
        <v>8847</v>
      </c>
      <c r="AS264" t="s">
        <v>8848</v>
      </c>
      <c r="AT264" t="s">
        <v>1335</v>
      </c>
      <c r="AU264" t="s">
        <v>1336</v>
      </c>
      <c r="AV264" t="s">
        <v>69</v>
      </c>
      <c r="AW264" t="s">
        <v>23369</v>
      </c>
      <c r="AX264" t="s">
        <v>23370</v>
      </c>
      <c r="AY264" t="s">
        <v>75</v>
      </c>
      <c r="AZ264">
        <v>2014</v>
      </c>
      <c r="BA264">
        <v>25</v>
      </c>
      <c r="BB264">
        <v>3</v>
      </c>
      <c r="BC264" t="s">
        <v>69</v>
      </c>
      <c r="BD264" t="s">
        <v>69</v>
      </c>
      <c r="BE264" t="s">
        <v>69</v>
      </c>
      <c r="BF264" t="s">
        <v>69</v>
      </c>
      <c r="BG264">
        <v>202</v>
      </c>
      <c r="BH264">
        <v>208</v>
      </c>
      <c r="BI264" t="s">
        <v>69</v>
      </c>
      <c r="BJ264" t="s">
        <v>1337</v>
      </c>
      <c r="BK264" t="str">
        <f>HYPERLINK("http://dx.doi.org/10.1071/HE14039","http://dx.doi.org/10.1071/HE14039")</f>
        <v>http://dx.doi.org/10.1071/HE14039</v>
      </c>
      <c r="BL264" t="s">
        <v>69</v>
      </c>
      <c r="BM264" t="s">
        <v>69</v>
      </c>
      <c r="BN264">
        <v>7</v>
      </c>
      <c r="BO264" t="s">
        <v>8810</v>
      </c>
      <c r="BP264" t="s">
        <v>8661</v>
      </c>
      <c r="BQ264" t="s">
        <v>8810</v>
      </c>
      <c r="BR264" t="s">
        <v>23371</v>
      </c>
      <c r="BS264" t="s">
        <v>1338</v>
      </c>
      <c r="BT264">
        <v>25434860</v>
      </c>
      <c r="BU264" t="s">
        <v>69</v>
      </c>
      <c r="BV264" t="s">
        <v>69</v>
      </c>
      <c r="BW264" t="s">
        <v>69</v>
      </c>
      <c r="BX264" t="s">
        <v>8526</v>
      </c>
      <c r="BY264" t="str">
        <f>HYPERLINK("https%3A%2F%2Fwww.webofscience.com%2Fwos%2Fwoscc%2Ffull-record%2FWOS:000346892500010","View Full Record in Web of Science")</f>
        <v>View Full Record in Web of Science</v>
      </c>
    </row>
    <row r="265" spans="1:77" ht="12.5" x14ac:dyDescent="0.25">
      <c r="A265" t="s">
        <v>8495</v>
      </c>
      <c r="B265" s="7" t="s">
        <v>32933</v>
      </c>
      <c r="C265" s="7"/>
      <c r="D265" s="7"/>
      <c r="E265" s="7"/>
      <c r="F265" t="s">
        <v>67</v>
      </c>
      <c r="G265" t="s">
        <v>1785</v>
      </c>
      <c r="H265" t="s">
        <v>69</v>
      </c>
      <c r="I265" t="s">
        <v>69</v>
      </c>
      <c r="J265" t="s">
        <v>69</v>
      </c>
      <c r="K265" t="s">
        <v>1785</v>
      </c>
      <c r="L265" t="s">
        <v>69</v>
      </c>
      <c r="M265" t="s">
        <v>69</v>
      </c>
      <c r="N265" t="s">
        <v>1786</v>
      </c>
      <c r="O265" t="s">
        <v>520</v>
      </c>
      <c r="P265" t="s">
        <v>69</v>
      </c>
      <c r="Q265" t="s">
        <v>69</v>
      </c>
      <c r="R265" t="s">
        <v>8505</v>
      </c>
      <c r="S265" t="s">
        <v>8506</v>
      </c>
      <c r="T265" t="s">
        <v>69</v>
      </c>
      <c r="U265" t="s">
        <v>69</v>
      </c>
      <c r="V265" t="s">
        <v>69</v>
      </c>
      <c r="W265" t="s">
        <v>69</v>
      </c>
      <c r="X265" t="s">
        <v>69</v>
      </c>
      <c r="Y265" t="s">
        <v>32189</v>
      </c>
      <c r="Z265" t="s">
        <v>69</v>
      </c>
      <c r="AA265" t="s">
        <v>1787</v>
      </c>
      <c r="AB265" t="s">
        <v>69</v>
      </c>
      <c r="AC265" t="s">
        <v>69</v>
      </c>
      <c r="AD265" t="s">
        <v>32190</v>
      </c>
      <c r="AE265" t="s">
        <v>69</v>
      </c>
      <c r="AF265" t="s">
        <v>69</v>
      </c>
      <c r="AG265" t="s">
        <v>69</v>
      </c>
      <c r="AH265" t="s">
        <v>69</v>
      </c>
      <c r="AI265" t="s">
        <v>69</v>
      </c>
      <c r="AJ265" t="s">
        <v>69</v>
      </c>
      <c r="AK265" t="s">
        <v>69</v>
      </c>
      <c r="AL265">
        <v>4</v>
      </c>
      <c r="AM265">
        <v>19</v>
      </c>
      <c r="AN265">
        <v>19</v>
      </c>
      <c r="AO265">
        <v>0</v>
      </c>
      <c r="AP265">
        <v>1</v>
      </c>
      <c r="AQ265" t="s">
        <v>32191</v>
      </c>
      <c r="AR265" t="s">
        <v>8763</v>
      </c>
      <c r="AS265" t="s">
        <v>32192</v>
      </c>
      <c r="AT265" t="s">
        <v>523</v>
      </c>
      <c r="AU265" t="s">
        <v>69</v>
      </c>
      <c r="AV265" t="s">
        <v>69</v>
      </c>
      <c r="AW265" t="s">
        <v>21727</v>
      </c>
      <c r="AX265" t="s">
        <v>21728</v>
      </c>
      <c r="AY265" t="s">
        <v>1774</v>
      </c>
      <c r="AZ265">
        <v>1997</v>
      </c>
      <c r="BA265">
        <v>25</v>
      </c>
      <c r="BB265">
        <v>5</v>
      </c>
      <c r="BC265" t="s">
        <v>69</v>
      </c>
      <c r="BD265" t="s">
        <v>69</v>
      </c>
      <c r="BE265" t="s">
        <v>69</v>
      </c>
      <c r="BF265" t="s">
        <v>69</v>
      </c>
      <c r="BG265">
        <v>285</v>
      </c>
      <c r="BH265">
        <v>291</v>
      </c>
      <c r="BI265" t="s">
        <v>69</v>
      </c>
      <c r="BJ265" t="s">
        <v>1788</v>
      </c>
      <c r="BK265" t="str">
        <f>HYPERLINK("http://dx.doi.org/10.1080/096132197370264","http://dx.doi.org/10.1080/096132197370264")</f>
        <v>http://dx.doi.org/10.1080/096132197370264</v>
      </c>
      <c r="BL265" t="s">
        <v>69</v>
      </c>
      <c r="BM265" t="s">
        <v>69</v>
      </c>
      <c r="BN265">
        <v>7</v>
      </c>
      <c r="BO265" t="s">
        <v>10105</v>
      </c>
      <c r="BP265" t="s">
        <v>8548</v>
      </c>
      <c r="BQ265" t="s">
        <v>10105</v>
      </c>
      <c r="BR265" t="s">
        <v>32193</v>
      </c>
      <c r="BS265" t="s">
        <v>1789</v>
      </c>
      <c r="BT265" t="s">
        <v>69</v>
      </c>
      <c r="BU265" t="s">
        <v>69</v>
      </c>
      <c r="BV265" t="s">
        <v>69</v>
      </c>
      <c r="BW265" t="s">
        <v>69</v>
      </c>
      <c r="BX265" t="s">
        <v>8526</v>
      </c>
      <c r="BY265" t="str">
        <f>HYPERLINK("https%3A%2F%2Fwww.webofscience.com%2Fwos%2Fwoscc%2Ffull-record%2FWOS:A1997YC57100007","View Full Record in Web of Science")</f>
        <v>View Full Record in Web of Science</v>
      </c>
    </row>
    <row r="266" spans="1:77" ht="12.5" x14ac:dyDescent="0.25">
      <c r="A266" t="s">
        <v>8495</v>
      </c>
      <c r="B266" s="7" t="s">
        <v>32933</v>
      </c>
      <c r="C266" s="7"/>
      <c r="D266" s="7"/>
      <c r="E266" s="7"/>
      <c r="F266" t="s">
        <v>67</v>
      </c>
      <c r="G266" t="s">
        <v>480</v>
      </c>
      <c r="H266" t="s">
        <v>69</v>
      </c>
      <c r="I266" t="s">
        <v>69</v>
      </c>
      <c r="J266" t="s">
        <v>69</v>
      </c>
      <c r="K266" t="s">
        <v>481</v>
      </c>
      <c r="L266" t="s">
        <v>69</v>
      </c>
      <c r="M266" t="s">
        <v>69</v>
      </c>
      <c r="N266" t="s">
        <v>482</v>
      </c>
      <c r="O266" t="s">
        <v>483</v>
      </c>
      <c r="P266" t="s">
        <v>69</v>
      </c>
      <c r="Q266" t="s">
        <v>69</v>
      </c>
      <c r="R266" t="s">
        <v>8505</v>
      </c>
      <c r="S266" t="s">
        <v>8506</v>
      </c>
      <c r="T266" t="s">
        <v>69</v>
      </c>
      <c r="U266" t="s">
        <v>69</v>
      </c>
      <c r="V266" t="s">
        <v>69</v>
      </c>
      <c r="W266" t="s">
        <v>69</v>
      </c>
      <c r="X266" t="s">
        <v>69</v>
      </c>
      <c r="Y266" t="s">
        <v>23083</v>
      </c>
      <c r="Z266" t="s">
        <v>23084</v>
      </c>
      <c r="AA266" t="s">
        <v>484</v>
      </c>
      <c r="AB266" t="s">
        <v>23085</v>
      </c>
      <c r="AC266" t="s">
        <v>69</v>
      </c>
      <c r="AD266" t="s">
        <v>23086</v>
      </c>
      <c r="AE266" t="s">
        <v>23087</v>
      </c>
      <c r="AF266" t="s">
        <v>69</v>
      </c>
      <c r="AG266" t="s">
        <v>69</v>
      </c>
      <c r="AH266" t="s">
        <v>23088</v>
      </c>
      <c r="AI266" t="s">
        <v>23089</v>
      </c>
      <c r="AJ266" t="s">
        <v>23090</v>
      </c>
      <c r="AK266" t="s">
        <v>69</v>
      </c>
      <c r="AL266">
        <v>31</v>
      </c>
      <c r="AM266">
        <v>8</v>
      </c>
      <c r="AN266">
        <v>8</v>
      </c>
      <c r="AO266">
        <v>0</v>
      </c>
      <c r="AP266">
        <v>10</v>
      </c>
      <c r="AQ266" t="s">
        <v>20196</v>
      </c>
      <c r="AR266" t="s">
        <v>9018</v>
      </c>
      <c r="AS266" t="s">
        <v>9019</v>
      </c>
      <c r="AT266" t="s">
        <v>485</v>
      </c>
      <c r="AU266" t="s">
        <v>486</v>
      </c>
      <c r="AV266" t="s">
        <v>69</v>
      </c>
      <c r="AW266" t="s">
        <v>23091</v>
      </c>
      <c r="AX266" t="s">
        <v>23092</v>
      </c>
      <c r="AY266" t="s">
        <v>69</v>
      </c>
      <c r="AZ266">
        <v>2015</v>
      </c>
      <c r="BA266">
        <v>106</v>
      </c>
      <c r="BB266">
        <v>1</v>
      </c>
      <c r="BC266" t="s">
        <v>69</v>
      </c>
      <c r="BD266">
        <v>1</v>
      </c>
      <c r="BE266" t="s">
        <v>69</v>
      </c>
      <c r="BF266" t="s">
        <v>69</v>
      </c>
      <c r="BG266" t="s">
        <v>487</v>
      </c>
      <c r="BH266" t="s">
        <v>488</v>
      </c>
      <c r="BI266" t="s">
        <v>69</v>
      </c>
      <c r="BJ266" t="s">
        <v>489</v>
      </c>
      <c r="BK266" t="str">
        <f>HYPERLINK("http://dx.doi.org/10.17269/cjph.106.4566","http://dx.doi.org/10.17269/cjph.106.4566")</f>
        <v>http://dx.doi.org/10.17269/cjph.106.4566</v>
      </c>
      <c r="BL266" t="s">
        <v>69</v>
      </c>
      <c r="BM266" t="s">
        <v>69</v>
      </c>
      <c r="BN266">
        <v>10</v>
      </c>
      <c r="BO266" t="s">
        <v>8810</v>
      </c>
      <c r="BP266" t="s">
        <v>8661</v>
      </c>
      <c r="BQ266" t="s">
        <v>8810</v>
      </c>
      <c r="BR266" t="s">
        <v>23093</v>
      </c>
      <c r="BS266" t="s">
        <v>490</v>
      </c>
      <c r="BT266">
        <v>25955547</v>
      </c>
      <c r="BU266" t="s">
        <v>10423</v>
      </c>
      <c r="BV266" t="s">
        <v>69</v>
      </c>
      <c r="BW266" t="s">
        <v>69</v>
      </c>
      <c r="BX266" t="s">
        <v>8526</v>
      </c>
      <c r="BY266" t="str">
        <f>HYPERLINK("https%3A%2F%2Fwww.webofscience.com%2Fwos%2Fwoscc%2Ffull-record%2FWOS:000353227400009","View Full Record in Web of Science")</f>
        <v>View Full Record in Web of Science</v>
      </c>
    </row>
    <row r="267" spans="1:77" ht="12.5" x14ac:dyDescent="0.25">
      <c r="A267" t="s">
        <v>8495</v>
      </c>
      <c r="B267" s="22" t="s">
        <v>32931</v>
      </c>
      <c r="C267" s="7"/>
      <c r="D267" s="7"/>
      <c r="E267" s="7"/>
      <c r="F267" t="s">
        <v>67</v>
      </c>
      <c r="G267" t="s">
        <v>19999</v>
      </c>
      <c r="H267" t="s">
        <v>69</v>
      </c>
      <c r="I267" t="s">
        <v>69</v>
      </c>
      <c r="J267" t="s">
        <v>69</v>
      </c>
      <c r="K267" t="s">
        <v>20000</v>
      </c>
      <c r="L267" t="s">
        <v>69</v>
      </c>
      <c r="M267" t="s">
        <v>69</v>
      </c>
      <c r="N267" t="s">
        <v>20001</v>
      </c>
      <c r="O267" t="s">
        <v>2886</v>
      </c>
      <c r="P267" t="s">
        <v>69</v>
      </c>
      <c r="Q267" t="s">
        <v>69</v>
      </c>
      <c r="R267" t="s">
        <v>8505</v>
      </c>
      <c r="S267" t="s">
        <v>8442</v>
      </c>
      <c r="T267" t="s">
        <v>69</v>
      </c>
      <c r="U267" t="s">
        <v>69</v>
      </c>
      <c r="V267" t="s">
        <v>69</v>
      </c>
      <c r="W267" t="s">
        <v>69</v>
      </c>
      <c r="X267" t="s">
        <v>69</v>
      </c>
      <c r="Y267" t="s">
        <v>20002</v>
      </c>
      <c r="Z267" t="s">
        <v>20003</v>
      </c>
      <c r="AA267" t="s">
        <v>20004</v>
      </c>
      <c r="AB267" t="s">
        <v>20005</v>
      </c>
      <c r="AC267" t="s">
        <v>69</v>
      </c>
      <c r="AD267" t="s">
        <v>20006</v>
      </c>
      <c r="AE267" t="s">
        <v>20007</v>
      </c>
      <c r="AF267" t="s">
        <v>20008</v>
      </c>
      <c r="AG267" t="s">
        <v>20009</v>
      </c>
      <c r="AH267" t="s">
        <v>69</v>
      </c>
      <c r="AI267" t="s">
        <v>69</v>
      </c>
      <c r="AJ267" t="s">
        <v>69</v>
      </c>
      <c r="AK267" t="s">
        <v>69</v>
      </c>
      <c r="AL267">
        <v>109</v>
      </c>
      <c r="AM267">
        <v>52</v>
      </c>
      <c r="AN267">
        <v>54</v>
      </c>
      <c r="AO267">
        <v>7</v>
      </c>
      <c r="AP267">
        <v>40</v>
      </c>
      <c r="AQ267" t="s">
        <v>8516</v>
      </c>
      <c r="AR267" t="s">
        <v>8517</v>
      </c>
      <c r="AS267" t="s">
        <v>8518</v>
      </c>
      <c r="AT267" t="s">
        <v>2890</v>
      </c>
      <c r="AU267" t="s">
        <v>2891</v>
      </c>
      <c r="AV267" t="s">
        <v>69</v>
      </c>
      <c r="AW267" t="s">
        <v>13008</v>
      </c>
      <c r="AX267" t="s">
        <v>13009</v>
      </c>
      <c r="AY267" t="s">
        <v>381</v>
      </c>
      <c r="AZ267">
        <v>2017</v>
      </c>
      <c r="BA267">
        <v>98</v>
      </c>
      <c r="BB267" t="s">
        <v>69</v>
      </c>
      <c r="BC267" t="s">
        <v>69</v>
      </c>
      <c r="BD267" t="s">
        <v>69</v>
      </c>
      <c r="BE267" t="s">
        <v>69</v>
      </c>
      <c r="BF267" t="s">
        <v>69</v>
      </c>
      <c r="BG267">
        <v>98</v>
      </c>
      <c r="BH267">
        <v>112</v>
      </c>
      <c r="BI267" t="s">
        <v>69</v>
      </c>
      <c r="BJ267" t="s">
        <v>20010</v>
      </c>
      <c r="BK267" t="str">
        <f>HYPERLINK("http://dx.doi.org/10.1016/j.ssci.2017.06.006","http://dx.doi.org/10.1016/j.ssci.2017.06.006")</f>
        <v>http://dx.doi.org/10.1016/j.ssci.2017.06.006</v>
      </c>
      <c r="BL267" t="s">
        <v>69</v>
      </c>
      <c r="BM267" t="s">
        <v>69</v>
      </c>
      <c r="BN267">
        <v>15</v>
      </c>
      <c r="BO267" t="s">
        <v>13010</v>
      </c>
      <c r="BP267" t="s">
        <v>8523</v>
      </c>
      <c r="BQ267" t="s">
        <v>13011</v>
      </c>
      <c r="BR267" t="s">
        <v>20011</v>
      </c>
      <c r="BS267" t="s">
        <v>20012</v>
      </c>
      <c r="BT267" t="s">
        <v>69</v>
      </c>
      <c r="BU267" t="s">
        <v>10423</v>
      </c>
      <c r="BV267" t="s">
        <v>69</v>
      </c>
      <c r="BW267" t="s">
        <v>69</v>
      </c>
      <c r="BX267" t="s">
        <v>8526</v>
      </c>
      <c r="BY267" t="str">
        <f>HYPERLINK("https%3A%2F%2Fwww.webofscience.com%2Fwos%2Fwoscc%2Ffull-record%2FWOS:000406571100011","View Full Record in Web of Science")</f>
        <v>View Full Record in Web of Science</v>
      </c>
    </row>
    <row r="268" spans="1:77" ht="12.5" x14ac:dyDescent="0.25">
      <c r="A268" t="s">
        <v>8495</v>
      </c>
      <c r="B268" s="22" t="s">
        <v>32931</v>
      </c>
      <c r="C268" s="7"/>
      <c r="D268" s="7"/>
      <c r="E268" s="7"/>
      <c r="F268" t="s">
        <v>67</v>
      </c>
      <c r="G268" t="s">
        <v>12841</v>
      </c>
      <c r="H268" t="s">
        <v>69</v>
      </c>
      <c r="I268" t="s">
        <v>69</v>
      </c>
      <c r="J268" t="s">
        <v>69</v>
      </c>
      <c r="K268" t="s">
        <v>12842</v>
      </c>
      <c r="L268" t="s">
        <v>69</v>
      </c>
      <c r="M268" t="s">
        <v>69</v>
      </c>
      <c r="N268" t="s">
        <v>12843</v>
      </c>
      <c r="O268" t="s">
        <v>12844</v>
      </c>
      <c r="P268" t="s">
        <v>69</v>
      </c>
      <c r="Q268" t="s">
        <v>69</v>
      </c>
      <c r="R268" t="s">
        <v>8505</v>
      </c>
      <c r="S268" t="s">
        <v>8506</v>
      </c>
      <c r="T268" t="s">
        <v>69</v>
      </c>
      <c r="U268" t="s">
        <v>69</v>
      </c>
      <c r="V268" t="s">
        <v>69</v>
      </c>
      <c r="W268" t="s">
        <v>69</v>
      </c>
      <c r="X268" t="s">
        <v>69</v>
      </c>
      <c r="Y268" t="s">
        <v>12845</v>
      </c>
      <c r="Z268" t="s">
        <v>69</v>
      </c>
      <c r="AA268" t="s">
        <v>12846</v>
      </c>
      <c r="AB268" t="s">
        <v>12847</v>
      </c>
      <c r="AC268" t="s">
        <v>69</v>
      </c>
      <c r="AD268" t="s">
        <v>12848</v>
      </c>
      <c r="AE268" t="s">
        <v>12849</v>
      </c>
      <c r="AF268" t="s">
        <v>69</v>
      </c>
      <c r="AG268" t="s">
        <v>69</v>
      </c>
      <c r="AH268" t="s">
        <v>69</v>
      </c>
      <c r="AI268" t="s">
        <v>69</v>
      </c>
      <c r="AJ268" t="s">
        <v>69</v>
      </c>
      <c r="AK268" t="s">
        <v>69</v>
      </c>
      <c r="AL268">
        <v>6</v>
      </c>
      <c r="AM268">
        <v>0</v>
      </c>
      <c r="AN268">
        <v>0</v>
      </c>
      <c r="AO268">
        <v>0</v>
      </c>
      <c r="AP268">
        <v>2</v>
      </c>
      <c r="AQ268" t="s">
        <v>12850</v>
      </c>
      <c r="AR268" t="s">
        <v>12851</v>
      </c>
      <c r="AS268" t="s">
        <v>12852</v>
      </c>
      <c r="AT268" t="s">
        <v>12853</v>
      </c>
      <c r="AU268" t="s">
        <v>12854</v>
      </c>
      <c r="AV268" t="s">
        <v>69</v>
      </c>
      <c r="AW268" t="s">
        <v>12855</v>
      </c>
      <c r="AX268" t="s">
        <v>12856</v>
      </c>
      <c r="AY268" t="s">
        <v>94</v>
      </c>
      <c r="AZ268">
        <v>2021</v>
      </c>
      <c r="BA268">
        <v>10</v>
      </c>
      <c r="BB268">
        <v>1</v>
      </c>
      <c r="BC268" t="s">
        <v>69</v>
      </c>
      <c r="BD268" t="s">
        <v>69</v>
      </c>
      <c r="BE268" t="s">
        <v>69</v>
      </c>
      <c r="BF268" t="s">
        <v>69</v>
      </c>
      <c r="BG268">
        <v>16</v>
      </c>
      <c r="BH268">
        <v>32</v>
      </c>
      <c r="BI268" t="s">
        <v>69</v>
      </c>
      <c r="BJ268" t="s">
        <v>12857</v>
      </c>
      <c r="BK268" t="str">
        <f>HYPERLINK("http://dx.doi.org/10.1177/2319714520975924","http://dx.doi.org/10.1177/2319714520975924")</f>
        <v>http://dx.doi.org/10.1177/2319714520975924</v>
      </c>
      <c r="BL268" t="s">
        <v>69</v>
      </c>
      <c r="BM268" t="s">
        <v>69</v>
      </c>
      <c r="BN268">
        <v>17</v>
      </c>
      <c r="BO268" t="s">
        <v>8791</v>
      </c>
      <c r="BP268" t="s">
        <v>8573</v>
      </c>
      <c r="BQ268" t="s">
        <v>8594</v>
      </c>
      <c r="BR268" t="s">
        <v>12858</v>
      </c>
      <c r="BS268" t="s">
        <v>12859</v>
      </c>
      <c r="BT268" t="s">
        <v>69</v>
      </c>
      <c r="BU268" t="s">
        <v>9374</v>
      </c>
      <c r="BV268" t="s">
        <v>69</v>
      </c>
      <c r="BW268" t="s">
        <v>69</v>
      </c>
      <c r="BX268" t="s">
        <v>8526</v>
      </c>
      <c r="BY268" t="str">
        <f>HYPERLINK("https%3A%2F%2Fwww.webofscience.com%2Fwos%2Fwoscc%2Ffull-record%2FWOS:000710554000003","View Full Record in Web of Science")</f>
        <v>View Full Record in Web of Science</v>
      </c>
    </row>
    <row r="269" spans="1:77" ht="12.5" x14ac:dyDescent="0.25">
      <c r="A269" t="s">
        <v>8495</v>
      </c>
      <c r="B269" s="7" t="s">
        <v>32933</v>
      </c>
      <c r="C269" s="7"/>
      <c r="D269" s="7"/>
      <c r="E269" s="7"/>
      <c r="F269" t="s">
        <v>67</v>
      </c>
      <c r="G269" t="s">
        <v>1503</v>
      </c>
      <c r="H269" t="s">
        <v>69</v>
      </c>
      <c r="I269" t="s">
        <v>69</v>
      </c>
      <c r="J269" t="s">
        <v>69</v>
      </c>
      <c r="K269" t="s">
        <v>1504</v>
      </c>
      <c r="L269" t="s">
        <v>69</v>
      </c>
      <c r="M269" t="s">
        <v>69</v>
      </c>
      <c r="N269" t="s">
        <v>1505</v>
      </c>
      <c r="O269" t="s">
        <v>1506</v>
      </c>
      <c r="P269" t="s">
        <v>69</v>
      </c>
      <c r="Q269" t="s">
        <v>69</v>
      </c>
      <c r="R269" t="s">
        <v>8505</v>
      </c>
      <c r="S269" t="s">
        <v>8506</v>
      </c>
      <c r="T269" t="s">
        <v>69</v>
      </c>
      <c r="U269" t="s">
        <v>69</v>
      </c>
      <c r="V269" t="s">
        <v>69</v>
      </c>
      <c r="W269" t="s">
        <v>69</v>
      </c>
      <c r="X269" t="s">
        <v>69</v>
      </c>
      <c r="Y269" t="s">
        <v>27077</v>
      </c>
      <c r="Z269" t="s">
        <v>69</v>
      </c>
      <c r="AA269" t="s">
        <v>1507</v>
      </c>
      <c r="AB269" t="s">
        <v>27078</v>
      </c>
      <c r="AC269" t="s">
        <v>69</v>
      </c>
      <c r="AD269" t="s">
        <v>27079</v>
      </c>
      <c r="AE269" t="s">
        <v>27080</v>
      </c>
      <c r="AF269" t="s">
        <v>69</v>
      </c>
      <c r="AG269" t="s">
        <v>69</v>
      </c>
      <c r="AH269" t="s">
        <v>69</v>
      </c>
      <c r="AI269" t="s">
        <v>69</v>
      </c>
      <c r="AJ269" t="s">
        <v>69</v>
      </c>
      <c r="AK269" t="s">
        <v>69</v>
      </c>
      <c r="AL269">
        <v>10</v>
      </c>
      <c r="AM269">
        <v>25</v>
      </c>
      <c r="AN269">
        <v>25</v>
      </c>
      <c r="AO269">
        <v>3</v>
      </c>
      <c r="AP269">
        <v>33</v>
      </c>
      <c r="AQ269" t="s">
        <v>9047</v>
      </c>
      <c r="AR269" t="s">
        <v>9048</v>
      </c>
      <c r="AS269" t="s">
        <v>9049</v>
      </c>
      <c r="AT269" t="s">
        <v>1508</v>
      </c>
      <c r="AU269" t="s">
        <v>1509</v>
      </c>
      <c r="AV269" t="s">
        <v>69</v>
      </c>
      <c r="AW269" t="s">
        <v>15520</v>
      </c>
      <c r="AX269" t="s">
        <v>15521</v>
      </c>
      <c r="AY269" t="s">
        <v>246</v>
      </c>
      <c r="AZ269">
        <v>2011</v>
      </c>
      <c r="BA269">
        <v>104</v>
      </c>
      <c r="BB269" t="s">
        <v>69</v>
      </c>
      <c r="BC269" t="s">
        <v>69</v>
      </c>
      <c r="BD269">
        <v>1</v>
      </c>
      <c r="BE269" t="s">
        <v>114</v>
      </c>
      <c r="BF269" t="s">
        <v>69</v>
      </c>
      <c r="BG269">
        <v>73</v>
      </c>
      <c r="BH269">
        <v>81</v>
      </c>
      <c r="BI269" t="s">
        <v>69</v>
      </c>
      <c r="BJ269" t="s">
        <v>1510</v>
      </c>
      <c r="BK269" t="str">
        <f>HYPERLINK("http://dx.doi.org/10.1007/s10551-012-1264-z","http://dx.doi.org/10.1007/s10551-012-1264-z")</f>
        <v>http://dx.doi.org/10.1007/s10551-012-1264-z</v>
      </c>
      <c r="BL269" t="s">
        <v>69</v>
      </c>
      <c r="BM269" t="s">
        <v>69</v>
      </c>
      <c r="BN269">
        <v>9</v>
      </c>
      <c r="BO269" t="s">
        <v>15523</v>
      </c>
      <c r="BP269" t="s">
        <v>8661</v>
      </c>
      <c r="BQ269" t="s">
        <v>15524</v>
      </c>
      <c r="BR269" t="s">
        <v>27081</v>
      </c>
      <c r="BS269" t="s">
        <v>1511</v>
      </c>
      <c r="BT269" t="s">
        <v>69</v>
      </c>
      <c r="BU269" t="s">
        <v>69</v>
      </c>
      <c r="BV269" t="s">
        <v>69</v>
      </c>
      <c r="BW269" t="s">
        <v>69</v>
      </c>
      <c r="BX269" t="s">
        <v>8526</v>
      </c>
      <c r="BY269" t="str">
        <f>HYPERLINK("https%3A%2F%2Fwww.webofscience.com%2Fwos%2Fwoscc%2Ffull-record%2FWOS:000208734300008","View Full Record in Web of Science")</f>
        <v>View Full Record in Web of Science</v>
      </c>
    </row>
    <row r="270" spans="1:77" ht="12.5" x14ac:dyDescent="0.25">
      <c r="A270" t="s">
        <v>8495</v>
      </c>
      <c r="B270" s="7" t="s">
        <v>32933</v>
      </c>
      <c r="C270" s="7"/>
      <c r="D270" s="7"/>
      <c r="E270" s="7"/>
      <c r="F270" t="s">
        <v>67</v>
      </c>
      <c r="G270" t="s">
        <v>5621</v>
      </c>
      <c r="H270" t="s">
        <v>69</v>
      </c>
      <c r="I270" t="s">
        <v>69</v>
      </c>
      <c r="J270" t="s">
        <v>69</v>
      </c>
      <c r="K270" t="s">
        <v>5622</v>
      </c>
      <c r="L270" t="s">
        <v>69</v>
      </c>
      <c r="M270" t="s">
        <v>69</v>
      </c>
      <c r="N270" t="s">
        <v>5623</v>
      </c>
      <c r="O270" t="s">
        <v>436</v>
      </c>
      <c r="P270" t="s">
        <v>69</v>
      </c>
      <c r="Q270" t="s">
        <v>69</v>
      </c>
      <c r="R270" t="s">
        <v>8505</v>
      </c>
      <c r="S270" t="s">
        <v>8506</v>
      </c>
      <c r="T270" t="s">
        <v>69</v>
      </c>
      <c r="U270" t="s">
        <v>69</v>
      </c>
      <c r="V270" t="s">
        <v>69</v>
      </c>
      <c r="W270" t="s">
        <v>69</v>
      </c>
      <c r="X270" t="s">
        <v>69</v>
      </c>
      <c r="Y270" t="s">
        <v>17299</v>
      </c>
      <c r="Z270" t="s">
        <v>17300</v>
      </c>
      <c r="AA270" t="s">
        <v>5624</v>
      </c>
      <c r="AB270" t="s">
        <v>17301</v>
      </c>
      <c r="AC270" t="s">
        <v>69</v>
      </c>
      <c r="AD270" t="s">
        <v>17302</v>
      </c>
      <c r="AE270" t="s">
        <v>17303</v>
      </c>
      <c r="AF270" t="s">
        <v>69</v>
      </c>
      <c r="AG270" t="s">
        <v>69</v>
      </c>
      <c r="AH270" t="s">
        <v>17304</v>
      </c>
      <c r="AI270" t="s">
        <v>17305</v>
      </c>
      <c r="AJ270" t="s">
        <v>17306</v>
      </c>
      <c r="AK270" t="s">
        <v>69</v>
      </c>
      <c r="AL270">
        <v>38</v>
      </c>
      <c r="AM270">
        <v>8</v>
      </c>
      <c r="AN270">
        <v>9</v>
      </c>
      <c r="AO270">
        <v>3</v>
      </c>
      <c r="AP270">
        <v>35</v>
      </c>
      <c r="AQ270" t="s">
        <v>8636</v>
      </c>
      <c r="AR270" t="s">
        <v>8637</v>
      </c>
      <c r="AS270" t="s">
        <v>8638</v>
      </c>
      <c r="AT270" t="s">
        <v>440</v>
      </c>
      <c r="AU270" t="s">
        <v>441</v>
      </c>
      <c r="AV270" t="s">
        <v>69</v>
      </c>
      <c r="AW270" t="s">
        <v>8639</v>
      </c>
      <c r="AX270" t="s">
        <v>8640</v>
      </c>
      <c r="AY270" t="s">
        <v>636</v>
      </c>
      <c r="AZ270">
        <v>2019</v>
      </c>
      <c r="BA270">
        <v>218</v>
      </c>
      <c r="BB270" t="s">
        <v>69</v>
      </c>
      <c r="BC270" t="s">
        <v>69</v>
      </c>
      <c r="BD270" t="s">
        <v>69</v>
      </c>
      <c r="BE270" t="s">
        <v>69</v>
      </c>
      <c r="BF270" t="s">
        <v>69</v>
      </c>
      <c r="BG270">
        <v>943</v>
      </c>
      <c r="BH270">
        <v>965</v>
      </c>
      <c r="BI270" t="s">
        <v>69</v>
      </c>
      <c r="BJ270" t="s">
        <v>5625</v>
      </c>
      <c r="BK270" t="str">
        <f>HYPERLINK("http://dx.doi.org/10.1016/j.jclepro.2019.01.317","http://dx.doi.org/10.1016/j.jclepro.2019.01.317")</f>
        <v>http://dx.doi.org/10.1016/j.jclepro.2019.01.317</v>
      </c>
      <c r="BL270" t="s">
        <v>69</v>
      </c>
      <c r="BM270" t="s">
        <v>69</v>
      </c>
      <c r="BN270">
        <v>23</v>
      </c>
      <c r="BO270" t="s">
        <v>8643</v>
      </c>
      <c r="BP270" t="s">
        <v>8523</v>
      </c>
      <c r="BQ270" t="s">
        <v>8644</v>
      </c>
      <c r="BR270" t="s">
        <v>17307</v>
      </c>
      <c r="BS270" t="s">
        <v>5626</v>
      </c>
      <c r="BT270" t="s">
        <v>69</v>
      </c>
      <c r="BU270" t="s">
        <v>69</v>
      </c>
      <c r="BV270" t="s">
        <v>69</v>
      </c>
      <c r="BW270" t="s">
        <v>69</v>
      </c>
      <c r="BX270" t="s">
        <v>8526</v>
      </c>
      <c r="BY270" t="str">
        <f>HYPERLINK("https%3A%2F%2Fwww.webofscience.com%2Fwos%2Fwoscc%2Ffull-record%2FWOS:000462110400081","View Full Record in Web of Science")</f>
        <v>View Full Record in Web of Science</v>
      </c>
    </row>
    <row r="271" spans="1:77" ht="12.5" x14ac:dyDescent="0.25">
      <c r="A271" t="s">
        <v>8495</v>
      </c>
      <c r="B271" s="22" t="s">
        <v>32931</v>
      </c>
      <c r="C271" s="7"/>
      <c r="D271" s="7"/>
      <c r="E271" s="7"/>
      <c r="F271" t="s">
        <v>67</v>
      </c>
      <c r="G271" t="s">
        <v>15213</v>
      </c>
      <c r="H271" t="s">
        <v>69</v>
      </c>
      <c r="I271" t="s">
        <v>69</v>
      </c>
      <c r="J271" t="s">
        <v>69</v>
      </c>
      <c r="K271" t="s">
        <v>15214</v>
      </c>
      <c r="L271" t="s">
        <v>69</v>
      </c>
      <c r="M271" t="s">
        <v>69</v>
      </c>
      <c r="N271" t="s">
        <v>15215</v>
      </c>
      <c r="O271" t="s">
        <v>15216</v>
      </c>
      <c r="P271" t="s">
        <v>69</v>
      </c>
      <c r="Q271" t="s">
        <v>69</v>
      </c>
      <c r="R271" t="s">
        <v>8505</v>
      </c>
      <c r="S271" t="s">
        <v>8506</v>
      </c>
      <c r="T271" t="s">
        <v>69</v>
      </c>
      <c r="U271" t="s">
        <v>69</v>
      </c>
      <c r="V271" t="s">
        <v>69</v>
      </c>
      <c r="W271" t="s">
        <v>69</v>
      </c>
      <c r="X271" t="s">
        <v>69</v>
      </c>
      <c r="Y271" t="s">
        <v>15217</v>
      </c>
      <c r="Z271" t="s">
        <v>15218</v>
      </c>
      <c r="AA271" t="s">
        <v>15219</v>
      </c>
      <c r="AB271" t="s">
        <v>15220</v>
      </c>
      <c r="AC271" t="s">
        <v>69</v>
      </c>
      <c r="AD271" t="s">
        <v>15221</v>
      </c>
      <c r="AE271" t="s">
        <v>15222</v>
      </c>
      <c r="AF271" t="s">
        <v>69</v>
      </c>
      <c r="AG271" t="s">
        <v>15223</v>
      </c>
      <c r="AH271" t="s">
        <v>15224</v>
      </c>
      <c r="AI271" t="s">
        <v>15224</v>
      </c>
      <c r="AJ271" t="s">
        <v>15225</v>
      </c>
      <c r="AK271" t="s">
        <v>69</v>
      </c>
      <c r="AL271">
        <v>147</v>
      </c>
      <c r="AM271">
        <v>3</v>
      </c>
      <c r="AN271">
        <v>3</v>
      </c>
      <c r="AO271">
        <v>15</v>
      </c>
      <c r="AP271">
        <v>47</v>
      </c>
      <c r="AQ271" t="s">
        <v>8924</v>
      </c>
      <c r="AR271" t="s">
        <v>8925</v>
      </c>
      <c r="AS271" t="s">
        <v>8926</v>
      </c>
      <c r="AT271" t="s">
        <v>69</v>
      </c>
      <c r="AU271" t="s">
        <v>15226</v>
      </c>
      <c r="AV271" t="s">
        <v>69</v>
      </c>
      <c r="AW271" t="s">
        <v>15216</v>
      </c>
      <c r="AX271" t="s">
        <v>15227</v>
      </c>
      <c r="AY271" t="s">
        <v>586</v>
      </c>
      <c r="AZ271">
        <v>2020</v>
      </c>
      <c r="BA271">
        <v>8</v>
      </c>
      <c r="BB271">
        <v>5</v>
      </c>
      <c r="BC271" t="s">
        <v>69</v>
      </c>
      <c r="BD271" t="s">
        <v>69</v>
      </c>
      <c r="BE271" t="s">
        <v>69</v>
      </c>
      <c r="BF271" t="s">
        <v>69</v>
      </c>
      <c r="BG271" t="s">
        <v>69</v>
      </c>
      <c r="BH271" t="s">
        <v>69</v>
      </c>
      <c r="BI271">
        <v>576</v>
      </c>
      <c r="BJ271" t="s">
        <v>15228</v>
      </c>
      <c r="BK271" t="str">
        <f>HYPERLINK("http://dx.doi.org/10.3390/pr8050576","http://dx.doi.org/10.3390/pr8050576")</f>
        <v>http://dx.doi.org/10.3390/pr8050576</v>
      </c>
      <c r="BL271" t="s">
        <v>69</v>
      </c>
      <c r="BM271" t="s">
        <v>69</v>
      </c>
      <c r="BN271">
        <v>31</v>
      </c>
      <c r="BO271" t="s">
        <v>15229</v>
      </c>
      <c r="BP271" t="s">
        <v>8523</v>
      </c>
      <c r="BQ271" t="s">
        <v>8445</v>
      </c>
      <c r="BR271" t="s">
        <v>15230</v>
      </c>
      <c r="BS271" t="s">
        <v>15231</v>
      </c>
      <c r="BT271" t="s">
        <v>69</v>
      </c>
      <c r="BU271" t="s">
        <v>12220</v>
      </c>
      <c r="BV271" t="s">
        <v>69</v>
      </c>
      <c r="BW271" t="s">
        <v>69</v>
      </c>
      <c r="BX271" t="s">
        <v>8526</v>
      </c>
      <c r="BY271" t="str">
        <f>HYPERLINK("https%3A%2F%2Fwww.webofscience.com%2Fwos%2Fwoscc%2Ffull-record%2FWOS:000541752600029","View Full Record in Web of Science")</f>
        <v>View Full Record in Web of Science</v>
      </c>
    </row>
    <row r="272" spans="1:77" ht="12.5" x14ac:dyDescent="0.25">
      <c r="A272" t="s">
        <v>8495</v>
      </c>
      <c r="B272" s="22" t="s">
        <v>32931</v>
      </c>
      <c r="C272" s="7"/>
      <c r="D272" s="7"/>
      <c r="E272" s="7"/>
      <c r="F272" t="s">
        <v>67</v>
      </c>
      <c r="G272" t="s">
        <v>21444</v>
      </c>
      <c r="H272" t="s">
        <v>69</v>
      </c>
      <c r="I272" t="s">
        <v>69</v>
      </c>
      <c r="J272" t="s">
        <v>69</v>
      </c>
      <c r="K272" t="s">
        <v>21445</v>
      </c>
      <c r="L272" t="s">
        <v>69</v>
      </c>
      <c r="M272" t="s">
        <v>69</v>
      </c>
      <c r="N272" t="s">
        <v>21446</v>
      </c>
      <c r="O272" t="s">
        <v>1405</v>
      </c>
      <c r="P272" t="s">
        <v>69</v>
      </c>
      <c r="Q272" t="s">
        <v>69</v>
      </c>
      <c r="R272" t="s">
        <v>8505</v>
      </c>
      <c r="S272" t="s">
        <v>8506</v>
      </c>
      <c r="T272" t="s">
        <v>69</v>
      </c>
      <c r="U272" t="s">
        <v>69</v>
      </c>
      <c r="V272" t="s">
        <v>69</v>
      </c>
      <c r="W272" t="s">
        <v>69</v>
      </c>
      <c r="X272" t="s">
        <v>69</v>
      </c>
      <c r="Y272" t="s">
        <v>21447</v>
      </c>
      <c r="Z272" t="s">
        <v>21448</v>
      </c>
      <c r="AA272" t="s">
        <v>21449</v>
      </c>
      <c r="AB272" t="s">
        <v>21450</v>
      </c>
      <c r="AC272" t="s">
        <v>69</v>
      </c>
      <c r="AD272" t="s">
        <v>21451</v>
      </c>
      <c r="AE272" t="s">
        <v>21452</v>
      </c>
      <c r="AF272" t="s">
        <v>21453</v>
      </c>
      <c r="AG272" t="s">
        <v>21454</v>
      </c>
      <c r="AH272" t="s">
        <v>21455</v>
      </c>
      <c r="AI272" t="s">
        <v>21455</v>
      </c>
      <c r="AJ272" t="s">
        <v>21456</v>
      </c>
      <c r="AK272" t="s">
        <v>69</v>
      </c>
      <c r="AL272">
        <v>97</v>
      </c>
      <c r="AM272">
        <v>45</v>
      </c>
      <c r="AN272">
        <v>45</v>
      </c>
      <c r="AO272">
        <v>4</v>
      </c>
      <c r="AP272">
        <v>72</v>
      </c>
      <c r="AQ272" t="s">
        <v>8636</v>
      </c>
      <c r="AR272" t="s">
        <v>8637</v>
      </c>
      <c r="AS272" t="s">
        <v>8638</v>
      </c>
      <c r="AT272" t="s">
        <v>1407</v>
      </c>
      <c r="AU272" t="s">
        <v>1408</v>
      </c>
      <c r="AV272" t="s">
        <v>69</v>
      </c>
      <c r="AW272" t="s">
        <v>14240</v>
      </c>
      <c r="AX272" t="s">
        <v>8486</v>
      </c>
      <c r="AY272" t="s">
        <v>201</v>
      </c>
      <c r="AZ272">
        <v>2016</v>
      </c>
      <c r="BA272">
        <v>95</v>
      </c>
      <c r="BB272" t="s">
        <v>69</v>
      </c>
      <c r="BC272" t="s">
        <v>69</v>
      </c>
      <c r="BD272" t="s">
        <v>69</v>
      </c>
      <c r="BE272" t="s">
        <v>69</v>
      </c>
      <c r="BF272" t="s">
        <v>69</v>
      </c>
      <c r="BG272">
        <v>336</v>
      </c>
      <c r="BH272">
        <v>349</v>
      </c>
      <c r="BI272" t="s">
        <v>69</v>
      </c>
      <c r="BJ272" t="s">
        <v>21457</v>
      </c>
      <c r="BK272" t="str">
        <f>HYPERLINK("http://dx.doi.org/10.1016/j.enpol.2016.05.006","http://dx.doi.org/10.1016/j.enpol.2016.05.006")</f>
        <v>http://dx.doi.org/10.1016/j.enpol.2016.05.006</v>
      </c>
      <c r="BL272" t="s">
        <v>69</v>
      </c>
      <c r="BM272" t="s">
        <v>69</v>
      </c>
      <c r="BN272">
        <v>14</v>
      </c>
      <c r="BO272" t="s">
        <v>14242</v>
      </c>
      <c r="BP272" t="s">
        <v>8523</v>
      </c>
      <c r="BQ272" t="s">
        <v>14243</v>
      </c>
      <c r="BR272" t="s">
        <v>21458</v>
      </c>
      <c r="BS272" t="s">
        <v>21459</v>
      </c>
      <c r="BT272" t="s">
        <v>69</v>
      </c>
      <c r="BU272" t="s">
        <v>69</v>
      </c>
      <c r="BV272" t="s">
        <v>69</v>
      </c>
      <c r="BW272" t="s">
        <v>69</v>
      </c>
      <c r="BX272" t="s">
        <v>8526</v>
      </c>
      <c r="BY272" t="str">
        <f>HYPERLINK("https%3A%2F%2Fwww.webofscience.com%2Fwos%2Fwoscc%2Ffull-record%2FWOS:000381233800031","View Full Record in Web of Science")</f>
        <v>View Full Record in Web of Science</v>
      </c>
    </row>
    <row r="273" spans="1:77" ht="12.5" x14ac:dyDescent="0.25">
      <c r="A273" t="s">
        <v>8495</v>
      </c>
      <c r="B273" s="7" t="s">
        <v>32933</v>
      </c>
      <c r="C273" s="7"/>
      <c r="D273" s="7"/>
      <c r="E273" s="7"/>
      <c r="F273" t="s">
        <v>67</v>
      </c>
      <c r="G273" t="s">
        <v>2095</v>
      </c>
      <c r="H273" t="s">
        <v>69</v>
      </c>
      <c r="I273" t="s">
        <v>69</v>
      </c>
      <c r="J273" t="s">
        <v>69</v>
      </c>
      <c r="K273" t="s">
        <v>2096</v>
      </c>
      <c r="L273" t="s">
        <v>69</v>
      </c>
      <c r="M273" t="s">
        <v>69</v>
      </c>
      <c r="N273" t="s">
        <v>2097</v>
      </c>
      <c r="O273" t="s">
        <v>2098</v>
      </c>
      <c r="P273" t="s">
        <v>69</v>
      </c>
      <c r="Q273" t="s">
        <v>69</v>
      </c>
      <c r="R273" t="s">
        <v>8505</v>
      </c>
      <c r="S273" t="s">
        <v>8506</v>
      </c>
      <c r="T273" t="s">
        <v>69</v>
      </c>
      <c r="U273" t="s">
        <v>69</v>
      </c>
      <c r="V273" t="s">
        <v>69</v>
      </c>
      <c r="W273" t="s">
        <v>69</v>
      </c>
      <c r="X273" t="s">
        <v>69</v>
      </c>
      <c r="Y273" t="s">
        <v>16408</v>
      </c>
      <c r="Z273" t="s">
        <v>16409</v>
      </c>
      <c r="AA273" t="s">
        <v>2099</v>
      </c>
      <c r="AB273" t="s">
        <v>16410</v>
      </c>
      <c r="AC273" t="s">
        <v>69</v>
      </c>
      <c r="AD273" t="s">
        <v>16411</v>
      </c>
      <c r="AE273" t="s">
        <v>16412</v>
      </c>
      <c r="AF273" t="s">
        <v>69</v>
      </c>
      <c r="AG273" t="s">
        <v>69</v>
      </c>
      <c r="AH273" t="s">
        <v>16413</v>
      </c>
      <c r="AI273" t="s">
        <v>16414</v>
      </c>
      <c r="AJ273" t="s">
        <v>16415</v>
      </c>
      <c r="AK273" t="s">
        <v>69</v>
      </c>
      <c r="AL273">
        <v>58</v>
      </c>
      <c r="AM273">
        <v>2</v>
      </c>
      <c r="AN273">
        <v>2</v>
      </c>
      <c r="AO273">
        <v>0</v>
      </c>
      <c r="AP273">
        <v>2</v>
      </c>
      <c r="AQ273" t="s">
        <v>16416</v>
      </c>
      <c r="AR273" t="s">
        <v>16417</v>
      </c>
      <c r="AS273" t="s">
        <v>16418</v>
      </c>
      <c r="AT273" t="s">
        <v>2100</v>
      </c>
      <c r="AU273" t="s">
        <v>2101</v>
      </c>
      <c r="AV273" t="s">
        <v>69</v>
      </c>
      <c r="AW273" t="s">
        <v>16419</v>
      </c>
      <c r="AX273" t="s">
        <v>16420</v>
      </c>
      <c r="AY273" t="s">
        <v>75</v>
      </c>
      <c r="AZ273">
        <v>2019</v>
      </c>
      <c r="BA273">
        <v>8</v>
      </c>
      <c r="BB273">
        <v>4</v>
      </c>
      <c r="BC273" t="s">
        <v>69</v>
      </c>
      <c r="BD273" t="s">
        <v>69</v>
      </c>
      <c r="BE273" t="s">
        <v>69</v>
      </c>
      <c r="BF273" t="s">
        <v>69</v>
      </c>
      <c r="BG273">
        <v>552</v>
      </c>
      <c r="BH273">
        <v>578</v>
      </c>
      <c r="BI273" t="s">
        <v>69</v>
      </c>
      <c r="BJ273" t="s">
        <v>2102</v>
      </c>
      <c r="BK273" t="str">
        <f>HYPERLINK("http://dx.doi.org/10.1057/s41309-019-00064-x","http://dx.doi.org/10.1057/s41309-019-00064-x")</f>
        <v>http://dx.doi.org/10.1057/s41309-019-00064-x</v>
      </c>
      <c r="BL273" t="s">
        <v>69</v>
      </c>
      <c r="BM273" t="s">
        <v>69</v>
      </c>
      <c r="BN273">
        <v>27</v>
      </c>
      <c r="BO273" t="s">
        <v>13241</v>
      </c>
      <c r="BP273" t="s">
        <v>8573</v>
      </c>
      <c r="BQ273" t="s">
        <v>10084</v>
      </c>
      <c r="BR273" t="s">
        <v>16421</v>
      </c>
      <c r="BS273" t="s">
        <v>2103</v>
      </c>
      <c r="BT273" t="s">
        <v>69</v>
      </c>
      <c r="BU273" t="s">
        <v>10995</v>
      </c>
      <c r="BV273" t="s">
        <v>69</v>
      </c>
      <c r="BW273" t="s">
        <v>69</v>
      </c>
      <c r="BX273" t="s">
        <v>8526</v>
      </c>
      <c r="BY273" t="str">
        <f>HYPERLINK("https%3A%2F%2Fwww.webofscience.com%2Fwos%2Fwoscc%2Ffull-record%2FWOS:000502160800003","View Full Record in Web of Science")</f>
        <v>View Full Record in Web of Science</v>
      </c>
    </row>
    <row r="274" spans="1:77" ht="12.5" x14ac:dyDescent="0.25">
      <c r="A274" t="s">
        <v>8495</v>
      </c>
      <c r="B274" s="22" t="s">
        <v>32931</v>
      </c>
      <c r="C274" s="7"/>
      <c r="D274" s="7"/>
      <c r="E274" s="7"/>
      <c r="F274" t="s">
        <v>67</v>
      </c>
      <c r="G274" t="s">
        <v>27555</v>
      </c>
      <c r="H274" t="s">
        <v>69</v>
      </c>
      <c r="I274" t="s">
        <v>69</v>
      </c>
      <c r="J274" t="s">
        <v>69</v>
      </c>
      <c r="K274" t="s">
        <v>27556</v>
      </c>
      <c r="L274" t="s">
        <v>69</v>
      </c>
      <c r="M274" t="s">
        <v>69</v>
      </c>
      <c r="N274" t="s">
        <v>27557</v>
      </c>
      <c r="O274" t="s">
        <v>27558</v>
      </c>
      <c r="P274" t="s">
        <v>69</v>
      </c>
      <c r="Q274" t="s">
        <v>69</v>
      </c>
      <c r="R274" t="s">
        <v>8505</v>
      </c>
      <c r="S274" t="s">
        <v>8506</v>
      </c>
      <c r="T274" t="s">
        <v>69</v>
      </c>
      <c r="U274" t="s">
        <v>69</v>
      </c>
      <c r="V274" t="s">
        <v>69</v>
      </c>
      <c r="W274" t="s">
        <v>69</v>
      </c>
      <c r="X274" t="s">
        <v>69</v>
      </c>
      <c r="Y274" t="s">
        <v>27559</v>
      </c>
      <c r="Z274" t="s">
        <v>69</v>
      </c>
      <c r="AA274" t="s">
        <v>27560</v>
      </c>
      <c r="AB274" t="s">
        <v>27561</v>
      </c>
      <c r="AC274" t="s">
        <v>69</v>
      </c>
      <c r="AD274" t="s">
        <v>27562</v>
      </c>
      <c r="AE274" t="s">
        <v>27563</v>
      </c>
      <c r="AF274" t="s">
        <v>69</v>
      </c>
      <c r="AG274" t="s">
        <v>27564</v>
      </c>
      <c r="AH274" t="s">
        <v>69</v>
      </c>
      <c r="AI274" t="s">
        <v>69</v>
      </c>
      <c r="AJ274" t="s">
        <v>69</v>
      </c>
      <c r="AK274" t="s">
        <v>69</v>
      </c>
      <c r="AL274">
        <v>45</v>
      </c>
      <c r="AM274">
        <v>0</v>
      </c>
      <c r="AN274">
        <v>0</v>
      </c>
      <c r="AO274">
        <v>0</v>
      </c>
      <c r="AP274">
        <v>0</v>
      </c>
      <c r="AQ274" t="s">
        <v>11360</v>
      </c>
      <c r="AR274" t="s">
        <v>11361</v>
      </c>
      <c r="AS274" t="s">
        <v>11362</v>
      </c>
      <c r="AT274" t="s">
        <v>27565</v>
      </c>
      <c r="AU274" t="s">
        <v>27566</v>
      </c>
      <c r="AV274" t="s">
        <v>69</v>
      </c>
      <c r="AW274" t="s">
        <v>27567</v>
      </c>
      <c r="AX274" t="s">
        <v>27568</v>
      </c>
      <c r="AY274" t="s">
        <v>75</v>
      </c>
      <c r="AZ274">
        <v>2010</v>
      </c>
      <c r="BA274">
        <v>20</v>
      </c>
      <c r="BB274">
        <v>4</v>
      </c>
      <c r="BC274" t="s">
        <v>69</v>
      </c>
      <c r="BD274" t="s">
        <v>69</v>
      </c>
      <c r="BE274" t="s">
        <v>69</v>
      </c>
      <c r="BF274" t="s">
        <v>69</v>
      </c>
      <c r="BG274">
        <v>338</v>
      </c>
      <c r="BH274">
        <v>355</v>
      </c>
      <c r="BI274" t="s">
        <v>69</v>
      </c>
      <c r="BJ274" t="s">
        <v>27569</v>
      </c>
      <c r="BK274" t="str">
        <f>HYPERLINK("http://dx.doi.org/10.2478/v10023-010-0035-7","http://dx.doi.org/10.2478/v10023-010-0035-7")</f>
        <v>http://dx.doi.org/10.2478/v10023-010-0035-7</v>
      </c>
      <c r="BL274" t="s">
        <v>69</v>
      </c>
      <c r="BM274" t="s">
        <v>69</v>
      </c>
      <c r="BN274">
        <v>18</v>
      </c>
      <c r="BO274" t="s">
        <v>10299</v>
      </c>
      <c r="BP274" t="s">
        <v>8573</v>
      </c>
      <c r="BQ274" t="s">
        <v>10279</v>
      </c>
      <c r="BR274" t="s">
        <v>27570</v>
      </c>
      <c r="BS274" t="s">
        <v>27571</v>
      </c>
      <c r="BT274" t="s">
        <v>69</v>
      </c>
      <c r="BU274" t="s">
        <v>69</v>
      </c>
      <c r="BV274" t="s">
        <v>69</v>
      </c>
      <c r="BW274" t="s">
        <v>69</v>
      </c>
      <c r="BX274" t="s">
        <v>8526</v>
      </c>
      <c r="BY274" t="str">
        <f>HYPERLINK("https%3A%2F%2Fwww.webofscience.com%2Fwos%2Fwoscc%2Ffull-record%2FWOS:000212073400006","View Full Record in Web of Science")</f>
        <v>View Full Record in Web of Science</v>
      </c>
    </row>
    <row r="275" spans="1:77" ht="12.5" x14ac:dyDescent="0.25">
      <c r="A275" t="s">
        <v>8495</v>
      </c>
      <c r="B275" s="7" t="s">
        <v>32933</v>
      </c>
      <c r="C275" s="7"/>
      <c r="D275" s="7"/>
      <c r="E275" s="7"/>
      <c r="F275" t="s">
        <v>67</v>
      </c>
      <c r="G275" t="s">
        <v>4864</v>
      </c>
      <c r="H275" t="s">
        <v>69</v>
      </c>
      <c r="I275" t="s">
        <v>69</v>
      </c>
      <c r="J275" t="s">
        <v>69</v>
      </c>
      <c r="K275" t="s">
        <v>4865</v>
      </c>
      <c r="L275" t="s">
        <v>69</v>
      </c>
      <c r="M275" t="s">
        <v>69</v>
      </c>
      <c r="N275" t="s">
        <v>4866</v>
      </c>
      <c r="O275" t="s">
        <v>4867</v>
      </c>
      <c r="P275" t="s">
        <v>69</v>
      </c>
      <c r="Q275" t="s">
        <v>69</v>
      </c>
      <c r="R275" t="s">
        <v>8505</v>
      </c>
      <c r="S275" t="s">
        <v>8506</v>
      </c>
      <c r="T275" t="s">
        <v>69</v>
      </c>
      <c r="U275" t="s">
        <v>69</v>
      </c>
      <c r="V275" t="s">
        <v>69</v>
      </c>
      <c r="W275" t="s">
        <v>69</v>
      </c>
      <c r="X275" t="s">
        <v>69</v>
      </c>
      <c r="Y275" t="s">
        <v>13338</v>
      </c>
      <c r="Z275" t="s">
        <v>69</v>
      </c>
      <c r="AA275" t="s">
        <v>4868</v>
      </c>
      <c r="AB275" t="s">
        <v>13339</v>
      </c>
      <c r="AC275" t="s">
        <v>69</v>
      </c>
      <c r="AD275" t="s">
        <v>13340</v>
      </c>
      <c r="AE275" t="s">
        <v>13341</v>
      </c>
      <c r="AF275" t="s">
        <v>13342</v>
      </c>
      <c r="AG275" t="s">
        <v>13343</v>
      </c>
      <c r="AH275" t="s">
        <v>69</v>
      </c>
      <c r="AI275" t="s">
        <v>69</v>
      </c>
      <c r="AJ275" t="s">
        <v>69</v>
      </c>
      <c r="AK275" t="s">
        <v>69</v>
      </c>
      <c r="AL275">
        <v>92</v>
      </c>
      <c r="AM275">
        <v>3</v>
      </c>
      <c r="AN275">
        <v>3</v>
      </c>
      <c r="AO275">
        <v>0</v>
      </c>
      <c r="AP275">
        <v>3</v>
      </c>
      <c r="AQ275" t="s">
        <v>8586</v>
      </c>
      <c r="AR275" t="s">
        <v>8587</v>
      </c>
      <c r="AS275" t="s">
        <v>8588</v>
      </c>
      <c r="AT275" t="s">
        <v>4869</v>
      </c>
      <c r="AU275" t="s">
        <v>4870</v>
      </c>
      <c r="AV275" t="s">
        <v>69</v>
      </c>
      <c r="AW275" t="s">
        <v>13344</v>
      </c>
      <c r="AX275" t="s">
        <v>13345</v>
      </c>
      <c r="AY275" t="s">
        <v>13346</v>
      </c>
      <c r="AZ275">
        <v>2021</v>
      </c>
      <c r="BA275">
        <v>17</v>
      </c>
      <c r="BB275">
        <v>1</v>
      </c>
      <c r="BC275" t="s">
        <v>69</v>
      </c>
      <c r="BD275" t="s">
        <v>69</v>
      </c>
      <c r="BE275" t="s">
        <v>69</v>
      </c>
      <c r="BF275" t="s">
        <v>69</v>
      </c>
      <c r="BG275">
        <v>85</v>
      </c>
      <c r="BH275">
        <v>105</v>
      </c>
      <c r="BI275" t="s">
        <v>69</v>
      </c>
      <c r="BJ275" t="s">
        <v>4871</v>
      </c>
      <c r="BK275" t="str">
        <f>HYPERLINK("http://dx.doi.org/10.1108/WJEMSD-09-2019-0072","http://dx.doi.org/10.1108/WJEMSD-09-2019-0072")</f>
        <v>http://dx.doi.org/10.1108/WJEMSD-09-2019-0072</v>
      </c>
      <c r="BL275" t="s">
        <v>69</v>
      </c>
      <c r="BM275" t="s">
        <v>300</v>
      </c>
      <c r="BN275">
        <v>21</v>
      </c>
      <c r="BO275" t="s">
        <v>9410</v>
      </c>
      <c r="BP275" t="s">
        <v>8573</v>
      </c>
      <c r="BQ275" t="s">
        <v>8594</v>
      </c>
      <c r="BR275" t="s">
        <v>13347</v>
      </c>
      <c r="BS275" t="s">
        <v>4872</v>
      </c>
      <c r="BT275" t="s">
        <v>69</v>
      </c>
      <c r="BU275" t="s">
        <v>69</v>
      </c>
      <c r="BV275" t="s">
        <v>69</v>
      </c>
      <c r="BW275" t="s">
        <v>69</v>
      </c>
      <c r="BX275" t="s">
        <v>8526</v>
      </c>
      <c r="BY275" t="str">
        <f>HYPERLINK("https%3A%2F%2Fwww.webofscience.com%2Fwos%2Fwoscc%2Ffull-record%2FWOS:000614020400001","View Full Record in Web of Science")</f>
        <v>View Full Record in Web of Science</v>
      </c>
    </row>
    <row r="276" spans="1:77" ht="12.5" x14ac:dyDescent="0.25">
      <c r="A276" t="s">
        <v>8495</v>
      </c>
      <c r="B276" s="7" t="s">
        <v>32933</v>
      </c>
      <c r="C276" s="7"/>
      <c r="D276" s="7"/>
      <c r="E276" s="7"/>
      <c r="F276" t="s">
        <v>67</v>
      </c>
      <c r="G276" t="s">
        <v>7520</v>
      </c>
      <c r="H276" t="s">
        <v>69</v>
      </c>
      <c r="I276" t="s">
        <v>69</v>
      </c>
      <c r="J276" t="s">
        <v>69</v>
      </c>
      <c r="K276" t="s">
        <v>7521</v>
      </c>
      <c r="L276" t="s">
        <v>69</v>
      </c>
      <c r="M276" t="s">
        <v>69</v>
      </c>
      <c r="N276" t="s">
        <v>7522</v>
      </c>
      <c r="O276" t="s">
        <v>1128</v>
      </c>
      <c r="P276" t="s">
        <v>69</v>
      </c>
      <c r="Q276" t="s">
        <v>69</v>
      </c>
      <c r="R276" t="s">
        <v>8505</v>
      </c>
      <c r="S276" t="s">
        <v>8506</v>
      </c>
      <c r="T276" t="s">
        <v>69</v>
      </c>
      <c r="U276" t="s">
        <v>69</v>
      </c>
      <c r="V276" t="s">
        <v>69</v>
      </c>
      <c r="W276" t="s">
        <v>69</v>
      </c>
      <c r="X276" t="s">
        <v>69</v>
      </c>
      <c r="Y276" t="s">
        <v>22773</v>
      </c>
      <c r="Z276" t="s">
        <v>22774</v>
      </c>
      <c r="AA276" t="s">
        <v>7523</v>
      </c>
      <c r="AB276" t="s">
        <v>22775</v>
      </c>
      <c r="AC276" t="s">
        <v>69</v>
      </c>
      <c r="AD276" t="s">
        <v>22776</v>
      </c>
      <c r="AE276" t="s">
        <v>22777</v>
      </c>
      <c r="AF276" t="s">
        <v>7524</v>
      </c>
      <c r="AG276" t="s">
        <v>22778</v>
      </c>
      <c r="AH276" t="s">
        <v>22779</v>
      </c>
      <c r="AI276" t="s">
        <v>22780</v>
      </c>
      <c r="AJ276" t="s">
        <v>22781</v>
      </c>
      <c r="AK276" t="s">
        <v>69</v>
      </c>
      <c r="AL276">
        <v>54</v>
      </c>
      <c r="AM276">
        <v>40</v>
      </c>
      <c r="AN276">
        <v>44</v>
      </c>
      <c r="AO276">
        <v>3</v>
      </c>
      <c r="AP276">
        <v>45</v>
      </c>
      <c r="AQ276" t="s">
        <v>8636</v>
      </c>
      <c r="AR276" t="s">
        <v>8637</v>
      </c>
      <c r="AS276" t="s">
        <v>8638</v>
      </c>
      <c r="AT276" t="s">
        <v>1130</v>
      </c>
      <c r="AU276" t="s">
        <v>1131</v>
      </c>
      <c r="AV276" t="s">
        <v>69</v>
      </c>
      <c r="AW276" t="s">
        <v>1128</v>
      </c>
      <c r="AX276" t="s">
        <v>8658</v>
      </c>
      <c r="AY276" t="s">
        <v>586</v>
      </c>
      <c r="AZ276">
        <v>2015</v>
      </c>
      <c r="BA276">
        <v>45</v>
      </c>
      <c r="BB276" t="s">
        <v>69</v>
      </c>
      <c r="BC276" t="s">
        <v>69</v>
      </c>
      <c r="BD276" t="s">
        <v>69</v>
      </c>
      <c r="BE276" t="s">
        <v>69</v>
      </c>
      <c r="BF276" t="s">
        <v>69</v>
      </c>
      <c r="BG276">
        <v>64</v>
      </c>
      <c r="BH276">
        <v>75</v>
      </c>
      <c r="BI276" t="s">
        <v>69</v>
      </c>
      <c r="BJ276" t="s">
        <v>7525</v>
      </c>
      <c r="BK276" t="str">
        <f>HYPERLINK("http://dx.doi.org/10.1016/j.landusepol.2015.01.001","http://dx.doi.org/10.1016/j.landusepol.2015.01.001")</f>
        <v>http://dx.doi.org/10.1016/j.landusepol.2015.01.001</v>
      </c>
      <c r="BL276" t="s">
        <v>69</v>
      </c>
      <c r="BM276" t="s">
        <v>69</v>
      </c>
      <c r="BN276">
        <v>12</v>
      </c>
      <c r="BO276" t="s">
        <v>8660</v>
      </c>
      <c r="BP276" t="s">
        <v>8661</v>
      </c>
      <c r="BQ276" t="s">
        <v>8662</v>
      </c>
      <c r="BR276" t="s">
        <v>22782</v>
      </c>
      <c r="BS276" t="s">
        <v>7526</v>
      </c>
      <c r="BT276" t="s">
        <v>69</v>
      </c>
      <c r="BU276" t="s">
        <v>9292</v>
      </c>
      <c r="BV276" t="s">
        <v>69</v>
      </c>
      <c r="BW276" t="s">
        <v>69</v>
      </c>
      <c r="BX276" t="s">
        <v>8526</v>
      </c>
      <c r="BY276" t="str">
        <f>HYPERLINK("https%3A%2F%2Fwww.webofscience.com%2Fwos%2Fwoscc%2Ffull-record%2FWOS:000353743200008","View Full Record in Web of Science")</f>
        <v>View Full Record in Web of Science</v>
      </c>
    </row>
    <row r="277" spans="1:77" ht="12.5" x14ac:dyDescent="0.25">
      <c r="A277" t="s">
        <v>8495</v>
      </c>
      <c r="B277" s="22" t="s">
        <v>32931</v>
      </c>
      <c r="C277" s="7"/>
      <c r="D277" s="7"/>
      <c r="E277" s="7"/>
      <c r="F277" t="s">
        <v>67</v>
      </c>
      <c r="G277" t="s">
        <v>21366</v>
      </c>
      <c r="H277" t="s">
        <v>69</v>
      </c>
      <c r="I277" t="s">
        <v>69</v>
      </c>
      <c r="J277" t="s">
        <v>69</v>
      </c>
      <c r="K277" t="s">
        <v>21367</v>
      </c>
      <c r="L277" t="s">
        <v>69</v>
      </c>
      <c r="M277" t="s">
        <v>69</v>
      </c>
      <c r="N277" t="s">
        <v>21368</v>
      </c>
      <c r="O277" t="s">
        <v>3503</v>
      </c>
      <c r="P277" t="s">
        <v>69</v>
      </c>
      <c r="Q277" t="s">
        <v>69</v>
      </c>
      <c r="R277" t="s">
        <v>8505</v>
      </c>
      <c r="S277" t="s">
        <v>8506</v>
      </c>
      <c r="T277" t="s">
        <v>69</v>
      </c>
      <c r="U277" t="s">
        <v>69</v>
      </c>
      <c r="V277" t="s">
        <v>69</v>
      </c>
      <c r="W277" t="s">
        <v>69</v>
      </c>
      <c r="X277" t="s">
        <v>69</v>
      </c>
      <c r="Y277" t="s">
        <v>21369</v>
      </c>
      <c r="Z277" t="s">
        <v>21370</v>
      </c>
      <c r="AA277" t="s">
        <v>21371</v>
      </c>
      <c r="AB277" t="s">
        <v>21372</v>
      </c>
      <c r="AC277" t="s">
        <v>69</v>
      </c>
      <c r="AD277" t="s">
        <v>21373</v>
      </c>
      <c r="AE277" t="s">
        <v>21374</v>
      </c>
      <c r="AF277" t="s">
        <v>69</v>
      </c>
      <c r="AG277" t="s">
        <v>69</v>
      </c>
      <c r="AH277" t="s">
        <v>21375</v>
      </c>
      <c r="AI277" t="s">
        <v>21376</v>
      </c>
      <c r="AJ277" t="s">
        <v>21377</v>
      </c>
      <c r="AK277" t="s">
        <v>69</v>
      </c>
      <c r="AL277">
        <v>24</v>
      </c>
      <c r="AM277">
        <v>2</v>
      </c>
      <c r="AN277">
        <v>2</v>
      </c>
      <c r="AO277">
        <v>0</v>
      </c>
      <c r="AP277">
        <v>6</v>
      </c>
      <c r="AQ277" t="s">
        <v>9178</v>
      </c>
      <c r="AR277" t="s">
        <v>8763</v>
      </c>
      <c r="AS277" t="s">
        <v>9179</v>
      </c>
      <c r="AT277" t="s">
        <v>3507</v>
      </c>
      <c r="AU277" t="s">
        <v>21378</v>
      </c>
      <c r="AV277" t="s">
        <v>69</v>
      </c>
      <c r="AW277" t="s">
        <v>21379</v>
      </c>
      <c r="AX277" t="s">
        <v>21380</v>
      </c>
      <c r="AY277" t="s">
        <v>255</v>
      </c>
      <c r="AZ277">
        <v>2016</v>
      </c>
      <c r="BA277">
        <v>42</v>
      </c>
      <c r="BB277">
        <v>9</v>
      </c>
      <c r="BC277" t="s">
        <v>69</v>
      </c>
      <c r="BD277" t="s">
        <v>69</v>
      </c>
      <c r="BE277" t="s">
        <v>69</v>
      </c>
      <c r="BF277" t="s">
        <v>69</v>
      </c>
      <c r="BG277">
        <v>582</v>
      </c>
      <c r="BH277">
        <v>585</v>
      </c>
      <c r="BI277" t="s">
        <v>69</v>
      </c>
      <c r="BJ277" t="s">
        <v>21381</v>
      </c>
      <c r="BK277" t="str">
        <f>HYPERLINK("http://dx.doi.org/10.1136/medethics-2015-103137","http://dx.doi.org/10.1136/medethics-2015-103137")</f>
        <v>http://dx.doi.org/10.1136/medethics-2015-103137</v>
      </c>
      <c r="BL277" t="s">
        <v>69</v>
      </c>
      <c r="BM277" t="s">
        <v>69</v>
      </c>
      <c r="BN277">
        <v>4</v>
      </c>
      <c r="BO277" t="s">
        <v>21382</v>
      </c>
      <c r="BP277" t="s">
        <v>8523</v>
      </c>
      <c r="BQ277" t="s">
        <v>21383</v>
      </c>
      <c r="BR277" t="s">
        <v>21384</v>
      </c>
      <c r="BS277" t="s">
        <v>21385</v>
      </c>
      <c r="BT277">
        <v>27178534</v>
      </c>
      <c r="BU277" t="s">
        <v>69</v>
      </c>
      <c r="BV277" t="s">
        <v>69</v>
      </c>
      <c r="BW277" t="s">
        <v>69</v>
      </c>
      <c r="BX277" t="s">
        <v>8526</v>
      </c>
      <c r="BY277" t="str">
        <f>HYPERLINK("https%3A%2F%2Fwww.webofscience.com%2Fwos%2Fwoscc%2Ffull-record%2FWOS:000383472700008","View Full Record in Web of Science")</f>
        <v>View Full Record in Web of Science</v>
      </c>
    </row>
    <row r="278" spans="1:77" ht="12.5" x14ac:dyDescent="0.25">
      <c r="A278" t="s">
        <v>8495</v>
      </c>
      <c r="B278" s="7" t="s">
        <v>32933</v>
      </c>
      <c r="C278" s="7"/>
      <c r="D278" s="7"/>
      <c r="E278" s="7"/>
      <c r="F278" t="s">
        <v>67</v>
      </c>
      <c r="G278" t="s">
        <v>2728</v>
      </c>
      <c r="H278" t="s">
        <v>69</v>
      </c>
      <c r="I278" t="s">
        <v>69</v>
      </c>
      <c r="J278" t="s">
        <v>69</v>
      </c>
      <c r="K278" t="s">
        <v>2729</v>
      </c>
      <c r="L278" t="s">
        <v>69</v>
      </c>
      <c r="M278" t="s">
        <v>69</v>
      </c>
      <c r="N278" t="s">
        <v>2730</v>
      </c>
      <c r="O278" t="s">
        <v>2731</v>
      </c>
      <c r="P278" t="s">
        <v>69</v>
      </c>
      <c r="Q278" t="s">
        <v>69</v>
      </c>
      <c r="R278" t="s">
        <v>10153</v>
      </c>
      <c r="S278" t="s">
        <v>8506</v>
      </c>
      <c r="T278" t="s">
        <v>69</v>
      </c>
      <c r="U278" t="s">
        <v>69</v>
      </c>
      <c r="V278" t="s">
        <v>69</v>
      </c>
      <c r="W278" t="s">
        <v>69</v>
      </c>
      <c r="X278" t="s">
        <v>69</v>
      </c>
      <c r="Y278" t="s">
        <v>20746</v>
      </c>
      <c r="Z278" t="s">
        <v>69</v>
      </c>
      <c r="AA278" t="s">
        <v>2732</v>
      </c>
      <c r="AB278" t="s">
        <v>20747</v>
      </c>
      <c r="AC278" t="s">
        <v>69</v>
      </c>
      <c r="AD278" t="s">
        <v>20748</v>
      </c>
      <c r="AE278" t="s">
        <v>20749</v>
      </c>
      <c r="AF278" t="s">
        <v>69</v>
      </c>
      <c r="AG278" t="s">
        <v>69</v>
      </c>
      <c r="AH278" t="s">
        <v>69</v>
      </c>
      <c r="AI278" t="s">
        <v>69</v>
      </c>
      <c r="AJ278" t="s">
        <v>69</v>
      </c>
      <c r="AK278" t="s">
        <v>69</v>
      </c>
      <c r="AL278">
        <v>19</v>
      </c>
      <c r="AM278">
        <v>0</v>
      </c>
      <c r="AN278">
        <v>0</v>
      </c>
      <c r="AO278">
        <v>0</v>
      </c>
      <c r="AP278">
        <v>0</v>
      </c>
      <c r="AQ278" t="s">
        <v>12868</v>
      </c>
      <c r="AR278" t="s">
        <v>12869</v>
      </c>
      <c r="AS278" t="s">
        <v>12870</v>
      </c>
      <c r="AT278" t="s">
        <v>2733</v>
      </c>
      <c r="AU278" t="s">
        <v>69</v>
      </c>
      <c r="AV278" t="s">
        <v>69</v>
      </c>
      <c r="AW278" t="s">
        <v>12871</v>
      </c>
      <c r="AX278" t="s">
        <v>12872</v>
      </c>
      <c r="AY278" t="s">
        <v>69</v>
      </c>
      <c r="AZ278">
        <v>2017</v>
      </c>
      <c r="BA278">
        <v>4</v>
      </c>
      <c r="BB278">
        <v>2</v>
      </c>
      <c r="BC278" t="s">
        <v>69</v>
      </c>
      <c r="BD278" t="s">
        <v>69</v>
      </c>
      <c r="BE278" t="s">
        <v>69</v>
      </c>
      <c r="BF278" t="s">
        <v>69</v>
      </c>
      <c r="BG278">
        <v>73</v>
      </c>
      <c r="BH278">
        <v>81</v>
      </c>
      <c r="BI278" t="s">
        <v>69</v>
      </c>
      <c r="BJ278" t="s">
        <v>69</v>
      </c>
      <c r="BK278" t="s">
        <v>69</v>
      </c>
      <c r="BL278" t="s">
        <v>69</v>
      </c>
      <c r="BM278" t="s">
        <v>69</v>
      </c>
      <c r="BN278">
        <v>9</v>
      </c>
      <c r="BO278" t="s">
        <v>11206</v>
      </c>
      <c r="BP278" t="s">
        <v>8573</v>
      </c>
      <c r="BQ278" t="s">
        <v>11208</v>
      </c>
      <c r="BR278" t="s">
        <v>20750</v>
      </c>
      <c r="BS278" t="s">
        <v>2734</v>
      </c>
      <c r="BT278" t="s">
        <v>69</v>
      </c>
      <c r="BU278" t="s">
        <v>69</v>
      </c>
      <c r="BV278" t="s">
        <v>69</v>
      </c>
      <c r="BW278" t="s">
        <v>69</v>
      </c>
      <c r="BX278" t="s">
        <v>8526</v>
      </c>
      <c r="BY278" t="str">
        <f>HYPERLINK("https%3A%2F%2Fwww.webofscience.com%2Fwos%2Fwoscc%2Ffull-record%2FWOS:000412494400008","View Full Record in Web of Science")</f>
        <v>View Full Record in Web of Science</v>
      </c>
    </row>
    <row r="279" spans="1:77" ht="12.5" x14ac:dyDescent="0.25">
      <c r="A279" t="s">
        <v>8495</v>
      </c>
      <c r="B279" s="7" t="s">
        <v>32933</v>
      </c>
      <c r="C279" s="7"/>
      <c r="D279" s="7"/>
      <c r="E279" s="7"/>
      <c r="F279" t="s">
        <v>67</v>
      </c>
      <c r="G279" t="s">
        <v>3953</v>
      </c>
      <c r="H279" t="s">
        <v>69</v>
      </c>
      <c r="I279" t="s">
        <v>69</v>
      </c>
      <c r="J279" t="s">
        <v>69</v>
      </c>
      <c r="K279" t="s">
        <v>3953</v>
      </c>
      <c r="L279" t="s">
        <v>69</v>
      </c>
      <c r="M279" t="s">
        <v>69</v>
      </c>
      <c r="N279" t="s">
        <v>3954</v>
      </c>
      <c r="O279" t="s">
        <v>436</v>
      </c>
      <c r="P279" t="s">
        <v>69</v>
      </c>
      <c r="Q279" t="s">
        <v>69</v>
      </c>
      <c r="R279" t="s">
        <v>8505</v>
      </c>
      <c r="S279" t="s">
        <v>8506</v>
      </c>
      <c r="T279" t="s">
        <v>69</v>
      </c>
      <c r="U279" t="s">
        <v>69</v>
      </c>
      <c r="V279" t="s">
        <v>69</v>
      </c>
      <c r="W279" t="s">
        <v>69</v>
      </c>
      <c r="X279" t="s">
        <v>69</v>
      </c>
      <c r="Y279" t="s">
        <v>69</v>
      </c>
      <c r="Z279" t="s">
        <v>69</v>
      </c>
      <c r="AA279" t="s">
        <v>3955</v>
      </c>
      <c r="AB279" t="s">
        <v>31120</v>
      </c>
      <c r="AC279" t="s">
        <v>69</v>
      </c>
      <c r="AD279" t="s">
        <v>31121</v>
      </c>
      <c r="AE279" t="s">
        <v>69</v>
      </c>
      <c r="AF279" t="s">
        <v>69</v>
      </c>
      <c r="AG279" t="s">
        <v>69</v>
      </c>
      <c r="AH279" t="s">
        <v>69</v>
      </c>
      <c r="AI279" t="s">
        <v>69</v>
      </c>
      <c r="AJ279" t="s">
        <v>69</v>
      </c>
      <c r="AK279" t="s">
        <v>69</v>
      </c>
      <c r="AL279">
        <v>31</v>
      </c>
      <c r="AM279">
        <v>6</v>
      </c>
      <c r="AN279">
        <v>7</v>
      </c>
      <c r="AO279">
        <v>0</v>
      </c>
      <c r="AP279">
        <v>5</v>
      </c>
      <c r="AQ279" t="s">
        <v>8636</v>
      </c>
      <c r="AR279" t="s">
        <v>8637</v>
      </c>
      <c r="AS279" t="s">
        <v>8638</v>
      </c>
      <c r="AT279" t="s">
        <v>440</v>
      </c>
      <c r="AU279" t="s">
        <v>69</v>
      </c>
      <c r="AV279" t="s">
        <v>69</v>
      </c>
      <c r="AW279" t="s">
        <v>8639</v>
      </c>
      <c r="AX279" t="s">
        <v>8640</v>
      </c>
      <c r="AY279" t="s">
        <v>69</v>
      </c>
      <c r="AZ279">
        <v>2004</v>
      </c>
      <c r="BA279">
        <v>12</v>
      </c>
      <c r="BB279">
        <v>3</v>
      </c>
      <c r="BC279" t="s">
        <v>69</v>
      </c>
      <c r="BD279" t="s">
        <v>69</v>
      </c>
      <c r="BE279" t="s">
        <v>69</v>
      </c>
      <c r="BF279" t="s">
        <v>69</v>
      </c>
      <c r="BG279">
        <v>237</v>
      </c>
      <c r="BH279">
        <v>248</v>
      </c>
      <c r="BI279" t="s">
        <v>69</v>
      </c>
      <c r="BJ279" t="s">
        <v>3956</v>
      </c>
      <c r="BK279" t="str">
        <f>HYPERLINK("http://dx.doi.org/10.1016/S0959-6526(03)00095-7","http://dx.doi.org/10.1016/S0959-6526(03)00095-7")</f>
        <v>http://dx.doi.org/10.1016/S0959-6526(03)00095-7</v>
      </c>
      <c r="BL279" t="s">
        <v>69</v>
      </c>
      <c r="BM279" t="s">
        <v>69</v>
      </c>
      <c r="BN279">
        <v>12</v>
      </c>
      <c r="BO279" t="s">
        <v>8643</v>
      </c>
      <c r="BP279" t="s">
        <v>8548</v>
      </c>
      <c r="BQ279" t="s">
        <v>8644</v>
      </c>
      <c r="BR279" t="s">
        <v>31122</v>
      </c>
      <c r="BS279" t="s">
        <v>3957</v>
      </c>
      <c r="BT279" t="s">
        <v>69</v>
      </c>
      <c r="BU279" t="s">
        <v>69</v>
      </c>
      <c r="BV279" t="s">
        <v>69</v>
      </c>
      <c r="BW279" t="s">
        <v>69</v>
      </c>
      <c r="BX279" t="s">
        <v>8526</v>
      </c>
      <c r="BY279" t="str">
        <f>HYPERLINK("https%3A%2F%2Fwww.webofscience.com%2Fwos%2Fwoscc%2Ffull-record%2FWOS:000186789700007","View Full Record in Web of Science")</f>
        <v>View Full Record in Web of Science</v>
      </c>
    </row>
    <row r="280" spans="1:77" x14ac:dyDescent="0.3">
      <c r="A280" t="s">
        <v>8495</v>
      </c>
      <c r="B280" s="9" t="s">
        <v>32954</v>
      </c>
      <c r="C280" s="9" t="s">
        <v>33113</v>
      </c>
      <c r="D280" s="10" t="s">
        <v>8490</v>
      </c>
      <c r="E280" s="9" t="s">
        <v>8490</v>
      </c>
      <c r="F280" t="s">
        <v>67</v>
      </c>
      <c r="G280" t="s">
        <v>9081</v>
      </c>
      <c r="H280" t="s">
        <v>69</v>
      </c>
      <c r="I280" t="s">
        <v>69</v>
      </c>
      <c r="J280" t="s">
        <v>69</v>
      </c>
      <c r="K280" t="s">
        <v>9082</v>
      </c>
      <c r="L280" t="s">
        <v>69</v>
      </c>
      <c r="M280" t="s">
        <v>69</v>
      </c>
      <c r="N280" t="s">
        <v>9083</v>
      </c>
      <c r="O280" t="s">
        <v>4552</v>
      </c>
      <c r="P280" t="s">
        <v>69</v>
      </c>
      <c r="Q280" t="s">
        <v>69</v>
      </c>
      <c r="R280" t="s">
        <v>8505</v>
      </c>
      <c r="S280" t="s">
        <v>8506</v>
      </c>
      <c r="T280" t="s">
        <v>69</v>
      </c>
      <c r="U280" t="s">
        <v>69</v>
      </c>
      <c r="V280" t="s">
        <v>69</v>
      </c>
      <c r="W280" t="s">
        <v>69</v>
      </c>
      <c r="X280" t="s">
        <v>69</v>
      </c>
      <c r="Y280" t="s">
        <v>9084</v>
      </c>
      <c r="Z280" t="s">
        <v>9085</v>
      </c>
      <c r="AA280" t="s">
        <v>9086</v>
      </c>
      <c r="AB280" t="s">
        <v>9087</v>
      </c>
      <c r="AC280" t="s">
        <v>69</v>
      </c>
      <c r="AD280" t="s">
        <v>9088</v>
      </c>
      <c r="AE280" t="s">
        <v>9089</v>
      </c>
      <c r="AF280" t="s">
        <v>69</v>
      </c>
      <c r="AG280" t="s">
        <v>9090</v>
      </c>
      <c r="AH280" t="s">
        <v>69</v>
      </c>
      <c r="AI280" t="s">
        <v>69</v>
      </c>
      <c r="AJ280" t="s">
        <v>69</v>
      </c>
      <c r="AK280" t="s">
        <v>69</v>
      </c>
      <c r="AL280">
        <v>60</v>
      </c>
      <c r="AM280">
        <v>1</v>
      </c>
      <c r="AN280">
        <v>1</v>
      </c>
      <c r="AO280">
        <v>1</v>
      </c>
      <c r="AP280">
        <v>1</v>
      </c>
      <c r="AQ280" t="s">
        <v>9091</v>
      </c>
      <c r="AR280" t="s">
        <v>8763</v>
      </c>
      <c r="AS280" t="s">
        <v>9092</v>
      </c>
      <c r="AT280" t="s">
        <v>4556</v>
      </c>
      <c r="AU280" t="s">
        <v>9093</v>
      </c>
      <c r="AV280" t="s">
        <v>69</v>
      </c>
      <c r="AW280" t="s">
        <v>4552</v>
      </c>
      <c r="AX280" t="s">
        <v>9094</v>
      </c>
      <c r="AY280" t="s">
        <v>586</v>
      </c>
      <c r="AZ280">
        <v>2022</v>
      </c>
      <c r="BA280">
        <v>24</v>
      </c>
      <c r="BB280">
        <v>5</v>
      </c>
      <c r="BC280" t="s">
        <v>69</v>
      </c>
      <c r="BD280" t="s">
        <v>69</v>
      </c>
      <c r="BE280" t="s">
        <v>114</v>
      </c>
      <c r="BF280" t="s">
        <v>69</v>
      </c>
      <c r="BG280">
        <v>797</v>
      </c>
      <c r="BH280">
        <v>813</v>
      </c>
      <c r="BI280" t="s">
        <v>69</v>
      </c>
      <c r="BJ280" t="s">
        <v>9095</v>
      </c>
      <c r="BK280" t="str">
        <f>HYPERLINK("http://dx.doi.org/10.2166/wp.2022.229","http://dx.doi.org/10.2166/wp.2022.229")</f>
        <v>http://dx.doi.org/10.2166/wp.2022.229</v>
      </c>
      <c r="BL280" t="s">
        <v>69</v>
      </c>
      <c r="BM280" t="s">
        <v>9025</v>
      </c>
      <c r="BN280">
        <v>17</v>
      </c>
      <c r="BO280" t="s">
        <v>9096</v>
      </c>
      <c r="BP280" t="s">
        <v>8548</v>
      </c>
      <c r="BQ280" t="s">
        <v>9096</v>
      </c>
      <c r="BR280" t="s">
        <v>9097</v>
      </c>
      <c r="BS280" t="s">
        <v>9098</v>
      </c>
      <c r="BT280" t="s">
        <v>69</v>
      </c>
      <c r="BU280" t="s">
        <v>8931</v>
      </c>
      <c r="BV280" t="s">
        <v>69</v>
      </c>
      <c r="BW280" t="s">
        <v>69</v>
      </c>
      <c r="BX280" t="s">
        <v>8526</v>
      </c>
      <c r="BY280" t="str">
        <f>HYPERLINK("https%3A%2F%2Fwww.webofscience.com%2Fwos%2Fwoscc%2Ffull-record%2FWOS:000794560100001","View Full Record in Web of Science")</f>
        <v>View Full Record in Web of Science</v>
      </c>
    </row>
    <row r="281" spans="1:77" ht="12.5" x14ac:dyDescent="0.25">
      <c r="A281" t="s">
        <v>8495</v>
      </c>
      <c r="B281" s="22" t="s">
        <v>32931</v>
      </c>
      <c r="C281" s="7"/>
      <c r="D281" s="7"/>
      <c r="E281" s="7"/>
      <c r="F281" t="s">
        <v>67</v>
      </c>
      <c r="G281" t="s">
        <v>23634</v>
      </c>
      <c r="H281" t="s">
        <v>69</v>
      </c>
      <c r="I281" t="s">
        <v>69</v>
      </c>
      <c r="J281" t="s">
        <v>69</v>
      </c>
      <c r="K281" t="s">
        <v>23635</v>
      </c>
      <c r="L281" t="s">
        <v>69</v>
      </c>
      <c r="M281" t="s">
        <v>69</v>
      </c>
      <c r="N281" t="s">
        <v>23636</v>
      </c>
      <c r="O281" t="s">
        <v>23637</v>
      </c>
      <c r="P281" t="s">
        <v>69</v>
      </c>
      <c r="Q281" t="s">
        <v>69</v>
      </c>
      <c r="R281" t="s">
        <v>8505</v>
      </c>
      <c r="S281" t="s">
        <v>8506</v>
      </c>
      <c r="T281" t="s">
        <v>69</v>
      </c>
      <c r="U281" t="s">
        <v>69</v>
      </c>
      <c r="V281" t="s">
        <v>69</v>
      </c>
      <c r="W281" t="s">
        <v>69</v>
      </c>
      <c r="X281" t="s">
        <v>69</v>
      </c>
      <c r="Y281" t="s">
        <v>23638</v>
      </c>
      <c r="Z281" t="s">
        <v>23639</v>
      </c>
      <c r="AA281" t="s">
        <v>23640</v>
      </c>
      <c r="AB281" t="s">
        <v>23641</v>
      </c>
      <c r="AC281" t="s">
        <v>69</v>
      </c>
      <c r="AD281" t="s">
        <v>23642</v>
      </c>
      <c r="AE281" t="s">
        <v>23643</v>
      </c>
      <c r="AF281" t="s">
        <v>69</v>
      </c>
      <c r="AG281" t="s">
        <v>23644</v>
      </c>
      <c r="AH281" t="s">
        <v>69</v>
      </c>
      <c r="AI281" t="s">
        <v>69</v>
      </c>
      <c r="AJ281" t="s">
        <v>69</v>
      </c>
      <c r="AK281" t="s">
        <v>69</v>
      </c>
      <c r="AL281">
        <v>26</v>
      </c>
      <c r="AM281">
        <v>40</v>
      </c>
      <c r="AN281">
        <v>40</v>
      </c>
      <c r="AO281">
        <v>3</v>
      </c>
      <c r="AP281">
        <v>29</v>
      </c>
      <c r="AQ281" t="s">
        <v>8516</v>
      </c>
      <c r="AR281" t="s">
        <v>8517</v>
      </c>
      <c r="AS281" t="s">
        <v>8518</v>
      </c>
      <c r="AT281" t="s">
        <v>23645</v>
      </c>
      <c r="AU281" t="s">
        <v>23646</v>
      </c>
      <c r="AV281" t="s">
        <v>69</v>
      </c>
      <c r="AW281" t="s">
        <v>23637</v>
      </c>
      <c r="AX281" t="s">
        <v>23647</v>
      </c>
      <c r="AY281" t="s">
        <v>5604</v>
      </c>
      <c r="AZ281">
        <v>2014</v>
      </c>
      <c r="BA281">
        <v>347</v>
      </c>
      <c r="BB281" t="s">
        <v>69</v>
      </c>
      <c r="BC281" t="s">
        <v>69</v>
      </c>
      <c r="BD281" t="s">
        <v>69</v>
      </c>
      <c r="BE281" t="s">
        <v>69</v>
      </c>
      <c r="BF281" t="s">
        <v>69</v>
      </c>
      <c r="BG281">
        <v>103</v>
      </c>
      <c r="BH281">
        <v>111</v>
      </c>
      <c r="BI281" t="s">
        <v>69</v>
      </c>
      <c r="BJ281" t="s">
        <v>23648</v>
      </c>
      <c r="BK281" t="str">
        <f>HYPERLINK("http://dx.doi.org/10.1016/j.desal.2014.05.033","http://dx.doi.org/10.1016/j.desal.2014.05.033")</f>
        <v>http://dx.doi.org/10.1016/j.desal.2014.05.033</v>
      </c>
      <c r="BL281" t="s">
        <v>69</v>
      </c>
      <c r="BM281" t="s">
        <v>69</v>
      </c>
      <c r="BN281">
        <v>9</v>
      </c>
      <c r="BO281" t="s">
        <v>10870</v>
      </c>
      <c r="BP281" t="s">
        <v>8548</v>
      </c>
      <c r="BQ281" t="s">
        <v>9230</v>
      </c>
      <c r="BR281" t="s">
        <v>23649</v>
      </c>
      <c r="BS281" t="s">
        <v>23650</v>
      </c>
      <c r="BT281" t="s">
        <v>69</v>
      </c>
      <c r="BU281" t="s">
        <v>69</v>
      </c>
      <c r="BV281" t="s">
        <v>69</v>
      </c>
      <c r="BW281" t="s">
        <v>69</v>
      </c>
      <c r="BX281" t="s">
        <v>8526</v>
      </c>
      <c r="BY281" t="str">
        <f>HYPERLINK("https%3A%2F%2Fwww.webofscience.com%2Fwos%2Fwoscc%2Ffull-record%2FWOS:000339532800012","View Full Record in Web of Science")</f>
        <v>View Full Record in Web of Science</v>
      </c>
    </row>
    <row r="282" spans="1:77" ht="12.5" x14ac:dyDescent="0.25">
      <c r="A282" t="s">
        <v>8495</v>
      </c>
      <c r="B282" s="7" t="s">
        <v>32933</v>
      </c>
      <c r="C282" s="7"/>
      <c r="D282" s="7"/>
      <c r="E282" s="7"/>
      <c r="F282" t="s">
        <v>67</v>
      </c>
      <c r="G282" t="s">
        <v>5458</v>
      </c>
      <c r="H282" t="s">
        <v>69</v>
      </c>
      <c r="I282" t="s">
        <v>69</v>
      </c>
      <c r="J282" t="s">
        <v>69</v>
      </c>
      <c r="K282" t="s">
        <v>5459</v>
      </c>
      <c r="L282" t="s">
        <v>69</v>
      </c>
      <c r="M282" t="s">
        <v>69</v>
      </c>
      <c r="N282" t="s">
        <v>5460</v>
      </c>
      <c r="O282" t="s">
        <v>5461</v>
      </c>
      <c r="P282" t="s">
        <v>69</v>
      </c>
      <c r="Q282" t="s">
        <v>69</v>
      </c>
      <c r="R282" t="s">
        <v>8505</v>
      </c>
      <c r="S282" t="s">
        <v>8506</v>
      </c>
      <c r="T282" t="s">
        <v>69</v>
      </c>
      <c r="U282" t="s">
        <v>69</v>
      </c>
      <c r="V282" t="s">
        <v>69</v>
      </c>
      <c r="W282" t="s">
        <v>69</v>
      </c>
      <c r="X282" t="s">
        <v>69</v>
      </c>
      <c r="Y282" t="s">
        <v>19539</v>
      </c>
      <c r="Z282" t="s">
        <v>19540</v>
      </c>
      <c r="AA282" t="s">
        <v>5462</v>
      </c>
      <c r="AB282" t="s">
        <v>19541</v>
      </c>
      <c r="AC282" t="s">
        <v>69</v>
      </c>
      <c r="AD282" t="s">
        <v>19542</v>
      </c>
      <c r="AE282" t="s">
        <v>19543</v>
      </c>
      <c r="AF282" t="s">
        <v>69</v>
      </c>
      <c r="AG282" t="s">
        <v>69</v>
      </c>
      <c r="AH282" t="s">
        <v>19544</v>
      </c>
      <c r="AI282" t="s">
        <v>19545</v>
      </c>
      <c r="AJ282" t="s">
        <v>19546</v>
      </c>
      <c r="AK282" t="s">
        <v>69</v>
      </c>
      <c r="AL282">
        <v>62</v>
      </c>
      <c r="AM282">
        <v>4</v>
      </c>
      <c r="AN282">
        <v>4</v>
      </c>
      <c r="AO282">
        <v>0</v>
      </c>
      <c r="AP282">
        <v>9</v>
      </c>
      <c r="AQ282" t="s">
        <v>8865</v>
      </c>
      <c r="AR282" t="s">
        <v>8612</v>
      </c>
      <c r="AS282" t="s">
        <v>8866</v>
      </c>
      <c r="AT282" t="s">
        <v>5463</v>
      </c>
      <c r="AU282" t="s">
        <v>5464</v>
      </c>
      <c r="AV282" t="s">
        <v>69</v>
      </c>
      <c r="AW282" t="s">
        <v>19547</v>
      </c>
      <c r="AX282" t="s">
        <v>19548</v>
      </c>
      <c r="AY282" t="s">
        <v>69</v>
      </c>
      <c r="AZ282">
        <v>2018</v>
      </c>
      <c r="BA282">
        <v>47</v>
      </c>
      <c r="BB282">
        <v>1</v>
      </c>
      <c r="BC282" t="s">
        <v>69</v>
      </c>
      <c r="BD282" t="s">
        <v>69</v>
      </c>
      <c r="BE282" t="s">
        <v>114</v>
      </c>
      <c r="BF282" t="s">
        <v>69</v>
      </c>
      <c r="BG282">
        <v>162</v>
      </c>
      <c r="BH282">
        <v>186</v>
      </c>
      <c r="BI282" t="s">
        <v>69</v>
      </c>
      <c r="BJ282" t="s">
        <v>5465</v>
      </c>
      <c r="BK282" t="str">
        <f>HYPERLINK("http://dx.doi.org/10.1080/03085147.2018.1445569","http://dx.doi.org/10.1080/03085147.2018.1445569")</f>
        <v>http://dx.doi.org/10.1080/03085147.2018.1445569</v>
      </c>
      <c r="BL282" t="s">
        <v>69</v>
      </c>
      <c r="BM282" t="s">
        <v>69</v>
      </c>
      <c r="BN282">
        <v>25</v>
      </c>
      <c r="BO282" t="s">
        <v>19549</v>
      </c>
      <c r="BP282" t="s">
        <v>8661</v>
      </c>
      <c r="BQ282" t="s">
        <v>19550</v>
      </c>
      <c r="BR282" t="s">
        <v>19551</v>
      </c>
      <c r="BS282" t="s">
        <v>5466</v>
      </c>
      <c r="BT282" t="s">
        <v>69</v>
      </c>
      <c r="BU282" t="s">
        <v>9292</v>
      </c>
      <c r="BV282" t="s">
        <v>69</v>
      </c>
      <c r="BW282" t="s">
        <v>69</v>
      </c>
      <c r="BX282" t="s">
        <v>8526</v>
      </c>
      <c r="BY282" t="str">
        <f>HYPERLINK("https%3A%2F%2Fwww.webofscience.com%2Fwos%2Fwoscc%2Ffull-record%2FWOS:000431540700007","View Full Record in Web of Science")</f>
        <v>View Full Record in Web of Science</v>
      </c>
    </row>
    <row r="283" spans="1:77" ht="12.5" x14ac:dyDescent="0.25">
      <c r="A283" t="s">
        <v>8495</v>
      </c>
      <c r="B283" s="22" t="s">
        <v>32931</v>
      </c>
      <c r="C283" s="7"/>
      <c r="D283" s="7"/>
      <c r="E283" s="7"/>
      <c r="F283" t="s">
        <v>67</v>
      </c>
      <c r="G283" t="s">
        <v>23692</v>
      </c>
      <c r="H283" t="s">
        <v>69</v>
      </c>
      <c r="I283" t="s">
        <v>69</v>
      </c>
      <c r="J283" t="s">
        <v>69</v>
      </c>
      <c r="K283" t="s">
        <v>23693</v>
      </c>
      <c r="L283" t="s">
        <v>69</v>
      </c>
      <c r="M283" t="s">
        <v>69</v>
      </c>
      <c r="N283" t="s">
        <v>23694</v>
      </c>
      <c r="O283" t="s">
        <v>23695</v>
      </c>
      <c r="P283" t="s">
        <v>69</v>
      </c>
      <c r="Q283" t="s">
        <v>69</v>
      </c>
      <c r="R283" t="s">
        <v>8505</v>
      </c>
      <c r="S283" t="s">
        <v>8506</v>
      </c>
      <c r="T283" t="s">
        <v>69</v>
      </c>
      <c r="U283" t="s">
        <v>69</v>
      </c>
      <c r="V283" t="s">
        <v>69</v>
      </c>
      <c r="W283" t="s">
        <v>69</v>
      </c>
      <c r="X283" t="s">
        <v>69</v>
      </c>
      <c r="Y283" t="s">
        <v>23696</v>
      </c>
      <c r="Z283" t="s">
        <v>23697</v>
      </c>
      <c r="AA283" t="s">
        <v>23698</v>
      </c>
      <c r="AB283" t="s">
        <v>23699</v>
      </c>
      <c r="AC283" t="s">
        <v>69</v>
      </c>
      <c r="AD283" t="s">
        <v>23700</v>
      </c>
      <c r="AE283" t="s">
        <v>23701</v>
      </c>
      <c r="AF283" t="s">
        <v>23702</v>
      </c>
      <c r="AG283" t="s">
        <v>23703</v>
      </c>
      <c r="AH283" t="s">
        <v>23704</v>
      </c>
      <c r="AI283" t="s">
        <v>23705</v>
      </c>
      <c r="AJ283" t="s">
        <v>69</v>
      </c>
      <c r="AK283" t="s">
        <v>69</v>
      </c>
      <c r="AL283">
        <v>26</v>
      </c>
      <c r="AM283">
        <v>65</v>
      </c>
      <c r="AN283">
        <v>66</v>
      </c>
      <c r="AO283">
        <v>0</v>
      </c>
      <c r="AP283">
        <v>2</v>
      </c>
      <c r="AQ283" t="s">
        <v>23706</v>
      </c>
      <c r="AR283" t="s">
        <v>19533</v>
      </c>
      <c r="AS283" t="s">
        <v>23707</v>
      </c>
      <c r="AT283" t="s">
        <v>23708</v>
      </c>
      <c r="AU283" t="s">
        <v>23709</v>
      </c>
      <c r="AV283" t="s">
        <v>69</v>
      </c>
      <c r="AW283" t="s">
        <v>23710</v>
      </c>
      <c r="AX283" t="s">
        <v>23711</v>
      </c>
      <c r="AY283" t="s">
        <v>201</v>
      </c>
      <c r="AZ283">
        <v>2014</v>
      </c>
      <c r="BA283">
        <v>62</v>
      </c>
      <c r="BB283">
        <v>5</v>
      </c>
      <c r="BC283" t="s">
        <v>69</v>
      </c>
      <c r="BD283" t="s">
        <v>69</v>
      </c>
      <c r="BE283" t="s">
        <v>69</v>
      </c>
      <c r="BF283" t="s">
        <v>69</v>
      </c>
      <c r="BG283">
        <v>393</v>
      </c>
      <c r="BH283">
        <v>401</v>
      </c>
      <c r="BI283" t="s">
        <v>69</v>
      </c>
      <c r="BJ283" t="s">
        <v>23712</v>
      </c>
      <c r="BK283" t="str">
        <f>HYPERLINK("http://dx.doi.org/10.1055/s-0034-1383723","http://dx.doi.org/10.1055/s-0034-1383723")</f>
        <v>http://dx.doi.org/10.1055/s-0034-1383723</v>
      </c>
      <c r="BL283" t="s">
        <v>69</v>
      </c>
      <c r="BM283" t="s">
        <v>69</v>
      </c>
      <c r="BN283">
        <v>9</v>
      </c>
      <c r="BO283" t="s">
        <v>23713</v>
      </c>
      <c r="BP283" t="s">
        <v>8548</v>
      </c>
      <c r="BQ283" t="s">
        <v>23714</v>
      </c>
      <c r="BR283" t="s">
        <v>23715</v>
      </c>
      <c r="BS283" t="s">
        <v>23716</v>
      </c>
      <c r="BT283">
        <v>24955755</v>
      </c>
      <c r="BU283" t="s">
        <v>9374</v>
      </c>
      <c r="BV283" t="s">
        <v>69</v>
      </c>
      <c r="BW283" t="s">
        <v>69</v>
      </c>
      <c r="BX283" t="s">
        <v>8526</v>
      </c>
      <c r="BY283" t="str">
        <f>HYPERLINK("https%3A%2F%2Fwww.webofscience.com%2Fwos%2Fwoscc%2Ffull-record%2FWOS:000340748500004","View Full Record in Web of Science")</f>
        <v>View Full Record in Web of Science</v>
      </c>
    </row>
    <row r="284" spans="1:77" ht="12.5" x14ac:dyDescent="0.25">
      <c r="A284" t="s">
        <v>8495</v>
      </c>
      <c r="B284" s="7" t="s">
        <v>32933</v>
      </c>
      <c r="C284" s="7"/>
      <c r="D284" s="7"/>
      <c r="E284" s="7"/>
      <c r="F284" t="s">
        <v>67</v>
      </c>
      <c r="G284" t="s">
        <v>3940</v>
      </c>
      <c r="H284" t="s">
        <v>69</v>
      </c>
      <c r="I284" t="s">
        <v>69</v>
      </c>
      <c r="J284" t="s">
        <v>69</v>
      </c>
      <c r="K284" t="s">
        <v>3940</v>
      </c>
      <c r="L284" t="s">
        <v>69</v>
      </c>
      <c r="M284" t="s">
        <v>69</v>
      </c>
      <c r="N284" t="s">
        <v>3941</v>
      </c>
      <c r="O284" t="s">
        <v>3807</v>
      </c>
      <c r="P284" t="s">
        <v>69</v>
      </c>
      <c r="Q284" t="s">
        <v>69</v>
      </c>
      <c r="R284" t="s">
        <v>8505</v>
      </c>
      <c r="S284" t="s">
        <v>8506</v>
      </c>
      <c r="T284" t="s">
        <v>69</v>
      </c>
      <c r="U284" t="s">
        <v>69</v>
      </c>
      <c r="V284" t="s">
        <v>69</v>
      </c>
      <c r="W284" t="s">
        <v>69</v>
      </c>
      <c r="X284" t="s">
        <v>69</v>
      </c>
      <c r="Y284" t="s">
        <v>69</v>
      </c>
      <c r="Z284" t="s">
        <v>31039</v>
      </c>
      <c r="AA284" t="s">
        <v>3942</v>
      </c>
      <c r="AB284" t="s">
        <v>31040</v>
      </c>
      <c r="AC284" t="s">
        <v>69</v>
      </c>
      <c r="AD284" t="s">
        <v>31041</v>
      </c>
      <c r="AE284" t="s">
        <v>31042</v>
      </c>
      <c r="AF284" t="s">
        <v>31043</v>
      </c>
      <c r="AG284" t="s">
        <v>69</v>
      </c>
      <c r="AH284" t="s">
        <v>69</v>
      </c>
      <c r="AI284" t="s">
        <v>69</v>
      </c>
      <c r="AJ284" t="s">
        <v>69</v>
      </c>
      <c r="AK284" t="s">
        <v>69</v>
      </c>
      <c r="AL284">
        <v>80</v>
      </c>
      <c r="AM284">
        <v>27</v>
      </c>
      <c r="AN284">
        <v>27</v>
      </c>
      <c r="AO284">
        <v>0</v>
      </c>
      <c r="AP284">
        <v>1</v>
      </c>
      <c r="AQ284" t="s">
        <v>9178</v>
      </c>
      <c r="AR284" t="s">
        <v>8763</v>
      </c>
      <c r="AS284" t="s">
        <v>9179</v>
      </c>
      <c r="AT284" t="s">
        <v>3809</v>
      </c>
      <c r="AU284" t="s">
        <v>3810</v>
      </c>
      <c r="AV284" t="s">
        <v>69</v>
      </c>
      <c r="AW284" t="s">
        <v>25897</v>
      </c>
      <c r="AX284" t="s">
        <v>25898</v>
      </c>
      <c r="AY284" t="s">
        <v>75</v>
      </c>
      <c r="AZ284">
        <v>2004</v>
      </c>
      <c r="BA284">
        <v>13</v>
      </c>
      <c r="BB284" t="s">
        <v>69</v>
      </c>
      <c r="BC284" t="s">
        <v>69</v>
      </c>
      <c r="BD284">
        <v>2</v>
      </c>
      <c r="BE284" t="s">
        <v>69</v>
      </c>
      <c r="BF284" t="s">
        <v>69</v>
      </c>
      <c r="BG284">
        <v>4</v>
      </c>
      <c r="BH284">
        <v>12</v>
      </c>
      <c r="BI284" t="s">
        <v>69</v>
      </c>
      <c r="BJ284" t="s">
        <v>3943</v>
      </c>
      <c r="BK284" t="str">
        <f>HYPERLINK("http://dx.doi.org/10.1136/tc.2003.005199","http://dx.doi.org/10.1136/tc.2003.005199")</f>
        <v>http://dx.doi.org/10.1136/tc.2003.005199</v>
      </c>
      <c r="BL284" t="s">
        <v>69</v>
      </c>
      <c r="BM284" t="s">
        <v>69</v>
      </c>
      <c r="BN284">
        <v>9</v>
      </c>
      <c r="BO284" t="s">
        <v>25899</v>
      </c>
      <c r="BP284" t="s">
        <v>8548</v>
      </c>
      <c r="BQ284" t="s">
        <v>25899</v>
      </c>
      <c r="BR284" t="s">
        <v>31044</v>
      </c>
      <c r="BS284" t="s">
        <v>3944</v>
      </c>
      <c r="BT284" t="s">
        <v>69</v>
      </c>
      <c r="BU284" t="s">
        <v>11793</v>
      </c>
      <c r="BV284" t="s">
        <v>69</v>
      </c>
      <c r="BW284" t="s">
        <v>69</v>
      </c>
      <c r="BX284" t="s">
        <v>8526</v>
      </c>
      <c r="BY284" t="str">
        <f>HYPERLINK("https%3A%2F%2Fwww.webofscience.com%2Fwos%2Fwoscc%2Ffull-record%2FWOS:000225734100002","View Full Record in Web of Science")</f>
        <v>View Full Record in Web of Science</v>
      </c>
    </row>
    <row r="285" spans="1:77" ht="12.5" x14ac:dyDescent="0.25">
      <c r="A285" t="s">
        <v>8495</v>
      </c>
      <c r="B285" s="7" t="s">
        <v>32933</v>
      </c>
      <c r="C285" s="7"/>
      <c r="D285" s="7"/>
      <c r="E285" s="7"/>
      <c r="F285" t="s">
        <v>67</v>
      </c>
      <c r="G285" t="s">
        <v>7084</v>
      </c>
      <c r="H285" t="s">
        <v>69</v>
      </c>
      <c r="I285" t="s">
        <v>69</v>
      </c>
      <c r="J285" t="s">
        <v>69</v>
      </c>
      <c r="K285" t="s">
        <v>7085</v>
      </c>
      <c r="L285" t="s">
        <v>69</v>
      </c>
      <c r="M285" t="s">
        <v>69</v>
      </c>
      <c r="N285" t="s">
        <v>7086</v>
      </c>
      <c r="O285" t="s">
        <v>7087</v>
      </c>
      <c r="P285" t="s">
        <v>69</v>
      </c>
      <c r="Q285" t="s">
        <v>69</v>
      </c>
      <c r="R285" t="s">
        <v>8505</v>
      </c>
      <c r="S285" t="s">
        <v>8442</v>
      </c>
      <c r="T285" t="s">
        <v>69</v>
      </c>
      <c r="U285" t="s">
        <v>69</v>
      </c>
      <c r="V285" t="s">
        <v>69</v>
      </c>
      <c r="W285" t="s">
        <v>69</v>
      </c>
      <c r="X285" t="s">
        <v>69</v>
      </c>
      <c r="Y285" t="s">
        <v>24736</v>
      </c>
      <c r="Z285" t="s">
        <v>24737</v>
      </c>
      <c r="AA285" t="s">
        <v>7088</v>
      </c>
      <c r="AB285" t="s">
        <v>24738</v>
      </c>
      <c r="AC285" t="s">
        <v>69</v>
      </c>
      <c r="AD285" t="s">
        <v>24739</v>
      </c>
      <c r="AE285" t="s">
        <v>24740</v>
      </c>
      <c r="AF285" t="s">
        <v>24741</v>
      </c>
      <c r="AG285" t="s">
        <v>24742</v>
      </c>
      <c r="AH285" t="s">
        <v>69</v>
      </c>
      <c r="AI285" t="s">
        <v>69</v>
      </c>
      <c r="AJ285" t="s">
        <v>69</v>
      </c>
      <c r="AK285" t="s">
        <v>69</v>
      </c>
      <c r="AL285">
        <v>104</v>
      </c>
      <c r="AM285">
        <v>9</v>
      </c>
      <c r="AN285">
        <v>9</v>
      </c>
      <c r="AO285">
        <v>1</v>
      </c>
      <c r="AP285">
        <v>25</v>
      </c>
      <c r="AQ285" t="s">
        <v>8846</v>
      </c>
      <c r="AR285" t="s">
        <v>8847</v>
      </c>
      <c r="AS285" t="s">
        <v>8848</v>
      </c>
      <c r="AT285" t="s">
        <v>7089</v>
      </c>
      <c r="AU285" t="s">
        <v>7090</v>
      </c>
      <c r="AV285" t="s">
        <v>69</v>
      </c>
      <c r="AW285" t="s">
        <v>24743</v>
      </c>
      <c r="AX285" t="s">
        <v>24744</v>
      </c>
      <c r="AY285" t="s">
        <v>255</v>
      </c>
      <c r="AZ285">
        <v>2013</v>
      </c>
      <c r="BA285">
        <v>5</v>
      </c>
      <c r="BB285">
        <v>3</v>
      </c>
      <c r="BC285" t="s">
        <v>69</v>
      </c>
      <c r="BD285" t="s">
        <v>69</v>
      </c>
      <c r="BE285" t="s">
        <v>69</v>
      </c>
      <c r="BF285" t="s">
        <v>69</v>
      </c>
      <c r="BG285">
        <v>119</v>
      </c>
      <c r="BH285">
        <v>140</v>
      </c>
      <c r="BI285" t="s">
        <v>69</v>
      </c>
      <c r="BJ285" t="s">
        <v>7091</v>
      </c>
      <c r="BK285" t="str">
        <f>HYPERLINK("http://dx.doi.org/10.1111/appy.12031","http://dx.doi.org/10.1111/appy.12031")</f>
        <v>http://dx.doi.org/10.1111/appy.12031</v>
      </c>
      <c r="BL285" t="s">
        <v>69</v>
      </c>
      <c r="BM285" t="s">
        <v>69</v>
      </c>
      <c r="BN285">
        <v>22</v>
      </c>
      <c r="BO285" t="s">
        <v>9332</v>
      </c>
      <c r="BP285" t="s">
        <v>8523</v>
      </c>
      <c r="BQ285" t="s">
        <v>9332</v>
      </c>
      <c r="BR285" t="s">
        <v>24745</v>
      </c>
      <c r="BS285" t="s">
        <v>7092</v>
      </c>
      <c r="BT285">
        <v>23857781</v>
      </c>
      <c r="BU285" t="s">
        <v>69</v>
      </c>
      <c r="BV285" t="s">
        <v>69</v>
      </c>
      <c r="BW285" t="s">
        <v>69</v>
      </c>
      <c r="BX285" t="s">
        <v>8526</v>
      </c>
      <c r="BY285" t="str">
        <f>HYPERLINK("https%3A%2F%2Fwww.webofscience.com%2Fwos%2Fwoscc%2Ffull-record%2FWOS:000323254200002","View Full Record in Web of Science")</f>
        <v>View Full Record in Web of Science</v>
      </c>
    </row>
    <row r="286" spans="1:77" ht="12.5" x14ac:dyDescent="0.25">
      <c r="A286" t="s">
        <v>8495</v>
      </c>
      <c r="B286" s="22" t="s">
        <v>32931</v>
      </c>
      <c r="C286" s="7"/>
      <c r="D286" s="7"/>
      <c r="E286" s="7"/>
      <c r="F286" t="s">
        <v>67</v>
      </c>
      <c r="G286" t="s">
        <v>10403</v>
      </c>
      <c r="H286" t="s">
        <v>69</v>
      </c>
      <c r="I286" t="s">
        <v>69</v>
      </c>
      <c r="J286" t="s">
        <v>69</v>
      </c>
      <c r="K286" t="s">
        <v>10404</v>
      </c>
      <c r="L286" t="s">
        <v>69</v>
      </c>
      <c r="M286" t="s">
        <v>69</v>
      </c>
      <c r="N286" t="s">
        <v>10405</v>
      </c>
      <c r="O286" t="s">
        <v>10406</v>
      </c>
      <c r="P286" t="s">
        <v>69</v>
      </c>
      <c r="Q286" t="s">
        <v>69</v>
      </c>
      <c r="R286" t="s">
        <v>8505</v>
      </c>
      <c r="S286" t="s">
        <v>8556</v>
      </c>
      <c r="T286" t="s">
        <v>69</v>
      </c>
      <c r="U286" t="s">
        <v>69</v>
      </c>
      <c r="V286" t="s">
        <v>69</v>
      </c>
      <c r="W286" t="s">
        <v>69</v>
      </c>
      <c r="X286" t="s">
        <v>69</v>
      </c>
      <c r="Y286" t="s">
        <v>10407</v>
      </c>
      <c r="Z286" t="s">
        <v>10408</v>
      </c>
      <c r="AA286" t="s">
        <v>10409</v>
      </c>
      <c r="AB286" t="s">
        <v>10410</v>
      </c>
      <c r="AC286" t="s">
        <v>69</v>
      </c>
      <c r="AD286" t="s">
        <v>10411</v>
      </c>
      <c r="AE286" t="s">
        <v>10412</v>
      </c>
      <c r="AF286" t="s">
        <v>69</v>
      </c>
      <c r="AG286" t="s">
        <v>10413</v>
      </c>
      <c r="AH286" t="s">
        <v>10414</v>
      </c>
      <c r="AI286" t="s">
        <v>10414</v>
      </c>
      <c r="AJ286" t="s">
        <v>10414</v>
      </c>
      <c r="AK286" t="s">
        <v>69</v>
      </c>
      <c r="AL286">
        <v>30</v>
      </c>
      <c r="AM286">
        <v>1</v>
      </c>
      <c r="AN286">
        <v>1</v>
      </c>
      <c r="AO286">
        <v>0</v>
      </c>
      <c r="AP286">
        <v>1</v>
      </c>
      <c r="AQ286" t="s">
        <v>8846</v>
      </c>
      <c r="AR286" t="s">
        <v>8847</v>
      </c>
      <c r="AS286" t="s">
        <v>8848</v>
      </c>
      <c r="AT286" t="s">
        <v>10415</v>
      </c>
      <c r="AU286" t="s">
        <v>10416</v>
      </c>
      <c r="AV286" t="s">
        <v>69</v>
      </c>
      <c r="AW286" t="s">
        <v>10417</v>
      </c>
      <c r="AX286" t="s">
        <v>10418</v>
      </c>
      <c r="AY286" t="s">
        <v>69</v>
      </c>
      <c r="AZ286" t="s">
        <v>69</v>
      </c>
      <c r="BA286" t="s">
        <v>69</v>
      </c>
      <c r="BB286" t="s">
        <v>69</v>
      </c>
      <c r="BC286" t="s">
        <v>69</v>
      </c>
      <c r="BD286" t="s">
        <v>69</v>
      </c>
      <c r="BE286" t="s">
        <v>69</v>
      </c>
      <c r="BF286" t="s">
        <v>69</v>
      </c>
      <c r="BG286" t="s">
        <v>69</v>
      </c>
      <c r="BH286" t="s">
        <v>69</v>
      </c>
      <c r="BI286" t="s">
        <v>69</v>
      </c>
      <c r="BJ286" t="s">
        <v>10419</v>
      </c>
      <c r="BK286" t="str">
        <f>HYPERLINK("http://dx.doi.org/10.1111/cch.12925","http://dx.doi.org/10.1111/cch.12925")</f>
        <v>http://dx.doi.org/10.1111/cch.12925</v>
      </c>
      <c r="BL286" t="s">
        <v>69</v>
      </c>
      <c r="BM286" t="s">
        <v>10359</v>
      </c>
      <c r="BN286">
        <v>11</v>
      </c>
      <c r="BO286" t="s">
        <v>10420</v>
      </c>
      <c r="BP286" t="s">
        <v>8523</v>
      </c>
      <c r="BQ286" t="s">
        <v>10421</v>
      </c>
      <c r="BR286" t="s">
        <v>10422</v>
      </c>
      <c r="BS286" t="s">
        <v>10424</v>
      </c>
      <c r="BT286">
        <v>34773287</v>
      </c>
      <c r="BU286" t="s">
        <v>10423</v>
      </c>
      <c r="BV286" t="s">
        <v>69</v>
      </c>
      <c r="BW286" t="s">
        <v>69</v>
      </c>
      <c r="BX286" t="s">
        <v>8526</v>
      </c>
      <c r="BY286" t="str">
        <f>HYPERLINK("https%3A%2F%2Fwww.webofscience.com%2Fwos%2Fwoscc%2Ffull-record%2FWOS:000730663300001","View Full Record in Web of Science")</f>
        <v>View Full Record in Web of Science</v>
      </c>
    </row>
    <row r="287" spans="1:77" ht="12.5" x14ac:dyDescent="0.25">
      <c r="A287" t="s">
        <v>8495</v>
      </c>
      <c r="B287" s="7" t="s">
        <v>32933</v>
      </c>
      <c r="C287" s="7"/>
      <c r="D287" s="7"/>
      <c r="E287" s="7"/>
      <c r="F287" t="s">
        <v>67</v>
      </c>
      <c r="G287" t="s">
        <v>7480</v>
      </c>
      <c r="H287" t="s">
        <v>69</v>
      </c>
      <c r="I287" t="s">
        <v>69</v>
      </c>
      <c r="J287" t="s">
        <v>69</v>
      </c>
      <c r="K287" t="s">
        <v>7480</v>
      </c>
      <c r="L287" t="s">
        <v>69</v>
      </c>
      <c r="M287" t="s">
        <v>69</v>
      </c>
      <c r="N287" t="s">
        <v>7481</v>
      </c>
      <c r="O287" t="s">
        <v>7482</v>
      </c>
      <c r="P287" t="s">
        <v>69</v>
      </c>
      <c r="Q287" t="s">
        <v>69</v>
      </c>
      <c r="R287" t="s">
        <v>8505</v>
      </c>
      <c r="S287" t="s">
        <v>8506</v>
      </c>
      <c r="T287" t="s">
        <v>69</v>
      </c>
      <c r="U287" t="s">
        <v>69</v>
      </c>
      <c r="V287" t="s">
        <v>69</v>
      </c>
      <c r="W287" t="s">
        <v>69</v>
      </c>
      <c r="X287" t="s">
        <v>69</v>
      </c>
      <c r="Y287" t="s">
        <v>69</v>
      </c>
      <c r="Z287" t="s">
        <v>69</v>
      </c>
      <c r="AA287" t="s">
        <v>7483</v>
      </c>
      <c r="AB287" t="s">
        <v>69</v>
      </c>
      <c r="AC287" t="s">
        <v>69</v>
      </c>
      <c r="AD287" t="s">
        <v>69</v>
      </c>
      <c r="AE287" t="s">
        <v>69</v>
      </c>
      <c r="AF287" t="s">
        <v>69</v>
      </c>
      <c r="AG287" t="s">
        <v>69</v>
      </c>
      <c r="AH287" t="s">
        <v>69</v>
      </c>
      <c r="AI287" t="s">
        <v>69</v>
      </c>
      <c r="AJ287" t="s">
        <v>69</v>
      </c>
      <c r="AK287" t="s">
        <v>69</v>
      </c>
      <c r="AL287">
        <v>22</v>
      </c>
      <c r="AM287">
        <v>0</v>
      </c>
      <c r="AN287">
        <v>0</v>
      </c>
      <c r="AO287">
        <v>0</v>
      </c>
      <c r="AP287">
        <v>1</v>
      </c>
      <c r="AQ287" t="s">
        <v>32595</v>
      </c>
      <c r="AR287" t="s">
        <v>8693</v>
      </c>
      <c r="AS287" t="s">
        <v>32748</v>
      </c>
      <c r="AT287" t="s">
        <v>7484</v>
      </c>
      <c r="AU287" t="s">
        <v>69</v>
      </c>
      <c r="AV287" t="s">
        <v>69</v>
      </c>
      <c r="AW287" t="s">
        <v>32749</v>
      </c>
      <c r="AX287" t="s">
        <v>32750</v>
      </c>
      <c r="AY287" t="s">
        <v>1774</v>
      </c>
      <c r="AZ287">
        <v>1993</v>
      </c>
      <c r="BA287">
        <v>29</v>
      </c>
      <c r="BB287">
        <v>5</v>
      </c>
      <c r="BC287" t="s">
        <v>69</v>
      </c>
      <c r="BD287" t="s">
        <v>69</v>
      </c>
      <c r="BE287" t="s">
        <v>69</v>
      </c>
      <c r="BF287" t="s">
        <v>69</v>
      </c>
      <c r="BG287">
        <v>760</v>
      </c>
      <c r="BH287">
        <v>770</v>
      </c>
      <c r="BI287" t="s">
        <v>69</v>
      </c>
      <c r="BJ287" t="s">
        <v>69</v>
      </c>
      <c r="BK287" t="s">
        <v>69</v>
      </c>
      <c r="BL287" t="s">
        <v>69</v>
      </c>
      <c r="BM287" t="s">
        <v>69</v>
      </c>
      <c r="BN287">
        <v>11</v>
      </c>
      <c r="BO287" t="s">
        <v>32751</v>
      </c>
      <c r="BP287" t="s">
        <v>8548</v>
      </c>
      <c r="BQ287" t="s">
        <v>32752</v>
      </c>
      <c r="BR287" t="s">
        <v>32753</v>
      </c>
      <c r="BS287" t="s">
        <v>7485</v>
      </c>
      <c r="BT287" t="s">
        <v>69</v>
      </c>
      <c r="BU287" t="s">
        <v>69</v>
      </c>
      <c r="BV287" t="s">
        <v>69</v>
      </c>
      <c r="BW287" t="s">
        <v>69</v>
      </c>
      <c r="BX287" t="s">
        <v>8526</v>
      </c>
      <c r="BY287" t="str">
        <f>HYPERLINK("https%3A%2F%2Fwww.webofscience.com%2Fwos%2Fwoscc%2Ffull-record%2FWOS:A1993NT27300015","View Full Record in Web of Science")</f>
        <v>View Full Record in Web of Science</v>
      </c>
    </row>
    <row r="288" spans="1:77" ht="12.5" x14ac:dyDescent="0.25">
      <c r="A288" t="s">
        <v>8495</v>
      </c>
      <c r="B288" s="7" t="s">
        <v>32933</v>
      </c>
      <c r="C288" s="7"/>
      <c r="D288" s="7"/>
      <c r="E288" s="7"/>
      <c r="F288" t="s">
        <v>67</v>
      </c>
      <c r="G288" t="s">
        <v>258</v>
      </c>
      <c r="H288" t="s">
        <v>69</v>
      </c>
      <c r="I288" t="s">
        <v>69</v>
      </c>
      <c r="J288" t="s">
        <v>69</v>
      </c>
      <c r="K288" t="s">
        <v>258</v>
      </c>
      <c r="L288" t="s">
        <v>69</v>
      </c>
      <c r="M288" t="s">
        <v>69</v>
      </c>
      <c r="N288" t="s">
        <v>259</v>
      </c>
      <c r="O288" t="s">
        <v>260</v>
      </c>
      <c r="P288" t="s">
        <v>69</v>
      </c>
      <c r="Q288" t="s">
        <v>69</v>
      </c>
      <c r="R288" t="s">
        <v>8505</v>
      </c>
      <c r="S288" t="s">
        <v>8506</v>
      </c>
      <c r="T288" t="s">
        <v>69</v>
      </c>
      <c r="U288" t="s">
        <v>69</v>
      </c>
      <c r="V288" t="s">
        <v>69</v>
      </c>
      <c r="W288" t="s">
        <v>69</v>
      </c>
      <c r="X288" t="s">
        <v>69</v>
      </c>
      <c r="Y288" t="s">
        <v>69</v>
      </c>
      <c r="Z288" t="s">
        <v>69</v>
      </c>
      <c r="AA288" t="s">
        <v>261</v>
      </c>
      <c r="AB288" t="s">
        <v>31913</v>
      </c>
      <c r="AC288" t="s">
        <v>69</v>
      </c>
      <c r="AD288" t="s">
        <v>31914</v>
      </c>
      <c r="AE288" t="s">
        <v>69</v>
      </c>
      <c r="AF288" t="s">
        <v>69</v>
      </c>
      <c r="AG288" t="s">
        <v>69</v>
      </c>
      <c r="AH288" t="s">
        <v>69</v>
      </c>
      <c r="AI288" t="s">
        <v>69</v>
      </c>
      <c r="AJ288" t="s">
        <v>69</v>
      </c>
      <c r="AK288" t="s">
        <v>69</v>
      </c>
      <c r="AL288">
        <v>1</v>
      </c>
      <c r="AM288">
        <v>2</v>
      </c>
      <c r="AN288">
        <v>2</v>
      </c>
      <c r="AO288">
        <v>1</v>
      </c>
      <c r="AP288">
        <v>6</v>
      </c>
      <c r="AQ288" t="s">
        <v>31915</v>
      </c>
      <c r="AR288" t="s">
        <v>9979</v>
      </c>
      <c r="AS288" t="s">
        <v>25747</v>
      </c>
      <c r="AT288" t="s">
        <v>262</v>
      </c>
      <c r="AU288" t="s">
        <v>69</v>
      </c>
      <c r="AV288" t="s">
        <v>69</v>
      </c>
      <c r="AW288" t="s">
        <v>31916</v>
      </c>
      <c r="AX288" t="s">
        <v>31917</v>
      </c>
      <c r="AY288" t="s">
        <v>263</v>
      </c>
      <c r="AZ288">
        <v>1999</v>
      </c>
      <c r="BA288">
        <v>41</v>
      </c>
      <c r="BB288">
        <v>1</v>
      </c>
      <c r="BC288" t="s">
        <v>69</v>
      </c>
      <c r="BD288" t="s">
        <v>69</v>
      </c>
      <c r="BE288" t="s">
        <v>69</v>
      </c>
      <c r="BF288" t="s">
        <v>69</v>
      </c>
      <c r="BG288">
        <v>47</v>
      </c>
      <c r="BH288" t="s">
        <v>219</v>
      </c>
      <c r="BI288" t="s">
        <v>69</v>
      </c>
      <c r="BJ288" t="s">
        <v>69</v>
      </c>
      <c r="BK288" t="s">
        <v>69</v>
      </c>
      <c r="BL288" t="s">
        <v>69</v>
      </c>
      <c r="BM288" t="s">
        <v>69</v>
      </c>
      <c r="BN288">
        <v>16</v>
      </c>
      <c r="BO288" t="s">
        <v>8791</v>
      </c>
      <c r="BP288" t="s">
        <v>8661</v>
      </c>
      <c r="BQ288" t="s">
        <v>8594</v>
      </c>
      <c r="BR288" t="s">
        <v>31918</v>
      </c>
      <c r="BS288" t="s">
        <v>264</v>
      </c>
      <c r="BT288" t="s">
        <v>69</v>
      </c>
      <c r="BU288" t="s">
        <v>69</v>
      </c>
      <c r="BV288" t="s">
        <v>69</v>
      </c>
      <c r="BW288" t="s">
        <v>69</v>
      </c>
      <c r="BX288" t="s">
        <v>8526</v>
      </c>
      <c r="BY288" t="str">
        <f>HYPERLINK("https%3A%2F%2Fwww.webofscience.com%2Fwos%2Fwoscc%2Ffull-record%2FWOS:000083401100016","View Full Record in Web of Science")</f>
        <v>View Full Record in Web of Science</v>
      </c>
    </row>
    <row r="289" spans="1:77" ht="12.5" x14ac:dyDescent="0.25">
      <c r="A289" t="s">
        <v>8495</v>
      </c>
      <c r="B289" s="22" t="s">
        <v>32931</v>
      </c>
      <c r="C289" s="7"/>
      <c r="D289" s="7"/>
      <c r="E289" s="7"/>
      <c r="F289" t="s">
        <v>67</v>
      </c>
      <c r="G289" t="s">
        <v>24755</v>
      </c>
      <c r="H289" t="s">
        <v>69</v>
      </c>
      <c r="I289" t="s">
        <v>69</v>
      </c>
      <c r="J289" t="s">
        <v>69</v>
      </c>
      <c r="K289" t="s">
        <v>24756</v>
      </c>
      <c r="L289" t="s">
        <v>69</v>
      </c>
      <c r="M289" t="s">
        <v>69</v>
      </c>
      <c r="N289" t="s">
        <v>24757</v>
      </c>
      <c r="O289" t="s">
        <v>2763</v>
      </c>
      <c r="P289" t="s">
        <v>69</v>
      </c>
      <c r="Q289" t="s">
        <v>69</v>
      </c>
      <c r="R289" t="s">
        <v>8505</v>
      </c>
      <c r="S289" t="s">
        <v>8506</v>
      </c>
      <c r="T289" t="s">
        <v>69</v>
      </c>
      <c r="U289" t="s">
        <v>69</v>
      </c>
      <c r="V289" t="s">
        <v>69</v>
      </c>
      <c r="W289" t="s">
        <v>69</v>
      </c>
      <c r="X289" t="s">
        <v>69</v>
      </c>
      <c r="Y289" t="s">
        <v>69</v>
      </c>
      <c r="Z289" t="s">
        <v>24758</v>
      </c>
      <c r="AA289" t="s">
        <v>24759</v>
      </c>
      <c r="AB289" t="s">
        <v>24760</v>
      </c>
      <c r="AC289" t="s">
        <v>69</v>
      </c>
      <c r="AD289" t="s">
        <v>24761</v>
      </c>
      <c r="AE289" t="s">
        <v>69</v>
      </c>
      <c r="AF289" t="s">
        <v>69</v>
      </c>
      <c r="AG289" t="s">
        <v>69</v>
      </c>
      <c r="AH289" t="s">
        <v>69</v>
      </c>
      <c r="AI289" t="s">
        <v>69</v>
      </c>
      <c r="AJ289" t="s">
        <v>69</v>
      </c>
      <c r="AK289" t="s">
        <v>69</v>
      </c>
      <c r="AL289">
        <v>38</v>
      </c>
      <c r="AM289">
        <v>2</v>
      </c>
      <c r="AN289">
        <v>2</v>
      </c>
      <c r="AO289">
        <v>0</v>
      </c>
      <c r="AP289">
        <v>0</v>
      </c>
      <c r="AQ289" t="s">
        <v>9978</v>
      </c>
      <c r="AR289" t="s">
        <v>9979</v>
      </c>
      <c r="AS289" t="s">
        <v>9980</v>
      </c>
      <c r="AT289" t="s">
        <v>2765</v>
      </c>
      <c r="AU289" t="s">
        <v>2766</v>
      </c>
      <c r="AV289" t="s">
        <v>69</v>
      </c>
      <c r="AW289" t="s">
        <v>21136</v>
      </c>
      <c r="AX289" t="s">
        <v>21137</v>
      </c>
      <c r="AY289" t="s">
        <v>255</v>
      </c>
      <c r="AZ289">
        <v>2013</v>
      </c>
      <c r="BA289">
        <v>15</v>
      </c>
      <c r="BB289">
        <v>3</v>
      </c>
      <c r="BC289" t="s">
        <v>69</v>
      </c>
      <c r="BD289" t="s">
        <v>69</v>
      </c>
      <c r="BE289" t="s">
        <v>69</v>
      </c>
      <c r="BF289" t="s">
        <v>69</v>
      </c>
      <c r="BG289">
        <v>228</v>
      </c>
      <c r="BH289">
        <v>239</v>
      </c>
      <c r="BI289" t="s">
        <v>69</v>
      </c>
      <c r="BJ289" t="s">
        <v>24762</v>
      </c>
      <c r="BK289" t="str">
        <f>HYPERLINK("http://dx.doi.org/10.1017/S1466046613000240","http://dx.doi.org/10.1017/S1466046613000240")</f>
        <v>http://dx.doi.org/10.1017/S1466046613000240</v>
      </c>
      <c r="BL289" t="s">
        <v>69</v>
      </c>
      <c r="BM289" t="s">
        <v>69</v>
      </c>
      <c r="BN289">
        <v>12</v>
      </c>
      <c r="BO289" t="s">
        <v>8717</v>
      </c>
      <c r="BP289" t="s">
        <v>8573</v>
      </c>
      <c r="BQ289" t="s">
        <v>8662</v>
      </c>
      <c r="BR289" t="s">
        <v>24763</v>
      </c>
      <c r="BS289" t="s">
        <v>24764</v>
      </c>
      <c r="BT289" t="s">
        <v>69</v>
      </c>
      <c r="BU289" t="s">
        <v>69</v>
      </c>
      <c r="BV289" t="s">
        <v>69</v>
      </c>
      <c r="BW289" t="s">
        <v>69</v>
      </c>
      <c r="BX289" t="s">
        <v>8526</v>
      </c>
      <c r="BY289" t="str">
        <f>HYPERLINK("https%3A%2F%2Fwww.webofscience.com%2Fwos%2Fwoscc%2Ffull-record%2FWOS:000212174900007","View Full Record in Web of Science")</f>
        <v>View Full Record in Web of Science</v>
      </c>
    </row>
    <row r="290" spans="1:77" ht="12.5" x14ac:dyDescent="0.25">
      <c r="A290" t="s">
        <v>8495</v>
      </c>
      <c r="B290" s="7" t="s">
        <v>32933</v>
      </c>
      <c r="C290" s="7"/>
      <c r="D290" s="7"/>
      <c r="E290" s="7"/>
      <c r="F290" t="s">
        <v>67</v>
      </c>
      <c r="G290" t="s">
        <v>6873</v>
      </c>
      <c r="H290" t="s">
        <v>69</v>
      </c>
      <c r="I290" t="s">
        <v>69</v>
      </c>
      <c r="J290" t="s">
        <v>69</v>
      </c>
      <c r="K290" t="s">
        <v>6874</v>
      </c>
      <c r="L290" t="s">
        <v>69</v>
      </c>
      <c r="M290" t="s">
        <v>69</v>
      </c>
      <c r="N290" t="s">
        <v>6875</v>
      </c>
      <c r="O290" t="s">
        <v>6876</v>
      </c>
      <c r="P290" t="s">
        <v>69</v>
      </c>
      <c r="Q290" t="s">
        <v>69</v>
      </c>
      <c r="R290" t="s">
        <v>8505</v>
      </c>
      <c r="S290" t="s">
        <v>8506</v>
      </c>
      <c r="T290" t="s">
        <v>69</v>
      </c>
      <c r="U290" t="s">
        <v>69</v>
      </c>
      <c r="V290" t="s">
        <v>69</v>
      </c>
      <c r="W290" t="s">
        <v>69</v>
      </c>
      <c r="X290" t="s">
        <v>69</v>
      </c>
      <c r="Y290" t="s">
        <v>19437</v>
      </c>
      <c r="Z290" t="s">
        <v>19438</v>
      </c>
      <c r="AA290" t="s">
        <v>6877</v>
      </c>
      <c r="AB290" t="s">
        <v>19439</v>
      </c>
      <c r="AC290" t="s">
        <v>69</v>
      </c>
      <c r="AD290" t="s">
        <v>19440</v>
      </c>
      <c r="AE290" t="s">
        <v>19441</v>
      </c>
      <c r="AF290" t="s">
        <v>19442</v>
      </c>
      <c r="AG290" t="s">
        <v>6878</v>
      </c>
      <c r="AH290" t="s">
        <v>69</v>
      </c>
      <c r="AI290" t="s">
        <v>69</v>
      </c>
      <c r="AJ290" t="s">
        <v>69</v>
      </c>
      <c r="AK290" t="s">
        <v>69</v>
      </c>
      <c r="AL290">
        <v>23</v>
      </c>
      <c r="AM290">
        <v>3</v>
      </c>
      <c r="AN290">
        <v>3</v>
      </c>
      <c r="AO290">
        <v>0</v>
      </c>
      <c r="AP290">
        <v>3</v>
      </c>
      <c r="AQ290" t="s">
        <v>10538</v>
      </c>
      <c r="AR290" t="s">
        <v>10539</v>
      </c>
      <c r="AS290" t="s">
        <v>14431</v>
      </c>
      <c r="AT290" t="s">
        <v>6879</v>
      </c>
      <c r="AU290" t="s">
        <v>6880</v>
      </c>
      <c r="AV290" t="s">
        <v>69</v>
      </c>
      <c r="AW290" t="s">
        <v>11864</v>
      </c>
      <c r="AX290" t="s">
        <v>11865</v>
      </c>
      <c r="AY290" t="s">
        <v>2512</v>
      </c>
      <c r="AZ290">
        <v>2018</v>
      </c>
      <c r="BA290">
        <v>22</v>
      </c>
      <c r="BB290">
        <v>1</v>
      </c>
      <c r="BC290" t="s">
        <v>69</v>
      </c>
      <c r="BD290" t="s">
        <v>69</v>
      </c>
      <c r="BE290" t="s">
        <v>69</v>
      </c>
      <c r="BF290" t="s">
        <v>69</v>
      </c>
      <c r="BG290">
        <v>22</v>
      </c>
      <c r="BH290">
        <v>28</v>
      </c>
      <c r="BI290" t="s">
        <v>69</v>
      </c>
      <c r="BJ290" t="s">
        <v>6881</v>
      </c>
      <c r="BK290" t="str">
        <f>HYPERLINK("http://dx.doi.org/10.4103/ijoem.IJOEM_168_17","http://dx.doi.org/10.4103/ijoem.IJOEM_168_17")</f>
        <v>http://dx.doi.org/10.4103/ijoem.IJOEM_168_17</v>
      </c>
      <c r="BL290" t="s">
        <v>69</v>
      </c>
      <c r="BM290" t="s">
        <v>69</v>
      </c>
      <c r="BN290">
        <v>7</v>
      </c>
      <c r="BO290" t="s">
        <v>8810</v>
      </c>
      <c r="BP290" t="s">
        <v>8573</v>
      </c>
      <c r="BQ290" t="s">
        <v>8810</v>
      </c>
      <c r="BR290" t="s">
        <v>19443</v>
      </c>
      <c r="BS290" t="s">
        <v>6882</v>
      </c>
      <c r="BT290">
        <v>29743781</v>
      </c>
      <c r="BU290" t="s">
        <v>10423</v>
      </c>
      <c r="BV290" t="s">
        <v>69</v>
      </c>
      <c r="BW290" t="s">
        <v>69</v>
      </c>
      <c r="BX290" t="s">
        <v>8526</v>
      </c>
      <c r="BY290" t="str">
        <f>HYPERLINK("https%3A%2F%2Fwww.webofscience.com%2Fwos%2Fwoscc%2Ffull-record%2FWOS:000443867100006","View Full Record in Web of Science")</f>
        <v>View Full Record in Web of Science</v>
      </c>
    </row>
    <row r="291" spans="1:77" ht="12.5" x14ac:dyDescent="0.25">
      <c r="A291" t="s">
        <v>8495</v>
      </c>
      <c r="B291" s="7" t="s">
        <v>32933</v>
      </c>
      <c r="C291" s="7"/>
      <c r="D291" s="7"/>
      <c r="E291" s="7"/>
      <c r="F291" t="s">
        <v>67</v>
      </c>
      <c r="G291" t="s">
        <v>4847</v>
      </c>
      <c r="H291" t="s">
        <v>69</v>
      </c>
      <c r="I291" t="s">
        <v>69</v>
      </c>
      <c r="J291" t="s">
        <v>69</v>
      </c>
      <c r="K291" t="s">
        <v>4848</v>
      </c>
      <c r="L291" t="s">
        <v>69</v>
      </c>
      <c r="M291" t="s">
        <v>69</v>
      </c>
      <c r="N291" t="s">
        <v>4849</v>
      </c>
      <c r="O291" t="s">
        <v>4850</v>
      </c>
      <c r="P291" t="s">
        <v>69</v>
      </c>
      <c r="Q291" t="s">
        <v>69</v>
      </c>
      <c r="R291" t="s">
        <v>8505</v>
      </c>
      <c r="S291" t="s">
        <v>8506</v>
      </c>
      <c r="T291" t="s">
        <v>69</v>
      </c>
      <c r="U291" t="s">
        <v>69</v>
      </c>
      <c r="V291" t="s">
        <v>69</v>
      </c>
      <c r="W291" t="s">
        <v>69</v>
      </c>
      <c r="X291" t="s">
        <v>69</v>
      </c>
      <c r="Y291" t="s">
        <v>19292</v>
      </c>
      <c r="Z291" t="s">
        <v>69</v>
      </c>
      <c r="AA291" t="s">
        <v>4851</v>
      </c>
      <c r="AB291" t="s">
        <v>19293</v>
      </c>
      <c r="AC291" t="s">
        <v>69</v>
      </c>
      <c r="AD291" t="s">
        <v>19294</v>
      </c>
      <c r="AE291" t="s">
        <v>19295</v>
      </c>
      <c r="AF291" t="s">
        <v>69</v>
      </c>
      <c r="AG291" t="s">
        <v>69</v>
      </c>
      <c r="AH291" t="s">
        <v>69</v>
      </c>
      <c r="AI291" t="s">
        <v>69</v>
      </c>
      <c r="AJ291" t="s">
        <v>69</v>
      </c>
      <c r="AK291" t="s">
        <v>69</v>
      </c>
      <c r="AL291">
        <v>8</v>
      </c>
      <c r="AM291">
        <v>0</v>
      </c>
      <c r="AN291">
        <v>0</v>
      </c>
      <c r="AO291">
        <v>0</v>
      </c>
      <c r="AP291">
        <v>1</v>
      </c>
      <c r="AQ291" t="s">
        <v>15611</v>
      </c>
      <c r="AR291" t="s">
        <v>10924</v>
      </c>
      <c r="AS291" t="s">
        <v>15612</v>
      </c>
      <c r="AT291" t="s">
        <v>4852</v>
      </c>
      <c r="AU291" t="s">
        <v>4853</v>
      </c>
      <c r="AV291" t="s">
        <v>69</v>
      </c>
      <c r="AW291" t="s">
        <v>19296</v>
      </c>
      <c r="AX291" t="s">
        <v>19297</v>
      </c>
      <c r="AY291" t="s">
        <v>69</v>
      </c>
      <c r="AZ291">
        <v>2018</v>
      </c>
      <c r="BA291">
        <v>13</v>
      </c>
      <c r="BB291">
        <v>4</v>
      </c>
      <c r="BC291" t="s">
        <v>69</v>
      </c>
      <c r="BD291" t="s">
        <v>69</v>
      </c>
      <c r="BE291" t="s">
        <v>114</v>
      </c>
      <c r="BF291" t="s">
        <v>69</v>
      </c>
      <c r="BG291">
        <v>389</v>
      </c>
      <c r="BH291">
        <v>397</v>
      </c>
      <c r="BI291" t="s">
        <v>69</v>
      </c>
      <c r="BJ291" t="s">
        <v>4854</v>
      </c>
      <c r="BK291" t="str">
        <f>HYPERLINK("http://dx.doi.org/10.1080/24720038.2018.1499306","http://dx.doi.org/10.1080/24720038.2018.1499306")</f>
        <v>http://dx.doi.org/10.1080/24720038.2018.1499306</v>
      </c>
      <c r="BL291" t="s">
        <v>69</v>
      </c>
      <c r="BM291" t="s">
        <v>69</v>
      </c>
      <c r="BN291">
        <v>9</v>
      </c>
      <c r="BO291" t="s">
        <v>19298</v>
      </c>
      <c r="BP291" t="s">
        <v>8573</v>
      </c>
      <c r="BQ291" t="s">
        <v>9001</v>
      </c>
      <c r="BR291" t="s">
        <v>19299</v>
      </c>
      <c r="BS291" t="s">
        <v>4855</v>
      </c>
      <c r="BT291" t="s">
        <v>69</v>
      </c>
      <c r="BU291" t="s">
        <v>69</v>
      </c>
      <c r="BV291" t="s">
        <v>69</v>
      </c>
      <c r="BW291" t="s">
        <v>69</v>
      </c>
      <c r="BX291" t="s">
        <v>8526</v>
      </c>
      <c r="BY291" t="str">
        <f>HYPERLINK("https%3A%2F%2Fwww.webofscience.com%2Fwos%2Fwoscc%2Ffull-record%2FWOS:000456326500008","View Full Record in Web of Science")</f>
        <v>View Full Record in Web of Science</v>
      </c>
    </row>
    <row r="292" spans="1:77" ht="12.5" x14ac:dyDescent="0.25">
      <c r="A292" t="s">
        <v>8495</v>
      </c>
      <c r="B292" s="7" t="s">
        <v>32933</v>
      </c>
      <c r="C292" s="7"/>
      <c r="D292" s="7"/>
      <c r="E292" s="7"/>
      <c r="F292" t="s">
        <v>67</v>
      </c>
      <c r="G292" t="s">
        <v>5443</v>
      </c>
      <c r="H292" t="s">
        <v>69</v>
      </c>
      <c r="I292" t="s">
        <v>69</v>
      </c>
      <c r="J292" t="s">
        <v>69</v>
      </c>
      <c r="K292" t="s">
        <v>5444</v>
      </c>
      <c r="L292" t="s">
        <v>69</v>
      </c>
      <c r="M292" t="s">
        <v>69</v>
      </c>
      <c r="N292" t="s">
        <v>5445</v>
      </c>
      <c r="O292" t="s">
        <v>5446</v>
      </c>
      <c r="P292" t="s">
        <v>69</v>
      </c>
      <c r="Q292" t="s">
        <v>69</v>
      </c>
      <c r="R292" t="s">
        <v>8505</v>
      </c>
      <c r="S292" t="s">
        <v>8506</v>
      </c>
      <c r="T292" t="s">
        <v>69</v>
      </c>
      <c r="U292" t="s">
        <v>69</v>
      </c>
      <c r="V292" t="s">
        <v>69</v>
      </c>
      <c r="W292" t="s">
        <v>69</v>
      </c>
      <c r="X292" t="s">
        <v>69</v>
      </c>
      <c r="Y292" t="s">
        <v>69</v>
      </c>
      <c r="Z292" t="s">
        <v>69</v>
      </c>
      <c r="AA292" t="s">
        <v>5447</v>
      </c>
      <c r="AB292" t="s">
        <v>69</v>
      </c>
      <c r="AC292" t="s">
        <v>69</v>
      </c>
      <c r="AD292" t="s">
        <v>69</v>
      </c>
      <c r="AE292" t="s">
        <v>69</v>
      </c>
      <c r="AF292" t="s">
        <v>69</v>
      </c>
      <c r="AG292" t="s">
        <v>69</v>
      </c>
      <c r="AH292" t="s">
        <v>69</v>
      </c>
      <c r="AI292" t="s">
        <v>69</v>
      </c>
      <c r="AJ292" t="s">
        <v>69</v>
      </c>
      <c r="AK292" t="s">
        <v>69</v>
      </c>
      <c r="AL292">
        <v>0</v>
      </c>
      <c r="AM292">
        <v>2</v>
      </c>
      <c r="AN292">
        <v>2</v>
      </c>
      <c r="AO292">
        <v>0</v>
      </c>
      <c r="AP292">
        <v>6</v>
      </c>
      <c r="AQ292" t="s">
        <v>25793</v>
      </c>
      <c r="AR292" t="s">
        <v>25794</v>
      </c>
      <c r="AS292" t="s">
        <v>25795</v>
      </c>
      <c r="AT292" t="s">
        <v>5448</v>
      </c>
      <c r="AU292" t="s">
        <v>69</v>
      </c>
      <c r="AV292" t="s">
        <v>69</v>
      </c>
      <c r="AW292" t="s">
        <v>25796</v>
      </c>
      <c r="AX292" t="s">
        <v>25797</v>
      </c>
      <c r="AY292" t="s">
        <v>381</v>
      </c>
      <c r="AZ292">
        <v>2012</v>
      </c>
      <c r="BA292">
        <v>90</v>
      </c>
      <c r="BB292">
        <v>10</v>
      </c>
      <c r="BC292" t="s">
        <v>69</v>
      </c>
      <c r="BD292" t="s">
        <v>69</v>
      </c>
      <c r="BE292" t="s">
        <v>69</v>
      </c>
      <c r="BF292" t="s">
        <v>69</v>
      </c>
      <c r="BG292">
        <v>41</v>
      </c>
      <c r="BH292" t="s">
        <v>219</v>
      </c>
      <c r="BI292" t="s">
        <v>69</v>
      </c>
      <c r="BJ292" t="s">
        <v>69</v>
      </c>
      <c r="BK292" t="s">
        <v>69</v>
      </c>
      <c r="BL292" t="s">
        <v>69</v>
      </c>
      <c r="BM292" t="s">
        <v>69</v>
      </c>
      <c r="BN292">
        <v>5</v>
      </c>
      <c r="BO292" t="s">
        <v>8791</v>
      </c>
      <c r="BP292" t="s">
        <v>8661</v>
      </c>
      <c r="BQ292" t="s">
        <v>8594</v>
      </c>
      <c r="BR292" t="s">
        <v>25798</v>
      </c>
      <c r="BS292" t="s">
        <v>5449</v>
      </c>
      <c r="BT292" t="s">
        <v>69</v>
      </c>
      <c r="BU292" t="s">
        <v>69</v>
      </c>
      <c r="BV292" t="s">
        <v>69</v>
      </c>
      <c r="BW292" t="s">
        <v>69</v>
      </c>
      <c r="BX292" t="s">
        <v>8526</v>
      </c>
      <c r="BY292" t="str">
        <f>HYPERLINK("https%3A%2F%2Fwww.webofscience.com%2Fwos%2Fwoscc%2Ffull-record%2FWOS:000309093300024","View Full Record in Web of Science")</f>
        <v>View Full Record in Web of Science</v>
      </c>
    </row>
    <row r="293" spans="1:77" ht="12.5" x14ac:dyDescent="0.25">
      <c r="A293" t="s">
        <v>8495</v>
      </c>
      <c r="B293" s="7" t="s">
        <v>32933</v>
      </c>
      <c r="C293" s="7"/>
      <c r="D293" s="7"/>
      <c r="E293" s="7"/>
      <c r="F293" t="s">
        <v>67</v>
      </c>
      <c r="G293" t="s">
        <v>3353</v>
      </c>
      <c r="H293" t="s">
        <v>69</v>
      </c>
      <c r="I293" t="s">
        <v>69</v>
      </c>
      <c r="J293" t="s">
        <v>69</v>
      </c>
      <c r="K293" t="s">
        <v>3354</v>
      </c>
      <c r="L293" t="s">
        <v>69</v>
      </c>
      <c r="M293" t="s">
        <v>69</v>
      </c>
      <c r="N293" t="s">
        <v>3355</v>
      </c>
      <c r="O293" t="s">
        <v>1212</v>
      </c>
      <c r="P293" t="s">
        <v>69</v>
      </c>
      <c r="Q293" t="s">
        <v>69</v>
      </c>
      <c r="R293" t="s">
        <v>8505</v>
      </c>
      <c r="S293" t="s">
        <v>8506</v>
      </c>
      <c r="T293" t="s">
        <v>69</v>
      </c>
      <c r="U293" t="s">
        <v>69</v>
      </c>
      <c r="V293" t="s">
        <v>69</v>
      </c>
      <c r="W293" t="s">
        <v>69</v>
      </c>
      <c r="X293" t="s">
        <v>69</v>
      </c>
      <c r="Y293" t="s">
        <v>25322</v>
      </c>
      <c r="Z293" t="s">
        <v>25323</v>
      </c>
      <c r="AA293" t="s">
        <v>3356</v>
      </c>
      <c r="AB293" t="s">
        <v>25324</v>
      </c>
      <c r="AC293" t="s">
        <v>69</v>
      </c>
      <c r="AD293" t="s">
        <v>25325</v>
      </c>
      <c r="AE293" t="s">
        <v>25326</v>
      </c>
      <c r="AF293" t="s">
        <v>69</v>
      </c>
      <c r="AG293" t="s">
        <v>69</v>
      </c>
      <c r="AH293" t="s">
        <v>69</v>
      </c>
      <c r="AI293" t="s">
        <v>69</v>
      </c>
      <c r="AJ293" t="s">
        <v>69</v>
      </c>
      <c r="AK293" t="s">
        <v>69</v>
      </c>
      <c r="AL293">
        <v>51</v>
      </c>
      <c r="AM293">
        <v>11</v>
      </c>
      <c r="AN293">
        <v>12</v>
      </c>
      <c r="AO293">
        <v>2</v>
      </c>
      <c r="AP293">
        <v>97</v>
      </c>
      <c r="AQ293" t="s">
        <v>21110</v>
      </c>
      <c r="AR293" t="s">
        <v>8847</v>
      </c>
      <c r="AS293" t="s">
        <v>8848</v>
      </c>
      <c r="AT293" t="s">
        <v>1215</v>
      </c>
      <c r="AU293" t="s">
        <v>69</v>
      </c>
      <c r="AV293" t="s">
        <v>69</v>
      </c>
      <c r="AW293" t="s">
        <v>21310</v>
      </c>
      <c r="AX293" t="s">
        <v>21311</v>
      </c>
      <c r="AY293" t="s">
        <v>373</v>
      </c>
      <c r="AZ293">
        <v>2013</v>
      </c>
      <c r="BA293">
        <v>21</v>
      </c>
      <c r="BB293">
        <v>1</v>
      </c>
      <c r="BC293" t="s">
        <v>69</v>
      </c>
      <c r="BD293" t="s">
        <v>69</v>
      </c>
      <c r="BE293" t="s">
        <v>69</v>
      </c>
      <c r="BF293" t="s">
        <v>69</v>
      </c>
      <c r="BG293">
        <v>26</v>
      </c>
      <c r="BH293">
        <v>41</v>
      </c>
      <c r="BI293" t="s">
        <v>69</v>
      </c>
      <c r="BJ293" t="s">
        <v>3357</v>
      </c>
      <c r="BK293" t="str">
        <f>HYPERLINK("http://dx.doi.org/10.1111/corg.12001","http://dx.doi.org/10.1111/corg.12001")</f>
        <v>http://dx.doi.org/10.1111/corg.12001</v>
      </c>
      <c r="BL293" t="s">
        <v>69</v>
      </c>
      <c r="BM293" t="s">
        <v>69</v>
      </c>
      <c r="BN293">
        <v>16</v>
      </c>
      <c r="BO293" t="s">
        <v>21312</v>
      </c>
      <c r="BP293" t="s">
        <v>8661</v>
      </c>
      <c r="BQ293" t="s">
        <v>8594</v>
      </c>
      <c r="BR293" t="s">
        <v>25327</v>
      </c>
      <c r="BS293" t="s">
        <v>3358</v>
      </c>
      <c r="BT293" t="s">
        <v>69</v>
      </c>
      <c r="BU293" t="s">
        <v>69</v>
      </c>
      <c r="BV293" t="s">
        <v>69</v>
      </c>
      <c r="BW293" t="s">
        <v>69</v>
      </c>
      <c r="BX293" t="s">
        <v>8526</v>
      </c>
      <c r="BY293" t="str">
        <f>HYPERLINK("https%3A%2F%2Fwww.webofscience.com%2Fwos%2Fwoscc%2Ffull-record%2FWOS:000312995200004","View Full Record in Web of Science")</f>
        <v>View Full Record in Web of Science</v>
      </c>
    </row>
    <row r="294" spans="1:77" ht="12.5" x14ac:dyDescent="0.25">
      <c r="A294" t="s">
        <v>8495</v>
      </c>
      <c r="B294" s="7" t="s">
        <v>32933</v>
      </c>
      <c r="C294" s="7"/>
      <c r="D294" s="7"/>
      <c r="E294" s="7"/>
      <c r="F294" t="s">
        <v>67</v>
      </c>
      <c r="G294" t="s">
        <v>7505</v>
      </c>
      <c r="H294" t="s">
        <v>69</v>
      </c>
      <c r="I294" t="s">
        <v>69</v>
      </c>
      <c r="J294" t="s">
        <v>69</v>
      </c>
      <c r="K294" t="s">
        <v>7505</v>
      </c>
      <c r="L294" t="s">
        <v>69</v>
      </c>
      <c r="M294" t="s">
        <v>69</v>
      </c>
      <c r="N294" t="s">
        <v>7506</v>
      </c>
      <c r="O294" t="s">
        <v>7507</v>
      </c>
      <c r="P294" t="s">
        <v>69</v>
      </c>
      <c r="Q294" t="s">
        <v>69</v>
      </c>
      <c r="R294" t="s">
        <v>8505</v>
      </c>
      <c r="S294" t="s">
        <v>8506</v>
      </c>
      <c r="T294" t="s">
        <v>69</v>
      </c>
      <c r="U294" t="s">
        <v>69</v>
      </c>
      <c r="V294" t="s">
        <v>69</v>
      </c>
      <c r="W294" t="s">
        <v>69</v>
      </c>
      <c r="X294" t="s">
        <v>69</v>
      </c>
      <c r="Y294" t="s">
        <v>69</v>
      </c>
      <c r="Z294" t="s">
        <v>69</v>
      </c>
      <c r="AA294" t="s">
        <v>7508</v>
      </c>
      <c r="AB294" t="s">
        <v>69</v>
      </c>
      <c r="AC294" t="s">
        <v>69</v>
      </c>
      <c r="AD294" t="s">
        <v>69</v>
      </c>
      <c r="AE294" t="s">
        <v>69</v>
      </c>
      <c r="AF294" t="s">
        <v>69</v>
      </c>
      <c r="AG294" t="s">
        <v>69</v>
      </c>
      <c r="AH294" t="s">
        <v>69</v>
      </c>
      <c r="AI294" t="s">
        <v>69</v>
      </c>
      <c r="AJ294" t="s">
        <v>69</v>
      </c>
      <c r="AK294" t="s">
        <v>69</v>
      </c>
      <c r="AL294">
        <v>0</v>
      </c>
      <c r="AM294">
        <v>0</v>
      </c>
      <c r="AN294">
        <v>0</v>
      </c>
      <c r="AO294">
        <v>1</v>
      </c>
      <c r="AP294">
        <v>10</v>
      </c>
      <c r="AQ294" t="s">
        <v>13159</v>
      </c>
      <c r="AR294" t="s">
        <v>13160</v>
      </c>
      <c r="AS294" t="s">
        <v>13161</v>
      </c>
      <c r="AT294" t="s">
        <v>7509</v>
      </c>
      <c r="AU294" t="s">
        <v>69</v>
      </c>
      <c r="AV294" t="s">
        <v>69</v>
      </c>
      <c r="AW294" t="s">
        <v>31829</v>
      </c>
      <c r="AX294" t="s">
        <v>31830</v>
      </c>
      <c r="AY294" t="s">
        <v>586</v>
      </c>
      <c r="AZ294">
        <v>2000</v>
      </c>
      <c r="BA294">
        <v>14</v>
      </c>
      <c r="BB294">
        <v>2</v>
      </c>
      <c r="BC294" t="s">
        <v>69</v>
      </c>
      <c r="BD294" t="s">
        <v>69</v>
      </c>
      <c r="BE294" t="s">
        <v>69</v>
      </c>
      <c r="BF294" t="s">
        <v>69</v>
      </c>
      <c r="BG294">
        <v>28</v>
      </c>
      <c r="BH294">
        <v>33</v>
      </c>
      <c r="BI294" t="s">
        <v>69</v>
      </c>
      <c r="BJ294" t="s">
        <v>7510</v>
      </c>
      <c r="BK294" t="str">
        <f>HYPERLINK("http://dx.doi.org/10.5465/AME.2000.3819303","http://dx.doi.org/10.5465/AME.2000.3819303")</f>
        <v>http://dx.doi.org/10.5465/AME.2000.3819303</v>
      </c>
      <c r="BL294" t="s">
        <v>69</v>
      </c>
      <c r="BM294" t="s">
        <v>69</v>
      </c>
      <c r="BN294">
        <v>6</v>
      </c>
      <c r="BO294" t="s">
        <v>9410</v>
      </c>
      <c r="BP294" t="s">
        <v>8661</v>
      </c>
      <c r="BQ294" t="s">
        <v>8594</v>
      </c>
      <c r="BR294" t="s">
        <v>31831</v>
      </c>
      <c r="BS294" t="s">
        <v>7511</v>
      </c>
      <c r="BT294" t="s">
        <v>69</v>
      </c>
      <c r="BU294" t="s">
        <v>69</v>
      </c>
      <c r="BV294" t="s">
        <v>69</v>
      </c>
      <c r="BW294" t="s">
        <v>69</v>
      </c>
      <c r="BX294" t="s">
        <v>8526</v>
      </c>
      <c r="BY294" t="str">
        <f>HYPERLINK("https%3A%2F%2Fwww.webofscience.com%2Fwos%2Fwoscc%2Ffull-record%2FWOS:000087705000007","View Full Record in Web of Science")</f>
        <v>View Full Record in Web of Science</v>
      </c>
    </row>
    <row r="295" spans="1:77" ht="12.5" x14ac:dyDescent="0.25">
      <c r="A295" t="s">
        <v>8495</v>
      </c>
      <c r="B295" s="22" t="s">
        <v>32931</v>
      </c>
      <c r="C295" s="7"/>
      <c r="D295" s="7"/>
      <c r="E295" s="7"/>
      <c r="F295" t="s">
        <v>67</v>
      </c>
      <c r="G295" t="s">
        <v>25662</v>
      </c>
      <c r="H295" t="s">
        <v>69</v>
      </c>
      <c r="I295" t="s">
        <v>69</v>
      </c>
      <c r="J295" t="s">
        <v>69</v>
      </c>
      <c r="K295" t="s">
        <v>25663</v>
      </c>
      <c r="L295" t="s">
        <v>69</v>
      </c>
      <c r="M295" t="s">
        <v>69</v>
      </c>
      <c r="N295" t="s">
        <v>25664</v>
      </c>
      <c r="O295" t="s">
        <v>25665</v>
      </c>
      <c r="P295" t="s">
        <v>69</v>
      </c>
      <c r="Q295" t="s">
        <v>69</v>
      </c>
      <c r="R295" t="s">
        <v>8505</v>
      </c>
      <c r="S295" t="s">
        <v>8506</v>
      </c>
      <c r="T295" t="s">
        <v>69</v>
      </c>
      <c r="U295" t="s">
        <v>69</v>
      </c>
      <c r="V295" t="s">
        <v>69</v>
      </c>
      <c r="W295" t="s">
        <v>69</v>
      </c>
      <c r="X295" t="s">
        <v>69</v>
      </c>
      <c r="Y295" t="s">
        <v>25666</v>
      </c>
      <c r="Z295" t="s">
        <v>25667</v>
      </c>
      <c r="AA295" t="s">
        <v>25668</v>
      </c>
      <c r="AB295" t="s">
        <v>25669</v>
      </c>
      <c r="AC295" t="s">
        <v>69</v>
      </c>
      <c r="AD295" t="s">
        <v>25670</v>
      </c>
      <c r="AE295" t="s">
        <v>69</v>
      </c>
      <c r="AF295" t="s">
        <v>69</v>
      </c>
      <c r="AG295" t="s">
        <v>25671</v>
      </c>
      <c r="AH295" t="s">
        <v>69</v>
      </c>
      <c r="AI295" t="s">
        <v>69</v>
      </c>
      <c r="AJ295" t="s">
        <v>69</v>
      </c>
      <c r="AK295" t="s">
        <v>69</v>
      </c>
      <c r="AL295">
        <v>30</v>
      </c>
      <c r="AM295">
        <v>12</v>
      </c>
      <c r="AN295">
        <v>13</v>
      </c>
      <c r="AO295">
        <v>0</v>
      </c>
      <c r="AP295">
        <v>18</v>
      </c>
      <c r="AQ295" t="s">
        <v>8846</v>
      </c>
      <c r="AR295" t="s">
        <v>8847</v>
      </c>
      <c r="AS295" t="s">
        <v>8848</v>
      </c>
      <c r="AT295" t="s">
        <v>25672</v>
      </c>
      <c r="AU295" t="s">
        <v>25673</v>
      </c>
      <c r="AV295" t="s">
        <v>69</v>
      </c>
      <c r="AW295" t="s">
        <v>25674</v>
      </c>
      <c r="AX295" t="s">
        <v>25675</v>
      </c>
      <c r="AY295" t="s">
        <v>75</v>
      </c>
      <c r="AZ295">
        <v>2012</v>
      </c>
      <c r="BA295">
        <v>39</v>
      </c>
      <c r="BB295">
        <v>4</v>
      </c>
      <c r="BC295" t="s">
        <v>69</v>
      </c>
      <c r="BD295" t="s">
        <v>69</v>
      </c>
      <c r="BE295" t="s">
        <v>69</v>
      </c>
      <c r="BF295" t="s">
        <v>69</v>
      </c>
      <c r="BG295">
        <v>305</v>
      </c>
      <c r="BH295">
        <v>310</v>
      </c>
      <c r="BI295" t="s">
        <v>69</v>
      </c>
      <c r="BJ295" t="s">
        <v>25676</v>
      </c>
      <c r="BK295" t="str">
        <f>HYPERLINK("http://dx.doi.org/10.1111/birt.12006","http://dx.doi.org/10.1111/birt.12006")</f>
        <v>http://dx.doi.org/10.1111/birt.12006</v>
      </c>
      <c r="BL295" t="s">
        <v>69</v>
      </c>
      <c r="BM295" t="s">
        <v>69</v>
      </c>
      <c r="BN295">
        <v>6</v>
      </c>
      <c r="BO295" t="s">
        <v>25677</v>
      </c>
      <c r="BP295" t="s">
        <v>8523</v>
      </c>
      <c r="BQ295" t="s">
        <v>25677</v>
      </c>
      <c r="BR295" t="s">
        <v>25678</v>
      </c>
      <c r="BS295" t="s">
        <v>25679</v>
      </c>
      <c r="BT295">
        <v>23281950</v>
      </c>
      <c r="BU295" t="s">
        <v>69</v>
      </c>
      <c r="BV295" t="s">
        <v>69</v>
      </c>
      <c r="BW295" t="s">
        <v>69</v>
      </c>
      <c r="BX295" t="s">
        <v>8526</v>
      </c>
      <c r="BY295" t="str">
        <f>HYPERLINK("https%3A%2F%2Fwww.webofscience.com%2Fwos%2Fwoscc%2Ffull-record%2FWOS:000311404300008","View Full Record in Web of Science")</f>
        <v>View Full Record in Web of Science</v>
      </c>
    </row>
    <row r="296" spans="1:77" ht="12.5" x14ac:dyDescent="0.25">
      <c r="A296" t="s">
        <v>8495</v>
      </c>
      <c r="B296" s="22" t="s">
        <v>32931</v>
      </c>
      <c r="C296" s="7"/>
      <c r="D296" s="7"/>
      <c r="E296" s="7"/>
      <c r="F296" t="s">
        <v>67</v>
      </c>
      <c r="G296" t="s">
        <v>21399</v>
      </c>
      <c r="H296" t="s">
        <v>69</v>
      </c>
      <c r="I296" t="s">
        <v>69</v>
      </c>
      <c r="J296" t="s">
        <v>69</v>
      </c>
      <c r="K296" t="s">
        <v>21400</v>
      </c>
      <c r="L296" t="s">
        <v>69</v>
      </c>
      <c r="M296" t="s">
        <v>69</v>
      </c>
      <c r="N296" t="s">
        <v>21401</v>
      </c>
      <c r="O296" t="s">
        <v>1360</v>
      </c>
      <c r="P296" t="s">
        <v>69</v>
      </c>
      <c r="Q296" t="s">
        <v>69</v>
      </c>
      <c r="R296" t="s">
        <v>8505</v>
      </c>
      <c r="S296" t="s">
        <v>8506</v>
      </c>
      <c r="T296" t="s">
        <v>69</v>
      </c>
      <c r="U296" t="s">
        <v>69</v>
      </c>
      <c r="V296" t="s">
        <v>69</v>
      </c>
      <c r="W296" t="s">
        <v>69</v>
      </c>
      <c r="X296" t="s">
        <v>69</v>
      </c>
      <c r="Y296" t="s">
        <v>21402</v>
      </c>
      <c r="Z296" t="s">
        <v>21403</v>
      </c>
      <c r="AA296" t="s">
        <v>21404</v>
      </c>
      <c r="AB296" t="s">
        <v>21405</v>
      </c>
      <c r="AC296" t="s">
        <v>69</v>
      </c>
      <c r="AD296" t="s">
        <v>21406</v>
      </c>
      <c r="AE296" t="s">
        <v>21407</v>
      </c>
      <c r="AF296" t="s">
        <v>21408</v>
      </c>
      <c r="AG296" t="s">
        <v>21409</v>
      </c>
      <c r="AH296" t="s">
        <v>21410</v>
      </c>
      <c r="AI296" t="s">
        <v>21411</v>
      </c>
      <c r="AJ296" t="s">
        <v>21412</v>
      </c>
      <c r="AK296" t="s">
        <v>69</v>
      </c>
      <c r="AL296">
        <v>62</v>
      </c>
      <c r="AM296">
        <v>32</v>
      </c>
      <c r="AN296">
        <v>33</v>
      </c>
      <c r="AO296">
        <v>2</v>
      </c>
      <c r="AP296">
        <v>52</v>
      </c>
      <c r="AQ296" t="s">
        <v>8636</v>
      </c>
      <c r="AR296" t="s">
        <v>8637</v>
      </c>
      <c r="AS296" t="s">
        <v>8638</v>
      </c>
      <c r="AT296" t="s">
        <v>1364</v>
      </c>
      <c r="AU296" t="s">
        <v>1365</v>
      </c>
      <c r="AV296" t="s">
        <v>69</v>
      </c>
      <c r="AW296" t="s">
        <v>9698</v>
      </c>
      <c r="AX296" t="s">
        <v>9699</v>
      </c>
      <c r="AY296" t="s">
        <v>255</v>
      </c>
      <c r="AZ296">
        <v>2016</v>
      </c>
      <c r="BA296">
        <v>63</v>
      </c>
      <c r="BB296" t="s">
        <v>69</v>
      </c>
      <c r="BC296" t="s">
        <v>69</v>
      </c>
      <c r="BD296" t="s">
        <v>69</v>
      </c>
      <c r="BE296" t="s">
        <v>69</v>
      </c>
      <c r="BF296" t="s">
        <v>69</v>
      </c>
      <c r="BG296">
        <v>161</v>
      </c>
      <c r="BH296">
        <v>169</v>
      </c>
      <c r="BI296" t="s">
        <v>69</v>
      </c>
      <c r="BJ296" t="s">
        <v>21413</v>
      </c>
      <c r="BK296" t="str">
        <f>HYPERLINK("http://dx.doi.org/10.1016/j.envsci.2016.05.021","http://dx.doi.org/10.1016/j.envsci.2016.05.021")</f>
        <v>http://dx.doi.org/10.1016/j.envsci.2016.05.021</v>
      </c>
      <c r="BL296" t="s">
        <v>69</v>
      </c>
      <c r="BM296" t="s">
        <v>69</v>
      </c>
      <c r="BN296">
        <v>9</v>
      </c>
      <c r="BO296" t="s">
        <v>8717</v>
      </c>
      <c r="BP296" t="s">
        <v>8523</v>
      </c>
      <c r="BQ296" t="s">
        <v>8662</v>
      </c>
      <c r="BR296" t="s">
        <v>21414</v>
      </c>
      <c r="BS296" t="s">
        <v>21415</v>
      </c>
      <c r="BT296" t="s">
        <v>69</v>
      </c>
      <c r="BU296" t="s">
        <v>69</v>
      </c>
      <c r="BV296" t="s">
        <v>69</v>
      </c>
      <c r="BW296" t="s">
        <v>69</v>
      </c>
      <c r="BX296" t="s">
        <v>8526</v>
      </c>
      <c r="BY296" t="str">
        <f>HYPERLINK("https%3A%2F%2Fwww.webofscience.com%2Fwos%2Fwoscc%2Ffull-record%2FWOS:000379635300017","View Full Record in Web of Science")</f>
        <v>View Full Record in Web of Science</v>
      </c>
    </row>
    <row r="297" spans="1:77" ht="12.5" x14ac:dyDescent="0.25">
      <c r="A297" t="s">
        <v>8495</v>
      </c>
      <c r="B297" s="22" t="s">
        <v>32931</v>
      </c>
      <c r="C297" s="7"/>
      <c r="D297" s="7"/>
      <c r="E297" s="7"/>
      <c r="F297" t="s">
        <v>67</v>
      </c>
      <c r="G297" t="s">
        <v>8552</v>
      </c>
      <c r="H297" t="s">
        <v>69</v>
      </c>
      <c r="I297" t="s">
        <v>69</v>
      </c>
      <c r="J297" t="s">
        <v>69</v>
      </c>
      <c r="K297" t="s">
        <v>8553</v>
      </c>
      <c r="L297" t="s">
        <v>69</v>
      </c>
      <c r="M297" t="s">
        <v>69</v>
      </c>
      <c r="N297" t="s">
        <v>8554</v>
      </c>
      <c r="O297" t="s">
        <v>8555</v>
      </c>
      <c r="P297" t="s">
        <v>69</v>
      </c>
      <c r="Q297" t="s">
        <v>69</v>
      </c>
      <c r="R297" t="s">
        <v>8505</v>
      </c>
      <c r="S297" t="s">
        <v>8556</v>
      </c>
      <c r="T297" t="s">
        <v>69</v>
      </c>
      <c r="U297" t="s">
        <v>69</v>
      </c>
      <c r="V297" t="s">
        <v>69</v>
      </c>
      <c r="W297" t="s">
        <v>69</v>
      </c>
      <c r="X297" t="s">
        <v>69</v>
      </c>
      <c r="Y297" t="s">
        <v>8557</v>
      </c>
      <c r="Z297" t="s">
        <v>8558</v>
      </c>
      <c r="AA297" t="s">
        <v>8559</v>
      </c>
      <c r="AB297" t="s">
        <v>8560</v>
      </c>
      <c r="AC297" t="s">
        <v>69</v>
      </c>
      <c r="AD297" t="s">
        <v>8561</v>
      </c>
      <c r="AE297" t="s">
        <v>8562</v>
      </c>
      <c r="AF297" t="s">
        <v>69</v>
      </c>
      <c r="AG297" t="s">
        <v>69</v>
      </c>
      <c r="AH297" t="s">
        <v>69</v>
      </c>
      <c r="AI297" t="s">
        <v>69</v>
      </c>
      <c r="AJ297" t="s">
        <v>69</v>
      </c>
      <c r="AK297" t="s">
        <v>69</v>
      </c>
      <c r="AL297">
        <v>85</v>
      </c>
      <c r="AM297">
        <v>0</v>
      </c>
      <c r="AN297">
        <v>0</v>
      </c>
      <c r="AO297">
        <v>0</v>
      </c>
      <c r="AP297">
        <v>0</v>
      </c>
      <c r="AQ297" t="s">
        <v>8563</v>
      </c>
      <c r="AR297" t="s">
        <v>8564</v>
      </c>
      <c r="AS297" t="s">
        <v>8565</v>
      </c>
      <c r="AT297" t="s">
        <v>8566</v>
      </c>
      <c r="AU297" t="s">
        <v>8567</v>
      </c>
      <c r="AV297" t="s">
        <v>69</v>
      </c>
      <c r="AW297" t="s">
        <v>8568</v>
      </c>
      <c r="AX297" t="s">
        <v>8569</v>
      </c>
      <c r="AY297" t="s">
        <v>69</v>
      </c>
      <c r="AZ297" t="s">
        <v>69</v>
      </c>
      <c r="BA297" t="s">
        <v>69</v>
      </c>
      <c r="BB297" t="s">
        <v>69</v>
      </c>
      <c r="BC297" t="s">
        <v>69</v>
      </c>
      <c r="BD297" t="s">
        <v>69</v>
      </c>
      <c r="BE297" t="s">
        <v>69</v>
      </c>
      <c r="BF297" t="s">
        <v>69</v>
      </c>
      <c r="BG297" t="s">
        <v>69</v>
      </c>
      <c r="BH297" t="s">
        <v>69</v>
      </c>
      <c r="BI297" t="s">
        <v>69</v>
      </c>
      <c r="BJ297" t="s">
        <v>8570</v>
      </c>
      <c r="BK297" t="str">
        <f>HYPERLINK("http://dx.doi.org/10.1007/s12008-022-00961-7","http://dx.doi.org/10.1007/s12008-022-00961-7")</f>
        <v>http://dx.doi.org/10.1007/s12008-022-00961-7</v>
      </c>
      <c r="BL297" t="s">
        <v>69</v>
      </c>
      <c r="BM297" t="s">
        <v>8571</v>
      </c>
      <c r="BN297">
        <v>13</v>
      </c>
      <c r="BO297" t="s">
        <v>8572</v>
      </c>
      <c r="BP297" t="s">
        <v>8573</v>
      </c>
      <c r="BQ297" t="s">
        <v>8445</v>
      </c>
      <c r="BR297" t="s">
        <v>8574</v>
      </c>
      <c r="BS297" t="s">
        <v>8575</v>
      </c>
      <c r="BT297" t="s">
        <v>69</v>
      </c>
      <c r="BU297" t="s">
        <v>69</v>
      </c>
      <c r="BV297" t="s">
        <v>69</v>
      </c>
      <c r="BW297" t="s">
        <v>69</v>
      </c>
      <c r="BX297" t="s">
        <v>8526</v>
      </c>
      <c r="BY297" t="str">
        <f>HYPERLINK("https%3A%2F%2Fwww.webofscience.com%2Fwos%2Fwoscc%2Ffull-record%2FWOS:000828441500001","View Full Record in Web of Science")</f>
        <v>View Full Record in Web of Science</v>
      </c>
    </row>
    <row r="298" spans="1:77" ht="12.5" x14ac:dyDescent="0.25">
      <c r="A298" t="s">
        <v>8495</v>
      </c>
      <c r="B298" s="7" t="s">
        <v>32933</v>
      </c>
      <c r="C298" s="7"/>
      <c r="D298" s="7"/>
      <c r="E298" s="7"/>
      <c r="F298" t="s">
        <v>67</v>
      </c>
      <c r="G298" t="s">
        <v>6806</v>
      </c>
      <c r="H298" t="s">
        <v>69</v>
      </c>
      <c r="I298" t="s">
        <v>69</v>
      </c>
      <c r="J298" t="s">
        <v>69</v>
      </c>
      <c r="K298" t="s">
        <v>6807</v>
      </c>
      <c r="L298" t="s">
        <v>69</v>
      </c>
      <c r="M298" t="s">
        <v>69</v>
      </c>
      <c r="N298" t="s">
        <v>6808</v>
      </c>
      <c r="O298" t="s">
        <v>1522</v>
      </c>
      <c r="P298" t="s">
        <v>69</v>
      </c>
      <c r="Q298" t="s">
        <v>69</v>
      </c>
      <c r="R298" t="s">
        <v>8505</v>
      </c>
      <c r="S298" t="s">
        <v>8506</v>
      </c>
      <c r="T298" t="s">
        <v>69</v>
      </c>
      <c r="U298" t="s">
        <v>69</v>
      </c>
      <c r="V298" t="s">
        <v>69</v>
      </c>
      <c r="W298" t="s">
        <v>69</v>
      </c>
      <c r="X298" t="s">
        <v>69</v>
      </c>
      <c r="Y298" t="s">
        <v>15245</v>
      </c>
      <c r="Z298" t="s">
        <v>15246</v>
      </c>
      <c r="AA298" t="s">
        <v>6809</v>
      </c>
      <c r="AB298" t="s">
        <v>15247</v>
      </c>
      <c r="AC298" t="s">
        <v>69</v>
      </c>
      <c r="AD298" t="s">
        <v>15248</v>
      </c>
      <c r="AE298" t="s">
        <v>15249</v>
      </c>
      <c r="AF298" t="s">
        <v>15250</v>
      </c>
      <c r="AG298" t="s">
        <v>15251</v>
      </c>
      <c r="AH298" t="s">
        <v>15252</v>
      </c>
      <c r="AI298" t="s">
        <v>15253</v>
      </c>
      <c r="AJ298" t="s">
        <v>15254</v>
      </c>
      <c r="AK298" t="s">
        <v>69</v>
      </c>
      <c r="AL298">
        <v>78</v>
      </c>
      <c r="AM298">
        <v>5</v>
      </c>
      <c r="AN298">
        <v>6</v>
      </c>
      <c r="AO298">
        <v>3</v>
      </c>
      <c r="AP298">
        <v>12</v>
      </c>
      <c r="AQ298" t="s">
        <v>8563</v>
      </c>
      <c r="AR298" t="s">
        <v>8564</v>
      </c>
      <c r="AS298" t="s">
        <v>8565</v>
      </c>
      <c r="AT298" t="s">
        <v>1525</v>
      </c>
      <c r="AU298" t="s">
        <v>1526</v>
      </c>
      <c r="AV298" t="s">
        <v>69</v>
      </c>
      <c r="AW298" t="s">
        <v>14032</v>
      </c>
      <c r="AX298" t="s">
        <v>14033</v>
      </c>
      <c r="AY298" t="s">
        <v>586</v>
      </c>
      <c r="AZ298">
        <v>2020</v>
      </c>
      <c r="BA298">
        <v>25</v>
      </c>
      <c r="BB298">
        <v>5</v>
      </c>
      <c r="BC298" t="s">
        <v>69</v>
      </c>
      <c r="BD298" t="s">
        <v>69</v>
      </c>
      <c r="BE298" t="s">
        <v>114</v>
      </c>
      <c r="BF298" t="s">
        <v>69</v>
      </c>
      <c r="BG298">
        <v>856</v>
      </c>
      <c r="BH298">
        <v>867</v>
      </c>
      <c r="BI298" t="s">
        <v>69</v>
      </c>
      <c r="BJ298" t="s">
        <v>6810</v>
      </c>
      <c r="BK298" t="str">
        <f>HYPERLINK("http://dx.doi.org/10.1007/s11367-019-01611-z","http://dx.doi.org/10.1007/s11367-019-01611-z")</f>
        <v>http://dx.doi.org/10.1007/s11367-019-01611-z</v>
      </c>
      <c r="BL298" t="s">
        <v>69</v>
      </c>
      <c r="BM298" t="s">
        <v>69</v>
      </c>
      <c r="BN298">
        <v>12</v>
      </c>
      <c r="BO298" t="s">
        <v>8743</v>
      </c>
      <c r="BP298" t="s">
        <v>8523</v>
      </c>
      <c r="BQ298" t="s">
        <v>8744</v>
      </c>
      <c r="BR298" t="s">
        <v>15255</v>
      </c>
      <c r="BS298" t="s">
        <v>6811</v>
      </c>
      <c r="BT298" t="s">
        <v>69</v>
      </c>
      <c r="BU298" t="s">
        <v>10423</v>
      </c>
      <c r="BV298" t="s">
        <v>69</v>
      </c>
      <c r="BW298" t="s">
        <v>69</v>
      </c>
      <c r="BX298" t="s">
        <v>8526</v>
      </c>
      <c r="BY298" t="str">
        <f>HYPERLINK("https%3A%2F%2Fwww.webofscience.com%2Fwos%2Fwoscc%2Ffull-record%2FWOS:000530803400003","View Full Record in Web of Science")</f>
        <v>View Full Record in Web of Science</v>
      </c>
    </row>
    <row r="299" spans="1:77" ht="12.5" x14ac:dyDescent="0.25">
      <c r="A299" t="s">
        <v>8495</v>
      </c>
      <c r="B299" s="22" t="s">
        <v>32931</v>
      </c>
      <c r="C299" s="7"/>
      <c r="D299" s="7"/>
      <c r="E299" s="7"/>
      <c r="F299" t="s">
        <v>67</v>
      </c>
      <c r="G299" t="s">
        <v>26732</v>
      </c>
      <c r="H299" t="s">
        <v>69</v>
      </c>
      <c r="I299" t="s">
        <v>69</v>
      </c>
      <c r="J299" t="s">
        <v>69</v>
      </c>
      <c r="K299" t="s">
        <v>26733</v>
      </c>
      <c r="L299" t="s">
        <v>69</v>
      </c>
      <c r="M299" t="s">
        <v>69</v>
      </c>
      <c r="N299" t="s">
        <v>26734</v>
      </c>
      <c r="O299" t="s">
        <v>9491</v>
      </c>
      <c r="P299" t="s">
        <v>69</v>
      </c>
      <c r="Q299" t="s">
        <v>69</v>
      </c>
      <c r="R299" t="s">
        <v>8505</v>
      </c>
      <c r="S299" t="s">
        <v>8506</v>
      </c>
      <c r="T299" t="s">
        <v>69</v>
      </c>
      <c r="U299" t="s">
        <v>69</v>
      </c>
      <c r="V299" t="s">
        <v>69</v>
      </c>
      <c r="W299" t="s">
        <v>69</v>
      </c>
      <c r="X299" t="s">
        <v>69</v>
      </c>
      <c r="Y299" t="s">
        <v>26735</v>
      </c>
      <c r="Z299" t="s">
        <v>69</v>
      </c>
      <c r="AA299" t="s">
        <v>26736</v>
      </c>
      <c r="AB299" t="s">
        <v>26737</v>
      </c>
      <c r="AC299" t="s">
        <v>69</v>
      </c>
      <c r="AD299" t="s">
        <v>26738</v>
      </c>
      <c r="AE299" t="s">
        <v>26739</v>
      </c>
      <c r="AF299" t="s">
        <v>69</v>
      </c>
      <c r="AG299" t="s">
        <v>69</v>
      </c>
      <c r="AH299" t="s">
        <v>26740</v>
      </c>
      <c r="AI299" t="s">
        <v>26740</v>
      </c>
      <c r="AJ299" t="s">
        <v>26741</v>
      </c>
      <c r="AK299" t="s">
        <v>69</v>
      </c>
      <c r="AL299">
        <v>9</v>
      </c>
      <c r="AM299">
        <v>2</v>
      </c>
      <c r="AN299">
        <v>2</v>
      </c>
      <c r="AO299">
        <v>0</v>
      </c>
      <c r="AP299">
        <v>5</v>
      </c>
      <c r="AQ299" t="s">
        <v>21110</v>
      </c>
      <c r="AR299" t="s">
        <v>26670</v>
      </c>
      <c r="AS299" t="s">
        <v>26671</v>
      </c>
      <c r="AT299" t="s">
        <v>9501</v>
      </c>
      <c r="AU299" t="s">
        <v>69</v>
      </c>
      <c r="AV299" t="s">
        <v>69</v>
      </c>
      <c r="AW299" t="s">
        <v>9503</v>
      </c>
      <c r="AX299" t="s">
        <v>9504</v>
      </c>
      <c r="AY299" t="s">
        <v>381</v>
      </c>
      <c r="AZ299">
        <v>2011</v>
      </c>
      <c r="BA299">
        <v>19</v>
      </c>
      <c r="BB299">
        <v>7</v>
      </c>
      <c r="BC299" t="s">
        <v>69</v>
      </c>
      <c r="BD299" t="s">
        <v>69</v>
      </c>
      <c r="BE299" t="s">
        <v>114</v>
      </c>
      <c r="BF299" t="s">
        <v>69</v>
      </c>
      <c r="BG299">
        <v>959</v>
      </c>
      <c r="BH299">
        <v>966</v>
      </c>
      <c r="BI299" t="s">
        <v>69</v>
      </c>
      <c r="BJ299" t="s">
        <v>26742</v>
      </c>
      <c r="BK299" t="str">
        <f>HYPERLINK("http://dx.doi.org/10.1111/j.1365-2834.2011.01306.x","http://dx.doi.org/10.1111/j.1365-2834.2011.01306.x")</f>
        <v>http://dx.doi.org/10.1111/j.1365-2834.2011.01306.x</v>
      </c>
      <c r="BL299" t="s">
        <v>69</v>
      </c>
      <c r="BM299" t="s">
        <v>69</v>
      </c>
      <c r="BN299">
        <v>8</v>
      </c>
      <c r="BO299" t="s">
        <v>9506</v>
      </c>
      <c r="BP299" t="s">
        <v>8523</v>
      </c>
      <c r="BQ299" t="s">
        <v>9507</v>
      </c>
      <c r="BR299" t="s">
        <v>26743</v>
      </c>
      <c r="BS299" t="s">
        <v>26744</v>
      </c>
      <c r="BT299">
        <v>21988444</v>
      </c>
      <c r="BU299" t="s">
        <v>69</v>
      </c>
      <c r="BV299" t="s">
        <v>69</v>
      </c>
      <c r="BW299" t="s">
        <v>69</v>
      </c>
      <c r="BX299" t="s">
        <v>8526</v>
      </c>
      <c r="BY299" t="str">
        <f>HYPERLINK("https%3A%2F%2Fwww.webofscience.com%2Fwos%2Fwoscc%2Ffull-record%2FWOS:000296250000015","View Full Record in Web of Science")</f>
        <v>View Full Record in Web of Science</v>
      </c>
    </row>
    <row r="300" spans="1:77" ht="12.5" x14ac:dyDescent="0.25">
      <c r="A300" t="s">
        <v>8495</v>
      </c>
      <c r="B300" s="7" t="s">
        <v>32933</v>
      </c>
      <c r="C300" s="7"/>
      <c r="D300" s="7"/>
      <c r="E300" s="7"/>
      <c r="F300" t="s">
        <v>67</v>
      </c>
      <c r="G300" t="s">
        <v>3220</v>
      </c>
      <c r="H300" t="s">
        <v>69</v>
      </c>
      <c r="I300" t="s">
        <v>69</v>
      </c>
      <c r="J300" t="s">
        <v>69</v>
      </c>
      <c r="K300" t="s">
        <v>3221</v>
      </c>
      <c r="L300" t="s">
        <v>69</v>
      </c>
      <c r="M300" t="s">
        <v>69</v>
      </c>
      <c r="N300" t="s">
        <v>3222</v>
      </c>
      <c r="O300" t="s">
        <v>1457</v>
      </c>
      <c r="P300" t="s">
        <v>69</v>
      </c>
      <c r="Q300" t="s">
        <v>69</v>
      </c>
      <c r="R300" t="s">
        <v>8505</v>
      </c>
      <c r="S300" t="s">
        <v>8506</v>
      </c>
      <c r="T300" t="s">
        <v>69</v>
      </c>
      <c r="U300" t="s">
        <v>69</v>
      </c>
      <c r="V300" t="s">
        <v>69</v>
      </c>
      <c r="W300" t="s">
        <v>69</v>
      </c>
      <c r="X300" t="s">
        <v>69</v>
      </c>
      <c r="Y300" t="s">
        <v>69</v>
      </c>
      <c r="Z300" t="s">
        <v>69</v>
      </c>
      <c r="AA300" t="s">
        <v>3223</v>
      </c>
      <c r="AB300" t="s">
        <v>23999</v>
      </c>
      <c r="AC300" t="s">
        <v>69</v>
      </c>
      <c r="AD300" t="s">
        <v>24000</v>
      </c>
      <c r="AE300" t="s">
        <v>24001</v>
      </c>
      <c r="AF300" t="s">
        <v>69</v>
      </c>
      <c r="AG300" t="s">
        <v>3224</v>
      </c>
      <c r="AH300" t="s">
        <v>69</v>
      </c>
      <c r="AI300" t="s">
        <v>69</v>
      </c>
      <c r="AJ300" t="s">
        <v>69</v>
      </c>
      <c r="AK300" t="s">
        <v>69</v>
      </c>
      <c r="AL300">
        <v>13</v>
      </c>
      <c r="AM300">
        <v>4</v>
      </c>
      <c r="AN300">
        <v>4</v>
      </c>
      <c r="AO300">
        <v>1</v>
      </c>
      <c r="AP300">
        <v>26</v>
      </c>
      <c r="AQ300" t="s">
        <v>9554</v>
      </c>
      <c r="AR300" t="s">
        <v>9555</v>
      </c>
      <c r="AS300" t="s">
        <v>9556</v>
      </c>
      <c r="AT300" t="s">
        <v>1460</v>
      </c>
      <c r="AU300" t="s">
        <v>1461</v>
      </c>
      <c r="AV300" t="s">
        <v>69</v>
      </c>
      <c r="AW300" t="s">
        <v>9557</v>
      </c>
      <c r="AX300" t="s">
        <v>9558</v>
      </c>
      <c r="AY300" t="s">
        <v>69</v>
      </c>
      <c r="AZ300">
        <v>2014</v>
      </c>
      <c r="BA300" t="s">
        <v>69</v>
      </c>
      <c r="BB300">
        <v>2451</v>
      </c>
      <c r="BC300" t="s">
        <v>69</v>
      </c>
      <c r="BD300" t="s">
        <v>69</v>
      </c>
      <c r="BE300" t="s">
        <v>69</v>
      </c>
      <c r="BF300" t="s">
        <v>69</v>
      </c>
      <c r="BG300">
        <v>131</v>
      </c>
      <c r="BH300">
        <v>138</v>
      </c>
      <c r="BI300" t="s">
        <v>69</v>
      </c>
      <c r="BJ300" t="s">
        <v>3225</v>
      </c>
      <c r="BK300" t="str">
        <f>HYPERLINK("http://dx.doi.org/10.3141/2451-15","http://dx.doi.org/10.3141/2451-15")</f>
        <v>http://dx.doi.org/10.3141/2451-15</v>
      </c>
      <c r="BL300" t="s">
        <v>69</v>
      </c>
      <c r="BM300" t="s">
        <v>69</v>
      </c>
      <c r="BN300">
        <v>8</v>
      </c>
      <c r="BO300" t="s">
        <v>9560</v>
      </c>
      <c r="BP300" t="s">
        <v>8548</v>
      </c>
      <c r="BQ300" t="s">
        <v>9561</v>
      </c>
      <c r="BR300" t="s">
        <v>24002</v>
      </c>
      <c r="BS300" t="s">
        <v>3226</v>
      </c>
      <c r="BT300" t="s">
        <v>69</v>
      </c>
      <c r="BU300" t="s">
        <v>69</v>
      </c>
      <c r="BV300" t="s">
        <v>69</v>
      </c>
      <c r="BW300" t="s">
        <v>69</v>
      </c>
      <c r="BX300" t="s">
        <v>8526</v>
      </c>
      <c r="BY300" t="str">
        <f>HYPERLINK("https%3A%2F%2Fwww.webofscience.com%2Fwos%2Fwoscc%2Ffull-record%2FWOS:000348967500015","View Full Record in Web of Science")</f>
        <v>View Full Record in Web of Science</v>
      </c>
    </row>
    <row r="301" spans="1:77" x14ac:dyDescent="0.3">
      <c r="A301" t="s">
        <v>8495</v>
      </c>
      <c r="B301" s="10" t="s">
        <v>32955</v>
      </c>
      <c r="F301" t="s">
        <v>67</v>
      </c>
      <c r="G301" t="s">
        <v>2355</v>
      </c>
      <c r="H301" t="s">
        <v>69</v>
      </c>
      <c r="I301" t="s">
        <v>69</v>
      </c>
      <c r="J301" t="s">
        <v>69</v>
      </c>
      <c r="K301" s="2" t="s">
        <v>2356</v>
      </c>
      <c r="L301" t="s">
        <v>69</v>
      </c>
      <c r="M301" t="s">
        <v>69</v>
      </c>
      <c r="N301" s="2" t="s">
        <v>2357</v>
      </c>
      <c r="O301" t="s">
        <v>582</v>
      </c>
      <c r="P301" t="s">
        <v>69</v>
      </c>
      <c r="Q301" t="s">
        <v>69</v>
      </c>
      <c r="R301" t="s">
        <v>8505</v>
      </c>
      <c r="S301" t="s">
        <v>8506</v>
      </c>
      <c r="T301" t="s">
        <v>69</v>
      </c>
      <c r="U301" t="s">
        <v>69</v>
      </c>
      <c r="V301" t="s">
        <v>69</v>
      </c>
      <c r="W301" t="s">
        <v>69</v>
      </c>
      <c r="X301" t="s">
        <v>69</v>
      </c>
      <c r="Y301" t="s">
        <v>18242</v>
      </c>
      <c r="Z301" t="s">
        <v>18243</v>
      </c>
      <c r="AA301" t="s">
        <v>2358</v>
      </c>
      <c r="AB301" t="s">
        <v>18244</v>
      </c>
      <c r="AC301" t="s">
        <v>69</v>
      </c>
      <c r="AD301" t="s">
        <v>18245</v>
      </c>
      <c r="AE301" t="s">
        <v>12162</v>
      </c>
      <c r="AF301" t="s">
        <v>806</v>
      </c>
      <c r="AG301" t="s">
        <v>69</v>
      </c>
      <c r="AH301" t="s">
        <v>69</v>
      </c>
      <c r="AI301" t="s">
        <v>69</v>
      </c>
      <c r="AJ301" t="s">
        <v>69</v>
      </c>
      <c r="AK301" t="s">
        <v>69</v>
      </c>
      <c r="AL301">
        <v>59</v>
      </c>
      <c r="AM301">
        <v>6</v>
      </c>
      <c r="AN301">
        <v>6</v>
      </c>
      <c r="AO301">
        <v>0</v>
      </c>
      <c r="AP301">
        <v>4</v>
      </c>
      <c r="AQ301" t="s">
        <v>8692</v>
      </c>
      <c r="AR301" t="s">
        <v>8693</v>
      </c>
      <c r="AS301" t="s">
        <v>18139</v>
      </c>
      <c r="AT301" t="s">
        <v>584</v>
      </c>
      <c r="AU301" t="s">
        <v>585</v>
      </c>
      <c r="AV301" t="s">
        <v>69</v>
      </c>
      <c r="AW301" t="s">
        <v>8695</v>
      </c>
      <c r="AX301" t="s">
        <v>8696</v>
      </c>
      <c r="AY301" t="s">
        <v>274</v>
      </c>
      <c r="AZ301">
        <v>2018</v>
      </c>
      <c r="BA301">
        <v>73</v>
      </c>
      <c r="BB301" t="s">
        <v>69</v>
      </c>
      <c r="BC301" t="s">
        <v>69</v>
      </c>
      <c r="BD301" t="s">
        <v>69</v>
      </c>
      <c r="BE301" t="s">
        <v>69</v>
      </c>
      <c r="BF301" t="s">
        <v>69</v>
      </c>
      <c r="BG301">
        <v>201</v>
      </c>
      <c r="BH301">
        <v>209</v>
      </c>
      <c r="BI301" t="s">
        <v>69</v>
      </c>
      <c r="BJ301" t="s">
        <v>2360</v>
      </c>
      <c r="BK301" t="str">
        <f>HYPERLINK("http://dx.doi.org/10.1016/j.eiar.2018.09.001","http://dx.doi.org/10.1016/j.eiar.2018.09.001")</f>
        <v>http://dx.doi.org/10.1016/j.eiar.2018.09.001</v>
      </c>
      <c r="BL301" t="s">
        <v>69</v>
      </c>
      <c r="BM301" t="s">
        <v>69</v>
      </c>
      <c r="BN301">
        <v>9</v>
      </c>
      <c r="BO301" t="s">
        <v>8660</v>
      </c>
      <c r="BP301" t="s">
        <v>8661</v>
      </c>
      <c r="BQ301" t="s">
        <v>8662</v>
      </c>
      <c r="BR301" t="s">
        <v>18140</v>
      </c>
      <c r="BS301" t="s">
        <v>2361</v>
      </c>
      <c r="BT301" t="s">
        <v>69</v>
      </c>
      <c r="BU301" t="s">
        <v>69</v>
      </c>
      <c r="BV301" t="s">
        <v>69</v>
      </c>
      <c r="BW301" t="s">
        <v>69</v>
      </c>
      <c r="BX301" t="s">
        <v>8526</v>
      </c>
      <c r="BY301" t="str">
        <f>HYPERLINK("https%3A%2F%2Fwww.webofscience.com%2Fwos%2Fwoscc%2Ffull-record%2FWOS:000447480100018","View Full Record in Web of Science")</f>
        <v>View Full Record in Web of Science</v>
      </c>
    </row>
    <row r="302" spans="1:77" ht="12.5" x14ac:dyDescent="0.25">
      <c r="A302" t="s">
        <v>8495</v>
      </c>
      <c r="B302" s="22" t="s">
        <v>32931</v>
      </c>
      <c r="C302" s="7"/>
      <c r="D302" s="7"/>
      <c r="E302" s="7"/>
      <c r="F302" t="s">
        <v>67</v>
      </c>
      <c r="G302" t="s">
        <v>11441</v>
      </c>
      <c r="H302" t="s">
        <v>69</v>
      </c>
      <c r="I302" t="s">
        <v>69</v>
      </c>
      <c r="J302" t="s">
        <v>69</v>
      </c>
      <c r="K302" t="s">
        <v>11442</v>
      </c>
      <c r="L302" t="s">
        <v>69</v>
      </c>
      <c r="M302" t="s">
        <v>69</v>
      </c>
      <c r="N302" t="s">
        <v>11443</v>
      </c>
      <c r="O302" t="s">
        <v>8256</v>
      </c>
      <c r="P302" t="s">
        <v>69</v>
      </c>
      <c r="Q302" t="s">
        <v>69</v>
      </c>
      <c r="R302" t="s">
        <v>8505</v>
      </c>
      <c r="S302" t="s">
        <v>8506</v>
      </c>
      <c r="T302" t="s">
        <v>69</v>
      </c>
      <c r="U302" t="s">
        <v>69</v>
      </c>
      <c r="V302" t="s">
        <v>69</v>
      </c>
      <c r="W302" t="s">
        <v>69</v>
      </c>
      <c r="X302" t="s">
        <v>69</v>
      </c>
      <c r="Y302" t="s">
        <v>11444</v>
      </c>
      <c r="Z302" t="s">
        <v>11445</v>
      </c>
      <c r="AA302" t="s">
        <v>11446</v>
      </c>
      <c r="AB302" t="s">
        <v>11447</v>
      </c>
      <c r="AC302" t="s">
        <v>69</v>
      </c>
      <c r="AD302" t="s">
        <v>11218</v>
      </c>
      <c r="AE302" t="s">
        <v>11448</v>
      </c>
      <c r="AF302" t="s">
        <v>69</v>
      </c>
      <c r="AG302" t="s">
        <v>11220</v>
      </c>
      <c r="AH302" t="s">
        <v>11449</v>
      </c>
      <c r="AI302" t="s">
        <v>9925</v>
      </c>
      <c r="AJ302" t="s">
        <v>11450</v>
      </c>
      <c r="AK302" t="s">
        <v>69</v>
      </c>
      <c r="AL302">
        <v>96</v>
      </c>
      <c r="AM302">
        <v>7</v>
      </c>
      <c r="AN302">
        <v>7</v>
      </c>
      <c r="AO302">
        <v>15</v>
      </c>
      <c r="AP302">
        <v>21</v>
      </c>
      <c r="AQ302" t="s">
        <v>8924</v>
      </c>
      <c r="AR302" t="s">
        <v>8925</v>
      </c>
      <c r="AS302" t="s">
        <v>8926</v>
      </c>
      <c r="AT302" t="s">
        <v>69</v>
      </c>
      <c r="AU302" t="s">
        <v>8258</v>
      </c>
      <c r="AV302" t="s">
        <v>69</v>
      </c>
      <c r="AW302" t="s">
        <v>8927</v>
      </c>
      <c r="AX302" t="s">
        <v>8928</v>
      </c>
      <c r="AY302" t="s">
        <v>255</v>
      </c>
      <c r="AZ302">
        <v>2021</v>
      </c>
      <c r="BA302">
        <v>10</v>
      </c>
      <c r="BB302">
        <v>9</v>
      </c>
      <c r="BC302" t="s">
        <v>69</v>
      </c>
      <c r="BD302" t="s">
        <v>69</v>
      </c>
      <c r="BE302" t="s">
        <v>69</v>
      </c>
      <c r="BF302" t="s">
        <v>69</v>
      </c>
      <c r="BG302" t="s">
        <v>69</v>
      </c>
      <c r="BH302" t="s">
        <v>69</v>
      </c>
      <c r="BI302">
        <v>928</v>
      </c>
      <c r="BJ302" t="s">
        <v>11451</v>
      </c>
      <c r="BK302" t="str">
        <f>HYPERLINK("http://dx.doi.org/10.3390/land10090928","http://dx.doi.org/10.3390/land10090928")</f>
        <v>http://dx.doi.org/10.3390/land10090928</v>
      </c>
      <c r="BL302" t="s">
        <v>69</v>
      </c>
      <c r="BM302" t="s">
        <v>69</v>
      </c>
      <c r="BN302">
        <v>29</v>
      </c>
      <c r="BO302" t="s">
        <v>8660</v>
      </c>
      <c r="BP302" t="s">
        <v>8661</v>
      </c>
      <c r="BQ302" t="s">
        <v>8662</v>
      </c>
      <c r="BR302" t="s">
        <v>11452</v>
      </c>
      <c r="BS302" t="s">
        <v>11453</v>
      </c>
      <c r="BT302" t="s">
        <v>69</v>
      </c>
      <c r="BU302" t="s">
        <v>9352</v>
      </c>
      <c r="BV302" t="s">
        <v>69</v>
      </c>
      <c r="BW302" t="s">
        <v>69</v>
      </c>
      <c r="BX302" t="s">
        <v>8526</v>
      </c>
      <c r="BY302" t="str">
        <f>HYPERLINK("https%3A%2F%2Fwww.webofscience.com%2Fwos%2Fwoscc%2Ffull-record%2FWOS:000699572000001","View Full Record in Web of Science")</f>
        <v>View Full Record in Web of Science</v>
      </c>
    </row>
    <row r="303" spans="1:77" ht="12.5" x14ac:dyDescent="0.25">
      <c r="A303" t="s">
        <v>8495</v>
      </c>
      <c r="B303" s="22" t="s">
        <v>32931</v>
      </c>
      <c r="C303" s="7"/>
      <c r="D303" s="7"/>
      <c r="E303" s="7"/>
      <c r="F303" t="s">
        <v>67</v>
      </c>
      <c r="G303" t="s">
        <v>26677</v>
      </c>
      <c r="H303" t="s">
        <v>69</v>
      </c>
      <c r="I303" t="s">
        <v>69</v>
      </c>
      <c r="J303" t="s">
        <v>69</v>
      </c>
      <c r="K303" t="s">
        <v>26678</v>
      </c>
      <c r="L303" t="s">
        <v>69</v>
      </c>
      <c r="M303" t="s">
        <v>69</v>
      </c>
      <c r="N303" t="s">
        <v>26679</v>
      </c>
      <c r="O303" t="s">
        <v>26680</v>
      </c>
      <c r="P303" t="s">
        <v>69</v>
      </c>
      <c r="Q303" t="s">
        <v>69</v>
      </c>
      <c r="R303" t="s">
        <v>8505</v>
      </c>
      <c r="S303" t="s">
        <v>8506</v>
      </c>
      <c r="T303" t="s">
        <v>69</v>
      </c>
      <c r="U303" t="s">
        <v>69</v>
      </c>
      <c r="V303" t="s">
        <v>69</v>
      </c>
      <c r="W303" t="s">
        <v>69</v>
      </c>
      <c r="X303" t="s">
        <v>69</v>
      </c>
      <c r="Y303" t="s">
        <v>26681</v>
      </c>
      <c r="Z303" t="s">
        <v>69</v>
      </c>
      <c r="AA303" t="s">
        <v>26682</v>
      </c>
      <c r="AB303" t="s">
        <v>26683</v>
      </c>
      <c r="AC303" t="s">
        <v>69</v>
      </c>
      <c r="AD303" t="s">
        <v>26684</v>
      </c>
      <c r="AE303" t="s">
        <v>26685</v>
      </c>
      <c r="AF303" t="s">
        <v>69</v>
      </c>
      <c r="AG303" t="s">
        <v>26686</v>
      </c>
      <c r="AH303" t="s">
        <v>69</v>
      </c>
      <c r="AI303" t="s">
        <v>69</v>
      </c>
      <c r="AJ303" t="s">
        <v>69</v>
      </c>
      <c r="AK303" t="s">
        <v>69</v>
      </c>
      <c r="AL303">
        <v>10</v>
      </c>
      <c r="AM303">
        <v>0</v>
      </c>
      <c r="AN303">
        <v>0</v>
      </c>
      <c r="AO303">
        <v>0</v>
      </c>
      <c r="AP303">
        <v>3</v>
      </c>
      <c r="AQ303" t="s">
        <v>10352</v>
      </c>
      <c r="AR303" t="s">
        <v>8637</v>
      </c>
      <c r="AS303" t="s">
        <v>10353</v>
      </c>
      <c r="AT303" t="s">
        <v>26687</v>
      </c>
      <c r="AU303" t="s">
        <v>26688</v>
      </c>
      <c r="AV303" t="s">
        <v>69</v>
      </c>
      <c r="AW303" t="s">
        <v>26689</v>
      </c>
      <c r="AX303" t="s">
        <v>26690</v>
      </c>
      <c r="AY303" t="s">
        <v>75</v>
      </c>
      <c r="AZ303">
        <v>2011</v>
      </c>
      <c r="BA303">
        <v>33</v>
      </c>
      <c r="BB303">
        <v>4</v>
      </c>
      <c r="BC303" t="s">
        <v>69</v>
      </c>
      <c r="BD303" t="s">
        <v>69</v>
      </c>
      <c r="BE303" t="s">
        <v>69</v>
      </c>
      <c r="BF303" t="s">
        <v>69</v>
      </c>
      <c r="BG303">
        <v>624</v>
      </c>
      <c r="BH303">
        <v>629</v>
      </c>
      <c r="BI303" t="s">
        <v>69</v>
      </c>
      <c r="BJ303" t="s">
        <v>26691</v>
      </c>
      <c r="BK303" t="str">
        <f>HYPERLINK("http://dx.doi.org/10.1093/pubmed/fdr079","http://dx.doi.org/10.1093/pubmed/fdr079")</f>
        <v>http://dx.doi.org/10.1093/pubmed/fdr079</v>
      </c>
      <c r="BL303" t="s">
        <v>69</v>
      </c>
      <c r="BM303" t="s">
        <v>69</v>
      </c>
      <c r="BN303">
        <v>6</v>
      </c>
      <c r="BO303" t="s">
        <v>8810</v>
      </c>
      <c r="BP303" t="s">
        <v>8523</v>
      </c>
      <c r="BQ303" t="s">
        <v>8810</v>
      </c>
      <c r="BR303" t="s">
        <v>26692</v>
      </c>
      <c r="BS303" t="s">
        <v>26693</v>
      </c>
      <c r="BT303">
        <v>21994435</v>
      </c>
      <c r="BU303" t="s">
        <v>9374</v>
      </c>
      <c r="BV303" t="s">
        <v>69</v>
      </c>
      <c r="BW303" t="s">
        <v>69</v>
      </c>
      <c r="BX303" t="s">
        <v>8526</v>
      </c>
      <c r="BY303" t="str">
        <f>HYPERLINK("https%3A%2F%2Fwww.webofscience.com%2Fwos%2Fwoscc%2Ffull-record%2FWOS:000297225300023","View Full Record in Web of Science")</f>
        <v>View Full Record in Web of Science</v>
      </c>
    </row>
    <row r="304" spans="1:77" ht="12.5" x14ac:dyDescent="0.25">
      <c r="A304" t="s">
        <v>8495</v>
      </c>
      <c r="B304" s="22" t="s">
        <v>32931</v>
      </c>
      <c r="C304" s="7"/>
      <c r="D304" s="7"/>
      <c r="E304" s="7"/>
      <c r="F304" t="s">
        <v>67</v>
      </c>
      <c r="G304" t="s">
        <v>29274</v>
      </c>
      <c r="H304" t="s">
        <v>69</v>
      </c>
      <c r="I304" t="s">
        <v>69</v>
      </c>
      <c r="J304" t="s">
        <v>69</v>
      </c>
      <c r="K304" t="s">
        <v>29275</v>
      </c>
      <c r="L304" t="s">
        <v>69</v>
      </c>
      <c r="M304" t="s">
        <v>69</v>
      </c>
      <c r="N304" t="s">
        <v>29276</v>
      </c>
      <c r="O304" t="s">
        <v>29277</v>
      </c>
      <c r="P304" t="s">
        <v>69</v>
      </c>
      <c r="Q304" t="s">
        <v>69</v>
      </c>
      <c r="R304" t="s">
        <v>25721</v>
      </c>
      <c r="S304" t="s">
        <v>8506</v>
      </c>
      <c r="T304" t="s">
        <v>69</v>
      </c>
      <c r="U304" t="s">
        <v>69</v>
      </c>
      <c r="V304" t="s">
        <v>69</v>
      </c>
      <c r="W304" t="s">
        <v>69</v>
      </c>
      <c r="X304" t="s">
        <v>69</v>
      </c>
      <c r="Y304" t="s">
        <v>29278</v>
      </c>
      <c r="Z304" t="s">
        <v>29279</v>
      </c>
      <c r="AA304" t="s">
        <v>29280</v>
      </c>
      <c r="AB304" t="s">
        <v>29281</v>
      </c>
      <c r="AC304" t="s">
        <v>69</v>
      </c>
      <c r="AD304" t="s">
        <v>29282</v>
      </c>
      <c r="AE304" t="s">
        <v>69</v>
      </c>
      <c r="AF304" t="s">
        <v>29283</v>
      </c>
      <c r="AG304" t="s">
        <v>69</v>
      </c>
      <c r="AH304" t="s">
        <v>69</v>
      </c>
      <c r="AI304" t="s">
        <v>69</v>
      </c>
      <c r="AJ304" t="s">
        <v>69</v>
      </c>
      <c r="AK304" t="s">
        <v>69</v>
      </c>
      <c r="AL304">
        <v>44</v>
      </c>
      <c r="AM304">
        <v>11</v>
      </c>
      <c r="AN304">
        <v>11</v>
      </c>
      <c r="AO304">
        <v>0</v>
      </c>
      <c r="AP304">
        <v>5</v>
      </c>
      <c r="AQ304" t="s">
        <v>29284</v>
      </c>
      <c r="AR304" t="s">
        <v>29285</v>
      </c>
      <c r="AS304" t="s">
        <v>29286</v>
      </c>
      <c r="AT304" t="s">
        <v>29287</v>
      </c>
      <c r="AU304" t="s">
        <v>69</v>
      </c>
      <c r="AV304" t="s">
        <v>69</v>
      </c>
      <c r="AW304" t="s">
        <v>29288</v>
      </c>
      <c r="AX304" t="s">
        <v>29289</v>
      </c>
      <c r="AY304" t="s">
        <v>94</v>
      </c>
      <c r="AZ304">
        <v>2008</v>
      </c>
      <c r="BA304">
        <v>41</v>
      </c>
      <c r="BB304">
        <v>1</v>
      </c>
      <c r="BC304" t="s">
        <v>69</v>
      </c>
      <c r="BD304" t="s">
        <v>69</v>
      </c>
      <c r="BE304" t="s">
        <v>69</v>
      </c>
      <c r="BF304" t="s">
        <v>69</v>
      </c>
      <c r="BG304">
        <v>43</v>
      </c>
      <c r="BH304">
        <v>72</v>
      </c>
      <c r="BI304" t="s">
        <v>69</v>
      </c>
      <c r="BJ304" t="s">
        <v>69</v>
      </c>
      <c r="BK304" t="s">
        <v>69</v>
      </c>
      <c r="BL304" t="s">
        <v>69</v>
      </c>
      <c r="BM304" t="s">
        <v>69</v>
      </c>
      <c r="BN304">
        <v>30</v>
      </c>
      <c r="BO304" t="s">
        <v>12182</v>
      </c>
      <c r="BP304" t="s">
        <v>8661</v>
      </c>
      <c r="BQ304" t="s">
        <v>12182</v>
      </c>
      <c r="BR304" t="s">
        <v>29290</v>
      </c>
      <c r="BS304" t="s">
        <v>29291</v>
      </c>
      <c r="BT304" t="s">
        <v>69</v>
      </c>
      <c r="BU304" t="s">
        <v>69</v>
      </c>
      <c r="BV304" t="s">
        <v>69</v>
      </c>
      <c r="BW304" t="s">
        <v>69</v>
      </c>
      <c r="BX304" t="s">
        <v>8526</v>
      </c>
      <c r="BY304" t="str">
        <f>HYPERLINK("https%3A%2F%2Fwww.webofscience.com%2Fwos%2Fwoscc%2Ffull-record%2FWOS:000259022100003","View Full Record in Web of Science")</f>
        <v>View Full Record in Web of Science</v>
      </c>
    </row>
    <row r="305" spans="1:77" ht="12.5" x14ac:dyDescent="0.25">
      <c r="A305" t="s">
        <v>8495</v>
      </c>
      <c r="B305" s="7" t="s">
        <v>32933</v>
      </c>
      <c r="C305" s="7"/>
      <c r="D305" s="7"/>
      <c r="E305" s="7"/>
      <c r="F305" t="s">
        <v>67</v>
      </c>
      <c r="G305" t="s">
        <v>7005</v>
      </c>
      <c r="H305" t="s">
        <v>69</v>
      </c>
      <c r="I305" t="s">
        <v>69</v>
      </c>
      <c r="J305" t="s">
        <v>69</v>
      </c>
      <c r="K305" t="s">
        <v>7006</v>
      </c>
      <c r="L305" t="s">
        <v>69</v>
      </c>
      <c r="M305" t="s">
        <v>69</v>
      </c>
      <c r="N305" t="s">
        <v>7007</v>
      </c>
      <c r="O305" t="s">
        <v>7008</v>
      </c>
      <c r="P305" t="s">
        <v>69</v>
      </c>
      <c r="Q305" t="s">
        <v>69</v>
      </c>
      <c r="R305" t="s">
        <v>23259</v>
      </c>
      <c r="S305" t="s">
        <v>8506</v>
      </c>
      <c r="T305" t="s">
        <v>69</v>
      </c>
      <c r="U305" t="s">
        <v>69</v>
      </c>
      <c r="V305" t="s">
        <v>69</v>
      </c>
      <c r="W305" t="s">
        <v>69</v>
      </c>
      <c r="X305" t="s">
        <v>69</v>
      </c>
      <c r="Y305" t="s">
        <v>23260</v>
      </c>
      <c r="Z305" t="s">
        <v>69</v>
      </c>
      <c r="AA305" t="s">
        <v>7009</v>
      </c>
      <c r="AB305" t="s">
        <v>23261</v>
      </c>
      <c r="AC305" t="s">
        <v>69</v>
      </c>
      <c r="AD305" t="s">
        <v>23262</v>
      </c>
      <c r="AE305" t="s">
        <v>69</v>
      </c>
      <c r="AF305" t="s">
        <v>69</v>
      </c>
      <c r="AG305" t="s">
        <v>69</v>
      </c>
      <c r="AH305" t="s">
        <v>69</v>
      </c>
      <c r="AI305" t="s">
        <v>69</v>
      </c>
      <c r="AJ305" t="s">
        <v>69</v>
      </c>
      <c r="AK305" t="s">
        <v>69</v>
      </c>
      <c r="AL305">
        <v>12</v>
      </c>
      <c r="AM305">
        <v>3</v>
      </c>
      <c r="AN305">
        <v>3</v>
      </c>
      <c r="AO305">
        <v>1</v>
      </c>
      <c r="AP305">
        <v>1</v>
      </c>
      <c r="AQ305" t="s">
        <v>23263</v>
      </c>
      <c r="AR305" t="s">
        <v>17913</v>
      </c>
      <c r="AS305" t="s">
        <v>23264</v>
      </c>
      <c r="AT305" t="s">
        <v>7010</v>
      </c>
      <c r="AU305" t="s">
        <v>7011</v>
      </c>
      <c r="AV305" t="s">
        <v>69</v>
      </c>
      <c r="AW305" t="s">
        <v>23265</v>
      </c>
      <c r="AX305" t="s">
        <v>23266</v>
      </c>
      <c r="AY305" t="s">
        <v>69</v>
      </c>
      <c r="AZ305">
        <v>2015</v>
      </c>
      <c r="BA305">
        <v>124</v>
      </c>
      <c r="BB305">
        <v>6</v>
      </c>
      <c r="BC305" t="s">
        <v>69</v>
      </c>
      <c r="BD305" t="s">
        <v>69</v>
      </c>
      <c r="BE305" t="s">
        <v>114</v>
      </c>
      <c r="BF305" t="s">
        <v>69</v>
      </c>
      <c r="BG305">
        <v>979</v>
      </c>
      <c r="BH305">
        <v>993</v>
      </c>
      <c r="BI305" t="s">
        <v>69</v>
      </c>
      <c r="BJ305" t="s">
        <v>7012</v>
      </c>
      <c r="BK305" t="str">
        <f>HYPERLINK("http://dx.doi.org/10.5026/jgeography.124.979","http://dx.doi.org/10.5026/jgeography.124.979")</f>
        <v>http://dx.doi.org/10.5026/jgeography.124.979</v>
      </c>
      <c r="BL305" t="s">
        <v>69</v>
      </c>
      <c r="BM305" t="s">
        <v>69</v>
      </c>
      <c r="BN305">
        <v>15</v>
      </c>
      <c r="BO305" t="s">
        <v>21471</v>
      </c>
      <c r="BP305" t="s">
        <v>8573</v>
      </c>
      <c r="BQ305" t="s">
        <v>21472</v>
      </c>
      <c r="BR305" t="s">
        <v>23267</v>
      </c>
      <c r="BS305" t="s">
        <v>7013</v>
      </c>
      <c r="BT305" t="s">
        <v>69</v>
      </c>
      <c r="BU305" t="s">
        <v>9374</v>
      </c>
      <c r="BV305" t="s">
        <v>69</v>
      </c>
      <c r="BW305" t="s">
        <v>69</v>
      </c>
      <c r="BX305" t="s">
        <v>8526</v>
      </c>
      <c r="BY305" t="str">
        <f>HYPERLINK("https%3A%2F%2Fwww.webofscience.com%2Fwos%2Fwoscc%2Ffull-record%2FWOS:000446310800008","View Full Record in Web of Science")</f>
        <v>View Full Record in Web of Science</v>
      </c>
    </row>
    <row r="306" spans="1:77" ht="12.5" x14ac:dyDescent="0.25">
      <c r="A306" t="s">
        <v>8495</v>
      </c>
      <c r="B306" s="22" t="s">
        <v>32931</v>
      </c>
      <c r="C306" s="7"/>
      <c r="D306" s="7"/>
      <c r="E306" s="7"/>
      <c r="F306" t="s">
        <v>67</v>
      </c>
      <c r="G306" t="s">
        <v>21942</v>
      </c>
      <c r="H306" t="s">
        <v>69</v>
      </c>
      <c r="I306" t="s">
        <v>69</v>
      </c>
      <c r="J306" t="s">
        <v>69</v>
      </c>
      <c r="K306" t="s">
        <v>21943</v>
      </c>
      <c r="L306" t="s">
        <v>69</v>
      </c>
      <c r="M306" t="s">
        <v>69</v>
      </c>
      <c r="N306" t="s">
        <v>21944</v>
      </c>
      <c r="O306" t="s">
        <v>21945</v>
      </c>
      <c r="P306" t="s">
        <v>69</v>
      </c>
      <c r="Q306" t="s">
        <v>69</v>
      </c>
      <c r="R306" t="s">
        <v>10153</v>
      </c>
      <c r="S306" t="s">
        <v>8506</v>
      </c>
      <c r="T306" t="s">
        <v>69</v>
      </c>
      <c r="U306" t="s">
        <v>69</v>
      </c>
      <c r="V306" t="s">
        <v>69</v>
      </c>
      <c r="W306" t="s">
        <v>69</v>
      </c>
      <c r="X306" t="s">
        <v>69</v>
      </c>
      <c r="Y306" t="s">
        <v>21946</v>
      </c>
      <c r="Z306" t="s">
        <v>69</v>
      </c>
      <c r="AA306" t="s">
        <v>21947</v>
      </c>
      <c r="AB306" t="s">
        <v>21948</v>
      </c>
      <c r="AC306" t="s">
        <v>69</v>
      </c>
      <c r="AD306" t="s">
        <v>21949</v>
      </c>
      <c r="AE306" t="s">
        <v>21950</v>
      </c>
      <c r="AF306" t="s">
        <v>21951</v>
      </c>
      <c r="AG306" t="s">
        <v>21952</v>
      </c>
      <c r="AH306" t="s">
        <v>69</v>
      </c>
      <c r="AI306" t="s">
        <v>69</v>
      </c>
      <c r="AJ306" t="s">
        <v>69</v>
      </c>
      <c r="AK306" t="s">
        <v>69</v>
      </c>
      <c r="AL306">
        <v>30</v>
      </c>
      <c r="AM306">
        <v>0</v>
      </c>
      <c r="AN306">
        <v>0</v>
      </c>
      <c r="AO306">
        <v>1</v>
      </c>
      <c r="AP306">
        <v>7</v>
      </c>
      <c r="AQ306" t="s">
        <v>21953</v>
      </c>
      <c r="AR306" t="s">
        <v>21954</v>
      </c>
      <c r="AS306" t="s">
        <v>21955</v>
      </c>
      <c r="AT306" t="s">
        <v>21956</v>
      </c>
      <c r="AU306" t="s">
        <v>69</v>
      </c>
      <c r="AV306" t="s">
        <v>69</v>
      </c>
      <c r="AW306" t="s">
        <v>21957</v>
      </c>
      <c r="AX306" t="s">
        <v>21958</v>
      </c>
      <c r="AY306" t="s">
        <v>602</v>
      </c>
      <c r="AZ306">
        <v>2016</v>
      </c>
      <c r="BA306">
        <v>6</v>
      </c>
      <c r="BB306">
        <v>1</v>
      </c>
      <c r="BC306" t="s">
        <v>69</v>
      </c>
      <c r="BD306" t="s">
        <v>69</v>
      </c>
      <c r="BE306" t="s">
        <v>69</v>
      </c>
      <c r="BF306" t="s">
        <v>69</v>
      </c>
      <c r="BG306">
        <v>2909</v>
      </c>
      <c r="BH306">
        <v>2924</v>
      </c>
      <c r="BI306" t="s">
        <v>69</v>
      </c>
      <c r="BJ306" t="s">
        <v>21959</v>
      </c>
      <c r="BK306" t="str">
        <f>HYPERLINK("http://dx.doi.org/10.7198/S2237-0722201600010014","http://dx.doi.org/10.7198/S2237-0722201600010014")</f>
        <v>http://dx.doi.org/10.7198/S2237-0722201600010014</v>
      </c>
      <c r="BL306" t="s">
        <v>69</v>
      </c>
      <c r="BM306" t="s">
        <v>69</v>
      </c>
      <c r="BN306">
        <v>16</v>
      </c>
      <c r="BO306" t="s">
        <v>9410</v>
      </c>
      <c r="BP306" t="s">
        <v>8573</v>
      </c>
      <c r="BQ306" t="s">
        <v>8594</v>
      </c>
      <c r="BR306" t="s">
        <v>21960</v>
      </c>
      <c r="BS306" t="s">
        <v>21961</v>
      </c>
      <c r="BT306" t="s">
        <v>69</v>
      </c>
      <c r="BU306" t="s">
        <v>10423</v>
      </c>
      <c r="BV306" t="s">
        <v>69</v>
      </c>
      <c r="BW306" t="s">
        <v>69</v>
      </c>
      <c r="BX306" t="s">
        <v>8526</v>
      </c>
      <c r="BY306" t="str">
        <f>HYPERLINK("https%3A%2F%2Fwww.webofscience.com%2Fwos%2Fwoscc%2Ffull-record%2FWOS:000394613100014","View Full Record in Web of Science")</f>
        <v>View Full Record in Web of Science</v>
      </c>
    </row>
    <row r="307" spans="1:77" ht="12.5" x14ac:dyDescent="0.25">
      <c r="A307" t="s">
        <v>8495</v>
      </c>
      <c r="B307" s="22" t="s">
        <v>32931</v>
      </c>
      <c r="C307" s="7"/>
      <c r="D307" s="7"/>
      <c r="E307" s="7"/>
      <c r="F307" t="s">
        <v>67</v>
      </c>
      <c r="G307" t="s">
        <v>29692</v>
      </c>
      <c r="H307" t="s">
        <v>69</v>
      </c>
      <c r="I307" t="s">
        <v>69</v>
      </c>
      <c r="J307" t="s">
        <v>69</v>
      </c>
      <c r="K307" t="s">
        <v>29693</v>
      </c>
      <c r="L307" t="s">
        <v>69</v>
      </c>
      <c r="M307" t="s">
        <v>69</v>
      </c>
      <c r="N307" t="s">
        <v>29694</v>
      </c>
      <c r="O307" t="s">
        <v>29695</v>
      </c>
      <c r="P307" t="s">
        <v>69</v>
      </c>
      <c r="Q307" t="s">
        <v>69</v>
      </c>
      <c r="R307" t="s">
        <v>10071</v>
      </c>
      <c r="S307" t="s">
        <v>8506</v>
      </c>
      <c r="T307" t="s">
        <v>69</v>
      </c>
      <c r="U307" t="s">
        <v>69</v>
      </c>
      <c r="V307" t="s">
        <v>69</v>
      </c>
      <c r="W307" t="s">
        <v>69</v>
      </c>
      <c r="X307" t="s">
        <v>69</v>
      </c>
      <c r="Y307" t="s">
        <v>29696</v>
      </c>
      <c r="Z307" t="s">
        <v>69</v>
      </c>
      <c r="AA307" t="s">
        <v>29697</v>
      </c>
      <c r="AB307" t="s">
        <v>29698</v>
      </c>
      <c r="AC307" t="s">
        <v>69</v>
      </c>
      <c r="AD307" t="s">
        <v>29699</v>
      </c>
      <c r="AE307" t="s">
        <v>69</v>
      </c>
      <c r="AF307" t="s">
        <v>69</v>
      </c>
      <c r="AG307" t="s">
        <v>69</v>
      </c>
      <c r="AH307" t="s">
        <v>69</v>
      </c>
      <c r="AI307" t="s">
        <v>69</v>
      </c>
      <c r="AJ307" t="s">
        <v>69</v>
      </c>
      <c r="AK307" t="s">
        <v>69</v>
      </c>
      <c r="AL307">
        <v>20</v>
      </c>
      <c r="AM307">
        <v>0</v>
      </c>
      <c r="AN307">
        <v>0</v>
      </c>
      <c r="AO307">
        <v>0</v>
      </c>
      <c r="AP307">
        <v>0</v>
      </c>
      <c r="AQ307" t="s">
        <v>29700</v>
      </c>
      <c r="AR307" t="s">
        <v>29701</v>
      </c>
      <c r="AS307" t="s">
        <v>29702</v>
      </c>
      <c r="AT307" t="s">
        <v>29703</v>
      </c>
      <c r="AU307" t="s">
        <v>69</v>
      </c>
      <c r="AV307" t="s">
        <v>69</v>
      </c>
      <c r="AW307" t="s">
        <v>29704</v>
      </c>
      <c r="AX307" t="s">
        <v>29705</v>
      </c>
      <c r="AY307" t="s">
        <v>155</v>
      </c>
      <c r="AZ307">
        <v>2007</v>
      </c>
      <c r="BA307">
        <v>9</v>
      </c>
      <c r="BB307">
        <v>17</v>
      </c>
      <c r="BC307" t="s">
        <v>69</v>
      </c>
      <c r="BD307" t="s">
        <v>69</v>
      </c>
      <c r="BE307" t="s">
        <v>69</v>
      </c>
      <c r="BF307" t="s">
        <v>69</v>
      </c>
      <c r="BG307">
        <v>172</v>
      </c>
      <c r="BH307">
        <v>186</v>
      </c>
      <c r="BI307" t="s">
        <v>69</v>
      </c>
      <c r="BJ307" t="s">
        <v>69</v>
      </c>
      <c r="BK307" t="s">
        <v>69</v>
      </c>
      <c r="BL307" t="s">
        <v>69</v>
      </c>
      <c r="BM307" t="s">
        <v>69</v>
      </c>
      <c r="BN307">
        <v>15</v>
      </c>
      <c r="BO307" t="s">
        <v>13241</v>
      </c>
      <c r="BP307" t="s">
        <v>8573</v>
      </c>
      <c r="BQ307" t="s">
        <v>10084</v>
      </c>
      <c r="BR307" t="s">
        <v>29706</v>
      </c>
      <c r="BS307" t="s">
        <v>29707</v>
      </c>
      <c r="BT307" t="s">
        <v>69</v>
      </c>
      <c r="BU307" t="s">
        <v>69</v>
      </c>
      <c r="BV307" t="s">
        <v>69</v>
      </c>
      <c r="BW307" t="s">
        <v>69</v>
      </c>
      <c r="BX307" t="s">
        <v>8526</v>
      </c>
      <c r="BY307" t="str">
        <f>HYPERLINK("https%3A%2F%2Fwww.webofscience.com%2Fwos%2Fwoscc%2Ffull-record%2FWOS:000217009100014","View Full Record in Web of Science")</f>
        <v>View Full Record in Web of Science</v>
      </c>
    </row>
    <row r="308" spans="1:77" ht="12.5" x14ac:dyDescent="0.25">
      <c r="A308" t="s">
        <v>8495</v>
      </c>
      <c r="B308" s="7" t="s">
        <v>32933</v>
      </c>
      <c r="C308" s="7"/>
      <c r="D308" s="7"/>
      <c r="E308" s="7"/>
      <c r="F308" t="s">
        <v>67</v>
      </c>
      <c r="G308" t="s">
        <v>6006</v>
      </c>
      <c r="H308" t="s">
        <v>69</v>
      </c>
      <c r="I308" t="s">
        <v>69</v>
      </c>
      <c r="J308" t="s">
        <v>69</v>
      </c>
      <c r="K308" t="s">
        <v>6007</v>
      </c>
      <c r="L308" t="s">
        <v>69</v>
      </c>
      <c r="M308" t="s">
        <v>69</v>
      </c>
      <c r="N308" t="s">
        <v>6008</v>
      </c>
      <c r="O308" t="s">
        <v>6009</v>
      </c>
      <c r="P308" t="s">
        <v>69</v>
      </c>
      <c r="Q308" t="s">
        <v>69</v>
      </c>
      <c r="R308" t="s">
        <v>8505</v>
      </c>
      <c r="S308" t="s">
        <v>8506</v>
      </c>
      <c r="T308" t="s">
        <v>69</v>
      </c>
      <c r="U308" t="s">
        <v>69</v>
      </c>
      <c r="V308" t="s">
        <v>69</v>
      </c>
      <c r="W308" t="s">
        <v>69</v>
      </c>
      <c r="X308" t="s">
        <v>69</v>
      </c>
      <c r="Y308" t="s">
        <v>69</v>
      </c>
      <c r="Z308" t="s">
        <v>29044</v>
      </c>
      <c r="AA308" t="s">
        <v>6010</v>
      </c>
      <c r="AB308" t="s">
        <v>29045</v>
      </c>
      <c r="AC308" t="s">
        <v>69</v>
      </c>
      <c r="AD308" t="s">
        <v>29046</v>
      </c>
      <c r="AE308" t="s">
        <v>29047</v>
      </c>
      <c r="AF308" t="s">
        <v>69</v>
      </c>
      <c r="AG308" t="s">
        <v>69</v>
      </c>
      <c r="AH308" t="s">
        <v>69</v>
      </c>
      <c r="AI308" t="s">
        <v>69</v>
      </c>
      <c r="AJ308" t="s">
        <v>69</v>
      </c>
      <c r="AK308" t="s">
        <v>69</v>
      </c>
      <c r="AL308">
        <v>48</v>
      </c>
      <c r="AM308">
        <v>38</v>
      </c>
      <c r="AN308">
        <v>38</v>
      </c>
      <c r="AO308">
        <v>1</v>
      </c>
      <c r="AP308">
        <v>45</v>
      </c>
      <c r="AQ308" t="s">
        <v>28353</v>
      </c>
      <c r="AR308" t="s">
        <v>28354</v>
      </c>
      <c r="AS308" t="s">
        <v>28355</v>
      </c>
      <c r="AT308" t="s">
        <v>6011</v>
      </c>
      <c r="AU308" t="s">
        <v>69</v>
      </c>
      <c r="AV308" t="s">
        <v>69</v>
      </c>
      <c r="AW308" t="s">
        <v>29048</v>
      </c>
      <c r="AX308" t="s">
        <v>29049</v>
      </c>
      <c r="AY308" t="s">
        <v>274</v>
      </c>
      <c r="AZ308">
        <v>2008</v>
      </c>
      <c r="BA308">
        <v>29</v>
      </c>
      <c r="BB308">
        <v>8</v>
      </c>
      <c r="BC308" t="s">
        <v>69</v>
      </c>
      <c r="BD308" t="s">
        <v>69</v>
      </c>
      <c r="BE308" t="s">
        <v>114</v>
      </c>
      <c r="BF308" t="s">
        <v>69</v>
      </c>
      <c r="BG308">
        <v>1101</v>
      </c>
      <c r="BH308">
        <v>1121</v>
      </c>
      <c r="BI308" t="s">
        <v>69</v>
      </c>
      <c r="BJ308" t="s">
        <v>6012</v>
      </c>
      <c r="BK308" t="str">
        <f>HYPERLINK("http://dx.doi.org/10.1002/job.557","http://dx.doi.org/10.1002/job.557")</f>
        <v>http://dx.doi.org/10.1002/job.557</v>
      </c>
      <c r="BL308" t="s">
        <v>69</v>
      </c>
      <c r="BM308" t="s">
        <v>69</v>
      </c>
      <c r="BN308">
        <v>21</v>
      </c>
      <c r="BO308" t="s">
        <v>23099</v>
      </c>
      <c r="BP308" t="s">
        <v>8661</v>
      </c>
      <c r="BQ308" t="s">
        <v>23100</v>
      </c>
      <c r="BR308" t="s">
        <v>29050</v>
      </c>
      <c r="BS308" t="s">
        <v>6013</v>
      </c>
      <c r="BT308" t="s">
        <v>69</v>
      </c>
      <c r="BU308" t="s">
        <v>69</v>
      </c>
      <c r="BV308" t="s">
        <v>69</v>
      </c>
      <c r="BW308" t="s">
        <v>69</v>
      </c>
      <c r="BX308" t="s">
        <v>8526</v>
      </c>
      <c r="BY308" t="str">
        <f>HYPERLINK("https%3A%2F%2Fwww.webofscience.com%2Fwos%2Fwoscc%2Ffull-record%2FWOS:000261207900006","View Full Record in Web of Science")</f>
        <v>View Full Record in Web of Science</v>
      </c>
    </row>
    <row r="309" spans="1:77" ht="12.5" x14ac:dyDescent="0.25">
      <c r="A309" t="s">
        <v>8495</v>
      </c>
      <c r="B309" s="7" t="s">
        <v>32933</v>
      </c>
      <c r="C309" s="7"/>
      <c r="D309" s="7"/>
      <c r="E309" s="7"/>
      <c r="F309" t="s">
        <v>67</v>
      </c>
      <c r="G309" t="s">
        <v>1996</v>
      </c>
      <c r="H309" t="s">
        <v>69</v>
      </c>
      <c r="I309" t="s">
        <v>69</v>
      </c>
      <c r="J309" t="s">
        <v>69</v>
      </c>
      <c r="K309" t="s">
        <v>1997</v>
      </c>
      <c r="L309" t="s">
        <v>69</v>
      </c>
      <c r="M309" t="s">
        <v>69</v>
      </c>
      <c r="N309" t="s">
        <v>1998</v>
      </c>
      <c r="O309" t="s">
        <v>1999</v>
      </c>
      <c r="P309" t="s">
        <v>69</v>
      </c>
      <c r="Q309" t="s">
        <v>69</v>
      </c>
      <c r="R309" t="s">
        <v>8505</v>
      </c>
      <c r="S309" t="s">
        <v>8506</v>
      </c>
      <c r="T309" t="s">
        <v>69</v>
      </c>
      <c r="U309" t="s">
        <v>69</v>
      </c>
      <c r="V309" t="s">
        <v>69</v>
      </c>
      <c r="W309" t="s">
        <v>69</v>
      </c>
      <c r="X309" t="s">
        <v>69</v>
      </c>
      <c r="Y309" t="s">
        <v>15430</v>
      </c>
      <c r="Z309" t="s">
        <v>15431</v>
      </c>
      <c r="AA309" t="s">
        <v>2000</v>
      </c>
      <c r="AB309" t="s">
        <v>15432</v>
      </c>
      <c r="AC309" t="s">
        <v>69</v>
      </c>
      <c r="AD309" t="s">
        <v>15433</v>
      </c>
      <c r="AE309" t="s">
        <v>15434</v>
      </c>
      <c r="AF309" t="s">
        <v>69</v>
      </c>
      <c r="AG309" t="s">
        <v>15435</v>
      </c>
      <c r="AH309" t="s">
        <v>69</v>
      </c>
      <c r="AI309" t="s">
        <v>69</v>
      </c>
      <c r="AJ309" t="s">
        <v>69</v>
      </c>
      <c r="AK309" t="s">
        <v>69</v>
      </c>
      <c r="AL309">
        <v>82</v>
      </c>
      <c r="AM309">
        <v>6</v>
      </c>
      <c r="AN309">
        <v>6</v>
      </c>
      <c r="AO309">
        <v>2</v>
      </c>
      <c r="AP309">
        <v>18</v>
      </c>
      <c r="AQ309" t="s">
        <v>8586</v>
      </c>
      <c r="AR309" t="s">
        <v>8587</v>
      </c>
      <c r="AS309" t="s">
        <v>8588</v>
      </c>
      <c r="AT309" t="s">
        <v>2001</v>
      </c>
      <c r="AU309" t="s">
        <v>2002</v>
      </c>
      <c r="AV309" t="s">
        <v>69</v>
      </c>
      <c r="AW309" t="s">
        <v>15436</v>
      </c>
      <c r="AX309" t="s">
        <v>15437</v>
      </c>
      <c r="AY309" t="s">
        <v>2003</v>
      </c>
      <c r="AZ309">
        <v>2020</v>
      </c>
      <c r="BA309">
        <v>42</v>
      </c>
      <c r="BB309">
        <v>5</v>
      </c>
      <c r="BC309" t="s">
        <v>69</v>
      </c>
      <c r="BD309" t="s">
        <v>69</v>
      </c>
      <c r="BE309" t="s">
        <v>114</v>
      </c>
      <c r="BF309" t="s">
        <v>69</v>
      </c>
      <c r="BG309">
        <v>1159</v>
      </c>
      <c r="BH309">
        <v>1177</v>
      </c>
      <c r="BI309" t="s">
        <v>69</v>
      </c>
      <c r="BJ309" t="s">
        <v>2004</v>
      </c>
      <c r="BK309" t="str">
        <f>HYPERLINK("http://dx.doi.org/10.1108/ER-08-2019-0327","http://dx.doi.org/10.1108/ER-08-2019-0327")</f>
        <v>http://dx.doi.org/10.1108/ER-08-2019-0327</v>
      </c>
      <c r="BL309" t="s">
        <v>69</v>
      </c>
      <c r="BM309" t="s">
        <v>767</v>
      </c>
      <c r="BN309">
        <v>19</v>
      </c>
      <c r="BO309" t="s">
        <v>15438</v>
      </c>
      <c r="BP309" t="s">
        <v>8661</v>
      </c>
      <c r="BQ309" t="s">
        <v>8594</v>
      </c>
      <c r="BR309" t="s">
        <v>15439</v>
      </c>
      <c r="BS309" t="s">
        <v>2005</v>
      </c>
      <c r="BT309" t="s">
        <v>69</v>
      </c>
      <c r="BU309" t="s">
        <v>10995</v>
      </c>
      <c r="BV309" t="s">
        <v>69</v>
      </c>
      <c r="BW309" t="s">
        <v>69</v>
      </c>
      <c r="BX309" t="s">
        <v>8526</v>
      </c>
      <c r="BY309" t="str">
        <f>HYPERLINK("https%3A%2F%2Fwww.webofscience.com%2Fwos%2Fwoscc%2Ffull-record%2FWOS:000522864100001","View Full Record in Web of Science")</f>
        <v>View Full Record in Web of Science</v>
      </c>
    </row>
    <row r="310" spans="1:77" ht="12.5" x14ac:dyDescent="0.25">
      <c r="A310" t="s">
        <v>8495</v>
      </c>
      <c r="B310" s="7" t="s">
        <v>32933</v>
      </c>
      <c r="C310" s="7"/>
      <c r="D310" s="7"/>
      <c r="E310" s="7"/>
      <c r="F310" t="s">
        <v>67</v>
      </c>
      <c r="G310" t="s">
        <v>7268</v>
      </c>
      <c r="H310" t="s">
        <v>69</v>
      </c>
      <c r="I310" t="s">
        <v>69</v>
      </c>
      <c r="J310" t="s">
        <v>69</v>
      </c>
      <c r="K310" t="s">
        <v>7268</v>
      </c>
      <c r="L310" t="s">
        <v>69</v>
      </c>
      <c r="M310" t="s">
        <v>69</v>
      </c>
      <c r="N310" t="s">
        <v>7269</v>
      </c>
      <c r="O310" t="s">
        <v>294</v>
      </c>
      <c r="P310" t="s">
        <v>69</v>
      </c>
      <c r="Q310" t="s">
        <v>69</v>
      </c>
      <c r="R310" t="s">
        <v>8505</v>
      </c>
      <c r="S310" t="s">
        <v>8506</v>
      </c>
      <c r="T310" t="s">
        <v>69</v>
      </c>
      <c r="U310" t="s">
        <v>69</v>
      </c>
      <c r="V310" t="s">
        <v>69</v>
      </c>
      <c r="W310" t="s">
        <v>69</v>
      </c>
      <c r="X310" t="s">
        <v>69</v>
      </c>
      <c r="Y310" t="s">
        <v>30850</v>
      </c>
      <c r="Z310" t="s">
        <v>69</v>
      </c>
      <c r="AA310" t="s">
        <v>7270</v>
      </c>
      <c r="AB310" t="s">
        <v>30851</v>
      </c>
      <c r="AC310" t="s">
        <v>69</v>
      </c>
      <c r="AD310" t="s">
        <v>30852</v>
      </c>
      <c r="AE310" t="s">
        <v>30853</v>
      </c>
      <c r="AF310" t="s">
        <v>69</v>
      </c>
      <c r="AG310" t="s">
        <v>69</v>
      </c>
      <c r="AH310" t="s">
        <v>69</v>
      </c>
      <c r="AI310" t="s">
        <v>69</v>
      </c>
      <c r="AJ310" t="s">
        <v>69</v>
      </c>
      <c r="AK310" t="s">
        <v>69</v>
      </c>
      <c r="AL310">
        <v>7</v>
      </c>
      <c r="AM310">
        <v>12</v>
      </c>
      <c r="AN310">
        <v>13</v>
      </c>
      <c r="AO310">
        <v>0</v>
      </c>
      <c r="AP310">
        <v>28</v>
      </c>
      <c r="AQ310" t="s">
        <v>30854</v>
      </c>
      <c r="AR310" t="s">
        <v>30855</v>
      </c>
      <c r="AS310" t="s">
        <v>30856</v>
      </c>
      <c r="AT310" t="s">
        <v>297</v>
      </c>
      <c r="AU310" t="s">
        <v>69</v>
      </c>
      <c r="AV310" t="s">
        <v>69</v>
      </c>
      <c r="AW310" t="s">
        <v>13428</v>
      </c>
      <c r="AX310" t="s">
        <v>13429</v>
      </c>
      <c r="AY310" t="s">
        <v>69</v>
      </c>
      <c r="AZ310">
        <v>2005</v>
      </c>
      <c r="BA310">
        <v>12</v>
      </c>
      <c r="BB310">
        <v>1</v>
      </c>
      <c r="BC310" t="s">
        <v>69</v>
      </c>
      <c r="BD310" t="s">
        <v>69</v>
      </c>
      <c r="BE310" t="s">
        <v>69</v>
      </c>
      <c r="BF310" t="s">
        <v>69</v>
      </c>
      <c r="BG310">
        <v>49</v>
      </c>
      <c r="BH310">
        <v>53</v>
      </c>
      <c r="BI310" t="s">
        <v>69</v>
      </c>
      <c r="BJ310" t="s">
        <v>7271</v>
      </c>
      <c r="BK310" t="str">
        <f>HYPERLINK("http://dx.doi.org/10.1065/espr2004.12.227","http://dx.doi.org/10.1065/espr2004.12.227")</f>
        <v>http://dx.doi.org/10.1065/espr2004.12.227</v>
      </c>
      <c r="BL310" t="s">
        <v>69</v>
      </c>
      <c r="BM310" t="s">
        <v>69</v>
      </c>
      <c r="BN310">
        <v>5</v>
      </c>
      <c r="BO310" t="s">
        <v>8717</v>
      </c>
      <c r="BP310" t="s">
        <v>8548</v>
      </c>
      <c r="BQ310" t="s">
        <v>8662</v>
      </c>
      <c r="BR310" t="s">
        <v>30857</v>
      </c>
      <c r="BS310" t="s">
        <v>7272</v>
      </c>
      <c r="BT310">
        <v>15768740</v>
      </c>
      <c r="BU310" t="s">
        <v>69</v>
      </c>
      <c r="BV310" t="s">
        <v>69</v>
      </c>
      <c r="BW310" t="s">
        <v>69</v>
      </c>
      <c r="BX310" t="s">
        <v>8526</v>
      </c>
      <c r="BY310" t="str">
        <f>HYPERLINK("https%3A%2F%2Fwww.webofscience.com%2Fwos%2Fwoscc%2Ffull-record%2FWOS:000226735600008","View Full Record in Web of Science")</f>
        <v>View Full Record in Web of Science</v>
      </c>
    </row>
    <row r="311" spans="1:77" ht="12.5" x14ac:dyDescent="0.25">
      <c r="A311" t="s">
        <v>8495</v>
      </c>
      <c r="B311" s="7" t="s">
        <v>32933</v>
      </c>
      <c r="C311" s="7"/>
      <c r="D311" s="7"/>
      <c r="E311" s="7"/>
      <c r="F311" t="s">
        <v>67</v>
      </c>
      <c r="G311" t="s">
        <v>5564</v>
      </c>
      <c r="H311" t="s">
        <v>69</v>
      </c>
      <c r="I311" t="s">
        <v>69</v>
      </c>
      <c r="J311" t="s">
        <v>69</v>
      </c>
      <c r="K311" t="s">
        <v>5565</v>
      </c>
      <c r="L311" t="s">
        <v>69</v>
      </c>
      <c r="M311" t="s">
        <v>69</v>
      </c>
      <c r="N311" t="s">
        <v>6158</v>
      </c>
      <c r="O311" t="s">
        <v>5567</v>
      </c>
      <c r="P311" t="s">
        <v>69</v>
      </c>
      <c r="Q311" t="s">
        <v>69</v>
      </c>
      <c r="R311" t="s">
        <v>8505</v>
      </c>
      <c r="S311" t="s">
        <v>8442</v>
      </c>
      <c r="T311" t="s">
        <v>69</v>
      </c>
      <c r="U311" t="s">
        <v>69</v>
      </c>
      <c r="V311" t="s">
        <v>69</v>
      </c>
      <c r="W311" t="s">
        <v>69</v>
      </c>
      <c r="X311" t="s">
        <v>69</v>
      </c>
      <c r="Y311" t="s">
        <v>18020</v>
      </c>
      <c r="Z311" t="s">
        <v>18021</v>
      </c>
      <c r="AA311" t="s">
        <v>6159</v>
      </c>
      <c r="AB311" t="s">
        <v>17395</v>
      </c>
      <c r="AC311" t="s">
        <v>69</v>
      </c>
      <c r="AD311" t="s">
        <v>17396</v>
      </c>
      <c r="AE311" t="s">
        <v>17397</v>
      </c>
      <c r="AF311" t="s">
        <v>5569</v>
      </c>
      <c r="AG311" t="s">
        <v>5570</v>
      </c>
      <c r="AH311" t="s">
        <v>69</v>
      </c>
      <c r="AI311" t="s">
        <v>69</v>
      </c>
      <c r="AJ311" t="s">
        <v>69</v>
      </c>
      <c r="AK311" t="s">
        <v>69</v>
      </c>
      <c r="AL311">
        <v>21</v>
      </c>
      <c r="AM311">
        <v>1</v>
      </c>
      <c r="AN311">
        <v>1</v>
      </c>
      <c r="AO311">
        <v>2</v>
      </c>
      <c r="AP311">
        <v>4</v>
      </c>
      <c r="AQ311" t="s">
        <v>17400</v>
      </c>
      <c r="AR311" t="s">
        <v>17401</v>
      </c>
      <c r="AS311" t="s">
        <v>17402</v>
      </c>
      <c r="AT311" t="s">
        <v>5571</v>
      </c>
      <c r="AU311" t="s">
        <v>5572</v>
      </c>
      <c r="AV311" t="s">
        <v>69</v>
      </c>
      <c r="AW311" t="s">
        <v>17403</v>
      </c>
      <c r="AX311" t="s">
        <v>17404</v>
      </c>
      <c r="AY311" t="s">
        <v>75</v>
      </c>
      <c r="AZ311">
        <v>2018</v>
      </c>
      <c r="BA311">
        <v>6</v>
      </c>
      <c r="BB311">
        <v>3</v>
      </c>
      <c r="BC311" t="s">
        <v>69</v>
      </c>
      <c r="BD311" t="s">
        <v>69</v>
      </c>
      <c r="BE311" t="s">
        <v>69</v>
      </c>
      <c r="BF311" t="s">
        <v>69</v>
      </c>
      <c r="BG311">
        <v>656</v>
      </c>
      <c r="BH311">
        <v>663</v>
      </c>
      <c r="BI311" t="s">
        <v>69</v>
      </c>
      <c r="BJ311" t="s">
        <v>6160</v>
      </c>
      <c r="BK311" t="str">
        <f>HYPERLINK("http://dx.doi.org/10.12944/CRNFSJ.6.3.07","http://dx.doi.org/10.12944/CRNFSJ.6.3.07")</f>
        <v>http://dx.doi.org/10.12944/CRNFSJ.6.3.07</v>
      </c>
      <c r="BL311" t="s">
        <v>69</v>
      </c>
      <c r="BM311" t="s">
        <v>69</v>
      </c>
      <c r="BN311">
        <v>8</v>
      </c>
      <c r="BO311" t="s">
        <v>17221</v>
      </c>
      <c r="BP311" t="s">
        <v>8573</v>
      </c>
      <c r="BQ311" t="s">
        <v>17221</v>
      </c>
      <c r="BR311" t="s">
        <v>18022</v>
      </c>
      <c r="BS311" t="s">
        <v>6161</v>
      </c>
      <c r="BT311" t="s">
        <v>69</v>
      </c>
      <c r="BU311" t="s">
        <v>8931</v>
      </c>
      <c r="BV311" t="s">
        <v>69</v>
      </c>
      <c r="BW311" t="s">
        <v>69</v>
      </c>
      <c r="BX311" t="s">
        <v>8526</v>
      </c>
      <c r="BY311" t="str">
        <f>HYPERLINK("https%3A%2F%2Fwww.webofscience.com%2Fwos%2Fwoscc%2Ffull-record%2FWOS:000457114000007","View Full Record in Web of Science")</f>
        <v>View Full Record in Web of Science</v>
      </c>
    </row>
    <row r="312" spans="1:77" ht="12.5" x14ac:dyDescent="0.25">
      <c r="A312" t="s">
        <v>8495</v>
      </c>
      <c r="B312" s="7" t="s">
        <v>32933</v>
      </c>
      <c r="C312" s="7"/>
      <c r="D312" s="7"/>
      <c r="E312" s="7"/>
      <c r="F312" t="s">
        <v>67</v>
      </c>
      <c r="G312" t="s">
        <v>5564</v>
      </c>
      <c r="H312" t="s">
        <v>69</v>
      </c>
      <c r="I312" t="s">
        <v>69</v>
      </c>
      <c r="J312" t="s">
        <v>69</v>
      </c>
      <c r="K312" t="s">
        <v>5565</v>
      </c>
      <c r="L312" t="s">
        <v>69</v>
      </c>
      <c r="M312" t="s">
        <v>69</v>
      </c>
      <c r="N312" t="s">
        <v>5566</v>
      </c>
      <c r="O312" t="s">
        <v>5567</v>
      </c>
      <c r="P312" t="s">
        <v>69</v>
      </c>
      <c r="Q312" t="s">
        <v>69</v>
      </c>
      <c r="R312" t="s">
        <v>8505</v>
      </c>
      <c r="S312" t="s">
        <v>8506</v>
      </c>
      <c r="T312" t="s">
        <v>69</v>
      </c>
      <c r="U312" t="s">
        <v>69</v>
      </c>
      <c r="V312" t="s">
        <v>69</v>
      </c>
      <c r="W312" t="s">
        <v>69</v>
      </c>
      <c r="X312" t="s">
        <v>69</v>
      </c>
      <c r="Y312" t="s">
        <v>17393</v>
      </c>
      <c r="Z312" t="s">
        <v>17394</v>
      </c>
      <c r="AA312" t="s">
        <v>5568</v>
      </c>
      <c r="AB312" t="s">
        <v>17395</v>
      </c>
      <c r="AC312" t="s">
        <v>69</v>
      </c>
      <c r="AD312" t="s">
        <v>17396</v>
      </c>
      <c r="AE312" t="s">
        <v>17397</v>
      </c>
      <c r="AF312" t="s">
        <v>5569</v>
      </c>
      <c r="AG312" t="s">
        <v>5570</v>
      </c>
      <c r="AH312" t="s">
        <v>17398</v>
      </c>
      <c r="AI312" t="s">
        <v>17398</v>
      </c>
      <c r="AJ312" t="s">
        <v>17399</v>
      </c>
      <c r="AK312" t="s">
        <v>69</v>
      </c>
      <c r="AL312">
        <v>41</v>
      </c>
      <c r="AM312">
        <v>1</v>
      </c>
      <c r="AN312">
        <v>1</v>
      </c>
      <c r="AO312">
        <v>0</v>
      </c>
      <c r="AP312">
        <v>4</v>
      </c>
      <c r="AQ312" t="s">
        <v>17400</v>
      </c>
      <c r="AR312" t="s">
        <v>17401</v>
      </c>
      <c r="AS312" t="s">
        <v>17402</v>
      </c>
      <c r="AT312" t="s">
        <v>5571</v>
      </c>
      <c r="AU312" t="s">
        <v>5572</v>
      </c>
      <c r="AV312" t="s">
        <v>69</v>
      </c>
      <c r="AW312" t="s">
        <v>17403</v>
      </c>
      <c r="AX312" t="s">
        <v>17404</v>
      </c>
      <c r="AY312" t="s">
        <v>246</v>
      </c>
      <c r="AZ312">
        <v>2019</v>
      </c>
      <c r="BA312">
        <v>7</v>
      </c>
      <c r="BB312">
        <v>1</v>
      </c>
      <c r="BC312" t="s">
        <v>69</v>
      </c>
      <c r="BD312" t="s">
        <v>69</v>
      </c>
      <c r="BE312" t="s">
        <v>69</v>
      </c>
      <c r="BF312" t="s">
        <v>69</v>
      </c>
      <c r="BG312">
        <v>41</v>
      </c>
      <c r="BH312">
        <v>51</v>
      </c>
      <c r="BI312" t="s">
        <v>69</v>
      </c>
      <c r="BJ312" t="s">
        <v>5573</v>
      </c>
      <c r="BK312" t="str">
        <f>HYPERLINK("http://dx.doi.org/10.12944/CRNFSJ.7.1.05","http://dx.doi.org/10.12944/CRNFSJ.7.1.05")</f>
        <v>http://dx.doi.org/10.12944/CRNFSJ.7.1.05</v>
      </c>
      <c r="BL312" t="s">
        <v>69</v>
      </c>
      <c r="BM312" t="s">
        <v>69</v>
      </c>
      <c r="BN312">
        <v>11</v>
      </c>
      <c r="BO312" t="s">
        <v>17221</v>
      </c>
      <c r="BP312" t="s">
        <v>8573</v>
      </c>
      <c r="BQ312" t="s">
        <v>17221</v>
      </c>
      <c r="BR312" t="s">
        <v>17405</v>
      </c>
      <c r="BS312" t="s">
        <v>5574</v>
      </c>
      <c r="BT312" t="s">
        <v>69</v>
      </c>
      <c r="BU312" t="s">
        <v>8931</v>
      </c>
      <c r="BV312" t="s">
        <v>69</v>
      </c>
      <c r="BW312" t="s">
        <v>69</v>
      </c>
      <c r="BX312" t="s">
        <v>8526</v>
      </c>
      <c r="BY312" t="str">
        <f>HYPERLINK("https%3A%2F%2Fwww.webofscience.com%2Fwos%2Fwoscc%2Ffull-record%2FWOS:000484353400005","View Full Record in Web of Science")</f>
        <v>View Full Record in Web of Science</v>
      </c>
    </row>
    <row r="313" spans="1:77" ht="12.5" x14ac:dyDescent="0.25">
      <c r="A313" t="s">
        <v>8495</v>
      </c>
      <c r="B313" s="22" t="s">
        <v>32931</v>
      </c>
      <c r="C313" s="7"/>
      <c r="D313" s="7"/>
      <c r="E313" s="7"/>
      <c r="F313" t="s">
        <v>67</v>
      </c>
      <c r="G313" t="s">
        <v>27936</v>
      </c>
      <c r="H313" t="s">
        <v>69</v>
      </c>
      <c r="I313" t="s">
        <v>69</v>
      </c>
      <c r="J313" t="s">
        <v>69</v>
      </c>
      <c r="K313" t="s">
        <v>27937</v>
      </c>
      <c r="L313" t="s">
        <v>69</v>
      </c>
      <c r="M313" t="s">
        <v>69</v>
      </c>
      <c r="N313" t="s">
        <v>27938</v>
      </c>
      <c r="O313" t="s">
        <v>27939</v>
      </c>
      <c r="P313" t="s">
        <v>69</v>
      </c>
      <c r="Q313" t="s">
        <v>69</v>
      </c>
      <c r="R313" t="s">
        <v>8505</v>
      </c>
      <c r="S313" t="s">
        <v>8506</v>
      </c>
      <c r="T313" t="s">
        <v>69</v>
      </c>
      <c r="U313" t="s">
        <v>69</v>
      </c>
      <c r="V313" t="s">
        <v>69</v>
      </c>
      <c r="W313" t="s">
        <v>69</v>
      </c>
      <c r="X313" t="s">
        <v>69</v>
      </c>
      <c r="Y313" t="s">
        <v>69</v>
      </c>
      <c r="Z313" t="s">
        <v>27940</v>
      </c>
      <c r="AA313" t="s">
        <v>27941</v>
      </c>
      <c r="AB313" t="s">
        <v>27942</v>
      </c>
      <c r="AC313" t="s">
        <v>69</v>
      </c>
      <c r="AD313" t="s">
        <v>27943</v>
      </c>
      <c r="AE313" t="s">
        <v>69</v>
      </c>
      <c r="AF313" t="s">
        <v>27944</v>
      </c>
      <c r="AG313" t="s">
        <v>27945</v>
      </c>
      <c r="AH313" t="s">
        <v>69</v>
      </c>
      <c r="AI313" t="s">
        <v>69</v>
      </c>
      <c r="AJ313" t="s">
        <v>69</v>
      </c>
      <c r="AK313" t="s">
        <v>69</v>
      </c>
      <c r="AL313">
        <v>51</v>
      </c>
      <c r="AM313">
        <v>35</v>
      </c>
      <c r="AN313">
        <v>35</v>
      </c>
      <c r="AO313">
        <v>0</v>
      </c>
      <c r="AP313">
        <v>6</v>
      </c>
      <c r="AQ313" t="s">
        <v>27946</v>
      </c>
      <c r="AR313" t="s">
        <v>8735</v>
      </c>
      <c r="AS313" t="s">
        <v>27947</v>
      </c>
      <c r="AT313" t="s">
        <v>27948</v>
      </c>
      <c r="AU313" t="s">
        <v>69</v>
      </c>
      <c r="AV313" t="s">
        <v>69</v>
      </c>
      <c r="AW313" t="s">
        <v>27939</v>
      </c>
      <c r="AX313" t="s">
        <v>27949</v>
      </c>
      <c r="AY313" t="s">
        <v>69</v>
      </c>
      <c r="AZ313">
        <v>2010</v>
      </c>
      <c r="BA313">
        <v>89</v>
      </c>
      <c r="BB313">
        <v>2</v>
      </c>
      <c r="BC313" t="s">
        <v>69</v>
      </c>
      <c r="BD313" t="s">
        <v>69</v>
      </c>
      <c r="BE313" t="s">
        <v>114</v>
      </c>
      <c r="BF313" t="s">
        <v>69</v>
      </c>
      <c r="BG313">
        <v>131</v>
      </c>
      <c r="BH313">
        <v>149</v>
      </c>
      <c r="BI313" t="s">
        <v>69</v>
      </c>
      <c r="BJ313" t="s">
        <v>69</v>
      </c>
      <c r="BK313" t="s">
        <v>69</v>
      </c>
      <c r="BL313" t="s">
        <v>69</v>
      </c>
      <c r="BM313" t="s">
        <v>69</v>
      </c>
      <c r="BN313">
        <v>19</v>
      </c>
      <c r="BO313" t="s">
        <v>27950</v>
      </c>
      <c r="BP313" t="s">
        <v>8661</v>
      </c>
      <c r="BQ313" t="s">
        <v>27950</v>
      </c>
      <c r="BR313" t="s">
        <v>27951</v>
      </c>
      <c r="BS313" t="s">
        <v>27952</v>
      </c>
      <c r="BT313">
        <v>20857884</v>
      </c>
      <c r="BU313" t="s">
        <v>69</v>
      </c>
      <c r="BV313" t="s">
        <v>69</v>
      </c>
      <c r="BW313" t="s">
        <v>69</v>
      </c>
      <c r="BX313" t="s">
        <v>8526</v>
      </c>
      <c r="BY313" t="str">
        <f>HYPERLINK("https%3A%2F%2Fwww.webofscience.com%2Fwos%2Fwoscc%2Ffull-record%2FWOS:000284202300010","View Full Record in Web of Science")</f>
        <v>View Full Record in Web of Science</v>
      </c>
    </row>
    <row r="314" spans="1:77" ht="12.5" x14ac:dyDescent="0.25">
      <c r="A314" t="s">
        <v>8495</v>
      </c>
      <c r="B314" s="7" t="s">
        <v>32933</v>
      </c>
      <c r="C314" s="7"/>
      <c r="D314" s="7"/>
      <c r="E314" s="7"/>
      <c r="F314" t="s">
        <v>67</v>
      </c>
      <c r="G314" t="s">
        <v>1011</v>
      </c>
      <c r="H314" t="s">
        <v>69</v>
      </c>
      <c r="I314" t="s">
        <v>69</v>
      </c>
      <c r="J314" t="s">
        <v>69</v>
      </c>
      <c r="K314" t="s">
        <v>1012</v>
      </c>
      <c r="L314" t="s">
        <v>69</v>
      </c>
      <c r="M314" t="s">
        <v>69</v>
      </c>
      <c r="N314" t="s">
        <v>1013</v>
      </c>
      <c r="O314" t="s">
        <v>1014</v>
      </c>
      <c r="P314" t="s">
        <v>69</v>
      </c>
      <c r="Q314" t="s">
        <v>69</v>
      </c>
      <c r="R314" t="s">
        <v>8505</v>
      </c>
      <c r="S314" t="s">
        <v>8506</v>
      </c>
      <c r="T314" t="s">
        <v>69</v>
      </c>
      <c r="U314" t="s">
        <v>69</v>
      </c>
      <c r="V314" t="s">
        <v>69</v>
      </c>
      <c r="W314" t="s">
        <v>69</v>
      </c>
      <c r="X314" t="s">
        <v>69</v>
      </c>
      <c r="Y314" t="s">
        <v>17667</v>
      </c>
      <c r="Z314" t="s">
        <v>69</v>
      </c>
      <c r="AA314" t="s">
        <v>1015</v>
      </c>
      <c r="AB314" t="s">
        <v>17668</v>
      </c>
      <c r="AC314" t="s">
        <v>69</v>
      </c>
      <c r="AD314" t="s">
        <v>17669</v>
      </c>
      <c r="AE314" t="s">
        <v>17670</v>
      </c>
      <c r="AF314" t="s">
        <v>69</v>
      </c>
      <c r="AG314" t="s">
        <v>69</v>
      </c>
      <c r="AH314" t="s">
        <v>69</v>
      </c>
      <c r="AI314" t="s">
        <v>69</v>
      </c>
      <c r="AJ314" t="s">
        <v>69</v>
      </c>
      <c r="AK314" t="s">
        <v>69</v>
      </c>
      <c r="AL314">
        <v>27</v>
      </c>
      <c r="AM314">
        <v>1</v>
      </c>
      <c r="AN314">
        <v>1</v>
      </c>
      <c r="AO314">
        <v>2</v>
      </c>
      <c r="AP314">
        <v>18</v>
      </c>
      <c r="AQ314" t="s">
        <v>17671</v>
      </c>
      <c r="AR314" t="s">
        <v>17672</v>
      </c>
      <c r="AS314" t="s">
        <v>17673</v>
      </c>
      <c r="AT314" t="s">
        <v>1016</v>
      </c>
      <c r="AU314" t="s">
        <v>1017</v>
      </c>
      <c r="AV314" t="s">
        <v>69</v>
      </c>
      <c r="AW314" t="s">
        <v>17674</v>
      </c>
      <c r="AX314" t="s">
        <v>17675</v>
      </c>
      <c r="AY314" t="s">
        <v>69</v>
      </c>
      <c r="AZ314">
        <v>2019</v>
      </c>
      <c r="BA314">
        <v>18</v>
      </c>
      <c r="BB314">
        <v>3</v>
      </c>
      <c r="BC314" t="s">
        <v>69</v>
      </c>
      <c r="BD314" t="s">
        <v>69</v>
      </c>
      <c r="BE314" t="s">
        <v>69</v>
      </c>
      <c r="BF314" t="s">
        <v>69</v>
      </c>
      <c r="BG314">
        <v>257</v>
      </c>
      <c r="BH314">
        <v>287</v>
      </c>
      <c r="BI314" t="s">
        <v>69</v>
      </c>
      <c r="BJ314" t="s">
        <v>1018</v>
      </c>
      <c r="BK314" t="str">
        <f>HYPERLINK("http://dx.doi.org/10.1163/15692108-12341428","http://dx.doi.org/10.1163/15692108-12341428")</f>
        <v>http://dx.doi.org/10.1163/15692108-12341428</v>
      </c>
      <c r="BL314" t="s">
        <v>69</v>
      </c>
      <c r="BM314" t="s">
        <v>69</v>
      </c>
      <c r="BN314">
        <v>31</v>
      </c>
      <c r="BO314" t="s">
        <v>17049</v>
      </c>
      <c r="BP314" t="s">
        <v>8661</v>
      </c>
      <c r="BQ314" t="s">
        <v>17049</v>
      </c>
      <c r="BR314" t="s">
        <v>17676</v>
      </c>
      <c r="BS314" t="s">
        <v>1019</v>
      </c>
      <c r="BT314" t="s">
        <v>69</v>
      </c>
      <c r="BU314" t="s">
        <v>69</v>
      </c>
      <c r="BV314" t="s">
        <v>69</v>
      </c>
      <c r="BW314" t="s">
        <v>69</v>
      </c>
      <c r="BX314" t="s">
        <v>8526</v>
      </c>
      <c r="BY314" t="str">
        <f>HYPERLINK("https%3A%2F%2Fwww.webofscience.com%2Fwos%2Fwoscc%2Ffull-record%2FWOS:000497198700002","View Full Record in Web of Science")</f>
        <v>View Full Record in Web of Science</v>
      </c>
    </row>
    <row r="315" spans="1:77" ht="12.5" x14ac:dyDescent="0.25">
      <c r="A315" t="s">
        <v>8495</v>
      </c>
      <c r="B315" s="7" t="s">
        <v>32933</v>
      </c>
      <c r="C315" s="7"/>
      <c r="D315" s="7"/>
      <c r="E315" s="7"/>
      <c r="F315" t="s">
        <v>627</v>
      </c>
      <c r="G315" t="s">
        <v>4002</v>
      </c>
      <c r="H315" t="s">
        <v>69</v>
      </c>
      <c r="I315" t="s">
        <v>4003</v>
      </c>
      <c r="J315" t="s">
        <v>69</v>
      </c>
      <c r="K315" t="s">
        <v>4002</v>
      </c>
      <c r="L315" t="s">
        <v>69</v>
      </c>
      <c r="M315" t="s">
        <v>69</v>
      </c>
      <c r="N315" t="s">
        <v>4004</v>
      </c>
      <c r="O315" t="s">
        <v>4005</v>
      </c>
      <c r="P315" t="s">
        <v>4006</v>
      </c>
      <c r="Q315" t="s">
        <v>69</v>
      </c>
      <c r="R315" t="s">
        <v>8505</v>
      </c>
      <c r="S315" t="s">
        <v>15797</v>
      </c>
      <c r="T315" t="s">
        <v>4007</v>
      </c>
      <c r="U315" t="s">
        <v>4008</v>
      </c>
      <c r="V315" t="s">
        <v>4009</v>
      </c>
      <c r="W315" t="s">
        <v>31312</v>
      </c>
      <c r="X315" t="s">
        <v>69</v>
      </c>
      <c r="Y315" t="s">
        <v>69</v>
      </c>
      <c r="Z315" t="s">
        <v>69</v>
      </c>
      <c r="AA315" t="s">
        <v>4010</v>
      </c>
      <c r="AB315" t="s">
        <v>31313</v>
      </c>
      <c r="AC315" t="s">
        <v>69</v>
      </c>
      <c r="AD315" t="s">
        <v>31314</v>
      </c>
      <c r="AE315" t="s">
        <v>31315</v>
      </c>
      <c r="AF315" t="s">
        <v>31316</v>
      </c>
      <c r="AG315" t="s">
        <v>69</v>
      </c>
      <c r="AH315" t="s">
        <v>69</v>
      </c>
      <c r="AI315" t="s">
        <v>69</v>
      </c>
      <c r="AJ315" t="s">
        <v>69</v>
      </c>
      <c r="AK315" t="s">
        <v>69</v>
      </c>
      <c r="AL315">
        <v>10</v>
      </c>
      <c r="AM315">
        <v>0</v>
      </c>
      <c r="AN315">
        <v>0</v>
      </c>
      <c r="AO315">
        <v>0</v>
      </c>
      <c r="AP315">
        <v>2</v>
      </c>
      <c r="AQ315" t="s">
        <v>30409</v>
      </c>
      <c r="AR315" t="s">
        <v>11361</v>
      </c>
      <c r="AS315" t="s">
        <v>30410</v>
      </c>
      <c r="AT315" t="s">
        <v>4011</v>
      </c>
      <c r="AU315" t="s">
        <v>69</v>
      </c>
      <c r="AV315" t="s">
        <v>4012</v>
      </c>
      <c r="AW315" t="s">
        <v>30412</v>
      </c>
      <c r="AX315" t="s">
        <v>69</v>
      </c>
      <c r="AY315" t="s">
        <v>69</v>
      </c>
      <c r="AZ315">
        <v>2003</v>
      </c>
      <c r="BA315">
        <v>2889</v>
      </c>
      <c r="BB315" t="s">
        <v>69</v>
      </c>
      <c r="BC315" t="s">
        <v>69</v>
      </c>
      <c r="BD315" t="s">
        <v>69</v>
      </c>
      <c r="BE315" t="s">
        <v>69</v>
      </c>
      <c r="BF315" t="s">
        <v>69</v>
      </c>
      <c r="BG315">
        <v>1031</v>
      </c>
      <c r="BH315">
        <v>1035</v>
      </c>
      <c r="BI315" t="s">
        <v>69</v>
      </c>
      <c r="BJ315" t="s">
        <v>69</v>
      </c>
      <c r="BK315" t="s">
        <v>69</v>
      </c>
      <c r="BL315" t="s">
        <v>69</v>
      </c>
      <c r="BM315" t="s">
        <v>69</v>
      </c>
      <c r="BN315">
        <v>5</v>
      </c>
      <c r="BO315" t="s">
        <v>31317</v>
      </c>
      <c r="BP315" t="s">
        <v>29550</v>
      </c>
      <c r="BQ315" t="s">
        <v>10976</v>
      </c>
      <c r="BR315" t="s">
        <v>31318</v>
      </c>
      <c r="BS315" t="s">
        <v>4013</v>
      </c>
      <c r="BT315" t="s">
        <v>69</v>
      </c>
      <c r="BU315" t="s">
        <v>69</v>
      </c>
      <c r="BV315" t="s">
        <v>69</v>
      </c>
      <c r="BW315" t="s">
        <v>69</v>
      </c>
      <c r="BX315" t="s">
        <v>8526</v>
      </c>
      <c r="BY315" t="str">
        <f>HYPERLINK("https%3A%2F%2Fwww.webofscience.com%2Fwos%2Fwoscc%2Ffull-record%2FWOS:000188513300097","View Full Record in Web of Science")</f>
        <v>View Full Record in Web of Science</v>
      </c>
    </row>
    <row r="316" spans="1:77" ht="12.5" x14ac:dyDescent="0.25">
      <c r="A316" t="s">
        <v>8495</v>
      </c>
      <c r="B316" s="7" t="s">
        <v>32933</v>
      </c>
      <c r="C316" s="7"/>
      <c r="D316" s="7"/>
      <c r="E316" s="7"/>
      <c r="F316" t="s">
        <v>67</v>
      </c>
      <c r="G316" t="s">
        <v>2006</v>
      </c>
      <c r="H316" t="s">
        <v>69</v>
      </c>
      <c r="I316" t="s">
        <v>69</v>
      </c>
      <c r="J316" t="s">
        <v>69</v>
      </c>
      <c r="K316" t="s">
        <v>2007</v>
      </c>
      <c r="L316" t="s">
        <v>69</v>
      </c>
      <c r="M316" t="s">
        <v>69</v>
      </c>
      <c r="N316" t="s">
        <v>2008</v>
      </c>
      <c r="O316" t="s">
        <v>2009</v>
      </c>
      <c r="P316" t="s">
        <v>69</v>
      </c>
      <c r="Q316" t="s">
        <v>69</v>
      </c>
      <c r="R316" t="s">
        <v>8505</v>
      </c>
      <c r="S316" t="s">
        <v>8506</v>
      </c>
      <c r="T316" t="s">
        <v>69</v>
      </c>
      <c r="U316" t="s">
        <v>69</v>
      </c>
      <c r="V316" t="s">
        <v>69</v>
      </c>
      <c r="W316" t="s">
        <v>69</v>
      </c>
      <c r="X316" t="s">
        <v>69</v>
      </c>
      <c r="Y316" t="s">
        <v>15485</v>
      </c>
      <c r="Z316" t="s">
        <v>69</v>
      </c>
      <c r="AA316" t="s">
        <v>2010</v>
      </c>
      <c r="AB316" t="s">
        <v>15486</v>
      </c>
      <c r="AC316" t="s">
        <v>69</v>
      </c>
      <c r="AD316" t="s">
        <v>15487</v>
      </c>
      <c r="AE316" t="s">
        <v>15488</v>
      </c>
      <c r="AF316" t="s">
        <v>69</v>
      </c>
      <c r="AG316" t="s">
        <v>15489</v>
      </c>
      <c r="AH316" t="s">
        <v>15490</v>
      </c>
      <c r="AI316" t="s">
        <v>15491</v>
      </c>
      <c r="AJ316" t="s">
        <v>15492</v>
      </c>
      <c r="AK316" t="s">
        <v>69</v>
      </c>
      <c r="AL316">
        <v>22</v>
      </c>
      <c r="AM316">
        <v>26</v>
      </c>
      <c r="AN316">
        <v>27</v>
      </c>
      <c r="AO316">
        <v>15</v>
      </c>
      <c r="AP316">
        <v>24</v>
      </c>
      <c r="AQ316" t="s">
        <v>8924</v>
      </c>
      <c r="AR316" t="s">
        <v>8925</v>
      </c>
      <c r="AS316" t="s">
        <v>8926</v>
      </c>
      <c r="AT316" t="s">
        <v>69</v>
      </c>
      <c r="AU316" t="s">
        <v>2011</v>
      </c>
      <c r="AV316" t="s">
        <v>69</v>
      </c>
      <c r="AW316" t="s">
        <v>11240</v>
      </c>
      <c r="AX316" t="s">
        <v>11240</v>
      </c>
      <c r="AY316" t="s">
        <v>246</v>
      </c>
      <c r="AZ316">
        <v>2020</v>
      </c>
      <c r="BA316">
        <v>10</v>
      </c>
      <c r="BB316">
        <v>4</v>
      </c>
      <c r="BC316" t="s">
        <v>69</v>
      </c>
      <c r="BD316" t="s">
        <v>69</v>
      </c>
      <c r="BE316" t="s">
        <v>69</v>
      </c>
      <c r="BF316" t="s">
        <v>69</v>
      </c>
      <c r="BG316" t="s">
        <v>69</v>
      </c>
      <c r="BH316" t="s">
        <v>69</v>
      </c>
      <c r="BI316">
        <v>77</v>
      </c>
      <c r="BJ316" t="s">
        <v>2012</v>
      </c>
      <c r="BK316" t="str">
        <f>HYPERLINK("http://dx.doi.org/10.3390/buildings10040077","http://dx.doi.org/10.3390/buildings10040077")</f>
        <v>http://dx.doi.org/10.3390/buildings10040077</v>
      </c>
      <c r="BL316" t="s">
        <v>69</v>
      </c>
      <c r="BM316" t="s">
        <v>69</v>
      </c>
      <c r="BN316">
        <v>16</v>
      </c>
      <c r="BO316" t="s">
        <v>11242</v>
      </c>
      <c r="BP316" t="s">
        <v>8548</v>
      </c>
      <c r="BQ316" t="s">
        <v>8549</v>
      </c>
      <c r="BR316" t="s">
        <v>15493</v>
      </c>
      <c r="BS316" t="s">
        <v>2013</v>
      </c>
      <c r="BT316" t="s">
        <v>69</v>
      </c>
      <c r="BU316" t="s">
        <v>8812</v>
      </c>
      <c r="BV316" t="s">
        <v>69</v>
      </c>
      <c r="BW316" t="s">
        <v>69</v>
      </c>
      <c r="BX316" t="s">
        <v>8526</v>
      </c>
      <c r="BY316" t="str">
        <f>HYPERLINK("https%3A%2F%2Fwww.webofscience.com%2Fwos%2Fwoscc%2Ffull-record%2FWOS:000533888400013","View Full Record in Web of Science")</f>
        <v>View Full Record in Web of Science</v>
      </c>
    </row>
    <row r="317" spans="1:77" ht="12.5" x14ac:dyDescent="0.25">
      <c r="A317" t="s">
        <v>8495</v>
      </c>
      <c r="B317" s="7" t="s">
        <v>32933</v>
      </c>
      <c r="C317" s="7"/>
      <c r="D317" s="7"/>
      <c r="E317" s="7"/>
      <c r="F317" t="s">
        <v>67</v>
      </c>
      <c r="G317" t="s">
        <v>8062</v>
      </c>
      <c r="H317" t="s">
        <v>69</v>
      </c>
      <c r="I317" t="s">
        <v>69</v>
      </c>
      <c r="J317" t="s">
        <v>69</v>
      </c>
      <c r="K317" t="s">
        <v>8063</v>
      </c>
      <c r="L317" t="s">
        <v>69</v>
      </c>
      <c r="M317" t="s">
        <v>69</v>
      </c>
      <c r="N317" t="s">
        <v>8064</v>
      </c>
      <c r="O317" t="s">
        <v>436</v>
      </c>
      <c r="P317" t="s">
        <v>69</v>
      </c>
      <c r="Q317" t="s">
        <v>69</v>
      </c>
      <c r="R317" t="s">
        <v>8505</v>
      </c>
      <c r="S317" t="s">
        <v>8506</v>
      </c>
      <c r="T317" t="s">
        <v>69</v>
      </c>
      <c r="U317" t="s">
        <v>69</v>
      </c>
      <c r="V317" t="s">
        <v>69</v>
      </c>
      <c r="W317" t="s">
        <v>69</v>
      </c>
      <c r="X317" t="s">
        <v>69</v>
      </c>
      <c r="Y317" t="s">
        <v>17116</v>
      </c>
      <c r="Z317" t="s">
        <v>17117</v>
      </c>
      <c r="AA317" t="s">
        <v>8065</v>
      </c>
      <c r="AB317" t="s">
        <v>17118</v>
      </c>
      <c r="AC317" t="s">
        <v>69</v>
      </c>
      <c r="AD317" t="s">
        <v>17119</v>
      </c>
      <c r="AE317" t="s">
        <v>17120</v>
      </c>
      <c r="AF317" t="s">
        <v>69</v>
      </c>
      <c r="AG317" t="s">
        <v>69</v>
      </c>
      <c r="AH317" t="s">
        <v>17121</v>
      </c>
      <c r="AI317" t="s">
        <v>17121</v>
      </c>
      <c r="AJ317" t="s">
        <v>17122</v>
      </c>
      <c r="AK317" t="s">
        <v>69</v>
      </c>
      <c r="AL317">
        <v>130</v>
      </c>
      <c r="AM317">
        <v>73</v>
      </c>
      <c r="AN317">
        <v>73</v>
      </c>
      <c r="AO317">
        <v>10</v>
      </c>
      <c r="AP317">
        <v>72</v>
      </c>
      <c r="AQ317" t="s">
        <v>8636</v>
      </c>
      <c r="AR317" t="s">
        <v>8637</v>
      </c>
      <c r="AS317" t="s">
        <v>8638</v>
      </c>
      <c r="AT317" t="s">
        <v>440</v>
      </c>
      <c r="AU317" t="s">
        <v>441</v>
      </c>
      <c r="AV317" t="s">
        <v>69</v>
      </c>
      <c r="AW317" t="s">
        <v>8639</v>
      </c>
      <c r="AX317" t="s">
        <v>8640</v>
      </c>
      <c r="AY317" t="s">
        <v>2216</v>
      </c>
      <c r="AZ317">
        <v>2019</v>
      </c>
      <c r="BA317">
        <v>224</v>
      </c>
      <c r="BB317" t="s">
        <v>69</v>
      </c>
      <c r="BC317" t="s">
        <v>69</v>
      </c>
      <c r="BD317" t="s">
        <v>69</v>
      </c>
      <c r="BE317" t="s">
        <v>69</v>
      </c>
      <c r="BF317" t="s">
        <v>69</v>
      </c>
      <c r="BG317">
        <v>361</v>
      </c>
      <c r="BH317">
        <v>374</v>
      </c>
      <c r="BI317" t="s">
        <v>69</v>
      </c>
      <c r="BJ317" t="s">
        <v>8066</v>
      </c>
      <c r="BK317" t="str">
        <f>HYPERLINK("http://dx.doi.org/10.1016/j.jclepro.2019.03.115","http://dx.doi.org/10.1016/j.jclepro.2019.03.115")</f>
        <v>http://dx.doi.org/10.1016/j.jclepro.2019.03.115</v>
      </c>
      <c r="BL317" t="s">
        <v>69</v>
      </c>
      <c r="BM317" t="s">
        <v>69</v>
      </c>
      <c r="BN317">
        <v>14</v>
      </c>
      <c r="BO317" t="s">
        <v>8643</v>
      </c>
      <c r="BP317" t="s">
        <v>8523</v>
      </c>
      <c r="BQ317" t="s">
        <v>8644</v>
      </c>
      <c r="BR317" t="s">
        <v>17123</v>
      </c>
      <c r="BS317" t="s">
        <v>8067</v>
      </c>
      <c r="BT317" t="s">
        <v>69</v>
      </c>
      <c r="BU317" t="s">
        <v>69</v>
      </c>
      <c r="BV317" t="s">
        <v>69</v>
      </c>
      <c r="BW317" t="s">
        <v>69</v>
      </c>
      <c r="BX317" t="s">
        <v>8526</v>
      </c>
      <c r="BY317" t="str">
        <f>HYPERLINK("https%3A%2F%2Fwww.webofscience.com%2Fwos%2Fwoscc%2Ffull-record%2FWOS:000469151900032","View Full Record in Web of Science")</f>
        <v>View Full Record in Web of Science</v>
      </c>
    </row>
    <row r="318" spans="1:77" ht="12.5" x14ac:dyDescent="0.25">
      <c r="A318" t="s">
        <v>8495</v>
      </c>
      <c r="B318" s="7" t="s">
        <v>32933</v>
      </c>
      <c r="C318" s="7"/>
      <c r="D318" s="7"/>
      <c r="E318" s="7"/>
      <c r="F318" t="s">
        <v>67</v>
      </c>
      <c r="G318" t="s">
        <v>1797</v>
      </c>
      <c r="H318" t="s">
        <v>69</v>
      </c>
      <c r="I318" t="s">
        <v>69</v>
      </c>
      <c r="J318" t="s">
        <v>69</v>
      </c>
      <c r="K318" t="s">
        <v>1797</v>
      </c>
      <c r="L318" t="s">
        <v>69</v>
      </c>
      <c r="M318" t="s">
        <v>69</v>
      </c>
      <c r="N318" t="s">
        <v>1798</v>
      </c>
      <c r="O318" t="s">
        <v>1799</v>
      </c>
      <c r="P318" t="s">
        <v>69</v>
      </c>
      <c r="Q318" t="s">
        <v>69</v>
      </c>
      <c r="R318" t="s">
        <v>8505</v>
      </c>
      <c r="S318" t="s">
        <v>8506</v>
      </c>
      <c r="T318" t="s">
        <v>69</v>
      </c>
      <c r="U318" t="s">
        <v>69</v>
      </c>
      <c r="V318" t="s">
        <v>69</v>
      </c>
      <c r="W318" t="s">
        <v>69</v>
      </c>
      <c r="X318" t="s">
        <v>69</v>
      </c>
      <c r="Y318" t="s">
        <v>32592</v>
      </c>
      <c r="Z318" t="s">
        <v>32593</v>
      </c>
      <c r="AA318" t="s">
        <v>1800</v>
      </c>
      <c r="AB318" t="s">
        <v>69</v>
      </c>
      <c r="AC318" t="s">
        <v>69</v>
      </c>
      <c r="AD318" t="s">
        <v>32594</v>
      </c>
      <c r="AE318" t="s">
        <v>69</v>
      </c>
      <c r="AF318" t="s">
        <v>69</v>
      </c>
      <c r="AG318" t="s">
        <v>69</v>
      </c>
      <c r="AH318" t="s">
        <v>69</v>
      </c>
      <c r="AI318" t="s">
        <v>69</v>
      </c>
      <c r="AJ318" t="s">
        <v>69</v>
      </c>
      <c r="AK318" t="s">
        <v>69</v>
      </c>
      <c r="AL318">
        <v>35</v>
      </c>
      <c r="AM318">
        <v>67</v>
      </c>
      <c r="AN318">
        <v>68</v>
      </c>
      <c r="AO318">
        <v>0</v>
      </c>
      <c r="AP318">
        <v>4</v>
      </c>
      <c r="AQ318" t="s">
        <v>32595</v>
      </c>
      <c r="AR318" t="s">
        <v>8693</v>
      </c>
      <c r="AS318" t="s">
        <v>32596</v>
      </c>
      <c r="AT318" t="s">
        <v>1801</v>
      </c>
      <c r="AU318" t="s">
        <v>69</v>
      </c>
      <c r="AV318" t="s">
        <v>69</v>
      </c>
      <c r="AW318" t="s">
        <v>15128</v>
      </c>
      <c r="AX318" t="s">
        <v>15129</v>
      </c>
      <c r="AY318" t="s">
        <v>246</v>
      </c>
      <c r="AZ318">
        <v>1995</v>
      </c>
      <c r="BA318">
        <v>15</v>
      </c>
      <c r="BB318">
        <v>2</v>
      </c>
      <c r="BC318" t="s">
        <v>69</v>
      </c>
      <c r="BD318" t="s">
        <v>69</v>
      </c>
      <c r="BE318" t="s">
        <v>69</v>
      </c>
      <c r="BF318" t="s">
        <v>69</v>
      </c>
      <c r="BG318">
        <v>147</v>
      </c>
      <c r="BH318">
        <v>162</v>
      </c>
      <c r="BI318" t="s">
        <v>69</v>
      </c>
      <c r="BJ318" t="s">
        <v>1802</v>
      </c>
      <c r="BK318" t="str">
        <f>HYPERLINK("http://dx.doi.org/10.1111/j.1539-6924.1995.tb00309.x","http://dx.doi.org/10.1111/j.1539-6924.1995.tb00309.x")</f>
        <v>http://dx.doi.org/10.1111/j.1539-6924.1995.tb00309.x</v>
      </c>
      <c r="BL318" t="s">
        <v>69</v>
      </c>
      <c r="BM318" t="s">
        <v>69</v>
      </c>
      <c r="BN318">
        <v>16</v>
      </c>
      <c r="BO318" t="s">
        <v>15130</v>
      </c>
      <c r="BP318" t="s">
        <v>8661</v>
      </c>
      <c r="BQ318" t="s">
        <v>15131</v>
      </c>
      <c r="BR318" t="s">
        <v>32597</v>
      </c>
      <c r="BS318" t="s">
        <v>1803</v>
      </c>
      <c r="BT318" t="s">
        <v>69</v>
      </c>
      <c r="BU318" t="s">
        <v>69</v>
      </c>
      <c r="BV318" t="s">
        <v>69</v>
      </c>
      <c r="BW318" t="s">
        <v>69</v>
      </c>
      <c r="BX318" t="s">
        <v>8526</v>
      </c>
      <c r="BY318" t="str">
        <f>HYPERLINK("https%3A%2F%2Fwww.webofscience.com%2Fwos%2Fwoscc%2Ffull-record%2FWOS:A1995RE09100008","View Full Record in Web of Science")</f>
        <v>View Full Record in Web of Science</v>
      </c>
    </row>
    <row r="319" spans="1:77" x14ac:dyDescent="0.3">
      <c r="A319" t="s">
        <v>8495</v>
      </c>
      <c r="B319" s="10" t="s">
        <v>32956</v>
      </c>
      <c r="F319" t="s">
        <v>67</v>
      </c>
      <c r="G319" t="s">
        <v>4362</v>
      </c>
      <c r="H319" t="s">
        <v>69</v>
      </c>
      <c r="I319" t="s">
        <v>69</v>
      </c>
      <c r="J319" t="s">
        <v>69</v>
      </c>
      <c r="K319" s="2" t="s">
        <v>4363</v>
      </c>
      <c r="L319" t="s">
        <v>69</v>
      </c>
      <c r="M319" t="s">
        <v>69</v>
      </c>
      <c r="N319" s="2" t="s">
        <v>4364</v>
      </c>
      <c r="O319" t="s">
        <v>2116</v>
      </c>
      <c r="P319" t="s">
        <v>69</v>
      </c>
      <c r="Q319" t="s">
        <v>69</v>
      </c>
      <c r="R319" t="s">
        <v>8505</v>
      </c>
      <c r="S319" t="s">
        <v>8506</v>
      </c>
      <c r="T319" t="s">
        <v>69</v>
      </c>
      <c r="U319" t="s">
        <v>69</v>
      </c>
      <c r="V319" t="s">
        <v>69</v>
      </c>
      <c r="W319" t="s">
        <v>69</v>
      </c>
      <c r="X319" t="s">
        <v>69</v>
      </c>
      <c r="Y319" t="s">
        <v>15766</v>
      </c>
      <c r="Z319" t="s">
        <v>69</v>
      </c>
      <c r="AA319" t="s">
        <v>4365</v>
      </c>
      <c r="AB319" t="s">
        <v>15767</v>
      </c>
      <c r="AC319" t="s">
        <v>69</v>
      </c>
      <c r="AD319" t="s">
        <v>15768</v>
      </c>
      <c r="AE319" t="s">
        <v>15769</v>
      </c>
      <c r="AF319" t="s">
        <v>69</v>
      </c>
      <c r="AG319" t="s">
        <v>69</v>
      </c>
      <c r="AH319" t="s">
        <v>69</v>
      </c>
      <c r="AI319" t="s">
        <v>69</v>
      </c>
      <c r="AJ319" t="s">
        <v>69</v>
      </c>
      <c r="AK319" t="s">
        <v>69</v>
      </c>
      <c r="AL319">
        <v>21</v>
      </c>
      <c r="AM319">
        <v>20</v>
      </c>
      <c r="AN319">
        <v>20</v>
      </c>
      <c r="AO319">
        <v>1</v>
      </c>
      <c r="AP319">
        <v>11</v>
      </c>
      <c r="AQ319" t="s">
        <v>8992</v>
      </c>
      <c r="AR319" t="s">
        <v>8993</v>
      </c>
      <c r="AS319" t="s">
        <v>8994</v>
      </c>
      <c r="AT319" t="s">
        <v>69</v>
      </c>
      <c r="AU319" t="s">
        <v>2118</v>
      </c>
      <c r="AV319" t="s">
        <v>69</v>
      </c>
      <c r="AW319" t="s">
        <v>15770</v>
      </c>
      <c r="AX319" t="s">
        <v>15771</v>
      </c>
      <c r="AY319" t="s">
        <v>4366</v>
      </c>
      <c r="AZ319">
        <v>2020</v>
      </c>
      <c r="BA319">
        <v>7</v>
      </c>
      <c r="BB319" t="s">
        <v>69</v>
      </c>
      <c r="BC319" t="s">
        <v>69</v>
      </c>
      <c r="BD319" t="s">
        <v>69</v>
      </c>
      <c r="BE319" t="s">
        <v>69</v>
      </c>
      <c r="BF319" t="s">
        <v>69</v>
      </c>
      <c r="BG319" t="s">
        <v>69</v>
      </c>
      <c r="BH319" t="s">
        <v>69</v>
      </c>
      <c r="BI319">
        <v>201</v>
      </c>
      <c r="BJ319" t="s">
        <v>4367</v>
      </c>
      <c r="BK319" t="str">
        <f>HYPERLINK("http://dx.doi.org/10.3389/fenvs.2019.00201","http://dx.doi.org/10.3389/fenvs.2019.00201")</f>
        <v>http://dx.doi.org/10.3389/fenvs.2019.00201</v>
      </c>
      <c r="BL319" t="s">
        <v>69</v>
      </c>
      <c r="BM319" t="s">
        <v>69</v>
      </c>
      <c r="BN319">
        <v>10</v>
      </c>
      <c r="BO319" t="s">
        <v>8717</v>
      </c>
      <c r="BP319" t="s">
        <v>8548</v>
      </c>
      <c r="BQ319" t="s">
        <v>8662</v>
      </c>
      <c r="BR319" t="s">
        <v>15772</v>
      </c>
      <c r="BS319" t="s">
        <v>4368</v>
      </c>
      <c r="BT319" t="s">
        <v>69</v>
      </c>
      <c r="BU319" t="s">
        <v>8931</v>
      </c>
      <c r="BV319" t="s">
        <v>69</v>
      </c>
      <c r="BW319" t="s">
        <v>69</v>
      </c>
      <c r="BX319" t="s">
        <v>8526</v>
      </c>
      <c r="BY319" t="str">
        <f>HYPERLINK("https%3A%2F%2Fwww.webofscience.com%2Fwos%2Fwoscc%2Ffull-record%2FWOS:000518967300001","View Full Record in Web of Science")</f>
        <v>View Full Record in Web of Science</v>
      </c>
    </row>
    <row r="320" spans="1:77" ht="12.5" x14ac:dyDescent="0.25">
      <c r="A320" t="s">
        <v>8495</v>
      </c>
      <c r="B320" s="7" t="s">
        <v>32933</v>
      </c>
      <c r="C320" s="7"/>
      <c r="D320" s="7"/>
      <c r="E320" s="7"/>
      <c r="F320" t="s">
        <v>67</v>
      </c>
      <c r="G320" t="s">
        <v>2908</v>
      </c>
      <c r="H320" t="s">
        <v>69</v>
      </c>
      <c r="I320" t="s">
        <v>69</v>
      </c>
      <c r="J320" t="s">
        <v>69</v>
      </c>
      <c r="K320" t="s">
        <v>2909</v>
      </c>
      <c r="L320" t="s">
        <v>69</v>
      </c>
      <c r="M320" t="s">
        <v>69</v>
      </c>
      <c r="N320" t="s">
        <v>2910</v>
      </c>
      <c r="O320" t="s">
        <v>2911</v>
      </c>
      <c r="P320" t="s">
        <v>69</v>
      </c>
      <c r="Q320" t="s">
        <v>69</v>
      </c>
      <c r="R320" t="s">
        <v>8505</v>
      </c>
      <c r="S320" t="s">
        <v>8506</v>
      </c>
      <c r="T320" t="s">
        <v>69</v>
      </c>
      <c r="U320" t="s">
        <v>69</v>
      </c>
      <c r="V320" t="s">
        <v>69</v>
      </c>
      <c r="W320" t="s">
        <v>69</v>
      </c>
      <c r="X320" t="s">
        <v>69</v>
      </c>
      <c r="Y320" t="s">
        <v>21807</v>
      </c>
      <c r="Z320" t="s">
        <v>21808</v>
      </c>
      <c r="AA320" t="s">
        <v>2912</v>
      </c>
      <c r="AB320" t="s">
        <v>21809</v>
      </c>
      <c r="AC320" t="s">
        <v>69</v>
      </c>
      <c r="AD320" t="s">
        <v>21810</v>
      </c>
      <c r="AE320" t="s">
        <v>21811</v>
      </c>
      <c r="AF320" t="s">
        <v>69</v>
      </c>
      <c r="AG320" t="s">
        <v>69</v>
      </c>
      <c r="AH320" t="s">
        <v>69</v>
      </c>
      <c r="AI320" t="s">
        <v>69</v>
      </c>
      <c r="AJ320" t="s">
        <v>69</v>
      </c>
      <c r="AK320" t="s">
        <v>69</v>
      </c>
      <c r="AL320">
        <v>81</v>
      </c>
      <c r="AM320">
        <v>3</v>
      </c>
      <c r="AN320">
        <v>3</v>
      </c>
      <c r="AO320">
        <v>1</v>
      </c>
      <c r="AP320">
        <v>14</v>
      </c>
      <c r="AQ320" t="s">
        <v>9554</v>
      </c>
      <c r="AR320" t="s">
        <v>9555</v>
      </c>
      <c r="AS320" t="s">
        <v>9556</v>
      </c>
      <c r="AT320" t="s">
        <v>2913</v>
      </c>
      <c r="AU320" t="s">
        <v>2914</v>
      </c>
      <c r="AV320" t="s">
        <v>69</v>
      </c>
      <c r="AW320" t="s">
        <v>21812</v>
      </c>
      <c r="AX320" t="s">
        <v>21813</v>
      </c>
      <c r="AY320" t="s">
        <v>191</v>
      </c>
      <c r="AZ320">
        <v>2016</v>
      </c>
      <c r="BA320">
        <v>51</v>
      </c>
      <c r="BB320">
        <v>1</v>
      </c>
      <c r="BC320" t="s">
        <v>69</v>
      </c>
      <c r="BD320" t="s">
        <v>69</v>
      </c>
      <c r="BE320" t="s">
        <v>69</v>
      </c>
      <c r="BF320" t="s">
        <v>69</v>
      </c>
      <c r="BG320">
        <v>77</v>
      </c>
      <c r="BH320">
        <v>96</v>
      </c>
      <c r="BI320" t="s">
        <v>69</v>
      </c>
      <c r="BJ320" t="s">
        <v>2915</v>
      </c>
      <c r="BK320" t="str">
        <f>HYPERLINK("http://dx.doi.org/10.1177/0021909614552916","http://dx.doi.org/10.1177/0021909614552916")</f>
        <v>http://dx.doi.org/10.1177/0021909614552916</v>
      </c>
      <c r="BL320" t="s">
        <v>69</v>
      </c>
      <c r="BM320" t="s">
        <v>69</v>
      </c>
      <c r="BN320">
        <v>20</v>
      </c>
      <c r="BO320" t="s">
        <v>17049</v>
      </c>
      <c r="BP320" t="s">
        <v>8661</v>
      </c>
      <c r="BQ320" t="s">
        <v>17049</v>
      </c>
      <c r="BR320" t="s">
        <v>21814</v>
      </c>
      <c r="BS320" t="s">
        <v>2916</v>
      </c>
      <c r="BT320" t="s">
        <v>69</v>
      </c>
      <c r="BU320" t="s">
        <v>69</v>
      </c>
      <c r="BV320" t="s">
        <v>69</v>
      </c>
      <c r="BW320" t="s">
        <v>69</v>
      </c>
      <c r="BX320" t="s">
        <v>8526</v>
      </c>
      <c r="BY320" t="str">
        <f>HYPERLINK("https%3A%2F%2Fwww.webofscience.com%2Fwos%2Fwoscc%2Ffull-record%2FWOS:000369672800006","View Full Record in Web of Science")</f>
        <v>View Full Record in Web of Science</v>
      </c>
    </row>
    <row r="321" spans="1:77" ht="12.5" x14ac:dyDescent="0.25">
      <c r="A321" t="s">
        <v>8495</v>
      </c>
      <c r="B321" s="22" t="s">
        <v>32931</v>
      </c>
      <c r="C321" s="7"/>
      <c r="D321" s="7"/>
      <c r="E321" s="7"/>
      <c r="F321" t="s">
        <v>67</v>
      </c>
      <c r="G321" t="s">
        <v>32811</v>
      </c>
      <c r="H321" t="s">
        <v>69</v>
      </c>
      <c r="I321" t="s">
        <v>69</v>
      </c>
      <c r="J321" t="s">
        <v>69</v>
      </c>
      <c r="K321" t="s">
        <v>32811</v>
      </c>
      <c r="L321" t="s">
        <v>69</v>
      </c>
      <c r="M321" t="s">
        <v>69</v>
      </c>
      <c r="N321" t="s">
        <v>32812</v>
      </c>
      <c r="O321" t="s">
        <v>31929</v>
      </c>
      <c r="P321" t="s">
        <v>69</v>
      </c>
      <c r="Q321" t="s">
        <v>69</v>
      </c>
      <c r="R321" t="s">
        <v>8505</v>
      </c>
      <c r="S321" t="s">
        <v>8506</v>
      </c>
      <c r="T321" t="s">
        <v>69</v>
      </c>
      <c r="U321" t="s">
        <v>69</v>
      </c>
      <c r="V321" t="s">
        <v>69</v>
      </c>
      <c r="W321" t="s">
        <v>69</v>
      </c>
      <c r="X321" t="s">
        <v>69</v>
      </c>
      <c r="Y321" t="s">
        <v>32813</v>
      </c>
      <c r="Z321" t="s">
        <v>32814</v>
      </c>
      <c r="AA321" t="s">
        <v>32815</v>
      </c>
      <c r="AB321" t="s">
        <v>32816</v>
      </c>
      <c r="AC321" t="s">
        <v>69</v>
      </c>
      <c r="AD321" t="s">
        <v>69</v>
      </c>
      <c r="AE321" t="s">
        <v>69</v>
      </c>
      <c r="AF321" t="s">
        <v>69</v>
      </c>
      <c r="AG321" t="s">
        <v>69</v>
      </c>
      <c r="AH321" t="s">
        <v>69</v>
      </c>
      <c r="AI321" t="s">
        <v>69</v>
      </c>
      <c r="AJ321" t="s">
        <v>69</v>
      </c>
      <c r="AK321" t="s">
        <v>69</v>
      </c>
      <c r="AL321">
        <v>48</v>
      </c>
      <c r="AM321">
        <v>47</v>
      </c>
      <c r="AN321">
        <v>49</v>
      </c>
      <c r="AO321">
        <v>1</v>
      </c>
      <c r="AP321">
        <v>9</v>
      </c>
      <c r="AQ321" t="s">
        <v>32817</v>
      </c>
      <c r="AR321" t="s">
        <v>18549</v>
      </c>
      <c r="AS321" t="s">
        <v>32818</v>
      </c>
      <c r="AT321" t="s">
        <v>31937</v>
      </c>
      <c r="AU321" t="s">
        <v>69</v>
      </c>
      <c r="AV321" t="s">
        <v>69</v>
      </c>
      <c r="AW321" t="s">
        <v>31939</v>
      </c>
      <c r="AX321" t="s">
        <v>31940</v>
      </c>
      <c r="AY321" t="s">
        <v>246</v>
      </c>
      <c r="AZ321">
        <v>1993</v>
      </c>
      <c r="BA321">
        <v>21</v>
      </c>
      <c r="BB321">
        <v>4</v>
      </c>
      <c r="BC321" t="s">
        <v>69</v>
      </c>
      <c r="BD321" t="s">
        <v>69</v>
      </c>
      <c r="BE321" t="s">
        <v>69</v>
      </c>
      <c r="BF321" t="s">
        <v>69</v>
      </c>
      <c r="BG321">
        <v>598</v>
      </c>
      <c r="BH321">
        <v>606</v>
      </c>
      <c r="BI321" t="s">
        <v>69</v>
      </c>
      <c r="BJ321" t="s">
        <v>32819</v>
      </c>
      <c r="BK321" t="str">
        <f>HYPERLINK("http://dx.doi.org/10.1097/00003246-199304000-00022","http://dx.doi.org/10.1097/00003246-199304000-00022")</f>
        <v>http://dx.doi.org/10.1097/00003246-199304000-00022</v>
      </c>
      <c r="BL321" t="s">
        <v>69</v>
      </c>
      <c r="BM321" t="s">
        <v>69</v>
      </c>
      <c r="BN321">
        <v>9</v>
      </c>
      <c r="BO321" t="s">
        <v>22637</v>
      </c>
      <c r="BP321" t="s">
        <v>8548</v>
      </c>
      <c r="BQ321" t="s">
        <v>9451</v>
      </c>
      <c r="BR321" t="s">
        <v>32820</v>
      </c>
      <c r="BS321" t="s">
        <v>32821</v>
      </c>
      <c r="BT321">
        <v>8472581</v>
      </c>
      <c r="BU321" t="s">
        <v>69</v>
      </c>
      <c r="BV321" t="s">
        <v>69</v>
      </c>
      <c r="BW321" t="s">
        <v>69</v>
      </c>
      <c r="BX321" t="s">
        <v>8526</v>
      </c>
      <c r="BY321" t="str">
        <f>HYPERLINK("https%3A%2F%2Fwww.webofscience.com%2Fwos%2Fwoscc%2Ffull-record%2FWOS:A1993KY91900022","View Full Record in Web of Science")</f>
        <v>View Full Record in Web of Science</v>
      </c>
    </row>
    <row r="322" spans="1:77" ht="12.5" x14ac:dyDescent="0.25">
      <c r="A322" t="s">
        <v>8495</v>
      </c>
      <c r="B322" s="22" t="s">
        <v>32931</v>
      </c>
      <c r="C322" s="7"/>
      <c r="D322" s="7"/>
      <c r="E322" s="7"/>
      <c r="F322" t="s">
        <v>67</v>
      </c>
      <c r="G322" t="s">
        <v>9413</v>
      </c>
      <c r="H322" t="s">
        <v>69</v>
      </c>
      <c r="I322" t="s">
        <v>69</v>
      </c>
      <c r="J322" t="s">
        <v>69</v>
      </c>
      <c r="K322" t="s">
        <v>9414</v>
      </c>
      <c r="L322" t="s">
        <v>69</v>
      </c>
      <c r="M322" t="s">
        <v>69</v>
      </c>
      <c r="N322" t="s">
        <v>9415</v>
      </c>
      <c r="O322" t="s">
        <v>9416</v>
      </c>
      <c r="P322" t="s">
        <v>69</v>
      </c>
      <c r="Q322" t="s">
        <v>69</v>
      </c>
      <c r="R322" t="s">
        <v>8505</v>
      </c>
      <c r="S322" t="s">
        <v>8506</v>
      </c>
      <c r="T322" t="s">
        <v>69</v>
      </c>
      <c r="U322" t="s">
        <v>69</v>
      </c>
      <c r="V322" t="s">
        <v>69</v>
      </c>
      <c r="W322" t="s">
        <v>69</v>
      </c>
      <c r="X322" t="s">
        <v>69</v>
      </c>
      <c r="Y322" t="s">
        <v>9417</v>
      </c>
      <c r="Z322" t="s">
        <v>9418</v>
      </c>
      <c r="AA322" t="s">
        <v>9419</v>
      </c>
      <c r="AB322" t="s">
        <v>9420</v>
      </c>
      <c r="AC322" t="s">
        <v>69</v>
      </c>
      <c r="AD322" t="s">
        <v>9421</v>
      </c>
      <c r="AE322" t="s">
        <v>9422</v>
      </c>
      <c r="AF322" t="s">
        <v>69</v>
      </c>
      <c r="AG322" t="s">
        <v>69</v>
      </c>
      <c r="AH322" t="s">
        <v>69</v>
      </c>
      <c r="AI322" t="s">
        <v>69</v>
      </c>
      <c r="AJ322" t="s">
        <v>69</v>
      </c>
      <c r="AK322" t="s">
        <v>69</v>
      </c>
      <c r="AL322">
        <v>17</v>
      </c>
      <c r="AM322">
        <v>0</v>
      </c>
      <c r="AN322">
        <v>0</v>
      </c>
      <c r="AO322">
        <v>0</v>
      </c>
      <c r="AP322">
        <v>0</v>
      </c>
      <c r="AQ322" t="s">
        <v>9423</v>
      </c>
      <c r="AR322" t="s">
        <v>9424</v>
      </c>
      <c r="AS322" t="s">
        <v>9425</v>
      </c>
      <c r="AT322" t="s">
        <v>9426</v>
      </c>
      <c r="AU322" t="s">
        <v>9427</v>
      </c>
      <c r="AV322" t="s">
        <v>69</v>
      </c>
      <c r="AW322" t="s">
        <v>9428</v>
      </c>
      <c r="AX322" t="s">
        <v>9429</v>
      </c>
      <c r="AY322" t="s">
        <v>246</v>
      </c>
      <c r="AZ322">
        <v>2022</v>
      </c>
      <c r="BA322">
        <v>60</v>
      </c>
      <c r="BB322">
        <v>3</v>
      </c>
      <c r="BC322" t="s">
        <v>69</v>
      </c>
      <c r="BD322" t="s">
        <v>69</v>
      </c>
      <c r="BE322" t="s">
        <v>69</v>
      </c>
      <c r="BF322" t="s">
        <v>69</v>
      </c>
      <c r="BG322">
        <v>308</v>
      </c>
      <c r="BH322">
        <v>312</v>
      </c>
      <c r="BI322" t="s">
        <v>69</v>
      </c>
      <c r="BJ322" t="s">
        <v>9430</v>
      </c>
      <c r="BK322" t="str">
        <f>HYPERLINK("http://dx.doi.org/10.1016/j.bjoms.2021.07.009","http://dx.doi.org/10.1016/j.bjoms.2021.07.009")</f>
        <v>http://dx.doi.org/10.1016/j.bjoms.2021.07.009</v>
      </c>
      <c r="BL322" t="s">
        <v>69</v>
      </c>
      <c r="BM322" t="s">
        <v>69</v>
      </c>
      <c r="BN322">
        <v>5</v>
      </c>
      <c r="BO322" t="s">
        <v>9431</v>
      </c>
      <c r="BP322" t="s">
        <v>8548</v>
      </c>
      <c r="BQ322" t="s">
        <v>9431</v>
      </c>
      <c r="BR322" t="s">
        <v>9432</v>
      </c>
      <c r="BS322" t="s">
        <v>9433</v>
      </c>
      <c r="BT322">
        <v>34753656</v>
      </c>
      <c r="BU322" t="s">
        <v>69</v>
      </c>
      <c r="BV322" t="s">
        <v>69</v>
      </c>
      <c r="BW322" t="s">
        <v>69</v>
      </c>
      <c r="BX322" t="s">
        <v>8526</v>
      </c>
      <c r="BY322" t="str">
        <f>HYPERLINK("https%3A%2F%2Fwww.webofscience.com%2Fwos%2Fwoscc%2Ffull-record%2FWOS:000792216600011","View Full Record in Web of Science")</f>
        <v>View Full Record in Web of Science</v>
      </c>
    </row>
    <row r="323" spans="1:77" ht="12.5" x14ac:dyDescent="0.25">
      <c r="A323" t="s">
        <v>8495</v>
      </c>
      <c r="B323" s="22" t="s">
        <v>32931</v>
      </c>
      <c r="C323" s="7"/>
      <c r="D323" s="7"/>
      <c r="E323" s="7"/>
      <c r="F323" t="s">
        <v>67</v>
      </c>
      <c r="G323" t="s">
        <v>11454</v>
      </c>
      <c r="H323" t="s">
        <v>69</v>
      </c>
      <c r="I323" t="s">
        <v>69</v>
      </c>
      <c r="J323" t="s">
        <v>69</v>
      </c>
      <c r="K323" t="s">
        <v>11455</v>
      </c>
      <c r="L323" t="s">
        <v>69</v>
      </c>
      <c r="M323" t="s">
        <v>69</v>
      </c>
      <c r="N323" t="s">
        <v>11456</v>
      </c>
      <c r="O323" t="s">
        <v>11457</v>
      </c>
      <c r="P323" t="s">
        <v>69</v>
      </c>
      <c r="Q323" t="s">
        <v>69</v>
      </c>
      <c r="R323" t="s">
        <v>8505</v>
      </c>
      <c r="S323" t="s">
        <v>8506</v>
      </c>
      <c r="T323" t="s">
        <v>69</v>
      </c>
      <c r="U323" t="s">
        <v>69</v>
      </c>
      <c r="V323" t="s">
        <v>69</v>
      </c>
      <c r="W323" t="s">
        <v>69</v>
      </c>
      <c r="X323" t="s">
        <v>69</v>
      </c>
      <c r="Y323" t="s">
        <v>11458</v>
      </c>
      <c r="Z323" t="s">
        <v>69</v>
      </c>
      <c r="AA323" t="s">
        <v>11459</v>
      </c>
      <c r="AB323" t="s">
        <v>11460</v>
      </c>
      <c r="AC323" t="s">
        <v>69</v>
      </c>
      <c r="AD323" t="s">
        <v>11461</v>
      </c>
      <c r="AE323" t="s">
        <v>11462</v>
      </c>
      <c r="AF323" t="s">
        <v>11463</v>
      </c>
      <c r="AG323" t="s">
        <v>11464</v>
      </c>
      <c r="AH323" t="s">
        <v>69</v>
      </c>
      <c r="AI323" t="s">
        <v>69</v>
      </c>
      <c r="AJ323" t="s">
        <v>69</v>
      </c>
      <c r="AK323" t="s">
        <v>69</v>
      </c>
      <c r="AL323">
        <v>30</v>
      </c>
      <c r="AM323">
        <v>3</v>
      </c>
      <c r="AN323">
        <v>3</v>
      </c>
      <c r="AO323">
        <v>5</v>
      </c>
      <c r="AP323">
        <v>10</v>
      </c>
      <c r="AQ323" t="s">
        <v>11465</v>
      </c>
      <c r="AR323" t="s">
        <v>11466</v>
      </c>
      <c r="AS323" t="s">
        <v>11467</v>
      </c>
      <c r="AT323" t="s">
        <v>11468</v>
      </c>
      <c r="AU323" t="s">
        <v>11469</v>
      </c>
      <c r="AV323" t="s">
        <v>69</v>
      </c>
      <c r="AW323" t="s">
        <v>11470</v>
      </c>
      <c r="AX323" t="s">
        <v>11471</v>
      </c>
      <c r="AY323" t="s">
        <v>1053</v>
      </c>
      <c r="AZ323">
        <v>2021</v>
      </c>
      <c r="BA323">
        <v>12</v>
      </c>
      <c r="BB323">
        <v>34</v>
      </c>
      <c r="BC323" t="s">
        <v>69</v>
      </c>
      <c r="BD323" t="s">
        <v>69</v>
      </c>
      <c r="BE323" t="s">
        <v>69</v>
      </c>
      <c r="BF323" t="s">
        <v>69</v>
      </c>
      <c r="BG323">
        <v>60</v>
      </c>
      <c r="BH323">
        <v>75</v>
      </c>
      <c r="BI323" t="s">
        <v>69</v>
      </c>
      <c r="BJ323" t="s">
        <v>11472</v>
      </c>
      <c r="BK323" t="str">
        <f>HYPERLINK("http://dx.doi.org/10.46925//rdluz.34.05","http://dx.doi.org/10.46925//rdluz.34.05")</f>
        <v>http://dx.doi.org/10.46925//rdluz.34.05</v>
      </c>
      <c r="BL323" t="s">
        <v>69</v>
      </c>
      <c r="BM323" t="s">
        <v>69</v>
      </c>
      <c r="BN323">
        <v>16</v>
      </c>
      <c r="BO323" t="s">
        <v>10299</v>
      </c>
      <c r="BP323" t="s">
        <v>8573</v>
      </c>
      <c r="BQ323" t="s">
        <v>10279</v>
      </c>
      <c r="BR323" t="s">
        <v>11473</v>
      </c>
      <c r="BS323" t="s">
        <v>11474</v>
      </c>
      <c r="BT323" t="s">
        <v>69</v>
      </c>
      <c r="BU323" t="s">
        <v>8622</v>
      </c>
      <c r="BV323" t="s">
        <v>69</v>
      </c>
      <c r="BW323" t="s">
        <v>69</v>
      </c>
      <c r="BX323" t="s">
        <v>8526</v>
      </c>
      <c r="BY323" t="str">
        <f>HYPERLINK("https%3A%2F%2Fwww.webofscience.com%2Fwos%2Fwoscc%2Ffull-record%2FWOS:000692754400004","View Full Record in Web of Science")</f>
        <v>View Full Record in Web of Science</v>
      </c>
    </row>
    <row r="324" spans="1:77" ht="12.5" x14ac:dyDescent="0.25">
      <c r="A324" t="s">
        <v>8495</v>
      </c>
      <c r="B324" s="7" t="s">
        <v>32933</v>
      </c>
      <c r="C324" s="7"/>
      <c r="D324" s="7"/>
      <c r="E324" s="7"/>
      <c r="F324" t="s">
        <v>67</v>
      </c>
      <c r="G324" t="s">
        <v>4590</v>
      </c>
      <c r="H324" t="s">
        <v>69</v>
      </c>
      <c r="I324" t="s">
        <v>69</v>
      </c>
      <c r="J324" t="s">
        <v>69</v>
      </c>
      <c r="K324" t="s">
        <v>4591</v>
      </c>
      <c r="L324" t="s">
        <v>69</v>
      </c>
      <c r="M324" t="s">
        <v>69</v>
      </c>
      <c r="N324" t="s">
        <v>4592</v>
      </c>
      <c r="O324" t="s">
        <v>2691</v>
      </c>
      <c r="P324" t="s">
        <v>69</v>
      </c>
      <c r="Q324" t="s">
        <v>69</v>
      </c>
      <c r="R324" t="s">
        <v>8505</v>
      </c>
      <c r="S324" t="s">
        <v>8506</v>
      </c>
      <c r="T324" t="s">
        <v>69</v>
      </c>
      <c r="U324" t="s">
        <v>69</v>
      </c>
      <c r="V324" t="s">
        <v>69</v>
      </c>
      <c r="W324" t="s">
        <v>69</v>
      </c>
      <c r="X324" t="s">
        <v>69</v>
      </c>
      <c r="Y324" t="s">
        <v>24041</v>
      </c>
      <c r="Z324" t="s">
        <v>69</v>
      </c>
      <c r="AA324" t="s">
        <v>4593</v>
      </c>
      <c r="AB324" t="s">
        <v>24042</v>
      </c>
      <c r="AC324" t="s">
        <v>69</v>
      </c>
      <c r="AD324" t="s">
        <v>24043</v>
      </c>
      <c r="AE324" t="s">
        <v>24044</v>
      </c>
      <c r="AF324" t="s">
        <v>69</v>
      </c>
      <c r="AG324" t="s">
        <v>69</v>
      </c>
      <c r="AH324" t="s">
        <v>69</v>
      </c>
      <c r="AI324" t="s">
        <v>69</v>
      </c>
      <c r="AJ324" t="s">
        <v>69</v>
      </c>
      <c r="AK324" t="s">
        <v>69</v>
      </c>
      <c r="AL324">
        <v>17</v>
      </c>
      <c r="AM324">
        <v>0</v>
      </c>
      <c r="AN324">
        <v>0</v>
      </c>
      <c r="AO324">
        <v>0</v>
      </c>
      <c r="AP324">
        <v>13</v>
      </c>
      <c r="AQ324" t="s">
        <v>8586</v>
      </c>
      <c r="AR324" t="s">
        <v>8587</v>
      </c>
      <c r="AS324" t="s">
        <v>8588</v>
      </c>
      <c r="AT324" t="s">
        <v>2693</v>
      </c>
      <c r="AU324" t="s">
        <v>2694</v>
      </c>
      <c r="AV324" t="s">
        <v>69</v>
      </c>
      <c r="AW324" t="s">
        <v>20616</v>
      </c>
      <c r="AX324" t="s">
        <v>20617</v>
      </c>
      <c r="AY324" t="s">
        <v>69</v>
      </c>
      <c r="AZ324">
        <v>2014</v>
      </c>
      <c r="BA324">
        <v>6</v>
      </c>
      <c r="BB324">
        <v>2</v>
      </c>
      <c r="BC324" t="s">
        <v>69</v>
      </c>
      <c r="BD324" t="s">
        <v>69</v>
      </c>
      <c r="BE324" t="s">
        <v>69</v>
      </c>
      <c r="BF324" t="s">
        <v>69</v>
      </c>
      <c r="BG324">
        <v>116</v>
      </c>
      <c r="BH324">
        <v>130</v>
      </c>
      <c r="BI324" t="s">
        <v>69</v>
      </c>
      <c r="BJ324" t="s">
        <v>4594</v>
      </c>
      <c r="BK324" t="str">
        <f>HYPERLINK("http://dx.doi.org/10.1108/IJCCSM-09-2012-0051","http://dx.doi.org/10.1108/IJCCSM-09-2012-0051")</f>
        <v>http://dx.doi.org/10.1108/IJCCSM-09-2012-0051</v>
      </c>
      <c r="BL324" t="s">
        <v>69</v>
      </c>
      <c r="BM324" t="s">
        <v>69</v>
      </c>
      <c r="BN324">
        <v>15</v>
      </c>
      <c r="BO324" t="s">
        <v>8660</v>
      </c>
      <c r="BP324" t="s">
        <v>8661</v>
      </c>
      <c r="BQ324" t="s">
        <v>8662</v>
      </c>
      <c r="BR324" t="s">
        <v>24045</v>
      </c>
      <c r="BS324" t="s">
        <v>4595</v>
      </c>
      <c r="BT324" t="s">
        <v>69</v>
      </c>
      <c r="BU324" t="s">
        <v>69</v>
      </c>
      <c r="BV324" t="s">
        <v>69</v>
      </c>
      <c r="BW324" t="s">
        <v>69</v>
      </c>
      <c r="BX324" t="s">
        <v>8526</v>
      </c>
      <c r="BY324" t="str">
        <f>HYPERLINK("https%3A%2F%2Fwww.webofscience.com%2Fwos%2Fwoscc%2Ffull-record%2FWOS:000341786300002","View Full Record in Web of Science")</f>
        <v>View Full Record in Web of Science</v>
      </c>
    </row>
    <row r="325" spans="1:77" ht="12.5" x14ac:dyDescent="0.25">
      <c r="A325" t="s">
        <v>8495</v>
      </c>
      <c r="B325" s="7" t="s">
        <v>32933</v>
      </c>
      <c r="C325" s="7"/>
      <c r="D325" s="7"/>
      <c r="E325" s="7"/>
      <c r="F325" t="s">
        <v>67</v>
      </c>
      <c r="G325" t="s">
        <v>4432</v>
      </c>
      <c r="H325" t="s">
        <v>69</v>
      </c>
      <c r="I325" t="s">
        <v>69</v>
      </c>
      <c r="J325" t="s">
        <v>69</v>
      </c>
      <c r="K325" t="s">
        <v>4433</v>
      </c>
      <c r="L325" t="s">
        <v>69</v>
      </c>
      <c r="M325" t="s">
        <v>69</v>
      </c>
      <c r="N325" t="s">
        <v>4434</v>
      </c>
      <c r="O325" t="s">
        <v>4435</v>
      </c>
      <c r="P325" t="s">
        <v>69</v>
      </c>
      <c r="Q325" t="s">
        <v>69</v>
      </c>
      <c r="R325" t="s">
        <v>8505</v>
      </c>
      <c r="S325" t="s">
        <v>8506</v>
      </c>
      <c r="T325" t="s">
        <v>69</v>
      </c>
      <c r="U325" t="s">
        <v>69</v>
      </c>
      <c r="V325" t="s">
        <v>69</v>
      </c>
      <c r="W325" t="s">
        <v>69</v>
      </c>
      <c r="X325" t="s">
        <v>69</v>
      </c>
      <c r="Y325" t="s">
        <v>18311</v>
      </c>
      <c r="Z325" t="s">
        <v>18312</v>
      </c>
      <c r="AA325" t="s">
        <v>4436</v>
      </c>
      <c r="AB325" t="s">
        <v>18313</v>
      </c>
      <c r="AC325" t="s">
        <v>69</v>
      </c>
      <c r="AD325" t="s">
        <v>18314</v>
      </c>
      <c r="AE325" t="s">
        <v>18315</v>
      </c>
      <c r="AF325" t="s">
        <v>18316</v>
      </c>
      <c r="AG325" t="s">
        <v>18317</v>
      </c>
      <c r="AH325" t="s">
        <v>18318</v>
      </c>
      <c r="AI325" t="s">
        <v>18319</v>
      </c>
      <c r="AJ325" t="s">
        <v>18320</v>
      </c>
      <c r="AK325" t="s">
        <v>69</v>
      </c>
      <c r="AL325">
        <v>50</v>
      </c>
      <c r="AM325">
        <v>45</v>
      </c>
      <c r="AN325">
        <v>45</v>
      </c>
      <c r="AO325">
        <v>2</v>
      </c>
      <c r="AP325">
        <v>20</v>
      </c>
      <c r="AQ325" t="s">
        <v>8563</v>
      </c>
      <c r="AR325" t="s">
        <v>8564</v>
      </c>
      <c r="AS325" t="s">
        <v>8565</v>
      </c>
      <c r="AT325" t="s">
        <v>4437</v>
      </c>
      <c r="AU325" t="s">
        <v>4438</v>
      </c>
      <c r="AV325" t="s">
        <v>69</v>
      </c>
      <c r="AW325" t="s">
        <v>18321</v>
      </c>
      <c r="AX325" t="s">
        <v>18322</v>
      </c>
      <c r="AY325" t="s">
        <v>381</v>
      </c>
      <c r="AZ325">
        <v>2018</v>
      </c>
      <c r="BA325">
        <v>18</v>
      </c>
      <c r="BB325">
        <v>7</v>
      </c>
      <c r="BC325" t="s">
        <v>69</v>
      </c>
      <c r="BD325" t="s">
        <v>69</v>
      </c>
      <c r="BE325" t="s">
        <v>114</v>
      </c>
      <c r="BF325" t="s">
        <v>69</v>
      </c>
      <c r="BG325">
        <v>2059</v>
      </c>
      <c r="BH325">
        <v>2071</v>
      </c>
      <c r="BI325" t="s">
        <v>69</v>
      </c>
      <c r="BJ325" t="s">
        <v>4439</v>
      </c>
      <c r="BK325" t="str">
        <f>HYPERLINK("http://dx.doi.org/10.1007/s10113-018-1283-0","http://dx.doi.org/10.1007/s10113-018-1283-0")</f>
        <v>http://dx.doi.org/10.1007/s10113-018-1283-0</v>
      </c>
      <c r="BL325" t="s">
        <v>69</v>
      </c>
      <c r="BM325" t="s">
        <v>69</v>
      </c>
      <c r="BN325">
        <v>13</v>
      </c>
      <c r="BO325" t="s">
        <v>11791</v>
      </c>
      <c r="BP325" t="s">
        <v>8523</v>
      </c>
      <c r="BQ325" t="s">
        <v>8662</v>
      </c>
      <c r="BR325" t="s">
        <v>18323</v>
      </c>
      <c r="BS325" t="s">
        <v>4440</v>
      </c>
      <c r="BT325" t="s">
        <v>69</v>
      </c>
      <c r="BU325" t="s">
        <v>8909</v>
      </c>
      <c r="BV325" t="s">
        <v>69</v>
      </c>
      <c r="BW325" t="s">
        <v>69</v>
      </c>
      <c r="BX325" t="s">
        <v>8526</v>
      </c>
      <c r="BY325" t="str">
        <f>HYPERLINK("https%3A%2F%2Fwww.webofscience.com%2Fwos%2Fwoscc%2Ffull-record%2FWOS:000445234600015","View Full Record in Web of Science")</f>
        <v>View Full Record in Web of Science</v>
      </c>
    </row>
    <row r="326" spans="1:77" ht="12.5" x14ac:dyDescent="0.25">
      <c r="A326" t="s">
        <v>8495</v>
      </c>
      <c r="B326" s="7" t="s">
        <v>32933</v>
      </c>
      <c r="C326" s="7"/>
      <c r="D326" s="7"/>
      <c r="E326" s="7"/>
      <c r="F326" t="s">
        <v>67</v>
      </c>
      <c r="G326" t="s">
        <v>4744</v>
      </c>
      <c r="H326" t="s">
        <v>69</v>
      </c>
      <c r="I326" t="s">
        <v>69</v>
      </c>
      <c r="J326" t="s">
        <v>69</v>
      </c>
      <c r="K326" t="s">
        <v>4745</v>
      </c>
      <c r="L326" t="s">
        <v>69</v>
      </c>
      <c r="M326" t="s">
        <v>69</v>
      </c>
      <c r="N326" t="s">
        <v>4746</v>
      </c>
      <c r="O326" t="s">
        <v>4435</v>
      </c>
      <c r="P326" t="s">
        <v>69</v>
      </c>
      <c r="Q326" t="s">
        <v>69</v>
      </c>
      <c r="R326" t="s">
        <v>8505</v>
      </c>
      <c r="S326" t="s">
        <v>8506</v>
      </c>
      <c r="T326" t="s">
        <v>69</v>
      </c>
      <c r="U326" t="s">
        <v>69</v>
      </c>
      <c r="V326" t="s">
        <v>69</v>
      </c>
      <c r="W326" t="s">
        <v>69</v>
      </c>
      <c r="X326" t="s">
        <v>69</v>
      </c>
      <c r="Y326" t="s">
        <v>21735</v>
      </c>
      <c r="Z326" t="s">
        <v>21736</v>
      </c>
      <c r="AA326" t="s">
        <v>4747</v>
      </c>
      <c r="AB326" t="s">
        <v>21737</v>
      </c>
      <c r="AC326" t="s">
        <v>69</v>
      </c>
      <c r="AD326" t="s">
        <v>21738</v>
      </c>
      <c r="AE326" t="s">
        <v>21739</v>
      </c>
      <c r="AF326" t="s">
        <v>69</v>
      </c>
      <c r="AG326" t="s">
        <v>69</v>
      </c>
      <c r="AH326" t="s">
        <v>21740</v>
      </c>
      <c r="AI326" t="s">
        <v>21741</v>
      </c>
      <c r="AJ326" t="s">
        <v>21742</v>
      </c>
      <c r="AK326" t="s">
        <v>69</v>
      </c>
      <c r="AL326">
        <v>52</v>
      </c>
      <c r="AM326">
        <v>11</v>
      </c>
      <c r="AN326">
        <v>11</v>
      </c>
      <c r="AO326">
        <v>6</v>
      </c>
      <c r="AP326">
        <v>18</v>
      </c>
      <c r="AQ326" t="s">
        <v>8563</v>
      </c>
      <c r="AR326" t="s">
        <v>8564</v>
      </c>
      <c r="AS326" t="s">
        <v>8565</v>
      </c>
      <c r="AT326" t="s">
        <v>4437</v>
      </c>
      <c r="AU326" t="s">
        <v>4438</v>
      </c>
      <c r="AV326" t="s">
        <v>69</v>
      </c>
      <c r="AW326" t="s">
        <v>18321</v>
      </c>
      <c r="AX326" t="s">
        <v>18322</v>
      </c>
      <c r="AY326" t="s">
        <v>246</v>
      </c>
      <c r="AZ326">
        <v>2016</v>
      </c>
      <c r="BA326">
        <v>16</v>
      </c>
      <c r="BB326">
        <v>4</v>
      </c>
      <c r="BC326" t="s">
        <v>69</v>
      </c>
      <c r="BD326" t="s">
        <v>69</v>
      </c>
      <c r="BE326" t="s">
        <v>69</v>
      </c>
      <c r="BF326" t="s">
        <v>69</v>
      </c>
      <c r="BG326">
        <v>1109</v>
      </c>
      <c r="BH326">
        <v>1120</v>
      </c>
      <c r="BI326" t="s">
        <v>69</v>
      </c>
      <c r="BJ326" t="s">
        <v>4748</v>
      </c>
      <c r="BK326" t="str">
        <f>HYPERLINK("http://dx.doi.org/10.1007/s10113-015-0828-8","http://dx.doi.org/10.1007/s10113-015-0828-8")</f>
        <v>http://dx.doi.org/10.1007/s10113-015-0828-8</v>
      </c>
      <c r="BL326" t="s">
        <v>69</v>
      </c>
      <c r="BM326" t="s">
        <v>69</v>
      </c>
      <c r="BN326">
        <v>12</v>
      </c>
      <c r="BO326" t="s">
        <v>11791</v>
      </c>
      <c r="BP326" t="s">
        <v>8523</v>
      </c>
      <c r="BQ326" t="s">
        <v>8662</v>
      </c>
      <c r="BR326" t="s">
        <v>21743</v>
      </c>
      <c r="BS326" t="s">
        <v>4749</v>
      </c>
      <c r="BT326" t="s">
        <v>69</v>
      </c>
      <c r="BU326" t="s">
        <v>69</v>
      </c>
      <c r="BV326" t="s">
        <v>69</v>
      </c>
      <c r="BW326" t="s">
        <v>69</v>
      </c>
      <c r="BX326" t="s">
        <v>8526</v>
      </c>
      <c r="BY326" t="str">
        <f>HYPERLINK("https%3A%2F%2Fwww.webofscience.com%2Fwos%2Fwoscc%2Ffull-record%2FWOS:000373310600016","View Full Record in Web of Science")</f>
        <v>View Full Record in Web of Science</v>
      </c>
    </row>
    <row r="327" spans="1:77" x14ac:dyDescent="0.3">
      <c r="A327" t="s">
        <v>8495</v>
      </c>
      <c r="B327" s="10" t="s">
        <v>32957</v>
      </c>
      <c r="F327" t="s">
        <v>67</v>
      </c>
      <c r="G327" t="s">
        <v>4574</v>
      </c>
      <c r="H327" t="s">
        <v>69</v>
      </c>
      <c r="I327" t="s">
        <v>69</v>
      </c>
      <c r="J327" t="s">
        <v>69</v>
      </c>
      <c r="K327" s="2" t="s">
        <v>4575</v>
      </c>
      <c r="L327" t="s">
        <v>69</v>
      </c>
      <c r="M327" t="s">
        <v>69</v>
      </c>
      <c r="N327" s="2" t="s">
        <v>4576</v>
      </c>
      <c r="O327" t="s">
        <v>4577</v>
      </c>
      <c r="P327" t="s">
        <v>69</v>
      </c>
      <c r="Q327" t="s">
        <v>69</v>
      </c>
      <c r="R327" t="s">
        <v>8505</v>
      </c>
      <c r="S327" t="s">
        <v>8506</v>
      </c>
      <c r="T327" t="s">
        <v>69</v>
      </c>
      <c r="U327" t="s">
        <v>69</v>
      </c>
      <c r="V327" t="s">
        <v>69</v>
      </c>
      <c r="W327" t="s">
        <v>69</v>
      </c>
      <c r="X327" t="s">
        <v>69</v>
      </c>
      <c r="Y327" t="s">
        <v>14861</v>
      </c>
      <c r="Z327" t="s">
        <v>69</v>
      </c>
      <c r="AA327" t="s">
        <v>4578</v>
      </c>
      <c r="AB327" t="s">
        <v>14862</v>
      </c>
      <c r="AC327" t="s">
        <v>69</v>
      </c>
      <c r="AD327" t="s">
        <v>14863</v>
      </c>
      <c r="AE327" t="s">
        <v>14864</v>
      </c>
      <c r="AF327" t="s">
        <v>14865</v>
      </c>
      <c r="AG327" t="s">
        <v>14866</v>
      </c>
      <c r="AH327" t="s">
        <v>14867</v>
      </c>
      <c r="AI327" t="s">
        <v>14868</v>
      </c>
      <c r="AJ327" t="s">
        <v>14869</v>
      </c>
      <c r="AK327" t="s">
        <v>69</v>
      </c>
      <c r="AL327">
        <v>59</v>
      </c>
      <c r="AM327">
        <v>7</v>
      </c>
      <c r="AN327">
        <v>7</v>
      </c>
      <c r="AO327">
        <v>0</v>
      </c>
      <c r="AP327">
        <v>3</v>
      </c>
      <c r="AQ327" t="s">
        <v>8865</v>
      </c>
      <c r="AR327" t="s">
        <v>8612</v>
      </c>
      <c r="AS327" t="s">
        <v>8866</v>
      </c>
      <c r="AT327" t="s">
        <v>4579</v>
      </c>
      <c r="AU327" t="s">
        <v>4580</v>
      </c>
      <c r="AV327" t="s">
        <v>69</v>
      </c>
      <c r="AW327" t="s">
        <v>4577</v>
      </c>
      <c r="AX327" t="s">
        <v>8484</v>
      </c>
      <c r="AY327" t="s">
        <v>14870</v>
      </c>
      <c r="AZ327">
        <v>2022</v>
      </c>
      <c r="BA327">
        <v>87</v>
      </c>
      <c r="BB327">
        <v>3</v>
      </c>
      <c r="BC327" t="s">
        <v>69</v>
      </c>
      <c r="BD327" t="s">
        <v>69</v>
      </c>
      <c r="BE327" t="s">
        <v>114</v>
      </c>
      <c r="BF327" t="s">
        <v>69</v>
      </c>
      <c r="BG327">
        <v>538</v>
      </c>
      <c r="BH327">
        <v>559</v>
      </c>
      <c r="BI327" t="s">
        <v>69</v>
      </c>
      <c r="BJ327" t="s">
        <v>4581</v>
      </c>
      <c r="BK327" t="str">
        <f>HYPERLINK("http://dx.doi.org/10.1080/00141844.2020.1788109","http://dx.doi.org/10.1080/00141844.2020.1788109")</f>
        <v>http://dx.doi.org/10.1080/00141844.2020.1788109</v>
      </c>
      <c r="BL327" t="s">
        <v>69</v>
      </c>
      <c r="BM327" t="s">
        <v>4582</v>
      </c>
      <c r="BN327">
        <v>22</v>
      </c>
      <c r="BO327" t="s">
        <v>8463</v>
      </c>
      <c r="BP327" t="s">
        <v>8661</v>
      </c>
      <c r="BQ327" t="s">
        <v>8463</v>
      </c>
      <c r="BR327" t="s">
        <v>14871</v>
      </c>
      <c r="BS327" t="s">
        <v>4583</v>
      </c>
      <c r="BT327" t="s">
        <v>69</v>
      </c>
      <c r="BU327" t="s">
        <v>10363</v>
      </c>
      <c r="BV327" t="s">
        <v>69</v>
      </c>
      <c r="BW327" t="s">
        <v>69</v>
      </c>
      <c r="BX327" t="s">
        <v>8526</v>
      </c>
      <c r="BY327" t="str">
        <f>HYPERLINK("https%3A%2F%2Fwww.webofscience.com%2Fwos%2Fwoscc%2Ffull-record%2FWOS:000550029000001","View Full Record in Web of Science")</f>
        <v>View Full Record in Web of Science</v>
      </c>
    </row>
    <row r="328" spans="1:77" ht="12.5" x14ac:dyDescent="0.25">
      <c r="A328" t="s">
        <v>8495</v>
      </c>
      <c r="B328" s="7" t="s">
        <v>32933</v>
      </c>
      <c r="C328" s="7"/>
      <c r="D328" s="7"/>
      <c r="E328" s="7"/>
      <c r="F328" t="s">
        <v>67</v>
      </c>
      <c r="G328" t="s">
        <v>5845</v>
      </c>
      <c r="H328" t="s">
        <v>69</v>
      </c>
      <c r="I328" t="s">
        <v>69</v>
      </c>
      <c r="J328" t="s">
        <v>69</v>
      </c>
      <c r="K328" t="s">
        <v>5846</v>
      </c>
      <c r="L328" t="s">
        <v>69</v>
      </c>
      <c r="M328" t="s">
        <v>69</v>
      </c>
      <c r="N328" t="s">
        <v>5847</v>
      </c>
      <c r="O328" t="s">
        <v>2691</v>
      </c>
      <c r="P328" t="s">
        <v>69</v>
      </c>
      <c r="Q328" t="s">
        <v>69</v>
      </c>
      <c r="R328" t="s">
        <v>8505</v>
      </c>
      <c r="S328" t="s">
        <v>8506</v>
      </c>
      <c r="T328" t="s">
        <v>69</v>
      </c>
      <c r="U328" t="s">
        <v>69</v>
      </c>
      <c r="V328" t="s">
        <v>69</v>
      </c>
      <c r="W328" t="s">
        <v>69</v>
      </c>
      <c r="X328" t="s">
        <v>69</v>
      </c>
      <c r="Y328" t="s">
        <v>27344</v>
      </c>
      <c r="Z328" t="s">
        <v>27345</v>
      </c>
      <c r="AA328" t="s">
        <v>5848</v>
      </c>
      <c r="AB328" t="s">
        <v>27346</v>
      </c>
      <c r="AC328" t="s">
        <v>69</v>
      </c>
      <c r="AD328" t="s">
        <v>27347</v>
      </c>
      <c r="AE328" t="s">
        <v>27348</v>
      </c>
      <c r="AF328" t="s">
        <v>69</v>
      </c>
      <c r="AG328" t="s">
        <v>69</v>
      </c>
      <c r="AH328" t="s">
        <v>69</v>
      </c>
      <c r="AI328" t="s">
        <v>69</v>
      </c>
      <c r="AJ328" t="s">
        <v>69</v>
      </c>
      <c r="AK328" t="s">
        <v>69</v>
      </c>
      <c r="AL328">
        <v>33</v>
      </c>
      <c r="AM328">
        <v>1</v>
      </c>
      <c r="AN328">
        <v>2</v>
      </c>
      <c r="AO328">
        <v>0</v>
      </c>
      <c r="AP328">
        <v>17</v>
      </c>
      <c r="AQ328" t="s">
        <v>8586</v>
      </c>
      <c r="AR328" t="s">
        <v>8587</v>
      </c>
      <c r="AS328" t="s">
        <v>8588</v>
      </c>
      <c r="AT328" t="s">
        <v>2693</v>
      </c>
      <c r="AU328" t="s">
        <v>2694</v>
      </c>
      <c r="AV328" t="s">
        <v>69</v>
      </c>
      <c r="AW328" t="s">
        <v>20616</v>
      </c>
      <c r="AX328" t="s">
        <v>20617</v>
      </c>
      <c r="AY328" t="s">
        <v>69</v>
      </c>
      <c r="AZ328">
        <v>2011</v>
      </c>
      <c r="BA328">
        <v>3</v>
      </c>
      <c r="BB328">
        <v>4</v>
      </c>
      <c r="BC328" t="s">
        <v>69</v>
      </c>
      <c r="BD328" t="s">
        <v>69</v>
      </c>
      <c r="BE328" t="s">
        <v>69</v>
      </c>
      <c r="BF328" t="s">
        <v>69</v>
      </c>
      <c r="BG328">
        <v>416</v>
      </c>
      <c r="BH328">
        <v>430</v>
      </c>
      <c r="BI328" t="s">
        <v>69</v>
      </c>
      <c r="BJ328" t="s">
        <v>5849</v>
      </c>
      <c r="BK328" t="str">
        <f>HYPERLINK("http://dx.doi.org/10.1108/17568691111175696","http://dx.doi.org/10.1108/17568691111175696")</f>
        <v>http://dx.doi.org/10.1108/17568691111175696</v>
      </c>
      <c r="BL328" t="s">
        <v>69</v>
      </c>
      <c r="BM328" t="s">
        <v>69</v>
      </c>
      <c r="BN328">
        <v>15</v>
      </c>
      <c r="BO328" t="s">
        <v>8660</v>
      </c>
      <c r="BP328" t="s">
        <v>8661</v>
      </c>
      <c r="BQ328" t="s">
        <v>8662</v>
      </c>
      <c r="BR328" t="s">
        <v>27349</v>
      </c>
      <c r="BS328" t="s">
        <v>5850</v>
      </c>
      <c r="BT328" t="s">
        <v>69</v>
      </c>
      <c r="BU328" t="s">
        <v>69</v>
      </c>
      <c r="BV328" t="s">
        <v>69</v>
      </c>
      <c r="BW328" t="s">
        <v>69</v>
      </c>
      <c r="BX328" t="s">
        <v>8526</v>
      </c>
      <c r="BY328" t="str">
        <f>HYPERLINK("https%3A%2F%2Fwww.webofscience.com%2Fwos%2Fwoscc%2Ffull-record%2FWOS:000298828400008","View Full Record in Web of Science")</f>
        <v>View Full Record in Web of Science</v>
      </c>
    </row>
    <row r="329" spans="1:77" ht="12.5" x14ac:dyDescent="0.25">
      <c r="A329" t="s">
        <v>8495</v>
      </c>
      <c r="B329" s="7" t="s">
        <v>32933</v>
      </c>
      <c r="C329" s="7"/>
      <c r="D329" s="7"/>
      <c r="E329" s="7"/>
      <c r="F329" t="s">
        <v>67</v>
      </c>
      <c r="G329" t="s">
        <v>4717</v>
      </c>
      <c r="H329" t="s">
        <v>69</v>
      </c>
      <c r="I329" t="s">
        <v>69</v>
      </c>
      <c r="J329" t="s">
        <v>69</v>
      </c>
      <c r="K329" t="s">
        <v>4718</v>
      </c>
      <c r="L329" t="s">
        <v>69</v>
      </c>
      <c r="M329" t="s">
        <v>69</v>
      </c>
      <c r="N329" t="s">
        <v>4719</v>
      </c>
      <c r="O329" t="s">
        <v>352</v>
      </c>
      <c r="P329" t="s">
        <v>69</v>
      </c>
      <c r="Q329" t="s">
        <v>69</v>
      </c>
      <c r="R329" t="s">
        <v>8505</v>
      </c>
      <c r="S329" t="s">
        <v>8506</v>
      </c>
      <c r="T329" t="s">
        <v>69</v>
      </c>
      <c r="U329" t="s">
        <v>69</v>
      </c>
      <c r="V329" t="s">
        <v>69</v>
      </c>
      <c r="W329" t="s">
        <v>69</v>
      </c>
      <c r="X329" t="s">
        <v>69</v>
      </c>
      <c r="Y329" t="s">
        <v>18870</v>
      </c>
      <c r="Z329" t="s">
        <v>18871</v>
      </c>
      <c r="AA329" t="s">
        <v>4720</v>
      </c>
      <c r="AB329" t="s">
        <v>18872</v>
      </c>
      <c r="AC329" t="s">
        <v>69</v>
      </c>
      <c r="AD329" t="s">
        <v>18873</v>
      </c>
      <c r="AE329" t="s">
        <v>18874</v>
      </c>
      <c r="AF329" t="s">
        <v>69</v>
      </c>
      <c r="AG329" t="s">
        <v>18875</v>
      </c>
      <c r="AH329" t="s">
        <v>18876</v>
      </c>
      <c r="AI329" t="s">
        <v>18877</v>
      </c>
      <c r="AJ329" t="s">
        <v>18878</v>
      </c>
      <c r="AK329" t="s">
        <v>69</v>
      </c>
      <c r="AL329">
        <v>50</v>
      </c>
      <c r="AM329">
        <v>16</v>
      </c>
      <c r="AN329">
        <v>17</v>
      </c>
      <c r="AO329">
        <v>4</v>
      </c>
      <c r="AP329">
        <v>23</v>
      </c>
      <c r="AQ329" t="s">
        <v>8924</v>
      </c>
      <c r="AR329" t="s">
        <v>8925</v>
      </c>
      <c r="AS329" t="s">
        <v>8926</v>
      </c>
      <c r="AT329" t="s">
        <v>69</v>
      </c>
      <c r="AU329" t="s">
        <v>354</v>
      </c>
      <c r="AV329" t="s">
        <v>69</v>
      </c>
      <c r="AW329" t="s">
        <v>8958</v>
      </c>
      <c r="AX329" t="s">
        <v>8434</v>
      </c>
      <c r="AY329" t="s">
        <v>586</v>
      </c>
      <c r="AZ329">
        <v>2018</v>
      </c>
      <c r="BA329">
        <v>10</v>
      </c>
      <c r="BB329">
        <v>5</v>
      </c>
      <c r="BC329" t="s">
        <v>69</v>
      </c>
      <c r="BD329" t="s">
        <v>69</v>
      </c>
      <c r="BE329" t="s">
        <v>69</v>
      </c>
      <c r="BF329" t="s">
        <v>69</v>
      </c>
      <c r="BG329" t="s">
        <v>69</v>
      </c>
      <c r="BH329" t="s">
        <v>69</v>
      </c>
      <c r="BI329">
        <v>1687</v>
      </c>
      <c r="BJ329" t="s">
        <v>4721</v>
      </c>
      <c r="BK329" t="str">
        <f>HYPERLINK("http://dx.doi.org/10.3390/su10051687","http://dx.doi.org/10.3390/su10051687")</f>
        <v>http://dx.doi.org/10.3390/su10051687</v>
      </c>
      <c r="BL329" t="s">
        <v>69</v>
      </c>
      <c r="BM329" t="s">
        <v>69</v>
      </c>
      <c r="BN329">
        <v>17</v>
      </c>
      <c r="BO329" t="s">
        <v>8960</v>
      </c>
      <c r="BP329" t="s">
        <v>8523</v>
      </c>
      <c r="BQ329" t="s">
        <v>8961</v>
      </c>
      <c r="BR329" t="s">
        <v>18836</v>
      </c>
      <c r="BS329" t="s">
        <v>4722</v>
      </c>
      <c r="BT329" t="s">
        <v>69</v>
      </c>
      <c r="BU329" t="s">
        <v>17361</v>
      </c>
      <c r="BV329" t="s">
        <v>69</v>
      </c>
      <c r="BW329" t="s">
        <v>69</v>
      </c>
      <c r="BX329" t="s">
        <v>8526</v>
      </c>
      <c r="BY329" t="str">
        <f>HYPERLINK("https%3A%2F%2Fwww.webofscience.com%2Fwos%2Fwoscc%2Ffull-record%2FWOS:000435587100383","View Full Record in Web of Science")</f>
        <v>View Full Record in Web of Science</v>
      </c>
    </row>
    <row r="330" spans="1:77" x14ac:dyDescent="0.3">
      <c r="A330" t="s">
        <v>8495</v>
      </c>
      <c r="B330" s="9" t="s">
        <v>32958</v>
      </c>
      <c r="C330" s="9" t="s">
        <v>33112</v>
      </c>
      <c r="D330" s="10" t="s">
        <v>8490</v>
      </c>
      <c r="E330" s="9" t="s">
        <v>8490</v>
      </c>
      <c r="F330" t="s">
        <v>67</v>
      </c>
      <c r="G330" t="s">
        <v>8964</v>
      </c>
      <c r="H330" t="s">
        <v>69</v>
      </c>
      <c r="I330" t="s">
        <v>69</v>
      </c>
      <c r="J330" t="s">
        <v>69</v>
      </c>
      <c r="K330" t="s">
        <v>8965</v>
      </c>
      <c r="L330" t="s">
        <v>69</v>
      </c>
      <c r="M330" t="s">
        <v>69</v>
      </c>
      <c r="N330" t="s">
        <v>8966</v>
      </c>
      <c r="O330" t="s">
        <v>5400</v>
      </c>
      <c r="P330" t="s">
        <v>69</v>
      </c>
      <c r="Q330" t="s">
        <v>69</v>
      </c>
      <c r="R330" t="s">
        <v>8505</v>
      </c>
      <c r="S330" t="s">
        <v>8506</v>
      </c>
      <c r="T330" t="s">
        <v>69</v>
      </c>
      <c r="U330" t="s">
        <v>69</v>
      </c>
      <c r="V330" t="s">
        <v>69</v>
      </c>
      <c r="W330" t="s">
        <v>69</v>
      </c>
      <c r="X330" t="s">
        <v>69</v>
      </c>
      <c r="Y330" t="s">
        <v>8967</v>
      </c>
      <c r="Z330" t="s">
        <v>8968</v>
      </c>
      <c r="AA330" t="s">
        <v>8969</v>
      </c>
      <c r="AB330" t="s">
        <v>8970</v>
      </c>
      <c r="AC330" t="s">
        <v>69</v>
      </c>
      <c r="AD330" t="s">
        <v>8971</v>
      </c>
      <c r="AE330" t="s">
        <v>8972</v>
      </c>
      <c r="AF330" t="s">
        <v>69</v>
      </c>
      <c r="AG330" t="s">
        <v>69</v>
      </c>
      <c r="AH330" t="s">
        <v>69</v>
      </c>
      <c r="AI330" t="s">
        <v>69</v>
      </c>
      <c r="AJ330" t="s">
        <v>69</v>
      </c>
      <c r="AK330" t="s">
        <v>69</v>
      </c>
      <c r="AL330">
        <v>114</v>
      </c>
      <c r="AM330">
        <v>0</v>
      </c>
      <c r="AN330">
        <v>0</v>
      </c>
      <c r="AO330">
        <v>0</v>
      </c>
      <c r="AP330">
        <v>0</v>
      </c>
      <c r="AQ330" t="s">
        <v>8516</v>
      </c>
      <c r="AR330" t="s">
        <v>8517</v>
      </c>
      <c r="AS330" t="s">
        <v>8973</v>
      </c>
      <c r="AT330" t="s">
        <v>5402</v>
      </c>
      <c r="AU330" t="s">
        <v>5403</v>
      </c>
      <c r="AV330" t="s">
        <v>69</v>
      </c>
      <c r="AW330" t="s">
        <v>8974</v>
      </c>
      <c r="AX330" t="s">
        <v>8975</v>
      </c>
      <c r="AY330" t="s">
        <v>155</v>
      </c>
      <c r="AZ330">
        <v>2022</v>
      </c>
      <c r="BA330">
        <v>88</v>
      </c>
      <c r="BB330" t="s">
        <v>69</v>
      </c>
      <c r="BC330" t="s">
        <v>69</v>
      </c>
      <c r="BD330" t="s">
        <v>69</v>
      </c>
      <c r="BE330" t="s">
        <v>69</v>
      </c>
      <c r="BF330" t="s">
        <v>69</v>
      </c>
      <c r="BG330" t="s">
        <v>69</v>
      </c>
      <c r="BH330" t="s">
        <v>69</v>
      </c>
      <c r="BI330">
        <v>102635</v>
      </c>
      <c r="BJ330" t="s">
        <v>8976</v>
      </c>
      <c r="BK330" t="str">
        <f>HYPERLINK("http://dx.doi.org/10.1016/j.erss.2022.102635","http://dx.doi.org/10.1016/j.erss.2022.102635")</f>
        <v>http://dx.doi.org/10.1016/j.erss.2022.102635</v>
      </c>
      <c r="BL330" t="s">
        <v>69</v>
      </c>
      <c r="BM330" t="s">
        <v>69</v>
      </c>
      <c r="BN330">
        <v>9</v>
      </c>
      <c r="BO330" t="s">
        <v>8660</v>
      </c>
      <c r="BP330" t="s">
        <v>8661</v>
      </c>
      <c r="BQ330" t="s">
        <v>8662</v>
      </c>
      <c r="BR330" t="s">
        <v>8977</v>
      </c>
      <c r="BS330" t="s">
        <v>8978</v>
      </c>
      <c r="BT330" t="s">
        <v>69</v>
      </c>
      <c r="BU330" t="s">
        <v>69</v>
      </c>
      <c r="BV330" t="s">
        <v>69</v>
      </c>
      <c r="BW330" t="s">
        <v>69</v>
      </c>
      <c r="BX330" t="s">
        <v>8526</v>
      </c>
      <c r="BY330" t="str">
        <f>HYPERLINK("https%3A%2F%2Fwww.webofscience.com%2Fwos%2Fwoscc%2Ffull-record%2FWOS:000799013100001","View Full Record in Web of Science")</f>
        <v>View Full Record in Web of Science</v>
      </c>
    </row>
    <row r="331" spans="1:77" x14ac:dyDescent="0.3">
      <c r="A331" t="s">
        <v>8495</v>
      </c>
      <c r="B331" s="13" t="s">
        <v>32959</v>
      </c>
      <c r="F331" t="s">
        <v>67</v>
      </c>
      <c r="G331" t="s">
        <v>6060</v>
      </c>
      <c r="H331" t="s">
        <v>69</v>
      </c>
      <c r="I331" t="s">
        <v>69</v>
      </c>
      <c r="J331" t="s">
        <v>69</v>
      </c>
      <c r="K331" s="4" t="s">
        <v>6061</v>
      </c>
      <c r="L331" t="s">
        <v>69</v>
      </c>
      <c r="M331" t="s">
        <v>69</v>
      </c>
      <c r="N331" s="6" t="s">
        <v>6062</v>
      </c>
      <c r="O331" t="s">
        <v>6063</v>
      </c>
      <c r="P331" t="s">
        <v>69</v>
      </c>
      <c r="Q331" t="s">
        <v>69</v>
      </c>
      <c r="R331" t="s">
        <v>8505</v>
      </c>
      <c r="S331" t="s">
        <v>8506</v>
      </c>
      <c r="T331" t="s">
        <v>69</v>
      </c>
      <c r="U331" t="s">
        <v>69</v>
      </c>
      <c r="V331" t="s">
        <v>69</v>
      </c>
      <c r="W331" t="s">
        <v>69</v>
      </c>
      <c r="X331" t="s">
        <v>69</v>
      </c>
      <c r="Y331" t="s">
        <v>27203</v>
      </c>
      <c r="Z331" t="s">
        <v>69</v>
      </c>
      <c r="AA331" t="s">
        <v>6064</v>
      </c>
      <c r="AB331" t="s">
        <v>27204</v>
      </c>
      <c r="AC331" t="s">
        <v>69</v>
      </c>
      <c r="AD331" t="s">
        <v>27205</v>
      </c>
      <c r="AE331" t="s">
        <v>27206</v>
      </c>
      <c r="AF331" t="s">
        <v>6065</v>
      </c>
      <c r="AG331" t="s">
        <v>27207</v>
      </c>
      <c r="AH331" t="s">
        <v>69</v>
      </c>
      <c r="AI331" t="s">
        <v>69</v>
      </c>
      <c r="AJ331" t="s">
        <v>69</v>
      </c>
      <c r="AK331" t="s">
        <v>69</v>
      </c>
      <c r="AL331">
        <v>36</v>
      </c>
      <c r="AM331">
        <v>11</v>
      </c>
      <c r="AN331">
        <v>11</v>
      </c>
      <c r="AO331">
        <v>1</v>
      </c>
      <c r="AP331">
        <v>22</v>
      </c>
      <c r="AQ331" t="s">
        <v>8865</v>
      </c>
      <c r="AR331" t="s">
        <v>8612</v>
      </c>
      <c r="AS331" t="s">
        <v>22341</v>
      </c>
      <c r="AT331" t="s">
        <v>6066</v>
      </c>
      <c r="AU331" t="s">
        <v>69</v>
      </c>
      <c r="AV331" t="s">
        <v>69</v>
      </c>
      <c r="AW331" t="s">
        <v>27208</v>
      </c>
      <c r="AX331" t="s">
        <v>27209</v>
      </c>
      <c r="AY331" t="s">
        <v>69</v>
      </c>
      <c r="AZ331">
        <v>2011</v>
      </c>
      <c r="BA331">
        <v>11</v>
      </c>
      <c r="BB331">
        <v>6</v>
      </c>
      <c r="BC331" t="s">
        <v>69</v>
      </c>
      <c r="BD331" t="s">
        <v>69</v>
      </c>
      <c r="BE331" t="s">
        <v>69</v>
      </c>
      <c r="BF331" t="s">
        <v>69</v>
      </c>
      <c r="BG331">
        <v>1367</v>
      </c>
      <c r="BH331">
        <v>1385</v>
      </c>
      <c r="BI331" t="s">
        <v>69</v>
      </c>
      <c r="BJ331" t="s">
        <v>6067</v>
      </c>
      <c r="BK331" t="str">
        <f>HYPERLINK("http://dx.doi.org/10.1080/14693062.2011.579265","http://dx.doi.org/10.1080/14693062.2011.579265")</f>
        <v>http://dx.doi.org/10.1080/14693062.2011.579265</v>
      </c>
      <c r="BL331" t="s">
        <v>69</v>
      </c>
      <c r="BM331" t="s">
        <v>69</v>
      </c>
      <c r="BN331">
        <v>19</v>
      </c>
      <c r="BO331" t="s">
        <v>22445</v>
      </c>
      <c r="BP331" t="s">
        <v>8661</v>
      </c>
      <c r="BQ331" t="s">
        <v>15243</v>
      </c>
      <c r="BR331" t="s">
        <v>27210</v>
      </c>
      <c r="BS331" t="s">
        <v>6068</v>
      </c>
      <c r="BT331" t="s">
        <v>69</v>
      </c>
      <c r="BU331" t="s">
        <v>69</v>
      </c>
      <c r="BV331" t="s">
        <v>69</v>
      </c>
      <c r="BW331" t="s">
        <v>69</v>
      </c>
      <c r="BX331" t="s">
        <v>8526</v>
      </c>
      <c r="BY331" t="str">
        <f>HYPERLINK("https%3A%2F%2Fwww.webofscience.com%2Fwos%2Fwoscc%2Ffull-record%2FWOS:000297288900008","View Full Record in Web of Science")</f>
        <v>View Full Record in Web of Science</v>
      </c>
    </row>
    <row r="332" spans="1:77" ht="12.5" x14ac:dyDescent="0.25">
      <c r="A332" t="s">
        <v>8495</v>
      </c>
      <c r="B332" s="7" t="s">
        <v>32933</v>
      </c>
      <c r="C332" s="7"/>
      <c r="D332" s="7"/>
      <c r="E332" s="7"/>
      <c r="F332" t="s">
        <v>67</v>
      </c>
      <c r="G332" t="s">
        <v>5627</v>
      </c>
      <c r="H332" t="s">
        <v>69</v>
      </c>
      <c r="I332" t="s">
        <v>69</v>
      </c>
      <c r="J332" t="s">
        <v>69</v>
      </c>
      <c r="K332" t="s">
        <v>5628</v>
      </c>
      <c r="L332" t="s">
        <v>69</v>
      </c>
      <c r="M332" t="s">
        <v>69</v>
      </c>
      <c r="N332" t="s">
        <v>5629</v>
      </c>
      <c r="O332" t="s">
        <v>5630</v>
      </c>
      <c r="P332" t="s">
        <v>69</v>
      </c>
      <c r="Q332" t="s">
        <v>69</v>
      </c>
      <c r="R332" t="s">
        <v>8505</v>
      </c>
      <c r="S332" t="s">
        <v>8506</v>
      </c>
      <c r="T332" t="s">
        <v>69</v>
      </c>
      <c r="U332" t="s">
        <v>69</v>
      </c>
      <c r="V332" t="s">
        <v>69</v>
      </c>
      <c r="W332" t="s">
        <v>69</v>
      </c>
      <c r="X332" t="s">
        <v>69</v>
      </c>
      <c r="Y332" t="s">
        <v>17209</v>
      </c>
      <c r="Z332" t="s">
        <v>17210</v>
      </c>
      <c r="AA332" t="s">
        <v>5631</v>
      </c>
      <c r="AB332" t="s">
        <v>17211</v>
      </c>
      <c r="AC332" t="s">
        <v>69</v>
      </c>
      <c r="AD332" t="s">
        <v>17212</v>
      </c>
      <c r="AE332" t="s">
        <v>17213</v>
      </c>
      <c r="AF332" t="s">
        <v>69</v>
      </c>
      <c r="AG332" t="s">
        <v>5632</v>
      </c>
      <c r="AH332" t="s">
        <v>17214</v>
      </c>
      <c r="AI332" t="s">
        <v>17214</v>
      </c>
      <c r="AJ332" t="s">
        <v>17215</v>
      </c>
      <c r="AK332" t="s">
        <v>69</v>
      </c>
      <c r="AL332">
        <v>57</v>
      </c>
      <c r="AM332">
        <v>4</v>
      </c>
      <c r="AN332">
        <v>4</v>
      </c>
      <c r="AO332">
        <v>3</v>
      </c>
      <c r="AP332">
        <v>17</v>
      </c>
      <c r="AQ332" t="s">
        <v>17216</v>
      </c>
      <c r="AR332" t="s">
        <v>17217</v>
      </c>
      <c r="AS332" t="s">
        <v>17218</v>
      </c>
      <c r="AT332" t="s">
        <v>5633</v>
      </c>
      <c r="AU332" t="s">
        <v>69</v>
      </c>
      <c r="AV332" t="s">
        <v>69</v>
      </c>
      <c r="AW332" t="s">
        <v>17219</v>
      </c>
      <c r="AX332" t="s">
        <v>17220</v>
      </c>
      <c r="AY332" t="s">
        <v>155</v>
      </c>
      <c r="AZ332">
        <v>2019</v>
      </c>
      <c r="BA332">
        <v>7</v>
      </c>
      <c r="BB332">
        <v>1</v>
      </c>
      <c r="BC332" t="s">
        <v>69</v>
      </c>
      <c r="BD332" t="s">
        <v>69</v>
      </c>
      <c r="BE332" t="s">
        <v>69</v>
      </c>
      <c r="BF332" t="s">
        <v>69</v>
      </c>
      <c r="BG332">
        <v>31</v>
      </c>
      <c r="BH332">
        <v>41</v>
      </c>
      <c r="BI332" t="s">
        <v>69</v>
      </c>
      <c r="BJ332" t="s">
        <v>5634</v>
      </c>
      <c r="BK332" t="str">
        <f>HYPERLINK("http://dx.doi.org/10.17170/kobra-2018122074","http://dx.doi.org/10.17170/kobra-2018122074")</f>
        <v>http://dx.doi.org/10.17170/kobra-2018122074</v>
      </c>
      <c r="BL332" t="s">
        <v>69</v>
      </c>
      <c r="BM332" t="s">
        <v>69</v>
      </c>
      <c r="BN332">
        <v>11</v>
      </c>
      <c r="BO332" t="s">
        <v>17221</v>
      </c>
      <c r="BP332" t="s">
        <v>8573</v>
      </c>
      <c r="BQ332" t="s">
        <v>17221</v>
      </c>
      <c r="BR332" t="s">
        <v>17222</v>
      </c>
      <c r="BS332" t="s">
        <v>5635</v>
      </c>
      <c r="BT332" t="s">
        <v>69</v>
      </c>
      <c r="BU332" t="s">
        <v>69</v>
      </c>
      <c r="BV332" t="s">
        <v>69</v>
      </c>
      <c r="BW332" t="s">
        <v>69</v>
      </c>
      <c r="BX332" t="s">
        <v>8526</v>
      </c>
      <c r="BY332" t="str">
        <f>HYPERLINK("https%3A%2F%2Fwww.webofscience.com%2Fwos%2Fwoscc%2Ffull-record%2FWOS:000470128200004","View Full Record in Web of Science")</f>
        <v>View Full Record in Web of Science</v>
      </c>
    </row>
    <row r="333" spans="1:77" ht="12.5" x14ac:dyDescent="0.25">
      <c r="A333" t="s">
        <v>8495</v>
      </c>
      <c r="B333" s="7" t="s">
        <v>32933</v>
      </c>
      <c r="C333" s="7"/>
      <c r="D333" s="7"/>
      <c r="E333" s="7"/>
      <c r="F333" t="s">
        <v>67</v>
      </c>
      <c r="G333" t="s">
        <v>694</v>
      </c>
      <c r="H333" t="s">
        <v>69</v>
      </c>
      <c r="I333" t="s">
        <v>69</v>
      </c>
      <c r="J333" t="s">
        <v>69</v>
      </c>
      <c r="K333" t="s">
        <v>695</v>
      </c>
      <c r="L333" t="s">
        <v>69</v>
      </c>
      <c r="M333" t="s">
        <v>69</v>
      </c>
      <c r="N333" t="s">
        <v>696</v>
      </c>
      <c r="O333" t="s">
        <v>697</v>
      </c>
      <c r="P333" t="s">
        <v>69</v>
      </c>
      <c r="Q333" t="s">
        <v>69</v>
      </c>
      <c r="R333" t="s">
        <v>8505</v>
      </c>
      <c r="S333" t="s">
        <v>8506</v>
      </c>
      <c r="T333" t="s">
        <v>69</v>
      </c>
      <c r="U333" t="s">
        <v>69</v>
      </c>
      <c r="V333" t="s">
        <v>69</v>
      </c>
      <c r="W333" t="s">
        <v>69</v>
      </c>
      <c r="X333" t="s">
        <v>69</v>
      </c>
      <c r="Y333" t="s">
        <v>14653</v>
      </c>
      <c r="Z333" t="s">
        <v>14654</v>
      </c>
      <c r="AA333" t="s">
        <v>698</v>
      </c>
      <c r="AB333" t="s">
        <v>14655</v>
      </c>
      <c r="AC333" t="s">
        <v>69</v>
      </c>
      <c r="AD333" t="s">
        <v>14656</v>
      </c>
      <c r="AE333" t="s">
        <v>14657</v>
      </c>
      <c r="AF333" t="s">
        <v>14658</v>
      </c>
      <c r="AG333" t="s">
        <v>69</v>
      </c>
      <c r="AH333" t="s">
        <v>69</v>
      </c>
      <c r="AI333" t="s">
        <v>69</v>
      </c>
      <c r="AJ333" t="s">
        <v>69</v>
      </c>
      <c r="AK333" t="s">
        <v>69</v>
      </c>
      <c r="AL333">
        <v>36</v>
      </c>
      <c r="AM333">
        <v>2</v>
      </c>
      <c r="AN333">
        <v>2</v>
      </c>
      <c r="AO333">
        <v>0</v>
      </c>
      <c r="AP333">
        <v>2</v>
      </c>
      <c r="AQ333" t="s">
        <v>9047</v>
      </c>
      <c r="AR333" t="s">
        <v>9048</v>
      </c>
      <c r="AS333" t="s">
        <v>9049</v>
      </c>
      <c r="AT333" t="s">
        <v>699</v>
      </c>
      <c r="AU333" t="s">
        <v>700</v>
      </c>
      <c r="AV333" t="s">
        <v>69</v>
      </c>
      <c r="AW333" t="s">
        <v>697</v>
      </c>
      <c r="AX333" t="s">
        <v>14659</v>
      </c>
      <c r="AY333" t="s">
        <v>255</v>
      </c>
      <c r="AZ333">
        <v>2020</v>
      </c>
      <c r="BA333">
        <v>32</v>
      </c>
      <c r="BB333">
        <v>3</v>
      </c>
      <c r="BC333" t="s">
        <v>69</v>
      </c>
      <c r="BD333" t="s">
        <v>69</v>
      </c>
      <c r="BE333" t="s">
        <v>69</v>
      </c>
      <c r="BF333" t="s">
        <v>69</v>
      </c>
      <c r="BG333">
        <v>191</v>
      </c>
      <c r="BH333">
        <v>197</v>
      </c>
      <c r="BI333" t="s">
        <v>69</v>
      </c>
      <c r="BJ333" t="s">
        <v>701</v>
      </c>
      <c r="BK333" t="str">
        <f>HYPERLINK("http://dx.doi.org/10.1007/s10730-020-09422-8","http://dx.doi.org/10.1007/s10730-020-09422-8")</f>
        <v>http://dx.doi.org/10.1007/s10730-020-09422-8</v>
      </c>
      <c r="BL333" t="s">
        <v>69</v>
      </c>
      <c r="BM333" t="s">
        <v>702</v>
      </c>
      <c r="BN333">
        <v>7</v>
      </c>
      <c r="BO333" t="s">
        <v>14660</v>
      </c>
      <c r="BP333" t="s">
        <v>8661</v>
      </c>
      <c r="BQ333" t="s">
        <v>10279</v>
      </c>
      <c r="BR333" t="s">
        <v>14661</v>
      </c>
      <c r="BS333" t="s">
        <v>703</v>
      </c>
      <c r="BT333">
        <v>32737622</v>
      </c>
      <c r="BU333" t="s">
        <v>69</v>
      </c>
      <c r="BV333" t="s">
        <v>69</v>
      </c>
      <c r="BW333" t="s">
        <v>69</v>
      </c>
      <c r="BX333" t="s">
        <v>8526</v>
      </c>
      <c r="BY333" t="str">
        <f>HYPERLINK("https%3A%2F%2Fwww.webofscience.com%2Fwos%2Fwoscc%2Ffull-record%2FWOS:000554339500001","View Full Record in Web of Science")</f>
        <v>View Full Record in Web of Science</v>
      </c>
    </row>
    <row r="334" spans="1:77" ht="12.5" x14ac:dyDescent="0.25">
      <c r="A334" t="s">
        <v>8495</v>
      </c>
      <c r="B334" s="22" t="s">
        <v>32931</v>
      </c>
      <c r="C334" s="7"/>
      <c r="D334" s="7"/>
      <c r="E334" s="7"/>
      <c r="F334" t="s">
        <v>67</v>
      </c>
      <c r="G334" t="s">
        <v>30102</v>
      </c>
      <c r="H334" t="s">
        <v>69</v>
      </c>
      <c r="I334" t="s">
        <v>69</v>
      </c>
      <c r="J334" t="s">
        <v>69</v>
      </c>
      <c r="K334" t="s">
        <v>30103</v>
      </c>
      <c r="L334" t="s">
        <v>69</v>
      </c>
      <c r="M334" t="s">
        <v>69</v>
      </c>
      <c r="N334" t="s">
        <v>30104</v>
      </c>
      <c r="O334" t="s">
        <v>30105</v>
      </c>
      <c r="P334" t="s">
        <v>69</v>
      </c>
      <c r="Q334" t="s">
        <v>69</v>
      </c>
      <c r="R334" t="s">
        <v>8505</v>
      </c>
      <c r="S334" t="s">
        <v>8506</v>
      </c>
      <c r="T334" t="s">
        <v>69</v>
      </c>
      <c r="U334" t="s">
        <v>69</v>
      </c>
      <c r="V334" t="s">
        <v>69</v>
      </c>
      <c r="W334" t="s">
        <v>69</v>
      </c>
      <c r="X334" t="s">
        <v>69</v>
      </c>
      <c r="Y334" t="s">
        <v>30106</v>
      </c>
      <c r="Z334" t="s">
        <v>69</v>
      </c>
      <c r="AA334" t="s">
        <v>30107</v>
      </c>
      <c r="AB334" t="s">
        <v>30108</v>
      </c>
      <c r="AC334" t="s">
        <v>69</v>
      </c>
      <c r="AD334" t="s">
        <v>69</v>
      </c>
      <c r="AE334" t="s">
        <v>30109</v>
      </c>
      <c r="AF334" t="s">
        <v>30110</v>
      </c>
      <c r="AG334" t="s">
        <v>30111</v>
      </c>
      <c r="AH334" t="s">
        <v>69</v>
      </c>
      <c r="AI334" t="s">
        <v>69</v>
      </c>
      <c r="AJ334" t="s">
        <v>69</v>
      </c>
      <c r="AK334" t="s">
        <v>69</v>
      </c>
      <c r="AL334">
        <v>48</v>
      </c>
      <c r="AM334">
        <v>11</v>
      </c>
      <c r="AN334">
        <v>11</v>
      </c>
      <c r="AO334">
        <v>0</v>
      </c>
      <c r="AP334">
        <v>14</v>
      </c>
      <c r="AQ334" t="s">
        <v>8846</v>
      </c>
      <c r="AR334" t="s">
        <v>8847</v>
      </c>
      <c r="AS334" t="s">
        <v>8848</v>
      </c>
      <c r="AT334" t="s">
        <v>30112</v>
      </c>
      <c r="AU334" t="s">
        <v>30113</v>
      </c>
      <c r="AV334" t="s">
        <v>69</v>
      </c>
      <c r="AW334" t="s">
        <v>30114</v>
      </c>
      <c r="AX334" t="s">
        <v>30115</v>
      </c>
      <c r="AY334" t="s">
        <v>75</v>
      </c>
      <c r="AZ334">
        <v>2006</v>
      </c>
      <c r="BA334">
        <v>15</v>
      </c>
      <c r="BB334">
        <v>12</v>
      </c>
      <c r="BC334" t="s">
        <v>69</v>
      </c>
      <c r="BD334" t="s">
        <v>69</v>
      </c>
      <c r="BE334" t="s">
        <v>69</v>
      </c>
      <c r="BF334" t="s">
        <v>69</v>
      </c>
      <c r="BG334">
        <v>1540</v>
      </c>
      <c r="BH334">
        <v>1549</v>
      </c>
      <c r="BI334" t="s">
        <v>69</v>
      </c>
      <c r="BJ334" t="s">
        <v>30116</v>
      </c>
      <c r="BK334" t="str">
        <f>HYPERLINK("http://dx.doi.org/10.1111/j.1365-2702.2006.01576.x","http://dx.doi.org/10.1111/j.1365-2702.2006.01576.x")</f>
        <v>http://dx.doi.org/10.1111/j.1365-2702.2006.01576.x</v>
      </c>
      <c r="BL334" t="s">
        <v>69</v>
      </c>
      <c r="BM334" t="s">
        <v>69</v>
      </c>
      <c r="BN334">
        <v>10</v>
      </c>
      <c r="BO334" t="s">
        <v>16902</v>
      </c>
      <c r="BP334" t="s">
        <v>8523</v>
      </c>
      <c r="BQ334" t="s">
        <v>16902</v>
      </c>
      <c r="BR334" t="s">
        <v>30117</v>
      </c>
      <c r="BS334" t="s">
        <v>30118</v>
      </c>
      <c r="BT334">
        <v>17118076</v>
      </c>
      <c r="BU334" t="s">
        <v>69</v>
      </c>
      <c r="BV334" t="s">
        <v>69</v>
      </c>
      <c r="BW334" t="s">
        <v>69</v>
      </c>
      <c r="BX334" t="s">
        <v>8526</v>
      </c>
      <c r="BY334" t="str">
        <f>HYPERLINK("https%3A%2F%2Fwww.webofscience.com%2Fwos%2Fwoscc%2Ffull-record%2FWOS:000242113200008","View Full Record in Web of Science")</f>
        <v>View Full Record in Web of Science</v>
      </c>
    </row>
    <row r="335" spans="1:77" ht="12.5" x14ac:dyDescent="0.25">
      <c r="A335" t="s">
        <v>8495</v>
      </c>
      <c r="B335" s="7" t="s">
        <v>32933</v>
      </c>
      <c r="C335" s="7"/>
      <c r="D335" s="7"/>
      <c r="E335" s="7"/>
      <c r="F335" t="s">
        <v>67</v>
      </c>
      <c r="G335" t="s">
        <v>6190</v>
      </c>
      <c r="H335" t="s">
        <v>69</v>
      </c>
      <c r="I335" t="s">
        <v>69</v>
      </c>
      <c r="J335" t="s">
        <v>69</v>
      </c>
      <c r="K335" t="s">
        <v>6190</v>
      </c>
      <c r="L335" t="s">
        <v>69</v>
      </c>
      <c r="M335" t="s">
        <v>69</v>
      </c>
      <c r="N335" t="s">
        <v>6191</v>
      </c>
      <c r="O335" t="s">
        <v>6192</v>
      </c>
      <c r="P335" t="s">
        <v>69</v>
      </c>
      <c r="Q335" t="s">
        <v>69</v>
      </c>
      <c r="R335" t="s">
        <v>8505</v>
      </c>
      <c r="S335" t="s">
        <v>8506</v>
      </c>
      <c r="T335" t="s">
        <v>69</v>
      </c>
      <c r="U335" t="s">
        <v>69</v>
      </c>
      <c r="V335" t="s">
        <v>69</v>
      </c>
      <c r="W335" t="s">
        <v>69</v>
      </c>
      <c r="X335" t="s">
        <v>69</v>
      </c>
      <c r="Y335" t="s">
        <v>69</v>
      </c>
      <c r="Z335" t="s">
        <v>31212</v>
      </c>
      <c r="AA335" t="s">
        <v>6193</v>
      </c>
      <c r="AB335" t="s">
        <v>31213</v>
      </c>
      <c r="AC335" t="s">
        <v>69</v>
      </c>
      <c r="AD335" t="s">
        <v>31214</v>
      </c>
      <c r="AE335" t="s">
        <v>69</v>
      </c>
      <c r="AF335" t="s">
        <v>69</v>
      </c>
      <c r="AG335" t="s">
        <v>69</v>
      </c>
      <c r="AH335" t="s">
        <v>69</v>
      </c>
      <c r="AI335" t="s">
        <v>69</v>
      </c>
      <c r="AJ335" t="s">
        <v>69</v>
      </c>
      <c r="AK335" t="s">
        <v>69</v>
      </c>
      <c r="AL335">
        <v>74</v>
      </c>
      <c r="AM335">
        <v>83</v>
      </c>
      <c r="AN335">
        <v>83</v>
      </c>
      <c r="AO335">
        <v>2</v>
      </c>
      <c r="AP335">
        <v>11</v>
      </c>
      <c r="AQ335" t="s">
        <v>10352</v>
      </c>
      <c r="AR335" t="s">
        <v>8637</v>
      </c>
      <c r="AS335" t="s">
        <v>10353</v>
      </c>
      <c r="AT335" t="s">
        <v>6194</v>
      </c>
      <c r="AU335" t="s">
        <v>6195</v>
      </c>
      <c r="AV335" t="s">
        <v>69</v>
      </c>
      <c r="AW335" t="s">
        <v>31215</v>
      </c>
      <c r="AX335" t="s">
        <v>31216</v>
      </c>
      <c r="AY335" t="s">
        <v>84</v>
      </c>
      <c r="AZ335">
        <v>2003</v>
      </c>
      <c r="BA335">
        <v>102</v>
      </c>
      <c r="BB335">
        <v>408</v>
      </c>
      <c r="BC335" t="s">
        <v>69</v>
      </c>
      <c r="BD335" t="s">
        <v>69</v>
      </c>
      <c r="BE335" t="s">
        <v>69</v>
      </c>
      <c r="BF335" t="s">
        <v>69</v>
      </c>
      <c r="BG335">
        <v>447</v>
      </c>
      <c r="BH335">
        <v>467</v>
      </c>
      <c r="BI335" t="s">
        <v>69</v>
      </c>
      <c r="BJ335" t="s">
        <v>6196</v>
      </c>
      <c r="BK335" t="str">
        <f>HYPERLINK("http://dx.doi.org/10.1093/oxfordjournals.afraf.a138824","http://dx.doi.org/10.1093/oxfordjournals.afraf.a138824")</f>
        <v>http://dx.doi.org/10.1093/oxfordjournals.afraf.a138824</v>
      </c>
      <c r="BL335" t="s">
        <v>69</v>
      </c>
      <c r="BM335" t="s">
        <v>69</v>
      </c>
      <c r="BN335">
        <v>21</v>
      </c>
      <c r="BO335" t="s">
        <v>31217</v>
      </c>
      <c r="BP335" t="s">
        <v>8661</v>
      </c>
      <c r="BQ335" t="s">
        <v>31218</v>
      </c>
      <c r="BR335" t="s">
        <v>31219</v>
      </c>
      <c r="BS335" t="s">
        <v>6197</v>
      </c>
      <c r="BT335" t="s">
        <v>69</v>
      </c>
      <c r="BU335" t="s">
        <v>69</v>
      </c>
      <c r="BV335" t="s">
        <v>69</v>
      </c>
      <c r="BW335" t="s">
        <v>69</v>
      </c>
      <c r="BX335" t="s">
        <v>8526</v>
      </c>
      <c r="BY335" t="str">
        <f>HYPERLINK("https%3A%2F%2Fwww.webofscience.com%2Fwos%2Fwoscc%2Ffull-record%2FWOS:000184387200004","View Full Record in Web of Science")</f>
        <v>View Full Record in Web of Science</v>
      </c>
    </row>
    <row r="336" spans="1:77" ht="12.5" x14ac:dyDescent="0.25">
      <c r="A336" t="s">
        <v>8495</v>
      </c>
      <c r="B336" s="22" t="s">
        <v>32931</v>
      </c>
      <c r="C336" s="7"/>
      <c r="D336" s="7"/>
      <c r="E336" s="7"/>
      <c r="F336" t="s">
        <v>67</v>
      </c>
      <c r="G336" t="s">
        <v>11925</v>
      </c>
      <c r="H336" t="s">
        <v>69</v>
      </c>
      <c r="I336" t="s">
        <v>69</v>
      </c>
      <c r="J336" t="s">
        <v>69</v>
      </c>
      <c r="K336" t="s">
        <v>11926</v>
      </c>
      <c r="L336" t="s">
        <v>69</v>
      </c>
      <c r="M336" t="s">
        <v>69</v>
      </c>
      <c r="N336" t="s">
        <v>11927</v>
      </c>
      <c r="O336" t="s">
        <v>11928</v>
      </c>
      <c r="P336" t="s">
        <v>69</v>
      </c>
      <c r="Q336" t="s">
        <v>69</v>
      </c>
      <c r="R336" t="s">
        <v>8505</v>
      </c>
      <c r="S336" t="s">
        <v>8556</v>
      </c>
      <c r="T336" t="s">
        <v>69</v>
      </c>
      <c r="U336" t="s">
        <v>69</v>
      </c>
      <c r="V336" t="s">
        <v>69</v>
      </c>
      <c r="W336" t="s">
        <v>69</v>
      </c>
      <c r="X336" t="s">
        <v>69</v>
      </c>
      <c r="Y336" t="s">
        <v>11929</v>
      </c>
      <c r="Z336" t="s">
        <v>11930</v>
      </c>
      <c r="AA336" t="s">
        <v>11931</v>
      </c>
      <c r="AB336" t="s">
        <v>11932</v>
      </c>
      <c r="AC336" t="s">
        <v>69</v>
      </c>
      <c r="AD336" t="s">
        <v>11933</v>
      </c>
      <c r="AE336" t="s">
        <v>11934</v>
      </c>
      <c r="AF336" t="s">
        <v>69</v>
      </c>
      <c r="AG336" t="s">
        <v>69</v>
      </c>
      <c r="AH336" t="s">
        <v>69</v>
      </c>
      <c r="AI336" t="s">
        <v>69</v>
      </c>
      <c r="AJ336" t="s">
        <v>69</v>
      </c>
      <c r="AK336" t="s">
        <v>69</v>
      </c>
      <c r="AL336">
        <v>98</v>
      </c>
      <c r="AM336">
        <v>0</v>
      </c>
      <c r="AN336">
        <v>0</v>
      </c>
      <c r="AO336">
        <v>2</v>
      </c>
      <c r="AP336">
        <v>13</v>
      </c>
      <c r="AQ336" t="s">
        <v>8586</v>
      </c>
      <c r="AR336" t="s">
        <v>8587</v>
      </c>
      <c r="AS336" t="s">
        <v>8588</v>
      </c>
      <c r="AT336" t="s">
        <v>11935</v>
      </c>
      <c r="AU336" t="s">
        <v>11936</v>
      </c>
      <c r="AV336" t="s">
        <v>69</v>
      </c>
      <c r="AW336" t="s">
        <v>11937</v>
      </c>
      <c r="AX336" t="s">
        <v>11938</v>
      </c>
      <c r="AY336" t="s">
        <v>69</v>
      </c>
      <c r="AZ336" t="s">
        <v>69</v>
      </c>
      <c r="BA336" t="s">
        <v>69</v>
      </c>
      <c r="BB336" t="s">
        <v>69</v>
      </c>
      <c r="BC336" t="s">
        <v>69</v>
      </c>
      <c r="BD336" t="s">
        <v>69</v>
      </c>
      <c r="BE336" t="s">
        <v>69</v>
      </c>
      <c r="BF336" t="s">
        <v>69</v>
      </c>
      <c r="BG336" t="s">
        <v>69</v>
      </c>
      <c r="BH336" t="s">
        <v>69</v>
      </c>
      <c r="BI336" t="s">
        <v>69</v>
      </c>
      <c r="BJ336" t="s">
        <v>11939</v>
      </c>
      <c r="BK336" t="str">
        <f>HYPERLINK("http://dx.doi.org/10.1108/JSTPM-06-2019-0058","http://dx.doi.org/10.1108/JSTPM-06-2019-0058")</f>
        <v>http://dx.doi.org/10.1108/JSTPM-06-2019-0058</v>
      </c>
      <c r="BL336" t="s">
        <v>69</v>
      </c>
      <c r="BM336" t="s">
        <v>11920</v>
      </c>
      <c r="BN336">
        <v>27</v>
      </c>
      <c r="BO336" t="s">
        <v>9410</v>
      </c>
      <c r="BP336" t="s">
        <v>8573</v>
      </c>
      <c r="BQ336" t="s">
        <v>8594</v>
      </c>
      <c r="BR336" t="s">
        <v>11940</v>
      </c>
      <c r="BS336" t="s">
        <v>11941</v>
      </c>
      <c r="BT336" t="s">
        <v>69</v>
      </c>
      <c r="BU336" t="s">
        <v>69</v>
      </c>
      <c r="BV336" t="s">
        <v>69</v>
      </c>
      <c r="BW336" t="s">
        <v>69</v>
      </c>
      <c r="BX336" t="s">
        <v>8526</v>
      </c>
      <c r="BY336" t="str">
        <f>HYPERLINK("https%3A%2F%2Fwww.webofscience.com%2Fwos%2Fwoscc%2Ffull-record%2FWOS:000664119100001","View Full Record in Web of Science")</f>
        <v>View Full Record in Web of Science</v>
      </c>
    </row>
    <row r="337" spans="1:77" ht="12.5" x14ac:dyDescent="0.25">
      <c r="A337" t="s">
        <v>8495</v>
      </c>
      <c r="B337" s="7" t="s">
        <v>32933</v>
      </c>
      <c r="C337" s="7"/>
      <c r="D337" s="7"/>
      <c r="E337" s="7"/>
      <c r="F337" t="s">
        <v>67</v>
      </c>
      <c r="G337" t="s">
        <v>5923</v>
      </c>
      <c r="H337" t="s">
        <v>69</v>
      </c>
      <c r="I337" t="s">
        <v>69</v>
      </c>
      <c r="J337" t="s">
        <v>69</v>
      </c>
      <c r="K337" t="s">
        <v>5924</v>
      </c>
      <c r="L337" t="s">
        <v>69</v>
      </c>
      <c r="M337" t="s">
        <v>69</v>
      </c>
      <c r="N337" t="s">
        <v>5925</v>
      </c>
      <c r="O337" t="s">
        <v>5926</v>
      </c>
      <c r="P337" t="s">
        <v>69</v>
      </c>
      <c r="Q337" t="s">
        <v>69</v>
      </c>
      <c r="R337" t="s">
        <v>8505</v>
      </c>
      <c r="S337" t="s">
        <v>8442</v>
      </c>
      <c r="T337" t="s">
        <v>69</v>
      </c>
      <c r="U337" t="s">
        <v>69</v>
      </c>
      <c r="V337" t="s">
        <v>69</v>
      </c>
      <c r="W337" t="s">
        <v>69</v>
      </c>
      <c r="X337" t="s">
        <v>69</v>
      </c>
      <c r="Y337" t="s">
        <v>24412</v>
      </c>
      <c r="Z337" t="s">
        <v>24413</v>
      </c>
      <c r="AA337" t="s">
        <v>5927</v>
      </c>
      <c r="AB337" t="s">
        <v>24414</v>
      </c>
      <c r="AC337" t="s">
        <v>69</v>
      </c>
      <c r="AD337" t="s">
        <v>24415</v>
      </c>
      <c r="AE337" t="s">
        <v>69</v>
      </c>
      <c r="AF337" t="s">
        <v>5928</v>
      </c>
      <c r="AG337" t="s">
        <v>24416</v>
      </c>
      <c r="AH337" t="s">
        <v>69</v>
      </c>
      <c r="AI337" t="s">
        <v>69</v>
      </c>
      <c r="AJ337" t="s">
        <v>69</v>
      </c>
      <c r="AK337" t="s">
        <v>69</v>
      </c>
      <c r="AL337">
        <v>24</v>
      </c>
      <c r="AM337">
        <v>12</v>
      </c>
      <c r="AN337">
        <v>13</v>
      </c>
      <c r="AO337">
        <v>4</v>
      </c>
      <c r="AP337">
        <v>59</v>
      </c>
      <c r="AQ337" t="s">
        <v>8865</v>
      </c>
      <c r="AR337" t="s">
        <v>8612</v>
      </c>
      <c r="AS337" t="s">
        <v>8866</v>
      </c>
      <c r="AT337" t="s">
        <v>5929</v>
      </c>
      <c r="AU337" t="s">
        <v>5930</v>
      </c>
      <c r="AV337" t="s">
        <v>69</v>
      </c>
      <c r="AW337" t="s">
        <v>24417</v>
      </c>
      <c r="AX337" t="s">
        <v>24418</v>
      </c>
      <c r="AY337" t="s">
        <v>75</v>
      </c>
      <c r="AZ337">
        <v>2013</v>
      </c>
      <c r="BA337">
        <v>15</v>
      </c>
      <c r="BB337">
        <v>4</v>
      </c>
      <c r="BC337" t="s">
        <v>69</v>
      </c>
      <c r="BD337" t="s">
        <v>69</v>
      </c>
      <c r="BE337" t="s">
        <v>69</v>
      </c>
      <c r="BF337" t="s">
        <v>69</v>
      </c>
      <c r="BG337">
        <v>416</v>
      </c>
      <c r="BH337">
        <v>436</v>
      </c>
      <c r="BI337" t="s">
        <v>69</v>
      </c>
      <c r="BJ337" t="s">
        <v>5931</v>
      </c>
      <c r="BK337" t="str">
        <f>HYPERLINK("http://dx.doi.org/10.5172/impp.2013.15.4.416","http://dx.doi.org/10.5172/impp.2013.15.4.416")</f>
        <v>http://dx.doi.org/10.5172/impp.2013.15.4.416</v>
      </c>
      <c r="BL337" t="s">
        <v>69</v>
      </c>
      <c r="BM337" t="s">
        <v>69</v>
      </c>
      <c r="BN337">
        <v>21</v>
      </c>
      <c r="BO337" t="s">
        <v>9410</v>
      </c>
      <c r="BP337" t="s">
        <v>8661</v>
      </c>
      <c r="BQ337" t="s">
        <v>8594</v>
      </c>
      <c r="BR337" t="s">
        <v>24419</v>
      </c>
      <c r="BS337" t="s">
        <v>5932</v>
      </c>
      <c r="BT337" t="s">
        <v>69</v>
      </c>
      <c r="BU337" t="s">
        <v>69</v>
      </c>
      <c r="BV337" t="s">
        <v>69</v>
      </c>
      <c r="BW337" t="s">
        <v>69</v>
      </c>
      <c r="BX337" t="s">
        <v>8526</v>
      </c>
      <c r="BY337" t="str">
        <f>HYPERLINK("https%3A%2F%2Fwww.webofscience.com%2Fwos%2Fwoscc%2Ffull-record%2FWOS:000331065200003","View Full Record in Web of Science")</f>
        <v>View Full Record in Web of Science</v>
      </c>
    </row>
    <row r="338" spans="1:77" ht="12.5" x14ac:dyDescent="0.25">
      <c r="A338" t="s">
        <v>8495</v>
      </c>
      <c r="B338" s="7" t="s">
        <v>32933</v>
      </c>
      <c r="C338" s="7"/>
      <c r="D338" s="7"/>
      <c r="E338" s="7"/>
      <c r="F338" t="s">
        <v>67</v>
      </c>
      <c r="G338" t="s">
        <v>5084</v>
      </c>
      <c r="H338" t="s">
        <v>69</v>
      </c>
      <c r="I338" t="s">
        <v>69</v>
      </c>
      <c r="J338" t="s">
        <v>69</v>
      </c>
      <c r="K338" t="s">
        <v>5085</v>
      </c>
      <c r="L338" t="s">
        <v>69</v>
      </c>
      <c r="M338" t="s">
        <v>69</v>
      </c>
      <c r="N338" t="s">
        <v>5086</v>
      </c>
      <c r="O338" t="s">
        <v>3208</v>
      </c>
      <c r="P338" t="s">
        <v>69</v>
      </c>
      <c r="Q338" t="s">
        <v>69</v>
      </c>
      <c r="R338" t="s">
        <v>8505</v>
      </c>
      <c r="S338" t="s">
        <v>8506</v>
      </c>
      <c r="T338" t="s">
        <v>69</v>
      </c>
      <c r="U338" t="s">
        <v>69</v>
      </c>
      <c r="V338" t="s">
        <v>69</v>
      </c>
      <c r="W338" t="s">
        <v>69</v>
      </c>
      <c r="X338" t="s">
        <v>69</v>
      </c>
      <c r="Y338" t="s">
        <v>17688</v>
      </c>
      <c r="Z338" t="s">
        <v>69</v>
      </c>
      <c r="AA338" t="s">
        <v>5087</v>
      </c>
      <c r="AB338" t="s">
        <v>17689</v>
      </c>
      <c r="AC338" t="s">
        <v>69</v>
      </c>
      <c r="AD338" t="s">
        <v>17690</v>
      </c>
      <c r="AE338" t="s">
        <v>17691</v>
      </c>
      <c r="AF338" t="s">
        <v>69</v>
      </c>
      <c r="AG338" t="s">
        <v>5088</v>
      </c>
      <c r="AH338" t="s">
        <v>17692</v>
      </c>
      <c r="AI338" t="s">
        <v>17693</v>
      </c>
      <c r="AJ338" t="s">
        <v>17694</v>
      </c>
      <c r="AK338" t="s">
        <v>69</v>
      </c>
      <c r="AL338">
        <v>18</v>
      </c>
      <c r="AM338">
        <v>4</v>
      </c>
      <c r="AN338">
        <v>4</v>
      </c>
      <c r="AO338">
        <v>4</v>
      </c>
      <c r="AP338">
        <v>15</v>
      </c>
      <c r="AQ338" t="s">
        <v>17695</v>
      </c>
      <c r="AR338" t="s">
        <v>12737</v>
      </c>
      <c r="AS338" t="s">
        <v>17696</v>
      </c>
      <c r="AT338" t="s">
        <v>3210</v>
      </c>
      <c r="AU338" t="s">
        <v>69</v>
      </c>
      <c r="AV338" t="s">
        <v>69</v>
      </c>
      <c r="AW338" t="s">
        <v>17697</v>
      </c>
      <c r="AX338" t="s">
        <v>17697</v>
      </c>
      <c r="AY338" t="s">
        <v>69</v>
      </c>
      <c r="AZ338">
        <v>2019</v>
      </c>
      <c r="BA338">
        <v>28</v>
      </c>
      <c r="BB338" t="s">
        <v>69</v>
      </c>
      <c r="BC338" t="s">
        <v>69</v>
      </c>
      <c r="BD338">
        <v>1</v>
      </c>
      <c r="BE338" t="s">
        <v>114</v>
      </c>
      <c r="BF338" t="s">
        <v>69</v>
      </c>
      <c r="BG338">
        <v>233</v>
      </c>
      <c r="BH338">
        <v>239</v>
      </c>
      <c r="BI338" t="s">
        <v>69</v>
      </c>
      <c r="BJ338" t="s">
        <v>5089</v>
      </c>
      <c r="BK338" t="str">
        <f>HYPERLINK("http://dx.doi.org/10.14512/gaia.28.S1.10","http://dx.doi.org/10.14512/gaia.28.S1.10")</f>
        <v>http://dx.doi.org/10.14512/gaia.28.S1.10</v>
      </c>
      <c r="BL338" t="s">
        <v>69</v>
      </c>
      <c r="BM338" t="s">
        <v>69</v>
      </c>
      <c r="BN338">
        <v>7</v>
      </c>
      <c r="BO338" t="s">
        <v>11791</v>
      </c>
      <c r="BP338" t="s">
        <v>8523</v>
      </c>
      <c r="BQ338" t="s">
        <v>8662</v>
      </c>
      <c r="BR338" t="s">
        <v>17698</v>
      </c>
      <c r="BS338" t="s">
        <v>5090</v>
      </c>
      <c r="BT338" t="s">
        <v>69</v>
      </c>
      <c r="BU338" t="s">
        <v>8746</v>
      </c>
      <c r="BV338" t="s">
        <v>69</v>
      </c>
      <c r="BW338" t="s">
        <v>69</v>
      </c>
      <c r="BX338" t="s">
        <v>8526</v>
      </c>
      <c r="BY338" t="str">
        <f>HYPERLINK("https%3A%2F%2Fwww.webofscience.com%2Fwos%2Fwoscc%2Ffull-record%2FWOS:000490813100010","View Full Record in Web of Science")</f>
        <v>View Full Record in Web of Science</v>
      </c>
    </row>
    <row r="339" spans="1:77" ht="12.5" x14ac:dyDescent="0.25">
      <c r="A339" t="s">
        <v>8495</v>
      </c>
      <c r="B339" s="22" t="s">
        <v>32931</v>
      </c>
      <c r="C339" s="7"/>
      <c r="D339" s="7"/>
      <c r="E339" s="7"/>
      <c r="F339" t="s">
        <v>67</v>
      </c>
      <c r="G339" t="s">
        <v>9528</v>
      </c>
      <c r="H339" t="s">
        <v>69</v>
      </c>
      <c r="I339" t="s">
        <v>69</v>
      </c>
      <c r="J339" t="s">
        <v>69</v>
      </c>
      <c r="K339" t="s">
        <v>9529</v>
      </c>
      <c r="L339" t="s">
        <v>69</v>
      </c>
      <c r="M339" t="s">
        <v>69</v>
      </c>
      <c r="N339" t="s">
        <v>9530</v>
      </c>
      <c r="O339" t="s">
        <v>3106</v>
      </c>
      <c r="P339" t="s">
        <v>69</v>
      </c>
      <c r="Q339" t="s">
        <v>69</v>
      </c>
      <c r="R339" t="s">
        <v>8505</v>
      </c>
      <c r="S339" t="s">
        <v>8556</v>
      </c>
      <c r="T339" t="s">
        <v>69</v>
      </c>
      <c r="U339" t="s">
        <v>69</v>
      </c>
      <c r="V339" t="s">
        <v>69</v>
      </c>
      <c r="W339" t="s">
        <v>69</v>
      </c>
      <c r="X339" t="s">
        <v>69</v>
      </c>
      <c r="Y339" t="s">
        <v>9531</v>
      </c>
      <c r="Z339" t="s">
        <v>9532</v>
      </c>
      <c r="AA339" t="s">
        <v>9533</v>
      </c>
      <c r="AB339" t="s">
        <v>9534</v>
      </c>
      <c r="AC339" t="s">
        <v>69</v>
      </c>
      <c r="AD339" t="s">
        <v>9535</v>
      </c>
      <c r="AE339" t="s">
        <v>9536</v>
      </c>
      <c r="AF339" t="s">
        <v>69</v>
      </c>
      <c r="AG339" t="s">
        <v>69</v>
      </c>
      <c r="AH339" t="s">
        <v>69</v>
      </c>
      <c r="AI339" t="s">
        <v>69</v>
      </c>
      <c r="AJ339" t="s">
        <v>69</v>
      </c>
      <c r="AK339" t="s">
        <v>69</v>
      </c>
      <c r="AL339">
        <v>72</v>
      </c>
      <c r="AM339">
        <v>0</v>
      </c>
      <c r="AN339">
        <v>0</v>
      </c>
      <c r="AO339">
        <v>7</v>
      </c>
      <c r="AP339">
        <v>7</v>
      </c>
      <c r="AQ339" t="s">
        <v>8586</v>
      </c>
      <c r="AR339" t="s">
        <v>8587</v>
      </c>
      <c r="AS339" t="s">
        <v>8588</v>
      </c>
      <c r="AT339" t="s">
        <v>3108</v>
      </c>
      <c r="AU339" t="s">
        <v>3109</v>
      </c>
      <c r="AV339" t="s">
        <v>69</v>
      </c>
      <c r="AW339" t="s">
        <v>9537</v>
      </c>
      <c r="AX339" t="s">
        <v>9538</v>
      </c>
      <c r="AY339" t="s">
        <v>69</v>
      </c>
      <c r="AZ339" t="s">
        <v>69</v>
      </c>
      <c r="BA339" t="s">
        <v>69</v>
      </c>
      <c r="BB339" t="s">
        <v>69</v>
      </c>
      <c r="BC339" t="s">
        <v>69</v>
      </c>
      <c r="BD339" t="s">
        <v>69</v>
      </c>
      <c r="BE339" t="s">
        <v>69</v>
      </c>
      <c r="BF339" t="s">
        <v>69</v>
      </c>
      <c r="BG339" t="s">
        <v>69</v>
      </c>
      <c r="BH339" t="s">
        <v>69</v>
      </c>
      <c r="BI339" t="s">
        <v>69</v>
      </c>
      <c r="BJ339" t="s">
        <v>9539</v>
      </c>
      <c r="BK339" t="str">
        <f>HYPERLINK("http://dx.doi.org/10.1108/SRJ-06-2021-0216","http://dx.doi.org/10.1108/SRJ-06-2021-0216")</f>
        <v>http://dx.doi.org/10.1108/SRJ-06-2021-0216</v>
      </c>
      <c r="BL339" t="s">
        <v>69</v>
      </c>
      <c r="BM339" t="s">
        <v>9485</v>
      </c>
      <c r="BN339">
        <v>20</v>
      </c>
      <c r="BO339" t="s">
        <v>9410</v>
      </c>
      <c r="BP339" t="s">
        <v>8573</v>
      </c>
      <c r="BQ339" t="s">
        <v>8594</v>
      </c>
      <c r="BR339" t="s">
        <v>9540</v>
      </c>
      <c r="BS339" t="s">
        <v>9541</v>
      </c>
      <c r="BT339" t="s">
        <v>69</v>
      </c>
      <c r="BU339" t="s">
        <v>69</v>
      </c>
      <c r="BV339" t="s">
        <v>69</v>
      </c>
      <c r="BW339" t="s">
        <v>69</v>
      </c>
      <c r="BX339" t="s">
        <v>8526</v>
      </c>
      <c r="BY339" t="str">
        <f>HYPERLINK("https%3A%2F%2Fwww.webofscience.com%2Fwos%2Fwoscc%2Ffull-record%2FWOS:000773971500001","View Full Record in Web of Science")</f>
        <v>View Full Record in Web of Science</v>
      </c>
    </row>
    <row r="340" spans="1:77" ht="12.5" x14ac:dyDescent="0.25">
      <c r="A340" t="s">
        <v>8495</v>
      </c>
      <c r="B340" s="22" t="s">
        <v>32931</v>
      </c>
      <c r="C340" s="7"/>
      <c r="D340" s="7"/>
      <c r="E340" s="7"/>
      <c r="F340" t="s">
        <v>67</v>
      </c>
      <c r="G340" t="s">
        <v>28801</v>
      </c>
      <c r="H340" t="s">
        <v>69</v>
      </c>
      <c r="I340" t="s">
        <v>69</v>
      </c>
      <c r="J340" t="s">
        <v>69</v>
      </c>
      <c r="K340" t="s">
        <v>28802</v>
      </c>
      <c r="L340" t="s">
        <v>69</v>
      </c>
      <c r="M340" t="s">
        <v>69</v>
      </c>
      <c r="N340" t="s">
        <v>28803</v>
      </c>
      <c r="O340" t="s">
        <v>28804</v>
      </c>
      <c r="P340" t="s">
        <v>69</v>
      </c>
      <c r="Q340" t="s">
        <v>69</v>
      </c>
      <c r="R340" t="s">
        <v>8505</v>
      </c>
      <c r="S340" t="s">
        <v>8506</v>
      </c>
      <c r="T340" t="s">
        <v>69</v>
      </c>
      <c r="U340" t="s">
        <v>69</v>
      </c>
      <c r="V340" t="s">
        <v>69</v>
      </c>
      <c r="W340" t="s">
        <v>69</v>
      </c>
      <c r="X340" t="s">
        <v>69</v>
      </c>
      <c r="Y340" t="s">
        <v>28805</v>
      </c>
      <c r="Z340" t="s">
        <v>69</v>
      </c>
      <c r="AA340" t="s">
        <v>28806</v>
      </c>
      <c r="AB340" t="s">
        <v>28807</v>
      </c>
      <c r="AC340" t="s">
        <v>69</v>
      </c>
      <c r="AD340" t="s">
        <v>28808</v>
      </c>
      <c r="AE340" t="s">
        <v>69</v>
      </c>
      <c r="AF340" t="s">
        <v>28809</v>
      </c>
      <c r="AG340" t="s">
        <v>28810</v>
      </c>
      <c r="AH340" t="s">
        <v>69</v>
      </c>
      <c r="AI340" t="s">
        <v>69</v>
      </c>
      <c r="AJ340" t="s">
        <v>69</v>
      </c>
      <c r="AK340" t="s">
        <v>69</v>
      </c>
      <c r="AL340">
        <v>75</v>
      </c>
      <c r="AM340">
        <v>12</v>
      </c>
      <c r="AN340">
        <v>12</v>
      </c>
      <c r="AO340">
        <v>0</v>
      </c>
      <c r="AP340">
        <v>0</v>
      </c>
      <c r="AQ340" t="s">
        <v>20754</v>
      </c>
      <c r="AR340" t="s">
        <v>20755</v>
      </c>
      <c r="AS340" t="s">
        <v>20756</v>
      </c>
      <c r="AT340" t="s">
        <v>28811</v>
      </c>
      <c r="AU340" t="s">
        <v>28812</v>
      </c>
      <c r="AV340" t="s">
        <v>69</v>
      </c>
      <c r="AW340" t="s">
        <v>28813</v>
      </c>
      <c r="AX340" t="s">
        <v>28814</v>
      </c>
      <c r="AY340" t="s">
        <v>2654</v>
      </c>
      <c r="AZ340">
        <v>2009</v>
      </c>
      <c r="BA340">
        <v>2</v>
      </c>
      <c r="BB340">
        <v>1</v>
      </c>
      <c r="BC340" t="s">
        <v>69</v>
      </c>
      <c r="BD340" t="s">
        <v>69</v>
      </c>
      <c r="BE340" t="s">
        <v>69</v>
      </c>
      <c r="BF340" t="s">
        <v>69</v>
      </c>
      <c r="BG340">
        <v>48</v>
      </c>
      <c r="BH340">
        <v>69</v>
      </c>
      <c r="BI340" t="s">
        <v>69</v>
      </c>
      <c r="BJ340" t="s">
        <v>28815</v>
      </c>
      <c r="BK340" t="str">
        <f>HYPERLINK("http://dx.doi.org/10.4018/jitsa.2009010104","http://dx.doi.org/10.4018/jitsa.2009010104")</f>
        <v>http://dx.doi.org/10.4018/jitsa.2009010104</v>
      </c>
      <c r="BL340" t="s">
        <v>69</v>
      </c>
      <c r="BM340" t="s">
        <v>69</v>
      </c>
      <c r="BN340">
        <v>22</v>
      </c>
      <c r="BO340" t="s">
        <v>10975</v>
      </c>
      <c r="BP340" t="s">
        <v>8573</v>
      </c>
      <c r="BQ340" t="s">
        <v>10976</v>
      </c>
      <c r="BR340" t="s">
        <v>28816</v>
      </c>
      <c r="BS340" t="s">
        <v>28817</v>
      </c>
      <c r="BT340" t="s">
        <v>69</v>
      </c>
      <c r="BU340" t="s">
        <v>69</v>
      </c>
      <c r="BV340" t="s">
        <v>69</v>
      </c>
      <c r="BW340" t="s">
        <v>69</v>
      </c>
      <c r="BX340" t="s">
        <v>8526</v>
      </c>
      <c r="BY340" t="str">
        <f>HYPERLINK("https%3A%2F%2Fwww.webofscience.com%2Fwos%2Fwoscc%2Ffull-record%2FWOS:000214321700004","View Full Record in Web of Science")</f>
        <v>View Full Record in Web of Science</v>
      </c>
    </row>
    <row r="341" spans="1:77" ht="12.5" x14ac:dyDescent="0.25">
      <c r="A341" t="s">
        <v>8495</v>
      </c>
      <c r="B341" s="22" t="s">
        <v>32931</v>
      </c>
      <c r="C341" s="7"/>
      <c r="D341" s="7"/>
      <c r="E341" s="7"/>
      <c r="F341" t="s">
        <v>67</v>
      </c>
      <c r="G341" t="s">
        <v>26231</v>
      </c>
      <c r="H341" t="s">
        <v>69</v>
      </c>
      <c r="I341" t="s">
        <v>69</v>
      </c>
      <c r="J341" t="s">
        <v>69</v>
      </c>
      <c r="K341" t="s">
        <v>26232</v>
      </c>
      <c r="L341" t="s">
        <v>69</v>
      </c>
      <c r="M341" t="s">
        <v>69</v>
      </c>
      <c r="N341" t="s">
        <v>26233</v>
      </c>
      <c r="O341" t="s">
        <v>26234</v>
      </c>
      <c r="P341" t="s">
        <v>69</v>
      </c>
      <c r="Q341" t="s">
        <v>69</v>
      </c>
      <c r="R341" t="s">
        <v>8505</v>
      </c>
      <c r="S341" t="s">
        <v>8506</v>
      </c>
      <c r="T341" t="s">
        <v>69</v>
      </c>
      <c r="U341" t="s">
        <v>69</v>
      </c>
      <c r="V341" t="s">
        <v>69</v>
      </c>
      <c r="W341" t="s">
        <v>69</v>
      </c>
      <c r="X341" t="s">
        <v>69</v>
      </c>
      <c r="Y341" t="s">
        <v>26235</v>
      </c>
      <c r="Z341" t="s">
        <v>26236</v>
      </c>
      <c r="AA341" t="s">
        <v>26237</v>
      </c>
      <c r="AB341" t="s">
        <v>26238</v>
      </c>
      <c r="AC341" t="s">
        <v>69</v>
      </c>
      <c r="AD341" t="s">
        <v>26239</v>
      </c>
      <c r="AE341" t="s">
        <v>26240</v>
      </c>
      <c r="AF341" t="s">
        <v>69</v>
      </c>
      <c r="AG341" t="s">
        <v>69</v>
      </c>
      <c r="AH341" t="s">
        <v>69</v>
      </c>
      <c r="AI341" t="s">
        <v>69</v>
      </c>
      <c r="AJ341" t="s">
        <v>69</v>
      </c>
      <c r="AK341" t="s">
        <v>69</v>
      </c>
      <c r="AL341">
        <v>149</v>
      </c>
      <c r="AM341">
        <v>27</v>
      </c>
      <c r="AN341">
        <v>29</v>
      </c>
      <c r="AO341">
        <v>2</v>
      </c>
      <c r="AP341">
        <v>49</v>
      </c>
      <c r="AQ341" t="s">
        <v>8865</v>
      </c>
      <c r="AR341" t="s">
        <v>8612</v>
      </c>
      <c r="AS341" t="s">
        <v>8866</v>
      </c>
      <c r="AT341" t="s">
        <v>26241</v>
      </c>
      <c r="AU341" t="s">
        <v>26242</v>
      </c>
      <c r="AV341" t="s">
        <v>69</v>
      </c>
      <c r="AW341" t="s">
        <v>26243</v>
      </c>
      <c r="AX341" t="s">
        <v>26244</v>
      </c>
      <c r="AY341" t="s">
        <v>69</v>
      </c>
      <c r="AZ341">
        <v>2012</v>
      </c>
      <c r="BA341">
        <v>15</v>
      </c>
      <c r="BB341">
        <v>7</v>
      </c>
      <c r="BC341" t="s">
        <v>69</v>
      </c>
      <c r="BD341" t="s">
        <v>69</v>
      </c>
      <c r="BE341" t="s">
        <v>69</v>
      </c>
      <c r="BF341" t="s">
        <v>69</v>
      </c>
      <c r="BG341">
        <v>603</v>
      </c>
      <c r="BH341">
        <v>626</v>
      </c>
      <c r="BI341" t="s">
        <v>69</v>
      </c>
      <c r="BJ341" t="s">
        <v>26245</v>
      </c>
      <c r="BK341" t="str">
        <f>HYPERLINK("http://dx.doi.org/10.1080/13683500.2011.615913","http://dx.doi.org/10.1080/13683500.2011.615913")</f>
        <v>http://dx.doi.org/10.1080/13683500.2011.615913</v>
      </c>
      <c r="BL341" t="s">
        <v>69</v>
      </c>
      <c r="BM341" t="s">
        <v>69</v>
      </c>
      <c r="BN341">
        <v>24</v>
      </c>
      <c r="BO341" t="s">
        <v>10278</v>
      </c>
      <c r="BP341" t="s">
        <v>8661</v>
      </c>
      <c r="BQ341" t="s">
        <v>10279</v>
      </c>
      <c r="BR341" t="s">
        <v>26246</v>
      </c>
      <c r="BS341" t="s">
        <v>26247</v>
      </c>
      <c r="BT341" t="s">
        <v>69</v>
      </c>
      <c r="BU341" t="s">
        <v>69</v>
      </c>
      <c r="BV341" t="s">
        <v>69</v>
      </c>
      <c r="BW341" t="s">
        <v>69</v>
      </c>
      <c r="BX341" t="s">
        <v>8526</v>
      </c>
      <c r="BY341" t="str">
        <f>HYPERLINK("https%3A%2F%2Fwww.webofscience.com%2Fwos%2Fwoscc%2Ffull-record%2FWOS:000308980700001","View Full Record in Web of Science")</f>
        <v>View Full Record in Web of Science</v>
      </c>
    </row>
    <row r="342" spans="1:77" x14ac:dyDescent="0.3">
      <c r="A342" t="s">
        <v>8495</v>
      </c>
      <c r="B342" s="10" t="s">
        <v>32960</v>
      </c>
      <c r="F342" t="s">
        <v>67</v>
      </c>
      <c r="G342" t="s">
        <v>4504</v>
      </c>
      <c r="H342" t="s">
        <v>69</v>
      </c>
      <c r="I342" t="s">
        <v>69</v>
      </c>
      <c r="J342" t="s">
        <v>69</v>
      </c>
      <c r="K342" s="2" t="s">
        <v>4505</v>
      </c>
      <c r="L342" t="s">
        <v>69</v>
      </c>
      <c r="M342" t="s">
        <v>69</v>
      </c>
      <c r="N342" s="2" t="s">
        <v>4506</v>
      </c>
      <c r="O342" t="s">
        <v>726</v>
      </c>
      <c r="P342" t="s">
        <v>69</v>
      </c>
      <c r="Q342" t="s">
        <v>69</v>
      </c>
      <c r="R342" t="s">
        <v>8505</v>
      </c>
      <c r="S342" t="s">
        <v>8506</v>
      </c>
      <c r="T342" t="s">
        <v>69</v>
      </c>
      <c r="U342" t="s">
        <v>69</v>
      </c>
      <c r="V342" t="s">
        <v>69</v>
      </c>
      <c r="W342" t="s">
        <v>69</v>
      </c>
      <c r="X342" t="s">
        <v>69</v>
      </c>
      <c r="Y342" t="s">
        <v>17469</v>
      </c>
      <c r="Z342" t="s">
        <v>17470</v>
      </c>
      <c r="AA342" t="s">
        <v>4507</v>
      </c>
      <c r="AB342" t="s">
        <v>17471</v>
      </c>
      <c r="AC342" t="s">
        <v>69</v>
      </c>
      <c r="AD342" t="s">
        <v>17472</v>
      </c>
      <c r="AE342" t="s">
        <v>10432</v>
      </c>
      <c r="AF342" t="s">
        <v>4508</v>
      </c>
      <c r="AG342" t="s">
        <v>4509</v>
      </c>
      <c r="AH342" t="s">
        <v>69</v>
      </c>
      <c r="AI342" t="s">
        <v>69</v>
      </c>
      <c r="AJ342" t="s">
        <v>69</v>
      </c>
      <c r="AK342" t="s">
        <v>69</v>
      </c>
      <c r="AL342">
        <v>60</v>
      </c>
      <c r="AM342">
        <v>6</v>
      </c>
      <c r="AN342">
        <v>6</v>
      </c>
      <c r="AO342">
        <v>0</v>
      </c>
      <c r="AP342">
        <v>38</v>
      </c>
      <c r="AQ342" t="s">
        <v>8865</v>
      </c>
      <c r="AR342" t="s">
        <v>8612</v>
      </c>
      <c r="AS342" t="s">
        <v>8866</v>
      </c>
      <c r="AT342" t="s">
        <v>729</v>
      </c>
      <c r="AU342" t="s">
        <v>730</v>
      </c>
      <c r="AV342" t="s">
        <v>69</v>
      </c>
      <c r="AW342" t="s">
        <v>14684</v>
      </c>
      <c r="AX342" t="s">
        <v>14685</v>
      </c>
      <c r="AY342" t="s">
        <v>971</v>
      </c>
      <c r="AZ342">
        <v>2019</v>
      </c>
      <c r="BA342">
        <v>21</v>
      </c>
      <c r="BB342">
        <v>2</v>
      </c>
      <c r="BC342" t="s">
        <v>69</v>
      </c>
      <c r="BD342" t="s">
        <v>69</v>
      </c>
      <c r="BE342" t="s">
        <v>69</v>
      </c>
      <c r="BF342" t="s">
        <v>69</v>
      </c>
      <c r="BG342">
        <v>153</v>
      </c>
      <c r="BH342">
        <v>173</v>
      </c>
      <c r="BI342" t="s">
        <v>69</v>
      </c>
      <c r="BJ342" t="s">
        <v>4510</v>
      </c>
      <c r="BK342" t="str">
        <f>HYPERLINK("http://dx.doi.org/10.1080/1523908X.2019.1566061","http://dx.doi.org/10.1080/1523908X.2019.1566061")</f>
        <v>http://dx.doi.org/10.1080/1523908X.2019.1566061</v>
      </c>
      <c r="BL342" t="s">
        <v>69</v>
      </c>
      <c r="BM342" t="s">
        <v>69</v>
      </c>
      <c r="BN342">
        <v>21</v>
      </c>
      <c r="BO342" t="s">
        <v>14686</v>
      </c>
      <c r="BP342" t="s">
        <v>8661</v>
      </c>
      <c r="BQ342" t="s">
        <v>14687</v>
      </c>
      <c r="BR342" t="s">
        <v>17473</v>
      </c>
      <c r="BS342" t="s">
        <v>4511</v>
      </c>
      <c r="BT342" t="s">
        <v>69</v>
      </c>
      <c r="BU342" t="s">
        <v>69</v>
      </c>
      <c r="BV342" t="s">
        <v>69</v>
      </c>
      <c r="BW342" t="s">
        <v>69</v>
      </c>
      <c r="BX342" t="s">
        <v>8526</v>
      </c>
      <c r="BY342" t="str">
        <f>HYPERLINK("https%3A%2F%2Fwww.webofscience.com%2Fwos%2Fwoscc%2Ffull-record%2FWOS:000459159800003","View Full Record in Web of Science")</f>
        <v>View Full Record in Web of Science</v>
      </c>
    </row>
    <row r="343" spans="1:77" x14ac:dyDescent="0.3">
      <c r="A343" t="s">
        <v>8495</v>
      </c>
      <c r="B343" s="9" t="s">
        <v>32961</v>
      </c>
      <c r="C343" s="9" t="s">
        <v>33111</v>
      </c>
      <c r="D343" s="10" t="s">
        <v>8490</v>
      </c>
      <c r="E343" s="9" t="s">
        <v>8490</v>
      </c>
      <c r="F343" t="s">
        <v>67</v>
      </c>
      <c r="G343" t="s">
        <v>8949</v>
      </c>
      <c r="H343" t="s">
        <v>69</v>
      </c>
      <c r="I343" t="s">
        <v>69</v>
      </c>
      <c r="J343" t="s">
        <v>69</v>
      </c>
      <c r="K343" t="s">
        <v>8950</v>
      </c>
      <c r="L343" t="s">
        <v>69</v>
      </c>
      <c r="M343" t="s">
        <v>69</v>
      </c>
      <c r="N343" t="s">
        <v>8951</v>
      </c>
      <c r="O343" t="s">
        <v>352</v>
      </c>
      <c r="P343" t="s">
        <v>69</v>
      </c>
      <c r="Q343" t="s">
        <v>69</v>
      </c>
      <c r="R343" t="s">
        <v>8505</v>
      </c>
      <c r="S343" t="s">
        <v>8506</v>
      </c>
      <c r="T343" t="s">
        <v>69</v>
      </c>
      <c r="U343" t="s">
        <v>69</v>
      </c>
      <c r="V343" t="s">
        <v>69</v>
      </c>
      <c r="W343" t="s">
        <v>69</v>
      </c>
      <c r="X343" t="s">
        <v>69</v>
      </c>
      <c r="Y343" t="s">
        <v>8952</v>
      </c>
      <c r="Z343" t="s">
        <v>8953</v>
      </c>
      <c r="AA343" t="s">
        <v>8954</v>
      </c>
      <c r="AB343" t="s">
        <v>8955</v>
      </c>
      <c r="AC343" t="s">
        <v>69</v>
      </c>
      <c r="AD343" t="s">
        <v>8956</v>
      </c>
      <c r="AE343" t="s">
        <v>8957</v>
      </c>
      <c r="AF343" t="s">
        <v>69</v>
      </c>
      <c r="AG343" t="s">
        <v>69</v>
      </c>
      <c r="AH343" t="s">
        <v>69</v>
      </c>
      <c r="AI343" t="s">
        <v>69</v>
      </c>
      <c r="AJ343" t="s">
        <v>69</v>
      </c>
      <c r="AK343" t="s">
        <v>69</v>
      </c>
      <c r="AL343">
        <v>61</v>
      </c>
      <c r="AM343">
        <v>0</v>
      </c>
      <c r="AN343">
        <v>0</v>
      </c>
      <c r="AO343">
        <v>0</v>
      </c>
      <c r="AP343">
        <v>0</v>
      </c>
      <c r="AQ343" t="s">
        <v>8924</v>
      </c>
      <c r="AR343" t="s">
        <v>8925</v>
      </c>
      <c r="AS343" t="s">
        <v>8926</v>
      </c>
      <c r="AT343" t="s">
        <v>69</v>
      </c>
      <c r="AU343" t="s">
        <v>354</v>
      </c>
      <c r="AV343" t="s">
        <v>69</v>
      </c>
      <c r="AW343" t="s">
        <v>8958</v>
      </c>
      <c r="AX343" t="s">
        <v>8434</v>
      </c>
      <c r="AY343" t="s">
        <v>155</v>
      </c>
      <c r="AZ343">
        <v>2022</v>
      </c>
      <c r="BA343">
        <v>14</v>
      </c>
      <c r="BB343">
        <v>12</v>
      </c>
      <c r="BC343" t="s">
        <v>69</v>
      </c>
      <c r="BD343" t="s">
        <v>69</v>
      </c>
      <c r="BE343" t="s">
        <v>69</v>
      </c>
      <c r="BF343" t="s">
        <v>69</v>
      </c>
      <c r="BG343" t="s">
        <v>69</v>
      </c>
      <c r="BH343" t="s">
        <v>69</v>
      </c>
      <c r="BI343">
        <v>7007</v>
      </c>
      <c r="BJ343" t="s">
        <v>8959</v>
      </c>
      <c r="BK343" t="str">
        <f>HYPERLINK("http://dx.doi.org/10.3390/su14127007","http://dx.doi.org/10.3390/su14127007")</f>
        <v>http://dx.doi.org/10.3390/su14127007</v>
      </c>
      <c r="BL343" t="s">
        <v>69</v>
      </c>
      <c r="BM343" t="s">
        <v>69</v>
      </c>
      <c r="BN343">
        <v>25</v>
      </c>
      <c r="BO343" t="s">
        <v>8960</v>
      </c>
      <c r="BP343" t="s">
        <v>8523</v>
      </c>
      <c r="BQ343" t="s">
        <v>8961</v>
      </c>
      <c r="BR343" t="s">
        <v>8962</v>
      </c>
      <c r="BS343" t="s">
        <v>8963</v>
      </c>
      <c r="BT343" t="s">
        <v>69</v>
      </c>
      <c r="BU343" t="s">
        <v>8812</v>
      </c>
      <c r="BV343" t="s">
        <v>69</v>
      </c>
      <c r="BW343" t="s">
        <v>69</v>
      </c>
      <c r="BX343" t="s">
        <v>8526</v>
      </c>
      <c r="BY343" t="str">
        <f>HYPERLINK("https%3A%2F%2Fwww.webofscience.com%2Fwos%2Fwoscc%2Ffull-record%2FWOS:000816784900001","View Full Record in Web of Science")</f>
        <v>View Full Record in Web of Science</v>
      </c>
    </row>
    <row r="344" spans="1:77" ht="12.5" x14ac:dyDescent="0.25">
      <c r="A344" t="s">
        <v>8495</v>
      </c>
      <c r="B344" s="7" t="s">
        <v>32933</v>
      </c>
      <c r="C344" s="7"/>
      <c r="D344" s="7"/>
      <c r="E344" s="7"/>
      <c r="F344" t="s">
        <v>67</v>
      </c>
      <c r="G344" t="s">
        <v>3912</v>
      </c>
      <c r="H344" t="s">
        <v>69</v>
      </c>
      <c r="I344" t="s">
        <v>69</v>
      </c>
      <c r="J344" t="s">
        <v>69</v>
      </c>
      <c r="K344" t="s">
        <v>3912</v>
      </c>
      <c r="L344" t="s">
        <v>69</v>
      </c>
      <c r="M344" t="s">
        <v>69</v>
      </c>
      <c r="N344" t="s">
        <v>3913</v>
      </c>
      <c r="O344" t="s">
        <v>3914</v>
      </c>
      <c r="P344" t="s">
        <v>69</v>
      </c>
      <c r="Q344" t="s">
        <v>69</v>
      </c>
      <c r="R344" t="s">
        <v>8505</v>
      </c>
      <c r="S344" t="s">
        <v>8506</v>
      </c>
      <c r="T344" t="s">
        <v>69</v>
      </c>
      <c r="U344" t="s">
        <v>69</v>
      </c>
      <c r="V344" t="s">
        <v>69</v>
      </c>
      <c r="W344" t="s">
        <v>69</v>
      </c>
      <c r="X344" t="s">
        <v>69</v>
      </c>
      <c r="Y344" t="s">
        <v>30739</v>
      </c>
      <c r="Z344" t="s">
        <v>69</v>
      </c>
      <c r="AA344" t="s">
        <v>3915</v>
      </c>
      <c r="AB344" t="s">
        <v>69</v>
      </c>
      <c r="AC344" t="s">
        <v>69</v>
      </c>
      <c r="AD344" t="s">
        <v>69</v>
      </c>
      <c r="AE344" t="s">
        <v>69</v>
      </c>
      <c r="AF344" t="s">
        <v>69</v>
      </c>
      <c r="AG344" t="s">
        <v>69</v>
      </c>
      <c r="AH344" t="s">
        <v>69</v>
      </c>
      <c r="AI344" t="s">
        <v>69</v>
      </c>
      <c r="AJ344" t="s">
        <v>69</v>
      </c>
      <c r="AK344" t="s">
        <v>69</v>
      </c>
      <c r="AL344">
        <v>13</v>
      </c>
      <c r="AM344">
        <v>28</v>
      </c>
      <c r="AN344">
        <v>28</v>
      </c>
      <c r="AO344">
        <v>0</v>
      </c>
      <c r="AP344">
        <v>9</v>
      </c>
      <c r="AQ344" t="s">
        <v>30740</v>
      </c>
      <c r="AR344" t="s">
        <v>8637</v>
      </c>
      <c r="AS344" t="s">
        <v>30741</v>
      </c>
      <c r="AT344" t="s">
        <v>3916</v>
      </c>
      <c r="AU344" t="s">
        <v>69</v>
      </c>
      <c r="AV344" t="s">
        <v>69</v>
      </c>
      <c r="AW344" t="s">
        <v>30742</v>
      </c>
      <c r="AX344" t="s">
        <v>30743</v>
      </c>
      <c r="AY344" t="s">
        <v>191</v>
      </c>
      <c r="AZ344">
        <v>2005</v>
      </c>
      <c r="BA344">
        <v>29</v>
      </c>
      <c r="BB344">
        <v>1</v>
      </c>
      <c r="BC344" t="s">
        <v>69</v>
      </c>
      <c r="BD344" t="s">
        <v>69</v>
      </c>
      <c r="BE344" t="s">
        <v>69</v>
      </c>
      <c r="BF344" t="s">
        <v>69</v>
      </c>
      <c r="BG344">
        <v>82</v>
      </c>
      <c r="BH344">
        <v>87</v>
      </c>
      <c r="BI344" t="s">
        <v>69</v>
      </c>
      <c r="BJ344" t="s">
        <v>3917</v>
      </c>
      <c r="BK344" t="str">
        <f>HYPERLINK("http://dx.doi.org/10.1111/j.1477-8947.2005.00114.x","http://dx.doi.org/10.1111/j.1477-8947.2005.00114.x")</f>
        <v>http://dx.doi.org/10.1111/j.1477-8947.2005.00114.x</v>
      </c>
      <c r="BL344" t="s">
        <v>69</v>
      </c>
      <c r="BM344" t="s">
        <v>69</v>
      </c>
      <c r="BN344">
        <v>6</v>
      </c>
      <c r="BO344" t="s">
        <v>11791</v>
      </c>
      <c r="BP344" t="s">
        <v>8548</v>
      </c>
      <c r="BQ344" t="s">
        <v>8662</v>
      </c>
      <c r="BR344" t="s">
        <v>30744</v>
      </c>
      <c r="BS344" t="s">
        <v>3918</v>
      </c>
      <c r="BT344" t="s">
        <v>69</v>
      </c>
      <c r="BU344" t="s">
        <v>69</v>
      </c>
      <c r="BV344" t="s">
        <v>69</v>
      </c>
      <c r="BW344" t="s">
        <v>69</v>
      </c>
      <c r="BX344" t="s">
        <v>8526</v>
      </c>
      <c r="BY344" t="str">
        <f>HYPERLINK("https%3A%2F%2Fwww.webofscience.com%2Fwos%2Fwoscc%2Ffull-record%2FWOS:000227922600007","View Full Record in Web of Science")</f>
        <v>View Full Record in Web of Science</v>
      </c>
    </row>
    <row r="345" spans="1:77" ht="12.5" x14ac:dyDescent="0.25">
      <c r="A345" t="s">
        <v>8495</v>
      </c>
      <c r="B345" s="7" t="s">
        <v>32933</v>
      </c>
      <c r="C345" s="7"/>
      <c r="D345" s="7"/>
      <c r="E345" s="7"/>
      <c r="F345" t="s">
        <v>67</v>
      </c>
      <c r="G345" t="s">
        <v>1229</v>
      </c>
      <c r="H345" t="s">
        <v>69</v>
      </c>
      <c r="I345" t="s">
        <v>69</v>
      </c>
      <c r="J345" t="s">
        <v>69</v>
      </c>
      <c r="K345" t="s">
        <v>1230</v>
      </c>
      <c r="L345" t="s">
        <v>69</v>
      </c>
      <c r="M345" t="s">
        <v>69</v>
      </c>
      <c r="N345" t="s">
        <v>1231</v>
      </c>
      <c r="O345" t="s">
        <v>1232</v>
      </c>
      <c r="P345" t="s">
        <v>69</v>
      </c>
      <c r="Q345" t="s">
        <v>69</v>
      </c>
      <c r="R345" t="s">
        <v>8505</v>
      </c>
      <c r="S345" t="s">
        <v>10174</v>
      </c>
      <c r="T345" t="s">
        <v>69</v>
      </c>
      <c r="U345" t="s">
        <v>69</v>
      </c>
      <c r="V345" t="s">
        <v>69</v>
      </c>
      <c r="W345" t="s">
        <v>69</v>
      </c>
      <c r="X345" t="s">
        <v>69</v>
      </c>
      <c r="Y345" t="s">
        <v>21708</v>
      </c>
      <c r="Z345" t="s">
        <v>69</v>
      </c>
      <c r="AA345" t="s">
        <v>1233</v>
      </c>
      <c r="AB345" t="s">
        <v>21709</v>
      </c>
      <c r="AC345" t="s">
        <v>69</v>
      </c>
      <c r="AD345" t="s">
        <v>21710</v>
      </c>
      <c r="AE345" t="s">
        <v>21711</v>
      </c>
      <c r="AF345" t="s">
        <v>1234</v>
      </c>
      <c r="AG345" t="s">
        <v>1235</v>
      </c>
      <c r="AH345" t="s">
        <v>21712</v>
      </c>
      <c r="AI345" t="s">
        <v>21713</v>
      </c>
      <c r="AJ345" t="s">
        <v>69</v>
      </c>
      <c r="AK345" t="s">
        <v>69</v>
      </c>
      <c r="AL345">
        <v>10</v>
      </c>
      <c r="AM345">
        <v>9</v>
      </c>
      <c r="AN345">
        <v>9</v>
      </c>
      <c r="AO345">
        <v>0</v>
      </c>
      <c r="AP345">
        <v>1</v>
      </c>
      <c r="AQ345" t="s">
        <v>10352</v>
      </c>
      <c r="AR345" t="s">
        <v>8637</v>
      </c>
      <c r="AS345" t="s">
        <v>10353</v>
      </c>
      <c r="AT345" t="s">
        <v>1236</v>
      </c>
      <c r="AU345" t="s">
        <v>1237</v>
      </c>
      <c r="AV345" t="s">
        <v>69</v>
      </c>
      <c r="AW345" t="s">
        <v>21714</v>
      </c>
      <c r="AX345" t="s">
        <v>21715</v>
      </c>
      <c r="AY345" t="s">
        <v>586</v>
      </c>
      <c r="AZ345">
        <v>2016</v>
      </c>
      <c r="BA345">
        <v>8</v>
      </c>
      <c r="BB345">
        <v>3</v>
      </c>
      <c r="BC345" t="s">
        <v>69</v>
      </c>
      <c r="BD345" t="s">
        <v>69</v>
      </c>
      <c r="BE345" t="s">
        <v>69</v>
      </c>
      <c r="BF345" t="s">
        <v>69</v>
      </c>
      <c r="BG345">
        <v>159</v>
      </c>
      <c r="BH345">
        <v>161</v>
      </c>
      <c r="BI345" t="s">
        <v>69</v>
      </c>
      <c r="BJ345" t="s">
        <v>1238</v>
      </c>
      <c r="BK345" t="str">
        <f>HYPERLINK("http://dx.doi.org/10.1093/inthealth/ihw009","http://dx.doi.org/10.1093/inthealth/ihw009")</f>
        <v>http://dx.doi.org/10.1093/inthealth/ihw009</v>
      </c>
      <c r="BL345" t="s">
        <v>69</v>
      </c>
      <c r="BM345" t="s">
        <v>69</v>
      </c>
      <c r="BN345">
        <v>3</v>
      </c>
      <c r="BO345" t="s">
        <v>8810</v>
      </c>
      <c r="BP345" t="s">
        <v>8523</v>
      </c>
      <c r="BQ345" t="s">
        <v>8810</v>
      </c>
      <c r="BR345" t="s">
        <v>21716</v>
      </c>
      <c r="BS345" t="s">
        <v>1239</v>
      </c>
      <c r="BT345">
        <v>27037220</v>
      </c>
      <c r="BU345" t="s">
        <v>9292</v>
      </c>
      <c r="BV345" t="s">
        <v>69</v>
      </c>
      <c r="BW345" t="s">
        <v>69</v>
      </c>
      <c r="BX345" t="s">
        <v>8526</v>
      </c>
      <c r="BY345" t="str">
        <f>HYPERLINK("https%3A%2F%2Fwww.webofscience.com%2Fwos%2Fwoscc%2Ffull-record%2FWOS:000376660900003","View Full Record in Web of Science")</f>
        <v>View Full Record in Web of Science</v>
      </c>
    </row>
    <row r="346" spans="1:77" ht="12.5" x14ac:dyDescent="0.25">
      <c r="A346" t="s">
        <v>8495</v>
      </c>
      <c r="B346" s="7" t="s">
        <v>32933</v>
      </c>
      <c r="C346" s="7"/>
      <c r="D346" s="7"/>
      <c r="E346" s="7"/>
      <c r="F346" t="s">
        <v>67</v>
      </c>
      <c r="G346" t="s">
        <v>8068</v>
      </c>
      <c r="H346" t="s">
        <v>69</v>
      </c>
      <c r="I346" t="s">
        <v>69</v>
      </c>
      <c r="J346" t="s">
        <v>69</v>
      </c>
      <c r="K346" t="s">
        <v>8069</v>
      </c>
      <c r="L346" t="s">
        <v>69</v>
      </c>
      <c r="M346" t="s">
        <v>69</v>
      </c>
      <c r="N346" t="s">
        <v>8070</v>
      </c>
      <c r="O346" t="s">
        <v>8071</v>
      </c>
      <c r="P346" t="s">
        <v>69</v>
      </c>
      <c r="Q346" t="s">
        <v>69</v>
      </c>
      <c r="R346" t="s">
        <v>8505</v>
      </c>
      <c r="S346" t="s">
        <v>8506</v>
      </c>
      <c r="T346" t="s">
        <v>69</v>
      </c>
      <c r="U346" t="s">
        <v>69</v>
      </c>
      <c r="V346" t="s">
        <v>69</v>
      </c>
      <c r="W346" t="s">
        <v>69</v>
      </c>
      <c r="X346" t="s">
        <v>69</v>
      </c>
      <c r="Y346" t="s">
        <v>13969</v>
      </c>
      <c r="Z346" t="s">
        <v>13970</v>
      </c>
      <c r="AA346" t="s">
        <v>8072</v>
      </c>
      <c r="AB346" t="s">
        <v>13971</v>
      </c>
      <c r="AC346" t="s">
        <v>69</v>
      </c>
      <c r="AD346" t="s">
        <v>13972</v>
      </c>
      <c r="AE346" t="s">
        <v>13973</v>
      </c>
      <c r="AF346" t="s">
        <v>13974</v>
      </c>
      <c r="AG346" t="s">
        <v>13975</v>
      </c>
      <c r="AH346" t="s">
        <v>13976</v>
      </c>
      <c r="AI346" t="s">
        <v>13977</v>
      </c>
      <c r="AJ346" t="s">
        <v>13978</v>
      </c>
      <c r="AK346" t="s">
        <v>69</v>
      </c>
      <c r="AL346">
        <v>88</v>
      </c>
      <c r="AM346">
        <v>1</v>
      </c>
      <c r="AN346">
        <v>1</v>
      </c>
      <c r="AO346">
        <v>1</v>
      </c>
      <c r="AP346">
        <v>6</v>
      </c>
      <c r="AQ346" t="s">
        <v>8924</v>
      </c>
      <c r="AR346" t="s">
        <v>8925</v>
      </c>
      <c r="AS346" t="s">
        <v>8926</v>
      </c>
      <c r="AT346" t="s">
        <v>69</v>
      </c>
      <c r="AU346" t="s">
        <v>8073</v>
      </c>
      <c r="AV346" t="s">
        <v>69</v>
      </c>
      <c r="AW346" t="s">
        <v>8071</v>
      </c>
      <c r="AX346" t="s">
        <v>13979</v>
      </c>
      <c r="AY346" t="s">
        <v>75</v>
      </c>
      <c r="AZ346">
        <v>2020</v>
      </c>
      <c r="BA346">
        <v>7</v>
      </c>
      <c r="BB346">
        <v>12</v>
      </c>
      <c r="BC346" t="s">
        <v>69</v>
      </c>
      <c r="BD346" t="s">
        <v>69</v>
      </c>
      <c r="BE346" t="s">
        <v>69</v>
      </c>
      <c r="BF346" t="s">
        <v>69</v>
      </c>
      <c r="BG346" t="s">
        <v>69</v>
      </c>
      <c r="BH346" t="s">
        <v>69</v>
      </c>
      <c r="BI346">
        <v>104</v>
      </c>
      <c r="BJ346" t="s">
        <v>8074</v>
      </c>
      <c r="BK346" t="str">
        <f>HYPERLINK("http://dx.doi.org/10.3390/environments7120104","http://dx.doi.org/10.3390/environments7120104")</f>
        <v>http://dx.doi.org/10.3390/environments7120104</v>
      </c>
      <c r="BL346" t="s">
        <v>69</v>
      </c>
      <c r="BM346" t="s">
        <v>69</v>
      </c>
      <c r="BN346">
        <v>20</v>
      </c>
      <c r="BO346" t="s">
        <v>8717</v>
      </c>
      <c r="BP346" t="s">
        <v>8573</v>
      </c>
      <c r="BQ346" t="s">
        <v>8662</v>
      </c>
      <c r="BR346" t="s">
        <v>13980</v>
      </c>
      <c r="BS346" t="s">
        <v>8075</v>
      </c>
      <c r="BT346" t="s">
        <v>69</v>
      </c>
      <c r="BU346" t="s">
        <v>8812</v>
      </c>
      <c r="BV346" t="s">
        <v>69</v>
      </c>
      <c r="BW346" t="s">
        <v>69</v>
      </c>
      <c r="BX346" t="s">
        <v>8526</v>
      </c>
      <c r="BY346" t="str">
        <f>HYPERLINK("https%3A%2F%2Fwww.webofscience.com%2Fwos%2Fwoscc%2Ffull-record%2FWOS:000602721700001","View Full Record in Web of Science")</f>
        <v>View Full Record in Web of Science</v>
      </c>
    </row>
    <row r="347" spans="1:77" ht="12.5" x14ac:dyDescent="0.25">
      <c r="A347" t="s">
        <v>8495</v>
      </c>
      <c r="B347" s="7" t="s">
        <v>32933</v>
      </c>
      <c r="C347" s="7"/>
      <c r="D347" s="7"/>
      <c r="E347" s="7"/>
      <c r="F347" t="s">
        <v>67</v>
      </c>
      <c r="G347" t="s">
        <v>2157</v>
      </c>
      <c r="H347" t="s">
        <v>69</v>
      </c>
      <c r="I347" t="s">
        <v>69</v>
      </c>
      <c r="J347" t="s">
        <v>69</v>
      </c>
      <c r="K347" t="s">
        <v>2158</v>
      </c>
      <c r="L347" t="s">
        <v>69</v>
      </c>
      <c r="M347" t="s">
        <v>69</v>
      </c>
      <c r="N347" t="s">
        <v>2159</v>
      </c>
      <c r="O347" t="s">
        <v>2160</v>
      </c>
      <c r="P347" t="s">
        <v>69</v>
      </c>
      <c r="Q347" t="s">
        <v>69</v>
      </c>
      <c r="R347" t="s">
        <v>8505</v>
      </c>
      <c r="S347" t="s">
        <v>8506</v>
      </c>
      <c r="T347" t="s">
        <v>69</v>
      </c>
      <c r="U347" t="s">
        <v>69</v>
      </c>
      <c r="V347" t="s">
        <v>69</v>
      </c>
      <c r="W347" t="s">
        <v>69</v>
      </c>
      <c r="X347" t="s">
        <v>69</v>
      </c>
      <c r="Y347" t="s">
        <v>16805</v>
      </c>
      <c r="Z347" t="s">
        <v>16806</v>
      </c>
      <c r="AA347" t="s">
        <v>2161</v>
      </c>
      <c r="AB347" t="s">
        <v>16807</v>
      </c>
      <c r="AC347" t="s">
        <v>69</v>
      </c>
      <c r="AD347" t="s">
        <v>16808</v>
      </c>
      <c r="AE347" t="s">
        <v>16809</v>
      </c>
      <c r="AF347" t="s">
        <v>2162</v>
      </c>
      <c r="AG347" t="s">
        <v>16810</v>
      </c>
      <c r="AH347" t="s">
        <v>16811</v>
      </c>
      <c r="AI347" t="s">
        <v>16812</v>
      </c>
      <c r="AJ347" t="s">
        <v>16813</v>
      </c>
      <c r="AK347" t="s">
        <v>69</v>
      </c>
      <c r="AL347">
        <v>51</v>
      </c>
      <c r="AM347">
        <v>7</v>
      </c>
      <c r="AN347">
        <v>7</v>
      </c>
      <c r="AO347">
        <v>1</v>
      </c>
      <c r="AP347">
        <v>24</v>
      </c>
      <c r="AQ347" t="s">
        <v>13195</v>
      </c>
      <c r="AR347" t="s">
        <v>13196</v>
      </c>
      <c r="AS347" t="s">
        <v>13197</v>
      </c>
      <c r="AT347" t="s">
        <v>2163</v>
      </c>
      <c r="AU347" t="s">
        <v>2164</v>
      </c>
      <c r="AV347" t="s">
        <v>69</v>
      </c>
      <c r="AW347" t="s">
        <v>16800</v>
      </c>
      <c r="AX347" t="s">
        <v>16801</v>
      </c>
      <c r="AY347" t="s">
        <v>255</v>
      </c>
      <c r="AZ347">
        <v>2019</v>
      </c>
      <c r="BA347">
        <v>172</v>
      </c>
      <c r="BB347">
        <v>7</v>
      </c>
      <c r="BC347" t="s">
        <v>69</v>
      </c>
      <c r="BD347" t="s">
        <v>69</v>
      </c>
      <c r="BE347" t="s">
        <v>69</v>
      </c>
      <c r="BF347" t="s">
        <v>69</v>
      </c>
      <c r="BG347">
        <v>372</v>
      </c>
      <c r="BH347">
        <v>384</v>
      </c>
      <c r="BI347" t="s">
        <v>69</v>
      </c>
      <c r="BJ347" t="s">
        <v>2165</v>
      </c>
      <c r="BK347" t="str">
        <f>HYPERLINK("http://dx.doi.org/10.1680/jensu.17.00025","http://dx.doi.org/10.1680/jensu.17.00025")</f>
        <v>http://dx.doi.org/10.1680/jensu.17.00025</v>
      </c>
      <c r="BL347" t="s">
        <v>69</v>
      </c>
      <c r="BM347" t="s">
        <v>69</v>
      </c>
      <c r="BN347">
        <v>13</v>
      </c>
      <c r="BO347" t="s">
        <v>16802</v>
      </c>
      <c r="BP347" t="s">
        <v>8548</v>
      </c>
      <c r="BQ347" t="s">
        <v>16803</v>
      </c>
      <c r="BR347" t="s">
        <v>16804</v>
      </c>
      <c r="BS347" t="s">
        <v>2166</v>
      </c>
      <c r="BT347" t="s">
        <v>69</v>
      </c>
      <c r="BU347" t="s">
        <v>69</v>
      </c>
      <c r="BV347" t="s">
        <v>69</v>
      </c>
      <c r="BW347" t="s">
        <v>69</v>
      </c>
      <c r="BX347" t="s">
        <v>8526</v>
      </c>
      <c r="BY347" t="str">
        <f>HYPERLINK("https%3A%2F%2Fwww.webofscience.com%2Fwos%2Fwoscc%2Ffull-record%2FWOS:000485796600006","View Full Record in Web of Science")</f>
        <v>View Full Record in Web of Science</v>
      </c>
    </row>
    <row r="348" spans="1:77" ht="12.5" x14ac:dyDescent="0.25">
      <c r="A348" t="s">
        <v>8495</v>
      </c>
      <c r="B348" s="7" t="s">
        <v>32933</v>
      </c>
      <c r="C348" s="7"/>
      <c r="D348" s="7"/>
      <c r="E348" s="7"/>
      <c r="F348" t="s">
        <v>67</v>
      </c>
      <c r="G348" t="s">
        <v>597</v>
      </c>
      <c r="H348" t="s">
        <v>69</v>
      </c>
      <c r="I348" t="s">
        <v>69</v>
      </c>
      <c r="J348" t="s">
        <v>69</v>
      </c>
      <c r="K348" t="s">
        <v>597</v>
      </c>
      <c r="L348" t="s">
        <v>69</v>
      </c>
      <c r="M348" t="s">
        <v>69</v>
      </c>
      <c r="N348" t="s">
        <v>598</v>
      </c>
      <c r="O348" t="s">
        <v>599</v>
      </c>
      <c r="P348" t="s">
        <v>69</v>
      </c>
      <c r="Q348" t="s">
        <v>69</v>
      </c>
      <c r="R348" t="s">
        <v>8505</v>
      </c>
      <c r="S348" t="s">
        <v>8506</v>
      </c>
      <c r="T348" t="s">
        <v>69</v>
      </c>
      <c r="U348" t="s">
        <v>69</v>
      </c>
      <c r="V348" t="s">
        <v>69</v>
      </c>
      <c r="W348" t="s">
        <v>69</v>
      </c>
      <c r="X348" t="s">
        <v>69</v>
      </c>
      <c r="Y348" t="s">
        <v>69</v>
      </c>
      <c r="Z348" t="s">
        <v>69</v>
      </c>
      <c r="AA348" t="s">
        <v>600</v>
      </c>
      <c r="AB348" t="s">
        <v>32158</v>
      </c>
      <c r="AC348" t="s">
        <v>69</v>
      </c>
      <c r="AD348" t="s">
        <v>32034</v>
      </c>
      <c r="AE348" t="s">
        <v>69</v>
      </c>
      <c r="AF348" t="s">
        <v>69</v>
      </c>
      <c r="AG348" t="s">
        <v>69</v>
      </c>
      <c r="AH348" t="s">
        <v>69</v>
      </c>
      <c r="AI348" t="s">
        <v>69</v>
      </c>
      <c r="AJ348" t="s">
        <v>69</v>
      </c>
      <c r="AK348" t="s">
        <v>69</v>
      </c>
      <c r="AL348">
        <v>25</v>
      </c>
      <c r="AM348">
        <v>6</v>
      </c>
      <c r="AN348">
        <v>6</v>
      </c>
      <c r="AO348">
        <v>1</v>
      </c>
      <c r="AP348">
        <v>18</v>
      </c>
      <c r="AQ348" t="s">
        <v>32159</v>
      </c>
      <c r="AR348" t="s">
        <v>28622</v>
      </c>
      <c r="AS348" t="s">
        <v>32160</v>
      </c>
      <c r="AT348" t="s">
        <v>601</v>
      </c>
      <c r="AU348" t="s">
        <v>69</v>
      </c>
      <c r="AV348" t="s">
        <v>69</v>
      </c>
      <c r="AW348" t="s">
        <v>32161</v>
      </c>
      <c r="AX348" t="s">
        <v>32162</v>
      </c>
      <c r="AY348" t="s">
        <v>602</v>
      </c>
      <c r="AZ348">
        <v>1998</v>
      </c>
      <c r="BA348">
        <v>11</v>
      </c>
      <c r="BB348">
        <v>1</v>
      </c>
      <c r="BC348" t="s">
        <v>69</v>
      </c>
      <c r="BD348" t="s">
        <v>69</v>
      </c>
      <c r="BE348" t="s">
        <v>69</v>
      </c>
      <c r="BF348" t="s">
        <v>69</v>
      </c>
      <c r="BG348">
        <v>135</v>
      </c>
      <c r="BH348">
        <v>140</v>
      </c>
      <c r="BI348" t="s">
        <v>69</v>
      </c>
      <c r="BJ348" t="s">
        <v>603</v>
      </c>
      <c r="BK348" t="str">
        <f>HYPERLINK("http://dx.doi.org/10.2134/jpa1998.0135","http://dx.doi.org/10.2134/jpa1998.0135")</f>
        <v>http://dx.doi.org/10.2134/jpa1998.0135</v>
      </c>
      <c r="BL348" t="s">
        <v>69</v>
      </c>
      <c r="BM348" t="s">
        <v>69</v>
      </c>
      <c r="BN348">
        <v>6</v>
      </c>
      <c r="BO348" t="s">
        <v>10815</v>
      </c>
      <c r="BP348" t="s">
        <v>8548</v>
      </c>
      <c r="BQ348" t="s">
        <v>8450</v>
      </c>
      <c r="BR348" t="s">
        <v>32163</v>
      </c>
      <c r="BS348" t="s">
        <v>604</v>
      </c>
      <c r="BT348" t="s">
        <v>69</v>
      </c>
      <c r="BU348" t="s">
        <v>69</v>
      </c>
      <c r="BV348" t="s">
        <v>69</v>
      </c>
      <c r="BW348" t="s">
        <v>69</v>
      </c>
      <c r="BX348" t="s">
        <v>8526</v>
      </c>
      <c r="BY348" t="str">
        <f>HYPERLINK("https%3A%2F%2Fwww.webofscience.com%2Fwos%2Fwoscc%2Ffull-record%2FWOS:000072681800018","View Full Record in Web of Science")</f>
        <v>View Full Record in Web of Science</v>
      </c>
    </row>
    <row r="349" spans="1:77" x14ac:dyDescent="0.3">
      <c r="A349" t="s">
        <v>8495</v>
      </c>
      <c r="B349" s="9" t="s">
        <v>32962</v>
      </c>
      <c r="D349" s="9" t="s">
        <v>8491</v>
      </c>
      <c r="E349" s="9" t="s">
        <v>8490</v>
      </c>
      <c r="F349" t="s">
        <v>67</v>
      </c>
      <c r="G349" t="s">
        <v>21050</v>
      </c>
      <c r="H349" t="s">
        <v>69</v>
      </c>
      <c r="I349" t="s">
        <v>69</v>
      </c>
      <c r="J349" t="s">
        <v>69</v>
      </c>
      <c r="K349" t="s">
        <v>21051</v>
      </c>
      <c r="L349" t="s">
        <v>69</v>
      </c>
      <c r="M349" t="s">
        <v>69</v>
      </c>
      <c r="N349" t="s">
        <v>21052</v>
      </c>
      <c r="O349" t="s">
        <v>21053</v>
      </c>
      <c r="P349" t="s">
        <v>69</v>
      </c>
      <c r="Q349" t="s">
        <v>69</v>
      </c>
      <c r="R349" t="s">
        <v>8505</v>
      </c>
      <c r="S349" t="s">
        <v>10174</v>
      </c>
      <c r="T349" t="s">
        <v>69</v>
      </c>
      <c r="U349" t="s">
        <v>69</v>
      </c>
      <c r="V349" t="s">
        <v>69</v>
      </c>
      <c r="W349" t="s">
        <v>69</v>
      </c>
      <c r="X349" t="s">
        <v>69</v>
      </c>
      <c r="Y349" t="s">
        <v>21054</v>
      </c>
      <c r="Z349" t="s">
        <v>21055</v>
      </c>
      <c r="AA349" t="s">
        <v>21056</v>
      </c>
      <c r="AB349" t="s">
        <v>21057</v>
      </c>
      <c r="AC349" t="s">
        <v>69</v>
      </c>
      <c r="AD349" t="s">
        <v>21058</v>
      </c>
      <c r="AE349" t="s">
        <v>21059</v>
      </c>
      <c r="AF349" t="s">
        <v>69</v>
      </c>
      <c r="AG349" t="s">
        <v>21060</v>
      </c>
      <c r="AH349" t="s">
        <v>69</v>
      </c>
      <c r="AI349" t="s">
        <v>69</v>
      </c>
      <c r="AJ349" t="s">
        <v>69</v>
      </c>
      <c r="AK349" t="s">
        <v>69</v>
      </c>
      <c r="AL349">
        <v>96</v>
      </c>
      <c r="AM349">
        <v>13</v>
      </c>
      <c r="AN349">
        <v>14</v>
      </c>
      <c r="AO349">
        <v>2</v>
      </c>
      <c r="AP349">
        <v>22</v>
      </c>
      <c r="AQ349" t="s">
        <v>8865</v>
      </c>
      <c r="AR349" t="s">
        <v>8612</v>
      </c>
      <c r="AS349" t="s">
        <v>8866</v>
      </c>
      <c r="AT349" t="s">
        <v>21061</v>
      </c>
      <c r="AU349" t="s">
        <v>21062</v>
      </c>
      <c r="AV349" t="s">
        <v>69</v>
      </c>
      <c r="AW349" t="s">
        <v>21063</v>
      </c>
      <c r="AX349" t="s">
        <v>21064</v>
      </c>
      <c r="AY349" t="s">
        <v>69</v>
      </c>
      <c r="AZ349">
        <v>2017</v>
      </c>
      <c r="BA349">
        <v>33</v>
      </c>
      <c r="BB349">
        <v>1</v>
      </c>
      <c r="BC349" t="s">
        <v>69</v>
      </c>
      <c r="BD349" t="s">
        <v>69</v>
      </c>
      <c r="BE349" t="s">
        <v>114</v>
      </c>
      <c r="BF349" t="s">
        <v>69</v>
      </c>
      <c r="BG349">
        <v>4</v>
      </c>
      <c r="BH349">
        <v>22</v>
      </c>
      <c r="BI349" t="s">
        <v>69</v>
      </c>
      <c r="BJ349" t="s">
        <v>21065</v>
      </c>
      <c r="BK349" t="str">
        <f>HYPERLINK("http://dx.doi.org/10.1080/07341512.2017.1342308","http://dx.doi.org/10.1080/07341512.2017.1342308")</f>
        <v>http://dx.doi.org/10.1080/07341512.2017.1342308</v>
      </c>
      <c r="BL349" t="s">
        <v>69</v>
      </c>
      <c r="BM349" t="s">
        <v>69</v>
      </c>
      <c r="BN349">
        <v>19</v>
      </c>
      <c r="BO349" t="s">
        <v>18520</v>
      </c>
      <c r="BP349" t="s">
        <v>11207</v>
      </c>
      <c r="BQ349" t="s">
        <v>18520</v>
      </c>
      <c r="BR349" t="s">
        <v>21066</v>
      </c>
      <c r="BS349" t="s">
        <v>21067</v>
      </c>
      <c r="BT349" t="s">
        <v>69</v>
      </c>
      <c r="BU349" t="s">
        <v>9029</v>
      </c>
      <c r="BV349" t="s">
        <v>69</v>
      </c>
      <c r="BW349" t="s">
        <v>69</v>
      </c>
      <c r="BX349" t="s">
        <v>8526</v>
      </c>
      <c r="BY349" t="str">
        <f>HYPERLINK("https%3A%2F%2Fwww.webofscience.com%2Fwos%2Fwoscc%2Ffull-record%2FWOS:000405714300002","View Full Record in Web of Science")</f>
        <v>View Full Record in Web of Science</v>
      </c>
    </row>
    <row r="350" spans="1:77" ht="12.5" x14ac:dyDescent="0.25">
      <c r="A350" t="s">
        <v>8495</v>
      </c>
      <c r="B350" s="7" t="s">
        <v>32933</v>
      </c>
      <c r="C350" s="7"/>
      <c r="D350" s="7"/>
      <c r="E350" s="7"/>
      <c r="F350" t="s">
        <v>67</v>
      </c>
      <c r="G350" t="s">
        <v>5153</v>
      </c>
      <c r="H350" t="s">
        <v>69</v>
      </c>
      <c r="I350" t="s">
        <v>69</v>
      </c>
      <c r="J350" t="s">
        <v>69</v>
      </c>
      <c r="K350" t="s">
        <v>5154</v>
      </c>
      <c r="L350" t="s">
        <v>69</v>
      </c>
      <c r="M350" t="s">
        <v>69</v>
      </c>
      <c r="N350" t="s">
        <v>5155</v>
      </c>
      <c r="O350" t="s">
        <v>1360</v>
      </c>
      <c r="P350" t="s">
        <v>69</v>
      </c>
      <c r="Q350" t="s">
        <v>69</v>
      </c>
      <c r="R350" t="s">
        <v>8505</v>
      </c>
      <c r="S350" t="s">
        <v>8506</v>
      </c>
      <c r="T350" t="s">
        <v>69</v>
      </c>
      <c r="U350" t="s">
        <v>69</v>
      </c>
      <c r="V350" t="s">
        <v>69</v>
      </c>
      <c r="W350" t="s">
        <v>69</v>
      </c>
      <c r="X350" t="s">
        <v>69</v>
      </c>
      <c r="Y350" t="s">
        <v>14538</v>
      </c>
      <c r="Z350" t="s">
        <v>14539</v>
      </c>
      <c r="AA350" t="s">
        <v>5156</v>
      </c>
      <c r="AB350" t="s">
        <v>14540</v>
      </c>
      <c r="AC350" t="s">
        <v>69</v>
      </c>
      <c r="AD350" t="s">
        <v>14541</v>
      </c>
      <c r="AE350" t="s">
        <v>14542</v>
      </c>
      <c r="AF350" t="s">
        <v>69</v>
      </c>
      <c r="AG350" t="s">
        <v>69</v>
      </c>
      <c r="AH350" t="s">
        <v>69</v>
      </c>
      <c r="AI350" t="s">
        <v>69</v>
      </c>
      <c r="AJ350" t="s">
        <v>69</v>
      </c>
      <c r="AK350" t="s">
        <v>69</v>
      </c>
      <c r="AL350">
        <v>65</v>
      </c>
      <c r="AM350">
        <v>8</v>
      </c>
      <c r="AN350">
        <v>8</v>
      </c>
      <c r="AO350">
        <v>3</v>
      </c>
      <c r="AP350">
        <v>42</v>
      </c>
      <c r="AQ350" t="s">
        <v>8636</v>
      </c>
      <c r="AR350" t="s">
        <v>8637</v>
      </c>
      <c r="AS350" t="s">
        <v>8638</v>
      </c>
      <c r="AT350" t="s">
        <v>1364</v>
      </c>
      <c r="AU350" t="s">
        <v>1365</v>
      </c>
      <c r="AV350" t="s">
        <v>69</v>
      </c>
      <c r="AW350" t="s">
        <v>9698</v>
      </c>
      <c r="AX350" t="s">
        <v>9699</v>
      </c>
      <c r="AY350" t="s">
        <v>255</v>
      </c>
      <c r="AZ350">
        <v>2020</v>
      </c>
      <c r="BA350">
        <v>111</v>
      </c>
      <c r="BB350" t="s">
        <v>69</v>
      </c>
      <c r="BC350" t="s">
        <v>69</v>
      </c>
      <c r="BD350" t="s">
        <v>69</v>
      </c>
      <c r="BE350" t="s">
        <v>69</v>
      </c>
      <c r="BF350" t="s">
        <v>69</v>
      </c>
      <c r="BG350">
        <v>63</v>
      </c>
      <c r="BH350">
        <v>73</v>
      </c>
      <c r="BI350" t="s">
        <v>69</v>
      </c>
      <c r="BJ350" t="s">
        <v>5157</v>
      </c>
      <c r="BK350" t="str">
        <f>HYPERLINK("http://dx.doi.org/10.1016/j.envsci.2020.04.015","http://dx.doi.org/10.1016/j.envsci.2020.04.015")</f>
        <v>http://dx.doi.org/10.1016/j.envsci.2020.04.015</v>
      </c>
      <c r="BL350" t="s">
        <v>69</v>
      </c>
      <c r="BM350" t="s">
        <v>69</v>
      </c>
      <c r="BN350">
        <v>11</v>
      </c>
      <c r="BO350" t="s">
        <v>8717</v>
      </c>
      <c r="BP350" t="s">
        <v>8523</v>
      </c>
      <c r="BQ350" t="s">
        <v>8662</v>
      </c>
      <c r="BR350" t="s">
        <v>14543</v>
      </c>
      <c r="BS350" t="s">
        <v>5158</v>
      </c>
      <c r="BT350" t="s">
        <v>69</v>
      </c>
      <c r="BU350" t="s">
        <v>69</v>
      </c>
      <c r="BV350" t="s">
        <v>69</v>
      </c>
      <c r="BW350" t="s">
        <v>69</v>
      </c>
      <c r="BX350" t="s">
        <v>8526</v>
      </c>
      <c r="BY350" t="str">
        <f>HYPERLINK("https%3A%2F%2Fwww.webofscience.com%2Fwos%2Fwoscc%2Ffull-record%2FWOS:000540245400008","View Full Record in Web of Science")</f>
        <v>View Full Record in Web of Science</v>
      </c>
    </row>
    <row r="351" spans="1:77" s="1" customFormat="1" ht="12.5" x14ac:dyDescent="0.25">
      <c r="A351" t="s">
        <v>8495</v>
      </c>
      <c r="B351" s="22" t="s">
        <v>32931</v>
      </c>
      <c r="C351" s="7"/>
      <c r="D351" s="7"/>
      <c r="E351" s="7"/>
      <c r="F351" t="s">
        <v>67</v>
      </c>
      <c r="G351" t="s">
        <v>28964</v>
      </c>
      <c r="H351" t="s">
        <v>69</v>
      </c>
      <c r="I351" t="s">
        <v>69</v>
      </c>
      <c r="J351" t="s">
        <v>69</v>
      </c>
      <c r="K351" t="s">
        <v>28965</v>
      </c>
      <c r="L351" t="s">
        <v>69</v>
      </c>
      <c r="M351" t="s">
        <v>69</v>
      </c>
      <c r="N351" t="s">
        <v>28966</v>
      </c>
      <c r="O351" t="s">
        <v>28967</v>
      </c>
      <c r="P351" t="s">
        <v>69</v>
      </c>
      <c r="Q351" t="s">
        <v>69</v>
      </c>
      <c r="R351" t="s">
        <v>8505</v>
      </c>
      <c r="S351" t="s">
        <v>8506</v>
      </c>
      <c r="T351" t="s">
        <v>69</v>
      </c>
      <c r="U351" t="s">
        <v>69</v>
      </c>
      <c r="V351" t="s">
        <v>69</v>
      </c>
      <c r="W351" t="s">
        <v>69</v>
      </c>
      <c r="X351" t="s">
        <v>69</v>
      </c>
      <c r="Y351" t="s">
        <v>28968</v>
      </c>
      <c r="Z351" t="s">
        <v>28969</v>
      </c>
      <c r="AA351" t="s">
        <v>28970</v>
      </c>
      <c r="AB351" t="s">
        <v>28971</v>
      </c>
      <c r="AC351" t="s">
        <v>69</v>
      </c>
      <c r="AD351" t="s">
        <v>28972</v>
      </c>
      <c r="AE351" t="s">
        <v>28973</v>
      </c>
      <c r="AF351" t="s">
        <v>69</v>
      </c>
      <c r="AG351" t="s">
        <v>69</v>
      </c>
      <c r="AH351" t="s">
        <v>69</v>
      </c>
      <c r="AI351" t="s">
        <v>69</v>
      </c>
      <c r="AJ351" t="s">
        <v>69</v>
      </c>
      <c r="AK351" t="s">
        <v>69</v>
      </c>
      <c r="AL351">
        <v>65</v>
      </c>
      <c r="AM351">
        <v>5</v>
      </c>
      <c r="AN351">
        <v>5</v>
      </c>
      <c r="AO351">
        <v>0</v>
      </c>
      <c r="AP351">
        <v>0</v>
      </c>
      <c r="AQ351" t="s">
        <v>8586</v>
      </c>
      <c r="AR351" t="s">
        <v>8587</v>
      </c>
      <c r="AS351" t="s">
        <v>8588</v>
      </c>
      <c r="AT351" t="s">
        <v>28974</v>
      </c>
      <c r="AU351" t="s">
        <v>28975</v>
      </c>
      <c r="AV351" t="s">
        <v>69</v>
      </c>
      <c r="AW351" t="s">
        <v>28976</v>
      </c>
      <c r="AX351" t="s">
        <v>28977</v>
      </c>
      <c r="AY351" t="s">
        <v>69</v>
      </c>
      <c r="AZ351">
        <v>2009</v>
      </c>
      <c r="BA351">
        <v>21</v>
      </c>
      <c r="BB351">
        <v>3</v>
      </c>
      <c r="BC351" t="s">
        <v>69</v>
      </c>
      <c r="BD351" t="s">
        <v>69</v>
      </c>
      <c r="BE351" t="s">
        <v>114</v>
      </c>
      <c r="BF351" t="s">
        <v>69</v>
      </c>
      <c r="BG351">
        <v>286</v>
      </c>
      <c r="BH351" t="s">
        <v>219</v>
      </c>
      <c r="BI351" t="s">
        <v>69</v>
      </c>
      <c r="BJ351" t="s">
        <v>28978</v>
      </c>
      <c r="BK351" t="str">
        <f>HYPERLINK("http://dx.doi.org/10.1108/01140580911012511","http://dx.doi.org/10.1108/01140580911012511")</f>
        <v>http://dx.doi.org/10.1108/01140580911012511</v>
      </c>
      <c r="BL351" t="s">
        <v>69</v>
      </c>
      <c r="BM351" t="s">
        <v>69</v>
      </c>
      <c r="BN351">
        <v>19</v>
      </c>
      <c r="BO351" t="s">
        <v>9749</v>
      </c>
      <c r="BP351" t="s">
        <v>8573</v>
      </c>
      <c r="BQ351" t="s">
        <v>8594</v>
      </c>
      <c r="BR351" t="s">
        <v>28979</v>
      </c>
      <c r="BS351" t="s">
        <v>28980</v>
      </c>
      <c r="BT351" t="s">
        <v>69</v>
      </c>
      <c r="BU351" t="s">
        <v>69</v>
      </c>
      <c r="BV351" t="s">
        <v>69</v>
      </c>
      <c r="BW351" t="s">
        <v>69</v>
      </c>
      <c r="BX351" t="s">
        <v>8526</v>
      </c>
      <c r="BY351" t="str">
        <f>HYPERLINK("https%3A%2F%2Fwww.webofscience.com%2Fwos%2Fwoscc%2Ffull-record%2FWOS:000212321900004","View Full Record in Web of Science")</f>
        <v>View Full Record in Web of Science</v>
      </c>
    </row>
    <row r="352" spans="1:77" ht="12.5" x14ac:dyDescent="0.25">
      <c r="A352" t="s">
        <v>8495</v>
      </c>
      <c r="B352" s="22" t="s">
        <v>32931</v>
      </c>
      <c r="C352" s="7"/>
      <c r="D352" s="7"/>
      <c r="E352" s="7"/>
      <c r="F352" t="s">
        <v>67</v>
      </c>
      <c r="G352" t="s">
        <v>18383</v>
      </c>
      <c r="H352" t="s">
        <v>69</v>
      </c>
      <c r="I352" t="s">
        <v>69</v>
      </c>
      <c r="J352" t="s">
        <v>69</v>
      </c>
      <c r="K352" t="s">
        <v>18384</v>
      </c>
      <c r="L352" t="s">
        <v>69</v>
      </c>
      <c r="M352" t="s">
        <v>69</v>
      </c>
      <c r="N352" t="s">
        <v>18385</v>
      </c>
      <c r="O352" t="s">
        <v>18386</v>
      </c>
      <c r="P352" t="s">
        <v>69</v>
      </c>
      <c r="Q352" t="s">
        <v>69</v>
      </c>
      <c r="R352" t="s">
        <v>8505</v>
      </c>
      <c r="S352" t="s">
        <v>8506</v>
      </c>
      <c r="T352" t="s">
        <v>69</v>
      </c>
      <c r="U352" t="s">
        <v>69</v>
      </c>
      <c r="V352" t="s">
        <v>69</v>
      </c>
      <c r="W352" t="s">
        <v>69</v>
      </c>
      <c r="X352" t="s">
        <v>69</v>
      </c>
      <c r="Y352" t="s">
        <v>18387</v>
      </c>
      <c r="Z352" t="s">
        <v>18388</v>
      </c>
      <c r="AA352" t="s">
        <v>18389</v>
      </c>
      <c r="AB352" t="s">
        <v>18390</v>
      </c>
      <c r="AC352" t="s">
        <v>69</v>
      </c>
      <c r="AD352" t="s">
        <v>18391</v>
      </c>
      <c r="AE352" t="s">
        <v>18392</v>
      </c>
      <c r="AF352" t="s">
        <v>69</v>
      </c>
      <c r="AG352" t="s">
        <v>69</v>
      </c>
      <c r="AH352" t="s">
        <v>69</v>
      </c>
      <c r="AI352" t="s">
        <v>69</v>
      </c>
      <c r="AJ352" t="s">
        <v>69</v>
      </c>
      <c r="AK352" t="s">
        <v>69</v>
      </c>
      <c r="AL352">
        <v>48</v>
      </c>
      <c r="AM352">
        <v>6</v>
      </c>
      <c r="AN352">
        <v>6</v>
      </c>
      <c r="AO352">
        <v>0</v>
      </c>
      <c r="AP352">
        <v>20</v>
      </c>
      <c r="AQ352" t="s">
        <v>8846</v>
      </c>
      <c r="AR352" t="s">
        <v>8847</v>
      </c>
      <c r="AS352" t="s">
        <v>8848</v>
      </c>
      <c r="AT352" t="s">
        <v>18393</v>
      </c>
      <c r="AU352" t="s">
        <v>18394</v>
      </c>
      <c r="AV352" t="s">
        <v>69</v>
      </c>
      <c r="AW352" t="s">
        <v>18395</v>
      </c>
      <c r="AX352" t="s">
        <v>18396</v>
      </c>
      <c r="AY352" t="s">
        <v>255</v>
      </c>
      <c r="AZ352">
        <v>2018</v>
      </c>
      <c r="BA352">
        <v>69</v>
      </c>
      <c r="BB352">
        <v>3</v>
      </c>
      <c r="BC352" t="s">
        <v>69</v>
      </c>
      <c r="BD352" t="s">
        <v>69</v>
      </c>
      <c r="BE352" t="s">
        <v>69</v>
      </c>
      <c r="BF352" t="s">
        <v>69</v>
      </c>
      <c r="BG352">
        <v>591</v>
      </c>
      <c r="BH352">
        <v>605</v>
      </c>
      <c r="BI352" t="s">
        <v>69</v>
      </c>
      <c r="BJ352" t="s">
        <v>18397</v>
      </c>
      <c r="BK352" t="str">
        <f>HYPERLINK("http://dx.doi.org/10.1111/1477-9552.12300","http://dx.doi.org/10.1111/1477-9552.12300")</f>
        <v>http://dx.doi.org/10.1111/1477-9552.12300</v>
      </c>
      <c r="BL352" t="s">
        <v>69</v>
      </c>
      <c r="BM352" t="s">
        <v>69</v>
      </c>
      <c r="BN352">
        <v>15</v>
      </c>
      <c r="BO352" t="s">
        <v>18398</v>
      </c>
      <c r="BP352" t="s">
        <v>8523</v>
      </c>
      <c r="BQ352" t="s">
        <v>18399</v>
      </c>
      <c r="BR352" t="s">
        <v>18400</v>
      </c>
      <c r="BS352" t="s">
        <v>18401</v>
      </c>
      <c r="BT352" t="s">
        <v>69</v>
      </c>
      <c r="BU352" t="s">
        <v>69</v>
      </c>
      <c r="BV352" t="s">
        <v>69</v>
      </c>
      <c r="BW352" t="s">
        <v>69</v>
      </c>
      <c r="BX352" t="s">
        <v>8526</v>
      </c>
      <c r="BY352" t="str">
        <f>HYPERLINK("https%3A%2F%2Fwww.webofscience.com%2Fwos%2Fwoscc%2Ffull-record%2FWOS:000445186800001","View Full Record in Web of Science")</f>
        <v>View Full Record in Web of Science</v>
      </c>
    </row>
    <row r="353" spans="1:77" ht="12.5" x14ac:dyDescent="0.25">
      <c r="A353" t="s">
        <v>8495</v>
      </c>
      <c r="B353" s="7" t="s">
        <v>32933</v>
      </c>
      <c r="C353" s="7"/>
      <c r="D353" s="7"/>
      <c r="E353" s="7"/>
      <c r="F353" t="s">
        <v>67</v>
      </c>
      <c r="G353" t="s">
        <v>2830</v>
      </c>
      <c r="H353" t="s">
        <v>69</v>
      </c>
      <c r="I353" t="s">
        <v>69</v>
      </c>
      <c r="J353" t="s">
        <v>69</v>
      </c>
      <c r="K353" t="s">
        <v>2831</v>
      </c>
      <c r="L353" t="s">
        <v>69</v>
      </c>
      <c r="M353" t="s">
        <v>69</v>
      </c>
      <c r="N353" t="s">
        <v>2832</v>
      </c>
      <c r="O353" t="s">
        <v>352</v>
      </c>
      <c r="P353" t="s">
        <v>69</v>
      </c>
      <c r="Q353" t="s">
        <v>69</v>
      </c>
      <c r="R353" t="s">
        <v>8505</v>
      </c>
      <c r="S353" t="s">
        <v>8506</v>
      </c>
      <c r="T353" t="s">
        <v>69</v>
      </c>
      <c r="U353" t="s">
        <v>69</v>
      </c>
      <c r="V353" t="s">
        <v>69</v>
      </c>
      <c r="W353" t="s">
        <v>69</v>
      </c>
      <c r="X353" t="s">
        <v>69</v>
      </c>
      <c r="Y353" t="s">
        <v>21325</v>
      </c>
      <c r="Z353" t="s">
        <v>21326</v>
      </c>
      <c r="AA353" t="s">
        <v>2833</v>
      </c>
      <c r="AB353" t="s">
        <v>21327</v>
      </c>
      <c r="AC353" t="s">
        <v>69</v>
      </c>
      <c r="AD353" t="s">
        <v>21328</v>
      </c>
      <c r="AE353" t="s">
        <v>21329</v>
      </c>
      <c r="AF353" t="s">
        <v>2834</v>
      </c>
      <c r="AG353" t="s">
        <v>2835</v>
      </c>
      <c r="AH353" t="s">
        <v>69</v>
      </c>
      <c r="AI353" t="s">
        <v>69</v>
      </c>
      <c r="AJ353" t="s">
        <v>69</v>
      </c>
      <c r="AK353" t="s">
        <v>69</v>
      </c>
      <c r="AL353">
        <v>95</v>
      </c>
      <c r="AM353">
        <v>25</v>
      </c>
      <c r="AN353">
        <v>25</v>
      </c>
      <c r="AO353">
        <v>9</v>
      </c>
      <c r="AP353">
        <v>81</v>
      </c>
      <c r="AQ353" t="s">
        <v>8924</v>
      </c>
      <c r="AR353" t="s">
        <v>8925</v>
      </c>
      <c r="AS353" t="s">
        <v>8926</v>
      </c>
      <c r="AT353" t="s">
        <v>69</v>
      </c>
      <c r="AU353" t="s">
        <v>354</v>
      </c>
      <c r="AV353" t="s">
        <v>69</v>
      </c>
      <c r="AW353" t="s">
        <v>8958</v>
      </c>
      <c r="AX353" t="s">
        <v>8434</v>
      </c>
      <c r="AY353" t="s">
        <v>255</v>
      </c>
      <c r="AZ353">
        <v>2016</v>
      </c>
      <c r="BA353">
        <v>8</v>
      </c>
      <c r="BB353">
        <v>9</v>
      </c>
      <c r="BC353" t="s">
        <v>69</v>
      </c>
      <c r="BD353" t="s">
        <v>69</v>
      </c>
      <c r="BE353" t="s">
        <v>69</v>
      </c>
      <c r="BF353" t="s">
        <v>69</v>
      </c>
      <c r="BG353" t="s">
        <v>69</v>
      </c>
      <c r="BH353" t="s">
        <v>69</v>
      </c>
      <c r="BI353">
        <v>950</v>
      </c>
      <c r="BJ353" t="s">
        <v>2836</v>
      </c>
      <c r="BK353" t="str">
        <f>HYPERLINK("http://dx.doi.org/10.3390/su8090950","http://dx.doi.org/10.3390/su8090950")</f>
        <v>http://dx.doi.org/10.3390/su8090950</v>
      </c>
      <c r="BL353" t="s">
        <v>69</v>
      </c>
      <c r="BM353" t="s">
        <v>69</v>
      </c>
      <c r="BN353">
        <v>16</v>
      </c>
      <c r="BO353" t="s">
        <v>8960</v>
      </c>
      <c r="BP353" t="s">
        <v>8523</v>
      </c>
      <c r="BQ353" t="s">
        <v>8961</v>
      </c>
      <c r="BR353" t="s">
        <v>21330</v>
      </c>
      <c r="BS353" t="s">
        <v>2837</v>
      </c>
      <c r="BT353" t="s">
        <v>69</v>
      </c>
      <c r="BU353" t="s">
        <v>12220</v>
      </c>
      <c r="BV353" t="s">
        <v>69</v>
      </c>
      <c r="BW353" t="s">
        <v>69</v>
      </c>
      <c r="BX353" t="s">
        <v>8526</v>
      </c>
      <c r="BY353" t="str">
        <f>HYPERLINK("https%3A%2F%2Fwww.webofscience.com%2Fwos%2Fwoscc%2Ffull-record%2FWOS:000385529400119","View Full Record in Web of Science")</f>
        <v>View Full Record in Web of Science</v>
      </c>
    </row>
    <row r="354" spans="1:77" ht="12.5" x14ac:dyDescent="0.25">
      <c r="A354" t="s">
        <v>8495</v>
      </c>
      <c r="B354" s="22" t="s">
        <v>32931</v>
      </c>
      <c r="C354" s="7"/>
      <c r="D354" s="7"/>
      <c r="E354" s="7"/>
      <c r="F354" t="s">
        <v>67</v>
      </c>
      <c r="G354" t="s">
        <v>10365</v>
      </c>
      <c r="H354" t="s">
        <v>69</v>
      </c>
      <c r="I354" t="s">
        <v>69</v>
      </c>
      <c r="J354" t="s">
        <v>69</v>
      </c>
      <c r="K354" t="s">
        <v>10366</v>
      </c>
      <c r="L354" t="s">
        <v>69</v>
      </c>
      <c r="M354" t="s">
        <v>69</v>
      </c>
      <c r="N354" t="s">
        <v>10367</v>
      </c>
      <c r="O354" t="s">
        <v>10368</v>
      </c>
      <c r="P354" t="s">
        <v>69</v>
      </c>
      <c r="Q354" t="s">
        <v>69</v>
      </c>
      <c r="R354" t="s">
        <v>8505</v>
      </c>
      <c r="S354" t="s">
        <v>8506</v>
      </c>
      <c r="T354" t="s">
        <v>69</v>
      </c>
      <c r="U354" t="s">
        <v>69</v>
      </c>
      <c r="V354" t="s">
        <v>69</v>
      </c>
      <c r="W354" t="s">
        <v>69</v>
      </c>
      <c r="X354" t="s">
        <v>69</v>
      </c>
      <c r="Y354" t="s">
        <v>10369</v>
      </c>
      <c r="Z354" t="s">
        <v>10370</v>
      </c>
      <c r="AA354" t="s">
        <v>10371</v>
      </c>
      <c r="AB354" t="s">
        <v>10372</v>
      </c>
      <c r="AC354" t="s">
        <v>69</v>
      </c>
      <c r="AD354" t="s">
        <v>10373</v>
      </c>
      <c r="AE354" t="s">
        <v>10374</v>
      </c>
      <c r="AF354" t="s">
        <v>69</v>
      </c>
      <c r="AG354" t="s">
        <v>69</v>
      </c>
      <c r="AH354" t="s">
        <v>10375</v>
      </c>
      <c r="AI354" t="s">
        <v>10376</v>
      </c>
      <c r="AJ354" t="s">
        <v>10377</v>
      </c>
      <c r="AK354" t="s">
        <v>69</v>
      </c>
      <c r="AL354">
        <v>78</v>
      </c>
      <c r="AM354">
        <v>1</v>
      </c>
      <c r="AN354">
        <v>1</v>
      </c>
      <c r="AO354">
        <v>11</v>
      </c>
      <c r="AP354">
        <v>12</v>
      </c>
      <c r="AQ354" t="s">
        <v>8992</v>
      </c>
      <c r="AR354" t="s">
        <v>8993</v>
      </c>
      <c r="AS354" t="s">
        <v>8994</v>
      </c>
      <c r="AT354" t="s">
        <v>69</v>
      </c>
      <c r="AU354" t="s">
        <v>10378</v>
      </c>
      <c r="AV354" t="s">
        <v>69</v>
      </c>
      <c r="AW354" t="s">
        <v>10379</v>
      </c>
      <c r="AX354" t="s">
        <v>10380</v>
      </c>
      <c r="AY354" t="s">
        <v>10381</v>
      </c>
      <c r="AZ354">
        <v>2021</v>
      </c>
      <c r="BA354">
        <v>6</v>
      </c>
      <c r="BB354" t="s">
        <v>69</v>
      </c>
      <c r="BC354" t="s">
        <v>69</v>
      </c>
      <c r="BD354" t="s">
        <v>69</v>
      </c>
      <c r="BE354" t="s">
        <v>69</v>
      </c>
      <c r="BF354" t="s">
        <v>69</v>
      </c>
      <c r="BG354" t="s">
        <v>69</v>
      </c>
      <c r="BH354" t="s">
        <v>69</v>
      </c>
      <c r="BI354">
        <v>762201</v>
      </c>
      <c r="BJ354" t="s">
        <v>10382</v>
      </c>
      <c r="BK354" t="str">
        <f>HYPERLINK("http://dx.doi.org/10.3389/fcomm.2021.762201","http://dx.doi.org/10.3389/fcomm.2021.762201")</f>
        <v>http://dx.doi.org/10.3389/fcomm.2021.762201</v>
      </c>
      <c r="BL354" t="s">
        <v>69</v>
      </c>
      <c r="BM354" t="s">
        <v>69</v>
      </c>
      <c r="BN354">
        <v>17</v>
      </c>
      <c r="BO354" t="s">
        <v>8443</v>
      </c>
      <c r="BP354" t="s">
        <v>8573</v>
      </c>
      <c r="BQ354" t="s">
        <v>8443</v>
      </c>
      <c r="BR354" t="s">
        <v>10383</v>
      </c>
      <c r="BS354" t="s">
        <v>10384</v>
      </c>
      <c r="BT354" t="s">
        <v>69</v>
      </c>
      <c r="BU354" t="s">
        <v>8812</v>
      </c>
      <c r="BV354" t="s">
        <v>69</v>
      </c>
      <c r="BW354" t="s">
        <v>69</v>
      </c>
      <c r="BX354" t="s">
        <v>8526</v>
      </c>
      <c r="BY354" t="str">
        <f>HYPERLINK("https%3A%2F%2Fwww.webofscience.com%2Fwos%2Fwoscc%2Ffull-record%2FWOS:000738837500001","View Full Record in Web of Science")</f>
        <v>View Full Record in Web of Science</v>
      </c>
    </row>
    <row r="355" spans="1:77" ht="12.5" x14ac:dyDescent="0.25">
      <c r="A355" t="s">
        <v>8495</v>
      </c>
      <c r="B355" s="7" t="s">
        <v>32933</v>
      </c>
      <c r="C355" s="7"/>
      <c r="D355" s="7"/>
      <c r="E355" s="7"/>
      <c r="F355" t="s">
        <v>67</v>
      </c>
      <c r="G355" t="s">
        <v>574</v>
      </c>
      <c r="H355" t="s">
        <v>69</v>
      </c>
      <c r="I355" t="s">
        <v>69</v>
      </c>
      <c r="J355" t="s">
        <v>69</v>
      </c>
      <c r="K355" t="s">
        <v>574</v>
      </c>
      <c r="L355" t="s">
        <v>69</v>
      </c>
      <c r="M355" t="s">
        <v>69</v>
      </c>
      <c r="N355" t="s">
        <v>575</v>
      </c>
      <c r="O355" t="s">
        <v>436</v>
      </c>
      <c r="P355" t="s">
        <v>69</v>
      </c>
      <c r="Q355" t="s">
        <v>69</v>
      </c>
      <c r="R355" t="s">
        <v>8505</v>
      </c>
      <c r="S355" t="s">
        <v>8506</v>
      </c>
      <c r="T355" t="s">
        <v>69</v>
      </c>
      <c r="U355" t="s">
        <v>69</v>
      </c>
      <c r="V355" t="s">
        <v>69</v>
      </c>
      <c r="W355" t="s">
        <v>69</v>
      </c>
      <c r="X355" t="s">
        <v>69</v>
      </c>
      <c r="Y355" t="s">
        <v>31496</v>
      </c>
      <c r="Z355" t="s">
        <v>69</v>
      </c>
      <c r="AA355" t="s">
        <v>576</v>
      </c>
      <c r="AB355" t="s">
        <v>31497</v>
      </c>
      <c r="AC355" t="s">
        <v>69</v>
      </c>
      <c r="AD355" t="s">
        <v>31498</v>
      </c>
      <c r="AE355" t="s">
        <v>69</v>
      </c>
      <c r="AF355" t="s">
        <v>69</v>
      </c>
      <c r="AG355" t="s">
        <v>69</v>
      </c>
      <c r="AH355" t="s">
        <v>69</v>
      </c>
      <c r="AI355" t="s">
        <v>69</v>
      </c>
      <c r="AJ355" t="s">
        <v>69</v>
      </c>
      <c r="AK355" t="s">
        <v>69</v>
      </c>
      <c r="AL355">
        <v>12</v>
      </c>
      <c r="AM355">
        <v>104</v>
      </c>
      <c r="AN355">
        <v>117</v>
      </c>
      <c r="AO355">
        <v>2</v>
      </c>
      <c r="AP355">
        <v>76</v>
      </c>
      <c r="AQ355" t="s">
        <v>8636</v>
      </c>
      <c r="AR355" t="s">
        <v>8637</v>
      </c>
      <c r="AS355" t="s">
        <v>8638</v>
      </c>
      <c r="AT355" t="s">
        <v>440</v>
      </c>
      <c r="AU355" t="s">
        <v>69</v>
      </c>
      <c r="AV355" t="s">
        <v>69</v>
      </c>
      <c r="AW355" t="s">
        <v>8639</v>
      </c>
      <c r="AX355" t="s">
        <v>8640</v>
      </c>
      <c r="AY355" t="s">
        <v>69</v>
      </c>
      <c r="AZ355">
        <v>2002</v>
      </c>
      <c r="BA355">
        <v>10</v>
      </c>
      <c r="BB355">
        <v>1</v>
      </c>
      <c r="BC355" t="s">
        <v>69</v>
      </c>
      <c r="BD355" t="s">
        <v>69</v>
      </c>
      <c r="BE355" t="s">
        <v>69</v>
      </c>
      <c r="BF355" t="s">
        <v>69</v>
      </c>
      <c r="BG355">
        <v>57</v>
      </c>
      <c r="BH355">
        <v>67</v>
      </c>
      <c r="BI355" t="s">
        <v>577</v>
      </c>
      <c r="BJ355" t="s">
        <v>578</v>
      </c>
      <c r="BK355" t="str">
        <f>HYPERLINK("http://dx.doi.org/10.1016/S0959-6526(01)00013-0","http://dx.doi.org/10.1016/S0959-6526(01)00013-0")</f>
        <v>http://dx.doi.org/10.1016/S0959-6526(01)00013-0</v>
      </c>
      <c r="BL355" t="s">
        <v>69</v>
      </c>
      <c r="BM355" t="s">
        <v>69</v>
      </c>
      <c r="BN355">
        <v>11</v>
      </c>
      <c r="BO355" t="s">
        <v>8643</v>
      </c>
      <c r="BP355" t="s">
        <v>8548</v>
      </c>
      <c r="BQ355" t="s">
        <v>8644</v>
      </c>
      <c r="BR355" t="s">
        <v>31499</v>
      </c>
      <c r="BS355" t="s">
        <v>579</v>
      </c>
      <c r="BT355" t="s">
        <v>69</v>
      </c>
      <c r="BU355" t="s">
        <v>69</v>
      </c>
      <c r="BV355" t="s">
        <v>69</v>
      </c>
      <c r="BW355" t="s">
        <v>69</v>
      </c>
      <c r="BX355" t="s">
        <v>8526</v>
      </c>
      <c r="BY355" t="str">
        <f>HYPERLINK("https%3A%2F%2Fwww.webofscience.com%2Fwos%2Fwoscc%2Ffull-record%2FWOS:000174290000008","View Full Record in Web of Science")</f>
        <v>View Full Record in Web of Science</v>
      </c>
    </row>
    <row r="356" spans="1:77" ht="12.5" x14ac:dyDescent="0.25">
      <c r="A356" t="s">
        <v>8495</v>
      </c>
      <c r="B356" s="7" t="s">
        <v>32933</v>
      </c>
      <c r="C356" s="7"/>
      <c r="D356" s="7"/>
      <c r="E356" s="7"/>
      <c r="F356" t="s">
        <v>67</v>
      </c>
      <c r="G356" t="s">
        <v>8290</v>
      </c>
      <c r="H356" t="s">
        <v>69</v>
      </c>
      <c r="I356" t="s">
        <v>69</v>
      </c>
      <c r="J356" t="s">
        <v>69</v>
      </c>
      <c r="K356" t="s">
        <v>8291</v>
      </c>
      <c r="L356" t="s">
        <v>69</v>
      </c>
      <c r="M356" t="s">
        <v>69</v>
      </c>
      <c r="N356" t="s">
        <v>8292</v>
      </c>
      <c r="O356" t="s">
        <v>5392</v>
      </c>
      <c r="P356" t="s">
        <v>69</v>
      </c>
      <c r="Q356" t="s">
        <v>69</v>
      </c>
      <c r="R356" t="s">
        <v>8505</v>
      </c>
      <c r="S356" t="s">
        <v>8506</v>
      </c>
      <c r="T356" t="s">
        <v>69</v>
      </c>
      <c r="U356" t="s">
        <v>69</v>
      </c>
      <c r="V356" t="s">
        <v>69</v>
      </c>
      <c r="W356" t="s">
        <v>69</v>
      </c>
      <c r="X356" t="s">
        <v>69</v>
      </c>
      <c r="Y356" t="s">
        <v>23768</v>
      </c>
      <c r="Z356" t="s">
        <v>69</v>
      </c>
      <c r="AA356" t="s">
        <v>8293</v>
      </c>
      <c r="AB356" t="s">
        <v>69</v>
      </c>
      <c r="AC356" t="s">
        <v>69</v>
      </c>
      <c r="AD356" t="s">
        <v>69</v>
      </c>
      <c r="AE356" t="s">
        <v>69</v>
      </c>
      <c r="AF356" t="s">
        <v>69</v>
      </c>
      <c r="AG356" t="s">
        <v>69</v>
      </c>
      <c r="AH356" t="s">
        <v>69</v>
      </c>
      <c r="AI356" t="s">
        <v>69</v>
      </c>
      <c r="AJ356" t="s">
        <v>69</v>
      </c>
      <c r="AK356" t="s">
        <v>69</v>
      </c>
      <c r="AL356">
        <v>7</v>
      </c>
      <c r="AM356">
        <v>6</v>
      </c>
      <c r="AN356">
        <v>6</v>
      </c>
      <c r="AO356">
        <v>1</v>
      </c>
      <c r="AP356">
        <v>51</v>
      </c>
      <c r="AQ356" t="s">
        <v>21296</v>
      </c>
      <c r="AR356" t="s">
        <v>21297</v>
      </c>
      <c r="AS356" t="s">
        <v>21298</v>
      </c>
      <c r="AT356" t="s">
        <v>5394</v>
      </c>
      <c r="AU356" t="s">
        <v>8294</v>
      </c>
      <c r="AV356" t="s">
        <v>69</v>
      </c>
      <c r="AW356" t="s">
        <v>21299</v>
      </c>
      <c r="AX356" t="s">
        <v>21300</v>
      </c>
      <c r="AY356" t="s">
        <v>1628</v>
      </c>
      <c r="AZ356">
        <v>2014</v>
      </c>
      <c r="BA356">
        <v>9</v>
      </c>
      <c r="BB356">
        <v>3</v>
      </c>
      <c r="BC356" t="s">
        <v>69</v>
      </c>
      <c r="BD356" t="s">
        <v>69</v>
      </c>
      <c r="BE356" t="s">
        <v>69</v>
      </c>
      <c r="BF356" t="s">
        <v>69</v>
      </c>
      <c r="BG356">
        <v>60</v>
      </c>
      <c r="BH356">
        <v>82</v>
      </c>
      <c r="BI356" t="s">
        <v>69</v>
      </c>
      <c r="BJ356" t="s">
        <v>8295</v>
      </c>
      <c r="BK356" t="str">
        <f>HYPERLINK("http://dx.doi.org/10.3992/1943-4618-9.3.60","http://dx.doi.org/10.3992/1943-4618-9.3.60")</f>
        <v>http://dx.doi.org/10.3992/1943-4618-9.3.60</v>
      </c>
      <c r="BL356" t="s">
        <v>69</v>
      </c>
      <c r="BM356" t="s">
        <v>69</v>
      </c>
      <c r="BN356">
        <v>23</v>
      </c>
      <c r="BO356" t="s">
        <v>8449</v>
      </c>
      <c r="BP356" t="s">
        <v>11207</v>
      </c>
      <c r="BQ356" t="s">
        <v>8449</v>
      </c>
      <c r="BR356" t="s">
        <v>23769</v>
      </c>
      <c r="BS356" t="s">
        <v>8296</v>
      </c>
      <c r="BT356" t="s">
        <v>69</v>
      </c>
      <c r="BU356" t="s">
        <v>8622</v>
      </c>
      <c r="BV356" t="s">
        <v>69</v>
      </c>
      <c r="BW356" t="s">
        <v>69</v>
      </c>
      <c r="BX356" t="s">
        <v>8526</v>
      </c>
      <c r="BY356" t="str">
        <f>HYPERLINK("https%3A%2F%2Fwww.webofscience.com%2Fwos%2Fwoscc%2Ffull-record%2FWOS:000347618100005","View Full Record in Web of Science")</f>
        <v>View Full Record in Web of Science</v>
      </c>
    </row>
    <row r="357" spans="1:77" ht="12.5" x14ac:dyDescent="0.25">
      <c r="A357" t="s">
        <v>8495</v>
      </c>
      <c r="B357" s="7" t="s">
        <v>32933</v>
      </c>
      <c r="C357" s="7"/>
      <c r="D357" s="7"/>
      <c r="E357" s="7"/>
      <c r="F357" t="s">
        <v>67</v>
      </c>
      <c r="G357" t="s">
        <v>5675</v>
      </c>
      <c r="H357" t="s">
        <v>69</v>
      </c>
      <c r="I357" t="s">
        <v>69</v>
      </c>
      <c r="J357" t="s">
        <v>69</v>
      </c>
      <c r="K357" t="s">
        <v>5676</v>
      </c>
      <c r="L357" t="s">
        <v>69</v>
      </c>
      <c r="M357" t="s">
        <v>69</v>
      </c>
      <c r="N357" t="s">
        <v>5677</v>
      </c>
      <c r="O357" t="s">
        <v>5678</v>
      </c>
      <c r="P357" t="s">
        <v>69</v>
      </c>
      <c r="Q357" t="s">
        <v>69</v>
      </c>
      <c r="R357" t="s">
        <v>8505</v>
      </c>
      <c r="S357" t="s">
        <v>15797</v>
      </c>
      <c r="T357" t="s">
        <v>5679</v>
      </c>
      <c r="U357" t="s">
        <v>5680</v>
      </c>
      <c r="V357" t="s">
        <v>5681</v>
      </c>
      <c r="W357" t="s">
        <v>5682</v>
      </c>
      <c r="X357" t="s">
        <v>69</v>
      </c>
      <c r="Y357" t="s">
        <v>30050</v>
      </c>
      <c r="Z357" t="s">
        <v>69</v>
      </c>
      <c r="AA357" t="s">
        <v>5683</v>
      </c>
      <c r="AB357" t="s">
        <v>30051</v>
      </c>
      <c r="AC357" t="s">
        <v>69</v>
      </c>
      <c r="AD357" t="s">
        <v>30052</v>
      </c>
      <c r="AE357" t="s">
        <v>30053</v>
      </c>
      <c r="AF357" t="s">
        <v>69</v>
      </c>
      <c r="AG357" t="s">
        <v>69</v>
      </c>
      <c r="AH357" t="s">
        <v>69</v>
      </c>
      <c r="AI357" t="s">
        <v>69</v>
      </c>
      <c r="AJ357" t="s">
        <v>69</v>
      </c>
      <c r="AK357" t="s">
        <v>69</v>
      </c>
      <c r="AL357">
        <v>28</v>
      </c>
      <c r="AM357">
        <v>7</v>
      </c>
      <c r="AN357">
        <v>7</v>
      </c>
      <c r="AO357">
        <v>0</v>
      </c>
      <c r="AP357">
        <v>1</v>
      </c>
      <c r="AQ357" t="s">
        <v>15611</v>
      </c>
      <c r="AR357" t="s">
        <v>10924</v>
      </c>
      <c r="AS357" t="s">
        <v>15612</v>
      </c>
      <c r="AT357" t="s">
        <v>5684</v>
      </c>
      <c r="AU357" t="s">
        <v>5685</v>
      </c>
      <c r="AV357" t="s">
        <v>69</v>
      </c>
      <c r="AW357" t="s">
        <v>30054</v>
      </c>
      <c r="AX357" t="s">
        <v>30055</v>
      </c>
      <c r="AY357" t="s">
        <v>69</v>
      </c>
      <c r="AZ357">
        <v>2007</v>
      </c>
      <c r="BA357">
        <v>42</v>
      </c>
      <c r="BB357" t="s">
        <v>5686</v>
      </c>
      <c r="BC357" t="s">
        <v>69</v>
      </c>
      <c r="BD357" t="s">
        <v>69</v>
      </c>
      <c r="BE357" t="s">
        <v>69</v>
      </c>
      <c r="BF357" t="s">
        <v>69</v>
      </c>
      <c r="BG357">
        <v>1835</v>
      </c>
      <c r="BH357">
        <v>1849</v>
      </c>
      <c r="BI357" t="s">
        <v>69</v>
      </c>
      <c r="BJ357" t="s">
        <v>5687</v>
      </c>
      <c r="BK357" t="str">
        <f>HYPERLINK("http://dx.doi.org/10.1080/10826080701532833","http://dx.doi.org/10.1080/10826080701532833")</f>
        <v>http://dx.doi.org/10.1080/10826080701532833</v>
      </c>
      <c r="BL357" t="s">
        <v>69</v>
      </c>
      <c r="BM357" t="s">
        <v>69</v>
      </c>
      <c r="BN357">
        <v>15</v>
      </c>
      <c r="BO357" t="s">
        <v>30056</v>
      </c>
      <c r="BP357" t="s">
        <v>30057</v>
      </c>
      <c r="BQ357" t="s">
        <v>30056</v>
      </c>
      <c r="BR357" t="s">
        <v>30058</v>
      </c>
      <c r="BS357" t="s">
        <v>5688</v>
      </c>
      <c r="BT357">
        <v>18075912</v>
      </c>
      <c r="BU357" t="s">
        <v>69</v>
      </c>
      <c r="BV357" t="s">
        <v>69</v>
      </c>
      <c r="BW357" t="s">
        <v>69</v>
      </c>
      <c r="BX357" t="s">
        <v>8526</v>
      </c>
      <c r="BY357" t="str">
        <f>HYPERLINK("https%3A%2F%2Fwww.webofscience.com%2Fwos%2Fwoscc%2Ffull-record%2FWOS:000251641400003","View Full Record in Web of Science")</f>
        <v>View Full Record in Web of Science</v>
      </c>
    </row>
    <row r="358" spans="1:77" ht="12.5" x14ac:dyDescent="0.25">
      <c r="A358" t="s">
        <v>8495</v>
      </c>
      <c r="B358" s="22" t="s">
        <v>32931</v>
      </c>
      <c r="C358" s="7"/>
      <c r="D358" s="7"/>
      <c r="E358" s="7"/>
      <c r="F358" t="s">
        <v>67</v>
      </c>
      <c r="G358" t="s">
        <v>25328</v>
      </c>
      <c r="H358" t="s">
        <v>69</v>
      </c>
      <c r="I358" t="s">
        <v>69</v>
      </c>
      <c r="J358" t="s">
        <v>69</v>
      </c>
      <c r="K358" t="s">
        <v>25329</v>
      </c>
      <c r="L358" t="s">
        <v>69</v>
      </c>
      <c r="M358" t="s">
        <v>69</v>
      </c>
      <c r="N358" t="s">
        <v>25330</v>
      </c>
      <c r="O358" t="s">
        <v>25331</v>
      </c>
      <c r="P358" t="s">
        <v>69</v>
      </c>
      <c r="Q358" t="s">
        <v>69</v>
      </c>
      <c r="R358" t="s">
        <v>8505</v>
      </c>
      <c r="S358" t="s">
        <v>8506</v>
      </c>
      <c r="T358" t="s">
        <v>69</v>
      </c>
      <c r="U358" t="s">
        <v>69</v>
      </c>
      <c r="V358" t="s">
        <v>69</v>
      </c>
      <c r="W358" t="s">
        <v>69</v>
      </c>
      <c r="X358" t="s">
        <v>69</v>
      </c>
      <c r="Y358" t="s">
        <v>25332</v>
      </c>
      <c r="Z358" t="s">
        <v>25333</v>
      </c>
      <c r="AA358" t="s">
        <v>25334</v>
      </c>
      <c r="AB358" t="s">
        <v>25335</v>
      </c>
      <c r="AC358" t="s">
        <v>69</v>
      </c>
      <c r="AD358" t="s">
        <v>25336</v>
      </c>
      <c r="AE358" t="s">
        <v>25337</v>
      </c>
      <c r="AF358" t="s">
        <v>25338</v>
      </c>
      <c r="AG358" t="s">
        <v>25339</v>
      </c>
      <c r="AH358" t="s">
        <v>25340</v>
      </c>
      <c r="AI358" t="s">
        <v>25340</v>
      </c>
      <c r="AJ358" t="s">
        <v>25341</v>
      </c>
      <c r="AK358" t="s">
        <v>69</v>
      </c>
      <c r="AL358">
        <v>61</v>
      </c>
      <c r="AM358">
        <v>21</v>
      </c>
      <c r="AN358">
        <v>21</v>
      </c>
      <c r="AO358">
        <v>0</v>
      </c>
      <c r="AP358">
        <v>0</v>
      </c>
      <c r="AQ358" t="s">
        <v>8865</v>
      </c>
      <c r="AR358" t="s">
        <v>8612</v>
      </c>
      <c r="AS358" t="s">
        <v>8866</v>
      </c>
      <c r="AT358" t="s">
        <v>25342</v>
      </c>
      <c r="AU358" t="s">
        <v>25343</v>
      </c>
      <c r="AV358" t="s">
        <v>69</v>
      </c>
      <c r="AW358" t="s">
        <v>25344</v>
      </c>
      <c r="AX358" t="s">
        <v>25345</v>
      </c>
      <c r="AY358" t="s">
        <v>69</v>
      </c>
      <c r="AZ358">
        <v>2013</v>
      </c>
      <c r="BA358">
        <v>16</v>
      </c>
      <c r="BB358">
        <v>4</v>
      </c>
      <c r="BC358" t="s">
        <v>69</v>
      </c>
      <c r="BD358" t="s">
        <v>69</v>
      </c>
      <c r="BE358" t="s">
        <v>69</v>
      </c>
      <c r="BF358" t="s">
        <v>69</v>
      </c>
      <c r="BG358">
        <v>297</v>
      </c>
      <c r="BH358">
        <v>314</v>
      </c>
      <c r="BI358" t="s">
        <v>69</v>
      </c>
      <c r="BJ358" t="s">
        <v>25346</v>
      </c>
      <c r="BK358" t="str">
        <f>HYPERLINK("http://dx.doi.org/10.1080/11745398.2013.853338","http://dx.doi.org/10.1080/11745398.2013.853338")</f>
        <v>http://dx.doi.org/10.1080/11745398.2013.853338</v>
      </c>
      <c r="BL358" t="s">
        <v>69</v>
      </c>
      <c r="BM358" t="s">
        <v>69</v>
      </c>
      <c r="BN358">
        <v>18</v>
      </c>
      <c r="BO358" t="s">
        <v>10278</v>
      </c>
      <c r="BP358" t="s">
        <v>8573</v>
      </c>
      <c r="BQ358" t="s">
        <v>10279</v>
      </c>
      <c r="BR358" t="s">
        <v>25347</v>
      </c>
      <c r="BS358" t="s">
        <v>25348</v>
      </c>
      <c r="BT358" t="s">
        <v>69</v>
      </c>
      <c r="BU358" t="s">
        <v>10423</v>
      </c>
      <c r="BV358" t="s">
        <v>69</v>
      </c>
      <c r="BW358" t="s">
        <v>69</v>
      </c>
      <c r="BX358" t="s">
        <v>8526</v>
      </c>
      <c r="BY358" t="str">
        <f>HYPERLINK("https%3A%2F%2Fwww.webofscience.com%2Fwos%2Fwoscc%2Ffull-record%2FWOS:000211550400003","View Full Record in Web of Science")</f>
        <v>View Full Record in Web of Science</v>
      </c>
    </row>
    <row r="359" spans="1:77" x14ac:dyDescent="0.3">
      <c r="A359" t="s">
        <v>8495</v>
      </c>
      <c r="B359" s="9" t="s">
        <v>32963</v>
      </c>
      <c r="C359" s="9" t="s">
        <v>33110</v>
      </c>
      <c r="D359" s="10" t="s">
        <v>8490</v>
      </c>
      <c r="E359" s="9" t="s">
        <v>8490</v>
      </c>
      <c r="F359" t="s">
        <v>67</v>
      </c>
      <c r="G359" t="s">
        <v>20692</v>
      </c>
      <c r="H359" t="s">
        <v>69</v>
      </c>
      <c r="I359" t="s">
        <v>69</v>
      </c>
      <c r="J359" t="s">
        <v>69</v>
      </c>
      <c r="K359" t="s">
        <v>20693</v>
      </c>
      <c r="L359" t="s">
        <v>69</v>
      </c>
      <c r="M359" t="s">
        <v>69</v>
      </c>
      <c r="N359" t="s">
        <v>20694</v>
      </c>
      <c r="O359" t="s">
        <v>929</v>
      </c>
      <c r="P359" t="s">
        <v>69</v>
      </c>
      <c r="Q359" t="s">
        <v>69</v>
      </c>
      <c r="R359" t="s">
        <v>8505</v>
      </c>
      <c r="S359" t="s">
        <v>8506</v>
      </c>
      <c r="T359" t="s">
        <v>69</v>
      </c>
      <c r="U359" t="s">
        <v>69</v>
      </c>
      <c r="V359" t="s">
        <v>69</v>
      </c>
      <c r="W359" t="s">
        <v>69</v>
      </c>
      <c r="X359" t="s">
        <v>69</v>
      </c>
      <c r="Y359" t="s">
        <v>20695</v>
      </c>
      <c r="Z359" t="s">
        <v>20696</v>
      </c>
      <c r="AA359" t="s">
        <v>20697</v>
      </c>
      <c r="AB359" t="s">
        <v>20698</v>
      </c>
      <c r="AC359" t="s">
        <v>69</v>
      </c>
      <c r="AD359" t="s">
        <v>20699</v>
      </c>
      <c r="AE359" t="s">
        <v>20700</v>
      </c>
      <c r="AF359" t="s">
        <v>20701</v>
      </c>
      <c r="AG359" t="s">
        <v>20702</v>
      </c>
      <c r="AH359" t="s">
        <v>20703</v>
      </c>
      <c r="AI359" t="s">
        <v>20704</v>
      </c>
      <c r="AJ359" t="s">
        <v>20705</v>
      </c>
      <c r="AK359" t="s">
        <v>69</v>
      </c>
      <c r="AL359">
        <v>52</v>
      </c>
      <c r="AM359">
        <v>7</v>
      </c>
      <c r="AN359">
        <v>7</v>
      </c>
      <c r="AO359">
        <v>0</v>
      </c>
      <c r="AP359">
        <v>19</v>
      </c>
      <c r="AQ359" t="s">
        <v>8865</v>
      </c>
      <c r="AR359" t="s">
        <v>8612</v>
      </c>
      <c r="AS359" t="s">
        <v>8866</v>
      </c>
      <c r="AT359" t="s">
        <v>931</v>
      </c>
      <c r="AU359" t="s">
        <v>932</v>
      </c>
      <c r="AV359" t="s">
        <v>69</v>
      </c>
      <c r="AW359" t="s">
        <v>15975</v>
      </c>
      <c r="AX359" t="s">
        <v>15976</v>
      </c>
      <c r="AY359" t="s">
        <v>69</v>
      </c>
      <c r="AZ359">
        <v>2017</v>
      </c>
      <c r="BA359">
        <v>35</v>
      </c>
      <c r="BB359">
        <v>4</v>
      </c>
      <c r="BC359" t="s">
        <v>69</v>
      </c>
      <c r="BD359" t="s">
        <v>69</v>
      </c>
      <c r="BE359" t="s">
        <v>69</v>
      </c>
      <c r="BF359" t="s">
        <v>69</v>
      </c>
      <c r="BG359">
        <v>325</v>
      </c>
      <c r="BH359">
        <v>339</v>
      </c>
      <c r="BI359" t="s">
        <v>69</v>
      </c>
      <c r="BJ359" t="s">
        <v>20706</v>
      </c>
      <c r="BK359" t="str">
        <f>HYPERLINK("http://dx.doi.org/10.1080/14615517.2017.1354641","http://dx.doi.org/10.1080/14615517.2017.1354641")</f>
        <v>http://dx.doi.org/10.1080/14615517.2017.1354641</v>
      </c>
      <c r="BL359" t="s">
        <v>69</v>
      </c>
      <c r="BM359" t="s">
        <v>69</v>
      </c>
      <c r="BN359">
        <v>15</v>
      </c>
      <c r="BO359" t="s">
        <v>8660</v>
      </c>
      <c r="BP359" t="s">
        <v>8661</v>
      </c>
      <c r="BQ359" t="s">
        <v>8662</v>
      </c>
      <c r="BR359" t="s">
        <v>20707</v>
      </c>
      <c r="BS359" t="s">
        <v>20708</v>
      </c>
      <c r="BT359" t="s">
        <v>69</v>
      </c>
      <c r="BU359" t="s">
        <v>69</v>
      </c>
      <c r="BV359" t="s">
        <v>69</v>
      </c>
      <c r="BW359" t="s">
        <v>69</v>
      </c>
      <c r="BX359" t="s">
        <v>8526</v>
      </c>
      <c r="BY359" t="str">
        <f>HYPERLINK("https%3A%2F%2Fwww.webofscience.com%2Fwos%2Fwoscc%2Ffull-record%2FWOS:000416918700006","View Full Record in Web of Science")</f>
        <v>View Full Record in Web of Science</v>
      </c>
    </row>
    <row r="360" spans="1:77" ht="12.5" x14ac:dyDescent="0.25">
      <c r="A360" t="s">
        <v>8495</v>
      </c>
      <c r="B360" s="7" t="s">
        <v>32933</v>
      </c>
      <c r="C360" s="7"/>
      <c r="D360" s="7"/>
      <c r="E360" s="7"/>
      <c r="F360" t="s">
        <v>67</v>
      </c>
      <c r="G360" t="s">
        <v>894</v>
      </c>
      <c r="H360" t="s">
        <v>69</v>
      </c>
      <c r="I360" t="s">
        <v>69</v>
      </c>
      <c r="J360" t="s">
        <v>69</v>
      </c>
      <c r="K360" t="s">
        <v>895</v>
      </c>
      <c r="L360" t="s">
        <v>69</v>
      </c>
      <c r="M360" t="s">
        <v>69</v>
      </c>
      <c r="N360" t="s">
        <v>896</v>
      </c>
      <c r="O360" t="s">
        <v>352</v>
      </c>
      <c r="P360" t="s">
        <v>69</v>
      </c>
      <c r="Q360" t="s">
        <v>69</v>
      </c>
      <c r="R360" t="s">
        <v>8505</v>
      </c>
      <c r="S360" t="s">
        <v>8506</v>
      </c>
      <c r="T360" t="s">
        <v>69</v>
      </c>
      <c r="U360" t="s">
        <v>69</v>
      </c>
      <c r="V360" t="s">
        <v>69</v>
      </c>
      <c r="W360" t="s">
        <v>69</v>
      </c>
      <c r="X360" t="s">
        <v>69</v>
      </c>
      <c r="Y360" t="s">
        <v>16609</v>
      </c>
      <c r="Z360" t="s">
        <v>16610</v>
      </c>
      <c r="AA360" t="s">
        <v>897</v>
      </c>
      <c r="AB360" t="s">
        <v>16611</v>
      </c>
      <c r="AC360" t="s">
        <v>69</v>
      </c>
      <c r="AD360" t="s">
        <v>16612</v>
      </c>
      <c r="AE360" t="s">
        <v>16613</v>
      </c>
      <c r="AF360" t="s">
        <v>16614</v>
      </c>
      <c r="AG360" t="s">
        <v>16615</v>
      </c>
      <c r="AH360" t="s">
        <v>16616</v>
      </c>
      <c r="AI360" t="s">
        <v>16617</v>
      </c>
      <c r="AJ360" t="s">
        <v>16618</v>
      </c>
      <c r="AK360" t="s">
        <v>69</v>
      </c>
      <c r="AL360">
        <v>54</v>
      </c>
      <c r="AM360">
        <v>5</v>
      </c>
      <c r="AN360">
        <v>5</v>
      </c>
      <c r="AO360">
        <v>8</v>
      </c>
      <c r="AP360">
        <v>21</v>
      </c>
      <c r="AQ360" t="s">
        <v>8924</v>
      </c>
      <c r="AR360" t="s">
        <v>8925</v>
      </c>
      <c r="AS360" t="s">
        <v>8926</v>
      </c>
      <c r="AT360" t="s">
        <v>69</v>
      </c>
      <c r="AU360" t="s">
        <v>354</v>
      </c>
      <c r="AV360" t="s">
        <v>69</v>
      </c>
      <c r="AW360" t="s">
        <v>8958</v>
      </c>
      <c r="AX360" t="s">
        <v>8434</v>
      </c>
      <c r="AY360" t="s">
        <v>891</v>
      </c>
      <c r="AZ360">
        <v>2019</v>
      </c>
      <c r="BA360">
        <v>11</v>
      </c>
      <c r="BB360">
        <v>20</v>
      </c>
      <c r="BC360" t="s">
        <v>69</v>
      </c>
      <c r="BD360" t="s">
        <v>69</v>
      </c>
      <c r="BE360" t="s">
        <v>69</v>
      </c>
      <c r="BF360" t="s">
        <v>69</v>
      </c>
      <c r="BG360" t="s">
        <v>69</v>
      </c>
      <c r="BH360" t="s">
        <v>69</v>
      </c>
      <c r="BI360">
        <v>5573</v>
      </c>
      <c r="BJ360" t="s">
        <v>898</v>
      </c>
      <c r="BK360" t="str">
        <f>HYPERLINK("http://dx.doi.org/10.3390/su11205573","http://dx.doi.org/10.3390/su11205573")</f>
        <v>http://dx.doi.org/10.3390/su11205573</v>
      </c>
      <c r="BL360" t="s">
        <v>69</v>
      </c>
      <c r="BM360" t="s">
        <v>69</v>
      </c>
      <c r="BN360">
        <v>21</v>
      </c>
      <c r="BO360" t="s">
        <v>8960</v>
      </c>
      <c r="BP360" t="s">
        <v>8523</v>
      </c>
      <c r="BQ360" t="s">
        <v>8961</v>
      </c>
      <c r="BR360" t="s">
        <v>16608</v>
      </c>
      <c r="BS360" t="s">
        <v>899</v>
      </c>
      <c r="BT360" t="s">
        <v>69</v>
      </c>
      <c r="BU360" t="s">
        <v>9352</v>
      </c>
      <c r="BV360" t="s">
        <v>69</v>
      </c>
      <c r="BW360" t="s">
        <v>69</v>
      </c>
      <c r="BX360" t="s">
        <v>8526</v>
      </c>
      <c r="BY360" t="str">
        <f>HYPERLINK("https%3A%2F%2Fwww.webofscience.com%2Fwos%2Fwoscc%2Ffull-record%2FWOS:000498398900030","View Full Record in Web of Science")</f>
        <v>View Full Record in Web of Science</v>
      </c>
    </row>
    <row r="361" spans="1:77" ht="12.5" x14ac:dyDescent="0.25">
      <c r="A361" t="s">
        <v>8495</v>
      </c>
      <c r="B361" s="7" t="s">
        <v>32933</v>
      </c>
      <c r="C361" s="7"/>
      <c r="D361" s="7"/>
      <c r="E361" s="7"/>
      <c r="F361" t="s">
        <v>67</v>
      </c>
      <c r="G361" t="s">
        <v>2954</v>
      </c>
      <c r="H361" t="s">
        <v>69</v>
      </c>
      <c r="I361" t="s">
        <v>69</v>
      </c>
      <c r="J361" t="s">
        <v>69</v>
      </c>
      <c r="K361" t="s">
        <v>2955</v>
      </c>
      <c r="L361" t="s">
        <v>69</v>
      </c>
      <c r="M361" t="s">
        <v>69</v>
      </c>
      <c r="N361" t="s">
        <v>2956</v>
      </c>
      <c r="O361" t="s">
        <v>408</v>
      </c>
      <c r="P361" t="s">
        <v>69</v>
      </c>
      <c r="Q361" t="s">
        <v>69</v>
      </c>
      <c r="R361" t="s">
        <v>8505</v>
      </c>
      <c r="S361" t="s">
        <v>8506</v>
      </c>
      <c r="T361" t="s">
        <v>69</v>
      </c>
      <c r="U361" t="s">
        <v>69</v>
      </c>
      <c r="V361" t="s">
        <v>69</v>
      </c>
      <c r="W361" t="s">
        <v>69</v>
      </c>
      <c r="X361" t="s">
        <v>69</v>
      </c>
      <c r="Y361" t="s">
        <v>21979</v>
      </c>
      <c r="Z361" t="s">
        <v>21980</v>
      </c>
      <c r="AA361" t="s">
        <v>2957</v>
      </c>
      <c r="AB361" t="s">
        <v>21981</v>
      </c>
      <c r="AC361" t="s">
        <v>69</v>
      </c>
      <c r="AD361" t="s">
        <v>21982</v>
      </c>
      <c r="AE361" t="s">
        <v>21983</v>
      </c>
      <c r="AF361" t="s">
        <v>69</v>
      </c>
      <c r="AG361" t="s">
        <v>2958</v>
      </c>
      <c r="AH361" t="s">
        <v>69</v>
      </c>
      <c r="AI361" t="s">
        <v>69</v>
      </c>
      <c r="AJ361" t="s">
        <v>69</v>
      </c>
      <c r="AK361" t="s">
        <v>69</v>
      </c>
      <c r="AL361">
        <v>77</v>
      </c>
      <c r="AM361">
        <v>8</v>
      </c>
      <c r="AN361">
        <v>8</v>
      </c>
      <c r="AO361">
        <v>0</v>
      </c>
      <c r="AP361">
        <v>5</v>
      </c>
      <c r="AQ361" t="s">
        <v>8586</v>
      </c>
      <c r="AR361" t="s">
        <v>8587</v>
      </c>
      <c r="AS361" t="s">
        <v>8588</v>
      </c>
      <c r="AT361" t="s">
        <v>410</v>
      </c>
      <c r="AU361" t="s">
        <v>411</v>
      </c>
      <c r="AV361" t="s">
        <v>69</v>
      </c>
      <c r="AW361" t="s">
        <v>9125</v>
      </c>
      <c r="AX361" t="s">
        <v>9126</v>
      </c>
      <c r="AY361" t="s">
        <v>69</v>
      </c>
      <c r="AZ361">
        <v>2016</v>
      </c>
      <c r="BA361">
        <v>23</v>
      </c>
      <c r="BB361">
        <v>5</v>
      </c>
      <c r="BC361" t="s">
        <v>69</v>
      </c>
      <c r="BD361" t="s">
        <v>69</v>
      </c>
      <c r="BE361" t="s">
        <v>69</v>
      </c>
      <c r="BF361" t="s">
        <v>69</v>
      </c>
      <c r="BG361">
        <v>588</v>
      </c>
      <c r="BH361">
        <v>609</v>
      </c>
      <c r="BI361" t="s">
        <v>69</v>
      </c>
      <c r="BJ361" t="s">
        <v>2959</v>
      </c>
      <c r="BK361" t="str">
        <f>HYPERLINK("http://dx.doi.org/10.1108/ECAM-12-2014-0155","http://dx.doi.org/10.1108/ECAM-12-2014-0155")</f>
        <v>http://dx.doi.org/10.1108/ECAM-12-2014-0155</v>
      </c>
      <c r="BL361" t="s">
        <v>69</v>
      </c>
      <c r="BM361" t="s">
        <v>69</v>
      </c>
      <c r="BN361">
        <v>22</v>
      </c>
      <c r="BO361" t="s">
        <v>9128</v>
      </c>
      <c r="BP361" t="s">
        <v>8523</v>
      </c>
      <c r="BQ361" t="s">
        <v>9129</v>
      </c>
      <c r="BR361" t="s">
        <v>21984</v>
      </c>
      <c r="BS361" t="s">
        <v>2960</v>
      </c>
      <c r="BT361" t="s">
        <v>69</v>
      </c>
      <c r="BU361" t="s">
        <v>69</v>
      </c>
      <c r="BV361" t="s">
        <v>69</v>
      </c>
      <c r="BW361" t="s">
        <v>69</v>
      </c>
      <c r="BX361" t="s">
        <v>8526</v>
      </c>
      <c r="BY361" t="str">
        <f>HYPERLINK("https%3A%2F%2Fwww.webofscience.com%2Fwos%2Fwoscc%2Ffull-record%2FWOS:000386793100003","View Full Record in Web of Science")</f>
        <v>View Full Record in Web of Science</v>
      </c>
    </row>
    <row r="362" spans="1:77" x14ac:dyDescent="0.3">
      <c r="A362" t="s">
        <v>8495</v>
      </c>
      <c r="B362" s="9" t="s">
        <v>32964</v>
      </c>
      <c r="C362" s="9" t="s">
        <v>33109</v>
      </c>
      <c r="D362" s="10" t="s">
        <v>8490</v>
      </c>
      <c r="E362" s="9" t="s">
        <v>8490</v>
      </c>
      <c r="F362" t="s">
        <v>67</v>
      </c>
      <c r="G362" t="s">
        <v>12896</v>
      </c>
      <c r="H362" t="s">
        <v>69</v>
      </c>
      <c r="I362" t="s">
        <v>69</v>
      </c>
      <c r="J362" t="s">
        <v>69</v>
      </c>
      <c r="K362" t="s">
        <v>12897</v>
      </c>
      <c r="L362" t="s">
        <v>69</v>
      </c>
      <c r="M362" t="s">
        <v>69</v>
      </c>
      <c r="N362" t="s">
        <v>12898</v>
      </c>
      <c r="O362" t="s">
        <v>352</v>
      </c>
      <c r="P362" t="s">
        <v>69</v>
      </c>
      <c r="Q362" t="s">
        <v>69</v>
      </c>
      <c r="R362" t="s">
        <v>8505</v>
      </c>
      <c r="S362" t="s">
        <v>8506</v>
      </c>
      <c r="T362" t="s">
        <v>69</v>
      </c>
      <c r="U362" t="s">
        <v>69</v>
      </c>
      <c r="V362" t="s">
        <v>69</v>
      </c>
      <c r="W362" t="s">
        <v>69</v>
      </c>
      <c r="X362" t="s">
        <v>69</v>
      </c>
      <c r="Y362" t="s">
        <v>12899</v>
      </c>
      <c r="Z362" t="s">
        <v>69</v>
      </c>
      <c r="AA362" t="s">
        <v>12900</v>
      </c>
      <c r="AB362" t="s">
        <v>12901</v>
      </c>
      <c r="AC362" t="s">
        <v>69</v>
      </c>
      <c r="AD362" t="s">
        <v>12902</v>
      </c>
      <c r="AE362" t="s">
        <v>12903</v>
      </c>
      <c r="AF362" t="s">
        <v>12904</v>
      </c>
      <c r="AG362" t="s">
        <v>12905</v>
      </c>
      <c r="AH362" t="s">
        <v>12906</v>
      </c>
      <c r="AI362" t="s">
        <v>12907</v>
      </c>
      <c r="AJ362" t="s">
        <v>12908</v>
      </c>
      <c r="AK362" t="s">
        <v>69</v>
      </c>
      <c r="AL362">
        <v>33</v>
      </c>
      <c r="AM362">
        <v>8</v>
      </c>
      <c r="AN362">
        <v>8</v>
      </c>
      <c r="AO362">
        <v>3</v>
      </c>
      <c r="AP362">
        <v>12</v>
      </c>
      <c r="AQ362" t="s">
        <v>8924</v>
      </c>
      <c r="AR362" t="s">
        <v>8925</v>
      </c>
      <c r="AS362" t="s">
        <v>8926</v>
      </c>
      <c r="AT362" t="s">
        <v>69</v>
      </c>
      <c r="AU362" t="s">
        <v>354</v>
      </c>
      <c r="AV362" t="s">
        <v>69</v>
      </c>
      <c r="AW362" t="s">
        <v>8958</v>
      </c>
      <c r="AX362" t="s">
        <v>8434</v>
      </c>
      <c r="AY362" t="s">
        <v>94</v>
      </c>
      <c r="AZ362">
        <v>2021</v>
      </c>
      <c r="BA362">
        <v>13</v>
      </c>
      <c r="BB362">
        <v>6</v>
      </c>
      <c r="BC362" t="s">
        <v>69</v>
      </c>
      <c r="BD362" t="s">
        <v>69</v>
      </c>
      <c r="BE362" t="s">
        <v>69</v>
      </c>
      <c r="BF362" t="s">
        <v>69</v>
      </c>
      <c r="BG362" t="s">
        <v>69</v>
      </c>
      <c r="BH362" t="s">
        <v>69</v>
      </c>
      <c r="BI362">
        <v>3120</v>
      </c>
      <c r="BJ362" t="s">
        <v>12909</v>
      </c>
      <c r="BK362" t="str">
        <f>HYPERLINK("http://dx.doi.org/10.3390/su13063120","http://dx.doi.org/10.3390/su13063120")</f>
        <v>http://dx.doi.org/10.3390/su13063120</v>
      </c>
      <c r="BL362" t="s">
        <v>69</v>
      </c>
      <c r="BM362" t="s">
        <v>69</v>
      </c>
      <c r="BN362">
        <v>15</v>
      </c>
      <c r="BO362" t="s">
        <v>8960</v>
      </c>
      <c r="BP362" t="s">
        <v>8523</v>
      </c>
      <c r="BQ362" t="s">
        <v>8961</v>
      </c>
      <c r="BR362" t="s">
        <v>12910</v>
      </c>
      <c r="BS362" t="s">
        <v>12911</v>
      </c>
      <c r="BT362" t="s">
        <v>69</v>
      </c>
      <c r="BU362" t="s">
        <v>8812</v>
      </c>
      <c r="BV362" t="s">
        <v>69</v>
      </c>
      <c r="BW362" t="s">
        <v>69</v>
      </c>
      <c r="BX362" t="s">
        <v>8526</v>
      </c>
      <c r="BY362" t="str">
        <f>HYPERLINK("https%3A%2F%2Fwww.webofscience.com%2Fwos%2Fwoscc%2Ffull-record%2FWOS:000645709700001","View Full Record in Web of Science")</f>
        <v>View Full Record in Web of Science</v>
      </c>
    </row>
    <row r="363" spans="1:77" ht="12.5" x14ac:dyDescent="0.25">
      <c r="A363" t="s">
        <v>8495</v>
      </c>
      <c r="B363" s="22" t="s">
        <v>32931</v>
      </c>
      <c r="C363" s="7"/>
      <c r="D363" s="7"/>
      <c r="E363" s="7"/>
      <c r="F363" t="s">
        <v>67</v>
      </c>
      <c r="G363" t="s">
        <v>19366</v>
      </c>
      <c r="H363" t="s">
        <v>69</v>
      </c>
      <c r="I363" t="s">
        <v>69</v>
      </c>
      <c r="J363" t="s">
        <v>69</v>
      </c>
      <c r="K363" t="s">
        <v>19367</v>
      </c>
      <c r="L363" t="s">
        <v>69</v>
      </c>
      <c r="M363" t="s">
        <v>69</v>
      </c>
      <c r="N363" t="s">
        <v>19368</v>
      </c>
      <c r="O363" t="s">
        <v>13858</v>
      </c>
      <c r="P363" t="s">
        <v>69</v>
      </c>
      <c r="Q363" t="s">
        <v>69</v>
      </c>
      <c r="R363" t="s">
        <v>8505</v>
      </c>
      <c r="S363" t="s">
        <v>8506</v>
      </c>
      <c r="T363" t="s">
        <v>69</v>
      </c>
      <c r="U363" t="s">
        <v>69</v>
      </c>
      <c r="V363" t="s">
        <v>69</v>
      </c>
      <c r="W363" t="s">
        <v>69</v>
      </c>
      <c r="X363" t="s">
        <v>69</v>
      </c>
      <c r="Y363" t="s">
        <v>19369</v>
      </c>
      <c r="Z363" t="s">
        <v>19370</v>
      </c>
      <c r="AA363" t="s">
        <v>19371</v>
      </c>
      <c r="AB363" t="s">
        <v>19372</v>
      </c>
      <c r="AC363" t="s">
        <v>69</v>
      </c>
      <c r="AD363" t="s">
        <v>19373</v>
      </c>
      <c r="AE363" t="s">
        <v>19374</v>
      </c>
      <c r="AF363" t="s">
        <v>19375</v>
      </c>
      <c r="AG363" t="s">
        <v>19376</v>
      </c>
      <c r="AH363" t="s">
        <v>69</v>
      </c>
      <c r="AI363" t="s">
        <v>69</v>
      </c>
      <c r="AJ363" t="s">
        <v>69</v>
      </c>
      <c r="AK363" t="s">
        <v>69</v>
      </c>
      <c r="AL363">
        <v>47</v>
      </c>
      <c r="AM363">
        <v>5</v>
      </c>
      <c r="AN363">
        <v>5</v>
      </c>
      <c r="AO363">
        <v>0</v>
      </c>
      <c r="AP363">
        <v>17</v>
      </c>
      <c r="AQ363" t="s">
        <v>8586</v>
      </c>
      <c r="AR363" t="s">
        <v>8587</v>
      </c>
      <c r="AS363" t="s">
        <v>8588</v>
      </c>
      <c r="AT363" t="s">
        <v>13869</v>
      </c>
      <c r="AU363" t="s">
        <v>13870</v>
      </c>
      <c r="AV363" t="s">
        <v>69</v>
      </c>
      <c r="AW363" t="s">
        <v>13871</v>
      </c>
      <c r="AX363" t="s">
        <v>13872</v>
      </c>
      <c r="AY363" t="s">
        <v>69</v>
      </c>
      <c r="AZ363">
        <v>2018</v>
      </c>
      <c r="BA363">
        <v>19</v>
      </c>
      <c r="BB363">
        <v>7</v>
      </c>
      <c r="BC363" t="s">
        <v>69</v>
      </c>
      <c r="BD363" t="s">
        <v>69</v>
      </c>
      <c r="BE363" t="s">
        <v>69</v>
      </c>
      <c r="BF363" t="s">
        <v>69</v>
      </c>
      <c r="BG363">
        <v>1299</v>
      </c>
      <c r="BH363">
        <v>1316</v>
      </c>
      <c r="BI363" t="s">
        <v>69</v>
      </c>
      <c r="BJ363" t="s">
        <v>19377</v>
      </c>
      <c r="BK363" t="str">
        <f>HYPERLINK("http://dx.doi.org/10.1108/IJSHE-12-2017-0223","http://dx.doi.org/10.1108/IJSHE-12-2017-0223")</f>
        <v>http://dx.doi.org/10.1108/IJSHE-12-2017-0223</v>
      </c>
      <c r="BL363" t="s">
        <v>69</v>
      </c>
      <c r="BM363" t="s">
        <v>69</v>
      </c>
      <c r="BN363">
        <v>18</v>
      </c>
      <c r="BO363" t="s">
        <v>13875</v>
      </c>
      <c r="BP363" t="s">
        <v>8661</v>
      </c>
      <c r="BQ363" t="s">
        <v>13876</v>
      </c>
      <c r="BR363" t="s">
        <v>19378</v>
      </c>
      <c r="BS363" t="s">
        <v>19379</v>
      </c>
      <c r="BT363" t="s">
        <v>69</v>
      </c>
      <c r="BU363" t="s">
        <v>69</v>
      </c>
      <c r="BV363" t="s">
        <v>69</v>
      </c>
      <c r="BW363" t="s">
        <v>69</v>
      </c>
      <c r="BX363" t="s">
        <v>8526</v>
      </c>
      <c r="BY363" t="str">
        <f>HYPERLINK("https%3A%2F%2Fwww.webofscience.com%2Fwos%2Fwoscc%2Ffull-record%2FWOS:000452707400009","View Full Record in Web of Science")</f>
        <v>View Full Record in Web of Science</v>
      </c>
    </row>
    <row r="364" spans="1:77" ht="12.5" x14ac:dyDescent="0.25">
      <c r="A364" t="s">
        <v>8495</v>
      </c>
      <c r="B364" s="7" t="s">
        <v>32933</v>
      </c>
      <c r="C364" s="7"/>
      <c r="D364" s="7"/>
      <c r="E364" s="7"/>
      <c r="F364" t="s">
        <v>67</v>
      </c>
      <c r="G364" t="s">
        <v>1720</v>
      </c>
      <c r="H364" t="s">
        <v>69</v>
      </c>
      <c r="I364" t="s">
        <v>69</v>
      </c>
      <c r="J364" t="s">
        <v>69</v>
      </c>
      <c r="K364" t="s">
        <v>1720</v>
      </c>
      <c r="L364" t="s">
        <v>69</v>
      </c>
      <c r="M364" t="s">
        <v>69</v>
      </c>
      <c r="N364" t="s">
        <v>1721</v>
      </c>
      <c r="O364" t="s">
        <v>1722</v>
      </c>
      <c r="P364" t="s">
        <v>69</v>
      </c>
      <c r="Q364" t="s">
        <v>69</v>
      </c>
      <c r="R364" t="s">
        <v>8505</v>
      </c>
      <c r="S364" t="s">
        <v>8506</v>
      </c>
      <c r="T364" t="s">
        <v>69</v>
      </c>
      <c r="U364" t="s">
        <v>69</v>
      </c>
      <c r="V364" t="s">
        <v>69</v>
      </c>
      <c r="W364" t="s">
        <v>69</v>
      </c>
      <c r="X364" t="s">
        <v>69</v>
      </c>
      <c r="Y364" t="s">
        <v>69</v>
      </c>
      <c r="Z364" t="s">
        <v>31765</v>
      </c>
      <c r="AA364" t="s">
        <v>1723</v>
      </c>
      <c r="AB364" t="s">
        <v>31766</v>
      </c>
      <c r="AC364" t="s">
        <v>69</v>
      </c>
      <c r="AD364" t="s">
        <v>31767</v>
      </c>
      <c r="AE364" t="s">
        <v>69</v>
      </c>
      <c r="AF364" t="s">
        <v>31768</v>
      </c>
      <c r="AG364" t="s">
        <v>69</v>
      </c>
      <c r="AH364" t="s">
        <v>69</v>
      </c>
      <c r="AI364" t="s">
        <v>69</v>
      </c>
      <c r="AJ364" t="s">
        <v>69</v>
      </c>
      <c r="AK364" t="s">
        <v>69</v>
      </c>
      <c r="AL364">
        <v>42</v>
      </c>
      <c r="AM364">
        <v>2178</v>
      </c>
      <c r="AN364">
        <v>2259</v>
      </c>
      <c r="AO364">
        <v>60</v>
      </c>
      <c r="AP364">
        <v>1412</v>
      </c>
      <c r="AQ364" t="s">
        <v>17140</v>
      </c>
      <c r="AR364" t="s">
        <v>8517</v>
      </c>
      <c r="AS364" t="s">
        <v>17141</v>
      </c>
      <c r="AT364" t="s">
        <v>1724</v>
      </c>
      <c r="AU364" t="s">
        <v>69</v>
      </c>
      <c r="AV364" t="s">
        <v>69</v>
      </c>
      <c r="AW364" t="s">
        <v>28853</v>
      </c>
      <c r="AX364" t="s">
        <v>28854</v>
      </c>
      <c r="AY364" t="s">
        <v>1725</v>
      </c>
      <c r="AZ364">
        <v>2000</v>
      </c>
      <c r="BA364">
        <v>15</v>
      </c>
      <c r="BB364" t="s">
        <v>1726</v>
      </c>
      <c r="BC364" t="s">
        <v>69</v>
      </c>
      <c r="BD364" t="s">
        <v>69</v>
      </c>
      <c r="BE364" t="s">
        <v>69</v>
      </c>
      <c r="BF364" t="s">
        <v>69</v>
      </c>
      <c r="BG364">
        <v>411</v>
      </c>
      <c r="BH364">
        <v>432</v>
      </c>
      <c r="BI364" t="s">
        <v>69</v>
      </c>
      <c r="BJ364" t="s">
        <v>1727</v>
      </c>
      <c r="BK364" t="str">
        <f>HYPERLINK("http://dx.doi.org/10.1016/S0883-9026(98)00033-0","http://dx.doi.org/10.1016/S0883-9026(98)00033-0")</f>
        <v>http://dx.doi.org/10.1016/S0883-9026(98)00033-0</v>
      </c>
      <c r="BL364" t="s">
        <v>69</v>
      </c>
      <c r="BM364" t="s">
        <v>69</v>
      </c>
      <c r="BN364">
        <v>22</v>
      </c>
      <c r="BO364" t="s">
        <v>8444</v>
      </c>
      <c r="BP364" t="s">
        <v>8661</v>
      </c>
      <c r="BQ364" t="s">
        <v>8594</v>
      </c>
      <c r="BR364" t="s">
        <v>31769</v>
      </c>
      <c r="BS364" t="s">
        <v>1728</v>
      </c>
      <c r="BT364" t="s">
        <v>69</v>
      </c>
      <c r="BU364" t="s">
        <v>69</v>
      </c>
      <c r="BV364" t="s">
        <v>69</v>
      </c>
      <c r="BW364" t="s">
        <v>69</v>
      </c>
      <c r="BX364" t="s">
        <v>8526</v>
      </c>
      <c r="BY364" t="str">
        <f>HYPERLINK("https%3A%2F%2Fwww.webofscience.com%2Fwos%2Fwoscc%2Ffull-record%2FWOS:000088703200003","View Full Record in Web of Science")</f>
        <v>View Full Record in Web of Science</v>
      </c>
    </row>
    <row r="365" spans="1:77" ht="12.5" x14ac:dyDescent="0.25">
      <c r="A365" t="s">
        <v>8495</v>
      </c>
      <c r="B365" s="22" t="s">
        <v>32931</v>
      </c>
      <c r="C365" s="7"/>
      <c r="D365" s="7"/>
      <c r="E365" s="7"/>
      <c r="F365" t="s">
        <v>67</v>
      </c>
      <c r="G365" t="s">
        <v>26419</v>
      </c>
      <c r="H365" t="s">
        <v>69</v>
      </c>
      <c r="I365" t="s">
        <v>69</v>
      </c>
      <c r="J365" t="s">
        <v>69</v>
      </c>
      <c r="K365" t="s">
        <v>26420</v>
      </c>
      <c r="L365" t="s">
        <v>69</v>
      </c>
      <c r="M365" t="s">
        <v>69</v>
      </c>
      <c r="N365" t="s">
        <v>26421</v>
      </c>
      <c r="O365" t="s">
        <v>26422</v>
      </c>
      <c r="P365" t="s">
        <v>69</v>
      </c>
      <c r="Q365" t="s">
        <v>69</v>
      </c>
      <c r="R365" t="s">
        <v>8505</v>
      </c>
      <c r="S365" t="s">
        <v>8506</v>
      </c>
      <c r="T365" t="s">
        <v>69</v>
      </c>
      <c r="U365" t="s">
        <v>69</v>
      </c>
      <c r="V365" t="s">
        <v>69</v>
      </c>
      <c r="W365" t="s">
        <v>69</v>
      </c>
      <c r="X365" t="s">
        <v>69</v>
      </c>
      <c r="Y365" t="s">
        <v>26423</v>
      </c>
      <c r="Z365" t="s">
        <v>69</v>
      </c>
      <c r="AA365" t="s">
        <v>26424</v>
      </c>
      <c r="AB365" t="s">
        <v>26425</v>
      </c>
      <c r="AC365" t="s">
        <v>69</v>
      </c>
      <c r="AD365" t="s">
        <v>26426</v>
      </c>
      <c r="AE365" t="s">
        <v>26427</v>
      </c>
      <c r="AF365" t="s">
        <v>26428</v>
      </c>
      <c r="AG365" t="s">
        <v>26429</v>
      </c>
      <c r="AH365" t="s">
        <v>69</v>
      </c>
      <c r="AI365" t="s">
        <v>69</v>
      </c>
      <c r="AJ365" t="s">
        <v>69</v>
      </c>
      <c r="AK365" t="s">
        <v>69</v>
      </c>
      <c r="AL365">
        <v>13</v>
      </c>
      <c r="AM365">
        <v>0</v>
      </c>
      <c r="AN365">
        <v>0</v>
      </c>
      <c r="AO365">
        <v>0</v>
      </c>
      <c r="AP365">
        <v>0</v>
      </c>
      <c r="AQ365" t="s">
        <v>26430</v>
      </c>
      <c r="AR365" t="s">
        <v>22997</v>
      </c>
      <c r="AS365" t="s">
        <v>26431</v>
      </c>
      <c r="AT365" t="s">
        <v>26432</v>
      </c>
      <c r="AU365" t="s">
        <v>26433</v>
      </c>
      <c r="AV365" t="s">
        <v>69</v>
      </c>
      <c r="AW365" t="s">
        <v>26434</v>
      </c>
      <c r="AX365" t="s">
        <v>26435</v>
      </c>
      <c r="AY365" t="s">
        <v>69</v>
      </c>
      <c r="AZ365">
        <v>2012</v>
      </c>
      <c r="BA365" t="s">
        <v>69</v>
      </c>
      <c r="BB365">
        <v>6</v>
      </c>
      <c r="BC365" t="s">
        <v>69</v>
      </c>
      <c r="BD365" t="s">
        <v>69</v>
      </c>
      <c r="BE365" t="s">
        <v>69</v>
      </c>
      <c r="BF365" t="s">
        <v>69</v>
      </c>
      <c r="BG365">
        <v>63</v>
      </c>
      <c r="BH365">
        <v>68</v>
      </c>
      <c r="BI365" t="s">
        <v>69</v>
      </c>
      <c r="BJ365" t="s">
        <v>26436</v>
      </c>
      <c r="BK365" t="str">
        <f>HYPERLINK("http://dx.doi.org/10.5755/j01.eis.0.6.1497","http://dx.doi.org/10.5755/j01.eis.0.6.1497")</f>
        <v>http://dx.doi.org/10.5755/j01.eis.0.6.1497</v>
      </c>
      <c r="BL365" t="s">
        <v>69</v>
      </c>
      <c r="BM365" t="s">
        <v>69</v>
      </c>
      <c r="BN365">
        <v>6</v>
      </c>
      <c r="BO365" t="s">
        <v>17049</v>
      </c>
      <c r="BP365" t="s">
        <v>8573</v>
      </c>
      <c r="BQ365" t="s">
        <v>17049</v>
      </c>
      <c r="BR365" t="s">
        <v>26437</v>
      </c>
      <c r="BS365" t="s">
        <v>26438</v>
      </c>
      <c r="BT365" t="s">
        <v>69</v>
      </c>
      <c r="BU365" t="s">
        <v>8931</v>
      </c>
      <c r="BV365" t="s">
        <v>69</v>
      </c>
      <c r="BW365" t="s">
        <v>69</v>
      </c>
      <c r="BX365" t="s">
        <v>8526</v>
      </c>
      <c r="BY365" t="str">
        <f>HYPERLINK("https%3A%2F%2Fwww.webofscience.com%2Fwos%2Fwoscc%2Ffull-record%2FWOS:000215286500009","View Full Record in Web of Science")</f>
        <v>View Full Record in Web of Science</v>
      </c>
    </row>
    <row r="366" spans="1:77" ht="12.5" x14ac:dyDescent="0.25">
      <c r="A366" t="s">
        <v>8495</v>
      </c>
      <c r="B366" s="7" t="s">
        <v>32933</v>
      </c>
      <c r="C366" s="7"/>
      <c r="D366" s="7"/>
      <c r="E366" s="7"/>
      <c r="F366" t="s">
        <v>67</v>
      </c>
      <c r="G366" t="s">
        <v>4567</v>
      </c>
      <c r="H366" t="s">
        <v>69</v>
      </c>
      <c r="I366" t="s">
        <v>69</v>
      </c>
      <c r="J366" t="s">
        <v>69</v>
      </c>
      <c r="K366" t="s">
        <v>4568</v>
      </c>
      <c r="L366" t="s">
        <v>69</v>
      </c>
      <c r="M366" t="s">
        <v>69</v>
      </c>
      <c r="N366" t="s">
        <v>4569</v>
      </c>
      <c r="O366" t="s">
        <v>2971</v>
      </c>
      <c r="P366" t="s">
        <v>69</v>
      </c>
      <c r="Q366" t="s">
        <v>69</v>
      </c>
      <c r="R366" t="s">
        <v>8505</v>
      </c>
      <c r="S366" t="s">
        <v>8506</v>
      </c>
      <c r="T366" t="s">
        <v>69</v>
      </c>
      <c r="U366" t="s">
        <v>69</v>
      </c>
      <c r="V366" t="s">
        <v>69</v>
      </c>
      <c r="W366" t="s">
        <v>69</v>
      </c>
      <c r="X366" t="s">
        <v>69</v>
      </c>
      <c r="Y366" t="s">
        <v>14167</v>
      </c>
      <c r="Z366" t="s">
        <v>14168</v>
      </c>
      <c r="AA366" t="s">
        <v>4570</v>
      </c>
      <c r="AB366" t="s">
        <v>14169</v>
      </c>
      <c r="AC366" t="s">
        <v>69</v>
      </c>
      <c r="AD366" t="s">
        <v>14170</v>
      </c>
      <c r="AE366" t="s">
        <v>14171</v>
      </c>
      <c r="AF366" t="s">
        <v>14172</v>
      </c>
      <c r="AG366" t="s">
        <v>14173</v>
      </c>
      <c r="AH366" t="s">
        <v>69</v>
      </c>
      <c r="AI366" t="s">
        <v>69</v>
      </c>
      <c r="AJ366" t="s">
        <v>69</v>
      </c>
      <c r="AK366" t="s">
        <v>69</v>
      </c>
      <c r="AL366">
        <v>64</v>
      </c>
      <c r="AM366">
        <v>7</v>
      </c>
      <c r="AN366">
        <v>7</v>
      </c>
      <c r="AO366">
        <v>2</v>
      </c>
      <c r="AP366">
        <v>8</v>
      </c>
      <c r="AQ366" t="s">
        <v>8586</v>
      </c>
      <c r="AR366" t="s">
        <v>8587</v>
      </c>
      <c r="AS366" t="s">
        <v>8588</v>
      </c>
      <c r="AT366" t="s">
        <v>2973</v>
      </c>
      <c r="AU366" t="s">
        <v>2974</v>
      </c>
      <c r="AV366" t="s">
        <v>69</v>
      </c>
      <c r="AW366" t="s">
        <v>14174</v>
      </c>
      <c r="AX366" t="s">
        <v>14175</v>
      </c>
      <c r="AY366" t="s">
        <v>4571</v>
      </c>
      <c r="AZ366">
        <v>2020</v>
      </c>
      <c r="BA366">
        <v>18</v>
      </c>
      <c r="BB366">
        <v>5</v>
      </c>
      <c r="BC366" t="s">
        <v>69</v>
      </c>
      <c r="BD366" t="s">
        <v>69</v>
      </c>
      <c r="BE366" t="s">
        <v>69</v>
      </c>
      <c r="BF366" t="s">
        <v>69</v>
      </c>
      <c r="BG366">
        <v>547</v>
      </c>
      <c r="BH366">
        <v>566</v>
      </c>
      <c r="BI366" t="s">
        <v>69</v>
      </c>
      <c r="BJ366" t="s">
        <v>4572</v>
      </c>
      <c r="BK366" t="str">
        <f>HYPERLINK("http://dx.doi.org/10.1108/JFM-07-2020-0046","http://dx.doi.org/10.1108/JFM-07-2020-0046")</f>
        <v>http://dx.doi.org/10.1108/JFM-07-2020-0046</v>
      </c>
      <c r="BL366" t="s">
        <v>69</v>
      </c>
      <c r="BM366" t="s">
        <v>69</v>
      </c>
      <c r="BN366">
        <v>20</v>
      </c>
      <c r="BO366" t="s">
        <v>9410</v>
      </c>
      <c r="BP366" t="s">
        <v>8573</v>
      </c>
      <c r="BQ366" t="s">
        <v>8594</v>
      </c>
      <c r="BR366" t="s">
        <v>14176</v>
      </c>
      <c r="BS366" t="s">
        <v>4573</v>
      </c>
      <c r="BT366" t="s">
        <v>69</v>
      </c>
      <c r="BU366" t="s">
        <v>69</v>
      </c>
      <c r="BV366" t="s">
        <v>69</v>
      </c>
      <c r="BW366" t="s">
        <v>69</v>
      </c>
      <c r="BX366" t="s">
        <v>8526</v>
      </c>
      <c r="BY366" t="str">
        <f>HYPERLINK("https%3A%2F%2Fwww.webofscience.com%2Fwos%2Fwoscc%2Ffull-record%2FWOS:000581022600005","View Full Record in Web of Science")</f>
        <v>View Full Record in Web of Science</v>
      </c>
    </row>
    <row r="367" spans="1:77" ht="12.5" x14ac:dyDescent="0.25">
      <c r="A367" t="s">
        <v>8495</v>
      </c>
      <c r="B367" s="22" t="s">
        <v>32931</v>
      </c>
      <c r="C367" s="7"/>
      <c r="D367" s="7"/>
      <c r="E367" s="7"/>
      <c r="F367" t="s">
        <v>67</v>
      </c>
      <c r="G367" t="s">
        <v>8647</v>
      </c>
      <c r="H367" t="s">
        <v>69</v>
      </c>
      <c r="I367" t="s">
        <v>69</v>
      </c>
      <c r="J367" t="s">
        <v>69</v>
      </c>
      <c r="K367" t="s">
        <v>8648</v>
      </c>
      <c r="L367" t="s">
        <v>69</v>
      </c>
      <c r="M367" t="s">
        <v>69</v>
      </c>
      <c r="N367" t="s">
        <v>8649</v>
      </c>
      <c r="O367" t="s">
        <v>1128</v>
      </c>
      <c r="P367" t="s">
        <v>69</v>
      </c>
      <c r="Q367" t="s">
        <v>69</v>
      </c>
      <c r="R367" t="s">
        <v>8505</v>
      </c>
      <c r="S367" t="s">
        <v>8506</v>
      </c>
      <c r="T367" t="s">
        <v>69</v>
      </c>
      <c r="U367" t="s">
        <v>69</v>
      </c>
      <c r="V367" t="s">
        <v>69</v>
      </c>
      <c r="W367" t="s">
        <v>69</v>
      </c>
      <c r="X367" t="s">
        <v>69</v>
      </c>
      <c r="Y367" t="s">
        <v>8650</v>
      </c>
      <c r="Z367" t="s">
        <v>69</v>
      </c>
      <c r="AA367" t="s">
        <v>8651</v>
      </c>
      <c r="AB367" t="s">
        <v>8652</v>
      </c>
      <c r="AC367" t="s">
        <v>69</v>
      </c>
      <c r="AD367" t="s">
        <v>8653</v>
      </c>
      <c r="AE367" t="s">
        <v>8654</v>
      </c>
      <c r="AF367" t="s">
        <v>69</v>
      </c>
      <c r="AG367" t="s">
        <v>69</v>
      </c>
      <c r="AH367" t="s">
        <v>8655</v>
      </c>
      <c r="AI367" t="s">
        <v>8656</v>
      </c>
      <c r="AJ367" t="s">
        <v>8657</v>
      </c>
      <c r="AK367" t="s">
        <v>69</v>
      </c>
      <c r="AL367">
        <v>36</v>
      </c>
      <c r="AM367">
        <v>0</v>
      </c>
      <c r="AN367">
        <v>0</v>
      </c>
      <c r="AO367">
        <v>3</v>
      </c>
      <c r="AP367">
        <v>3</v>
      </c>
      <c r="AQ367" t="s">
        <v>8636</v>
      </c>
      <c r="AR367" t="s">
        <v>8637</v>
      </c>
      <c r="AS367" t="s">
        <v>8638</v>
      </c>
      <c r="AT367" t="s">
        <v>1130</v>
      </c>
      <c r="AU367" t="s">
        <v>1131</v>
      </c>
      <c r="AV367" t="s">
        <v>69</v>
      </c>
      <c r="AW367" t="s">
        <v>1128</v>
      </c>
      <c r="AX367" t="s">
        <v>8658</v>
      </c>
      <c r="AY367" t="s">
        <v>84</v>
      </c>
      <c r="AZ367">
        <v>2022</v>
      </c>
      <c r="BA367">
        <v>118</v>
      </c>
      <c r="BB367" t="s">
        <v>69</v>
      </c>
      <c r="BC367" t="s">
        <v>69</v>
      </c>
      <c r="BD367" t="s">
        <v>69</v>
      </c>
      <c r="BE367" t="s">
        <v>69</v>
      </c>
      <c r="BF367" t="s">
        <v>69</v>
      </c>
      <c r="BG367" t="s">
        <v>69</v>
      </c>
      <c r="BH367" t="s">
        <v>69</v>
      </c>
      <c r="BI367">
        <v>106128</v>
      </c>
      <c r="BJ367" t="s">
        <v>8659</v>
      </c>
      <c r="BK367" t="str">
        <f>HYPERLINK("http://dx.doi.org/10.1016/j.landusepol.2022.106128","http://dx.doi.org/10.1016/j.landusepol.2022.106128")</f>
        <v>http://dx.doi.org/10.1016/j.landusepol.2022.106128</v>
      </c>
      <c r="BL367" t="s">
        <v>69</v>
      </c>
      <c r="BM367" t="s">
        <v>69</v>
      </c>
      <c r="BN367">
        <v>9</v>
      </c>
      <c r="BO367" t="s">
        <v>8660</v>
      </c>
      <c r="BP367" t="s">
        <v>8661</v>
      </c>
      <c r="BQ367" t="s">
        <v>8662</v>
      </c>
      <c r="BR367" t="s">
        <v>8663</v>
      </c>
      <c r="BS367" t="s">
        <v>8664</v>
      </c>
      <c r="BT367" t="s">
        <v>69</v>
      </c>
      <c r="BU367" t="s">
        <v>69</v>
      </c>
      <c r="BV367" t="s">
        <v>69</v>
      </c>
      <c r="BW367" t="s">
        <v>69</v>
      </c>
      <c r="BX367" t="s">
        <v>8526</v>
      </c>
      <c r="BY367" t="str">
        <f>HYPERLINK("https%3A%2F%2Fwww.webofscience.com%2Fwos%2Fwoscc%2Ffull-record%2FWOS:000797328500011","View Full Record in Web of Science")</f>
        <v>View Full Record in Web of Science</v>
      </c>
    </row>
    <row r="368" spans="1:77" ht="12.5" x14ac:dyDescent="0.25">
      <c r="A368" t="s">
        <v>8495</v>
      </c>
      <c r="B368" s="22" t="s">
        <v>32931</v>
      </c>
      <c r="C368" s="7"/>
      <c r="D368" s="7"/>
      <c r="E368" s="7"/>
      <c r="F368" t="s">
        <v>67</v>
      </c>
      <c r="G368" t="s">
        <v>23102</v>
      </c>
      <c r="H368" t="s">
        <v>69</v>
      </c>
      <c r="I368" t="s">
        <v>69</v>
      </c>
      <c r="J368" t="s">
        <v>69</v>
      </c>
      <c r="K368" t="s">
        <v>23103</v>
      </c>
      <c r="L368" t="s">
        <v>69</v>
      </c>
      <c r="M368" t="s">
        <v>69</v>
      </c>
      <c r="N368" t="s">
        <v>23104</v>
      </c>
      <c r="O368" t="s">
        <v>4065</v>
      </c>
      <c r="P368" t="s">
        <v>69</v>
      </c>
      <c r="Q368" t="s">
        <v>69</v>
      </c>
      <c r="R368" t="s">
        <v>8505</v>
      </c>
      <c r="S368" t="s">
        <v>8506</v>
      </c>
      <c r="T368" t="s">
        <v>69</v>
      </c>
      <c r="U368" t="s">
        <v>69</v>
      </c>
      <c r="V368" t="s">
        <v>69</v>
      </c>
      <c r="W368" t="s">
        <v>69</v>
      </c>
      <c r="X368" t="s">
        <v>69</v>
      </c>
      <c r="Y368" t="s">
        <v>23105</v>
      </c>
      <c r="Z368" t="s">
        <v>69</v>
      </c>
      <c r="AA368" t="s">
        <v>23106</v>
      </c>
      <c r="AB368" t="s">
        <v>23107</v>
      </c>
      <c r="AC368" t="s">
        <v>69</v>
      </c>
      <c r="AD368" t="s">
        <v>23108</v>
      </c>
      <c r="AE368" t="s">
        <v>23109</v>
      </c>
      <c r="AF368" t="s">
        <v>23110</v>
      </c>
      <c r="AG368" t="s">
        <v>23111</v>
      </c>
      <c r="AH368" t="s">
        <v>23112</v>
      </c>
      <c r="AI368" t="s">
        <v>23113</v>
      </c>
      <c r="AJ368" t="s">
        <v>23114</v>
      </c>
      <c r="AK368" t="s">
        <v>69</v>
      </c>
      <c r="AL368">
        <v>37</v>
      </c>
      <c r="AM368">
        <v>20</v>
      </c>
      <c r="AN368">
        <v>20</v>
      </c>
      <c r="AO368">
        <v>2</v>
      </c>
      <c r="AP368">
        <v>43</v>
      </c>
      <c r="AQ368" t="s">
        <v>9145</v>
      </c>
      <c r="AR368" t="s">
        <v>8637</v>
      </c>
      <c r="AS368" t="s">
        <v>9146</v>
      </c>
      <c r="AT368" t="s">
        <v>4067</v>
      </c>
      <c r="AU368" t="s">
        <v>69</v>
      </c>
      <c r="AV368" t="s">
        <v>69</v>
      </c>
      <c r="AW368" t="s">
        <v>23115</v>
      </c>
      <c r="AX368" t="s">
        <v>23116</v>
      </c>
      <c r="AY368" t="s">
        <v>373</v>
      </c>
      <c r="AZ368">
        <v>2015</v>
      </c>
      <c r="BA368">
        <v>45</v>
      </c>
      <c r="BB368" t="s">
        <v>69</v>
      </c>
      <c r="BC368" t="s">
        <v>69</v>
      </c>
      <c r="BD368" t="s">
        <v>69</v>
      </c>
      <c r="BE368" t="s">
        <v>69</v>
      </c>
      <c r="BF368" t="s">
        <v>69</v>
      </c>
      <c r="BG368">
        <v>166</v>
      </c>
      <c r="BH368">
        <v>180</v>
      </c>
      <c r="BI368" t="s">
        <v>69</v>
      </c>
      <c r="BJ368" t="s">
        <v>23117</v>
      </c>
      <c r="BK368" t="str">
        <f>HYPERLINK("http://dx.doi.org/10.1016/j.tust.2014.09.004","http://dx.doi.org/10.1016/j.tust.2014.09.004")</f>
        <v>http://dx.doi.org/10.1016/j.tust.2014.09.004</v>
      </c>
      <c r="BL368" t="s">
        <v>69</v>
      </c>
      <c r="BM368" t="s">
        <v>69</v>
      </c>
      <c r="BN368">
        <v>15</v>
      </c>
      <c r="BO368" t="s">
        <v>11242</v>
      </c>
      <c r="BP368" t="s">
        <v>8548</v>
      </c>
      <c r="BQ368" t="s">
        <v>8549</v>
      </c>
      <c r="BR368" t="s">
        <v>23118</v>
      </c>
      <c r="BS368" t="s">
        <v>23119</v>
      </c>
      <c r="BT368" t="s">
        <v>69</v>
      </c>
      <c r="BU368" t="s">
        <v>69</v>
      </c>
      <c r="BV368" t="s">
        <v>69</v>
      </c>
      <c r="BW368" t="s">
        <v>69</v>
      </c>
      <c r="BX368" t="s">
        <v>8526</v>
      </c>
      <c r="BY368" t="str">
        <f>HYPERLINK("https%3A%2F%2Fwww.webofscience.com%2Fwos%2Fwoscc%2Ffull-record%2FWOS:000347022600015","View Full Record in Web of Science")</f>
        <v>View Full Record in Web of Science</v>
      </c>
    </row>
    <row r="369" spans="1:77" ht="12.5" x14ac:dyDescent="0.25">
      <c r="A369" t="s">
        <v>8495</v>
      </c>
      <c r="B369" s="7" t="s">
        <v>32933</v>
      </c>
      <c r="C369" s="7"/>
      <c r="D369" s="7"/>
      <c r="E369" s="7"/>
      <c r="F369" t="s">
        <v>67</v>
      </c>
      <c r="G369" t="s">
        <v>7044</v>
      </c>
      <c r="H369" t="s">
        <v>69</v>
      </c>
      <c r="I369" t="s">
        <v>69</v>
      </c>
      <c r="J369" t="s">
        <v>69</v>
      </c>
      <c r="K369" t="s">
        <v>7045</v>
      </c>
      <c r="L369" t="s">
        <v>69</v>
      </c>
      <c r="M369" t="s">
        <v>69</v>
      </c>
      <c r="N369" t="s">
        <v>7046</v>
      </c>
      <c r="O369" t="s">
        <v>436</v>
      </c>
      <c r="P369" t="s">
        <v>69</v>
      </c>
      <c r="Q369" t="s">
        <v>69</v>
      </c>
      <c r="R369" t="s">
        <v>8505</v>
      </c>
      <c r="S369" t="s">
        <v>8506</v>
      </c>
      <c r="T369" t="s">
        <v>69</v>
      </c>
      <c r="U369" t="s">
        <v>69</v>
      </c>
      <c r="V369" t="s">
        <v>69</v>
      </c>
      <c r="W369" t="s">
        <v>69</v>
      </c>
      <c r="X369" t="s">
        <v>69</v>
      </c>
      <c r="Y369" t="s">
        <v>18255</v>
      </c>
      <c r="Z369" t="s">
        <v>18256</v>
      </c>
      <c r="AA369" t="s">
        <v>7047</v>
      </c>
      <c r="AB369" t="s">
        <v>18257</v>
      </c>
      <c r="AC369" t="s">
        <v>69</v>
      </c>
      <c r="AD369" t="s">
        <v>18258</v>
      </c>
      <c r="AE369" t="s">
        <v>18259</v>
      </c>
      <c r="AF369" t="s">
        <v>69</v>
      </c>
      <c r="AG369" t="s">
        <v>69</v>
      </c>
      <c r="AH369" t="s">
        <v>18260</v>
      </c>
      <c r="AI369" t="s">
        <v>18261</v>
      </c>
      <c r="AJ369" t="s">
        <v>18262</v>
      </c>
      <c r="AK369" t="s">
        <v>69</v>
      </c>
      <c r="AL369">
        <v>29</v>
      </c>
      <c r="AM369">
        <v>21</v>
      </c>
      <c r="AN369">
        <v>22</v>
      </c>
      <c r="AO369">
        <v>11</v>
      </c>
      <c r="AP369">
        <v>68</v>
      </c>
      <c r="AQ369" t="s">
        <v>8636</v>
      </c>
      <c r="AR369" t="s">
        <v>8637</v>
      </c>
      <c r="AS369" t="s">
        <v>8638</v>
      </c>
      <c r="AT369" t="s">
        <v>440</v>
      </c>
      <c r="AU369" t="s">
        <v>441</v>
      </c>
      <c r="AV369" t="s">
        <v>69</v>
      </c>
      <c r="AW369" t="s">
        <v>8639</v>
      </c>
      <c r="AX369" t="s">
        <v>8640</v>
      </c>
      <c r="AY369" t="s">
        <v>7048</v>
      </c>
      <c r="AZ369">
        <v>2018</v>
      </c>
      <c r="BA369">
        <v>198</v>
      </c>
      <c r="BB369" t="s">
        <v>69</v>
      </c>
      <c r="BC369" t="s">
        <v>69</v>
      </c>
      <c r="BD369" t="s">
        <v>69</v>
      </c>
      <c r="BE369" t="s">
        <v>69</v>
      </c>
      <c r="BF369" t="s">
        <v>69</v>
      </c>
      <c r="BG369">
        <v>1336</v>
      </c>
      <c r="BH369">
        <v>1344</v>
      </c>
      <c r="BI369" t="s">
        <v>69</v>
      </c>
      <c r="BJ369" t="s">
        <v>7049</v>
      </c>
      <c r="BK369" t="str">
        <f>HYPERLINK("http://dx.doi.org/10.1016/j.jclepro.2018.07.117","http://dx.doi.org/10.1016/j.jclepro.2018.07.117")</f>
        <v>http://dx.doi.org/10.1016/j.jclepro.2018.07.117</v>
      </c>
      <c r="BL369" t="s">
        <v>69</v>
      </c>
      <c r="BM369" t="s">
        <v>69</v>
      </c>
      <c r="BN369">
        <v>9</v>
      </c>
      <c r="BO369" t="s">
        <v>8643</v>
      </c>
      <c r="BP369" t="s">
        <v>8523</v>
      </c>
      <c r="BQ369" t="s">
        <v>8644</v>
      </c>
      <c r="BR369" t="s">
        <v>18263</v>
      </c>
      <c r="BS369" t="s">
        <v>7050</v>
      </c>
      <c r="BT369" t="s">
        <v>69</v>
      </c>
      <c r="BU369" t="s">
        <v>69</v>
      </c>
      <c r="BV369" t="s">
        <v>69</v>
      </c>
      <c r="BW369" t="s">
        <v>69</v>
      </c>
      <c r="BX369" t="s">
        <v>8526</v>
      </c>
      <c r="BY369" t="str">
        <f>HYPERLINK("https%3A%2F%2Fwww.webofscience.com%2Fwos%2Fwoscc%2Ffull-record%2FWOS:000442973100117","View Full Record in Web of Science")</f>
        <v>View Full Record in Web of Science</v>
      </c>
    </row>
    <row r="370" spans="1:77" x14ac:dyDescent="0.3">
      <c r="A370" t="s">
        <v>8495</v>
      </c>
      <c r="B370" s="9" t="s">
        <v>32954</v>
      </c>
      <c r="C370" s="9" t="s">
        <v>33108</v>
      </c>
      <c r="D370" s="9" t="s">
        <v>8491</v>
      </c>
      <c r="E370" s="9" t="s">
        <v>8490</v>
      </c>
      <c r="F370" t="s">
        <v>67</v>
      </c>
      <c r="G370" t="s">
        <v>27377</v>
      </c>
      <c r="H370" t="s">
        <v>69</v>
      </c>
      <c r="I370" t="s">
        <v>69</v>
      </c>
      <c r="J370" t="s">
        <v>69</v>
      </c>
      <c r="K370" t="s">
        <v>27378</v>
      </c>
      <c r="L370" t="s">
        <v>69</v>
      </c>
      <c r="M370" t="s">
        <v>69</v>
      </c>
      <c r="N370" t="s">
        <v>27379</v>
      </c>
      <c r="O370" t="s">
        <v>5993</v>
      </c>
      <c r="P370" t="s">
        <v>69</v>
      </c>
      <c r="Q370" t="s">
        <v>69</v>
      </c>
      <c r="R370" t="s">
        <v>8505</v>
      </c>
      <c r="S370" t="s">
        <v>8506</v>
      </c>
      <c r="T370" t="s">
        <v>69</v>
      </c>
      <c r="U370" t="s">
        <v>69</v>
      </c>
      <c r="V370" t="s">
        <v>69</v>
      </c>
      <c r="W370" t="s">
        <v>69</v>
      </c>
      <c r="X370" t="s">
        <v>69</v>
      </c>
      <c r="Y370" t="s">
        <v>27380</v>
      </c>
      <c r="Z370" t="s">
        <v>27381</v>
      </c>
      <c r="AA370" t="s">
        <v>27382</v>
      </c>
      <c r="AB370" t="s">
        <v>27383</v>
      </c>
      <c r="AC370" t="s">
        <v>69</v>
      </c>
      <c r="AD370" t="s">
        <v>27384</v>
      </c>
      <c r="AE370" t="s">
        <v>27385</v>
      </c>
      <c r="AF370" t="s">
        <v>69</v>
      </c>
      <c r="AG370" t="s">
        <v>27386</v>
      </c>
      <c r="AH370" t="s">
        <v>69</v>
      </c>
      <c r="AI370" t="s">
        <v>69</v>
      </c>
      <c r="AJ370" t="s">
        <v>69</v>
      </c>
      <c r="AK370" t="s">
        <v>69</v>
      </c>
      <c r="AL370">
        <v>46</v>
      </c>
      <c r="AM370">
        <v>9</v>
      </c>
      <c r="AN370">
        <v>9</v>
      </c>
      <c r="AO370">
        <v>0</v>
      </c>
      <c r="AP370">
        <v>0</v>
      </c>
      <c r="AQ370" t="s">
        <v>8865</v>
      </c>
      <c r="AR370" t="s">
        <v>8612</v>
      </c>
      <c r="AS370" t="s">
        <v>8866</v>
      </c>
      <c r="AT370" t="s">
        <v>5996</v>
      </c>
      <c r="AU370" t="s">
        <v>5997</v>
      </c>
      <c r="AV370" t="s">
        <v>69</v>
      </c>
      <c r="AW370" t="s">
        <v>23208</v>
      </c>
      <c r="AX370" t="s">
        <v>23209</v>
      </c>
      <c r="AY370" t="s">
        <v>69</v>
      </c>
      <c r="AZ370">
        <v>2011</v>
      </c>
      <c r="BA370">
        <v>3</v>
      </c>
      <c r="BB370">
        <v>2</v>
      </c>
      <c r="BC370" t="s">
        <v>69</v>
      </c>
      <c r="BD370" t="s">
        <v>69</v>
      </c>
      <c r="BE370" t="s">
        <v>69</v>
      </c>
      <c r="BF370" t="s">
        <v>69</v>
      </c>
      <c r="BG370">
        <v>141</v>
      </c>
      <c r="BH370">
        <v>155</v>
      </c>
      <c r="BI370" t="s">
        <v>69</v>
      </c>
      <c r="BJ370" t="s">
        <v>27387</v>
      </c>
      <c r="BK370" t="str">
        <f>HYPERLINK("http://dx.doi.org/10.1080/19463138.2011.620959","http://dx.doi.org/10.1080/19463138.2011.620959")</f>
        <v>http://dx.doi.org/10.1080/19463138.2011.620959</v>
      </c>
      <c r="BL370" t="s">
        <v>69</v>
      </c>
      <c r="BM370" t="s">
        <v>69</v>
      </c>
      <c r="BN370">
        <v>15</v>
      </c>
      <c r="BO370" t="s">
        <v>8660</v>
      </c>
      <c r="BP370" t="s">
        <v>8573</v>
      </c>
      <c r="BQ370" t="s">
        <v>8662</v>
      </c>
      <c r="BR370" t="s">
        <v>27388</v>
      </c>
      <c r="BS370" t="s">
        <v>27389</v>
      </c>
      <c r="BT370" t="s">
        <v>69</v>
      </c>
      <c r="BU370" t="s">
        <v>9374</v>
      </c>
      <c r="BV370" t="s">
        <v>69</v>
      </c>
      <c r="BW370" t="s">
        <v>69</v>
      </c>
      <c r="BX370" t="s">
        <v>8526</v>
      </c>
      <c r="BY370" t="str">
        <f>HYPERLINK("https%3A%2F%2Fwww.webofscience.com%2Fwos%2Fwoscc%2Ffull-record%2FWOS:000436560100002","View Full Record in Web of Science")</f>
        <v>View Full Record in Web of Science</v>
      </c>
    </row>
    <row r="371" spans="1:77" ht="12.5" x14ac:dyDescent="0.25">
      <c r="A371" t="s">
        <v>8495</v>
      </c>
      <c r="B371" s="7" t="s">
        <v>32933</v>
      </c>
      <c r="C371" s="7"/>
      <c r="D371" s="7"/>
      <c r="E371" s="7"/>
      <c r="F371" t="s">
        <v>67</v>
      </c>
      <c r="G371" t="s">
        <v>1956</v>
      </c>
      <c r="H371" t="s">
        <v>69</v>
      </c>
      <c r="I371" t="s">
        <v>69</v>
      </c>
      <c r="J371" t="s">
        <v>69</v>
      </c>
      <c r="K371" t="s">
        <v>1957</v>
      </c>
      <c r="L371" t="s">
        <v>69</v>
      </c>
      <c r="M371" t="s">
        <v>69</v>
      </c>
      <c r="N371" t="s">
        <v>1958</v>
      </c>
      <c r="O371" t="s">
        <v>1959</v>
      </c>
      <c r="P371" t="s">
        <v>69</v>
      </c>
      <c r="Q371" t="s">
        <v>69</v>
      </c>
      <c r="R371" t="s">
        <v>8505</v>
      </c>
      <c r="S371" t="s">
        <v>8506</v>
      </c>
      <c r="T371" t="s">
        <v>69</v>
      </c>
      <c r="U371" t="s">
        <v>69</v>
      </c>
      <c r="V371" t="s">
        <v>69</v>
      </c>
      <c r="W371" t="s">
        <v>69</v>
      </c>
      <c r="X371" t="s">
        <v>69</v>
      </c>
      <c r="Y371" t="s">
        <v>15063</v>
      </c>
      <c r="Z371" t="s">
        <v>15064</v>
      </c>
      <c r="AA371" t="s">
        <v>1960</v>
      </c>
      <c r="AB371" t="s">
        <v>15065</v>
      </c>
      <c r="AC371" t="s">
        <v>69</v>
      </c>
      <c r="AD371" t="s">
        <v>15066</v>
      </c>
      <c r="AE371" t="s">
        <v>15067</v>
      </c>
      <c r="AF371" t="s">
        <v>1961</v>
      </c>
      <c r="AG371" t="s">
        <v>15068</v>
      </c>
      <c r="AH371" t="s">
        <v>69</v>
      </c>
      <c r="AI371" t="s">
        <v>69</v>
      </c>
      <c r="AJ371" t="s">
        <v>69</v>
      </c>
      <c r="AK371" t="s">
        <v>69</v>
      </c>
      <c r="AL371">
        <v>26</v>
      </c>
      <c r="AM371">
        <v>0</v>
      </c>
      <c r="AN371">
        <v>0</v>
      </c>
      <c r="AO371">
        <v>1</v>
      </c>
      <c r="AP371">
        <v>1</v>
      </c>
      <c r="AQ371" t="s">
        <v>8636</v>
      </c>
      <c r="AR371" t="s">
        <v>8637</v>
      </c>
      <c r="AS371" t="s">
        <v>8638</v>
      </c>
      <c r="AT371" t="s">
        <v>69</v>
      </c>
      <c r="AU371" t="s">
        <v>1962</v>
      </c>
      <c r="AV371" t="s">
        <v>69</v>
      </c>
      <c r="AW371" t="s">
        <v>1959</v>
      </c>
      <c r="AX371" t="s">
        <v>13417</v>
      </c>
      <c r="AY371" t="s">
        <v>155</v>
      </c>
      <c r="AZ371">
        <v>2020</v>
      </c>
      <c r="BA371">
        <v>6</v>
      </c>
      <c r="BB371">
        <v>6</v>
      </c>
      <c r="BC371" t="s">
        <v>69</v>
      </c>
      <c r="BD371" t="s">
        <v>69</v>
      </c>
      <c r="BE371" t="s">
        <v>69</v>
      </c>
      <c r="BF371" t="s">
        <v>69</v>
      </c>
      <c r="BG371" t="s">
        <v>69</v>
      </c>
      <c r="BH371" t="s">
        <v>69</v>
      </c>
      <c r="BI371" t="s">
        <v>1963</v>
      </c>
      <c r="BJ371" t="s">
        <v>1964</v>
      </c>
      <c r="BK371" t="str">
        <f>HYPERLINK("http://dx.doi.org/10.1016/j.heliyon.2020.e04200","http://dx.doi.org/10.1016/j.heliyon.2020.e04200")</f>
        <v>http://dx.doi.org/10.1016/j.heliyon.2020.e04200</v>
      </c>
      <c r="BL371" t="s">
        <v>69</v>
      </c>
      <c r="BM371" t="s">
        <v>69</v>
      </c>
      <c r="BN371">
        <v>8</v>
      </c>
      <c r="BO371" t="s">
        <v>8619</v>
      </c>
      <c r="BP371" t="s">
        <v>8548</v>
      </c>
      <c r="BQ371" t="s">
        <v>8620</v>
      </c>
      <c r="BR371" t="s">
        <v>15069</v>
      </c>
      <c r="BS371" t="s">
        <v>1965</v>
      </c>
      <c r="BT371">
        <v>32613105</v>
      </c>
      <c r="BU371" t="s">
        <v>9352</v>
      </c>
      <c r="BV371" t="s">
        <v>69</v>
      </c>
      <c r="BW371" t="s">
        <v>69</v>
      </c>
      <c r="BX371" t="s">
        <v>8526</v>
      </c>
      <c r="BY371" t="str">
        <f>HYPERLINK("https%3A%2F%2Fwww.webofscience.com%2Fwos%2Fwoscc%2Ffull-record%2FWOS:000545793800017","View Full Record in Web of Science")</f>
        <v>View Full Record in Web of Science</v>
      </c>
    </row>
    <row r="372" spans="1:77" ht="12.5" x14ac:dyDescent="0.25">
      <c r="A372" t="s">
        <v>8495</v>
      </c>
      <c r="B372" s="22" t="s">
        <v>32931</v>
      </c>
      <c r="C372" s="7"/>
      <c r="D372" s="7"/>
      <c r="E372" s="7"/>
      <c r="F372" t="s">
        <v>67</v>
      </c>
      <c r="G372" t="s">
        <v>13747</v>
      </c>
      <c r="H372" t="s">
        <v>69</v>
      </c>
      <c r="I372" t="s">
        <v>69</v>
      </c>
      <c r="J372" t="s">
        <v>69</v>
      </c>
      <c r="K372" t="s">
        <v>13748</v>
      </c>
      <c r="L372" t="s">
        <v>69</v>
      </c>
      <c r="M372" t="s">
        <v>69</v>
      </c>
      <c r="N372" t="s">
        <v>13749</v>
      </c>
      <c r="O372" t="s">
        <v>13608</v>
      </c>
      <c r="P372" t="s">
        <v>69</v>
      </c>
      <c r="Q372" t="s">
        <v>69</v>
      </c>
      <c r="R372" t="s">
        <v>8505</v>
      </c>
      <c r="S372" t="s">
        <v>8506</v>
      </c>
      <c r="T372" t="s">
        <v>69</v>
      </c>
      <c r="U372" t="s">
        <v>69</v>
      </c>
      <c r="V372" t="s">
        <v>69</v>
      </c>
      <c r="W372" t="s">
        <v>69</v>
      </c>
      <c r="X372" t="s">
        <v>69</v>
      </c>
      <c r="Y372" t="s">
        <v>13750</v>
      </c>
      <c r="Z372" t="s">
        <v>69</v>
      </c>
      <c r="AA372" t="s">
        <v>13751</v>
      </c>
      <c r="AB372" t="s">
        <v>13752</v>
      </c>
      <c r="AC372" t="s">
        <v>69</v>
      </c>
      <c r="AD372" t="s">
        <v>13753</v>
      </c>
      <c r="AE372" t="s">
        <v>13754</v>
      </c>
      <c r="AF372" t="s">
        <v>13755</v>
      </c>
      <c r="AG372" t="s">
        <v>13756</v>
      </c>
      <c r="AH372" t="s">
        <v>69</v>
      </c>
      <c r="AI372" t="s">
        <v>69</v>
      </c>
      <c r="AJ372" t="s">
        <v>69</v>
      </c>
      <c r="AK372" t="s">
        <v>69</v>
      </c>
      <c r="AL372">
        <v>16</v>
      </c>
      <c r="AM372">
        <v>1</v>
      </c>
      <c r="AN372">
        <v>1</v>
      </c>
      <c r="AO372">
        <v>2</v>
      </c>
      <c r="AP372">
        <v>4</v>
      </c>
      <c r="AQ372" t="s">
        <v>13617</v>
      </c>
      <c r="AR372" t="s">
        <v>13618</v>
      </c>
      <c r="AS372" t="s">
        <v>13619</v>
      </c>
      <c r="AT372" t="s">
        <v>13620</v>
      </c>
      <c r="AU372" t="s">
        <v>13621</v>
      </c>
      <c r="AV372" t="s">
        <v>69</v>
      </c>
      <c r="AW372" t="s">
        <v>13622</v>
      </c>
      <c r="AX372" t="s">
        <v>13623</v>
      </c>
      <c r="AY372" t="s">
        <v>69</v>
      </c>
      <c r="AZ372">
        <v>2021</v>
      </c>
      <c r="BA372">
        <v>1</v>
      </c>
      <c r="BB372">
        <v>36</v>
      </c>
      <c r="BC372" t="s">
        <v>69</v>
      </c>
      <c r="BD372" t="s">
        <v>69</v>
      </c>
      <c r="BE372" t="s">
        <v>69</v>
      </c>
      <c r="BF372" t="s">
        <v>69</v>
      </c>
      <c r="BG372">
        <v>341</v>
      </c>
      <c r="BH372">
        <v>350</v>
      </c>
      <c r="BI372" t="s">
        <v>69</v>
      </c>
      <c r="BJ372" t="s">
        <v>69</v>
      </c>
      <c r="BK372" t="s">
        <v>69</v>
      </c>
      <c r="BL372" t="s">
        <v>69</v>
      </c>
      <c r="BM372" t="s">
        <v>69</v>
      </c>
      <c r="BN372">
        <v>10</v>
      </c>
      <c r="BO372" t="s">
        <v>9749</v>
      </c>
      <c r="BP372" t="s">
        <v>8573</v>
      </c>
      <c r="BQ372" t="s">
        <v>8594</v>
      </c>
      <c r="BR372" t="s">
        <v>13757</v>
      </c>
      <c r="BS372" t="s">
        <v>13758</v>
      </c>
      <c r="BT372" t="s">
        <v>69</v>
      </c>
      <c r="BU372" t="s">
        <v>69</v>
      </c>
      <c r="BV372" t="s">
        <v>69</v>
      </c>
      <c r="BW372" t="s">
        <v>69</v>
      </c>
      <c r="BX372" t="s">
        <v>8526</v>
      </c>
      <c r="BY372" t="str">
        <f>HYPERLINK("https%3A%2F%2Fwww.webofscience.com%2Fwos%2Fwoscc%2Ffull-record%2FWOS:000645131200035","View Full Record in Web of Science")</f>
        <v>View Full Record in Web of Science</v>
      </c>
    </row>
    <row r="373" spans="1:77" s="3" customFormat="1" ht="12.5" x14ac:dyDescent="0.25">
      <c r="A373" t="s">
        <v>8495</v>
      </c>
      <c r="B373" s="7" t="s">
        <v>32933</v>
      </c>
      <c r="C373" s="7"/>
      <c r="D373" s="7"/>
      <c r="E373" s="7"/>
      <c r="F373" t="s">
        <v>67</v>
      </c>
      <c r="G373" t="s">
        <v>6820</v>
      </c>
      <c r="H373" t="s">
        <v>69</v>
      </c>
      <c r="I373" t="s">
        <v>69</v>
      </c>
      <c r="J373" t="s">
        <v>69</v>
      </c>
      <c r="K373" t="s">
        <v>6821</v>
      </c>
      <c r="L373" t="s">
        <v>69</v>
      </c>
      <c r="M373" t="s">
        <v>69</v>
      </c>
      <c r="N373" t="s">
        <v>6822</v>
      </c>
      <c r="O373" t="s">
        <v>2062</v>
      </c>
      <c r="P373" t="s">
        <v>69</v>
      </c>
      <c r="Q373" t="s">
        <v>69</v>
      </c>
      <c r="R373" t="s">
        <v>9357</v>
      </c>
      <c r="S373" t="s">
        <v>8506</v>
      </c>
      <c r="T373" t="s">
        <v>69</v>
      </c>
      <c r="U373" t="s">
        <v>69</v>
      </c>
      <c r="V373" t="s">
        <v>69</v>
      </c>
      <c r="W373" t="s">
        <v>69</v>
      </c>
      <c r="X373" t="s">
        <v>69</v>
      </c>
      <c r="Y373" t="s">
        <v>16117</v>
      </c>
      <c r="Z373" t="s">
        <v>16118</v>
      </c>
      <c r="AA373" t="s">
        <v>6823</v>
      </c>
      <c r="AB373" t="s">
        <v>16119</v>
      </c>
      <c r="AC373" t="s">
        <v>69</v>
      </c>
      <c r="AD373" t="s">
        <v>16120</v>
      </c>
      <c r="AE373" t="s">
        <v>16121</v>
      </c>
      <c r="AF373" t="s">
        <v>16122</v>
      </c>
      <c r="AG373" t="s">
        <v>16123</v>
      </c>
      <c r="AH373" t="s">
        <v>69</v>
      </c>
      <c r="AI373" t="s">
        <v>69</v>
      </c>
      <c r="AJ373" t="s">
        <v>69</v>
      </c>
      <c r="AK373" t="s">
        <v>69</v>
      </c>
      <c r="AL373">
        <v>40</v>
      </c>
      <c r="AM373">
        <v>1</v>
      </c>
      <c r="AN373">
        <v>1</v>
      </c>
      <c r="AO373">
        <v>6</v>
      </c>
      <c r="AP373">
        <v>20</v>
      </c>
      <c r="AQ373" t="s">
        <v>16112</v>
      </c>
      <c r="AR373" t="s">
        <v>16113</v>
      </c>
      <c r="AS373" t="s">
        <v>16114</v>
      </c>
      <c r="AT373" t="s">
        <v>2064</v>
      </c>
      <c r="AU373" t="s">
        <v>69</v>
      </c>
      <c r="AV373" t="s">
        <v>69</v>
      </c>
      <c r="AW373" t="s">
        <v>16115</v>
      </c>
      <c r="AX373" t="s">
        <v>16115</v>
      </c>
      <c r="AY373" t="s">
        <v>69</v>
      </c>
      <c r="AZ373">
        <v>2020</v>
      </c>
      <c r="BA373">
        <v>11</v>
      </c>
      <c r="BB373">
        <v>3</v>
      </c>
      <c r="BC373" t="s">
        <v>69</v>
      </c>
      <c r="BD373" t="s">
        <v>69</v>
      </c>
      <c r="BE373" t="s">
        <v>69</v>
      </c>
      <c r="BF373" t="s">
        <v>69</v>
      </c>
      <c r="BG373">
        <v>33</v>
      </c>
      <c r="BH373">
        <v>45</v>
      </c>
      <c r="BI373" t="s">
        <v>69</v>
      </c>
      <c r="BJ373" t="s">
        <v>6824</v>
      </c>
      <c r="BK373" t="str">
        <f>HYPERLINK("http://dx.doi.org/10.29141/2218-5003-2020-11-3-3","http://dx.doi.org/10.29141/2218-5003-2020-11-3-3")</f>
        <v>http://dx.doi.org/10.29141/2218-5003-2020-11-3-3</v>
      </c>
      <c r="BL373" t="s">
        <v>69</v>
      </c>
      <c r="BM373" t="s">
        <v>69</v>
      </c>
      <c r="BN373">
        <v>13</v>
      </c>
      <c r="BO373" t="s">
        <v>9410</v>
      </c>
      <c r="BP373" t="s">
        <v>8573</v>
      </c>
      <c r="BQ373" t="s">
        <v>8594</v>
      </c>
      <c r="BR373" t="s">
        <v>16116</v>
      </c>
      <c r="BS373" t="s">
        <v>6825</v>
      </c>
      <c r="BT373" t="s">
        <v>69</v>
      </c>
      <c r="BU373" t="s">
        <v>12220</v>
      </c>
      <c r="BV373" t="s">
        <v>69</v>
      </c>
      <c r="BW373" t="s">
        <v>69</v>
      </c>
      <c r="BX373" t="s">
        <v>8526</v>
      </c>
      <c r="BY373" t="str">
        <f>HYPERLINK("https%3A%2F%2Fwww.webofscience.com%2Fwos%2Fwoscc%2Ffull-record%2FWOS:000546559400003","View Full Record in Web of Science")</f>
        <v>View Full Record in Web of Science</v>
      </c>
    </row>
    <row r="374" spans="1:77" x14ac:dyDescent="0.3">
      <c r="A374" t="s">
        <v>8495</v>
      </c>
      <c r="B374" s="10" t="s">
        <v>32965</v>
      </c>
      <c r="F374" t="s">
        <v>67</v>
      </c>
      <c r="G374" t="s">
        <v>2735</v>
      </c>
      <c r="H374" t="s">
        <v>69</v>
      </c>
      <c r="I374" t="s">
        <v>69</v>
      </c>
      <c r="J374" t="s">
        <v>69</v>
      </c>
      <c r="K374" s="2" t="s">
        <v>2736</v>
      </c>
      <c r="L374" t="s">
        <v>69</v>
      </c>
      <c r="M374" t="s">
        <v>69</v>
      </c>
      <c r="N374" s="2" t="s">
        <v>2737</v>
      </c>
      <c r="O374" t="s">
        <v>582</v>
      </c>
      <c r="P374" t="s">
        <v>69</v>
      </c>
      <c r="Q374" t="s">
        <v>69</v>
      </c>
      <c r="R374" t="s">
        <v>8505</v>
      </c>
      <c r="S374" t="s">
        <v>8506</v>
      </c>
      <c r="T374" t="s">
        <v>69</v>
      </c>
      <c r="U374" t="s">
        <v>69</v>
      </c>
      <c r="V374" t="s">
        <v>69</v>
      </c>
      <c r="W374" t="s">
        <v>69</v>
      </c>
      <c r="X374" t="s">
        <v>69</v>
      </c>
      <c r="Y374" t="s">
        <v>21032</v>
      </c>
      <c r="Z374" t="s">
        <v>21033</v>
      </c>
      <c r="AA374" t="s">
        <v>2738</v>
      </c>
      <c r="AB374" t="s">
        <v>21034</v>
      </c>
      <c r="AC374" t="s">
        <v>69</v>
      </c>
      <c r="AD374" t="s">
        <v>21035</v>
      </c>
      <c r="AE374" t="s">
        <v>21036</v>
      </c>
      <c r="AF374" t="s">
        <v>18146</v>
      </c>
      <c r="AG374" t="s">
        <v>18147</v>
      </c>
      <c r="AH374" t="s">
        <v>69</v>
      </c>
      <c r="AI374" t="s">
        <v>69</v>
      </c>
      <c r="AJ374" t="s">
        <v>69</v>
      </c>
      <c r="AK374" t="s">
        <v>69</v>
      </c>
      <c r="AL374">
        <v>82</v>
      </c>
      <c r="AM374">
        <v>35</v>
      </c>
      <c r="AN374">
        <v>38</v>
      </c>
      <c r="AO374">
        <v>0</v>
      </c>
      <c r="AP374">
        <v>45</v>
      </c>
      <c r="AQ374" t="s">
        <v>8692</v>
      </c>
      <c r="AR374" t="s">
        <v>8693</v>
      </c>
      <c r="AS374" t="s">
        <v>8694</v>
      </c>
      <c r="AT374" t="s">
        <v>584</v>
      </c>
      <c r="AU374" t="s">
        <v>585</v>
      </c>
      <c r="AV374" t="s">
        <v>69</v>
      </c>
      <c r="AW374" t="s">
        <v>8695</v>
      </c>
      <c r="AX374" t="s">
        <v>8696</v>
      </c>
      <c r="AY374" t="s">
        <v>373</v>
      </c>
      <c r="AZ374">
        <v>2017</v>
      </c>
      <c r="BA374">
        <v>62</v>
      </c>
      <c r="BB374" t="s">
        <v>69</v>
      </c>
      <c r="BC374" t="s">
        <v>69</v>
      </c>
      <c r="BD374" t="s">
        <v>69</v>
      </c>
      <c r="BE374" t="s">
        <v>69</v>
      </c>
      <c r="BF374" t="s">
        <v>69</v>
      </c>
      <c r="BG374">
        <v>195</v>
      </c>
      <c r="BH374">
        <v>204</v>
      </c>
      <c r="BI374" t="s">
        <v>69</v>
      </c>
      <c r="BJ374" t="s">
        <v>2739</v>
      </c>
      <c r="BK374" t="str">
        <f>HYPERLINK("http://dx.doi.org/10.1016/j.eiar.2016.06.001","http://dx.doi.org/10.1016/j.eiar.2016.06.001")</f>
        <v>http://dx.doi.org/10.1016/j.eiar.2016.06.001</v>
      </c>
      <c r="BL374" t="s">
        <v>69</v>
      </c>
      <c r="BM374" t="s">
        <v>69</v>
      </c>
      <c r="BN374">
        <v>10</v>
      </c>
      <c r="BO374" t="s">
        <v>8660</v>
      </c>
      <c r="BP374" t="s">
        <v>8661</v>
      </c>
      <c r="BQ374" t="s">
        <v>8662</v>
      </c>
      <c r="BR374" t="s">
        <v>21031</v>
      </c>
      <c r="BS374" t="s">
        <v>2740</v>
      </c>
      <c r="BT374" t="s">
        <v>69</v>
      </c>
      <c r="BU374" t="s">
        <v>69</v>
      </c>
      <c r="BV374" t="s">
        <v>69</v>
      </c>
      <c r="BW374" t="s">
        <v>69</v>
      </c>
      <c r="BX374" t="s">
        <v>8526</v>
      </c>
      <c r="BY374" t="str">
        <f>HYPERLINK("https%3A%2F%2Fwww.webofscience.com%2Fwos%2Fwoscc%2Ffull-record%2FWOS:000390628900019","View Full Record in Web of Science")</f>
        <v>View Full Record in Web of Science</v>
      </c>
    </row>
    <row r="375" spans="1:77" x14ac:dyDescent="0.3">
      <c r="A375" t="s">
        <v>8495</v>
      </c>
      <c r="B375" s="12" t="s">
        <v>32966</v>
      </c>
      <c r="F375" t="s">
        <v>67</v>
      </c>
      <c r="G375" t="s">
        <v>5280</v>
      </c>
      <c r="H375" t="s">
        <v>69</v>
      </c>
      <c r="I375" t="s">
        <v>69</v>
      </c>
      <c r="J375" t="s">
        <v>69</v>
      </c>
      <c r="K375" s="3" t="s">
        <v>5281</v>
      </c>
      <c r="L375" t="s">
        <v>69</v>
      </c>
      <c r="M375" t="s">
        <v>69</v>
      </c>
      <c r="N375" s="2" t="s">
        <v>5282</v>
      </c>
      <c r="O375" t="s">
        <v>5283</v>
      </c>
      <c r="P375" t="s">
        <v>69</v>
      </c>
      <c r="Q375" t="s">
        <v>69</v>
      </c>
      <c r="R375" t="s">
        <v>8505</v>
      </c>
      <c r="S375" t="s">
        <v>8506</v>
      </c>
      <c r="T375" t="s">
        <v>69</v>
      </c>
      <c r="U375" t="s">
        <v>69</v>
      </c>
      <c r="V375" t="s">
        <v>69</v>
      </c>
      <c r="W375" t="s">
        <v>69</v>
      </c>
      <c r="X375" t="s">
        <v>69</v>
      </c>
      <c r="Y375" t="s">
        <v>19311</v>
      </c>
      <c r="Z375" t="s">
        <v>69</v>
      </c>
      <c r="AA375" t="s">
        <v>5284</v>
      </c>
      <c r="AB375" t="s">
        <v>19312</v>
      </c>
      <c r="AC375" t="s">
        <v>69</v>
      </c>
      <c r="AD375" t="s">
        <v>19313</v>
      </c>
      <c r="AE375" t="s">
        <v>19314</v>
      </c>
      <c r="AF375" t="s">
        <v>5285</v>
      </c>
      <c r="AG375" t="s">
        <v>69</v>
      </c>
      <c r="AH375" t="s">
        <v>69</v>
      </c>
      <c r="AI375" t="s">
        <v>69</v>
      </c>
      <c r="AJ375" t="s">
        <v>69</v>
      </c>
      <c r="AK375" t="s">
        <v>69</v>
      </c>
      <c r="AL375">
        <v>15</v>
      </c>
      <c r="AM375">
        <v>0</v>
      </c>
      <c r="AN375">
        <v>0</v>
      </c>
      <c r="AO375">
        <v>1</v>
      </c>
      <c r="AP375">
        <v>4</v>
      </c>
      <c r="AQ375" t="s">
        <v>19315</v>
      </c>
      <c r="AR375" t="s">
        <v>19316</v>
      </c>
      <c r="AS375" t="s">
        <v>19317</v>
      </c>
      <c r="AT375" t="s">
        <v>5286</v>
      </c>
      <c r="AU375" t="s">
        <v>69</v>
      </c>
      <c r="AV375" t="s">
        <v>69</v>
      </c>
      <c r="AW375" t="s">
        <v>19318</v>
      </c>
      <c r="AX375" t="s">
        <v>19319</v>
      </c>
      <c r="AY375" t="s">
        <v>69</v>
      </c>
      <c r="AZ375">
        <v>2018</v>
      </c>
      <c r="BA375">
        <v>8</v>
      </c>
      <c r="BB375">
        <v>1</v>
      </c>
      <c r="BC375" t="s">
        <v>69</v>
      </c>
      <c r="BD375" t="s">
        <v>69</v>
      </c>
      <c r="BE375">
        <v>3</v>
      </c>
      <c r="BF375" t="s">
        <v>69</v>
      </c>
      <c r="BG375">
        <v>249</v>
      </c>
      <c r="BH375">
        <v>251</v>
      </c>
      <c r="BI375" t="s">
        <v>69</v>
      </c>
      <c r="BJ375" t="s">
        <v>69</v>
      </c>
      <c r="BK375" t="s">
        <v>69</v>
      </c>
      <c r="BL375" t="s">
        <v>69</v>
      </c>
      <c r="BM375" t="s">
        <v>69</v>
      </c>
      <c r="BN375">
        <v>3</v>
      </c>
      <c r="BO375" t="s">
        <v>8619</v>
      </c>
      <c r="BP375" t="s">
        <v>8573</v>
      </c>
      <c r="BQ375" t="s">
        <v>8620</v>
      </c>
      <c r="BR375" t="s">
        <v>19320</v>
      </c>
      <c r="BS375" t="s">
        <v>5287</v>
      </c>
      <c r="BT375" t="s">
        <v>69</v>
      </c>
      <c r="BU375" t="s">
        <v>69</v>
      </c>
      <c r="BV375" t="s">
        <v>69</v>
      </c>
      <c r="BW375" t="s">
        <v>69</v>
      </c>
      <c r="BX375" t="s">
        <v>8526</v>
      </c>
      <c r="BY375" t="str">
        <f>HYPERLINK("https%3A%2F%2Fwww.webofscience.com%2Fwos%2Fwoscc%2Ffull-record%2FWOS:000452964200068","View Full Record in Web of Science")</f>
        <v>View Full Record in Web of Science</v>
      </c>
    </row>
    <row r="376" spans="1:77" ht="12.5" x14ac:dyDescent="0.25">
      <c r="A376" t="s">
        <v>8495</v>
      </c>
      <c r="B376" s="7" t="s">
        <v>32933</v>
      </c>
      <c r="C376" s="7"/>
      <c r="D376" s="7"/>
      <c r="E376" s="7"/>
      <c r="F376" t="s">
        <v>67</v>
      </c>
      <c r="G376" t="s">
        <v>5066</v>
      </c>
      <c r="H376" t="s">
        <v>69</v>
      </c>
      <c r="I376" t="s">
        <v>69</v>
      </c>
      <c r="J376" t="s">
        <v>69</v>
      </c>
      <c r="K376" t="s">
        <v>5067</v>
      </c>
      <c r="L376" t="s">
        <v>69</v>
      </c>
      <c r="M376" t="s">
        <v>69</v>
      </c>
      <c r="N376" t="s">
        <v>5068</v>
      </c>
      <c r="O376" t="s">
        <v>5069</v>
      </c>
      <c r="P376" t="s">
        <v>69</v>
      </c>
      <c r="Q376" t="s">
        <v>69</v>
      </c>
      <c r="R376" t="s">
        <v>8505</v>
      </c>
      <c r="S376" t="s">
        <v>8506</v>
      </c>
      <c r="T376" t="s">
        <v>69</v>
      </c>
      <c r="U376" t="s">
        <v>69</v>
      </c>
      <c r="V376" t="s">
        <v>69</v>
      </c>
      <c r="W376" t="s">
        <v>69</v>
      </c>
      <c r="X376" t="s">
        <v>69</v>
      </c>
      <c r="Y376" t="s">
        <v>69</v>
      </c>
      <c r="Z376" t="s">
        <v>22406</v>
      </c>
      <c r="AA376" t="s">
        <v>5070</v>
      </c>
      <c r="AB376" t="s">
        <v>22407</v>
      </c>
      <c r="AC376" t="s">
        <v>69</v>
      </c>
      <c r="AD376" t="s">
        <v>22408</v>
      </c>
      <c r="AE376" t="s">
        <v>69</v>
      </c>
      <c r="AF376" t="s">
        <v>69</v>
      </c>
      <c r="AG376" t="s">
        <v>69</v>
      </c>
      <c r="AH376" t="s">
        <v>69</v>
      </c>
      <c r="AI376" t="s">
        <v>69</v>
      </c>
      <c r="AJ376" t="s">
        <v>69</v>
      </c>
      <c r="AK376" t="s">
        <v>69</v>
      </c>
      <c r="AL376">
        <v>312</v>
      </c>
      <c r="AM376">
        <v>4</v>
      </c>
      <c r="AN376">
        <v>4</v>
      </c>
      <c r="AO376">
        <v>0</v>
      </c>
      <c r="AP376">
        <v>4</v>
      </c>
      <c r="AQ376" t="s">
        <v>9978</v>
      </c>
      <c r="AR376" t="s">
        <v>8693</v>
      </c>
      <c r="AS376" t="s">
        <v>17938</v>
      </c>
      <c r="AT376" t="s">
        <v>5071</v>
      </c>
      <c r="AU376" t="s">
        <v>5072</v>
      </c>
      <c r="AV376" t="s">
        <v>69</v>
      </c>
      <c r="AW376" t="s">
        <v>22409</v>
      </c>
      <c r="AX376" t="s">
        <v>22410</v>
      </c>
      <c r="AY376" t="s">
        <v>381</v>
      </c>
      <c r="AZ376">
        <v>2015</v>
      </c>
      <c r="BA376">
        <v>29</v>
      </c>
      <c r="BB376">
        <v>2</v>
      </c>
      <c r="BC376" t="s">
        <v>69</v>
      </c>
      <c r="BD376" t="s">
        <v>69</v>
      </c>
      <c r="BE376" t="s">
        <v>69</v>
      </c>
      <c r="BF376" t="s">
        <v>69</v>
      </c>
      <c r="BG376">
        <v>185</v>
      </c>
      <c r="BH376">
        <v>212</v>
      </c>
      <c r="BI376" t="s">
        <v>69</v>
      </c>
      <c r="BJ376" t="s">
        <v>5073</v>
      </c>
      <c r="BK376" t="str">
        <f>HYPERLINK("http://dx.doi.org/10.1017/S0898588X15000061","http://dx.doi.org/10.1017/S0898588X15000061")</f>
        <v>http://dx.doi.org/10.1017/S0898588X15000061</v>
      </c>
      <c r="BL376" t="s">
        <v>69</v>
      </c>
      <c r="BM376" t="s">
        <v>69</v>
      </c>
      <c r="BN376">
        <v>28</v>
      </c>
      <c r="BO376" t="s">
        <v>13241</v>
      </c>
      <c r="BP376" t="s">
        <v>12201</v>
      </c>
      <c r="BQ376" t="s">
        <v>10084</v>
      </c>
      <c r="BR376" t="s">
        <v>22411</v>
      </c>
      <c r="BS376" t="s">
        <v>5074</v>
      </c>
      <c r="BT376" t="s">
        <v>69</v>
      </c>
      <c r="BU376" t="s">
        <v>69</v>
      </c>
      <c r="BV376" t="s">
        <v>69</v>
      </c>
      <c r="BW376" t="s">
        <v>69</v>
      </c>
      <c r="BX376" t="s">
        <v>8526</v>
      </c>
      <c r="BY376" t="str">
        <f>HYPERLINK("https%3A%2F%2Fwww.webofscience.com%2Fwos%2Fwoscc%2Ffull-record%2FWOS:000365167100003","View Full Record in Web of Science")</f>
        <v>View Full Record in Web of Science</v>
      </c>
    </row>
    <row r="377" spans="1:77" ht="12.5" x14ac:dyDescent="0.25">
      <c r="A377" t="s">
        <v>8495</v>
      </c>
      <c r="B377" s="7" t="s">
        <v>32933</v>
      </c>
      <c r="C377" s="7"/>
      <c r="D377" s="7"/>
      <c r="E377" s="7"/>
      <c r="F377" t="s">
        <v>67</v>
      </c>
      <c r="G377" t="s">
        <v>3318</v>
      </c>
      <c r="H377" t="s">
        <v>69</v>
      </c>
      <c r="I377" t="s">
        <v>69</v>
      </c>
      <c r="J377" t="s">
        <v>69</v>
      </c>
      <c r="K377" t="s">
        <v>3319</v>
      </c>
      <c r="L377" t="s">
        <v>69</v>
      </c>
      <c r="M377" t="s">
        <v>69</v>
      </c>
      <c r="N377" t="s">
        <v>3320</v>
      </c>
      <c r="O377" t="s">
        <v>3321</v>
      </c>
      <c r="P377" t="s">
        <v>69</v>
      </c>
      <c r="Q377" t="s">
        <v>69</v>
      </c>
      <c r="R377" t="s">
        <v>8505</v>
      </c>
      <c r="S377" t="s">
        <v>8506</v>
      </c>
      <c r="T377" t="s">
        <v>69</v>
      </c>
      <c r="U377" t="s">
        <v>69</v>
      </c>
      <c r="V377" t="s">
        <v>69</v>
      </c>
      <c r="W377" t="s">
        <v>69</v>
      </c>
      <c r="X377" t="s">
        <v>69</v>
      </c>
      <c r="Y377" t="s">
        <v>25020</v>
      </c>
      <c r="Z377" t="s">
        <v>25021</v>
      </c>
      <c r="AA377" t="s">
        <v>3322</v>
      </c>
      <c r="AB377" t="s">
        <v>25022</v>
      </c>
      <c r="AC377" t="s">
        <v>69</v>
      </c>
      <c r="AD377" t="s">
        <v>25023</v>
      </c>
      <c r="AE377" t="s">
        <v>25024</v>
      </c>
      <c r="AF377" t="s">
        <v>25025</v>
      </c>
      <c r="AG377" t="s">
        <v>69</v>
      </c>
      <c r="AH377" t="s">
        <v>69</v>
      </c>
      <c r="AI377" t="s">
        <v>69</v>
      </c>
      <c r="AJ377" t="s">
        <v>69</v>
      </c>
      <c r="AK377" t="s">
        <v>69</v>
      </c>
      <c r="AL377">
        <v>86</v>
      </c>
      <c r="AM377">
        <v>68</v>
      </c>
      <c r="AN377">
        <v>68</v>
      </c>
      <c r="AO377">
        <v>1</v>
      </c>
      <c r="AP377">
        <v>71</v>
      </c>
      <c r="AQ377" t="s">
        <v>8762</v>
      </c>
      <c r="AR377" t="s">
        <v>8763</v>
      </c>
      <c r="AS377" t="s">
        <v>8764</v>
      </c>
      <c r="AT377" t="s">
        <v>3323</v>
      </c>
      <c r="AU377" t="s">
        <v>6085</v>
      </c>
      <c r="AV377" t="s">
        <v>69</v>
      </c>
      <c r="AW377" t="s">
        <v>3321</v>
      </c>
      <c r="AX377" t="s">
        <v>25026</v>
      </c>
      <c r="AY377" t="s">
        <v>586</v>
      </c>
      <c r="AZ377">
        <v>2013</v>
      </c>
      <c r="BA377">
        <v>20</v>
      </c>
      <c r="BB377">
        <v>3</v>
      </c>
      <c r="BC377" t="s">
        <v>69</v>
      </c>
      <c r="BD377" t="s">
        <v>69</v>
      </c>
      <c r="BE377" t="s">
        <v>114</v>
      </c>
      <c r="BF377" t="s">
        <v>69</v>
      </c>
      <c r="BG377">
        <v>394</v>
      </c>
      <c r="BH377">
        <v>415</v>
      </c>
      <c r="BI377" t="s">
        <v>69</v>
      </c>
      <c r="BJ377" t="s">
        <v>3324</v>
      </c>
      <c r="BK377" t="str">
        <f>HYPERLINK("http://dx.doi.org/10.1177/1350508413478584","http://dx.doi.org/10.1177/1350508413478584")</f>
        <v>http://dx.doi.org/10.1177/1350508413478584</v>
      </c>
      <c r="BL377" t="s">
        <v>69</v>
      </c>
      <c r="BM377" t="s">
        <v>69</v>
      </c>
      <c r="BN377">
        <v>22</v>
      </c>
      <c r="BO377" t="s">
        <v>9410</v>
      </c>
      <c r="BP377" t="s">
        <v>8661</v>
      </c>
      <c r="BQ377" t="s">
        <v>8594</v>
      </c>
      <c r="BR377" t="s">
        <v>25027</v>
      </c>
      <c r="BS377" t="s">
        <v>3325</v>
      </c>
      <c r="BT377" t="s">
        <v>69</v>
      </c>
      <c r="BU377" t="s">
        <v>69</v>
      </c>
      <c r="BV377" t="s">
        <v>69</v>
      </c>
      <c r="BW377" t="s">
        <v>69</v>
      </c>
      <c r="BX377" t="s">
        <v>8526</v>
      </c>
      <c r="BY377" t="str">
        <f>HYPERLINK("https%3A%2F%2Fwww.webofscience.com%2Fwos%2Fwoscc%2Ffull-record%2FWOS:000317620400004","View Full Record in Web of Science")</f>
        <v>View Full Record in Web of Science</v>
      </c>
    </row>
    <row r="378" spans="1:77" ht="12.5" x14ac:dyDescent="0.25">
      <c r="A378" t="s">
        <v>8495</v>
      </c>
      <c r="B378" s="7" t="s">
        <v>32933</v>
      </c>
      <c r="C378" s="7"/>
      <c r="D378" s="7"/>
      <c r="E378" s="7"/>
      <c r="F378" t="s">
        <v>67</v>
      </c>
      <c r="G378" t="s">
        <v>2636</v>
      </c>
      <c r="H378" t="s">
        <v>69</v>
      </c>
      <c r="I378" t="s">
        <v>69</v>
      </c>
      <c r="J378" t="s">
        <v>69</v>
      </c>
      <c r="K378" t="s">
        <v>2637</v>
      </c>
      <c r="L378" t="s">
        <v>69</v>
      </c>
      <c r="M378" t="s">
        <v>69</v>
      </c>
      <c r="N378" t="s">
        <v>2638</v>
      </c>
      <c r="O378" t="s">
        <v>2639</v>
      </c>
      <c r="P378" t="s">
        <v>69</v>
      </c>
      <c r="Q378" t="s">
        <v>69</v>
      </c>
      <c r="R378" t="s">
        <v>8505</v>
      </c>
      <c r="S378" t="s">
        <v>8442</v>
      </c>
      <c r="T378" t="s">
        <v>69</v>
      </c>
      <c r="U378" t="s">
        <v>69</v>
      </c>
      <c r="V378" t="s">
        <v>69</v>
      </c>
      <c r="W378" t="s">
        <v>69</v>
      </c>
      <c r="X378" t="s">
        <v>69</v>
      </c>
      <c r="Y378" t="s">
        <v>20529</v>
      </c>
      <c r="Z378" t="s">
        <v>20530</v>
      </c>
      <c r="AA378" t="s">
        <v>2640</v>
      </c>
      <c r="AB378" t="s">
        <v>20531</v>
      </c>
      <c r="AC378" t="s">
        <v>69</v>
      </c>
      <c r="AD378" t="s">
        <v>20532</v>
      </c>
      <c r="AE378" t="s">
        <v>20533</v>
      </c>
      <c r="AF378" t="s">
        <v>69</v>
      </c>
      <c r="AG378" t="s">
        <v>69</v>
      </c>
      <c r="AH378" t="s">
        <v>20534</v>
      </c>
      <c r="AI378" t="s">
        <v>20534</v>
      </c>
      <c r="AJ378" t="s">
        <v>20535</v>
      </c>
      <c r="AK378" t="s">
        <v>69</v>
      </c>
      <c r="AL378">
        <v>39</v>
      </c>
      <c r="AM378">
        <v>16</v>
      </c>
      <c r="AN378">
        <v>16</v>
      </c>
      <c r="AO378">
        <v>1</v>
      </c>
      <c r="AP378">
        <v>5</v>
      </c>
      <c r="AQ378" t="s">
        <v>20536</v>
      </c>
      <c r="AR378" t="s">
        <v>10539</v>
      </c>
      <c r="AS378" t="s">
        <v>20537</v>
      </c>
      <c r="AT378" t="s">
        <v>2641</v>
      </c>
      <c r="AU378" t="s">
        <v>2642</v>
      </c>
      <c r="AV378" t="s">
        <v>69</v>
      </c>
      <c r="AW378" t="s">
        <v>20538</v>
      </c>
      <c r="AX378" t="s">
        <v>20539</v>
      </c>
      <c r="AY378" t="s">
        <v>191</v>
      </c>
      <c r="AZ378">
        <v>2017</v>
      </c>
      <c r="BA378">
        <v>61</v>
      </c>
      <c r="BB378">
        <v>2</v>
      </c>
      <c r="BC378" t="s">
        <v>69</v>
      </c>
      <c r="BD378" t="s">
        <v>69</v>
      </c>
      <c r="BE378" t="s">
        <v>69</v>
      </c>
      <c r="BF378" t="s">
        <v>69</v>
      </c>
      <c r="BG378">
        <v>110</v>
      </c>
      <c r="BH378">
        <v>124</v>
      </c>
      <c r="BI378" t="s">
        <v>69</v>
      </c>
      <c r="BJ378" t="s">
        <v>2643</v>
      </c>
      <c r="BK378" t="str">
        <f>HYPERLINK("http://dx.doi.org/10.4103/ija.IJA_659_16","http://dx.doi.org/10.4103/ija.IJA_659_16")</f>
        <v>http://dx.doi.org/10.4103/ija.IJA_659_16</v>
      </c>
      <c r="BL378" t="s">
        <v>69</v>
      </c>
      <c r="BM378" t="s">
        <v>69</v>
      </c>
      <c r="BN378">
        <v>15</v>
      </c>
      <c r="BO378" t="s">
        <v>20540</v>
      </c>
      <c r="BP378" t="s">
        <v>8573</v>
      </c>
      <c r="BQ378" t="s">
        <v>20540</v>
      </c>
      <c r="BR378" t="s">
        <v>20541</v>
      </c>
      <c r="BS378" t="s">
        <v>2644</v>
      </c>
      <c r="BT378">
        <v>28250479</v>
      </c>
      <c r="BU378" t="s">
        <v>9352</v>
      </c>
      <c r="BV378" t="s">
        <v>69</v>
      </c>
      <c r="BW378" t="s">
        <v>69</v>
      </c>
      <c r="BX378" t="s">
        <v>8526</v>
      </c>
      <c r="BY378" t="str">
        <f>HYPERLINK("https%3A%2F%2Fwww.webofscience.com%2Fwos%2Fwoscc%2Ffull-record%2FWOS:000395857500003","View Full Record in Web of Science")</f>
        <v>View Full Record in Web of Science</v>
      </c>
    </row>
    <row r="379" spans="1:77" ht="12.5" x14ac:dyDescent="0.25">
      <c r="A379" t="s">
        <v>8495</v>
      </c>
      <c r="B379" s="7" t="s">
        <v>32933</v>
      </c>
      <c r="C379" s="7"/>
      <c r="D379" s="7"/>
      <c r="E379" s="7"/>
      <c r="F379" t="s">
        <v>67</v>
      </c>
      <c r="G379" t="s">
        <v>3589</v>
      </c>
      <c r="H379" t="s">
        <v>69</v>
      </c>
      <c r="I379" t="s">
        <v>69</v>
      </c>
      <c r="J379" t="s">
        <v>69</v>
      </c>
      <c r="K379" t="s">
        <v>3590</v>
      </c>
      <c r="L379" t="s">
        <v>69</v>
      </c>
      <c r="M379" t="s">
        <v>69</v>
      </c>
      <c r="N379" t="s">
        <v>3591</v>
      </c>
      <c r="O379" t="s">
        <v>3592</v>
      </c>
      <c r="P379" t="s">
        <v>69</v>
      </c>
      <c r="Q379" t="s">
        <v>69</v>
      </c>
      <c r="R379" t="s">
        <v>8505</v>
      </c>
      <c r="S379" t="s">
        <v>8506</v>
      </c>
      <c r="T379" t="s">
        <v>69</v>
      </c>
      <c r="U379" t="s">
        <v>69</v>
      </c>
      <c r="V379" t="s">
        <v>69</v>
      </c>
      <c r="W379" t="s">
        <v>69</v>
      </c>
      <c r="X379" t="s">
        <v>69</v>
      </c>
      <c r="Y379" t="s">
        <v>28316</v>
      </c>
      <c r="Z379" t="s">
        <v>28317</v>
      </c>
      <c r="AA379" t="s">
        <v>3593</v>
      </c>
      <c r="AB379" t="s">
        <v>28318</v>
      </c>
      <c r="AC379" t="s">
        <v>69</v>
      </c>
      <c r="AD379" t="s">
        <v>28319</v>
      </c>
      <c r="AE379" t="s">
        <v>28320</v>
      </c>
      <c r="AF379" t="s">
        <v>69</v>
      </c>
      <c r="AG379" t="s">
        <v>28321</v>
      </c>
      <c r="AH379" t="s">
        <v>28322</v>
      </c>
      <c r="AI379" t="s">
        <v>28322</v>
      </c>
      <c r="AJ379" t="s">
        <v>28323</v>
      </c>
      <c r="AK379" t="s">
        <v>69</v>
      </c>
      <c r="AL379">
        <v>71</v>
      </c>
      <c r="AM379">
        <v>6</v>
      </c>
      <c r="AN379">
        <v>6</v>
      </c>
      <c r="AO379">
        <v>0</v>
      </c>
      <c r="AP379">
        <v>11</v>
      </c>
      <c r="AQ379" t="s">
        <v>8516</v>
      </c>
      <c r="AR379" t="s">
        <v>8517</v>
      </c>
      <c r="AS379" t="s">
        <v>8518</v>
      </c>
      <c r="AT379" t="s">
        <v>3594</v>
      </c>
      <c r="AU379" t="s">
        <v>3595</v>
      </c>
      <c r="AV379" t="s">
        <v>69</v>
      </c>
      <c r="AW379" t="s">
        <v>8519</v>
      </c>
      <c r="AX379" t="s">
        <v>8520</v>
      </c>
      <c r="AY379" t="s">
        <v>504</v>
      </c>
      <c r="AZ379">
        <v>2009</v>
      </c>
      <c r="BA379">
        <v>93</v>
      </c>
      <c r="BB379" t="s">
        <v>145</v>
      </c>
      <c r="BC379" t="s">
        <v>69</v>
      </c>
      <c r="BD379" t="s">
        <v>69</v>
      </c>
      <c r="BE379" t="s">
        <v>69</v>
      </c>
      <c r="BF379" t="s">
        <v>69</v>
      </c>
      <c r="BG379">
        <v>218</v>
      </c>
      <c r="BH379">
        <v>228</v>
      </c>
      <c r="BI379" t="s">
        <v>69</v>
      </c>
      <c r="BJ379" t="s">
        <v>3596</v>
      </c>
      <c r="BK379" t="str">
        <f>HYPERLINK("http://dx.doi.org/10.1016/j.landurbplan.2009.07.009","http://dx.doi.org/10.1016/j.landurbplan.2009.07.009")</f>
        <v>http://dx.doi.org/10.1016/j.landurbplan.2009.07.009</v>
      </c>
      <c r="BL379" t="s">
        <v>69</v>
      </c>
      <c r="BM379" t="s">
        <v>69</v>
      </c>
      <c r="BN379">
        <v>11</v>
      </c>
      <c r="BO379" t="s">
        <v>8522</v>
      </c>
      <c r="BP379" t="s">
        <v>8523</v>
      </c>
      <c r="BQ379" t="s">
        <v>8524</v>
      </c>
      <c r="BR379" t="s">
        <v>28324</v>
      </c>
      <c r="BS379" t="s">
        <v>3597</v>
      </c>
      <c r="BT379" t="s">
        <v>69</v>
      </c>
      <c r="BU379" t="s">
        <v>69</v>
      </c>
      <c r="BV379" t="s">
        <v>69</v>
      </c>
      <c r="BW379" t="s">
        <v>69</v>
      </c>
      <c r="BX379" t="s">
        <v>8526</v>
      </c>
      <c r="BY379" t="str">
        <f>HYPERLINK("https%3A%2F%2Fwww.webofscience.com%2Fwos%2Fwoscc%2Ffull-record%2FWOS:000272370600008","View Full Record in Web of Science")</f>
        <v>View Full Record in Web of Science</v>
      </c>
    </row>
    <row r="380" spans="1:77" ht="12.5" x14ac:dyDescent="0.25">
      <c r="A380" t="s">
        <v>8495</v>
      </c>
      <c r="B380" s="7" t="s">
        <v>32933</v>
      </c>
      <c r="C380" s="7"/>
      <c r="D380" s="7"/>
      <c r="E380" s="7"/>
      <c r="F380" t="s">
        <v>67</v>
      </c>
      <c r="G380" t="s">
        <v>5007</v>
      </c>
      <c r="H380" t="s">
        <v>69</v>
      </c>
      <c r="I380" t="s">
        <v>69</v>
      </c>
      <c r="J380" t="s">
        <v>69</v>
      </c>
      <c r="K380" t="s">
        <v>5008</v>
      </c>
      <c r="L380" t="s">
        <v>69</v>
      </c>
      <c r="M380" t="s">
        <v>69</v>
      </c>
      <c r="N380" t="s">
        <v>5009</v>
      </c>
      <c r="O380" t="s">
        <v>582</v>
      </c>
      <c r="P380" t="s">
        <v>69</v>
      </c>
      <c r="Q380" t="s">
        <v>69</v>
      </c>
      <c r="R380" t="s">
        <v>8505</v>
      </c>
      <c r="S380" t="s">
        <v>8506</v>
      </c>
      <c r="T380" t="s">
        <v>69</v>
      </c>
      <c r="U380" t="s">
        <v>69</v>
      </c>
      <c r="V380" t="s">
        <v>69</v>
      </c>
      <c r="W380" t="s">
        <v>69</v>
      </c>
      <c r="X380" t="s">
        <v>69</v>
      </c>
      <c r="Y380" t="s">
        <v>21815</v>
      </c>
      <c r="Z380" t="s">
        <v>21816</v>
      </c>
      <c r="AA380" t="s">
        <v>5010</v>
      </c>
      <c r="AB380" t="s">
        <v>21817</v>
      </c>
      <c r="AC380" t="s">
        <v>69</v>
      </c>
      <c r="AD380" t="s">
        <v>21818</v>
      </c>
      <c r="AE380" t="s">
        <v>21819</v>
      </c>
      <c r="AF380" t="s">
        <v>21820</v>
      </c>
      <c r="AG380" t="s">
        <v>21821</v>
      </c>
      <c r="AH380" t="s">
        <v>21822</v>
      </c>
      <c r="AI380" t="s">
        <v>21822</v>
      </c>
      <c r="AJ380" t="s">
        <v>21823</v>
      </c>
      <c r="AK380" t="s">
        <v>69</v>
      </c>
      <c r="AL380">
        <v>79</v>
      </c>
      <c r="AM380">
        <v>22</v>
      </c>
      <c r="AN380">
        <v>23</v>
      </c>
      <c r="AO380">
        <v>0</v>
      </c>
      <c r="AP380">
        <v>18</v>
      </c>
      <c r="AQ380" t="s">
        <v>8692</v>
      </c>
      <c r="AR380" t="s">
        <v>8693</v>
      </c>
      <c r="AS380" t="s">
        <v>8694</v>
      </c>
      <c r="AT380" t="s">
        <v>584</v>
      </c>
      <c r="AU380" t="s">
        <v>585</v>
      </c>
      <c r="AV380" t="s">
        <v>69</v>
      </c>
      <c r="AW380" t="s">
        <v>8695</v>
      </c>
      <c r="AX380" t="s">
        <v>8696</v>
      </c>
      <c r="AY380" t="s">
        <v>191</v>
      </c>
      <c r="AZ380">
        <v>2016</v>
      </c>
      <c r="BA380">
        <v>57</v>
      </c>
      <c r="BB380" t="s">
        <v>69</v>
      </c>
      <c r="BC380" t="s">
        <v>69</v>
      </c>
      <c r="BD380" t="s">
        <v>69</v>
      </c>
      <c r="BE380" t="s">
        <v>69</v>
      </c>
      <c r="BF380" t="s">
        <v>69</v>
      </c>
      <c r="BG380">
        <v>78</v>
      </c>
      <c r="BH380">
        <v>88</v>
      </c>
      <c r="BI380" t="s">
        <v>69</v>
      </c>
      <c r="BJ380" t="s">
        <v>5011</v>
      </c>
      <c r="BK380" t="str">
        <f>HYPERLINK("http://dx.doi.org/10.1016/j.eiar.2015.11.010","http://dx.doi.org/10.1016/j.eiar.2015.11.010")</f>
        <v>http://dx.doi.org/10.1016/j.eiar.2015.11.010</v>
      </c>
      <c r="BL380" t="s">
        <v>69</v>
      </c>
      <c r="BM380" t="s">
        <v>69</v>
      </c>
      <c r="BN380">
        <v>11</v>
      </c>
      <c r="BO380" t="s">
        <v>8660</v>
      </c>
      <c r="BP380" t="s">
        <v>8661</v>
      </c>
      <c r="BQ380" t="s">
        <v>8662</v>
      </c>
      <c r="BR380" t="s">
        <v>21824</v>
      </c>
      <c r="BS380" t="s">
        <v>5012</v>
      </c>
      <c r="BT380" t="s">
        <v>69</v>
      </c>
      <c r="BU380" t="s">
        <v>69</v>
      </c>
      <c r="BV380" t="s">
        <v>69</v>
      </c>
      <c r="BW380" t="s">
        <v>69</v>
      </c>
      <c r="BX380" t="s">
        <v>8526</v>
      </c>
      <c r="BY380" t="str">
        <f>HYPERLINK("https%3A%2F%2Fwww.webofscience.com%2Fwos%2Fwoscc%2Ffull-record%2FWOS:000372675400009","View Full Record in Web of Science")</f>
        <v>View Full Record in Web of Science</v>
      </c>
    </row>
    <row r="381" spans="1:77" ht="12.5" x14ac:dyDescent="0.25">
      <c r="A381" t="s">
        <v>8495</v>
      </c>
      <c r="B381" s="7" t="s">
        <v>32933</v>
      </c>
      <c r="C381" s="7"/>
      <c r="D381" s="7"/>
      <c r="E381" s="7"/>
      <c r="F381" t="s">
        <v>67</v>
      </c>
      <c r="G381" t="s">
        <v>222</v>
      </c>
      <c r="H381" t="s">
        <v>69</v>
      </c>
      <c r="I381" t="s">
        <v>69</v>
      </c>
      <c r="J381" t="s">
        <v>69</v>
      </c>
      <c r="K381" t="s">
        <v>222</v>
      </c>
      <c r="L381" t="s">
        <v>69</v>
      </c>
      <c r="M381" t="s">
        <v>69</v>
      </c>
      <c r="N381" t="s">
        <v>223</v>
      </c>
      <c r="O381" t="s">
        <v>100</v>
      </c>
      <c r="P381" t="s">
        <v>69</v>
      </c>
      <c r="Q381" t="s">
        <v>69</v>
      </c>
      <c r="R381" t="s">
        <v>8505</v>
      </c>
      <c r="S381" t="s">
        <v>15797</v>
      </c>
      <c r="T381" t="s">
        <v>224</v>
      </c>
      <c r="U381" t="s">
        <v>225</v>
      </c>
      <c r="V381" t="s">
        <v>226</v>
      </c>
      <c r="W381" t="s">
        <v>32619</v>
      </c>
      <c r="X381" t="s">
        <v>69</v>
      </c>
      <c r="Y381" t="s">
        <v>32620</v>
      </c>
      <c r="Z381" t="s">
        <v>69</v>
      </c>
      <c r="AA381" t="s">
        <v>227</v>
      </c>
      <c r="AB381" t="s">
        <v>32621</v>
      </c>
      <c r="AC381" t="s">
        <v>69</v>
      </c>
      <c r="AD381" t="s">
        <v>32622</v>
      </c>
      <c r="AE381" t="s">
        <v>69</v>
      </c>
      <c r="AF381" t="s">
        <v>69</v>
      </c>
      <c r="AG381" t="s">
        <v>69</v>
      </c>
      <c r="AH381" t="s">
        <v>69</v>
      </c>
      <c r="AI381" t="s">
        <v>69</v>
      </c>
      <c r="AJ381" t="s">
        <v>69</v>
      </c>
      <c r="AK381" t="s">
        <v>69</v>
      </c>
      <c r="AL381">
        <v>0</v>
      </c>
      <c r="AM381">
        <v>3</v>
      </c>
      <c r="AN381">
        <v>4</v>
      </c>
      <c r="AO381">
        <v>0</v>
      </c>
      <c r="AP381">
        <v>9</v>
      </c>
      <c r="AQ381" t="s">
        <v>9145</v>
      </c>
      <c r="AR381" t="s">
        <v>8637</v>
      </c>
      <c r="AS381" t="s">
        <v>32470</v>
      </c>
      <c r="AT381" t="s">
        <v>102</v>
      </c>
      <c r="AU381" t="s">
        <v>69</v>
      </c>
      <c r="AV381" t="s">
        <v>69</v>
      </c>
      <c r="AW381" t="s">
        <v>15469</v>
      </c>
      <c r="AX381" t="s">
        <v>15470</v>
      </c>
      <c r="AY381" t="s">
        <v>69</v>
      </c>
      <c r="AZ381">
        <v>1995</v>
      </c>
      <c r="BA381">
        <v>31</v>
      </c>
      <c r="BB381" t="s">
        <v>145</v>
      </c>
      <c r="BC381" t="s">
        <v>69</v>
      </c>
      <c r="BD381" t="s">
        <v>69</v>
      </c>
      <c r="BE381" t="s">
        <v>69</v>
      </c>
      <c r="BF381" t="s">
        <v>69</v>
      </c>
      <c r="BG381">
        <v>93</v>
      </c>
      <c r="BH381">
        <v>101</v>
      </c>
      <c r="BI381" t="s">
        <v>69</v>
      </c>
      <c r="BJ381" t="s">
        <v>228</v>
      </c>
      <c r="BK381" t="str">
        <f>HYPERLINK("http://dx.doi.org/10.1016/0273-1223(95)00208-5","http://dx.doi.org/10.1016/0273-1223(95)00208-5")</f>
        <v>http://dx.doi.org/10.1016/0273-1223(95)00208-5</v>
      </c>
      <c r="BL381" t="s">
        <v>69</v>
      </c>
      <c r="BM381" t="s">
        <v>69</v>
      </c>
      <c r="BN381">
        <v>9</v>
      </c>
      <c r="BO381" t="s">
        <v>10687</v>
      </c>
      <c r="BP381" t="s">
        <v>29550</v>
      </c>
      <c r="BQ381" t="s">
        <v>10688</v>
      </c>
      <c r="BR381" t="s">
        <v>32623</v>
      </c>
      <c r="BS381" t="s">
        <v>229</v>
      </c>
      <c r="BT381" t="s">
        <v>69</v>
      </c>
      <c r="BU381" t="s">
        <v>69</v>
      </c>
      <c r="BV381" t="s">
        <v>69</v>
      </c>
      <c r="BW381" t="s">
        <v>69</v>
      </c>
      <c r="BX381" t="s">
        <v>8526</v>
      </c>
      <c r="BY381" t="str">
        <f>HYPERLINK("https%3A%2F%2Fwww.webofscience.com%2Fwos%2Fwoscc%2Ffull-record%2FWOS:A1995RF87200009","View Full Record in Web of Science")</f>
        <v>View Full Record in Web of Science</v>
      </c>
    </row>
    <row r="382" spans="1:77" ht="12.5" x14ac:dyDescent="0.25">
      <c r="A382" t="s">
        <v>8495</v>
      </c>
      <c r="B382" s="22" t="s">
        <v>32931</v>
      </c>
      <c r="C382" s="7"/>
      <c r="D382" s="7"/>
      <c r="E382" s="7"/>
      <c r="F382" t="s">
        <v>67</v>
      </c>
      <c r="G382" t="s">
        <v>20013</v>
      </c>
      <c r="H382" t="s">
        <v>69</v>
      </c>
      <c r="I382" t="s">
        <v>69</v>
      </c>
      <c r="J382" t="s">
        <v>69</v>
      </c>
      <c r="K382" t="s">
        <v>20014</v>
      </c>
      <c r="L382" t="s">
        <v>69</v>
      </c>
      <c r="M382" t="s">
        <v>69</v>
      </c>
      <c r="N382" t="s">
        <v>20015</v>
      </c>
      <c r="O382" t="s">
        <v>20016</v>
      </c>
      <c r="P382" t="s">
        <v>69</v>
      </c>
      <c r="Q382" t="s">
        <v>69</v>
      </c>
      <c r="R382" t="s">
        <v>14800</v>
      </c>
      <c r="S382" t="s">
        <v>8506</v>
      </c>
      <c r="T382" t="s">
        <v>69</v>
      </c>
      <c r="U382" t="s">
        <v>69</v>
      </c>
      <c r="V382" t="s">
        <v>69</v>
      </c>
      <c r="W382" t="s">
        <v>69</v>
      </c>
      <c r="X382" t="s">
        <v>69</v>
      </c>
      <c r="Y382" t="s">
        <v>69</v>
      </c>
      <c r="Z382" t="s">
        <v>20017</v>
      </c>
      <c r="AA382" t="s">
        <v>20018</v>
      </c>
      <c r="AB382" t="s">
        <v>20019</v>
      </c>
      <c r="AC382" t="s">
        <v>69</v>
      </c>
      <c r="AD382" t="s">
        <v>20020</v>
      </c>
      <c r="AE382" t="s">
        <v>69</v>
      </c>
      <c r="AF382" t="s">
        <v>69</v>
      </c>
      <c r="AG382" t="s">
        <v>69</v>
      </c>
      <c r="AH382" t="s">
        <v>69</v>
      </c>
      <c r="AI382" t="s">
        <v>69</v>
      </c>
      <c r="AJ382" t="s">
        <v>69</v>
      </c>
      <c r="AK382" t="s">
        <v>69</v>
      </c>
      <c r="AL382">
        <v>45</v>
      </c>
      <c r="AM382">
        <v>0</v>
      </c>
      <c r="AN382">
        <v>0</v>
      </c>
      <c r="AO382">
        <v>1</v>
      </c>
      <c r="AP382">
        <v>11</v>
      </c>
      <c r="AQ382" t="s">
        <v>20021</v>
      </c>
      <c r="AR382" t="s">
        <v>20022</v>
      </c>
      <c r="AS382" t="s">
        <v>20023</v>
      </c>
      <c r="AT382" t="s">
        <v>20024</v>
      </c>
      <c r="AU382" t="s">
        <v>69</v>
      </c>
      <c r="AV382" t="s">
        <v>69</v>
      </c>
      <c r="AW382" t="s">
        <v>20025</v>
      </c>
      <c r="AX382" t="s">
        <v>20026</v>
      </c>
      <c r="AY382" t="s">
        <v>1053</v>
      </c>
      <c r="AZ382">
        <v>2017</v>
      </c>
      <c r="BA382">
        <v>201</v>
      </c>
      <c r="BB382" t="s">
        <v>20027</v>
      </c>
      <c r="BC382" t="s">
        <v>69</v>
      </c>
      <c r="BD382" t="s">
        <v>69</v>
      </c>
      <c r="BE382" t="s">
        <v>69</v>
      </c>
      <c r="BF382" t="s">
        <v>69</v>
      </c>
      <c r="BG382">
        <v>1175</v>
      </c>
      <c r="BH382">
        <v>1188</v>
      </c>
      <c r="BI382" t="s">
        <v>69</v>
      </c>
      <c r="BJ382" t="s">
        <v>20028</v>
      </c>
      <c r="BK382" t="str">
        <f>HYPERLINK("http://dx.doi.org/10.1016/S0001-4079(19)30389-9","http://dx.doi.org/10.1016/S0001-4079(19)30389-9")</f>
        <v>http://dx.doi.org/10.1016/S0001-4079(19)30389-9</v>
      </c>
      <c r="BL382" t="s">
        <v>69</v>
      </c>
      <c r="BM382" t="s">
        <v>69</v>
      </c>
      <c r="BN382">
        <v>14</v>
      </c>
      <c r="BO382" t="s">
        <v>9450</v>
      </c>
      <c r="BP382" t="s">
        <v>8523</v>
      </c>
      <c r="BQ382" t="s">
        <v>9451</v>
      </c>
      <c r="BR382" t="s">
        <v>20029</v>
      </c>
      <c r="BS382" t="s">
        <v>20030</v>
      </c>
      <c r="BT382" t="s">
        <v>69</v>
      </c>
      <c r="BU382" t="s">
        <v>69</v>
      </c>
      <c r="BV382" t="s">
        <v>69</v>
      </c>
      <c r="BW382" t="s">
        <v>69</v>
      </c>
      <c r="BX382" t="s">
        <v>8526</v>
      </c>
      <c r="BY382" t="str">
        <f>HYPERLINK("https%3A%2F%2Fwww.webofscience.com%2Fwos%2Fwoscc%2Ffull-record%2FWOS:000435229100024","View Full Record in Web of Science")</f>
        <v>View Full Record in Web of Science</v>
      </c>
    </row>
    <row r="383" spans="1:77" ht="12.5" x14ac:dyDescent="0.25">
      <c r="A383" t="s">
        <v>8495</v>
      </c>
      <c r="B383" s="7" t="s">
        <v>32933</v>
      </c>
      <c r="C383" s="7"/>
      <c r="D383" s="7"/>
      <c r="E383" s="7"/>
      <c r="F383" t="s">
        <v>67</v>
      </c>
      <c r="G383" t="s">
        <v>3528</v>
      </c>
      <c r="H383" t="s">
        <v>69</v>
      </c>
      <c r="I383" t="s">
        <v>69</v>
      </c>
      <c r="J383" t="s">
        <v>69</v>
      </c>
      <c r="K383" t="s">
        <v>3529</v>
      </c>
      <c r="L383" t="s">
        <v>69</v>
      </c>
      <c r="M383" t="s">
        <v>69</v>
      </c>
      <c r="N383" t="s">
        <v>3530</v>
      </c>
      <c r="O383" t="s">
        <v>3531</v>
      </c>
      <c r="P383" t="s">
        <v>69</v>
      </c>
      <c r="Q383" t="s">
        <v>69</v>
      </c>
      <c r="R383" t="s">
        <v>8505</v>
      </c>
      <c r="S383" t="s">
        <v>8506</v>
      </c>
      <c r="T383" t="s">
        <v>69</v>
      </c>
      <c r="U383" t="s">
        <v>69</v>
      </c>
      <c r="V383" t="s">
        <v>69</v>
      </c>
      <c r="W383" t="s">
        <v>69</v>
      </c>
      <c r="X383" t="s">
        <v>69</v>
      </c>
      <c r="Y383" t="s">
        <v>69</v>
      </c>
      <c r="Z383" t="s">
        <v>69</v>
      </c>
      <c r="AA383" t="s">
        <v>3532</v>
      </c>
      <c r="AB383" t="s">
        <v>27722</v>
      </c>
      <c r="AC383" t="s">
        <v>69</v>
      </c>
      <c r="AD383" t="s">
        <v>27723</v>
      </c>
      <c r="AE383" t="s">
        <v>27724</v>
      </c>
      <c r="AF383" t="s">
        <v>69</v>
      </c>
      <c r="AG383" t="s">
        <v>69</v>
      </c>
      <c r="AH383" t="s">
        <v>69</v>
      </c>
      <c r="AI383" t="s">
        <v>69</v>
      </c>
      <c r="AJ383" t="s">
        <v>69</v>
      </c>
      <c r="AK383" t="s">
        <v>69</v>
      </c>
      <c r="AL383">
        <v>82</v>
      </c>
      <c r="AM383">
        <v>55</v>
      </c>
      <c r="AN383">
        <v>56</v>
      </c>
      <c r="AO383">
        <v>0</v>
      </c>
      <c r="AP383">
        <v>15</v>
      </c>
      <c r="AQ383" t="s">
        <v>10352</v>
      </c>
      <c r="AR383" t="s">
        <v>8637</v>
      </c>
      <c r="AS383" t="s">
        <v>10353</v>
      </c>
      <c r="AT383" t="s">
        <v>3533</v>
      </c>
      <c r="AU383" t="s">
        <v>3534</v>
      </c>
      <c r="AV383" t="s">
        <v>69</v>
      </c>
      <c r="AW383" t="s">
        <v>27725</v>
      </c>
      <c r="AX383" t="s">
        <v>27726</v>
      </c>
      <c r="AY383" t="s">
        <v>84</v>
      </c>
      <c r="AZ383">
        <v>2010</v>
      </c>
      <c r="BA383">
        <v>8</v>
      </c>
      <c r="BB383">
        <v>3</v>
      </c>
      <c r="BC383" t="s">
        <v>69</v>
      </c>
      <c r="BD383" t="s">
        <v>69</v>
      </c>
      <c r="BE383" t="s">
        <v>69</v>
      </c>
      <c r="BF383" t="s">
        <v>69</v>
      </c>
      <c r="BG383">
        <v>563</v>
      </c>
      <c r="BH383">
        <v>579</v>
      </c>
      <c r="BI383" t="s">
        <v>69</v>
      </c>
      <c r="BJ383" t="s">
        <v>3535</v>
      </c>
      <c r="BK383" t="str">
        <f>HYPERLINK("http://dx.doi.org/10.1093/icon/moq023","http://dx.doi.org/10.1093/icon/moq023")</f>
        <v>http://dx.doi.org/10.1093/icon/moq023</v>
      </c>
      <c r="BL383" t="s">
        <v>69</v>
      </c>
      <c r="BM383" t="s">
        <v>69</v>
      </c>
      <c r="BN383">
        <v>17</v>
      </c>
      <c r="BO383" t="s">
        <v>8452</v>
      </c>
      <c r="BP383" t="s">
        <v>8661</v>
      </c>
      <c r="BQ383" t="s">
        <v>10084</v>
      </c>
      <c r="BR383" t="s">
        <v>27727</v>
      </c>
      <c r="BS383" t="s">
        <v>3536</v>
      </c>
      <c r="BT383" t="s">
        <v>69</v>
      </c>
      <c r="BU383" t="s">
        <v>69</v>
      </c>
      <c r="BV383" t="s">
        <v>69</v>
      </c>
      <c r="BW383" t="s">
        <v>69</v>
      </c>
      <c r="BX383" t="s">
        <v>8526</v>
      </c>
      <c r="BY383" t="str">
        <f>HYPERLINK("https%3A%2F%2Fwww.webofscience.com%2Fwos%2Fwoscc%2Ffull-record%2FWOS:000289732400017","View Full Record in Web of Science")</f>
        <v>View Full Record in Web of Science</v>
      </c>
    </row>
    <row r="384" spans="1:77" ht="12.5" x14ac:dyDescent="0.25">
      <c r="A384" t="s">
        <v>8495</v>
      </c>
      <c r="B384" s="7" t="s">
        <v>32933</v>
      </c>
      <c r="C384" s="7"/>
      <c r="D384" s="7"/>
      <c r="E384" s="7"/>
      <c r="F384" t="s">
        <v>67</v>
      </c>
      <c r="G384" t="s">
        <v>2883</v>
      </c>
      <c r="H384" t="s">
        <v>69</v>
      </c>
      <c r="I384" t="s">
        <v>69</v>
      </c>
      <c r="J384" t="s">
        <v>69</v>
      </c>
      <c r="K384" t="s">
        <v>2884</v>
      </c>
      <c r="L384" t="s">
        <v>69</v>
      </c>
      <c r="M384" t="s">
        <v>69</v>
      </c>
      <c r="N384" t="s">
        <v>2885</v>
      </c>
      <c r="O384" t="s">
        <v>2886</v>
      </c>
      <c r="P384" t="s">
        <v>69</v>
      </c>
      <c r="Q384" t="s">
        <v>69</v>
      </c>
      <c r="R384" t="s">
        <v>8505</v>
      </c>
      <c r="S384" t="s">
        <v>8506</v>
      </c>
      <c r="T384" t="s">
        <v>69</v>
      </c>
      <c r="U384" t="s">
        <v>69</v>
      </c>
      <c r="V384" t="s">
        <v>69</v>
      </c>
      <c r="W384" t="s">
        <v>69</v>
      </c>
      <c r="X384" t="s">
        <v>69</v>
      </c>
      <c r="Y384" t="s">
        <v>21779</v>
      </c>
      <c r="Z384" t="s">
        <v>69</v>
      </c>
      <c r="AA384" t="s">
        <v>2887</v>
      </c>
      <c r="AB384" t="s">
        <v>21780</v>
      </c>
      <c r="AC384" t="s">
        <v>69</v>
      </c>
      <c r="AD384" t="s">
        <v>21781</v>
      </c>
      <c r="AE384" t="s">
        <v>21782</v>
      </c>
      <c r="AF384" t="s">
        <v>2888</v>
      </c>
      <c r="AG384" t="s">
        <v>2889</v>
      </c>
      <c r="AH384" t="s">
        <v>69</v>
      </c>
      <c r="AI384" t="s">
        <v>69</v>
      </c>
      <c r="AJ384" t="s">
        <v>69</v>
      </c>
      <c r="AK384" t="s">
        <v>69</v>
      </c>
      <c r="AL384">
        <v>35</v>
      </c>
      <c r="AM384">
        <v>52</v>
      </c>
      <c r="AN384">
        <v>54</v>
      </c>
      <c r="AO384">
        <v>4</v>
      </c>
      <c r="AP384">
        <v>15</v>
      </c>
      <c r="AQ384" t="s">
        <v>17140</v>
      </c>
      <c r="AR384" t="s">
        <v>8517</v>
      </c>
      <c r="AS384" t="s">
        <v>17141</v>
      </c>
      <c r="AT384" t="s">
        <v>2890</v>
      </c>
      <c r="AU384" t="s">
        <v>2891</v>
      </c>
      <c r="AV384" t="s">
        <v>69</v>
      </c>
      <c r="AW384" t="s">
        <v>13008</v>
      </c>
      <c r="AX384" t="s">
        <v>13009</v>
      </c>
      <c r="AY384" t="s">
        <v>94</v>
      </c>
      <c r="AZ384">
        <v>2016</v>
      </c>
      <c r="BA384">
        <v>83</v>
      </c>
      <c r="BB384" t="s">
        <v>69</v>
      </c>
      <c r="BC384" t="s">
        <v>69</v>
      </c>
      <c r="BD384" t="s">
        <v>69</v>
      </c>
      <c r="BE384" t="s">
        <v>69</v>
      </c>
      <c r="BF384" t="s">
        <v>69</v>
      </c>
      <c r="BG384">
        <v>1</v>
      </c>
      <c r="BH384">
        <v>11</v>
      </c>
      <c r="BI384" t="s">
        <v>69</v>
      </c>
      <c r="BJ384" t="s">
        <v>2892</v>
      </c>
      <c r="BK384" t="str">
        <f>HYPERLINK("http://dx.doi.org/10.1016/j.ssci.2015.10.016","http://dx.doi.org/10.1016/j.ssci.2015.10.016")</f>
        <v>http://dx.doi.org/10.1016/j.ssci.2015.10.016</v>
      </c>
      <c r="BL384" t="s">
        <v>69</v>
      </c>
      <c r="BM384" t="s">
        <v>69</v>
      </c>
      <c r="BN384">
        <v>11</v>
      </c>
      <c r="BO384" t="s">
        <v>13010</v>
      </c>
      <c r="BP384" t="s">
        <v>8548</v>
      </c>
      <c r="BQ384" t="s">
        <v>13011</v>
      </c>
      <c r="BR384" t="s">
        <v>21783</v>
      </c>
      <c r="BS384" t="s">
        <v>2893</v>
      </c>
      <c r="BT384" t="s">
        <v>69</v>
      </c>
      <c r="BU384" t="s">
        <v>69</v>
      </c>
      <c r="BV384" t="s">
        <v>69</v>
      </c>
      <c r="BW384" t="s">
        <v>69</v>
      </c>
      <c r="BX384" t="s">
        <v>8526</v>
      </c>
      <c r="BY384" t="str">
        <f>HYPERLINK("https%3A%2F%2Fwww.webofscience.com%2Fwos%2Fwoscc%2Ffull-record%2FWOS:000369211100001","View Full Record in Web of Science")</f>
        <v>View Full Record in Web of Science</v>
      </c>
    </row>
    <row r="385" spans="1:77" x14ac:dyDescent="0.3">
      <c r="A385" t="s">
        <v>8495</v>
      </c>
      <c r="B385" s="10" t="s">
        <v>32967</v>
      </c>
      <c r="E385" s="9" t="s">
        <v>33054</v>
      </c>
      <c r="F385" t="s">
        <v>67</v>
      </c>
      <c r="G385" t="s">
        <v>16512</v>
      </c>
      <c r="H385" t="s">
        <v>69</v>
      </c>
      <c r="I385" t="s">
        <v>69</v>
      </c>
      <c r="J385" t="s">
        <v>69</v>
      </c>
      <c r="K385" t="s">
        <v>16513</v>
      </c>
      <c r="L385" t="s">
        <v>69</v>
      </c>
      <c r="M385" t="s">
        <v>69</v>
      </c>
      <c r="N385" t="s">
        <v>16514</v>
      </c>
      <c r="O385" t="s">
        <v>16515</v>
      </c>
      <c r="P385" t="s">
        <v>69</v>
      </c>
      <c r="Q385" t="s">
        <v>69</v>
      </c>
      <c r="R385" t="s">
        <v>8505</v>
      </c>
      <c r="S385" t="s">
        <v>8506</v>
      </c>
      <c r="T385" t="s">
        <v>69</v>
      </c>
      <c r="U385" t="s">
        <v>69</v>
      </c>
      <c r="V385" t="s">
        <v>69</v>
      </c>
      <c r="W385" t="s">
        <v>69</v>
      </c>
      <c r="X385" t="s">
        <v>69</v>
      </c>
      <c r="Y385" t="s">
        <v>69</v>
      </c>
      <c r="Z385" t="s">
        <v>16516</v>
      </c>
      <c r="AA385" t="s">
        <v>16517</v>
      </c>
      <c r="AB385" t="s">
        <v>16518</v>
      </c>
      <c r="AC385" t="s">
        <v>69</v>
      </c>
      <c r="AD385" t="s">
        <v>16519</v>
      </c>
      <c r="AE385" t="s">
        <v>16520</v>
      </c>
      <c r="AF385" t="s">
        <v>69</v>
      </c>
      <c r="AG385" t="s">
        <v>16521</v>
      </c>
      <c r="AH385" t="s">
        <v>16522</v>
      </c>
      <c r="AI385" t="s">
        <v>16523</v>
      </c>
      <c r="AJ385" t="s">
        <v>16524</v>
      </c>
      <c r="AK385" t="s">
        <v>69</v>
      </c>
      <c r="AL385">
        <v>77</v>
      </c>
      <c r="AM385">
        <v>13</v>
      </c>
      <c r="AN385">
        <v>13</v>
      </c>
      <c r="AO385">
        <v>1</v>
      </c>
      <c r="AP385">
        <v>10</v>
      </c>
      <c r="AQ385" t="s">
        <v>9047</v>
      </c>
      <c r="AR385" t="s">
        <v>9048</v>
      </c>
      <c r="AS385" t="s">
        <v>9049</v>
      </c>
      <c r="AT385" t="s">
        <v>16525</v>
      </c>
      <c r="AU385" t="s">
        <v>16526</v>
      </c>
      <c r="AV385" t="s">
        <v>69</v>
      </c>
      <c r="AW385" t="s">
        <v>16515</v>
      </c>
      <c r="AX385" t="s">
        <v>16527</v>
      </c>
      <c r="AY385" t="s">
        <v>274</v>
      </c>
      <c r="AZ385">
        <v>2019</v>
      </c>
      <c r="BA385">
        <v>157</v>
      </c>
      <c r="BB385">
        <v>1</v>
      </c>
      <c r="BC385" t="s">
        <v>69</v>
      </c>
      <c r="BD385" t="s">
        <v>69</v>
      </c>
      <c r="BE385" t="s">
        <v>114</v>
      </c>
      <c r="BF385" t="s">
        <v>69</v>
      </c>
      <c r="BG385">
        <v>9</v>
      </c>
      <c r="BH385">
        <v>26</v>
      </c>
      <c r="BI385" t="s">
        <v>69</v>
      </c>
      <c r="BJ385" t="s">
        <v>16528</v>
      </c>
      <c r="BK385" t="str">
        <f>HYPERLINK("http://dx.doi.org/10.1007/s10584-019-02385-x","http://dx.doi.org/10.1007/s10584-019-02385-x")</f>
        <v>http://dx.doi.org/10.1007/s10584-019-02385-x</v>
      </c>
      <c r="BL385" t="s">
        <v>69</v>
      </c>
      <c r="BM385" t="s">
        <v>69</v>
      </c>
      <c r="BN385">
        <v>18</v>
      </c>
      <c r="BO385" t="s">
        <v>11283</v>
      </c>
      <c r="BP385" t="s">
        <v>8523</v>
      </c>
      <c r="BQ385" t="s">
        <v>11284</v>
      </c>
      <c r="BR385" t="s">
        <v>16529</v>
      </c>
      <c r="BS385" t="s">
        <v>16530</v>
      </c>
      <c r="BT385" t="s">
        <v>69</v>
      </c>
      <c r="BU385" t="s">
        <v>69</v>
      </c>
      <c r="BV385" t="s">
        <v>69</v>
      </c>
      <c r="BW385" t="s">
        <v>69</v>
      </c>
      <c r="BX385" t="s">
        <v>8526</v>
      </c>
      <c r="BY385" t="str">
        <f>HYPERLINK("https%3A%2F%2Fwww.webofscience.com%2Fwos%2Fwoscc%2Ffull-record%2FWOS:000505168400002","View Full Record in Web of Science")</f>
        <v>View Full Record in Web of Science</v>
      </c>
    </row>
    <row r="386" spans="1:77" ht="12.5" x14ac:dyDescent="0.25">
      <c r="A386" t="s">
        <v>8495</v>
      </c>
      <c r="B386" s="22" t="s">
        <v>32931</v>
      </c>
      <c r="C386" s="7"/>
      <c r="D386" s="7"/>
      <c r="E386" s="7"/>
      <c r="F386" t="s">
        <v>67</v>
      </c>
      <c r="G386" t="s">
        <v>23218</v>
      </c>
      <c r="H386" t="s">
        <v>69</v>
      </c>
      <c r="I386" t="s">
        <v>69</v>
      </c>
      <c r="J386" t="s">
        <v>69</v>
      </c>
      <c r="K386" t="s">
        <v>23219</v>
      </c>
      <c r="L386" t="s">
        <v>69</v>
      </c>
      <c r="M386" t="s">
        <v>69</v>
      </c>
      <c r="N386" t="s">
        <v>23220</v>
      </c>
      <c r="O386" t="s">
        <v>23221</v>
      </c>
      <c r="P386" t="s">
        <v>69</v>
      </c>
      <c r="Q386" t="s">
        <v>69</v>
      </c>
      <c r="R386" t="s">
        <v>8505</v>
      </c>
      <c r="S386" t="s">
        <v>8506</v>
      </c>
      <c r="T386" t="s">
        <v>69</v>
      </c>
      <c r="U386" t="s">
        <v>69</v>
      </c>
      <c r="V386" t="s">
        <v>69</v>
      </c>
      <c r="W386" t="s">
        <v>69</v>
      </c>
      <c r="X386" t="s">
        <v>69</v>
      </c>
      <c r="Y386" t="s">
        <v>23222</v>
      </c>
      <c r="Z386" t="s">
        <v>23223</v>
      </c>
      <c r="AA386" t="s">
        <v>23224</v>
      </c>
      <c r="AB386" t="s">
        <v>23225</v>
      </c>
      <c r="AC386" t="s">
        <v>69</v>
      </c>
      <c r="AD386" t="s">
        <v>23226</v>
      </c>
      <c r="AE386" t="s">
        <v>23227</v>
      </c>
      <c r="AF386" t="s">
        <v>69</v>
      </c>
      <c r="AG386" t="s">
        <v>69</v>
      </c>
      <c r="AH386" t="s">
        <v>23228</v>
      </c>
      <c r="AI386" t="s">
        <v>23229</v>
      </c>
      <c r="AJ386" t="s">
        <v>69</v>
      </c>
      <c r="AK386" t="s">
        <v>69</v>
      </c>
      <c r="AL386">
        <v>59</v>
      </c>
      <c r="AM386">
        <v>10</v>
      </c>
      <c r="AN386">
        <v>11</v>
      </c>
      <c r="AO386">
        <v>0</v>
      </c>
      <c r="AP386">
        <v>1</v>
      </c>
      <c r="AQ386" t="s">
        <v>8865</v>
      </c>
      <c r="AR386" t="s">
        <v>8612</v>
      </c>
      <c r="AS386" t="s">
        <v>8866</v>
      </c>
      <c r="AT386" t="s">
        <v>23230</v>
      </c>
      <c r="AU386" t="s">
        <v>23231</v>
      </c>
      <c r="AV386" t="s">
        <v>69</v>
      </c>
      <c r="AW386" t="s">
        <v>23232</v>
      </c>
      <c r="AX386" t="s">
        <v>23233</v>
      </c>
      <c r="AY386" t="s">
        <v>69</v>
      </c>
      <c r="AZ386">
        <v>2015</v>
      </c>
      <c r="BA386">
        <v>47</v>
      </c>
      <c r="BB386">
        <v>3</v>
      </c>
      <c r="BC386" t="s">
        <v>69</v>
      </c>
      <c r="BD386" t="s">
        <v>69</v>
      </c>
      <c r="BE386" t="s">
        <v>114</v>
      </c>
      <c r="BF386" t="s">
        <v>69</v>
      </c>
      <c r="BG386">
        <v>232</v>
      </c>
      <c r="BH386">
        <v>250</v>
      </c>
      <c r="BI386" t="s">
        <v>69</v>
      </c>
      <c r="BJ386" t="s">
        <v>23234</v>
      </c>
      <c r="BK386" t="str">
        <f>HYPERLINK("http://dx.doi.org/10.1080/00220620.2015.1038696","http://dx.doi.org/10.1080/00220620.2015.1038696")</f>
        <v>http://dx.doi.org/10.1080/00220620.2015.1038696</v>
      </c>
      <c r="BL386" t="s">
        <v>69</v>
      </c>
      <c r="BM386" t="s">
        <v>69</v>
      </c>
      <c r="BN386">
        <v>19</v>
      </c>
      <c r="BO386" t="s">
        <v>9290</v>
      </c>
      <c r="BP386" t="s">
        <v>8573</v>
      </c>
      <c r="BQ386" t="s">
        <v>9290</v>
      </c>
      <c r="BR386" t="s">
        <v>23235</v>
      </c>
      <c r="BS386" t="s">
        <v>23236</v>
      </c>
      <c r="BT386" t="s">
        <v>69</v>
      </c>
      <c r="BU386" t="s">
        <v>69</v>
      </c>
      <c r="BV386" t="s">
        <v>69</v>
      </c>
      <c r="BW386" t="s">
        <v>69</v>
      </c>
      <c r="BX386" t="s">
        <v>8526</v>
      </c>
      <c r="BY386" t="str">
        <f>HYPERLINK("https%3A%2F%2Fwww.webofscience.com%2Fwos%2Fwoscc%2Ffull-record%2FWOS:000212003700003","View Full Record in Web of Science")</f>
        <v>View Full Record in Web of Science</v>
      </c>
    </row>
    <row r="387" spans="1:77" x14ac:dyDescent="0.3">
      <c r="A387" t="s">
        <v>8495</v>
      </c>
      <c r="B387" s="10" t="s">
        <v>32957</v>
      </c>
      <c r="F387" t="s">
        <v>67</v>
      </c>
      <c r="G387" t="s">
        <v>5589</v>
      </c>
      <c r="H387" t="s">
        <v>69</v>
      </c>
      <c r="I387" t="s">
        <v>69</v>
      </c>
      <c r="J387" t="s">
        <v>69</v>
      </c>
      <c r="K387" s="2" t="s">
        <v>5590</v>
      </c>
      <c r="L387" t="s">
        <v>69</v>
      </c>
      <c r="M387" t="s">
        <v>69</v>
      </c>
      <c r="N387" s="2" t="s">
        <v>5591</v>
      </c>
      <c r="O387" t="s">
        <v>5592</v>
      </c>
      <c r="P387" t="s">
        <v>69</v>
      </c>
      <c r="Q387" t="s">
        <v>69</v>
      </c>
      <c r="R387" t="s">
        <v>8505</v>
      </c>
      <c r="S387" t="s">
        <v>8506</v>
      </c>
      <c r="T387" t="s">
        <v>69</v>
      </c>
      <c r="U387" t="s">
        <v>69</v>
      </c>
      <c r="V387" t="s">
        <v>69</v>
      </c>
      <c r="W387" t="s">
        <v>69</v>
      </c>
      <c r="X387" t="s">
        <v>69</v>
      </c>
      <c r="Y387" t="s">
        <v>26136</v>
      </c>
      <c r="Z387" t="s">
        <v>26137</v>
      </c>
      <c r="AA387" t="s">
        <v>5593</v>
      </c>
      <c r="AB387" t="s">
        <v>26138</v>
      </c>
      <c r="AC387" t="s">
        <v>69</v>
      </c>
      <c r="AD387" t="s">
        <v>26139</v>
      </c>
      <c r="AE387" t="s">
        <v>26140</v>
      </c>
      <c r="AF387" t="s">
        <v>69</v>
      </c>
      <c r="AG387" t="s">
        <v>5594</v>
      </c>
      <c r="AH387" t="s">
        <v>69</v>
      </c>
      <c r="AI387" t="s">
        <v>69</v>
      </c>
      <c r="AJ387" t="s">
        <v>69</v>
      </c>
      <c r="AK387" t="s">
        <v>69</v>
      </c>
      <c r="AL387">
        <v>56</v>
      </c>
      <c r="AM387">
        <v>44</v>
      </c>
      <c r="AN387">
        <v>44</v>
      </c>
      <c r="AO387">
        <v>0</v>
      </c>
      <c r="AP387">
        <v>28</v>
      </c>
      <c r="AQ387" t="s">
        <v>9047</v>
      </c>
      <c r="AR387" t="s">
        <v>9048</v>
      </c>
      <c r="AS387" t="s">
        <v>9049</v>
      </c>
      <c r="AT387" t="s">
        <v>5595</v>
      </c>
      <c r="AU387" t="s">
        <v>5596</v>
      </c>
      <c r="AV387" t="s">
        <v>69</v>
      </c>
      <c r="AW387" t="s">
        <v>26141</v>
      </c>
      <c r="AX387" t="s">
        <v>26142</v>
      </c>
      <c r="AY387" t="s">
        <v>94</v>
      </c>
      <c r="AZ387">
        <v>2012</v>
      </c>
      <c r="BA387">
        <v>45</v>
      </c>
      <c r="BB387">
        <v>1</v>
      </c>
      <c r="BC387" t="s">
        <v>69</v>
      </c>
      <c r="BD387" t="s">
        <v>69</v>
      </c>
      <c r="BE387" t="s">
        <v>69</v>
      </c>
      <c r="BF387" t="s">
        <v>69</v>
      </c>
      <c r="BG387">
        <v>47</v>
      </c>
      <c r="BH387">
        <v>68</v>
      </c>
      <c r="BI387" t="s">
        <v>69</v>
      </c>
      <c r="BJ387" t="s">
        <v>5597</v>
      </c>
      <c r="BK387" t="str">
        <f>HYPERLINK("http://dx.doi.org/10.1007/s11077-011-9144-4","http://dx.doi.org/10.1007/s11077-011-9144-4")</f>
        <v>http://dx.doi.org/10.1007/s11077-011-9144-4</v>
      </c>
      <c r="BL387" t="s">
        <v>69</v>
      </c>
      <c r="BM387" t="s">
        <v>69</v>
      </c>
      <c r="BN387">
        <v>22</v>
      </c>
      <c r="BO387" t="s">
        <v>26143</v>
      </c>
      <c r="BP387" t="s">
        <v>8661</v>
      </c>
      <c r="BQ387" t="s">
        <v>26144</v>
      </c>
      <c r="BR387" t="s">
        <v>26145</v>
      </c>
      <c r="BS387" t="s">
        <v>5598</v>
      </c>
      <c r="BT387" t="s">
        <v>69</v>
      </c>
      <c r="BU387" t="s">
        <v>69</v>
      </c>
      <c r="BV387" t="s">
        <v>69</v>
      </c>
      <c r="BW387" t="s">
        <v>69</v>
      </c>
      <c r="BX387" t="s">
        <v>8526</v>
      </c>
      <c r="BY387" t="str">
        <f>HYPERLINK("https%3A%2F%2Fwww.webofscience.com%2Fwos%2Fwoscc%2Ffull-record%2FWOS:000300664600003","View Full Record in Web of Science")</f>
        <v>View Full Record in Web of Science</v>
      </c>
    </row>
    <row r="388" spans="1:77" ht="12.5" x14ac:dyDescent="0.25">
      <c r="A388" t="s">
        <v>8495</v>
      </c>
      <c r="B388" s="22" t="s">
        <v>32931</v>
      </c>
      <c r="C388" s="7"/>
      <c r="D388" s="7"/>
      <c r="E388" s="7"/>
      <c r="F388" t="s">
        <v>67</v>
      </c>
      <c r="G388" t="s">
        <v>28172</v>
      </c>
      <c r="H388" t="s">
        <v>69</v>
      </c>
      <c r="I388" t="s">
        <v>69</v>
      </c>
      <c r="J388" t="s">
        <v>69</v>
      </c>
      <c r="K388" t="s">
        <v>28173</v>
      </c>
      <c r="L388" t="s">
        <v>69</v>
      </c>
      <c r="M388" t="s">
        <v>69</v>
      </c>
      <c r="N388" t="s">
        <v>28174</v>
      </c>
      <c r="O388" t="s">
        <v>22273</v>
      </c>
      <c r="P388" t="s">
        <v>69</v>
      </c>
      <c r="Q388" t="s">
        <v>69</v>
      </c>
      <c r="R388" t="s">
        <v>8505</v>
      </c>
      <c r="S388" t="s">
        <v>8506</v>
      </c>
      <c r="T388" t="s">
        <v>69</v>
      </c>
      <c r="U388" t="s">
        <v>69</v>
      </c>
      <c r="V388" t="s">
        <v>69</v>
      </c>
      <c r="W388" t="s">
        <v>69</v>
      </c>
      <c r="X388" t="s">
        <v>69</v>
      </c>
      <c r="Y388" t="s">
        <v>28175</v>
      </c>
      <c r="Z388" t="s">
        <v>69</v>
      </c>
      <c r="AA388" t="s">
        <v>28176</v>
      </c>
      <c r="AB388" t="s">
        <v>28177</v>
      </c>
      <c r="AC388" t="s">
        <v>69</v>
      </c>
      <c r="AD388" t="s">
        <v>28178</v>
      </c>
      <c r="AE388" t="s">
        <v>28179</v>
      </c>
      <c r="AF388" t="s">
        <v>69</v>
      </c>
      <c r="AG388" t="s">
        <v>69</v>
      </c>
      <c r="AH388" t="s">
        <v>69</v>
      </c>
      <c r="AI388" t="s">
        <v>69</v>
      </c>
      <c r="AJ388" t="s">
        <v>69</v>
      </c>
      <c r="AK388" t="s">
        <v>69</v>
      </c>
      <c r="AL388">
        <v>36</v>
      </c>
      <c r="AM388">
        <v>12</v>
      </c>
      <c r="AN388">
        <v>12</v>
      </c>
      <c r="AO388">
        <v>1</v>
      </c>
      <c r="AP388">
        <v>14</v>
      </c>
      <c r="AQ388" t="s">
        <v>22282</v>
      </c>
      <c r="AR388" t="s">
        <v>22283</v>
      </c>
      <c r="AS388" t="s">
        <v>22284</v>
      </c>
      <c r="AT388" t="s">
        <v>22285</v>
      </c>
      <c r="AU388" t="s">
        <v>69</v>
      </c>
      <c r="AV388" t="s">
        <v>69</v>
      </c>
      <c r="AW388" t="s">
        <v>22287</v>
      </c>
      <c r="AX388" t="s">
        <v>22288</v>
      </c>
      <c r="AY388" t="s">
        <v>69</v>
      </c>
      <c r="AZ388">
        <v>2010</v>
      </c>
      <c r="BA388">
        <v>18</v>
      </c>
      <c r="BB388">
        <v>8</v>
      </c>
      <c r="BC388" t="s">
        <v>69</v>
      </c>
      <c r="BD388" t="s">
        <v>69</v>
      </c>
      <c r="BE388" t="s">
        <v>69</v>
      </c>
      <c r="BF388" t="s">
        <v>69</v>
      </c>
      <c r="BG388">
        <v>951</v>
      </c>
      <c r="BH388">
        <v>970</v>
      </c>
      <c r="BI388" t="s">
        <v>69</v>
      </c>
      <c r="BJ388" t="s">
        <v>28180</v>
      </c>
      <c r="BK388" t="str">
        <f>HYPERLINK("http://dx.doi.org/10.1080/09669582.2010.484493","http://dx.doi.org/10.1080/09669582.2010.484493")</f>
        <v>http://dx.doi.org/10.1080/09669582.2010.484493</v>
      </c>
      <c r="BL388" t="s">
        <v>69</v>
      </c>
      <c r="BM388" t="s">
        <v>69</v>
      </c>
      <c r="BN388">
        <v>20</v>
      </c>
      <c r="BO388" t="s">
        <v>22290</v>
      </c>
      <c r="BP388" t="s">
        <v>8661</v>
      </c>
      <c r="BQ388" t="s">
        <v>22291</v>
      </c>
      <c r="BR388" t="s">
        <v>28181</v>
      </c>
      <c r="BS388" t="s">
        <v>28182</v>
      </c>
      <c r="BT388" t="s">
        <v>69</v>
      </c>
      <c r="BU388" t="s">
        <v>10995</v>
      </c>
      <c r="BV388" t="s">
        <v>69</v>
      </c>
      <c r="BW388" t="s">
        <v>69</v>
      </c>
      <c r="BX388" t="s">
        <v>8526</v>
      </c>
      <c r="BY388" t="str">
        <f>HYPERLINK("https%3A%2F%2Fwww.webofscience.com%2Fwos%2Fwoscc%2Ffull-record%2FWOS:000283061200002","View Full Record in Web of Science")</f>
        <v>View Full Record in Web of Science</v>
      </c>
    </row>
    <row r="389" spans="1:77" ht="12.5" x14ac:dyDescent="0.25">
      <c r="A389" t="s">
        <v>8495</v>
      </c>
      <c r="B389" s="22" t="s">
        <v>32931</v>
      </c>
      <c r="C389" s="7"/>
      <c r="D389" s="7"/>
      <c r="E389" s="7"/>
      <c r="F389" t="s">
        <v>67</v>
      </c>
      <c r="G389" t="s">
        <v>17743</v>
      </c>
      <c r="H389" t="s">
        <v>69</v>
      </c>
      <c r="I389" t="s">
        <v>69</v>
      </c>
      <c r="J389" t="s">
        <v>69</v>
      </c>
      <c r="K389" t="s">
        <v>17744</v>
      </c>
      <c r="L389" t="s">
        <v>69</v>
      </c>
      <c r="M389" t="s">
        <v>69</v>
      </c>
      <c r="N389" t="s">
        <v>17745</v>
      </c>
      <c r="O389" t="s">
        <v>17746</v>
      </c>
      <c r="P389" t="s">
        <v>69</v>
      </c>
      <c r="Q389" t="s">
        <v>69</v>
      </c>
      <c r="R389" t="s">
        <v>8505</v>
      </c>
      <c r="S389" t="s">
        <v>8506</v>
      </c>
      <c r="T389" t="s">
        <v>69</v>
      </c>
      <c r="U389" t="s">
        <v>69</v>
      </c>
      <c r="V389" t="s">
        <v>69</v>
      </c>
      <c r="W389" t="s">
        <v>69</v>
      </c>
      <c r="X389" t="s">
        <v>69</v>
      </c>
      <c r="Y389" t="s">
        <v>17747</v>
      </c>
      <c r="Z389" t="s">
        <v>69</v>
      </c>
      <c r="AA389" t="s">
        <v>17748</v>
      </c>
      <c r="AB389" t="s">
        <v>17749</v>
      </c>
      <c r="AC389" t="s">
        <v>69</v>
      </c>
      <c r="AD389" t="s">
        <v>17750</v>
      </c>
      <c r="AE389" t="s">
        <v>17751</v>
      </c>
      <c r="AF389" t="s">
        <v>69</v>
      </c>
      <c r="AG389" t="s">
        <v>69</v>
      </c>
      <c r="AH389" t="s">
        <v>69</v>
      </c>
      <c r="AI389" t="s">
        <v>69</v>
      </c>
      <c r="AJ389" t="s">
        <v>69</v>
      </c>
      <c r="AK389" t="s">
        <v>69</v>
      </c>
      <c r="AL389">
        <v>25</v>
      </c>
      <c r="AM389">
        <v>0</v>
      </c>
      <c r="AN389">
        <v>0</v>
      </c>
      <c r="AO389">
        <v>0</v>
      </c>
      <c r="AP389">
        <v>0</v>
      </c>
      <c r="AQ389" t="s">
        <v>17752</v>
      </c>
      <c r="AR389" t="s">
        <v>17753</v>
      </c>
      <c r="AS389" t="s">
        <v>17754</v>
      </c>
      <c r="AT389" t="s">
        <v>17755</v>
      </c>
      <c r="AU389" t="s">
        <v>69</v>
      </c>
      <c r="AV389" t="s">
        <v>69</v>
      </c>
      <c r="AW389" t="s">
        <v>17756</v>
      </c>
      <c r="AX389" t="s">
        <v>17757</v>
      </c>
      <c r="AY389" t="s">
        <v>69</v>
      </c>
      <c r="AZ389">
        <v>2019</v>
      </c>
      <c r="BA389">
        <v>17</v>
      </c>
      <c r="BB389">
        <v>1</v>
      </c>
      <c r="BC389" t="s">
        <v>69</v>
      </c>
      <c r="BD389" t="s">
        <v>69</v>
      </c>
      <c r="BE389" t="s">
        <v>69</v>
      </c>
      <c r="BF389" t="s">
        <v>69</v>
      </c>
      <c r="BG389">
        <v>87</v>
      </c>
      <c r="BH389">
        <v>100</v>
      </c>
      <c r="BI389" t="s">
        <v>69</v>
      </c>
      <c r="BJ389" t="s">
        <v>69</v>
      </c>
      <c r="BK389" t="s">
        <v>69</v>
      </c>
      <c r="BL389" t="s">
        <v>69</v>
      </c>
      <c r="BM389" t="s">
        <v>69</v>
      </c>
      <c r="BN389">
        <v>14</v>
      </c>
      <c r="BO389" t="s">
        <v>8444</v>
      </c>
      <c r="BP389" t="s">
        <v>8573</v>
      </c>
      <c r="BQ389" t="s">
        <v>8594</v>
      </c>
      <c r="BR389" t="s">
        <v>17758</v>
      </c>
      <c r="BS389" t="s">
        <v>17759</v>
      </c>
      <c r="BT389" t="s">
        <v>69</v>
      </c>
      <c r="BU389" t="s">
        <v>69</v>
      </c>
      <c r="BV389" t="s">
        <v>69</v>
      </c>
      <c r="BW389" t="s">
        <v>69</v>
      </c>
      <c r="BX389" t="s">
        <v>8526</v>
      </c>
      <c r="BY389" t="str">
        <f>HYPERLINK("https%3A%2F%2Fwww.webofscience.com%2Fwos%2Fwoscc%2Ffull-record%2FWOS:000477817700005","View Full Record in Web of Science")</f>
        <v>View Full Record in Web of Science</v>
      </c>
    </row>
    <row r="390" spans="1:77" ht="12.5" x14ac:dyDescent="0.25">
      <c r="A390" t="s">
        <v>8495</v>
      </c>
      <c r="B390" s="22" t="s">
        <v>32931</v>
      </c>
      <c r="C390" s="7"/>
      <c r="D390" s="7"/>
      <c r="E390" s="7"/>
      <c r="F390" t="s">
        <v>67</v>
      </c>
      <c r="G390" t="s">
        <v>9641</v>
      </c>
      <c r="H390" t="s">
        <v>69</v>
      </c>
      <c r="I390" t="s">
        <v>69</v>
      </c>
      <c r="J390" t="s">
        <v>69</v>
      </c>
      <c r="K390" t="s">
        <v>9642</v>
      </c>
      <c r="L390" t="s">
        <v>69</v>
      </c>
      <c r="M390" t="s">
        <v>69</v>
      </c>
      <c r="N390" t="s">
        <v>9643</v>
      </c>
      <c r="O390" t="s">
        <v>9644</v>
      </c>
      <c r="P390" t="s">
        <v>69</v>
      </c>
      <c r="Q390" t="s">
        <v>69</v>
      </c>
      <c r="R390" t="s">
        <v>8505</v>
      </c>
      <c r="S390" t="s">
        <v>8506</v>
      </c>
      <c r="T390" t="s">
        <v>69</v>
      </c>
      <c r="U390" t="s">
        <v>69</v>
      </c>
      <c r="V390" t="s">
        <v>69</v>
      </c>
      <c r="W390" t="s">
        <v>69</v>
      </c>
      <c r="X390" t="s">
        <v>69</v>
      </c>
      <c r="Y390" t="s">
        <v>9645</v>
      </c>
      <c r="Z390" t="s">
        <v>9646</v>
      </c>
      <c r="AA390" t="s">
        <v>9647</v>
      </c>
      <c r="AB390" t="s">
        <v>9648</v>
      </c>
      <c r="AC390" t="s">
        <v>69</v>
      </c>
      <c r="AD390" t="s">
        <v>9649</v>
      </c>
      <c r="AE390" t="s">
        <v>9650</v>
      </c>
      <c r="AF390" t="s">
        <v>9651</v>
      </c>
      <c r="AG390" t="s">
        <v>9652</v>
      </c>
      <c r="AH390" t="s">
        <v>9653</v>
      </c>
      <c r="AI390" t="s">
        <v>9654</v>
      </c>
      <c r="AJ390" t="s">
        <v>9655</v>
      </c>
      <c r="AK390" t="s">
        <v>69</v>
      </c>
      <c r="AL390">
        <v>56</v>
      </c>
      <c r="AM390">
        <v>0</v>
      </c>
      <c r="AN390">
        <v>0</v>
      </c>
      <c r="AO390">
        <v>1</v>
      </c>
      <c r="AP390">
        <v>1</v>
      </c>
      <c r="AQ390" t="s">
        <v>9145</v>
      </c>
      <c r="AR390" t="s">
        <v>8637</v>
      </c>
      <c r="AS390" t="s">
        <v>9146</v>
      </c>
      <c r="AT390" t="s">
        <v>9656</v>
      </c>
      <c r="AU390" t="s">
        <v>9657</v>
      </c>
      <c r="AV390" t="s">
        <v>69</v>
      </c>
      <c r="AW390" t="s">
        <v>9658</v>
      </c>
      <c r="AX390" t="s">
        <v>9659</v>
      </c>
      <c r="AY390" t="s">
        <v>94</v>
      </c>
      <c r="AZ390">
        <v>2022</v>
      </c>
      <c r="BA390">
        <v>93</v>
      </c>
      <c r="BB390" t="s">
        <v>69</v>
      </c>
      <c r="BC390" t="s">
        <v>69</v>
      </c>
      <c r="BD390" t="s">
        <v>69</v>
      </c>
      <c r="BE390" t="s">
        <v>69</v>
      </c>
      <c r="BF390" t="s">
        <v>69</v>
      </c>
      <c r="BG390" t="s">
        <v>69</v>
      </c>
      <c r="BH390" t="s">
        <v>69</v>
      </c>
      <c r="BI390">
        <v>103353</v>
      </c>
      <c r="BJ390" t="s">
        <v>9660</v>
      </c>
      <c r="BK390" t="str">
        <f>HYPERLINK("http://dx.doi.org/10.1016/j.annals.2022.103353","http://dx.doi.org/10.1016/j.annals.2022.103353")</f>
        <v>http://dx.doi.org/10.1016/j.annals.2022.103353</v>
      </c>
      <c r="BL390" t="s">
        <v>69</v>
      </c>
      <c r="BM390" t="s">
        <v>69</v>
      </c>
      <c r="BN390">
        <v>13</v>
      </c>
      <c r="BO390" t="s">
        <v>9661</v>
      </c>
      <c r="BP390" t="s">
        <v>8661</v>
      </c>
      <c r="BQ390" t="s">
        <v>9662</v>
      </c>
      <c r="BR390" t="s">
        <v>9663</v>
      </c>
      <c r="BS390" t="s">
        <v>9664</v>
      </c>
      <c r="BT390" t="s">
        <v>69</v>
      </c>
      <c r="BU390" t="s">
        <v>69</v>
      </c>
      <c r="BV390" t="s">
        <v>69</v>
      </c>
      <c r="BW390" t="s">
        <v>69</v>
      </c>
      <c r="BX390" t="s">
        <v>8526</v>
      </c>
      <c r="BY390" t="str">
        <f>HYPERLINK("https%3A%2F%2Fwww.webofscience.com%2Fwos%2Fwoscc%2Ffull-record%2FWOS:000792164400021","View Full Record in Web of Science")</f>
        <v>View Full Record in Web of Science</v>
      </c>
    </row>
    <row r="391" spans="1:77" ht="12.5" x14ac:dyDescent="0.25">
      <c r="A391" t="s">
        <v>8495</v>
      </c>
      <c r="B391" s="22" t="s">
        <v>32931</v>
      </c>
      <c r="C391" s="7"/>
      <c r="D391" s="7"/>
      <c r="E391" s="7"/>
      <c r="F391" t="s">
        <v>67</v>
      </c>
      <c r="G391" t="s">
        <v>31966</v>
      </c>
      <c r="H391" t="s">
        <v>69</v>
      </c>
      <c r="I391" t="s">
        <v>69</v>
      </c>
      <c r="J391" t="s">
        <v>69</v>
      </c>
      <c r="K391" t="s">
        <v>31966</v>
      </c>
      <c r="L391" t="s">
        <v>69</v>
      </c>
      <c r="M391" t="s">
        <v>69</v>
      </c>
      <c r="N391" t="s">
        <v>31967</v>
      </c>
      <c r="O391" t="s">
        <v>3893</v>
      </c>
      <c r="P391" t="s">
        <v>69</v>
      </c>
      <c r="Q391" t="s">
        <v>69</v>
      </c>
      <c r="R391" t="s">
        <v>8505</v>
      </c>
      <c r="S391" t="s">
        <v>8506</v>
      </c>
      <c r="T391" t="s">
        <v>69</v>
      </c>
      <c r="U391" t="s">
        <v>69</v>
      </c>
      <c r="V391" t="s">
        <v>69</v>
      </c>
      <c r="W391" t="s">
        <v>69</v>
      </c>
      <c r="X391" t="s">
        <v>69</v>
      </c>
      <c r="Y391" t="s">
        <v>31968</v>
      </c>
      <c r="Z391" t="s">
        <v>31969</v>
      </c>
      <c r="AA391" t="s">
        <v>31970</v>
      </c>
      <c r="AB391" t="s">
        <v>31971</v>
      </c>
      <c r="AC391" t="s">
        <v>69</v>
      </c>
      <c r="AD391" t="s">
        <v>31972</v>
      </c>
      <c r="AE391" t="s">
        <v>69</v>
      </c>
      <c r="AF391" t="s">
        <v>31973</v>
      </c>
      <c r="AG391" t="s">
        <v>31974</v>
      </c>
      <c r="AH391" t="s">
        <v>69</v>
      </c>
      <c r="AI391" t="s">
        <v>69</v>
      </c>
      <c r="AJ391" t="s">
        <v>69</v>
      </c>
      <c r="AK391" t="s">
        <v>69</v>
      </c>
      <c r="AL391">
        <v>41</v>
      </c>
      <c r="AM391">
        <v>18</v>
      </c>
      <c r="AN391">
        <v>18</v>
      </c>
      <c r="AO391">
        <v>1</v>
      </c>
      <c r="AP391">
        <v>4</v>
      </c>
      <c r="AQ391" t="s">
        <v>10352</v>
      </c>
      <c r="AR391" t="s">
        <v>8637</v>
      </c>
      <c r="AS391" t="s">
        <v>10353</v>
      </c>
      <c r="AT391" t="s">
        <v>3896</v>
      </c>
      <c r="AU391" t="s">
        <v>69</v>
      </c>
      <c r="AV391" t="s">
        <v>69</v>
      </c>
      <c r="AW391" t="s">
        <v>19968</v>
      </c>
      <c r="AX391" t="s">
        <v>19969</v>
      </c>
      <c r="AY391" t="s">
        <v>155</v>
      </c>
      <c r="AZ391">
        <v>1999</v>
      </c>
      <c r="BA391">
        <v>14</v>
      </c>
      <c r="BB391">
        <v>2</v>
      </c>
      <c r="BC391" t="s">
        <v>69</v>
      </c>
      <c r="BD391" t="s">
        <v>69</v>
      </c>
      <c r="BE391" t="s">
        <v>69</v>
      </c>
      <c r="BF391" t="s">
        <v>69</v>
      </c>
      <c r="BG391">
        <v>145</v>
      </c>
      <c r="BH391">
        <v>154</v>
      </c>
      <c r="BI391" t="s">
        <v>69</v>
      </c>
      <c r="BJ391" t="s">
        <v>31975</v>
      </c>
      <c r="BK391" t="str">
        <f>HYPERLINK("http://dx.doi.org/10.1093/heapro/14.2.145","http://dx.doi.org/10.1093/heapro/14.2.145")</f>
        <v>http://dx.doi.org/10.1093/heapro/14.2.145</v>
      </c>
      <c r="BL391" t="s">
        <v>69</v>
      </c>
      <c r="BM391" t="s">
        <v>69</v>
      </c>
      <c r="BN391">
        <v>10</v>
      </c>
      <c r="BO391" t="s">
        <v>19970</v>
      </c>
      <c r="BP391" t="s">
        <v>8661</v>
      </c>
      <c r="BQ391" t="s">
        <v>11565</v>
      </c>
      <c r="BR391" t="s">
        <v>31976</v>
      </c>
      <c r="BS391" t="s">
        <v>31977</v>
      </c>
      <c r="BT391" t="s">
        <v>69</v>
      </c>
      <c r="BU391" t="s">
        <v>9374</v>
      </c>
      <c r="BV391" t="s">
        <v>69</v>
      </c>
      <c r="BW391" t="s">
        <v>69</v>
      </c>
      <c r="BX391" t="s">
        <v>8526</v>
      </c>
      <c r="BY391" t="str">
        <f>HYPERLINK("https%3A%2F%2Fwww.webofscience.com%2Fwos%2Fwoscc%2Ffull-record%2FWOS:000080798200006","View Full Record in Web of Science")</f>
        <v>View Full Record in Web of Science</v>
      </c>
    </row>
    <row r="392" spans="1:77" x14ac:dyDescent="0.3">
      <c r="A392" t="s">
        <v>8495</v>
      </c>
      <c r="B392" s="9" t="s">
        <v>32954</v>
      </c>
      <c r="C392" s="9" t="s">
        <v>33057</v>
      </c>
      <c r="D392" s="9" t="s">
        <v>8491</v>
      </c>
      <c r="E392" s="9" t="s">
        <v>8490</v>
      </c>
      <c r="F392" t="s">
        <v>67</v>
      </c>
      <c r="G392" t="s">
        <v>28766</v>
      </c>
      <c r="H392" t="s">
        <v>69</v>
      </c>
      <c r="I392" t="s">
        <v>69</v>
      </c>
      <c r="J392" t="s">
        <v>69</v>
      </c>
      <c r="K392" t="s">
        <v>28767</v>
      </c>
      <c r="L392" t="s">
        <v>69</v>
      </c>
      <c r="M392" t="s">
        <v>69</v>
      </c>
      <c r="N392" t="s">
        <v>28768</v>
      </c>
      <c r="O392" t="s">
        <v>15404</v>
      </c>
      <c r="P392" t="s">
        <v>69</v>
      </c>
      <c r="Q392" t="s">
        <v>69</v>
      </c>
      <c r="R392" t="s">
        <v>8505</v>
      </c>
      <c r="S392" t="s">
        <v>8506</v>
      </c>
      <c r="T392" t="s">
        <v>69</v>
      </c>
      <c r="U392" t="s">
        <v>69</v>
      </c>
      <c r="V392" t="s">
        <v>69</v>
      </c>
      <c r="W392" t="s">
        <v>69</v>
      </c>
      <c r="X392" t="s">
        <v>69</v>
      </c>
      <c r="Y392" t="s">
        <v>28769</v>
      </c>
      <c r="Z392" t="s">
        <v>69</v>
      </c>
      <c r="AA392" t="s">
        <v>28770</v>
      </c>
      <c r="AB392" t="s">
        <v>69</v>
      </c>
      <c r="AC392" t="s">
        <v>69</v>
      </c>
      <c r="AD392" t="s">
        <v>69</v>
      </c>
      <c r="AE392" t="s">
        <v>28771</v>
      </c>
      <c r="AF392" t="s">
        <v>69</v>
      </c>
      <c r="AG392" t="s">
        <v>69</v>
      </c>
      <c r="AH392" t="s">
        <v>69</v>
      </c>
      <c r="AI392" t="s">
        <v>69</v>
      </c>
      <c r="AJ392" t="s">
        <v>69</v>
      </c>
      <c r="AK392" t="s">
        <v>69</v>
      </c>
      <c r="AL392">
        <v>43</v>
      </c>
      <c r="AM392">
        <v>17</v>
      </c>
      <c r="AN392">
        <v>17</v>
      </c>
      <c r="AO392">
        <v>2</v>
      </c>
      <c r="AP392">
        <v>11</v>
      </c>
      <c r="AQ392" t="s">
        <v>8865</v>
      </c>
      <c r="AR392" t="s">
        <v>8612</v>
      </c>
      <c r="AS392" t="s">
        <v>8866</v>
      </c>
      <c r="AT392" t="s">
        <v>15411</v>
      </c>
      <c r="AU392" t="s">
        <v>15412</v>
      </c>
      <c r="AV392" t="s">
        <v>69</v>
      </c>
      <c r="AW392" t="s">
        <v>15413</v>
      </c>
      <c r="AX392" t="s">
        <v>15414</v>
      </c>
      <c r="AY392" t="s">
        <v>69</v>
      </c>
      <c r="AZ392">
        <v>2009</v>
      </c>
      <c r="BA392">
        <v>15</v>
      </c>
      <c r="BB392">
        <v>1</v>
      </c>
      <c r="BC392" t="s">
        <v>69</v>
      </c>
      <c r="BD392" t="s">
        <v>69</v>
      </c>
      <c r="BE392" t="s">
        <v>69</v>
      </c>
      <c r="BF392" t="s">
        <v>69</v>
      </c>
      <c r="BG392">
        <v>1</v>
      </c>
      <c r="BH392">
        <v>15</v>
      </c>
      <c r="BI392" t="s">
        <v>69</v>
      </c>
      <c r="BJ392" t="s">
        <v>28772</v>
      </c>
      <c r="BK392" t="str">
        <f>HYPERLINK("http://dx.doi.org/10.1080/13504620802578509","http://dx.doi.org/10.1080/13504620802578509")</f>
        <v>http://dx.doi.org/10.1080/13504620802578509</v>
      </c>
      <c r="BL392" t="s">
        <v>69</v>
      </c>
      <c r="BM392" t="s">
        <v>69</v>
      </c>
      <c r="BN392">
        <v>15</v>
      </c>
      <c r="BO392" t="s">
        <v>15416</v>
      </c>
      <c r="BP392" t="s">
        <v>8661</v>
      </c>
      <c r="BQ392" t="s">
        <v>15417</v>
      </c>
      <c r="BR392" t="s">
        <v>28773</v>
      </c>
      <c r="BS392" t="s">
        <v>28774</v>
      </c>
      <c r="BT392" t="s">
        <v>69</v>
      </c>
      <c r="BU392" t="s">
        <v>69</v>
      </c>
      <c r="BV392" t="s">
        <v>69</v>
      </c>
      <c r="BW392" t="s">
        <v>69</v>
      </c>
      <c r="BX392" t="s">
        <v>8526</v>
      </c>
      <c r="BY392" t="str">
        <f>HYPERLINK("https%3A%2F%2Fwww.webofscience.com%2Fwos%2Fwoscc%2Ffull-record%2FWOS:000274019200001","View Full Record in Web of Science")</f>
        <v>View Full Record in Web of Science</v>
      </c>
    </row>
    <row r="393" spans="1:77" ht="12.5" x14ac:dyDescent="0.25">
      <c r="A393" t="s">
        <v>8495</v>
      </c>
      <c r="B393" s="22" t="s">
        <v>32931</v>
      </c>
      <c r="C393" s="7"/>
      <c r="D393" s="7"/>
      <c r="E393" s="7"/>
      <c r="F393" t="s">
        <v>67</v>
      </c>
      <c r="G393" t="s">
        <v>22484</v>
      </c>
      <c r="H393" t="s">
        <v>69</v>
      </c>
      <c r="I393" t="s">
        <v>69</v>
      </c>
      <c r="J393" t="s">
        <v>69</v>
      </c>
      <c r="K393" t="s">
        <v>22485</v>
      </c>
      <c r="L393" t="s">
        <v>69</v>
      </c>
      <c r="M393" t="s">
        <v>69</v>
      </c>
      <c r="N393" t="s">
        <v>22486</v>
      </c>
      <c r="O393" t="s">
        <v>22487</v>
      </c>
      <c r="P393" t="s">
        <v>69</v>
      </c>
      <c r="Q393" t="s">
        <v>69</v>
      </c>
      <c r="R393" t="s">
        <v>8505</v>
      </c>
      <c r="S393" t="s">
        <v>8506</v>
      </c>
      <c r="T393" t="s">
        <v>69</v>
      </c>
      <c r="U393" t="s">
        <v>69</v>
      </c>
      <c r="V393" t="s">
        <v>69</v>
      </c>
      <c r="W393" t="s">
        <v>69</v>
      </c>
      <c r="X393" t="s">
        <v>69</v>
      </c>
      <c r="Y393" t="s">
        <v>22488</v>
      </c>
      <c r="Z393" t="s">
        <v>69</v>
      </c>
      <c r="AA393" t="s">
        <v>22489</v>
      </c>
      <c r="AB393" t="s">
        <v>22490</v>
      </c>
      <c r="AC393" t="s">
        <v>69</v>
      </c>
      <c r="AD393" t="s">
        <v>22491</v>
      </c>
      <c r="AE393" t="s">
        <v>22492</v>
      </c>
      <c r="AF393" t="s">
        <v>22493</v>
      </c>
      <c r="AG393" t="s">
        <v>22494</v>
      </c>
      <c r="AH393" t="s">
        <v>69</v>
      </c>
      <c r="AI393" t="s">
        <v>69</v>
      </c>
      <c r="AJ393" t="s">
        <v>69</v>
      </c>
      <c r="AK393" t="s">
        <v>69</v>
      </c>
      <c r="AL393">
        <v>61</v>
      </c>
      <c r="AM393">
        <v>26</v>
      </c>
      <c r="AN393">
        <v>26</v>
      </c>
      <c r="AO393">
        <v>0</v>
      </c>
      <c r="AP393">
        <v>26</v>
      </c>
      <c r="AQ393" t="s">
        <v>9047</v>
      </c>
      <c r="AR393" t="s">
        <v>9048</v>
      </c>
      <c r="AS393" t="s">
        <v>9049</v>
      </c>
      <c r="AT393" t="s">
        <v>22495</v>
      </c>
      <c r="AU393" t="s">
        <v>22496</v>
      </c>
      <c r="AV393" t="s">
        <v>69</v>
      </c>
      <c r="AW393" t="s">
        <v>22497</v>
      </c>
      <c r="AX393" t="s">
        <v>22498</v>
      </c>
      <c r="AY393" t="s">
        <v>255</v>
      </c>
      <c r="AZ393">
        <v>2015</v>
      </c>
      <c r="BA393">
        <v>123</v>
      </c>
      <c r="BB393">
        <v>3</v>
      </c>
      <c r="BC393" t="s">
        <v>69</v>
      </c>
      <c r="BD393" t="s">
        <v>69</v>
      </c>
      <c r="BE393" t="s">
        <v>69</v>
      </c>
      <c r="BF393" t="s">
        <v>69</v>
      </c>
      <c r="BG393">
        <v>857</v>
      </c>
      <c r="BH393">
        <v>877</v>
      </c>
      <c r="BI393" t="s">
        <v>69</v>
      </c>
      <c r="BJ393" t="s">
        <v>22499</v>
      </c>
      <c r="BK393" t="str">
        <f>HYPERLINK("http://dx.doi.org/10.1007/s11205-014-0764-x","http://dx.doi.org/10.1007/s11205-014-0764-x")</f>
        <v>http://dx.doi.org/10.1007/s11205-014-0764-x</v>
      </c>
      <c r="BL393" t="s">
        <v>69</v>
      </c>
      <c r="BM393" t="s">
        <v>69</v>
      </c>
      <c r="BN393">
        <v>21</v>
      </c>
      <c r="BO393" t="s">
        <v>22500</v>
      </c>
      <c r="BP393" t="s">
        <v>8661</v>
      </c>
      <c r="BQ393" t="s">
        <v>9662</v>
      </c>
      <c r="BR393" t="s">
        <v>22501</v>
      </c>
      <c r="BS393" t="s">
        <v>22502</v>
      </c>
      <c r="BT393" t="s">
        <v>69</v>
      </c>
      <c r="BU393" t="s">
        <v>10995</v>
      </c>
      <c r="BV393" t="s">
        <v>69</v>
      </c>
      <c r="BW393" t="s">
        <v>69</v>
      </c>
      <c r="BX393" t="s">
        <v>8526</v>
      </c>
      <c r="BY393" t="str">
        <f>HYPERLINK("https%3A%2F%2Fwww.webofscience.com%2Fwos%2Fwoscc%2Ffull-record%2FWOS:000360078700012","View Full Record in Web of Science")</f>
        <v>View Full Record in Web of Science</v>
      </c>
    </row>
    <row r="394" spans="1:77" ht="12.5" x14ac:dyDescent="0.25">
      <c r="A394" t="s">
        <v>8495</v>
      </c>
      <c r="B394" s="22" t="s">
        <v>32931</v>
      </c>
      <c r="C394" s="7"/>
      <c r="D394" s="7"/>
      <c r="E394" s="7"/>
      <c r="F394" t="s">
        <v>67</v>
      </c>
      <c r="G394" t="s">
        <v>22311</v>
      </c>
      <c r="H394" t="s">
        <v>69</v>
      </c>
      <c r="I394" t="s">
        <v>69</v>
      </c>
      <c r="J394" t="s">
        <v>69</v>
      </c>
      <c r="K394" t="s">
        <v>22312</v>
      </c>
      <c r="L394" t="s">
        <v>69</v>
      </c>
      <c r="M394" t="s">
        <v>69</v>
      </c>
      <c r="N394" t="s">
        <v>22313</v>
      </c>
      <c r="O394" t="s">
        <v>22314</v>
      </c>
      <c r="P394" t="s">
        <v>69</v>
      </c>
      <c r="Q394" t="s">
        <v>69</v>
      </c>
      <c r="R394" t="s">
        <v>8505</v>
      </c>
      <c r="S394" t="s">
        <v>8506</v>
      </c>
      <c r="T394" t="s">
        <v>69</v>
      </c>
      <c r="U394" t="s">
        <v>69</v>
      </c>
      <c r="V394" t="s">
        <v>69</v>
      </c>
      <c r="W394" t="s">
        <v>69</v>
      </c>
      <c r="X394" t="s">
        <v>69</v>
      </c>
      <c r="Y394" t="s">
        <v>22315</v>
      </c>
      <c r="Z394" t="s">
        <v>22316</v>
      </c>
      <c r="AA394" t="s">
        <v>22317</v>
      </c>
      <c r="AB394" t="s">
        <v>22318</v>
      </c>
      <c r="AC394" t="s">
        <v>69</v>
      </c>
      <c r="AD394" t="s">
        <v>22319</v>
      </c>
      <c r="AE394" t="s">
        <v>22320</v>
      </c>
      <c r="AF394" t="s">
        <v>69</v>
      </c>
      <c r="AG394" t="s">
        <v>22321</v>
      </c>
      <c r="AH394" t="s">
        <v>22322</v>
      </c>
      <c r="AI394" t="s">
        <v>22323</v>
      </c>
      <c r="AJ394" t="s">
        <v>22324</v>
      </c>
      <c r="AK394" t="s">
        <v>69</v>
      </c>
      <c r="AL394">
        <v>35</v>
      </c>
      <c r="AM394">
        <v>11</v>
      </c>
      <c r="AN394">
        <v>11</v>
      </c>
      <c r="AO394">
        <v>0</v>
      </c>
      <c r="AP394">
        <v>2</v>
      </c>
      <c r="AQ394" t="s">
        <v>8846</v>
      </c>
      <c r="AR394" t="s">
        <v>8847</v>
      </c>
      <c r="AS394" t="s">
        <v>8848</v>
      </c>
      <c r="AT394" t="s">
        <v>22325</v>
      </c>
      <c r="AU394" t="s">
        <v>22326</v>
      </c>
      <c r="AV394" t="s">
        <v>69</v>
      </c>
      <c r="AW394" t="s">
        <v>22327</v>
      </c>
      <c r="AX394" t="s">
        <v>22328</v>
      </c>
      <c r="AY394" t="s">
        <v>75</v>
      </c>
      <c r="AZ394">
        <v>2015</v>
      </c>
      <c r="BA394">
        <v>18</v>
      </c>
      <c r="BB394">
        <v>6</v>
      </c>
      <c r="BC394" t="s">
        <v>69</v>
      </c>
      <c r="BD394" t="s">
        <v>69</v>
      </c>
      <c r="BE394" t="s">
        <v>69</v>
      </c>
      <c r="BF394" t="s">
        <v>69</v>
      </c>
      <c r="BG394">
        <v>3225</v>
      </c>
      <c r="BH394">
        <v>3235</v>
      </c>
      <c r="BI394" t="s">
        <v>69</v>
      </c>
      <c r="BJ394" t="s">
        <v>22329</v>
      </c>
      <c r="BK394" t="str">
        <f>HYPERLINK("http://dx.doi.org/10.1111/hex.12312","http://dx.doi.org/10.1111/hex.12312")</f>
        <v>http://dx.doi.org/10.1111/hex.12312</v>
      </c>
      <c r="BL394" t="s">
        <v>69</v>
      </c>
      <c r="BM394" t="s">
        <v>69</v>
      </c>
      <c r="BN394">
        <v>11</v>
      </c>
      <c r="BO394" t="s">
        <v>11564</v>
      </c>
      <c r="BP394" t="s">
        <v>8523</v>
      </c>
      <c r="BQ394" t="s">
        <v>11565</v>
      </c>
      <c r="BR394" t="s">
        <v>22330</v>
      </c>
      <c r="BS394" t="s">
        <v>22332</v>
      </c>
      <c r="BT394">
        <v>25470115</v>
      </c>
      <c r="BU394" t="s">
        <v>22331</v>
      </c>
      <c r="BV394" t="s">
        <v>69</v>
      </c>
      <c r="BW394" t="s">
        <v>69</v>
      </c>
      <c r="BX394" t="s">
        <v>8526</v>
      </c>
      <c r="BY394" t="str">
        <f>HYPERLINK("https%3A%2F%2Fwww.webofscience.com%2Fwos%2Fwoscc%2Ffull-record%2FWOS:000368250300115","View Full Record in Web of Science")</f>
        <v>View Full Record in Web of Science</v>
      </c>
    </row>
    <row r="395" spans="1:77" ht="12.5" x14ac:dyDescent="0.25">
      <c r="A395" t="s">
        <v>8495</v>
      </c>
      <c r="B395" s="7" t="s">
        <v>32933</v>
      </c>
      <c r="C395" s="7"/>
      <c r="D395" s="7"/>
      <c r="E395" s="7"/>
      <c r="F395" t="s">
        <v>67</v>
      </c>
      <c r="G395" t="s">
        <v>2706</v>
      </c>
      <c r="H395" t="s">
        <v>69</v>
      </c>
      <c r="I395" t="s">
        <v>69</v>
      </c>
      <c r="J395" t="s">
        <v>69</v>
      </c>
      <c r="K395" t="s">
        <v>2707</v>
      </c>
      <c r="L395" t="s">
        <v>69</v>
      </c>
      <c r="M395" t="s">
        <v>69</v>
      </c>
      <c r="N395" t="s">
        <v>2708</v>
      </c>
      <c r="O395" t="s">
        <v>2709</v>
      </c>
      <c r="P395" t="s">
        <v>69</v>
      </c>
      <c r="Q395" t="s">
        <v>69</v>
      </c>
      <c r="R395" t="s">
        <v>8505</v>
      </c>
      <c r="S395" t="s">
        <v>8506</v>
      </c>
      <c r="T395" t="s">
        <v>69</v>
      </c>
      <c r="U395" t="s">
        <v>69</v>
      </c>
      <c r="V395" t="s">
        <v>69</v>
      </c>
      <c r="W395" t="s">
        <v>69</v>
      </c>
      <c r="X395" t="s">
        <v>69</v>
      </c>
      <c r="Y395" t="s">
        <v>20682</v>
      </c>
      <c r="Z395" t="s">
        <v>20683</v>
      </c>
      <c r="AA395" t="s">
        <v>2710</v>
      </c>
      <c r="AB395" t="s">
        <v>20684</v>
      </c>
      <c r="AC395" t="s">
        <v>69</v>
      </c>
      <c r="AD395" t="s">
        <v>20685</v>
      </c>
      <c r="AE395" t="s">
        <v>20686</v>
      </c>
      <c r="AF395" t="s">
        <v>2711</v>
      </c>
      <c r="AG395" t="s">
        <v>2712</v>
      </c>
      <c r="AH395" t="s">
        <v>20687</v>
      </c>
      <c r="AI395" t="s">
        <v>20687</v>
      </c>
      <c r="AJ395" t="s">
        <v>20688</v>
      </c>
      <c r="AK395" t="s">
        <v>69</v>
      </c>
      <c r="AL395">
        <v>105</v>
      </c>
      <c r="AM395">
        <v>20</v>
      </c>
      <c r="AN395">
        <v>20</v>
      </c>
      <c r="AO395">
        <v>2</v>
      </c>
      <c r="AP395">
        <v>12</v>
      </c>
      <c r="AQ395" t="s">
        <v>8865</v>
      </c>
      <c r="AR395" t="s">
        <v>8612</v>
      </c>
      <c r="AS395" t="s">
        <v>8866</v>
      </c>
      <c r="AT395" t="s">
        <v>2713</v>
      </c>
      <c r="AU395" t="s">
        <v>2714</v>
      </c>
      <c r="AV395" t="s">
        <v>69</v>
      </c>
      <c r="AW395" t="s">
        <v>20689</v>
      </c>
      <c r="AX395" t="s">
        <v>20690</v>
      </c>
      <c r="AY395" t="s">
        <v>69</v>
      </c>
      <c r="AZ395">
        <v>2017</v>
      </c>
      <c r="BA395">
        <v>18</v>
      </c>
      <c r="BB395">
        <v>3</v>
      </c>
      <c r="BC395" t="s">
        <v>69</v>
      </c>
      <c r="BD395" t="s">
        <v>69</v>
      </c>
      <c r="BE395" t="s">
        <v>69</v>
      </c>
      <c r="BF395" t="s">
        <v>69</v>
      </c>
      <c r="BG395">
        <v>446</v>
      </c>
      <c r="BH395">
        <v>465</v>
      </c>
      <c r="BI395" t="s">
        <v>69</v>
      </c>
      <c r="BJ395" t="s">
        <v>2715</v>
      </c>
      <c r="BK395" t="str">
        <f>HYPERLINK("http://dx.doi.org/10.1080/14649357.2017.1316514","http://dx.doi.org/10.1080/14649357.2017.1316514")</f>
        <v>http://dx.doi.org/10.1080/14649357.2017.1316514</v>
      </c>
      <c r="BL395" t="s">
        <v>69</v>
      </c>
      <c r="BM395" t="s">
        <v>69</v>
      </c>
      <c r="BN395">
        <v>20</v>
      </c>
      <c r="BO395" t="s">
        <v>9944</v>
      </c>
      <c r="BP395" t="s">
        <v>8661</v>
      </c>
      <c r="BQ395" t="s">
        <v>9945</v>
      </c>
      <c r="BR395" t="s">
        <v>20691</v>
      </c>
      <c r="BS395" t="s">
        <v>2716</v>
      </c>
      <c r="BT395" t="s">
        <v>69</v>
      </c>
      <c r="BU395" t="s">
        <v>13280</v>
      </c>
      <c r="BV395" t="s">
        <v>69</v>
      </c>
      <c r="BW395" t="s">
        <v>69</v>
      </c>
      <c r="BX395" t="s">
        <v>8526</v>
      </c>
      <c r="BY395" t="str">
        <f>HYPERLINK("https%3A%2F%2Fwww.webofscience.com%2Fwos%2Fwoscc%2Ffull-record%2FWOS:000418328700008","View Full Record in Web of Science")</f>
        <v>View Full Record in Web of Science</v>
      </c>
    </row>
    <row r="396" spans="1:77" x14ac:dyDescent="0.3">
      <c r="A396" t="s">
        <v>8495</v>
      </c>
      <c r="B396" s="9" t="s">
        <v>32954</v>
      </c>
      <c r="C396" s="9" t="s">
        <v>33107</v>
      </c>
      <c r="D396" s="9" t="s">
        <v>8490</v>
      </c>
      <c r="E396" s="9" t="s">
        <v>8490</v>
      </c>
      <c r="F396" t="s">
        <v>67</v>
      </c>
      <c r="G396" t="s">
        <v>15999</v>
      </c>
      <c r="H396" t="s">
        <v>69</v>
      </c>
      <c r="I396" t="s">
        <v>69</v>
      </c>
      <c r="J396" t="s">
        <v>69</v>
      </c>
      <c r="K396" t="s">
        <v>16000</v>
      </c>
      <c r="L396" t="s">
        <v>69</v>
      </c>
      <c r="M396" t="s">
        <v>69</v>
      </c>
      <c r="N396" t="s">
        <v>16001</v>
      </c>
      <c r="O396" t="s">
        <v>16002</v>
      </c>
      <c r="P396" t="s">
        <v>69</v>
      </c>
      <c r="Q396" t="s">
        <v>69</v>
      </c>
      <c r="R396" t="s">
        <v>8505</v>
      </c>
      <c r="S396" t="s">
        <v>8506</v>
      </c>
      <c r="T396" t="s">
        <v>69</v>
      </c>
      <c r="U396" t="s">
        <v>69</v>
      </c>
      <c r="V396" t="s">
        <v>69</v>
      </c>
      <c r="W396" t="s">
        <v>69</v>
      </c>
      <c r="X396" t="s">
        <v>69</v>
      </c>
      <c r="Y396" t="s">
        <v>16003</v>
      </c>
      <c r="Z396" t="s">
        <v>16004</v>
      </c>
      <c r="AA396" t="s">
        <v>16005</v>
      </c>
      <c r="AB396" t="s">
        <v>16006</v>
      </c>
      <c r="AC396" t="s">
        <v>69</v>
      </c>
      <c r="AD396" t="s">
        <v>16007</v>
      </c>
      <c r="AE396" t="s">
        <v>16008</v>
      </c>
      <c r="AF396" t="s">
        <v>69</v>
      </c>
      <c r="AG396" t="s">
        <v>69</v>
      </c>
      <c r="AH396" t="s">
        <v>69</v>
      </c>
      <c r="AI396" t="s">
        <v>69</v>
      </c>
      <c r="AJ396" t="s">
        <v>69</v>
      </c>
      <c r="AK396" t="s">
        <v>69</v>
      </c>
      <c r="AL396">
        <v>67</v>
      </c>
      <c r="AM396">
        <v>2</v>
      </c>
      <c r="AN396">
        <v>2</v>
      </c>
      <c r="AO396">
        <v>1</v>
      </c>
      <c r="AP396">
        <v>4</v>
      </c>
      <c r="AQ396" t="s">
        <v>16009</v>
      </c>
      <c r="AR396" t="s">
        <v>12027</v>
      </c>
      <c r="AS396" t="s">
        <v>16010</v>
      </c>
      <c r="AT396" t="s">
        <v>16011</v>
      </c>
      <c r="AU396" t="s">
        <v>69</v>
      </c>
      <c r="AV396" t="s">
        <v>69</v>
      </c>
      <c r="AW396" t="s">
        <v>16012</v>
      </c>
      <c r="AX396" t="s">
        <v>16013</v>
      </c>
      <c r="AY396" t="s">
        <v>69</v>
      </c>
      <c r="AZ396">
        <v>2020</v>
      </c>
      <c r="BA396">
        <v>27</v>
      </c>
      <c r="BB396" t="s">
        <v>69</v>
      </c>
      <c r="BC396" t="s">
        <v>69</v>
      </c>
      <c r="BD396" t="s">
        <v>69</v>
      </c>
      <c r="BE396" t="s">
        <v>69</v>
      </c>
      <c r="BF396" t="s">
        <v>69</v>
      </c>
      <c r="BG396">
        <v>1166</v>
      </c>
      <c r="BH396">
        <v>1188</v>
      </c>
      <c r="BI396" t="s">
        <v>69</v>
      </c>
      <c r="BJ396" t="s">
        <v>69</v>
      </c>
      <c r="BK396" t="s">
        <v>69</v>
      </c>
      <c r="BL396" t="s">
        <v>69</v>
      </c>
      <c r="BM396" t="s">
        <v>69</v>
      </c>
      <c r="BN396">
        <v>23</v>
      </c>
      <c r="BO396" t="s">
        <v>8660</v>
      </c>
      <c r="BP396" t="s">
        <v>8573</v>
      </c>
      <c r="BQ396" t="s">
        <v>8662</v>
      </c>
      <c r="BR396" t="s">
        <v>16014</v>
      </c>
      <c r="BS396" t="s">
        <v>16015</v>
      </c>
      <c r="BT396" t="s">
        <v>69</v>
      </c>
      <c r="BU396" t="s">
        <v>69</v>
      </c>
      <c r="BV396" t="s">
        <v>69</v>
      </c>
      <c r="BW396" t="s">
        <v>69</v>
      </c>
      <c r="BX396" t="s">
        <v>8526</v>
      </c>
      <c r="BY396" t="str">
        <f>HYPERLINK("https%3A%2F%2Fwww.webofscience.com%2Fwos%2Fwoscc%2Ffull-record%2FWOS:000615795400004","View Full Record in Web of Science")</f>
        <v>View Full Record in Web of Science</v>
      </c>
    </row>
    <row r="397" spans="1:77" ht="12.5" x14ac:dyDescent="0.25">
      <c r="A397" t="s">
        <v>8495</v>
      </c>
      <c r="B397" s="22" t="s">
        <v>32931</v>
      </c>
      <c r="C397" s="7"/>
      <c r="D397" s="7"/>
      <c r="E397" s="7"/>
      <c r="F397" t="s">
        <v>67</v>
      </c>
      <c r="G397" t="s">
        <v>30427</v>
      </c>
      <c r="H397" t="s">
        <v>69</v>
      </c>
      <c r="I397" t="s">
        <v>69</v>
      </c>
      <c r="J397" t="s">
        <v>69</v>
      </c>
      <c r="K397" t="s">
        <v>30428</v>
      </c>
      <c r="L397" t="s">
        <v>69</v>
      </c>
      <c r="M397" t="s">
        <v>69</v>
      </c>
      <c r="N397" t="s">
        <v>30429</v>
      </c>
      <c r="O397" t="s">
        <v>30430</v>
      </c>
      <c r="P397" t="s">
        <v>69</v>
      </c>
      <c r="Q397" t="s">
        <v>69</v>
      </c>
      <c r="R397" t="s">
        <v>8505</v>
      </c>
      <c r="S397" t="s">
        <v>8506</v>
      </c>
      <c r="T397" t="s">
        <v>69</v>
      </c>
      <c r="U397" t="s">
        <v>69</v>
      </c>
      <c r="V397" t="s">
        <v>69</v>
      </c>
      <c r="W397" t="s">
        <v>69</v>
      </c>
      <c r="X397" t="s">
        <v>69</v>
      </c>
      <c r="Y397" t="s">
        <v>30431</v>
      </c>
      <c r="Z397" t="s">
        <v>69</v>
      </c>
      <c r="AA397" t="s">
        <v>30432</v>
      </c>
      <c r="AB397" t="s">
        <v>30433</v>
      </c>
      <c r="AC397" t="s">
        <v>69</v>
      </c>
      <c r="AD397" t="s">
        <v>30434</v>
      </c>
      <c r="AE397" t="s">
        <v>30435</v>
      </c>
      <c r="AF397" t="s">
        <v>69</v>
      </c>
      <c r="AG397" t="s">
        <v>30436</v>
      </c>
      <c r="AH397" t="s">
        <v>69</v>
      </c>
      <c r="AI397" t="s">
        <v>69</v>
      </c>
      <c r="AJ397" t="s">
        <v>69</v>
      </c>
      <c r="AK397" t="s">
        <v>69</v>
      </c>
      <c r="AL397">
        <v>20</v>
      </c>
      <c r="AM397">
        <v>12</v>
      </c>
      <c r="AN397">
        <v>12</v>
      </c>
      <c r="AO397">
        <v>0</v>
      </c>
      <c r="AP397">
        <v>0</v>
      </c>
      <c r="AQ397" t="s">
        <v>8586</v>
      </c>
      <c r="AR397" t="s">
        <v>8587</v>
      </c>
      <c r="AS397" t="s">
        <v>8588</v>
      </c>
      <c r="AT397" t="s">
        <v>30437</v>
      </c>
      <c r="AU397" t="s">
        <v>30438</v>
      </c>
      <c r="AV397" t="s">
        <v>69</v>
      </c>
      <c r="AW397" t="s">
        <v>30439</v>
      </c>
      <c r="AX397" t="s">
        <v>30440</v>
      </c>
      <c r="AY397" t="s">
        <v>69</v>
      </c>
      <c r="AZ397">
        <v>2006</v>
      </c>
      <c r="BA397">
        <v>48</v>
      </c>
      <c r="BB397">
        <v>1</v>
      </c>
      <c r="BC397" t="s">
        <v>69</v>
      </c>
      <c r="BD397" t="s">
        <v>69</v>
      </c>
      <c r="BE397" t="s">
        <v>69</v>
      </c>
      <c r="BF397" t="s">
        <v>69</v>
      </c>
      <c r="BG397">
        <v>15</v>
      </c>
      <c r="BH397">
        <v>24</v>
      </c>
      <c r="BI397" t="s">
        <v>69</v>
      </c>
      <c r="BJ397" t="s">
        <v>30441</v>
      </c>
      <c r="BK397" t="str">
        <f>HYPERLINK("http://dx.doi.org/10.1108/00400910610645707","http://dx.doi.org/10.1108/00400910610645707")</f>
        <v>http://dx.doi.org/10.1108/00400910610645707</v>
      </c>
      <c r="BL397" t="s">
        <v>69</v>
      </c>
      <c r="BM397" t="s">
        <v>69</v>
      </c>
      <c r="BN397">
        <v>10</v>
      </c>
      <c r="BO397" t="s">
        <v>9290</v>
      </c>
      <c r="BP397" t="s">
        <v>8573</v>
      </c>
      <c r="BQ397" t="s">
        <v>9290</v>
      </c>
      <c r="BR397" t="s">
        <v>30442</v>
      </c>
      <c r="BS397" t="s">
        <v>30443</v>
      </c>
      <c r="BT397" t="s">
        <v>69</v>
      </c>
      <c r="BU397" t="s">
        <v>9292</v>
      </c>
      <c r="BV397" t="s">
        <v>69</v>
      </c>
      <c r="BW397" t="s">
        <v>69</v>
      </c>
      <c r="BX397" t="s">
        <v>8526</v>
      </c>
      <c r="BY397" t="str">
        <f>HYPERLINK("https%3A%2F%2Fwww.webofscience.com%2Fwos%2Fwoscc%2Ffull-record%2FWOS:000213435200017","View Full Record in Web of Science")</f>
        <v>View Full Record in Web of Science</v>
      </c>
    </row>
    <row r="398" spans="1:77" ht="12.5" x14ac:dyDescent="0.25">
      <c r="A398" t="s">
        <v>8495</v>
      </c>
      <c r="B398" s="22" t="s">
        <v>32931</v>
      </c>
      <c r="C398" s="7"/>
      <c r="D398" s="7"/>
      <c r="E398" s="7"/>
      <c r="F398" t="s">
        <v>67</v>
      </c>
      <c r="G398" t="s">
        <v>31794</v>
      </c>
      <c r="H398" t="s">
        <v>69</v>
      </c>
      <c r="I398" t="s">
        <v>69</v>
      </c>
      <c r="J398" t="s">
        <v>69</v>
      </c>
      <c r="K398" t="s">
        <v>31794</v>
      </c>
      <c r="L398" t="s">
        <v>69</v>
      </c>
      <c r="M398" t="s">
        <v>69</v>
      </c>
      <c r="N398" t="s">
        <v>31795</v>
      </c>
      <c r="O398" t="s">
        <v>31796</v>
      </c>
      <c r="P398" t="s">
        <v>69</v>
      </c>
      <c r="Q398" t="s">
        <v>69</v>
      </c>
      <c r="R398" t="s">
        <v>8505</v>
      </c>
      <c r="S398" t="s">
        <v>15797</v>
      </c>
      <c r="T398" t="s">
        <v>31797</v>
      </c>
      <c r="U398" t="s">
        <v>31798</v>
      </c>
      <c r="V398" t="s">
        <v>31799</v>
      </c>
      <c r="W398" t="s">
        <v>31800</v>
      </c>
      <c r="X398" t="s">
        <v>69</v>
      </c>
      <c r="Y398" t="s">
        <v>31801</v>
      </c>
      <c r="Z398" t="s">
        <v>31802</v>
      </c>
      <c r="AA398" t="s">
        <v>31803</v>
      </c>
      <c r="AB398" t="s">
        <v>31804</v>
      </c>
      <c r="AC398" t="s">
        <v>69</v>
      </c>
      <c r="AD398" t="s">
        <v>31805</v>
      </c>
      <c r="AE398" t="s">
        <v>31806</v>
      </c>
      <c r="AF398" t="s">
        <v>31807</v>
      </c>
      <c r="AG398" t="s">
        <v>31808</v>
      </c>
      <c r="AH398" t="s">
        <v>69</v>
      </c>
      <c r="AI398" t="s">
        <v>69</v>
      </c>
      <c r="AJ398" t="s">
        <v>69</v>
      </c>
      <c r="AK398" t="s">
        <v>69</v>
      </c>
      <c r="AL398">
        <v>228</v>
      </c>
      <c r="AM398">
        <v>299</v>
      </c>
      <c r="AN398">
        <v>327</v>
      </c>
      <c r="AO398">
        <v>4</v>
      </c>
      <c r="AP398">
        <v>58</v>
      </c>
      <c r="AQ398" t="s">
        <v>8516</v>
      </c>
      <c r="AR398" t="s">
        <v>8517</v>
      </c>
      <c r="AS398" t="s">
        <v>8518</v>
      </c>
      <c r="AT398" t="s">
        <v>31809</v>
      </c>
      <c r="AU398" t="s">
        <v>31810</v>
      </c>
      <c r="AV398" t="s">
        <v>69</v>
      </c>
      <c r="AW398" t="s">
        <v>31811</v>
      </c>
      <c r="AX398" t="s">
        <v>31812</v>
      </c>
      <c r="AY398" t="s">
        <v>4429</v>
      </c>
      <c r="AZ398">
        <v>2000</v>
      </c>
      <c r="BA398">
        <v>103</v>
      </c>
      <c r="BB398" t="s">
        <v>336</v>
      </c>
      <c r="BC398" t="s">
        <v>69</v>
      </c>
      <c r="BD398" t="s">
        <v>69</v>
      </c>
      <c r="BE398" t="s">
        <v>69</v>
      </c>
      <c r="BF398" t="s">
        <v>69</v>
      </c>
      <c r="BG398">
        <v>137</v>
      </c>
      <c r="BH398">
        <v>157</v>
      </c>
      <c r="BI398" t="s">
        <v>69</v>
      </c>
      <c r="BJ398" t="s">
        <v>31813</v>
      </c>
      <c r="BK398" t="str">
        <f>HYPERLINK("http://dx.doi.org/10.1016/S0168-1923(00)00108-8","http://dx.doi.org/10.1016/S0168-1923(00)00108-8")</f>
        <v>http://dx.doi.org/10.1016/S0168-1923(00)00108-8</v>
      </c>
      <c r="BL398" t="s">
        <v>69</v>
      </c>
      <c r="BM398" t="s">
        <v>69</v>
      </c>
      <c r="BN398">
        <v>21</v>
      </c>
      <c r="BO398" t="s">
        <v>31814</v>
      </c>
      <c r="BP398" t="s">
        <v>15808</v>
      </c>
      <c r="BQ398" t="s">
        <v>31815</v>
      </c>
      <c r="BR398" t="s">
        <v>31816</v>
      </c>
      <c r="BS398" t="s">
        <v>31817</v>
      </c>
      <c r="BT398" t="s">
        <v>69</v>
      </c>
      <c r="BU398" t="s">
        <v>69</v>
      </c>
      <c r="BV398" t="s">
        <v>69</v>
      </c>
      <c r="BW398" t="s">
        <v>69</v>
      </c>
      <c r="BX398" t="s">
        <v>8526</v>
      </c>
      <c r="BY398" t="str">
        <f>HYPERLINK("https%3A%2F%2Fwww.webofscience.com%2Fwos%2Fwoscc%2Ffull-record%2FWOS:000087530200013","View Full Record in Web of Science")</f>
        <v>View Full Record in Web of Science</v>
      </c>
    </row>
    <row r="399" spans="1:77" ht="12.5" x14ac:dyDescent="0.25">
      <c r="A399" t="s">
        <v>8495</v>
      </c>
      <c r="B399" s="22" t="s">
        <v>32931</v>
      </c>
      <c r="C399" s="7"/>
      <c r="D399" s="7"/>
      <c r="E399" s="7"/>
      <c r="F399" t="s">
        <v>67</v>
      </c>
      <c r="G399" t="s">
        <v>20200</v>
      </c>
      <c r="H399" t="s">
        <v>69</v>
      </c>
      <c r="I399" t="s">
        <v>69</v>
      </c>
      <c r="J399" t="s">
        <v>69</v>
      </c>
      <c r="K399" t="s">
        <v>20201</v>
      </c>
      <c r="L399" t="s">
        <v>69</v>
      </c>
      <c r="M399" t="s">
        <v>69</v>
      </c>
      <c r="N399" t="s">
        <v>20202</v>
      </c>
      <c r="O399" t="s">
        <v>20203</v>
      </c>
      <c r="P399" t="s">
        <v>69</v>
      </c>
      <c r="Q399" t="s">
        <v>69</v>
      </c>
      <c r="R399" t="s">
        <v>8505</v>
      </c>
      <c r="S399" t="s">
        <v>8506</v>
      </c>
      <c r="T399" t="s">
        <v>69</v>
      </c>
      <c r="U399" t="s">
        <v>69</v>
      </c>
      <c r="V399" t="s">
        <v>69</v>
      </c>
      <c r="W399" t="s">
        <v>69</v>
      </c>
      <c r="X399" t="s">
        <v>69</v>
      </c>
      <c r="Y399" t="s">
        <v>20204</v>
      </c>
      <c r="Z399" t="s">
        <v>20205</v>
      </c>
      <c r="AA399" t="s">
        <v>20206</v>
      </c>
      <c r="AB399" t="s">
        <v>20207</v>
      </c>
      <c r="AC399" t="s">
        <v>69</v>
      </c>
      <c r="AD399" t="s">
        <v>20208</v>
      </c>
      <c r="AE399" t="s">
        <v>20209</v>
      </c>
      <c r="AF399" t="s">
        <v>69</v>
      </c>
      <c r="AG399" t="s">
        <v>69</v>
      </c>
      <c r="AH399" t="s">
        <v>20210</v>
      </c>
      <c r="AI399" t="s">
        <v>20211</v>
      </c>
      <c r="AJ399" t="s">
        <v>20212</v>
      </c>
      <c r="AK399" t="s">
        <v>69</v>
      </c>
      <c r="AL399">
        <v>10</v>
      </c>
      <c r="AM399">
        <v>13</v>
      </c>
      <c r="AN399">
        <v>13</v>
      </c>
      <c r="AO399">
        <v>0</v>
      </c>
      <c r="AP399">
        <v>1</v>
      </c>
      <c r="AQ399" t="s">
        <v>20053</v>
      </c>
      <c r="AR399" t="s">
        <v>20054</v>
      </c>
      <c r="AS399" t="s">
        <v>20055</v>
      </c>
      <c r="AT399" t="s">
        <v>20213</v>
      </c>
      <c r="AU399" t="s">
        <v>20214</v>
      </c>
      <c r="AV399" t="s">
        <v>69</v>
      </c>
      <c r="AW399" t="s">
        <v>20215</v>
      </c>
      <c r="AX399" t="s">
        <v>20216</v>
      </c>
      <c r="AY399" t="s">
        <v>2216</v>
      </c>
      <c r="AZ399">
        <v>2017</v>
      </c>
      <c r="BA399">
        <v>216</v>
      </c>
      <c r="BB399" t="s">
        <v>69</v>
      </c>
      <c r="BC399" t="s">
        <v>69</v>
      </c>
      <c r="BD399">
        <v>1</v>
      </c>
      <c r="BE399" t="s">
        <v>69</v>
      </c>
      <c r="BF399" t="s">
        <v>69</v>
      </c>
      <c r="BG399" t="s">
        <v>20217</v>
      </c>
      <c r="BH399" t="s">
        <v>20218</v>
      </c>
      <c r="BI399" t="s">
        <v>69</v>
      </c>
      <c r="BJ399" t="s">
        <v>20219</v>
      </c>
      <c r="BK399" t="str">
        <f>HYPERLINK("http://dx.doi.org/10.1093/infdis/jiw567","http://dx.doi.org/10.1093/infdis/jiw567")</f>
        <v>http://dx.doi.org/10.1093/infdis/jiw567</v>
      </c>
      <c r="BL399" t="s">
        <v>69</v>
      </c>
      <c r="BM399" t="s">
        <v>69</v>
      </c>
      <c r="BN399">
        <v>6</v>
      </c>
      <c r="BO399" t="s">
        <v>20220</v>
      </c>
      <c r="BP399" t="s">
        <v>8548</v>
      </c>
      <c r="BQ399" t="s">
        <v>20220</v>
      </c>
      <c r="BR399" t="s">
        <v>20221</v>
      </c>
      <c r="BS399" t="s">
        <v>20222</v>
      </c>
      <c r="BT399">
        <v>28838165</v>
      </c>
      <c r="BU399" t="s">
        <v>10363</v>
      </c>
      <c r="BV399" t="s">
        <v>69</v>
      </c>
      <c r="BW399" t="s">
        <v>69</v>
      </c>
      <c r="BX399" t="s">
        <v>8526</v>
      </c>
      <c r="BY399" t="str">
        <f>HYPERLINK("https%3A%2F%2Fwww.webofscience.com%2Fwos%2Fwoscc%2Ffull-record%2FWOS:000405094500032","View Full Record in Web of Science")</f>
        <v>View Full Record in Web of Science</v>
      </c>
    </row>
    <row r="400" spans="1:77" ht="12.5" x14ac:dyDescent="0.25">
      <c r="A400" t="s">
        <v>8495</v>
      </c>
      <c r="B400" s="7" t="s">
        <v>32933</v>
      </c>
      <c r="C400" s="7"/>
      <c r="D400" s="7"/>
      <c r="E400" s="7"/>
      <c r="F400" t="s">
        <v>67</v>
      </c>
      <c r="G400" t="s">
        <v>1676</v>
      </c>
      <c r="H400" t="s">
        <v>69</v>
      </c>
      <c r="I400" t="s">
        <v>69</v>
      </c>
      <c r="J400" t="s">
        <v>69</v>
      </c>
      <c r="K400" t="s">
        <v>1676</v>
      </c>
      <c r="L400" t="s">
        <v>69</v>
      </c>
      <c r="M400" t="s">
        <v>69</v>
      </c>
      <c r="N400" t="s">
        <v>1677</v>
      </c>
      <c r="O400" t="s">
        <v>1678</v>
      </c>
      <c r="P400" t="s">
        <v>69</v>
      </c>
      <c r="Q400" t="s">
        <v>69</v>
      </c>
      <c r="R400" t="s">
        <v>8505</v>
      </c>
      <c r="S400" t="s">
        <v>10174</v>
      </c>
      <c r="T400" t="s">
        <v>69</v>
      </c>
      <c r="U400" t="s">
        <v>69</v>
      </c>
      <c r="V400" t="s">
        <v>69</v>
      </c>
      <c r="W400" t="s">
        <v>69</v>
      </c>
      <c r="X400" t="s">
        <v>69</v>
      </c>
      <c r="Y400" t="s">
        <v>69</v>
      </c>
      <c r="Z400" t="s">
        <v>69</v>
      </c>
      <c r="AA400" t="s">
        <v>1679</v>
      </c>
      <c r="AB400" t="s">
        <v>31114</v>
      </c>
      <c r="AC400" t="s">
        <v>69</v>
      </c>
      <c r="AD400" t="s">
        <v>31115</v>
      </c>
      <c r="AE400" t="s">
        <v>31116</v>
      </c>
      <c r="AF400" t="s">
        <v>69</v>
      </c>
      <c r="AG400" t="s">
        <v>69</v>
      </c>
      <c r="AH400" t="s">
        <v>69</v>
      </c>
      <c r="AI400" t="s">
        <v>69</v>
      </c>
      <c r="AJ400" t="s">
        <v>69</v>
      </c>
      <c r="AK400" t="s">
        <v>69</v>
      </c>
      <c r="AL400">
        <v>0</v>
      </c>
      <c r="AM400">
        <v>5</v>
      </c>
      <c r="AN400">
        <v>5</v>
      </c>
      <c r="AO400">
        <v>0</v>
      </c>
      <c r="AP400">
        <v>18</v>
      </c>
      <c r="AQ400" t="s">
        <v>17273</v>
      </c>
      <c r="AR400" t="s">
        <v>12925</v>
      </c>
      <c r="AS400" t="s">
        <v>17274</v>
      </c>
      <c r="AT400" t="s">
        <v>1680</v>
      </c>
      <c r="AU400" t="s">
        <v>69</v>
      </c>
      <c r="AV400" t="s">
        <v>69</v>
      </c>
      <c r="AW400" t="s">
        <v>31117</v>
      </c>
      <c r="AX400" t="s">
        <v>31118</v>
      </c>
      <c r="AY400" t="s">
        <v>191</v>
      </c>
      <c r="AZ400">
        <v>2004</v>
      </c>
      <c r="BA400">
        <v>57</v>
      </c>
      <c r="BB400">
        <v>2</v>
      </c>
      <c r="BC400" t="s">
        <v>69</v>
      </c>
      <c r="BD400" t="s">
        <v>69</v>
      </c>
      <c r="BE400" t="s">
        <v>69</v>
      </c>
      <c r="BF400" t="s">
        <v>69</v>
      </c>
      <c r="BG400">
        <v>107</v>
      </c>
      <c r="BH400">
        <v>117</v>
      </c>
      <c r="BI400" t="s">
        <v>69</v>
      </c>
      <c r="BJ400" t="s">
        <v>1681</v>
      </c>
      <c r="BK400" t="str">
        <f>HYPERLINK("http://dx.doi.org/10.1016/S0147-6513(02)00154-9","http://dx.doi.org/10.1016/S0147-6513(02)00154-9")</f>
        <v>http://dx.doi.org/10.1016/S0147-6513(02)00154-9</v>
      </c>
      <c r="BL400" t="s">
        <v>69</v>
      </c>
      <c r="BM400" t="s">
        <v>69</v>
      </c>
      <c r="BN400">
        <v>11</v>
      </c>
      <c r="BO400" t="s">
        <v>12797</v>
      </c>
      <c r="BP400" t="s">
        <v>8548</v>
      </c>
      <c r="BQ400" t="s">
        <v>12798</v>
      </c>
      <c r="BR400" t="s">
        <v>31119</v>
      </c>
      <c r="BS400" t="s">
        <v>1682</v>
      </c>
      <c r="BT400">
        <v>14759655</v>
      </c>
      <c r="BU400" t="s">
        <v>69</v>
      </c>
      <c r="BV400" t="s">
        <v>69</v>
      </c>
      <c r="BW400" t="s">
        <v>69</v>
      </c>
      <c r="BX400" t="s">
        <v>8526</v>
      </c>
      <c r="BY400" t="str">
        <f>HYPERLINK("https%3A%2F%2Fwww.webofscience.com%2Fwos%2Fwoscc%2Ffull-record%2FWOS:000189036000001","View Full Record in Web of Science")</f>
        <v>View Full Record in Web of Science</v>
      </c>
    </row>
    <row r="401" spans="1:77" ht="12.5" x14ac:dyDescent="0.25">
      <c r="A401" t="s">
        <v>8495</v>
      </c>
      <c r="B401" s="22" t="s">
        <v>32931</v>
      </c>
      <c r="C401" s="7"/>
      <c r="D401" s="7"/>
      <c r="E401" s="7"/>
      <c r="F401" t="s">
        <v>67</v>
      </c>
      <c r="G401" t="s">
        <v>32640</v>
      </c>
      <c r="H401" t="s">
        <v>69</v>
      </c>
      <c r="I401" t="s">
        <v>69</v>
      </c>
      <c r="J401" t="s">
        <v>69</v>
      </c>
      <c r="K401" t="s">
        <v>32640</v>
      </c>
      <c r="L401" t="s">
        <v>69</v>
      </c>
      <c r="M401" t="s">
        <v>69</v>
      </c>
      <c r="N401" t="s">
        <v>32641</v>
      </c>
      <c r="O401" t="s">
        <v>23637</v>
      </c>
      <c r="P401" t="s">
        <v>69</v>
      </c>
      <c r="Q401" t="s">
        <v>69</v>
      </c>
      <c r="R401" t="s">
        <v>8505</v>
      </c>
      <c r="S401" t="s">
        <v>15797</v>
      </c>
      <c r="T401" t="s">
        <v>32642</v>
      </c>
      <c r="U401" t="s">
        <v>32643</v>
      </c>
      <c r="V401" t="s">
        <v>32644</v>
      </c>
      <c r="W401" t="s">
        <v>32645</v>
      </c>
      <c r="X401" t="s">
        <v>69</v>
      </c>
      <c r="Y401" t="s">
        <v>69</v>
      </c>
      <c r="Z401" t="s">
        <v>69</v>
      </c>
      <c r="AA401" t="s">
        <v>32646</v>
      </c>
      <c r="AB401" t="s">
        <v>69</v>
      </c>
      <c r="AC401" t="s">
        <v>69</v>
      </c>
      <c r="AD401" t="s">
        <v>32647</v>
      </c>
      <c r="AE401" t="s">
        <v>69</v>
      </c>
      <c r="AF401" t="s">
        <v>69</v>
      </c>
      <c r="AG401" t="s">
        <v>69</v>
      </c>
      <c r="AH401" t="s">
        <v>69</v>
      </c>
      <c r="AI401" t="s">
        <v>69</v>
      </c>
      <c r="AJ401" t="s">
        <v>69</v>
      </c>
      <c r="AK401" t="s">
        <v>69</v>
      </c>
      <c r="AL401">
        <v>0</v>
      </c>
      <c r="AM401">
        <v>2</v>
      </c>
      <c r="AN401">
        <v>2</v>
      </c>
      <c r="AO401">
        <v>0</v>
      </c>
      <c r="AP401">
        <v>5</v>
      </c>
      <c r="AQ401" t="s">
        <v>17140</v>
      </c>
      <c r="AR401" t="s">
        <v>8517</v>
      </c>
      <c r="AS401" t="s">
        <v>17141</v>
      </c>
      <c r="AT401" t="s">
        <v>23645</v>
      </c>
      <c r="AU401" t="s">
        <v>69</v>
      </c>
      <c r="AV401" t="s">
        <v>69</v>
      </c>
      <c r="AW401" t="s">
        <v>23637</v>
      </c>
      <c r="AX401" t="s">
        <v>23647</v>
      </c>
      <c r="AY401" t="s">
        <v>255</v>
      </c>
      <c r="AZ401">
        <v>1994</v>
      </c>
      <c r="BA401">
        <v>98</v>
      </c>
      <c r="BB401" t="s">
        <v>4219</v>
      </c>
      <c r="BC401" t="s">
        <v>69</v>
      </c>
      <c r="BD401" t="s">
        <v>69</v>
      </c>
      <c r="BE401" t="s">
        <v>69</v>
      </c>
      <c r="BF401" t="s">
        <v>69</v>
      </c>
      <c r="BG401">
        <v>185</v>
      </c>
      <c r="BH401">
        <v>197</v>
      </c>
      <c r="BI401" t="s">
        <v>69</v>
      </c>
      <c r="BJ401" t="s">
        <v>32648</v>
      </c>
      <c r="BK401" t="str">
        <f>HYPERLINK("http://dx.doi.org/10.1016/0011-9164(94)00143-X","http://dx.doi.org/10.1016/0011-9164(94)00143-X")</f>
        <v>http://dx.doi.org/10.1016/0011-9164(94)00143-X</v>
      </c>
      <c r="BL401" t="s">
        <v>69</v>
      </c>
      <c r="BM401" t="s">
        <v>69</v>
      </c>
      <c r="BN401">
        <v>13</v>
      </c>
      <c r="BO401" t="s">
        <v>10870</v>
      </c>
      <c r="BP401" t="s">
        <v>29550</v>
      </c>
      <c r="BQ401" t="s">
        <v>9230</v>
      </c>
      <c r="BR401" t="s">
        <v>32649</v>
      </c>
      <c r="BS401" t="s">
        <v>32650</v>
      </c>
      <c r="BT401" t="s">
        <v>69</v>
      </c>
      <c r="BU401" t="s">
        <v>69</v>
      </c>
      <c r="BV401" t="s">
        <v>69</v>
      </c>
      <c r="BW401" t="s">
        <v>69</v>
      </c>
      <c r="BX401" t="s">
        <v>8526</v>
      </c>
      <c r="BY401" t="str">
        <f>HYPERLINK("https%3A%2F%2Fwww.webofscience.com%2Fwos%2Fwoscc%2Ffull-record%2FWOS:A1994PP05300017","View Full Record in Web of Science")</f>
        <v>View Full Record in Web of Science</v>
      </c>
    </row>
    <row r="402" spans="1:77" x14ac:dyDescent="0.3">
      <c r="A402" t="s">
        <v>8495</v>
      </c>
      <c r="B402" s="10" t="s">
        <v>32968</v>
      </c>
      <c r="F402" t="s">
        <v>67</v>
      </c>
      <c r="G402" t="s">
        <v>5389</v>
      </c>
      <c r="H402" t="s">
        <v>69</v>
      </c>
      <c r="I402" t="s">
        <v>69</v>
      </c>
      <c r="J402" t="s">
        <v>69</v>
      </c>
      <c r="K402" s="2" t="s">
        <v>5390</v>
      </c>
      <c r="L402" t="s">
        <v>69</v>
      </c>
      <c r="M402" t="s">
        <v>69</v>
      </c>
      <c r="N402" s="2" t="s">
        <v>5391</v>
      </c>
      <c r="O402" t="s">
        <v>5392</v>
      </c>
      <c r="P402" t="s">
        <v>69</v>
      </c>
      <c r="Q402" t="s">
        <v>69</v>
      </c>
      <c r="R402" t="s">
        <v>8505</v>
      </c>
      <c r="S402" t="s">
        <v>8506</v>
      </c>
      <c r="T402" t="s">
        <v>69</v>
      </c>
      <c r="U402" t="s">
        <v>69</v>
      </c>
      <c r="V402" t="s">
        <v>69</v>
      </c>
      <c r="W402" t="s">
        <v>69</v>
      </c>
      <c r="X402" t="s">
        <v>69</v>
      </c>
      <c r="Y402" t="s">
        <v>28119</v>
      </c>
      <c r="Z402" t="s">
        <v>69</v>
      </c>
      <c r="AA402" t="s">
        <v>5393</v>
      </c>
      <c r="AB402" t="s">
        <v>28120</v>
      </c>
      <c r="AC402" t="s">
        <v>69</v>
      </c>
      <c r="AD402" t="s">
        <v>28121</v>
      </c>
      <c r="AE402" t="s">
        <v>28122</v>
      </c>
      <c r="AF402" t="s">
        <v>69</v>
      </c>
      <c r="AG402" t="s">
        <v>69</v>
      </c>
      <c r="AH402" t="s">
        <v>69</v>
      </c>
      <c r="AI402" t="s">
        <v>69</v>
      </c>
      <c r="AJ402" t="s">
        <v>69</v>
      </c>
      <c r="AK402" t="s">
        <v>69</v>
      </c>
      <c r="AL402">
        <v>0</v>
      </c>
      <c r="AM402">
        <v>0</v>
      </c>
      <c r="AN402">
        <v>0</v>
      </c>
      <c r="AO402">
        <v>0</v>
      </c>
      <c r="AP402">
        <v>41</v>
      </c>
      <c r="AQ402" t="s">
        <v>28123</v>
      </c>
      <c r="AR402" t="s">
        <v>21297</v>
      </c>
      <c r="AS402" t="s">
        <v>21298</v>
      </c>
      <c r="AT402" t="s">
        <v>5394</v>
      </c>
      <c r="AU402" t="s">
        <v>69</v>
      </c>
      <c r="AV402" t="s">
        <v>69</v>
      </c>
      <c r="AW402" t="s">
        <v>21299</v>
      </c>
      <c r="AX402" t="s">
        <v>21300</v>
      </c>
      <c r="AY402" t="s">
        <v>69</v>
      </c>
      <c r="AZ402">
        <v>2010</v>
      </c>
      <c r="BA402">
        <v>5</v>
      </c>
      <c r="BB402">
        <v>3</v>
      </c>
      <c r="BC402" t="s">
        <v>69</v>
      </c>
      <c r="BD402" t="s">
        <v>69</v>
      </c>
      <c r="BE402" t="s">
        <v>69</v>
      </c>
      <c r="BF402" t="s">
        <v>69</v>
      </c>
      <c r="BG402">
        <v>43</v>
      </c>
      <c r="BH402">
        <v>49</v>
      </c>
      <c r="BI402" t="s">
        <v>69</v>
      </c>
      <c r="BJ402" t="s">
        <v>5395</v>
      </c>
      <c r="BK402" t="str">
        <f>HYPERLINK("http://dx.doi.org/10.3992/jgb.5.3.43","http://dx.doi.org/10.3992/jgb.5.3.43")</f>
        <v>http://dx.doi.org/10.3992/jgb.5.3.43</v>
      </c>
      <c r="BL402" t="s">
        <v>69</v>
      </c>
      <c r="BM402" t="s">
        <v>69</v>
      </c>
      <c r="BN402">
        <v>7</v>
      </c>
      <c r="BO402" t="s">
        <v>8449</v>
      </c>
      <c r="BP402" t="s">
        <v>11207</v>
      </c>
      <c r="BQ402" t="s">
        <v>8449</v>
      </c>
      <c r="BR402" t="s">
        <v>28124</v>
      </c>
      <c r="BS402" t="s">
        <v>5396</v>
      </c>
      <c r="BT402" t="s">
        <v>69</v>
      </c>
      <c r="BU402" t="s">
        <v>8622</v>
      </c>
      <c r="BV402" t="s">
        <v>69</v>
      </c>
      <c r="BW402" t="s">
        <v>69</v>
      </c>
      <c r="BX402" t="s">
        <v>8526</v>
      </c>
      <c r="BY402" t="str">
        <f>HYPERLINK("https%3A%2F%2Fwww.webofscience.com%2Fwos%2Fwoscc%2Ffull-record%2FWOS:000289345300004","View Full Record in Web of Science")</f>
        <v>View Full Record in Web of Science</v>
      </c>
    </row>
    <row r="403" spans="1:77" ht="12.5" x14ac:dyDescent="0.25">
      <c r="A403" t="s">
        <v>8495</v>
      </c>
      <c r="B403" s="22" t="s">
        <v>32931</v>
      </c>
      <c r="C403" s="7"/>
      <c r="D403" s="7"/>
      <c r="E403" s="7"/>
      <c r="F403" t="s">
        <v>67</v>
      </c>
      <c r="G403" t="s">
        <v>28205</v>
      </c>
      <c r="H403" t="s">
        <v>69</v>
      </c>
      <c r="I403" t="s">
        <v>69</v>
      </c>
      <c r="J403" t="s">
        <v>69</v>
      </c>
      <c r="K403" t="s">
        <v>28206</v>
      </c>
      <c r="L403" t="s">
        <v>69</v>
      </c>
      <c r="M403" t="s">
        <v>69</v>
      </c>
      <c r="N403" t="s">
        <v>28207</v>
      </c>
      <c r="O403" t="s">
        <v>28208</v>
      </c>
      <c r="P403" t="s">
        <v>69</v>
      </c>
      <c r="Q403" t="s">
        <v>69</v>
      </c>
      <c r="R403" t="s">
        <v>8505</v>
      </c>
      <c r="S403" t="s">
        <v>8506</v>
      </c>
      <c r="T403" t="s">
        <v>69</v>
      </c>
      <c r="U403" t="s">
        <v>69</v>
      </c>
      <c r="V403" t="s">
        <v>69</v>
      </c>
      <c r="W403" t="s">
        <v>69</v>
      </c>
      <c r="X403" t="s">
        <v>69</v>
      </c>
      <c r="Y403" t="s">
        <v>28209</v>
      </c>
      <c r="Z403" t="s">
        <v>28210</v>
      </c>
      <c r="AA403" t="s">
        <v>28211</v>
      </c>
      <c r="AB403" t="s">
        <v>28212</v>
      </c>
      <c r="AC403" t="s">
        <v>69</v>
      </c>
      <c r="AD403" t="s">
        <v>28213</v>
      </c>
      <c r="AE403" t="s">
        <v>28214</v>
      </c>
      <c r="AF403" t="s">
        <v>28215</v>
      </c>
      <c r="AG403" t="s">
        <v>28216</v>
      </c>
      <c r="AH403" t="s">
        <v>69</v>
      </c>
      <c r="AI403" t="s">
        <v>69</v>
      </c>
      <c r="AJ403" t="s">
        <v>69</v>
      </c>
      <c r="AK403" t="s">
        <v>69</v>
      </c>
      <c r="AL403">
        <v>139</v>
      </c>
      <c r="AM403">
        <v>12</v>
      </c>
      <c r="AN403">
        <v>13</v>
      </c>
      <c r="AO403">
        <v>0</v>
      </c>
      <c r="AP403">
        <v>1</v>
      </c>
      <c r="AQ403" t="s">
        <v>28217</v>
      </c>
      <c r="AR403" t="s">
        <v>28218</v>
      </c>
      <c r="AS403" t="s">
        <v>28219</v>
      </c>
      <c r="AT403" t="s">
        <v>28220</v>
      </c>
      <c r="AU403" t="s">
        <v>69</v>
      </c>
      <c r="AV403" t="s">
        <v>69</v>
      </c>
      <c r="AW403" t="s">
        <v>28221</v>
      </c>
      <c r="AX403" t="s">
        <v>28222</v>
      </c>
      <c r="AY403" t="s">
        <v>69</v>
      </c>
      <c r="AZ403">
        <v>2010</v>
      </c>
      <c r="BA403">
        <v>21</v>
      </c>
      <c r="BB403">
        <v>2</v>
      </c>
      <c r="BC403" t="s">
        <v>69</v>
      </c>
      <c r="BD403" t="s">
        <v>69</v>
      </c>
      <c r="BE403" t="s">
        <v>69</v>
      </c>
      <c r="BF403" t="s">
        <v>69</v>
      </c>
      <c r="BG403">
        <v>193</v>
      </c>
      <c r="BH403">
        <v>219</v>
      </c>
      <c r="BI403" t="s">
        <v>69</v>
      </c>
      <c r="BJ403" t="s">
        <v>28223</v>
      </c>
      <c r="BK403" t="str">
        <f>HYPERLINK("http://dx.doi.org/10.5771/0935-9915-2010-2-193","http://dx.doi.org/10.5771/0935-9915-2010-2-193")</f>
        <v>http://dx.doi.org/10.5771/0935-9915-2010-2-193</v>
      </c>
      <c r="BL403" t="s">
        <v>69</v>
      </c>
      <c r="BM403" t="s">
        <v>69</v>
      </c>
      <c r="BN403">
        <v>27</v>
      </c>
      <c r="BO403" t="s">
        <v>9410</v>
      </c>
      <c r="BP403" t="s">
        <v>8573</v>
      </c>
      <c r="BQ403" t="s">
        <v>8594</v>
      </c>
      <c r="BR403" t="s">
        <v>28224</v>
      </c>
      <c r="BS403" t="s">
        <v>28225</v>
      </c>
      <c r="BT403" t="s">
        <v>69</v>
      </c>
      <c r="BU403" t="s">
        <v>24397</v>
      </c>
      <c r="BV403" t="s">
        <v>69</v>
      </c>
      <c r="BW403" t="s">
        <v>69</v>
      </c>
      <c r="BX403" t="s">
        <v>8526</v>
      </c>
      <c r="BY403" t="str">
        <f>HYPERLINK("https%3A%2F%2Fwww.webofscience.com%2Fwos%2Fwoscc%2Ffull-record%2FWOS:000215069400005","View Full Record in Web of Science")</f>
        <v>View Full Record in Web of Science</v>
      </c>
    </row>
    <row r="404" spans="1:77" ht="12.5" x14ac:dyDescent="0.25">
      <c r="A404" t="s">
        <v>8495</v>
      </c>
      <c r="B404" s="22" t="s">
        <v>32931</v>
      </c>
      <c r="C404" s="7"/>
      <c r="D404" s="7"/>
      <c r="E404" s="7"/>
      <c r="F404" t="s">
        <v>67</v>
      </c>
      <c r="G404" t="s">
        <v>29316</v>
      </c>
      <c r="H404" t="s">
        <v>69</v>
      </c>
      <c r="I404" t="s">
        <v>69</v>
      </c>
      <c r="J404" t="s">
        <v>69</v>
      </c>
      <c r="K404" t="s">
        <v>29317</v>
      </c>
      <c r="L404" t="s">
        <v>69</v>
      </c>
      <c r="M404" t="s">
        <v>69</v>
      </c>
      <c r="N404" t="s">
        <v>29318</v>
      </c>
      <c r="O404" t="s">
        <v>29319</v>
      </c>
      <c r="P404" t="s">
        <v>69</v>
      </c>
      <c r="Q404" t="s">
        <v>69</v>
      </c>
      <c r="R404" t="s">
        <v>8505</v>
      </c>
      <c r="S404" t="s">
        <v>8506</v>
      </c>
      <c r="T404" t="s">
        <v>69</v>
      </c>
      <c r="U404" t="s">
        <v>69</v>
      </c>
      <c r="V404" t="s">
        <v>69</v>
      </c>
      <c r="W404" t="s">
        <v>69</v>
      </c>
      <c r="X404" t="s">
        <v>69</v>
      </c>
      <c r="Y404" t="s">
        <v>29320</v>
      </c>
      <c r="Z404" t="s">
        <v>69</v>
      </c>
      <c r="AA404" t="s">
        <v>29321</v>
      </c>
      <c r="AB404" t="s">
        <v>29322</v>
      </c>
      <c r="AC404" t="s">
        <v>69</v>
      </c>
      <c r="AD404" t="s">
        <v>29323</v>
      </c>
      <c r="AE404" t="s">
        <v>29324</v>
      </c>
      <c r="AF404" t="s">
        <v>69</v>
      </c>
      <c r="AG404" t="s">
        <v>29325</v>
      </c>
      <c r="AH404" t="s">
        <v>69</v>
      </c>
      <c r="AI404" t="s">
        <v>69</v>
      </c>
      <c r="AJ404" t="s">
        <v>69</v>
      </c>
      <c r="AK404" t="s">
        <v>69</v>
      </c>
      <c r="AL404">
        <v>24</v>
      </c>
      <c r="AM404">
        <v>1</v>
      </c>
      <c r="AN404">
        <v>1</v>
      </c>
      <c r="AO404">
        <v>1</v>
      </c>
      <c r="AP404">
        <v>1</v>
      </c>
      <c r="AQ404" t="s">
        <v>8586</v>
      </c>
      <c r="AR404" t="s">
        <v>8587</v>
      </c>
      <c r="AS404" t="s">
        <v>8588</v>
      </c>
      <c r="AT404" t="s">
        <v>29326</v>
      </c>
      <c r="AU404" t="s">
        <v>29327</v>
      </c>
      <c r="AV404" t="s">
        <v>69</v>
      </c>
      <c r="AW404" t="s">
        <v>29328</v>
      </c>
      <c r="AX404" t="s">
        <v>29329</v>
      </c>
      <c r="AY404" t="s">
        <v>69</v>
      </c>
      <c r="AZ404">
        <v>2008</v>
      </c>
      <c r="BA404">
        <v>8</v>
      </c>
      <c r="BB404">
        <v>5</v>
      </c>
      <c r="BC404" t="s">
        <v>69</v>
      </c>
      <c r="BD404" t="s">
        <v>69</v>
      </c>
      <c r="BE404" t="s">
        <v>69</v>
      </c>
      <c r="BF404" t="s">
        <v>69</v>
      </c>
      <c r="BG404">
        <v>637</v>
      </c>
      <c r="BH404">
        <v>648</v>
      </c>
      <c r="BI404" t="s">
        <v>69</v>
      </c>
      <c r="BJ404" t="s">
        <v>29330</v>
      </c>
      <c r="BK404" t="str">
        <f>HYPERLINK("http://dx.doi.org/10.1108/14720700810913296","http://dx.doi.org/10.1108/14720700810913296")</f>
        <v>http://dx.doi.org/10.1108/14720700810913296</v>
      </c>
      <c r="BL404" t="s">
        <v>69</v>
      </c>
      <c r="BM404" t="s">
        <v>69</v>
      </c>
      <c r="BN404">
        <v>12</v>
      </c>
      <c r="BO404" t="s">
        <v>8444</v>
      </c>
      <c r="BP404" t="s">
        <v>8573</v>
      </c>
      <c r="BQ404" t="s">
        <v>8594</v>
      </c>
      <c r="BR404" t="s">
        <v>29331</v>
      </c>
      <c r="BS404" t="s">
        <v>29332</v>
      </c>
      <c r="BT404" t="s">
        <v>69</v>
      </c>
      <c r="BU404" t="s">
        <v>69</v>
      </c>
      <c r="BV404" t="s">
        <v>69</v>
      </c>
      <c r="BW404" t="s">
        <v>69</v>
      </c>
      <c r="BX404" t="s">
        <v>8526</v>
      </c>
      <c r="BY404" t="str">
        <f>HYPERLINK("https%3A%2F%2Fwww.webofscience.com%2Fwos%2Fwoscc%2Ffull-record%2FWOS:000212653300005","View Full Record in Web of Science")</f>
        <v>View Full Record in Web of Science</v>
      </c>
    </row>
    <row r="405" spans="1:77" x14ac:dyDescent="0.3">
      <c r="A405" t="s">
        <v>8495</v>
      </c>
      <c r="B405" s="9" t="s">
        <v>32954</v>
      </c>
      <c r="D405" s="9" t="s">
        <v>8491</v>
      </c>
      <c r="E405" s="9" t="s">
        <v>8490</v>
      </c>
      <c r="F405" t="s">
        <v>67</v>
      </c>
      <c r="G405" t="s">
        <v>9454</v>
      </c>
      <c r="H405" t="s">
        <v>69</v>
      </c>
      <c r="I405" t="s">
        <v>69</v>
      </c>
      <c r="J405" t="s">
        <v>69</v>
      </c>
      <c r="K405" t="s">
        <v>9455</v>
      </c>
      <c r="L405" t="s">
        <v>69</v>
      </c>
      <c r="M405" t="s">
        <v>69</v>
      </c>
      <c r="N405" t="s">
        <v>9456</v>
      </c>
      <c r="O405" t="s">
        <v>7227</v>
      </c>
      <c r="P405" t="s">
        <v>69</v>
      </c>
      <c r="Q405" t="s">
        <v>69</v>
      </c>
      <c r="R405" t="s">
        <v>8505</v>
      </c>
      <c r="S405" t="s">
        <v>8506</v>
      </c>
      <c r="T405" t="s">
        <v>69</v>
      </c>
      <c r="U405" t="s">
        <v>69</v>
      </c>
      <c r="V405" t="s">
        <v>69</v>
      </c>
      <c r="W405" t="s">
        <v>69</v>
      </c>
      <c r="X405" t="s">
        <v>69</v>
      </c>
      <c r="Y405" t="s">
        <v>9457</v>
      </c>
      <c r="Z405" t="s">
        <v>9458</v>
      </c>
      <c r="AA405" t="s">
        <v>9459</v>
      </c>
      <c r="AB405" t="s">
        <v>9460</v>
      </c>
      <c r="AC405" t="s">
        <v>69</v>
      </c>
      <c r="AD405" t="s">
        <v>9461</v>
      </c>
      <c r="AE405" t="s">
        <v>9462</v>
      </c>
      <c r="AF405" t="s">
        <v>9463</v>
      </c>
      <c r="AG405" t="s">
        <v>9464</v>
      </c>
      <c r="AH405" t="s">
        <v>9465</v>
      </c>
      <c r="AI405" t="s">
        <v>9465</v>
      </c>
      <c r="AJ405" t="s">
        <v>9466</v>
      </c>
      <c r="AK405" t="s">
        <v>69</v>
      </c>
      <c r="AL405">
        <v>97</v>
      </c>
      <c r="AM405">
        <v>0</v>
      </c>
      <c r="AN405">
        <v>0</v>
      </c>
      <c r="AO405">
        <v>21</v>
      </c>
      <c r="AP405">
        <v>21</v>
      </c>
      <c r="AQ405" t="s">
        <v>8924</v>
      </c>
      <c r="AR405" t="s">
        <v>8925</v>
      </c>
      <c r="AS405" t="s">
        <v>8926</v>
      </c>
      <c r="AT405" t="s">
        <v>69</v>
      </c>
      <c r="AU405" t="s">
        <v>7231</v>
      </c>
      <c r="AV405" t="s">
        <v>69</v>
      </c>
      <c r="AW405" t="s">
        <v>7227</v>
      </c>
      <c r="AX405" t="s">
        <v>9162</v>
      </c>
      <c r="AY405" t="s">
        <v>246</v>
      </c>
      <c r="AZ405">
        <v>2022</v>
      </c>
      <c r="BA405">
        <v>15</v>
      </c>
      <c r="BB405">
        <v>8</v>
      </c>
      <c r="BC405" t="s">
        <v>69</v>
      </c>
      <c r="BD405" t="s">
        <v>69</v>
      </c>
      <c r="BE405" t="s">
        <v>69</v>
      </c>
      <c r="BF405" t="s">
        <v>69</v>
      </c>
      <c r="BG405" t="s">
        <v>69</v>
      </c>
      <c r="BH405" t="s">
        <v>69</v>
      </c>
      <c r="BI405">
        <v>2745</v>
      </c>
      <c r="BJ405" t="s">
        <v>9467</v>
      </c>
      <c r="BK405" t="str">
        <f>HYPERLINK("http://dx.doi.org/10.3390/en15082745","http://dx.doi.org/10.3390/en15082745")</f>
        <v>http://dx.doi.org/10.3390/en15082745</v>
      </c>
      <c r="BL405" t="s">
        <v>69</v>
      </c>
      <c r="BM405" t="s">
        <v>69</v>
      </c>
      <c r="BN405">
        <v>26</v>
      </c>
      <c r="BO405" t="s">
        <v>9164</v>
      </c>
      <c r="BP405" t="s">
        <v>8548</v>
      </c>
      <c r="BQ405" t="s">
        <v>9164</v>
      </c>
      <c r="BR405" t="s">
        <v>9468</v>
      </c>
      <c r="BS405" t="s">
        <v>9469</v>
      </c>
      <c r="BT405" t="s">
        <v>69</v>
      </c>
      <c r="BU405" t="s">
        <v>8931</v>
      </c>
      <c r="BV405" t="s">
        <v>69</v>
      </c>
      <c r="BW405" t="s">
        <v>69</v>
      </c>
      <c r="BX405" t="s">
        <v>8526</v>
      </c>
      <c r="BY405" t="str">
        <f>HYPERLINK("https%3A%2F%2Fwww.webofscience.com%2Fwos%2Fwoscc%2Ffull-record%2FWOS:000785271600001","View Full Record in Web of Science")</f>
        <v>View Full Record in Web of Science</v>
      </c>
    </row>
    <row r="406" spans="1:77" ht="12.5" x14ac:dyDescent="0.25">
      <c r="A406" t="s">
        <v>8495</v>
      </c>
      <c r="B406" s="22" t="s">
        <v>32931</v>
      </c>
      <c r="C406" s="7"/>
      <c r="D406" s="7"/>
      <c r="E406" s="7"/>
      <c r="F406" t="s">
        <v>67</v>
      </c>
      <c r="G406" t="s">
        <v>24191</v>
      </c>
      <c r="H406" t="s">
        <v>69</v>
      </c>
      <c r="I406" t="s">
        <v>69</v>
      </c>
      <c r="J406" t="s">
        <v>69</v>
      </c>
      <c r="K406" t="s">
        <v>24192</v>
      </c>
      <c r="L406" t="s">
        <v>69</v>
      </c>
      <c r="M406" t="s">
        <v>69</v>
      </c>
      <c r="N406" t="s">
        <v>24193</v>
      </c>
      <c r="O406" t="s">
        <v>24194</v>
      </c>
      <c r="P406" t="s">
        <v>69</v>
      </c>
      <c r="Q406" t="s">
        <v>69</v>
      </c>
      <c r="R406" t="s">
        <v>8505</v>
      </c>
      <c r="S406" t="s">
        <v>8506</v>
      </c>
      <c r="T406" t="s">
        <v>69</v>
      </c>
      <c r="U406" t="s">
        <v>69</v>
      </c>
      <c r="V406" t="s">
        <v>69</v>
      </c>
      <c r="W406" t="s">
        <v>69</v>
      </c>
      <c r="X406" t="s">
        <v>69</v>
      </c>
      <c r="Y406" t="s">
        <v>24195</v>
      </c>
      <c r="Z406" t="s">
        <v>69</v>
      </c>
      <c r="AA406" t="s">
        <v>24196</v>
      </c>
      <c r="AB406" t="s">
        <v>24197</v>
      </c>
      <c r="AC406" t="s">
        <v>69</v>
      </c>
      <c r="AD406" t="s">
        <v>24198</v>
      </c>
      <c r="AE406" t="s">
        <v>24199</v>
      </c>
      <c r="AF406" t="s">
        <v>24200</v>
      </c>
      <c r="AG406" t="s">
        <v>24201</v>
      </c>
      <c r="AH406" t="s">
        <v>69</v>
      </c>
      <c r="AI406" t="s">
        <v>69</v>
      </c>
      <c r="AJ406" t="s">
        <v>69</v>
      </c>
      <c r="AK406" t="s">
        <v>69</v>
      </c>
      <c r="AL406">
        <v>33</v>
      </c>
      <c r="AM406">
        <v>3</v>
      </c>
      <c r="AN406">
        <v>3</v>
      </c>
      <c r="AO406">
        <v>0</v>
      </c>
      <c r="AP406">
        <v>0</v>
      </c>
      <c r="AQ406" t="s">
        <v>13509</v>
      </c>
      <c r="AR406" t="s">
        <v>13510</v>
      </c>
      <c r="AS406" t="s">
        <v>13511</v>
      </c>
      <c r="AT406" t="s">
        <v>24202</v>
      </c>
      <c r="AU406" t="s">
        <v>24203</v>
      </c>
      <c r="AV406" t="s">
        <v>69</v>
      </c>
      <c r="AW406" t="s">
        <v>24204</v>
      </c>
      <c r="AX406" t="s">
        <v>24205</v>
      </c>
      <c r="AY406" t="s">
        <v>69</v>
      </c>
      <c r="AZ406">
        <v>2014</v>
      </c>
      <c r="BA406">
        <v>16</v>
      </c>
      <c r="BB406">
        <v>3</v>
      </c>
      <c r="BC406" t="s">
        <v>69</v>
      </c>
      <c r="BD406" t="s">
        <v>69</v>
      </c>
      <c r="BE406" t="s">
        <v>69</v>
      </c>
      <c r="BF406" t="s">
        <v>69</v>
      </c>
      <c r="BG406">
        <v>253</v>
      </c>
      <c r="BH406">
        <v>276</v>
      </c>
      <c r="BI406" t="s">
        <v>69</v>
      </c>
      <c r="BJ406" t="s">
        <v>24206</v>
      </c>
      <c r="BK406" t="str">
        <f>HYPERLINK("http://dx.doi.org/10.1504/IJIL.2014.064729","http://dx.doi.org/10.1504/IJIL.2014.064729")</f>
        <v>http://dx.doi.org/10.1504/IJIL.2014.064729</v>
      </c>
      <c r="BL406" t="s">
        <v>69</v>
      </c>
      <c r="BM406" t="s">
        <v>69</v>
      </c>
      <c r="BN406">
        <v>24</v>
      </c>
      <c r="BO406" t="s">
        <v>9410</v>
      </c>
      <c r="BP406" t="s">
        <v>8573</v>
      </c>
      <c r="BQ406" t="s">
        <v>8594</v>
      </c>
      <c r="BR406" t="s">
        <v>24207</v>
      </c>
      <c r="BS406" t="s">
        <v>24208</v>
      </c>
      <c r="BT406" t="s">
        <v>69</v>
      </c>
      <c r="BU406" t="s">
        <v>69</v>
      </c>
      <c r="BV406" t="s">
        <v>69</v>
      </c>
      <c r="BW406" t="s">
        <v>69</v>
      </c>
      <c r="BX406" t="s">
        <v>8526</v>
      </c>
      <c r="BY406" t="str">
        <f>HYPERLINK("https%3A%2F%2Fwww.webofscience.com%2Fwos%2Fwoscc%2Ffull-record%2FWOS:000436877600002","View Full Record in Web of Science")</f>
        <v>View Full Record in Web of Science</v>
      </c>
    </row>
    <row r="407" spans="1:77" ht="12.5" x14ac:dyDescent="0.25">
      <c r="A407" t="s">
        <v>8495</v>
      </c>
      <c r="B407" s="22" t="s">
        <v>32931</v>
      </c>
      <c r="C407" s="7"/>
      <c r="D407" s="7"/>
      <c r="E407" s="7"/>
      <c r="F407" t="s">
        <v>67</v>
      </c>
      <c r="G407" t="s">
        <v>15920</v>
      </c>
      <c r="H407" t="s">
        <v>69</v>
      </c>
      <c r="I407" t="s">
        <v>69</v>
      </c>
      <c r="J407" t="s">
        <v>69</v>
      </c>
      <c r="K407" t="s">
        <v>15921</v>
      </c>
      <c r="L407" t="s">
        <v>69</v>
      </c>
      <c r="M407" t="s">
        <v>69</v>
      </c>
      <c r="N407" t="s">
        <v>15922</v>
      </c>
      <c r="O407" t="s">
        <v>4880</v>
      </c>
      <c r="P407" t="s">
        <v>69</v>
      </c>
      <c r="Q407" t="s">
        <v>69</v>
      </c>
      <c r="R407" t="s">
        <v>8505</v>
      </c>
      <c r="S407" t="s">
        <v>8506</v>
      </c>
      <c r="T407" t="s">
        <v>69</v>
      </c>
      <c r="U407" t="s">
        <v>69</v>
      </c>
      <c r="V407" t="s">
        <v>69</v>
      </c>
      <c r="W407" t="s">
        <v>69</v>
      </c>
      <c r="X407" t="s">
        <v>69</v>
      </c>
      <c r="Y407" t="s">
        <v>15923</v>
      </c>
      <c r="Z407" t="s">
        <v>15924</v>
      </c>
      <c r="AA407" t="s">
        <v>15925</v>
      </c>
      <c r="AB407" t="s">
        <v>15926</v>
      </c>
      <c r="AC407" t="s">
        <v>69</v>
      </c>
      <c r="AD407" t="s">
        <v>15927</v>
      </c>
      <c r="AE407" t="s">
        <v>15928</v>
      </c>
      <c r="AF407" t="s">
        <v>15929</v>
      </c>
      <c r="AG407" t="s">
        <v>15930</v>
      </c>
      <c r="AH407" t="s">
        <v>69</v>
      </c>
      <c r="AI407" t="s">
        <v>69</v>
      </c>
      <c r="AJ407" t="s">
        <v>69</v>
      </c>
      <c r="AK407" t="s">
        <v>69</v>
      </c>
      <c r="AL407">
        <v>81</v>
      </c>
      <c r="AM407">
        <v>11</v>
      </c>
      <c r="AN407">
        <v>11</v>
      </c>
      <c r="AO407">
        <v>2</v>
      </c>
      <c r="AP407">
        <v>16</v>
      </c>
      <c r="AQ407" t="s">
        <v>8846</v>
      </c>
      <c r="AR407" t="s">
        <v>8847</v>
      </c>
      <c r="AS407" t="s">
        <v>8848</v>
      </c>
      <c r="AT407" t="s">
        <v>4882</v>
      </c>
      <c r="AU407" t="s">
        <v>4883</v>
      </c>
      <c r="AV407" t="s">
        <v>69</v>
      </c>
      <c r="AW407" t="s">
        <v>15931</v>
      </c>
      <c r="AX407" t="s">
        <v>15932</v>
      </c>
      <c r="AY407" t="s">
        <v>94</v>
      </c>
      <c r="AZ407">
        <v>2020</v>
      </c>
      <c r="BA407">
        <v>24</v>
      </c>
      <c r="BB407">
        <v>1</v>
      </c>
      <c r="BC407" t="s">
        <v>69</v>
      </c>
      <c r="BD407" t="s">
        <v>69</v>
      </c>
      <c r="BE407" t="s">
        <v>69</v>
      </c>
      <c r="BF407" t="s">
        <v>69</v>
      </c>
      <c r="BG407" t="s">
        <v>69</v>
      </c>
      <c r="BH407" t="s">
        <v>69</v>
      </c>
      <c r="BI407" t="s">
        <v>69</v>
      </c>
      <c r="BJ407" t="s">
        <v>15933</v>
      </c>
      <c r="BK407" t="str">
        <f>HYPERLINK("http://dx.doi.org/10.1111/ijau.12184","http://dx.doi.org/10.1111/ijau.12184")</f>
        <v>http://dx.doi.org/10.1111/ijau.12184</v>
      </c>
      <c r="BL407" t="s">
        <v>69</v>
      </c>
      <c r="BM407" t="s">
        <v>15934</v>
      </c>
      <c r="BN407">
        <v>18</v>
      </c>
      <c r="BO407" t="s">
        <v>9749</v>
      </c>
      <c r="BP407" t="s">
        <v>8661</v>
      </c>
      <c r="BQ407" t="s">
        <v>8594</v>
      </c>
      <c r="BR407" t="s">
        <v>15935</v>
      </c>
      <c r="BS407" t="s">
        <v>15936</v>
      </c>
      <c r="BT407" t="s">
        <v>69</v>
      </c>
      <c r="BU407" t="s">
        <v>69</v>
      </c>
      <c r="BV407" t="s">
        <v>69</v>
      </c>
      <c r="BW407" t="s">
        <v>69</v>
      </c>
      <c r="BX407" t="s">
        <v>8526</v>
      </c>
      <c r="BY407" t="str">
        <f>HYPERLINK("https%3A%2F%2Fwww.webofscience.com%2Fwos%2Fwoscc%2Ffull-record%2FWOS:000507096000001","View Full Record in Web of Science")</f>
        <v>View Full Record in Web of Science</v>
      </c>
    </row>
    <row r="408" spans="1:77" ht="12.5" x14ac:dyDescent="0.25">
      <c r="A408" t="s">
        <v>8495</v>
      </c>
      <c r="B408" s="7" t="s">
        <v>32933</v>
      </c>
      <c r="C408" s="7"/>
      <c r="D408" s="7"/>
      <c r="E408" s="7"/>
      <c r="F408" t="s">
        <v>67</v>
      </c>
      <c r="G408" t="s">
        <v>1479</v>
      </c>
      <c r="H408" t="s">
        <v>69</v>
      </c>
      <c r="I408" t="s">
        <v>69</v>
      </c>
      <c r="J408" t="s">
        <v>69</v>
      </c>
      <c r="K408" t="s">
        <v>1480</v>
      </c>
      <c r="L408" t="s">
        <v>69</v>
      </c>
      <c r="M408" t="s">
        <v>69</v>
      </c>
      <c r="N408" t="s">
        <v>1481</v>
      </c>
      <c r="O408" t="s">
        <v>1212</v>
      </c>
      <c r="P408" t="s">
        <v>69</v>
      </c>
      <c r="Q408" t="s">
        <v>69</v>
      </c>
      <c r="R408" t="s">
        <v>8505</v>
      </c>
      <c r="S408" t="s">
        <v>10174</v>
      </c>
      <c r="T408" t="s">
        <v>69</v>
      </c>
      <c r="U408" t="s">
        <v>69</v>
      </c>
      <c r="V408" t="s">
        <v>69</v>
      </c>
      <c r="W408" t="s">
        <v>69</v>
      </c>
      <c r="X408" t="s">
        <v>69</v>
      </c>
      <c r="Y408" t="s">
        <v>69</v>
      </c>
      <c r="Z408" t="s">
        <v>69</v>
      </c>
      <c r="AA408" t="s">
        <v>1482</v>
      </c>
      <c r="AB408" t="s">
        <v>26822</v>
      </c>
      <c r="AC408" t="s">
        <v>69</v>
      </c>
      <c r="AD408" t="s">
        <v>26823</v>
      </c>
      <c r="AE408" t="s">
        <v>69</v>
      </c>
      <c r="AF408" t="s">
        <v>69</v>
      </c>
      <c r="AG408" t="s">
        <v>69</v>
      </c>
      <c r="AH408" t="s">
        <v>69</v>
      </c>
      <c r="AI408" t="s">
        <v>69</v>
      </c>
      <c r="AJ408" t="s">
        <v>69</v>
      </c>
      <c r="AK408" t="s">
        <v>69</v>
      </c>
      <c r="AL408">
        <v>13</v>
      </c>
      <c r="AM408">
        <v>44</v>
      </c>
      <c r="AN408">
        <v>44</v>
      </c>
      <c r="AO408">
        <v>6</v>
      </c>
      <c r="AP408">
        <v>97</v>
      </c>
      <c r="AQ408" t="s">
        <v>21110</v>
      </c>
      <c r="AR408" t="s">
        <v>8847</v>
      </c>
      <c r="AS408" t="s">
        <v>8848</v>
      </c>
      <c r="AT408" t="s">
        <v>1215</v>
      </c>
      <c r="AU408" t="s">
        <v>69</v>
      </c>
      <c r="AV408" t="s">
        <v>69</v>
      </c>
      <c r="AW408" t="s">
        <v>21310</v>
      </c>
      <c r="AX408" t="s">
        <v>21311</v>
      </c>
      <c r="AY408" t="s">
        <v>255</v>
      </c>
      <c r="AZ408">
        <v>2011</v>
      </c>
      <c r="BA408">
        <v>19</v>
      </c>
      <c r="BB408">
        <v>5</v>
      </c>
      <c r="BC408" t="s">
        <v>69</v>
      </c>
      <c r="BD408" t="s">
        <v>69</v>
      </c>
      <c r="BE408" t="s">
        <v>69</v>
      </c>
      <c r="BF408" t="s">
        <v>69</v>
      </c>
      <c r="BG408">
        <v>399</v>
      </c>
      <c r="BH408">
        <v>404</v>
      </c>
      <c r="BI408" t="s">
        <v>69</v>
      </c>
      <c r="BJ408" t="s">
        <v>1483</v>
      </c>
      <c r="BK408" t="str">
        <f>HYPERLINK("http://dx.doi.org/10.1111/j.1467-8683.2011.00879.x","http://dx.doi.org/10.1111/j.1467-8683.2011.00879.x")</f>
        <v>http://dx.doi.org/10.1111/j.1467-8683.2011.00879.x</v>
      </c>
      <c r="BL408" t="s">
        <v>69</v>
      </c>
      <c r="BM408" t="s">
        <v>69</v>
      </c>
      <c r="BN408">
        <v>6</v>
      </c>
      <c r="BO408" t="s">
        <v>21312</v>
      </c>
      <c r="BP408" t="s">
        <v>8661</v>
      </c>
      <c r="BQ408" t="s">
        <v>8594</v>
      </c>
      <c r="BR408" t="s">
        <v>26824</v>
      </c>
      <c r="BS408" t="s">
        <v>1484</v>
      </c>
      <c r="BT408" t="s">
        <v>69</v>
      </c>
      <c r="BU408" t="s">
        <v>11793</v>
      </c>
      <c r="BV408" t="s">
        <v>69</v>
      </c>
      <c r="BW408" t="s">
        <v>69</v>
      </c>
      <c r="BX408" t="s">
        <v>8526</v>
      </c>
      <c r="BY408" t="str">
        <f>HYPERLINK("https%3A%2F%2Fwww.webofscience.com%2Fwos%2Fwoscc%2Ffull-record%2FWOS:000296489800001","View Full Record in Web of Science")</f>
        <v>View Full Record in Web of Science</v>
      </c>
    </row>
    <row r="409" spans="1:77" ht="12.5" x14ac:dyDescent="0.25">
      <c r="A409" t="s">
        <v>8495</v>
      </c>
      <c r="B409" s="22" t="s">
        <v>32931</v>
      </c>
      <c r="C409" s="7"/>
      <c r="D409" s="7"/>
      <c r="E409" s="7"/>
      <c r="F409" t="s">
        <v>67</v>
      </c>
      <c r="G409" t="s">
        <v>30745</v>
      </c>
      <c r="H409" t="s">
        <v>69</v>
      </c>
      <c r="I409" t="s">
        <v>69</v>
      </c>
      <c r="J409" t="s">
        <v>69</v>
      </c>
      <c r="K409" t="s">
        <v>30746</v>
      </c>
      <c r="L409" t="s">
        <v>69</v>
      </c>
      <c r="M409" t="s">
        <v>69</v>
      </c>
      <c r="N409" t="s">
        <v>30747</v>
      </c>
      <c r="O409" t="s">
        <v>30748</v>
      </c>
      <c r="P409" t="s">
        <v>69</v>
      </c>
      <c r="Q409" t="s">
        <v>69</v>
      </c>
      <c r="R409" t="s">
        <v>8505</v>
      </c>
      <c r="S409" t="s">
        <v>8506</v>
      </c>
      <c r="T409" t="s">
        <v>69</v>
      </c>
      <c r="U409" t="s">
        <v>69</v>
      </c>
      <c r="V409" t="s">
        <v>69</v>
      </c>
      <c r="W409" t="s">
        <v>69</v>
      </c>
      <c r="X409" t="s">
        <v>69</v>
      </c>
      <c r="Y409" t="s">
        <v>69</v>
      </c>
      <c r="Z409" t="s">
        <v>69</v>
      </c>
      <c r="AA409" t="s">
        <v>30749</v>
      </c>
      <c r="AB409" t="s">
        <v>30750</v>
      </c>
      <c r="AC409" t="s">
        <v>69</v>
      </c>
      <c r="AD409" t="s">
        <v>30751</v>
      </c>
      <c r="AE409" t="s">
        <v>69</v>
      </c>
      <c r="AF409" t="s">
        <v>69</v>
      </c>
      <c r="AG409" t="s">
        <v>69</v>
      </c>
      <c r="AH409" t="s">
        <v>69</v>
      </c>
      <c r="AI409" t="s">
        <v>69</v>
      </c>
      <c r="AJ409" t="s">
        <v>69</v>
      </c>
      <c r="AK409" t="s">
        <v>69</v>
      </c>
      <c r="AL409">
        <v>10</v>
      </c>
      <c r="AM409">
        <v>1</v>
      </c>
      <c r="AN409">
        <v>1</v>
      </c>
      <c r="AO409">
        <v>0</v>
      </c>
      <c r="AP409">
        <v>1</v>
      </c>
      <c r="AQ409" t="s">
        <v>8865</v>
      </c>
      <c r="AR409" t="s">
        <v>8612</v>
      </c>
      <c r="AS409" t="s">
        <v>8866</v>
      </c>
      <c r="AT409" t="s">
        <v>30752</v>
      </c>
      <c r="AU409" t="s">
        <v>30753</v>
      </c>
      <c r="AV409" t="s">
        <v>69</v>
      </c>
      <c r="AW409" t="s">
        <v>30754</v>
      </c>
      <c r="AX409" t="s">
        <v>30755</v>
      </c>
      <c r="AY409" t="s">
        <v>69</v>
      </c>
      <c r="AZ409">
        <v>2005</v>
      </c>
      <c r="BA409">
        <v>27</v>
      </c>
      <c r="BB409">
        <v>2</v>
      </c>
      <c r="BC409" t="s">
        <v>69</v>
      </c>
      <c r="BD409" t="s">
        <v>69</v>
      </c>
      <c r="BE409" t="s">
        <v>69</v>
      </c>
      <c r="BF409" t="s">
        <v>69</v>
      </c>
      <c r="BG409">
        <v>239</v>
      </c>
      <c r="BH409">
        <v>262</v>
      </c>
      <c r="BI409" t="s">
        <v>69</v>
      </c>
      <c r="BJ409" t="s">
        <v>30756</v>
      </c>
      <c r="BK409" t="str">
        <f>HYPERLINK("http://dx.doi.org/10.1080/23276665.2005.10779310","http://dx.doi.org/10.1080/23276665.2005.10779310")</f>
        <v>http://dx.doi.org/10.1080/23276665.2005.10779310</v>
      </c>
      <c r="BL409" t="s">
        <v>69</v>
      </c>
      <c r="BM409" t="s">
        <v>69</v>
      </c>
      <c r="BN409">
        <v>24</v>
      </c>
      <c r="BO409" t="s">
        <v>12182</v>
      </c>
      <c r="BP409" t="s">
        <v>8573</v>
      </c>
      <c r="BQ409" t="s">
        <v>12182</v>
      </c>
      <c r="BR409" t="s">
        <v>30757</v>
      </c>
      <c r="BS409" t="s">
        <v>30758</v>
      </c>
      <c r="BT409" t="s">
        <v>69</v>
      </c>
      <c r="BU409" t="s">
        <v>69</v>
      </c>
      <c r="BV409" t="s">
        <v>69</v>
      </c>
      <c r="BW409" t="s">
        <v>69</v>
      </c>
      <c r="BX409" t="s">
        <v>8526</v>
      </c>
      <c r="BY409" t="str">
        <f>HYPERLINK("https%3A%2F%2Fwww.webofscience.com%2Fwos%2Fwoscc%2Ffull-record%2FWOS:000422570400008","View Full Record in Web of Science")</f>
        <v>View Full Record in Web of Science</v>
      </c>
    </row>
    <row r="410" spans="1:77" ht="12.5" x14ac:dyDescent="0.25">
      <c r="A410" t="s">
        <v>8495</v>
      </c>
      <c r="B410" s="7" t="s">
        <v>32933</v>
      </c>
      <c r="C410" s="7"/>
      <c r="D410" s="7"/>
      <c r="E410" s="7"/>
      <c r="F410" t="s">
        <v>67</v>
      </c>
      <c r="G410" t="s">
        <v>4021</v>
      </c>
      <c r="H410" t="s">
        <v>69</v>
      </c>
      <c r="I410" t="s">
        <v>69</v>
      </c>
      <c r="J410" t="s">
        <v>69</v>
      </c>
      <c r="K410" t="s">
        <v>4021</v>
      </c>
      <c r="L410" t="s">
        <v>69</v>
      </c>
      <c r="M410" t="s">
        <v>69</v>
      </c>
      <c r="N410" t="s">
        <v>4022</v>
      </c>
      <c r="O410" t="s">
        <v>4023</v>
      </c>
      <c r="P410" t="s">
        <v>69</v>
      </c>
      <c r="Q410" t="s">
        <v>69</v>
      </c>
      <c r="R410" t="s">
        <v>8505</v>
      </c>
      <c r="S410" t="s">
        <v>8506</v>
      </c>
      <c r="T410" t="s">
        <v>69</v>
      </c>
      <c r="U410" t="s">
        <v>69</v>
      </c>
      <c r="V410" t="s">
        <v>69</v>
      </c>
      <c r="W410" t="s">
        <v>69</v>
      </c>
      <c r="X410" t="s">
        <v>69</v>
      </c>
      <c r="Y410" t="s">
        <v>31424</v>
      </c>
      <c r="Z410" t="s">
        <v>69</v>
      </c>
      <c r="AA410" t="s">
        <v>4024</v>
      </c>
      <c r="AB410" t="s">
        <v>31425</v>
      </c>
      <c r="AC410" t="s">
        <v>69</v>
      </c>
      <c r="AD410" t="s">
        <v>31426</v>
      </c>
      <c r="AE410" t="s">
        <v>69</v>
      </c>
      <c r="AF410" t="s">
        <v>69</v>
      </c>
      <c r="AG410" t="s">
        <v>69</v>
      </c>
      <c r="AH410" t="s">
        <v>69</v>
      </c>
      <c r="AI410" t="s">
        <v>69</v>
      </c>
      <c r="AJ410" t="s">
        <v>69</v>
      </c>
      <c r="AK410" t="s">
        <v>69</v>
      </c>
      <c r="AL410">
        <v>18</v>
      </c>
      <c r="AM410">
        <v>0</v>
      </c>
      <c r="AN410">
        <v>0</v>
      </c>
      <c r="AO410">
        <v>0</v>
      </c>
      <c r="AP410">
        <v>6</v>
      </c>
      <c r="AQ410" t="s">
        <v>13195</v>
      </c>
      <c r="AR410" t="s">
        <v>13196</v>
      </c>
      <c r="AS410" t="s">
        <v>13197</v>
      </c>
      <c r="AT410" t="s">
        <v>4025</v>
      </c>
      <c r="AU410" t="s">
        <v>69</v>
      </c>
      <c r="AV410" t="s">
        <v>69</v>
      </c>
      <c r="AW410" t="s">
        <v>13199</v>
      </c>
      <c r="AX410" t="s">
        <v>13200</v>
      </c>
      <c r="AY410" t="s">
        <v>201</v>
      </c>
      <c r="AZ410">
        <v>2002</v>
      </c>
      <c r="BA410">
        <v>153</v>
      </c>
      <c r="BB410">
        <v>3</v>
      </c>
      <c r="BC410" t="s">
        <v>69</v>
      </c>
      <c r="BD410" t="s">
        <v>69</v>
      </c>
      <c r="BE410" t="s">
        <v>69</v>
      </c>
      <c r="BF410" t="s">
        <v>69</v>
      </c>
      <c r="BG410">
        <v>165</v>
      </c>
      <c r="BH410">
        <v>170</v>
      </c>
      <c r="BI410" t="s">
        <v>69</v>
      </c>
      <c r="BJ410" t="s">
        <v>69</v>
      </c>
      <c r="BK410" t="s">
        <v>69</v>
      </c>
      <c r="BL410" t="s">
        <v>69</v>
      </c>
      <c r="BM410" t="s">
        <v>69</v>
      </c>
      <c r="BN410">
        <v>6</v>
      </c>
      <c r="BO410" t="s">
        <v>13202</v>
      </c>
      <c r="BP410" t="s">
        <v>8548</v>
      </c>
      <c r="BQ410" t="s">
        <v>9561</v>
      </c>
      <c r="BR410" t="s">
        <v>31427</v>
      </c>
      <c r="BS410" t="s">
        <v>4026</v>
      </c>
      <c r="BT410" t="s">
        <v>69</v>
      </c>
      <c r="BU410" t="s">
        <v>69</v>
      </c>
      <c r="BV410" t="s">
        <v>69</v>
      </c>
      <c r="BW410" t="s">
        <v>69</v>
      </c>
      <c r="BX410" t="s">
        <v>8526</v>
      </c>
      <c r="BY410" t="str">
        <f>HYPERLINK("https%3A%2F%2Fwww.webofscience.com%2Fwos%2Fwoscc%2Ffull-record%2FWOS:000177581100003","View Full Record in Web of Science")</f>
        <v>View Full Record in Web of Science</v>
      </c>
    </row>
    <row r="411" spans="1:77" ht="12.5" x14ac:dyDescent="0.25">
      <c r="A411" t="s">
        <v>8495</v>
      </c>
      <c r="B411" s="22" t="s">
        <v>32931</v>
      </c>
      <c r="C411" s="7"/>
      <c r="D411" s="7"/>
      <c r="E411" s="7"/>
      <c r="F411" t="s">
        <v>67</v>
      </c>
      <c r="G411" t="s">
        <v>30973</v>
      </c>
      <c r="H411" t="s">
        <v>69</v>
      </c>
      <c r="I411" t="s">
        <v>69</v>
      </c>
      <c r="J411" t="s">
        <v>69</v>
      </c>
      <c r="K411" t="s">
        <v>30974</v>
      </c>
      <c r="L411" t="s">
        <v>69</v>
      </c>
      <c r="M411" t="s">
        <v>69</v>
      </c>
      <c r="N411" t="s">
        <v>30975</v>
      </c>
      <c r="O411" t="s">
        <v>30976</v>
      </c>
      <c r="P411" t="s">
        <v>69</v>
      </c>
      <c r="Q411" t="s">
        <v>69</v>
      </c>
      <c r="R411" t="s">
        <v>8505</v>
      </c>
      <c r="S411" t="s">
        <v>8506</v>
      </c>
      <c r="T411" t="s">
        <v>69</v>
      </c>
      <c r="U411" t="s">
        <v>69</v>
      </c>
      <c r="V411" t="s">
        <v>69</v>
      </c>
      <c r="W411" t="s">
        <v>69</v>
      </c>
      <c r="X411" t="s">
        <v>69</v>
      </c>
      <c r="Y411" t="s">
        <v>30977</v>
      </c>
      <c r="Z411" t="s">
        <v>69</v>
      </c>
      <c r="AA411" t="s">
        <v>30978</v>
      </c>
      <c r="AB411" t="s">
        <v>69</v>
      </c>
      <c r="AC411" t="s">
        <v>69</v>
      </c>
      <c r="AD411" t="s">
        <v>69</v>
      </c>
      <c r="AE411" t="s">
        <v>69</v>
      </c>
      <c r="AF411" t="s">
        <v>69</v>
      </c>
      <c r="AG411" t="s">
        <v>69</v>
      </c>
      <c r="AH411" t="s">
        <v>69</v>
      </c>
      <c r="AI411" t="s">
        <v>69</v>
      </c>
      <c r="AJ411" t="s">
        <v>69</v>
      </c>
      <c r="AK411" t="s">
        <v>69</v>
      </c>
      <c r="AL411">
        <v>79</v>
      </c>
      <c r="AM411">
        <v>0</v>
      </c>
      <c r="AN411">
        <v>0</v>
      </c>
      <c r="AO411">
        <v>0</v>
      </c>
      <c r="AP411">
        <v>0</v>
      </c>
      <c r="AQ411" t="s">
        <v>8865</v>
      </c>
      <c r="AR411" t="s">
        <v>8612</v>
      </c>
      <c r="AS411" t="s">
        <v>8866</v>
      </c>
      <c r="AT411" t="s">
        <v>30979</v>
      </c>
      <c r="AU411" t="s">
        <v>30980</v>
      </c>
      <c r="AV411" t="s">
        <v>69</v>
      </c>
      <c r="AW411" t="s">
        <v>30981</v>
      </c>
      <c r="AX411" t="s">
        <v>30982</v>
      </c>
      <c r="AY411" t="s">
        <v>69</v>
      </c>
      <c r="AZ411">
        <v>2005</v>
      </c>
      <c r="BA411">
        <v>3</v>
      </c>
      <c r="BB411" t="s">
        <v>69</v>
      </c>
      <c r="BC411" t="s">
        <v>69</v>
      </c>
      <c r="BD411">
        <v>1</v>
      </c>
      <c r="BE411" t="s">
        <v>69</v>
      </c>
      <c r="BF411" t="s">
        <v>69</v>
      </c>
      <c r="BG411">
        <v>35</v>
      </c>
      <c r="BH411">
        <v>63</v>
      </c>
      <c r="BI411" t="s">
        <v>69</v>
      </c>
      <c r="BJ411" t="s">
        <v>69</v>
      </c>
      <c r="BK411" t="s">
        <v>69</v>
      </c>
      <c r="BL411" t="s">
        <v>69</v>
      </c>
      <c r="BM411" t="s">
        <v>69</v>
      </c>
      <c r="BN411">
        <v>29</v>
      </c>
      <c r="BO411" t="s">
        <v>8810</v>
      </c>
      <c r="BP411" t="s">
        <v>8573</v>
      </c>
      <c r="BQ411" t="s">
        <v>8810</v>
      </c>
      <c r="BR411" t="s">
        <v>30983</v>
      </c>
      <c r="BS411" t="s">
        <v>30984</v>
      </c>
      <c r="BT411" t="s">
        <v>69</v>
      </c>
      <c r="BU411" t="s">
        <v>69</v>
      </c>
      <c r="BV411" t="s">
        <v>69</v>
      </c>
      <c r="BW411" t="s">
        <v>69</v>
      </c>
      <c r="BX411" t="s">
        <v>8526</v>
      </c>
      <c r="BY411" t="str">
        <f>HYPERLINK("https%3A%2F%2Fwww.webofscience.com%2Fwos%2Fwoscc%2Ffull-record%2FWOS:000437661100007","View Full Record in Web of Science")</f>
        <v>View Full Record in Web of Science</v>
      </c>
    </row>
    <row r="412" spans="1:77" ht="12.5" x14ac:dyDescent="0.25">
      <c r="A412" t="s">
        <v>8495</v>
      </c>
      <c r="B412" s="22" t="s">
        <v>32931</v>
      </c>
      <c r="C412" s="7"/>
      <c r="D412" s="7"/>
      <c r="E412" s="7"/>
      <c r="F412" t="s">
        <v>67</v>
      </c>
      <c r="G412" t="s">
        <v>30444</v>
      </c>
      <c r="H412" t="s">
        <v>69</v>
      </c>
      <c r="I412" t="s">
        <v>69</v>
      </c>
      <c r="J412" t="s">
        <v>69</v>
      </c>
      <c r="K412" t="s">
        <v>30445</v>
      </c>
      <c r="L412" t="s">
        <v>69</v>
      </c>
      <c r="M412" t="s">
        <v>69</v>
      </c>
      <c r="N412" t="s">
        <v>30446</v>
      </c>
      <c r="O412" t="s">
        <v>30447</v>
      </c>
      <c r="P412" t="s">
        <v>69</v>
      </c>
      <c r="Q412" t="s">
        <v>69</v>
      </c>
      <c r="R412" t="s">
        <v>8505</v>
      </c>
      <c r="S412" t="s">
        <v>8506</v>
      </c>
      <c r="T412" t="s">
        <v>69</v>
      </c>
      <c r="U412" t="s">
        <v>69</v>
      </c>
      <c r="V412" t="s">
        <v>69</v>
      </c>
      <c r="W412" t="s">
        <v>69</v>
      </c>
      <c r="X412" t="s">
        <v>69</v>
      </c>
      <c r="Y412" t="s">
        <v>30448</v>
      </c>
      <c r="Z412" t="s">
        <v>69</v>
      </c>
      <c r="AA412" t="s">
        <v>30449</v>
      </c>
      <c r="AB412" t="s">
        <v>30450</v>
      </c>
      <c r="AC412" t="s">
        <v>69</v>
      </c>
      <c r="AD412" t="s">
        <v>30451</v>
      </c>
      <c r="AE412" t="s">
        <v>30452</v>
      </c>
      <c r="AF412" t="s">
        <v>69</v>
      </c>
      <c r="AG412" t="s">
        <v>69</v>
      </c>
      <c r="AH412" t="s">
        <v>69</v>
      </c>
      <c r="AI412" t="s">
        <v>69</v>
      </c>
      <c r="AJ412" t="s">
        <v>69</v>
      </c>
      <c r="AK412" t="s">
        <v>69</v>
      </c>
      <c r="AL412">
        <v>23</v>
      </c>
      <c r="AM412">
        <v>3</v>
      </c>
      <c r="AN412">
        <v>3</v>
      </c>
      <c r="AO412">
        <v>0</v>
      </c>
      <c r="AP412">
        <v>0</v>
      </c>
      <c r="AQ412" t="s">
        <v>13509</v>
      </c>
      <c r="AR412" t="s">
        <v>13510</v>
      </c>
      <c r="AS412" t="s">
        <v>13511</v>
      </c>
      <c r="AT412" t="s">
        <v>30453</v>
      </c>
      <c r="AU412" t="s">
        <v>30454</v>
      </c>
      <c r="AV412" t="s">
        <v>69</v>
      </c>
      <c r="AW412" t="s">
        <v>30455</v>
      </c>
      <c r="AX412" t="s">
        <v>30456</v>
      </c>
      <c r="AY412" t="s">
        <v>69</v>
      </c>
      <c r="AZ412">
        <v>2006</v>
      </c>
      <c r="BA412">
        <v>1</v>
      </c>
      <c r="BB412">
        <v>1</v>
      </c>
      <c r="BC412" t="s">
        <v>69</v>
      </c>
      <c r="BD412" t="s">
        <v>69</v>
      </c>
      <c r="BE412" t="s">
        <v>69</v>
      </c>
      <c r="BF412" t="s">
        <v>69</v>
      </c>
      <c r="BG412">
        <v>112</v>
      </c>
      <c r="BH412">
        <v>125</v>
      </c>
      <c r="BI412" t="s">
        <v>69</v>
      </c>
      <c r="BJ412" t="s">
        <v>30457</v>
      </c>
      <c r="BK412" t="str">
        <f>HYPERLINK("http://dx.doi.org/10.1504/IJBE.2006.010131","http://dx.doi.org/10.1504/IJBE.2006.010131")</f>
        <v>http://dx.doi.org/10.1504/IJBE.2006.010131</v>
      </c>
      <c r="BL412" t="s">
        <v>69</v>
      </c>
      <c r="BM412" t="s">
        <v>69</v>
      </c>
      <c r="BN412">
        <v>14</v>
      </c>
      <c r="BO412" t="s">
        <v>8444</v>
      </c>
      <c r="BP412" t="s">
        <v>8573</v>
      </c>
      <c r="BQ412" t="s">
        <v>8594</v>
      </c>
      <c r="BR412" t="s">
        <v>30458</v>
      </c>
      <c r="BS412" t="s">
        <v>30459</v>
      </c>
      <c r="BT412" t="s">
        <v>69</v>
      </c>
      <c r="BU412" t="s">
        <v>69</v>
      </c>
      <c r="BV412" t="s">
        <v>69</v>
      </c>
      <c r="BW412" t="s">
        <v>69</v>
      </c>
      <c r="BX412" t="s">
        <v>8526</v>
      </c>
      <c r="BY412" t="str">
        <f>HYPERLINK("https%3A%2F%2Fwww.webofscience.com%2Fwos%2Fwoscc%2Ffull-record%2FWOS:000436186500006","View Full Record in Web of Science")</f>
        <v>View Full Record in Web of Science</v>
      </c>
    </row>
    <row r="413" spans="1:77" ht="12.5" x14ac:dyDescent="0.25">
      <c r="A413" t="s">
        <v>8495</v>
      </c>
      <c r="B413" s="22" t="s">
        <v>32931</v>
      </c>
      <c r="C413" s="7"/>
      <c r="D413" s="7"/>
      <c r="E413" s="7"/>
      <c r="F413" t="s">
        <v>67</v>
      </c>
      <c r="G413" t="s">
        <v>29796</v>
      </c>
      <c r="H413" t="s">
        <v>69</v>
      </c>
      <c r="I413" t="s">
        <v>69</v>
      </c>
      <c r="J413" t="s">
        <v>69</v>
      </c>
      <c r="K413" t="s">
        <v>29797</v>
      </c>
      <c r="L413" t="s">
        <v>69</v>
      </c>
      <c r="M413" t="s">
        <v>69</v>
      </c>
      <c r="N413" t="s">
        <v>29798</v>
      </c>
      <c r="O413" t="s">
        <v>29799</v>
      </c>
      <c r="P413" t="s">
        <v>69</v>
      </c>
      <c r="Q413" t="s">
        <v>69</v>
      </c>
      <c r="R413" t="s">
        <v>8505</v>
      </c>
      <c r="S413" t="s">
        <v>8506</v>
      </c>
      <c r="T413" t="s">
        <v>69</v>
      </c>
      <c r="U413" t="s">
        <v>69</v>
      </c>
      <c r="V413" t="s">
        <v>69</v>
      </c>
      <c r="W413" t="s">
        <v>69</v>
      </c>
      <c r="X413" t="s">
        <v>69</v>
      </c>
      <c r="Y413" t="s">
        <v>29800</v>
      </c>
      <c r="Z413" t="s">
        <v>69</v>
      </c>
      <c r="AA413" t="s">
        <v>29801</v>
      </c>
      <c r="AB413" t="s">
        <v>29802</v>
      </c>
      <c r="AC413" t="s">
        <v>69</v>
      </c>
      <c r="AD413" t="s">
        <v>29803</v>
      </c>
      <c r="AE413" t="s">
        <v>29804</v>
      </c>
      <c r="AF413" t="s">
        <v>69</v>
      </c>
      <c r="AG413" t="s">
        <v>69</v>
      </c>
      <c r="AH413" t="s">
        <v>69</v>
      </c>
      <c r="AI413" t="s">
        <v>69</v>
      </c>
      <c r="AJ413" t="s">
        <v>69</v>
      </c>
      <c r="AK413" t="s">
        <v>69</v>
      </c>
      <c r="AL413">
        <v>2</v>
      </c>
      <c r="AM413">
        <v>1</v>
      </c>
      <c r="AN413">
        <v>1</v>
      </c>
      <c r="AO413">
        <v>0</v>
      </c>
      <c r="AP413">
        <v>0</v>
      </c>
      <c r="AQ413" t="s">
        <v>16416</v>
      </c>
      <c r="AR413" t="s">
        <v>16417</v>
      </c>
      <c r="AS413" t="s">
        <v>16418</v>
      </c>
      <c r="AT413" t="s">
        <v>29805</v>
      </c>
      <c r="AU413" t="s">
        <v>29806</v>
      </c>
      <c r="AV413" t="s">
        <v>69</v>
      </c>
      <c r="AW413" t="s">
        <v>29807</v>
      </c>
      <c r="AX413" t="s">
        <v>29808</v>
      </c>
      <c r="AY413" t="s">
        <v>191</v>
      </c>
      <c r="AZ413">
        <v>2007</v>
      </c>
      <c r="BA413">
        <v>4</v>
      </c>
      <c r="BB413">
        <v>1</v>
      </c>
      <c r="BC413" t="s">
        <v>69</v>
      </c>
      <c r="BD413" t="s">
        <v>69</v>
      </c>
      <c r="BE413" t="s">
        <v>69</v>
      </c>
      <c r="BF413" t="s">
        <v>69</v>
      </c>
      <c r="BG413">
        <v>52</v>
      </c>
      <c r="BH413">
        <v>58</v>
      </c>
      <c r="BI413" t="s">
        <v>69</v>
      </c>
      <c r="BJ413" t="s">
        <v>29809</v>
      </c>
      <c r="BK413" t="str">
        <f>HYPERLINK("http://dx.doi.org/10.1057/palgrave.jdg.2050043","http://dx.doi.org/10.1057/palgrave.jdg.2050043")</f>
        <v>http://dx.doi.org/10.1057/palgrave.jdg.2050043</v>
      </c>
      <c r="BL413" t="s">
        <v>69</v>
      </c>
      <c r="BM413" t="s">
        <v>69</v>
      </c>
      <c r="BN413">
        <v>7</v>
      </c>
      <c r="BO413" t="s">
        <v>9410</v>
      </c>
      <c r="BP413" t="s">
        <v>8573</v>
      </c>
      <c r="BQ413" t="s">
        <v>8594</v>
      </c>
      <c r="BR413" t="s">
        <v>29810</v>
      </c>
      <c r="BS413" t="s">
        <v>29811</v>
      </c>
      <c r="BT413" t="s">
        <v>69</v>
      </c>
      <c r="BU413" t="s">
        <v>69</v>
      </c>
      <c r="BV413" t="s">
        <v>69</v>
      </c>
      <c r="BW413" t="s">
        <v>69</v>
      </c>
      <c r="BX413" t="s">
        <v>8526</v>
      </c>
      <c r="BY413" t="str">
        <f>HYPERLINK("https%3A%2F%2Fwww.webofscience.com%2Fwos%2Fwoscc%2Ffull-record%2FWOS:000212497200005","View Full Record in Web of Science")</f>
        <v>View Full Record in Web of Science</v>
      </c>
    </row>
    <row r="414" spans="1:77" ht="12.5" x14ac:dyDescent="0.25">
      <c r="A414" t="s">
        <v>8495</v>
      </c>
      <c r="B414" s="22" t="s">
        <v>32931</v>
      </c>
      <c r="C414" s="7"/>
      <c r="D414" s="7"/>
      <c r="E414" s="7"/>
      <c r="F414" t="s">
        <v>67</v>
      </c>
      <c r="G414" t="s">
        <v>14381</v>
      </c>
      <c r="H414" t="s">
        <v>69</v>
      </c>
      <c r="I414" t="s">
        <v>69</v>
      </c>
      <c r="J414" t="s">
        <v>69</v>
      </c>
      <c r="K414" t="s">
        <v>14382</v>
      </c>
      <c r="L414" t="s">
        <v>69</v>
      </c>
      <c r="M414" t="s">
        <v>69</v>
      </c>
      <c r="N414" t="s">
        <v>14383</v>
      </c>
      <c r="O414" t="s">
        <v>14384</v>
      </c>
      <c r="P414" t="s">
        <v>69</v>
      </c>
      <c r="Q414" t="s">
        <v>69</v>
      </c>
      <c r="R414" t="s">
        <v>8505</v>
      </c>
      <c r="S414" t="s">
        <v>8506</v>
      </c>
      <c r="T414" t="s">
        <v>69</v>
      </c>
      <c r="U414" t="s">
        <v>69</v>
      </c>
      <c r="V414" t="s">
        <v>69</v>
      </c>
      <c r="W414" t="s">
        <v>69</v>
      </c>
      <c r="X414" t="s">
        <v>69</v>
      </c>
      <c r="Y414" t="s">
        <v>14385</v>
      </c>
      <c r="Z414" t="s">
        <v>14386</v>
      </c>
      <c r="AA414" t="s">
        <v>14387</v>
      </c>
      <c r="AB414" t="s">
        <v>14388</v>
      </c>
      <c r="AC414" t="s">
        <v>69</v>
      </c>
      <c r="AD414" t="s">
        <v>14389</v>
      </c>
      <c r="AE414" t="s">
        <v>14390</v>
      </c>
      <c r="AF414" t="s">
        <v>69</v>
      </c>
      <c r="AG414" t="s">
        <v>14391</v>
      </c>
      <c r="AH414" t="s">
        <v>14392</v>
      </c>
      <c r="AI414" t="s">
        <v>14393</v>
      </c>
      <c r="AJ414" t="s">
        <v>14394</v>
      </c>
      <c r="AK414" t="s">
        <v>69</v>
      </c>
      <c r="AL414">
        <v>27</v>
      </c>
      <c r="AM414">
        <v>9</v>
      </c>
      <c r="AN414">
        <v>11</v>
      </c>
      <c r="AO414">
        <v>0</v>
      </c>
      <c r="AP414">
        <v>1</v>
      </c>
      <c r="AQ414" t="s">
        <v>10352</v>
      </c>
      <c r="AR414" t="s">
        <v>8637</v>
      </c>
      <c r="AS414" t="s">
        <v>10353</v>
      </c>
      <c r="AT414" t="s">
        <v>14395</v>
      </c>
      <c r="AU414" t="s">
        <v>14396</v>
      </c>
      <c r="AV414" t="s">
        <v>69</v>
      </c>
      <c r="AW414" t="s">
        <v>14397</v>
      </c>
      <c r="AX414" t="s">
        <v>14398</v>
      </c>
      <c r="AY414" t="s">
        <v>255</v>
      </c>
      <c r="AZ414">
        <v>2020</v>
      </c>
      <c r="BA414">
        <v>35</v>
      </c>
      <c r="BB414">
        <v>9</v>
      </c>
      <c r="BC414" t="s">
        <v>69</v>
      </c>
      <c r="BD414" t="s">
        <v>69</v>
      </c>
      <c r="BE414" t="s">
        <v>69</v>
      </c>
      <c r="BF414" t="s">
        <v>69</v>
      </c>
      <c r="BG414">
        <v>2037</v>
      </c>
      <c r="BH414">
        <v>2046</v>
      </c>
      <c r="BI414" t="s">
        <v>69</v>
      </c>
      <c r="BJ414" t="s">
        <v>14399</v>
      </c>
      <c r="BK414" t="str">
        <f>HYPERLINK("http://dx.doi.org/10.1093/humrep/deaa158","http://dx.doi.org/10.1093/humrep/deaa158")</f>
        <v>http://dx.doi.org/10.1093/humrep/deaa158</v>
      </c>
      <c r="BL414" t="s">
        <v>69</v>
      </c>
      <c r="BM414" t="s">
        <v>69</v>
      </c>
      <c r="BN414">
        <v>10</v>
      </c>
      <c r="BO414" t="s">
        <v>14400</v>
      </c>
      <c r="BP414" t="s">
        <v>8548</v>
      </c>
      <c r="BQ414" t="s">
        <v>14400</v>
      </c>
      <c r="BR414" t="s">
        <v>14401</v>
      </c>
      <c r="BS414" t="s">
        <v>14402</v>
      </c>
      <c r="BT414">
        <v>32876323</v>
      </c>
      <c r="BU414" t="s">
        <v>8746</v>
      </c>
      <c r="BV414" t="s">
        <v>69</v>
      </c>
      <c r="BW414" t="s">
        <v>69</v>
      </c>
      <c r="BX414" t="s">
        <v>8526</v>
      </c>
      <c r="BY414" t="str">
        <f>HYPERLINK("https%3A%2F%2Fwww.webofscience.com%2Fwos%2Fwoscc%2Ffull-record%2FWOS:000582696900011","View Full Record in Web of Science")</f>
        <v>View Full Record in Web of Science</v>
      </c>
    </row>
    <row r="415" spans="1:77" ht="12.5" x14ac:dyDescent="0.25">
      <c r="A415" t="s">
        <v>8495</v>
      </c>
      <c r="B415" s="22" t="s">
        <v>32931</v>
      </c>
      <c r="C415" s="7"/>
      <c r="D415" s="7"/>
      <c r="E415" s="7"/>
      <c r="F415" t="s">
        <v>67</v>
      </c>
      <c r="G415" t="s">
        <v>18615</v>
      </c>
      <c r="H415" t="s">
        <v>69</v>
      </c>
      <c r="I415" t="s">
        <v>69</v>
      </c>
      <c r="J415" t="s">
        <v>69</v>
      </c>
      <c r="K415" t="s">
        <v>18616</v>
      </c>
      <c r="L415" t="s">
        <v>69</v>
      </c>
      <c r="M415" t="s">
        <v>69</v>
      </c>
      <c r="N415" t="s">
        <v>18617</v>
      </c>
      <c r="O415" t="s">
        <v>18618</v>
      </c>
      <c r="P415" t="s">
        <v>69</v>
      </c>
      <c r="Q415" t="s">
        <v>69</v>
      </c>
      <c r="R415" t="s">
        <v>8505</v>
      </c>
      <c r="S415" t="s">
        <v>8506</v>
      </c>
      <c r="T415" t="s">
        <v>69</v>
      </c>
      <c r="U415" t="s">
        <v>69</v>
      </c>
      <c r="V415" t="s">
        <v>69</v>
      </c>
      <c r="W415" t="s">
        <v>69</v>
      </c>
      <c r="X415" t="s">
        <v>69</v>
      </c>
      <c r="Y415" t="s">
        <v>18619</v>
      </c>
      <c r="Z415" t="s">
        <v>18620</v>
      </c>
      <c r="AA415" t="s">
        <v>18621</v>
      </c>
      <c r="AB415" t="s">
        <v>18622</v>
      </c>
      <c r="AC415" t="s">
        <v>69</v>
      </c>
      <c r="AD415" t="s">
        <v>18623</v>
      </c>
      <c r="AE415" t="s">
        <v>18624</v>
      </c>
      <c r="AF415" t="s">
        <v>69</v>
      </c>
      <c r="AG415" t="s">
        <v>18625</v>
      </c>
      <c r="AH415" t="s">
        <v>69</v>
      </c>
      <c r="AI415" t="s">
        <v>69</v>
      </c>
      <c r="AJ415" t="s">
        <v>69</v>
      </c>
      <c r="AK415" t="s">
        <v>69</v>
      </c>
      <c r="AL415">
        <v>18</v>
      </c>
      <c r="AM415">
        <v>0</v>
      </c>
      <c r="AN415">
        <v>0</v>
      </c>
      <c r="AO415">
        <v>0</v>
      </c>
      <c r="AP415">
        <v>2</v>
      </c>
      <c r="AQ415" t="s">
        <v>17273</v>
      </c>
      <c r="AR415" t="s">
        <v>12925</v>
      </c>
      <c r="AS415" t="s">
        <v>17274</v>
      </c>
      <c r="AT415" t="s">
        <v>18626</v>
      </c>
      <c r="AU415" t="s">
        <v>18627</v>
      </c>
      <c r="AV415" t="s">
        <v>69</v>
      </c>
      <c r="AW415" t="s">
        <v>18628</v>
      </c>
      <c r="AX415" t="s">
        <v>18629</v>
      </c>
      <c r="AY415" t="s">
        <v>84</v>
      </c>
      <c r="AZ415">
        <v>2018</v>
      </c>
      <c r="BA415">
        <v>112</v>
      </c>
      <c r="BB415" t="s">
        <v>69</v>
      </c>
      <c r="BC415" t="s">
        <v>69</v>
      </c>
      <c r="BD415" t="s">
        <v>69</v>
      </c>
      <c r="BE415" t="s">
        <v>69</v>
      </c>
      <c r="BF415" t="s">
        <v>69</v>
      </c>
      <c r="BG415">
        <v>138</v>
      </c>
      <c r="BH415">
        <v>144</v>
      </c>
      <c r="BI415" t="s">
        <v>69</v>
      </c>
      <c r="BJ415" t="s">
        <v>18630</v>
      </c>
      <c r="BK415" t="str">
        <f>HYPERLINK("http://dx.doi.org/10.1016/j.ypmed.2018.04.025","http://dx.doi.org/10.1016/j.ypmed.2018.04.025")</f>
        <v>http://dx.doi.org/10.1016/j.ypmed.2018.04.025</v>
      </c>
      <c r="BL415" t="s">
        <v>69</v>
      </c>
      <c r="BM415" t="s">
        <v>69</v>
      </c>
      <c r="BN415">
        <v>7</v>
      </c>
      <c r="BO415" t="s">
        <v>18631</v>
      </c>
      <c r="BP415" t="s">
        <v>8523</v>
      </c>
      <c r="BQ415" t="s">
        <v>18632</v>
      </c>
      <c r="BR415" t="s">
        <v>18633</v>
      </c>
      <c r="BS415" t="s">
        <v>18634</v>
      </c>
      <c r="BT415">
        <v>29678616</v>
      </c>
      <c r="BU415" t="s">
        <v>69</v>
      </c>
      <c r="BV415" t="s">
        <v>69</v>
      </c>
      <c r="BW415" t="s">
        <v>69</v>
      </c>
      <c r="BX415" t="s">
        <v>8526</v>
      </c>
      <c r="BY415" t="str">
        <f>HYPERLINK("https%3A%2F%2Fwww.webofscience.com%2Fwos%2Fwoscc%2Ffull-record%2FWOS:000432868100020","View Full Record in Web of Science")</f>
        <v>View Full Record in Web of Science</v>
      </c>
    </row>
    <row r="416" spans="1:77" ht="12.5" x14ac:dyDescent="0.25">
      <c r="A416" t="s">
        <v>8495</v>
      </c>
      <c r="B416" s="22" t="s">
        <v>32931</v>
      </c>
      <c r="C416" s="7"/>
      <c r="D416" s="7"/>
      <c r="E416" s="7"/>
      <c r="F416" t="s">
        <v>67</v>
      </c>
      <c r="G416" t="s">
        <v>11489</v>
      </c>
      <c r="H416" t="s">
        <v>69</v>
      </c>
      <c r="I416" t="s">
        <v>69</v>
      </c>
      <c r="J416" t="s">
        <v>69</v>
      </c>
      <c r="K416" t="s">
        <v>11490</v>
      </c>
      <c r="L416" t="s">
        <v>69</v>
      </c>
      <c r="M416" t="s">
        <v>69</v>
      </c>
      <c r="N416" t="s">
        <v>11491</v>
      </c>
      <c r="O416" t="s">
        <v>11492</v>
      </c>
      <c r="P416" t="s">
        <v>69</v>
      </c>
      <c r="Q416" t="s">
        <v>69</v>
      </c>
      <c r="R416" t="s">
        <v>8505</v>
      </c>
      <c r="S416" t="s">
        <v>8506</v>
      </c>
      <c r="T416" t="s">
        <v>69</v>
      </c>
      <c r="U416" t="s">
        <v>69</v>
      </c>
      <c r="V416" t="s">
        <v>69</v>
      </c>
      <c r="W416" t="s">
        <v>69</v>
      </c>
      <c r="X416" t="s">
        <v>69</v>
      </c>
      <c r="Y416" t="s">
        <v>11493</v>
      </c>
      <c r="Z416" t="s">
        <v>11494</v>
      </c>
      <c r="AA416" t="s">
        <v>11495</v>
      </c>
      <c r="AB416" t="s">
        <v>11496</v>
      </c>
      <c r="AC416" t="s">
        <v>69</v>
      </c>
      <c r="AD416" t="s">
        <v>11497</v>
      </c>
      <c r="AE416" t="s">
        <v>11498</v>
      </c>
      <c r="AF416" t="s">
        <v>11499</v>
      </c>
      <c r="AG416" t="s">
        <v>11500</v>
      </c>
      <c r="AH416" t="s">
        <v>69</v>
      </c>
      <c r="AI416" t="s">
        <v>69</v>
      </c>
      <c r="AJ416" t="s">
        <v>69</v>
      </c>
      <c r="AK416" t="s">
        <v>69</v>
      </c>
      <c r="AL416">
        <v>54</v>
      </c>
      <c r="AM416">
        <v>0</v>
      </c>
      <c r="AN416">
        <v>0</v>
      </c>
      <c r="AO416">
        <v>0</v>
      </c>
      <c r="AP416">
        <v>1</v>
      </c>
      <c r="AQ416" t="s">
        <v>8586</v>
      </c>
      <c r="AR416" t="s">
        <v>8587</v>
      </c>
      <c r="AS416" t="s">
        <v>8588</v>
      </c>
      <c r="AT416" t="s">
        <v>11501</v>
      </c>
      <c r="AU416" t="s">
        <v>69</v>
      </c>
      <c r="AV416" t="s">
        <v>69</v>
      </c>
      <c r="AW416" t="s">
        <v>11502</v>
      </c>
      <c r="AX416" t="s">
        <v>11503</v>
      </c>
      <c r="AY416" t="s">
        <v>11504</v>
      </c>
      <c r="AZ416">
        <v>2022</v>
      </c>
      <c r="BA416">
        <v>15</v>
      </c>
      <c r="BB416">
        <v>1</v>
      </c>
      <c r="BC416" t="s">
        <v>69</v>
      </c>
      <c r="BD416" t="s">
        <v>69</v>
      </c>
      <c r="BE416" t="s">
        <v>114</v>
      </c>
      <c r="BF416" t="s">
        <v>69</v>
      </c>
      <c r="BG416">
        <v>112</v>
      </c>
      <c r="BH416">
        <v>129</v>
      </c>
      <c r="BI416" t="s">
        <v>69</v>
      </c>
      <c r="BJ416" t="s">
        <v>11505</v>
      </c>
      <c r="BK416" t="str">
        <f>HYPERLINK("http://dx.doi.org/10.1108/JERER-06-2021-0034","http://dx.doi.org/10.1108/JERER-06-2021-0034")</f>
        <v>http://dx.doi.org/10.1108/JERER-06-2021-0034</v>
      </c>
      <c r="BL416" t="s">
        <v>69</v>
      </c>
      <c r="BM416" t="s">
        <v>11486</v>
      </c>
      <c r="BN416">
        <v>18</v>
      </c>
      <c r="BO416" t="s">
        <v>9749</v>
      </c>
      <c r="BP416" t="s">
        <v>8573</v>
      </c>
      <c r="BQ416" t="s">
        <v>8594</v>
      </c>
      <c r="BR416" t="s">
        <v>11506</v>
      </c>
      <c r="BS416" t="s">
        <v>11507</v>
      </c>
      <c r="BT416" t="s">
        <v>69</v>
      </c>
      <c r="BU416" t="s">
        <v>10995</v>
      </c>
      <c r="BV416" t="s">
        <v>69</v>
      </c>
      <c r="BW416" t="s">
        <v>69</v>
      </c>
      <c r="BX416" t="s">
        <v>8526</v>
      </c>
      <c r="BY416" t="str">
        <f>HYPERLINK("https%3A%2F%2Fwww.webofscience.com%2Fwos%2Fwoscc%2Ffull-record%2FWOS:000691588900001","View Full Record in Web of Science")</f>
        <v>View Full Record in Web of Science</v>
      </c>
    </row>
    <row r="417" spans="1:77" ht="12.5" x14ac:dyDescent="0.25">
      <c r="A417" t="s">
        <v>8495</v>
      </c>
      <c r="B417" s="7" t="s">
        <v>32933</v>
      </c>
      <c r="C417" s="7"/>
      <c r="D417" s="7"/>
      <c r="E417" s="7"/>
      <c r="F417" t="s">
        <v>67</v>
      </c>
      <c r="G417" t="s">
        <v>1631</v>
      </c>
      <c r="H417" t="s">
        <v>69</v>
      </c>
      <c r="I417" t="s">
        <v>69</v>
      </c>
      <c r="J417" t="s">
        <v>69</v>
      </c>
      <c r="K417" t="s">
        <v>1632</v>
      </c>
      <c r="L417" t="s">
        <v>69</v>
      </c>
      <c r="M417" t="s">
        <v>69</v>
      </c>
      <c r="N417" t="s">
        <v>1633</v>
      </c>
      <c r="O417" t="s">
        <v>1634</v>
      </c>
      <c r="P417" t="s">
        <v>69</v>
      </c>
      <c r="Q417" t="s">
        <v>69</v>
      </c>
      <c r="R417" t="s">
        <v>8505</v>
      </c>
      <c r="S417" t="s">
        <v>8442</v>
      </c>
      <c r="T417" t="s">
        <v>69</v>
      </c>
      <c r="U417" t="s">
        <v>69</v>
      </c>
      <c r="V417" t="s">
        <v>69</v>
      </c>
      <c r="W417" t="s">
        <v>69</v>
      </c>
      <c r="X417" t="s">
        <v>69</v>
      </c>
      <c r="Y417" t="s">
        <v>69</v>
      </c>
      <c r="Z417" t="s">
        <v>30330</v>
      </c>
      <c r="AA417" t="s">
        <v>1635</v>
      </c>
      <c r="AB417" t="s">
        <v>30331</v>
      </c>
      <c r="AC417" t="s">
        <v>69</v>
      </c>
      <c r="AD417" t="s">
        <v>30332</v>
      </c>
      <c r="AE417" t="s">
        <v>30333</v>
      </c>
      <c r="AF417" t="s">
        <v>69</v>
      </c>
      <c r="AG417" t="s">
        <v>69</v>
      </c>
      <c r="AH417" t="s">
        <v>69</v>
      </c>
      <c r="AI417" t="s">
        <v>69</v>
      </c>
      <c r="AJ417" t="s">
        <v>69</v>
      </c>
      <c r="AK417" t="s">
        <v>69</v>
      </c>
      <c r="AL417">
        <v>121</v>
      </c>
      <c r="AM417">
        <v>12</v>
      </c>
      <c r="AN417">
        <v>12</v>
      </c>
      <c r="AO417">
        <v>0</v>
      </c>
      <c r="AP417">
        <v>5</v>
      </c>
      <c r="AQ417" t="s">
        <v>10352</v>
      </c>
      <c r="AR417" t="s">
        <v>8637</v>
      </c>
      <c r="AS417" t="s">
        <v>10353</v>
      </c>
      <c r="AT417" t="s">
        <v>1636</v>
      </c>
      <c r="AU417" t="s">
        <v>1637</v>
      </c>
      <c r="AV417" t="s">
        <v>69</v>
      </c>
      <c r="AW417" t="s">
        <v>30334</v>
      </c>
      <c r="AX417" t="s">
        <v>30335</v>
      </c>
      <c r="AY417" t="s">
        <v>246</v>
      </c>
      <c r="AZ417">
        <v>2006</v>
      </c>
      <c r="BA417">
        <v>8</v>
      </c>
      <c r="BB417">
        <v>2</v>
      </c>
      <c r="BC417" t="s">
        <v>69</v>
      </c>
      <c r="BD417" t="s">
        <v>69</v>
      </c>
      <c r="BE417" t="s">
        <v>69</v>
      </c>
      <c r="BF417" t="s">
        <v>69</v>
      </c>
      <c r="BG417">
        <v>203</v>
      </c>
      <c r="BH417">
        <v>216</v>
      </c>
      <c r="BI417" t="s">
        <v>69</v>
      </c>
      <c r="BJ417" t="s">
        <v>1638</v>
      </c>
      <c r="BK417" t="str">
        <f>HYPERLINK("http://dx.doi.org/10.1080/14622200600576297","http://dx.doi.org/10.1080/14622200600576297")</f>
        <v>http://dx.doi.org/10.1080/14622200600576297</v>
      </c>
      <c r="BL417" t="s">
        <v>69</v>
      </c>
      <c r="BM417" t="s">
        <v>69</v>
      </c>
      <c r="BN417">
        <v>14</v>
      </c>
      <c r="BO417" t="s">
        <v>25899</v>
      </c>
      <c r="BP417" t="s">
        <v>8523</v>
      </c>
      <c r="BQ417" t="s">
        <v>25899</v>
      </c>
      <c r="BR417" t="s">
        <v>30336</v>
      </c>
      <c r="BS417" t="s">
        <v>1639</v>
      </c>
      <c r="BT417">
        <v>16766413</v>
      </c>
      <c r="BU417" t="s">
        <v>69</v>
      </c>
      <c r="BV417" t="s">
        <v>69</v>
      </c>
      <c r="BW417" t="s">
        <v>69</v>
      </c>
      <c r="BX417" t="s">
        <v>8526</v>
      </c>
      <c r="BY417" t="str">
        <f>HYPERLINK("https%3A%2F%2Fwww.webofscience.com%2Fwos%2Fwoscc%2Ffull-record%2FWOS:000237628700006","View Full Record in Web of Science")</f>
        <v>View Full Record in Web of Science</v>
      </c>
    </row>
    <row r="418" spans="1:77" ht="12.5" x14ac:dyDescent="0.25">
      <c r="A418" t="s">
        <v>8495</v>
      </c>
      <c r="B418" s="22" t="s">
        <v>32931</v>
      </c>
      <c r="C418" s="7"/>
      <c r="D418" s="7"/>
      <c r="E418" s="7"/>
      <c r="F418" t="s">
        <v>67</v>
      </c>
      <c r="G418" t="s">
        <v>13296</v>
      </c>
      <c r="H418" t="s">
        <v>69</v>
      </c>
      <c r="I418" t="s">
        <v>69</v>
      </c>
      <c r="J418" t="s">
        <v>69</v>
      </c>
      <c r="K418" t="s">
        <v>13297</v>
      </c>
      <c r="L418" t="s">
        <v>69</v>
      </c>
      <c r="M418" t="s">
        <v>69</v>
      </c>
      <c r="N418" t="s">
        <v>13298</v>
      </c>
      <c r="O418" t="s">
        <v>13299</v>
      </c>
      <c r="P418" t="s">
        <v>69</v>
      </c>
      <c r="Q418" t="s">
        <v>69</v>
      </c>
      <c r="R418" t="s">
        <v>8505</v>
      </c>
      <c r="S418" t="s">
        <v>8506</v>
      </c>
      <c r="T418" t="s">
        <v>69</v>
      </c>
      <c r="U418" t="s">
        <v>69</v>
      </c>
      <c r="V418" t="s">
        <v>69</v>
      </c>
      <c r="W418" t="s">
        <v>69</v>
      </c>
      <c r="X418" t="s">
        <v>69</v>
      </c>
      <c r="Y418" t="s">
        <v>13300</v>
      </c>
      <c r="Z418" t="s">
        <v>69</v>
      </c>
      <c r="AA418" t="s">
        <v>13301</v>
      </c>
      <c r="AB418" t="s">
        <v>13302</v>
      </c>
      <c r="AC418" t="s">
        <v>69</v>
      </c>
      <c r="AD418" t="s">
        <v>13303</v>
      </c>
      <c r="AE418" t="s">
        <v>13304</v>
      </c>
      <c r="AF418" t="s">
        <v>13305</v>
      </c>
      <c r="AG418" t="s">
        <v>13306</v>
      </c>
      <c r="AH418" t="s">
        <v>69</v>
      </c>
      <c r="AI418" t="s">
        <v>69</v>
      </c>
      <c r="AJ418" t="s">
        <v>69</v>
      </c>
      <c r="AK418" t="s">
        <v>69</v>
      </c>
      <c r="AL418">
        <v>18</v>
      </c>
      <c r="AM418">
        <v>7</v>
      </c>
      <c r="AN418">
        <v>7</v>
      </c>
      <c r="AO418">
        <v>0</v>
      </c>
      <c r="AP418">
        <v>1</v>
      </c>
      <c r="AQ418" t="s">
        <v>13307</v>
      </c>
      <c r="AR418" t="s">
        <v>9424</v>
      </c>
      <c r="AS418" t="s">
        <v>13308</v>
      </c>
      <c r="AT418" t="s">
        <v>13309</v>
      </c>
      <c r="AU418" t="s">
        <v>13310</v>
      </c>
      <c r="AV418" t="s">
        <v>69</v>
      </c>
      <c r="AW418" t="s">
        <v>13311</v>
      </c>
      <c r="AX418" t="s">
        <v>13312</v>
      </c>
      <c r="AY418" t="s">
        <v>191</v>
      </c>
      <c r="AZ418">
        <v>2021</v>
      </c>
      <c r="BA418">
        <v>19</v>
      </c>
      <c r="BB418">
        <v>1</v>
      </c>
      <c r="BC418" t="s">
        <v>69</v>
      </c>
      <c r="BD418" t="s">
        <v>69</v>
      </c>
      <c r="BE418" t="s">
        <v>69</v>
      </c>
      <c r="BF418" t="s">
        <v>69</v>
      </c>
      <c r="BG418" t="s">
        <v>13313</v>
      </c>
      <c r="BH418" t="s">
        <v>13314</v>
      </c>
      <c r="BI418" t="s">
        <v>69</v>
      </c>
      <c r="BJ418" t="s">
        <v>13315</v>
      </c>
      <c r="BK418" t="str">
        <f>HYPERLINK("http://dx.doi.org/10.1016/j.surge.2020.07.006","http://dx.doi.org/10.1016/j.surge.2020.07.006")</f>
        <v>http://dx.doi.org/10.1016/j.surge.2020.07.006</v>
      </c>
      <c r="BL418" t="s">
        <v>69</v>
      </c>
      <c r="BM418" t="s">
        <v>300</v>
      </c>
      <c r="BN418">
        <v>8</v>
      </c>
      <c r="BO418" t="s">
        <v>11956</v>
      </c>
      <c r="BP418" t="s">
        <v>8523</v>
      </c>
      <c r="BQ418" t="s">
        <v>11956</v>
      </c>
      <c r="BR418" t="s">
        <v>13316</v>
      </c>
      <c r="BS418" t="s">
        <v>13318</v>
      </c>
      <c r="BT418">
        <v>32807661</v>
      </c>
      <c r="BU418" t="s">
        <v>13317</v>
      </c>
      <c r="BV418" t="s">
        <v>69</v>
      </c>
      <c r="BW418" t="s">
        <v>69</v>
      </c>
      <c r="BX418" t="s">
        <v>8526</v>
      </c>
      <c r="BY418" t="str">
        <f>HYPERLINK("https%3A%2F%2Fwww.webofscience.com%2Fwos%2Fwoscc%2Ffull-record%2FWOS:000666966000004","View Full Record in Web of Science")</f>
        <v>View Full Record in Web of Science</v>
      </c>
    </row>
    <row r="419" spans="1:77" ht="12.5" x14ac:dyDescent="0.25">
      <c r="A419" t="s">
        <v>8495</v>
      </c>
      <c r="B419" s="22" t="s">
        <v>32931</v>
      </c>
      <c r="C419" s="7"/>
      <c r="D419" s="7"/>
      <c r="E419" s="7"/>
      <c r="F419" t="s">
        <v>67</v>
      </c>
      <c r="G419" t="s">
        <v>9470</v>
      </c>
      <c r="H419" t="s">
        <v>69</v>
      </c>
      <c r="I419" t="s">
        <v>69</v>
      </c>
      <c r="J419" t="s">
        <v>69</v>
      </c>
      <c r="K419" t="s">
        <v>9471</v>
      </c>
      <c r="L419" t="s">
        <v>69</v>
      </c>
      <c r="M419" t="s">
        <v>69</v>
      </c>
      <c r="N419" t="s">
        <v>9472</v>
      </c>
      <c r="O419" t="s">
        <v>9473</v>
      </c>
      <c r="P419" t="s">
        <v>69</v>
      </c>
      <c r="Q419" t="s">
        <v>69</v>
      </c>
      <c r="R419" t="s">
        <v>8505</v>
      </c>
      <c r="S419" t="s">
        <v>8556</v>
      </c>
      <c r="T419" t="s">
        <v>69</v>
      </c>
      <c r="U419" t="s">
        <v>69</v>
      </c>
      <c r="V419" t="s">
        <v>69</v>
      </c>
      <c r="W419" t="s">
        <v>69</v>
      </c>
      <c r="X419" t="s">
        <v>69</v>
      </c>
      <c r="Y419" t="s">
        <v>69</v>
      </c>
      <c r="Z419" t="s">
        <v>9474</v>
      </c>
      <c r="AA419" t="s">
        <v>9475</v>
      </c>
      <c r="AB419" t="s">
        <v>9476</v>
      </c>
      <c r="AC419" t="s">
        <v>69</v>
      </c>
      <c r="AD419" t="s">
        <v>9477</v>
      </c>
      <c r="AE419" t="s">
        <v>9478</v>
      </c>
      <c r="AF419" t="s">
        <v>69</v>
      </c>
      <c r="AG419" t="s">
        <v>9479</v>
      </c>
      <c r="AH419" t="s">
        <v>69</v>
      </c>
      <c r="AI419" t="s">
        <v>69</v>
      </c>
      <c r="AJ419" t="s">
        <v>69</v>
      </c>
      <c r="AK419" t="s">
        <v>69</v>
      </c>
      <c r="AL419">
        <v>35</v>
      </c>
      <c r="AM419">
        <v>1</v>
      </c>
      <c r="AN419">
        <v>1</v>
      </c>
      <c r="AO419">
        <v>3</v>
      </c>
      <c r="AP419">
        <v>3</v>
      </c>
      <c r="AQ419" t="s">
        <v>8846</v>
      </c>
      <c r="AR419" t="s">
        <v>8847</v>
      </c>
      <c r="AS419" t="s">
        <v>8848</v>
      </c>
      <c r="AT419" t="s">
        <v>9480</v>
      </c>
      <c r="AU419" t="s">
        <v>9481</v>
      </c>
      <c r="AV419" t="s">
        <v>69</v>
      </c>
      <c r="AW419" t="s">
        <v>9482</v>
      </c>
      <c r="AX419" t="s">
        <v>9483</v>
      </c>
      <c r="AY419" t="s">
        <v>69</v>
      </c>
      <c r="AZ419" t="s">
        <v>69</v>
      </c>
      <c r="BA419" t="s">
        <v>69</v>
      </c>
      <c r="BB419" t="s">
        <v>69</v>
      </c>
      <c r="BC419" t="s">
        <v>69</v>
      </c>
      <c r="BD419" t="s">
        <v>69</v>
      </c>
      <c r="BE419" t="s">
        <v>69</v>
      </c>
      <c r="BF419" t="s">
        <v>69</v>
      </c>
      <c r="BG419" t="s">
        <v>69</v>
      </c>
      <c r="BH419" t="s">
        <v>69</v>
      </c>
      <c r="BI419" t="s">
        <v>69</v>
      </c>
      <c r="BJ419" t="s">
        <v>9484</v>
      </c>
      <c r="BK419" t="str">
        <f>HYPERLINK("http://dx.doi.org/10.1002/kpm.1711","http://dx.doi.org/10.1002/kpm.1711")</f>
        <v>http://dx.doi.org/10.1002/kpm.1711</v>
      </c>
      <c r="BL419" t="s">
        <v>69</v>
      </c>
      <c r="BM419" t="s">
        <v>9485</v>
      </c>
      <c r="BN419">
        <v>13</v>
      </c>
      <c r="BO419" t="s">
        <v>9410</v>
      </c>
      <c r="BP419" t="s">
        <v>8573</v>
      </c>
      <c r="BQ419" t="s">
        <v>8594</v>
      </c>
      <c r="BR419" t="s">
        <v>9486</v>
      </c>
      <c r="BS419" t="s">
        <v>9487</v>
      </c>
      <c r="BT419" t="s">
        <v>69</v>
      </c>
      <c r="BU419" t="s">
        <v>69</v>
      </c>
      <c r="BV419" t="s">
        <v>69</v>
      </c>
      <c r="BW419" t="s">
        <v>69</v>
      </c>
      <c r="BX419" t="s">
        <v>8526</v>
      </c>
      <c r="BY419" t="str">
        <f>HYPERLINK("https%3A%2F%2Fwww.webofscience.com%2Fwos%2Fwoscc%2Ffull-record%2FWOS:000773757800001","View Full Record in Web of Science")</f>
        <v>View Full Record in Web of Science</v>
      </c>
    </row>
    <row r="420" spans="1:77" ht="12.5" x14ac:dyDescent="0.25">
      <c r="A420" t="s">
        <v>8495</v>
      </c>
      <c r="B420" s="7" t="s">
        <v>32933</v>
      </c>
      <c r="C420" s="7"/>
      <c r="D420" s="7"/>
      <c r="E420" s="7"/>
      <c r="F420" t="s">
        <v>67</v>
      </c>
      <c r="G420" t="s">
        <v>4378</v>
      </c>
      <c r="H420" t="s">
        <v>69</v>
      </c>
      <c r="I420" t="s">
        <v>69</v>
      </c>
      <c r="J420" t="s">
        <v>69</v>
      </c>
      <c r="K420" t="s">
        <v>4379</v>
      </c>
      <c r="L420" t="s">
        <v>69</v>
      </c>
      <c r="M420" t="s">
        <v>69</v>
      </c>
      <c r="N420" t="s">
        <v>4380</v>
      </c>
      <c r="O420" t="s">
        <v>4381</v>
      </c>
      <c r="P420" t="s">
        <v>69</v>
      </c>
      <c r="Q420" t="s">
        <v>69</v>
      </c>
      <c r="R420" t="s">
        <v>8505</v>
      </c>
      <c r="S420" t="s">
        <v>8506</v>
      </c>
      <c r="T420" t="s">
        <v>69</v>
      </c>
      <c r="U420" t="s">
        <v>69</v>
      </c>
      <c r="V420" t="s">
        <v>69</v>
      </c>
      <c r="W420" t="s">
        <v>69</v>
      </c>
      <c r="X420" t="s">
        <v>69</v>
      </c>
      <c r="Y420" t="s">
        <v>18348</v>
      </c>
      <c r="Z420" t="s">
        <v>18349</v>
      </c>
      <c r="AA420" t="s">
        <v>4382</v>
      </c>
      <c r="AB420" t="s">
        <v>18350</v>
      </c>
      <c r="AC420" t="s">
        <v>69</v>
      </c>
      <c r="AD420" t="s">
        <v>18351</v>
      </c>
      <c r="AE420" t="s">
        <v>16922</v>
      </c>
      <c r="AF420" t="s">
        <v>69</v>
      </c>
      <c r="AG420" t="s">
        <v>2177</v>
      </c>
      <c r="AH420" t="s">
        <v>69</v>
      </c>
      <c r="AI420" t="s">
        <v>69</v>
      </c>
      <c r="AJ420" t="s">
        <v>69</v>
      </c>
      <c r="AK420" t="s">
        <v>69</v>
      </c>
      <c r="AL420">
        <v>46</v>
      </c>
      <c r="AM420">
        <v>3</v>
      </c>
      <c r="AN420">
        <v>3</v>
      </c>
      <c r="AO420">
        <v>0</v>
      </c>
      <c r="AP420">
        <v>2</v>
      </c>
      <c r="AQ420" t="s">
        <v>18352</v>
      </c>
      <c r="AR420" t="s">
        <v>11277</v>
      </c>
      <c r="AS420" t="s">
        <v>18353</v>
      </c>
      <c r="AT420" t="s">
        <v>4383</v>
      </c>
      <c r="AU420" t="s">
        <v>4384</v>
      </c>
      <c r="AV420" t="s">
        <v>69</v>
      </c>
      <c r="AW420" t="s">
        <v>18354</v>
      </c>
      <c r="AX420" t="s">
        <v>18355</v>
      </c>
      <c r="AY420" t="s">
        <v>477</v>
      </c>
      <c r="AZ420">
        <v>2018</v>
      </c>
      <c r="BA420">
        <v>9</v>
      </c>
      <c r="BB420">
        <v>2</v>
      </c>
      <c r="BC420" t="s">
        <v>69</v>
      </c>
      <c r="BD420" t="s">
        <v>69</v>
      </c>
      <c r="BE420" t="s">
        <v>69</v>
      </c>
      <c r="BF420" t="s">
        <v>69</v>
      </c>
      <c r="BG420">
        <v>255</v>
      </c>
      <c r="BH420">
        <v>272</v>
      </c>
      <c r="BI420" t="s">
        <v>69</v>
      </c>
      <c r="BJ420" t="s">
        <v>4385</v>
      </c>
      <c r="BK420" t="str">
        <f>HYPERLINK("http://dx.doi.org/10.1386/crre.9.2.255_1","http://dx.doi.org/10.1386/crre.9.2.255_1")</f>
        <v>http://dx.doi.org/10.1386/crre.9.2.255_1</v>
      </c>
      <c r="BL420" t="s">
        <v>69</v>
      </c>
      <c r="BM420" t="s">
        <v>69</v>
      </c>
      <c r="BN420">
        <v>18</v>
      </c>
      <c r="BO420" t="s">
        <v>18356</v>
      </c>
      <c r="BP420" t="s">
        <v>8573</v>
      </c>
      <c r="BQ420" t="s">
        <v>18356</v>
      </c>
      <c r="BR420" t="s">
        <v>18357</v>
      </c>
      <c r="BS420" t="s">
        <v>4386</v>
      </c>
      <c r="BT420" t="s">
        <v>69</v>
      </c>
      <c r="BU420" t="s">
        <v>10995</v>
      </c>
      <c r="BV420" t="s">
        <v>69</v>
      </c>
      <c r="BW420" t="s">
        <v>69</v>
      </c>
      <c r="BX420" t="s">
        <v>8526</v>
      </c>
      <c r="BY420" t="str">
        <f>HYPERLINK("https%3A%2F%2Fwww.webofscience.com%2Fwos%2Fwoscc%2Ffull-record%2FWOS:000449508800005","View Full Record in Web of Science")</f>
        <v>View Full Record in Web of Science</v>
      </c>
    </row>
    <row r="421" spans="1:77" ht="12.5" x14ac:dyDescent="0.25">
      <c r="A421" t="s">
        <v>8495</v>
      </c>
      <c r="B421" s="22" t="s">
        <v>32931</v>
      </c>
      <c r="C421" s="7"/>
      <c r="D421" s="7"/>
      <c r="E421" s="7"/>
      <c r="F421" t="s">
        <v>67</v>
      </c>
      <c r="G421" t="s">
        <v>23890</v>
      </c>
      <c r="H421" t="s">
        <v>69</v>
      </c>
      <c r="I421" t="s">
        <v>69</v>
      </c>
      <c r="J421" t="s">
        <v>69</v>
      </c>
      <c r="K421" t="s">
        <v>23891</v>
      </c>
      <c r="L421" t="s">
        <v>69</v>
      </c>
      <c r="M421" t="s">
        <v>69</v>
      </c>
      <c r="N421" t="s">
        <v>23892</v>
      </c>
      <c r="O421" t="s">
        <v>1831</v>
      </c>
      <c r="P421" t="s">
        <v>69</v>
      </c>
      <c r="Q421" t="s">
        <v>69</v>
      </c>
      <c r="R421" t="s">
        <v>8505</v>
      </c>
      <c r="S421" t="s">
        <v>8442</v>
      </c>
      <c r="T421" t="s">
        <v>69</v>
      </c>
      <c r="U421" t="s">
        <v>69</v>
      </c>
      <c r="V421" t="s">
        <v>69</v>
      </c>
      <c r="W421" t="s">
        <v>69</v>
      </c>
      <c r="X421" t="s">
        <v>69</v>
      </c>
      <c r="Y421" t="s">
        <v>23893</v>
      </c>
      <c r="Z421" t="s">
        <v>23894</v>
      </c>
      <c r="AA421" t="s">
        <v>23895</v>
      </c>
      <c r="AB421" t="s">
        <v>23896</v>
      </c>
      <c r="AC421" t="s">
        <v>69</v>
      </c>
      <c r="AD421" t="s">
        <v>23897</v>
      </c>
      <c r="AE421" t="s">
        <v>23898</v>
      </c>
      <c r="AF421" t="s">
        <v>23899</v>
      </c>
      <c r="AG421" t="s">
        <v>23900</v>
      </c>
      <c r="AH421" t="s">
        <v>23901</v>
      </c>
      <c r="AI421" t="s">
        <v>23902</v>
      </c>
      <c r="AJ421" t="s">
        <v>23903</v>
      </c>
      <c r="AK421" t="s">
        <v>69</v>
      </c>
      <c r="AL421">
        <v>63</v>
      </c>
      <c r="AM421">
        <v>50</v>
      </c>
      <c r="AN421">
        <v>50</v>
      </c>
      <c r="AO421">
        <v>2</v>
      </c>
      <c r="AP421">
        <v>35</v>
      </c>
      <c r="AQ421" t="s">
        <v>17140</v>
      </c>
      <c r="AR421" t="s">
        <v>8517</v>
      </c>
      <c r="AS421" t="s">
        <v>17141</v>
      </c>
      <c r="AT421" t="s">
        <v>1833</v>
      </c>
      <c r="AU421" t="s">
        <v>1834</v>
      </c>
      <c r="AV421" t="s">
        <v>69</v>
      </c>
      <c r="AW421" t="s">
        <v>13291</v>
      </c>
      <c r="AX421" t="s">
        <v>13292</v>
      </c>
      <c r="AY421" t="s">
        <v>94</v>
      </c>
      <c r="AZ421">
        <v>2014</v>
      </c>
      <c r="BA421">
        <v>40</v>
      </c>
      <c r="BB421" t="s">
        <v>69</v>
      </c>
      <c r="BC421" t="s">
        <v>69</v>
      </c>
      <c r="BD421" t="s">
        <v>69</v>
      </c>
      <c r="BE421" t="s">
        <v>69</v>
      </c>
      <c r="BF421" t="s">
        <v>69</v>
      </c>
      <c r="BG421">
        <v>12</v>
      </c>
      <c r="BH421">
        <v>20</v>
      </c>
      <c r="BI421" t="s">
        <v>69</v>
      </c>
      <c r="BJ421" t="s">
        <v>23904</v>
      </c>
      <c r="BK421" t="str">
        <f>HYPERLINK("http://dx.doi.org/10.1016/j.forpol.2013.12.005","http://dx.doi.org/10.1016/j.forpol.2013.12.005")</f>
        <v>http://dx.doi.org/10.1016/j.forpol.2013.12.005</v>
      </c>
      <c r="BL421" t="s">
        <v>69</v>
      </c>
      <c r="BM421" t="s">
        <v>69</v>
      </c>
      <c r="BN421">
        <v>9</v>
      </c>
      <c r="BO421" t="s">
        <v>13293</v>
      </c>
      <c r="BP421" t="s">
        <v>8523</v>
      </c>
      <c r="BQ421" t="s">
        <v>13294</v>
      </c>
      <c r="BR421" t="s">
        <v>23905</v>
      </c>
      <c r="BS421" t="s">
        <v>23906</v>
      </c>
      <c r="BT421" t="s">
        <v>69</v>
      </c>
      <c r="BU421" t="s">
        <v>69</v>
      </c>
      <c r="BV421" t="s">
        <v>69</v>
      </c>
      <c r="BW421" t="s">
        <v>69</v>
      </c>
      <c r="BX421" t="s">
        <v>8526</v>
      </c>
      <c r="BY421" t="str">
        <f>HYPERLINK("https%3A%2F%2Fwww.webofscience.com%2Fwos%2Fwoscc%2Ffull-record%2FWOS:000331684300002","View Full Record in Web of Science")</f>
        <v>View Full Record in Web of Science</v>
      </c>
    </row>
    <row r="422" spans="1:77" ht="12.5" x14ac:dyDescent="0.25">
      <c r="A422" t="s">
        <v>8495</v>
      </c>
      <c r="B422" s="22" t="s">
        <v>32931</v>
      </c>
      <c r="C422" s="7"/>
      <c r="D422" s="7"/>
      <c r="E422" s="7"/>
      <c r="F422" t="s">
        <v>67</v>
      </c>
      <c r="G422" t="s">
        <v>30654</v>
      </c>
      <c r="H422" t="s">
        <v>69</v>
      </c>
      <c r="I422" t="s">
        <v>69</v>
      </c>
      <c r="J422" t="s">
        <v>69</v>
      </c>
      <c r="K422" t="s">
        <v>30654</v>
      </c>
      <c r="L422" t="s">
        <v>69</v>
      </c>
      <c r="M422" t="s">
        <v>69</v>
      </c>
      <c r="N422" t="s">
        <v>30655</v>
      </c>
      <c r="O422" t="s">
        <v>3960</v>
      </c>
      <c r="P422" t="s">
        <v>69</v>
      </c>
      <c r="Q422" t="s">
        <v>69</v>
      </c>
      <c r="R422" t="s">
        <v>8505</v>
      </c>
      <c r="S422" t="s">
        <v>8506</v>
      </c>
      <c r="T422" t="s">
        <v>69</v>
      </c>
      <c r="U422" t="s">
        <v>69</v>
      </c>
      <c r="V422" t="s">
        <v>69</v>
      </c>
      <c r="W422" t="s">
        <v>69</v>
      </c>
      <c r="X422" t="s">
        <v>69</v>
      </c>
      <c r="Y422" t="s">
        <v>30656</v>
      </c>
      <c r="Z422" t="s">
        <v>30657</v>
      </c>
      <c r="AA422" t="s">
        <v>30658</v>
      </c>
      <c r="AB422" t="s">
        <v>30659</v>
      </c>
      <c r="AC422" t="s">
        <v>69</v>
      </c>
      <c r="AD422" t="s">
        <v>30660</v>
      </c>
      <c r="AE422" t="s">
        <v>30661</v>
      </c>
      <c r="AF422" t="s">
        <v>69</v>
      </c>
      <c r="AG422" t="s">
        <v>30662</v>
      </c>
      <c r="AH422" t="s">
        <v>69</v>
      </c>
      <c r="AI422" t="s">
        <v>69</v>
      </c>
      <c r="AJ422" t="s">
        <v>69</v>
      </c>
      <c r="AK422" t="s">
        <v>69</v>
      </c>
      <c r="AL422">
        <v>70</v>
      </c>
      <c r="AM422">
        <v>17</v>
      </c>
      <c r="AN422">
        <v>17</v>
      </c>
      <c r="AO422">
        <v>2</v>
      </c>
      <c r="AP422">
        <v>15</v>
      </c>
      <c r="AQ422" t="s">
        <v>8865</v>
      </c>
      <c r="AR422" t="s">
        <v>8612</v>
      </c>
      <c r="AS422" t="s">
        <v>8866</v>
      </c>
      <c r="AT422" t="s">
        <v>3963</v>
      </c>
      <c r="AU422" t="s">
        <v>30663</v>
      </c>
      <c r="AV422" t="s">
        <v>69</v>
      </c>
      <c r="AW422" t="s">
        <v>30664</v>
      </c>
      <c r="AX422" t="s">
        <v>30665</v>
      </c>
      <c r="AY422" t="s">
        <v>586</v>
      </c>
      <c r="AZ422">
        <v>2005</v>
      </c>
      <c r="BA422">
        <v>17</v>
      </c>
      <c r="BB422">
        <v>3</v>
      </c>
      <c r="BC422" t="s">
        <v>69</v>
      </c>
      <c r="BD422" t="s">
        <v>69</v>
      </c>
      <c r="BE422" t="s">
        <v>69</v>
      </c>
      <c r="BF422" t="s">
        <v>69</v>
      </c>
      <c r="BG422">
        <v>183</v>
      </c>
      <c r="BH422">
        <v>204</v>
      </c>
      <c r="BI422" t="s">
        <v>69</v>
      </c>
      <c r="BJ422" t="s">
        <v>30666</v>
      </c>
      <c r="BK422" t="str">
        <f>HYPERLINK("http://dx.doi.org/10.1080/08985620500102832","http://dx.doi.org/10.1080/08985620500102832")</f>
        <v>http://dx.doi.org/10.1080/08985620500102832</v>
      </c>
      <c r="BL422" t="s">
        <v>69</v>
      </c>
      <c r="BM422" t="s">
        <v>69</v>
      </c>
      <c r="BN422">
        <v>22</v>
      </c>
      <c r="BO422" t="s">
        <v>30667</v>
      </c>
      <c r="BP422" t="s">
        <v>8661</v>
      </c>
      <c r="BQ422" t="s">
        <v>30668</v>
      </c>
      <c r="BR422" t="s">
        <v>30669</v>
      </c>
      <c r="BS422" t="s">
        <v>30670</v>
      </c>
      <c r="BT422" t="s">
        <v>69</v>
      </c>
      <c r="BU422" t="s">
        <v>69</v>
      </c>
      <c r="BV422" t="s">
        <v>69</v>
      </c>
      <c r="BW422" t="s">
        <v>69</v>
      </c>
      <c r="BX422" t="s">
        <v>8526</v>
      </c>
      <c r="BY422" t="str">
        <f>HYPERLINK("https%3A%2F%2Fwww.webofscience.com%2Fwos%2Fwoscc%2Ffull-record%2FWOS:000230235100002","View Full Record in Web of Science")</f>
        <v>View Full Record in Web of Science</v>
      </c>
    </row>
    <row r="423" spans="1:77" x14ac:dyDescent="0.3">
      <c r="A423" t="s">
        <v>8495</v>
      </c>
      <c r="B423" s="9" t="s">
        <v>32954</v>
      </c>
      <c r="E423" s="9" t="s">
        <v>33053</v>
      </c>
      <c r="F423" t="s">
        <v>67</v>
      </c>
      <c r="G423" t="s">
        <v>28631</v>
      </c>
      <c r="H423" t="s">
        <v>69</v>
      </c>
      <c r="I423" t="s">
        <v>69</v>
      </c>
      <c r="J423" t="s">
        <v>69</v>
      </c>
      <c r="K423" t="s">
        <v>28632</v>
      </c>
      <c r="L423" t="s">
        <v>69</v>
      </c>
      <c r="M423" t="s">
        <v>69</v>
      </c>
      <c r="N423" t="s">
        <v>28633</v>
      </c>
      <c r="O423" t="s">
        <v>26366</v>
      </c>
      <c r="P423" t="s">
        <v>69</v>
      </c>
      <c r="Q423" t="s">
        <v>69</v>
      </c>
      <c r="R423" t="s">
        <v>10153</v>
      </c>
      <c r="S423" t="s">
        <v>8506</v>
      </c>
      <c r="T423" t="s">
        <v>69</v>
      </c>
      <c r="U423" t="s">
        <v>69</v>
      </c>
      <c r="V423" t="s">
        <v>69</v>
      </c>
      <c r="W423" t="s">
        <v>69</v>
      </c>
      <c r="X423" t="s">
        <v>69</v>
      </c>
      <c r="Y423" t="s">
        <v>28634</v>
      </c>
      <c r="Z423" t="s">
        <v>69</v>
      </c>
      <c r="AA423" t="s">
        <v>28635</v>
      </c>
      <c r="AB423" t="s">
        <v>28636</v>
      </c>
      <c r="AC423" t="s">
        <v>69</v>
      </c>
      <c r="AD423" t="s">
        <v>28637</v>
      </c>
      <c r="AE423" t="s">
        <v>28638</v>
      </c>
      <c r="AF423" t="s">
        <v>69</v>
      </c>
      <c r="AG423" t="s">
        <v>69</v>
      </c>
      <c r="AH423" t="s">
        <v>69</v>
      </c>
      <c r="AI423" t="s">
        <v>69</v>
      </c>
      <c r="AJ423" t="s">
        <v>69</v>
      </c>
      <c r="AK423" t="s">
        <v>69</v>
      </c>
      <c r="AL423">
        <v>28</v>
      </c>
      <c r="AM423">
        <v>0</v>
      </c>
      <c r="AN423">
        <v>0</v>
      </c>
      <c r="AO423">
        <v>0</v>
      </c>
      <c r="AP423">
        <v>0</v>
      </c>
      <c r="AQ423" t="s">
        <v>26374</v>
      </c>
      <c r="AR423" t="s">
        <v>26375</v>
      </c>
      <c r="AS423" t="s">
        <v>26376</v>
      </c>
      <c r="AT423" t="s">
        <v>26377</v>
      </c>
      <c r="AU423" t="s">
        <v>69</v>
      </c>
      <c r="AV423" t="s">
        <v>69</v>
      </c>
      <c r="AW423" t="s">
        <v>26378</v>
      </c>
      <c r="AX423" t="s">
        <v>26379</v>
      </c>
      <c r="AY423" t="s">
        <v>69</v>
      </c>
      <c r="AZ423">
        <v>2009</v>
      </c>
      <c r="BA423">
        <v>1</v>
      </c>
      <c r="BB423">
        <v>1</v>
      </c>
      <c r="BC423" t="s">
        <v>69</v>
      </c>
      <c r="BD423" t="s">
        <v>69</v>
      </c>
      <c r="BE423" t="s">
        <v>69</v>
      </c>
      <c r="BF423" t="s">
        <v>69</v>
      </c>
      <c r="BG423">
        <v>1</v>
      </c>
      <c r="BH423">
        <v>22</v>
      </c>
      <c r="BI423" t="s">
        <v>69</v>
      </c>
      <c r="BJ423" t="s">
        <v>69</v>
      </c>
      <c r="BK423" t="s">
        <v>69</v>
      </c>
      <c r="BL423" t="s">
        <v>69</v>
      </c>
      <c r="BM423" t="s">
        <v>69</v>
      </c>
      <c r="BN423">
        <v>22</v>
      </c>
      <c r="BO423" t="s">
        <v>12182</v>
      </c>
      <c r="BP423" t="s">
        <v>8573</v>
      </c>
      <c r="BQ423" t="s">
        <v>12182</v>
      </c>
      <c r="BR423" t="s">
        <v>28639</v>
      </c>
      <c r="BS423" t="s">
        <v>28640</v>
      </c>
      <c r="BT423" t="s">
        <v>69</v>
      </c>
      <c r="BU423" t="s">
        <v>69</v>
      </c>
      <c r="BV423" t="s">
        <v>69</v>
      </c>
      <c r="BW423" t="s">
        <v>69</v>
      </c>
      <c r="BX423" t="s">
        <v>8526</v>
      </c>
      <c r="BY423" t="str">
        <f>HYPERLINK("https%3A%2F%2Fwww.webofscience.com%2Fwos%2Fwoscc%2Ffull-record%2FWOS:000215264400001","View Full Record in Web of Science")</f>
        <v>View Full Record in Web of Science</v>
      </c>
    </row>
    <row r="424" spans="1:77" ht="12.5" x14ac:dyDescent="0.25">
      <c r="A424" t="s">
        <v>8495</v>
      </c>
      <c r="B424" s="22" t="s">
        <v>32931</v>
      </c>
      <c r="C424" s="7"/>
      <c r="D424" s="7"/>
      <c r="E424" s="7"/>
      <c r="F424" t="s">
        <v>67</v>
      </c>
      <c r="G424" t="s">
        <v>24298</v>
      </c>
      <c r="H424" t="s">
        <v>69</v>
      </c>
      <c r="I424" t="s">
        <v>69</v>
      </c>
      <c r="J424" t="s">
        <v>69</v>
      </c>
      <c r="K424" t="s">
        <v>24299</v>
      </c>
      <c r="L424" t="s">
        <v>69</v>
      </c>
      <c r="M424" t="s">
        <v>69</v>
      </c>
      <c r="N424" t="s">
        <v>24300</v>
      </c>
      <c r="O424" t="s">
        <v>24301</v>
      </c>
      <c r="P424" t="s">
        <v>69</v>
      </c>
      <c r="Q424" t="s">
        <v>69</v>
      </c>
      <c r="R424" t="s">
        <v>8505</v>
      </c>
      <c r="S424" t="s">
        <v>8506</v>
      </c>
      <c r="T424" t="s">
        <v>69</v>
      </c>
      <c r="U424" t="s">
        <v>69</v>
      </c>
      <c r="V424" t="s">
        <v>69</v>
      </c>
      <c r="W424" t="s">
        <v>69</v>
      </c>
      <c r="X424" t="s">
        <v>69</v>
      </c>
      <c r="Y424" t="s">
        <v>24302</v>
      </c>
      <c r="Z424" t="s">
        <v>69</v>
      </c>
      <c r="AA424" t="s">
        <v>24303</v>
      </c>
      <c r="AB424" t="s">
        <v>24304</v>
      </c>
      <c r="AC424" t="s">
        <v>69</v>
      </c>
      <c r="AD424" t="s">
        <v>24305</v>
      </c>
      <c r="AE424" t="s">
        <v>24306</v>
      </c>
      <c r="AF424" t="s">
        <v>69</v>
      </c>
      <c r="AG424" t="s">
        <v>69</v>
      </c>
      <c r="AH424" t="s">
        <v>69</v>
      </c>
      <c r="AI424" t="s">
        <v>69</v>
      </c>
      <c r="AJ424" t="s">
        <v>69</v>
      </c>
      <c r="AK424" t="s">
        <v>69</v>
      </c>
      <c r="AL424">
        <v>16</v>
      </c>
      <c r="AM424">
        <v>0</v>
      </c>
      <c r="AN424">
        <v>0</v>
      </c>
      <c r="AO424">
        <v>0</v>
      </c>
      <c r="AP424">
        <v>0</v>
      </c>
      <c r="AQ424" t="s">
        <v>24307</v>
      </c>
      <c r="AR424" t="s">
        <v>8763</v>
      </c>
      <c r="AS424" t="s">
        <v>24308</v>
      </c>
      <c r="AT424" t="s">
        <v>24309</v>
      </c>
      <c r="AU424" t="s">
        <v>24310</v>
      </c>
      <c r="AV424" t="s">
        <v>69</v>
      </c>
      <c r="AW424" t="s">
        <v>24311</v>
      </c>
      <c r="AX424" t="s">
        <v>24312</v>
      </c>
      <c r="AY424" t="s">
        <v>69</v>
      </c>
      <c r="AZ424">
        <v>2014</v>
      </c>
      <c r="BA424">
        <v>14</v>
      </c>
      <c r="BB424">
        <v>1</v>
      </c>
      <c r="BC424" t="s">
        <v>69</v>
      </c>
      <c r="BD424" t="s">
        <v>69</v>
      </c>
      <c r="BE424" t="s">
        <v>69</v>
      </c>
      <c r="BF424" t="s">
        <v>69</v>
      </c>
      <c r="BG424">
        <v>154</v>
      </c>
      <c r="BH424">
        <v>167</v>
      </c>
      <c r="BI424" t="s">
        <v>69</v>
      </c>
      <c r="BJ424" t="s">
        <v>69</v>
      </c>
      <c r="BK424" t="s">
        <v>69</v>
      </c>
      <c r="BL424" t="s">
        <v>69</v>
      </c>
      <c r="BM424" t="s">
        <v>69</v>
      </c>
      <c r="BN424">
        <v>14</v>
      </c>
      <c r="BO424" t="s">
        <v>15649</v>
      </c>
      <c r="BP424" t="s">
        <v>8573</v>
      </c>
      <c r="BQ424" t="s">
        <v>9001</v>
      </c>
      <c r="BR424" t="s">
        <v>24313</v>
      </c>
      <c r="BS424" t="s">
        <v>24314</v>
      </c>
      <c r="BT424" t="s">
        <v>69</v>
      </c>
      <c r="BU424" t="s">
        <v>69</v>
      </c>
      <c r="BV424" t="s">
        <v>69</v>
      </c>
      <c r="BW424" t="s">
        <v>69</v>
      </c>
      <c r="BX424" t="s">
        <v>8526</v>
      </c>
      <c r="BY424" t="str">
        <f>HYPERLINK("https%3A%2F%2Fwww.webofscience.com%2Fwos%2Fwoscc%2Ffull-record%2FWOS:000213486800008","View Full Record in Web of Science")</f>
        <v>View Full Record in Web of Science</v>
      </c>
    </row>
    <row r="425" spans="1:77" ht="12.5" x14ac:dyDescent="0.25">
      <c r="A425" t="s">
        <v>8495</v>
      </c>
      <c r="B425" s="22" t="s">
        <v>32931</v>
      </c>
      <c r="C425" s="7"/>
      <c r="D425" s="7"/>
      <c r="E425" s="7"/>
      <c r="F425" t="s">
        <v>67</v>
      </c>
      <c r="G425" t="s">
        <v>27109</v>
      </c>
      <c r="H425" t="s">
        <v>69</v>
      </c>
      <c r="I425" t="s">
        <v>69</v>
      </c>
      <c r="J425" t="s">
        <v>69</v>
      </c>
      <c r="K425" t="s">
        <v>27110</v>
      </c>
      <c r="L425" t="s">
        <v>69</v>
      </c>
      <c r="M425" t="s">
        <v>69</v>
      </c>
      <c r="N425" t="s">
        <v>27111</v>
      </c>
      <c r="O425" t="s">
        <v>27112</v>
      </c>
      <c r="P425" t="s">
        <v>69</v>
      </c>
      <c r="Q425" t="s">
        <v>69</v>
      </c>
      <c r="R425" t="s">
        <v>8505</v>
      </c>
      <c r="S425" t="s">
        <v>8506</v>
      </c>
      <c r="T425" t="s">
        <v>69</v>
      </c>
      <c r="U425" t="s">
        <v>69</v>
      </c>
      <c r="V425" t="s">
        <v>69</v>
      </c>
      <c r="W425" t="s">
        <v>69</v>
      </c>
      <c r="X425" t="s">
        <v>69</v>
      </c>
      <c r="Y425" t="s">
        <v>27113</v>
      </c>
      <c r="Z425" t="s">
        <v>69</v>
      </c>
      <c r="AA425" t="s">
        <v>27114</v>
      </c>
      <c r="AB425" t="s">
        <v>27115</v>
      </c>
      <c r="AC425" t="s">
        <v>69</v>
      </c>
      <c r="AD425" t="s">
        <v>27116</v>
      </c>
      <c r="AE425" t="s">
        <v>22368</v>
      </c>
      <c r="AF425" t="s">
        <v>69</v>
      </c>
      <c r="AG425" t="s">
        <v>27117</v>
      </c>
      <c r="AH425" t="s">
        <v>69</v>
      </c>
      <c r="AI425" t="s">
        <v>69</v>
      </c>
      <c r="AJ425" t="s">
        <v>69</v>
      </c>
      <c r="AK425" t="s">
        <v>69</v>
      </c>
      <c r="AL425">
        <v>32</v>
      </c>
      <c r="AM425">
        <v>5</v>
      </c>
      <c r="AN425">
        <v>5</v>
      </c>
      <c r="AO425">
        <v>0</v>
      </c>
      <c r="AP425">
        <v>7</v>
      </c>
      <c r="AQ425" t="s">
        <v>9047</v>
      </c>
      <c r="AR425" t="s">
        <v>9048</v>
      </c>
      <c r="AS425" t="s">
        <v>9049</v>
      </c>
      <c r="AT425" t="s">
        <v>27118</v>
      </c>
      <c r="AU425" t="s">
        <v>27119</v>
      </c>
      <c r="AV425" t="s">
        <v>69</v>
      </c>
      <c r="AW425" t="s">
        <v>27120</v>
      </c>
      <c r="AX425" t="s">
        <v>27121</v>
      </c>
      <c r="AY425" t="s">
        <v>94</v>
      </c>
      <c r="AZ425">
        <v>2011</v>
      </c>
      <c r="BA425">
        <v>17</v>
      </c>
      <c r="BB425">
        <v>1</v>
      </c>
      <c r="BC425" t="s">
        <v>69</v>
      </c>
      <c r="BD425" t="s">
        <v>69</v>
      </c>
      <c r="BE425" t="s">
        <v>114</v>
      </c>
      <c r="BF425" t="s">
        <v>69</v>
      </c>
      <c r="BG425">
        <v>55</v>
      </c>
      <c r="BH425">
        <v>67</v>
      </c>
      <c r="BI425" t="s">
        <v>69</v>
      </c>
      <c r="BJ425" t="s">
        <v>27122</v>
      </c>
      <c r="BK425" t="str">
        <f>HYPERLINK("http://dx.doi.org/10.1007/s10610-010-9134-7","http://dx.doi.org/10.1007/s10610-010-9134-7")</f>
        <v>http://dx.doi.org/10.1007/s10610-010-9134-7</v>
      </c>
      <c r="BL425" t="s">
        <v>69</v>
      </c>
      <c r="BM425" t="s">
        <v>69</v>
      </c>
      <c r="BN425">
        <v>13</v>
      </c>
      <c r="BO425" t="s">
        <v>19122</v>
      </c>
      <c r="BP425" t="s">
        <v>8661</v>
      </c>
      <c r="BQ425" t="s">
        <v>19122</v>
      </c>
      <c r="BR425" t="s">
        <v>27123</v>
      </c>
      <c r="BS425" t="s">
        <v>27124</v>
      </c>
      <c r="BT425" t="s">
        <v>69</v>
      </c>
      <c r="BU425" t="s">
        <v>69</v>
      </c>
      <c r="BV425" t="s">
        <v>69</v>
      </c>
      <c r="BW425" t="s">
        <v>69</v>
      </c>
      <c r="BX425" t="s">
        <v>8526</v>
      </c>
      <c r="BY425" t="str">
        <f>HYPERLINK("https%3A%2F%2Fwww.webofscience.com%2Fwos%2Fwoscc%2Ffull-record%2FWOS:000290771600004","View Full Record in Web of Science")</f>
        <v>View Full Record in Web of Science</v>
      </c>
    </row>
    <row r="426" spans="1:77" ht="12.5" x14ac:dyDescent="0.25">
      <c r="A426" t="s">
        <v>8495</v>
      </c>
      <c r="B426" s="22" t="s">
        <v>32931</v>
      </c>
      <c r="C426" s="7"/>
      <c r="D426" s="7"/>
      <c r="E426" s="7"/>
      <c r="F426" t="s">
        <v>67</v>
      </c>
      <c r="G426" t="s">
        <v>11942</v>
      </c>
      <c r="H426" t="s">
        <v>69</v>
      </c>
      <c r="I426" t="s">
        <v>69</v>
      </c>
      <c r="J426" t="s">
        <v>69</v>
      </c>
      <c r="K426" t="s">
        <v>11943</v>
      </c>
      <c r="L426" t="s">
        <v>69</v>
      </c>
      <c r="M426" t="s">
        <v>69</v>
      </c>
      <c r="N426" t="s">
        <v>11944</v>
      </c>
      <c r="O426" t="s">
        <v>11945</v>
      </c>
      <c r="P426" t="s">
        <v>69</v>
      </c>
      <c r="Q426" t="s">
        <v>69</v>
      </c>
      <c r="R426" t="s">
        <v>8505</v>
      </c>
      <c r="S426" t="s">
        <v>8442</v>
      </c>
      <c r="T426" t="s">
        <v>69</v>
      </c>
      <c r="U426" t="s">
        <v>69</v>
      </c>
      <c r="V426" t="s">
        <v>69</v>
      </c>
      <c r="W426" t="s">
        <v>69</v>
      </c>
      <c r="X426" t="s">
        <v>69</v>
      </c>
      <c r="Y426" t="s">
        <v>11946</v>
      </c>
      <c r="Z426" t="s">
        <v>69</v>
      </c>
      <c r="AA426" t="s">
        <v>11947</v>
      </c>
      <c r="AB426" t="s">
        <v>11948</v>
      </c>
      <c r="AC426" t="s">
        <v>69</v>
      </c>
      <c r="AD426" t="s">
        <v>11949</v>
      </c>
      <c r="AE426" t="s">
        <v>11950</v>
      </c>
      <c r="AF426" t="s">
        <v>69</v>
      </c>
      <c r="AG426" t="s">
        <v>69</v>
      </c>
      <c r="AH426" t="s">
        <v>69</v>
      </c>
      <c r="AI426" t="s">
        <v>69</v>
      </c>
      <c r="AJ426" t="s">
        <v>69</v>
      </c>
      <c r="AK426" t="s">
        <v>69</v>
      </c>
      <c r="AL426">
        <v>14</v>
      </c>
      <c r="AM426">
        <v>2</v>
      </c>
      <c r="AN426">
        <v>2</v>
      </c>
      <c r="AO426">
        <v>5</v>
      </c>
      <c r="AP426">
        <v>9</v>
      </c>
      <c r="AQ426" t="s">
        <v>8516</v>
      </c>
      <c r="AR426" t="s">
        <v>8517</v>
      </c>
      <c r="AS426" t="s">
        <v>8518</v>
      </c>
      <c r="AT426" t="s">
        <v>11951</v>
      </c>
      <c r="AU426" t="s">
        <v>11952</v>
      </c>
      <c r="AV426" t="s">
        <v>69</v>
      </c>
      <c r="AW426" t="s">
        <v>11953</v>
      </c>
      <c r="AX426" t="s">
        <v>11954</v>
      </c>
      <c r="AY426" t="s">
        <v>84</v>
      </c>
      <c r="AZ426">
        <v>2021</v>
      </c>
      <c r="BA426">
        <v>91</v>
      </c>
      <c r="BB426" t="s">
        <v>69</v>
      </c>
      <c r="BC426" t="s">
        <v>69</v>
      </c>
      <c r="BD426" t="s">
        <v>69</v>
      </c>
      <c r="BE426" t="s">
        <v>69</v>
      </c>
      <c r="BF426" t="s">
        <v>69</v>
      </c>
      <c r="BG426" t="s">
        <v>69</v>
      </c>
      <c r="BH426" t="s">
        <v>69</v>
      </c>
      <c r="BI426">
        <v>105987</v>
      </c>
      <c r="BJ426" t="s">
        <v>11955</v>
      </c>
      <c r="BK426" t="str">
        <f>HYPERLINK("http://dx.doi.org/10.1016/j.ijsu.2021.105987","http://dx.doi.org/10.1016/j.ijsu.2021.105987")</f>
        <v>http://dx.doi.org/10.1016/j.ijsu.2021.105987</v>
      </c>
      <c r="BL426" t="s">
        <v>69</v>
      </c>
      <c r="BM426" t="s">
        <v>11920</v>
      </c>
      <c r="BN426">
        <v>12</v>
      </c>
      <c r="BO426" t="s">
        <v>11956</v>
      </c>
      <c r="BP426" t="s">
        <v>8548</v>
      </c>
      <c r="BQ426" t="s">
        <v>11956</v>
      </c>
      <c r="BR426" t="s">
        <v>11957</v>
      </c>
      <c r="BS426" t="s">
        <v>11958</v>
      </c>
      <c r="BT426">
        <v>34091086</v>
      </c>
      <c r="BU426" t="s">
        <v>9374</v>
      </c>
      <c r="BV426" t="s">
        <v>69</v>
      </c>
      <c r="BW426" t="s">
        <v>69</v>
      </c>
      <c r="BX426" t="s">
        <v>8526</v>
      </c>
      <c r="BY426" t="str">
        <f>HYPERLINK("https%3A%2F%2Fwww.webofscience.com%2Fwos%2Fwoscc%2Ffull-record%2FWOS:000671833100022","View Full Record in Web of Science")</f>
        <v>View Full Record in Web of Science</v>
      </c>
    </row>
    <row r="427" spans="1:77" x14ac:dyDescent="0.3">
      <c r="A427" t="s">
        <v>8495</v>
      </c>
      <c r="B427" s="10" t="s">
        <v>32969</v>
      </c>
      <c r="F427" t="s">
        <v>67</v>
      </c>
      <c r="G427" t="s">
        <v>1300</v>
      </c>
      <c r="H427" t="s">
        <v>69</v>
      </c>
      <c r="I427" t="s">
        <v>69</v>
      </c>
      <c r="J427" t="s">
        <v>69</v>
      </c>
      <c r="K427" s="2" t="s">
        <v>1301</v>
      </c>
      <c r="L427" t="s">
        <v>69</v>
      </c>
      <c r="M427" t="s">
        <v>69</v>
      </c>
      <c r="N427" s="2" t="s">
        <v>1302</v>
      </c>
      <c r="O427" t="s">
        <v>929</v>
      </c>
      <c r="P427" t="s">
        <v>69</v>
      </c>
      <c r="Q427" t="s">
        <v>69</v>
      </c>
      <c r="R427" t="s">
        <v>8505</v>
      </c>
      <c r="S427" t="s">
        <v>8506</v>
      </c>
      <c r="T427" t="s">
        <v>69</v>
      </c>
      <c r="U427" t="s">
        <v>69</v>
      </c>
      <c r="V427" t="s">
        <v>69</v>
      </c>
      <c r="W427" t="s">
        <v>69</v>
      </c>
      <c r="X427" t="s">
        <v>69</v>
      </c>
      <c r="Y427" t="s">
        <v>22979</v>
      </c>
      <c r="Z427" t="s">
        <v>22980</v>
      </c>
      <c r="AA427" t="s">
        <v>1303</v>
      </c>
      <c r="AB427" t="s">
        <v>22981</v>
      </c>
      <c r="AC427" t="s">
        <v>69</v>
      </c>
      <c r="AD427" t="s">
        <v>22982</v>
      </c>
      <c r="AE427" t="s">
        <v>22983</v>
      </c>
      <c r="AF427" t="s">
        <v>69</v>
      </c>
      <c r="AG427" t="s">
        <v>69</v>
      </c>
      <c r="AH427" t="s">
        <v>22984</v>
      </c>
      <c r="AI427" t="s">
        <v>22984</v>
      </c>
      <c r="AJ427" t="s">
        <v>22985</v>
      </c>
      <c r="AK427" t="s">
        <v>69</v>
      </c>
      <c r="AL427">
        <v>41</v>
      </c>
      <c r="AM427">
        <v>11</v>
      </c>
      <c r="AN427">
        <v>11</v>
      </c>
      <c r="AO427">
        <v>0</v>
      </c>
      <c r="AP427">
        <v>3</v>
      </c>
      <c r="AQ427" t="s">
        <v>8865</v>
      </c>
      <c r="AR427" t="s">
        <v>8612</v>
      </c>
      <c r="AS427" t="s">
        <v>22341</v>
      </c>
      <c r="AT427" t="s">
        <v>931</v>
      </c>
      <c r="AU427" t="s">
        <v>932</v>
      </c>
      <c r="AV427" t="s">
        <v>69</v>
      </c>
      <c r="AW427" t="s">
        <v>15975</v>
      </c>
      <c r="AX427" t="s">
        <v>15976</v>
      </c>
      <c r="AY427" t="s">
        <v>69</v>
      </c>
      <c r="AZ427">
        <v>2015</v>
      </c>
      <c r="BA427">
        <v>33</v>
      </c>
      <c r="BB427">
        <v>3</v>
      </c>
      <c r="BC427" t="s">
        <v>69</v>
      </c>
      <c r="BD427" t="s">
        <v>69</v>
      </c>
      <c r="BE427" t="s">
        <v>69</v>
      </c>
      <c r="BF427" t="s">
        <v>69</v>
      </c>
      <c r="BG427">
        <v>226</v>
      </c>
      <c r="BH427">
        <v>232</v>
      </c>
      <c r="BI427" t="s">
        <v>69</v>
      </c>
      <c r="BJ427" t="s">
        <v>1304</v>
      </c>
      <c r="BK427" t="str">
        <f>HYPERLINK("http://dx.doi.org/10.1080/14615517.2015.1049488","http://dx.doi.org/10.1080/14615517.2015.1049488")</f>
        <v>http://dx.doi.org/10.1080/14615517.2015.1049488</v>
      </c>
      <c r="BL427" t="s">
        <v>69</v>
      </c>
      <c r="BM427" t="s">
        <v>69</v>
      </c>
      <c r="BN427">
        <v>7</v>
      </c>
      <c r="BO427" t="s">
        <v>8660</v>
      </c>
      <c r="BP427" t="s">
        <v>8661</v>
      </c>
      <c r="BQ427" t="s">
        <v>8662</v>
      </c>
      <c r="BR427" t="s">
        <v>22977</v>
      </c>
      <c r="BS427" t="s">
        <v>1305</v>
      </c>
      <c r="BT427" t="s">
        <v>69</v>
      </c>
      <c r="BU427" t="s">
        <v>9374</v>
      </c>
      <c r="BV427" t="s">
        <v>69</v>
      </c>
      <c r="BW427" t="s">
        <v>69</v>
      </c>
      <c r="BX427" t="s">
        <v>8526</v>
      </c>
      <c r="BY427" t="str">
        <f>HYPERLINK("https%3A%2F%2Fwww.webofscience.com%2Fwos%2Fwoscc%2Ffull-record%2FWOS:000368669300006","View Full Record in Web of Science")</f>
        <v>View Full Record in Web of Science</v>
      </c>
    </row>
    <row r="428" spans="1:77" ht="12.5" x14ac:dyDescent="0.25">
      <c r="A428" t="s">
        <v>8495</v>
      </c>
      <c r="B428" s="7" t="s">
        <v>32933</v>
      </c>
      <c r="C428" s="7"/>
      <c r="D428" s="7"/>
      <c r="E428" s="7"/>
      <c r="F428" t="s">
        <v>67</v>
      </c>
      <c r="G428" t="s">
        <v>1348</v>
      </c>
      <c r="H428" t="s">
        <v>69</v>
      </c>
      <c r="I428" t="s">
        <v>69</v>
      </c>
      <c r="J428" t="s">
        <v>69</v>
      </c>
      <c r="K428" t="s">
        <v>1349</v>
      </c>
      <c r="L428" t="s">
        <v>69</v>
      </c>
      <c r="M428" t="s">
        <v>69</v>
      </c>
      <c r="N428" t="s">
        <v>1350</v>
      </c>
      <c r="O428" t="s">
        <v>1351</v>
      </c>
      <c r="P428" t="s">
        <v>69</v>
      </c>
      <c r="Q428" t="s">
        <v>69</v>
      </c>
      <c r="R428" t="s">
        <v>8505</v>
      </c>
      <c r="S428" t="s">
        <v>8506</v>
      </c>
      <c r="T428" t="s">
        <v>69</v>
      </c>
      <c r="U428" t="s">
        <v>69</v>
      </c>
      <c r="V428" t="s">
        <v>69</v>
      </c>
      <c r="W428" t="s">
        <v>69</v>
      </c>
      <c r="X428" t="s">
        <v>69</v>
      </c>
      <c r="Y428" t="s">
        <v>23736</v>
      </c>
      <c r="Z428" t="s">
        <v>23737</v>
      </c>
      <c r="AA428" t="s">
        <v>1352</v>
      </c>
      <c r="AB428" t="s">
        <v>23738</v>
      </c>
      <c r="AC428" t="s">
        <v>69</v>
      </c>
      <c r="AD428" t="s">
        <v>23739</v>
      </c>
      <c r="AE428" t="s">
        <v>23740</v>
      </c>
      <c r="AF428" t="s">
        <v>69</v>
      </c>
      <c r="AG428" t="s">
        <v>69</v>
      </c>
      <c r="AH428" t="s">
        <v>69</v>
      </c>
      <c r="AI428" t="s">
        <v>69</v>
      </c>
      <c r="AJ428" t="s">
        <v>69</v>
      </c>
      <c r="AK428" t="s">
        <v>69</v>
      </c>
      <c r="AL428">
        <v>65</v>
      </c>
      <c r="AM428">
        <v>37</v>
      </c>
      <c r="AN428">
        <v>37</v>
      </c>
      <c r="AO428">
        <v>1</v>
      </c>
      <c r="AP428">
        <v>38</v>
      </c>
      <c r="AQ428" t="s">
        <v>8539</v>
      </c>
      <c r="AR428" t="s">
        <v>8540</v>
      </c>
      <c r="AS428" t="s">
        <v>8541</v>
      </c>
      <c r="AT428" t="s">
        <v>1353</v>
      </c>
      <c r="AU428" t="s">
        <v>1354</v>
      </c>
      <c r="AV428" t="s">
        <v>69</v>
      </c>
      <c r="AW428" t="s">
        <v>8677</v>
      </c>
      <c r="AX428" t="s">
        <v>8678</v>
      </c>
      <c r="AY428" t="s">
        <v>84</v>
      </c>
      <c r="AZ428">
        <v>2014</v>
      </c>
      <c r="BA428">
        <v>30</v>
      </c>
      <c r="BB428">
        <v>4</v>
      </c>
      <c r="BC428" t="s">
        <v>69</v>
      </c>
      <c r="BD428" t="s">
        <v>69</v>
      </c>
      <c r="BE428" t="s">
        <v>69</v>
      </c>
      <c r="BF428" t="s">
        <v>69</v>
      </c>
      <c r="BG428" t="s">
        <v>69</v>
      </c>
      <c r="BH428" t="s">
        <v>69</v>
      </c>
      <c r="BI428">
        <v>5014007</v>
      </c>
      <c r="BJ428" t="s">
        <v>1355</v>
      </c>
      <c r="BK428" t="str">
        <f>HYPERLINK("http://dx.doi.org/10.1061/(ASCE)ME.1943-5479.0000223","http://dx.doi.org/10.1061/(ASCE)ME.1943-5479.0000223")</f>
        <v>http://dx.doi.org/10.1061/(ASCE)ME.1943-5479.0000223</v>
      </c>
      <c r="BL428" t="s">
        <v>69</v>
      </c>
      <c r="BM428" t="s">
        <v>69</v>
      </c>
      <c r="BN428">
        <v>11</v>
      </c>
      <c r="BO428" t="s">
        <v>8680</v>
      </c>
      <c r="BP428" t="s">
        <v>8548</v>
      </c>
      <c r="BQ428" t="s">
        <v>8445</v>
      </c>
      <c r="BR428" t="s">
        <v>23741</v>
      </c>
      <c r="BS428" t="s">
        <v>1356</v>
      </c>
      <c r="BT428" t="s">
        <v>69</v>
      </c>
      <c r="BU428" t="s">
        <v>69</v>
      </c>
      <c r="BV428" t="s">
        <v>69</v>
      </c>
      <c r="BW428" t="s">
        <v>69</v>
      </c>
      <c r="BX428" t="s">
        <v>8526</v>
      </c>
      <c r="BY428" t="str">
        <f>HYPERLINK("https%3A%2F%2Fwww.webofscience.com%2Fwos%2Fwoscc%2Ffull-record%2FWOS:000346131500010","View Full Record in Web of Science")</f>
        <v>View Full Record in Web of Science</v>
      </c>
    </row>
    <row r="429" spans="1:77" ht="12.5" x14ac:dyDescent="0.25">
      <c r="A429" t="s">
        <v>8495</v>
      </c>
      <c r="B429" s="22" t="s">
        <v>32931</v>
      </c>
      <c r="C429" s="7"/>
      <c r="D429" s="7"/>
      <c r="E429" s="7"/>
      <c r="F429" t="s">
        <v>67</v>
      </c>
      <c r="G429" t="s">
        <v>9099</v>
      </c>
      <c r="H429" t="s">
        <v>69</v>
      </c>
      <c r="I429" t="s">
        <v>69</v>
      </c>
      <c r="J429" t="s">
        <v>69</v>
      </c>
      <c r="K429" t="s">
        <v>9100</v>
      </c>
      <c r="L429" t="s">
        <v>69</v>
      </c>
      <c r="M429" t="s">
        <v>69</v>
      </c>
      <c r="N429" t="s">
        <v>9101</v>
      </c>
      <c r="O429" t="s">
        <v>715</v>
      </c>
      <c r="P429" t="s">
        <v>69</v>
      </c>
      <c r="Q429" t="s">
        <v>69</v>
      </c>
      <c r="R429" t="s">
        <v>8505</v>
      </c>
      <c r="S429" t="s">
        <v>8556</v>
      </c>
      <c r="T429" t="s">
        <v>69</v>
      </c>
      <c r="U429" t="s">
        <v>69</v>
      </c>
      <c r="V429" t="s">
        <v>69</v>
      </c>
      <c r="W429" t="s">
        <v>69</v>
      </c>
      <c r="X429" t="s">
        <v>69</v>
      </c>
      <c r="Y429" t="s">
        <v>9102</v>
      </c>
      <c r="Z429" t="s">
        <v>9103</v>
      </c>
      <c r="AA429" t="s">
        <v>9104</v>
      </c>
      <c r="AB429" t="s">
        <v>9105</v>
      </c>
      <c r="AC429" t="s">
        <v>69</v>
      </c>
      <c r="AD429" t="s">
        <v>9106</v>
      </c>
      <c r="AE429" t="s">
        <v>9107</v>
      </c>
      <c r="AF429" t="s">
        <v>9108</v>
      </c>
      <c r="AG429" t="s">
        <v>9109</v>
      </c>
      <c r="AH429" t="s">
        <v>69</v>
      </c>
      <c r="AI429" t="s">
        <v>69</v>
      </c>
      <c r="AJ429" t="s">
        <v>69</v>
      </c>
      <c r="AK429" t="s">
        <v>69</v>
      </c>
      <c r="AL429">
        <v>97</v>
      </c>
      <c r="AM429">
        <v>0</v>
      </c>
      <c r="AN429">
        <v>0</v>
      </c>
      <c r="AO429">
        <v>7</v>
      </c>
      <c r="AP429">
        <v>7</v>
      </c>
      <c r="AQ429" t="s">
        <v>8846</v>
      </c>
      <c r="AR429" t="s">
        <v>8847</v>
      </c>
      <c r="AS429" t="s">
        <v>8848</v>
      </c>
      <c r="AT429" t="s">
        <v>719</v>
      </c>
      <c r="AU429" t="s">
        <v>720</v>
      </c>
      <c r="AV429" t="s">
        <v>69</v>
      </c>
      <c r="AW429" t="s">
        <v>9110</v>
      </c>
      <c r="AX429" t="s">
        <v>9111</v>
      </c>
      <c r="AY429" t="s">
        <v>69</v>
      </c>
      <c r="AZ429" t="s">
        <v>69</v>
      </c>
      <c r="BA429" t="s">
        <v>69</v>
      </c>
      <c r="BB429" t="s">
        <v>69</v>
      </c>
      <c r="BC429" t="s">
        <v>69</v>
      </c>
      <c r="BD429" t="s">
        <v>69</v>
      </c>
      <c r="BE429" t="s">
        <v>69</v>
      </c>
      <c r="BF429" t="s">
        <v>69</v>
      </c>
      <c r="BG429" t="s">
        <v>69</v>
      </c>
      <c r="BH429" t="s">
        <v>69</v>
      </c>
      <c r="BI429" t="s">
        <v>69</v>
      </c>
      <c r="BJ429" t="s">
        <v>9112</v>
      </c>
      <c r="BK429" t="str">
        <f>HYPERLINK("http://dx.doi.org/10.1002/bse.3121","http://dx.doi.org/10.1002/bse.3121")</f>
        <v>http://dx.doi.org/10.1002/bse.3121</v>
      </c>
      <c r="BL429" t="s">
        <v>69</v>
      </c>
      <c r="BM429" t="s">
        <v>9025</v>
      </c>
      <c r="BN429">
        <v>14</v>
      </c>
      <c r="BO429" t="s">
        <v>9113</v>
      </c>
      <c r="BP429" t="s">
        <v>8661</v>
      </c>
      <c r="BQ429" t="s">
        <v>9114</v>
      </c>
      <c r="BR429" t="s">
        <v>9115</v>
      </c>
      <c r="BS429" t="s">
        <v>9116</v>
      </c>
      <c r="BT429" t="s">
        <v>69</v>
      </c>
      <c r="BU429" t="s">
        <v>69</v>
      </c>
      <c r="BV429" t="s">
        <v>69</v>
      </c>
      <c r="BW429" t="s">
        <v>69</v>
      </c>
      <c r="BX429" t="s">
        <v>8526</v>
      </c>
      <c r="BY429" t="str">
        <f>HYPERLINK("https%3A%2F%2Fwww.webofscience.com%2Fwos%2Fwoscc%2Ffull-record%2FWOS:000791612700001","View Full Record in Web of Science")</f>
        <v>View Full Record in Web of Science</v>
      </c>
    </row>
    <row r="430" spans="1:77" ht="12.5" x14ac:dyDescent="0.25">
      <c r="A430" t="s">
        <v>8495</v>
      </c>
      <c r="B430" s="22" t="s">
        <v>32931</v>
      </c>
      <c r="C430" s="7"/>
      <c r="D430" s="7"/>
      <c r="E430" s="7"/>
      <c r="F430" t="s">
        <v>67</v>
      </c>
      <c r="G430" t="s">
        <v>8624</v>
      </c>
      <c r="H430" t="s">
        <v>69</v>
      </c>
      <c r="I430" t="s">
        <v>69</v>
      </c>
      <c r="J430" t="s">
        <v>69</v>
      </c>
      <c r="K430" t="s">
        <v>8625</v>
      </c>
      <c r="L430" t="s">
        <v>69</v>
      </c>
      <c r="M430" t="s">
        <v>69</v>
      </c>
      <c r="N430" t="s">
        <v>8626</v>
      </c>
      <c r="O430" t="s">
        <v>436</v>
      </c>
      <c r="P430" t="s">
        <v>69</v>
      </c>
      <c r="Q430" t="s">
        <v>69</v>
      </c>
      <c r="R430" t="s">
        <v>8505</v>
      </c>
      <c r="S430" t="s">
        <v>8442</v>
      </c>
      <c r="T430" t="s">
        <v>69</v>
      </c>
      <c r="U430" t="s">
        <v>69</v>
      </c>
      <c r="V430" t="s">
        <v>69</v>
      </c>
      <c r="W430" t="s">
        <v>69</v>
      </c>
      <c r="X430" t="s">
        <v>69</v>
      </c>
      <c r="Y430" t="s">
        <v>8627</v>
      </c>
      <c r="Z430" t="s">
        <v>8628</v>
      </c>
      <c r="AA430" t="s">
        <v>8629</v>
      </c>
      <c r="AB430" t="s">
        <v>8630</v>
      </c>
      <c r="AC430" t="s">
        <v>69</v>
      </c>
      <c r="AD430" t="s">
        <v>8631</v>
      </c>
      <c r="AE430" t="s">
        <v>8632</v>
      </c>
      <c r="AF430" t="s">
        <v>69</v>
      </c>
      <c r="AG430" t="s">
        <v>8633</v>
      </c>
      <c r="AH430" t="s">
        <v>8634</v>
      </c>
      <c r="AI430" t="s">
        <v>8634</v>
      </c>
      <c r="AJ430" t="s">
        <v>8635</v>
      </c>
      <c r="AK430" t="s">
        <v>69</v>
      </c>
      <c r="AL430">
        <v>89</v>
      </c>
      <c r="AM430">
        <v>0</v>
      </c>
      <c r="AN430">
        <v>0</v>
      </c>
      <c r="AO430">
        <v>3</v>
      </c>
      <c r="AP430">
        <v>3</v>
      </c>
      <c r="AQ430" t="s">
        <v>8636</v>
      </c>
      <c r="AR430" t="s">
        <v>8637</v>
      </c>
      <c r="AS430" t="s">
        <v>8638</v>
      </c>
      <c r="AT430" t="s">
        <v>440</v>
      </c>
      <c r="AU430" t="s">
        <v>441</v>
      </c>
      <c r="AV430" t="s">
        <v>69</v>
      </c>
      <c r="AW430" t="s">
        <v>8639</v>
      </c>
      <c r="AX430" t="s">
        <v>8640</v>
      </c>
      <c r="AY430" t="s">
        <v>8641</v>
      </c>
      <c r="AZ430">
        <v>2022</v>
      </c>
      <c r="BA430">
        <v>357</v>
      </c>
      <c r="BB430" t="s">
        <v>69</v>
      </c>
      <c r="BC430" t="s">
        <v>69</v>
      </c>
      <c r="BD430" t="s">
        <v>69</v>
      </c>
      <c r="BE430" t="s">
        <v>69</v>
      </c>
      <c r="BF430" t="s">
        <v>69</v>
      </c>
      <c r="BG430" t="s">
        <v>69</v>
      </c>
      <c r="BH430" t="s">
        <v>69</v>
      </c>
      <c r="BI430">
        <v>131859</v>
      </c>
      <c r="BJ430" t="s">
        <v>8642</v>
      </c>
      <c r="BK430" t="str">
        <f>HYPERLINK("http://dx.doi.org/10.1016/j.jclepro.2022.131859","http://dx.doi.org/10.1016/j.jclepro.2022.131859")</f>
        <v>http://dx.doi.org/10.1016/j.jclepro.2022.131859</v>
      </c>
      <c r="BL430" t="s">
        <v>69</v>
      </c>
      <c r="BM430" t="s">
        <v>69</v>
      </c>
      <c r="BN430">
        <v>14</v>
      </c>
      <c r="BO430" t="s">
        <v>8643</v>
      </c>
      <c r="BP430" t="s">
        <v>8548</v>
      </c>
      <c r="BQ430" t="s">
        <v>8644</v>
      </c>
      <c r="BR430" t="s">
        <v>8645</v>
      </c>
      <c r="BS430" t="s">
        <v>8646</v>
      </c>
      <c r="BT430" t="s">
        <v>69</v>
      </c>
      <c r="BU430" t="s">
        <v>69</v>
      </c>
      <c r="BV430" t="s">
        <v>69</v>
      </c>
      <c r="BW430" t="s">
        <v>69</v>
      </c>
      <c r="BX430" t="s">
        <v>8526</v>
      </c>
      <c r="BY430" t="str">
        <f>HYPERLINK("https%3A%2F%2Fwww.webofscience.com%2Fwos%2Fwoscc%2Ffull-record%2FWOS:000799118100001","View Full Record in Web of Science")</f>
        <v>View Full Record in Web of Science</v>
      </c>
    </row>
    <row r="431" spans="1:77" ht="12.5" x14ac:dyDescent="0.25">
      <c r="A431" t="s">
        <v>8495</v>
      </c>
      <c r="B431" s="7" t="s">
        <v>32933</v>
      </c>
      <c r="C431" s="7"/>
      <c r="D431" s="7"/>
      <c r="E431" s="7"/>
      <c r="F431" t="s">
        <v>67</v>
      </c>
      <c r="G431" t="s">
        <v>685</v>
      </c>
      <c r="H431" t="s">
        <v>69</v>
      </c>
      <c r="I431" t="s">
        <v>69</v>
      </c>
      <c r="J431" t="s">
        <v>69</v>
      </c>
      <c r="K431" t="s">
        <v>686</v>
      </c>
      <c r="L431" t="s">
        <v>69</v>
      </c>
      <c r="M431" t="s">
        <v>69</v>
      </c>
      <c r="N431" t="s">
        <v>687</v>
      </c>
      <c r="O431" t="s">
        <v>688</v>
      </c>
      <c r="P431" t="s">
        <v>69</v>
      </c>
      <c r="Q431" t="s">
        <v>69</v>
      </c>
      <c r="R431" t="s">
        <v>8505</v>
      </c>
      <c r="S431" t="s">
        <v>8506</v>
      </c>
      <c r="T431" t="s">
        <v>69</v>
      </c>
      <c r="U431" t="s">
        <v>69</v>
      </c>
      <c r="V431" t="s">
        <v>69</v>
      </c>
      <c r="W431" t="s">
        <v>69</v>
      </c>
      <c r="X431" t="s">
        <v>69</v>
      </c>
      <c r="Y431" t="s">
        <v>14466</v>
      </c>
      <c r="Z431" t="s">
        <v>14467</v>
      </c>
      <c r="AA431" t="s">
        <v>689</v>
      </c>
      <c r="AB431" t="s">
        <v>14468</v>
      </c>
      <c r="AC431" t="s">
        <v>69</v>
      </c>
      <c r="AD431" t="s">
        <v>14469</v>
      </c>
      <c r="AE431" t="s">
        <v>14470</v>
      </c>
      <c r="AF431" t="s">
        <v>69</v>
      </c>
      <c r="AG431" t="s">
        <v>69</v>
      </c>
      <c r="AH431" t="s">
        <v>69</v>
      </c>
      <c r="AI431" t="s">
        <v>69</v>
      </c>
      <c r="AJ431" t="s">
        <v>69</v>
      </c>
      <c r="AK431" t="s">
        <v>69</v>
      </c>
      <c r="AL431">
        <v>35</v>
      </c>
      <c r="AM431">
        <v>2</v>
      </c>
      <c r="AN431">
        <v>2</v>
      </c>
      <c r="AO431">
        <v>2</v>
      </c>
      <c r="AP431">
        <v>7</v>
      </c>
      <c r="AQ431" t="s">
        <v>14471</v>
      </c>
      <c r="AR431" t="s">
        <v>14472</v>
      </c>
      <c r="AS431" t="s">
        <v>14473</v>
      </c>
      <c r="AT431" t="s">
        <v>690</v>
      </c>
      <c r="AU431" t="s">
        <v>691</v>
      </c>
      <c r="AV431" t="s">
        <v>69</v>
      </c>
      <c r="AW431" t="s">
        <v>14474</v>
      </c>
      <c r="AX431" t="s">
        <v>14475</v>
      </c>
      <c r="AY431" t="s">
        <v>255</v>
      </c>
      <c r="AZ431">
        <v>2020</v>
      </c>
      <c r="BA431">
        <v>20</v>
      </c>
      <c r="BB431">
        <v>3</v>
      </c>
      <c r="BC431" t="s">
        <v>69</v>
      </c>
      <c r="BD431" t="s">
        <v>69</v>
      </c>
      <c r="BE431" t="s">
        <v>114</v>
      </c>
      <c r="BF431" t="s">
        <v>69</v>
      </c>
      <c r="BG431">
        <v>37</v>
      </c>
      <c r="BH431">
        <v>55</v>
      </c>
      <c r="BI431" t="s">
        <v>69</v>
      </c>
      <c r="BJ431" t="s">
        <v>692</v>
      </c>
      <c r="BK431" t="str">
        <f>HYPERLINK("http://dx.doi.org/10.5130/AJCEB.v20i3.7298","http://dx.doi.org/10.5130/AJCEB.v20i3.7298")</f>
        <v>http://dx.doi.org/10.5130/AJCEB.v20i3.7298</v>
      </c>
      <c r="BL431" t="s">
        <v>69</v>
      </c>
      <c r="BM431" t="s">
        <v>69</v>
      </c>
      <c r="BN431">
        <v>19</v>
      </c>
      <c r="BO431" t="s">
        <v>9410</v>
      </c>
      <c r="BP431" t="s">
        <v>8573</v>
      </c>
      <c r="BQ431" t="s">
        <v>8594</v>
      </c>
      <c r="BR431" t="s">
        <v>14476</v>
      </c>
      <c r="BS431" t="s">
        <v>693</v>
      </c>
      <c r="BT431" t="s">
        <v>69</v>
      </c>
      <c r="BU431" t="s">
        <v>8931</v>
      </c>
      <c r="BV431" t="s">
        <v>69</v>
      </c>
      <c r="BW431" t="s">
        <v>69</v>
      </c>
      <c r="BX431" t="s">
        <v>8526</v>
      </c>
      <c r="BY431" t="str">
        <f>HYPERLINK("https%3A%2F%2Fwww.webofscience.com%2Fwos%2Fwoscc%2Ffull-record%2FWOS:000570761200003","View Full Record in Web of Science")</f>
        <v>View Full Record in Web of Science</v>
      </c>
    </row>
    <row r="432" spans="1:77" x14ac:dyDescent="0.3">
      <c r="A432" t="s">
        <v>8495</v>
      </c>
      <c r="B432" s="12" t="s">
        <v>32970</v>
      </c>
      <c r="F432" t="s">
        <v>67</v>
      </c>
      <c r="G432" t="s">
        <v>7629</v>
      </c>
      <c r="H432" t="s">
        <v>69</v>
      </c>
      <c r="I432" t="s">
        <v>69</v>
      </c>
      <c r="J432" t="s">
        <v>69</v>
      </c>
      <c r="K432" s="3" t="s">
        <v>7629</v>
      </c>
      <c r="L432" t="s">
        <v>69</v>
      </c>
      <c r="M432" t="s">
        <v>69</v>
      </c>
      <c r="N432" s="2" t="s">
        <v>7630</v>
      </c>
      <c r="O432" t="s">
        <v>7631</v>
      </c>
      <c r="P432" t="s">
        <v>69</v>
      </c>
      <c r="Q432" t="s">
        <v>69</v>
      </c>
      <c r="R432" t="s">
        <v>8505</v>
      </c>
      <c r="S432" t="s">
        <v>8506</v>
      </c>
      <c r="T432" t="s">
        <v>69</v>
      </c>
      <c r="U432" t="s">
        <v>69</v>
      </c>
      <c r="V432" t="s">
        <v>69</v>
      </c>
      <c r="W432" t="s">
        <v>69</v>
      </c>
      <c r="X432" t="s">
        <v>69</v>
      </c>
      <c r="Y432" t="s">
        <v>32852</v>
      </c>
      <c r="Z432" t="s">
        <v>32853</v>
      </c>
      <c r="AA432" t="s">
        <v>7632</v>
      </c>
      <c r="AB432" t="s">
        <v>69</v>
      </c>
      <c r="AC432" t="s">
        <v>69</v>
      </c>
      <c r="AD432" t="s">
        <v>32854</v>
      </c>
      <c r="AE432" t="s">
        <v>69</v>
      </c>
      <c r="AF432" t="s">
        <v>69</v>
      </c>
      <c r="AG432" t="s">
        <v>69</v>
      </c>
      <c r="AH432" t="s">
        <v>69</v>
      </c>
      <c r="AI432" t="s">
        <v>69</v>
      </c>
      <c r="AJ432" t="s">
        <v>69</v>
      </c>
      <c r="AK432" t="s">
        <v>69</v>
      </c>
      <c r="AL432">
        <v>35</v>
      </c>
      <c r="AM432">
        <v>12</v>
      </c>
      <c r="AN432">
        <v>12</v>
      </c>
      <c r="AO432">
        <v>0</v>
      </c>
      <c r="AP432">
        <v>2</v>
      </c>
      <c r="AQ432" t="s">
        <v>32595</v>
      </c>
      <c r="AR432" t="s">
        <v>8693</v>
      </c>
      <c r="AS432" t="s">
        <v>32596</v>
      </c>
      <c r="AT432" t="s">
        <v>7633</v>
      </c>
      <c r="AU432" t="s">
        <v>69</v>
      </c>
      <c r="AV432" t="s">
        <v>69</v>
      </c>
      <c r="AW432" t="s">
        <v>32855</v>
      </c>
      <c r="AX432" t="s">
        <v>32856</v>
      </c>
      <c r="AY432" t="s">
        <v>155</v>
      </c>
      <c r="AZ432">
        <v>1992</v>
      </c>
      <c r="BA432">
        <v>5</v>
      </c>
      <c r="BB432">
        <v>3</v>
      </c>
      <c r="BC432" t="s">
        <v>69</v>
      </c>
      <c r="BD432" t="s">
        <v>69</v>
      </c>
      <c r="BE432" t="s">
        <v>69</v>
      </c>
      <c r="BF432" t="s">
        <v>69</v>
      </c>
      <c r="BG432">
        <v>237</v>
      </c>
      <c r="BH432">
        <v>249</v>
      </c>
      <c r="BI432" t="s">
        <v>69</v>
      </c>
      <c r="BJ432" t="s">
        <v>7634</v>
      </c>
      <c r="BK432" t="str">
        <f>HYPERLINK("http://dx.doi.org/10.1007/BF01059842","http://dx.doi.org/10.1007/BF01059842")</f>
        <v>http://dx.doi.org/10.1007/BF01059842</v>
      </c>
      <c r="BL432" t="s">
        <v>69</v>
      </c>
      <c r="BM432" t="s">
        <v>69</v>
      </c>
      <c r="BN432">
        <v>13</v>
      </c>
      <c r="BO432" t="s">
        <v>9410</v>
      </c>
      <c r="BP432" t="s">
        <v>12201</v>
      </c>
      <c r="BQ432" t="s">
        <v>8594</v>
      </c>
      <c r="BR432" t="s">
        <v>32857</v>
      </c>
      <c r="BS432" t="s">
        <v>7635</v>
      </c>
      <c r="BT432" t="s">
        <v>69</v>
      </c>
      <c r="BU432" t="s">
        <v>69</v>
      </c>
      <c r="BV432" t="s">
        <v>69</v>
      </c>
      <c r="BW432" t="s">
        <v>69</v>
      </c>
      <c r="BX432" t="s">
        <v>8526</v>
      </c>
      <c r="BY432" t="str">
        <f>HYPERLINK("https%3A%2F%2Fwww.webofscience.com%2Fwos%2Fwoscc%2Ffull-record%2FWOS:A1992HY44900003","View Full Record in Web of Science")</f>
        <v>View Full Record in Web of Science</v>
      </c>
    </row>
    <row r="433" spans="1:77" ht="12.5" x14ac:dyDescent="0.25">
      <c r="A433" t="s">
        <v>8495</v>
      </c>
      <c r="B433" s="22" t="s">
        <v>32931</v>
      </c>
      <c r="C433" s="7"/>
      <c r="D433" s="7"/>
      <c r="E433" s="7"/>
      <c r="F433" t="s">
        <v>67</v>
      </c>
      <c r="G433" t="s">
        <v>29439</v>
      </c>
      <c r="H433" t="s">
        <v>69</v>
      </c>
      <c r="I433" t="s">
        <v>69</v>
      </c>
      <c r="J433" t="s">
        <v>69</v>
      </c>
      <c r="K433" t="s">
        <v>29440</v>
      </c>
      <c r="L433" t="s">
        <v>69</v>
      </c>
      <c r="M433" t="s">
        <v>69</v>
      </c>
      <c r="N433" t="s">
        <v>29441</v>
      </c>
      <c r="O433" t="s">
        <v>29442</v>
      </c>
      <c r="P433" t="s">
        <v>69</v>
      </c>
      <c r="Q433" t="s">
        <v>69</v>
      </c>
      <c r="R433" t="s">
        <v>25259</v>
      </c>
      <c r="S433" t="s">
        <v>8506</v>
      </c>
      <c r="T433" t="s">
        <v>69</v>
      </c>
      <c r="U433" t="s">
        <v>69</v>
      </c>
      <c r="V433" t="s">
        <v>69</v>
      </c>
      <c r="W433" t="s">
        <v>69</v>
      </c>
      <c r="X433" t="s">
        <v>69</v>
      </c>
      <c r="Y433" t="s">
        <v>69</v>
      </c>
      <c r="Z433" t="s">
        <v>69</v>
      </c>
      <c r="AA433" t="s">
        <v>29443</v>
      </c>
      <c r="AB433" t="s">
        <v>29444</v>
      </c>
      <c r="AC433" t="s">
        <v>69</v>
      </c>
      <c r="AD433" t="s">
        <v>29445</v>
      </c>
      <c r="AE433" t="s">
        <v>69</v>
      </c>
      <c r="AF433" t="s">
        <v>69</v>
      </c>
      <c r="AG433" t="s">
        <v>69</v>
      </c>
      <c r="AH433" t="s">
        <v>69</v>
      </c>
      <c r="AI433" t="s">
        <v>69</v>
      </c>
      <c r="AJ433" t="s">
        <v>69</v>
      </c>
      <c r="AK433" t="s">
        <v>69</v>
      </c>
      <c r="AL433">
        <v>164</v>
      </c>
      <c r="AM433">
        <v>2</v>
      </c>
      <c r="AN433">
        <v>2</v>
      </c>
      <c r="AO433">
        <v>0</v>
      </c>
      <c r="AP433">
        <v>0</v>
      </c>
      <c r="AQ433" t="s">
        <v>29446</v>
      </c>
      <c r="AR433" t="s">
        <v>13701</v>
      </c>
      <c r="AS433" t="s">
        <v>29447</v>
      </c>
      <c r="AT433" t="s">
        <v>29448</v>
      </c>
      <c r="AU433" t="s">
        <v>29449</v>
      </c>
      <c r="AV433" t="s">
        <v>69</v>
      </c>
      <c r="AW433" t="s">
        <v>29450</v>
      </c>
      <c r="AX433" t="s">
        <v>29451</v>
      </c>
      <c r="AY433" t="s">
        <v>69</v>
      </c>
      <c r="AZ433">
        <v>2008</v>
      </c>
      <c r="BA433">
        <v>57</v>
      </c>
      <c r="BB433">
        <v>4</v>
      </c>
      <c r="BC433" t="s">
        <v>69</v>
      </c>
      <c r="BD433" t="s">
        <v>69</v>
      </c>
      <c r="BE433" t="s">
        <v>69</v>
      </c>
      <c r="BF433" t="s">
        <v>69</v>
      </c>
      <c r="BG433">
        <v>175</v>
      </c>
      <c r="BH433">
        <v>188</v>
      </c>
      <c r="BI433" t="s">
        <v>69</v>
      </c>
      <c r="BJ433" t="s">
        <v>69</v>
      </c>
      <c r="BK433" t="s">
        <v>69</v>
      </c>
      <c r="BL433" t="s">
        <v>69</v>
      </c>
      <c r="BM433" t="s">
        <v>69</v>
      </c>
      <c r="BN433">
        <v>14</v>
      </c>
      <c r="BO433" t="s">
        <v>29452</v>
      </c>
      <c r="BP433" t="s">
        <v>8573</v>
      </c>
      <c r="BQ433" t="s">
        <v>29453</v>
      </c>
      <c r="BR433" t="s">
        <v>29454</v>
      </c>
      <c r="BS433" t="s">
        <v>29455</v>
      </c>
      <c r="BT433" t="s">
        <v>69</v>
      </c>
      <c r="BU433" t="s">
        <v>69</v>
      </c>
      <c r="BV433" t="s">
        <v>69</v>
      </c>
      <c r="BW433" t="s">
        <v>69</v>
      </c>
      <c r="BX433" t="s">
        <v>8526</v>
      </c>
      <c r="BY433" t="str">
        <f>HYPERLINK("https%3A%2F%2Fwww.webofscience.com%2Fwos%2Fwoscc%2Ffull-record%2FWOS:000421152800002","View Full Record in Web of Science")</f>
        <v>View Full Record in Web of Science</v>
      </c>
    </row>
    <row r="434" spans="1:77" ht="12.5" x14ac:dyDescent="0.25">
      <c r="A434" t="s">
        <v>8495</v>
      </c>
      <c r="B434" s="7" t="s">
        <v>32933</v>
      </c>
      <c r="C434" s="7"/>
      <c r="D434" s="7"/>
      <c r="E434" s="7"/>
      <c r="F434" t="s">
        <v>67</v>
      </c>
      <c r="G434" t="s">
        <v>2806</v>
      </c>
      <c r="H434" t="s">
        <v>69</v>
      </c>
      <c r="I434" t="s">
        <v>69</v>
      </c>
      <c r="J434" t="s">
        <v>69</v>
      </c>
      <c r="K434" t="s">
        <v>2807</v>
      </c>
      <c r="L434" t="s">
        <v>69</v>
      </c>
      <c r="M434" t="s">
        <v>69</v>
      </c>
      <c r="N434" t="s">
        <v>2808</v>
      </c>
      <c r="O434" t="s">
        <v>2809</v>
      </c>
      <c r="P434" t="s">
        <v>69</v>
      </c>
      <c r="Q434" t="s">
        <v>69</v>
      </c>
      <c r="R434" t="s">
        <v>8505</v>
      </c>
      <c r="S434" t="s">
        <v>8442</v>
      </c>
      <c r="T434" t="s">
        <v>69</v>
      </c>
      <c r="U434" t="s">
        <v>69</v>
      </c>
      <c r="V434" t="s">
        <v>69</v>
      </c>
      <c r="W434" t="s">
        <v>69</v>
      </c>
      <c r="X434" t="s">
        <v>69</v>
      </c>
      <c r="Y434" t="s">
        <v>21331</v>
      </c>
      <c r="Z434" t="s">
        <v>21332</v>
      </c>
      <c r="AA434" t="s">
        <v>2810</v>
      </c>
      <c r="AB434" t="s">
        <v>21333</v>
      </c>
      <c r="AC434" t="s">
        <v>69</v>
      </c>
      <c r="AD434" t="s">
        <v>21334</v>
      </c>
      <c r="AE434" t="s">
        <v>21335</v>
      </c>
      <c r="AF434" t="s">
        <v>69</v>
      </c>
      <c r="AG434" t="s">
        <v>21336</v>
      </c>
      <c r="AH434" t="s">
        <v>21337</v>
      </c>
      <c r="AI434" t="s">
        <v>21338</v>
      </c>
      <c r="AJ434" t="s">
        <v>21339</v>
      </c>
      <c r="AK434" t="s">
        <v>69</v>
      </c>
      <c r="AL434">
        <v>175</v>
      </c>
      <c r="AM434">
        <v>71</v>
      </c>
      <c r="AN434">
        <v>73</v>
      </c>
      <c r="AO434">
        <v>11</v>
      </c>
      <c r="AP434">
        <v>139</v>
      </c>
      <c r="AQ434" t="s">
        <v>21340</v>
      </c>
      <c r="AR434" t="s">
        <v>21341</v>
      </c>
      <c r="AS434" t="s">
        <v>21342</v>
      </c>
      <c r="AT434" t="s">
        <v>2811</v>
      </c>
      <c r="AU434" t="s">
        <v>2812</v>
      </c>
      <c r="AV434" t="s">
        <v>69</v>
      </c>
      <c r="AW434" t="s">
        <v>21343</v>
      </c>
      <c r="AX434" t="s">
        <v>21344</v>
      </c>
      <c r="AY434" t="s">
        <v>255</v>
      </c>
      <c r="AZ434">
        <v>2016</v>
      </c>
      <c r="BA434">
        <v>36</v>
      </c>
      <c r="BB434">
        <v>3</v>
      </c>
      <c r="BC434" t="s">
        <v>69</v>
      </c>
      <c r="BD434" t="s">
        <v>69</v>
      </c>
      <c r="BE434" t="s">
        <v>69</v>
      </c>
      <c r="BF434" t="s">
        <v>69</v>
      </c>
      <c r="BG434" t="s">
        <v>69</v>
      </c>
      <c r="BH434" t="s">
        <v>69</v>
      </c>
      <c r="BI434">
        <v>53</v>
      </c>
      <c r="BJ434" t="s">
        <v>2813</v>
      </c>
      <c r="BK434" t="str">
        <f>HYPERLINK("http://dx.doi.org/10.1007/s13593-016-0390-x","http://dx.doi.org/10.1007/s13593-016-0390-x")</f>
        <v>http://dx.doi.org/10.1007/s13593-016-0390-x</v>
      </c>
      <c r="BL434" t="s">
        <v>69</v>
      </c>
      <c r="BM434" t="s">
        <v>69</v>
      </c>
      <c r="BN434">
        <v>21</v>
      </c>
      <c r="BO434" t="s">
        <v>21345</v>
      </c>
      <c r="BP434" t="s">
        <v>8523</v>
      </c>
      <c r="BQ434" t="s">
        <v>21346</v>
      </c>
      <c r="BR434" t="s">
        <v>21347</v>
      </c>
      <c r="BS434" t="s">
        <v>2814</v>
      </c>
      <c r="BT434" t="s">
        <v>69</v>
      </c>
      <c r="BU434" t="s">
        <v>11793</v>
      </c>
      <c r="BV434" t="s">
        <v>69</v>
      </c>
      <c r="BW434" t="s">
        <v>69</v>
      </c>
      <c r="BX434" t="s">
        <v>8526</v>
      </c>
      <c r="BY434" t="str">
        <f>HYPERLINK("https%3A%2F%2Fwww.webofscience.com%2Fwos%2Fwoscc%2Ffull-record%2FWOS:000384735600013","View Full Record in Web of Science")</f>
        <v>View Full Record in Web of Science</v>
      </c>
    </row>
    <row r="435" spans="1:77" ht="12.5" x14ac:dyDescent="0.25">
      <c r="A435" t="s">
        <v>8495</v>
      </c>
      <c r="B435" s="22" t="s">
        <v>32931</v>
      </c>
      <c r="C435" s="7"/>
      <c r="D435" s="7"/>
      <c r="E435" s="7"/>
      <c r="F435" t="s">
        <v>67</v>
      </c>
      <c r="G435" t="s">
        <v>29138</v>
      </c>
      <c r="H435" t="s">
        <v>69</v>
      </c>
      <c r="I435" t="s">
        <v>69</v>
      </c>
      <c r="J435" t="s">
        <v>69</v>
      </c>
      <c r="K435" t="s">
        <v>29139</v>
      </c>
      <c r="L435" t="s">
        <v>69</v>
      </c>
      <c r="M435" t="s">
        <v>69</v>
      </c>
      <c r="N435" t="s">
        <v>29140</v>
      </c>
      <c r="O435" t="s">
        <v>29141</v>
      </c>
      <c r="P435" t="s">
        <v>69</v>
      </c>
      <c r="Q435" t="s">
        <v>69</v>
      </c>
      <c r="R435" t="s">
        <v>12534</v>
      </c>
      <c r="S435" t="s">
        <v>8506</v>
      </c>
      <c r="T435" t="s">
        <v>69</v>
      </c>
      <c r="U435" t="s">
        <v>69</v>
      </c>
      <c r="V435" t="s">
        <v>69</v>
      </c>
      <c r="W435" t="s">
        <v>69</v>
      </c>
      <c r="X435" t="s">
        <v>69</v>
      </c>
      <c r="Y435" t="s">
        <v>29142</v>
      </c>
      <c r="Z435" t="s">
        <v>69</v>
      </c>
      <c r="AA435" t="s">
        <v>29143</v>
      </c>
      <c r="AB435" t="s">
        <v>29144</v>
      </c>
      <c r="AC435" t="s">
        <v>69</v>
      </c>
      <c r="AD435" t="s">
        <v>29145</v>
      </c>
      <c r="AE435" t="s">
        <v>29146</v>
      </c>
      <c r="AF435" t="s">
        <v>69</v>
      </c>
      <c r="AG435" t="s">
        <v>69</v>
      </c>
      <c r="AH435" t="s">
        <v>69</v>
      </c>
      <c r="AI435" t="s">
        <v>69</v>
      </c>
      <c r="AJ435" t="s">
        <v>69</v>
      </c>
      <c r="AK435" t="s">
        <v>69</v>
      </c>
      <c r="AL435">
        <v>5</v>
      </c>
      <c r="AM435">
        <v>1</v>
      </c>
      <c r="AN435">
        <v>1</v>
      </c>
      <c r="AO435">
        <v>0</v>
      </c>
      <c r="AP435">
        <v>7</v>
      </c>
      <c r="AQ435" t="s">
        <v>29147</v>
      </c>
      <c r="AR435" t="s">
        <v>29148</v>
      </c>
      <c r="AS435" t="s">
        <v>29149</v>
      </c>
      <c r="AT435" t="s">
        <v>29150</v>
      </c>
      <c r="AU435" t="s">
        <v>69</v>
      </c>
      <c r="AV435" t="s">
        <v>69</v>
      </c>
      <c r="AW435" t="s">
        <v>29151</v>
      </c>
      <c r="AX435" t="s">
        <v>29152</v>
      </c>
      <c r="AY435" t="s">
        <v>255</v>
      </c>
      <c r="AZ435">
        <v>2008</v>
      </c>
      <c r="BA435">
        <v>63</v>
      </c>
      <c r="BB435">
        <v>9</v>
      </c>
      <c r="BC435" t="s">
        <v>69</v>
      </c>
      <c r="BD435" t="s">
        <v>69</v>
      </c>
      <c r="BE435" t="s">
        <v>69</v>
      </c>
      <c r="BF435" t="s">
        <v>69</v>
      </c>
      <c r="BG435">
        <v>501</v>
      </c>
      <c r="BH435">
        <v>506</v>
      </c>
      <c r="BI435" t="s">
        <v>69</v>
      </c>
      <c r="BJ435" t="s">
        <v>69</v>
      </c>
      <c r="BK435" t="s">
        <v>69</v>
      </c>
      <c r="BL435" t="s">
        <v>69</v>
      </c>
      <c r="BM435" t="s">
        <v>69</v>
      </c>
      <c r="BN435">
        <v>6</v>
      </c>
      <c r="BO435" t="s">
        <v>14769</v>
      </c>
      <c r="BP435" t="s">
        <v>8548</v>
      </c>
      <c r="BQ435" t="s">
        <v>14769</v>
      </c>
      <c r="BR435" t="s">
        <v>29153</v>
      </c>
      <c r="BS435" t="s">
        <v>29154</v>
      </c>
      <c r="BT435" t="s">
        <v>69</v>
      </c>
      <c r="BU435" t="s">
        <v>69</v>
      </c>
      <c r="BV435" t="s">
        <v>69</v>
      </c>
      <c r="BW435" t="s">
        <v>69</v>
      </c>
      <c r="BX435" t="s">
        <v>8526</v>
      </c>
      <c r="BY435" t="str">
        <f>HYPERLINK("https%3A%2F%2Fwww.webofscience.com%2Fwos%2Fwoscc%2Ffull-record%2FWOS:000259843800006","View Full Record in Web of Science")</f>
        <v>View Full Record in Web of Science</v>
      </c>
    </row>
    <row r="436" spans="1:77" x14ac:dyDescent="0.3">
      <c r="A436" t="s">
        <v>8495</v>
      </c>
      <c r="B436" s="9" t="s">
        <v>32954</v>
      </c>
      <c r="D436" s="9" t="s">
        <v>8491</v>
      </c>
      <c r="E436" s="9" t="s">
        <v>8490</v>
      </c>
      <c r="F436" t="s">
        <v>67</v>
      </c>
      <c r="G436" t="s">
        <v>28947</v>
      </c>
      <c r="H436" t="s">
        <v>69</v>
      </c>
      <c r="I436" t="s">
        <v>69</v>
      </c>
      <c r="J436" t="s">
        <v>69</v>
      </c>
      <c r="K436" t="s">
        <v>28948</v>
      </c>
      <c r="L436" t="s">
        <v>69</v>
      </c>
      <c r="M436" t="s">
        <v>69</v>
      </c>
      <c r="N436" t="s">
        <v>28949</v>
      </c>
      <c r="O436" t="s">
        <v>28950</v>
      </c>
      <c r="P436" t="s">
        <v>69</v>
      </c>
      <c r="Q436" t="s">
        <v>69</v>
      </c>
      <c r="R436" t="s">
        <v>8505</v>
      </c>
      <c r="S436" t="s">
        <v>8506</v>
      </c>
      <c r="T436" t="s">
        <v>69</v>
      </c>
      <c r="U436" t="s">
        <v>69</v>
      </c>
      <c r="V436" t="s">
        <v>69</v>
      </c>
      <c r="W436" t="s">
        <v>69</v>
      </c>
      <c r="X436" t="s">
        <v>69</v>
      </c>
      <c r="Y436" t="s">
        <v>28951</v>
      </c>
      <c r="Z436" t="s">
        <v>28952</v>
      </c>
      <c r="AA436" t="s">
        <v>28953</v>
      </c>
      <c r="AB436" t="s">
        <v>28954</v>
      </c>
      <c r="AC436" t="s">
        <v>69</v>
      </c>
      <c r="AD436" t="s">
        <v>28955</v>
      </c>
      <c r="AE436" t="s">
        <v>28956</v>
      </c>
      <c r="AF436" t="s">
        <v>69</v>
      </c>
      <c r="AG436" t="s">
        <v>69</v>
      </c>
      <c r="AH436" t="s">
        <v>69</v>
      </c>
      <c r="AI436" t="s">
        <v>69</v>
      </c>
      <c r="AJ436" t="s">
        <v>69</v>
      </c>
      <c r="AK436" t="s">
        <v>69</v>
      </c>
      <c r="AL436">
        <v>40</v>
      </c>
      <c r="AM436">
        <v>20</v>
      </c>
      <c r="AN436">
        <v>22</v>
      </c>
      <c r="AO436">
        <v>0</v>
      </c>
      <c r="AP436">
        <v>3</v>
      </c>
      <c r="AQ436" t="s">
        <v>8586</v>
      </c>
      <c r="AR436" t="s">
        <v>8587</v>
      </c>
      <c r="AS436" t="s">
        <v>8588</v>
      </c>
      <c r="AT436" t="s">
        <v>28957</v>
      </c>
      <c r="AU436" t="s">
        <v>28958</v>
      </c>
      <c r="AV436" t="s">
        <v>69</v>
      </c>
      <c r="AW436" t="s">
        <v>28959</v>
      </c>
      <c r="AX436" t="s">
        <v>28960</v>
      </c>
      <c r="AY436" t="s">
        <v>69</v>
      </c>
      <c r="AZ436">
        <v>2009</v>
      </c>
      <c r="BA436">
        <v>27</v>
      </c>
      <c r="BB436">
        <v>5</v>
      </c>
      <c r="BC436" t="s">
        <v>69</v>
      </c>
      <c r="BD436" t="s">
        <v>69</v>
      </c>
      <c r="BE436" t="s">
        <v>69</v>
      </c>
      <c r="BF436" t="s">
        <v>69</v>
      </c>
      <c r="BG436">
        <v>666</v>
      </c>
      <c r="BH436">
        <v>680</v>
      </c>
      <c r="BI436" t="s">
        <v>69</v>
      </c>
      <c r="BJ436" t="s">
        <v>28961</v>
      </c>
      <c r="BK436" t="str">
        <f>HYPERLINK("http://dx.doi.org/10.1108/02634500910977881","http://dx.doi.org/10.1108/02634500910977881")</f>
        <v>http://dx.doi.org/10.1108/02634500910977881</v>
      </c>
      <c r="BL436" t="s">
        <v>69</v>
      </c>
      <c r="BM436" t="s">
        <v>69</v>
      </c>
      <c r="BN436">
        <v>15</v>
      </c>
      <c r="BO436" t="s">
        <v>8444</v>
      </c>
      <c r="BP436" t="s">
        <v>8573</v>
      </c>
      <c r="BQ436" t="s">
        <v>8594</v>
      </c>
      <c r="BR436" t="s">
        <v>28962</v>
      </c>
      <c r="BS436" t="s">
        <v>28963</v>
      </c>
      <c r="BT436" t="s">
        <v>69</v>
      </c>
      <c r="BU436" t="s">
        <v>69</v>
      </c>
      <c r="BV436" t="s">
        <v>69</v>
      </c>
      <c r="BW436" t="s">
        <v>69</v>
      </c>
      <c r="BX436" t="s">
        <v>8526</v>
      </c>
      <c r="BY436" t="str">
        <f>HYPERLINK("https%3A%2F%2Fwww.webofscience.com%2Fwos%2Fwoscc%2Ffull-record%2FWOS:000210759400006","View Full Record in Web of Science")</f>
        <v>View Full Record in Web of Science</v>
      </c>
    </row>
    <row r="437" spans="1:77" ht="12.5" x14ac:dyDescent="0.25">
      <c r="A437" t="s">
        <v>8495</v>
      </c>
      <c r="B437" s="7" t="s">
        <v>32933</v>
      </c>
      <c r="C437" s="7"/>
      <c r="D437" s="7"/>
      <c r="E437" s="7"/>
      <c r="F437" t="s">
        <v>67</v>
      </c>
      <c r="G437" t="s">
        <v>2425</v>
      </c>
      <c r="H437" t="s">
        <v>69</v>
      </c>
      <c r="I437" t="s">
        <v>69</v>
      </c>
      <c r="J437" t="s">
        <v>69</v>
      </c>
      <c r="K437" t="s">
        <v>2426</v>
      </c>
      <c r="L437" t="s">
        <v>69</v>
      </c>
      <c r="M437" t="s">
        <v>69</v>
      </c>
      <c r="N437" t="s">
        <v>2427</v>
      </c>
      <c r="O437" t="s">
        <v>352</v>
      </c>
      <c r="P437" t="s">
        <v>69</v>
      </c>
      <c r="Q437" t="s">
        <v>69</v>
      </c>
      <c r="R437" t="s">
        <v>8505</v>
      </c>
      <c r="S437" t="s">
        <v>8506</v>
      </c>
      <c r="T437" t="s">
        <v>69</v>
      </c>
      <c r="U437" t="s">
        <v>69</v>
      </c>
      <c r="V437" t="s">
        <v>69</v>
      </c>
      <c r="W437" t="s">
        <v>69</v>
      </c>
      <c r="X437" t="s">
        <v>69</v>
      </c>
      <c r="Y437" t="s">
        <v>19203</v>
      </c>
      <c r="Z437" t="s">
        <v>19204</v>
      </c>
      <c r="AA437" t="s">
        <v>2428</v>
      </c>
      <c r="AB437" t="s">
        <v>19205</v>
      </c>
      <c r="AC437" t="s">
        <v>69</v>
      </c>
      <c r="AD437" t="s">
        <v>19206</v>
      </c>
      <c r="AE437" t="s">
        <v>19207</v>
      </c>
      <c r="AF437" t="s">
        <v>19208</v>
      </c>
      <c r="AG437" t="s">
        <v>19209</v>
      </c>
      <c r="AH437" t="s">
        <v>19210</v>
      </c>
      <c r="AI437" t="s">
        <v>19211</v>
      </c>
      <c r="AJ437" t="s">
        <v>19212</v>
      </c>
      <c r="AK437" t="s">
        <v>69</v>
      </c>
      <c r="AL437">
        <v>55</v>
      </c>
      <c r="AM437">
        <v>8</v>
      </c>
      <c r="AN437">
        <v>8</v>
      </c>
      <c r="AO437">
        <v>1</v>
      </c>
      <c r="AP437">
        <v>26</v>
      </c>
      <c r="AQ437" t="s">
        <v>8924</v>
      </c>
      <c r="AR437" t="s">
        <v>8925</v>
      </c>
      <c r="AS437" t="s">
        <v>8926</v>
      </c>
      <c r="AT437" t="s">
        <v>69</v>
      </c>
      <c r="AU437" t="s">
        <v>354</v>
      </c>
      <c r="AV437" t="s">
        <v>69</v>
      </c>
      <c r="AW437" t="s">
        <v>8958</v>
      </c>
      <c r="AX437" t="s">
        <v>8434</v>
      </c>
      <c r="AY437" t="s">
        <v>191</v>
      </c>
      <c r="AZ437">
        <v>2018</v>
      </c>
      <c r="BA437">
        <v>10</v>
      </c>
      <c r="BB437">
        <v>2</v>
      </c>
      <c r="BC437" t="s">
        <v>69</v>
      </c>
      <c r="BD437" t="s">
        <v>69</v>
      </c>
      <c r="BE437" t="s">
        <v>69</v>
      </c>
      <c r="BF437" t="s">
        <v>69</v>
      </c>
      <c r="BG437" t="s">
        <v>69</v>
      </c>
      <c r="BH437" t="s">
        <v>69</v>
      </c>
      <c r="BI437">
        <v>558</v>
      </c>
      <c r="BJ437" t="s">
        <v>2429</v>
      </c>
      <c r="BK437" t="str">
        <f>HYPERLINK("http://dx.doi.org/10.3390/su10020558","http://dx.doi.org/10.3390/su10020558")</f>
        <v>http://dx.doi.org/10.3390/su10020558</v>
      </c>
      <c r="BL437" t="s">
        <v>69</v>
      </c>
      <c r="BM437" t="s">
        <v>69</v>
      </c>
      <c r="BN437">
        <v>17</v>
      </c>
      <c r="BO437" t="s">
        <v>8960</v>
      </c>
      <c r="BP437" t="s">
        <v>8523</v>
      </c>
      <c r="BQ437" t="s">
        <v>8961</v>
      </c>
      <c r="BR437" t="s">
        <v>19202</v>
      </c>
      <c r="BS437" t="s">
        <v>2430</v>
      </c>
      <c r="BT437" t="s">
        <v>69</v>
      </c>
      <c r="BU437" t="s">
        <v>8931</v>
      </c>
      <c r="BV437" t="s">
        <v>69</v>
      </c>
      <c r="BW437" t="s">
        <v>69</v>
      </c>
      <c r="BX437" t="s">
        <v>8526</v>
      </c>
      <c r="BY437" t="str">
        <f>HYPERLINK("https%3A%2F%2Fwww.webofscience.com%2Fwos%2Fwoscc%2Ffull-record%2FWOS:000425943100281","View Full Record in Web of Science")</f>
        <v>View Full Record in Web of Science</v>
      </c>
    </row>
    <row r="438" spans="1:77" ht="12.5" x14ac:dyDescent="0.25">
      <c r="A438" t="s">
        <v>8495</v>
      </c>
      <c r="B438" s="22" t="s">
        <v>32931</v>
      </c>
      <c r="C438" s="7"/>
      <c r="D438" s="7"/>
      <c r="E438" s="7"/>
      <c r="F438" t="s">
        <v>67</v>
      </c>
      <c r="G438" t="s">
        <v>27450</v>
      </c>
      <c r="H438" t="s">
        <v>69</v>
      </c>
      <c r="I438" t="s">
        <v>69</v>
      </c>
      <c r="J438" t="s">
        <v>69</v>
      </c>
      <c r="K438" t="s">
        <v>27451</v>
      </c>
      <c r="L438" t="s">
        <v>69</v>
      </c>
      <c r="M438" t="s">
        <v>69</v>
      </c>
      <c r="N438" t="s">
        <v>27452</v>
      </c>
      <c r="O438" t="s">
        <v>27453</v>
      </c>
      <c r="P438" t="s">
        <v>69</v>
      </c>
      <c r="Q438" t="s">
        <v>69</v>
      </c>
      <c r="R438" t="s">
        <v>8505</v>
      </c>
      <c r="S438" t="s">
        <v>8506</v>
      </c>
      <c r="T438" t="s">
        <v>69</v>
      </c>
      <c r="U438" t="s">
        <v>69</v>
      </c>
      <c r="V438" t="s">
        <v>69</v>
      </c>
      <c r="W438" t="s">
        <v>69</v>
      </c>
      <c r="X438" t="s">
        <v>69</v>
      </c>
      <c r="Y438" t="s">
        <v>69</v>
      </c>
      <c r="Z438" t="s">
        <v>27454</v>
      </c>
      <c r="AA438" t="s">
        <v>27455</v>
      </c>
      <c r="AB438" t="s">
        <v>27456</v>
      </c>
      <c r="AC438" t="s">
        <v>69</v>
      </c>
      <c r="AD438" t="s">
        <v>27457</v>
      </c>
      <c r="AE438" t="s">
        <v>69</v>
      </c>
      <c r="AF438" t="s">
        <v>69</v>
      </c>
      <c r="AG438" t="s">
        <v>69</v>
      </c>
      <c r="AH438" t="s">
        <v>69</v>
      </c>
      <c r="AI438" t="s">
        <v>69</v>
      </c>
      <c r="AJ438" t="s">
        <v>69</v>
      </c>
      <c r="AK438" t="s">
        <v>69</v>
      </c>
      <c r="AL438">
        <v>18</v>
      </c>
      <c r="AM438">
        <v>0</v>
      </c>
      <c r="AN438">
        <v>0</v>
      </c>
      <c r="AO438">
        <v>0</v>
      </c>
      <c r="AP438">
        <v>0</v>
      </c>
      <c r="AQ438" t="s">
        <v>8762</v>
      </c>
      <c r="AR438" t="s">
        <v>8763</v>
      </c>
      <c r="AS438" t="s">
        <v>8764</v>
      </c>
      <c r="AT438" t="s">
        <v>27458</v>
      </c>
      <c r="AU438" t="s">
        <v>27459</v>
      </c>
      <c r="AV438" t="s">
        <v>69</v>
      </c>
      <c r="AW438" t="s">
        <v>27460</v>
      </c>
      <c r="AX438" t="s">
        <v>27461</v>
      </c>
      <c r="AY438" t="s">
        <v>69</v>
      </c>
      <c r="AZ438">
        <v>2011</v>
      </c>
      <c r="BA438">
        <v>78</v>
      </c>
      <c r="BB438">
        <v>2</v>
      </c>
      <c r="BC438" t="s">
        <v>69</v>
      </c>
      <c r="BD438" t="s">
        <v>69</v>
      </c>
      <c r="BE438" t="s">
        <v>69</v>
      </c>
      <c r="BF438" t="s">
        <v>69</v>
      </c>
      <c r="BG438">
        <v>195</v>
      </c>
      <c r="BH438">
        <v>201</v>
      </c>
      <c r="BI438" t="s">
        <v>69</v>
      </c>
      <c r="BJ438" t="s">
        <v>27462</v>
      </c>
      <c r="BK438" t="str">
        <f>HYPERLINK("http://dx.doi.org/10.1179/002436311803888339","http://dx.doi.org/10.1179/002436311803888339")</f>
        <v>http://dx.doi.org/10.1179/002436311803888339</v>
      </c>
      <c r="BL438" t="s">
        <v>69</v>
      </c>
      <c r="BM438" t="s">
        <v>69</v>
      </c>
      <c r="BN438">
        <v>7</v>
      </c>
      <c r="BO438" t="s">
        <v>27463</v>
      </c>
      <c r="BP438" t="s">
        <v>8573</v>
      </c>
      <c r="BQ438" t="s">
        <v>27463</v>
      </c>
      <c r="BR438" t="s">
        <v>27464</v>
      </c>
      <c r="BS438" t="s">
        <v>27465</v>
      </c>
      <c r="BT438">
        <v>30082943</v>
      </c>
      <c r="BU438" t="s">
        <v>10423</v>
      </c>
      <c r="BV438" t="s">
        <v>69</v>
      </c>
      <c r="BW438" t="s">
        <v>69</v>
      </c>
      <c r="BX438" t="s">
        <v>8526</v>
      </c>
      <c r="BY438" t="str">
        <f>HYPERLINK("https%3A%2F%2Fwww.webofscience.com%2Fwos%2Fwoscc%2Ffull-record%2FWOS:000217882900007","View Full Record in Web of Science")</f>
        <v>View Full Record in Web of Science</v>
      </c>
    </row>
    <row r="439" spans="1:77" ht="12.5" x14ac:dyDescent="0.25">
      <c r="A439" t="s">
        <v>8495</v>
      </c>
      <c r="B439" s="22" t="s">
        <v>32931</v>
      </c>
      <c r="C439" s="7"/>
      <c r="D439" s="7"/>
      <c r="E439" s="7"/>
      <c r="F439" t="s">
        <v>67</v>
      </c>
      <c r="G439" t="s">
        <v>16328</v>
      </c>
      <c r="H439" t="s">
        <v>69</v>
      </c>
      <c r="I439" t="s">
        <v>69</v>
      </c>
      <c r="J439" t="s">
        <v>69</v>
      </c>
      <c r="K439" t="s">
        <v>16329</v>
      </c>
      <c r="L439" t="s">
        <v>69</v>
      </c>
      <c r="M439" t="s">
        <v>69</v>
      </c>
      <c r="N439" t="s">
        <v>16330</v>
      </c>
      <c r="O439" t="s">
        <v>16331</v>
      </c>
      <c r="P439" t="s">
        <v>69</v>
      </c>
      <c r="Q439" t="s">
        <v>69</v>
      </c>
      <c r="R439" t="s">
        <v>8505</v>
      </c>
      <c r="S439" t="s">
        <v>8506</v>
      </c>
      <c r="T439" t="s">
        <v>69</v>
      </c>
      <c r="U439" t="s">
        <v>69</v>
      </c>
      <c r="V439" t="s">
        <v>69</v>
      </c>
      <c r="W439" t="s">
        <v>69</v>
      </c>
      <c r="X439" t="s">
        <v>69</v>
      </c>
      <c r="Y439" t="s">
        <v>16332</v>
      </c>
      <c r="Z439" t="s">
        <v>16333</v>
      </c>
      <c r="AA439" t="s">
        <v>16334</v>
      </c>
      <c r="AB439" t="s">
        <v>16335</v>
      </c>
      <c r="AC439" t="s">
        <v>69</v>
      </c>
      <c r="AD439" t="s">
        <v>16336</v>
      </c>
      <c r="AE439" t="s">
        <v>16337</v>
      </c>
      <c r="AF439" t="s">
        <v>16338</v>
      </c>
      <c r="AG439" t="s">
        <v>16339</v>
      </c>
      <c r="AH439" t="s">
        <v>69</v>
      </c>
      <c r="AI439" t="s">
        <v>69</v>
      </c>
      <c r="AJ439" t="s">
        <v>69</v>
      </c>
      <c r="AK439" t="s">
        <v>69</v>
      </c>
      <c r="AL439">
        <v>24</v>
      </c>
      <c r="AM439">
        <v>1</v>
      </c>
      <c r="AN439">
        <v>1</v>
      </c>
      <c r="AO439">
        <v>0</v>
      </c>
      <c r="AP439">
        <v>2</v>
      </c>
      <c r="AQ439" t="s">
        <v>16340</v>
      </c>
      <c r="AR439" t="s">
        <v>16341</v>
      </c>
      <c r="AS439" t="s">
        <v>16342</v>
      </c>
      <c r="AT439" t="s">
        <v>16343</v>
      </c>
      <c r="AU439" t="s">
        <v>16344</v>
      </c>
      <c r="AV439" t="s">
        <v>69</v>
      </c>
      <c r="AW439" t="s">
        <v>16345</v>
      </c>
      <c r="AX439" t="s">
        <v>16346</v>
      </c>
      <c r="AY439" t="s">
        <v>10381</v>
      </c>
      <c r="AZ439">
        <v>2019</v>
      </c>
      <c r="BA439">
        <v>149</v>
      </c>
      <c r="BB439" t="s">
        <v>69</v>
      </c>
      <c r="BC439" t="s">
        <v>69</v>
      </c>
      <c r="BD439" t="s">
        <v>69</v>
      </c>
      <c r="BE439" t="s">
        <v>69</v>
      </c>
      <c r="BF439" t="s">
        <v>69</v>
      </c>
      <c r="BG439" t="s">
        <v>69</v>
      </c>
      <c r="BH439" t="s">
        <v>69</v>
      </c>
      <c r="BI439" t="s">
        <v>16347</v>
      </c>
      <c r="BJ439" t="s">
        <v>16348</v>
      </c>
      <c r="BK439" t="str">
        <f>HYPERLINK("http://dx.doi.org/10.4414/smw.2019.20147","http://dx.doi.org/10.4414/smw.2019.20147")</f>
        <v>http://dx.doi.org/10.4414/smw.2019.20147</v>
      </c>
      <c r="BL439" t="s">
        <v>69</v>
      </c>
      <c r="BM439" t="s">
        <v>69</v>
      </c>
      <c r="BN439">
        <v>7</v>
      </c>
      <c r="BO439" t="s">
        <v>9450</v>
      </c>
      <c r="BP439" t="s">
        <v>8548</v>
      </c>
      <c r="BQ439" t="s">
        <v>9451</v>
      </c>
      <c r="BR439" t="s">
        <v>16349</v>
      </c>
      <c r="BS439" t="s">
        <v>16350</v>
      </c>
      <c r="BT439">
        <v>31846510</v>
      </c>
      <c r="BU439" t="s">
        <v>9352</v>
      </c>
      <c r="BV439" t="s">
        <v>69</v>
      </c>
      <c r="BW439" t="s">
        <v>69</v>
      </c>
      <c r="BX439" t="s">
        <v>8526</v>
      </c>
      <c r="BY439" t="str">
        <f>HYPERLINK("https%3A%2F%2Fwww.webofscience.com%2Fwos%2Fwoscc%2Ffull-record%2FWOS:000503440400003","View Full Record in Web of Science")</f>
        <v>View Full Record in Web of Science</v>
      </c>
    </row>
    <row r="440" spans="1:77" ht="12.5" x14ac:dyDescent="0.25">
      <c r="A440" t="s">
        <v>8495</v>
      </c>
      <c r="B440" s="7" t="s">
        <v>32933</v>
      </c>
      <c r="C440" s="7"/>
      <c r="D440" s="7"/>
      <c r="E440" s="7"/>
      <c r="F440" t="s">
        <v>67</v>
      </c>
      <c r="G440" t="s">
        <v>2847</v>
      </c>
      <c r="H440" t="s">
        <v>69</v>
      </c>
      <c r="I440" t="s">
        <v>69</v>
      </c>
      <c r="J440" t="s">
        <v>69</v>
      </c>
      <c r="K440" t="s">
        <v>2848</v>
      </c>
      <c r="L440" t="s">
        <v>69</v>
      </c>
      <c r="M440" t="s">
        <v>69</v>
      </c>
      <c r="N440" t="s">
        <v>2849</v>
      </c>
      <c r="O440" t="s">
        <v>2850</v>
      </c>
      <c r="P440" t="s">
        <v>69</v>
      </c>
      <c r="Q440" t="s">
        <v>69</v>
      </c>
      <c r="R440" t="s">
        <v>8505</v>
      </c>
      <c r="S440" t="s">
        <v>8506</v>
      </c>
      <c r="T440" t="s">
        <v>69</v>
      </c>
      <c r="U440" t="s">
        <v>69</v>
      </c>
      <c r="V440" t="s">
        <v>69</v>
      </c>
      <c r="W440" t="s">
        <v>69</v>
      </c>
      <c r="X440" t="s">
        <v>69</v>
      </c>
      <c r="Y440" t="s">
        <v>69</v>
      </c>
      <c r="Z440" t="s">
        <v>21602</v>
      </c>
      <c r="AA440" t="s">
        <v>2851</v>
      </c>
      <c r="AB440" t="s">
        <v>21603</v>
      </c>
      <c r="AC440" t="s">
        <v>69</v>
      </c>
      <c r="AD440" t="s">
        <v>21604</v>
      </c>
      <c r="AE440" t="s">
        <v>21605</v>
      </c>
      <c r="AF440" t="s">
        <v>21606</v>
      </c>
      <c r="AG440" t="s">
        <v>21607</v>
      </c>
      <c r="AH440" t="s">
        <v>69</v>
      </c>
      <c r="AI440" t="s">
        <v>69</v>
      </c>
      <c r="AJ440" t="s">
        <v>69</v>
      </c>
      <c r="AK440" t="s">
        <v>69</v>
      </c>
      <c r="AL440">
        <v>57</v>
      </c>
      <c r="AM440">
        <v>63</v>
      </c>
      <c r="AN440">
        <v>74</v>
      </c>
      <c r="AO440">
        <v>3</v>
      </c>
      <c r="AP440">
        <v>41</v>
      </c>
      <c r="AQ440" t="s">
        <v>17140</v>
      </c>
      <c r="AR440" t="s">
        <v>8517</v>
      </c>
      <c r="AS440" t="s">
        <v>17141</v>
      </c>
      <c r="AT440" t="s">
        <v>2852</v>
      </c>
      <c r="AU440" t="s">
        <v>2853</v>
      </c>
      <c r="AV440" t="s">
        <v>69</v>
      </c>
      <c r="AW440" t="s">
        <v>21608</v>
      </c>
      <c r="AX440" t="s">
        <v>21609</v>
      </c>
      <c r="AY440" t="s">
        <v>155</v>
      </c>
      <c r="AZ440">
        <v>2016</v>
      </c>
      <c r="BA440">
        <v>15</v>
      </c>
      <c r="BB440" t="s">
        <v>69</v>
      </c>
      <c r="BC440" t="s">
        <v>69</v>
      </c>
      <c r="BD440" t="s">
        <v>69</v>
      </c>
      <c r="BE440" t="s">
        <v>69</v>
      </c>
      <c r="BF440" t="s">
        <v>69</v>
      </c>
      <c r="BG440">
        <v>131</v>
      </c>
      <c r="BH440">
        <v>138</v>
      </c>
      <c r="BI440" t="s">
        <v>69</v>
      </c>
      <c r="BJ440" t="s">
        <v>2854</v>
      </c>
      <c r="BK440" t="str">
        <f>HYPERLINK("http://dx.doi.org/10.1016/j.cois.2016.04.012","http://dx.doi.org/10.1016/j.cois.2016.04.012")</f>
        <v>http://dx.doi.org/10.1016/j.cois.2016.04.012</v>
      </c>
      <c r="BL440" t="s">
        <v>69</v>
      </c>
      <c r="BM440" t="s">
        <v>69</v>
      </c>
      <c r="BN440">
        <v>8</v>
      </c>
      <c r="BO440" t="s">
        <v>21610</v>
      </c>
      <c r="BP440" t="s">
        <v>8548</v>
      </c>
      <c r="BQ440" t="s">
        <v>21611</v>
      </c>
      <c r="BR440" t="s">
        <v>21612</v>
      </c>
      <c r="BS440" t="s">
        <v>2855</v>
      </c>
      <c r="BT440">
        <v>27436743</v>
      </c>
      <c r="BU440" t="s">
        <v>69</v>
      </c>
      <c r="BV440" t="s">
        <v>69</v>
      </c>
      <c r="BW440" t="s">
        <v>69</v>
      </c>
      <c r="BX440" t="s">
        <v>8526</v>
      </c>
      <c r="BY440" t="str">
        <f>HYPERLINK("https%3A%2F%2Fwww.webofscience.com%2Fwos%2Fwoscc%2Ffull-record%2FWOS:000378671000020","View Full Record in Web of Science")</f>
        <v>View Full Record in Web of Science</v>
      </c>
    </row>
    <row r="441" spans="1:77" ht="12.5" x14ac:dyDescent="0.25">
      <c r="A441" t="s">
        <v>8495</v>
      </c>
      <c r="B441" s="22" t="s">
        <v>32931</v>
      </c>
      <c r="C441" s="7"/>
      <c r="D441" s="7"/>
      <c r="E441" s="7"/>
      <c r="F441" t="s">
        <v>67</v>
      </c>
      <c r="G441" t="s">
        <v>22447</v>
      </c>
      <c r="H441" t="s">
        <v>69</v>
      </c>
      <c r="I441" t="s">
        <v>69</v>
      </c>
      <c r="J441" t="s">
        <v>69</v>
      </c>
      <c r="K441" t="s">
        <v>22448</v>
      </c>
      <c r="L441" t="s">
        <v>69</v>
      </c>
      <c r="M441" t="s">
        <v>69</v>
      </c>
      <c r="N441" t="s">
        <v>22449</v>
      </c>
      <c r="O441" t="s">
        <v>12936</v>
      </c>
      <c r="P441" t="s">
        <v>69</v>
      </c>
      <c r="Q441" t="s">
        <v>69</v>
      </c>
      <c r="R441" t="s">
        <v>12937</v>
      </c>
      <c r="S441" t="s">
        <v>8506</v>
      </c>
      <c r="T441" t="s">
        <v>69</v>
      </c>
      <c r="U441" t="s">
        <v>69</v>
      </c>
      <c r="V441" t="s">
        <v>69</v>
      </c>
      <c r="W441" t="s">
        <v>69</v>
      </c>
      <c r="X441" t="s">
        <v>69</v>
      </c>
      <c r="Y441" t="s">
        <v>22450</v>
      </c>
      <c r="Z441" t="s">
        <v>69</v>
      </c>
      <c r="AA441" t="s">
        <v>22451</v>
      </c>
      <c r="AB441" t="s">
        <v>22452</v>
      </c>
      <c r="AC441" t="s">
        <v>69</v>
      </c>
      <c r="AD441" t="s">
        <v>22453</v>
      </c>
      <c r="AE441" t="s">
        <v>22454</v>
      </c>
      <c r="AF441" t="s">
        <v>69</v>
      </c>
      <c r="AG441" t="s">
        <v>69</v>
      </c>
      <c r="AH441" t="s">
        <v>69</v>
      </c>
      <c r="AI441" t="s">
        <v>69</v>
      </c>
      <c r="AJ441" t="s">
        <v>69</v>
      </c>
      <c r="AK441" t="s">
        <v>69</v>
      </c>
      <c r="AL441">
        <v>15</v>
      </c>
      <c r="AM441">
        <v>2</v>
      </c>
      <c r="AN441">
        <v>2</v>
      </c>
      <c r="AO441">
        <v>2</v>
      </c>
      <c r="AP441">
        <v>12</v>
      </c>
      <c r="AQ441" t="s">
        <v>12943</v>
      </c>
      <c r="AR441" t="s">
        <v>10968</v>
      </c>
      <c r="AS441" t="s">
        <v>12944</v>
      </c>
      <c r="AT441" t="s">
        <v>12945</v>
      </c>
      <c r="AU441" t="s">
        <v>12946</v>
      </c>
      <c r="AV441" t="s">
        <v>69</v>
      </c>
      <c r="AW441" t="s">
        <v>12947</v>
      </c>
      <c r="AX441" t="s">
        <v>12948</v>
      </c>
      <c r="AY441" t="s">
        <v>381</v>
      </c>
      <c r="AZ441">
        <v>2015</v>
      </c>
      <c r="BA441">
        <v>58</v>
      </c>
      <c r="BB441">
        <v>10</v>
      </c>
      <c r="BC441" t="s">
        <v>69</v>
      </c>
      <c r="BD441" t="s">
        <v>69</v>
      </c>
      <c r="BE441" t="s">
        <v>69</v>
      </c>
      <c r="BF441" t="s">
        <v>69</v>
      </c>
      <c r="BG441">
        <v>923</v>
      </c>
      <c r="BH441">
        <v>932</v>
      </c>
      <c r="BI441" t="s">
        <v>69</v>
      </c>
      <c r="BJ441" t="s">
        <v>22455</v>
      </c>
      <c r="BK441" t="str">
        <f>HYPERLINK("http://dx.doi.org/10.5124/jkma.2015.58.10.923","http://dx.doi.org/10.5124/jkma.2015.58.10.923")</f>
        <v>http://dx.doi.org/10.5124/jkma.2015.58.10.923</v>
      </c>
      <c r="BL441" t="s">
        <v>69</v>
      </c>
      <c r="BM441" t="s">
        <v>69</v>
      </c>
      <c r="BN441">
        <v>10</v>
      </c>
      <c r="BO441" t="s">
        <v>9450</v>
      </c>
      <c r="BP441" t="s">
        <v>8573</v>
      </c>
      <c r="BQ441" t="s">
        <v>9451</v>
      </c>
      <c r="BR441" t="s">
        <v>22456</v>
      </c>
      <c r="BS441" t="s">
        <v>22457</v>
      </c>
      <c r="BT441" t="s">
        <v>69</v>
      </c>
      <c r="BU441" t="s">
        <v>12220</v>
      </c>
      <c r="BV441" t="s">
        <v>69</v>
      </c>
      <c r="BW441" t="s">
        <v>69</v>
      </c>
      <c r="BX441" t="s">
        <v>8526</v>
      </c>
      <c r="BY441" t="str">
        <f>HYPERLINK("https%3A%2F%2Fwww.webofscience.com%2Fwos%2Fwoscc%2Ffull-record%2FWOS:000367981200011","View Full Record in Web of Science")</f>
        <v>View Full Record in Web of Science</v>
      </c>
    </row>
    <row r="442" spans="1:77" ht="12.5" x14ac:dyDescent="0.25">
      <c r="A442" t="s">
        <v>8495</v>
      </c>
      <c r="B442" s="22" t="s">
        <v>32931</v>
      </c>
      <c r="C442" s="7"/>
      <c r="D442" s="7"/>
      <c r="E442" s="7"/>
      <c r="F442" t="s">
        <v>67</v>
      </c>
      <c r="G442" t="s">
        <v>10484</v>
      </c>
      <c r="H442" t="s">
        <v>69</v>
      </c>
      <c r="I442" t="s">
        <v>69</v>
      </c>
      <c r="J442" t="s">
        <v>69</v>
      </c>
      <c r="K442" t="s">
        <v>10485</v>
      </c>
      <c r="L442" t="s">
        <v>69</v>
      </c>
      <c r="M442" t="s">
        <v>69</v>
      </c>
      <c r="N442" t="s">
        <v>10486</v>
      </c>
      <c r="O442" t="s">
        <v>10487</v>
      </c>
      <c r="P442" t="s">
        <v>69</v>
      </c>
      <c r="Q442" t="s">
        <v>69</v>
      </c>
      <c r="R442" t="s">
        <v>8505</v>
      </c>
      <c r="S442" t="s">
        <v>8506</v>
      </c>
      <c r="T442" t="s">
        <v>69</v>
      </c>
      <c r="U442" t="s">
        <v>69</v>
      </c>
      <c r="V442" t="s">
        <v>69</v>
      </c>
      <c r="W442" t="s">
        <v>69</v>
      </c>
      <c r="X442" t="s">
        <v>69</v>
      </c>
      <c r="Y442" t="s">
        <v>10488</v>
      </c>
      <c r="Z442" t="s">
        <v>10489</v>
      </c>
      <c r="AA442" t="s">
        <v>10490</v>
      </c>
      <c r="AB442" t="s">
        <v>10491</v>
      </c>
      <c r="AC442" t="s">
        <v>69</v>
      </c>
      <c r="AD442" t="s">
        <v>10492</v>
      </c>
      <c r="AE442" t="s">
        <v>10493</v>
      </c>
      <c r="AF442" t="s">
        <v>69</v>
      </c>
      <c r="AG442" t="s">
        <v>69</v>
      </c>
      <c r="AH442" t="s">
        <v>10494</v>
      </c>
      <c r="AI442" t="s">
        <v>10494</v>
      </c>
      <c r="AJ442" t="s">
        <v>10495</v>
      </c>
      <c r="AK442" t="s">
        <v>69</v>
      </c>
      <c r="AL442">
        <v>78</v>
      </c>
      <c r="AM442">
        <v>1</v>
      </c>
      <c r="AN442">
        <v>1</v>
      </c>
      <c r="AO442">
        <v>4</v>
      </c>
      <c r="AP442">
        <v>4</v>
      </c>
      <c r="AQ442" t="s">
        <v>8516</v>
      </c>
      <c r="AR442" t="s">
        <v>8517</v>
      </c>
      <c r="AS442" t="s">
        <v>8518</v>
      </c>
      <c r="AT442" t="s">
        <v>10496</v>
      </c>
      <c r="AU442" t="s">
        <v>10497</v>
      </c>
      <c r="AV442" t="s">
        <v>69</v>
      </c>
      <c r="AW442" t="s">
        <v>10498</v>
      </c>
      <c r="AX442" t="s">
        <v>10499</v>
      </c>
      <c r="AY442" t="s">
        <v>373</v>
      </c>
      <c r="AZ442">
        <v>2022</v>
      </c>
      <c r="BA442">
        <v>39</v>
      </c>
      <c r="BB442" t="s">
        <v>69</v>
      </c>
      <c r="BC442" t="s">
        <v>69</v>
      </c>
      <c r="BD442" t="s">
        <v>69</v>
      </c>
      <c r="BE442" t="s">
        <v>69</v>
      </c>
      <c r="BF442" t="s">
        <v>69</v>
      </c>
      <c r="BG442" t="s">
        <v>69</v>
      </c>
      <c r="BH442" t="s">
        <v>69</v>
      </c>
      <c r="BI442">
        <v>100778</v>
      </c>
      <c r="BJ442" t="s">
        <v>10500</v>
      </c>
      <c r="BK442" t="str">
        <f>HYPERLINK("http://dx.doi.org/10.1016/j.esr.2021.100778","http://dx.doi.org/10.1016/j.esr.2021.100778")</f>
        <v>http://dx.doi.org/10.1016/j.esr.2021.100778</v>
      </c>
      <c r="BL442" t="s">
        <v>69</v>
      </c>
      <c r="BM442" t="s">
        <v>10359</v>
      </c>
      <c r="BN442">
        <v>14</v>
      </c>
      <c r="BO442" t="s">
        <v>9164</v>
      </c>
      <c r="BP442" t="s">
        <v>8523</v>
      </c>
      <c r="BQ442" t="s">
        <v>9164</v>
      </c>
      <c r="BR442" t="s">
        <v>10501</v>
      </c>
      <c r="BS442" t="s">
        <v>10502</v>
      </c>
      <c r="BT442" t="s">
        <v>69</v>
      </c>
      <c r="BU442" t="s">
        <v>8931</v>
      </c>
      <c r="BV442" t="s">
        <v>69</v>
      </c>
      <c r="BW442" t="s">
        <v>69</v>
      </c>
      <c r="BX442" t="s">
        <v>8526</v>
      </c>
      <c r="BY442" t="str">
        <f>HYPERLINK("https%3A%2F%2Fwww.webofscience.com%2Fwos%2Fwoscc%2Ffull-record%2FWOS:000743361100013","View Full Record in Web of Science")</f>
        <v>View Full Record in Web of Science</v>
      </c>
    </row>
    <row r="443" spans="1:77" ht="12.5" x14ac:dyDescent="0.25">
      <c r="A443" t="s">
        <v>8495</v>
      </c>
      <c r="B443" s="22" t="s">
        <v>32931</v>
      </c>
      <c r="C443" s="7"/>
      <c r="D443" s="7"/>
      <c r="E443" s="7"/>
      <c r="F443" t="s">
        <v>67</v>
      </c>
      <c r="G443" t="s">
        <v>11635</v>
      </c>
      <c r="H443" t="s">
        <v>69</v>
      </c>
      <c r="I443" t="s">
        <v>69</v>
      </c>
      <c r="J443" t="s">
        <v>69</v>
      </c>
      <c r="K443" t="s">
        <v>11636</v>
      </c>
      <c r="L443" t="s">
        <v>69</v>
      </c>
      <c r="M443" t="s">
        <v>69</v>
      </c>
      <c r="N443" t="s">
        <v>11637</v>
      </c>
      <c r="O443" t="s">
        <v>11638</v>
      </c>
      <c r="P443" t="s">
        <v>69</v>
      </c>
      <c r="Q443" t="s">
        <v>69</v>
      </c>
      <c r="R443" t="s">
        <v>8505</v>
      </c>
      <c r="S443" t="s">
        <v>8506</v>
      </c>
      <c r="T443" t="s">
        <v>69</v>
      </c>
      <c r="U443" t="s">
        <v>69</v>
      </c>
      <c r="V443" t="s">
        <v>69</v>
      </c>
      <c r="W443" t="s">
        <v>69</v>
      </c>
      <c r="X443" t="s">
        <v>69</v>
      </c>
      <c r="Y443" t="s">
        <v>11639</v>
      </c>
      <c r="Z443" t="s">
        <v>11640</v>
      </c>
      <c r="AA443" t="s">
        <v>11641</v>
      </c>
      <c r="AB443" t="s">
        <v>11642</v>
      </c>
      <c r="AC443" t="s">
        <v>69</v>
      </c>
      <c r="AD443" t="s">
        <v>11643</v>
      </c>
      <c r="AE443" t="s">
        <v>11644</v>
      </c>
      <c r="AF443" t="s">
        <v>11645</v>
      </c>
      <c r="AG443" t="s">
        <v>11646</v>
      </c>
      <c r="AH443" t="s">
        <v>11647</v>
      </c>
      <c r="AI443" t="s">
        <v>11647</v>
      </c>
      <c r="AJ443" t="s">
        <v>11648</v>
      </c>
      <c r="AK443" t="s">
        <v>69</v>
      </c>
      <c r="AL443">
        <v>38</v>
      </c>
      <c r="AM443">
        <v>0</v>
      </c>
      <c r="AN443">
        <v>0</v>
      </c>
      <c r="AO443">
        <v>2</v>
      </c>
      <c r="AP443">
        <v>2</v>
      </c>
      <c r="AQ443" t="s">
        <v>8539</v>
      </c>
      <c r="AR443" t="s">
        <v>8540</v>
      </c>
      <c r="AS443" t="s">
        <v>8541</v>
      </c>
      <c r="AT443" t="s">
        <v>11649</v>
      </c>
      <c r="AU443" t="s">
        <v>11650</v>
      </c>
      <c r="AV443" t="s">
        <v>69</v>
      </c>
      <c r="AW443" t="s">
        <v>11651</v>
      </c>
      <c r="AX443" t="s">
        <v>11652</v>
      </c>
      <c r="AY443" t="s">
        <v>3297</v>
      </c>
      <c r="AZ443">
        <v>2021</v>
      </c>
      <c r="BA443">
        <v>147</v>
      </c>
      <c r="BB443">
        <v>8</v>
      </c>
      <c r="BC443" t="s">
        <v>69</v>
      </c>
      <c r="BD443" t="s">
        <v>69</v>
      </c>
      <c r="BE443" t="s">
        <v>69</v>
      </c>
      <c r="BF443" t="s">
        <v>69</v>
      </c>
      <c r="BG443" t="s">
        <v>69</v>
      </c>
      <c r="BH443" t="s">
        <v>69</v>
      </c>
      <c r="BI443">
        <v>5021008</v>
      </c>
      <c r="BJ443" t="s">
        <v>11653</v>
      </c>
      <c r="BK443" t="str">
        <f>HYPERLINK("http://dx.doi.org/10.1061/(ASCE)WR.1943-5452.0001400","http://dx.doi.org/10.1061/(ASCE)WR.1943-5452.0001400")</f>
        <v>http://dx.doi.org/10.1061/(ASCE)WR.1943-5452.0001400</v>
      </c>
      <c r="BL443" t="s">
        <v>69</v>
      </c>
      <c r="BM443" t="s">
        <v>69</v>
      </c>
      <c r="BN443">
        <v>15</v>
      </c>
      <c r="BO443" t="s">
        <v>9229</v>
      </c>
      <c r="BP443" t="s">
        <v>8548</v>
      </c>
      <c r="BQ443" t="s">
        <v>9230</v>
      </c>
      <c r="BR443" t="s">
        <v>11654</v>
      </c>
      <c r="BS443" t="s">
        <v>11655</v>
      </c>
      <c r="BT443" t="s">
        <v>69</v>
      </c>
      <c r="BU443" t="s">
        <v>69</v>
      </c>
      <c r="BV443" t="s">
        <v>69</v>
      </c>
      <c r="BW443" t="s">
        <v>69</v>
      </c>
      <c r="BX443" t="s">
        <v>8526</v>
      </c>
      <c r="BY443" t="str">
        <f>HYPERLINK("https%3A%2F%2Fwww.webofscience.com%2Fwos%2Fwoscc%2Ffull-record%2FWOS:000723764800017","View Full Record in Web of Science")</f>
        <v>View Full Record in Web of Science</v>
      </c>
    </row>
    <row r="444" spans="1:77" x14ac:dyDescent="0.3">
      <c r="A444" t="s">
        <v>8495</v>
      </c>
      <c r="B444" s="13" t="s">
        <v>32966</v>
      </c>
      <c r="F444" t="s">
        <v>67</v>
      </c>
      <c r="G444" t="s">
        <v>6832</v>
      </c>
      <c r="H444" t="s">
        <v>69</v>
      </c>
      <c r="I444" t="s">
        <v>69</v>
      </c>
      <c r="J444" t="s">
        <v>69</v>
      </c>
      <c r="K444" s="4" t="s">
        <v>6833</v>
      </c>
      <c r="L444" t="s">
        <v>69</v>
      </c>
      <c r="M444" t="s">
        <v>69</v>
      </c>
      <c r="N444" s="2" t="s">
        <v>6834</v>
      </c>
      <c r="O444" t="s">
        <v>6835</v>
      </c>
      <c r="P444" t="s">
        <v>69</v>
      </c>
      <c r="Q444" t="s">
        <v>69</v>
      </c>
      <c r="R444" t="s">
        <v>9357</v>
      </c>
      <c r="S444" t="s">
        <v>8506</v>
      </c>
      <c r="T444" t="s">
        <v>69</v>
      </c>
      <c r="U444" t="s">
        <v>69</v>
      </c>
      <c r="V444" t="s">
        <v>69</v>
      </c>
      <c r="W444" t="s">
        <v>69</v>
      </c>
      <c r="X444" t="s">
        <v>69</v>
      </c>
      <c r="Y444" t="s">
        <v>19589</v>
      </c>
      <c r="Z444" t="s">
        <v>69</v>
      </c>
      <c r="AA444" t="s">
        <v>6836</v>
      </c>
      <c r="AB444" t="s">
        <v>19590</v>
      </c>
      <c r="AC444" t="s">
        <v>69</v>
      </c>
      <c r="AD444" t="s">
        <v>19591</v>
      </c>
      <c r="AE444" t="s">
        <v>19592</v>
      </c>
      <c r="AF444" t="s">
        <v>6837</v>
      </c>
      <c r="AG444" t="s">
        <v>6838</v>
      </c>
      <c r="AH444" t="s">
        <v>69</v>
      </c>
      <c r="AI444" t="s">
        <v>69</v>
      </c>
      <c r="AJ444" t="s">
        <v>69</v>
      </c>
      <c r="AK444" t="s">
        <v>69</v>
      </c>
      <c r="AL444">
        <v>32</v>
      </c>
      <c r="AM444">
        <v>0</v>
      </c>
      <c r="AN444">
        <v>0</v>
      </c>
      <c r="AO444">
        <v>1</v>
      </c>
      <c r="AP444">
        <v>11</v>
      </c>
      <c r="AQ444" t="s">
        <v>19593</v>
      </c>
      <c r="AR444" t="s">
        <v>9367</v>
      </c>
      <c r="AS444" t="s">
        <v>19594</v>
      </c>
      <c r="AT444" t="s">
        <v>6839</v>
      </c>
      <c r="AU444" t="s">
        <v>6840</v>
      </c>
      <c r="AV444" t="s">
        <v>69</v>
      </c>
      <c r="AW444" t="s">
        <v>19595</v>
      </c>
      <c r="AX444" t="s">
        <v>19596</v>
      </c>
      <c r="AY444" t="s">
        <v>69</v>
      </c>
      <c r="AZ444">
        <v>2018</v>
      </c>
      <c r="BA444" t="s">
        <v>69</v>
      </c>
      <c r="BB444">
        <v>1</v>
      </c>
      <c r="BC444" t="s">
        <v>69</v>
      </c>
      <c r="BD444" t="s">
        <v>69</v>
      </c>
      <c r="BE444" t="s">
        <v>69</v>
      </c>
      <c r="BF444" t="s">
        <v>69</v>
      </c>
      <c r="BG444">
        <v>63</v>
      </c>
      <c r="BH444">
        <v>93</v>
      </c>
      <c r="BI444" t="s">
        <v>69</v>
      </c>
      <c r="BJ444" t="s">
        <v>6841</v>
      </c>
      <c r="BK444" t="str">
        <f>HYPERLINK("http://dx.doi.org/10.24833/2071-8160-2018-1-58-63-93","http://dx.doi.org/10.24833/2071-8160-2018-1-58-63-93")</f>
        <v>http://dx.doi.org/10.24833/2071-8160-2018-1-58-63-93</v>
      </c>
      <c r="BL444" t="s">
        <v>69</v>
      </c>
      <c r="BM444" t="s">
        <v>69</v>
      </c>
      <c r="BN444">
        <v>31</v>
      </c>
      <c r="BO444" t="s">
        <v>9372</v>
      </c>
      <c r="BP444" t="s">
        <v>8573</v>
      </c>
      <c r="BQ444" t="s">
        <v>9372</v>
      </c>
      <c r="BR444" t="s">
        <v>19597</v>
      </c>
      <c r="BS444" t="s">
        <v>6842</v>
      </c>
      <c r="BT444" t="s">
        <v>69</v>
      </c>
      <c r="BU444" t="s">
        <v>8931</v>
      </c>
      <c r="BV444" t="s">
        <v>69</v>
      </c>
      <c r="BW444" t="s">
        <v>69</v>
      </c>
      <c r="BX444" t="s">
        <v>8526</v>
      </c>
      <c r="BY444" t="str">
        <f>HYPERLINK("https%3A%2F%2Fwww.webofscience.com%2Fwos%2Fwoscc%2Ffull-record%2FWOS:000428194300004","View Full Record in Web of Science")</f>
        <v>View Full Record in Web of Science</v>
      </c>
    </row>
    <row r="445" spans="1:77" ht="12.5" x14ac:dyDescent="0.25">
      <c r="A445" t="s">
        <v>8495</v>
      </c>
      <c r="B445" s="7" t="s">
        <v>32933</v>
      </c>
      <c r="C445" s="7"/>
      <c r="D445" s="7"/>
      <c r="E445" s="7"/>
      <c r="F445" t="s">
        <v>67</v>
      </c>
      <c r="G445" t="s">
        <v>6516</v>
      </c>
      <c r="H445" t="s">
        <v>69</v>
      </c>
      <c r="I445" t="s">
        <v>69</v>
      </c>
      <c r="J445" t="s">
        <v>69</v>
      </c>
      <c r="K445" t="s">
        <v>6517</v>
      </c>
      <c r="L445" t="s">
        <v>69</v>
      </c>
      <c r="M445" t="s">
        <v>69</v>
      </c>
      <c r="N445" t="s">
        <v>6518</v>
      </c>
      <c r="O445" t="s">
        <v>6519</v>
      </c>
      <c r="P445" t="s">
        <v>69</v>
      </c>
      <c r="Q445" t="s">
        <v>69</v>
      </c>
      <c r="R445" t="s">
        <v>8505</v>
      </c>
      <c r="S445" t="s">
        <v>8506</v>
      </c>
      <c r="T445" t="s">
        <v>69</v>
      </c>
      <c r="U445" t="s">
        <v>69</v>
      </c>
      <c r="V445" t="s">
        <v>69</v>
      </c>
      <c r="W445" t="s">
        <v>69</v>
      </c>
      <c r="X445" t="s">
        <v>69</v>
      </c>
      <c r="Y445" t="s">
        <v>18635</v>
      </c>
      <c r="Z445" t="s">
        <v>18636</v>
      </c>
      <c r="AA445" t="s">
        <v>6520</v>
      </c>
      <c r="AB445" t="s">
        <v>18637</v>
      </c>
      <c r="AC445" t="s">
        <v>69</v>
      </c>
      <c r="AD445" t="s">
        <v>18638</v>
      </c>
      <c r="AE445" t="s">
        <v>18639</v>
      </c>
      <c r="AF445" t="s">
        <v>18640</v>
      </c>
      <c r="AG445" t="s">
        <v>6521</v>
      </c>
      <c r="AH445" t="s">
        <v>18641</v>
      </c>
      <c r="AI445" t="s">
        <v>18642</v>
      </c>
      <c r="AJ445" t="s">
        <v>18643</v>
      </c>
      <c r="AK445" t="s">
        <v>69</v>
      </c>
      <c r="AL445">
        <v>63</v>
      </c>
      <c r="AM445">
        <v>8</v>
      </c>
      <c r="AN445">
        <v>8</v>
      </c>
      <c r="AO445">
        <v>3</v>
      </c>
      <c r="AP445">
        <v>10</v>
      </c>
      <c r="AQ445" t="s">
        <v>8992</v>
      </c>
      <c r="AR445" t="s">
        <v>8993</v>
      </c>
      <c r="AS445" t="s">
        <v>8994</v>
      </c>
      <c r="AT445" t="s">
        <v>69</v>
      </c>
      <c r="AU445" t="s">
        <v>6522</v>
      </c>
      <c r="AV445" t="s">
        <v>69</v>
      </c>
      <c r="AW445" t="s">
        <v>18644</v>
      </c>
      <c r="AX445" t="s">
        <v>18645</v>
      </c>
      <c r="AY445" t="s">
        <v>6523</v>
      </c>
      <c r="AZ445">
        <v>2018</v>
      </c>
      <c r="BA445">
        <v>2</v>
      </c>
      <c r="BB445" t="s">
        <v>69</v>
      </c>
      <c r="BC445" t="s">
        <v>69</v>
      </c>
      <c r="BD445" t="s">
        <v>69</v>
      </c>
      <c r="BE445" t="s">
        <v>69</v>
      </c>
      <c r="BF445" t="s">
        <v>69</v>
      </c>
      <c r="BG445" t="s">
        <v>69</v>
      </c>
      <c r="BH445" t="s">
        <v>69</v>
      </c>
      <c r="BI445">
        <v>22</v>
      </c>
      <c r="BJ445" t="s">
        <v>6524</v>
      </c>
      <c r="BK445" t="str">
        <f>HYPERLINK("http://dx.doi.org/10.3389/fsufs.2018.00022","http://dx.doi.org/10.3389/fsufs.2018.00022")</f>
        <v>http://dx.doi.org/10.3389/fsufs.2018.00022</v>
      </c>
      <c r="BL445" t="s">
        <v>69</v>
      </c>
      <c r="BM445" t="s">
        <v>69</v>
      </c>
      <c r="BN445">
        <v>15</v>
      </c>
      <c r="BO445" t="s">
        <v>17221</v>
      </c>
      <c r="BP445" t="s">
        <v>8548</v>
      </c>
      <c r="BQ445" t="s">
        <v>17221</v>
      </c>
      <c r="BR445" t="s">
        <v>18646</v>
      </c>
      <c r="BS445" t="s">
        <v>6525</v>
      </c>
      <c r="BT445" t="s">
        <v>69</v>
      </c>
      <c r="BU445" t="s">
        <v>9352</v>
      </c>
      <c r="BV445" t="s">
        <v>69</v>
      </c>
      <c r="BW445" t="s">
        <v>69</v>
      </c>
      <c r="BX445" t="s">
        <v>8526</v>
      </c>
      <c r="BY445" t="str">
        <f>HYPERLINK("https%3A%2F%2Fwww.webofscience.com%2Fwos%2Fwoscc%2Ffull-record%2FWOS:000502077800001","View Full Record in Web of Science")</f>
        <v>View Full Record in Web of Science</v>
      </c>
    </row>
    <row r="446" spans="1:77" ht="12.5" x14ac:dyDescent="0.25">
      <c r="A446" t="s">
        <v>8495</v>
      </c>
      <c r="B446" s="7" t="s">
        <v>32933</v>
      </c>
      <c r="C446" s="7"/>
      <c r="D446" s="7"/>
      <c r="E446" s="7"/>
      <c r="F446" t="s">
        <v>67</v>
      </c>
      <c r="G446" t="s">
        <v>1281</v>
      </c>
      <c r="H446" t="s">
        <v>69</v>
      </c>
      <c r="I446" t="s">
        <v>69</v>
      </c>
      <c r="J446" t="s">
        <v>69</v>
      </c>
      <c r="K446" t="s">
        <v>1282</v>
      </c>
      <c r="L446" t="s">
        <v>69</v>
      </c>
      <c r="M446" t="s">
        <v>69</v>
      </c>
      <c r="N446" t="s">
        <v>1283</v>
      </c>
      <c r="O446" t="s">
        <v>1284</v>
      </c>
      <c r="P446" t="s">
        <v>69</v>
      </c>
      <c r="Q446" t="s">
        <v>69</v>
      </c>
      <c r="R446" t="s">
        <v>8505</v>
      </c>
      <c r="S446" t="s">
        <v>8506</v>
      </c>
      <c r="T446" t="s">
        <v>69</v>
      </c>
      <c r="U446" t="s">
        <v>69</v>
      </c>
      <c r="V446" t="s">
        <v>69</v>
      </c>
      <c r="W446" t="s">
        <v>69</v>
      </c>
      <c r="X446" t="s">
        <v>69</v>
      </c>
      <c r="Y446" t="s">
        <v>22808</v>
      </c>
      <c r="Z446" t="s">
        <v>22809</v>
      </c>
      <c r="AA446" t="s">
        <v>1285</v>
      </c>
      <c r="AB446" t="s">
        <v>22810</v>
      </c>
      <c r="AC446" t="s">
        <v>69</v>
      </c>
      <c r="AD446" t="s">
        <v>22811</v>
      </c>
      <c r="AE446" t="s">
        <v>22812</v>
      </c>
      <c r="AF446" t="s">
        <v>22813</v>
      </c>
      <c r="AG446" t="s">
        <v>22814</v>
      </c>
      <c r="AH446" t="s">
        <v>22815</v>
      </c>
      <c r="AI446" t="s">
        <v>22816</v>
      </c>
      <c r="AJ446" t="s">
        <v>22817</v>
      </c>
      <c r="AK446" t="s">
        <v>69</v>
      </c>
      <c r="AL446">
        <v>10</v>
      </c>
      <c r="AM446">
        <v>5</v>
      </c>
      <c r="AN446">
        <v>7</v>
      </c>
      <c r="AO446">
        <v>0</v>
      </c>
      <c r="AP446">
        <v>18</v>
      </c>
      <c r="AQ446" t="s">
        <v>15611</v>
      </c>
      <c r="AR446" t="s">
        <v>10924</v>
      </c>
      <c r="AS446" t="s">
        <v>15612</v>
      </c>
      <c r="AT446" t="s">
        <v>1286</v>
      </c>
      <c r="AU446" t="s">
        <v>1287</v>
      </c>
      <c r="AV446" t="s">
        <v>69</v>
      </c>
      <c r="AW446" t="s">
        <v>22818</v>
      </c>
      <c r="AX446" t="s">
        <v>22819</v>
      </c>
      <c r="AY446" t="s">
        <v>971</v>
      </c>
      <c r="AZ446">
        <v>2015</v>
      </c>
      <c r="BA446">
        <v>22</v>
      </c>
      <c r="BB446">
        <v>2</v>
      </c>
      <c r="BC446" t="s">
        <v>69</v>
      </c>
      <c r="BD446" t="s">
        <v>69</v>
      </c>
      <c r="BE446" t="s">
        <v>114</v>
      </c>
      <c r="BF446" t="s">
        <v>69</v>
      </c>
      <c r="BG446">
        <v>178</v>
      </c>
      <c r="BH446">
        <v>183</v>
      </c>
      <c r="BI446" t="s">
        <v>69</v>
      </c>
      <c r="BJ446" t="s">
        <v>1288</v>
      </c>
      <c r="BK446" t="str">
        <f>HYPERLINK("http://dx.doi.org/10.1080/13504509.2014.923541","http://dx.doi.org/10.1080/13504509.2014.923541")</f>
        <v>http://dx.doi.org/10.1080/13504509.2014.923541</v>
      </c>
      <c r="BL446" t="s">
        <v>69</v>
      </c>
      <c r="BM446" t="s">
        <v>69</v>
      </c>
      <c r="BN446">
        <v>6</v>
      </c>
      <c r="BO446" t="s">
        <v>22820</v>
      </c>
      <c r="BP446" t="s">
        <v>8523</v>
      </c>
      <c r="BQ446" t="s">
        <v>8961</v>
      </c>
      <c r="BR446" t="s">
        <v>22821</v>
      </c>
      <c r="BS446" t="s">
        <v>1289</v>
      </c>
      <c r="BT446" t="s">
        <v>69</v>
      </c>
      <c r="BU446" t="s">
        <v>10423</v>
      </c>
      <c r="BV446" t="s">
        <v>69</v>
      </c>
      <c r="BW446" t="s">
        <v>69</v>
      </c>
      <c r="BX446" t="s">
        <v>8526</v>
      </c>
      <c r="BY446" t="str">
        <f>HYPERLINK("https%3A%2F%2Fwww.webofscience.com%2Fwos%2Fwoscc%2Ffull-record%2FWOS:000349899100012","View Full Record in Web of Science")</f>
        <v>View Full Record in Web of Science</v>
      </c>
    </row>
    <row r="447" spans="1:77" ht="12.5" x14ac:dyDescent="0.25">
      <c r="A447" t="s">
        <v>8495</v>
      </c>
      <c r="B447" s="22" t="s">
        <v>32931</v>
      </c>
      <c r="C447" s="7"/>
      <c r="D447" s="7"/>
      <c r="E447" s="7"/>
      <c r="F447" t="s">
        <v>67</v>
      </c>
      <c r="G447" t="s">
        <v>21915</v>
      </c>
      <c r="H447" t="s">
        <v>69</v>
      </c>
      <c r="I447" t="s">
        <v>69</v>
      </c>
      <c r="J447" t="s">
        <v>69</v>
      </c>
      <c r="K447" t="s">
        <v>21916</v>
      </c>
      <c r="L447" t="s">
        <v>69</v>
      </c>
      <c r="M447" t="s">
        <v>69</v>
      </c>
      <c r="N447" t="s">
        <v>21917</v>
      </c>
      <c r="O447" t="s">
        <v>21918</v>
      </c>
      <c r="P447" t="s">
        <v>69</v>
      </c>
      <c r="Q447" t="s">
        <v>69</v>
      </c>
      <c r="R447" t="s">
        <v>8505</v>
      </c>
      <c r="S447" t="s">
        <v>8506</v>
      </c>
      <c r="T447" t="s">
        <v>69</v>
      </c>
      <c r="U447" t="s">
        <v>69</v>
      </c>
      <c r="V447" t="s">
        <v>69</v>
      </c>
      <c r="W447" t="s">
        <v>69</v>
      </c>
      <c r="X447" t="s">
        <v>69</v>
      </c>
      <c r="Y447" t="s">
        <v>21919</v>
      </c>
      <c r="Z447" t="s">
        <v>69</v>
      </c>
      <c r="AA447" t="s">
        <v>21920</v>
      </c>
      <c r="AB447" t="s">
        <v>21921</v>
      </c>
      <c r="AC447" t="s">
        <v>69</v>
      </c>
      <c r="AD447" t="s">
        <v>21922</v>
      </c>
      <c r="AE447" t="s">
        <v>21923</v>
      </c>
      <c r="AF447" t="s">
        <v>21924</v>
      </c>
      <c r="AG447" t="s">
        <v>21925</v>
      </c>
      <c r="AH447" t="s">
        <v>21926</v>
      </c>
      <c r="AI447" t="s">
        <v>21927</v>
      </c>
      <c r="AJ447" t="s">
        <v>21928</v>
      </c>
      <c r="AK447" t="s">
        <v>69</v>
      </c>
      <c r="AL447">
        <v>6</v>
      </c>
      <c r="AM447">
        <v>13</v>
      </c>
      <c r="AN447">
        <v>15</v>
      </c>
      <c r="AO447">
        <v>0</v>
      </c>
      <c r="AP447">
        <v>1</v>
      </c>
      <c r="AQ447" t="s">
        <v>18749</v>
      </c>
      <c r="AR447" t="s">
        <v>8763</v>
      </c>
      <c r="AS447" t="s">
        <v>18750</v>
      </c>
      <c r="AT447" t="s">
        <v>21929</v>
      </c>
      <c r="AU447" t="s">
        <v>69</v>
      </c>
      <c r="AV447" t="s">
        <v>69</v>
      </c>
      <c r="AW447" t="s">
        <v>21930</v>
      </c>
      <c r="AX447" t="s">
        <v>21931</v>
      </c>
      <c r="AY447" t="s">
        <v>69</v>
      </c>
      <c r="AZ447">
        <v>2016</v>
      </c>
      <c r="BA447">
        <v>16</v>
      </c>
      <c r="BB447" t="s">
        <v>69</v>
      </c>
      <c r="BC447" t="s">
        <v>69</v>
      </c>
      <c r="BD447">
        <v>1</v>
      </c>
      <c r="BE447" t="s">
        <v>69</v>
      </c>
      <c r="BF447" t="s">
        <v>69</v>
      </c>
      <c r="BG447" t="s">
        <v>69</v>
      </c>
      <c r="BH447" t="s">
        <v>69</v>
      </c>
      <c r="BI447">
        <v>75</v>
      </c>
      <c r="BJ447" t="s">
        <v>21932</v>
      </c>
      <c r="BK447" t="str">
        <f>HYPERLINK("http://dx.doi.org/10.1186/s12874-016-0172-9","http://dx.doi.org/10.1186/s12874-016-0172-9")</f>
        <v>http://dx.doi.org/10.1186/s12874-016-0172-9</v>
      </c>
      <c r="BL447" t="s">
        <v>69</v>
      </c>
      <c r="BM447" t="s">
        <v>69</v>
      </c>
      <c r="BN447">
        <v>7</v>
      </c>
      <c r="BO447" t="s">
        <v>9209</v>
      </c>
      <c r="BP447" t="s">
        <v>8548</v>
      </c>
      <c r="BQ447" t="s">
        <v>9209</v>
      </c>
      <c r="BR447" t="s">
        <v>21933</v>
      </c>
      <c r="BS447" t="s">
        <v>21934</v>
      </c>
      <c r="BT447">
        <v>27410483</v>
      </c>
      <c r="BU447" t="s">
        <v>9352</v>
      </c>
      <c r="BV447" t="s">
        <v>69</v>
      </c>
      <c r="BW447" t="s">
        <v>69</v>
      </c>
      <c r="BX447" t="s">
        <v>8526</v>
      </c>
      <c r="BY447" t="str">
        <f>HYPERLINK("https%3A%2F%2Fwww.webofscience.com%2Fwos%2Fwoscc%2Ffull-record%2FWOS:000405025700003","View Full Record in Web of Science")</f>
        <v>View Full Record in Web of Science</v>
      </c>
    </row>
    <row r="448" spans="1:77" ht="12.5" x14ac:dyDescent="0.25">
      <c r="A448" t="s">
        <v>8495</v>
      </c>
      <c r="B448" s="7" t="s">
        <v>32933</v>
      </c>
      <c r="C448" s="7"/>
      <c r="D448" s="7"/>
      <c r="E448" s="7"/>
      <c r="F448" t="s">
        <v>67</v>
      </c>
      <c r="G448" t="s">
        <v>779</v>
      </c>
      <c r="H448" t="s">
        <v>69</v>
      </c>
      <c r="I448" t="s">
        <v>69</v>
      </c>
      <c r="J448" t="s">
        <v>69</v>
      </c>
      <c r="K448" t="s">
        <v>780</v>
      </c>
      <c r="L448" t="s">
        <v>69</v>
      </c>
      <c r="M448" t="s">
        <v>69</v>
      </c>
      <c r="N448" t="s">
        <v>781</v>
      </c>
      <c r="O448" t="s">
        <v>782</v>
      </c>
      <c r="P448" t="s">
        <v>69</v>
      </c>
      <c r="Q448" t="s">
        <v>69</v>
      </c>
      <c r="R448" t="s">
        <v>8505</v>
      </c>
      <c r="S448" t="s">
        <v>12770</v>
      </c>
      <c r="T448" t="s">
        <v>69</v>
      </c>
      <c r="U448" t="s">
        <v>69</v>
      </c>
      <c r="V448" t="s">
        <v>69</v>
      </c>
      <c r="W448" t="s">
        <v>69</v>
      </c>
      <c r="X448" t="s">
        <v>69</v>
      </c>
      <c r="Y448" t="s">
        <v>15494</v>
      </c>
      <c r="Z448" t="s">
        <v>15495</v>
      </c>
      <c r="AA448" t="s">
        <v>783</v>
      </c>
      <c r="AB448" t="s">
        <v>15496</v>
      </c>
      <c r="AC448" t="s">
        <v>69</v>
      </c>
      <c r="AD448" t="s">
        <v>15497</v>
      </c>
      <c r="AE448" t="s">
        <v>15498</v>
      </c>
      <c r="AF448" t="s">
        <v>15499</v>
      </c>
      <c r="AG448" t="s">
        <v>15500</v>
      </c>
      <c r="AH448" t="s">
        <v>15501</v>
      </c>
      <c r="AI448" t="s">
        <v>15502</v>
      </c>
      <c r="AJ448" t="s">
        <v>15503</v>
      </c>
      <c r="AK448" t="s">
        <v>69</v>
      </c>
      <c r="AL448">
        <v>16</v>
      </c>
      <c r="AM448">
        <v>1</v>
      </c>
      <c r="AN448">
        <v>1</v>
      </c>
      <c r="AO448">
        <v>0</v>
      </c>
      <c r="AP448">
        <v>6</v>
      </c>
      <c r="AQ448" t="s">
        <v>8516</v>
      </c>
      <c r="AR448" t="s">
        <v>8517</v>
      </c>
      <c r="AS448" t="s">
        <v>8518</v>
      </c>
      <c r="AT448" t="s">
        <v>784</v>
      </c>
      <c r="AU448" t="s">
        <v>69</v>
      </c>
      <c r="AV448" t="s">
        <v>69</v>
      </c>
      <c r="AW448" t="s">
        <v>12108</v>
      </c>
      <c r="AX448" t="s">
        <v>12109</v>
      </c>
      <c r="AY448" t="s">
        <v>246</v>
      </c>
      <c r="AZ448">
        <v>2020</v>
      </c>
      <c r="BA448">
        <v>29</v>
      </c>
      <c r="BB448" t="s">
        <v>69</v>
      </c>
      <c r="BC448" t="s">
        <v>69</v>
      </c>
      <c r="BD448" t="s">
        <v>69</v>
      </c>
      <c r="BE448" t="s">
        <v>69</v>
      </c>
      <c r="BF448" t="s">
        <v>69</v>
      </c>
      <c r="BG448" t="s">
        <v>69</v>
      </c>
      <c r="BH448" t="s">
        <v>69</v>
      </c>
      <c r="BI448">
        <v>105148</v>
      </c>
      <c r="BJ448" t="s">
        <v>785</v>
      </c>
      <c r="BK448" t="str">
        <f>HYPERLINK("http://dx.doi.org/10.1016/j.dib.2020.105148","http://dx.doi.org/10.1016/j.dib.2020.105148")</f>
        <v>http://dx.doi.org/10.1016/j.dib.2020.105148</v>
      </c>
      <c r="BL448" t="s">
        <v>69</v>
      </c>
      <c r="BM448" t="s">
        <v>69</v>
      </c>
      <c r="BN448">
        <v>7</v>
      </c>
      <c r="BO448" t="s">
        <v>8619</v>
      </c>
      <c r="BP448" t="s">
        <v>8573</v>
      </c>
      <c r="BQ448" t="s">
        <v>8620</v>
      </c>
      <c r="BR448" t="s">
        <v>15504</v>
      </c>
      <c r="BS448" t="s">
        <v>786</v>
      </c>
      <c r="BT448">
        <v>32016150</v>
      </c>
      <c r="BU448" t="s">
        <v>15505</v>
      </c>
      <c r="BV448" t="s">
        <v>69</v>
      </c>
      <c r="BW448" t="s">
        <v>69</v>
      </c>
      <c r="BX448" t="s">
        <v>8526</v>
      </c>
      <c r="BY448" t="str">
        <f>HYPERLINK("https%3A%2F%2Fwww.webofscience.com%2Fwos%2Fwoscc%2Ffull-record%2FWOS:000529894500001","View Full Record in Web of Science")</f>
        <v>View Full Record in Web of Science</v>
      </c>
    </row>
    <row r="449" spans="1:77" ht="12.5" x14ac:dyDescent="0.25">
      <c r="A449" t="s">
        <v>8495</v>
      </c>
      <c r="B449" s="7" t="s">
        <v>32933</v>
      </c>
      <c r="C449" s="7"/>
      <c r="D449" s="7"/>
      <c r="E449" s="7"/>
      <c r="F449" t="s">
        <v>67</v>
      </c>
      <c r="G449" t="s">
        <v>7451</v>
      </c>
      <c r="H449" t="s">
        <v>69</v>
      </c>
      <c r="I449" t="s">
        <v>69</v>
      </c>
      <c r="J449" t="s">
        <v>69</v>
      </c>
      <c r="K449" t="s">
        <v>7452</v>
      </c>
      <c r="L449" t="s">
        <v>69</v>
      </c>
      <c r="M449" t="s">
        <v>69</v>
      </c>
      <c r="N449" t="s">
        <v>7453</v>
      </c>
      <c r="O449" t="s">
        <v>7454</v>
      </c>
      <c r="P449" t="s">
        <v>69</v>
      </c>
      <c r="Q449" t="s">
        <v>69</v>
      </c>
      <c r="R449" t="s">
        <v>8505</v>
      </c>
      <c r="S449" t="s">
        <v>8506</v>
      </c>
      <c r="T449" t="s">
        <v>69</v>
      </c>
      <c r="U449" t="s">
        <v>69</v>
      </c>
      <c r="V449" t="s">
        <v>69</v>
      </c>
      <c r="W449" t="s">
        <v>69</v>
      </c>
      <c r="X449" t="s">
        <v>69</v>
      </c>
      <c r="Y449" t="s">
        <v>14256</v>
      </c>
      <c r="Z449" t="s">
        <v>14257</v>
      </c>
      <c r="AA449" t="s">
        <v>7455</v>
      </c>
      <c r="AB449" t="s">
        <v>14258</v>
      </c>
      <c r="AC449" t="s">
        <v>69</v>
      </c>
      <c r="AD449" t="s">
        <v>14259</v>
      </c>
      <c r="AE449" t="s">
        <v>14260</v>
      </c>
      <c r="AF449" t="s">
        <v>69</v>
      </c>
      <c r="AG449" t="s">
        <v>69</v>
      </c>
      <c r="AH449" t="s">
        <v>69</v>
      </c>
      <c r="AI449" t="s">
        <v>69</v>
      </c>
      <c r="AJ449" t="s">
        <v>69</v>
      </c>
      <c r="AK449" t="s">
        <v>69</v>
      </c>
      <c r="AL449">
        <v>67</v>
      </c>
      <c r="AM449">
        <v>9</v>
      </c>
      <c r="AN449">
        <v>9</v>
      </c>
      <c r="AO449">
        <v>13</v>
      </c>
      <c r="AP449">
        <v>55</v>
      </c>
      <c r="AQ449" t="s">
        <v>8586</v>
      </c>
      <c r="AR449" t="s">
        <v>8587</v>
      </c>
      <c r="AS449" t="s">
        <v>8588</v>
      </c>
      <c r="AT449" t="s">
        <v>7456</v>
      </c>
      <c r="AU449" t="s">
        <v>7457</v>
      </c>
      <c r="AV449" t="s">
        <v>69</v>
      </c>
      <c r="AW449" t="s">
        <v>14261</v>
      </c>
      <c r="AX449" t="s">
        <v>14262</v>
      </c>
      <c r="AY449" t="s">
        <v>14263</v>
      </c>
      <c r="AZ449">
        <v>2021</v>
      </c>
      <c r="BA449">
        <v>16</v>
      </c>
      <c r="BB449">
        <v>4</v>
      </c>
      <c r="BC449" t="s">
        <v>69</v>
      </c>
      <c r="BD449" t="s">
        <v>69</v>
      </c>
      <c r="BE449" t="s">
        <v>69</v>
      </c>
      <c r="BF449" t="s">
        <v>69</v>
      </c>
      <c r="BG449">
        <v>381</v>
      </c>
      <c r="BH449">
        <v>398</v>
      </c>
      <c r="BI449" t="s">
        <v>69</v>
      </c>
      <c r="BJ449" t="s">
        <v>7458</v>
      </c>
      <c r="BK449" t="str">
        <f>HYPERLINK("http://dx.doi.org/10.1108/EMJB-09-2018-0054","http://dx.doi.org/10.1108/EMJB-09-2018-0054")</f>
        <v>http://dx.doi.org/10.1108/EMJB-09-2018-0054</v>
      </c>
      <c r="BL449" t="s">
        <v>69</v>
      </c>
      <c r="BM449" t="s">
        <v>683</v>
      </c>
      <c r="BN449">
        <v>18</v>
      </c>
      <c r="BO449" t="s">
        <v>8444</v>
      </c>
      <c r="BP449" t="s">
        <v>8573</v>
      </c>
      <c r="BQ449" t="s">
        <v>8594</v>
      </c>
      <c r="BR449" t="s">
        <v>14264</v>
      </c>
      <c r="BS449" t="s">
        <v>7459</v>
      </c>
      <c r="BT449" t="s">
        <v>69</v>
      </c>
      <c r="BU449" t="s">
        <v>69</v>
      </c>
      <c r="BV449" t="s">
        <v>69</v>
      </c>
      <c r="BW449" t="s">
        <v>69</v>
      </c>
      <c r="BX449" t="s">
        <v>8526</v>
      </c>
      <c r="BY449" t="str">
        <f>HYPERLINK("https%3A%2F%2Fwww.webofscience.com%2Fwos%2Fwoscc%2Ffull-record%2FWOS:000574016100001","View Full Record in Web of Science")</f>
        <v>View Full Record in Web of Science</v>
      </c>
    </row>
    <row r="450" spans="1:77" ht="12.5" x14ac:dyDescent="0.25">
      <c r="A450" t="s">
        <v>8495</v>
      </c>
      <c r="B450" s="7" t="s">
        <v>32933</v>
      </c>
      <c r="C450" s="7"/>
      <c r="D450" s="7"/>
      <c r="E450" s="7"/>
      <c r="F450" t="s">
        <v>67</v>
      </c>
      <c r="G450" t="s">
        <v>12767</v>
      </c>
      <c r="H450" t="s">
        <v>69</v>
      </c>
      <c r="I450" t="s">
        <v>69</v>
      </c>
      <c r="J450" t="s">
        <v>69</v>
      </c>
      <c r="K450" t="s">
        <v>12768</v>
      </c>
      <c r="L450" t="s">
        <v>69</v>
      </c>
      <c r="M450" t="s">
        <v>69</v>
      </c>
      <c r="N450" t="s">
        <v>12769</v>
      </c>
      <c r="O450" t="s">
        <v>782</v>
      </c>
      <c r="P450" t="s">
        <v>69</v>
      </c>
      <c r="Q450" t="s">
        <v>69</v>
      </c>
      <c r="R450" t="s">
        <v>8505</v>
      </c>
      <c r="S450" t="s">
        <v>12770</v>
      </c>
      <c r="T450" t="s">
        <v>69</v>
      </c>
      <c r="U450" t="s">
        <v>69</v>
      </c>
      <c r="V450" t="s">
        <v>69</v>
      </c>
      <c r="W450" t="s">
        <v>69</v>
      </c>
      <c r="X450" t="s">
        <v>69</v>
      </c>
      <c r="Y450" t="s">
        <v>12771</v>
      </c>
      <c r="Z450" t="s">
        <v>69</v>
      </c>
      <c r="AA450" t="s">
        <v>12772</v>
      </c>
      <c r="AB450" t="s">
        <v>12773</v>
      </c>
      <c r="AC450" t="s">
        <v>69</v>
      </c>
      <c r="AD450" t="s">
        <v>12774</v>
      </c>
      <c r="AE450" t="s">
        <v>12775</v>
      </c>
      <c r="AF450" t="s">
        <v>12776</v>
      </c>
      <c r="AG450" t="s">
        <v>12777</v>
      </c>
      <c r="AH450" t="s">
        <v>12778</v>
      </c>
      <c r="AI450" t="s">
        <v>12778</v>
      </c>
      <c r="AJ450" t="s">
        <v>12779</v>
      </c>
      <c r="AK450" t="s">
        <v>69</v>
      </c>
      <c r="AL450">
        <v>3</v>
      </c>
      <c r="AM450">
        <v>1</v>
      </c>
      <c r="AN450">
        <v>1</v>
      </c>
      <c r="AO450">
        <v>0</v>
      </c>
      <c r="AP450">
        <v>1</v>
      </c>
      <c r="AQ450" t="s">
        <v>8516</v>
      </c>
      <c r="AR450" t="s">
        <v>8517</v>
      </c>
      <c r="AS450" t="s">
        <v>8518</v>
      </c>
      <c r="AT450" t="s">
        <v>784</v>
      </c>
      <c r="AU450" t="s">
        <v>69</v>
      </c>
      <c r="AV450" t="s">
        <v>69</v>
      </c>
      <c r="AW450" t="s">
        <v>12108</v>
      </c>
      <c r="AX450" t="s">
        <v>12109</v>
      </c>
      <c r="AY450" t="s">
        <v>246</v>
      </c>
      <c r="AZ450">
        <v>2021</v>
      </c>
      <c r="BA450">
        <v>35</v>
      </c>
      <c r="BB450" t="s">
        <v>69</v>
      </c>
      <c r="BC450" t="s">
        <v>69</v>
      </c>
      <c r="BD450" t="s">
        <v>69</v>
      </c>
      <c r="BE450" t="s">
        <v>69</v>
      </c>
      <c r="BF450" t="s">
        <v>69</v>
      </c>
      <c r="BG450" t="s">
        <v>69</v>
      </c>
      <c r="BH450" t="s">
        <v>69</v>
      </c>
      <c r="BI450">
        <v>106932</v>
      </c>
      <c r="BJ450" t="s">
        <v>12780</v>
      </c>
      <c r="BK450" t="str">
        <f>HYPERLINK("http://dx.doi.org/10.1016/j.dib.2021.106932","http://dx.doi.org/10.1016/j.dib.2021.106932")</f>
        <v>http://dx.doi.org/10.1016/j.dib.2021.106932</v>
      </c>
      <c r="BL450" t="s">
        <v>69</v>
      </c>
      <c r="BM450" t="s">
        <v>12704</v>
      </c>
      <c r="BN450">
        <v>9</v>
      </c>
      <c r="BO450" t="s">
        <v>8619</v>
      </c>
      <c r="BP450" t="s">
        <v>8573</v>
      </c>
      <c r="BQ450" t="s">
        <v>8620</v>
      </c>
      <c r="BR450" t="s">
        <v>12781</v>
      </c>
      <c r="BS450" t="s">
        <v>12782</v>
      </c>
      <c r="BT450">
        <v>33748367</v>
      </c>
      <c r="BU450" t="s">
        <v>9352</v>
      </c>
      <c r="BV450" t="s">
        <v>69</v>
      </c>
      <c r="BW450" t="s">
        <v>69</v>
      </c>
      <c r="BX450" t="s">
        <v>8526</v>
      </c>
      <c r="BY450" t="str">
        <f>HYPERLINK("https%3A%2F%2Fwww.webofscience.com%2Fwos%2Fwoscc%2Ffull-record%2FWOS:000647429200001","View Full Record in Web of Science")</f>
        <v>View Full Record in Web of Science</v>
      </c>
    </row>
    <row r="451" spans="1:77" x14ac:dyDescent="0.3">
      <c r="A451" t="s">
        <v>8495</v>
      </c>
      <c r="B451" s="12" t="s">
        <v>32971</v>
      </c>
      <c r="F451" t="s">
        <v>67</v>
      </c>
      <c r="G451" t="s">
        <v>6069</v>
      </c>
      <c r="H451" t="s">
        <v>69</v>
      </c>
      <c r="I451" t="s">
        <v>69</v>
      </c>
      <c r="J451" t="s">
        <v>69</v>
      </c>
      <c r="K451" s="3" t="s">
        <v>6070</v>
      </c>
      <c r="L451" t="s">
        <v>69</v>
      </c>
      <c r="M451" t="s">
        <v>69</v>
      </c>
      <c r="N451" s="2" t="s">
        <v>6071</v>
      </c>
      <c r="O451" t="s">
        <v>3336</v>
      </c>
      <c r="P451" t="s">
        <v>69</v>
      </c>
      <c r="Q451" t="s">
        <v>69</v>
      </c>
      <c r="R451" t="s">
        <v>8505</v>
      </c>
      <c r="S451" t="s">
        <v>8506</v>
      </c>
      <c r="T451" t="s">
        <v>69</v>
      </c>
      <c r="U451" t="s">
        <v>69</v>
      </c>
      <c r="V451" t="s">
        <v>69</v>
      </c>
      <c r="W451" t="s">
        <v>69</v>
      </c>
      <c r="X451" t="s">
        <v>69</v>
      </c>
      <c r="Y451" t="s">
        <v>30227</v>
      </c>
      <c r="Z451" t="s">
        <v>30228</v>
      </c>
      <c r="AA451" t="s">
        <v>6072</v>
      </c>
      <c r="AB451" t="s">
        <v>30229</v>
      </c>
      <c r="AC451" t="s">
        <v>69</v>
      </c>
      <c r="AD451" t="s">
        <v>30230</v>
      </c>
      <c r="AE451" t="s">
        <v>29928</v>
      </c>
      <c r="AF451" t="s">
        <v>30231</v>
      </c>
      <c r="AG451" t="s">
        <v>3780</v>
      </c>
      <c r="AH451" t="s">
        <v>69</v>
      </c>
      <c r="AI451" t="s">
        <v>69</v>
      </c>
      <c r="AJ451" t="s">
        <v>69</v>
      </c>
      <c r="AK451" t="s">
        <v>69</v>
      </c>
      <c r="AL451">
        <v>52</v>
      </c>
      <c r="AM451">
        <v>19</v>
      </c>
      <c r="AN451">
        <v>22</v>
      </c>
      <c r="AO451">
        <v>1</v>
      </c>
      <c r="AP451">
        <v>38</v>
      </c>
      <c r="AQ451" t="s">
        <v>8516</v>
      </c>
      <c r="AR451" t="s">
        <v>8517</v>
      </c>
      <c r="AS451" t="s">
        <v>8518</v>
      </c>
      <c r="AT451" t="s">
        <v>3339</v>
      </c>
      <c r="AU451" t="s">
        <v>3340</v>
      </c>
      <c r="AV451" t="s">
        <v>69</v>
      </c>
      <c r="AW451" t="s">
        <v>25086</v>
      </c>
      <c r="AX451" t="s">
        <v>25087</v>
      </c>
      <c r="AY451" t="s">
        <v>6073</v>
      </c>
      <c r="AZ451">
        <v>2006</v>
      </c>
      <c r="BA451">
        <v>58</v>
      </c>
      <c r="BB451">
        <v>1</v>
      </c>
      <c r="BC451" t="s">
        <v>69</v>
      </c>
      <c r="BD451" t="s">
        <v>69</v>
      </c>
      <c r="BE451" t="s">
        <v>69</v>
      </c>
      <c r="BF451" t="s">
        <v>69</v>
      </c>
      <c r="BG451">
        <v>17</v>
      </c>
      <c r="BH451">
        <v>36</v>
      </c>
      <c r="BI451" t="s">
        <v>69</v>
      </c>
      <c r="BJ451" t="s">
        <v>6074</v>
      </c>
      <c r="BK451" t="str">
        <f>HYPERLINK("http://dx.doi.org/10.1016/j.ecolecon.2005.05.020","http://dx.doi.org/10.1016/j.ecolecon.2005.05.020")</f>
        <v>http://dx.doi.org/10.1016/j.ecolecon.2005.05.020</v>
      </c>
      <c r="BL451" t="s">
        <v>69</v>
      </c>
      <c r="BM451" t="s">
        <v>69</v>
      </c>
      <c r="BN451">
        <v>20</v>
      </c>
      <c r="BO451" t="s">
        <v>25089</v>
      </c>
      <c r="BP451" t="s">
        <v>8523</v>
      </c>
      <c r="BQ451" t="s">
        <v>25090</v>
      </c>
      <c r="BR451" t="s">
        <v>30232</v>
      </c>
      <c r="BS451" t="s">
        <v>6075</v>
      </c>
      <c r="BT451" t="s">
        <v>69</v>
      </c>
      <c r="BU451" t="s">
        <v>69</v>
      </c>
      <c r="BV451" t="s">
        <v>69</v>
      </c>
      <c r="BW451" t="s">
        <v>69</v>
      </c>
      <c r="BX451" t="s">
        <v>8526</v>
      </c>
      <c r="BY451" t="str">
        <f>HYPERLINK("https%3A%2F%2Fwww.webofscience.com%2Fwos%2Fwoscc%2Ffull-record%2FWOS:000238407200002","View Full Record in Web of Science")</f>
        <v>View Full Record in Web of Science</v>
      </c>
    </row>
    <row r="452" spans="1:77" ht="12.5" x14ac:dyDescent="0.25">
      <c r="A452" t="s">
        <v>8495</v>
      </c>
      <c r="B452" s="22" t="s">
        <v>32931</v>
      </c>
      <c r="C452" s="7"/>
      <c r="D452" s="7"/>
      <c r="E452" s="7"/>
      <c r="F452" t="s">
        <v>67</v>
      </c>
      <c r="G452" t="s">
        <v>8576</v>
      </c>
      <c r="H452" t="s">
        <v>69</v>
      </c>
      <c r="I452" t="s">
        <v>69</v>
      </c>
      <c r="J452" t="s">
        <v>69</v>
      </c>
      <c r="K452" t="s">
        <v>8577</v>
      </c>
      <c r="L452" t="s">
        <v>69</v>
      </c>
      <c r="M452" t="s">
        <v>69</v>
      </c>
      <c r="N452" t="s">
        <v>8578</v>
      </c>
      <c r="O452" t="s">
        <v>8579</v>
      </c>
      <c r="P452" t="s">
        <v>69</v>
      </c>
      <c r="Q452" t="s">
        <v>69</v>
      </c>
      <c r="R452" t="s">
        <v>8505</v>
      </c>
      <c r="S452" t="s">
        <v>8556</v>
      </c>
      <c r="T452" t="s">
        <v>69</v>
      </c>
      <c r="U452" t="s">
        <v>69</v>
      </c>
      <c r="V452" t="s">
        <v>69</v>
      </c>
      <c r="W452" t="s">
        <v>69</v>
      </c>
      <c r="X452" t="s">
        <v>69</v>
      </c>
      <c r="Y452" t="s">
        <v>8580</v>
      </c>
      <c r="Z452" t="s">
        <v>8581</v>
      </c>
      <c r="AA452" t="s">
        <v>8582</v>
      </c>
      <c r="AB452" t="s">
        <v>8583</v>
      </c>
      <c r="AC452" t="s">
        <v>69</v>
      </c>
      <c r="AD452" t="s">
        <v>8584</v>
      </c>
      <c r="AE452" t="s">
        <v>8585</v>
      </c>
      <c r="AF452" t="s">
        <v>69</v>
      </c>
      <c r="AG452" t="s">
        <v>69</v>
      </c>
      <c r="AH452" t="s">
        <v>69</v>
      </c>
      <c r="AI452" t="s">
        <v>69</v>
      </c>
      <c r="AJ452" t="s">
        <v>69</v>
      </c>
      <c r="AK452" t="s">
        <v>69</v>
      </c>
      <c r="AL452">
        <v>82</v>
      </c>
      <c r="AM452">
        <v>0</v>
      </c>
      <c r="AN452">
        <v>0</v>
      </c>
      <c r="AO452">
        <v>2</v>
      </c>
      <c r="AP452">
        <v>2</v>
      </c>
      <c r="AQ452" t="s">
        <v>8586</v>
      </c>
      <c r="AR452" t="s">
        <v>8587</v>
      </c>
      <c r="AS452" t="s">
        <v>8588</v>
      </c>
      <c r="AT452" t="s">
        <v>8589</v>
      </c>
      <c r="AU452" t="s">
        <v>8590</v>
      </c>
      <c r="AV452" t="s">
        <v>69</v>
      </c>
      <c r="AW452" t="s">
        <v>8591</v>
      </c>
      <c r="AX452" t="s">
        <v>8592</v>
      </c>
      <c r="AY452" t="s">
        <v>69</v>
      </c>
      <c r="AZ452" t="s">
        <v>69</v>
      </c>
      <c r="BA452" t="s">
        <v>69</v>
      </c>
      <c r="BB452" t="s">
        <v>69</v>
      </c>
      <c r="BC452" t="s">
        <v>69</v>
      </c>
      <c r="BD452" t="s">
        <v>69</v>
      </c>
      <c r="BE452" t="s">
        <v>69</v>
      </c>
      <c r="BF452" t="s">
        <v>69</v>
      </c>
      <c r="BG452" t="s">
        <v>69</v>
      </c>
      <c r="BH452" t="s">
        <v>69</v>
      </c>
      <c r="BI452" t="s">
        <v>69</v>
      </c>
      <c r="BJ452" t="s">
        <v>8593</v>
      </c>
      <c r="BK452" t="str">
        <f>HYPERLINK("http://dx.doi.org/10.1108/QMR-11-2021-0135","http://dx.doi.org/10.1108/QMR-11-2021-0135")</f>
        <v>http://dx.doi.org/10.1108/QMR-11-2021-0135</v>
      </c>
      <c r="BL452" t="s">
        <v>69</v>
      </c>
      <c r="BM452" t="s">
        <v>8571</v>
      </c>
      <c r="BN452">
        <v>16</v>
      </c>
      <c r="BO452" t="s">
        <v>8444</v>
      </c>
      <c r="BP452" t="s">
        <v>8573</v>
      </c>
      <c r="BQ452" t="s">
        <v>8594</v>
      </c>
      <c r="BR452" t="s">
        <v>8595</v>
      </c>
      <c r="BS452" t="s">
        <v>8596</v>
      </c>
      <c r="BT452" t="s">
        <v>69</v>
      </c>
      <c r="BU452" t="s">
        <v>69</v>
      </c>
      <c r="BV452" t="s">
        <v>69</v>
      </c>
      <c r="BW452" t="s">
        <v>69</v>
      </c>
      <c r="BX452" t="s">
        <v>8526</v>
      </c>
      <c r="BY452" t="str">
        <f>HYPERLINK("https%3A%2F%2Fwww.webofscience.com%2Fwos%2Fwoscc%2Ffull-record%2FWOS:000824725300001","View Full Record in Web of Science")</f>
        <v>View Full Record in Web of Science</v>
      </c>
    </row>
    <row r="453" spans="1:77" ht="12.5" x14ac:dyDescent="0.25">
      <c r="A453" t="s">
        <v>8495</v>
      </c>
      <c r="B453" s="7" t="s">
        <v>32933</v>
      </c>
      <c r="C453" s="7"/>
      <c r="D453" s="7"/>
      <c r="E453" s="7"/>
      <c r="F453" t="s">
        <v>67</v>
      </c>
      <c r="G453" t="s">
        <v>6452</v>
      </c>
      <c r="H453" t="s">
        <v>69</v>
      </c>
      <c r="I453" t="s">
        <v>69</v>
      </c>
      <c r="J453" t="s">
        <v>69</v>
      </c>
      <c r="K453" t="s">
        <v>6453</v>
      </c>
      <c r="L453" t="s">
        <v>69</v>
      </c>
      <c r="M453" t="s">
        <v>69</v>
      </c>
      <c r="N453" t="s">
        <v>6454</v>
      </c>
      <c r="O453" t="s">
        <v>6455</v>
      </c>
      <c r="P453" t="s">
        <v>69</v>
      </c>
      <c r="Q453" t="s">
        <v>69</v>
      </c>
      <c r="R453" t="s">
        <v>8505</v>
      </c>
      <c r="S453" t="s">
        <v>8506</v>
      </c>
      <c r="T453" t="s">
        <v>69</v>
      </c>
      <c r="U453" t="s">
        <v>69</v>
      </c>
      <c r="V453" t="s">
        <v>69</v>
      </c>
      <c r="W453" t="s">
        <v>69</v>
      </c>
      <c r="X453" t="s">
        <v>69</v>
      </c>
      <c r="Y453" t="s">
        <v>22458</v>
      </c>
      <c r="Z453" t="s">
        <v>69</v>
      </c>
      <c r="AA453" t="s">
        <v>6456</v>
      </c>
      <c r="AB453" t="s">
        <v>22459</v>
      </c>
      <c r="AC453" t="s">
        <v>69</v>
      </c>
      <c r="AD453" t="s">
        <v>22460</v>
      </c>
      <c r="AE453" t="s">
        <v>22461</v>
      </c>
      <c r="AF453" t="s">
        <v>69</v>
      </c>
      <c r="AG453" t="s">
        <v>69</v>
      </c>
      <c r="AH453" t="s">
        <v>69</v>
      </c>
      <c r="AI453" t="s">
        <v>69</v>
      </c>
      <c r="AJ453" t="s">
        <v>69</v>
      </c>
      <c r="AK453" t="s">
        <v>69</v>
      </c>
      <c r="AL453">
        <v>26</v>
      </c>
      <c r="AM453">
        <v>6</v>
      </c>
      <c r="AN453">
        <v>6</v>
      </c>
      <c r="AO453">
        <v>0</v>
      </c>
      <c r="AP453">
        <v>5</v>
      </c>
      <c r="AQ453" t="s">
        <v>9047</v>
      </c>
      <c r="AR453" t="s">
        <v>9048</v>
      </c>
      <c r="AS453" t="s">
        <v>9049</v>
      </c>
      <c r="AT453" t="s">
        <v>6457</v>
      </c>
      <c r="AU453" t="s">
        <v>6458</v>
      </c>
      <c r="AV453" t="s">
        <v>69</v>
      </c>
      <c r="AW453" t="s">
        <v>22462</v>
      </c>
      <c r="AX453" t="s">
        <v>22463</v>
      </c>
      <c r="AY453" t="s">
        <v>255</v>
      </c>
      <c r="AZ453">
        <v>2015</v>
      </c>
      <c r="BA453">
        <v>39</v>
      </c>
      <c r="BB453">
        <v>3</v>
      </c>
      <c r="BC453" t="s">
        <v>69</v>
      </c>
      <c r="BD453" t="s">
        <v>69</v>
      </c>
      <c r="BE453" t="s">
        <v>69</v>
      </c>
      <c r="BF453" t="s">
        <v>69</v>
      </c>
      <c r="BG453">
        <v>255</v>
      </c>
      <c r="BH453">
        <v>272</v>
      </c>
      <c r="BI453" t="s">
        <v>69</v>
      </c>
      <c r="BJ453" t="s">
        <v>6459</v>
      </c>
      <c r="BK453" t="str">
        <f>HYPERLINK("http://dx.doi.org/10.1007/s10624-015-9386-1","http://dx.doi.org/10.1007/s10624-015-9386-1")</f>
        <v>http://dx.doi.org/10.1007/s10624-015-9386-1</v>
      </c>
      <c r="BL453" t="s">
        <v>69</v>
      </c>
      <c r="BM453" t="s">
        <v>69</v>
      </c>
      <c r="BN453">
        <v>18</v>
      </c>
      <c r="BO453" t="s">
        <v>8463</v>
      </c>
      <c r="BP453" t="s">
        <v>8573</v>
      </c>
      <c r="BQ453" t="s">
        <v>8463</v>
      </c>
      <c r="BR453" t="s">
        <v>22464</v>
      </c>
      <c r="BS453" t="s">
        <v>6460</v>
      </c>
      <c r="BT453" t="s">
        <v>69</v>
      </c>
      <c r="BU453" t="s">
        <v>69</v>
      </c>
      <c r="BV453" t="s">
        <v>69</v>
      </c>
      <c r="BW453" t="s">
        <v>69</v>
      </c>
      <c r="BX453" t="s">
        <v>8526</v>
      </c>
      <c r="BY453" t="str">
        <f>HYPERLINK("https%3A%2F%2Fwww.webofscience.com%2Fwos%2Fwoscc%2Ffull-record%2FWOS:000371864700003","View Full Record in Web of Science")</f>
        <v>View Full Record in Web of Science</v>
      </c>
    </row>
    <row r="454" spans="1:77" ht="12.5" x14ac:dyDescent="0.25">
      <c r="A454" t="s">
        <v>8495</v>
      </c>
      <c r="B454" s="7" t="s">
        <v>32933</v>
      </c>
      <c r="C454" s="7"/>
      <c r="D454" s="7"/>
      <c r="E454" s="7"/>
      <c r="F454" t="s">
        <v>67</v>
      </c>
      <c r="G454" t="s">
        <v>4913</v>
      </c>
      <c r="H454" t="s">
        <v>69</v>
      </c>
      <c r="I454" t="s">
        <v>69</v>
      </c>
      <c r="J454" t="s">
        <v>69</v>
      </c>
      <c r="K454" t="s">
        <v>4914</v>
      </c>
      <c r="L454" t="s">
        <v>69</v>
      </c>
      <c r="M454" t="s">
        <v>69</v>
      </c>
      <c r="N454" t="s">
        <v>4915</v>
      </c>
      <c r="O454" t="s">
        <v>4916</v>
      </c>
      <c r="P454" t="s">
        <v>69</v>
      </c>
      <c r="Q454" t="s">
        <v>69</v>
      </c>
      <c r="R454" t="s">
        <v>8505</v>
      </c>
      <c r="S454" t="s">
        <v>8506</v>
      </c>
      <c r="T454" t="s">
        <v>69</v>
      </c>
      <c r="U454" t="s">
        <v>69</v>
      </c>
      <c r="V454" t="s">
        <v>69</v>
      </c>
      <c r="W454" t="s">
        <v>69</v>
      </c>
      <c r="X454" t="s">
        <v>69</v>
      </c>
      <c r="Y454" t="s">
        <v>19718</v>
      </c>
      <c r="Z454" t="s">
        <v>69</v>
      </c>
      <c r="AA454" t="s">
        <v>4917</v>
      </c>
      <c r="AB454" t="s">
        <v>19719</v>
      </c>
      <c r="AC454" t="s">
        <v>69</v>
      </c>
      <c r="AD454" t="s">
        <v>19720</v>
      </c>
      <c r="AE454" t="s">
        <v>19721</v>
      </c>
      <c r="AF454" t="s">
        <v>4918</v>
      </c>
      <c r="AG454" t="s">
        <v>19722</v>
      </c>
      <c r="AH454" t="s">
        <v>19723</v>
      </c>
      <c r="AI454" t="s">
        <v>19724</v>
      </c>
      <c r="AJ454" t="s">
        <v>19725</v>
      </c>
      <c r="AK454" t="s">
        <v>69</v>
      </c>
      <c r="AL454">
        <v>12</v>
      </c>
      <c r="AM454">
        <v>1</v>
      </c>
      <c r="AN454">
        <v>1</v>
      </c>
      <c r="AO454">
        <v>0</v>
      </c>
      <c r="AP454">
        <v>4</v>
      </c>
      <c r="AQ454" t="s">
        <v>19726</v>
      </c>
      <c r="AR454" t="s">
        <v>19727</v>
      </c>
      <c r="AS454" t="s">
        <v>19728</v>
      </c>
      <c r="AT454" t="s">
        <v>4919</v>
      </c>
      <c r="AU454" t="s">
        <v>4920</v>
      </c>
      <c r="AV454" t="s">
        <v>69</v>
      </c>
      <c r="AW454" t="s">
        <v>19729</v>
      </c>
      <c r="AX454" t="s">
        <v>19730</v>
      </c>
      <c r="AY454" t="s">
        <v>75</v>
      </c>
      <c r="AZ454">
        <v>2017</v>
      </c>
      <c r="BA454">
        <v>8</v>
      </c>
      <c r="BB454">
        <v>6</v>
      </c>
      <c r="BC454" t="s">
        <v>69</v>
      </c>
      <c r="BD454" t="s">
        <v>69</v>
      </c>
      <c r="BE454" t="s">
        <v>69</v>
      </c>
      <c r="BF454" t="s">
        <v>69</v>
      </c>
      <c r="BG454">
        <v>1134</v>
      </c>
      <c r="BH454">
        <v>1140</v>
      </c>
      <c r="BI454" t="s">
        <v>69</v>
      </c>
      <c r="BJ454" t="s">
        <v>4921</v>
      </c>
      <c r="BK454" t="str">
        <f>HYPERLINK("http://dx.doi.org/10.14716/ijtech.v8i6.719","http://dx.doi.org/10.14716/ijtech.v8i6.719")</f>
        <v>http://dx.doi.org/10.14716/ijtech.v8i6.719</v>
      </c>
      <c r="BL454" t="s">
        <v>69</v>
      </c>
      <c r="BM454" t="s">
        <v>69</v>
      </c>
      <c r="BN454">
        <v>7</v>
      </c>
      <c r="BO454" t="s">
        <v>9891</v>
      </c>
      <c r="BP454" t="s">
        <v>8573</v>
      </c>
      <c r="BQ454" t="s">
        <v>8445</v>
      </c>
      <c r="BR454" t="s">
        <v>19731</v>
      </c>
      <c r="BS454" t="s">
        <v>4922</v>
      </c>
      <c r="BT454" t="s">
        <v>69</v>
      </c>
      <c r="BU454" t="s">
        <v>8931</v>
      </c>
      <c r="BV454" t="s">
        <v>69</v>
      </c>
      <c r="BW454" t="s">
        <v>69</v>
      </c>
      <c r="BX454" t="s">
        <v>8526</v>
      </c>
      <c r="BY454" t="str">
        <f>HYPERLINK("https%3A%2F%2Fwww.webofscience.com%2Fwos%2Fwoscc%2Ffull-record%2FWOS:000418737000018","View Full Record in Web of Science")</f>
        <v>View Full Record in Web of Science</v>
      </c>
    </row>
    <row r="455" spans="1:77" ht="12.5" x14ac:dyDescent="0.25">
      <c r="A455" t="s">
        <v>8495</v>
      </c>
      <c r="B455" s="22" t="s">
        <v>32931</v>
      </c>
      <c r="C455" s="7"/>
      <c r="D455" s="7"/>
      <c r="E455" s="7"/>
      <c r="F455" t="s">
        <v>67</v>
      </c>
      <c r="G455" t="s">
        <v>31744</v>
      </c>
      <c r="H455" t="s">
        <v>69</v>
      </c>
      <c r="I455" t="s">
        <v>69</v>
      </c>
      <c r="J455" t="s">
        <v>69</v>
      </c>
      <c r="K455" t="s">
        <v>31744</v>
      </c>
      <c r="L455" t="s">
        <v>69</v>
      </c>
      <c r="M455" t="s">
        <v>69</v>
      </c>
      <c r="N455" t="s">
        <v>31745</v>
      </c>
      <c r="O455" t="s">
        <v>28661</v>
      </c>
      <c r="P455" t="s">
        <v>69</v>
      </c>
      <c r="Q455" t="s">
        <v>69</v>
      </c>
      <c r="R455" t="s">
        <v>8505</v>
      </c>
      <c r="S455" t="s">
        <v>8506</v>
      </c>
      <c r="T455" t="s">
        <v>69</v>
      </c>
      <c r="U455" t="s">
        <v>69</v>
      </c>
      <c r="V455" t="s">
        <v>69</v>
      </c>
      <c r="W455" t="s">
        <v>69</v>
      </c>
      <c r="X455" t="s">
        <v>69</v>
      </c>
      <c r="Y455" t="s">
        <v>31746</v>
      </c>
      <c r="Z455" t="s">
        <v>31747</v>
      </c>
      <c r="AA455" t="s">
        <v>31748</v>
      </c>
      <c r="AB455" t="s">
        <v>31749</v>
      </c>
      <c r="AC455" t="s">
        <v>69</v>
      </c>
      <c r="AD455" t="s">
        <v>31750</v>
      </c>
      <c r="AE455" t="s">
        <v>69</v>
      </c>
      <c r="AF455" t="s">
        <v>69</v>
      </c>
      <c r="AG455" t="s">
        <v>69</v>
      </c>
      <c r="AH455" t="s">
        <v>69</v>
      </c>
      <c r="AI455" t="s">
        <v>69</v>
      </c>
      <c r="AJ455" t="s">
        <v>69</v>
      </c>
      <c r="AK455" t="s">
        <v>69</v>
      </c>
      <c r="AL455">
        <v>8</v>
      </c>
      <c r="AM455">
        <v>23</v>
      </c>
      <c r="AN455">
        <v>24</v>
      </c>
      <c r="AO455">
        <v>0</v>
      </c>
      <c r="AP455">
        <v>0</v>
      </c>
      <c r="AQ455" t="s">
        <v>28668</v>
      </c>
      <c r="AR455" t="s">
        <v>8763</v>
      </c>
      <c r="AS455" t="s">
        <v>28669</v>
      </c>
      <c r="AT455" t="s">
        <v>28670</v>
      </c>
      <c r="AU455" t="s">
        <v>69</v>
      </c>
      <c r="AV455" t="s">
        <v>69</v>
      </c>
      <c r="AW455" t="s">
        <v>28672</v>
      </c>
      <c r="AX455" t="s">
        <v>28673</v>
      </c>
      <c r="AY455" t="s">
        <v>255</v>
      </c>
      <c r="AZ455">
        <v>2000</v>
      </c>
      <c r="BA455">
        <v>82</v>
      </c>
      <c r="BB455">
        <v>5</v>
      </c>
      <c r="BC455" t="s">
        <v>69</v>
      </c>
      <c r="BD455" t="s">
        <v>69</v>
      </c>
      <c r="BE455" t="s">
        <v>69</v>
      </c>
      <c r="BF455" t="s">
        <v>69</v>
      </c>
      <c r="BG455">
        <v>322</v>
      </c>
      <c r="BH455">
        <v>326</v>
      </c>
      <c r="BI455" t="s">
        <v>69</v>
      </c>
      <c r="BJ455" t="s">
        <v>69</v>
      </c>
      <c r="BK455" t="s">
        <v>69</v>
      </c>
      <c r="BL455" t="s">
        <v>69</v>
      </c>
      <c r="BM455" t="s">
        <v>69</v>
      </c>
      <c r="BN455">
        <v>5</v>
      </c>
      <c r="BO455" t="s">
        <v>11956</v>
      </c>
      <c r="BP455" t="s">
        <v>8548</v>
      </c>
      <c r="BQ455" t="s">
        <v>11956</v>
      </c>
      <c r="BR455" t="s">
        <v>31751</v>
      </c>
      <c r="BS455" t="s">
        <v>31752</v>
      </c>
      <c r="BT455">
        <v>11041030</v>
      </c>
      <c r="BU455" t="s">
        <v>69</v>
      </c>
      <c r="BV455" t="s">
        <v>69</v>
      </c>
      <c r="BW455" t="s">
        <v>69</v>
      </c>
      <c r="BX455" t="s">
        <v>8526</v>
      </c>
      <c r="BY455" t="str">
        <f>HYPERLINK("https%3A%2F%2Fwww.webofscience.com%2Fwos%2Fwoscc%2Ffull-record%2FWOS:000089787800006","View Full Record in Web of Science")</f>
        <v>View Full Record in Web of Science</v>
      </c>
    </row>
    <row r="456" spans="1:77" ht="12.5" x14ac:dyDescent="0.25">
      <c r="A456" t="s">
        <v>8495</v>
      </c>
      <c r="B456" s="7" t="s">
        <v>32933</v>
      </c>
      <c r="C456" s="7"/>
      <c r="D456" s="7"/>
      <c r="E456" s="7"/>
      <c r="F456" t="s">
        <v>67</v>
      </c>
      <c r="G456" t="s">
        <v>5812</v>
      </c>
      <c r="H456" t="s">
        <v>69</v>
      </c>
      <c r="I456" t="s">
        <v>69</v>
      </c>
      <c r="J456" t="s">
        <v>69</v>
      </c>
      <c r="K456" t="s">
        <v>5812</v>
      </c>
      <c r="L456" t="s">
        <v>69</v>
      </c>
      <c r="M456" t="s">
        <v>69</v>
      </c>
      <c r="N456" t="s">
        <v>5813</v>
      </c>
      <c r="O456" t="s">
        <v>5814</v>
      </c>
      <c r="P456" t="s">
        <v>69</v>
      </c>
      <c r="Q456" t="s">
        <v>69</v>
      </c>
      <c r="R456" t="s">
        <v>8505</v>
      </c>
      <c r="S456" t="s">
        <v>8506</v>
      </c>
      <c r="T456" t="s">
        <v>69</v>
      </c>
      <c r="U456" t="s">
        <v>69</v>
      </c>
      <c r="V456" t="s">
        <v>69</v>
      </c>
      <c r="W456" t="s">
        <v>69</v>
      </c>
      <c r="X456" t="s">
        <v>69</v>
      </c>
      <c r="Y456" t="s">
        <v>32004</v>
      </c>
      <c r="Z456" t="s">
        <v>69</v>
      </c>
      <c r="AA456" t="s">
        <v>5815</v>
      </c>
      <c r="AB456" t="s">
        <v>32005</v>
      </c>
      <c r="AC456" t="s">
        <v>69</v>
      </c>
      <c r="AD456" t="s">
        <v>32006</v>
      </c>
      <c r="AE456" t="s">
        <v>69</v>
      </c>
      <c r="AF456" t="s">
        <v>69</v>
      </c>
      <c r="AG456" t="s">
        <v>69</v>
      </c>
      <c r="AH456" t="s">
        <v>69</v>
      </c>
      <c r="AI456" t="s">
        <v>69</v>
      </c>
      <c r="AJ456" t="s">
        <v>69</v>
      </c>
      <c r="AK456" t="s">
        <v>69</v>
      </c>
      <c r="AL456">
        <v>7</v>
      </c>
      <c r="AM456">
        <v>16</v>
      </c>
      <c r="AN456">
        <v>16</v>
      </c>
      <c r="AO456">
        <v>0</v>
      </c>
      <c r="AP456">
        <v>3</v>
      </c>
      <c r="AQ456" t="s">
        <v>21167</v>
      </c>
      <c r="AR456" t="s">
        <v>9979</v>
      </c>
      <c r="AS456" t="s">
        <v>32007</v>
      </c>
      <c r="AT456" t="s">
        <v>5816</v>
      </c>
      <c r="AU456" t="s">
        <v>69</v>
      </c>
      <c r="AV456" t="s">
        <v>69</v>
      </c>
      <c r="AW456" t="s">
        <v>21171</v>
      </c>
      <c r="AX456" t="s">
        <v>21172</v>
      </c>
      <c r="AY456" t="s">
        <v>191</v>
      </c>
      <c r="AZ456">
        <v>1999</v>
      </c>
      <c r="BA456">
        <v>8</v>
      </c>
      <c r="BB456">
        <v>1</v>
      </c>
      <c r="BC456" t="s">
        <v>69</v>
      </c>
      <c r="BD456" t="s">
        <v>69</v>
      </c>
      <c r="BE456" t="s">
        <v>69</v>
      </c>
      <c r="BF456" t="s">
        <v>69</v>
      </c>
      <c r="BG456">
        <v>75</v>
      </c>
      <c r="BH456">
        <v>88</v>
      </c>
      <c r="BI456" t="s">
        <v>69</v>
      </c>
      <c r="BJ456" t="s">
        <v>5817</v>
      </c>
      <c r="BK456" t="str">
        <f>HYPERLINK("http://dx.doi.org/10.3197/096327199129341725","http://dx.doi.org/10.3197/096327199129341725")</f>
        <v>http://dx.doi.org/10.3197/096327199129341725</v>
      </c>
      <c r="BL456" t="s">
        <v>69</v>
      </c>
      <c r="BM456" t="s">
        <v>69</v>
      </c>
      <c r="BN456">
        <v>14</v>
      </c>
      <c r="BO456" t="s">
        <v>21174</v>
      </c>
      <c r="BP456" t="s">
        <v>8661</v>
      </c>
      <c r="BQ456" t="s">
        <v>21175</v>
      </c>
      <c r="BR456" t="s">
        <v>32008</v>
      </c>
      <c r="BS456" t="s">
        <v>5818</v>
      </c>
      <c r="BT456" t="s">
        <v>69</v>
      </c>
      <c r="BU456" t="s">
        <v>69</v>
      </c>
      <c r="BV456" t="s">
        <v>69</v>
      </c>
      <c r="BW456" t="s">
        <v>69</v>
      </c>
      <c r="BX456" t="s">
        <v>8526</v>
      </c>
      <c r="BY456" t="str">
        <f>HYPERLINK("https%3A%2F%2Fwww.webofscience.com%2Fwos%2Fwoscc%2Ffull-record%2FWOS:000078993500005","View Full Record in Web of Science")</f>
        <v>View Full Record in Web of Science</v>
      </c>
    </row>
    <row r="457" spans="1:77" ht="12.5" x14ac:dyDescent="0.25">
      <c r="A457" t="s">
        <v>8495</v>
      </c>
      <c r="B457" s="7" t="s">
        <v>32933</v>
      </c>
      <c r="C457" s="7"/>
      <c r="D457" s="7"/>
      <c r="E457" s="7"/>
      <c r="F457" t="s">
        <v>67</v>
      </c>
      <c r="G457" t="s">
        <v>7319</v>
      </c>
      <c r="H457" t="s">
        <v>69</v>
      </c>
      <c r="I457" t="s">
        <v>69</v>
      </c>
      <c r="J457" t="s">
        <v>69</v>
      </c>
      <c r="K457" t="s">
        <v>7319</v>
      </c>
      <c r="L457" t="s">
        <v>69</v>
      </c>
      <c r="M457" t="s">
        <v>69</v>
      </c>
      <c r="N457" t="s">
        <v>7320</v>
      </c>
      <c r="O457" t="s">
        <v>7321</v>
      </c>
      <c r="P457" t="s">
        <v>69</v>
      </c>
      <c r="Q457" t="s">
        <v>69</v>
      </c>
      <c r="R457" t="s">
        <v>8505</v>
      </c>
      <c r="S457" t="s">
        <v>8506</v>
      </c>
      <c r="T457" t="s">
        <v>69</v>
      </c>
      <c r="U457" t="s">
        <v>69</v>
      </c>
      <c r="V457" t="s">
        <v>69</v>
      </c>
      <c r="W457" t="s">
        <v>69</v>
      </c>
      <c r="X457" t="s">
        <v>69</v>
      </c>
      <c r="Y457" t="s">
        <v>69</v>
      </c>
      <c r="Z457" t="s">
        <v>69</v>
      </c>
      <c r="AA457" t="s">
        <v>7322</v>
      </c>
      <c r="AB457" t="s">
        <v>69</v>
      </c>
      <c r="AC457" t="s">
        <v>69</v>
      </c>
      <c r="AD457" t="s">
        <v>69</v>
      </c>
      <c r="AE457" t="s">
        <v>69</v>
      </c>
      <c r="AF457" t="s">
        <v>69</v>
      </c>
      <c r="AG457" t="s">
        <v>69</v>
      </c>
      <c r="AH457" t="s">
        <v>69</v>
      </c>
      <c r="AI457" t="s">
        <v>69</v>
      </c>
      <c r="AJ457" t="s">
        <v>69</v>
      </c>
      <c r="AK457" t="s">
        <v>69</v>
      </c>
      <c r="AL457">
        <v>2</v>
      </c>
      <c r="AM457">
        <v>0</v>
      </c>
      <c r="AN457">
        <v>0</v>
      </c>
      <c r="AO457">
        <v>0</v>
      </c>
      <c r="AP457">
        <v>10</v>
      </c>
      <c r="AQ457" t="s">
        <v>32882</v>
      </c>
      <c r="AR457" t="s">
        <v>8693</v>
      </c>
      <c r="AS457" t="s">
        <v>32883</v>
      </c>
      <c r="AT457" t="s">
        <v>7323</v>
      </c>
      <c r="AU457" t="s">
        <v>69</v>
      </c>
      <c r="AV457" t="s">
        <v>69</v>
      </c>
      <c r="AW457" t="s">
        <v>32884</v>
      </c>
      <c r="AX457" t="s">
        <v>69</v>
      </c>
      <c r="AY457" t="s">
        <v>69</v>
      </c>
      <c r="AZ457">
        <v>1992</v>
      </c>
      <c r="BA457">
        <v>15</v>
      </c>
      <c r="BB457" t="s">
        <v>1812</v>
      </c>
      <c r="BC457" t="s">
        <v>69</v>
      </c>
      <c r="BD457" t="s">
        <v>69</v>
      </c>
      <c r="BE457" t="s">
        <v>69</v>
      </c>
      <c r="BF457" t="s">
        <v>69</v>
      </c>
      <c r="BG457">
        <v>1</v>
      </c>
      <c r="BH457">
        <v>1049</v>
      </c>
      <c r="BI457" t="s">
        <v>69</v>
      </c>
      <c r="BJ457" t="s">
        <v>7324</v>
      </c>
      <c r="BK457" t="str">
        <f>HYPERLINK("http://dx.doi.org/10.1080/01900699208524744","http://dx.doi.org/10.1080/01900699208524744")</f>
        <v>http://dx.doi.org/10.1080/01900699208524744</v>
      </c>
      <c r="BL457" t="s">
        <v>69</v>
      </c>
      <c r="BM457" t="s">
        <v>69</v>
      </c>
      <c r="BN457">
        <v>1049</v>
      </c>
      <c r="BO457" t="s">
        <v>12182</v>
      </c>
      <c r="BP457" t="s">
        <v>8661</v>
      </c>
      <c r="BQ457" t="s">
        <v>12182</v>
      </c>
      <c r="BR457" t="s">
        <v>32885</v>
      </c>
      <c r="BS457" t="s">
        <v>7325</v>
      </c>
      <c r="BT457" t="s">
        <v>69</v>
      </c>
      <c r="BU457" t="s">
        <v>69</v>
      </c>
      <c r="BV457" t="s">
        <v>69</v>
      </c>
      <c r="BW457" t="s">
        <v>69</v>
      </c>
      <c r="BX457" t="s">
        <v>8526</v>
      </c>
      <c r="BY457" t="str">
        <f>HYPERLINK("https%3A%2F%2Fwww.webofscience.com%2Fwos%2Fwoscc%2Ffull-record%2FWOS:A1992HK75700001","View Full Record in Web of Science")</f>
        <v>View Full Record in Web of Science</v>
      </c>
    </row>
    <row r="458" spans="1:77" ht="12.5" x14ac:dyDescent="0.25">
      <c r="A458" t="s">
        <v>8495</v>
      </c>
      <c r="B458" s="7" t="s">
        <v>32933</v>
      </c>
      <c r="C458" s="7"/>
      <c r="D458" s="7"/>
      <c r="E458" s="7"/>
      <c r="F458" t="s">
        <v>67</v>
      </c>
      <c r="G458" t="s">
        <v>6128</v>
      </c>
      <c r="H458" t="s">
        <v>69</v>
      </c>
      <c r="I458" t="s">
        <v>69</v>
      </c>
      <c r="J458" t="s">
        <v>69</v>
      </c>
      <c r="K458" t="s">
        <v>6128</v>
      </c>
      <c r="L458" t="s">
        <v>69</v>
      </c>
      <c r="M458" t="s">
        <v>69</v>
      </c>
      <c r="N458" t="s">
        <v>6129</v>
      </c>
      <c r="O458" t="s">
        <v>6130</v>
      </c>
      <c r="P458" t="s">
        <v>69</v>
      </c>
      <c r="Q458" t="s">
        <v>69</v>
      </c>
      <c r="R458" t="s">
        <v>8505</v>
      </c>
      <c r="S458" t="s">
        <v>8506</v>
      </c>
      <c r="T458" t="s">
        <v>69</v>
      </c>
      <c r="U458" t="s">
        <v>69</v>
      </c>
      <c r="V458" t="s">
        <v>69</v>
      </c>
      <c r="W458" t="s">
        <v>69</v>
      </c>
      <c r="X458" t="s">
        <v>69</v>
      </c>
      <c r="Y458" t="s">
        <v>69</v>
      </c>
      <c r="Z458" t="s">
        <v>69</v>
      </c>
      <c r="AA458" t="s">
        <v>6131</v>
      </c>
      <c r="AB458" t="s">
        <v>31779</v>
      </c>
      <c r="AC458" t="s">
        <v>69</v>
      </c>
      <c r="AD458" t="s">
        <v>31780</v>
      </c>
      <c r="AE458" t="s">
        <v>69</v>
      </c>
      <c r="AF458" t="s">
        <v>69</v>
      </c>
      <c r="AG458" t="s">
        <v>69</v>
      </c>
      <c r="AH458" t="s">
        <v>69</v>
      </c>
      <c r="AI458" t="s">
        <v>69</v>
      </c>
      <c r="AJ458" t="s">
        <v>69</v>
      </c>
      <c r="AK458" t="s">
        <v>69</v>
      </c>
      <c r="AL458">
        <v>48</v>
      </c>
      <c r="AM458">
        <v>7</v>
      </c>
      <c r="AN458">
        <v>7</v>
      </c>
      <c r="AO458">
        <v>0</v>
      </c>
      <c r="AP458">
        <v>5</v>
      </c>
      <c r="AQ458" t="s">
        <v>8539</v>
      </c>
      <c r="AR458" t="s">
        <v>8693</v>
      </c>
      <c r="AS458" t="s">
        <v>31781</v>
      </c>
      <c r="AT458" t="s">
        <v>6132</v>
      </c>
      <c r="AU458" t="s">
        <v>69</v>
      </c>
      <c r="AV458" t="s">
        <v>69</v>
      </c>
      <c r="AW458" t="s">
        <v>18983</v>
      </c>
      <c r="AX458" t="s">
        <v>18984</v>
      </c>
      <c r="AY458" t="s">
        <v>84</v>
      </c>
      <c r="AZ458">
        <v>2000</v>
      </c>
      <c r="BA458">
        <v>126</v>
      </c>
      <c r="BB458">
        <v>3</v>
      </c>
      <c r="BC458" t="s">
        <v>69</v>
      </c>
      <c r="BD458" t="s">
        <v>69</v>
      </c>
      <c r="BE458" t="s">
        <v>69</v>
      </c>
      <c r="BF458" t="s">
        <v>69</v>
      </c>
      <c r="BG458">
        <v>116</v>
      </c>
      <c r="BH458">
        <v>124</v>
      </c>
      <c r="BI458" t="s">
        <v>69</v>
      </c>
      <c r="BJ458" t="s">
        <v>6133</v>
      </c>
      <c r="BK458" t="str">
        <f>HYPERLINK("http://dx.doi.org/10.1061/(ASCE)1052-3928(2000)126:3(116)","http://dx.doi.org/10.1061/(ASCE)1052-3928(2000)126:3(116)")</f>
        <v>http://dx.doi.org/10.1061/(ASCE)1052-3928(2000)126:3(116)</v>
      </c>
      <c r="BL458" t="s">
        <v>69</v>
      </c>
      <c r="BM458" t="s">
        <v>69</v>
      </c>
      <c r="BN458">
        <v>9</v>
      </c>
      <c r="BO458" t="s">
        <v>18986</v>
      </c>
      <c r="BP458" t="s">
        <v>8548</v>
      </c>
      <c r="BQ458" t="s">
        <v>18987</v>
      </c>
      <c r="BR458" t="s">
        <v>31782</v>
      </c>
      <c r="BS458" t="s">
        <v>6134</v>
      </c>
      <c r="BT458" t="s">
        <v>69</v>
      </c>
      <c r="BU458" t="s">
        <v>69</v>
      </c>
      <c r="BV458" t="s">
        <v>69</v>
      </c>
      <c r="BW458" t="s">
        <v>69</v>
      </c>
      <c r="BX458" t="s">
        <v>8526</v>
      </c>
      <c r="BY458" t="str">
        <f>HYPERLINK("https%3A%2F%2Fwww.webofscience.com%2Fwos%2Fwoscc%2Ffull-record%2FWOS:000087848500009","View Full Record in Web of Science")</f>
        <v>View Full Record in Web of Science</v>
      </c>
    </row>
    <row r="459" spans="1:77" ht="12.5" x14ac:dyDescent="0.25">
      <c r="A459" t="s">
        <v>8495</v>
      </c>
      <c r="B459" s="22" t="s">
        <v>32931</v>
      </c>
      <c r="C459" s="7"/>
      <c r="D459" s="7"/>
      <c r="E459" s="7"/>
      <c r="F459" t="s">
        <v>67</v>
      </c>
      <c r="G459" t="s">
        <v>26608</v>
      </c>
      <c r="H459" t="s">
        <v>69</v>
      </c>
      <c r="I459" t="s">
        <v>69</v>
      </c>
      <c r="J459" t="s">
        <v>69</v>
      </c>
      <c r="K459" t="s">
        <v>26609</v>
      </c>
      <c r="L459" t="s">
        <v>69</v>
      </c>
      <c r="M459" t="s">
        <v>69</v>
      </c>
      <c r="N459" t="s">
        <v>26610</v>
      </c>
      <c r="O459" t="s">
        <v>26593</v>
      </c>
      <c r="P459" t="s">
        <v>69</v>
      </c>
      <c r="Q459" t="s">
        <v>69</v>
      </c>
      <c r="R459" t="s">
        <v>8505</v>
      </c>
      <c r="S459" t="s">
        <v>8506</v>
      </c>
      <c r="T459" t="s">
        <v>69</v>
      </c>
      <c r="U459" t="s">
        <v>69</v>
      </c>
      <c r="V459" t="s">
        <v>69</v>
      </c>
      <c r="W459" t="s">
        <v>69</v>
      </c>
      <c r="X459" t="s">
        <v>69</v>
      </c>
      <c r="Y459" t="s">
        <v>69</v>
      </c>
      <c r="Z459" t="s">
        <v>26611</v>
      </c>
      <c r="AA459" t="s">
        <v>26612</v>
      </c>
      <c r="AB459" t="s">
        <v>26613</v>
      </c>
      <c r="AC459" t="s">
        <v>69</v>
      </c>
      <c r="AD459" t="s">
        <v>26614</v>
      </c>
      <c r="AE459" t="s">
        <v>26615</v>
      </c>
      <c r="AF459" t="s">
        <v>69</v>
      </c>
      <c r="AG459" t="s">
        <v>69</v>
      </c>
      <c r="AH459" t="s">
        <v>69</v>
      </c>
      <c r="AI459" t="s">
        <v>69</v>
      </c>
      <c r="AJ459" t="s">
        <v>69</v>
      </c>
      <c r="AK459" t="s">
        <v>69</v>
      </c>
      <c r="AL459">
        <v>35</v>
      </c>
      <c r="AM459">
        <v>1</v>
      </c>
      <c r="AN459">
        <v>1</v>
      </c>
      <c r="AO459">
        <v>1</v>
      </c>
      <c r="AP459">
        <v>1</v>
      </c>
      <c r="AQ459" t="s">
        <v>18730</v>
      </c>
      <c r="AR459" t="s">
        <v>18731</v>
      </c>
      <c r="AS459" t="s">
        <v>18732</v>
      </c>
      <c r="AT459" t="s">
        <v>26601</v>
      </c>
      <c r="AU459" t="s">
        <v>26602</v>
      </c>
      <c r="AV459" t="s">
        <v>69</v>
      </c>
      <c r="AW459" t="s">
        <v>26603</v>
      </c>
      <c r="AX459" t="s">
        <v>26604</v>
      </c>
      <c r="AY459" t="s">
        <v>69</v>
      </c>
      <c r="AZ459">
        <v>2012</v>
      </c>
      <c r="BA459">
        <v>38</v>
      </c>
      <c r="BB459">
        <v>2</v>
      </c>
      <c r="BC459" t="s">
        <v>69</v>
      </c>
      <c r="BD459" t="s">
        <v>69</v>
      </c>
      <c r="BE459" t="s">
        <v>69</v>
      </c>
      <c r="BF459" t="s">
        <v>69</v>
      </c>
      <c r="BG459" t="s">
        <v>69</v>
      </c>
      <c r="BH459" t="s">
        <v>69</v>
      </c>
      <c r="BI459">
        <v>1000</v>
      </c>
      <c r="BJ459" t="s">
        <v>26616</v>
      </c>
      <c r="BK459" t="str">
        <f>HYPERLINK("http://dx.doi.org/10.4102/sajip.v38i2.1000","http://dx.doi.org/10.4102/sajip.v38i2.1000")</f>
        <v>http://dx.doi.org/10.4102/sajip.v38i2.1000</v>
      </c>
      <c r="BL459" t="s">
        <v>69</v>
      </c>
      <c r="BM459" t="s">
        <v>69</v>
      </c>
      <c r="BN459">
        <v>9</v>
      </c>
      <c r="BO459" t="s">
        <v>15649</v>
      </c>
      <c r="BP459" t="s">
        <v>8573</v>
      </c>
      <c r="BQ459" t="s">
        <v>9001</v>
      </c>
      <c r="BR459" t="s">
        <v>26606</v>
      </c>
      <c r="BS459" t="s">
        <v>26617</v>
      </c>
      <c r="BT459" t="s">
        <v>69</v>
      </c>
      <c r="BU459" t="s">
        <v>11853</v>
      </c>
      <c r="BV459" t="s">
        <v>69</v>
      </c>
      <c r="BW459" t="s">
        <v>69</v>
      </c>
      <c r="BX459" t="s">
        <v>8526</v>
      </c>
      <c r="BY459" t="str">
        <f>HYPERLINK("https%3A%2F%2Fwww.webofscience.com%2Fwos%2Fwoscc%2Ffull-record%2FWOS:000217105100001","View Full Record in Web of Science")</f>
        <v>View Full Record in Web of Science</v>
      </c>
    </row>
    <row r="460" spans="1:77" ht="12.5" x14ac:dyDescent="0.25">
      <c r="A460" t="s">
        <v>8495</v>
      </c>
      <c r="B460" s="22" t="s">
        <v>32931</v>
      </c>
      <c r="C460" s="7"/>
      <c r="D460" s="7"/>
      <c r="E460" s="7"/>
      <c r="F460" t="s">
        <v>67</v>
      </c>
      <c r="G460" t="s">
        <v>17445</v>
      </c>
      <c r="H460" t="s">
        <v>69</v>
      </c>
      <c r="I460" t="s">
        <v>69</v>
      </c>
      <c r="J460" t="s">
        <v>69</v>
      </c>
      <c r="K460" t="s">
        <v>17446</v>
      </c>
      <c r="L460" t="s">
        <v>69</v>
      </c>
      <c r="M460" t="s">
        <v>69</v>
      </c>
      <c r="N460" t="s">
        <v>17447</v>
      </c>
      <c r="O460" t="s">
        <v>151</v>
      </c>
      <c r="P460" t="s">
        <v>69</v>
      </c>
      <c r="Q460" t="s">
        <v>69</v>
      </c>
      <c r="R460" t="s">
        <v>8505</v>
      </c>
      <c r="S460" t="s">
        <v>8442</v>
      </c>
      <c r="T460" t="s">
        <v>69</v>
      </c>
      <c r="U460" t="s">
        <v>69</v>
      </c>
      <c r="V460" t="s">
        <v>69</v>
      </c>
      <c r="W460" t="s">
        <v>69</v>
      </c>
      <c r="X460" t="s">
        <v>69</v>
      </c>
      <c r="Y460" t="s">
        <v>17448</v>
      </c>
      <c r="Z460" t="s">
        <v>17449</v>
      </c>
      <c r="AA460" t="s">
        <v>17450</v>
      </c>
      <c r="AB460" t="s">
        <v>17451</v>
      </c>
      <c r="AC460" t="s">
        <v>69</v>
      </c>
      <c r="AD460" t="s">
        <v>17452</v>
      </c>
      <c r="AE460" t="s">
        <v>17453</v>
      </c>
      <c r="AF460" t="s">
        <v>17454</v>
      </c>
      <c r="AG460" t="s">
        <v>17455</v>
      </c>
      <c r="AH460" t="s">
        <v>17456</v>
      </c>
      <c r="AI460" t="s">
        <v>17457</v>
      </c>
      <c r="AJ460" t="s">
        <v>17458</v>
      </c>
      <c r="AK460" t="s">
        <v>69</v>
      </c>
      <c r="AL460">
        <v>76</v>
      </c>
      <c r="AM460">
        <v>10</v>
      </c>
      <c r="AN460">
        <v>10</v>
      </c>
      <c r="AO460">
        <v>2</v>
      </c>
      <c r="AP460">
        <v>15</v>
      </c>
      <c r="AQ460" t="s">
        <v>9145</v>
      </c>
      <c r="AR460" t="s">
        <v>8637</v>
      </c>
      <c r="AS460" t="s">
        <v>9146</v>
      </c>
      <c r="AT460" t="s">
        <v>154</v>
      </c>
      <c r="AU460" t="s">
        <v>69</v>
      </c>
      <c r="AV460" t="s">
        <v>69</v>
      </c>
      <c r="AW460" t="s">
        <v>12762</v>
      </c>
      <c r="AX460" t="s">
        <v>12763</v>
      </c>
      <c r="AY460" t="s">
        <v>246</v>
      </c>
      <c r="AZ460">
        <v>2019</v>
      </c>
      <c r="BA460">
        <v>104</v>
      </c>
      <c r="BB460" t="s">
        <v>69</v>
      </c>
      <c r="BC460" t="s">
        <v>69</v>
      </c>
      <c r="BD460" t="s">
        <v>69</v>
      </c>
      <c r="BE460" t="s">
        <v>69</v>
      </c>
      <c r="BF460" t="s">
        <v>69</v>
      </c>
      <c r="BG460">
        <v>429</v>
      </c>
      <c r="BH460">
        <v>438</v>
      </c>
      <c r="BI460" t="s">
        <v>69</v>
      </c>
      <c r="BJ460" t="s">
        <v>17459</v>
      </c>
      <c r="BK460" t="str">
        <f>HYPERLINK("http://dx.doi.org/10.1016/j.rser.2019.01.041","http://dx.doi.org/10.1016/j.rser.2019.01.041")</f>
        <v>http://dx.doi.org/10.1016/j.rser.2019.01.041</v>
      </c>
      <c r="BL460" t="s">
        <v>69</v>
      </c>
      <c r="BM460" t="s">
        <v>69</v>
      </c>
      <c r="BN460">
        <v>10</v>
      </c>
      <c r="BO460" t="s">
        <v>9931</v>
      </c>
      <c r="BP460" t="s">
        <v>8523</v>
      </c>
      <c r="BQ460" t="s">
        <v>9932</v>
      </c>
      <c r="BR460" t="s">
        <v>17460</v>
      </c>
      <c r="BS460" t="s">
        <v>17461</v>
      </c>
      <c r="BT460" t="s">
        <v>69</v>
      </c>
      <c r="BU460" t="s">
        <v>69</v>
      </c>
      <c r="BV460" t="s">
        <v>69</v>
      </c>
      <c r="BW460" t="s">
        <v>69</v>
      </c>
      <c r="BX460" t="s">
        <v>8526</v>
      </c>
      <c r="BY460" t="str">
        <f>HYPERLINK("https%3A%2F%2Fwww.webofscience.com%2Fwos%2Fwoscc%2Ffull-record%2FWOS:000458294500032","View Full Record in Web of Science")</f>
        <v>View Full Record in Web of Science</v>
      </c>
    </row>
    <row r="461" spans="1:77" ht="12.5" x14ac:dyDescent="0.25">
      <c r="A461" t="s">
        <v>8495</v>
      </c>
      <c r="B461" s="7" t="s">
        <v>32933</v>
      </c>
      <c r="C461" s="7"/>
      <c r="D461" s="7"/>
      <c r="E461" s="7"/>
      <c r="F461" t="s">
        <v>67</v>
      </c>
      <c r="G461" t="s">
        <v>7616</v>
      </c>
      <c r="H461" t="s">
        <v>69</v>
      </c>
      <c r="I461" t="s">
        <v>69</v>
      </c>
      <c r="J461" t="s">
        <v>69</v>
      </c>
      <c r="K461" t="s">
        <v>7617</v>
      </c>
      <c r="L461" t="s">
        <v>69</v>
      </c>
      <c r="M461" t="s">
        <v>69</v>
      </c>
      <c r="N461" t="s">
        <v>7618</v>
      </c>
      <c r="O461" t="s">
        <v>100</v>
      </c>
      <c r="P461" t="s">
        <v>69</v>
      </c>
      <c r="Q461" t="s">
        <v>69</v>
      </c>
      <c r="R461" t="s">
        <v>8505</v>
      </c>
      <c r="S461" t="s">
        <v>8506</v>
      </c>
      <c r="T461" t="s">
        <v>69</v>
      </c>
      <c r="U461" t="s">
        <v>69</v>
      </c>
      <c r="V461" t="s">
        <v>69</v>
      </c>
      <c r="W461" t="s">
        <v>69</v>
      </c>
      <c r="X461" t="s">
        <v>69</v>
      </c>
      <c r="Y461" t="s">
        <v>15463</v>
      </c>
      <c r="Z461" t="s">
        <v>69</v>
      </c>
      <c r="AA461" t="s">
        <v>7619</v>
      </c>
      <c r="AB461" t="s">
        <v>15464</v>
      </c>
      <c r="AC461" t="s">
        <v>69</v>
      </c>
      <c r="AD461" t="s">
        <v>15465</v>
      </c>
      <c r="AE461" t="s">
        <v>15466</v>
      </c>
      <c r="AF461" t="s">
        <v>7620</v>
      </c>
      <c r="AG461" t="s">
        <v>15467</v>
      </c>
      <c r="AH461" t="s">
        <v>69</v>
      </c>
      <c r="AI461" t="s">
        <v>69</v>
      </c>
      <c r="AJ461" t="s">
        <v>69</v>
      </c>
      <c r="AK461" t="s">
        <v>69</v>
      </c>
      <c r="AL461">
        <v>10</v>
      </c>
      <c r="AM461">
        <v>4</v>
      </c>
      <c r="AN461">
        <v>4</v>
      </c>
      <c r="AO461">
        <v>2</v>
      </c>
      <c r="AP461">
        <v>16</v>
      </c>
      <c r="AQ461" t="s">
        <v>9091</v>
      </c>
      <c r="AR461" t="s">
        <v>8763</v>
      </c>
      <c r="AS461" t="s">
        <v>15468</v>
      </c>
      <c r="AT461" t="s">
        <v>102</v>
      </c>
      <c r="AU461" t="s">
        <v>103</v>
      </c>
      <c r="AV461" t="s">
        <v>69</v>
      </c>
      <c r="AW461" t="s">
        <v>15469</v>
      </c>
      <c r="AX461" t="s">
        <v>15470</v>
      </c>
      <c r="AY461" t="s">
        <v>3848</v>
      </c>
      <c r="AZ461">
        <v>2020</v>
      </c>
      <c r="BA461">
        <v>81</v>
      </c>
      <c r="BB461">
        <v>7</v>
      </c>
      <c r="BC461" t="s">
        <v>69</v>
      </c>
      <c r="BD461" t="s">
        <v>69</v>
      </c>
      <c r="BE461" t="s">
        <v>69</v>
      </c>
      <c r="BF461" t="s">
        <v>69</v>
      </c>
      <c r="BG461">
        <v>1398</v>
      </c>
      <c r="BH461">
        <v>1405</v>
      </c>
      <c r="BI461" t="s">
        <v>69</v>
      </c>
      <c r="BJ461" t="s">
        <v>7621</v>
      </c>
      <c r="BK461" t="str">
        <f>HYPERLINK("http://dx.doi.org/10.2166/wst.2020.212","http://dx.doi.org/10.2166/wst.2020.212")</f>
        <v>http://dx.doi.org/10.2166/wst.2020.212</v>
      </c>
      <c r="BL461" t="s">
        <v>69</v>
      </c>
      <c r="BM461" t="s">
        <v>69</v>
      </c>
      <c r="BN461">
        <v>8</v>
      </c>
      <c r="BO461" t="s">
        <v>10687</v>
      </c>
      <c r="BP461" t="s">
        <v>8548</v>
      </c>
      <c r="BQ461" t="s">
        <v>10688</v>
      </c>
      <c r="BR461" t="s">
        <v>15471</v>
      </c>
      <c r="BS461" t="s">
        <v>7622</v>
      </c>
      <c r="BT461">
        <v>32616692</v>
      </c>
      <c r="BU461" t="s">
        <v>9374</v>
      </c>
      <c r="BV461" t="s">
        <v>69</v>
      </c>
      <c r="BW461" t="s">
        <v>69</v>
      </c>
      <c r="BX461" t="s">
        <v>8526</v>
      </c>
      <c r="BY461" t="str">
        <f>HYPERLINK("https%3A%2F%2Fwww.webofscience.com%2Fwos%2Fwoscc%2Ffull-record%2FWOS:000550099400009","View Full Record in Web of Science")</f>
        <v>View Full Record in Web of Science</v>
      </c>
    </row>
    <row r="462" spans="1:77" ht="12.5" x14ac:dyDescent="0.25">
      <c r="A462" t="s">
        <v>8495</v>
      </c>
      <c r="B462" s="22" t="s">
        <v>32931</v>
      </c>
      <c r="C462" s="7"/>
      <c r="D462" s="7"/>
      <c r="E462" s="7"/>
      <c r="F462" t="s">
        <v>67</v>
      </c>
      <c r="G462" t="s">
        <v>25289</v>
      </c>
      <c r="H462" t="s">
        <v>69</v>
      </c>
      <c r="I462" t="s">
        <v>69</v>
      </c>
      <c r="J462" t="s">
        <v>69</v>
      </c>
      <c r="K462" t="s">
        <v>25290</v>
      </c>
      <c r="L462" t="s">
        <v>69</v>
      </c>
      <c r="M462" t="s">
        <v>69</v>
      </c>
      <c r="N462" t="s">
        <v>25291</v>
      </c>
      <c r="O462" t="s">
        <v>25292</v>
      </c>
      <c r="P462" t="s">
        <v>69</v>
      </c>
      <c r="Q462" t="s">
        <v>69</v>
      </c>
      <c r="R462" t="s">
        <v>8505</v>
      </c>
      <c r="S462" t="s">
        <v>8506</v>
      </c>
      <c r="T462" t="s">
        <v>69</v>
      </c>
      <c r="U462" t="s">
        <v>69</v>
      </c>
      <c r="V462" t="s">
        <v>69</v>
      </c>
      <c r="W462" t="s">
        <v>69</v>
      </c>
      <c r="X462" t="s">
        <v>69</v>
      </c>
      <c r="Y462" t="s">
        <v>25293</v>
      </c>
      <c r="Z462" t="s">
        <v>25294</v>
      </c>
      <c r="AA462" t="s">
        <v>25295</v>
      </c>
      <c r="AB462" t="s">
        <v>25296</v>
      </c>
      <c r="AC462" t="s">
        <v>69</v>
      </c>
      <c r="AD462" t="s">
        <v>25297</v>
      </c>
      <c r="AE462" t="s">
        <v>25298</v>
      </c>
      <c r="AF462" t="s">
        <v>69</v>
      </c>
      <c r="AG462" t="s">
        <v>25299</v>
      </c>
      <c r="AH462" t="s">
        <v>69</v>
      </c>
      <c r="AI462" t="s">
        <v>69</v>
      </c>
      <c r="AJ462" t="s">
        <v>69</v>
      </c>
      <c r="AK462" t="s">
        <v>69</v>
      </c>
      <c r="AL462">
        <v>72</v>
      </c>
      <c r="AM462">
        <v>3</v>
      </c>
      <c r="AN462">
        <v>3</v>
      </c>
      <c r="AO462">
        <v>0</v>
      </c>
      <c r="AP462">
        <v>33</v>
      </c>
      <c r="AQ462" t="s">
        <v>8586</v>
      </c>
      <c r="AR462" t="s">
        <v>8587</v>
      </c>
      <c r="AS462" t="s">
        <v>8588</v>
      </c>
      <c r="AT462" t="s">
        <v>25300</v>
      </c>
      <c r="AU462" t="s">
        <v>69</v>
      </c>
      <c r="AV462" t="s">
        <v>69</v>
      </c>
      <c r="AW462" t="s">
        <v>25301</v>
      </c>
      <c r="AX462" t="s">
        <v>25302</v>
      </c>
      <c r="AY462" t="s">
        <v>69</v>
      </c>
      <c r="AZ462">
        <v>2013</v>
      </c>
      <c r="BA462">
        <v>27</v>
      </c>
      <c r="BB462">
        <v>5</v>
      </c>
      <c r="BC462" t="s">
        <v>69</v>
      </c>
      <c r="BD462" t="s">
        <v>69</v>
      </c>
      <c r="BE462" t="s">
        <v>69</v>
      </c>
      <c r="BF462" t="s">
        <v>69</v>
      </c>
      <c r="BG462">
        <v>416</v>
      </c>
      <c r="BH462">
        <v>428</v>
      </c>
      <c r="BI462" t="s">
        <v>69</v>
      </c>
      <c r="BJ462" t="s">
        <v>25303</v>
      </c>
      <c r="BK462" t="str">
        <f>HYPERLINK("http://dx.doi.org/10.1108/JSM-01-2012-0001","http://dx.doi.org/10.1108/JSM-01-2012-0001")</f>
        <v>http://dx.doi.org/10.1108/JSM-01-2012-0001</v>
      </c>
      <c r="BL462" t="s">
        <v>69</v>
      </c>
      <c r="BM462" t="s">
        <v>69</v>
      </c>
      <c r="BN462">
        <v>13</v>
      </c>
      <c r="BO462" t="s">
        <v>8444</v>
      </c>
      <c r="BP462" t="s">
        <v>8661</v>
      </c>
      <c r="BQ462" t="s">
        <v>8594</v>
      </c>
      <c r="BR462" t="s">
        <v>25304</v>
      </c>
      <c r="BS462" t="s">
        <v>25305</v>
      </c>
      <c r="BT462" t="s">
        <v>69</v>
      </c>
      <c r="BU462" t="s">
        <v>69</v>
      </c>
      <c r="BV462" t="s">
        <v>69</v>
      </c>
      <c r="BW462" t="s">
        <v>69</v>
      </c>
      <c r="BX462" t="s">
        <v>8526</v>
      </c>
      <c r="BY462" t="str">
        <f>HYPERLINK("https%3A%2F%2Fwww.webofscience.com%2Fwos%2Fwoscc%2Ffull-record%2FWOS:000323870700006","View Full Record in Web of Science")</f>
        <v>View Full Record in Web of Science</v>
      </c>
    </row>
    <row r="463" spans="1:77" ht="12.5" x14ac:dyDescent="0.25">
      <c r="A463" t="s">
        <v>8495</v>
      </c>
      <c r="B463" s="7" t="s">
        <v>32933</v>
      </c>
      <c r="C463" s="7"/>
      <c r="D463" s="7"/>
      <c r="E463" s="7"/>
      <c r="F463" t="s">
        <v>67</v>
      </c>
      <c r="G463" t="s">
        <v>5581</v>
      </c>
      <c r="H463" t="s">
        <v>69</v>
      </c>
      <c r="I463" t="s">
        <v>69</v>
      </c>
      <c r="J463" t="s">
        <v>69</v>
      </c>
      <c r="K463" t="s">
        <v>5582</v>
      </c>
      <c r="L463" t="s">
        <v>69</v>
      </c>
      <c r="M463" t="s">
        <v>69</v>
      </c>
      <c r="N463" t="s">
        <v>5583</v>
      </c>
      <c r="O463" t="s">
        <v>5584</v>
      </c>
      <c r="P463" t="s">
        <v>69</v>
      </c>
      <c r="Q463" t="s">
        <v>69</v>
      </c>
      <c r="R463" t="s">
        <v>8505</v>
      </c>
      <c r="S463" t="s">
        <v>8506</v>
      </c>
      <c r="T463" t="s">
        <v>69</v>
      </c>
      <c r="U463" t="s">
        <v>69</v>
      </c>
      <c r="V463" t="s">
        <v>69</v>
      </c>
      <c r="W463" t="s">
        <v>69</v>
      </c>
      <c r="X463" t="s">
        <v>69</v>
      </c>
      <c r="Y463" t="s">
        <v>15879</v>
      </c>
      <c r="Z463" t="s">
        <v>15880</v>
      </c>
      <c r="AA463" t="s">
        <v>5585</v>
      </c>
      <c r="AB463" t="s">
        <v>15881</v>
      </c>
      <c r="AC463" t="s">
        <v>69</v>
      </c>
      <c r="AD463" t="s">
        <v>15882</v>
      </c>
      <c r="AE463" t="s">
        <v>15883</v>
      </c>
      <c r="AF463" t="s">
        <v>15884</v>
      </c>
      <c r="AG463" t="s">
        <v>5586</v>
      </c>
      <c r="AH463" t="s">
        <v>69</v>
      </c>
      <c r="AI463" t="s">
        <v>69</v>
      </c>
      <c r="AJ463" t="s">
        <v>69</v>
      </c>
      <c r="AK463" t="s">
        <v>69</v>
      </c>
      <c r="AL463">
        <v>36</v>
      </c>
      <c r="AM463">
        <v>0</v>
      </c>
      <c r="AN463">
        <v>0</v>
      </c>
      <c r="AO463">
        <v>0</v>
      </c>
      <c r="AP463">
        <v>8</v>
      </c>
      <c r="AQ463" t="s">
        <v>15885</v>
      </c>
      <c r="AR463" t="s">
        <v>15886</v>
      </c>
      <c r="AS463" t="s">
        <v>15887</v>
      </c>
      <c r="AT463" t="s">
        <v>5587</v>
      </c>
      <c r="AU463" t="s">
        <v>69</v>
      </c>
      <c r="AV463" t="s">
        <v>69</v>
      </c>
      <c r="AW463" t="s">
        <v>15888</v>
      </c>
      <c r="AX463" t="s">
        <v>15889</v>
      </c>
      <c r="AY463" t="s">
        <v>191</v>
      </c>
      <c r="AZ463">
        <v>2020</v>
      </c>
      <c r="BA463">
        <v>26</v>
      </c>
      <c r="BB463">
        <v>1</v>
      </c>
      <c r="BC463" t="s">
        <v>69</v>
      </c>
      <c r="BD463" t="s">
        <v>69</v>
      </c>
      <c r="BE463" t="s">
        <v>69</v>
      </c>
      <c r="BF463" t="s">
        <v>69</v>
      </c>
      <c r="BG463">
        <v>53</v>
      </c>
      <c r="BH463">
        <v>60</v>
      </c>
      <c r="BI463" t="s">
        <v>69</v>
      </c>
      <c r="BJ463" t="s">
        <v>69</v>
      </c>
      <c r="BK463" t="s">
        <v>69</v>
      </c>
      <c r="BL463" t="s">
        <v>69</v>
      </c>
      <c r="BM463" t="s">
        <v>69</v>
      </c>
      <c r="BN463">
        <v>8</v>
      </c>
      <c r="BO463" t="s">
        <v>8717</v>
      </c>
      <c r="BP463" t="s">
        <v>8573</v>
      </c>
      <c r="BQ463" t="s">
        <v>8662</v>
      </c>
      <c r="BR463" t="s">
        <v>15890</v>
      </c>
      <c r="BS463" t="s">
        <v>5588</v>
      </c>
      <c r="BT463" t="s">
        <v>69</v>
      </c>
      <c r="BU463" t="s">
        <v>69</v>
      </c>
      <c r="BV463" t="s">
        <v>69</v>
      </c>
      <c r="BW463" t="s">
        <v>69</v>
      </c>
      <c r="BX463" t="s">
        <v>8526</v>
      </c>
      <c r="BY463" t="str">
        <f>HYPERLINK("https%3A%2F%2Fwww.webofscience.com%2Fwos%2Fwoscc%2Ffull-record%2FWOS:000517825200006","View Full Record in Web of Science")</f>
        <v>View Full Record in Web of Science</v>
      </c>
    </row>
    <row r="464" spans="1:77" ht="12.5" x14ac:dyDescent="0.25">
      <c r="A464" t="s">
        <v>8495</v>
      </c>
      <c r="B464" s="7" t="s">
        <v>32933</v>
      </c>
      <c r="C464" s="7"/>
      <c r="D464" s="7"/>
      <c r="E464" s="7"/>
      <c r="F464" t="s">
        <v>67</v>
      </c>
      <c r="G464" t="s">
        <v>6587</v>
      </c>
      <c r="H464" t="s">
        <v>69</v>
      </c>
      <c r="I464" t="s">
        <v>69</v>
      </c>
      <c r="J464" t="s">
        <v>69</v>
      </c>
      <c r="K464" t="s">
        <v>6588</v>
      </c>
      <c r="L464" t="s">
        <v>69</v>
      </c>
      <c r="M464" t="s">
        <v>69</v>
      </c>
      <c r="N464" t="s">
        <v>6589</v>
      </c>
      <c r="O464" t="s">
        <v>2535</v>
      </c>
      <c r="P464" t="s">
        <v>69</v>
      </c>
      <c r="Q464" t="s">
        <v>69</v>
      </c>
      <c r="R464" t="s">
        <v>8505</v>
      </c>
      <c r="S464" t="s">
        <v>8506</v>
      </c>
      <c r="T464" t="s">
        <v>69</v>
      </c>
      <c r="U464" t="s">
        <v>69</v>
      </c>
      <c r="V464" t="s">
        <v>69</v>
      </c>
      <c r="W464" t="s">
        <v>69</v>
      </c>
      <c r="X464" t="s">
        <v>69</v>
      </c>
      <c r="Y464" t="s">
        <v>29669</v>
      </c>
      <c r="Z464" t="s">
        <v>29670</v>
      </c>
      <c r="AA464" t="s">
        <v>6590</v>
      </c>
      <c r="AB464" t="s">
        <v>29671</v>
      </c>
      <c r="AC464" t="s">
        <v>69</v>
      </c>
      <c r="AD464" t="s">
        <v>29672</v>
      </c>
      <c r="AE464" t="s">
        <v>29673</v>
      </c>
      <c r="AF464" t="s">
        <v>6591</v>
      </c>
      <c r="AG464" t="s">
        <v>6592</v>
      </c>
      <c r="AH464" t="s">
        <v>69</v>
      </c>
      <c r="AI464" t="s">
        <v>69</v>
      </c>
      <c r="AJ464" t="s">
        <v>69</v>
      </c>
      <c r="AK464" t="s">
        <v>69</v>
      </c>
      <c r="AL464">
        <v>58</v>
      </c>
      <c r="AM464">
        <v>6</v>
      </c>
      <c r="AN464">
        <v>6</v>
      </c>
      <c r="AO464">
        <v>0</v>
      </c>
      <c r="AP464">
        <v>11</v>
      </c>
      <c r="AQ464" t="s">
        <v>19695</v>
      </c>
      <c r="AR464" t="s">
        <v>19696</v>
      </c>
      <c r="AS464" t="s">
        <v>19697</v>
      </c>
      <c r="AT464" t="s">
        <v>2537</v>
      </c>
      <c r="AU464" t="s">
        <v>2538</v>
      </c>
      <c r="AV464" t="s">
        <v>69</v>
      </c>
      <c r="AW464" t="s">
        <v>19698</v>
      </c>
      <c r="AX464" t="s">
        <v>19699</v>
      </c>
      <c r="AY464" t="s">
        <v>84</v>
      </c>
      <c r="AZ464">
        <v>2007</v>
      </c>
      <c r="BA464">
        <v>55</v>
      </c>
      <c r="BB464">
        <v>1</v>
      </c>
      <c r="BC464" t="s">
        <v>69</v>
      </c>
      <c r="BD464" t="s">
        <v>69</v>
      </c>
      <c r="BE464" t="s">
        <v>69</v>
      </c>
      <c r="BF464" t="s">
        <v>69</v>
      </c>
      <c r="BG464">
        <v>1</v>
      </c>
      <c r="BH464">
        <v>20</v>
      </c>
      <c r="BI464" t="s">
        <v>69</v>
      </c>
      <c r="BJ464" t="s">
        <v>6593</v>
      </c>
      <c r="BK464" t="str">
        <f>HYPERLINK("http://dx.doi.org/10.1016/S1573-5214(07)80001-7","http://dx.doi.org/10.1016/S1573-5214(07)80001-7")</f>
        <v>http://dx.doi.org/10.1016/S1573-5214(07)80001-7</v>
      </c>
      <c r="BL464" t="s">
        <v>69</v>
      </c>
      <c r="BM464" t="s">
        <v>69</v>
      </c>
      <c r="BN464">
        <v>20</v>
      </c>
      <c r="BO464" t="s">
        <v>17664</v>
      </c>
      <c r="BP464" t="s">
        <v>8548</v>
      </c>
      <c r="BQ464" t="s">
        <v>8450</v>
      </c>
      <c r="BR464" t="s">
        <v>29674</v>
      </c>
      <c r="BS464" t="s">
        <v>6594</v>
      </c>
      <c r="BT464" t="s">
        <v>69</v>
      </c>
      <c r="BU464" t="s">
        <v>9374</v>
      </c>
      <c r="BV464" t="s">
        <v>69</v>
      </c>
      <c r="BW464" t="s">
        <v>69</v>
      </c>
      <c r="BX464" t="s">
        <v>8526</v>
      </c>
      <c r="BY464" t="str">
        <f>HYPERLINK("https%3A%2F%2Fwww.webofscience.com%2Fwos%2Fwoscc%2Ffull-record%2FWOS:000250888000001","View Full Record in Web of Science")</f>
        <v>View Full Record in Web of Science</v>
      </c>
    </row>
    <row r="465" spans="1:77" ht="12.5" x14ac:dyDescent="0.25">
      <c r="A465" t="s">
        <v>8495</v>
      </c>
      <c r="B465" s="22" t="s">
        <v>32931</v>
      </c>
      <c r="C465" s="7"/>
      <c r="D465" s="7"/>
      <c r="E465" s="7"/>
      <c r="F465" t="s">
        <v>67</v>
      </c>
      <c r="G465" t="s">
        <v>16422</v>
      </c>
      <c r="H465" t="s">
        <v>69</v>
      </c>
      <c r="I465" t="s">
        <v>69</v>
      </c>
      <c r="J465" t="s">
        <v>69</v>
      </c>
      <c r="K465" t="s">
        <v>16423</v>
      </c>
      <c r="L465" t="s">
        <v>69</v>
      </c>
      <c r="M465" t="s">
        <v>69</v>
      </c>
      <c r="N465" t="s">
        <v>16424</v>
      </c>
      <c r="O465" t="s">
        <v>16425</v>
      </c>
      <c r="P465" t="s">
        <v>69</v>
      </c>
      <c r="Q465" t="s">
        <v>69</v>
      </c>
      <c r="R465" t="s">
        <v>8505</v>
      </c>
      <c r="S465" t="s">
        <v>8506</v>
      </c>
      <c r="T465" t="s">
        <v>69</v>
      </c>
      <c r="U465" t="s">
        <v>69</v>
      </c>
      <c r="V465" t="s">
        <v>69</v>
      </c>
      <c r="W465" t="s">
        <v>69</v>
      </c>
      <c r="X465" t="s">
        <v>69</v>
      </c>
      <c r="Y465" t="s">
        <v>16426</v>
      </c>
      <c r="Z465" t="s">
        <v>16427</v>
      </c>
      <c r="AA465" t="s">
        <v>16428</v>
      </c>
      <c r="AB465" t="s">
        <v>16429</v>
      </c>
      <c r="AC465" t="s">
        <v>69</v>
      </c>
      <c r="AD465" t="s">
        <v>16430</v>
      </c>
      <c r="AE465" t="s">
        <v>16431</v>
      </c>
      <c r="AF465" t="s">
        <v>69</v>
      </c>
      <c r="AG465" t="s">
        <v>16432</v>
      </c>
      <c r="AH465" t="s">
        <v>16433</v>
      </c>
      <c r="AI465" t="s">
        <v>16434</v>
      </c>
      <c r="AJ465" t="s">
        <v>16435</v>
      </c>
      <c r="AK465" t="s">
        <v>69</v>
      </c>
      <c r="AL465">
        <v>40</v>
      </c>
      <c r="AM465">
        <v>12</v>
      </c>
      <c r="AN465">
        <v>12</v>
      </c>
      <c r="AO465">
        <v>0</v>
      </c>
      <c r="AP465">
        <v>2</v>
      </c>
      <c r="AQ465" t="s">
        <v>9203</v>
      </c>
      <c r="AR465" t="s">
        <v>8763</v>
      </c>
      <c r="AS465" t="s">
        <v>9204</v>
      </c>
      <c r="AT465" t="s">
        <v>16436</v>
      </c>
      <c r="AU465" t="s">
        <v>69</v>
      </c>
      <c r="AV465" t="s">
        <v>69</v>
      </c>
      <c r="AW465" t="s">
        <v>16437</v>
      </c>
      <c r="AX465" t="s">
        <v>16438</v>
      </c>
      <c r="AY465" t="s">
        <v>16439</v>
      </c>
      <c r="AZ465">
        <v>2019</v>
      </c>
      <c r="BA465">
        <v>17</v>
      </c>
      <c r="BB465">
        <v>1</v>
      </c>
      <c r="BC465" t="s">
        <v>69</v>
      </c>
      <c r="BD465" t="s">
        <v>69</v>
      </c>
      <c r="BE465" t="s">
        <v>69</v>
      </c>
      <c r="BF465" t="s">
        <v>69</v>
      </c>
      <c r="BG465" t="s">
        <v>69</v>
      </c>
      <c r="BH465" t="s">
        <v>69</v>
      </c>
      <c r="BI465">
        <v>222</v>
      </c>
      <c r="BJ465" t="s">
        <v>16440</v>
      </c>
      <c r="BK465" t="str">
        <f>HYPERLINK("http://dx.doi.org/10.1186/s12916-019-1446-y","http://dx.doi.org/10.1186/s12916-019-1446-y")</f>
        <v>http://dx.doi.org/10.1186/s12916-019-1446-y</v>
      </c>
      <c r="BL465" t="s">
        <v>69</v>
      </c>
      <c r="BM465" t="s">
        <v>69</v>
      </c>
      <c r="BN465">
        <v>11</v>
      </c>
      <c r="BO465" t="s">
        <v>9450</v>
      </c>
      <c r="BP465" t="s">
        <v>8548</v>
      </c>
      <c r="BQ465" t="s">
        <v>9451</v>
      </c>
      <c r="BR465" t="s">
        <v>16441</v>
      </c>
      <c r="BS465" t="s">
        <v>16442</v>
      </c>
      <c r="BT465">
        <v>31783757</v>
      </c>
      <c r="BU465" t="s">
        <v>9352</v>
      </c>
      <c r="BV465" t="s">
        <v>69</v>
      </c>
      <c r="BW465" t="s">
        <v>69</v>
      </c>
      <c r="BX465" t="s">
        <v>8526</v>
      </c>
      <c r="BY465" t="str">
        <f>HYPERLINK("https%3A%2F%2Fwww.webofscience.com%2Fwos%2Fwoscc%2Ffull-record%2FWOS:000499908700001","View Full Record in Web of Science")</f>
        <v>View Full Record in Web of Science</v>
      </c>
    </row>
    <row r="466" spans="1:77" ht="12.5" x14ac:dyDescent="0.25">
      <c r="A466" t="s">
        <v>8495</v>
      </c>
      <c r="B466" s="22" t="s">
        <v>32931</v>
      </c>
      <c r="C466" s="7"/>
      <c r="D466" s="7"/>
      <c r="E466" s="7"/>
      <c r="F466" t="s">
        <v>67</v>
      </c>
      <c r="G466" t="s">
        <v>24332</v>
      </c>
      <c r="H466" t="s">
        <v>69</v>
      </c>
      <c r="I466" t="s">
        <v>69</v>
      </c>
      <c r="J466" t="s">
        <v>69</v>
      </c>
      <c r="K466" t="s">
        <v>24333</v>
      </c>
      <c r="L466" t="s">
        <v>69</v>
      </c>
      <c r="M466" t="s">
        <v>69</v>
      </c>
      <c r="N466" t="s">
        <v>24334</v>
      </c>
      <c r="O466" t="s">
        <v>3106</v>
      </c>
      <c r="P466" t="s">
        <v>69</v>
      </c>
      <c r="Q466" t="s">
        <v>69</v>
      </c>
      <c r="R466" t="s">
        <v>8505</v>
      </c>
      <c r="S466" t="s">
        <v>8506</v>
      </c>
      <c r="T466" t="s">
        <v>69</v>
      </c>
      <c r="U466" t="s">
        <v>69</v>
      </c>
      <c r="V466" t="s">
        <v>69</v>
      </c>
      <c r="W466" t="s">
        <v>69</v>
      </c>
      <c r="X466" t="s">
        <v>69</v>
      </c>
      <c r="Y466" t="s">
        <v>24335</v>
      </c>
      <c r="Z466" t="s">
        <v>69</v>
      </c>
      <c r="AA466" t="s">
        <v>24336</v>
      </c>
      <c r="AB466" t="s">
        <v>24337</v>
      </c>
      <c r="AC466" t="s">
        <v>69</v>
      </c>
      <c r="AD466" t="s">
        <v>24338</v>
      </c>
      <c r="AE466" t="s">
        <v>24339</v>
      </c>
      <c r="AF466" t="s">
        <v>69</v>
      </c>
      <c r="AG466" t="s">
        <v>69</v>
      </c>
      <c r="AH466" t="s">
        <v>69</v>
      </c>
      <c r="AI466" t="s">
        <v>69</v>
      </c>
      <c r="AJ466" t="s">
        <v>69</v>
      </c>
      <c r="AK466" t="s">
        <v>69</v>
      </c>
      <c r="AL466">
        <v>76</v>
      </c>
      <c r="AM466">
        <v>11</v>
      </c>
      <c r="AN466">
        <v>11</v>
      </c>
      <c r="AO466">
        <v>1</v>
      </c>
      <c r="AP466">
        <v>5</v>
      </c>
      <c r="AQ466" t="s">
        <v>8586</v>
      </c>
      <c r="AR466" t="s">
        <v>8587</v>
      </c>
      <c r="AS466" t="s">
        <v>8588</v>
      </c>
      <c r="AT466" t="s">
        <v>3108</v>
      </c>
      <c r="AU466" t="s">
        <v>3109</v>
      </c>
      <c r="AV466" t="s">
        <v>69</v>
      </c>
      <c r="AW466" t="s">
        <v>9537</v>
      </c>
      <c r="AX466" t="s">
        <v>9538</v>
      </c>
      <c r="AY466" t="s">
        <v>69</v>
      </c>
      <c r="AZ466">
        <v>2014</v>
      </c>
      <c r="BA466">
        <v>10</v>
      </c>
      <c r="BB466">
        <v>3</v>
      </c>
      <c r="BC466" t="s">
        <v>69</v>
      </c>
      <c r="BD466" t="s">
        <v>69</v>
      </c>
      <c r="BE466" t="s">
        <v>69</v>
      </c>
      <c r="BF466" t="s">
        <v>69</v>
      </c>
      <c r="BG466">
        <v>516</v>
      </c>
      <c r="BH466" t="s">
        <v>219</v>
      </c>
      <c r="BI466" t="s">
        <v>69</v>
      </c>
      <c r="BJ466" t="s">
        <v>24340</v>
      </c>
      <c r="BK466" t="str">
        <f>HYPERLINK("http://dx.doi.org/10.1108/SRJ-01-2013-0005","http://dx.doi.org/10.1108/SRJ-01-2013-0005")</f>
        <v>http://dx.doi.org/10.1108/SRJ-01-2013-0005</v>
      </c>
      <c r="BL466" t="s">
        <v>69</v>
      </c>
      <c r="BM466" t="s">
        <v>69</v>
      </c>
      <c r="BN466">
        <v>22</v>
      </c>
      <c r="BO466" t="s">
        <v>9410</v>
      </c>
      <c r="BP466" t="s">
        <v>8573</v>
      </c>
      <c r="BQ466" t="s">
        <v>8594</v>
      </c>
      <c r="BR466" t="s">
        <v>24341</v>
      </c>
      <c r="BS466" t="s">
        <v>24342</v>
      </c>
      <c r="BT466" t="s">
        <v>69</v>
      </c>
      <c r="BU466" t="s">
        <v>69</v>
      </c>
      <c r="BV466" t="s">
        <v>69</v>
      </c>
      <c r="BW466" t="s">
        <v>69</v>
      </c>
      <c r="BX466" t="s">
        <v>8526</v>
      </c>
      <c r="BY466" t="str">
        <f>HYPERLINK("https%3A%2F%2Fwww.webofscience.com%2Fwos%2Fwoscc%2Ffull-record%2FWOS:000212541200009","View Full Record in Web of Science")</f>
        <v>View Full Record in Web of Science</v>
      </c>
    </row>
    <row r="467" spans="1:77" ht="12.5" x14ac:dyDescent="0.25">
      <c r="A467" t="s">
        <v>8495</v>
      </c>
      <c r="B467" s="7" t="s">
        <v>32933</v>
      </c>
      <c r="C467" s="7"/>
      <c r="D467" s="7"/>
      <c r="E467" s="7"/>
      <c r="F467" t="s">
        <v>67</v>
      </c>
      <c r="G467" t="s">
        <v>534</v>
      </c>
      <c r="H467" t="s">
        <v>69</v>
      </c>
      <c r="I467" t="s">
        <v>69</v>
      </c>
      <c r="J467" t="s">
        <v>69</v>
      </c>
      <c r="K467" t="s">
        <v>535</v>
      </c>
      <c r="L467" t="s">
        <v>69</v>
      </c>
      <c r="M467" t="s">
        <v>69</v>
      </c>
      <c r="N467" t="s">
        <v>1450</v>
      </c>
      <c r="O467" t="s">
        <v>1284</v>
      </c>
      <c r="P467" t="s">
        <v>69</v>
      </c>
      <c r="Q467" t="s">
        <v>69</v>
      </c>
      <c r="R467" t="s">
        <v>8505</v>
      </c>
      <c r="S467" t="s">
        <v>8506</v>
      </c>
      <c r="T467" t="s">
        <v>69</v>
      </c>
      <c r="U467" t="s">
        <v>69</v>
      </c>
      <c r="V467" t="s">
        <v>69</v>
      </c>
      <c r="W467" t="s">
        <v>69</v>
      </c>
      <c r="X467" t="s">
        <v>69</v>
      </c>
      <c r="Y467" t="s">
        <v>25932</v>
      </c>
      <c r="Z467" t="s">
        <v>25933</v>
      </c>
      <c r="AA467" t="s">
        <v>1451</v>
      </c>
      <c r="AB467" t="s">
        <v>25934</v>
      </c>
      <c r="AC467" t="s">
        <v>69</v>
      </c>
      <c r="AD467" t="s">
        <v>25702</v>
      </c>
      <c r="AE467" t="s">
        <v>25703</v>
      </c>
      <c r="AF467" t="s">
        <v>539</v>
      </c>
      <c r="AG467" t="s">
        <v>540</v>
      </c>
      <c r="AH467" t="s">
        <v>25704</v>
      </c>
      <c r="AI467" t="s">
        <v>25705</v>
      </c>
      <c r="AJ467" t="s">
        <v>25706</v>
      </c>
      <c r="AK467" t="s">
        <v>69</v>
      </c>
      <c r="AL467">
        <v>37</v>
      </c>
      <c r="AM467">
        <v>6</v>
      </c>
      <c r="AN467">
        <v>6</v>
      </c>
      <c r="AO467">
        <v>0</v>
      </c>
      <c r="AP467">
        <v>7</v>
      </c>
      <c r="AQ467" t="s">
        <v>15611</v>
      </c>
      <c r="AR467" t="s">
        <v>10924</v>
      </c>
      <c r="AS467" t="s">
        <v>15612</v>
      </c>
      <c r="AT467" t="s">
        <v>1286</v>
      </c>
      <c r="AU467" t="s">
        <v>1287</v>
      </c>
      <c r="AV467" t="s">
        <v>69</v>
      </c>
      <c r="AW467" t="s">
        <v>22818</v>
      </c>
      <c r="AX467" t="s">
        <v>22819</v>
      </c>
      <c r="AY467" t="s">
        <v>155</v>
      </c>
      <c r="AZ467">
        <v>2012</v>
      </c>
      <c r="BA467">
        <v>19</v>
      </c>
      <c r="BB467">
        <v>3</v>
      </c>
      <c r="BC467" t="s">
        <v>69</v>
      </c>
      <c r="BD467" t="s">
        <v>69</v>
      </c>
      <c r="BE467" t="s">
        <v>69</v>
      </c>
      <c r="BF467" t="s">
        <v>69</v>
      </c>
      <c r="BG467">
        <v>203</v>
      </c>
      <c r="BH467">
        <v>209</v>
      </c>
      <c r="BI467" t="s">
        <v>69</v>
      </c>
      <c r="BJ467" t="s">
        <v>1452</v>
      </c>
      <c r="BK467" t="str">
        <f>HYPERLINK("http://dx.doi.org/10.1080/13504509.2011.606550","http://dx.doi.org/10.1080/13504509.2011.606550")</f>
        <v>http://dx.doi.org/10.1080/13504509.2011.606550</v>
      </c>
      <c r="BL467" t="s">
        <v>69</v>
      </c>
      <c r="BM467" t="s">
        <v>69</v>
      </c>
      <c r="BN467">
        <v>7</v>
      </c>
      <c r="BO467" t="s">
        <v>22820</v>
      </c>
      <c r="BP467" t="s">
        <v>8548</v>
      </c>
      <c r="BQ467" t="s">
        <v>8961</v>
      </c>
      <c r="BR467" t="s">
        <v>25935</v>
      </c>
      <c r="BS467" t="s">
        <v>1453</v>
      </c>
      <c r="BT467" t="s">
        <v>69</v>
      </c>
      <c r="BU467" t="s">
        <v>69</v>
      </c>
      <c r="BV467" t="s">
        <v>69</v>
      </c>
      <c r="BW467" t="s">
        <v>69</v>
      </c>
      <c r="BX467" t="s">
        <v>8526</v>
      </c>
      <c r="BY467" t="str">
        <f>HYPERLINK("https%3A%2F%2Fwww.webofscience.com%2Fwos%2Fwoscc%2Ffull-record%2FWOS:000304476300002","View Full Record in Web of Science")</f>
        <v>View Full Record in Web of Science</v>
      </c>
    </row>
    <row r="468" spans="1:77" ht="12.5" x14ac:dyDescent="0.25">
      <c r="A468" t="s">
        <v>8495</v>
      </c>
      <c r="B468" s="7" t="s">
        <v>32933</v>
      </c>
      <c r="C468" s="7"/>
      <c r="D468" s="7"/>
      <c r="E468" s="7"/>
      <c r="F468" t="s">
        <v>67</v>
      </c>
      <c r="G468" t="s">
        <v>2645</v>
      </c>
      <c r="H468" t="s">
        <v>69</v>
      </c>
      <c r="I468" t="s">
        <v>69</v>
      </c>
      <c r="J468" t="s">
        <v>69</v>
      </c>
      <c r="K468" t="s">
        <v>2646</v>
      </c>
      <c r="L468" t="s">
        <v>69</v>
      </c>
      <c r="M468" t="s">
        <v>69</v>
      </c>
      <c r="N468" t="s">
        <v>2647</v>
      </c>
      <c r="O468" t="s">
        <v>2648</v>
      </c>
      <c r="P468" t="s">
        <v>69</v>
      </c>
      <c r="Q468" t="s">
        <v>69</v>
      </c>
      <c r="R468" t="s">
        <v>8505</v>
      </c>
      <c r="S468" t="s">
        <v>8506</v>
      </c>
      <c r="T468" t="s">
        <v>69</v>
      </c>
      <c r="U468" t="s">
        <v>69</v>
      </c>
      <c r="V468" t="s">
        <v>69</v>
      </c>
      <c r="W468" t="s">
        <v>69</v>
      </c>
      <c r="X468" t="s">
        <v>69</v>
      </c>
      <c r="Y468" t="s">
        <v>20751</v>
      </c>
      <c r="Z468" t="s">
        <v>69</v>
      </c>
      <c r="AA468" t="s">
        <v>2649</v>
      </c>
      <c r="AB468" t="s">
        <v>20752</v>
      </c>
      <c r="AC468" t="s">
        <v>69</v>
      </c>
      <c r="AD468" t="s">
        <v>20753</v>
      </c>
      <c r="AE468" t="s">
        <v>69</v>
      </c>
      <c r="AF468" t="s">
        <v>2650</v>
      </c>
      <c r="AG468" t="s">
        <v>2651</v>
      </c>
      <c r="AH468" t="s">
        <v>69</v>
      </c>
      <c r="AI468" t="s">
        <v>69</v>
      </c>
      <c r="AJ468" t="s">
        <v>69</v>
      </c>
      <c r="AK468" t="s">
        <v>69</v>
      </c>
      <c r="AL468">
        <v>25</v>
      </c>
      <c r="AM468">
        <v>0</v>
      </c>
      <c r="AN468">
        <v>0</v>
      </c>
      <c r="AO468">
        <v>1</v>
      </c>
      <c r="AP468">
        <v>8</v>
      </c>
      <c r="AQ468" t="s">
        <v>20754</v>
      </c>
      <c r="AR468" t="s">
        <v>20755</v>
      </c>
      <c r="AS468" t="s">
        <v>20756</v>
      </c>
      <c r="AT468" t="s">
        <v>2652</v>
      </c>
      <c r="AU468" t="s">
        <v>2653</v>
      </c>
      <c r="AV468" t="s">
        <v>69</v>
      </c>
      <c r="AW468" t="s">
        <v>20757</v>
      </c>
      <c r="AX468" t="s">
        <v>20758</v>
      </c>
      <c r="AY468" t="s">
        <v>2654</v>
      </c>
      <c r="AZ468">
        <v>2017</v>
      </c>
      <c r="BA468">
        <v>9</v>
      </c>
      <c r="BB468">
        <v>1</v>
      </c>
      <c r="BC468" t="s">
        <v>69</v>
      </c>
      <c r="BD468" t="s">
        <v>69</v>
      </c>
      <c r="BE468" t="s">
        <v>69</v>
      </c>
      <c r="BF468" t="s">
        <v>69</v>
      </c>
      <c r="BG468">
        <v>50</v>
      </c>
      <c r="BH468">
        <v>58</v>
      </c>
      <c r="BI468" t="s">
        <v>69</v>
      </c>
      <c r="BJ468" t="s">
        <v>2655</v>
      </c>
      <c r="BK468" t="str">
        <f>HYPERLINK("http://dx.doi.org/10.4018/IJEA.2017010105","http://dx.doi.org/10.4018/IJEA.2017010105")</f>
        <v>http://dx.doi.org/10.4018/IJEA.2017010105</v>
      </c>
      <c r="BL468" t="s">
        <v>69</v>
      </c>
      <c r="BM468" t="s">
        <v>69</v>
      </c>
      <c r="BN468">
        <v>9</v>
      </c>
      <c r="BO468" t="s">
        <v>11010</v>
      </c>
      <c r="BP468" t="s">
        <v>8573</v>
      </c>
      <c r="BQ468" t="s">
        <v>11010</v>
      </c>
      <c r="BR468" t="s">
        <v>20759</v>
      </c>
      <c r="BS468" t="s">
        <v>2656</v>
      </c>
      <c r="BT468" t="s">
        <v>69</v>
      </c>
      <c r="BU468" t="s">
        <v>69</v>
      </c>
      <c r="BV468" t="s">
        <v>69</v>
      </c>
      <c r="BW468" t="s">
        <v>69</v>
      </c>
      <c r="BX468" t="s">
        <v>8526</v>
      </c>
      <c r="BY468" t="str">
        <f>HYPERLINK("https%3A%2F%2Fwww.webofscience.com%2Fwos%2Fwoscc%2Ffull-record%2FWOS:000413727600006","View Full Record in Web of Science")</f>
        <v>View Full Record in Web of Science</v>
      </c>
    </row>
    <row r="469" spans="1:77" ht="12.5" x14ac:dyDescent="0.25">
      <c r="A469" t="s">
        <v>8495</v>
      </c>
      <c r="B469" s="22" t="s">
        <v>32931</v>
      </c>
      <c r="C469" s="7"/>
      <c r="D469" s="7"/>
      <c r="E469" s="7"/>
      <c r="F469" t="s">
        <v>67</v>
      </c>
      <c r="G469" t="s">
        <v>31475</v>
      </c>
      <c r="H469" t="s">
        <v>69</v>
      </c>
      <c r="I469" t="s">
        <v>69</v>
      </c>
      <c r="J469" t="s">
        <v>69</v>
      </c>
      <c r="K469" t="s">
        <v>31475</v>
      </c>
      <c r="L469" t="s">
        <v>69</v>
      </c>
      <c r="M469" t="s">
        <v>69</v>
      </c>
      <c r="N469" t="s">
        <v>31476</v>
      </c>
      <c r="O469" t="s">
        <v>31443</v>
      </c>
      <c r="P469" t="s">
        <v>69</v>
      </c>
      <c r="Q469" t="s">
        <v>69</v>
      </c>
      <c r="R469" t="s">
        <v>8505</v>
      </c>
      <c r="S469" t="s">
        <v>8506</v>
      </c>
      <c r="T469" t="s">
        <v>69</v>
      </c>
      <c r="U469" t="s">
        <v>69</v>
      </c>
      <c r="V469" t="s">
        <v>69</v>
      </c>
      <c r="W469" t="s">
        <v>69</v>
      </c>
      <c r="X469" t="s">
        <v>69</v>
      </c>
      <c r="Y469" t="s">
        <v>31477</v>
      </c>
      <c r="Z469" t="s">
        <v>69</v>
      </c>
      <c r="AA469" t="s">
        <v>31478</v>
      </c>
      <c r="AB469" t="s">
        <v>31479</v>
      </c>
      <c r="AC469" t="s">
        <v>69</v>
      </c>
      <c r="AD469" t="s">
        <v>31480</v>
      </c>
      <c r="AE469" t="s">
        <v>69</v>
      </c>
      <c r="AF469" t="s">
        <v>69</v>
      </c>
      <c r="AG469" t="s">
        <v>69</v>
      </c>
      <c r="AH469" t="s">
        <v>69</v>
      </c>
      <c r="AI469" t="s">
        <v>69</v>
      </c>
      <c r="AJ469" t="s">
        <v>69</v>
      </c>
      <c r="AK469" t="s">
        <v>69</v>
      </c>
      <c r="AL469">
        <v>9</v>
      </c>
      <c r="AM469">
        <v>0</v>
      </c>
      <c r="AN469">
        <v>0</v>
      </c>
      <c r="AO469">
        <v>0</v>
      </c>
      <c r="AP469">
        <v>0</v>
      </c>
      <c r="AQ469" t="s">
        <v>31445</v>
      </c>
      <c r="AR469" t="s">
        <v>31446</v>
      </c>
      <c r="AS469" t="s">
        <v>31447</v>
      </c>
      <c r="AT469" t="s">
        <v>31448</v>
      </c>
      <c r="AU469" t="s">
        <v>69</v>
      </c>
      <c r="AV469" t="s">
        <v>69</v>
      </c>
      <c r="AW469" t="s">
        <v>31449</v>
      </c>
      <c r="AX469" t="s">
        <v>31450</v>
      </c>
      <c r="AY469" t="s">
        <v>246</v>
      </c>
      <c r="AZ469">
        <v>2002</v>
      </c>
      <c r="BA469">
        <v>41</v>
      </c>
      <c r="BB469">
        <v>2</v>
      </c>
      <c r="BC469" t="s">
        <v>69</v>
      </c>
      <c r="BD469" t="s">
        <v>69</v>
      </c>
      <c r="BE469" t="s">
        <v>69</v>
      </c>
      <c r="BF469" t="s">
        <v>69</v>
      </c>
      <c r="BG469">
        <v>121</v>
      </c>
      <c r="BH469">
        <v>124</v>
      </c>
      <c r="BI469" t="s">
        <v>69</v>
      </c>
      <c r="BJ469" t="s">
        <v>31481</v>
      </c>
      <c r="BK469" t="str">
        <f>HYPERLINK("http://dx.doi.org/10.1680/nuen.41.2.121.39020","http://dx.doi.org/10.1680/nuen.41.2.121.39020")</f>
        <v>http://dx.doi.org/10.1680/nuen.41.2.121.39020</v>
      </c>
      <c r="BL469" t="s">
        <v>69</v>
      </c>
      <c r="BM469" t="s">
        <v>69</v>
      </c>
      <c r="BN469">
        <v>4</v>
      </c>
      <c r="BO469" t="s">
        <v>12508</v>
      </c>
      <c r="BP469" t="s">
        <v>8548</v>
      </c>
      <c r="BQ469" t="s">
        <v>12508</v>
      </c>
      <c r="BR469" t="s">
        <v>31482</v>
      </c>
      <c r="BS469" t="s">
        <v>31483</v>
      </c>
      <c r="BT469" t="s">
        <v>69</v>
      </c>
      <c r="BU469" t="s">
        <v>69</v>
      </c>
      <c r="BV469" t="s">
        <v>69</v>
      </c>
      <c r="BW469" t="s">
        <v>69</v>
      </c>
      <c r="BX469" t="s">
        <v>8526</v>
      </c>
      <c r="BY469" t="str">
        <f>HYPERLINK("https%3A%2F%2Fwww.webofscience.com%2Fwos%2Fwoscc%2Ffull-record%2FWOS:000175731400018","View Full Record in Web of Science")</f>
        <v>View Full Record in Web of Science</v>
      </c>
    </row>
    <row r="470" spans="1:77" ht="12.5" x14ac:dyDescent="0.25">
      <c r="A470" t="s">
        <v>8495</v>
      </c>
      <c r="B470" s="7" t="s">
        <v>32933</v>
      </c>
      <c r="C470" s="7"/>
      <c r="D470" s="7"/>
      <c r="E470" s="7"/>
      <c r="F470" t="s">
        <v>67</v>
      </c>
      <c r="G470" t="s">
        <v>2750</v>
      </c>
      <c r="H470" t="s">
        <v>69</v>
      </c>
      <c r="I470" t="s">
        <v>69</v>
      </c>
      <c r="J470" t="s">
        <v>69</v>
      </c>
      <c r="K470" t="s">
        <v>2751</v>
      </c>
      <c r="L470" t="s">
        <v>69</v>
      </c>
      <c r="M470" t="s">
        <v>69</v>
      </c>
      <c r="N470" t="s">
        <v>2752</v>
      </c>
      <c r="O470" t="s">
        <v>2753</v>
      </c>
      <c r="P470" t="s">
        <v>69</v>
      </c>
      <c r="Q470" t="s">
        <v>69</v>
      </c>
      <c r="R470" t="s">
        <v>8505</v>
      </c>
      <c r="S470" t="s">
        <v>8506</v>
      </c>
      <c r="T470" t="s">
        <v>69</v>
      </c>
      <c r="U470" t="s">
        <v>69</v>
      </c>
      <c r="V470" t="s">
        <v>69</v>
      </c>
      <c r="W470" t="s">
        <v>69</v>
      </c>
      <c r="X470" t="s">
        <v>69</v>
      </c>
      <c r="Y470" t="s">
        <v>20863</v>
      </c>
      <c r="Z470" t="s">
        <v>20864</v>
      </c>
      <c r="AA470" t="s">
        <v>2754</v>
      </c>
      <c r="AB470" t="s">
        <v>20865</v>
      </c>
      <c r="AC470" t="s">
        <v>69</v>
      </c>
      <c r="AD470" t="s">
        <v>20866</v>
      </c>
      <c r="AE470" t="s">
        <v>20867</v>
      </c>
      <c r="AF470" t="s">
        <v>69</v>
      </c>
      <c r="AG470" t="s">
        <v>2755</v>
      </c>
      <c r="AH470" t="s">
        <v>69</v>
      </c>
      <c r="AI470" t="s">
        <v>69</v>
      </c>
      <c r="AJ470" t="s">
        <v>69</v>
      </c>
      <c r="AK470" t="s">
        <v>69</v>
      </c>
      <c r="AL470">
        <v>71</v>
      </c>
      <c r="AM470">
        <v>7</v>
      </c>
      <c r="AN470">
        <v>7</v>
      </c>
      <c r="AO470">
        <v>3</v>
      </c>
      <c r="AP470">
        <v>19</v>
      </c>
      <c r="AQ470" t="s">
        <v>8586</v>
      </c>
      <c r="AR470" t="s">
        <v>8587</v>
      </c>
      <c r="AS470" t="s">
        <v>8588</v>
      </c>
      <c r="AT470" t="s">
        <v>2756</v>
      </c>
      <c r="AU470" t="s">
        <v>2757</v>
      </c>
      <c r="AV470" t="s">
        <v>69</v>
      </c>
      <c r="AW470" t="s">
        <v>14987</v>
      </c>
      <c r="AX470" t="s">
        <v>14988</v>
      </c>
      <c r="AY470" t="s">
        <v>69</v>
      </c>
      <c r="AZ470">
        <v>2017</v>
      </c>
      <c r="BA470">
        <v>35</v>
      </c>
      <c r="BB470">
        <v>4</v>
      </c>
      <c r="BC470" t="s">
        <v>69</v>
      </c>
      <c r="BD470" t="s">
        <v>69</v>
      </c>
      <c r="BE470" t="s">
        <v>69</v>
      </c>
      <c r="BF470" t="s">
        <v>69</v>
      </c>
      <c r="BG470">
        <v>394</v>
      </c>
      <c r="BH470">
        <v>413</v>
      </c>
      <c r="BI470" t="s">
        <v>69</v>
      </c>
      <c r="BJ470" t="s">
        <v>2758</v>
      </c>
      <c r="BK470" t="str">
        <f>HYPERLINK("http://dx.doi.org/10.1108/PM-06-2016-0030","http://dx.doi.org/10.1108/PM-06-2016-0030")</f>
        <v>http://dx.doi.org/10.1108/PM-06-2016-0030</v>
      </c>
      <c r="BL470" t="s">
        <v>69</v>
      </c>
      <c r="BM470" t="s">
        <v>69</v>
      </c>
      <c r="BN470">
        <v>20</v>
      </c>
      <c r="BO470" t="s">
        <v>9410</v>
      </c>
      <c r="BP470" t="s">
        <v>8573</v>
      </c>
      <c r="BQ470" t="s">
        <v>8594</v>
      </c>
      <c r="BR470" t="s">
        <v>20868</v>
      </c>
      <c r="BS470" t="s">
        <v>2759</v>
      </c>
      <c r="BT470" t="s">
        <v>69</v>
      </c>
      <c r="BU470" t="s">
        <v>69</v>
      </c>
      <c r="BV470" t="s">
        <v>69</v>
      </c>
      <c r="BW470" t="s">
        <v>69</v>
      </c>
      <c r="BX470" t="s">
        <v>8526</v>
      </c>
      <c r="BY470" t="str">
        <f>HYPERLINK("https%3A%2F%2Fwww.webofscience.com%2Fwos%2Fwoscc%2Ffull-record%2FWOS:000408199000004","View Full Record in Web of Science")</f>
        <v>View Full Record in Web of Science</v>
      </c>
    </row>
    <row r="471" spans="1:77" x14ac:dyDescent="0.3">
      <c r="A471" t="s">
        <v>8495</v>
      </c>
      <c r="B471" s="9" t="s">
        <v>32954</v>
      </c>
      <c r="C471" s="9" t="s">
        <v>33106</v>
      </c>
      <c r="D471" s="10" t="s">
        <v>33168</v>
      </c>
      <c r="E471" s="9" t="s">
        <v>8490</v>
      </c>
      <c r="F471" t="s">
        <v>67</v>
      </c>
      <c r="G471" t="s">
        <v>23396</v>
      </c>
      <c r="H471" t="s">
        <v>69</v>
      </c>
      <c r="I471" t="s">
        <v>69</v>
      </c>
      <c r="J471" t="s">
        <v>69</v>
      </c>
      <c r="K471" t="s">
        <v>23397</v>
      </c>
      <c r="L471" t="s">
        <v>69</v>
      </c>
      <c r="M471" t="s">
        <v>69</v>
      </c>
      <c r="N471" t="s">
        <v>23398</v>
      </c>
      <c r="O471" t="s">
        <v>2009</v>
      </c>
      <c r="P471" t="s">
        <v>69</v>
      </c>
      <c r="Q471" t="s">
        <v>69</v>
      </c>
      <c r="R471" t="s">
        <v>8505</v>
      </c>
      <c r="S471" t="s">
        <v>8506</v>
      </c>
      <c r="T471" t="s">
        <v>69</v>
      </c>
      <c r="U471" t="s">
        <v>69</v>
      </c>
      <c r="V471" t="s">
        <v>69</v>
      </c>
      <c r="W471" t="s">
        <v>69</v>
      </c>
      <c r="X471" t="s">
        <v>69</v>
      </c>
      <c r="Y471" t="s">
        <v>23399</v>
      </c>
      <c r="Z471" t="s">
        <v>69</v>
      </c>
      <c r="AA471" t="s">
        <v>23400</v>
      </c>
      <c r="AB471" t="s">
        <v>23401</v>
      </c>
      <c r="AC471" t="s">
        <v>69</v>
      </c>
      <c r="AD471" t="s">
        <v>23402</v>
      </c>
      <c r="AE471" t="s">
        <v>23403</v>
      </c>
      <c r="AF471" t="s">
        <v>69</v>
      </c>
      <c r="AG471" t="s">
        <v>69</v>
      </c>
      <c r="AH471" t="s">
        <v>23404</v>
      </c>
      <c r="AI471" t="s">
        <v>23404</v>
      </c>
      <c r="AJ471" t="s">
        <v>23405</v>
      </c>
      <c r="AK471" t="s">
        <v>69</v>
      </c>
      <c r="AL471">
        <v>32</v>
      </c>
      <c r="AM471">
        <v>3</v>
      </c>
      <c r="AN471">
        <v>3</v>
      </c>
      <c r="AO471">
        <v>0</v>
      </c>
      <c r="AP471">
        <v>5</v>
      </c>
      <c r="AQ471" t="s">
        <v>19814</v>
      </c>
      <c r="AR471" t="s">
        <v>8925</v>
      </c>
      <c r="AS471" t="s">
        <v>8926</v>
      </c>
      <c r="AT471" t="s">
        <v>2011</v>
      </c>
      <c r="AU471" t="s">
        <v>69</v>
      </c>
      <c r="AV471" t="s">
        <v>69</v>
      </c>
      <c r="AW471" t="s">
        <v>2009</v>
      </c>
      <c r="AX471" t="s">
        <v>23406</v>
      </c>
      <c r="AY471" t="s">
        <v>75</v>
      </c>
      <c r="AZ471">
        <v>2014</v>
      </c>
      <c r="BA471">
        <v>4</v>
      </c>
      <c r="BB471">
        <v>4</v>
      </c>
      <c r="BC471" t="s">
        <v>69</v>
      </c>
      <c r="BD471" t="s">
        <v>69</v>
      </c>
      <c r="BE471" t="s">
        <v>69</v>
      </c>
      <c r="BF471" t="s">
        <v>69</v>
      </c>
      <c r="BG471">
        <v>711</v>
      </c>
      <c r="BH471">
        <v>736</v>
      </c>
      <c r="BI471" t="s">
        <v>69</v>
      </c>
      <c r="BJ471" t="s">
        <v>23407</v>
      </c>
      <c r="BK471" t="str">
        <f>HYPERLINK("http://dx.doi.org/10.3390/buildings4040711","http://dx.doi.org/10.3390/buildings4040711")</f>
        <v>http://dx.doi.org/10.3390/buildings4040711</v>
      </c>
      <c r="BL471" t="s">
        <v>69</v>
      </c>
      <c r="BM471" t="s">
        <v>69</v>
      </c>
      <c r="BN471">
        <v>26</v>
      </c>
      <c r="BO471" t="s">
        <v>11242</v>
      </c>
      <c r="BP471" t="s">
        <v>8573</v>
      </c>
      <c r="BQ471" t="s">
        <v>8549</v>
      </c>
      <c r="BR471" t="s">
        <v>23408</v>
      </c>
      <c r="BS471" t="s">
        <v>23409</v>
      </c>
      <c r="BT471" t="s">
        <v>69</v>
      </c>
      <c r="BU471" t="s">
        <v>11853</v>
      </c>
      <c r="BV471" t="s">
        <v>69</v>
      </c>
      <c r="BW471" t="s">
        <v>69</v>
      </c>
      <c r="BX471" t="s">
        <v>8526</v>
      </c>
      <c r="BY471" t="str">
        <f>HYPERLINK("https%3A%2F%2Fwww.webofscience.com%2Fwos%2Fwoscc%2Ffull-record%2FWOS:000215239300005","View Full Record in Web of Science")</f>
        <v>View Full Record in Web of Science</v>
      </c>
    </row>
    <row r="472" spans="1:77" ht="12.5" x14ac:dyDescent="0.25">
      <c r="A472" t="s">
        <v>8495</v>
      </c>
      <c r="B472" s="22" t="s">
        <v>32931</v>
      </c>
      <c r="C472" s="7"/>
      <c r="D472" s="7"/>
      <c r="E472" s="7"/>
      <c r="F472" t="s">
        <v>67</v>
      </c>
      <c r="G472" t="s">
        <v>32249</v>
      </c>
      <c r="H472" t="s">
        <v>69</v>
      </c>
      <c r="I472" t="s">
        <v>69</v>
      </c>
      <c r="J472" t="s">
        <v>69</v>
      </c>
      <c r="K472" t="s">
        <v>32249</v>
      </c>
      <c r="L472" t="s">
        <v>69</v>
      </c>
      <c r="M472" t="s">
        <v>69</v>
      </c>
      <c r="N472" t="s">
        <v>32250</v>
      </c>
      <c r="O472" t="s">
        <v>32251</v>
      </c>
      <c r="P472" t="s">
        <v>69</v>
      </c>
      <c r="Q472" t="s">
        <v>69</v>
      </c>
      <c r="R472" t="s">
        <v>8505</v>
      </c>
      <c r="S472" t="s">
        <v>15797</v>
      </c>
      <c r="T472" t="s">
        <v>32252</v>
      </c>
      <c r="U472" t="s">
        <v>32253</v>
      </c>
      <c r="V472" t="s">
        <v>32254</v>
      </c>
      <c r="W472" t="s">
        <v>69</v>
      </c>
      <c r="X472" t="s">
        <v>69</v>
      </c>
      <c r="Y472" t="s">
        <v>69</v>
      </c>
      <c r="Z472" t="s">
        <v>69</v>
      </c>
      <c r="AA472" t="s">
        <v>32255</v>
      </c>
      <c r="AB472" t="s">
        <v>69</v>
      </c>
      <c r="AC472" t="s">
        <v>69</v>
      </c>
      <c r="AD472" t="s">
        <v>32256</v>
      </c>
      <c r="AE472" t="s">
        <v>69</v>
      </c>
      <c r="AF472" t="s">
        <v>69</v>
      </c>
      <c r="AG472" t="s">
        <v>69</v>
      </c>
      <c r="AH472" t="s">
        <v>69</v>
      </c>
      <c r="AI472" t="s">
        <v>69</v>
      </c>
      <c r="AJ472" t="s">
        <v>69</v>
      </c>
      <c r="AK472" t="s">
        <v>69</v>
      </c>
      <c r="AL472">
        <v>27</v>
      </c>
      <c r="AM472">
        <v>0</v>
      </c>
      <c r="AN472">
        <v>0</v>
      </c>
      <c r="AO472">
        <v>0</v>
      </c>
      <c r="AP472">
        <v>3</v>
      </c>
      <c r="AQ472" t="s">
        <v>32257</v>
      </c>
      <c r="AR472" t="s">
        <v>8763</v>
      </c>
      <c r="AS472" t="s">
        <v>32258</v>
      </c>
      <c r="AT472" t="s">
        <v>32259</v>
      </c>
      <c r="AU472" t="s">
        <v>69</v>
      </c>
      <c r="AV472" t="s">
        <v>69</v>
      </c>
      <c r="AW472" t="s">
        <v>32260</v>
      </c>
      <c r="AX472" t="s">
        <v>32261</v>
      </c>
      <c r="AY472" t="s">
        <v>586</v>
      </c>
      <c r="AZ472">
        <v>1997</v>
      </c>
      <c r="BA472">
        <v>34</v>
      </c>
      <c r="BB472">
        <v>2</v>
      </c>
      <c r="BC472" t="s">
        <v>69</v>
      </c>
      <c r="BD472" t="s">
        <v>69</v>
      </c>
      <c r="BE472" t="s">
        <v>69</v>
      </c>
      <c r="BF472" t="s">
        <v>69</v>
      </c>
      <c r="BG472">
        <v>144</v>
      </c>
      <c r="BH472">
        <v>153</v>
      </c>
      <c r="BI472" t="s">
        <v>69</v>
      </c>
      <c r="BJ472" t="s">
        <v>32262</v>
      </c>
      <c r="BK472" t="str">
        <f>HYPERLINK("http://dx.doi.org/10.1080/1355800970340210","http://dx.doi.org/10.1080/1355800970340210")</f>
        <v>http://dx.doi.org/10.1080/1355800970340210</v>
      </c>
      <c r="BL472" t="s">
        <v>69</v>
      </c>
      <c r="BM472" t="s">
        <v>69</v>
      </c>
      <c r="BN472">
        <v>10</v>
      </c>
      <c r="BO472" t="s">
        <v>9290</v>
      </c>
      <c r="BP472" t="s">
        <v>31324</v>
      </c>
      <c r="BQ472" t="s">
        <v>9290</v>
      </c>
      <c r="BR472" t="s">
        <v>32263</v>
      </c>
      <c r="BS472" t="s">
        <v>32264</v>
      </c>
      <c r="BT472" t="s">
        <v>69</v>
      </c>
      <c r="BU472" t="s">
        <v>69</v>
      </c>
      <c r="BV472" t="s">
        <v>69</v>
      </c>
      <c r="BW472" t="s">
        <v>69</v>
      </c>
      <c r="BX472" t="s">
        <v>8526</v>
      </c>
      <c r="BY472" t="str">
        <f>HYPERLINK("https%3A%2F%2Fwww.webofscience.com%2Fwos%2Fwoscc%2Ffull-record%2FWOS:A1997XM52400010","View Full Record in Web of Science")</f>
        <v>View Full Record in Web of Science</v>
      </c>
    </row>
    <row r="473" spans="1:77" ht="12.5" x14ac:dyDescent="0.25">
      <c r="A473" t="s">
        <v>8495</v>
      </c>
      <c r="B473" s="22" t="s">
        <v>32931</v>
      </c>
      <c r="C473" s="7"/>
      <c r="D473" s="7"/>
      <c r="E473" s="7"/>
      <c r="F473" t="s">
        <v>67</v>
      </c>
      <c r="G473" t="s">
        <v>28492</v>
      </c>
      <c r="H473" t="s">
        <v>69</v>
      </c>
      <c r="I473" t="s">
        <v>69</v>
      </c>
      <c r="J473" t="s">
        <v>69</v>
      </c>
      <c r="K473" t="s">
        <v>28493</v>
      </c>
      <c r="L473" t="s">
        <v>69</v>
      </c>
      <c r="M473" t="s">
        <v>69</v>
      </c>
      <c r="N473" t="s">
        <v>28494</v>
      </c>
      <c r="O473" t="s">
        <v>28495</v>
      </c>
      <c r="P473" t="s">
        <v>69</v>
      </c>
      <c r="Q473" t="s">
        <v>69</v>
      </c>
      <c r="R473" t="s">
        <v>8505</v>
      </c>
      <c r="S473" t="s">
        <v>8506</v>
      </c>
      <c r="T473" t="s">
        <v>69</v>
      </c>
      <c r="U473" t="s">
        <v>69</v>
      </c>
      <c r="V473" t="s">
        <v>69</v>
      </c>
      <c r="W473" t="s">
        <v>69</v>
      </c>
      <c r="X473" t="s">
        <v>69</v>
      </c>
      <c r="Y473" t="s">
        <v>69</v>
      </c>
      <c r="Z473" t="s">
        <v>69</v>
      </c>
      <c r="AA473" t="s">
        <v>28496</v>
      </c>
      <c r="AB473" t="s">
        <v>28497</v>
      </c>
      <c r="AC473" t="s">
        <v>69</v>
      </c>
      <c r="AD473" t="s">
        <v>28498</v>
      </c>
      <c r="AE473" t="s">
        <v>28499</v>
      </c>
      <c r="AF473" t="s">
        <v>69</v>
      </c>
      <c r="AG473" t="s">
        <v>28500</v>
      </c>
      <c r="AH473" t="s">
        <v>28501</v>
      </c>
      <c r="AI473" t="s">
        <v>28501</v>
      </c>
      <c r="AJ473" t="s">
        <v>28502</v>
      </c>
      <c r="AK473" t="s">
        <v>69</v>
      </c>
      <c r="AL473">
        <v>8</v>
      </c>
      <c r="AM473">
        <v>13</v>
      </c>
      <c r="AN473">
        <v>13</v>
      </c>
      <c r="AO473">
        <v>0</v>
      </c>
      <c r="AP473">
        <v>0</v>
      </c>
      <c r="AQ473" t="s">
        <v>28503</v>
      </c>
      <c r="AR473" t="s">
        <v>8763</v>
      </c>
      <c r="AS473" t="s">
        <v>28504</v>
      </c>
      <c r="AT473" t="s">
        <v>28505</v>
      </c>
      <c r="AU473" t="s">
        <v>28506</v>
      </c>
      <c r="AV473" t="s">
        <v>69</v>
      </c>
      <c r="AW473" t="s">
        <v>28507</v>
      </c>
      <c r="AX473" t="s">
        <v>28508</v>
      </c>
      <c r="AY473" t="s">
        <v>586</v>
      </c>
      <c r="AZ473">
        <v>2009</v>
      </c>
      <c r="BA473">
        <v>33</v>
      </c>
      <c r="BB473">
        <v>5</v>
      </c>
      <c r="BC473" t="s">
        <v>69</v>
      </c>
      <c r="BD473" t="s">
        <v>69</v>
      </c>
      <c r="BE473" t="s">
        <v>69</v>
      </c>
      <c r="BF473" t="s">
        <v>69</v>
      </c>
      <c r="BG473">
        <v>181</v>
      </c>
      <c r="BH473">
        <v>183</v>
      </c>
      <c r="BI473" t="s">
        <v>69</v>
      </c>
      <c r="BJ473" t="s">
        <v>28509</v>
      </c>
      <c r="BK473" t="str">
        <f>HYPERLINK("http://dx.doi.org/10.1192/pb.bp.108.020487","http://dx.doi.org/10.1192/pb.bp.108.020487")</f>
        <v>http://dx.doi.org/10.1192/pb.bp.108.020487</v>
      </c>
      <c r="BL473" t="s">
        <v>69</v>
      </c>
      <c r="BM473" t="s">
        <v>69</v>
      </c>
      <c r="BN473">
        <v>3</v>
      </c>
      <c r="BO473" t="s">
        <v>9332</v>
      </c>
      <c r="BP473" t="s">
        <v>8573</v>
      </c>
      <c r="BQ473" t="s">
        <v>9332</v>
      </c>
      <c r="BR473" t="s">
        <v>28510</v>
      </c>
      <c r="BS473" t="s">
        <v>28511</v>
      </c>
      <c r="BT473" t="s">
        <v>69</v>
      </c>
      <c r="BU473" t="s">
        <v>10648</v>
      </c>
      <c r="BV473" t="s">
        <v>69</v>
      </c>
      <c r="BW473" t="s">
        <v>69</v>
      </c>
      <c r="BX473" t="s">
        <v>8526</v>
      </c>
      <c r="BY473" t="str">
        <f>HYPERLINK("https%3A%2F%2Fwww.webofscience.com%2Fwos%2Fwoscc%2Ffull-record%2FWOS:000214225200008","View Full Record in Web of Science")</f>
        <v>View Full Record in Web of Science</v>
      </c>
    </row>
    <row r="474" spans="1:77" ht="12.5" x14ac:dyDescent="0.25">
      <c r="A474" t="s">
        <v>8495</v>
      </c>
      <c r="B474" s="7" t="s">
        <v>32933</v>
      </c>
      <c r="C474" s="7"/>
      <c r="D474" s="7"/>
      <c r="E474" s="7"/>
      <c r="F474" t="s">
        <v>67</v>
      </c>
      <c r="G474" t="s">
        <v>2682</v>
      </c>
      <c r="H474" t="s">
        <v>69</v>
      </c>
      <c r="I474" t="s">
        <v>69</v>
      </c>
      <c r="J474" t="s">
        <v>69</v>
      </c>
      <c r="K474" t="s">
        <v>2683</v>
      </c>
      <c r="L474" t="s">
        <v>69</v>
      </c>
      <c r="M474" t="s">
        <v>69</v>
      </c>
      <c r="N474" t="s">
        <v>2684</v>
      </c>
      <c r="O474" t="s">
        <v>387</v>
      </c>
      <c r="P474" t="s">
        <v>69</v>
      </c>
      <c r="Q474" t="s">
        <v>69</v>
      </c>
      <c r="R474" t="s">
        <v>8505</v>
      </c>
      <c r="S474" t="s">
        <v>8506</v>
      </c>
      <c r="T474" t="s">
        <v>69</v>
      </c>
      <c r="U474" t="s">
        <v>69</v>
      </c>
      <c r="V474" t="s">
        <v>69</v>
      </c>
      <c r="W474" t="s">
        <v>69</v>
      </c>
      <c r="X474" t="s">
        <v>69</v>
      </c>
      <c r="Y474" t="s">
        <v>20869</v>
      </c>
      <c r="Z474" t="s">
        <v>69</v>
      </c>
      <c r="AA474" t="s">
        <v>2685</v>
      </c>
      <c r="AB474" t="s">
        <v>20870</v>
      </c>
      <c r="AC474" t="s">
        <v>69</v>
      </c>
      <c r="AD474" t="s">
        <v>20871</v>
      </c>
      <c r="AE474" t="s">
        <v>20872</v>
      </c>
      <c r="AF474" t="s">
        <v>20873</v>
      </c>
      <c r="AG474" t="s">
        <v>20874</v>
      </c>
      <c r="AH474" t="s">
        <v>69</v>
      </c>
      <c r="AI474" t="s">
        <v>69</v>
      </c>
      <c r="AJ474" t="s">
        <v>69</v>
      </c>
      <c r="AK474" t="s">
        <v>69</v>
      </c>
      <c r="AL474">
        <v>41</v>
      </c>
      <c r="AM474">
        <v>7</v>
      </c>
      <c r="AN474">
        <v>7</v>
      </c>
      <c r="AO474">
        <v>0</v>
      </c>
      <c r="AP474">
        <v>15</v>
      </c>
      <c r="AQ474" t="s">
        <v>8586</v>
      </c>
      <c r="AR474" t="s">
        <v>8587</v>
      </c>
      <c r="AS474" t="s">
        <v>8588</v>
      </c>
      <c r="AT474" t="s">
        <v>390</v>
      </c>
      <c r="AU474" t="s">
        <v>391</v>
      </c>
      <c r="AV474" t="s">
        <v>69</v>
      </c>
      <c r="AW474" t="s">
        <v>16996</v>
      </c>
      <c r="AX474" t="s">
        <v>16997</v>
      </c>
      <c r="AY474" t="s">
        <v>69</v>
      </c>
      <c r="AZ474">
        <v>2017</v>
      </c>
      <c r="BA474">
        <v>7</v>
      </c>
      <c r="BB474">
        <v>3</v>
      </c>
      <c r="BC474" t="s">
        <v>69</v>
      </c>
      <c r="BD474" t="s">
        <v>69</v>
      </c>
      <c r="BE474" t="s">
        <v>114</v>
      </c>
      <c r="BF474" t="s">
        <v>69</v>
      </c>
      <c r="BG474">
        <v>253</v>
      </c>
      <c r="BH474">
        <v>270</v>
      </c>
      <c r="BI474" t="s">
        <v>69</v>
      </c>
      <c r="BJ474" t="s">
        <v>2686</v>
      </c>
      <c r="BK474" t="str">
        <f>HYPERLINK("http://dx.doi.org/10.1108/BEPAM-02-2017-0013","http://dx.doi.org/10.1108/BEPAM-02-2017-0013")</f>
        <v>http://dx.doi.org/10.1108/BEPAM-02-2017-0013</v>
      </c>
      <c r="BL474" t="s">
        <v>69</v>
      </c>
      <c r="BM474" t="s">
        <v>69</v>
      </c>
      <c r="BN474">
        <v>18</v>
      </c>
      <c r="BO474" t="s">
        <v>13537</v>
      </c>
      <c r="BP474" t="s">
        <v>8573</v>
      </c>
      <c r="BQ474" t="s">
        <v>8445</v>
      </c>
      <c r="BR474" t="s">
        <v>20875</v>
      </c>
      <c r="BS474" t="s">
        <v>2687</v>
      </c>
      <c r="BT474" t="s">
        <v>69</v>
      </c>
      <c r="BU474" t="s">
        <v>69</v>
      </c>
      <c r="BV474" t="s">
        <v>69</v>
      </c>
      <c r="BW474" t="s">
        <v>69</v>
      </c>
      <c r="BX474" t="s">
        <v>8526</v>
      </c>
      <c r="BY474" t="str">
        <f>HYPERLINK("https%3A%2F%2Fwww.webofscience.com%2Fwos%2Fwoscc%2Ffull-record%2FWOS:000406712800003","View Full Record in Web of Science")</f>
        <v>View Full Record in Web of Science</v>
      </c>
    </row>
    <row r="475" spans="1:77" ht="12.5" x14ac:dyDescent="0.25">
      <c r="A475" t="s">
        <v>8495</v>
      </c>
      <c r="B475" s="22" t="s">
        <v>32931</v>
      </c>
      <c r="C475" s="7"/>
      <c r="D475" s="7"/>
      <c r="E475" s="7"/>
      <c r="F475" t="s">
        <v>67</v>
      </c>
      <c r="G475" t="s">
        <v>32109</v>
      </c>
      <c r="H475" t="s">
        <v>69</v>
      </c>
      <c r="I475" t="s">
        <v>69</v>
      </c>
      <c r="J475" t="s">
        <v>69</v>
      </c>
      <c r="K475" t="s">
        <v>32109</v>
      </c>
      <c r="L475" t="s">
        <v>69</v>
      </c>
      <c r="M475" t="s">
        <v>69</v>
      </c>
      <c r="N475" t="s">
        <v>32110</v>
      </c>
      <c r="O475" t="s">
        <v>13892</v>
      </c>
      <c r="P475" t="s">
        <v>69</v>
      </c>
      <c r="Q475" t="s">
        <v>69</v>
      </c>
      <c r="R475" t="s">
        <v>8505</v>
      </c>
      <c r="S475" t="s">
        <v>8506</v>
      </c>
      <c r="T475" t="s">
        <v>69</v>
      </c>
      <c r="U475" t="s">
        <v>69</v>
      </c>
      <c r="V475" t="s">
        <v>69</v>
      </c>
      <c r="W475" t="s">
        <v>69</v>
      </c>
      <c r="X475" t="s">
        <v>69</v>
      </c>
      <c r="Y475" t="s">
        <v>32111</v>
      </c>
      <c r="Z475" t="s">
        <v>32112</v>
      </c>
      <c r="AA475" t="s">
        <v>32113</v>
      </c>
      <c r="AB475" t="s">
        <v>32114</v>
      </c>
      <c r="AC475" t="s">
        <v>69</v>
      </c>
      <c r="AD475" t="s">
        <v>32115</v>
      </c>
      <c r="AE475" t="s">
        <v>69</v>
      </c>
      <c r="AF475" t="s">
        <v>32116</v>
      </c>
      <c r="AG475" t="s">
        <v>32117</v>
      </c>
      <c r="AH475" t="s">
        <v>69</v>
      </c>
      <c r="AI475" t="s">
        <v>69</v>
      </c>
      <c r="AJ475" t="s">
        <v>69</v>
      </c>
      <c r="AK475" t="s">
        <v>69</v>
      </c>
      <c r="AL475">
        <v>22</v>
      </c>
      <c r="AM475">
        <v>9</v>
      </c>
      <c r="AN475">
        <v>10</v>
      </c>
      <c r="AO475">
        <v>0</v>
      </c>
      <c r="AP475">
        <v>1</v>
      </c>
      <c r="AQ475" t="s">
        <v>31905</v>
      </c>
      <c r="AR475" t="s">
        <v>8637</v>
      </c>
      <c r="AS475" t="s">
        <v>31286</v>
      </c>
      <c r="AT475" t="s">
        <v>13900</v>
      </c>
      <c r="AU475" t="s">
        <v>69</v>
      </c>
      <c r="AV475" t="s">
        <v>69</v>
      </c>
      <c r="AW475" t="s">
        <v>13902</v>
      </c>
      <c r="AX475" t="s">
        <v>13903</v>
      </c>
      <c r="AY475" t="s">
        <v>94</v>
      </c>
      <c r="AZ475">
        <v>1998</v>
      </c>
      <c r="BA475">
        <v>32</v>
      </c>
      <c r="BB475">
        <v>2</v>
      </c>
      <c r="BC475" t="s">
        <v>69</v>
      </c>
      <c r="BD475" t="s">
        <v>69</v>
      </c>
      <c r="BE475" t="s">
        <v>69</v>
      </c>
      <c r="BF475" t="s">
        <v>69</v>
      </c>
      <c r="BG475">
        <v>138</v>
      </c>
      <c r="BH475">
        <v>142</v>
      </c>
      <c r="BI475" t="s">
        <v>69</v>
      </c>
      <c r="BJ475" t="s">
        <v>32118</v>
      </c>
      <c r="BK475" t="str">
        <f>HYPERLINK("http://dx.doi.org/10.1046/j.1365-2923.1998.00183.x","http://dx.doi.org/10.1046/j.1365-2923.1998.00183.x")</f>
        <v>http://dx.doi.org/10.1046/j.1365-2923.1998.00183.x</v>
      </c>
      <c r="BL475" t="s">
        <v>69</v>
      </c>
      <c r="BM475" t="s">
        <v>69</v>
      </c>
      <c r="BN475">
        <v>5</v>
      </c>
      <c r="BO475" t="s">
        <v>13905</v>
      </c>
      <c r="BP475" t="s">
        <v>8548</v>
      </c>
      <c r="BQ475" t="s">
        <v>13906</v>
      </c>
      <c r="BR475" t="s">
        <v>32119</v>
      </c>
      <c r="BS475" t="s">
        <v>32120</v>
      </c>
      <c r="BT475">
        <v>9743764</v>
      </c>
      <c r="BU475" t="s">
        <v>69</v>
      </c>
      <c r="BV475" t="s">
        <v>69</v>
      </c>
      <c r="BW475" t="s">
        <v>69</v>
      </c>
      <c r="BX475" t="s">
        <v>8526</v>
      </c>
      <c r="BY475" t="str">
        <f>HYPERLINK("https%3A%2F%2Fwww.webofscience.com%2Fwos%2Fwoscc%2Ffull-record%2FWOS:000074264300006","View Full Record in Web of Science")</f>
        <v>View Full Record in Web of Science</v>
      </c>
    </row>
    <row r="476" spans="1:77" ht="12.5" x14ac:dyDescent="0.25">
      <c r="A476" t="s">
        <v>8495</v>
      </c>
      <c r="B476" s="7" t="s">
        <v>32933</v>
      </c>
      <c r="C476" s="7"/>
      <c r="D476" s="7"/>
      <c r="E476" s="7"/>
      <c r="F476" t="s">
        <v>67</v>
      </c>
      <c r="G476" t="s">
        <v>4774</v>
      </c>
      <c r="H476" t="s">
        <v>69</v>
      </c>
      <c r="I476" t="s">
        <v>69</v>
      </c>
      <c r="J476" t="s">
        <v>69</v>
      </c>
      <c r="K476" t="s">
        <v>4775</v>
      </c>
      <c r="L476" t="s">
        <v>69</v>
      </c>
      <c r="M476" t="s">
        <v>69</v>
      </c>
      <c r="N476" t="s">
        <v>4776</v>
      </c>
      <c r="O476" t="s">
        <v>4777</v>
      </c>
      <c r="P476" t="s">
        <v>69</v>
      </c>
      <c r="Q476" t="s">
        <v>69</v>
      </c>
      <c r="R476" t="s">
        <v>8505</v>
      </c>
      <c r="S476" t="s">
        <v>8506</v>
      </c>
      <c r="T476" t="s">
        <v>69</v>
      </c>
      <c r="U476" t="s">
        <v>69</v>
      </c>
      <c r="V476" t="s">
        <v>69</v>
      </c>
      <c r="W476" t="s">
        <v>69</v>
      </c>
      <c r="X476" t="s">
        <v>69</v>
      </c>
      <c r="Y476" t="s">
        <v>22799</v>
      </c>
      <c r="Z476" t="s">
        <v>69</v>
      </c>
      <c r="AA476" t="s">
        <v>4778</v>
      </c>
      <c r="AB476" t="s">
        <v>22800</v>
      </c>
      <c r="AC476" t="s">
        <v>69</v>
      </c>
      <c r="AD476" t="s">
        <v>22801</v>
      </c>
      <c r="AE476" t="s">
        <v>22802</v>
      </c>
      <c r="AF476" t="s">
        <v>69</v>
      </c>
      <c r="AG476" t="s">
        <v>69</v>
      </c>
      <c r="AH476" t="s">
        <v>69</v>
      </c>
      <c r="AI476" t="s">
        <v>69</v>
      </c>
      <c r="AJ476" t="s">
        <v>69</v>
      </c>
      <c r="AK476" t="s">
        <v>69</v>
      </c>
      <c r="AL476">
        <v>10</v>
      </c>
      <c r="AM476">
        <v>1</v>
      </c>
      <c r="AN476">
        <v>1</v>
      </c>
      <c r="AO476">
        <v>0</v>
      </c>
      <c r="AP476">
        <v>1</v>
      </c>
      <c r="AQ476" t="s">
        <v>22803</v>
      </c>
      <c r="AR476" t="s">
        <v>17913</v>
      </c>
      <c r="AS476" t="s">
        <v>22804</v>
      </c>
      <c r="AT476" t="s">
        <v>4779</v>
      </c>
      <c r="AU476" t="s">
        <v>4780</v>
      </c>
      <c r="AV476" t="s">
        <v>69</v>
      </c>
      <c r="AW476" t="s">
        <v>22805</v>
      </c>
      <c r="AX476" t="s">
        <v>22806</v>
      </c>
      <c r="AY476" t="s">
        <v>246</v>
      </c>
      <c r="AZ476">
        <v>2015</v>
      </c>
      <c r="BA476">
        <v>10</v>
      </c>
      <c r="BB476">
        <v>2</v>
      </c>
      <c r="BC476" t="s">
        <v>69</v>
      </c>
      <c r="BD476" t="s">
        <v>69</v>
      </c>
      <c r="BE476" t="s">
        <v>114</v>
      </c>
      <c r="BF476" t="s">
        <v>69</v>
      </c>
      <c r="BG476">
        <v>189</v>
      </c>
      <c r="BH476">
        <v>195</v>
      </c>
      <c r="BI476" t="s">
        <v>69</v>
      </c>
      <c r="BJ476" t="s">
        <v>4781</v>
      </c>
      <c r="BK476" t="str">
        <f>HYPERLINK("http://dx.doi.org/10.20965/jdr.2015.p0189","http://dx.doi.org/10.20965/jdr.2015.p0189")</f>
        <v>http://dx.doi.org/10.20965/jdr.2015.p0189</v>
      </c>
      <c r="BL476" t="s">
        <v>69</v>
      </c>
      <c r="BM476" t="s">
        <v>69</v>
      </c>
      <c r="BN476">
        <v>7</v>
      </c>
      <c r="BO476" t="s">
        <v>17732</v>
      </c>
      <c r="BP476" t="s">
        <v>8573</v>
      </c>
      <c r="BQ476" t="s">
        <v>17733</v>
      </c>
      <c r="BR476" t="s">
        <v>22807</v>
      </c>
      <c r="BS476" t="s">
        <v>4782</v>
      </c>
      <c r="BT476" t="s">
        <v>69</v>
      </c>
      <c r="BU476" t="s">
        <v>8931</v>
      </c>
      <c r="BV476" t="s">
        <v>69</v>
      </c>
      <c r="BW476" t="s">
        <v>69</v>
      </c>
      <c r="BX476" t="s">
        <v>8526</v>
      </c>
      <c r="BY476" t="str">
        <f>HYPERLINK("https%3A%2F%2Fwww.webofscience.com%2Fwos%2Fwoscc%2Ffull-record%2FWOS:000448814500002","View Full Record in Web of Science")</f>
        <v>View Full Record in Web of Science</v>
      </c>
    </row>
    <row r="477" spans="1:77" ht="12.5" x14ac:dyDescent="0.25">
      <c r="A477" t="s">
        <v>8495</v>
      </c>
      <c r="B477" s="22" t="s">
        <v>32931</v>
      </c>
      <c r="C477" s="7"/>
      <c r="D477" s="7"/>
      <c r="E477" s="7"/>
      <c r="F477" t="s">
        <v>67</v>
      </c>
      <c r="G477" t="s">
        <v>14123</v>
      </c>
      <c r="H477" t="s">
        <v>69</v>
      </c>
      <c r="I477" t="s">
        <v>69</v>
      </c>
      <c r="J477" t="s">
        <v>69</v>
      </c>
      <c r="K477" t="s">
        <v>14124</v>
      </c>
      <c r="L477" t="s">
        <v>69</v>
      </c>
      <c r="M477" t="s">
        <v>69</v>
      </c>
      <c r="N477" t="s">
        <v>14125</v>
      </c>
      <c r="O477" t="s">
        <v>352</v>
      </c>
      <c r="P477" t="s">
        <v>69</v>
      </c>
      <c r="Q477" t="s">
        <v>69</v>
      </c>
      <c r="R477" t="s">
        <v>8505</v>
      </c>
      <c r="S477" t="s">
        <v>8506</v>
      </c>
      <c r="T477" t="s">
        <v>69</v>
      </c>
      <c r="U477" t="s">
        <v>69</v>
      </c>
      <c r="V477" t="s">
        <v>69</v>
      </c>
      <c r="W477" t="s">
        <v>69</v>
      </c>
      <c r="X477" t="s">
        <v>69</v>
      </c>
      <c r="Y477" t="s">
        <v>14126</v>
      </c>
      <c r="Z477" t="s">
        <v>14127</v>
      </c>
      <c r="AA477" t="s">
        <v>14128</v>
      </c>
      <c r="AB477" t="s">
        <v>14129</v>
      </c>
      <c r="AC477" t="s">
        <v>69</v>
      </c>
      <c r="AD477" t="s">
        <v>14130</v>
      </c>
      <c r="AE477" t="s">
        <v>14131</v>
      </c>
      <c r="AF477" t="s">
        <v>69</v>
      </c>
      <c r="AG477" t="s">
        <v>14132</v>
      </c>
      <c r="AH477" t="s">
        <v>14133</v>
      </c>
      <c r="AI477" t="s">
        <v>14133</v>
      </c>
      <c r="AJ477" t="s">
        <v>14134</v>
      </c>
      <c r="AK477" t="s">
        <v>69</v>
      </c>
      <c r="AL477">
        <v>66</v>
      </c>
      <c r="AM477">
        <v>1</v>
      </c>
      <c r="AN477">
        <v>1</v>
      </c>
      <c r="AO477">
        <v>2</v>
      </c>
      <c r="AP477">
        <v>5</v>
      </c>
      <c r="AQ477" t="s">
        <v>8924</v>
      </c>
      <c r="AR477" t="s">
        <v>8925</v>
      </c>
      <c r="AS477" t="s">
        <v>8926</v>
      </c>
      <c r="AT477" t="s">
        <v>69</v>
      </c>
      <c r="AU477" t="s">
        <v>354</v>
      </c>
      <c r="AV477" t="s">
        <v>69</v>
      </c>
      <c r="AW477" t="s">
        <v>8958</v>
      </c>
      <c r="AX477" t="s">
        <v>8434</v>
      </c>
      <c r="AY477" t="s">
        <v>274</v>
      </c>
      <c r="AZ477">
        <v>2020</v>
      </c>
      <c r="BA477">
        <v>12</v>
      </c>
      <c r="BB477">
        <v>22</v>
      </c>
      <c r="BC477" t="s">
        <v>69</v>
      </c>
      <c r="BD477" t="s">
        <v>69</v>
      </c>
      <c r="BE477" t="s">
        <v>69</v>
      </c>
      <c r="BF477" t="s">
        <v>69</v>
      </c>
      <c r="BG477" t="s">
        <v>69</v>
      </c>
      <c r="BH477" t="s">
        <v>69</v>
      </c>
      <c r="BI477">
        <v>9519</v>
      </c>
      <c r="BJ477" t="s">
        <v>14135</v>
      </c>
      <c r="BK477" t="str">
        <f>HYPERLINK("http://dx.doi.org/10.3390/su12229519","http://dx.doi.org/10.3390/su12229519")</f>
        <v>http://dx.doi.org/10.3390/su12229519</v>
      </c>
      <c r="BL477" t="s">
        <v>69</v>
      </c>
      <c r="BM477" t="s">
        <v>69</v>
      </c>
      <c r="BN477">
        <v>20</v>
      </c>
      <c r="BO477" t="s">
        <v>8960</v>
      </c>
      <c r="BP477" t="s">
        <v>8523</v>
      </c>
      <c r="BQ477" t="s">
        <v>8961</v>
      </c>
      <c r="BR477" t="s">
        <v>14136</v>
      </c>
      <c r="BS477" t="s">
        <v>14137</v>
      </c>
      <c r="BT477" t="s">
        <v>69</v>
      </c>
      <c r="BU477" t="s">
        <v>9352</v>
      </c>
      <c r="BV477" t="s">
        <v>69</v>
      </c>
      <c r="BW477" t="s">
        <v>69</v>
      </c>
      <c r="BX477" t="s">
        <v>8526</v>
      </c>
      <c r="BY477" t="str">
        <f>HYPERLINK("https%3A%2F%2Fwww.webofscience.com%2Fwos%2Fwoscc%2Ffull-record%2FWOS:000594543600001","View Full Record in Web of Science")</f>
        <v>View Full Record in Web of Science</v>
      </c>
    </row>
    <row r="478" spans="1:77" ht="12.5" x14ac:dyDescent="0.25">
      <c r="A478" t="s">
        <v>8495</v>
      </c>
      <c r="B478" s="22" t="s">
        <v>32931</v>
      </c>
      <c r="C478" s="7"/>
      <c r="D478" s="7"/>
      <c r="E478" s="7"/>
      <c r="F478" t="s">
        <v>67</v>
      </c>
      <c r="G478" t="s">
        <v>16579</v>
      </c>
      <c r="H478" t="s">
        <v>69</v>
      </c>
      <c r="I478" t="s">
        <v>69</v>
      </c>
      <c r="J478" t="s">
        <v>69</v>
      </c>
      <c r="K478" t="s">
        <v>16580</v>
      </c>
      <c r="L478" t="s">
        <v>69</v>
      </c>
      <c r="M478" t="s">
        <v>69</v>
      </c>
      <c r="N478" t="s">
        <v>16581</v>
      </c>
      <c r="O478" t="s">
        <v>16582</v>
      </c>
      <c r="P478" t="s">
        <v>69</v>
      </c>
      <c r="Q478" t="s">
        <v>69</v>
      </c>
      <c r="R478" t="s">
        <v>8505</v>
      </c>
      <c r="S478" t="s">
        <v>8506</v>
      </c>
      <c r="T478" t="s">
        <v>69</v>
      </c>
      <c r="U478" t="s">
        <v>69</v>
      </c>
      <c r="V478" t="s">
        <v>69</v>
      </c>
      <c r="W478" t="s">
        <v>69</v>
      </c>
      <c r="X478" t="s">
        <v>69</v>
      </c>
      <c r="Y478" t="s">
        <v>16583</v>
      </c>
      <c r="Z478" t="s">
        <v>16584</v>
      </c>
      <c r="AA478" t="s">
        <v>16585</v>
      </c>
      <c r="AB478" t="s">
        <v>16586</v>
      </c>
      <c r="AC478" t="s">
        <v>69</v>
      </c>
      <c r="AD478" t="s">
        <v>16587</v>
      </c>
      <c r="AE478" t="s">
        <v>16588</v>
      </c>
      <c r="AF478" t="s">
        <v>16589</v>
      </c>
      <c r="AG478" t="s">
        <v>16590</v>
      </c>
      <c r="AH478" t="s">
        <v>69</v>
      </c>
      <c r="AI478" t="s">
        <v>69</v>
      </c>
      <c r="AJ478" t="s">
        <v>69</v>
      </c>
      <c r="AK478" t="s">
        <v>69</v>
      </c>
      <c r="AL478">
        <v>62</v>
      </c>
      <c r="AM478">
        <v>7</v>
      </c>
      <c r="AN478">
        <v>7</v>
      </c>
      <c r="AO478">
        <v>0</v>
      </c>
      <c r="AP478">
        <v>8</v>
      </c>
      <c r="AQ478" t="s">
        <v>15611</v>
      </c>
      <c r="AR478" t="s">
        <v>10924</v>
      </c>
      <c r="AS478" t="s">
        <v>15612</v>
      </c>
      <c r="AT478" t="s">
        <v>16591</v>
      </c>
      <c r="AU478" t="s">
        <v>16592</v>
      </c>
      <c r="AV478" t="s">
        <v>69</v>
      </c>
      <c r="AW478" t="s">
        <v>16593</v>
      </c>
      <c r="AX478" t="s">
        <v>16594</v>
      </c>
      <c r="AY478" t="s">
        <v>16595</v>
      </c>
      <c r="AZ478">
        <v>2019</v>
      </c>
      <c r="BA478">
        <v>40</v>
      </c>
      <c r="BB478">
        <v>10</v>
      </c>
      <c r="BC478" t="s">
        <v>69</v>
      </c>
      <c r="BD478" t="s">
        <v>69</v>
      </c>
      <c r="BE478" t="s">
        <v>114</v>
      </c>
      <c r="BF478" t="s">
        <v>69</v>
      </c>
      <c r="BG478">
        <v>832</v>
      </c>
      <c r="BH478">
        <v>838</v>
      </c>
      <c r="BI478" t="s">
        <v>69</v>
      </c>
      <c r="BJ478" t="s">
        <v>16596</v>
      </c>
      <c r="BK478" t="str">
        <f>HYPERLINK("http://dx.doi.org/10.1080/01612840.2019.1584655","http://dx.doi.org/10.1080/01612840.2019.1584655")</f>
        <v>http://dx.doi.org/10.1080/01612840.2019.1584655</v>
      </c>
      <c r="BL478" t="s">
        <v>69</v>
      </c>
      <c r="BM478" t="s">
        <v>69</v>
      </c>
      <c r="BN478">
        <v>7</v>
      </c>
      <c r="BO478" t="s">
        <v>16597</v>
      </c>
      <c r="BP478" t="s">
        <v>8523</v>
      </c>
      <c r="BQ478" t="s">
        <v>16597</v>
      </c>
      <c r="BR478" t="s">
        <v>16598</v>
      </c>
      <c r="BS478" t="s">
        <v>16599</v>
      </c>
      <c r="BT478">
        <v>31070501</v>
      </c>
      <c r="BU478" t="s">
        <v>69</v>
      </c>
      <c r="BV478" t="s">
        <v>69</v>
      </c>
      <c r="BW478" t="s">
        <v>69</v>
      </c>
      <c r="BX478" t="s">
        <v>8526</v>
      </c>
      <c r="BY478" t="str">
        <f>HYPERLINK("https%3A%2F%2Fwww.webofscience.com%2Fwos%2Fwoscc%2Ffull-record%2FWOS:000488470500003","View Full Record in Web of Science")</f>
        <v>View Full Record in Web of Science</v>
      </c>
    </row>
    <row r="479" spans="1:77" ht="12.5" x14ac:dyDescent="0.25">
      <c r="A479" t="s">
        <v>8495</v>
      </c>
      <c r="B479" s="22" t="s">
        <v>32931</v>
      </c>
      <c r="C479" s="7"/>
      <c r="D479" s="7"/>
      <c r="E479" s="7"/>
      <c r="F479" t="s">
        <v>67</v>
      </c>
      <c r="G479" t="s">
        <v>13726</v>
      </c>
      <c r="H479" t="s">
        <v>69</v>
      </c>
      <c r="I479" t="s">
        <v>69</v>
      </c>
      <c r="J479" t="s">
        <v>69</v>
      </c>
      <c r="K479" t="s">
        <v>13727</v>
      </c>
      <c r="L479" t="s">
        <v>69</v>
      </c>
      <c r="M479" t="s">
        <v>69</v>
      </c>
      <c r="N479" t="s">
        <v>13728</v>
      </c>
      <c r="O479" t="s">
        <v>13729</v>
      </c>
      <c r="P479" t="s">
        <v>69</v>
      </c>
      <c r="Q479" t="s">
        <v>69</v>
      </c>
      <c r="R479" t="s">
        <v>8505</v>
      </c>
      <c r="S479" t="s">
        <v>8506</v>
      </c>
      <c r="T479" t="s">
        <v>69</v>
      </c>
      <c r="U479" t="s">
        <v>69</v>
      </c>
      <c r="V479" t="s">
        <v>69</v>
      </c>
      <c r="W479" t="s">
        <v>69</v>
      </c>
      <c r="X479" t="s">
        <v>69</v>
      </c>
      <c r="Y479" t="s">
        <v>13730</v>
      </c>
      <c r="Z479" t="s">
        <v>13731</v>
      </c>
      <c r="AA479" t="s">
        <v>13732</v>
      </c>
      <c r="AB479" t="s">
        <v>13733</v>
      </c>
      <c r="AC479" t="s">
        <v>69</v>
      </c>
      <c r="AD479" t="s">
        <v>13734</v>
      </c>
      <c r="AE479" t="s">
        <v>13735</v>
      </c>
      <c r="AF479" t="s">
        <v>13736</v>
      </c>
      <c r="AG479" t="s">
        <v>13737</v>
      </c>
      <c r="AH479" t="s">
        <v>69</v>
      </c>
      <c r="AI479" t="s">
        <v>69</v>
      </c>
      <c r="AJ479" t="s">
        <v>69</v>
      </c>
      <c r="AK479" t="s">
        <v>69</v>
      </c>
      <c r="AL479">
        <v>63</v>
      </c>
      <c r="AM479">
        <v>0</v>
      </c>
      <c r="AN479">
        <v>0</v>
      </c>
      <c r="AO479">
        <v>3</v>
      </c>
      <c r="AP479">
        <v>6</v>
      </c>
      <c r="AQ479" t="s">
        <v>13738</v>
      </c>
      <c r="AR479" t="s">
        <v>13739</v>
      </c>
      <c r="AS479" t="s">
        <v>13740</v>
      </c>
      <c r="AT479" t="s">
        <v>13741</v>
      </c>
      <c r="AU479" t="s">
        <v>69</v>
      </c>
      <c r="AV479" t="s">
        <v>69</v>
      </c>
      <c r="AW479" t="s">
        <v>13742</v>
      </c>
      <c r="AX479" t="s">
        <v>13743</v>
      </c>
      <c r="AY479" t="s">
        <v>2512</v>
      </c>
      <c r="AZ479">
        <v>2021</v>
      </c>
      <c r="BA479">
        <v>9</v>
      </c>
      <c r="BB479">
        <v>1</v>
      </c>
      <c r="BC479" t="s">
        <v>69</v>
      </c>
      <c r="BD479" t="s">
        <v>69</v>
      </c>
      <c r="BE479" t="s">
        <v>69</v>
      </c>
      <c r="BF479" t="s">
        <v>69</v>
      </c>
      <c r="BG479">
        <v>11</v>
      </c>
      <c r="BH479">
        <v>44</v>
      </c>
      <c r="BI479" t="s">
        <v>69</v>
      </c>
      <c r="BJ479" t="s">
        <v>13744</v>
      </c>
      <c r="BK479" t="str">
        <f>HYPERLINK("http://dx.doi.org/10.5585/iji.v9i1.18103","http://dx.doi.org/10.5585/iji.v9i1.18103")</f>
        <v>http://dx.doi.org/10.5585/iji.v9i1.18103</v>
      </c>
      <c r="BL479" t="s">
        <v>69</v>
      </c>
      <c r="BM479" t="s">
        <v>69</v>
      </c>
      <c r="BN479">
        <v>34</v>
      </c>
      <c r="BO479" t="s">
        <v>8444</v>
      </c>
      <c r="BP479" t="s">
        <v>8573</v>
      </c>
      <c r="BQ479" t="s">
        <v>8594</v>
      </c>
      <c r="BR479" t="s">
        <v>13745</v>
      </c>
      <c r="BS479" t="s">
        <v>13746</v>
      </c>
      <c r="BT479" t="s">
        <v>69</v>
      </c>
      <c r="BU479" t="s">
        <v>9352</v>
      </c>
      <c r="BV479" t="s">
        <v>69</v>
      </c>
      <c r="BW479" t="s">
        <v>69</v>
      </c>
      <c r="BX479" t="s">
        <v>8526</v>
      </c>
      <c r="BY479" t="str">
        <f>HYPERLINK("https%3A%2F%2Fwww.webofscience.com%2Fwos%2Fwoscc%2Ffull-record%2FWOS:000644666000002","View Full Record in Web of Science")</f>
        <v>View Full Record in Web of Science</v>
      </c>
    </row>
    <row r="480" spans="1:77" ht="12.5" x14ac:dyDescent="0.25">
      <c r="A480" t="s">
        <v>8495</v>
      </c>
      <c r="B480" s="7" t="s">
        <v>32933</v>
      </c>
      <c r="C480" s="7"/>
      <c r="D480" s="7"/>
      <c r="E480" s="7"/>
      <c r="F480" t="s">
        <v>67</v>
      </c>
      <c r="G480" t="s">
        <v>6398</v>
      </c>
      <c r="H480" t="s">
        <v>69</v>
      </c>
      <c r="I480" t="s">
        <v>69</v>
      </c>
      <c r="J480" t="s">
        <v>69</v>
      </c>
      <c r="K480" t="s">
        <v>6399</v>
      </c>
      <c r="L480" t="s">
        <v>69</v>
      </c>
      <c r="M480" t="s">
        <v>69</v>
      </c>
      <c r="N480" t="s">
        <v>6400</v>
      </c>
      <c r="O480" t="s">
        <v>294</v>
      </c>
      <c r="P480" t="s">
        <v>69</v>
      </c>
      <c r="Q480" t="s">
        <v>69</v>
      </c>
      <c r="R480" t="s">
        <v>8505</v>
      </c>
      <c r="S480" t="s">
        <v>8506</v>
      </c>
      <c r="T480" t="s">
        <v>69</v>
      </c>
      <c r="U480" t="s">
        <v>69</v>
      </c>
      <c r="V480" t="s">
        <v>69</v>
      </c>
      <c r="W480" t="s">
        <v>69</v>
      </c>
      <c r="X480" t="s">
        <v>69</v>
      </c>
      <c r="Y480" t="s">
        <v>21526</v>
      </c>
      <c r="Z480" t="s">
        <v>21527</v>
      </c>
      <c r="AA480" t="s">
        <v>6401</v>
      </c>
      <c r="AB480" t="s">
        <v>21528</v>
      </c>
      <c r="AC480" t="s">
        <v>69</v>
      </c>
      <c r="AD480" t="s">
        <v>21529</v>
      </c>
      <c r="AE480" t="s">
        <v>21530</v>
      </c>
      <c r="AF480" t="s">
        <v>69</v>
      </c>
      <c r="AG480" t="s">
        <v>21531</v>
      </c>
      <c r="AH480" t="s">
        <v>21532</v>
      </c>
      <c r="AI480" t="s">
        <v>21533</v>
      </c>
      <c r="AJ480" t="s">
        <v>21534</v>
      </c>
      <c r="AK480" t="s">
        <v>69</v>
      </c>
      <c r="AL480">
        <v>32</v>
      </c>
      <c r="AM480">
        <v>7</v>
      </c>
      <c r="AN480">
        <v>7</v>
      </c>
      <c r="AO480">
        <v>2</v>
      </c>
      <c r="AP480">
        <v>27</v>
      </c>
      <c r="AQ480" t="s">
        <v>8563</v>
      </c>
      <c r="AR480" t="s">
        <v>8564</v>
      </c>
      <c r="AS480" t="s">
        <v>8565</v>
      </c>
      <c r="AT480" t="s">
        <v>297</v>
      </c>
      <c r="AU480" t="s">
        <v>298</v>
      </c>
      <c r="AV480" t="s">
        <v>69</v>
      </c>
      <c r="AW480" t="s">
        <v>13428</v>
      </c>
      <c r="AX480" t="s">
        <v>13429</v>
      </c>
      <c r="AY480" t="s">
        <v>84</v>
      </c>
      <c r="AZ480">
        <v>2016</v>
      </c>
      <c r="BA480">
        <v>23</v>
      </c>
      <c r="BB480">
        <v>14</v>
      </c>
      <c r="BC480" t="s">
        <v>69</v>
      </c>
      <c r="BD480" t="s">
        <v>69</v>
      </c>
      <c r="BE480" t="s">
        <v>69</v>
      </c>
      <c r="BF480" t="s">
        <v>69</v>
      </c>
      <c r="BG480">
        <v>13661</v>
      </c>
      <c r="BH480">
        <v>13671</v>
      </c>
      <c r="BI480" t="s">
        <v>69</v>
      </c>
      <c r="BJ480" t="s">
        <v>6402</v>
      </c>
      <c r="BK480" t="str">
        <f>HYPERLINK("http://dx.doi.org/10.1007/s11356-015-5269-x","http://dx.doi.org/10.1007/s11356-015-5269-x")</f>
        <v>http://dx.doi.org/10.1007/s11356-015-5269-x</v>
      </c>
      <c r="BL480" t="s">
        <v>69</v>
      </c>
      <c r="BM480" t="s">
        <v>69</v>
      </c>
      <c r="BN480">
        <v>11</v>
      </c>
      <c r="BO480" t="s">
        <v>8717</v>
      </c>
      <c r="BP480" t="s">
        <v>8548</v>
      </c>
      <c r="BQ480" t="s">
        <v>8662</v>
      </c>
      <c r="BR480" t="s">
        <v>21535</v>
      </c>
      <c r="BS480" t="s">
        <v>6403</v>
      </c>
      <c r="BT480">
        <v>26347416</v>
      </c>
      <c r="BU480" t="s">
        <v>69</v>
      </c>
      <c r="BV480" t="s">
        <v>69</v>
      </c>
      <c r="BW480" t="s">
        <v>69</v>
      </c>
      <c r="BX480" t="s">
        <v>8526</v>
      </c>
      <c r="BY480" t="str">
        <f>HYPERLINK("https%3A%2F%2Fwww.webofscience.com%2Fwos%2Fwoscc%2Ffull-record%2FWOS:000379553500009","View Full Record in Web of Science")</f>
        <v>View Full Record in Web of Science</v>
      </c>
    </row>
    <row r="481" spans="1:77" ht="12.5" x14ac:dyDescent="0.25">
      <c r="A481" t="s">
        <v>8495</v>
      </c>
      <c r="B481" s="7" t="s">
        <v>32933</v>
      </c>
      <c r="C481" s="7"/>
      <c r="D481" s="7"/>
      <c r="E481" s="7"/>
      <c r="F481" t="s">
        <v>67</v>
      </c>
      <c r="G481" t="s">
        <v>1862</v>
      </c>
      <c r="H481" t="s">
        <v>69</v>
      </c>
      <c r="I481" t="s">
        <v>69</v>
      </c>
      <c r="J481" t="s">
        <v>69</v>
      </c>
      <c r="K481" t="s">
        <v>1863</v>
      </c>
      <c r="L481" t="s">
        <v>69</v>
      </c>
      <c r="M481" t="s">
        <v>69</v>
      </c>
      <c r="N481" t="s">
        <v>1864</v>
      </c>
      <c r="O481" t="s">
        <v>408</v>
      </c>
      <c r="P481" t="s">
        <v>69</v>
      </c>
      <c r="Q481" t="s">
        <v>69</v>
      </c>
      <c r="R481" t="s">
        <v>8505</v>
      </c>
      <c r="S481" t="s">
        <v>8506</v>
      </c>
      <c r="T481" t="s">
        <v>69</v>
      </c>
      <c r="U481" t="s">
        <v>69</v>
      </c>
      <c r="V481" t="s">
        <v>69</v>
      </c>
      <c r="W481" t="s">
        <v>69</v>
      </c>
      <c r="X481" t="s">
        <v>69</v>
      </c>
      <c r="Y481" t="s">
        <v>14002</v>
      </c>
      <c r="Z481" t="s">
        <v>14003</v>
      </c>
      <c r="AA481" t="s">
        <v>1865</v>
      </c>
      <c r="AB481" t="s">
        <v>14004</v>
      </c>
      <c r="AC481" t="s">
        <v>69</v>
      </c>
      <c r="AD481" t="s">
        <v>14005</v>
      </c>
      <c r="AE481" t="s">
        <v>14006</v>
      </c>
      <c r="AF481" t="s">
        <v>14007</v>
      </c>
      <c r="AG481" t="s">
        <v>14008</v>
      </c>
      <c r="AH481" t="s">
        <v>14009</v>
      </c>
      <c r="AI481" t="s">
        <v>14010</v>
      </c>
      <c r="AJ481" t="s">
        <v>14011</v>
      </c>
      <c r="AK481" t="s">
        <v>69</v>
      </c>
      <c r="AL481">
        <v>48</v>
      </c>
      <c r="AM481">
        <v>5</v>
      </c>
      <c r="AN481">
        <v>5</v>
      </c>
      <c r="AO481">
        <v>1</v>
      </c>
      <c r="AP481">
        <v>16</v>
      </c>
      <c r="AQ481" t="s">
        <v>8586</v>
      </c>
      <c r="AR481" t="s">
        <v>8587</v>
      </c>
      <c r="AS481" t="s">
        <v>8588</v>
      </c>
      <c r="AT481" t="s">
        <v>410</v>
      </c>
      <c r="AU481" t="s">
        <v>411</v>
      </c>
      <c r="AV481" t="s">
        <v>69</v>
      </c>
      <c r="AW481" t="s">
        <v>9125</v>
      </c>
      <c r="AX481" t="s">
        <v>9126</v>
      </c>
      <c r="AY481" t="s">
        <v>6073</v>
      </c>
      <c r="AZ481">
        <v>2021</v>
      </c>
      <c r="BA481">
        <v>28</v>
      </c>
      <c r="BB481">
        <v>5</v>
      </c>
      <c r="BC481" t="s">
        <v>69</v>
      </c>
      <c r="BD481" t="s">
        <v>69</v>
      </c>
      <c r="BE481" t="s">
        <v>114</v>
      </c>
      <c r="BF481" t="s">
        <v>69</v>
      </c>
      <c r="BG481">
        <v>1377</v>
      </c>
      <c r="BH481">
        <v>1396</v>
      </c>
      <c r="BI481" t="s">
        <v>69</v>
      </c>
      <c r="BJ481" t="s">
        <v>1866</v>
      </c>
      <c r="BK481" t="str">
        <f>HYPERLINK("http://dx.doi.org/10.1108/ECAM-07-2020-0576","http://dx.doi.org/10.1108/ECAM-07-2020-0576")</f>
        <v>http://dx.doi.org/10.1108/ECAM-07-2020-0576</v>
      </c>
      <c r="BL481" t="s">
        <v>69</v>
      </c>
      <c r="BM481" t="s">
        <v>1867</v>
      </c>
      <c r="BN481">
        <v>20</v>
      </c>
      <c r="BO481" t="s">
        <v>9128</v>
      </c>
      <c r="BP481" t="s">
        <v>8523</v>
      </c>
      <c r="BQ481" t="s">
        <v>9129</v>
      </c>
      <c r="BR481" t="s">
        <v>14012</v>
      </c>
      <c r="BS481" t="s">
        <v>1868</v>
      </c>
      <c r="BT481" t="s">
        <v>69</v>
      </c>
      <c r="BU481" t="s">
        <v>69</v>
      </c>
      <c r="BV481" t="s">
        <v>69</v>
      </c>
      <c r="BW481" t="s">
        <v>69</v>
      </c>
      <c r="BX481" t="s">
        <v>8526</v>
      </c>
      <c r="BY481" t="str">
        <f>HYPERLINK("https%3A%2F%2Fwww.webofscience.com%2Fwos%2Fwoscc%2Ffull-record%2FWOS:000592792900001","View Full Record in Web of Science")</f>
        <v>View Full Record in Web of Science</v>
      </c>
    </row>
    <row r="482" spans="1:77" ht="12.5" x14ac:dyDescent="0.25">
      <c r="A482" t="s">
        <v>8495</v>
      </c>
      <c r="B482" s="7" t="s">
        <v>32933</v>
      </c>
      <c r="C482" s="7"/>
      <c r="D482" s="7"/>
      <c r="E482" s="7"/>
      <c r="F482" t="s">
        <v>67</v>
      </c>
      <c r="G482" t="s">
        <v>5038</v>
      </c>
      <c r="H482" t="s">
        <v>69</v>
      </c>
      <c r="I482" t="s">
        <v>69</v>
      </c>
      <c r="J482" t="s">
        <v>69</v>
      </c>
      <c r="K482" t="s">
        <v>5038</v>
      </c>
      <c r="L482" t="s">
        <v>69</v>
      </c>
      <c r="M482" t="s">
        <v>69</v>
      </c>
      <c r="N482" t="s">
        <v>5039</v>
      </c>
      <c r="O482" t="s">
        <v>4760</v>
      </c>
      <c r="P482" t="s">
        <v>69</v>
      </c>
      <c r="Q482" t="s">
        <v>69</v>
      </c>
      <c r="R482" t="s">
        <v>8505</v>
      </c>
      <c r="S482" t="s">
        <v>8506</v>
      </c>
      <c r="T482" t="s">
        <v>69</v>
      </c>
      <c r="U482" t="s">
        <v>69</v>
      </c>
      <c r="V482" t="s">
        <v>69</v>
      </c>
      <c r="W482" t="s">
        <v>69</v>
      </c>
      <c r="X482" t="s">
        <v>69</v>
      </c>
      <c r="Y482" t="s">
        <v>69</v>
      </c>
      <c r="Z482" t="s">
        <v>69</v>
      </c>
      <c r="AA482" t="s">
        <v>5040</v>
      </c>
      <c r="AB482" t="s">
        <v>32635</v>
      </c>
      <c r="AC482" t="s">
        <v>69</v>
      </c>
      <c r="AD482" t="s">
        <v>32636</v>
      </c>
      <c r="AE482" t="s">
        <v>69</v>
      </c>
      <c r="AF482" t="s">
        <v>69</v>
      </c>
      <c r="AG482" t="s">
        <v>69</v>
      </c>
      <c r="AH482" t="s">
        <v>69</v>
      </c>
      <c r="AI482" t="s">
        <v>69</v>
      </c>
      <c r="AJ482" t="s">
        <v>69</v>
      </c>
      <c r="AK482" t="s">
        <v>69</v>
      </c>
      <c r="AL482">
        <v>1</v>
      </c>
      <c r="AM482">
        <v>3</v>
      </c>
      <c r="AN482">
        <v>3</v>
      </c>
      <c r="AO482">
        <v>0</v>
      </c>
      <c r="AP482">
        <v>1</v>
      </c>
      <c r="AQ482" t="s">
        <v>32637</v>
      </c>
      <c r="AR482" t="s">
        <v>32489</v>
      </c>
      <c r="AS482" t="s">
        <v>32638</v>
      </c>
      <c r="AT482" t="s">
        <v>4762</v>
      </c>
      <c r="AU482" t="s">
        <v>69</v>
      </c>
      <c r="AV482" t="s">
        <v>69</v>
      </c>
      <c r="AW482" t="s">
        <v>16818</v>
      </c>
      <c r="AX482" t="s">
        <v>16819</v>
      </c>
      <c r="AY482" t="s">
        <v>381</v>
      </c>
      <c r="AZ482">
        <v>1994</v>
      </c>
      <c r="BA482">
        <v>86</v>
      </c>
      <c r="BB482">
        <v>10</v>
      </c>
      <c r="BC482" t="s">
        <v>69</v>
      </c>
      <c r="BD482" t="s">
        <v>69</v>
      </c>
      <c r="BE482" t="s">
        <v>69</v>
      </c>
      <c r="BF482" t="s">
        <v>69</v>
      </c>
      <c r="BG482">
        <v>48</v>
      </c>
      <c r="BH482">
        <v>60</v>
      </c>
      <c r="BI482" t="s">
        <v>69</v>
      </c>
      <c r="BJ482" t="s">
        <v>69</v>
      </c>
      <c r="BK482" t="s">
        <v>69</v>
      </c>
      <c r="BL482" t="s">
        <v>69</v>
      </c>
      <c r="BM482" t="s">
        <v>69</v>
      </c>
      <c r="BN482">
        <v>13</v>
      </c>
      <c r="BO482" t="s">
        <v>9229</v>
      </c>
      <c r="BP482" t="s">
        <v>8548</v>
      </c>
      <c r="BQ482" t="s">
        <v>9230</v>
      </c>
      <c r="BR482" t="s">
        <v>32639</v>
      </c>
      <c r="BS482" t="s">
        <v>5041</v>
      </c>
      <c r="BT482" t="s">
        <v>69</v>
      </c>
      <c r="BU482" t="s">
        <v>69</v>
      </c>
      <c r="BV482" t="s">
        <v>69</v>
      </c>
      <c r="BW482" t="s">
        <v>69</v>
      </c>
      <c r="BX482" t="s">
        <v>8526</v>
      </c>
      <c r="BY482" t="str">
        <f>HYPERLINK("https%3A%2F%2Fwww.webofscience.com%2Fwos%2Fwoscc%2Ffull-record%2FWOS:A1994PK73900009","View Full Record in Web of Science")</f>
        <v>View Full Record in Web of Science</v>
      </c>
    </row>
    <row r="483" spans="1:77" ht="12.5" x14ac:dyDescent="0.25">
      <c r="A483" t="s">
        <v>8495</v>
      </c>
      <c r="B483" s="7" t="s">
        <v>32933</v>
      </c>
      <c r="C483" s="7"/>
      <c r="D483" s="7"/>
      <c r="E483" s="7"/>
      <c r="F483" t="s">
        <v>67</v>
      </c>
      <c r="G483" t="s">
        <v>7051</v>
      </c>
      <c r="H483" t="s">
        <v>69</v>
      </c>
      <c r="I483" t="s">
        <v>69</v>
      </c>
      <c r="J483" t="s">
        <v>69</v>
      </c>
      <c r="K483" t="s">
        <v>7051</v>
      </c>
      <c r="L483" t="s">
        <v>69</v>
      </c>
      <c r="M483" t="s">
        <v>69</v>
      </c>
      <c r="N483" s="4" t="s">
        <v>7052</v>
      </c>
      <c r="O483" t="s">
        <v>7053</v>
      </c>
      <c r="P483" t="s">
        <v>69</v>
      </c>
      <c r="Q483" t="s">
        <v>69</v>
      </c>
      <c r="R483" t="s">
        <v>8505</v>
      </c>
      <c r="S483" t="s">
        <v>8506</v>
      </c>
      <c r="T483" t="s">
        <v>69</v>
      </c>
      <c r="U483" t="s">
        <v>69</v>
      </c>
      <c r="V483" t="s">
        <v>69</v>
      </c>
      <c r="W483" t="s">
        <v>69</v>
      </c>
      <c r="X483" t="s">
        <v>69</v>
      </c>
      <c r="Y483" t="s">
        <v>69</v>
      </c>
      <c r="Z483" t="s">
        <v>30091</v>
      </c>
      <c r="AA483" t="s">
        <v>7054</v>
      </c>
      <c r="AB483" t="s">
        <v>30092</v>
      </c>
      <c r="AC483" t="s">
        <v>69</v>
      </c>
      <c r="AD483" t="s">
        <v>30093</v>
      </c>
      <c r="AE483" t="s">
        <v>30094</v>
      </c>
      <c r="AF483" t="s">
        <v>30095</v>
      </c>
      <c r="AG483" t="s">
        <v>69</v>
      </c>
      <c r="AH483" t="s">
        <v>69</v>
      </c>
      <c r="AI483" t="s">
        <v>69</v>
      </c>
      <c r="AJ483" t="s">
        <v>69</v>
      </c>
      <c r="AK483" t="s">
        <v>69</v>
      </c>
      <c r="AL483">
        <v>50</v>
      </c>
      <c r="AM483">
        <v>17</v>
      </c>
      <c r="AN483">
        <v>17</v>
      </c>
      <c r="AO483">
        <v>0</v>
      </c>
      <c r="AP483">
        <v>7</v>
      </c>
      <c r="AQ483" t="s">
        <v>30096</v>
      </c>
      <c r="AR483" t="s">
        <v>30097</v>
      </c>
      <c r="AS483" t="s">
        <v>30098</v>
      </c>
      <c r="AT483" t="s">
        <v>7055</v>
      </c>
      <c r="AU483" t="s">
        <v>7056</v>
      </c>
      <c r="AV483" t="s">
        <v>69</v>
      </c>
      <c r="AW483" t="s">
        <v>30099</v>
      </c>
      <c r="AX483" t="s">
        <v>30100</v>
      </c>
      <c r="AY483" t="s">
        <v>1710</v>
      </c>
      <c r="AZ483">
        <v>2006</v>
      </c>
      <c r="BA483">
        <v>16</v>
      </c>
      <c r="BB483">
        <v>1</v>
      </c>
      <c r="BC483" t="s">
        <v>69</v>
      </c>
      <c r="BD483">
        <v>1</v>
      </c>
      <c r="BE483" t="s">
        <v>69</v>
      </c>
      <c r="BF483" t="s">
        <v>69</v>
      </c>
      <c r="BG483">
        <v>107</v>
      </c>
      <c r="BH483">
        <v>117</v>
      </c>
      <c r="BI483" t="s">
        <v>69</v>
      </c>
      <c r="BJ483" t="s">
        <v>69</v>
      </c>
      <c r="BK483" t="s">
        <v>69</v>
      </c>
      <c r="BL483" t="s">
        <v>69</v>
      </c>
      <c r="BM483" t="s">
        <v>69</v>
      </c>
      <c r="BN483">
        <v>11</v>
      </c>
      <c r="BO483" t="s">
        <v>8810</v>
      </c>
      <c r="BP483" t="s">
        <v>8523</v>
      </c>
      <c r="BQ483" t="s">
        <v>8810</v>
      </c>
      <c r="BR483" t="s">
        <v>30101</v>
      </c>
      <c r="BS483" t="s">
        <v>7057</v>
      </c>
      <c r="BT483" t="s">
        <v>69</v>
      </c>
      <c r="BU483" t="s">
        <v>69</v>
      </c>
      <c r="BV483" t="s">
        <v>69</v>
      </c>
      <c r="BW483" t="s">
        <v>69</v>
      </c>
      <c r="BX483" t="s">
        <v>8526</v>
      </c>
      <c r="BY483" t="str">
        <f>HYPERLINK("https%3A%2F%2Fwww.webofscience.com%2Fwos%2Fwoscc%2Ffull-record%2FWOS:000235170700011","View Full Record in Web of Science")</f>
        <v>View Full Record in Web of Science</v>
      </c>
    </row>
    <row r="484" spans="1:77" ht="12.5" x14ac:dyDescent="0.25">
      <c r="A484" t="s">
        <v>8495</v>
      </c>
      <c r="B484" s="22" t="s">
        <v>32931</v>
      </c>
      <c r="C484" s="7"/>
      <c r="D484" s="7"/>
      <c r="E484" s="7"/>
      <c r="F484" t="s">
        <v>67</v>
      </c>
      <c r="G484" t="s">
        <v>27056</v>
      </c>
      <c r="H484" t="s">
        <v>69</v>
      </c>
      <c r="I484" t="s">
        <v>69</v>
      </c>
      <c r="J484" t="s">
        <v>69</v>
      </c>
      <c r="K484" t="s">
        <v>27057</v>
      </c>
      <c r="L484" t="s">
        <v>69</v>
      </c>
      <c r="M484" t="s">
        <v>69</v>
      </c>
      <c r="N484" t="s">
        <v>27058</v>
      </c>
      <c r="O484" t="s">
        <v>27059</v>
      </c>
      <c r="P484" t="s">
        <v>69</v>
      </c>
      <c r="Q484" t="s">
        <v>69</v>
      </c>
      <c r="R484" t="s">
        <v>8505</v>
      </c>
      <c r="S484" t="s">
        <v>8506</v>
      </c>
      <c r="T484" t="s">
        <v>69</v>
      </c>
      <c r="U484" t="s">
        <v>69</v>
      </c>
      <c r="V484" t="s">
        <v>69</v>
      </c>
      <c r="W484" t="s">
        <v>69</v>
      </c>
      <c r="X484" t="s">
        <v>69</v>
      </c>
      <c r="Y484" t="s">
        <v>27060</v>
      </c>
      <c r="Z484" t="s">
        <v>27061</v>
      </c>
      <c r="AA484" t="s">
        <v>27062</v>
      </c>
      <c r="AB484" t="s">
        <v>27063</v>
      </c>
      <c r="AC484" t="s">
        <v>69</v>
      </c>
      <c r="AD484" t="s">
        <v>27064</v>
      </c>
      <c r="AE484" t="s">
        <v>27065</v>
      </c>
      <c r="AF484" t="s">
        <v>69</v>
      </c>
      <c r="AG484" t="s">
        <v>69</v>
      </c>
      <c r="AH484" t="s">
        <v>27066</v>
      </c>
      <c r="AI484" t="s">
        <v>27067</v>
      </c>
      <c r="AJ484" t="s">
        <v>27068</v>
      </c>
      <c r="AK484" t="s">
        <v>69</v>
      </c>
      <c r="AL484">
        <v>14</v>
      </c>
      <c r="AM484">
        <v>11</v>
      </c>
      <c r="AN484">
        <v>12</v>
      </c>
      <c r="AO484">
        <v>0</v>
      </c>
      <c r="AP484">
        <v>9</v>
      </c>
      <c r="AQ484" t="s">
        <v>27069</v>
      </c>
      <c r="AR484" t="s">
        <v>27070</v>
      </c>
      <c r="AS484" t="s">
        <v>27071</v>
      </c>
      <c r="AT484" t="s">
        <v>27072</v>
      </c>
      <c r="AU484" t="s">
        <v>69</v>
      </c>
      <c r="AV484" t="s">
        <v>69</v>
      </c>
      <c r="AW484" t="s">
        <v>27073</v>
      </c>
      <c r="AX484" t="s">
        <v>27074</v>
      </c>
      <c r="AY484" t="s">
        <v>246</v>
      </c>
      <c r="AZ484">
        <v>2011</v>
      </c>
      <c r="BA484">
        <v>65</v>
      </c>
      <c r="BB484">
        <v>2</v>
      </c>
      <c r="BC484" t="s">
        <v>69</v>
      </c>
      <c r="BD484" t="s">
        <v>69</v>
      </c>
      <c r="BE484" t="s">
        <v>69</v>
      </c>
      <c r="BF484" t="s">
        <v>69</v>
      </c>
      <c r="BG484">
        <v>123</v>
      </c>
      <c r="BH484">
        <v>128</v>
      </c>
      <c r="BI484" t="s">
        <v>69</v>
      </c>
      <c r="BJ484" t="s">
        <v>69</v>
      </c>
      <c r="BK484" t="s">
        <v>69</v>
      </c>
      <c r="BL484" t="s">
        <v>69</v>
      </c>
      <c r="BM484" t="s">
        <v>69</v>
      </c>
      <c r="BN484">
        <v>6</v>
      </c>
      <c r="BO484" t="s">
        <v>20354</v>
      </c>
      <c r="BP484" t="s">
        <v>8523</v>
      </c>
      <c r="BQ484" t="s">
        <v>20355</v>
      </c>
      <c r="BR484" t="s">
        <v>27075</v>
      </c>
      <c r="BS484" t="s">
        <v>27076</v>
      </c>
      <c r="BT484">
        <v>21519370</v>
      </c>
      <c r="BU484" t="s">
        <v>69</v>
      </c>
      <c r="BV484" t="s">
        <v>69</v>
      </c>
      <c r="BW484" t="s">
        <v>69</v>
      </c>
      <c r="BX484" t="s">
        <v>8526</v>
      </c>
      <c r="BY484" t="str">
        <f>HYPERLINK("https%3A%2F%2Fwww.webofscience.com%2Fwos%2Fwoscc%2Ffull-record%2FWOS:000289818800008","View Full Record in Web of Science")</f>
        <v>View Full Record in Web of Science</v>
      </c>
    </row>
    <row r="485" spans="1:77" ht="12.5" x14ac:dyDescent="0.25">
      <c r="A485" t="s">
        <v>8495</v>
      </c>
      <c r="B485" s="7" t="s">
        <v>32933</v>
      </c>
      <c r="C485" s="7"/>
      <c r="D485" s="7"/>
      <c r="E485" s="7"/>
      <c r="F485" t="s">
        <v>67</v>
      </c>
      <c r="G485" t="s">
        <v>8076</v>
      </c>
      <c r="H485" t="s">
        <v>69</v>
      </c>
      <c r="I485" t="s">
        <v>69</v>
      </c>
      <c r="J485" t="s">
        <v>69</v>
      </c>
      <c r="K485" t="s">
        <v>8077</v>
      </c>
      <c r="L485" t="s">
        <v>69</v>
      </c>
      <c r="M485" t="s">
        <v>69</v>
      </c>
      <c r="N485" t="s">
        <v>8078</v>
      </c>
      <c r="O485" t="s">
        <v>4599</v>
      </c>
      <c r="P485" t="s">
        <v>69</v>
      </c>
      <c r="Q485" t="s">
        <v>69</v>
      </c>
      <c r="R485" t="s">
        <v>8505</v>
      </c>
      <c r="S485" t="s">
        <v>8506</v>
      </c>
      <c r="T485" t="s">
        <v>69</v>
      </c>
      <c r="U485" t="s">
        <v>69</v>
      </c>
      <c r="V485" t="s">
        <v>69</v>
      </c>
      <c r="W485" t="s">
        <v>69</v>
      </c>
      <c r="X485" t="s">
        <v>69</v>
      </c>
      <c r="Y485" t="s">
        <v>24703</v>
      </c>
      <c r="Z485" t="s">
        <v>24704</v>
      </c>
      <c r="AA485" t="s">
        <v>8079</v>
      </c>
      <c r="AB485" t="s">
        <v>24705</v>
      </c>
      <c r="AC485" t="s">
        <v>69</v>
      </c>
      <c r="AD485" t="s">
        <v>24706</v>
      </c>
      <c r="AE485" t="s">
        <v>24707</v>
      </c>
      <c r="AF485" t="s">
        <v>69</v>
      </c>
      <c r="AG485" t="s">
        <v>8080</v>
      </c>
      <c r="AH485" t="s">
        <v>69</v>
      </c>
      <c r="AI485" t="s">
        <v>69</v>
      </c>
      <c r="AJ485" t="s">
        <v>69</v>
      </c>
      <c r="AK485" t="s">
        <v>69</v>
      </c>
      <c r="AL485">
        <v>49</v>
      </c>
      <c r="AM485">
        <v>91</v>
      </c>
      <c r="AN485">
        <v>92</v>
      </c>
      <c r="AO485">
        <v>0</v>
      </c>
      <c r="AP485">
        <v>43</v>
      </c>
      <c r="AQ485" t="s">
        <v>21110</v>
      </c>
      <c r="AR485" t="s">
        <v>8847</v>
      </c>
      <c r="AS485" t="s">
        <v>8848</v>
      </c>
      <c r="AT485" t="s">
        <v>4601</v>
      </c>
      <c r="AU485" t="s">
        <v>4602</v>
      </c>
      <c r="AV485" t="s">
        <v>69</v>
      </c>
      <c r="AW485" t="s">
        <v>8849</v>
      </c>
      <c r="AX485" t="s">
        <v>8850</v>
      </c>
      <c r="AY485" t="s">
        <v>381</v>
      </c>
      <c r="AZ485">
        <v>2013</v>
      </c>
      <c r="BA485">
        <v>49</v>
      </c>
      <c r="BB485">
        <v>5</v>
      </c>
      <c r="BC485" t="s">
        <v>69</v>
      </c>
      <c r="BD485" t="s">
        <v>69</v>
      </c>
      <c r="BE485" t="s">
        <v>69</v>
      </c>
      <c r="BF485" t="s">
        <v>69</v>
      </c>
      <c r="BG485">
        <v>1042</v>
      </c>
      <c r="BH485">
        <v>1056</v>
      </c>
      <c r="BI485" t="s">
        <v>69</v>
      </c>
      <c r="BJ485" t="s">
        <v>8081</v>
      </c>
      <c r="BK485" t="str">
        <f>HYPERLINK("http://dx.doi.org/10.1111/jawr.12109","http://dx.doi.org/10.1111/jawr.12109")</f>
        <v>http://dx.doi.org/10.1111/jawr.12109</v>
      </c>
      <c r="BL485" t="s">
        <v>69</v>
      </c>
      <c r="BM485" t="s">
        <v>69</v>
      </c>
      <c r="BN485">
        <v>15</v>
      </c>
      <c r="BO485" t="s">
        <v>8852</v>
      </c>
      <c r="BP485" t="s">
        <v>8548</v>
      </c>
      <c r="BQ485" t="s">
        <v>8853</v>
      </c>
      <c r="BR485" t="s">
        <v>24708</v>
      </c>
      <c r="BS485" t="s">
        <v>8082</v>
      </c>
      <c r="BT485" t="s">
        <v>69</v>
      </c>
      <c r="BU485" t="s">
        <v>69</v>
      </c>
      <c r="BV485" t="s">
        <v>69</v>
      </c>
      <c r="BW485" t="s">
        <v>69</v>
      </c>
      <c r="BX485" t="s">
        <v>8526</v>
      </c>
      <c r="BY485" t="str">
        <f>HYPERLINK("https%3A%2F%2Fwww.webofscience.com%2Fwos%2Fwoscc%2Ffull-record%2FWOS:000325152600005","View Full Record in Web of Science")</f>
        <v>View Full Record in Web of Science</v>
      </c>
    </row>
    <row r="486" spans="1:77" ht="12.5" x14ac:dyDescent="0.25">
      <c r="A486" t="s">
        <v>8495</v>
      </c>
      <c r="B486" s="22" t="s">
        <v>32931</v>
      </c>
      <c r="C486" s="7"/>
      <c r="D486" s="7"/>
      <c r="E486" s="7"/>
      <c r="F486" t="s">
        <v>67</v>
      </c>
      <c r="G486" t="s">
        <v>24011</v>
      </c>
      <c r="H486" t="s">
        <v>69</v>
      </c>
      <c r="I486" t="s">
        <v>69</v>
      </c>
      <c r="J486" t="s">
        <v>69</v>
      </c>
      <c r="K486" t="s">
        <v>24012</v>
      </c>
      <c r="L486" t="s">
        <v>69</v>
      </c>
      <c r="M486" t="s">
        <v>69</v>
      </c>
      <c r="N486" t="s">
        <v>24013</v>
      </c>
      <c r="O486" t="s">
        <v>24014</v>
      </c>
      <c r="P486" t="s">
        <v>69</v>
      </c>
      <c r="Q486" t="s">
        <v>69</v>
      </c>
      <c r="R486" t="s">
        <v>8505</v>
      </c>
      <c r="S486" t="s">
        <v>8506</v>
      </c>
      <c r="T486" t="s">
        <v>69</v>
      </c>
      <c r="U486" t="s">
        <v>69</v>
      </c>
      <c r="V486" t="s">
        <v>69</v>
      </c>
      <c r="W486" t="s">
        <v>69</v>
      </c>
      <c r="X486" t="s">
        <v>69</v>
      </c>
      <c r="Y486" t="s">
        <v>24015</v>
      </c>
      <c r="Z486" t="s">
        <v>24016</v>
      </c>
      <c r="AA486" t="s">
        <v>24017</v>
      </c>
      <c r="AB486" t="s">
        <v>24018</v>
      </c>
      <c r="AC486" t="s">
        <v>69</v>
      </c>
      <c r="AD486" t="s">
        <v>24019</v>
      </c>
      <c r="AE486" t="s">
        <v>24020</v>
      </c>
      <c r="AF486" t="s">
        <v>24021</v>
      </c>
      <c r="AG486" t="s">
        <v>24022</v>
      </c>
      <c r="AH486" t="s">
        <v>24023</v>
      </c>
      <c r="AI486" t="s">
        <v>24024</v>
      </c>
      <c r="AJ486" t="s">
        <v>24025</v>
      </c>
      <c r="AK486" t="s">
        <v>69</v>
      </c>
      <c r="AL486">
        <v>84</v>
      </c>
      <c r="AM486">
        <v>12</v>
      </c>
      <c r="AN486">
        <v>13</v>
      </c>
      <c r="AO486">
        <v>0</v>
      </c>
      <c r="AP486">
        <v>3</v>
      </c>
      <c r="AQ486" t="s">
        <v>24026</v>
      </c>
      <c r="AR486" t="s">
        <v>24027</v>
      </c>
      <c r="AS486" t="s">
        <v>24028</v>
      </c>
      <c r="AT486" t="s">
        <v>24029</v>
      </c>
      <c r="AU486" t="s">
        <v>69</v>
      </c>
      <c r="AV486" t="s">
        <v>69</v>
      </c>
      <c r="AW486" t="s">
        <v>24014</v>
      </c>
      <c r="AX486" t="s">
        <v>24030</v>
      </c>
      <c r="AY486" t="s">
        <v>69</v>
      </c>
      <c r="AZ486">
        <v>2014</v>
      </c>
      <c r="BA486">
        <v>9</v>
      </c>
      <c r="BB486">
        <v>3</v>
      </c>
      <c r="BC486" t="s">
        <v>69</v>
      </c>
      <c r="BD486" t="s">
        <v>69</v>
      </c>
      <c r="BE486" t="s">
        <v>69</v>
      </c>
      <c r="BF486" t="s">
        <v>69</v>
      </c>
      <c r="BG486">
        <v>5707</v>
      </c>
      <c r="BH486">
        <v>5737</v>
      </c>
      <c r="BI486" t="s">
        <v>69</v>
      </c>
      <c r="BJ486" t="s">
        <v>69</v>
      </c>
      <c r="BK486" t="s">
        <v>69</v>
      </c>
      <c r="BL486" t="s">
        <v>69</v>
      </c>
      <c r="BM486" t="s">
        <v>69</v>
      </c>
      <c r="BN486">
        <v>31</v>
      </c>
      <c r="BO486" t="s">
        <v>24031</v>
      </c>
      <c r="BP486" t="s">
        <v>8523</v>
      </c>
      <c r="BQ486" t="s">
        <v>12151</v>
      </c>
      <c r="BR486" t="s">
        <v>24032</v>
      </c>
      <c r="BS486" t="s">
        <v>24033</v>
      </c>
      <c r="BT486" t="s">
        <v>69</v>
      </c>
      <c r="BU486" t="s">
        <v>69</v>
      </c>
      <c r="BV486" t="s">
        <v>69</v>
      </c>
      <c r="BW486" t="s">
        <v>69</v>
      </c>
      <c r="BX486" t="s">
        <v>8526</v>
      </c>
      <c r="BY486" t="str">
        <f>HYPERLINK("https%3A%2F%2Fwww.webofscience.com%2Fwos%2Fwoscc%2Ffull-record%2FWOS:000344184300158","View Full Record in Web of Science")</f>
        <v>View Full Record in Web of Science</v>
      </c>
    </row>
    <row r="487" spans="1:77" ht="12.5" x14ac:dyDescent="0.25">
      <c r="A487" t="s">
        <v>8495</v>
      </c>
      <c r="B487" s="7" t="s">
        <v>32933</v>
      </c>
      <c r="C487" s="7"/>
      <c r="D487" s="7"/>
      <c r="E487" s="7"/>
      <c r="F487" t="s">
        <v>67</v>
      </c>
      <c r="G487" t="s">
        <v>7652</v>
      </c>
      <c r="H487" t="s">
        <v>69</v>
      </c>
      <c r="I487" t="s">
        <v>69</v>
      </c>
      <c r="J487" t="s">
        <v>69</v>
      </c>
      <c r="K487" t="s">
        <v>7653</v>
      </c>
      <c r="L487" t="s">
        <v>69</v>
      </c>
      <c r="M487" t="s">
        <v>69</v>
      </c>
      <c r="N487" t="s">
        <v>7654</v>
      </c>
      <c r="O487" t="s">
        <v>7655</v>
      </c>
      <c r="P487" t="s">
        <v>69</v>
      </c>
      <c r="Q487" t="s">
        <v>69</v>
      </c>
      <c r="R487" t="s">
        <v>8505</v>
      </c>
      <c r="S487" t="s">
        <v>8506</v>
      </c>
      <c r="T487" t="s">
        <v>69</v>
      </c>
      <c r="U487" t="s">
        <v>69</v>
      </c>
      <c r="V487" t="s">
        <v>69</v>
      </c>
      <c r="W487" t="s">
        <v>69</v>
      </c>
      <c r="X487" t="s">
        <v>69</v>
      </c>
      <c r="Y487" t="s">
        <v>15987</v>
      </c>
      <c r="Z487" t="s">
        <v>69</v>
      </c>
      <c r="AA487" t="s">
        <v>7656</v>
      </c>
      <c r="AB487" t="s">
        <v>15988</v>
      </c>
      <c r="AC487" t="s">
        <v>69</v>
      </c>
      <c r="AD487" t="s">
        <v>15989</v>
      </c>
      <c r="AE487" t="s">
        <v>15990</v>
      </c>
      <c r="AF487" t="s">
        <v>15991</v>
      </c>
      <c r="AG487" t="s">
        <v>15992</v>
      </c>
      <c r="AH487" t="s">
        <v>69</v>
      </c>
      <c r="AI487" t="s">
        <v>69</v>
      </c>
      <c r="AJ487" t="s">
        <v>69</v>
      </c>
      <c r="AK487" t="s">
        <v>69</v>
      </c>
      <c r="AL487">
        <v>26</v>
      </c>
      <c r="AM487">
        <v>1</v>
      </c>
      <c r="AN487">
        <v>1</v>
      </c>
      <c r="AO487">
        <v>2</v>
      </c>
      <c r="AP487">
        <v>7</v>
      </c>
      <c r="AQ487" t="s">
        <v>15993</v>
      </c>
      <c r="AR487" t="s">
        <v>15994</v>
      </c>
      <c r="AS487" t="s">
        <v>15995</v>
      </c>
      <c r="AT487" t="s">
        <v>7657</v>
      </c>
      <c r="AU487" t="s">
        <v>7658</v>
      </c>
      <c r="AV487" t="s">
        <v>69</v>
      </c>
      <c r="AW487" t="s">
        <v>15996</v>
      </c>
      <c r="AX487" t="s">
        <v>15997</v>
      </c>
      <c r="AY487" t="s">
        <v>69</v>
      </c>
      <c r="AZ487">
        <v>2020</v>
      </c>
      <c r="BA487" t="s">
        <v>69</v>
      </c>
      <c r="BB487">
        <v>42</v>
      </c>
      <c r="BC487" t="s">
        <v>69</v>
      </c>
      <c r="BD487" t="s">
        <v>69</v>
      </c>
      <c r="BE487" t="s">
        <v>69</v>
      </c>
      <c r="BF487" t="s">
        <v>69</v>
      </c>
      <c r="BG487">
        <v>194</v>
      </c>
      <c r="BH487">
        <v>204</v>
      </c>
      <c r="BI487" t="s">
        <v>69</v>
      </c>
      <c r="BJ487" t="s">
        <v>69</v>
      </c>
      <c r="BK487" t="s">
        <v>69</v>
      </c>
      <c r="BL487" t="s">
        <v>69</v>
      </c>
      <c r="BM487" t="s">
        <v>69</v>
      </c>
      <c r="BN487">
        <v>11</v>
      </c>
      <c r="BO487" t="s">
        <v>10299</v>
      </c>
      <c r="BP487" t="s">
        <v>8573</v>
      </c>
      <c r="BQ487" t="s">
        <v>10279</v>
      </c>
      <c r="BR487" t="s">
        <v>15998</v>
      </c>
      <c r="BS487" t="s">
        <v>7659</v>
      </c>
      <c r="BT487" t="s">
        <v>69</v>
      </c>
      <c r="BU487" t="s">
        <v>69</v>
      </c>
      <c r="BV487" t="s">
        <v>69</v>
      </c>
      <c r="BW487" t="s">
        <v>69</v>
      </c>
      <c r="BX487" t="s">
        <v>8526</v>
      </c>
      <c r="BY487" t="str">
        <f>HYPERLINK("https%3A%2F%2Fwww.webofscience.com%2Fwos%2Fwoscc%2Ffull-record%2FWOS:000600032800019","View Full Record in Web of Science")</f>
        <v>View Full Record in Web of Science</v>
      </c>
    </row>
    <row r="488" spans="1:77" ht="12.5" x14ac:dyDescent="0.25">
      <c r="A488" t="s">
        <v>8495</v>
      </c>
      <c r="B488" s="22" t="s">
        <v>32931</v>
      </c>
      <c r="C488" s="7"/>
      <c r="D488" s="7"/>
      <c r="E488" s="7"/>
      <c r="F488" t="s">
        <v>67</v>
      </c>
      <c r="G488" t="s">
        <v>30184</v>
      </c>
      <c r="H488" t="s">
        <v>69</v>
      </c>
      <c r="I488" t="s">
        <v>69</v>
      </c>
      <c r="J488" t="s">
        <v>69</v>
      </c>
      <c r="K488" t="s">
        <v>30185</v>
      </c>
      <c r="L488" t="s">
        <v>69</v>
      </c>
      <c r="M488" t="s">
        <v>69</v>
      </c>
      <c r="N488" t="s">
        <v>30186</v>
      </c>
      <c r="O488" t="s">
        <v>30187</v>
      </c>
      <c r="P488" t="s">
        <v>69</v>
      </c>
      <c r="Q488" t="s">
        <v>69</v>
      </c>
      <c r="R488" t="s">
        <v>8505</v>
      </c>
      <c r="S488" t="s">
        <v>8506</v>
      </c>
      <c r="T488" t="s">
        <v>69</v>
      </c>
      <c r="U488" t="s">
        <v>69</v>
      </c>
      <c r="V488" t="s">
        <v>69</v>
      </c>
      <c r="W488" t="s">
        <v>69</v>
      </c>
      <c r="X488" t="s">
        <v>69</v>
      </c>
      <c r="Y488" t="s">
        <v>69</v>
      </c>
      <c r="Z488" t="s">
        <v>30188</v>
      </c>
      <c r="AA488" t="s">
        <v>30189</v>
      </c>
      <c r="AB488" t="s">
        <v>30190</v>
      </c>
      <c r="AC488" t="s">
        <v>69</v>
      </c>
      <c r="AD488" t="s">
        <v>30191</v>
      </c>
      <c r="AE488" t="s">
        <v>30192</v>
      </c>
      <c r="AF488" t="s">
        <v>30193</v>
      </c>
      <c r="AG488" t="s">
        <v>30194</v>
      </c>
      <c r="AH488" t="s">
        <v>69</v>
      </c>
      <c r="AI488" t="s">
        <v>69</v>
      </c>
      <c r="AJ488" t="s">
        <v>69</v>
      </c>
      <c r="AK488" t="s">
        <v>69</v>
      </c>
      <c r="AL488">
        <v>17</v>
      </c>
      <c r="AM488">
        <v>7</v>
      </c>
      <c r="AN488">
        <v>7</v>
      </c>
      <c r="AO488">
        <v>0</v>
      </c>
      <c r="AP488">
        <v>11</v>
      </c>
      <c r="AQ488" t="s">
        <v>9577</v>
      </c>
      <c r="AR488" t="s">
        <v>9578</v>
      </c>
      <c r="AS488" t="s">
        <v>9579</v>
      </c>
      <c r="AT488" t="s">
        <v>30195</v>
      </c>
      <c r="AU488" t="s">
        <v>30196</v>
      </c>
      <c r="AV488" t="s">
        <v>69</v>
      </c>
      <c r="AW488" t="s">
        <v>30197</v>
      </c>
      <c r="AX488" t="s">
        <v>30198</v>
      </c>
      <c r="AY488" t="s">
        <v>30199</v>
      </c>
      <c r="AZ488">
        <v>2006</v>
      </c>
      <c r="BA488">
        <v>6</v>
      </c>
      <c r="BB488" t="s">
        <v>69</v>
      </c>
      <c r="BC488" t="s">
        <v>69</v>
      </c>
      <c r="BD488" t="s">
        <v>69</v>
      </c>
      <c r="BE488" t="s">
        <v>69</v>
      </c>
      <c r="BF488" t="s">
        <v>69</v>
      </c>
      <c r="BG488">
        <v>3077</v>
      </c>
      <c r="BH488">
        <v>3083</v>
      </c>
      <c r="BI488" t="s">
        <v>69</v>
      </c>
      <c r="BJ488" t="s">
        <v>30200</v>
      </c>
      <c r="BK488" t="str">
        <f>HYPERLINK("http://dx.doi.org/10.5194/acp-6-3077-2006","http://dx.doi.org/10.5194/acp-6-3077-2006")</f>
        <v>http://dx.doi.org/10.5194/acp-6-3077-2006</v>
      </c>
      <c r="BL488" t="s">
        <v>69</v>
      </c>
      <c r="BM488" t="s">
        <v>69</v>
      </c>
      <c r="BN488">
        <v>7</v>
      </c>
      <c r="BO488" t="s">
        <v>11283</v>
      </c>
      <c r="BP488" t="s">
        <v>8548</v>
      </c>
      <c r="BQ488" t="s">
        <v>11284</v>
      </c>
      <c r="BR488" t="s">
        <v>30201</v>
      </c>
      <c r="BS488" t="s">
        <v>30202</v>
      </c>
      <c r="BT488" t="s">
        <v>69</v>
      </c>
      <c r="BU488" t="s">
        <v>10482</v>
      </c>
      <c r="BV488" t="s">
        <v>69</v>
      </c>
      <c r="BW488" t="s">
        <v>69</v>
      </c>
      <c r="BX488" t="s">
        <v>8526</v>
      </c>
      <c r="BY488" t="str">
        <f>HYPERLINK("https%3A%2F%2Fwww.webofscience.com%2Fwos%2Fwoscc%2Ffull-record%2FWOS:000239270700005","View Full Record in Web of Science")</f>
        <v>View Full Record in Web of Science</v>
      </c>
    </row>
    <row r="489" spans="1:77" ht="12.5" x14ac:dyDescent="0.25">
      <c r="A489" t="s">
        <v>8495</v>
      </c>
      <c r="B489" s="7" t="s">
        <v>32933</v>
      </c>
      <c r="C489" s="7"/>
      <c r="D489" s="7"/>
      <c r="E489" s="7"/>
      <c r="F489" t="s">
        <v>67</v>
      </c>
      <c r="G489" t="s">
        <v>3578</v>
      </c>
      <c r="H489" t="s">
        <v>69</v>
      </c>
      <c r="I489" t="s">
        <v>69</v>
      </c>
      <c r="J489" t="s">
        <v>69</v>
      </c>
      <c r="K489" t="s">
        <v>3579</v>
      </c>
      <c r="L489" t="s">
        <v>69</v>
      </c>
      <c r="M489" t="s">
        <v>69</v>
      </c>
      <c r="N489" t="s">
        <v>3580</v>
      </c>
      <c r="O489" t="s">
        <v>3581</v>
      </c>
      <c r="P489" t="s">
        <v>69</v>
      </c>
      <c r="Q489" t="s">
        <v>69</v>
      </c>
      <c r="R489" t="s">
        <v>8505</v>
      </c>
      <c r="S489" t="s">
        <v>8506</v>
      </c>
      <c r="T489" t="s">
        <v>69</v>
      </c>
      <c r="U489" t="s">
        <v>69</v>
      </c>
      <c r="V489" t="s">
        <v>69</v>
      </c>
      <c r="W489" t="s">
        <v>69</v>
      </c>
      <c r="X489" t="s">
        <v>69</v>
      </c>
      <c r="Y489" t="s">
        <v>28308</v>
      </c>
      <c r="Z489" t="s">
        <v>28309</v>
      </c>
      <c r="AA489" t="s">
        <v>3582</v>
      </c>
      <c r="AB489" t="s">
        <v>28310</v>
      </c>
      <c r="AC489" t="s">
        <v>69</v>
      </c>
      <c r="AD489" t="s">
        <v>28311</v>
      </c>
      <c r="AE489" t="s">
        <v>28312</v>
      </c>
      <c r="AF489" t="s">
        <v>3583</v>
      </c>
      <c r="AG489" t="s">
        <v>3584</v>
      </c>
      <c r="AH489" t="s">
        <v>69</v>
      </c>
      <c r="AI489" t="s">
        <v>69</v>
      </c>
      <c r="AJ489" t="s">
        <v>69</v>
      </c>
      <c r="AK489" t="s">
        <v>69</v>
      </c>
      <c r="AL489">
        <v>72</v>
      </c>
      <c r="AM489">
        <v>16</v>
      </c>
      <c r="AN489">
        <v>18</v>
      </c>
      <c r="AO489">
        <v>0</v>
      </c>
      <c r="AP489">
        <v>24</v>
      </c>
      <c r="AQ489" t="s">
        <v>16048</v>
      </c>
      <c r="AR489" t="s">
        <v>8517</v>
      </c>
      <c r="AS489" t="s">
        <v>16049</v>
      </c>
      <c r="AT489" t="s">
        <v>3585</v>
      </c>
      <c r="AU489" t="s">
        <v>3586</v>
      </c>
      <c r="AV489" t="s">
        <v>69</v>
      </c>
      <c r="AW489" t="s">
        <v>28313</v>
      </c>
      <c r="AX489" t="s">
        <v>28314</v>
      </c>
      <c r="AY489" t="s">
        <v>69</v>
      </c>
      <c r="AZ489">
        <v>2010</v>
      </c>
      <c r="BA489">
        <v>36</v>
      </c>
      <c r="BB489">
        <v>3</v>
      </c>
      <c r="BC489" t="s">
        <v>69</v>
      </c>
      <c r="BD489" t="s">
        <v>69</v>
      </c>
      <c r="BE489" t="s">
        <v>69</v>
      </c>
      <c r="BF489" t="s">
        <v>69</v>
      </c>
      <c r="BG489">
        <v>263</v>
      </c>
      <c r="BH489">
        <v>272</v>
      </c>
      <c r="BI489" t="s">
        <v>69</v>
      </c>
      <c r="BJ489" t="s">
        <v>3587</v>
      </c>
      <c r="BK489" t="str">
        <f>HYPERLINK("http://dx.doi.org/10.3233/WOR-2010-1028","http://dx.doi.org/10.3233/WOR-2010-1028")</f>
        <v>http://dx.doi.org/10.3233/WOR-2010-1028</v>
      </c>
      <c r="BL489" t="s">
        <v>69</v>
      </c>
      <c r="BM489" t="s">
        <v>69</v>
      </c>
      <c r="BN489">
        <v>10</v>
      </c>
      <c r="BO489" t="s">
        <v>8810</v>
      </c>
      <c r="BP489" t="s">
        <v>8661</v>
      </c>
      <c r="BQ489" t="s">
        <v>8810</v>
      </c>
      <c r="BR489" t="s">
        <v>28315</v>
      </c>
      <c r="BS489" t="s">
        <v>3588</v>
      </c>
      <c r="BT489">
        <v>20683161</v>
      </c>
      <c r="BU489" t="s">
        <v>69</v>
      </c>
      <c r="BV489" t="s">
        <v>69</v>
      </c>
      <c r="BW489" t="s">
        <v>69</v>
      </c>
      <c r="BX489" t="s">
        <v>8526</v>
      </c>
      <c r="BY489" t="str">
        <f>HYPERLINK("https%3A%2F%2Fwww.webofscience.com%2Fwos%2Fwoscc%2Ffull-record%2FWOS:000280557400002","View Full Record in Web of Science")</f>
        <v>View Full Record in Web of Science</v>
      </c>
    </row>
    <row r="490" spans="1:77" ht="12.5" x14ac:dyDescent="0.25">
      <c r="A490" t="s">
        <v>8495</v>
      </c>
      <c r="B490" s="22" t="s">
        <v>32931</v>
      </c>
      <c r="C490" s="7"/>
      <c r="D490" s="7"/>
      <c r="E490" s="7"/>
      <c r="F490" t="s">
        <v>67</v>
      </c>
      <c r="G490" t="s">
        <v>25717</v>
      </c>
      <c r="H490" t="s">
        <v>69</v>
      </c>
      <c r="I490" t="s">
        <v>69</v>
      </c>
      <c r="J490" t="s">
        <v>69</v>
      </c>
      <c r="K490" t="s">
        <v>25718</v>
      </c>
      <c r="L490" t="s">
        <v>69</v>
      </c>
      <c r="M490" t="s">
        <v>69</v>
      </c>
      <c r="N490" t="s">
        <v>25719</v>
      </c>
      <c r="O490" t="s">
        <v>25720</v>
      </c>
      <c r="P490" t="s">
        <v>69</v>
      </c>
      <c r="Q490" t="s">
        <v>69</v>
      </c>
      <c r="R490" t="s">
        <v>25721</v>
      </c>
      <c r="S490" t="s">
        <v>8506</v>
      </c>
      <c r="T490" t="s">
        <v>69</v>
      </c>
      <c r="U490" t="s">
        <v>69</v>
      </c>
      <c r="V490" t="s">
        <v>69</v>
      </c>
      <c r="W490" t="s">
        <v>69</v>
      </c>
      <c r="X490" t="s">
        <v>69</v>
      </c>
      <c r="Y490" t="s">
        <v>25722</v>
      </c>
      <c r="Z490" t="s">
        <v>69</v>
      </c>
      <c r="AA490" t="s">
        <v>25723</v>
      </c>
      <c r="AB490" t="s">
        <v>25724</v>
      </c>
      <c r="AC490" t="s">
        <v>69</v>
      </c>
      <c r="AD490" t="s">
        <v>25725</v>
      </c>
      <c r="AE490" t="s">
        <v>25726</v>
      </c>
      <c r="AF490" t="s">
        <v>25727</v>
      </c>
      <c r="AG490" t="s">
        <v>25728</v>
      </c>
      <c r="AH490" t="s">
        <v>69</v>
      </c>
      <c r="AI490" t="s">
        <v>69</v>
      </c>
      <c r="AJ490" t="s">
        <v>69</v>
      </c>
      <c r="AK490" t="s">
        <v>69</v>
      </c>
      <c r="AL490">
        <v>31</v>
      </c>
      <c r="AM490">
        <v>0</v>
      </c>
      <c r="AN490">
        <v>0</v>
      </c>
      <c r="AO490">
        <v>2</v>
      </c>
      <c r="AP490">
        <v>2</v>
      </c>
      <c r="AQ490" t="s">
        <v>25729</v>
      </c>
      <c r="AR490" t="s">
        <v>19306</v>
      </c>
      <c r="AS490" t="s">
        <v>25730</v>
      </c>
      <c r="AT490" t="s">
        <v>25731</v>
      </c>
      <c r="AU490" t="s">
        <v>25732</v>
      </c>
      <c r="AV490" t="s">
        <v>69</v>
      </c>
      <c r="AW490" t="s">
        <v>25733</v>
      </c>
      <c r="AX490" t="s">
        <v>25734</v>
      </c>
      <c r="AY490" t="s">
        <v>75</v>
      </c>
      <c r="AZ490">
        <v>2012</v>
      </c>
      <c r="BA490">
        <v>2</v>
      </c>
      <c r="BB490">
        <v>3</v>
      </c>
      <c r="BC490" t="s">
        <v>69</v>
      </c>
      <c r="BD490" t="s">
        <v>69</v>
      </c>
      <c r="BE490" t="s">
        <v>69</v>
      </c>
      <c r="BF490" t="s">
        <v>69</v>
      </c>
      <c r="BG490">
        <v>167</v>
      </c>
      <c r="BH490">
        <v>178</v>
      </c>
      <c r="BI490" t="s">
        <v>69</v>
      </c>
      <c r="BJ490" t="s">
        <v>25735</v>
      </c>
      <c r="BK490" t="str">
        <f>HYPERLINK("http://dx.doi.org/10.2399/yod.12.024","http://dx.doi.org/10.2399/yod.12.024")</f>
        <v>http://dx.doi.org/10.2399/yod.12.024</v>
      </c>
      <c r="BL490" t="s">
        <v>69</v>
      </c>
      <c r="BM490" t="s">
        <v>69</v>
      </c>
      <c r="BN490">
        <v>12</v>
      </c>
      <c r="BO490" t="s">
        <v>9290</v>
      </c>
      <c r="BP490" t="s">
        <v>8573</v>
      </c>
      <c r="BQ490" t="s">
        <v>9290</v>
      </c>
      <c r="BR490" t="s">
        <v>25736</v>
      </c>
      <c r="BS490" t="s">
        <v>25737</v>
      </c>
      <c r="BT490" t="s">
        <v>69</v>
      </c>
      <c r="BU490" t="s">
        <v>69</v>
      </c>
      <c r="BV490" t="s">
        <v>69</v>
      </c>
      <c r="BW490" t="s">
        <v>69</v>
      </c>
      <c r="BX490" t="s">
        <v>8526</v>
      </c>
      <c r="BY490" t="str">
        <f>HYPERLINK("https%3A%2F%2Fwww.webofscience.com%2Fwos%2Fwoscc%2Ffull-record%2FWOS:000420584900007","View Full Record in Web of Science")</f>
        <v>View Full Record in Web of Science</v>
      </c>
    </row>
    <row r="491" spans="1:77" ht="12.5" x14ac:dyDescent="0.25">
      <c r="A491" t="s">
        <v>8495</v>
      </c>
      <c r="B491" s="22" t="s">
        <v>32931</v>
      </c>
      <c r="C491" s="7"/>
      <c r="D491" s="7"/>
      <c r="E491" s="7"/>
      <c r="F491" t="s">
        <v>67</v>
      </c>
      <c r="G491" t="s">
        <v>13605</v>
      </c>
      <c r="H491" t="s">
        <v>69</v>
      </c>
      <c r="I491" t="s">
        <v>69</v>
      </c>
      <c r="J491" t="s">
        <v>69</v>
      </c>
      <c r="K491" t="s">
        <v>13606</v>
      </c>
      <c r="L491" t="s">
        <v>69</v>
      </c>
      <c r="M491" t="s">
        <v>69</v>
      </c>
      <c r="N491" t="s">
        <v>13607</v>
      </c>
      <c r="O491" t="s">
        <v>13608</v>
      </c>
      <c r="P491" t="s">
        <v>69</v>
      </c>
      <c r="Q491" t="s">
        <v>69</v>
      </c>
      <c r="R491" t="s">
        <v>13609</v>
      </c>
      <c r="S491" t="s">
        <v>8506</v>
      </c>
      <c r="T491" t="s">
        <v>69</v>
      </c>
      <c r="U491" t="s">
        <v>69</v>
      </c>
      <c r="V491" t="s">
        <v>69</v>
      </c>
      <c r="W491" t="s">
        <v>69</v>
      </c>
      <c r="X491" t="s">
        <v>69</v>
      </c>
      <c r="Y491" t="s">
        <v>13610</v>
      </c>
      <c r="Z491" t="s">
        <v>69</v>
      </c>
      <c r="AA491" t="s">
        <v>13611</v>
      </c>
      <c r="AB491" t="s">
        <v>13612</v>
      </c>
      <c r="AC491" t="s">
        <v>69</v>
      </c>
      <c r="AD491" t="s">
        <v>13613</v>
      </c>
      <c r="AE491" t="s">
        <v>13614</v>
      </c>
      <c r="AF491" t="s">
        <v>13615</v>
      </c>
      <c r="AG491" t="s">
        <v>13616</v>
      </c>
      <c r="AH491" t="s">
        <v>69</v>
      </c>
      <c r="AI491" t="s">
        <v>69</v>
      </c>
      <c r="AJ491" t="s">
        <v>69</v>
      </c>
      <c r="AK491" t="s">
        <v>69</v>
      </c>
      <c r="AL491">
        <v>14</v>
      </c>
      <c r="AM491">
        <v>0</v>
      </c>
      <c r="AN491">
        <v>0</v>
      </c>
      <c r="AO491">
        <v>2</v>
      </c>
      <c r="AP491">
        <v>6</v>
      </c>
      <c r="AQ491" t="s">
        <v>13617</v>
      </c>
      <c r="AR491" t="s">
        <v>13618</v>
      </c>
      <c r="AS491" t="s">
        <v>13619</v>
      </c>
      <c r="AT491" t="s">
        <v>13620</v>
      </c>
      <c r="AU491" t="s">
        <v>13621</v>
      </c>
      <c r="AV491" t="s">
        <v>69</v>
      </c>
      <c r="AW491" t="s">
        <v>13622</v>
      </c>
      <c r="AX491" t="s">
        <v>13623</v>
      </c>
      <c r="AY491" t="s">
        <v>69</v>
      </c>
      <c r="AZ491">
        <v>2021</v>
      </c>
      <c r="BA491">
        <v>3</v>
      </c>
      <c r="BB491">
        <v>38</v>
      </c>
      <c r="BC491" t="s">
        <v>69</v>
      </c>
      <c r="BD491" t="s">
        <v>69</v>
      </c>
      <c r="BE491" t="s">
        <v>69</v>
      </c>
      <c r="BF491" t="s">
        <v>69</v>
      </c>
      <c r="BG491">
        <v>35</v>
      </c>
      <c r="BH491">
        <v>45</v>
      </c>
      <c r="BI491" t="s">
        <v>69</v>
      </c>
      <c r="BJ491" t="s">
        <v>69</v>
      </c>
      <c r="BK491" t="s">
        <v>69</v>
      </c>
      <c r="BL491" t="s">
        <v>69</v>
      </c>
      <c r="BM491" t="s">
        <v>69</v>
      </c>
      <c r="BN491">
        <v>11</v>
      </c>
      <c r="BO491" t="s">
        <v>9749</v>
      </c>
      <c r="BP491" t="s">
        <v>8573</v>
      </c>
      <c r="BQ491" t="s">
        <v>8594</v>
      </c>
      <c r="BR491" t="s">
        <v>13624</v>
      </c>
      <c r="BS491" t="s">
        <v>13625</v>
      </c>
      <c r="BT491" t="s">
        <v>69</v>
      </c>
      <c r="BU491" t="s">
        <v>69</v>
      </c>
      <c r="BV491" t="s">
        <v>69</v>
      </c>
      <c r="BW491" t="s">
        <v>69</v>
      </c>
      <c r="BX491" t="s">
        <v>8526</v>
      </c>
      <c r="BY491" t="str">
        <f>HYPERLINK("https%3A%2F%2Fwww.webofscience.com%2Fwos%2Fwoscc%2Ffull-record%2FWOS:000674620700004","View Full Record in Web of Science")</f>
        <v>View Full Record in Web of Science</v>
      </c>
    </row>
    <row r="492" spans="1:77" ht="12.5" x14ac:dyDescent="0.25">
      <c r="A492" t="s">
        <v>8495</v>
      </c>
      <c r="B492" s="22" t="s">
        <v>32931</v>
      </c>
      <c r="C492" s="7"/>
      <c r="D492" s="7"/>
      <c r="E492" s="7"/>
      <c r="F492" t="s">
        <v>67</v>
      </c>
      <c r="G492" t="s">
        <v>26106</v>
      </c>
      <c r="H492" t="s">
        <v>69</v>
      </c>
      <c r="I492" t="s">
        <v>69</v>
      </c>
      <c r="J492" t="s">
        <v>69</v>
      </c>
      <c r="K492" t="s">
        <v>26107</v>
      </c>
      <c r="L492" t="s">
        <v>69</v>
      </c>
      <c r="M492" t="s">
        <v>69</v>
      </c>
      <c r="N492" t="s">
        <v>26108</v>
      </c>
      <c r="O492" t="s">
        <v>26109</v>
      </c>
      <c r="P492" t="s">
        <v>69</v>
      </c>
      <c r="Q492" t="s">
        <v>69</v>
      </c>
      <c r="R492" t="s">
        <v>8505</v>
      </c>
      <c r="S492" t="s">
        <v>8506</v>
      </c>
      <c r="T492" t="s">
        <v>69</v>
      </c>
      <c r="U492" t="s">
        <v>69</v>
      </c>
      <c r="V492" t="s">
        <v>69</v>
      </c>
      <c r="W492" t="s">
        <v>69</v>
      </c>
      <c r="X492" t="s">
        <v>69</v>
      </c>
      <c r="Y492" t="s">
        <v>26110</v>
      </c>
      <c r="Z492" t="s">
        <v>69</v>
      </c>
      <c r="AA492" t="s">
        <v>26111</v>
      </c>
      <c r="AB492" t="s">
        <v>26112</v>
      </c>
      <c r="AC492" t="s">
        <v>69</v>
      </c>
      <c r="AD492" t="s">
        <v>26113</v>
      </c>
      <c r="AE492" t="s">
        <v>26114</v>
      </c>
      <c r="AF492" t="s">
        <v>69</v>
      </c>
      <c r="AG492" t="s">
        <v>69</v>
      </c>
      <c r="AH492" t="s">
        <v>69</v>
      </c>
      <c r="AI492" t="s">
        <v>69</v>
      </c>
      <c r="AJ492" t="s">
        <v>69</v>
      </c>
      <c r="AK492" t="s">
        <v>69</v>
      </c>
      <c r="AL492">
        <v>4</v>
      </c>
      <c r="AM492">
        <v>0</v>
      </c>
      <c r="AN492">
        <v>0</v>
      </c>
      <c r="AO492">
        <v>0</v>
      </c>
      <c r="AP492">
        <v>7</v>
      </c>
      <c r="AQ492" t="s">
        <v>26115</v>
      </c>
      <c r="AR492" t="s">
        <v>26116</v>
      </c>
      <c r="AS492" t="s">
        <v>26117</v>
      </c>
      <c r="AT492" t="s">
        <v>26118</v>
      </c>
      <c r="AU492" t="s">
        <v>26119</v>
      </c>
      <c r="AV492" t="s">
        <v>69</v>
      </c>
      <c r="AW492" t="s">
        <v>26120</v>
      </c>
      <c r="AX492" t="s">
        <v>26121</v>
      </c>
      <c r="AY492" t="s">
        <v>246</v>
      </c>
      <c r="AZ492">
        <v>2012</v>
      </c>
      <c r="BA492">
        <v>27</v>
      </c>
      <c r="BB492">
        <v>1</v>
      </c>
      <c r="BC492" t="s">
        <v>69</v>
      </c>
      <c r="BD492" t="s">
        <v>69</v>
      </c>
      <c r="BE492" t="s">
        <v>69</v>
      </c>
      <c r="BF492" t="s">
        <v>69</v>
      </c>
      <c r="BG492">
        <v>93</v>
      </c>
      <c r="BH492">
        <v>111</v>
      </c>
      <c r="BI492" t="s">
        <v>69</v>
      </c>
      <c r="BJ492" t="s">
        <v>26122</v>
      </c>
      <c r="BK492" t="str">
        <f>HYPERLINK("http://dx.doi.org/10.4067/S0718-50732012000100006","http://dx.doi.org/10.4067/S0718-50732012000100006")</f>
        <v>http://dx.doi.org/10.4067/S0718-50732012000100006</v>
      </c>
      <c r="BL492" t="s">
        <v>69</v>
      </c>
      <c r="BM492" t="s">
        <v>69</v>
      </c>
      <c r="BN492">
        <v>19</v>
      </c>
      <c r="BO492" t="s">
        <v>10105</v>
      </c>
      <c r="BP492" t="s">
        <v>8573</v>
      </c>
      <c r="BQ492" t="s">
        <v>10105</v>
      </c>
      <c r="BR492" t="s">
        <v>26123</v>
      </c>
      <c r="BS492" t="s">
        <v>26124</v>
      </c>
      <c r="BT492" t="s">
        <v>69</v>
      </c>
      <c r="BU492" t="s">
        <v>8931</v>
      </c>
      <c r="BV492" t="s">
        <v>69</v>
      </c>
      <c r="BW492" t="s">
        <v>69</v>
      </c>
      <c r="BX492" t="s">
        <v>8526</v>
      </c>
      <c r="BY492" t="str">
        <f>HYPERLINK("https%3A%2F%2Fwww.webofscience.com%2Fwos%2Fwoscc%2Ffull-record%2FWOS:000420985800006","View Full Record in Web of Science")</f>
        <v>View Full Record in Web of Science</v>
      </c>
    </row>
    <row r="493" spans="1:77" ht="12.5" x14ac:dyDescent="0.25">
      <c r="A493" t="s">
        <v>8495</v>
      </c>
      <c r="B493" s="7" t="s">
        <v>32933</v>
      </c>
      <c r="C493" s="7"/>
      <c r="D493" s="7"/>
      <c r="E493" s="7"/>
      <c r="F493" t="s">
        <v>67</v>
      </c>
      <c r="G493" t="s">
        <v>7035</v>
      </c>
      <c r="H493" t="s">
        <v>69</v>
      </c>
      <c r="I493" t="s">
        <v>69</v>
      </c>
      <c r="J493" t="s">
        <v>69</v>
      </c>
      <c r="K493" t="s">
        <v>7036</v>
      </c>
      <c r="L493" t="s">
        <v>69</v>
      </c>
      <c r="M493" t="s">
        <v>69</v>
      </c>
      <c r="N493" t="s">
        <v>7037</v>
      </c>
      <c r="O493" t="s">
        <v>7038</v>
      </c>
      <c r="P493" t="s">
        <v>69</v>
      </c>
      <c r="Q493" t="s">
        <v>69</v>
      </c>
      <c r="R493" t="s">
        <v>8505</v>
      </c>
      <c r="S493" t="s">
        <v>8506</v>
      </c>
      <c r="T493" t="s">
        <v>69</v>
      </c>
      <c r="U493" t="s">
        <v>69</v>
      </c>
      <c r="V493" t="s">
        <v>69</v>
      </c>
      <c r="W493" t="s">
        <v>69</v>
      </c>
      <c r="X493" t="s">
        <v>69</v>
      </c>
      <c r="Y493" t="s">
        <v>14924</v>
      </c>
      <c r="Z493" t="s">
        <v>14925</v>
      </c>
      <c r="AA493" t="s">
        <v>7039</v>
      </c>
      <c r="AB493" t="s">
        <v>14926</v>
      </c>
      <c r="AC493" t="s">
        <v>69</v>
      </c>
      <c r="AD493" t="s">
        <v>14927</v>
      </c>
      <c r="AE493" t="s">
        <v>14928</v>
      </c>
      <c r="AF493" t="s">
        <v>14929</v>
      </c>
      <c r="AG493" t="s">
        <v>14930</v>
      </c>
      <c r="AH493" t="s">
        <v>14931</v>
      </c>
      <c r="AI493" t="s">
        <v>14931</v>
      </c>
      <c r="AJ493" t="s">
        <v>14932</v>
      </c>
      <c r="AK493" t="s">
        <v>69</v>
      </c>
      <c r="AL493">
        <v>20</v>
      </c>
      <c r="AM493">
        <v>10</v>
      </c>
      <c r="AN493">
        <v>10</v>
      </c>
      <c r="AO493">
        <v>0</v>
      </c>
      <c r="AP493">
        <v>0</v>
      </c>
      <c r="AQ493" t="s">
        <v>9203</v>
      </c>
      <c r="AR493" t="s">
        <v>8763</v>
      </c>
      <c r="AS493" t="s">
        <v>9204</v>
      </c>
      <c r="AT493" t="s">
        <v>7040</v>
      </c>
      <c r="AU493" t="s">
        <v>69</v>
      </c>
      <c r="AV493" t="s">
        <v>69</v>
      </c>
      <c r="AW493" t="s">
        <v>9205</v>
      </c>
      <c r="AX493" t="s">
        <v>9206</v>
      </c>
      <c r="AY493" t="s">
        <v>7041</v>
      </c>
      <c r="AZ493">
        <v>2020</v>
      </c>
      <c r="BA493">
        <v>18</v>
      </c>
      <c r="BB493">
        <v>1</v>
      </c>
      <c r="BC493" t="s">
        <v>69</v>
      </c>
      <c r="BD493" t="s">
        <v>69</v>
      </c>
      <c r="BE493" t="s">
        <v>69</v>
      </c>
      <c r="BF493" t="s">
        <v>69</v>
      </c>
      <c r="BG493" t="s">
        <v>69</v>
      </c>
      <c r="BH493" t="s">
        <v>69</v>
      </c>
      <c r="BI493">
        <v>70</v>
      </c>
      <c r="BJ493" t="s">
        <v>7042</v>
      </c>
      <c r="BK493" t="str">
        <f>HYPERLINK("http://dx.doi.org/10.1186/s12961-020-00554-4","http://dx.doi.org/10.1186/s12961-020-00554-4")</f>
        <v>http://dx.doi.org/10.1186/s12961-020-00554-4</v>
      </c>
      <c r="BL493" t="s">
        <v>69</v>
      </c>
      <c r="BM493" t="s">
        <v>69</v>
      </c>
      <c r="BN493">
        <v>13</v>
      </c>
      <c r="BO493" t="s">
        <v>9208</v>
      </c>
      <c r="BP493" t="s">
        <v>8661</v>
      </c>
      <c r="BQ493" t="s">
        <v>9209</v>
      </c>
      <c r="BR493" t="s">
        <v>14933</v>
      </c>
      <c r="BS493" t="s">
        <v>7043</v>
      </c>
      <c r="BT493">
        <v>32564777</v>
      </c>
      <c r="BU493" t="s">
        <v>8812</v>
      </c>
      <c r="BV493" t="s">
        <v>69</v>
      </c>
      <c r="BW493" t="s">
        <v>69</v>
      </c>
      <c r="BX493" t="s">
        <v>8526</v>
      </c>
      <c r="BY493" t="str">
        <f>HYPERLINK("https%3A%2F%2Fwww.webofscience.com%2Fwos%2Fwoscc%2Ffull-record%2FWOS:000543420500001","View Full Record in Web of Science")</f>
        <v>View Full Record in Web of Science</v>
      </c>
    </row>
    <row r="494" spans="1:77" ht="12.5" x14ac:dyDescent="0.25">
      <c r="A494" t="s">
        <v>8495</v>
      </c>
      <c r="B494" s="7" t="s">
        <v>32933</v>
      </c>
      <c r="C494" s="7"/>
      <c r="D494" s="7"/>
      <c r="E494" s="7"/>
      <c r="F494" t="s">
        <v>67</v>
      </c>
      <c r="G494" t="s">
        <v>5770</v>
      </c>
      <c r="H494" t="s">
        <v>69</v>
      </c>
      <c r="I494" t="s">
        <v>69</v>
      </c>
      <c r="J494" t="s">
        <v>69</v>
      </c>
      <c r="K494" t="s">
        <v>5771</v>
      </c>
      <c r="L494" t="s">
        <v>69</v>
      </c>
      <c r="M494" t="s">
        <v>69</v>
      </c>
      <c r="N494" t="s">
        <v>5772</v>
      </c>
      <c r="O494" t="s">
        <v>5773</v>
      </c>
      <c r="P494" t="s">
        <v>69</v>
      </c>
      <c r="Q494" t="s">
        <v>69</v>
      </c>
      <c r="R494" t="s">
        <v>8505</v>
      </c>
      <c r="S494" t="s">
        <v>8506</v>
      </c>
      <c r="T494" t="s">
        <v>69</v>
      </c>
      <c r="U494" t="s">
        <v>69</v>
      </c>
      <c r="V494" t="s">
        <v>69</v>
      </c>
      <c r="W494" t="s">
        <v>69</v>
      </c>
      <c r="X494" t="s">
        <v>69</v>
      </c>
      <c r="Y494" t="s">
        <v>20246</v>
      </c>
      <c r="Z494" t="s">
        <v>69</v>
      </c>
      <c r="AA494" t="s">
        <v>5774</v>
      </c>
      <c r="AB494" t="s">
        <v>20247</v>
      </c>
      <c r="AC494" t="s">
        <v>69</v>
      </c>
      <c r="AD494" t="s">
        <v>20248</v>
      </c>
      <c r="AE494" t="s">
        <v>20249</v>
      </c>
      <c r="AF494" t="s">
        <v>69</v>
      </c>
      <c r="AG494" t="s">
        <v>69</v>
      </c>
      <c r="AH494" t="s">
        <v>20250</v>
      </c>
      <c r="AI494" t="s">
        <v>20251</v>
      </c>
      <c r="AJ494" t="s">
        <v>20252</v>
      </c>
      <c r="AK494" t="s">
        <v>69</v>
      </c>
      <c r="AL494">
        <v>16</v>
      </c>
      <c r="AM494">
        <v>1</v>
      </c>
      <c r="AN494">
        <v>1</v>
      </c>
      <c r="AO494">
        <v>1</v>
      </c>
      <c r="AP494">
        <v>11</v>
      </c>
      <c r="AQ494" t="s">
        <v>20253</v>
      </c>
      <c r="AR494" t="s">
        <v>18343</v>
      </c>
      <c r="AS494" t="s">
        <v>20254</v>
      </c>
      <c r="AT494" t="s">
        <v>5775</v>
      </c>
      <c r="AU494" t="s">
        <v>5776</v>
      </c>
      <c r="AV494" t="s">
        <v>69</v>
      </c>
      <c r="AW494" t="s">
        <v>20255</v>
      </c>
      <c r="AX494" t="s">
        <v>20256</v>
      </c>
      <c r="AY494" t="s">
        <v>155</v>
      </c>
      <c r="AZ494">
        <v>2017</v>
      </c>
      <c r="BA494">
        <v>25</v>
      </c>
      <c r="BB494">
        <v>3</v>
      </c>
      <c r="BC494" t="s">
        <v>69</v>
      </c>
      <c r="BD494" t="s">
        <v>69</v>
      </c>
      <c r="BE494" t="s">
        <v>69</v>
      </c>
      <c r="BF494" t="s">
        <v>69</v>
      </c>
      <c r="BG494">
        <v>513</v>
      </c>
      <c r="BH494">
        <v>521</v>
      </c>
      <c r="BI494" t="s">
        <v>69</v>
      </c>
      <c r="BJ494" t="s">
        <v>5777</v>
      </c>
      <c r="BK494" t="str">
        <f>HYPERLINK("http://dx.doi.org/10.1007/s41324-017-0113-7","http://dx.doi.org/10.1007/s41324-017-0113-7")</f>
        <v>http://dx.doi.org/10.1007/s41324-017-0113-7</v>
      </c>
      <c r="BL494" t="s">
        <v>69</v>
      </c>
      <c r="BM494" t="s">
        <v>69</v>
      </c>
      <c r="BN494">
        <v>9</v>
      </c>
      <c r="BO494" t="s">
        <v>15615</v>
      </c>
      <c r="BP494" t="s">
        <v>8573</v>
      </c>
      <c r="BQ494" t="s">
        <v>15615</v>
      </c>
      <c r="BR494" t="s">
        <v>20257</v>
      </c>
      <c r="BS494" t="s">
        <v>5778</v>
      </c>
      <c r="BT494" t="s">
        <v>69</v>
      </c>
      <c r="BU494" t="s">
        <v>69</v>
      </c>
      <c r="BV494" t="s">
        <v>69</v>
      </c>
      <c r="BW494" t="s">
        <v>69</v>
      </c>
      <c r="BX494" t="s">
        <v>8526</v>
      </c>
      <c r="BY494" t="str">
        <f>HYPERLINK("https%3A%2F%2Fwww.webofscience.com%2Fwos%2Fwoscc%2Ffull-record%2FWOS:000413301600018","View Full Record in Web of Science")</f>
        <v>View Full Record in Web of Science</v>
      </c>
    </row>
    <row r="495" spans="1:77" ht="12.5" x14ac:dyDescent="0.25">
      <c r="A495" t="s">
        <v>8495</v>
      </c>
      <c r="B495" s="7" t="s">
        <v>32933</v>
      </c>
      <c r="C495" s="7"/>
      <c r="D495" s="7"/>
      <c r="E495" s="7"/>
      <c r="F495" t="s">
        <v>67</v>
      </c>
      <c r="G495" t="s">
        <v>887</v>
      </c>
      <c r="H495" t="s">
        <v>69</v>
      </c>
      <c r="I495" t="s">
        <v>69</v>
      </c>
      <c r="J495" t="s">
        <v>69</v>
      </c>
      <c r="K495" t="s">
        <v>888</v>
      </c>
      <c r="L495" t="s">
        <v>69</v>
      </c>
      <c r="M495" t="s">
        <v>69</v>
      </c>
      <c r="N495" t="s">
        <v>889</v>
      </c>
      <c r="O495" t="s">
        <v>352</v>
      </c>
      <c r="P495" t="s">
        <v>69</v>
      </c>
      <c r="Q495" t="s">
        <v>69</v>
      </c>
      <c r="R495" t="s">
        <v>8505</v>
      </c>
      <c r="S495" t="s">
        <v>8506</v>
      </c>
      <c r="T495" t="s">
        <v>69</v>
      </c>
      <c r="U495" t="s">
        <v>69</v>
      </c>
      <c r="V495" t="s">
        <v>69</v>
      </c>
      <c r="W495" t="s">
        <v>69</v>
      </c>
      <c r="X495" t="s">
        <v>69</v>
      </c>
      <c r="Y495" t="s">
        <v>16600</v>
      </c>
      <c r="Z495" t="s">
        <v>69</v>
      </c>
      <c r="AA495" t="s">
        <v>890</v>
      </c>
      <c r="AB495" t="s">
        <v>16601</v>
      </c>
      <c r="AC495" t="s">
        <v>69</v>
      </c>
      <c r="AD495" t="s">
        <v>16602</v>
      </c>
      <c r="AE495" t="s">
        <v>16603</v>
      </c>
      <c r="AF495" t="s">
        <v>16604</v>
      </c>
      <c r="AG495" t="s">
        <v>16605</v>
      </c>
      <c r="AH495" t="s">
        <v>16606</v>
      </c>
      <c r="AI495" t="s">
        <v>16606</v>
      </c>
      <c r="AJ495" t="s">
        <v>16607</v>
      </c>
      <c r="AK495" t="s">
        <v>69</v>
      </c>
      <c r="AL495">
        <v>60</v>
      </c>
      <c r="AM495">
        <v>6</v>
      </c>
      <c r="AN495">
        <v>6</v>
      </c>
      <c r="AO495">
        <v>4</v>
      </c>
      <c r="AP495">
        <v>21</v>
      </c>
      <c r="AQ495" t="s">
        <v>8924</v>
      </c>
      <c r="AR495" t="s">
        <v>8925</v>
      </c>
      <c r="AS495" t="s">
        <v>8926</v>
      </c>
      <c r="AT495" t="s">
        <v>69</v>
      </c>
      <c r="AU495" t="s">
        <v>354</v>
      </c>
      <c r="AV495" t="s">
        <v>69</v>
      </c>
      <c r="AW495" t="s">
        <v>8958</v>
      </c>
      <c r="AX495" t="s">
        <v>8434</v>
      </c>
      <c r="AY495" t="s">
        <v>891</v>
      </c>
      <c r="AZ495">
        <v>2019</v>
      </c>
      <c r="BA495">
        <v>11</v>
      </c>
      <c r="BB495">
        <v>20</v>
      </c>
      <c r="BC495" t="s">
        <v>69</v>
      </c>
      <c r="BD495" t="s">
        <v>69</v>
      </c>
      <c r="BE495" t="s">
        <v>69</v>
      </c>
      <c r="BF495" t="s">
        <v>69</v>
      </c>
      <c r="BG495" t="s">
        <v>69</v>
      </c>
      <c r="BH495" t="s">
        <v>69</v>
      </c>
      <c r="BI495">
        <v>5867</v>
      </c>
      <c r="BJ495" t="s">
        <v>892</v>
      </c>
      <c r="BK495" t="str">
        <f>HYPERLINK("http://dx.doi.org/10.3390/su11205867","http://dx.doi.org/10.3390/su11205867")</f>
        <v>http://dx.doi.org/10.3390/su11205867</v>
      </c>
      <c r="BL495" t="s">
        <v>69</v>
      </c>
      <c r="BM495" t="s">
        <v>69</v>
      </c>
      <c r="BN495">
        <v>33</v>
      </c>
      <c r="BO495" t="s">
        <v>8960</v>
      </c>
      <c r="BP495" t="s">
        <v>8523</v>
      </c>
      <c r="BQ495" t="s">
        <v>8961</v>
      </c>
      <c r="BR495" t="s">
        <v>16608</v>
      </c>
      <c r="BS495" t="s">
        <v>893</v>
      </c>
      <c r="BT495" t="s">
        <v>69</v>
      </c>
      <c r="BU495" t="s">
        <v>12220</v>
      </c>
      <c r="BV495" t="s">
        <v>69</v>
      </c>
      <c r="BW495" t="s">
        <v>69</v>
      </c>
      <c r="BX495" t="s">
        <v>8526</v>
      </c>
      <c r="BY495" t="str">
        <f>HYPERLINK("https%3A%2F%2Fwww.webofscience.com%2Fwos%2Fwoscc%2Ffull-record%2FWOS:000498398900323","View Full Record in Web of Science")</f>
        <v>View Full Record in Web of Science</v>
      </c>
    </row>
    <row r="496" spans="1:77" ht="12.5" x14ac:dyDescent="0.25">
      <c r="A496" t="s">
        <v>8495</v>
      </c>
      <c r="B496" s="22" t="s">
        <v>32931</v>
      </c>
      <c r="C496" s="7"/>
      <c r="D496" s="7"/>
      <c r="E496" s="7"/>
      <c r="F496" t="s">
        <v>67</v>
      </c>
      <c r="G496" t="s">
        <v>25093</v>
      </c>
      <c r="H496" t="s">
        <v>69</v>
      </c>
      <c r="I496" t="s">
        <v>69</v>
      </c>
      <c r="J496" t="s">
        <v>69</v>
      </c>
      <c r="K496" t="s">
        <v>25094</v>
      </c>
      <c r="L496" t="s">
        <v>69</v>
      </c>
      <c r="M496" t="s">
        <v>69</v>
      </c>
      <c r="N496" t="s">
        <v>25095</v>
      </c>
      <c r="O496" t="s">
        <v>1405</v>
      </c>
      <c r="P496" t="s">
        <v>69</v>
      </c>
      <c r="Q496" t="s">
        <v>69</v>
      </c>
      <c r="R496" t="s">
        <v>8505</v>
      </c>
      <c r="S496" t="s">
        <v>8506</v>
      </c>
      <c r="T496" t="s">
        <v>69</v>
      </c>
      <c r="U496" t="s">
        <v>69</v>
      </c>
      <c r="V496" t="s">
        <v>69</v>
      </c>
      <c r="W496" t="s">
        <v>69</v>
      </c>
      <c r="X496" t="s">
        <v>69</v>
      </c>
      <c r="Y496" t="s">
        <v>25096</v>
      </c>
      <c r="Z496" t="s">
        <v>25097</v>
      </c>
      <c r="AA496" t="s">
        <v>25098</v>
      </c>
      <c r="AB496" t="s">
        <v>25099</v>
      </c>
      <c r="AC496" t="s">
        <v>69</v>
      </c>
      <c r="AD496" t="s">
        <v>25100</v>
      </c>
      <c r="AE496" t="s">
        <v>25101</v>
      </c>
      <c r="AF496" t="s">
        <v>25102</v>
      </c>
      <c r="AG496" t="s">
        <v>69</v>
      </c>
      <c r="AH496" t="s">
        <v>25103</v>
      </c>
      <c r="AI496" t="s">
        <v>25104</v>
      </c>
      <c r="AJ496" t="s">
        <v>25105</v>
      </c>
      <c r="AK496" t="s">
        <v>69</v>
      </c>
      <c r="AL496">
        <v>65</v>
      </c>
      <c r="AM496">
        <v>20</v>
      </c>
      <c r="AN496">
        <v>21</v>
      </c>
      <c r="AO496">
        <v>0</v>
      </c>
      <c r="AP496">
        <v>55</v>
      </c>
      <c r="AQ496" t="s">
        <v>8636</v>
      </c>
      <c r="AR496" t="s">
        <v>8637</v>
      </c>
      <c r="AS496" t="s">
        <v>8638</v>
      </c>
      <c r="AT496" t="s">
        <v>1407</v>
      </c>
      <c r="AU496" t="s">
        <v>1408</v>
      </c>
      <c r="AV496" t="s">
        <v>69</v>
      </c>
      <c r="AW496" t="s">
        <v>14240</v>
      </c>
      <c r="AX496" t="s">
        <v>8486</v>
      </c>
      <c r="AY496" t="s">
        <v>246</v>
      </c>
      <c r="AZ496">
        <v>2013</v>
      </c>
      <c r="BA496">
        <v>55</v>
      </c>
      <c r="BB496" t="s">
        <v>69</v>
      </c>
      <c r="BC496" t="s">
        <v>69</v>
      </c>
      <c r="BD496" t="s">
        <v>69</v>
      </c>
      <c r="BE496" t="s">
        <v>69</v>
      </c>
      <c r="BF496" t="s">
        <v>69</v>
      </c>
      <c r="BG496">
        <v>396</v>
      </c>
      <c r="BH496">
        <v>403</v>
      </c>
      <c r="BI496" t="s">
        <v>69</v>
      </c>
      <c r="BJ496" t="s">
        <v>25106</v>
      </c>
      <c r="BK496" t="str">
        <f>HYPERLINK("http://dx.doi.org/10.1016/j.enpol.2012.12.025","http://dx.doi.org/10.1016/j.enpol.2012.12.025")</f>
        <v>http://dx.doi.org/10.1016/j.enpol.2012.12.025</v>
      </c>
      <c r="BL496" t="s">
        <v>69</v>
      </c>
      <c r="BM496" t="s">
        <v>69</v>
      </c>
      <c r="BN496">
        <v>8</v>
      </c>
      <c r="BO496" t="s">
        <v>14242</v>
      </c>
      <c r="BP496" t="s">
        <v>8523</v>
      </c>
      <c r="BQ496" t="s">
        <v>14243</v>
      </c>
      <c r="BR496" t="s">
        <v>25107</v>
      </c>
      <c r="BS496" t="s">
        <v>25108</v>
      </c>
      <c r="BT496" t="s">
        <v>69</v>
      </c>
      <c r="BU496" t="s">
        <v>69</v>
      </c>
      <c r="BV496" t="s">
        <v>69</v>
      </c>
      <c r="BW496" t="s">
        <v>69</v>
      </c>
      <c r="BX496" t="s">
        <v>8526</v>
      </c>
      <c r="BY496" t="str">
        <f>HYPERLINK("https%3A%2F%2Fwww.webofscience.com%2Fwos%2Fwoscc%2Ffull-record%2FWOS:000315606700036","View Full Record in Web of Science")</f>
        <v>View Full Record in Web of Science</v>
      </c>
    </row>
    <row r="497" spans="1:77" ht="12.5" x14ac:dyDescent="0.25">
      <c r="A497" t="s">
        <v>8495</v>
      </c>
      <c r="B497" s="7" t="s">
        <v>32933</v>
      </c>
      <c r="C497" s="7"/>
      <c r="D497" s="7"/>
      <c r="E497" s="7"/>
      <c r="F497" t="s">
        <v>67</v>
      </c>
      <c r="G497" t="s">
        <v>4424</v>
      </c>
      <c r="H497" t="s">
        <v>69</v>
      </c>
      <c r="I497" t="s">
        <v>69</v>
      </c>
      <c r="J497" t="s">
        <v>69</v>
      </c>
      <c r="K497" t="s">
        <v>4425</v>
      </c>
      <c r="L497" t="s">
        <v>69</v>
      </c>
      <c r="M497" t="s">
        <v>69</v>
      </c>
      <c r="N497" t="s">
        <v>4426</v>
      </c>
      <c r="O497" t="s">
        <v>632</v>
      </c>
      <c r="P497" t="s">
        <v>69</v>
      </c>
      <c r="Q497" t="s">
        <v>69</v>
      </c>
      <c r="R497" t="s">
        <v>8505</v>
      </c>
      <c r="S497" t="s">
        <v>8506</v>
      </c>
      <c r="T497" t="s">
        <v>69</v>
      </c>
      <c r="U497" t="s">
        <v>69</v>
      </c>
      <c r="V497" t="s">
        <v>69</v>
      </c>
      <c r="W497" t="s">
        <v>69</v>
      </c>
      <c r="X497" t="s">
        <v>69</v>
      </c>
      <c r="Y497" t="s">
        <v>18709</v>
      </c>
      <c r="Z497" t="s">
        <v>18710</v>
      </c>
      <c r="AA497" t="s">
        <v>4427</v>
      </c>
      <c r="AB497" t="s">
        <v>18711</v>
      </c>
      <c r="AC497" t="s">
        <v>69</v>
      </c>
      <c r="AD497" t="s">
        <v>18712</v>
      </c>
      <c r="AE497" t="s">
        <v>18713</v>
      </c>
      <c r="AF497" t="s">
        <v>4428</v>
      </c>
      <c r="AG497" t="s">
        <v>18714</v>
      </c>
      <c r="AH497" t="s">
        <v>18715</v>
      </c>
      <c r="AI497" t="s">
        <v>18716</v>
      </c>
      <c r="AJ497" t="s">
        <v>18717</v>
      </c>
      <c r="AK497" t="s">
        <v>69</v>
      </c>
      <c r="AL497">
        <v>45</v>
      </c>
      <c r="AM497">
        <v>17</v>
      </c>
      <c r="AN497">
        <v>18</v>
      </c>
      <c r="AO497">
        <v>1</v>
      </c>
      <c r="AP497">
        <v>41</v>
      </c>
      <c r="AQ497" t="s">
        <v>8516</v>
      </c>
      <c r="AR497" t="s">
        <v>8517</v>
      </c>
      <c r="AS497" t="s">
        <v>8518</v>
      </c>
      <c r="AT497" t="s">
        <v>634</v>
      </c>
      <c r="AU497" t="s">
        <v>635</v>
      </c>
      <c r="AV497" t="s">
        <v>69</v>
      </c>
      <c r="AW497" t="s">
        <v>8714</v>
      </c>
      <c r="AX497" t="s">
        <v>8715</v>
      </c>
      <c r="AY497" t="s">
        <v>4429</v>
      </c>
      <c r="AZ497">
        <v>2018</v>
      </c>
      <c r="BA497">
        <v>626</v>
      </c>
      <c r="BB497" t="s">
        <v>69</v>
      </c>
      <c r="BC497" t="s">
        <v>69</v>
      </c>
      <c r="BD497" t="s">
        <v>69</v>
      </c>
      <c r="BE497" t="s">
        <v>69</v>
      </c>
      <c r="BF497" t="s">
        <v>69</v>
      </c>
      <c r="BG497">
        <v>468</v>
      </c>
      <c r="BH497">
        <v>477</v>
      </c>
      <c r="BI497" t="s">
        <v>69</v>
      </c>
      <c r="BJ497" t="s">
        <v>4430</v>
      </c>
      <c r="BK497" t="str">
        <f>HYPERLINK("http://dx.doi.org/10.1016/j.scitotenv.2018.01.112","http://dx.doi.org/10.1016/j.scitotenv.2018.01.112")</f>
        <v>http://dx.doi.org/10.1016/j.scitotenv.2018.01.112</v>
      </c>
      <c r="BL497" t="s">
        <v>69</v>
      </c>
      <c r="BM497" t="s">
        <v>69</v>
      </c>
      <c r="BN497">
        <v>10</v>
      </c>
      <c r="BO497" t="s">
        <v>8717</v>
      </c>
      <c r="BP497" t="s">
        <v>8523</v>
      </c>
      <c r="BQ497" t="s">
        <v>8662</v>
      </c>
      <c r="BR497" t="s">
        <v>18718</v>
      </c>
      <c r="BS497" t="s">
        <v>4431</v>
      </c>
      <c r="BT497">
        <v>29396330</v>
      </c>
      <c r="BU497" t="s">
        <v>69</v>
      </c>
      <c r="BV497" t="s">
        <v>69</v>
      </c>
      <c r="BW497" t="s">
        <v>69</v>
      </c>
      <c r="BX497" t="s">
        <v>8526</v>
      </c>
      <c r="BY497" t="str">
        <f>HYPERLINK("https%3A%2F%2Fwww.webofscience.com%2Fwos%2Fwoscc%2Ffull-record%2FWOS:000428194000047","View Full Record in Web of Science")</f>
        <v>View Full Record in Web of Science</v>
      </c>
    </row>
    <row r="498" spans="1:77" ht="12.5" x14ac:dyDescent="0.25">
      <c r="A498" t="s">
        <v>8495</v>
      </c>
      <c r="B498" s="22" t="s">
        <v>32931</v>
      </c>
      <c r="C498" s="7"/>
      <c r="D498" s="7"/>
      <c r="E498" s="7"/>
      <c r="F498" t="s">
        <v>67</v>
      </c>
      <c r="G498" t="s">
        <v>24484</v>
      </c>
      <c r="H498" t="s">
        <v>69</v>
      </c>
      <c r="I498" t="s">
        <v>69</v>
      </c>
      <c r="J498" t="s">
        <v>69</v>
      </c>
      <c r="K498" t="s">
        <v>24485</v>
      </c>
      <c r="L498" t="s">
        <v>69</v>
      </c>
      <c r="M498" t="s">
        <v>69</v>
      </c>
      <c r="N498" t="s">
        <v>24486</v>
      </c>
      <c r="O498" t="s">
        <v>24487</v>
      </c>
      <c r="P498" t="s">
        <v>69</v>
      </c>
      <c r="Q498" t="s">
        <v>69</v>
      </c>
      <c r="R498" t="s">
        <v>8505</v>
      </c>
      <c r="S498" t="s">
        <v>8506</v>
      </c>
      <c r="T498" t="s">
        <v>69</v>
      </c>
      <c r="U498" t="s">
        <v>69</v>
      </c>
      <c r="V498" t="s">
        <v>69</v>
      </c>
      <c r="W498" t="s">
        <v>69</v>
      </c>
      <c r="X498" t="s">
        <v>69</v>
      </c>
      <c r="Y498" t="s">
        <v>24488</v>
      </c>
      <c r="Z498" t="s">
        <v>24489</v>
      </c>
      <c r="AA498" t="s">
        <v>24490</v>
      </c>
      <c r="AB498" t="s">
        <v>24491</v>
      </c>
      <c r="AC498" t="s">
        <v>69</v>
      </c>
      <c r="AD498" t="s">
        <v>24492</v>
      </c>
      <c r="AE498" t="s">
        <v>24493</v>
      </c>
      <c r="AF498" t="s">
        <v>24494</v>
      </c>
      <c r="AG498" t="s">
        <v>24495</v>
      </c>
      <c r="AH498" t="s">
        <v>69</v>
      </c>
      <c r="AI498" t="s">
        <v>69</v>
      </c>
      <c r="AJ498" t="s">
        <v>69</v>
      </c>
      <c r="AK498" t="s">
        <v>69</v>
      </c>
      <c r="AL498">
        <v>26</v>
      </c>
      <c r="AM498">
        <v>1</v>
      </c>
      <c r="AN498">
        <v>1</v>
      </c>
      <c r="AO498">
        <v>0</v>
      </c>
      <c r="AP498">
        <v>0</v>
      </c>
      <c r="AQ498" t="s">
        <v>10118</v>
      </c>
      <c r="AR498" t="s">
        <v>10119</v>
      </c>
      <c r="AS498" t="s">
        <v>10120</v>
      </c>
      <c r="AT498" t="s">
        <v>24496</v>
      </c>
      <c r="AU498" t="s">
        <v>24497</v>
      </c>
      <c r="AV498" t="s">
        <v>69</v>
      </c>
      <c r="AW498" t="s">
        <v>24498</v>
      </c>
      <c r="AX498" t="s">
        <v>24499</v>
      </c>
      <c r="AY498" t="s">
        <v>75</v>
      </c>
      <c r="AZ498">
        <v>2013</v>
      </c>
      <c r="BA498">
        <v>4</v>
      </c>
      <c r="BB498">
        <v>2</v>
      </c>
      <c r="BC498" t="s">
        <v>69</v>
      </c>
      <c r="BD498" t="s">
        <v>69</v>
      </c>
      <c r="BE498" t="s">
        <v>69</v>
      </c>
      <c r="BF498" t="s">
        <v>69</v>
      </c>
      <c r="BG498">
        <v>58</v>
      </c>
      <c r="BH498">
        <v>67</v>
      </c>
      <c r="BI498" t="s">
        <v>69</v>
      </c>
      <c r="BJ498" t="s">
        <v>24500</v>
      </c>
      <c r="BK498" t="str">
        <f>HYPERLINK("http://dx.doi.org/10.2478/bsrj-2013-0012","http://dx.doi.org/10.2478/bsrj-2013-0012")</f>
        <v>http://dx.doi.org/10.2478/bsrj-2013-0012</v>
      </c>
      <c r="BL498" t="s">
        <v>69</v>
      </c>
      <c r="BM498" t="s">
        <v>69</v>
      </c>
      <c r="BN498">
        <v>10</v>
      </c>
      <c r="BO498" t="s">
        <v>8444</v>
      </c>
      <c r="BP498" t="s">
        <v>8573</v>
      </c>
      <c r="BQ498" t="s">
        <v>8594</v>
      </c>
      <c r="BR498" t="s">
        <v>24501</v>
      </c>
      <c r="BS498" t="s">
        <v>24502</v>
      </c>
      <c r="BT498" t="s">
        <v>69</v>
      </c>
      <c r="BU498" t="s">
        <v>10482</v>
      </c>
      <c r="BV498" t="s">
        <v>69</v>
      </c>
      <c r="BW498" t="s">
        <v>69</v>
      </c>
      <c r="BX498" t="s">
        <v>8526</v>
      </c>
      <c r="BY498" t="str">
        <f>HYPERLINK("https%3A%2F%2Fwww.webofscience.com%2Fwos%2Fwoscc%2Ffull-record%2FWOS:000422577600004","View Full Record in Web of Science")</f>
        <v>View Full Record in Web of Science</v>
      </c>
    </row>
    <row r="499" spans="1:77" x14ac:dyDescent="0.3">
      <c r="A499" t="s">
        <v>8495</v>
      </c>
      <c r="B499" s="9" t="s">
        <v>32972</v>
      </c>
      <c r="E499" s="9" t="s">
        <v>33055</v>
      </c>
      <c r="F499" t="s">
        <v>67</v>
      </c>
      <c r="G499" t="s">
        <v>28698</v>
      </c>
      <c r="H499" t="s">
        <v>69</v>
      </c>
      <c r="I499" t="s">
        <v>69</v>
      </c>
      <c r="J499" t="s">
        <v>69</v>
      </c>
      <c r="K499" t="s">
        <v>28699</v>
      </c>
      <c r="L499" t="s">
        <v>69</v>
      </c>
      <c r="M499" t="s">
        <v>69</v>
      </c>
      <c r="N499" t="s">
        <v>28700</v>
      </c>
      <c r="O499" t="s">
        <v>28701</v>
      </c>
      <c r="P499" t="s">
        <v>69</v>
      </c>
      <c r="Q499" t="s">
        <v>69</v>
      </c>
      <c r="R499" t="s">
        <v>8505</v>
      </c>
      <c r="S499" t="s">
        <v>8506</v>
      </c>
      <c r="T499" t="s">
        <v>69</v>
      </c>
      <c r="U499" t="s">
        <v>69</v>
      </c>
      <c r="V499" t="s">
        <v>69</v>
      </c>
      <c r="W499" t="s">
        <v>69</v>
      </c>
      <c r="X499" t="s">
        <v>69</v>
      </c>
      <c r="Y499" t="s">
        <v>28702</v>
      </c>
      <c r="Z499" t="s">
        <v>69</v>
      </c>
      <c r="AA499" t="s">
        <v>28703</v>
      </c>
      <c r="AB499" t="s">
        <v>28704</v>
      </c>
      <c r="AC499" t="s">
        <v>69</v>
      </c>
      <c r="AD499" t="s">
        <v>28705</v>
      </c>
      <c r="AE499" t="s">
        <v>69</v>
      </c>
      <c r="AF499" t="s">
        <v>69</v>
      </c>
      <c r="AG499" t="s">
        <v>69</v>
      </c>
      <c r="AH499" t="s">
        <v>69</v>
      </c>
      <c r="AI499" t="s">
        <v>69</v>
      </c>
      <c r="AJ499" t="s">
        <v>69</v>
      </c>
      <c r="AK499" t="s">
        <v>69</v>
      </c>
      <c r="AL499">
        <v>20</v>
      </c>
      <c r="AM499">
        <v>1</v>
      </c>
      <c r="AN499">
        <v>1</v>
      </c>
      <c r="AO499">
        <v>0</v>
      </c>
      <c r="AP499">
        <v>0</v>
      </c>
      <c r="AQ499" t="s">
        <v>28706</v>
      </c>
      <c r="AR499" t="s">
        <v>28707</v>
      </c>
      <c r="AS499" t="s">
        <v>28708</v>
      </c>
      <c r="AT499" t="s">
        <v>28709</v>
      </c>
      <c r="AU499" t="s">
        <v>69</v>
      </c>
      <c r="AV499" t="s">
        <v>69</v>
      </c>
      <c r="AW499" t="s">
        <v>28710</v>
      </c>
      <c r="AX499" t="s">
        <v>28711</v>
      </c>
      <c r="AY499" t="s">
        <v>69</v>
      </c>
      <c r="AZ499">
        <v>2009</v>
      </c>
      <c r="BA499">
        <v>4</v>
      </c>
      <c r="BB499">
        <v>2</v>
      </c>
      <c r="BC499" t="s">
        <v>69</v>
      </c>
      <c r="BD499" t="s">
        <v>69</v>
      </c>
      <c r="BE499" t="s">
        <v>69</v>
      </c>
      <c r="BF499" t="s">
        <v>69</v>
      </c>
      <c r="BG499">
        <v>65</v>
      </c>
      <c r="BH499">
        <v>84</v>
      </c>
      <c r="BI499" t="s">
        <v>69</v>
      </c>
      <c r="BJ499" t="s">
        <v>69</v>
      </c>
      <c r="BK499" t="s">
        <v>69</v>
      </c>
      <c r="BL499" t="s">
        <v>69</v>
      </c>
      <c r="BM499" t="s">
        <v>69</v>
      </c>
      <c r="BN499">
        <v>20</v>
      </c>
      <c r="BO499" t="s">
        <v>9749</v>
      </c>
      <c r="BP499" t="s">
        <v>8573</v>
      </c>
      <c r="BQ499" t="s">
        <v>8594</v>
      </c>
      <c r="BR499" t="s">
        <v>28712</v>
      </c>
      <c r="BS499" t="s">
        <v>28713</v>
      </c>
      <c r="BT499" t="s">
        <v>69</v>
      </c>
      <c r="BU499" t="s">
        <v>69</v>
      </c>
      <c r="BV499" t="s">
        <v>69</v>
      </c>
      <c r="BW499" t="s">
        <v>69</v>
      </c>
      <c r="BX499" t="s">
        <v>8526</v>
      </c>
      <c r="BY499" t="str">
        <f>HYPERLINK("https%3A%2F%2Fwww.webofscience.com%2Fwos%2Fwoscc%2Ffull-record%2FWOS:000214875700004","View Full Record in Web of Science")</f>
        <v>View Full Record in Web of Science</v>
      </c>
    </row>
    <row r="500" spans="1:77" ht="12.5" x14ac:dyDescent="0.25">
      <c r="A500" t="s">
        <v>8495</v>
      </c>
      <c r="B500" s="7" t="s">
        <v>32933</v>
      </c>
      <c r="C500" s="7"/>
      <c r="D500" s="7"/>
      <c r="E500" s="7"/>
      <c r="F500" t="s">
        <v>67</v>
      </c>
      <c r="G500" t="s">
        <v>7280</v>
      </c>
      <c r="H500" t="s">
        <v>69</v>
      </c>
      <c r="I500" t="s">
        <v>69</v>
      </c>
      <c r="J500" t="s">
        <v>69</v>
      </c>
      <c r="K500" t="s">
        <v>7281</v>
      </c>
      <c r="L500" t="s">
        <v>69</v>
      </c>
      <c r="M500" t="s">
        <v>69</v>
      </c>
      <c r="N500" t="s">
        <v>7282</v>
      </c>
      <c r="O500" t="s">
        <v>7283</v>
      </c>
      <c r="P500" t="s">
        <v>69</v>
      </c>
      <c r="Q500" t="s">
        <v>69</v>
      </c>
      <c r="R500" t="s">
        <v>8505</v>
      </c>
      <c r="S500" t="s">
        <v>8506</v>
      </c>
      <c r="T500" t="s">
        <v>69</v>
      </c>
      <c r="U500" t="s">
        <v>69</v>
      </c>
      <c r="V500" t="s">
        <v>69</v>
      </c>
      <c r="W500" t="s">
        <v>69</v>
      </c>
      <c r="X500" t="s">
        <v>69</v>
      </c>
      <c r="Y500" t="s">
        <v>69</v>
      </c>
      <c r="Z500" t="s">
        <v>17491</v>
      </c>
      <c r="AA500" t="s">
        <v>7284</v>
      </c>
      <c r="AB500" t="s">
        <v>17492</v>
      </c>
      <c r="AC500" t="s">
        <v>69</v>
      </c>
      <c r="AD500" t="s">
        <v>17493</v>
      </c>
      <c r="AE500" t="s">
        <v>69</v>
      </c>
      <c r="AF500" t="s">
        <v>69</v>
      </c>
      <c r="AG500" t="s">
        <v>7285</v>
      </c>
      <c r="AH500" t="s">
        <v>69</v>
      </c>
      <c r="AI500" t="s">
        <v>69</v>
      </c>
      <c r="AJ500" t="s">
        <v>69</v>
      </c>
      <c r="AK500" t="s">
        <v>69</v>
      </c>
      <c r="AL500">
        <v>93</v>
      </c>
      <c r="AM500">
        <v>8</v>
      </c>
      <c r="AN500">
        <v>8</v>
      </c>
      <c r="AO500">
        <v>13</v>
      </c>
      <c r="AP500">
        <v>33</v>
      </c>
      <c r="AQ500" t="s">
        <v>9554</v>
      </c>
      <c r="AR500" t="s">
        <v>9555</v>
      </c>
      <c r="AS500" t="s">
        <v>9556</v>
      </c>
      <c r="AT500" t="s">
        <v>7286</v>
      </c>
      <c r="AU500" t="s">
        <v>7287</v>
      </c>
      <c r="AV500" t="s">
        <v>69</v>
      </c>
      <c r="AW500" t="s">
        <v>17494</v>
      </c>
      <c r="AX500" t="s">
        <v>17495</v>
      </c>
      <c r="AY500" t="s">
        <v>94</v>
      </c>
      <c r="AZ500">
        <v>2019</v>
      </c>
      <c r="BA500">
        <v>45</v>
      </c>
      <c r="BB500">
        <v>1</v>
      </c>
      <c r="BC500" t="s">
        <v>69</v>
      </c>
      <c r="BD500" t="s">
        <v>69</v>
      </c>
      <c r="BE500" t="s">
        <v>69</v>
      </c>
      <c r="BF500" t="s">
        <v>69</v>
      </c>
      <c r="BG500">
        <v>7</v>
      </c>
      <c r="BH500">
        <v>31</v>
      </c>
      <c r="BI500" t="s">
        <v>69</v>
      </c>
      <c r="BJ500" t="s">
        <v>7288</v>
      </c>
      <c r="BK500" t="str">
        <f>HYPERLINK("http://dx.doi.org/10.1177/0098858819849990","http://dx.doi.org/10.1177/0098858819849990")</f>
        <v>http://dx.doi.org/10.1177/0098858819849990</v>
      </c>
      <c r="BL500" t="s">
        <v>69</v>
      </c>
      <c r="BM500" t="s">
        <v>69</v>
      </c>
      <c r="BN500">
        <v>25</v>
      </c>
      <c r="BO500" t="s">
        <v>8452</v>
      </c>
      <c r="BP500" t="s">
        <v>8661</v>
      </c>
      <c r="BQ500" t="s">
        <v>10084</v>
      </c>
      <c r="BR500" t="s">
        <v>17496</v>
      </c>
      <c r="BS500" t="s">
        <v>7289</v>
      </c>
      <c r="BT500">
        <v>31293209</v>
      </c>
      <c r="BU500" t="s">
        <v>9374</v>
      </c>
      <c r="BV500" t="s">
        <v>69</v>
      </c>
      <c r="BW500" t="s">
        <v>69</v>
      </c>
      <c r="BX500" t="s">
        <v>8526</v>
      </c>
      <c r="BY500" t="str">
        <f>HYPERLINK("https%3A%2F%2Fwww.webofscience.com%2Fwos%2Fwoscc%2Ffull-record%2FWOS:000475448500001","View Full Record in Web of Science")</f>
        <v>View Full Record in Web of Science</v>
      </c>
    </row>
    <row r="501" spans="1:77" ht="12.5" x14ac:dyDescent="0.25">
      <c r="A501" t="s">
        <v>8495</v>
      </c>
      <c r="B501" s="22" t="s">
        <v>32931</v>
      </c>
      <c r="C501" s="7"/>
      <c r="D501" s="7"/>
      <c r="E501" s="7"/>
      <c r="F501" t="s">
        <v>67</v>
      </c>
      <c r="G501" t="s">
        <v>9434</v>
      </c>
      <c r="H501" t="s">
        <v>69</v>
      </c>
      <c r="I501" t="s">
        <v>69</v>
      </c>
      <c r="J501" t="s">
        <v>69</v>
      </c>
      <c r="K501" t="s">
        <v>9435</v>
      </c>
      <c r="L501" t="s">
        <v>69</v>
      </c>
      <c r="M501" t="s">
        <v>69</v>
      </c>
      <c r="N501" t="s">
        <v>9436</v>
      </c>
      <c r="O501" t="s">
        <v>9437</v>
      </c>
      <c r="P501" t="s">
        <v>69</v>
      </c>
      <c r="Q501" t="s">
        <v>69</v>
      </c>
      <c r="R501" t="s">
        <v>8505</v>
      </c>
      <c r="S501" t="s">
        <v>8506</v>
      </c>
      <c r="T501" t="s">
        <v>69</v>
      </c>
      <c r="U501" t="s">
        <v>69</v>
      </c>
      <c r="V501" t="s">
        <v>69</v>
      </c>
      <c r="W501" t="s">
        <v>69</v>
      </c>
      <c r="X501" t="s">
        <v>69</v>
      </c>
      <c r="Y501" t="s">
        <v>9438</v>
      </c>
      <c r="Z501" t="s">
        <v>69</v>
      </c>
      <c r="AA501" t="s">
        <v>9439</v>
      </c>
      <c r="AB501" t="s">
        <v>9440</v>
      </c>
      <c r="AC501" t="s">
        <v>69</v>
      </c>
      <c r="AD501" t="s">
        <v>9441</v>
      </c>
      <c r="AE501" t="s">
        <v>9442</v>
      </c>
      <c r="AF501" t="s">
        <v>69</v>
      </c>
      <c r="AG501" t="s">
        <v>9443</v>
      </c>
      <c r="AH501" t="s">
        <v>9444</v>
      </c>
      <c r="AI501" t="s">
        <v>9444</v>
      </c>
      <c r="AJ501" t="s">
        <v>9445</v>
      </c>
      <c r="AK501" t="s">
        <v>69</v>
      </c>
      <c r="AL501">
        <v>18</v>
      </c>
      <c r="AM501">
        <v>0</v>
      </c>
      <c r="AN501">
        <v>0</v>
      </c>
      <c r="AO501">
        <v>0</v>
      </c>
      <c r="AP501">
        <v>0</v>
      </c>
      <c r="AQ501" t="s">
        <v>9178</v>
      </c>
      <c r="AR501" t="s">
        <v>8763</v>
      </c>
      <c r="AS501" t="s">
        <v>9179</v>
      </c>
      <c r="AT501" t="s">
        <v>9446</v>
      </c>
      <c r="AU501" t="s">
        <v>69</v>
      </c>
      <c r="AV501" t="s">
        <v>69</v>
      </c>
      <c r="AW501" t="s">
        <v>9437</v>
      </c>
      <c r="AX501" t="s">
        <v>9447</v>
      </c>
      <c r="AY501" t="s">
        <v>246</v>
      </c>
      <c r="AZ501">
        <v>2022</v>
      </c>
      <c r="BA501">
        <v>12</v>
      </c>
      <c r="BB501">
        <v>4</v>
      </c>
      <c r="BC501" t="s">
        <v>69</v>
      </c>
      <c r="BD501" t="s">
        <v>69</v>
      </c>
      <c r="BE501" t="s">
        <v>69</v>
      </c>
      <c r="BF501" t="s">
        <v>69</v>
      </c>
      <c r="BG501" t="s">
        <v>69</v>
      </c>
      <c r="BH501" t="s">
        <v>69</v>
      </c>
      <c r="BI501" t="s">
        <v>9448</v>
      </c>
      <c r="BJ501" t="s">
        <v>9449</v>
      </c>
      <c r="BK501" t="str">
        <f>HYPERLINK("http://dx.doi.org/10.1136/bmjopen-2021-057874","http://dx.doi.org/10.1136/bmjopen-2021-057874")</f>
        <v>http://dx.doi.org/10.1136/bmjopen-2021-057874</v>
      </c>
      <c r="BL501" t="s">
        <v>69</v>
      </c>
      <c r="BM501" t="s">
        <v>69</v>
      </c>
      <c r="BN501">
        <v>9</v>
      </c>
      <c r="BO501" t="s">
        <v>9450</v>
      </c>
      <c r="BP501" t="s">
        <v>8548</v>
      </c>
      <c r="BQ501" t="s">
        <v>9451</v>
      </c>
      <c r="BR501" t="s">
        <v>9452</v>
      </c>
      <c r="BS501" t="s">
        <v>9453</v>
      </c>
      <c r="BT501">
        <v>35443959</v>
      </c>
      <c r="BU501" t="s">
        <v>9352</v>
      </c>
      <c r="BV501" t="s">
        <v>69</v>
      </c>
      <c r="BW501" t="s">
        <v>69</v>
      </c>
      <c r="BX501" t="s">
        <v>8526</v>
      </c>
      <c r="BY501" t="str">
        <f>HYPERLINK("https%3A%2F%2Fwww.webofscience.com%2Fwos%2Fwoscc%2Ffull-record%2FWOS:000784798300027","View Full Record in Web of Science")</f>
        <v>View Full Record in Web of Science</v>
      </c>
    </row>
    <row r="502" spans="1:77" ht="12.5" x14ac:dyDescent="0.25">
      <c r="A502" t="s">
        <v>8495</v>
      </c>
      <c r="B502" s="7" t="s">
        <v>32933</v>
      </c>
      <c r="C502" s="7"/>
      <c r="D502" s="7"/>
      <c r="E502" s="7"/>
      <c r="F502" t="s">
        <v>67</v>
      </c>
      <c r="G502" t="s">
        <v>2085</v>
      </c>
      <c r="H502" t="s">
        <v>69</v>
      </c>
      <c r="I502" t="s">
        <v>69</v>
      </c>
      <c r="J502" t="s">
        <v>69</v>
      </c>
      <c r="K502" t="s">
        <v>2086</v>
      </c>
      <c r="L502" t="s">
        <v>69</v>
      </c>
      <c r="M502" t="s">
        <v>69</v>
      </c>
      <c r="N502" t="s">
        <v>2087</v>
      </c>
      <c r="O502" t="s">
        <v>2088</v>
      </c>
      <c r="P502" t="s">
        <v>69</v>
      </c>
      <c r="Q502" t="s">
        <v>69</v>
      </c>
      <c r="R502" t="s">
        <v>8505</v>
      </c>
      <c r="S502" t="s">
        <v>8506</v>
      </c>
      <c r="T502" t="s">
        <v>69</v>
      </c>
      <c r="U502" t="s">
        <v>69</v>
      </c>
      <c r="V502" t="s">
        <v>69</v>
      </c>
      <c r="W502" t="s">
        <v>69</v>
      </c>
      <c r="X502" t="s">
        <v>69</v>
      </c>
      <c r="Y502" t="s">
        <v>16142</v>
      </c>
      <c r="Z502" t="s">
        <v>69</v>
      </c>
      <c r="AA502" t="s">
        <v>2089</v>
      </c>
      <c r="AB502" t="s">
        <v>16143</v>
      </c>
      <c r="AC502" t="s">
        <v>69</v>
      </c>
      <c r="AD502" t="s">
        <v>16144</v>
      </c>
      <c r="AE502" t="s">
        <v>16145</v>
      </c>
      <c r="AF502" t="s">
        <v>2090</v>
      </c>
      <c r="AG502" t="s">
        <v>2091</v>
      </c>
      <c r="AH502" t="s">
        <v>69</v>
      </c>
      <c r="AI502" t="s">
        <v>69</v>
      </c>
      <c r="AJ502" t="s">
        <v>69</v>
      </c>
      <c r="AK502" t="s">
        <v>69</v>
      </c>
      <c r="AL502">
        <v>22</v>
      </c>
      <c r="AM502">
        <v>7</v>
      </c>
      <c r="AN502">
        <v>7</v>
      </c>
      <c r="AO502">
        <v>1</v>
      </c>
      <c r="AP502">
        <v>9</v>
      </c>
      <c r="AQ502" t="s">
        <v>10238</v>
      </c>
      <c r="AR502" t="s">
        <v>10239</v>
      </c>
      <c r="AS502" t="s">
        <v>10240</v>
      </c>
      <c r="AT502" t="s">
        <v>2092</v>
      </c>
      <c r="AU502" t="s">
        <v>69</v>
      </c>
      <c r="AV502" t="s">
        <v>69</v>
      </c>
      <c r="AW502" t="s">
        <v>10241</v>
      </c>
      <c r="AX502" t="s">
        <v>10242</v>
      </c>
      <c r="AY502" t="s">
        <v>69</v>
      </c>
      <c r="AZ502">
        <v>2020</v>
      </c>
      <c r="BA502">
        <v>5</v>
      </c>
      <c r="BB502">
        <v>2</v>
      </c>
      <c r="BC502" t="s">
        <v>69</v>
      </c>
      <c r="BD502" t="s">
        <v>69</v>
      </c>
      <c r="BE502" t="s">
        <v>69</v>
      </c>
      <c r="BF502" t="s">
        <v>69</v>
      </c>
      <c r="BG502">
        <v>35</v>
      </c>
      <c r="BH502">
        <v>43</v>
      </c>
      <c r="BI502" t="s">
        <v>69</v>
      </c>
      <c r="BJ502" t="s">
        <v>2093</v>
      </c>
      <c r="BK502" t="str">
        <f>HYPERLINK("http://dx.doi.org/10.17645/up.v5i2.2989","http://dx.doi.org/10.17645/up.v5i2.2989")</f>
        <v>http://dx.doi.org/10.17645/up.v5i2.2989</v>
      </c>
      <c r="BL502" t="s">
        <v>69</v>
      </c>
      <c r="BM502" t="s">
        <v>69</v>
      </c>
      <c r="BN502">
        <v>9</v>
      </c>
      <c r="BO502" t="s">
        <v>8475</v>
      </c>
      <c r="BP502" t="s">
        <v>8573</v>
      </c>
      <c r="BQ502" t="s">
        <v>8475</v>
      </c>
      <c r="BR502" t="s">
        <v>16146</v>
      </c>
      <c r="BS502" t="s">
        <v>2094</v>
      </c>
      <c r="BT502" t="s">
        <v>69</v>
      </c>
      <c r="BU502" t="s">
        <v>8812</v>
      </c>
      <c r="BV502" t="s">
        <v>69</v>
      </c>
      <c r="BW502" t="s">
        <v>69</v>
      </c>
      <c r="BX502" t="s">
        <v>8526</v>
      </c>
      <c r="BY502" t="str">
        <f>HYPERLINK("https%3A%2F%2Fwww.webofscience.com%2Fwos%2Fwoscc%2Ffull-record%2FWOS:000546245900004","View Full Record in Web of Science")</f>
        <v>View Full Record in Web of Science</v>
      </c>
    </row>
    <row r="503" spans="1:77" ht="12.5" x14ac:dyDescent="0.25">
      <c r="A503" t="s">
        <v>8495</v>
      </c>
      <c r="B503" s="7" t="s">
        <v>32933</v>
      </c>
      <c r="C503" s="7"/>
      <c r="D503" s="7"/>
      <c r="E503" s="7"/>
      <c r="F503" t="s">
        <v>67</v>
      </c>
      <c r="G503" t="s">
        <v>7186</v>
      </c>
      <c r="H503" t="s">
        <v>69</v>
      </c>
      <c r="I503" t="s">
        <v>69</v>
      </c>
      <c r="J503" t="s">
        <v>69</v>
      </c>
      <c r="K503" t="s">
        <v>7187</v>
      </c>
      <c r="L503" t="s">
        <v>69</v>
      </c>
      <c r="M503" t="s">
        <v>69</v>
      </c>
      <c r="N503" t="s">
        <v>7188</v>
      </c>
      <c r="O503" t="s">
        <v>7189</v>
      </c>
      <c r="P503" t="s">
        <v>69</v>
      </c>
      <c r="Q503" t="s">
        <v>69</v>
      </c>
      <c r="R503" t="s">
        <v>9357</v>
      </c>
      <c r="S503" t="s">
        <v>8506</v>
      </c>
      <c r="T503" t="s">
        <v>69</v>
      </c>
      <c r="U503" t="s">
        <v>69</v>
      </c>
      <c r="V503" t="s">
        <v>69</v>
      </c>
      <c r="W503" t="s">
        <v>69</v>
      </c>
      <c r="X503" t="s">
        <v>69</v>
      </c>
      <c r="Y503" t="s">
        <v>17789</v>
      </c>
      <c r="Z503" t="s">
        <v>69</v>
      </c>
      <c r="AA503" t="s">
        <v>7190</v>
      </c>
      <c r="AB503" t="s">
        <v>17790</v>
      </c>
      <c r="AC503" t="s">
        <v>69</v>
      </c>
      <c r="AD503" t="s">
        <v>17791</v>
      </c>
      <c r="AE503" t="s">
        <v>17792</v>
      </c>
      <c r="AF503" t="s">
        <v>7191</v>
      </c>
      <c r="AG503" t="s">
        <v>7192</v>
      </c>
      <c r="AH503" t="s">
        <v>69</v>
      </c>
      <c r="AI503" t="s">
        <v>69</v>
      </c>
      <c r="AJ503" t="s">
        <v>69</v>
      </c>
      <c r="AK503" t="s">
        <v>69</v>
      </c>
      <c r="AL503">
        <v>21</v>
      </c>
      <c r="AM503">
        <v>1</v>
      </c>
      <c r="AN503">
        <v>1</v>
      </c>
      <c r="AO503">
        <v>0</v>
      </c>
      <c r="AP503">
        <v>10</v>
      </c>
      <c r="AQ503" t="s">
        <v>17793</v>
      </c>
      <c r="AR503" t="s">
        <v>17794</v>
      </c>
      <c r="AS503" t="s">
        <v>17795</v>
      </c>
      <c r="AT503" t="s">
        <v>7193</v>
      </c>
      <c r="AU503" t="s">
        <v>7194</v>
      </c>
      <c r="AV503" t="s">
        <v>69</v>
      </c>
      <c r="AW503" t="s">
        <v>17796</v>
      </c>
      <c r="AX503" t="s">
        <v>17797</v>
      </c>
      <c r="AY503" t="s">
        <v>69</v>
      </c>
      <c r="AZ503">
        <v>2019</v>
      </c>
      <c r="BA503">
        <v>8</v>
      </c>
      <c r="BB503">
        <v>2</v>
      </c>
      <c r="BC503" t="s">
        <v>69</v>
      </c>
      <c r="BD503" t="s">
        <v>69</v>
      </c>
      <c r="BE503" t="s">
        <v>69</v>
      </c>
      <c r="BF503" t="s">
        <v>69</v>
      </c>
      <c r="BG503">
        <v>355</v>
      </c>
      <c r="BH503">
        <v>372</v>
      </c>
      <c r="BI503" t="s">
        <v>69</v>
      </c>
      <c r="BJ503" t="s">
        <v>7195</v>
      </c>
      <c r="BK503" t="str">
        <f>HYPERLINK("http://dx.doi.org/10.17150/2308-6203.2019.8(2).355-372","http://dx.doi.org/10.17150/2308-6203.2019.8(2).355-372")</f>
        <v>http://dx.doi.org/10.17150/2308-6203.2019.8(2).355-372</v>
      </c>
      <c r="BL503" t="s">
        <v>69</v>
      </c>
      <c r="BM503" t="s">
        <v>69</v>
      </c>
      <c r="BN503">
        <v>18</v>
      </c>
      <c r="BO503" t="s">
        <v>8443</v>
      </c>
      <c r="BP503" t="s">
        <v>8573</v>
      </c>
      <c r="BQ503" t="s">
        <v>8443</v>
      </c>
      <c r="BR503" t="s">
        <v>17798</v>
      </c>
      <c r="BS503" t="s">
        <v>7196</v>
      </c>
      <c r="BT503" t="s">
        <v>69</v>
      </c>
      <c r="BU503" t="s">
        <v>8931</v>
      </c>
      <c r="BV503" t="s">
        <v>69</v>
      </c>
      <c r="BW503" t="s">
        <v>69</v>
      </c>
      <c r="BX503" t="s">
        <v>8526</v>
      </c>
      <c r="BY503" t="str">
        <f>HYPERLINK("https%3A%2F%2Fwww.webofscience.com%2Fwos%2Fwoscc%2Ffull-record%2FWOS:000468390900010","View Full Record in Web of Science")</f>
        <v>View Full Record in Web of Science</v>
      </c>
    </row>
    <row r="504" spans="1:77" ht="12.5" x14ac:dyDescent="0.25">
      <c r="A504" t="s">
        <v>8495</v>
      </c>
      <c r="B504" s="22" t="s">
        <v>32931</v>
      </c>
      <c r="C504" s="7"/>
      <c r="D504" s="7"/>
      <c r="E504" s="7"/>
      <c r="F504" t="s">
        <v>67</v>
      </c>
      <c r="G504" t="s">
        <v>10979</v>
      </c>
      <c r="H504" t="s">
        <v>69</v>
      </c>
      <c r="I504" t="s">
        <v>69</v>
      </c>
      <c r="J504" t="s">
        <v>69</v>
      </c>
      <c r="K504" t="s">
        <v>10980</v>
      </c>
      <c r="L504" t="s">
        <v>69</v>
      </c>
      <c r="M504" t="s">
        <v>69</v>
      </c>
      <c r="N504" t="s">
        <v>10981</v>
      </c>
      <c r="O504" t="s">
        <v>6571</v>
      </c>
      <c r="P504" t="s">
        <v>69</v>
      </c>
      <c r="Q504" t="s">
        <v>69</v>
      </c>
      <c r="R504" t="s">
        <v>8505</v>
      </c>
      <c r="S504" t="s">
        <v>8506</v>
      </c>
      <c r="T504" t="s">
        <v>69</v>
      </c>
      <c r="U504" t="s">
        <v>69</v>
      </c>
      <c r="V504" t="s">
        <v>69</v>
      </c>
      <c r="W504" t="s">
        <v>69</v>
      </c>
      <c r="X504" t="s">
        <v>69</v>
      </c>
      <c r="Y504" t="s">
        <v>10982</v>
      </c>
      <c r="Z504" t="s">
        <v>10983</v>
      </c>
      <c r="AA504" t="s">
        <v>10984</v>
      </c>
      <c r="AB504" t="s">
        <v>10985</v>
      </c>
      <c r="AC504" t="s">
        <v>69</v>
      </c>
      <c r="AD504" t="s">
        <v>10986</v>
      </c>
      <c r="AE504" t="s">
        <v>10987</v>
      </c>
      <c r="AF504" t="s">
        <v>69</v>
      </c>
      <c r="AG504" t="s">
        <v>69</v>
      </c>
      <c r="AH504" t="s">
        <v>69</v>
      </c>
      <c r="AI504" t="s">
        <v>69</v>
      </c>
      <c r="AJ504" t="s">
        <v>69</v>
      </c>
      <c r="AK504" t="s">
        <v>69</v>
      </c>
      <c r="AL504">
        <v>127</v>
      </c>
      <c r="AM504">
        <v>0</v>
      </c>
      <c r="AN504">
        <v>0</v>
      </c>
      <c r="AO504">
        <v>46</v>
      </c>
      <c r="AP504">
        <v>71</v>
      </c>
      <c r="AQ504" t="s">
        <v>8692</v>
      </c>
      <c r="AR504" t="s">
        <v>8693</v>
      </c>
      <c r="AS504" t="s">
        <v>8694</v>
      </c>
      <c r="AT504" t="s">
        <v>6573</v>
      </c>
      <c r="AU504" t="s">
        <v>6574</v>
      </c>
      <c r="AV504" t="s">
        <v>69</v>
      </c>
      <c r="AW504" t="s">
        <v>10988</v>
      </c>
      <c r="AX504" t="s">
        <v>10989</v>
      </c>
      <c r="AY504" t="s">
        <v>373</v>
      </c>
      <c r="AZ504">
        <v>2022</v>
      </c>
      <c r="BA504">
        <v>174</v>
      </c>
      <c r="BB504" t="s">
        <v>69</v>
      </c>
      <c r="BC504" t="s">
        <v>69</v>
      </c>
      <c r="BD504" t="s">
        <v>69</v>
      </c>
      <c r="BE504" t="s">
        <v>69</v>
      </c>
      <c r="BF504" t="s">
        <v>69</v>
      </c>
      <c r="BG504" t="s">
        <v>69</v>
      </c>
      <c r="BH504" t="s">
        <v>69</v>
      </c>
      <c r="BI504">
        <v>121293</v>
      </c>
      <c r="BJ504" t="s">
        <v>10990</v>
      </c>
      <c r="BK504" t="str">
        <f>HYPERLINK("http://dx.doi.org/10.1016/j.techfore.2021.121293","http://dx.doi.org/10.1016/j.techfore.2021.121293")</f>
        <v>http://dx.doi.org/10.1016/j.techfore.2021.121293</v>
      </c>
      <c r="BL504" t="s">
        <v>69</v>
      </c>
      <c r="BM504" t="s">
        <v>10991</v>
      </c>
      <c r="BN504">
        <v>13</v>
      </c>
      <c r="BO504" t="s">
        <v>10992</v>
      </c>
      <c r="BP504" t="s">
        <v>8661</v>
      </c>
      <c r="BQ504" t="s">
        <v>10993</v>
      </c>
      <c r="BR504" t="s">
        <v>10994</v>
      </c>
      <c r="BS504" t="s">
        <v>10996</v>
      </c>
      <c r="BT504" t="s">
        <v>69</v>
      </c>
      <c r="BU504" t="s">
        <v>10995</v>
      </c>
      <c r="BV504" t="s">
        <v>69</v>
      </c>
      <c r="BW504" t="s">
        <v>69</v>
      </c>
      <c r="BX504" t="s">
        <v>8526</v>
      </c>
      <c r="BY504" t="str">
        <f>HYPERLINK("https%3A%2F%2Fwww.webofscience.com%2Fwos%2Fwoscc%2Ffull-record%2FWOS:000719370700002","View Full Record in Web of Science")</f>
        <v>View Full Record in Web of Science</v>
      </c>
    </row>
    <row r="505" spans="1:77" ht="12.5" x14ac:dyDescent="0.25">
      <c r="A505" t="s">
        <v>8495</v>
      </c>
      <c r="B505" s="7" t="s">
        <v>32933</v>
      </c>
      <c r="C505" s="7"/>
      <c r="D505" s="7"/>
      <c r="E505" s="7"/>
      <c r="F505" t="s">
        <v>67</v>
      </c>
      <c r="G505" t="s">
        <v>4245</v>
      </c>
      <c r="H505" t="s">
        <v>69</v>
      </c>
      <c r="I505" t="s">
        <v>69</v>
      </c>
      <c r="J505" t="s">
        <v>69</v>
      </c>
      <c r="K505" t="s">
        <v>4245</v>
      </c>
      <c r="L505" t="s">
        <v>69</v>
      </c>
      <c r="M505" t="s">
        <v>69</v>
      </c>
      <c r="N505" t="s">
        <v>4246</v>
      </c>
      <c r="O505" t="s">
        <v>4247</v>
      </c>
      <c r="P505" t="s">
        <v>69</v>
      </c>
      <c r="Q505" t="s">
        <v>69</v>
      </c>
      <c r="R505" t="s">
        <v>8505</v>
      </c>
      <c r="S505" t="s">
        <v>8442</v>
      </c>
      <c r="T505" t="s">
        <v>69</v>
      </c>
      <c r="U505" t="s">
        <v>69</v>
      </c>
      <c r="V505" t="s">
        <v>69</v>
      </c>
      <c r="W505" t="s">
        <v>69</v>
      </c>
      <c r="X505" t="s">
        <v>69</v>
      </c>
      <c r="Y505" t="s">
        <v>69</v>
      </c>
      <c r="Z505" t="s">
        <v>32518</v>
      </c>
      <c r="AA505" t="s">
        <v>4248</v>
      </c>
      <c r="AB505" t="s">
        <v>32519</v>
      </c>
      <c r="AC505" t="s">
        <v>69</v>
      </c>
      <c r="AD505" t="s">
        <v>32520</v>
      </c>
      <c r="AE505" t="s">
        <v>69</v>
      </c>
      <c r="AF505" t="s">
        <v>4249</v>
      </c>
      <c r="AG505" t="s">
        <v>69</v>
      </c>
      <c r="AH505" t="s">
        <v>69</v>
      </c>
      <c r="AI505" t="s">
        <v>69</v>
      </c>
      <c r="AJ505" t="s">
        <v>69</v>
      </c>
      <c r="AK505" t="s">
        <v>69</v>
      </c>
      <c r="AL505">
        <v>101</v>
      </c>
      <c r="AM505">
        <v>11</v>
      </c>
      <c r="AN505">
        <v>12</v>
      </c>
      <c r="AO505">
        <v>0</v>
      </c>
      <c r="AP505">
        <v>4</v>
      </c>
      <c r="AQ505" t="s">
        <v>32521</v>
      </c>
      <c r="AR505" t="s">
        <v>32522</v>
      </c>
      <c r="AS505" t="s">
        <v>32523</v>
      </c>
      <c r="AT505" t="s">
        <v>4250</v>
      </c>
      <c r="AU505" t="s">
        <v>69</v>
      </c>
      <c r="AV505" t="s">
        <v>69</v>
      </c>
      <c r="AW505" t="s">
        <v>32524</v>
      </c>
      <c r="AX505" t="s">
        <v>32525</v>
      </c>
      <c r="AY505" t="s">
        <v>69</v>
      </c>
      <c r="AZ505">
        <v>1996</v>
      </c>
      <c r="BA505">
        <v>9</v>
      </c>
      <c r="BB505">
        <v>3</v>
      </c>
      <c r="BC505" t="s">
        <v>69</v>
      </c>
      <c r="BD505" t="s">
        <v>69</v>
      </c>
      <c r="BE505" t="s">
        <v>69</v>
      </c>
      <c r="BF505" t="s">
        <v>69</v>
      </c>
      <c r="BG505">
        <v>177</v>
      </c>
      <c r="BH505">
        <v>198</v>
      </c>
      <c r="BI505" t="s">
        <v>69</v>
      </c>
      <c r="BJ505" t="s">
        <v>4251</v>
      </c>
      <c r="BK505" t="str">
        <f>HYPERLINK("http://dx.doi.org/10.1207/s15327043hup0903_1","http://dx.doi.org/10.1207/s15327043hup0903_1")</f>
        <v>http://dx.doi.org/10.1207/s15327043hup0903_1</v>
      </c>
      <c r="BL505" t="s">
        <v>69</v>
      </c>
      <c r="BM505" t="s">
        <v>69</v>
      </c>
      <c r="BN505">
        <v>22</v>
      </c>
      <c r="BO505" t="s">
        <v>15649</v>
      </c>
      <c r="BP505" t="s">
        <v>8661</v>
      </c>
      <c r="BQ505" t="s">
        <v>9001</v>
      </c>
      <c r="BR505" t="s">
        <v>32526</v>
      </c>
      <c r="BS505" t="s">
        <v>4252</v>
      </c>
      <c r="BT505" t="s">
        <v>69</v>
      </c>
      <c r="BU505" t="s">
        <v>69</v>
      </c>
      <c r="BV505" t="s">
        <v>69</v>
      </c>
      <c r="BW505" t="s">
        <v>69</v>
      </c>
      <c r="BX505" t="s">
        <v>8526</v>
      </c>
      <c r="BY505" t="str">
        <f>HYPERLINK("https%3A%2F%2Fwww.webofscience.com%2Fwos%2Fwoscc%2Ffull-record%2FWOS:A1996UQ92900002","View Full Record in Web of Science")</f>
        <v>View Full Record in Web of Science</v>
      </c>
    </row>
    <row r="506" spans="1:77" x14ac:dyDescent="0.3">
      <c r="A506" t="s">
        <v>8495</v>
      </c>
      <c r="B506" s="9" t="s">
        <v>32973</v>
      </c>
      <c r="C506" s="9" t="s">
        <v>33105</v>
      </c>
      <c r="D506" s="10" t="s">
        <v>8490</v>
      </c>
      <c r="E506" s="9" t="s">
        <v>8490</v>
      </c>
      <c r="F506" t="s">
        <v>67</v>
      </c>
      <c r="G506" t="s">
        <v>9132</v>
      </c>
      <c r="H506" t="s">
        <v>69</v>
      </c>
      <c r="I506" t="s">
        <v>69</v>
      </c>
      <c r="J506" t="s">
        <v>69</v>
      </c>
      <c r="K506" t="s">
        <v>9133</v>
      </c>
      <c r="L506" t="s">
        <v>69</v>
      </c>
      <c r="M506" t="s">
        <v>69</v>
      </c>
      <c r="N506" t="s">
        <v>9134</v>
      </c>
      <c r="O506" t="s">
        <v>417</v>
      </c>
      <c r="P506" t="s">
        <v>69</v>
      </c>
      <c r="Q506" t="s">
        <v>69</v>
      </c>
      <c r="R506" t="s">
        <v>8505</v>
      </c>
      <c r="S506" t="s">
        <v>8506</v>
      </c>
      <c r="T506" t="s">
        <v>69</v>
      </c>
      <c r="U506" t="s">
        <v>69</v>
      </c>
      <c r="V506" t="s">
        <v>69</v>
      </c>
      <c r="W506" t="s">
        <v>69</v>
      </c>
      <c r="X506" t="s">
        <v>69</v>
      </c>
      <c r="Y506" t="s">
        <v>9135</v>
      </c>
      <c r="Z506" t="s">
        <v>9136</v>
      </c>
      <c r="AA506" t="s">
        <v>9137</v>
      </c>
      <c r="AB506" t="s">
        <v>9138</v>
      </c>
      <c r="AC506" t="s">
        <v>69</v>
      </c>
      <c r="AD506" t="s">
        <v>9139</v>
      </c>
      <c r="AE506" t="s">
        <v>9140</v>
      </c>
      <c r="AF506" t="s">
        <v>69</v>
      </c>
      <c r="AG506" t="s">
        <v>9141</v>
      </c>
      <c r="AH506" t="s">
        <v>9142</v>
      </c>
      <c r="AI506" t="s">
        <v>9143</v>
      </c>
      <c r="AJ506" t="s">
        <v>9144</v>
      </c>
      <c r="AK506" t="s">
        <v>69</v>
      </c>
      <c r="AL506">
        <v>66</v>
      </c>
      <c r="AM506">
        <v>3</v>
      </c>
      <c r="AN506">
        <v>3</v>
      </c>
      <c r="AO506">
        <v>3</v>
      </c>
      <c r="AP506">
        <v>3</v>
      </c>
      <c r="AQ506" t="s">
        <v>9145</v>
      </c>
      <c r="AR506" t="s">
        <v>8637</v>
      </c>
      <c r="AS506" t="s">
        <v>9146</v>
      </c>
      <c r="AT506" t="s">
        <v>419</v>
      </c>
      <c r="AU506" t="s">
        <v>420</v>
      </c>
      <c r="AV506" t="s">
        <v>69</v>
      </c>
      <c r="AW506" t="s">
        <v>417</v>
      </c>
      <c r="AX506" t="s">
        <v>8482</v>
      </c>
      <c r="AY506" t="s">
        <v>586</v>
      </c>
      <c r="AZ506">
        <v>2022</v>
      </c>
      <c r="BA506">
        <v>131</v>
      </c>
      <c r="BB506" t="s">
        <v>69</v>
      </c>
      <c r="BC506" t="s">
        <v>69</v>
      </c>
      <c r="BD506" t="s">
        <v>69</v>
      </c>
      <c r="BE506" t="s">
        <v>69</v>
      </c>
      <c r="BF506" t="s">
        <v>69</v>
      </c>
      <c r="BG506">
        <v>163</v>
      </c>
      <c r="BH506">
        <v>172</v>
      </c>
      <c r="BI506" t="s">
        <v>69</v>
      </c>
      <c r="BJ506" t="s">
        <v>9147</v>
      </c>
      <c r="BK506" t="str">
        <f>HYPERLINK("http://dx.doi.org/10.1016/j.geoforum.2022.02.012","http://dx.doi.org/10.1016/j.geoforum.2022.02.012")</f>
        <v>http://dx.doi.org/10.1016/j.geoforum.2022.02.012</v>
      </c>
      <c r="BL506" t="s">
        <v>69</v>
      </c>
      <c r="BM506" t="s">
        <v>69</v>
      </c>
      <c r="BN506">
        <v>10</v>
      </c>
      <c r="BO506" t="s">
        <v>8446</v>
      </c>
      <c r="BP506" t="s">
        <v>8661</v>
      </c>
      <c r="BQ506" t="s">
        <v>8446</v>
      </c>
      <c r="BR506" t="s">
        <v>9148</v>
      </c>
      <c r="BS506" t="s">
        <v>9149</v>
      </c>
      <c r="BT506" t="s">
        <v>69</v>
      </c>
      <c r="BU506" t="s">
        <v>69</v>
      </c>
      <c r="BV506" t="s">
        <v>69</v>
      </c>
      <c r="BW506" t="s">
        <v>69</v>
      </c>
      <c r="BX506" t="s">
        <v>8526</v>
      </c>
      <c r="BY506" t="str">
        <f>HYPERLINK("https%3A%2F%2Fwww.webofscience.com%2Fwos%2Fwoscc%2Ffull-record%2FWOS:000796712800005","View Full Record in Web of Science")</f>
        <v>View Full Record in Web of Science</v>
      </c>
    </row>
    <row r="507" spans="1:77" ht="12.5" x14ac:dyDescent="0.25">
      <c r="A507" t="s">
        <v>8495</v>
      </c>
      <c r="B507" s="7" t="s">
        <v>32933</v>
      </c>
      <c r="C507" s="7"/>
      <c r="D507" s="7"/>
      <c r="E507" s="7"/>
      <c r="F507" t="s">
        <v>67</v>
      </c>
      <c r="G507" t="s">
        <v>1614</v>
      </c>
      <c r="H507" t="s">
        <v>69</v>
      </c>
      <c r="I507" t="s">
        <v>69</v>
      </c>
      <c r="J507" t="s">
        <v>69</v>
      </c>
      <c r="K507" t="s">
        <v>1615</v>
      </c>
      <c r="L507" t="s">
        <v>69</v>
      </c>
      <c r="M507" t="s">
        <v>69</v>
      </c>
      <c r="N507" t="s">
        <v>1616</v>
      </c>
      <c r="O507" t="s">
        <v>1467</v>
      </c>
      <c r="P507" t="s">
        <v>69</v>
      </c>
      <c r="Q507" t="s">
        <v>69</v>
      </c>
      <c r="R507" t="s">
        <v>8505</v>
      </c>
      <c r="S507" t="s">
        <v>8506</v>
      </c>
      <c r="T507" t="s">
        <v>69</v>
      </c>
      <c r="U507" t="s">
        <v>69</v>
      </c>
      <c r="V507" t="s">
        <v>69</v>
      </c>
      <c r="W507" t="s">
        <v>69</v>
      </c>
      <c r="X507" t="s">
        <v>69</v>
      </c>
      <c r="Y507" t="s">
        <v>69</v>
      </c>
      <c r="Z507" t="s">
        <v>30156</v>
      </c>
      <c r="AA507" t="s">
        <v>1617</v>
      </c>
      <c r="AB507" t="s">
        <v>30157</v>
      </c>
      <c r="AC507" t="s">
        <v>69</v>
      </c>
      <c r="AD507" t="s">
        <v>30158</v>
      </c>
      <c r="AE507" t="s">
        <v>30159</v>
      </c>
      <c r="AF507" t="s">
        <v>69</v>
      </c>
      <c r="AG507" t="s">
        <v>1618</v>
      </c>
      <c r="AH507" t="s">
        <v>69</v>
      </c>
      <c r="AI507" t="s">
        <v>69</v>
      </c>
      <c r="AJ507" t="s">
        <v>69</v>
      </c>
      <c r="AK507" t="s">
        <v>69</v>
      </c>
      <c r="AL507">
        <v>77</v>
      </c>
      <c r="AM507">
        <v>12</v>
      </c>
      <c r="AN507">
        <v>12</v>
      </c>
      <c r="AO507">
        <v>1</v>
      </c>
      <c r="AP507">
        <v>3</v>
      </c>
      <c r="AQ507" t="s">
        <v>30160</v>
      </c>
      <c r="AR507" t="s">
        <v>8763</v>
      </c>
      <c r="AS507" t="s">
        <v>30161</v>
      </c>
      <c r="AT507" t="s">
        <v>1469</v>
      </c>
      <c r="AU507" t="s">
        <v>69</v>
      </c>
      <c r="AV507" t="s">
        <v>69</v>
      </c>
      <c r="AW507" t="s">
        <v>22443</v>
      </c>
      <c r="AX507" t="s">
        <v>22444</v>
      </c>
      <c r="AY507" t="s">
        <v>201</v>
      </c>
      <c r="AZ507">
        <v>2006</v>
      </c>
      <c r="BA507">
        <v>24</v>
      </c>
      <c r="BB507">
        <v>4</v>
      </c>
      <c r="BC507" t="s">
        <v>69</v>
      </c>
      <c r="BD507" t="s">
        <v>69</v>
      </c>
      <c r="BE507" t="s">
        <v>69</v>
      </c>
      <c r="BF507" t="s">
        <v>69</v>
      </c>
      <c r="BG507">
        <v>575</v>
      </c>
      <c r="BH507">
        <v>596</v>
      </c>
      <c r="BI507" t="s">
        <v>69</v>
      </c>
      <c r="BJ507" t="s">
        <v>1619</v>
      </c>
      <c r="BK507" t="str">
        <f>HYPERLINK("http://dx.doi.org/10.1068/c0567","http://dx.doi.org/10.1068/c0567")</f>
        <v>http://dx.doi.org/10.1068/c0567</v>
      </c>
      <c r="BL507" t="s">
        <v>69</v>
      </c>
      <c r="BM507" t="s">
        <v>69</v>
      </c>
      <c r="BN507">
        <v>22</v>
      </c>
      <c r="BO507" t="s">
        <v>22445</v>
      </c>
      <c r="BP507" t="s">
        <v>8661</v>
      </c>
      <c r="BQ507" t="s">
        <v>15243</v>
      </c>
      <c r="BR507" t="s">
        <v>30162</v>
      </c>
      <c r="BS507" t="s">
        <v>1620</v>
      </c>
      <c r="BT507" t="s">
        <v>69</v>
      </c>
      <c r="BU507" t="s">
        <v>69</v>
      </c>
      <c r="BV507" t="s">
        <v>69</v>
      </c>
      <c r="BW507" t="s">
        <v>69</v>
      </c>
      <c r="BX507" t="s">
        <v>8526</v>
      </c>
      <c r="BY507" t="str">
        <f>HYPERLINK("https%3A%2F%2Fwww.webofscience.com%2Fwos%2Fwoscc%2Ffull-record%2FWOS:000240160300006","View Full Record in Web of Science")</f>
        <v>View Full Record in Web of Science</v>
      </c>
    </row>
    <row r="508" spans="1:77" ht="12.5" x14ac:dyDescent="0.25">
      <c r="A508" t="s">
        <v>8495</v>
      </c>
      <c r="B508" s="22" t="s">
        <v>32931</v>
      </c>
      <c r="C508" s="7"/>
      <c r="D508" s="7"/>
      <c r="E508" s="7"/>
      <c r="F508" t="s">
        <v>67</v>
      </c>
      <c r="G508" t="s">
        <v>14729</v>
      </c>
      <c r="H508" t="s">
        <v>69</v>
      </c>
      <c r="I508" t="s">
        <v>69</v>
      </c>
      <c r="J508" t="s">
        <v>69</v>
      </c>
      <c r="K508" t="s">
        <v>14730</v>
      </c>
      <c r="L508" t="s">
        <v>69</v>
      </c>
      <c r="M508" t="s">
        <v>69</v>
      </c>
      <c r="N508" t="s">
        <v>14731</v>
      </c>
      <c r="O508" t="s">
        <v>14732</v>
      </c>
      <c r="P508" t="s">
        <v>69</v>
      </c>
      <c r="Q508" t="s">
        <v>69</v>
      </c>
      <c r="R508" t="s">
        <v>8505</v>
      </c>
      <c r="S508" t="s">
        <v>8506</v>
      </c>
      <c r="T508" t="s">
        <v>69</v>
      </c>
      <c r="U508" t="s">
        <v>69</v>
      </c>
      <c r="V508" t="s">
        <v>69</v>
      </c>
      <c r="W508" t="s">
        <v>69</v>
      </c>
      <c r="X508" t="s">
        <v>69</v>
      </c>
      <c r="Y508" t="s">
        <v>14733</v>
      </c>
      <c r="Z508" t="s">
        <v>14734</v>
      </c>
      <c r="AA508" t="s">
        <v>14735</v>
      </c>
      <c r="AB508" t="s">
        <v>14736</v>
      </c>
      <c r="AC508" t="s">
        <v>69</v>
      </c>
      <c r="AD508" t="s">
        <v>14737</v>
      </c>
      <c r="AE508" t="s">
        <v>14738</v>
      </c>
      <c r="AF508" t="s">
        <v>69</v>
      </c>
      <c r="AG508" t="s">
        <v>69</v>
      </c>
      <c r="AH508" t="s">
        <v>14739</v>
      </c>
      <c r="AI508" t="s">
        <v>14740</v>
      </c>
      <c r="AJ508" t="s">
        <v>69</v>
      </c>
      <c r="AK508" t="s">
        <v>69</v>
      </c>
      <c r="AL508">
        <v>62</v>
      </c>
      <c r="AM508">
        <v>0</v>
      </c>
      <c r="AN508">
        <v>0</v>
      </c>
      <c r="AO508">
        <v>1</v>
      </c>
      <c r="AP508">
        <v>2</v>
      </c>
      <c r="AQ508" t="s">
        <v>8846</v>
      </c>
      <c r="AR508" t="s">
        <v>8847</v>
      </c>
      <c r="AS508" t="s">
        <v>8848</v>
      </c>
      <c r="AT508" t="s">
        <v>14741</v>
      </c>
      <c r="AU508" t="s">
        <v>14742</v>
      </c>
      <c r="AV508" t="s">
        <v>69</v>
      </c>
      <c r="AW508" t="s">
        <v>14743</v>
      </c>
      <c r="AX508" t="s">
        <v>14744</v>
      </c>
      <c r="AY508" t="s">
        <v>201</v>
      </c>
      <c r="AZ508">
        <v>2020</v>
      </c>
      <c r="BA508">
        <v>90</v>
      </c>
      <c r="BB508">
        <v>8</v>
      </c>
      <c r="BC508" t="s">
        <v>69</v>
      </c>
      <c r="BD508" t="s">
        <v>69</v>
      </c>
      <c r="BE508" t="s">
        <v>69</v>
      </c>
      <c r="BF508" t="s">
        <v>69</v>
      </c>
      <c r="BG508">
        <v>594</v>
      </c>
      <c r="BH508">
        <v>603</v>
      </c>
      <c r="BI508" t="s">
        <v>69</v>
      </c>
      <c r="BJ508" t="s">
        <v>14745</v>
      </c>
      <c r="BK508" t="str">
        <f>HYPERLINK("http://dx.doi.org/10.1111/josh.12909","http://dx.doi.org/10.1111/josh.12909")</f>
        <v>http://dx.doi.org/10.1111/josh.12909</v>
      </c>
      <c r="BL508" t="s">
        <v>69</v>
      </c>
      <c r="BM508" t="s">
        <v>702</v>
      </c>
      <c r="BN508">
        <v>10</v>
      </c>
      <c r="BO508" t="s">
        <v>14746</v>
      </c>
      <c r="BP508" t="s">
        <v>8523</v>
      </c>
      <c r="BQ508" t="s">
        <v>14747</v>
      </c>
      <c r="BR508" t="s">
        <v>14748</v>
      </c>
      <c r="BS508" t="s">
        <v>14749</v>
      </c>
      <c r="BT508">
        <v>32643214</v>
      </c>
      <c r="BU508" t="s">
        <v>69</v>
      </c>
      <c r="BV508" t="s">
        <v>69</v>
      </c>
      <c r="BW508" t="s">
        <v>69</v>
      </c>
      <c r="BX508" t="s">
        <v>8526</v>
      </c>
      <c r="BY508" t="str">
        <f>HYPERLINK("https%3A%2F%2Fwww.webofscience.com%2Fwos%2Fwoscc%2Ffull-record%2FWOS:000546353900001","View Full Record in Web of Science")</f>
        <v>View Full Record in Web of Science</v>
      </c>
    </row>
    <row r="509" spans="1:77" ht="12.5" x14ac:dyDescent="0.25">
      <c r="A509" t="s">
        <v>8495</v>
      </c>
      <c r="B509" s="7" t="s">
        <v>32933</v>
      </c>
      <c r="C509" s="7"/>
      <c r="D509" s="7"/>
      <c r="E509" s="7"/>
      <c r="F509" t="s">
        <v>67</v>
      </c>
      <c r="G509" t="s">
        <v>5719</v>
      </c>
      <c r="H509" t="s">
        <v>69</v>
      </c>
      <c r="I509" t="s">
        <v>69</v>
      </c>
      <c r="J509" t="s">
        <v>69</v>
      </c>
      <c r="K509" t="s">
        <v>5720</v>
      </c>
      <c r="L509" t="s">
        <v>69</v>
      </c>
      <c r="M509" t="s">
        <v>69</v>
      </c>
      <c r="N509" t="s">
        <v>5721</v>
      </c>
      <c r="O509" t="s">
        <v>5722</v>
      </c>
      <c r="P509" t="s">
        <v>69</v>
      </c>
      <c r="Q509" t="s">
        <v>69</v>
      </c>
      <c r="R509" t="s">
        <v>10153</v>
      </c>
      <c r="S509" t="s">
        <v>8506</v>
      </c>
      <c r="T509" t="s">
        <v>69</v>
      </c>
      <c r="U509" t="s">
        <v>69</v>
      </c>
      <c r="V509" t="s">
        <v>69</v>
      </c>
      <c r="W509" t="s">
        <v>69</v>
      </c>
      <c r="X509" t="s">
        <v>69</v>
      </c>
      <c r="Y509" t="s">
        <v>16188</v>
      </c>
      <c r="Z509" t="s">
        <v>69</v>
      </c>
      <c r="AA509" t="s">
        <v>5723</v>
      </c>
      <c r="AB509" t="s">
        <v>16189</v>
      </c>
      <c r="AC509" t="s">
        <v>69</v>
      </c>
      <c r="AD509" t="s">
        <v>16190</v>
      </c>
      <c r="AE509" t="s">
        <v>16191</v>
      </c>
      <c r="AF509" t="s">
        <v>5724</v>
      </c>
      <c r="AG509" t="s">
        <v>5725</v>
      </c>
      <c r="AH509" t="s">
        <v>69</v>
      </c>
      <c r="AI509" t="s">
        <v>69</v>
      </c>
      <c r="AJ509" t="s">
        <v>69</v>
      </c>
      <c r="AK509" t="s">
        <v>69</v>
      </c>
      <c r="AL509">
        <v>40</v>
      </c>
      <c r="AM509">
        <v>1</v>
      </c>
      <c r="AN509">
        <v>1</v>
      </c>
      <c r="AO509">
        <v>0</v>
      </c>
      <c r="AP509">
        <v>2</v>
      </c>
      <c r="AQ509" t="s">
        <v>16192</v>
      </c>
      <c r="AR509" t="s">
        <v>16193</v>
      </c>
      <c r="AS509" t="s">
        <v>16194</v>
      </c>
      <c r="AT509" t="s">
        <v>5726</v>
      </c>
      <c r="AU509" t="s">
        <v>5727</v>
      </c>
      <c r="AV509" t="s">
        <v>69</v>
      </c>
      <c r="AW509" t="s">
        <v>16195</v>
      </c>
      <c r="AX509" t="s">
        <v>16196</v>
      </c>
      <c r="AY509" t="s">
        <v>602</v>
      </c>
      <c r="AZ509">
        <v>2020</v>
      </c>
      <c r="BA509">
        <v>20</v>
      </c>
      <c r="BB509">
        <v>79</v>
      </c>
      <c r="BC509" t="s">
        <v>69</v>
      </c>
      <c r="BD509" t="s">
        <v>69</v>
      </c>
      <c r="BE509" t="s">
        <v>69</v>
      </c>
      <c r="BF509" t="s">
        <v>69</v>
      </c>
      <c r="BG509">
        <v>233</v>
      </c>
      <c r="BH509">
        <v>257</v>
      </c>
      <c r="BI509" t="s">
        <v>69</v>
      </c>
      <c r="BJ509" t="s">
        <v>5728</v>
      </c>
      <c r="BK509" t="str">
        <f>HYPERLINK("http://dx.doi.org/10.21056/aec.v20i79.1221","http://dx.doi.org/10.21056/aec.v20i79.1221")</f>
        <v>http://dx.doi.org/10.21056/aec.v20i79.1221</v>
      </c>
      <c r="BL509" t="s">
        <v>69</v>
      </c>
      <c r="BM509" t="s">
        <v>69</v>
      </c>
      <c r="BN509">
        <v>25</v>
      </c>
      <c r="BO509" t="s">
        <v>8452</v>
      </c>
      <c r="BP509" t="s">
        <v>8573</v>
      </c>
      <c r="BQ509" t="s">
        <v>10084</v>
      </c>
      <c r="BR509" t="s">
        <v>16197</v>
      </c>
      <c r="BS509" t="s">
        <v>5729</v>
      </c>
      <c r="BT509" t="s">
        <v>69</v>
      </c>
      <c r="BU509" t="s">
        <v>8931</v>
      </c>
      <c r="BV509" t="s">
        <v>69</v>
      </c>
      <c r="BW509" t="s">
        <v>69</v>
      </c>
      <c r="BX509" t="s">
        <v>8526</v>
      </c>
      <c r="BY509" t="str">
        <f>HYPERLINK("https%3A%2F%2Fwww.webofscience.com%2Fwos%2Fwoscc%2Ffull-record%2FWOS:000540034900008","View Full Record in Web of Science")</f>
        <v>View Full Record in Web of Science</v>
      </c>
    </row>
    <row r="510" spans="1:77" ht="12.5" x14ac:dyDescent="0.25">
      <c r="A510" t="s">
        <v>8495</v>
      </c>
      <c r="B510" s="7" t="s">
        <v>32933</v>
      </c>
      <c r="C510" s="7"/>
      <c r="D510" s="7"/>
      <c r="E510" s="7"/>
      <c r="F510" t="s">
        <v>67</v>
      </c>
      <c r="G510" t="s">
        <v>5127</v>
      </c>
      <c r="H510" t="s">
        <v>69</v>
      </c>
      <c r="I510" t="s">
        <v>69</v>
      </c>
      <c r="J510" t="s">
        <v>69</v>
      </c>
      <c r="K510" t="s">
        <v>5127</v>
      </c>
      <c r="L510" t="s">
        <v>69</v>
      </c>
      <c r="M510" t="s">
        <v>69</v>
      </c>
      <c r="N510" t="s">
        <v>5128</v>
      </c>
      <c r="O510" t="s">
        <v>5129</v>
      </c>
      <c r="P510" t="s">
        <v>69</v>
      </c>
      <c r="Q510" t="s">
        <v>69</v>
      </c>
      <c r="R510" t="s">
        <v>8505</v>
      </c>
      <c r="S510" t="s">
        <v>8506</v>
      </c>
      <c r="T510" t="s">
        <v>69</v>
      </c>
      <c r="U510" t="s">
        <v>69</v>
      </c>
      <c r="V510" t="s">
        <v>69</v>
      </c>
      <c r="W510" t="s">
        <v>69</v>
      </c>
      <c r="X510" t="s">
        <v>69</v>
      </c>
      <c r="Y510" t="s">
        <v>69</v>
      </c>
      <c r="Z510" t="s">
        <v>69</v>
      </c>
      <c r="AA510" t="s">
        <v>5130</v>
      </c>
      <c r="AB510" t="s">
        <v>31566</v>
      </c>
      <c r="AC510" t="s">
        <v>69</v>
      </c>
      <c r="AD510" t="s">
        <v>31567</v>
      </c>
      <c r="AE510" t="s">
        <v>69</v>
      </c>
      <c r="AF510" t="s">
        <v>69</v>
      </c>
      <c r="AG510" t="s">
        <v>69</v>
      </c>
      <c r="AH510" t="s">
        <v>69</v>
      </c>
      <c r="AI510" t="s">
        <v>69</v>
      </c>
      <c r="AJ510" t="s">
        <v>69</v>
      </c>
      <c r="AK510" t="s">
        <v>69</v>
      </c>
      <c r="AL510">
        <v>31</v>
      </c>
      <c r="AM510">
        <v>3</v>
      </c>
      <c r="AN510">
        <v>3</v>
      </c>
      <c r="AO510">
        <v>0</v>
      </c>
      <c r="AP510">
        <v>1</v>
      </c>
      <c r="AQ510" t="s">
        <v>31568</v>
      </c>
      <c r="AR510" t="s">
        <v>16417</v>
      </c>
      <c r="AS510" t="s">
        <v>31569</v>
      </c>
      <c r="AT510" t="s">
        <v>5131</v>
      </c>
      <c r="AU510" t="s">
        <v>69</v>
      </c>
      <c r="AV510" t="s">
        <v>69</v>
      </c>
      <c r="AW510" t="s">
        <v>30633</v>
      </c>
      <c r="AX510" t="s">
        <v>30634</v>
      </c>
      <c r="AY510" t="s">
        <v>255</v>
      </c>
      <c r="AZ510">
        <v>2001</v>
      </c>
      <c r="BA510">
        <v>17</v>
      </c>
      <c r="BB510">
        <v>3</v>
      </c>
      <c r="BC510" t="s">
        <v>69</v>
      </c>
      <c r="BD510" t="s">
        <v>69</v>
      </c>
      <c r="BE510" t="s">
        <v>69</v>
      </c>
      <c r="BF510" t="s">
        <v>69</v>
      </c>
      <c r="BG510">
        <v>303</v>
      </c>
      <c r="BH510">
        <v>314</v>
      </c>
      <c r="BI510" t="s">
        <v>69</v>
      </c>
      <c r="BJ510" t="s">
        <v>5132</v>
      </c>
      <c r="BK510" t="str">
        <f>HYPERLINK("http://dx.doi.org/10.1080/07900620120065093","http://dx.doi.org/10.1080/07900620120065093")</f>
        <v>http://dx.doi.org/10.1080/07900620120065093</v>
      </c>
      <c r="BL510" t="s">
        <v>69</v>
      </c>
      <c r="BM510" t="s">
        <v>69</v>
      </c>
      <c r="BN510">
        <v>12</v>
      </c>
      <c r="BO510" t="s">
        <v>9096</v>
      </c>
      <c r="BP510" t="s">
        <v>8548</v>
      </c>
      <c r="BQ510" t="s">
        <v>9096</v>
      </c>
      <c r="BR510" t="s">
        <v>31570</v>
      </c>
      <c r="BS510" t="s">
        <v>5133</v>
      </c>
      <c r="BT510" t="s">
        <v>69</v>
      </c>
      <c r="BU510" t="s">
        <v>69</v>
      </c>
      <c r="BV510" t="s">
        <v>69</v>
      </c>
      <c r="BW510" t="s">
        <v>69</v>
      </c>
      <c r="BX510" t="s">
        <v>8526</v>
      </c>
      <c r="BY510" t="str">
        <f>HYPERLINK("https%3A%2F%2Fwww.webofscience.com%2Fwos%2Fwoscc%2Ffull-record%2FWOS:000174290600003","View Full Record in Web of Science")</f>
        <v>View Full Record in Web of Science</v>
      </c>
    </row>
    <row r="511" spans="1:77" x14ac:dyDescent="0.3">
      <c r="A511" t="s">
        <v>8495</v>
      </c>
      <c r="B511" s="9" t="s">
        <v>32972</v>
      </c>
      <c r="E511" s="9" t="s">
        <v>33053</v>
      </c>
      <c r="F511" t="s">
        <v>67</v>
      </c>
      <c r="G511" t="s">
        <v>29155</v>
      </c>
      <c r="H511" t="s">
        <v>69</v>
      </c>
      <c r="I511" t="s">
        <v>69</v>
      </c>
      <c r="J511" t="s">
        <v>69</v>
      </c>
      <c r="K511" t="s">
        <v>29156</v>
      </c>
      <c r="L511" t="s">
        <v>69</v>
      </c>
      <c r="M511" t="s">
        <v>69</v>
      </c>
      <c r="N511" t="s">
        <v>29157</v>
      </c>
      <c r="O511" t="s">
        <v>29158</v>
      </c>
      <c r="P511" t="s">
        <v>69</v>
      </c>
      <c r="Q511" t="s">
        <v>69</v>
      </c>
      <c r="R511" t="s">
        <v>8505</v>
      </c>
      <c r="S511" t="s">
        <v>8506</v>
      </c>
      <c r="T511" t="s">
        <v>69</v>
      </c>
      <c r="U511" t="s">
        <v>69</v>
      </c>
      <c r="V511" t="s">
        <v>69</v>
      </c>
      <c r="W511" t="s">
        <v>69</v>
      </c>
      <c r="X511" t="s">
        <v>69</v>
      </c>
      <c r="Y511" t="s">
        <v>29159</v>
      </c>
      <c r="Z511" t="s">
        <v>69</v>
      </c>
      <c r="AA511" t="s">
        <v>29160</v>
      </c>
      <c r="AB511" t="s">
        <v>29161</v>
      </c>
      <c r="AC511" t="s">
        <v>69</v>
      </c>
      <c r="AD511" t="s">
        <v>29162</v>
      </c>
      <c r="AE511" t="s">
        <v>29163</v>
      </c>
      <c r="AF511" t="s">
        <v>69</v>
      </c>
      <c r="AG511" t="s">
        <v>69</v>
      </c>
      <c r="AH511" t="s">
        <v>69</v>
      </c>
      <c r="AI511" t="s">
        <v>69</v>
      </c>
      <c r="AJ511" t="s">
        <v>69</v>
      </c>
      <c r="AK511" t="s">
        <v>69</v>
      </c>
      <c r="AL511">
        <v>3</v>
      </c>
      <c r="AM511">
        <v>0</v>
      </c>
      <c r="AN511">
        <v>0</v>
      </c>
      <c r="AO511">
        <v>0</v>
      </c>
      <c r="AP511">
        <v>3</v>
      </c>
      <c r="AQ511" t="s">
        <v>29164</v>
      </c>
      <c r="AR511" t="s">
        <v>29165</v>
      </c>
      <c r="AS511" t="s">
        <v>29166</v>
      </c>
      <c r="AT511" t="s">
        <v>29167</v>
      </c>
      <c r="AU511" t="s">
        <v>69</v>
      </c>
      <c r="AV511" t="s">
        <v>69</v>
      </c>
      <c r="AW511" t="s">
        <v>29168</v>
      </c>
      <c r="AX511" t="s">
        <v>29169</v>
      </c>
      <c r="AY511" t="s">
        <v>201</v>
      </c>
      <c r="AZ511">
        <v>2008</v>
      </c>
      <c r="BA511">
        <v>14</v>
      </c>
      <c r="BB511">
        <v>3</v>
      </c>
      <c r="BC511" t="s">
        <v>69</v>
      </c>
      <c r="BD511" t="s">
        <v>69</v>
      </c>
      <c r="BE511" t="s">
        <v>69</v>
      </c>
      <c r="BF511" t="s">
        <v>69</v>
      </c>
      <c r="BG511">
        <v>231</v>
      </c>
      <c r="BH511">
        <v>235</v>
      </c>
      <c r="BI511" t="s">
        <v>69</v>
      </c>
      <c r="BJ511" t="s">
        <v>29170</v>
      </c>
      <c r="BK511" t="str">
        <f>HYPERLINK("http://dx.doi.org/10.2113/gseegeosci.14.3.231","http://dx.doi.org/10.2113/gseegeosci.14.3.231")</f>
        <v>http://dx.doi.org/10.2113/gseegeosci.14.3.231</v>
      </c>
      <c r="BL511" t="s">
        <v>69</v>
      </c>
      <c r="BM511" t="s">
        <v>69</v>
      </c>
      <c r="BN511">
        <v>5</v>
      </c>
      <c r="BO511" t="s">
        <v>29171</v>
      </c>
      <c r="BP511" t="s">
        <v>8548</v>
      </c>
      <c r="BQ511" t="s">
        <v>29172</v>
      </c>
      <c r="BR511" t="s">
        <v>29173</v>
      </c>
      <c r="BS511" t="s">
        <v>29174</v>
      </c>
      <c r="BT511" t="s">
        <v>69</v>
      </c>
      <c r="BU511" t="s">
        <v>69</v>
      </c>
      <c r="BV511" t="s">
        <v>69</v>
      </c>
      <c r="BW511" t="s">
        <v>69</v>
      </c>
      <c r="BX511" t="s">
        <v>8526</v>
      </c>
      <c r="BY511" t="str">
        <f>HYPERLINK("https%3A%2F%2Fwww.webofscience.com%2Fwos%2Fwoscc%2Ffull-record%2FWOS:000259507200007","View Full Record in Web of Science")</f>
        <v>View Full Record in Web of Science</v>
      </c>
    </row>
    <row r="512" spans="1:77" ht="12.5" x14ac:dyDescent="0.25">
      <c r="A512" t="s">
        <v>8495</v>
      </c>
      <c r="B512" s="7" t="s">
        <v>32933</v>
      </c>
      <c r="C512" s="7"/>
      <c r="D512" s="7"/>
      <c r="E512" s="7"/>
      <c r="F512" t="s">
        <v>67</v>
      </c>
      <c r="G512" t="s">
        <v>952</v>
      </c>
      <c r="H512" t="s">
        <v>69</v>
      </c>
      <c r="I512" t="s">
        <v>69</v>
      </c>
      <c r="J512" t="s">
        <v>69</v>
      </c>
      <c r="K512" t="s">
        <v>953</v>
      </c>
      <c r="L512" t="s">
        <v>69</v>
      </c>
      <c r="M512" t="s">
        <v>69</v>
      </c>
      <c r="N512" t="s">
        <v>954</v>
      </c>
      <c r="O512" t="s">
        <v>316</v>
      </c>
      <c r="P512" t="s">
        <v>69</v>
      </c>
      <c r="Q512" t="s">
        <v>69</v>
      </c>
      <c r="R512" t="s">
        <v>8505</v>
      </c>
      <c r="S512" t="s">
        <v>8506</v>
      </c>
      <c r="T512" t="s">
        <v>69</v>
      </c>
      <c r="U512" t="s">
        <v>69</v>
      </c>
      <c r="V512" t="s">
        <v>69</v>
      </c>
      <c r="W512" t="s">
        <v>69</v>
      </c>
      <c r="X512" t="s">
        <v>69</v>
      </c>
      <c r="Y512" t="s">
        <v>17320</v>
      </c>
      <c r="Z512" t="s">
        <v>17321</v>
      </c>
      <c r="AA512" t="s">
        <v>955</v>
      </c>
      <c r="AB512" t="s">
        <v>17322</v>
      </c>
      <c r="AC512" t="s">
        <v>69</v>
      </c>
      <c r="AD512" t="s">
        <v>17323</v>
      </c>
      <c r="AE512" t="s">
        <v>17324</v>
      </c>
      <c r="AF512" t="s">
        <v>17325</v>
      </c>
      <c r="AG512" t="s">
        <v>17326</v>
      </c>
      <c r="AH512" t="s">
        <v>17327</v>
      </c>
      <c r="AI512" t="s">
        <v>17328</v>
      </c>
      <c r="AJ512" t="s">
        <v>17329</v>
      </c>
      <c r="AK512" t="s">
        <v>69</v>
      </c>
      <c r="AL512">
        <v>77</v>
      </c>
      <c r="AM512">
        <v>6</v>
      </c>
      <c r="AN512">
        <v>6</v>
      </c>
      <c r="AO512">
        <v>1</v>
      </c>
      <c r="AP512">
        <v>19</v>
      </c>
      <c r="AQ512" t="s">
        <v>8586</v>
      </c>
      <c r="AR512" t="s">
        <v>8587</v>
      </c>
      <c r="AS512" t="s">
        <v>8588</v>
      </c>
      <c r="AT512" t="s">
        <v>318</v>
      </c>
      <c r="AU512" t="s">
        <v>319</v>
      </c>
      <c r="AV512" t="s">
        <v>69</v>
      </c>
      <c r="AW512" t="s">
        <v>11313</v>
      </c>
      <c r="AX512" t="s">
        <v>11314</v>
      </c>
      <c r="AY512" t="s">
        <v>956</v>
      </c>
      <c r="AZ512">
        <v>2019</v>
      </c>
      <c r="BA512">
        <v>19</v>
      </c>
      <c r="BB512">
        <v>2</v>
      </c>
      <c r="BC512" t="s">
        <v>69</v>
      </c>
      <c r="BD512" t="s">
        <v>69</v>
      </c>
      <c r="BE512" t="s">
        <v>69</v>
      </c>
      <c r="BF512" t="s">
        <v>69</v>
      </c>
      <c r="BG512">
        <v>212</v>
      </c>
      <c r="BH512">
        <v>235</v>
      </c>
      <c r="BI512" t="s">
        <v>69</v>
      </c>
      <c r="BJ512" t="s">
        <v>957</v>
      </c>
      <c r="BK512" t="str">
        <f>HYPERLINK("http://dx.doi.org/10.1108/CI-11-2017-0090","http://dx.doi.org/10.1108/CI-11-2017-0090")</f>
        <v>http://dx.doi.org/10.1108/CI-11-2017-0090</v>
      </c>
      <c r="BL512" t="s">
        <v>69</v>
      </c>
      <c r="BM512" t="s">
        <v>69</v>
      </c>
      <c r="BN512">
        <v>24</v>
      </c>
      <c r="BO512" t="s">
        <v>10105</v>
      </c>
      <c r="BP512" t="s">
        <v>8573</v>
      </c>
      <c r="BQ512" t="s">
        <v>10105</v>
      </c>
      <c r="BR512" t="s">
        <v>17330</v>
      </c>
      <c r="BS512" t="s">
        <v>958</v>
      </c>
      <c r="BT512" t="s">
        <v>69</v>
      </c>
      <c r="BU512" t="s">
        <v>10995</v>
      </c>
      <c r="BV512" t="s">
        <v>69</v>
      </c>
      <c r="BW512" t="s">
        <v>69</v>
      </c>
      <c r="BX512" t="s">
        <v>8526</v>
      </c>
      <c r="BY512" t="str">
        <f>HYPERLINK("https%3A%2F%2Fwww.webofscience.com%2Fwos%2Fwoscc%2Ffull-record%2FWOS:000464744000005","View Full Record in Web of Science")</f>
        <v>View Full Record in Web of Science</v>
      </c>
    </row>
    <row r="513" spans="1:77" ht="12.5" x14ac:dyDescent="0.25">
      <c r="A513" t="s">
        <v>8495</v>
      </c>
      <c r="B513" s="22" t="s">
        <v>32931</v>
      </c>
      <c r="C513" s="7"/>
      <c r="D513" s="7"/>
      <c r="E513" s="7"/>
      <c r="F513" t="s">
        <v>67</v>
      </c>
      <c r="G513" t="s">
        <v>21575</v>
      </c>
      <c r="H513" t="s">
        <v>69</v>
      </c>
      <c r="I513" t="s">
        <v>69</v>
      </c>
      <c r="J513" t="s">
        <v>69</v>
      </c>
      <c r="K513" t="s">
        <v>21576</v>
      </c>
      <c r="L513" t="s">
        <v>69</v>
      </c>
      <c r="M513" t="s">
        <v>69</v>
      </c>
      <c r="N513" t="s">
        <v>21577</v>
      </c>
      <c r="O513" t="s">
        <v>21578</v>
      </c>
      <c r="P513" t="s">
        <v>69</v>
      </c>
      <c r="Q513" t="s">
        <v>69</v>
      </c>
      <c r="R513" t="s">
        <v>8505</v>
      </c>
      <c r="S513" t="s">
        <v>8506</v>
      </c>
      <c r="T513" t="s">
        <v>69</v>
      </c>
      <c r="U513" t="s">
        <v>69</v>
      </c>
      <c r="V513" t="s">
        <v>69</v>
      </c>
      <c r="W513" t="s">
        <v>69</v>
      </c>
      <c r="X513" t="s">
        <v>69</v>
      </c>
      <c r="Y513" t="s">
        <v>69</v>
      </c>
      <c r="Z513" t="s">
        <v>21579</v>
      </c>
      <c r="AA513" t="s">
        <v>21580</v>
      </c>
      <c r="AB513" t="s">
        <v>21581</v>
      </c>
      <c r="AC513" t="s">
        <v>69</v>
      </c>
      <c r="AD513" t="s">
        <v>21582</v>
      </c>
      <c r="AE513" t="s">
        <v>69</v>
      </c>
      <c r="AF513" t="s">
        <v>69</v>
      </c>
      <c r="AG513" t="s">
        <v>69</v>
      </c>
      <c r="AH513" t="s">
        <v>69</v>
      </c>
      <c r="AI513" t="s">
        <v>69</v>
      </c>
      <c r="AJ513" t="s">
        <v>69</v>
      </c>
      <c r="AK513" t="s">
        <v>69</v>
      </c>
      <c r="AL513">
        <v>41</v>
      </c>
      <c r="AM513">
        <v>2</v>
      </c>
      <c r="AN513">
        <v>2</v>
      </c>
      <c r="AO513">
        <v>0</v>
      </c>
      <c r="AP513">
        <v>7</v>
      </c>
      <c r="AQ513" t="s">
        <v>21583</v>
      </c>
      <c r="AR513" t="s">
        <v>8693</v>
      </c>
      <c r="AS513" t="s">
        <v>21584</v>
      </c>
      <c r="AT513" t="s">
        <v>21585</v>
      </c>
      <c r="AU513" t="s">
        <v>21586</v>
      </c>
      <c r="AV513" t="s">
        <v>69</v>
      </c>
      <c r="AW513" t="s">
        <v>21587</v>
      </c>
      <c r="AX513" t="s">
        <v>21588</v>
      </c>
      <c r="AY513" t="s">
        <v>84</v>
      </c>
      <c r="AZ513">
        <v>2016</v>
      </c>
      <c r="BA513">
        <v>118</v>
      </c>
      <c r="BB513">
        <v>7</v>
      </c>
      <c r="BC513" t="s">
        <v>69</v>
      </c>
      <c r="BD513" t="s">
        <v>69</v>
      </c>
      <c r="BE513" t="s">
        <v>69</v>
      </c>
      <c r="BF513" t="s">
        <v>69</v>
      </c>
      <c r="BG513" t="s">
        <v>69</v>
      </c>
      <c r="BH513" t="s">
        <v>69</v>
      </c>
      <c r="BI513">
        <v>70302</v>
      </c>
      <c r="BJ513" t="s">
        <v>69</v>
      </c>
      <c r="BK513" t="s">
        <v>69</v>
      </c>
      <c r="BL513" t="s">
        <v>69</v>
      </c>
      <c r="BM513" t="s">
        <v>69</v>
      </c>
      <c r="BN513">
        <v>34</v>
      </c>
      <c r="BO513" t="s">
        <v>9290</v>
      </c>
      <c r="BP513" t="s">
        <v>8661</v>
      </c>
      <c r="BQ513" t="s">
        <v>9290</v>
      </c>
      <c r="BR513" t="s">
        <v>21589</v>
      </c>
      <c r="BS513" t="s">
        <v>21590</v>
      </c>
      <c r="BT513" t="s">
        <v>69</v>
      </c>
      <c r="BU513" t="s">
        <v>69</v>
      </c>
      <c r="BV513" t="s">
        <v>69</v>
      </c>
      <c r="BW513" t="s">
        <v>69</v>
      </c>
      <c r="BX513" t="s">
        <v>8526</v>
      </c>
      <c r="BY513" t="str">
        <f>HYPERLINK("https%3A%2F%2Fwww.webofscience.com%2Fwos%2Fwoscc%2Ffull-record%2FWOS:000412869400002","View Full Record in Web of Science")</f>
        <v>View Full Record in Web of Science</v>
      </c>
    </row>
    <row r="514" spans="1:77" ht="12.5" x14ac:dyDescent="0.25">
      <c r="A514" t="s">
        <v>8495</v>
      </c>
      <c r="B514" s="7" t="s">
        <v>32933</v>
      </c>
      <c r="C514" s="7"/>
      <c r="D514" s="7"/>
      <c r="E514" s="7"/>
      <c r="F514" t="s">
        <v>67</v>
      </c>
      <c r="G514" t="s">
        <v>6293</v>
      </c>
      <c r="H514" t="s">
        <v>69</v>
      </c>
      <c r="I514" t="s">
        <v>69</v>
      </c>
      <c r="J514" t="s">
        <v>69</v>
      </c>
      <c r="K514" t="s">
        <v>6294</v>
      </c>
      <c r="L514" t="s">
        <v>69</v>
      </c>
      <c r="M514" t="s">
        <v>69</v>
      </c>
      <c r="N514" t="s">
        <v>6295</v>
      </c>
      <c r="O514" t="s">
        <v>436</v>
      </c>
      <c r="P514" t="s">
        <v>69</v>
      </c>
      <c r="Q514" t="s">
        <v>69</v>
      </c>
      <c r="R514" t="s">
        <v>8505</v>
      </c>
      <c r="S514" t="s">
        <v>8442</v>
      </c>
      <c r="T514" t="s">
        <v>69</v>
      </c>
      <c r="U514" t="s">
        <v>69</v>
      </c>
      <c r="V514" t="s">
        <v>69</v>
      </c>
      <c r="W514" t="s">
        <v>69</v>
      </c>
      <c r="X514" t="s">
        <v>69</v>
      </c>
      <c r="Y514" t="s">
        <v>15957</v>
      </c>
      <c r="Z514" t="s">
        <v>15958</v>
      </c>
      <c r="AA514" t="s">
        <v>6296</v>
      </c>
      <c r="AB514" t="s">
        <v>15959</v>
      </c>
      <c r="AC514" t="s">
        <v>69</v>
      </c>
      <c r="AD514" t="s">
        <v>15960</v>
      </c>
      <c r="AE514" t="s">
        <v>15961</v>
      </c>
      <c r="AF514" t="s">
        <v>15962</v>
      </c>
      <c r="AG514" t="s">
        <v>15963</v>
      </c>
      <c r="AH514" t="s">
        <v>15964</v>
      </c>
      <c r="AI514" t="s">
        <v>15965</v>
      </c>
      <c r="AJ514" t="s">
        <v>15966</v>
      </c>
      <c r="AK514" t="s">
        <v>69</v>
      </c>
      <c r="AL514">
        <v>76</v>
      </c>
      <c r="AM514">
        <v>9</v>
      </c>
      <c r="AN514">
        <v>9</v>
      </c>
      <c r="AO514">
        <v>2</v>
      </c>
      <c r="AP514">
        <v>15</v>
      </c>
      <c r="AQ514" t="s">
        <v>8636</v>
      </c>
      <c r="AR514" t="s">
        <v>8637</v>
      </c>
      <c r="AS514" t="s">
        <v>8638</v>
      </c>
      <c r="AT514" t="s">
        <v>440</v>
      </c>
      <c r="AU514" t="s">
        <v>441</v>
      </c>
      <c r="AV514" t="s">
        <v>69</v>
      </c>
      <c r="AW514" t="s">
        <v>8639</v>
      </c>
      <c r="AX514" t="s">
        <v>8640</v>
      </c>
      <c r="AY514" t="s">
        <v>6297</v>
      </c>
      <c r="AZ514">
        <v>2020</v>
      </c>
      <c r="BA514">
        <v>243</v>
      </c>
      <c r="BB514" t="s">
        <v>69</v>
      </c>
      <c r="BC514" t="s">
        <v>69</v>
      </c>
      <c r="BD514" t="s">
        <v>69</v>
      </c>
      <c r="BE514" t="s">
        <v>69</v>
      </c>
      <c r="BF514" t="s">
        <v>69</v>
      </c>
      <c r="BG514" t="s">
        <v>69</v>
      </c>
      <c r="BH514" t="s">
        <v>69</v>
      </c>
      <c r="BI514">
        <v>118602</v>
      </c>
      <c r="BJ514" t="s">
        <v>6298</v>
      </c>
      <c r="BK514" t="str">
        <f>HYPERLINK("http://dx.doi.org/10.1016/j.jclepro.2019.118602","http://dx.doi.org/10.1016/j.jclepro.2019.118602")</f>
        <v>http://dx.doi.org/10.1016/j.jclepro.2019.118602</v>
      </c>
      <c r="BL514" t="s">
        <v>69</v>
      </c>
      <c r="BM514" t="s">
        <v>69</v>
      </c>
      <c r="BN514">
        <v>11</v>
      </c>
      <c r="BO514" t="s">
        <v>8643</v>
      </c>
      <c r="BP514" t="s">
        <v>8523</v>
      </c>
      <c r="BQ514" t="s">
        <v>8644</v>
      </c>
      <c r="BR514" t="s">
        <v>15967</v>
      </c>
      <c r="BS514" t="s">
        <v>6299</v>
      </c>
      <c r="BT514" t="s">
        <v>69</v>
      </c>
      <c r="BU514" t="s">
        <v>69</v>
      </c>
      <c r="BV514" t="s">
        <v>69</v>
      </c>
      <c r="BW514" t="s">
        <v>69</v>
      </c>
      <c r="BX514" t="s">
        <v>8526</v>
      </c>
      <c r="BY514" t="str">
        <f>HYPERLINK("https%3A%2F%2Fwww.webofscience.com%2Fwos%2Fwoscc%2Ffull-record%2FWOS:000498805600036","View Full Record in Web of Science")</f>
        <v>View Full Record in Web of Science</v>
      </c>
    </row>
    <row r="515" spans="1:77" ht="12.5" x14ac:dyDescent="0.25">
      <c r="A515" t="s">
        <v>8495</v>
      </c>
      <c r="B515" s="22" t="s">
        <v>32931</v>
      </c>
      <c r="C515" s="7"/>
      <c r="D515" s="7"/>
      <c r="E515" s="7"/>
      <c r="F515" t="s">
        <v>67</v>
      </c>
      <c r="G515" t="s">
        <v>9948</v>
      </c>
      <c r="H515" t="s">
        <v>69</v>
      </c>
      <c r="I515" t="s">
        <v>69</v>
      </c>
      <c r="J515" t="s">
        <v>69</v>
      </c>
      <c r="K515" t="s">
        <v>9949</v>
      </c>
      <c r="L515" t="s">
        <v>69</v>
      </c>
      <c r="M515" t="s">
        <v>69</v>
      </c>
      <c r="N515" t="s">
        <v>9950</v>
      </c>
      <c r="O515" t="s">
        <v>9951</v>
      </c>
      <c r="P515" t="s">
        <v>69</v>
      </c>
      <c r="Q515" t="s">
        <v>69</v>
      </c>
      <c r="R515" t="s">
        <v>8505</v>
      </c>
      <c r="S515" t="s">
        <v>8506</v>
      </c>
      <c r="T515" t="s">
        <v>69</v>
      </c>
      <c r="U515" t="s">
        <v>69</v>
      </c>
      <c r="V515" t="s">
        <v>69</v>
      </c>
      <c r="W515" t="s">
        <v>69</v>
      </c>
      <c r="X515" t="s">
        <v>69</v>
      </c>
      <c r="Y515" t="s">
        <v>9952</v>
      </c>
      <c r="Z515" t="s">
        <v>9953</v>
      </c>
      <c r="AA515" t="s">
        <v>9954</v>
      </c>
      <c r="AB515" t="s">
        <v>9955</v>
      </c>
      <c r="AC515" t="s">
        <v>69</v>
      </c>
      <c r="AD515" t="s">
        <v>9956</v>
      </c>
      <c r="AE515" t="s">
        <v>9957</v>
      </c>
      <c r="AF515" t="s">
        <v>9958</v>
      </c>
      <c r="AG515" t="s">
        <v>9959</v>
      </c>
      <c r="AH515" t="s">
        <v>69</v>
      </c>
      <c r="AI515" t="s">
        <v>69</v>
      </c>
      <c r="AJ515" t="s">
        <v>69</v>
      </c>
      <c r="AK515" t="s">
        <v>69</v>
      </c>
      <c r="AL515">
        <v>148</v>
      </c>
      <c r="AM515">
        <v>4</v>
      </c>
      <c r="AN515">
        <v>4</v>
      </c>
      <c r="AO515">
        <v>5</v>
      </c>
      <c r="AP515">
        <v>5</v>
      </c>
      <c r="AQ515" t="s">
        <v>8636</v>
      </c>
      <c r="AR515" t="s">
        <v>8637</v>
      </c>
      <c r="AS515" t="s">
        <v>8638</v>
      </c>
      <c r="AT515" t="s">
        <v>9960</v>
      </c>
      <c r="AU515" t="s">
        <v>9961</v>
      </c>
      <c r="AV515" t="s">
        <v>69</v>
      </c>
      <c r="AW515" t="s">
        <v>9962</v>
      </c>
      <c r="AX515" t="s">
        <v>9963</v>
      </c>
      <c r="AY515" t="s">
        <v>191</v>
      </c>
      <c r="AZ515">
        <v>2022</v>
      </c>
      <c r="BA515">
        <v>40</v>
      </c>
      <c r="BB515">
        <v>1</v>
      </c>
      <c r="BC515" t="s">
        <v>69</v>
      </c>
      <c r="BD515" t="s">
        <v>69</v>
      </c>
      <c r="BE515" t="s">
        <v>69</v>
      </c>
      <c r="BF515" t="s">
        <v>69</v>
      </c>
      <c r="BG515">
        <v>103</v>
      </c>
      <c r="BH515">
        <v>126</v>
      </c>
      <c r="BI515" t="s">
        <v>69</v>
      </c>
      <c r="BJ515" t="s">
        <v>9964</v>
      </c>
      <c r="BK515" t="str">
        <f>HYPERLINK("http://dx.doi.org/10.1016/j.emj.2021.03.003","http://dx.doi.org/10.1016/j.emj.2021.03.003")</f>
        <v>http://dx.doi.org/10.1016/j.emj.2021.03.003</v>
      </c>
      <c r="BL515" t="s">
        <v>69</v>
      </c>
      <c r="BM515" t="s">
        <v>69</v>
      </c>
      <c r="BN515">
        <v>24</v>
      </c>
      <c r="BO515" t="s">
        <v>8791</v>
      </c>
      <c r="BP515" t="s">
        <v>8661</v>
      </c>
      <c r="BQ515" t="s">
        <v>8594</v>
      </c>
      <c r="BR515" t="s">
        <v>9965</v>
      </c>
      <c r="BS515" t="s">
        <v>9966</v>
      </c>
      <c r="BT515" t="s">
        <v>69</v>
      </c>
      <c r="BU515" t="s">
        <v>69</v>
      </c>
      <c r="BV515" t="s">
        <v>69</v>
      </c>
      <c r="BW515" t="s">
        <v>69</v>
      </c>
      <c r="BX515" t="s">
        <v>8526</v>
      </c>
      <c r="BY515" t="str">
        <f>HYPERLINK("https%3A%2F%2Fwww.webofscience.com%2Fwos%2Fwoscc%2Ffull-record%2FWOS:000755762000009","View Full Record in Web of Science")</f>
        <v>View Full Record in Web of Science</v>
      </c>
    </row>
    <row r="516" spans="1:77" ht="12.5" x14ac:dyDescent="0.25">
      <c r="A516" t="s">
        <v>8495</v>
      </c>
      <c r="B516" s="22" t="s">
        <v>32931</v>
      </c>
      <c r="C516" s="7"/>
      <c r="D516" s="7"/>
      <c r="E516" s="7"/>
      <c r="F516" t="s">
        <v>67</v>
      </c>
      <c r="G516" t="s">
        <v>32417</v>
      </c>
      <c r="H516" t="s">
        <v>69</v>
      </c>
      <c r="I516" t="s">
        <v>69</v>
      </c>
      <c r="J516" t="s">
        <v>69</v>
      </c>
      <c r="K516" t="s">
        <v>32417</v>
      </c>
      <c r="L516" t="s">
        <v>69</v>
      </c>
      <c r="M516" t="s">
        <v>69</v>
      </c>
      <c r="N516" t="s">
        <v>32418</v>
      </c>
      <c r="O516" t="s">
        <v>32419</v>
      </c>
      <c r="P516" t="s">
        <v>69</v>
      </c>
      <c r="Q516" t="s">
        <v>69</v>
      </c>
      <c r="R516" t="s">
        <v>8505</v>
      </c>
      <c r="S516" t="s">
        <v>8506</v>
      </c>
      <c r="T516" t="s">
        <v>69</v>
      </c>
      <c r="U516" t="s">
        <v>69</v>
      </c>
      <c r="V516" t="s">
        <v>69</v>
      </c>
      <c r="W516" t="s">
        <v>69</v>
      </c>
      <c r="X516" t="s">
        <v>69</v>
      </c>
      <c r="Y516" t="s">
        <v>69</v>
      </c>
      <c r="Z516" t="s">
        <v>69</v>
      </c>
      <c r="AA516" t="s">
        <v>32420</v>
      </c>
      <c r="AB516" t="s">
        <v>69</v>
      </c>
      <c r="AC516" t="s">
        <v>69</v>
      </c>
      <c r="AD516" t="s">
        <v>32421</v>
      </c>
      <c r="AE516" t="s">
        <v>69</v>
      </c>
      <c r="AF516" t="s">
        <v>69</v>
      </c>
      <c r="AG516" t="s">
        <v>32422</v>
      </c>
      <c r="AH516" t="s">
        <v>69</v>
      </c>
      <c r="AI516" t="s">
        <v>69</v>
      </c>
      <c r="AJ516" t="s">
        <v>69</v>
      </c>
      <c r="AK516" t="s">
        <v>69</v>
      </c>
      <c r="AL516">
        <v>11</v>
      </c>
      <c r="AM516">
        <v>4</v>
      </c>
      <c r="AN516">
        <v>4</v>
      </c>
      <c r="AO516">
        <v>0</v>
      </c>
      <c r="AP516">
        <v>0</v>
      </c>
      <c r="AQ516" t="s">
        <v>32423</v>
      </c>
      <c r="AR516" t="s">
        <v>15901</v>
      </c>
      <c r="AS516" t="s">
        <v>32424</v>
      </c>
      <c r="AT516" t="s">
        <v>32425</v>
      </c>
      <c r="AU516" t="s">
        <v>69</v>
      </c>
      <c r="AV516" t="s">
        <v>69</v>
      </c>
      <c r="AW516" t="s">
        <v>32426</v>
      </c>
      <c r="AX516" t="s">
        <v>32427</v>
      </c>
      <c r="AY516" t="s">
        <v>255</v>
      </c>
      <c r="AZ516">
        <v>1996</v>
      </c>
      <c r="BA516">
        <v>131</v>
      </c>
      <c r="BB516">
        <v>9</v>
      </c>
      <c r="BC516" t="s">
        <v>69</v>
      </c>
      <c r="BD516" t="s">
        <v>69</v>
      </c>
      <c r="BE516" t="s">
        <v>69</v>
      </c>
      <c r="BF516" t="s">
        <v>69</v>
      </c>
      <c r="BG516">
        <v>990</v>
      </c>
      <c r="BH516">
        <v>993</v>
      </c>
      <c r="BI516" t="s">
        <v>69</v>
      </c>
      <c r="BJ516" t="s">
        <v>69</v>
      </c>
      <c r="BK516" t="s">
        <v>69</v>
      </c>
      <c r="BL516" t="s">
        <v>69</v>
      </c>
      <c r="BM516" t="s">
        <v>69</v>
      </c>
      <c r="BN516">
        <v>4</v>
      </c>
      <c r="BO516" t="s">
        <v>11956</v>
      </c>
      <c r="BP516" t="s">
        <v>8548</v>
      </c>
      <c r="BQ516" t="s">
        <v>11956</v>
      </c>
      <c r="BR516" t="s">
        <v>32428</v>
      </c>
      <c r="BS516" t="s">
        <v>32429</v>
      </c>
      <c r="BT516">
        <v>8790171</v>
      </c>
      <c r="BU516" t="s">
        <v>69</v>
      </c>
      <c r="BV516" t="s">
        <v>69</v>
      </c>
      <c r="BW516" t="s">
        <v>69</v>
      </c>
      <c r="BX516" t="s">
        <v>8526</v>
      </c>
      <c r="BY516" t="str">
        <f>HYPERLINK("https%3A%2F%2Fwww.webofscience.com%2Fwos%2Fwoscc%2Ffull-record%2FWOS:A1996VF46900026","View Full Record in Web of Science")</f>
        <v>View Full Record in Web of Science</v>
      </c>
    </row>
    <row r="517" spans="1:77" ht="12.5" x14ac:dyDescent="0.25">
      <c r="A517" t="s">
        <v>8495</v>
      </c>
      <c r="B517" s="22" t="s">
        <v>32931</v>
      </c>
      <c r="C517" s="7"/>
      <c r="D517" s="7"/>
      <c r="E517" s="7"/>
      <c r="F517" t="s">
        <v>67</v>
      </c>
      <c r="G517" t="s">
        <v>9058</v>
      </c>
      <c r="H517" t="s">
        <v>69</v>
      </c>
      <c r="I517" t="s">
        <v>69</v>
      </c>
      <c r="J517" t="s">
        <v>69</v>
      </c>
      <c r="K517" t="s">
        <v>9059</v>
      </c>
      <c r="L517" t="s">
        <v>69</v>
      </c>
      <c r="M517" t="s">
        <v>69</v>
      </c>
      <c r="N517" t="s">
        <v>9060</v>
      </c>
      <c r="O517" t="s">
        <v>9061</v>
      </c>
      <c r="P517" t="s">
        <v>69</v>
      </c>
      <c r="Q517" t="s">
        <v>69</v>
      </c>
      <c r="R517" t="s">
        <v>8505</v>
      </c>
      <c r="S517" t="s">
        <v>8556</v>
      </c>
      <c r="T517" t="s">
        <v>69</v>
      </c>
      <c r="U517" t="s">
        <v>69</v>
      </c>
      <c r="V517" t="s">
        <v>69</v>
      </c>
      <c r="W517" t="s">
        <v>69</v>
      </c>
      <c r="X517" t="s">
        <v>69</v>
      </c>
      <c r="Y517" t="s">
        <v>9062</v>
      </c>
      <c r="Z517" t="s">
        <v>9063</v>
      </c>
      <c r="AA517" t="s">
        <v>9064</v>
      </c>
      <c r="AB517" t="s">
        <v>9065</v>
      </c>
      <c r="AC517" t="s">
        <v>69</v>
      </c>
      <c r="AD517" t="s">
        <v>9066</v>
      </c>
      <c r="AE517" t="s">
        <v>9067</v>
      </c>
      <c r="AF517" t="s">
        <v>9068</v>
      </c>
      <c r="AG517" t="s">
        <v>9069</v>
      </c>
      <c r="AH517" t="s">
        <v>9070</v>
      </c>
      <c r="AI517" t="s">
        <v>9070</v>
      </c>
      <c r="AJ517" t="s">
        <v>9071</v>
      </c>
      <c r="AK517" t="s">
        <v>69</v>
      </c>
      <c r="AL517">
        <v>53</v>
      </c>
      <c r="AM517">
        <v>0</v>
      </c>
      <c r="AN517">
        <v>0</v>
      </c>
      <c r="AO517">
        <v>0</v>
      </c>
      <c r="AP517">
        <v>0</v>
      </c>
      <c r="AQ517" t="s">
        <v>9047</v>
      </c>
      <c r="AR517" t="s">
        <v>9048</v>
      </c>
      <c r="AS517" t="s">
        <v>9049</v>
      </c>
      <c r="AT517" t="s">
        <v>9072</v>
      </c>
      <c r="AU517" t="s">
        <v>9073</v>
      </c>
      <c r="AV517" t="s">
        <v>69</v>
      </c>
      <c r="AW517" t="s">
        <v>9074</v>
      </c>
      <c r="AX517" t="s">
        <v>9075</v>
      </c>
      <c r="AY517" t="s">
        <v>69</v>
      </c>
      <c r="AZ517" t="s">
        <v>69</v>
      </c>
      <c r="BA517" t="s">
        <v>69</v>
      </c>
      <c r="BB517" t="s">
        <v>69</v>
      </c>
      <c r="BC517" t="s">
        <v>69</v>
      </c>
      <c r="BD517" t="s">
        <v>69</v>
      </c>
      <c r="BE517" t="s">
        <v>69</v>
      </c>
      <c r="BF517" t="s">
        <v>69</v>
      </c>
      <c r="BG517" t="s">
        <v>69</v>
      </c>
      <c r="BH517" t="s">
        <v>69</v>
      </c>
      <c r="BI517" t="s">
        <v>69</v>
      </c>
      <c r="BJ517" t="s">
        <v>9076</v>
      </c>
      <c r="BK517" t="str">
        <f>HYPERLINK("http://dx.doi.org/10.1007/s10728-022-00446-4","http://dx.doi.org/10.1007/s10728-022-00446-4")</f>
        <v>http://dx.doi.org/10.1007/s10728-022-00446-4</v>
      </c>
      <c r="BL517" t="s">
        <v>69</v>
      </c>
      <c r="BM517" t="s">
        <v>9025</v>
      </c>
      <c r="BN517">
        <v>25</v>
      </c>
      <c r="BO517" t="s">
        <v>9077</v>
      </c>
      <c r="BP517" t="s">
        <v>8661</v>
      </c>
      <c r="BQ517" t="s">
        <v>9078</v>
      </c>
      <c r="BR517" t="s">
        <v>9079</v>
      </c>
      <c r="BS517" t="s">
        <v>9080</v>
      </c>
      <c r="BT517">
        <v>35562635</v>
      </c>
      <c r="BU517" t="s">
        <v>8622</v>
      </c>
      <c r="BV517" t="s">
        <v>69</v>
      </c>
      <c r="BW517" t="s">
        <v>69</v>
      </c>
      <c r="BX517" t="s">
        <v>8526</v>
      </c>
      <c r="BY517" t="str">
        <f>HYPERLINK("https%3A%2F%2Fwww.webofscience.com%2Fwos%2Fwoscc%2Ffull-record%2FWOS:000799404400001","View Full Record in Web of Science")</f>
        <v>View Full Record in Web of Science</v>
      </c>
    </row>
    <row r="518" spans="1:77" ht="12.5" x14ac:dyDescent="0.25">
      <c r="A518" t="s">
        <v>8495</v>
      </c>
      <c r="B518" s="22" t="s">
        <v>32931</v>
      </c>
      <c r="C518" s="7"/>
      <c r="D518" s="7"/>
      <c r="E518" s="7"/>
      <c r="F518" t="s">
        <v>67</v>
      </c>
      <c r="G518" t="s">
        <v>20500</v>
      </c>
      <c r="H518" t="s">
        <v>69</v>
      </c>
      <c r="I518" t="s">
        <v>69</v>
      </c>
      <c r="J518" t="s">
        <v>69</v>
      </c>
      <c r="K518" t="s">
        <v>20501</v>
      </c>
      <c r="L518" t="s">
        <v>69</v>
      </c>
      <c r="M518" t="s">
        <v>69</v>
      </c>
      <c r="N518" t="s">
        <v>20502</v>
      </c>
      <c r="O518" t="s">
        <v>20503</v>
      </c>
      <c r="P518" t="s">
        <v>69</v>
      </c>
      <c r="Q518" t="s">
        <v>69</v>
      </c>
      <c r="R518" t="s">
        <v>8505</v>
      </c>
      <c r="S518" t="s">
        <v>8506</v>
      </c>
      <c r="T518" t="s">
        <v>69</v>
      </c>
      <c r="U518" t="s">
        <v>69</v>
      </c>
      <c r="V518" t="s">
        <v>69</v>
      </c>
      <c r="W518" t="s">
        <v>69</v>
      </c>
      <c r="X518" t="s">
        <v>69</v>
      </c>
      <c r="Y518" t="s">
        <v>20504</v>
      </c>
      <c r="Z518" t="s">
        <v>20505</v>
      </c>
      <c r="AA518" t="s">
        <v>20506</v>
      </c>
      <c r="AB518" t="s">
        <v>20507</v>
      </c>
      <c r="AC518" t="s">
        <v>69</v>
      </c>
      <c r="AD518" t="s">
        <v>20508</v>
      </c>
      <c r="AE518" t="s">
        <v>20509</v>
      </c>
      <c r="AF518" t="s">
        <v>20510</v>
      </c>
      <c r="AG518" t="s">
        <v>20511</v>
      </c>
      <c r="AH518" t="s">
        <v>69</v>
      </c>
      <c r="AI518" t="s">
        <v>69</v>
      </c>
      <c r="AJ518" t="s">
        <v>69</v>
      </c>
      <c r="AK518" t="s">
        <v>69</v>
      </c>
      <c r="AL518">
        <v>43</v>
      </c>
      <c r="AM518">
        <v>41</v>
      </c>
      <c r="AN518">
        <v>42</v>
      </c>
      <c r="AO518">
        <v>0</v>
      </c>
      <c r="AP518">
        <v>15</v>
      </c>
      <c r="AQ518" t="s">
        <v>8846</v>
      </c>
      <c r="AR518" t="s">
        <v>8847</v>
      </c>
      <c r="AS518" t="s">
        <v>8848</v>
      </c>
      <c r="AT518" t="s">
        <v>20512</v>
      </c>
      <c r="AU518" t="s">
        <v>20513</v>
      </c>
      <c r="AV518" t="s">
        <v>69</v>
      </c>
      <c r="AW518" t="s">
        <v>20514</v>
      </c>
      <c r="AX518" t="s">
        <v>20515</v>
      </c>
      <c r="AY518" t="s">
        <v>94</v>
      </c>
      <c r="AZ518">
        <v>2017</v>
      </c>
      <c r="BA518">
        <v>47</v>
      </c>
      <c r="BB518">
        <v>3</v>
      </c>
      <c r="BC518" t="s">
        <v>69</v>
      </c>
      <c r="BD518" t="s">
        <v>69</v>
      </c>
      <c r="BE518" t="s">
        <v>69</v>
      </c>
      <c r="BF518" t="s">
        <v>69</v>
      </c>
      <c r="BG518">
        <v>291</v>
      </c>
      <c r="BH518">
        <v>298</v>
      </c>
      <c r="BI518" t="s">
        <v>69</v>
      </c>
      <c r="BJ518" t="s">
        <v>20516</v>
      </c>
      <c r="BK518" t="str">
        <f>HYPERLINK("http://dx.doi.org/10.1111/imj.13349","http://dx.doi.org/10.1111/imj.13349")</f>
        <v>http://dx.doi.org/10.1111/imj.13349</v>
      </c>
      <c r="BL518" t="s">
        <v>69</v>
      </c>
      <c r="BM518" t="s">
        <v>69</v>
      </c>
      <c r="BN518">
        <v>8</v>
      </c>
      <c r="BO518" t="s">
        <v>9450</v>
      </c>
      <c r="BP518" t="s">
        <v>8548</v>
      </c>
      <c r="BQ518" t="s">
        <v>9451</v>
      </c>
      <c r="BR518" t="s">
        <v>20517</v>
      </c>
      <c r="BS518" t="s">
        <v>20518</v>
      </c>
      <c r="BT518">
        <v>27925381</v>
      </c>
      <c r="BU518" t="s">
        <v>69</v>
      </c>
      <c r="BV518" t="s">
        <v>69</v>
      </c>
      <c r="BW518" t="s">
        <v>69</v>
      </c>
      <c r="BX518" t="s">
        <v>8526</v>
      </c>
      <c r="BY518" t="str">
        <f>HYPERLINK("https%3A%2F%2Fwww.webofscience.com%2Fwos%2Fwoscc%2Ffull-record%2FWOS:000399309300010","View Full Record in Web of Science")</f>
        <v>View Full Record in Web of Science</v>
      </c>
    </row>
    <row r="519" spans="1:77" ht="12.5" x14ac:dyDescent="0.25">
      <c r="A519" t="s">
        <v>8495</v>
      </c>
      <c r="B519" s="7" t="s">
        <v>32933</v>
      </c>
      <c r="C519" s="7"/>
      <c r="D519" s="7"/>
      <c r="E519" s="7"/>
      <c r="F519" t="s">
        <v>67</v>
      </c>
      <c r="G519" t="s">
        <v>3783</v>
      </c>
      <c r="H519" t="s">
        <v>69</v>
      </c>
      <c r="I519" t="s">
        <v>69</v>
      </c>
      <c r="J519" t="s">
        <v>69</v>
      </c>
      <c r="K519" t="s">
        <v>3784</v>
      </c>
      <c r="L519" t="s">
        <v>69</v>
      </c>
      <c r="M519" t="s">
        <v>69</v>
      </c>
      <c r="N519" t="s">
        <v>3785</v>
      </c>
      <c r="O519" t="s">
        <v>3786</v>
      </c>
      <c r="P519" t="s">
        <v>69</v>
      </c>
      <c r="Q519" t="s">
        <v>69</v>
      </c>
      <c r="R519" t="s">
        <v>8505</v>
      </c>
      <c r="S519" t="s">
        <v>15797</v>
      </c>
      <c r="T519" t="s">
        <v>3787</v>
      </c>
      <c r="U519" t="s">
        <v>3788</v>
      </c>
      <c r="V519" t="s">
        <v>3789</v>
      </c>
      <c r="W519" t="s">
        <v>30041</v>
      </c>
      <c r="X519" t="s">
        <v>69</v>
      </c>
      <c r="Y519" t="s">
        <v>30042</v>
      </c>
      <c r="Z519" t="s">
        <v>30043</v>
      </c>
      <c r="AA519" t="s">
        <v>3790</v>
      </c>
      <c r="AB519" t="s">
        <v>30044</v>
      </c>
      <c r="AC519" t="s">
        <v>69</v>
      </c>
      <c r="AD519" t="s">
        <v>30045</v>
      </c>
      <c r="AE519" t="s">
        <v>30046</v>
      </c>
      <c r="AF519" t="s">
        <v>69</v>
      </c>
      <c r="AG519" t="s">
        <v>69</v>
      </c>
      <c r="AH519" t="s">
        <v>69</v>
      </c>
      <c r="AI519" t="s">
        <v>69</v>
      </c>
      <c r="AJ519" t="s">
        <v>69</v>
      </c>
      <c r="AK519" t="s">
        <v>69</v>
      </c>
      <c r="AL519">
        <v>45</v>
      </c>
      <c r="AM519">
        <v>5</v>
      </c>
      <c r="AN519">
        <v>6</v>
      </c>
      <c r="AO519">
        <v>1</v>
      </c>
      <c r="AP519">
        <v>18</v>
      </c>
      <c r="AQ519" t="s">
        <v>8865</v>
      </c>
      <c r="AR519" t="s">
        <v>8612</v>
      </c>
      <c r="AS519" t="s">
        <v>8866</v>
      </c>
      <c r="AT519" t="s">
        <v>3791</v>
      </c>
      <c r="AU519" t="s">
        <v>3792</v>
      </c>
      <c r="AV519" t="s">
        <v>69</v>
      </c>
      <c r="AW519" t="s">
        <v>30047</v>
      </c>
      <c r="AX519" t="s">
        <v>30048</v>
      </c>
      <c r="AY519" t="s">
        <v>69</v>
      </c>
      <c r="AZ519">
        <v>2007</v>
      </c>
      <c r="BA519">
        <v>44</v>
      </c>
      <c r="BB519">
        <v>3</v>
      </c>
      <c r="BC519" t="s">
        <v>69</v>
      </c>
      <c r="BD519" t="s">
        <v>69</v>
      </c>
      <c r="BE519" t="s">
        <v>69</v>
      </c>
      <c r="BF519" t="s">
        <v>69</v>
      </c>
      <c r="BG519">
        <v>145</v>
      </c>
      <c r="BH519">
        <v>159</v>
      </c>
      <c r="BI519" t="s">
        <v>69</v>
      </c>
      <c r="BJ519" t="s">
        <v>3793</v>
      </c>
      <c r="BK519" t="str">
        <f>HYPERLINK("http://dx.doi.org/10.1300/J010v44n03_02","http://dx.doi.org/10.1300/J010v44n03_02")</f>
        <v>http://dx.doi.org/10.1300/J010v44n03_02</v>
      </c>
      <c r="BL519" t="s">
        <v>69</v>
      </c>
      <c r="BM519" t="s">
        <v>69</v>
      </c>
      <c r="BN519">
        <v>15</v>
      </c>
      <c r="BO519" t="s">
        <v>17741</v>
      </c>
      <c r="BP519" t="s">
        <v>18588</v>
      </c>
      <c r="BQ519" t="s">
        <v>17741</v>
      </c>
      <c r="BR519" t="s">
        <v>30049</v>
      </c>
      <c r="BS519" t="s">
        <v>3794</v>
      </c>
      <c r="BT519">
        <v>17548272</v>
      </c>
      <c r="BU519" t="s">
        <v>69</v>
      </c>
      <c r="BV519" t="s">
        <v>69</v>
      </c>
      <c r="BW519" t="s">
        <v>69</v>
      </c>
      <c r="BX519" t="s">
        <v>8526</v>
      </c>
      <c r="BY519" t="str">
        <f>HYPERLINK("https%3A%2F%2Fwww.webofscience.com%2Fwos%2Fwoscc%2Ffull-record%2FWOS:000246995800002","View Full Record in Web of Science")</f>
        <v>View Full Record in Web of Science</v>
      </c>
    </row>
    <row r="520" spans="1:77" ht="12.5" x14ac:dyDescent="0.25">
      <c r="A520" t="s">
        <v>8495</v>
      </c>
      <c r="B520" s="22" t="s">
        <v>32931</v>
      </c>
      <c r="C520" s="7"/>
      <c r="D520" s="7"/>
      <c r="E520" s="7"/>
      <c r="F520" t="s">
        <v>67</v>
      </c>
      <c r="G520" t="s">
        <v>32534</v>
      </c>
      <c r="H520" t="s">
        <v>69</v>
      </c>
      <c r="I520" t="s">
        <v>69</v>
      </c>
      <c r="J520" t="s">
        <v>69</v>
      </c>
      <c r="K520" t="s">
        <v>32534</v>
      </c>
      <c r="L520" t="s">
        <v>69</v>
      </c>
      <c r="M520" t="s">
        <v>69</v>
      </c>
      <c r="N520" t="s">
        <v>32535</v>
      </c>
      <c r="O520" t="s">
        <v>17054</v>
      </c>
      <c r="P520" t="s">
        <v>69</v>
      </c>
      <c r="Q520" t="s">
        <v>69</v>
      </c>
      <c r="R520" t="s">
        <v>8505</v>
      </c>
      <c r="S520" t="s">
        <v>8506</v>
      </c>
      <c r="T520" t="s">
        <v>69</v>
      </c>
      <c r="U520" t="s">
        <v>69</v>
      </c>
      <c r="V520" t="s">
        <v>69</v>
      </c>
      <c r="W520" t="s">
        <v>69</v>
      </c>
      <c r="X520" t="s">
        <v>69</v>
      </c>
      <c r="Y520" t="s">
        <v>69</v>
      </c>
      <c r="Z520" t="s">
        <v>69</v>
      </c>
      <c r="AA520" t="s">
        <v>32536</v>
      </c>
      <c r="AB520" t="s">
        <v>69</v>
      </c>
      <c r="AC520" t="s">
        <v>69</v>
      </c>
      <c r="AD520" t="s">
        <v>69</v>
      </c>
      <c r="AE520" t="s">
        <v>69</v>
      </c>
      <c r="AF520" t="s">
        <v>69</v>
      </c>
      <c r="AG520" t="s">
        <v>69</v>
      </c>
      <c r="AH520" t="s">
        <v>69</v>
      </c>
      <c r="AI520" t="s">
        <v>69</v>
      </c>
      <c r="AJ520" t="s">
        <v>69</v>
      </c>
      <c r="AK520" t="s">
        <v>69</v>
      </c>
      <c r="AL520">
        <v>7</v>
      </c>
      <c r="AM520">
        <v>0</v>
      </c>
      <c r="AN520">
        <v>0</v>
      </c>
      <c r="AO520">
        <v>0</v>
      </c>
      <c r="AP520">
        <v>5</v>
      </c>
      <c r="AQ520" t="s">
        <v>32537</v>
      </c>
      <c r="AR520" t="s">
        <v>8637</v>
      </c>
      <c r="AS520" t="s">
        <v>32538</v>
      </c>
      <c r="AT520" t="s">
        <v>17065</v>
      </c>
      <c r="AU520" t="s">
        <v>69</v>
      </c>
      <c r="AV520" t="s">
        <v>69</v>
      </c>
      <c r="AW520" t="s">
        <v>17067</v>
      </c>
      <c r="AX520" t="s">
        <v>17068</v>
      </c>
      <c r="AY520" t="s">
        <v>75</v>
      </c>
      <c r="AZ520">
        <v>1995</v>
      </c>
      <c r="BA520">
        <v>10</v>
      </c>
      <c r="BB520" t="s">
        <v>69</v>
      </c>
      <c r="BC520" t="s">
        <v>69</v>
      </c>
      <c r="BD520" t="s">
        <v>627</v>
      </c>
      <c r="BE520" t="s">
        <v>69</v>
      </c>
      <c r="BF520" t="s">
        <v>69</v>
      </c>
      <c r="BG520">
        <v>17</v>
      </c>
      <c r="BH520">
        <v>27</v>
      </c>
      <c r="BI520" t="s">
        <v>69</v>
      </c>
      <c r="BJ520" t="s">
        <v>69</v>
      </c>
      <c r="BK520" t="s">
        <v>69</v>
      </c>
      <c r="BL520" t="s">
        <v>69</v>
      </c>
      <c r="BM520" t="s">
        <v>69</v>
      </c>
      <c r="BN520">
        <v>11</v>
      </c>
      <c r="BO520" t="s">
        <v>9809</v>
      </c>
      <c r="BP520" t="s">
        <v>8661</v>
      </c>
      <c r="BQ520" t="s">
        <v>9209</v>
      </c>
      <c r="BR520" t="s">
        <v>32539</v>
      </c>
      <c r="BS520" t="s">
        <v>32540</v>
      </c>
      <c r="BT520" t="s">
        <v>69</v>
      </c>
      <c r="BU520" t="s">
        <v>69</v>
      </c>
      <c r="BV520" t="s">
        <v>69</v>
      </c>
      <c r="BW520" t="s">
        <v>69</v>
      </c>
      <c r="BX520" t="s">
        <v>8526</v>
      </c>
      <c r="BY520" t="str">
        <f>HYPERLINK("https%3A%2F%2Fwww.webofscience.com%2Fwos%2Fwoscc%2Ffull-record%2FWOS:A1995TM95500004","View Full Record in Web of Science")</f>
        <v>View Full Record in Web of Science</v>
      </c>
    </row>
    <row r="521" spans="1:77" ht="12.5" x14ac:dyDescent="0.25">
      <c r="A521" t="s">
        <v>8495</v>
      </c>
      <c r="B521" s="22" t="s">
        <v>32931</v>
      </c>
      <c r="C521" s="7"/>
      <c r="D521" s="7"/>
      <c r="E521" s="7"/>
      <c r="F521" t="s">
        <v>67</v>
      </c>
      <c r="G521" t="s">
        <v>11287</v>
      </c>
      <c r="H521" t="s">
        <v>69</v>
      </c>
      <c r="I521" t="s">
        <v>69</v>
      </c>
      <c r="J521" t="s">
        <v>69</v>
      </c>
      <c r="K521" t="s">
        <v>11288</v>
      </c>
      <c r="L521" t="s">
        <v>69</v>
      </c>
      <c r="M521" t="s">
        <v>69</v>
      </c>
      <c r="N521" t="s">
        <v>11289</v>
      </c>
      <c r="O521" t="s">
        <v>436</v>
      </c>
      <c r="P521" t="s">
        <v>69</v>
      </c>
      <c r="Q521" t="s">
        <v>69</v>
      </c>
      <c r="R521" t="s">
        <v>8505</v>
      </c>
      <c r="S521" t="s">
        <v>8506</v>
      </c>
      <c r="T521" t="s">
        <v>69</v>
      </c>
      <c r="U521" t="s">
        <v>69</v>
      </c>
      <c r="V521" t="s">
        <v>69</v>
      </c>
      <c r="W521" t="s">
        <v>69</v>
      </c>
      <c r="X521" t="s">
        <v>69</v>
      </c>
      <c r="Y521" t="s">
        <v>11290</v>
      </c>
      <c r="Z521" t="s">
        <v>11291</v>
      </c>
      <c r="AA521" t="s">
        <v>11292</v>
      </c>
      <c r="AB521" t="s">
        <v>11293</v>
      </c>
      <c r="AC521" t="s">
        <v>69</v>
      </c>
      <c r="AD521" t="s">
        <v>11294</v>
      </c>
      <c r="AE521" t="s">
        <v>11295</v>
      </c>
      <c r="AF521" t="s">
        <v>69</v>
      </c>
      <c r="AG521" t="s">
        <v>69</v>
      </c>
      <c r="AH521" t="s">
        <v>11296</v>
      </c>
      <c r="AI521" t="s">
        <v>11296</v>
      </c>
      <c r="AJ521" t="s">
        <v>11297</v>
      </c>
      <c r="AK521" t="s">
        <v>69</v>
      </c>
      <c r="AL521">
        <v>125</v>
      </c>
      <c r="AM521">
        <v>11</v>
      </c>
      <c r="AN521">
        <v>11</v>
      </c>
      <c r="AO521">
        <v>5</v>
      </c>
      <c r="AP521">
        <v>9</v>
      </c>
      <c r="AQ521" t="s">
        <v>8636</v>
      </c>
      <c r="AR521" t="s">
        <v>8637</v>
      </c>
      <c r="AS521" t="s">
        <v>8638</v>
      </c>
      <c r="AT521" t="s">
        <v>440</v>
      </c>
      <c r="AU521" t="s">
        <v>441</v>
      </c>
      <c r="AV521" t="s">
        <v>69</v>
      </c>
      <c r="AW521" t="s">
        <v>8639</v>
      </c>
      <c r="AX521" t="s">
        <v>8640</v>
      </c>
      <c r="AY521" t="s">
        <v>1206</v>
      </c>
      <c r="AZ521">
        <v>2021</v>
      </c>
      <c r="BA521">
        <v>322</v>
      </c>
      <c r="BB521" t="s">
        <v>69</v>
      </c>
      <c r="BC521" t="s">
        <v>69</v>
      </c>
      <c r="BD521" t="s">
        <v>69</v>
      </c>
      <c r="BE521" t="s">
        <v>69</v>
      </c>
      <c r="BF521" t="s">
        <v>69</v>
      </c>
      <c r="BG521" t="s">
        <v>69</v>
      </c>
      <c r="BH521" t="s">
        <v>69</v>
      </c>
      <c r="BI521">
        <v>129098</v>
      </c>
      <c r="BJ521" t="s">
        <v>11298</v>
      </c>
      <c r="BK521" t="str">
        <f>HYPERLINK("http://dx.doi.org/10.1016/j.jclepro.2021.129098","http://dx.doi.org/10.1016/j.jclepro.2021.129098")</f>
        <v>http://dx.doi.org/10.1016/j.jclepro.2021.129098</v>
      </c>
      <c r="BL521" t="s">
        <v>69</v>
      </c>
      <c r="BM521" t="s">
        <v>11299</v>
      </c>
      <c r="BN521">
        <v>16</v>
      </c>
      <c r="BO521" t="s">
        <v>8643</v>
      </c>
      <c r="BP521" t="s">
        <v>8548</v>
      </c>
      <c r="BQ521" t="s">
        <v>8644</v>
      </c>
      <c r="BR521" t="s">
        <v>11300</v>
      </c>
      <c r="BS521" t="s">
        <v>11301</v>
      </c>
      <c r="BT521" t="s">
        <v>69</v>
      </c>
      <c r="BU521" t="s">
        <v>69</v>
      </c>
      <c r="BV521" t="s">
        <v>69</v>
      </c>
      <c r="BW521" t="s">
        <v>69</v>
      </c>
      <c r="BX521" t="s">
        <v>8526</v>
      </c>
      <c r="BY521" t="str">
        <f>HYPERLINK("https%3A%2F%2Fwww.webofscience.com%2Fwos%2Fwoscc%2Ffull-record%2FWOS:000705714400002","View Full Record in Web of Science")</f>
        <v>View Full Record in Web of Science</v>
      </c>
    </row>
    <row r="522" spans="1:77" ht="12.5" x14ac:dyDescent="0.25">
      <c r="A522" t="s">
        <v>8495</v>
      </c>
      <c r="B522" s="7" t="s">
        <v>32933</v>
      </c>
      <c r="C522" s="7"/>
      <c r="D522" s="7"/>
      <c r="E522" s="7"/>
      <c r="F522" t="s">
        <v>67</v>
      </c>
      <c r="G522" t="s">
        <v>4750</v>
      </c>
      <c r="H522" t="s">
        <v>69</v>
      </c>
      <c r="I522" t="s">
        <v>69</v>
      </c>
      <c r="J522" t="s">
        <v>69</v>
      </c>
      <c r="K522" t="s">
        <v>4751</v>
      </c>
      <c r="L522" t="s">
        <v>69</v>
      </c>
      <c r="M522" t="s">
        <v>69</v>
      </c>
      <c r="N522" t="s">
        <v>4752</v>
      </c>
      <c r="O522" t="s">
        <v>1495</v>
      </c>
      <c r="P522" t="s">
        <v>69</v>
      </c>
      <c r="Q522" t="s">
        <v>69</v>
      </c>
      <c r="R522" t="s">
        <v>8505</v>
      </c>
      <c r="S522" t="s">
        <v>8506</v>
      </c>
      <c r="T522" t="s">
        <v>69</v>
      </c>
      <c r="U522" t="s">
        <v>69</v>
      </c>
      <c r="V522" t="s">
        <v>69</v>
      </c>
      <c r="W522" t="s">
        <v>69</v>
      </c>
      <c r="X522" t="s">
        <v>69</v>
      </c>
      <c r="Y522" t="s">
        <v>24986</v>
      </c>
      <c r="Z522" t="s">
        <v>24987</v>
      </c>
      <c r="AA522" t="s">
        <v>4753</v>
      </c>
      <c r="AB522" t="s">
        <v>24988</v>
      </c>
      <c r="AC522" t="s">
        <v>69</v>
      </c>
      <c r="AD522" t="s">
        <v>24989</v>
      </c>
      <c r="AE522" t="s">
        <v>24990</v>
      </c>
      <c r="AF522" t="s">
        <v>4754</v>
      </c>
      <c r="AG522" t="s">
        <v>24991</v>
      </c>
      <c r="AH522" t="s">
        <v>24992</v>
      </c>
      <c r="AI522" t="s">
        <v>24993</v>
      </c>
      <c r="AJ522" t="s">
        <v>69</v>
      </c>
      <c r="AK522" t="s">
        <v>69</v>
      </c>
      <c r="AL522">
        <v>50</v>
      </c>
      <c r="AM522">
        <v>78</v>
      </c>
      <c r="AN522">
        <v>78</v>
      </c>
      <c r="AO522">
        <v>3</v>
      </c>
      <c r="AP522">
        <v>37</v>
      </c>
      <c r="AQ522" t="s">
        <v>9554</v>
      </c>
      <c r="AR522" t="s">
        <v>9555</v>
      </c>
      <c r="AS522" t="s">
        <v>9556</v>
      </c>
      <c r="AT522" t="s">
        <v>1499</v>
      </c>
      <c r="AU522" t="s">
        <v>1500</v>
      </c>
      <c r="AV522" t="s">
        <v>69</v>
      </c>
      <c r="AW522" t="s">
        <v>13954</v>
      </c>
      <c r="AX522" t="s">
        <v>13955</v>
      </c>
      <c r="AY522" t="s">
        <v>586</v>
      </c>
      <c r="AZ522">
        <v>2013</v>
      </c>
      <c r="BA522">
        <v>38</v>
      </c>
      <c r="BB522">
        <v>3</v>
      </c>
      <c r="BC522" t="s">
        <v>69</v>
      </c>
      <c r="BD522" t="s">
        <v>69</v>
      </c>
      <c r="BE522" t="s">
        <v>69</v>
      </c>
      <c r="BF522" t="s">
        <v>69</v>
      </c>
      <c r="BG522">
        <v>351</v>
      </c>
      <c r="BH522">
        <v>373</v>
      </c>
      <c r="BI522" t="s">
        <v>69</v>
      </c>
      <c r="BJ522" t="s">
        <v>4755</v>
      </c>
      <c r="BK522" t="str">
        <f>HYPERLINK("http://dx.doi.org/10.1177/0162243912444736","http://dx.doi.org/10.1177/0162243912444736")</f>
        <v>http://dx.doi.org/10.1177/0162243912444736</v>
      </c>
      <c r="BL522" t="s">
        <v>69</v>
      </c>
      <c r="BM522" t="s">
        <v>69</v>
      </c>
      <c r="BN522">
        <v>23</v>
      </c>
      <c r="BO522" t="s">
        <v>13650</v>
      </c>
      <c r="BP522" t="s">
        <v>8661</v>
      </c>
      <c r="BQ522" t="s">
        <v>13650</v>
      </c>
      <c r="BR522" t="s">
        <v>24994</v>
      </c>
      <c r="BS522" t="s">
        <v>4756</v>
      </c>
      <c r="BT522" t="s">
        <v>69</v>
      </c>
      <c r="BU522" t="s">
        <v>69</v>
      </c>
      <c r="BV522" t="s">
        <v>69</v>
      </c>
      <c r="BW522" t="s">
        <v>69</v>
      </c>
      <c r="BX522" t="s">
        <v>8526</v>
      </c>
      <c r="BY522" t="str">
        <f>HYPERLINK("https%3A%2F%2Fwww.webofscience.com%2Fwos%2Fwoscc%2Ffull-record%2FWOS:000330314200003","View Full Record in Web of Science")</f>
        <v>View Full Record in Web of Science</v>
      </c>
    </row>
    <row r="523" spans="1:77" ht="12.5" x14ac:dyDescent="0.25">
      <c r="A523" t="s">
        <v>8495</v>
      </c>
      <c r="B523" s="7" t="s">
        <v>32933</v>
      </c>
      <c r="C523" s="7"/>
      <c r="D523" s="7"/>
      <c r="E523" s="7"/>
      <c r="F523" t="s">
        <v>627</v>
      </c>
      <c r="G523" t="s">
        <v>3134</v>
      </c>
      <c r="H523" t="s">
        <v>69</v>
      </c>
      <c r="I523" t="s">
        <v>646</v>
      </c>
      <c r="J523" t="s">
        <v>69</v>
      </c>
      <c r="K523" t="s">
        <v>3135</v>
      </c>
      <c r="L523" t="s">
        <v>69</v>
      </c>
      <c r="M523" t="s">
        <v>69</v>
      </c>
      <c r="N523" t="s">
        <v>3136</v>
      </c>
      <c r="O523" t="s">
        <v>3137</v>
      </c>
      <c r="P523" t="s">
        <v>650</v>
      </c>
      <c r="Q523" t="s">
        <v>69</v>
      </c>
      <c r="R523" t="s">
        <v>8505</v>
      </c>
      <c r="S523" t="s">
        <v>17635</v>
      </c>
      <c r="T523" t="s">
        <v>69</v>
      </c>
      <c r="U523" t="s">
        <v>69</v>
      </c>
      <c r="V523" t="s">
        <v>69</v>
      </c>
      <c r="W523" t="s">
        <v>69</v>
      </c>
      <c r="X523" t="s">
        <v>69</v>
      </c>
      <c r="Y523" t="s">
        <v>69</v>
      </c>
      <c r="Z523" t="s">
        <v>23140</v>
      </c>
      <c r="AA523" t="s">
        <v>3138</v>
      </c>
      <c r="AB523" t="s">
        <v>23141</v>
      </c>
      <c r="AC523" t="s">
        <v>69</v>
      </c>
      <c r="AD523" t="s">
        <v>23142</v>
      </c>
      <c r="AE523" t="s">
        <v>23143</v>
      </c>
      <c r="AF523" t="s">
        <v>23144</v>
      </c>
      <c r="AG523" t="s">
        <v>23145</v>
      </c>
      <c r="AH523" t="s">
        <v>69</v>
      </c>
      <c r="AI523" t="s">
        <v>69</v>
      </c>
      <c r="AJ523" t="s">
        <v>69</v>
      </c>
      <c r="AK523" t="s">
        <v>69</v>
      </c>
      <c r="AL523">
        <v>116</v>
      </c>
      <c r="AM523">
        <v>71</v>
      </c>
      <c r="AN523">
        <v>72</v>
      </c>
      <c r="AO523">
        <v>6</v>
      </c>
      <c r="AP523">
        <v>60</v>
      </c>
      <c r="AQ523" t="s">
        <v>23146</v>
      </c>
      <c r="AR523" t="s">
        <v>12925</v>
      </c>
      <c r="AS523" t="s">
        <v>23147</v>
      </c>
      <c r="AT523" t="s">
        <v>652</v>
      </c>
      <c r="AU523" t="s">
        <v>69</v>
      </c>
      <c r="AV523" t="s">
        <v>3139</v>
      </c>
      <c r="AW523" t="s">
        <v>17644</v>
      </c>
      <c r="AX523" t="s">
        <v>17645</v>
      </c>
      <c r="AY523" t="s">
        <v>69</v>
      </c>
      <c r="AZ523">
        <v>2015</v>
      </c>
      <c r="BA523">
        <v>133</v>
      </c>
      <c r="BB523" t="s">
        <v>69</v>
      </c>
      <c r="BC523" t="s">
        <v>69</v>
      </c>
      <c r="BD523" t="s">
        <v>69</v>
      </c>
      <c r="BE523" t="s">
        <v>69</v>
      </c>
      <c r="BF523" t="s">
        <v>69</v>
      </c>
      <c r="BG523">
        <v>183</v>
      </c>
      <c r="BH523">
        <v>237</v>
      </c>
      <c r="BI523" t="s">
        <v>69</v>
      </c>
      <c r="BJ523" t="s">
        <v>3140</v>
      </c>
      <c r="BK523" t="str">
        <f>HYPERLINK("http://dx.doi.org/10.1016/bs.agron.2015.06.001","http://dx.doi.org/10.1016/bs.agron.2015.06.001")</f>
        <v>http://dx.doi.org/10.1016/bs.agron.2015.06.001</v>
      </c>
      <c r="BL523" t="s">
        <v>69</v>
      </c>
      <c r="BM523" t="s">
        <v>69</v>
      </c>
      <c r="BN523">
        <v>55</v>
      </c>
      <c r="BO523" t="s">
        <v>10815</v>
      </c>
      <c r="BP523" t="s">
        <v>17647</v>
      </c>
      <c r="BQ523" t="s">
        <v>8450</v>
      </c>
      <c r="BR523" t="s">
        <v>23148</v>
      </c>
      <c r="BS523" t="s">
        <v>3141</v>
      </c>
      <c r="BT523" t="s">
        <v>69</v>
      </c>
      <c r="BU523" t="s">
        <v>69</v>
      </c>
      <c r="BV523" t="s">
        <v>69</v>
      </c>
      <c r="BW523" t="s">
        <v>69</v>
      </c>
      <c r="BX523" t="s">
        <v>8526</v>
      </c>
      <c r="BY523" t="str">
        <f>HYPERLINK("https%3A%2F%2Fwww.webofscience.com%2Fwos%2Fwoscc%2Ffull-record%2FWOS:000363330000006","View Full Record in Web of Science")</f>
        <v>View Full Record in Web of Science</v>
      </c>
    </row>
    <row r="524" spans="1:77" ht="12.5" x14ac:dyDescent="0.25">
      <c r="A524" t="s">
        <v>8495</v>
      </c>
      <c r="B524" s="22" t="s">
        <v>32931</v>
      </c>
      <c r="C524" s="7"/>
      <c r="D524" s="7"/>
      <c r="E524" s="7"/>
      <c r="F524" t="s">
        <v>67</v>
      </c>
      <c r="G524" t="s">
        <v>12222</v>
      </c>
      <c r="H524" t="s">
        <v>69</v>
      </c>
      <c r="I524" t="s">
        <v>69</v>
      </c>
      <c r="J524" t="s">
        <v>69</v>
      </c>
      <c r="K524" t="s">
        <v>12223</v>
      </c>
      <c r="L524" t="s">
        <v>69</v>
      </c>
      <c r="M524" t="s">
        <v>69</v>
      </c>
      <c r="N524" t="s">
        <v>12224</v>
      </c>
      <c r="O524" t="s">
        <v>352</v>
      </c>
      <c r="P524" t="s">
        <v>69</v>
      </c>
      <c r="Q524" t="s">
        <v>69</v>
      </c>
      <c r="R524" t="s">
        <v>8505</v>
      </c>
      <c r="S524" t="s">
        <v>8506</v>
      </c>
      <c r="T524" t="s">
        <v>69</v>
      </c>
      <c r="U524" t="s">
        <v>69</v>
      </c>
      <c r="V524" t="s">
        <v>69</v>
      </c>
      <c r="W524" t="s">
        <v>69</v>
      </c>
      <c r="X524" t="s">
        <v>69</v>
      </c>
      <c r="Y524" t="s">
        <v>12225</v>
      </c>
      <c r="Z524" t="s">
        <v>12226</v>
      </c>
      <c r="AA524" t="s">
        <v>12227</v>
      </c>
      <c r="AB524" t="s">
        <v>12228</v>
      </c>
      <c r="AC524" t="s">
        <v>69</v>
      </c>
      <c r="AD524" t="s">
        <v>12229</v>
      </c>
      <c r="AE524" t="s">
        <v>12230</v>
      </c>
      <c r="AF524" t="s">
        <v>12231</v>
      </c>
      <c r="AG524" t="s">
        <v>12232</v>
      </c>
      <c r="AH524" t="s">
        <v>12233</v>
      </c>
      <c r="AI524" t="s">
        <v>12234</v>
      </c>
      <c r="AJ524" t="s">
        <v>12235</v>
      </c>
      <c r="AK524" t="s">
        <v>69</v>
      </c>
      <c r="AL524">
        <v>54</v>
      </c>
      <c r="AM524">
        <v>4</v>
      </c>
      <c r="AN524">
        <v>4</v>
      </c>
      <c r="AO524">
        <v>7</v>
      </c>
      <c r="AP524">
        <v>15</v>
      </c>
      <c r="AQ524" t="s">
        <v>8924</v>
      </c>
      <c r="AR524" t="s">
        <v>8925</v>
      </c>
      <c r="AS524" t="s">
        <v>8926</v>
      </c>
      <c r="AT524" t="s">
        <v>69</v>
      </c>
      <c r="AU524" t="s">
        <v>354</v>
      </c>
      <c r="AV524" t="s">
        <v>69</v>
      </c>
      <c r="AW524" t="s">
        <v>8958</v>
      </c>
      <c r="AX524" t="s">
        <v>8434</v>
      </c>
      <c r="AY524" t="s">
        <v>586</v>
      </c>
      <c r="AZ524">
        <v>2021</v>
      </c>
      <c r="BA524">
        <v>13</v>
      </c>
      <c r="BB524">
        <v>9</v>
      </c>
      <c r="BC524" t="s">
        <v>69</v>
      </c>
      <c r="BD524" t="s">
        <v>69</v>
      </c>
      <c r="BE524" t="s">
        <v>69</v>
      </c>
      <c r="BF524" t="s">
        <v>69</v>
      </c>
      <c r="BG524" t="s">
        <v>69</v>
      </c>
      <c r="BH524" t="s">
        <v>69</v>
      </c>
      <c r="BI524">
        <v>5179</v>
      </c>
      <c r="BJ524" t="s">
        <v>12236</v>
      </c>
      <c r="BK524" t="str">
        <f>HYPERLINK("http://dx.doi.org/10.3390/su13095179","http://dx.doi.org/10.3390/su13095179")</f>
        <v>http://dx.doi.org/10.3390/su13095179</v>
      </c>
      <c r="BL524" t="s">
        <v>69</v>
      </c>
      <c r="BM524" t="s">
        <v>69</v>
      </c>
      <c r="BN524">
        <v>22</v>
      </c>
      <c r="BO524" t="s">
        <v>8960</v>
      </c>
      <c r="BP524" t="s">
        <v>8523</v>
      </c>
      <c r="BQ524" t="s">
        <v>8961</v>
      </c>
      <c r="BR524" t="s">
        <v>12237</v>
      </c>
      <c r="BS524" t="s">
        <v>12238</v>
      </c>
      <c r="BT524" t="s">
        <v>69</v>
      </c>
      <c r="BU524" t="s">
        <v>8812</v>
      </c>
      <c r="BV524" t="s">
        <v>69</v>
      </c>
      <c r="BW524" t="s">
        <v>69</v>
      </c>
      <c r="BX524" t="s">
        <v>8526</v>
      </c>
      <c r="BY524" t="str">
        <f>HYPERLINK("https%3A%2F%2Fwww.webofscience.com%2Fwos%2Fwoscc%2Ffull-record%2FWOS:000650875000001","View Full Record in Web of Science")</f>
        <v>View Full Record in Web of Science</v>
      </c>
    </row>
    <row r="525" spans="1:77" ht="12.5" x14ac:dyDescent="0.25">
      <c r="A525" t="s">
        <v>8495</v>
      </c>
      <c r="B525" s="7" t="s">
        <v>32933</v>
      </c>
      <c r="C525" s="7"/>
      <c r="D525" s="7"/>
      <c r="E525" s="7"/>
      <c r="F525" t="s">
        <v>67</v>
      </c>
      <c r="G525" t="s">
        <v>849</v>
      </c>
      <c r="H525" t="s">
        <v>69</v>
      </c>
      <c r="I525" t="s">
        <v>69</v>
      </c>
      <c r="J525" t="s">
        <v>69</v>
      </c>
      <c r="K525" t="s">
        <v>850</v>
      </c>
      <c r="L525" t="s">
        <v>69</v>
      </c>
      <c r="M525" t="s">
        <v>69</v>
      </c>
      <c r="N525" t="s">
        <v>959</v>
      </c>
      <c r="O525" t="s">
        <v>179</v>
      </c>
      <c r="P525" t="s">
        <v>69</v>
      </c>
      <c r="Q525" t="s">
        <v>69</v>
      </c>
      <c r="R525" t="s">
        <v>8505</v>
      </c>
      <c r="S525" t="s">
        <v>8506</v>
      </c>
      <c r="T525" t="s">
        <v>69</v>
      </c>
      <c r="U525" t="s">
        <v>69</v>
      </c>
      <c r="V525" t="s">
        <v>69</v>
      </c>
      <c r="W525" t="s">
        <v>69</v>
      </c>
      <c r="X525" t="s">
        <v>69</v>
      </c>
      <c r="Y525" t="s">
        <v>17424</v>
      </c>
      <c r="Z525" t="s">
        <v>17425</v>
      </c>
      <c r="AA525" t="s">
        <v>960</v>
      </c>
      <c r="AB525" t="s">
        <v>17426</v>
      </c>
      <c r="AC525" t="s">
        <v>69</v>
      </c>
      <c r="AD525" t="s">
        <v>17427</v>
      </c>
      <c r="AE525" t="s">
        <v>17428</v>
      </c>
      <c r="AF525" t="s">
        <v>17429</v>
      </c>
      <c r="AG525" t="s">
        <v>961</v>
      </c>
      <c r="AH525" t="s">
        <v>17430</v>
      </c>
      <c r="AI525" t="s">
        <v>17430</v>
      </c>
      <c r="AJ525" t="s">
        <v>17431</v>
      </c>
      <c r="AK525" t="s">
        <v>69</v>
      </c>
      <c r="AL525">
        <v>55</v>
      </c>
      <c r="AM525">
        <v>18</v>
      </c>
      <c r="AN525">
        <v>19</v>
      </c>
      <c r="AO525">
        <v>3</v>
      </c>
      <c r="AP525">
        <v>23</v>
      </c>
      <c r="AQ525" t="s">
        <v>9047</v>
      </c>
      <c r="AR525" t="s">
        <v>8693</v>
      </c>
      <c r="AS525" t="s">
        <v>16643</v>
      </c>
      <c r="AT525" t="s">
        <v>181</v>
      </c>
      <c r="AU525" t="s">
        <v>182</v>
      </c>
      <c r="AV525" t="s">
        <v>69</v>
      </c>
      <c r="AW525" t="s">
        <v>17432</v>
      </c>
      <c r="AX525" t="s">
        <v>17433</v>
      </c>
      <c r="AY525" t="s">
        <v>246</v>
      </c>
      <c r="AZ525">
        <v>2019</v>
      </c>
      <c r="BA525">
        <v>63</v>
      </c>
      <c r="BB525">
        <v>4</v>
      </c>
      <c r="BC525" t="s">
        <v>69</v>
      </c>
      <c r="BD525" t="s">
        <v>69</v>
      </c>
      <c r="BE525" t="s">
        <v>114</v>
      </c>
      <c r="BF525" t="s">
        <v>69</v>
      </c>
      <c r="BG525">
        <v>495</v>
      </c>
      <c r="BH525">
        <v>506</v>
      </c>
      <c r="BI525" t="s">
        <v>69</v>
      </c>
      <c r="BJ525" t="s">
        <v>962</v>
      </c>
      <c r="BK525" t="str">
        <f>HYPERLINK("http://dx.doi.org/10.1007/s00267-017-0958-5","http://dx.doi.org/10.1007/s00267-017-0958-5")</f>
        <v>http://dx.doi.org/10.1007/s00267-017-0958-5</v>
      </c>
      <c r="BL525" t="s">
        <v>69</v>
      </c>
      <c r="BM525" t="s">
        <v>69</v>
      </c>
      <c r="BN525">
        <v>12</v>
      </c>
      <c r="BO525" t="s">
        <v>8717</v>
      </c>
      <c r="BP525" t="s">
        <v>8523</v>
      </c>
      <c r="BQ525" t="s">
        <v>8662</v>
      </c>
      <c r="BR525" t="s">
        <v>17434</v>
      </c>
      <c r="BS525" t="s">
        <v>963</v>
      </c>
      <c r="BT525">
        <v>29134261</v>
      </c>
      <c r="BU525" t="s">
        <v>69</v>
      </c>
      <c r="BV525" t="s">
        <v>69</v>
      </c>
      <c r="BW525" t="s">
        <v>69</v>
      </c>
      <c r="BX525" t="s">
        <v>8526</v>
      </c>
      <c r="BY525" t="str">
        <f>HYPERLINK("https%3A%2F%2Fwww.webofscience.com%2Fwos%2Fwoscc%2Ffull-record%2FWOS:000466724900008","View Full Record in Web of Science")</f>
        <v>View Full Record in Web of Science</v>
      </c>
    </row>
    <row r="526" spans="1:77" ht="12.5" x14ac:dyDescent="0.25">
      <c r="A526" t="s">
        <v>8495</v>
      </c>
      <c r="B526" s="7" t="s">
        <v>32933</v>
      </c>
      <c r="C526" s="7"/>
      <c r="D526" s="7"/>
      <c r="E526" s="7"/>
      <c r="F526" t="s">
        <v>67</v>
      </c>
      <c r="G526" t="s">
        <v>712</v>
      </c>
      <c r="H526" t="s">
        <v>69</v>
      </c>
      <c r="I526" t="s">
        <v>69</v>
      </c>
      <c r="J526" t="s">
        <v>69</v>
      </c>
      <c r="K526" t="s">
        <v>713</v>
      </c>
      <c r="L526" t="s">
        <v>69</v>
      </c>
      <c r="M526" t="s">
        <v>69</v>
      </c>
      <c r="N526" t="s">
        <v>714</v>
      </c>
      <c r="O526" t="s">
        <v>715</v>
      </c>
      <c r="P526" t="s">
        <v>69</v>
      </c>
      <c r="Q526" t="s">
        <v>69</v>
      </c>
      <c r="R526" t="s">
        <v>8505</v>
      </c>
      <c r="S526" t="s">
        <v>8506</v>
      </c>
      <c r="T526" t="s">
        <v>69</v>
      </c>
      <c r="U526" t="s">
        <v>69</v>
      </c>
      <c r="V526" t="s">
        <v>69</v>
      </c>
      <c r="W526" t="s">
        <v>69</v>
      </c>
      <c r="X526" t="s">
        <v>69</v>
      </c>
      <c r="Y526" t="s">
        <v>14668</v>
      </c>
      <c r="Z526" t="s">
        <v>14669</v>
      </c>
      <c r="AA526" t="s">
        <v>716</v>
      </c>
      <c r="AB526" t="s">
        <v>14670</v>
      </c>
      <c r="AC526" t="s">
        <v>69</v>
      </c>
      <c r="AD526" t="s">
        <v>14671</v>
      </c>
      <c r="AE526" t="s">
        <v>14672</v>
      </c>
      <c r="AF526" t="s">
        <v>717</v>
      </c>
      <c r="AG526" t="s">
        <v>718</v>
      </c>
      <c r="AH526" t="s">
        <v>14673</v>
      </c>
      <c r="AI526" t="s">
        <v>14674</v>
      </c>
      <c r="AJ526" t="s">
        <v>14675</v>
      </c>
      <c r="AK526" t="s">
        <v>69</v>
      </c>
      <c r="AL526">
        <v>103</v>
      </c>
      <c r="AM526">
        <v>8</v>
      </c>
      <c r="AN526">
        <v>8</v>
      </c>
      <c r="AO526">
        <v>3</v>
      </c>
      <c r="AP526">
        <v>17</v>
      </c>
      <c r="AQ526" t="s">
        <v>8846</v>
      </c>
      <c r="AR526" t="s">
        <v>8847</v>
      </c>
      <c r="AS526" t="s">
        <v>8848</v>
      </c>
      <c r="AT526" t="s">
        <v>719</v>
      </c>
      <c r="AU526" t="s">
        <v>720</v>
      </c>
      <c r="AV526" t="s">
        <v>69</v>
      </c>
      <c r="AW526" t="s">
        <v>9110</v>
      </c>
      <c r="AX526" t="s">
        <v>9111</v>
      </c>
      <c r="AY526" t="s">
        <v>75</v>
      </c>
      <c r="AZ526">
        <v>2020</v>
      </c>
      <c r="BA526">
        <v>29</v>
      </c>
      <c r="BB526">
        <v>8</v>
      </c>
      <c r="BC526" t="s">
        <v>69</v>
      </c>
      <c r="BD526" t="s">
        <v>69</v>
      </c>
      <c r="BE526" t="s">
        <v>69</v>
      </c>
      <c r="BF526" t="s">
        <v>69</v>
      </c>
      <c r="BG526">
        <v>3702</v>
      </c>
      <c r="BH526">
        <v>3719</v>
      </c>
      <c r="BI526" t="s">
        <v>69</v>
      </c>
      <c r="BJ526" t="s">
        <v>721</v>
      </c>
      <c r="BK526" t="str">
        <f>HYPERLINK("http://dx.doi.org/10.1002/bse.2606","http://dx.doi.org/10.1002/bse.2606")</f>
        <v>http://dx.doi.org/10.1002/bse.2606</v>
      </c>
      <c r="BL526" t="s">
        <v>69</v>
      </c>
      <c r="BM526" t="s">
        <v>702</v>
      </c>
      <c r="BN526">
        <v>18</v>
      </c>
      <c r="BO526" t="s">
        <v>9113</v>
      </c>
      <c r="BP526" t="s">
        <v>8661</v>
      </c>
      <c r="BQ526" t="s">
        <v>9114</v>
      </c>
      <c r="BR526" t="s">
        <v>14676</v>
      </c>
      <c r="BS526" t="s">
        <v>722</v>
      </c>
      <c r="BT526" t="s">
        <v>69</v>
      </c>
      <c r="BU526" t="s">
        <v>69</v>
      </c>
      <c r="BV526" t="s">
        <v>69</v>
      </c>
      <c r="BW526" t="s">
        <v>69</v>
      </c>
      <c r="BX526" t="s">
        <v>8526</v>
      </c>
      <c r="BY526" t="str">
        <f>HYPERLINK("https%3A%2F%2Fwww.webofscience.com%2Fwos%2Fwoscc%2Ffull-record%2FWOS:000553016900001","View Full Record in Web of Science")</f>
        <v>View Full Record in Web of Science</v>
      </c>
    </row>
    <row r="527" spans="1:77" x14ac:dyDescent="0.3">
      <c r="A527" t="s">
        <v>8495</v>
      </c>
      <c r="B527" s="10" t="s">
        <v>32974</v>
      </c>
      <c r="F527" t="s">
        <v>67</v>
      </c>
      <c r="G527" t="s">
        <v>339</v>
      </c>
      <c r="H527" t="s">
        <v>69</v>
      </c>
      <c r="I527" t="s">
        <v>69</v>
      </c>
      <c r="J527" t="s">
        <v>69</v>
      </c>
      <c r="K527" s="2" t="s">
        <v>340</v>
      </c>
      <c r="L527" t="s">
        <v>69</v>
      </c>
      <c r="M527" t="s">
        <v>69</v>
      </c>
      <c r="N527" s="11" t="s">
        <v>341</v>
      </c>
      <c r="O527" t="s">
        <v>342</v>
      </c>
      <c r="P527" t="s">
        <v>69</v>
      </c>
      <c r="Q527" t="s">
        <v>69</v>
      </c>
      <c r="R527" t="s">
        <v>8505</v>
      </c>
      <c r="S527" t="s">
        <v>8506</v>
      </c>
      <c r="T527" t="s">
        <v>69</v>
      </c>
      <c r="U527" t="s">
        <v>69</v>
      </c>
      <c r="V527" t="s">
        <v>69</v>
      </c>
      <c r="W527" t="s">
        <v>69</v>
      </c>
      <c r="X527" t="s">
        <v>69</v>
      </c>
      <c r="Y527" t="s">
        <v>16548</v>
      </c>
      <c r="Z527" t="s">
        <v>16549</v>
      </c>
      <c r="AA527" t="s">
        <v>343</v>
      </c>
      <c r="AB527" t="s">
        <v>16550</v>
      </c>
      <c r="AC527" t="s">
        <v>69</v>
      </c>
      <c r="AD527" t="s">
        <v>16551</v>
      </c>
      <c r="AE527" t="s">
        <v>16552</v>
      </c>
      <c r="AF527" t="s">
        <v>16553</v>
      </c>
      <c r="AG527" t="s">
        <v>16554</v>
      </c>
      <c r="AH527" t="s">
        <v>69</v>
      </c>
      <c r="AI527" t="s">
        <v>69</v>
      </c>
      <c r="AJ527" t="s">
        <v>69</v>
      </c>
      <c r="AK527" t="s">
        <v>69</v>
      </c>
      <c r="AL527">
        <v>53</v>
      </c>
      <c r="AM527">
        <v>11</v>
      </c>
      <c r="AN527">
        <v>11</v>
      </c>
      <c r="AO527">
        <v>2</v>
      </c>
      <c r="AP527">
        <v>30</v>
      </c>
      <c r="AQ527" t="s">
        <v>8611</v>
      </c>
      <c r="AR527" t="s">
        <v>8612</v>
      </c>
      <c r="AS527" t="s">
        <v>8613</v>
      </c>
      <c r="AT527" t="s">
        <v>344</v>
      </c>
      <c r="AU527" t="s">
        <v>345</v>
      </c>
      <c r="AV527" t="s">
        <v>69</v>
      </c>
      <c r="AW527" t="s">
        <v>9821</v>
      </c>
      <c r="AX527" t="s">
        <v>9822</v>
      </c>
      <c r="AY527" t="s">
        <v>7502</v>
      </c>
      <c r="AZ527">
        <v>2022</v>
      </c>
      <c r="BA527">
        <v>22</v>
      </c>
      <c r="BB527">
        <v>6</v>
      </c>
      <c r="BC527" t="s">
        <v>69</v>
      </c>
      <c r="BD527" t="s">
        <v>69</v>
      </c>
      <c r="BE527" t="s">
        <v>69</v>
      </c>
      <c r="BF527" t="s">
        <v>69</v>
      </c>
      <c r="BG527">
        <v>1033</v>
      </c>
      <c r="BH527">
        <v>1041</v>
      </c>
      <c r="BI527" t="s">
        <v>69</v>
      </c>
      <c r="BJ527" t="s">
        <v>346</v>
      </c>
      <c r="BK527" t="str">
        <f>HYPERLINK("http://dx.doi.org/10.1080/15623599.2019.1678865","http://dx.doi.org/10.1080/15623599.2019.1678865")</f>
        <v>http://dx.doi.org/10.1080/15623599.2019.1678865</v>
      </c>
      <c r="BL527" t="s">
        <v>69</v>
      </c>
      <c r="BM527" t="s">
        <v>347</v>
      </c>
      <c r="BN527">
        <v>9</v>
      </c>
      <c r="BO527" t="s">
        <v>9410</v>
      </c>
      <c r="BP527" t="s">
        <v>8573</v>
      </c>
      <c r="BQ527" t="s">
        <v>8594</v>
      </c>
      <c r="BR527" t="s">
        <v>16555</v>
      </c>
      <c r="BS527" t="s">
        <v>348</v>
      </c>
      <c r="BT527" t="s">
        <v>69</v>
      </c>
      <c r="BU527" t="s">
        <v>69</v>
      </c>
      <c r="BV527" t="s">
        <v>69</v>
      </c>
      <c r="BW527" t="s">
        <v>69</v>
      </c>
      <c r="BX527" t="s">
        <v>8526</v>
      </c>
      <c r="BY527" t="str">
        <f>HYPERLINK("https%3A%2F%2Fwww.webofscience.com%2Fwos%2Fwoscc%2Ffull-record%2FWOS:000491386100001","View Full Record in Web of Science")</f>
        <v>View Full Record in Web of Science</v>
      </c>
    </row>
    <row r="528" spans="1:77" ht="12.5" x14ac:dyDescent="0.25">
      <c r="A528" t="s">
        <v>8495</v>
      </c>
      <c r="B528" s="22" t="s">
        <v>32931</v>
      </c>
      <c r="C528" s="7"/>
      <c r="D528" s="7"/>
      <c r="E528" s="7"/>
      <c r="F528" t="s">
        <v>67</v>
      </c>
      <c r="G528" t="s">
        <v>9294</v>
      </c>
      <c r="H528" t="s">
        <v>69</v>
      </c>
      <c r="I528" t="s">
        <v>69</v>
      </c>
      <c r="J528" t="s">
        <v>69</v>
      </c>
      <c r="K528" t="s">
        <v>9295</v>
      </c>
      <c r="L528" t="s">
        <v>69</v>
      </c>
      <c r="M528" t="s">
        <v>69</v>
      </c>
      <c r="N528" t="s">
        <v>9296</v>
      </c>
      <c r="O528" t="s">
        <v>9297</v>
      </c>
      <c r="P528" t="s">
        <v>69</v>
      </c>
      <c r="Q528" t="s">
        <v>69</v>
      </c>
      <c r="R528" t="s">
        <v>8505</v>
      </c>
      <c r="S528" t="s">
        <v>8556</v>
      </c>
      <c r="T528" t="s">
        <v>69</v>
      </c>
      <c r="U528" t="s">
        <v>69</v>
      </c>
      <c r="V528" t="s">
        <v>69</v>
      </c>
      <c r="W528" t="s">
        <v>69</v>
      </c>
      <c r="X528" t="s">
        <v>69</v>
      </c>
      <c r="Y528" t="s">
        <v>69</v>
      </c>
      <c r="Z528" t="s">
        <v>69</v>
      </c>
      <c r="AA528" t="s">
        <v>9298</v>
      </c>
      <c r="AB528" t="s">
        <v>9299</v>
      </c>
      <c r="AC528" t="s">
        <v>69</v>
      </c>
      <c r="AD528" t="s">
        <v>9300</v>
      </c>
      <c r="AE528" t="s">
        <v>9301</v>
      </c>
      <c r="AF528" t="s">
        <v>69</v>
      </c>
      <c r="AG528" t="s">
        <v>9302</v>
      </c>
      <c r="AH528" t="s">
        <v>9303</v>
      </c>
      <c r="AI528" t="s">
        <v>9303</v>
      </c>
      <c r="AJ528" t="s">
        <v>9304</v>
      </c>
      <c r="AK528" t="s">
        <v>69</v>
      </c>
      <c r="AL528">
        <v>16</v>
      </c>
      <c r="AM528">
        <v>0</v>
      </c>
      <c r="AN528">
        <v>0</v>
      </c>
      <c r="AO528">
        <v>0</v>
      </c>
      <c r="AP528">
        <v>0</v>
      </c>
      <c r="AQ528" t="s">
        <v>9305</v>
      </c>
      <c r="AR528" t="s">
        <v>8763</v>
      </c>
      <c r="AS528" t="s">
        <v>9306</v>
      </c>
      <c r="AT528" t="s">
        <v>9307</v>
      </c>
      <c r="AU528" t="s">
        <v>9308</v>
      </c>
      <c r="AV528" t="s">
        <v>69</v>
      </c>
      <c r="AW528" t="s">
        <v>9297</v>
      </c>
      <c r="AX528" t="s">
        <v>9309</v>
      </c>
      <c r="AY528" t="s">
        <v>69</v>
      </c>
      <c r="AZ528" t="s">
        <v>69</v>
      </c>
      <c r="BA528" t="s">
        <v>69</v>
      </c>
      <c r="BB528" t="s">
        <v>69</v>
      </c>
      <c r="BC528" t="s">
        <v>69</v>
      </c>
      <c r="BD528" t="s">
        <v>69</v>
      </c>
      <c r="BE528" t="s">
        <v>69</v>
      </c>
      <c r="BF528" t="s">
        <v>69</v>
      </c>
      <c r="BG528" t="s">
        <v>69</v>
      </c>
      <c r="BH528" t="s">
        <v>69</v>
      </c>
      <c r="BI528" t="s">
        <v>69</v>
      </c>
      <c r="BJ528" t="s">
        <v>9310</v>
      </c>
      <c r="BK528" t="str">
        <f>HYPERLINK("http://dx.doi.org/10.1038/s41433-022-02046-x","http://dx.doi.org/10.1038/s41433-022-02046-x")</f>
        <v>http://dx.doi.org/10.1038/s41433-022-02046-x</v>
      </c>
      <c r="BL528" t="s">
        <v>69</v>
      </c>
      <c r="BM528" t="s">
        <v>9228</v>
      </c>
      <c r="BN528">
        <v>5</v>
      </c>
      <c r="BO528" t="s">
        <v>9311</v>
      </c>
      <c r="BP528" t="s">
        <v>8548</v>
      </c>
      <c r="BQ528" t="s">
        <v>9311</v>
      </c>
      <c r="BR528" t="s">
        <v>9312</v>
      </c>
      <c r="BS528" t="s">
        <v>9313</v>
      </c>
      <c r="BT528">
        <v>35411112</v>
      </c>
      <c r="BU528" t="s">
        <v>69</v>
      </c>
      <c r="BV528" t="s">
        <v>69</v>
      </c>
      <c r="BW528" t="s">
        <v>69</v>
      </c>
      <c r="BX528" t="s">
        <v>8526</v>
      </c>
      <c r="BY528" t="str">
        <f>HYPERLINK("https%3A%2F%2Fwww.webofscience.com%2Fwos%2Fwoscc%2Ffull-record%2FWOS:000780877600002","View Full Record in Web of Science")</f>
        <v>View Full Record in Web of Science</v>
      </c>
    </row>
    <row r="529" spans="1:77" ht="12.5" x14ac:dyDescent="0.25">
      <c r="A529" t="s">
        <v>8495</v>
      </c>
      <c r="B529" s="7" t="s">
        <v>32933</v>
      </c>
      <c r="C529" s="7"/>
      <c r="D529" s="7"/>
      <c r="E529" s="7"/>
      <c r="F529" t="s">
        <v>67</v>
      </c>
      <c r="G529" t="s">
        <v>8128</v>
      </c>
      <c r="H529" t="s">
        <v>69</v>
      </c>
      <c r="I529" t="s">
        <v>69</v>
      </c>
      <c r="J529" t="s">
        <v>69</v>
      </c>
      <c r="K529" t="s">
        <v>8129</v>
      </c>
      <c r="L529" t="s">
        <v>69</v>
      </c>
      <c r="M529" t="s">
        <v>69</v>
      </c>
      <c r="N529" t="s">
        <v>8130</v>
      </c>
      <c r="O529" t="s">
        <v>8131</v>
      </c>
      <c r="P529" t="s">
        <v>69</v>
      </c>
      <c r="Q529" t="s">
        <v>69</v>
      </c>
      <c r="R529" t="s">
        <v>8505</v>
      </c>
      <c r="S529" t="s">
        <v>8506</v>
      </c>
      <c r="T529" t="s">
        <v>69</v>
      </c>
      <c r="U529" t="s">
        <v>69</v>
      </c>
      <c r="V529" t="s">
        <v>69</v>
      </c>
      <c r="W529" t="s">
        <v>69</v>
      </c>
      <c r="X529" t="s">
        <v>69</v>
      </c>
      <c r="Y529" t="s">
        <v>14157</v>
      </c>
      <c r="Z529" t="s">
        <v>14158</v>
      </c>
      <c r="AA529" t="s">
        <v>8132</v>
      </c>
      <c r="AB529" t="s">
        <v>14159</v>
      </c>
      <c r="AC529" t="s">
        <v>69</v>
      </c>
      <c r="AD529" t="s">
        <v>14160</v>
      </c>
      <c r="AE529" t="s">
        <v>14161</v>
      </c>
      <c r="AF529" t="s">
        <v>69</v>
      </c>
      <c r="AG529" t="s">
        <v>8133</v>
      </c>
      <c r="AH529" t="s">
        <v>69</v>
      </c>
      <c r="AI529" t="s">
        <v>69</v>
      </c>
      <c r="AJ529" t="s">
        <v>69</v>
      </c>
      <c r="AK529" t="s">
        <v>69</v>
      </c>
      <c r="AL529">
        <v>70</v>
      </c>
      <c r="AM529">
        <v>0</v>
      </c>
      <c r="AN529">
        <v>0</v>
      </c>
      <c r="AO529">
        <v>0</v>
      </c>
      <c r="AP529">
        <v>13</v>
      </c>
      <c r="AQ529" t="s">
        <v>9145</v>
      </c>
      <c r="AR529" t="s">
        <v>8637</v>
      </c>
      <c r="AS529" t="s">
        <v>9146</v>
      </c>
      <c r="AT529" t="s">
        <v>8134</v>
      </c>
      <c r="AU529" t="s">
        <v>69</v>
      </c>
      <c r="AV529" t="s">
        <v>69</v>
      </c>
      <c r="AW529" t="s">
        <v>14162</v>
      </c>
      <c r="AX529" t="s">
        <v>14163</v>
      </c>
      <c r="AY529" t="s">
        <v>274</v>
      </c>
      <c r="AZ529">
        <v>2020</v>
      </c>
      <c r="BA529">
        <v>135</v>
      </c>
      <c r="BB529" t="s">
        <v>69</v>
      </c>
      <c r="BC529" t="s">
        <v>69</v>
      </c>
      <c r="BD529" t="s">
        <v>69</v>
      </c>
      <c r="BE529" t="s">
        <v>69</v>
      </c>
      <c r="BF529" t="s">
        <v>69</v>
      </c>
      <c r="BG529" t="s">
        <v>69</v>
      </c>
      <c r="BH529" t="s">
        <v>69</v>
      </c>
      <c r="BI529">
        <v>105056</v>
      </c>
      <c r="BJ529" t="s">
        <v>8135</v>
      </c>
      <c r="BK529" t="str">
        <f>HYPERLINK("http://dx.doi.org/10.1016/j.worlddev.2020.105056","http://dx.doi.org/10.1016/j.worlddev.2020.105056")</f>
        <v>http://dx.doi.org/10.1016/j.worlddev.2020.105056</v>
      </c>
      <c r="BL529" t="s">
        <v>69</v>
      </c>
      <c r="BM529" t="s">
        <v>69</v>
      </c>
      <c r="BN529">
        <v>12</v>
      </c>
      <c r="BO529" t="s">
        <v>14164</v>
      </c>
      <c r="BP529" t="s">
        <v>8661</v>
      </c>
      <c r="BQ529" t="s">
        <v>14165</v>
      </c>
      <c r="BR529" t="s">
        <v>14166</v>
      </c>
      <c r="BS529" t="s">
        <v>8136</v>
      </c>
      <c r="BT529" t="s">
        <v>69</v>
      </c>
      <c r="BU529" t="s">
        <v>69</v>
      </c>
      <c r="BV529" t="s">
        <v>69</v>
      </c>
      <c r="BW529" t="s">
        <v>69</v>
      </c>
      <c r="BX529" t="s">
        <v>8526</v>
      </c>
      <c r="BY529" t="str">
        <f>HYPERLINK("https%3A%2F%2Fwww.webofscience.com%2Fwos%2Fwoscc%2Ffull-record%2FWOS:000564711800007","View Full Record in Web of Science")</f>
        <v>View Full Record in Web of Science</v>
      </c>
    </row>
    <row r="530" spans="1:77" ht="12.5" x14ac:dyDescent="0.25">
      <c r="A530" t="s">
        <v>8495</v>
      </c>
      <c r="B530" s="7" t="s">
        <v>32933</v>
      </c>
      <c r="C530" s="7"/>
      <c r="D530" s="7"/>
      <c r="E530" s="7"/>
      <c r="F530" t="s">
        <v>67</v>
      </c>
      <c r="G530" t="s">
        <v>3359</v>
      </c>
      <c r="H530" t="s">
        <v>69</v>
      </c>
      <c r="I530" t="s">
        <v>69</v>
      </c>
      <c r="J530" t="s">
        <v>69</v>
      </c>
      <c r="K530" t="s">
        <v>3360</v>
      </c>
      <c r="L530" t="s">
        <v>69</v>
      </c>
      <c r="M530" t="s">
        <v>69</v>
      </c>
      <c r="N530" t="s">
        <v>3361</v>
      </c>
      <c r="O530" t="s">
        <v>1467</v>
      </c>
      <c r="P530" t="s">
        <v>69</v>
      </c>
      <c r="Q530" t="s">
        <v>69</v>
      </c>
      <c r="R530" t="s">
        <v>8505</v>
      </c>
      <c r="S530" t="s">
        <v>8506</v>
      </c>
      <c r="T530" t="s">
        <v>69</v>
      </c>
      <c r="U530" t="s">
        <v>69</v>
      </c>
      <c r="V530" t="s">
        <v>69</v>
      </c>
      <c r="W530" t="s">
        <v>69</v>
      </c>
      <c r="X530" t="s">
        <v>69</v>
      </c>
      <c r="Y530" t="s">
        <v>25306</v>
      </c>
      <c r="Z530" t="s">
        <v>25307</v>
      </c>
      <c r="AA530" t="s">
        <v>3362</v>
      </c>
      <c r="AB530" t="s">
        <v>25308</v>
      </c>
      <c r="AC530" t="s">
        <v>69</v>
      </c>
      <c r="AD530" t="s">
        <v>25309</v>
      </c>
      <c r="AE530" t="s">
        <v>25310</v>
      </c>
      <c r="AF530" t="s">
        <v>69</v>
      </c>
      <c r="AG530" t="s">
        <v>69</v>
      </c>
      <c r="AH530" t="s">
        <v>69</v>
      </c>
      <c r="AI530" t="s">
        <v>69</v>
      </c>
      <c r="AJ530" t="s">
        <v>69</v>
      </c>
      <c r="AK530" t="s">
        <v>69</v>
      </c>
      <c r="AL530">
        <v>69</v>
      </c>
      <c r="AM530">
        <v>21</v>
      </c>
      <c r="AN530">
        <v>21</v>
      </c>
      <c r="AO530">
        <v>4</v>
      </c>
      <c r="AP530">
        <v>31</v>
      </c>
      <c r="AQ530" t="s">
        <v>8762</v>
      </c>
      <c r="AR530" t="s">
        <v>8763</v>
      </c>
      <c r="AS530" t="s">
        <v>8764</v>
      </c>
      <c r="AT530" t="s">
        <v>1469</v>
      </c>
      <c r="AU530" t="s">
        <v>1470</v>
      </c>
      <c r="AV530" t="s">
        <v>69</v>
      </c>
      <c r="AW530" t="s">
        <v>22443</v>
      </c>
      <c r="AX530" t="s">
        <v>22444</v>
      </c>
      <c r="AY530" t="s">
        <v>69</v>
      </c>
      <c r="AZ530">
        <v>2013</v>
      </c>
      <c r="BA530">
        <v>31</v>
      </c>
      <c r="BB530">
        <v>4</v>
      </c>
      <c r="BC530" t="s">
        <v>69</v>
      </c>
      <c r="BD530" t="s">
        <v>69</v>
      </c>
      <c r="BE530" t="s">
        <v>69</v>
      </c>
      <c r="BF530" t="s">
        <v>69</v>
      </c>
      <c r="BG530">
        <v>700</v>
      </c>
      <c r="BH530">
        <v>715</v>
      </c>
      <c r="BI530" t="s">
        <v>69</v>
      </c>
      <c r="BJ530" t="s">
        <v>3363</v>
      </c>
      <c r="BK530" t="str">
        <f>HYPERLINK("http://dx.doi.org/10.1068/c1254","http://dx.doi.org/10.1068/c1254")</f>
        <v>http://dx.doi.org/10.1068/c1254</v>
      </c>
      <c r="BL530" t="s">
        <v>69</v>
      </c>
      <c r="BM530" t="s">
        <v>69</v>
      </c>
      <c r="BN530">
        <v>16</v>
      </c>
      <c r="BO530" t="s">
        <v>22445</v>
      </c>
      <c r="BP530" t="s">
        <v>8661</v>
      </c>
      <c r="BQ530" t="s">
        <v>15243</v>
      </c>
      <c r="BR530" t="s">
        <v>25311</v>
      </c>
      <c r="BS530" t="s">
        <v>3364</v>
      </c>
      <c r="BT530" t="s">
        <v>69</v>
      </c>
      <c r="BU530" t="s">
        <v>10995</v>
      </c>
      <c r="BV530" t="s">
        <v>69</v>
      </c>
      <c r="BW530" t="s">
        <v>69</v>
      </c>
      <c r="BX530" t="s">
        <v>8526</v>
      </c>
      <c r="BY530" t="str">
        <f>HYPERLINK("https%3A%2F%2Fwww.webofscience.com%2Fwos%2Fwoscc%2Ffull-record%2FWOS:000323038200009","View Full Record in Web of Science")</f>
        <v>View Full Record in Web of Science</v>
      </c>
    </row>
    <row r="531" spans="1:77" x14ac:dyDescent="0.3">
      <c r="A531" t="s">
        <v>8495</v>
      </c>
      <c r="B531" s="9" t="s">
        <v>32958</v>
      </c>
      <c r="E531" s="9" t="s">
        <v>33053</v>
      </c>
      <c r="F531" t="s">
        <v>67</v>
      </c>
      <c r="G531" t="s">
        <v>31832</v>
      </c>
      <c r="H531" t="s">
        <v>69</v>
      </c>
      <c r="I531" t="s">
        <v>69</v>
      </c>
      <c r="J531" t="s">
        <v>69</v>
      </c>
      <c r="K531" t="s">
        <v>31832</v>
      </c>
      <c r="L531" t="s">
        <v>69</v>
      </c>
      <c r="M531" t="s">
        <v>69</v>
      </c>
      <c r="N531" t="s">
        <v>31833</v>
      </c>
      <c r="O531" t="s">
        <v>31704</v>
      </c>
      <c r="P531" t="s">
        <v>69</v>
      </c>
      <c r="Q531" t="s">
        <v>69</v>
      </c>
      <c r="R531" t="s">
        <v>12534</v>
      </c>
      <c r="S531" t="s">
        <v>8506</v>
      </c>
      <c r="T531" t="s">
        <v>69</v>
      </c>
      <c r="U531" t="s">
        <v>69</v>
      </c>
      <c r="V531" t="s">
        <v>69</v>
      </c>
      <c r="W531" t="s">
        <v>69</v>
      </c>
      <c r="X531" t="s">
        <v>69</v>
      </c>
      <c r="Y531" t="s">
        <v>69</v>
      </c>
      <c r="Z531" t="s">
        <v>69</v>
      </c>
      <c r="AA531" t="s">
        <v>31834</v>
      </c>
      <c r="AB531" t="s">
        <v>31835</v>
      </c>
      <c r="AC531" t="s">
        <v>69</v>
      </c>
      <c r="AD531" t="s">
        <v>31836</v>
      </c>
      <c r="AE531" t="s">
        <v>69</v>
      </c>
      <c r="AF531" t="s">
        <v>69</v>
      </c>
      <c r="AG531" t="s">
        <v>69</v>
      </c>
      <c r="AH531" t="s">
        <v>69</v>
      </c>
      <c r="AI531" t="s">
        <v>69</v>
      </c>
      <c r="AJ531" t="s">
        <v>69</v>
      </c>
      <c r="AK531" t="s">
        <v>69</v>
      </c>
      <c r="AL531">
        <v>0</v>
      </c>
      <c r="AM531">
        <v>0</v>
      </c>
      <c r="AN531">
        <v>0</v>
      </c>
      <c r="AO531">
        <v>0</v>
      </c>
      <c r="AP531">
        <v>1</v>
      </c>
      <c r="AQ531" t="s">
        <v>30767</v>
      </c>
      <c r="AR531" t="s">
        <v>30768</v>
      </c>
      <c r="AS531" t="s">
        <v>30769</v>
      </c>
      <c r="AT531" t="s">
        <v>12505</v>
      </c>
      <c r="AU531" t="s">
        <v>69</v>
      </c>
      <c r="AV531" t="s">
        <v>69</v>
      </c>
      <c r="AW531" t="s">
        <v>31708</v>
      </c>
      <c r="AX531" t="s">
        <v>31709</v>
      </c>
      <c r="AY531" t="s">
        <v>586</v>
      </c>
      <c r="AZ531">
        <v>2000</v>
      </c>
      <c r="BA531">
        <v>45</v>
      </c>
      <c r="BB531">
        <v>5</v>
      </c>
      <c r="BC531" t="s">
        <v>69</v>
      </c>
      <c r="BD531" t="s">
        <v>69</v>
      </c>
      <c r="BE531" t="s">
        <v>69</v>
      </c>
      <c r="BF531" t="s">
        <v>69</v>
      </c>
      <c r="BG531">
        <v>315</v>
      </c>
      <c r="BH531" t="s">
        <v>219</v>
      </c>
      <c r="BI531" t="s">
        <v>69</v>
      </c>
      <c r="BJ531" t="s">
        <v>69</v>
      </c>
      <c r="BK531" t="s">
        <v>69</v>
      </c>
      <c r="BL531" t="s">
        <v>69</v>
      </c>
      <c r="BM531" t="s">
        <v>69</v>
      </c>
      <c r="BN531">
        <v>5</v>
      </c>
      <c r="BO531" t="s">
        <v>12508</v>
      </c>
      <c r="BP531" t="s">
        <v>8548</v>
      </c>
      <c r="BQ531" t="s">
        <v>12508</v>
      </c>
      <c r="BR531" t="s">
        <v>31837</v>
      </c>
      <c r="BS531" t="s">
        <v>31838</v>
      </c>
      <c r="BT531" t="s">
        <v>69</v>
      </c>
      <c r="BU531" t="s">
        <v>69</v>
      </c>
      <c r="BV531" t="s">
        <v>69</v>
      </c>
      <c r="BW531" t="s">
        <v>69</v>
      </c>
      <c r="BX531" t="s">
        <v>8526</v>
      </c>
      <c r="BY531" t="str">
        <f>HYPERLINK("https%3A%2F%2Fwww.webofscience.com%2Fwos%2Fwoscc%2Ffull-record%2FWOS:000087613800010","View Full Record in Web of Science")</f>
        <v>View Full Record in Web of Science</v>
      </c>
    </row>
    <row r="532" spans="1:77" ht="12.5" x14ac:dyDescent="0.25">
      <c r="A532" t="s">
        <v>8495</v>
      </c>
      <c r="B532" s="7" t="s">
        <v>32933</v>
      </c>
      <c r="C532" s="7"/>
      <c r="D532" s="7"/>
      <c r="E532" s="7"/>
      <c r="F532" t="s">
        <v>67</v>
      </c>
      <c r="G532" t="s">
        <v>4134</v>
      </c>
      <c r="H532" t="s">
        <v>69</v>
      </c>
      <c r="I532" t="s">
        <v>69</v>
      </c>
      <c r="J532" t="s">
        <v>69</v>
      </c>
      <c r="K532" t="s">
        <v>4134</v>
      </c>
      <c r="L532" t="s">
        <v>69</v>
      </c>
      <c r="M532" t="s">
        <v>69</v>
      </c>
      <c r="N532" t="s">
        <v>4135</v>
      </c>
      <c r="O532" t="s">
        <v>3929</v>
      </c>
      <c r="P532" t="s">
        <v>69</v>
      </c>
      <c r="Q532" t="s">
        <v>69</v>
      </c>
      <c r="R532" t="s">
        <v>8505</v>
      </c>
      <c r="S532" t="s">
        <v>8506</v>
      </c>
      <c r="T532" t="s">
        <v>69</v>
      </c>
      <c r="U532" t="s">
        <v>69</v>
      </c>
      <c r="V532" t="s">
        <v>69</v>
      </c>
      <c r="W532" t="s">
        <v>69</v>
      </c>
      <c r="X532" t="s">
        <v>69</v>
      </c>
      <c r="Y532" t="s">
        <v>31868</v>
      </c>
      <c r="Z532" t="s">
        <v>69</v>
      </c>
      <c r="AA532" t="s">
        <v>4136</v>
      </c>
      <c r="AB532" t="s">
        <v>31869</v>
      </c>
      <c r="AC532" t="s">
        <v>69</v>
      </c>
      <c r="AD532" t="s">
        <v>31870</v>
      </c>
      <c r="AE532" t="s">
        <v>69</v>
      </c>
      <c r="AF532" t="s">
        <v>69</v>
      </c>
      <c r="AG532" t="s">
        <v>69</v>
      </c>
      <c r="AH532" t="s">
        <v>69</v>
      </c>
      <c r="AI532" t="s">
        <v>69</v>
      </c>
      <c r="AJ532" t="s">
        <v>69</v>
      </c>
      <c r="AK532" t="s">
        <v>69</v>
      </c>
      <c r="AL532">
        <v>7</v>
      </c>
      <c r="AM532">
        <v>1</v>
      </c>
      <c r="AN532">
        <v>1</v>
      </c>
      <c r="AO532">
        <v>0</v>
      </c>
      <c r="AP532">
        <v>1</v>
      </c>
      <c r="AQ532" t="s">
        <v>13509</v>
      </c>
      <c r="AR532" t="s">
        <v>31871</v>
      </c>
      <c r="AS532" t="s">
        <v>31872</v>
      </c>
      <c r="AT532" t="s">
        <v>3931</v>
      </c>
      <c r="AU532" t="s">
        <v>69</v>
      </c>
      <c r="AV532" t="s">
        <v>69</v>
      </c>
      <c r="AW532" t="s">
        <v>28096</v>
      </c>
      <c r="AX532" t="s">
        <v>28097</v>
      </c>
      <c r="AY532" t="s">
        <v>69</v>
      </c>
      <c r="AZ532">
        <v>2000</v>
      </c>
      <c r="BA532">
        <v>19</v>
      </c>
      <c r="BB532" t="s">
        <v>3849</v>
      </c>
      <c r="BC532" t="s">
        <v>69</v>
      </c>
      <c r="BD532" t="s">
        <v>69</v>
      </c>
      <c r="BE532" t="s">
        <v>69</v>
      </c>
      <c r="BF532" t="s">
        <v>69</v>
      </c>
      <c r="BG532">
        <v>846</v>
      </c>
      <c r="BH532">
        <v>863</v>
      </c>
      <c r="BI532" t="s">
        <v>69</v>
      </c>
      <c r="BJ532" t="s">
        <v>4137</v>
      </c>
      <c r="BK532" t="str">
        <f>HYPERLINK("http://dx.doi.org/10.1504/IJTM.2000.002847","http://dx.doi.org/10.1504/IJTM.2000.002847")</f>
        <v>http://dx.doi.org/10.1504/IJTM.2000.002847</v>
      </c>
      <c r="BL532" t="s">
        <v>69</v>
      </c>
      <c r="BM532" t="s">
        <v>69</v>
      </c>
      <c r="BN532">
        <v>18</v>
      </c>
      <c r="BO532" t="s">
        <v>28099</v>
      </c>
      <c r="BP532" t="s">
        <v>8523</v>
      </c>
      <c r="BQ532" t="s">
        <v>15877</v>
      </c>
      <c r="BR532" t="s">
        <v>31873</v>
      </c>
      <c r="BS532" t="s">
        <v>4138</v>
      </c>
      <c r="BT532" t="s">
        <v>69</v>
      </c>
      <c r="BU532" t="s">
        <v>69</v>
      </c>
      <c r="BV532" t="s">
        <v>69</v>
      </c>
      <c r="BW532" t="s">
        <v>69</v>
      </c>
      <c r="BX532" t="s">
        <v>8526</v>
      </c>
      <c r="BY532" t="str">
        <f>HYPERLINK("https%3A%2F%2Fwww.webofscience.com%2Fwos%2Fwoscc%2Ffull-record%2FWOS:000087665300011","View Full Record in Web of Science")</f>
        <v>View Full Record in Web of Science</v>
      </c>
    </row>
    <row r="533" spans="1:77" ht="12.5" x14ac:dyDescent="0.25">
      <c r="A533" t="s">
        <v>8495</v>
      </c>
      <c r="B533" s="7" t="s">
        <v>32933</v>
      </c>
      <c r="C533" s="7"/>
      <c r="D533" s="7"/>
      <c r="E533" s="7"/>
      <c r="F533" t="s">
        <v>67</v>
      </c>
      <c r="G533" t="s">
        <v>4127</v>
      </c>
      <c r="H533" t="s">
        <v>69</v>
      </c>
      <c r="I533" t="s">
        <v>69</v>
      </c>
      <c r="J533" t="s">
        <v>69</v>
      </c>
      <c r="K533" t="s">
        <v>4127</v>
      </c>
      <c r="L533" t="s">
        <v>69</v>
      </c>
      <c r="M533" t="s">
        <v>69</v>
      </c>
      <c r="N533" t="s">
        <v>4128</v>
      </c>
      <c r="O533" t="s">
        <v>4129</v>
      </c>
      <c r="P533" t="s">
        <v>69</v>
      </c>
      <c r="Q533" t="s">
        <v>69</v>
      </c>
      <c r="R533" t="s">
        <v>8505</v>
      </c>
      <c r="S533" t="s">
        <v>8506</v>
      </c>
      <c r="T533" t="s">
        <v>69</v>
      </c>
      <c r="U533" t="s">
        <v>69</v>
      </c>
      <c r="V533" t="s">
        <v>69</v>
      </c>
      <c r="W533" t="s">
        <v>69</v>
      </c>
      <c r="X533" t="s">
        <v>69</v>
      </c>
      <c r="Y533" t="s">
        <v>69</v>
      </c>
      <c r="Z533" t="s">
        <v>69</v>
      </c>
      <c r="AA533" t="s">
        <v>4130</v>
      </c>
      <c r="AB533" t="s">
        <v>31824</v>
      </c>
      <c r="AC533" t="s">
        <v>69</v>
      </c>
      <c r="AD533" t="s">
        <v>31825</v>
      </c>
      <c r="AE533" t="s">
        <v>69</v>
      </c>
      <c r="AF533" t="s">
        <v>69</v>
      </c>
      <c r="AG533" t="s">
        <v>69</v>
      </c>
      <c r="AH533" t="s">
        <v>69</v>
      </c>
      <c r="AI533" t="s">
        <v>69</v>
      </c>
      <c r="AJ533" t="s">
        <v>69</v>
      </c>
      <c r="AK533" t="s">
        <v>69</v>
      </c>
      <c r="AL533">
        <v>28</v>
      </c>
      <c r="AM533">
        <v>14</v>
      </c>
      <c r="AN533">
        <v>15</v>
      </c>
      <c r="AO533">
        <v>0</v>
      </c>
      <c r="AP533">
        <v>1</v>
      </c>
      <c r="AQ533" t="s">
        <v>31597</v>
      </c>
      <c r="AR533" t="s">
        <v>31598</v>
      </c>
      <c r="AS533" t="s">
        <v>31599</v>
      </c>
      <c r="AT533" t="s">
        <v>4131</v>
      </c>
      <c r="AU533" t="s">
        <v>69</v>
      </c>
      <c r="AV533" t="s">
        <v>69</v>
      </c>
      <c r="AW533" t="s">
        <v>31826</v>
      </c>
      <c r="AX533" t="s">
        <v>31827</v>
      </c>
      <c r="AY533" t="s">
        <v>1628</v>
      </c>
      <c r="AZ533">
        <v>2000</v>
      </c>
      <c r="BA533">
        <v>20</v>
      </c>
      <c r="BB533">
        <v>2</v>
      </c>
      <c r="BC533" t="s">
        <v>69</v>
      </c>
      <c r="BD533" t="s">
        <v>69</v>
      </c>
      <c r="BE533" t="s">
        <v>69</v>
      </c>
      <c r="BF533" t="s">
        <v>69</v>
      </c>
      <c r="BG533">
        <v>87</v>
      </c>
      <c r="BH533">
        <v>94</v>
      </c>
      <c r="BI533" t="s">
        <v>69</v>
      </c>
      <c r="BJ533" t="s">
        <v>4132</v>
      </c>
      <c r="BK533" t="str">
        <f>HYPERLINK("http://dx.doi.org/10.1177/027112140002000204","http://dx.doi.org/10.1177/027112140002000204")</f>
        <v>http://dx.doi.org/10.1177/027112140002000204</v>
      </c>
      <c r="BL533" t="s">
        <v>69</v>
      </c>
      <c r="BM533" t="s">
        <v>69</v>
      </c>
      <c r="BN533">
        <v>8</v>
      </c>
      <c r="BO533" t="s">
        <v>13837</v>
      </c>
      <c r="BP533" t="s">
        <v>8661</v>
      </c>
      <c r="BQ533" t="s">
        <v>9290</v>
      </c>
      <c r="BR533" t="s">
        <v>31828</v>
      </c>
      <c r="BS533" t="s">
        <v>4133</v>
      </c>
      <c r="BT533" t="s">
        <v>69</v>
      </c>
      <c r="BU533" t="s">
        <v>69</v>
      </c>
      <c r="BV533" t="s">
        <v>69</v>
      </c>
      <c r="BW533" t="s">
        <v>69</v>
      </c>
      <c r="BX533" t="s">
        <v>8526</v>
      </c>
      <c r="BY533" t="str">
        <f>HYPERLINK("https%3A%2F%2Fwww.webofscience.com%2Fwos%2Fwoscc%2Ffull-record%2FWOS:000087963400005","View Full Record in Web of Science")</f>
        <v>View Full Record in Web of Science</v>
      </c>
    </row>
    <row r="534" spans="1:77" ht="12.5" x14ac:dyDescent="0.25">
      <c r="A534" t="s">
        <v>8495</v>
      </c>
      <c r="B534" s="22" t="s">
        <v>32931</v>
      </c>
      <c r="C534" s="7"/>
      <c r="D534" s="7"/>
      <c r="E534" s="7"/>
      <c r="F534" t="s">
        <v>67</v>
      </c>
      <c r="G534" t="s">
        <v>16628</v>
      </c>
      <c r="H534" t="s">
        <v>69</v>
      </c>
      <c r="I534" t="s">
        <v>69</v>
      </c>
      <c r="J534" t="s">
        <v>69</v>
      </c>
      <c r="K534" t="s">
        <v>16629</v>
      </c>
      <c r="L534" t="s">
        <v>69</v>
      </c>
      <c r="M534" t="s">
        <v>69</v>
      </c>
      <c r="N534" t="s">
        <v>16630</v>
      </c>
      <c r="O534" t="s">
        <v>16631</v>
      </c>
      <c r="P534" t="s">
        <v>69</v>
      </c>
      <c r="Q534" t="s">
        <v>69</v>
      </c>
      <c r="R534" t="s">
        <v>8505</v>
      </c>
      <c r="S534" t="s">
        <v>8506</v>
      </c>
      <c r="T534" t="s">
        <v>69</v>
      </c>
      <c r="U534" t="s">
        <v>69</v>
      </c>
      <c r="V534" t="s">
        <v>69</v>
      </c>
      <c r="W534" t="s">
        <v>69</v>
      </c>
      <c r="X534" t="s">
        <v>69</v>
      </c>
      <c r="Y534" t="s">
        <v>16632</v>
      </c>
      <c r="Z534" t="s">
        <v>16633</v>
      </c>
      <c r="AA534" t="s">
        <v>16634</v>
      </c>
      <c r="AB534" t="s">
        <v>16635</v>
      </c>
      <c r="AC534" t="s">
        <v>69</v>
      </c>
      <c r="AD534" t="s">
        <v>16636</v>
      </c>
      <c r="AE534" t="s">
        <v>16637</v>
      </c>
      <c r="AF534" t="s">
        <v>16638</v>
      </c>
      <c r="AG534" t="s">
        <v>16639</v>
      </c>
      <c r="AH534" t="s">
        <v>16640</v>
      </c>
      <c r="AI534" t="s">
        <v>16641</v>
      </c>
      <c r="AJ534" t="s">
        <v>16642</v>
      </c>
      <c r="AK534" t="s">
        <v>69</v>
      </c>
      <c r="AL534">
        <v>20</v>
      </c>
      <c r="AM534">
        <v>13</v>
      </c>
      <c r="AN534">
        <v>13</v>
      </c>
      <c r="AO534">
        <v>0</v>
      </c>
      <c r="AP534">
        <v>1</v>
      </c>
      <c r="AQ534" t="s">
        <v>9047</v>
      </c>
      <c r="AR534" t="s">
        <v>8693</v>
      </c>
      <c r="AS534" t="s">
        <v>16643</v>
      </c>
      <c r="AT534" t="s">
        <v>16644</v>
      </c>
      <c r="AU534" t="s">
        <v>16645</v>
      </c>
      <c r="AV534" t="s">
        <v>69</v>
      </c>
      <c r="AW534" t="s">
        <v>16646</v>
      </c>
      <c r="AX534" t="s">
        <v>16647</v>
      </c>
      <c r="AY534" t="s">
        <v>381</v>
      </c>
      <c r="AZ534">
        <v>2019</v>
      </c>
      <c r="BA534">
        <v>34</v>
      </c>
      <c r="BB534">
        <v>10</v>
      </c>
      <c r="BC534" t="s">
        <v>69</v>
      </c>
      <c r="BD534" t="s">
        <v>69</v>
      </c>
      <c r="BE534" t="s">
        <v>69</v>
      </c>
      <c r="BF534" t="s">
        <v>69</v>
      </c>
      <c r="BG534">
        <v>2150</v>
      </c>
      <c r="BH534">
        <v>2158</v>
      </c>
      <c r="BI534" t="s">
        <v>69</v>
      </c>
      <c r="BJ534" t="s">
        <v>16648</v>
      </c>
      <c r="BK534" t="str">
        <f>HYPERLINK("http://dx.doi.org/10.1007/s11606-019-05195-0","http://dx.doi.org/10.1007/s11606-019-05195-0")</f>
        <v>http://dx.doi.org/10.1007/s11606-019-05195-0</v>
      </c>
      <c r="BL534" t="s">
        <v>69</v>
      </c>
      <c r="BM534" t="s">
        <v>69</v>
      </c>
      <c r="BN534">
        <v>9</v>
      </c>
      <c r="BO534" t="s">
        <v>9186</v>
      </c>
      <c r="BP534" t="s">
        <v>8548</v>
      </c>
      <c r="BQ534" t="s">
        <v>9187</v>
      </c>
      <c r="BR534" t="s">
        <v>16649</v>
      </c>
      <c r="BS534" t="s">
        <v>16650</v>
      </c>
      <c r="BT534">
        <v>31367872</v>
      </c>
      <c r="BU534" t="s">
        <v>9029</v>
      </c>
      <c r="BV534" t="s">
        <v>69</v>
      </c>
      <c r="BW534" t="s">
        <v>69</v>
      </c>
      <c r="BX534" t="s">
        <v>8526</v>
      </c>
      <c r="BY534" t="str">
        <f>HYPERLINK("https%3A%2F%2Fwww.webofscience.com%2Fwos%2Fwoscc%2Ffull-record%2FWOS:000495477900045","View Full Record in Web of Science")</f>
        <v>View Full Record in Web of Science</v>
      </c>
    </row>
    <row r="535" spans="1:77" x14ac:dyDescent="0.3">
      <c r="A535" t="s">
        <v>8495</v>
      </c>
      <c r="B535" s="9" t="s">
        <v>32958</v>
      </c>
      <c r="C535" s="9" t="s">
        <v>33104</v>
      </c>
      <c r="D535" s="9" t="s">
        <v>8491</v>
      </c>
      <c r="E535" s="9" t="s">
        <v>8490</v>
      </c>
      <c r="F535" t="s">
        <v>67</v>
      </c>
      <c r="G535" t="s">
        <v>9629</v>
      </c>
      <c r="H535" t="s">
        <v>69</v>
      </c>
      <c r="I535" t="s">
        <v>69</v>
      </c>
      <c r="J535" t="s">
        <v>69</v>
      </c>
      <c r="K535" t="s">
        <v>9630</v>
      </c>
      <c r="L535" t="s">
        <v>69</v>
      </c>
      <c r="M535" t="s">
        <v>69</v>
      </c>
      <c r="N535" t="s">
        <v>9631</v>
      </c>
      <c r="O535" t="s">
        <v>417</v>
      </c>
      <c r="P535" t="s">
        <v>69</v>
      </c>
      <c r="Q535" t="s">
        <v>69</v>
      </c>
      <c r="R535" t="s">
        <v>8505</v>
      </c>
      <c r="S535" t="s">
        <v>8506</v>
      </c>
      <c r="T535" t="s">
        <v>69</v>
      </c>
      <c r="U535" t="s">
        <v>69</v>
      </c>
      <c r="V535" t="s">
        <v>69</v>
      </c>
      <c r="W535" t="s">
        <v>69</v>
      </c>
      <c r="X535" t="s">
        <v>69</v>
      </c>
      <c r="Y535" t="s">
        <v>9632</v>
      </c>
      <c r="Z535" t="s">
        <v>9633</v>
      </c>
      <c r="AA535" t="s">
        <v>9634</v>
      </c>
      <c r="AB535" t="s">
        <v>9635</v>
      </c>
      <c r="AC535" t="s">
        <v>69</v>
      </c>
      <c r="AD535" t="s">
        <v>9636</v>
      </c>
      <c r="AE535" t="s">
        <v>9637</v>
      </c>
      <c r="AF535" t="s">
        <v>69</v>
      </c>
      <c r="AG535" t="s">
        <v>69</v>
      </c>
      <c r="AH535" t="s">
        <v>69</v>
      </c>
      <c r="AI535" t="s">
        <v>69</v>
      </c>
      <c r="AJ535" t="s">
        <v>69</v>
      </c>
      <c r="AK535" t="s">
        <v>69</v>
      </c>
      <c r="AL535">
        <v>111</v>
      </c>
      <c r="AM535">
        <v>0</v>
      </c>
      <c r="AN535">
        <v>0</v>
      </c>
      <c r="AO535">
        <v>0</v>
      </c>
      <c r="AP535">
        <v>0</v>
      </c>
      <c r="AQ535" t="s">
        <v>9145</v>
      </c>
      <c r="AR535" t="s">
        <v>8637</v>
      </c>
      <c r="AS535" t="s">
        <v>9146</v>
      </c>
      <c r="AT535" t="s">
        <v>419</v>
      </c>
      <c r="AU535" t="s">
        <v>420</v>
      </c>
      <c r="AV535" t="s">
        <v>69</v>
      </c>
      <c r="AW535" t="s">
        <v>417</v>
      </c>
      <c r="AX535" t="s">
        <v>8482</v>
      </c>
      <c r="AY535" t="s">
        <v>94</v>
      </c>
      <c r="AZ535">
        <v>2022</v>
      </c>
      <c r="BA535">
        <v>130</v>
      </c>
      <c r="BB535" t="s">
        <v>69</v>
      </c>
      <c r="BC535" t="s">
        <v>69</v>
      </c>
      <c r="BD535" t="s">
        <v>69</v>
      </c>
      <c r="BE535" t="s">
        <v>69</v>
      </c>
      <c r="BF535" t="s">
        <v>69</v>
      </c>
      <c r="BG535">
        <v>23</v>
      </c>
      <c r="BH535">
        <v>34</v>
      </c>
      <c r="BI535" t="s">
        <v>69</v>
      </c>
      <c r="BJ535" t="s">
        <v>9638</v>
      </c>
      <c r="BK535" t="str">
        <f>HYPERLINK("http://dx.doi.org/10.1016/j.geoforum.2022.01.016","http://dx.doi.org/10.1016/j.geoforum.2022.01.016")</f>
        <v>http://dx.doi.org/10.1016/j.geoforum.2022.01.016</v>
      </c>
      <c r="BL535" t="s">
        <v>69</v>
      </c>
      <c r="BM535" t="s">
        <v>69</v>
      </c>
      <c r="BN535">
        <v>12</v>
      </c>
      <c r="BO535" t="s">
        <v>8446</v>
      </c>
      <c r="BP535" t="s">
        <v>8661</v>
      </c>
      <c r="BQ535" t="s">
        <v>8446</v>
      </c>
      <c r="BR535" t="s">
        <v>9639</v>
      </c>
      <c r="BS535" t="s">
        <v>9640</v>
      </c>
      <c r="BT535" t="s">
        <v>69</v>
      </c>
      <c r="BU535" t="s">
        <v>69</v>
      </c>
      <c r="BV535" t="s">
        <v>69</v>
      </c>
      <c r="BW535" t="s">
        <v>69</v>
      </c>
      <c r="BX535" t="s">
        <v>8526</v>
      </c>
      <c r="BY535" t="str">
        <f>HYPERLINK("https%3A%2F%2Fwww.webofscience.com%2Fwos%2Fwoscc%2Ffull-record%2FWOS:000820442300003","View Full Record in Web of Science")</f>
        <v>View Full Record in Web of Science</v>
      </c>
    </row>
    <row r="536" spans="1:77" ht="12.5" x14ac:dyDescent="0.25">
      <c r="A536" t="s">
        <v>8495</v>
      </c>
      <c r="B536" s="7" t="s">
        <v>32933</v>
      </c>
      <c r="C536" s="7"/>
      <c r="D536" s="7"/>
      <c r="E536" s="7"/>
      <c r="F536" t="s">
        <v>67</v>
      </c>
      <c r="G536" t="s">
        <v>6774</v>
      </c>
      <c r="H536" t="s">
        <v>69</v>
      </c>
      <c r="I536" t="s">
        <v>69</v>
      </c>
      <c r="J536" t="s">
        <v>69</v>
      </c>
      <c r="K536" t="s">
        <v>6774</v>
      </c>
      <c r="L536" t="s">
        <v>69</v>
      </c>
      <c r="M536" t="s">
        <v>69</v>
      </c>
      <c r="N536" t="s">
        <v>6775</v>
      </c>
      <c r="O536" t="s">
        <v>6776</v>
      </c>
      <c r="P536" t="s">
        <v>69</v>
      </c>
      <c r="Q536" t="s">
        <v>69</v>
      </c>
      <c r="R536" t="s">
        <v>8505</v>
      </c>
      <c r="S536" t="s">
        <v>8506</v>
      </c>
      <c r="T536" t="s">
        <v>69</v>
      </c>
      <c r="U536" t="s">
        <v>69</v>
      </c>
      <c r="V536" t="s">
        <v>69</v>
      </c>
      <c r="W536" t="s">
        <v>69</v>
      </c>
      <c r="X536" t="s">
        <v>69</v>
      </c>
      <c r="Y536" t="s">
        <v>69</v>
      </c>
      <c r="Z536" t="s">
        <v>69</v>
      </c>
      <c r="AA536" t="s">
        <v>6777</v>
      </c>
      <c r="AB536" t="s">
        <v>69</v>
      </c>
      <c r="AC536" t="s">
        <v>69</v>
      </c>
      <c r="AD536" t="s">
        <v>69</v>
      </c>
      <c r="AE536" t="s">
        <v>69</v>
      </c>
      <c r="AF536" t="s">
        <v>69</v>
      </c>
      <c r="AG536" t="s">
        <v>69</v>
      </c>
      <c r="AH536" t="s">
        <v>69</v>
      </c>
      <c r="AI536" t="s">
        <v>69</v>
      </c>
      <c r="AJ536" t="s">
        <v>69</v>
      </c>
      <c r="AK536" t="s">
        <v>69</v>
      </c>
      <c r="AL536">
        <v>12</v>
      </c>
      <c r="AM536">
        <v>1</v>
      </c>
      <c r="AN536">
        <v>1</v>
      </c>
      <c r="AO536">
        <v>0</v>
      </c>
      <c r="AP536">
        <v>6</v>
      </c>
      <c r="AQ536" t="s">
        <v>32789</v>
      </c>
      <c r="AR536" t="s">
        <v>32790</v>
      </c>
      <c r="AS536" t="s">
        <v>32791</v>
      </c>
      <c r="AT536" t="s">
        <v>6778</v>
      </c>
      <c r="AU536" t="s">
        <v>69</v>
      </c>
      <c r="AV536" t="s">
        <v>69</v>
      </c>
      <c r="AW536" t="s">
        <v>32792</v>
      </c>
      <c r="AX536" t="s">
        <v>32793</v>
      </c>
      <c r="AY536" t="s">
        <v>1628</v>
      </c>
      <c r="AZ536">
        <v>1993</v>
      </c>
      <c r="BA536">
        <v>31</v>
      </c>
      <c r="BB536">
        <v>4</v>
      </c>
      <c r="BC536" t="s">
        <v>69</v>
      </c>
      <c r="BD536" t="s">
        <v>69</v>
      </c>
      <c r="BE536" t="s">
        <v>69</v>
      </c>
      <c r="BF536" t="s">
        <v>69</v>
      </c>
      <c r="BG536">
        <v>51</v>
      </c>
      <c r="BH536">
        <v>81</v>
      </c>
      <c r="BI536" t="s">
        <v>69</v>
      </c>
      <c r="BJ536" t="s">
        <v>6779</v>
      </c>
      <c r="BK536" t="str">
        <f>HYPERLINK("http://dx.doi.org/10.1080/00128775.1993.11648511","http://dx.doi.org/10.1080/00128775.1993.11648511")</f>
        <v>http://dx.doi.org/10.1080/00128775.1993.11648511</v>
      </c>
      <c r="BL536" t="s">
        <v>69</v>
      </c>
      <c r="BM536" t="s">
        <v>69</v>
      </c>
      <c r="BN536">
        <v>31</v>
      </c>
      <c r="BO536" t="s">
        <v>9726</v>
      </c>
      <c r="BP536" t="s">
        <v>8661</v>
      </c>
      <c r="BQ536" t="s">
        <v>8594</v>
      </c>
      <c r="BR536" t="s">
        <v>32794</v>
      </c>
      <c r="BS536" t="s">
        <v>6780</v>
      </c>
      <c r="BT536" t="s">
        <v>69</v>
      </c>
      <c r="BU536" t="s">
        <v>69</v>
      </c>
      <c r="BV536" t="s">
        <v>69</v>
      </c>
      <c r="BW536" t="s">
        <v>69</v>
      </c>
      <c r="BX536" t="s">
        <v>8526</v>
      </c>
      <c r="BY536" t="str">
        <f>HYPERLINK("https%3A%2F%2Fwww.webofscience.com%2Fwos%2Fwoscc%2Ffull-record%2FWOS:A1993MH13300003","View Full Record in Web of Science")</f>
        <v>View Full Record in Web of Science</v>
      </c>
    </row>
    <row r="537" spans="1:77" ht="12.5" x14ac:dyDescent="0.25">
      <c r="A537" t="s">
        <v>8495</v>
      </c>
      <c r="B537" s="7" t="s">
        <v>32933</v>
      </c>
      <c r="C537" s="7"/>
      <c r="D537" s="7"/>
      <c r="E537" s="7"/>
      <c r="F537" t="s">
        <v>67</v>
      </c>
      <c r="G537" t="s">
        <v>6215</v>
      </c>
      <c r="H537" t="s">
        <v>69</v>
      </c>
      <c r="I537" t="s">
        <v>69</v>
      </c>
      <c r="J537" t="s">
        <v>69</v>
      </c>
      <c r="K537" t="s">
        <v>6216</v>
      </c>
      <c r="L537" t="s">
        <v>69</v>
      </c>
      <c r="M537" t="s">
        <v>69</v>
      </c>
      <c r="N537" s="3" t="s">
        <v>6217</v>
      </c>
      <c r="O537" t="s">
        <v>436</v>
      </c>
      <c r="P537" t="s">
        <v>69</v>
      </c>
      <c r="Q537" t="s">
        <v>69</v>
      </c>
      <c r="R537" t="s">
        <v>8505</v>
      </c>
      <c r="S537" t="s">
        <v>8506</v>
      </c>
      <c r="T537" t="s">
        <v>69</v>
      </c>
      <c r="U537" t="s">
        <v>69</v>
      </c>
      <c r="V537" t="s">
        <v>69</v>
      </c>
      <c r="W537" t="s">
        <v>69</v>
      </c>
      <c r="X537" t="s">
        <v>69</v>
      </c>
      <c r="Y537" t="s">
        <v>21222</v>
      </c>
      <c r="Z537" t="s">
        <v>21223</v>
      </c>
      <c r="AA537" t="s">
        <v>6218</v>
      </c>
      <c r="AB537" t="s">
        <v>21224</v>
      </c>
      <c r="AC537" t="s">
        <v>69</v>
      </c>
      <c r="AD537" t="s">
        <v>21225</v>
      </c>
      <c r="AE537" t="s">
        <v>21226</v>
      </c>
      <c r="AF537" t="s">
        <v>21227</v>
      </c>
      <c r="AG537" t="s">
        <v>21228</v>
      </c>
      <c r="AH537" t="s">
        <v>21229</v>
      </c>
      <c r="AI537" t="s">
        <v>21230</v>
      </c>
      <c r="AJ537" t="s">
        <v>21231</v>
      </c>
      <c r="AK537" t="s">
        <v>69</v>
      </c>
      <c r="AL537">
        <v>77</v>
      </c>
      <c r="AM537">
        <v>60</v>
      </c>
      <c r="AN537">
        <v>60</v>
      </c>
      <c r="AO537">
        <v>5</v>
      </c>
      <c r="AP537">
        <v>123</v>
      </c>
      <c r="AQ537" t="s">
        <v>8636</v>
      </c>
      <c r="AR537" t="s">
        <v>8637</v>
      </c>
      <c r="AS537" t="s">
        <v>8638</v>
      </c>
      <c r="AT537" t="s">
        <v>440</v>
      </c>
      <c r="AU537" t="s">
        <v>441</v>
      </c>
      <c r="AV537" t="s">
        <v>69</v>
      </c>
      <c r="AW537" t="s">
        <v>8639</v>
      </c>
      <c r="AX537" t="s">
        <v>8640</v>
      </c>
      <c r="AY537" t="s">
        <v>2982</v>
      </c>
      <c r="AZ537">
        <v>2016</v>
      </c>
      <c r="BA537">
        <v>134</v>
      </c>
      <c r="BB537" t="s">
        <v>69</v>
      </c>
      <c r="BC537" t="s">
        <v>6219</v>
      </c>
      <c r="BD537" t="s">
        <v>69</v>
      </c>
      <c r="BE537" t="s">
        <v>114</v>
      </c>
      <c r="BF537" t="s">
        <v>69</v>
      </c>
      <c r="BG537">
        <v>31</v>
      </c>
      <c r="BH537">
        <v>41</v>
      </c>
      <c r="BI537" t="s">
        <v>69</v>
      </c>
      <c r="BJ537" t="s">
        <v>6220</v>
      </c>
      <c r="BK537" t="str">
        <f>HYPERLINK("http://dx.doi.org/10.1016/j.jclepro.2016.03.083","http://dx.doi.org/10.1016/j.jclepro.2016.03.083")</f>
        <v>http://dx.doi.org/10.1016/j.jclepro.2016.03.083</v>
      </c>
      <c r="BL537" t="s">
        <v>69</v>
      </c>
      <c r="BM537" t="s">
        <v>69</v>
      </c>
      <c r="BN537">
        <v>11</v>
      </c>
      <c r="BO537" t="s">
        <v>8643</v>
      </c>
      <c r="BP537" t="s">
        <v>8523</v>
      </c>
      <c r="BQ537" t="s">
        <v>8644</v>
      </c>
      <c r="BR537" t="s">
        <v>21232</v>
      </c>
      <c r="BS537" t="s">
        <v>6221</v>
      </c>
      <c r="BT537" t="s">
        <v>69</v>
      </c>
      <c r="BU537" t="s">
        <v>9292</v>
      </c>
      <c r="BV537" t="s">
        <v>69</v>
      </c>
      <c r="BW537" t="s">
        <v>69</v>
      </c>
      <c r="BX537" t="s">
        <v>8526</v>
      </c>
      <c r="BY537" t="str">
        <f>HYPERLINK("https%3A%2F%2Fwww.webofscience.com%2Fwos%2Fwoscc%2Ffull-record%2FWOS:000382409700004","View Full Record in Web of Science")</f>
        <v>View Full Record in Web of Science</v>
      </c>
    </row>
    <row r="538" spans="1:77" ht="12.5" x14ac:dyDescent="0.25">
      <c r="A538" t="s">
        <v>8495</v>
      </c>
      <c r="B538" s="7" t="s">
        <v>32933</v>
      </c>
      <c r="C538" s="7"/>
      <c r="D538" s="7"/>
      <c r="E538" s="7"/>
      <c r="F538" t="s">
        <v>67</v>
      </c>
      <c r="G538" t="s">
        <v>3639</v>
      </c>
      <c r="H538" t="s">
        <v>69</v>
      </c>
      <c r="I538" t="s">
        <v>69</v>
      </c>
      <c r="J538" t="s">
        <v>69</v>
      </c>
      <c r="K538" t="s">
        <v>3640</v>
      </c>
      <c r="L538" t="s">
        <v>69</v>
      </c>
      <c r="M538" t="s">
        <v>69</v>
      </c>
      <c r="N538" t="s">
        <v>3641</v>
      </c>
      <c r="O538" t="s">
        <v>3642</v>
      </c>
      <c r="P538" t="s">
        <v>69</v>
      </c>
      <c r="Q538" t="s">
        <v>69</v>
      </c>
      <c r="R538" t="s">
        <v>8505</v>
      </c>
      <c r="S538" t="s">
        <v>8506</v>
      </c>
      <c r="T538" t="s">
        <v>69</v>
      </c>
      <c r="U538" t="s">
        <v>69</v>
      </c>
      <c r="V538" t="s">
        <v>69</v>
      </c>
      <c r="W538" t="s">
        <v>69</v>
      </c>
      <c r="X538" t="s">
        <v>69</v>
      </c>
      <c r="Y538" t="s">
        <v>69</v>
      </c>
      <c r="Z538" t="s">
        <v>69</v>
      </c>
      <c r="AA538" t="s">
        <v>3643</v>
      </c>
      <c r="AB538" t="s">
        <v>28926</v>
      </c>
      <c r="AC538" t="s">
        <v>69</v>
      </c>
      <c r="AD538" t="s">
        <v>28927</v>
      </c>
      <c r="AE538" t="s">
        <v>69</v>
      </c>
      <c r="AF538" t="s">
        <v>69</v>
      </c>
      <c r="AG538" t="s">
        <v>3644</v>
      </c>
      <c r="AH538" t="s">
        <v>69</v>
      </c>
      <c r="AI538" t="s">
        <v>69</v>
      </c>
      <c r="AJ538" t="s">
        <v>69</v>
      </c>
      <c r="AK538" t="s">
        <v>69</v>
      </c>
      <c r="AL538">
        <v>39</v>
      </c>
      <c r="AM538">
        <v>14</v>
      </c>
      <c r="AN538">
        <v>15</v>
      </c>
      <c r="AO538">
        <v>0</v>
      </c>
      <c r="AP538">
        <v>5</v>
      </c>
      <c r="AQ538" t="s">
        <v>28928</v>
      </c>
      <c r="AR538" t="s">
        <v>28929</v>
      </c>
      <c r="AS538" t="s">
        <v>28930</v>
      </c>
      <c r="AT538" t="s">
        <v>3645</v>
      </c>
      <c r="AU538" t="s">
        <v>3646</v>
      </c>
      <c r="AV538" t="s">
        <v>69</v>
      </c>
      <c r="AW538" t="s">
        <v>28931</v>
      </c>
      <c r="AX538" t="s">
        <v>28932</v>
      </c>
      <c r="AY538" t="s">
        <v>69</v>
      </c>
      <c r="AZ538">
        <v>2009</v>
      </c>
      <c r="BA538">
        <v>44</v>
      </c>
      <c r="BB538">
        <v>1</v>
      </c>
      <c r="BC538" t="s">
        <v>69</v>
      </c>
      <c r="BD538" t="s">
        <v>69</v>
      </c>
      <c r="BE538" t="s">
        <v>69</v>
      </c>
      <c r="BF538" t="s">
        <v>69</v>
      </c>
      <c r="BG538">
        <v>132</v>
      </c>
      <c r="BH538">
        <v>157</v>
      </c>
      <c r="BI538" t="s">
        <v>69</v>
      </c>
      <c r="BJ538" t="s">
        <v>69</v>
      </c>
      <c r="BK538" t="s">
        <v>69</v>
      </c>
      <c r="BL538" t="s">
        <v>69</v>
      </c>
      <c r="BM538" t="s">
        <v>69</v>
      </c>
      <c r="BN538">
        <v>26</v>
      </c>
      <c r="BO538" t="s">
        <v>17049</v>
      </c>
      <c r="BP538" t="s">
        <v>8661</v>
      </c>
      <c r="BQ538" t="s">
        <v>17049</v>
      </c>
      <c r="BR538" t="s">
        <v>28933</v>
      </c>
      <c r="BS538" t="s">
        <v>3647</v>
      </c>
      <c r="BT538" t="s">
        <v>69</v>
      </c>
      <c r="BU538" t="s">
        <v>69</v>
      </c>
      <c r="BV538" t="s">
        <v>69</v>
      </c>
      <c r="BW538" t="s">
        <v>69</v>
      </c>
      <c r="BX538" t="s">
        <v>8526</v>
      </c>
      <c r="BY538" t="str">
        <f>HYPERLINK("https%3A%2F%2Fwww.webofscience.com%2Fwos%2Fwoscc%2Ffull-record%2FWOS:000263479800007","View Full Record in Web of Science")</f>
        <v>View Full Record in Web of Science</v>
      </c>
    </row>
    <row r="539" spans="1:77" ht="12.5" x14ac:dyDescent="0.25">
      <c r="A539" t="s">
        <v>8495</v>
      </c>
      <c r="B539" s="7" t="s">
        <v>32933</v>
      </c>
      <c r="C539" s="7"/>
      <c r="D539" s="7"/>
      <c r="E539" s="7"/>
      <c r="F539" t="s">
        <v>67</v>
      </c>
      <c r="G539" t="s">
        <v>3333</v>
      </c>
      <c r="H539" t="s">
        <v>69</v>
      </c>
      <c r="I539" t="s">
        <v>69</v>
      </c>
      <c r="J539" t="s">
        <v>69</v>
      </c>
      <c r="K539" t="s">
        <v>3334</v>
      </c>
      <c r="L539" t="s">
        <v>69</v>
      </c>
      <c r="M539" t="s">
        <v>69</v>
      </c>
      <c r="N539" t="s">
        <v>3335</v>
      </c>
      <c r="O539" t="s">
        <v>3336</v>
      </c>
      <c r="P539" t="s">
        <v>69</v>
      </c>
      <c r="Q539" t="s">
        <v>69</v>
      </c>
      <c r="R539" t="s">
        <v>8505</v>
      </c>
      <c r="S539" t="s">
        <v>8506</v>
      </c>
      <c r="T539" t="s">
        <v>69</v>
      </c>
      <c r="U539" t="s">
        <v>69</v>
      </c>
      <c r="V539" t="s">
        <v>69</v>
      </c>
      <c r="W539" t="s">
        <v>69</v>
      </c>
      <c r="X539" t="s">
        <v>69</v>
      </c>
      <c r="Y539" t="s">
        <v>25203</v>
      </c>
      <c r="Z539" t="s">
        <v>25204</v>
      </c>
      <c r="AA539" t="s">
        <v>3337</v>
      </c>
      <c r="AB539" t="s">
        <v>25205</v>
      </c>
      <c r="AC539" t="s">
        <v>69</v>
      </c>
      <c r="AD539" t="s">
        <v>25206</v>
      </c>
      <c r="AE539" t="s">
        <v>25207</v>
      </c>
      <c r="AF539" t="s">
        <v>69</v>
      </c>
      <c r="AG539" t="s">
        <v>3338</v>
      </c>
      <c r="AH539" t="s">
        <v>25208</v>
      </c>
      <c r="AI539" t="s">
        <v>25209</v>
      </c>
      <c r="AJ539" t="s">
        <v>25210</v>
      </c>
      <c r="AK539" t="s">
        <v>69</v>
      </c>
      <c r="AL539">
        <v>106</v>
      </c>
      <c r="AM539">
        <v>84</v>
      </c>
      <c r="AN539">
        <v>88</v>
      </c>
      <c r="AO539">
        <v>1</v>
      </c>
      <c r="AP539">
        <v>154</v>
      </c>
      <c r="AQ539" t="s">
        <v>17140</v>
      </c>
      <c r="AR539" t="s">
        <v>8517</v>
      </c>
      <c r="AS539" t="s">
        <v>17141</v>
      </c>
      <c r="AT539" t="s">
        <v>3339</v>
      </c>
      <c r="AU539" t="s">
        <v>3340</v>
      </c>
      <c r="AV539" t="s">
        <v>69</v>
      </c>
      <c r="AW539" t="s">
        <v>25086</v>
      </c>
      <c r="AX539" t="s">
        <v>25087</v>
      </c>
      <c r="AY539" t="s">
        <v>191</v>
      </c>
      <c r="AZ539">
        <v>2013</v>
      </c>
      <c r="BA539">
        <v>86</v>
      </c>
      <c r="BB539" t="s">
        <v>69</v>
      </c>
      <c r="BC539" t="s">
        <v>69</v>
      </c>
      <c r="BD539" t="s">
        <v>69</v>
      </c>
      <c r="BE539" t="s">
        <v>69</v>
      </c>
      <c r="BF539" t="s">
        <v>69</v>
      </c>
      <c r="BG539">
        <v>274</v>
      </c>
      <c r="BH539">
        <v>284</v>
      </c>
      <c r="BI539" t="s">
        <v>69</v>
      </c>
      <c r="BJ539" t="s">
        <v>3341</v>
      </c>
      <c r="BK539" t="str">
        <f>HYPERLINK("http://dx.doi.org/10.1016/j.ecolecon.2012.09.012","http://dx.doi.org/10.1016/j.ecolecon.2012.09.012")</f>
        <v>http://dx.doi.org/10.1016/j.ecolecon.2012.09.012</v>
      </c>
      <c r="BL539" t="s">
        <v>69</v>
      </c>
      <c r="BM539" t="s">
        <v>69</v>
      </c>
      <c r="BN539">
        <v>11</v>
      </c>
      <c r="BO539" t="s">
        <v>25089</v>
      </c>
      <c r="BP539" t="s">
        <v>8523</v>
      </c>
      <c r="BQ539" t="s">
        <v>25090</v>
      </c>
      <c r="BR539" t="s">
        <v>25211</v>
      </c>
      <c r="BS539" t="s">
        <v>3342</v>
      </c>
      <c r="BT539" t="s">
        <v>69</v>
      </c>
      <c r="BU539" t="s">
        <v>8622</v>
      </c>
      <c r="BV539" t="s">
        <v>69</v>
      </c>
      <c r="BW539" t="s">
        <v>69</v>
      </c>
      <c r="BX539" t="s">
        <v>8526</v>
      </c>
      <c r="BY539" t="str">
        <f>HYPERLINK("https%3A%2F%2Fwww.webofscience.com%2Fwos%2Fwoscc%2Ffull-record%2FWOS:000317803500033","View Full Record in Web of Science")</f>
        <v>View Full Record in Web of Science</v>
      </c>
    </row>
    <row r="540" spans="1:77" ht="12.5" x14ac:dyDescent="0.25">
      <c r="A540" t="s">
        <v>8495</v>
      </c>
      <c r="B540" s="7" t="s">
        <v>32933</v>
      </c>
      <c r="C540" s="7"/>
      <c r="D540" s="7"/>
      <c r="E540" s="7"/>
      <c r="F540" t="s">
        <v>67</v>
      </c>
      <c r="G540" t="s">
        <v>3776</v>
      </c>
      <c r="H540" t="s">
        <v>69</v>
      </c>
      <c r="I540" t="s">
        <v>69</v>
      </c>
      <c r="J540" t="s">
        <v>69</v>
      </c>
      <c r="K540" t="s">
        <v>3777</v>
      </c>
      <c r="L540" t="s">
        <v>69</v>
      </c>
      <c r="M540" t="s">
        <v>69</v>
      </c>
      <c r="N540" t="s">
        <v>3778</v>
      </c>
      <c r="O540" t="s">
        <v>1831</v>
      </c>
      <c r="P540" t="s">
        <v>69</v>
      </c>
      <c r="Q540" t="s">
        <v>69</v>
      </c>
      <c r="R540" t="s">
        <v>8505</v>
      </c>
      <c r="S540" t="s">
        <v>8506</v>
      </c>
      <c r="T540" t="s">
        <v>69</v>
      </c>
      <c r="U540" t="s">
        <v>69</v>
      </c>
      <c r="V540" t="s">
        <v>69</v>
      </c>
      <c r="W540" t="s">
        <v>69</v>
      </c>
      <c r="X540" t="s">
        <v>69</v>
      </c>
      <c r="Y540" t="s">
        <v>29924</v>
      </c>
      <c r="Z540" t="s">
        <v>29925</v>
      </c>
      <c r="AA540" t="s">
        <v>3779</v>
      </c>
      <c r="AB540" t="s">
        <v>29926</v>
      </c>
      <c r="AC540" t="s">
        <v>69</v>
      </c>
      <c r="AD540" t="s">
        <v>29927</v>
      </c>
      <c r="AE540" t="s">
        <v>29928</v>
      </c>
      <c r="AF540" t="s">
        <v>29929</v>
      </c>
      <c r="AG540" t="s">
        <v>3780</v>
      </c>
      <c r="AH540" t="s">
        <v>69</v>
      </c>
      <c r="AI540" t="s">
        <v>69</v>
      </c>
      <c r="AJ540" t="s">
        <v>69</v>
      </c>
      <c r="AK540" t="s">
        <v>69</v>
      </c>
      <c r="AL540">
        <v>57</v>
      </c>
      <c r="AM540">
        <v>14</v>
      </c>
      <c r="AN540">
        <v>15</v>
      </c>
      <c r="AO540">
        <v>2</v>
      </c>
      <c r="AP540">
        <v>33</v>
      </c>
      <c r="AQ540" t="s">
        <v>17140</v>
      </c>
      <c r="AR540" t="s">
        <v>8517</v>
      </c>
      <c r="AS540" t="s">
        <v>17141</v>
      </c>
      <c r="AT540" t="s">
        <v>1833</v>
      </c>
      <c r="AU540" t="s">
        <v>69</v>
      </c>
      <c r="AV540" t="s">
        <v>69</v>
      </c>
      <c r="AW540" t="s">
        <v>13291</v>
      </c>
      <c r="AX540" t="s">
        <v>13292</v>
      </c>
      <c r="AY540" t="s">
        <v>373</v>
      </c>
      <c r="AZ540">
        <v>2007</v>
      </c>
      <c r="BA540">
        <v>9</v>
      </c>
      <c r="BB540">
        <v>5</v>
      </c>
      <c r="BC540" t="s">
        <v>69</v>
      </c>
      <c r="BD540" t="s">
        <v>69</v>
      </c>
      <c r="BE540" t="s">
        <v>69</v>
      </c>
      <c r="BF540" t="s">
        <v>69</v>
      </c>
      <c r="BG540">
        <v>496</v>
      </c>
      <c r="BH540">
        <v>515</v>
      </c>
      <c r="BI540" t="s">
        <v>69</v>
      </c>
      <c r="BJ540" t="s">
        <v>3781</v>
      </c>
      <c r="BK540" t="str">
        <f>HYPERLINK("http://dx.doi.org/10.1016/j.forpol.2006.02.001","http://dx.doi.org/10.1016/j.forpol.2006.02.001")</f>
        <v>http://dx.doi.org/10.1016/j.forpol.2006.02.001</v>
      </c>
      <c r="BL540" t="s">
        <v>69</v>
      </c>
      <c r="BM540" t="s">
        <v>69</v>
      </c>
      <c r="BN540">
        <v>20</v>
      </c>
      <c r="BO540" t="s">
        <v>13293</v>
      </c>
      <c r="BP540" t="s">
        <v>8523</v>
      </c>
      <c r="BQ540" t="s">
        <v>13294</v>
      </c>
      <c r="BR540" t="s">
        <v>29930</v>
      </c>
      <c r="BS540" t="s">
        <v>3782</v>
      </c>
      <c r="BT540" t="s">
        <v>69</v>
      </c>
      <c r="BU540" t="s">
        <v>69</v>
      </c>
      <c r="BV540" t="s">
        <v>69</v>
      </c>
      <c r="BW540" t="s">
        <v>69</v>
      </c>
      <c r="BX540" t="s">
        <v>8526</v>
      </c>
      <c r="BY540" t="str">
        <f>HYPERLINK("https%3A%2F%2Fwww.webofscience.com%2Fwos%2Fwoscc%2Ffull-record%2FWOS:000244102000006","View Full Record in Web of Science")</f>
        <v>View Full Record in Web of Science</v>
      </c>
    </row>
    <row r="541" spans="1:77" x14ac:dyDescent="0.3">
      <c r="A541" t="s">
        <v>8495</v>
      </c>
      <c r="B541" s="9" t="s">
        <v>32958</v>
      </c>
      <c r="C541" s="9" t="s">
        <v>33103</v>
      </c>
      <c r="D541" s="9" t="s">
        <v>8491</v>
      </c>
      <c r="E541" s="9" t="s">
        <v>8490</v>
      </c>
      <c r="F541" t="s">
        <v>67</v>
      </c>
      <c r="G541" t="s">
        <v>28596</v>
      </c>
      <c r="H541" t="s">
        <v>69</v>
      </c>
      <c r="I541" t="s">
        <v>69</v>
      </c>
      <c r="J541" t="s">
        <v>69</v>
      </c>
      <c r="K541" t="s">
        <v>28597</v>
      </c>
      <c r="L541" t="s">
        <v>69</v>
      </c>
      <c r="M541" t="s">
        <v>69</v>
      </c>
      <c r="N541" t="s">
        <v>28598</v>
      </c>
      <c r="O541" t="s">
        <v>28599</v>
      </c>
      <c r="P541" t="s">
        <v>69</v>
      </c>
      <c r="Q541" t="s">
        <v>69</v>
      </c>
      <c r="R541" t="s">
        <v>8505</v>
      </c>
      <c r="S541" t="s">
        <v>10174</v>
      </c>
      <c r="T541" t="s">
        <v>69</v>
      </c>
      <c r="U541" t="s">
        <v>69</v>
      </c>
      <c r="V541" t="s">
        <v>69</v>
      </c>
      <c r="W541" t="s">
        <v>69</v>
      </c>
      <c r="X541" t="s">
        <v>69</v>
      </c>
      <c r="Y541" t="s">
        <v>69</v>
      </c>
      <c r="Z541" t="s">
        <v>69</v>
      </c>
      <c r="AA541" t="s">
        <v>28600</v>
      </c>
      <c r="AB541" t="s">
        <v>28601</v>
      </c>
      <c r="AC541" t="s">
        <v>69</v>
      </c>
      <c r="AD541" t="s">
        <v>28602</v>
      </c>
      <c r="AE541" t="s">
        <v>69</v>
      </c>
      <c r="AF541" t="s">
        <v>69</v>
      </c>
      <c r="AG541" t="s">
        <v>69</v>
      </c>
      <c r="AH541" t="s">
        <v>69</v>
      </c>
      <c r="AI541" t="s">
        <v>69</v>
      </c>
      <c r="AJ541" t="s">
        <v>69</v>
      </c>
      <c r="AK541" t="s">
        <v>69</v>
      </c>
      <c r="AL541">
        <v>0</v>
      </c>
      <c r="AM541">
        <v>0</v>
      </c>
      <c r="AN541">
        <v>0</v>
      </c>
      <c r="AO541">
        <v>0</v>
      </c>
      <c r="AP541">
        <v>0</v>
      </c>
      <c r="AQ541" t="s">
        <v>8846</v>
      </c>
      <c r="AR541" t="s">
        <v>8847</v>
      </c>
      <c r="AS541" t="s">
        <v>8848</v>
      </c>
      <c r="AT541" t="s">
        <v>28603</v>
      </c>
      <c r="AU541" t="s">
        <v>28604</v>
      </c>
      <c r="AV541" t="s">
        <v>69</v>
      </c>
      <c r="AW541" t="s">
        <v>28605</v>
      </c>
      <c r="AX541" t="s">
        <v>28606</v>
      </c>
      <c r="AY541" t="s">
        <v>4092</v>
      </c>
      <c r="AZ541">
        <v>2009</v>
      </c>
      <c r="BA541">
        <v>19</v>
      </c>
      <c r="BB541">
        <v>2</v>
      </c>
      <c r="BC541" t="s">
        <v>69</v>
      </c>
      <c r="BD541" t="s">
        <v>69</v>
      </c>
      <c r="BE541" t="s">
        <v>69</v>
      </c>
      <c r="BF541" t="s">
        <v>69</v>
      </c>
      <c r="BG541">
        <v>1</v>
      </c>
      <c r="BH541">
        <v>5</v>
      </c>
      <c r="BI541" t="s">
        <v>69</v>
      </c>
      <c r="BJ541" t="s">
        <v>28607</v>
      </c>
      <c r="BK541" t="str">
        <f>HYPERLINK("http://dx.doi.org/10.1002/rem.20197","http://dx.doi.org/10.1002/rem.20197")</f>
        <v>http://dx.doi.org/10.1002/rem.20197</v>
      </c>
      <c r="BL541" t="s">
        <v>69</v>
      </c>
      <c r="BM541" t="s">
        <v>69</v>
      </c>
      <c r="BN541">
        <v>5</v>
      </c>
      <c r="BO541" t="s">
        <v>28608</v>
      </c>
      <c r="BP541" t="s">
        <v>8573</v>
      </c>
      <c r="BQ541" t="s">
        <v>8445</v>
      </c>
      <c r="BR541" t="s">
        <v>28609</v>
      </c>
      <c r="BS541" t="s">
        <v>28610</v>
      </c>
      <c r="BT541" t="s">
        <v>69</v>
      </c>
      <c r="BU541" t="s">
        <v>69</v>
      </c>
      <c r="BV541" t="s">
        <v>69</v>
      </c>
      <c r="BW541" t="s">
        <v>69</v>
      </c>
      <c r="BX541" t="s">
        <v>8526</v>
      </c>
      <c r="BY541" t="str">
        <f>HYPERLINK("https%3A%2F%2Fwww.webofscience.com%2Fwos%2Fwoscc%2Ffull-record%2FWOS:000211085000001","View Full Record in Web of Science")</f>
        <v>View Full Record in Web of Science</v>
      </c>
    </row>
    <row r="542" spans="1:77" x14ac:dyDescent="0.3">
      <c r="A542" t="s">
        <v>8495</v>
      </c>
      <c r="B542" s="12" t="s">
        <v>32975</v>
      </c>
      <c r="F542" t="s">
        <v>67</v>
      </c>
      <c r="G542" t="s">
        <v>7764</v>
      </c>
      <c r="H542" t="s">
        <v>69</v>
      </c>
      <c r="I542" t="s">
        <v>69</v>
      </c>
      <c r="J542" t="s">
        <v>69</v>
      </c>
      <c r="K542" s="3" t="s">
        <v>7764</v>
      </c>
      <c r="L542" t="s">
        <v>69</v>
      </c>
      <c r="M542" t="s">
        <v>69</v>
      </c>
      <c r="N542" s="11" t="s">
        <v>7765</v>
      </c>
      <c r="O542" t="s">
        <v>7766</v>
      </c>
      <c r="P542" t="s">
        <v>69</v>
      </c>
      <c r="Q542" t="s">
        <v>69</v>
      </c>
      <c r="R542" t="s">
        <v>8505</v>
      </c>
      <c r="S542" t="s">
        <v>8506</v>
      </c>
      <c r="T542" t="s">
        <v>69</v>
      </c>
      <c r="U542" t="s">
        <v>69</v>
      </c>
      <c r="V542" t="s">
        <v>69</v>
      </c>
      <c r="W542" t="s">
        <v>69</v>
      </c>
      <c r="X542" t="s">
        <v>69</v>
      </c>
      <c r="Y542" t="s">
        <v>69</v>
      </c>
      <c r="Z542" t="s">
        <v>32233</v>
      </c>
      <c r="AA542" t="s">
        <v>7767</v>
      </c>
      <c r="AB542" t="s">
        <v>32234</v>
      </c>
      <c r="AC542" t="s">
        <v>69</v>
      </c>
      <c r="AD542" t="s">
        <v>69</v>
      </c>
      <c r="AE542" t="s">
        <v>69</v>
      </c>
      <c r="AF542" t="s">
        <v>7768</v>
      </c>
      <c r="AG542" t="s">
        <v>7769</v>
      </c>
      <c r="AH542" t="s">
        <v>69</v>
      </c>
      <c r="AI542" t="s">
        <v>69</v>
      </c>
      <c r="AJ542" t="s">
        <v>69</v>
      </c>
      <c r="AK542" t="s">
        <v>69</v>
      </c>
      <c r="AL542">
        <v>31</v>
      </c>
      <c r="AM542">
        <v>2</v>
      </c>
      <c r="AN542">
        <v>2</v>
      </c>
      <c r="AO542">
        <v>0</v>
      </c>
      <c r="AP542">
        <v>3</v>
      </c>
      <c r="AQ542" t="s">
        <v>32235</v>
      </c>
      <c r="AR542" t="s">
        <v>32236</v>
      </c>
      <c r="AS542" t="s">
        <v>32237</v>
      </c>
      <c r="AT542" t="s">
        <v>7770</v>
      </c>
      <c r="AU542" t="s">
        <v>69</v>
      </c>
      <c r="AV542" t="s">
        <v>69</v>
      </c>
      <c r="AW542" t="s">
        <v>32238</v>
      </c>
      <c r="AX542" t="s">
        <v>32239</v>
      </c>
      <c r="AY542" t="s">
        <v>155</v>
      </c>
      <c r="AZ542">
        <v>1997</v>
      </c>
      <c r="BA542">
        <v>22</v>
      </c>
      <c r="BB542" t="s">
        <v>7771</v>
      </c>
      <c r="BC542" t="s">
        <v>69</v>
      </c>
      <c r="BD542" t="s">
        <v>69</v>
      </c>
      <c r="BE542" t="s">
        <v>69</v>
      </c>
      <c r="BF542" t="s">
        <v>69</v>
      </c>
      <c r="BG542">
        <v>199</v>
      </c>
      <c r="BH542">
        <v>212</v>
      </c>
      <c r="BI542" t="s">
        <v>69</v>
      </c>
      <c r="BJ542" t="s">
        <v>69</v>
      </c>
      <c r="BK542" t="s">
        <v>69</v>
      </c>
      <c r="BL542" t="s">
        <v>69</v>
      </c>
      <c r="BM542" t="s">
        <v>69</v>
      </c>
      <c r="BN542">
        <v>14</v>
      </c>
      <c r="BO542" t="s">
        <v>8619</v>
      </c>
      <c r="BP542" t="s">
        <v>8548</v>
      </c>
      <c r="BQ542" t="s">
        <v>8620</v>
      </c>
      <c r="BR542" t="s">
        <v>32240</v>
      </c>
      <c r="BS542" t="s">
        <v>7772</v>
      </c>
      <c r="BT542" t="s">
        <v>69</v>
      </c>
      <c r="BU542" t="s">
        <v>69</v>
      </c>
      <c r="BV542" t="s">
        <v>69</v>
      </c>
      <c r="BW542" t="s">
        <v>69</v>
      </c>
      <c r="BX542" t="s">
        <v>8526</v>
      </c>
      <c r="BY542" t="str">
        <f>HYPERLINK("https%3A%2F%2Fwww.webofscience.com%2Fwos%2Fwoscc%2Ffull-record%2FWOS:A1997XT55200016","View Full Record in Web of Science")</f>
        <v>View Full Record in Web of Science</v>
      </c>
    </row>
    <row r="543" spans="1:77" ht="12.5" x14ac:dyDescent="0.25">
      <c r="A543" t="s">
        <v>8495</v>
      </c>
      <c r="B543" s="7" t="s">
        <v>32933</v>
      </c>
      <c r="C543" s="7"/>
      <c r="D543" s="7"/>
      <c r="E543" s="7"/>
      <c r="F543" t="s">
        <v>67</v>
      </c>
      <c r="G543" t="s">
        <v>2328</v>
      </c>
      <c r="H543" t="s">
        <v>69</v>
      </c>
      <c r="I543" t="s">
        <v>69</v>
      </c>
      <c r="J543" t="s">
        <v>69</v>
      </c>
      <c r="K543" t="s">
        <v>2329</v>
      </c>
      <c r="L543" t="s">
        <v>69</v>
      </c>
      <c r="M543" t="s">
        <v>69</v>
      </c>
      <c r="N543" t="s">
        <v>2330</v>
      </c>
      <c r="O543" t="s">
        <v>1642</v>
      </c>
      <c r="P543" t="s">
        <v>69</v>
      </c>
      <c r="Q543" t="s">
        <v>69</v>
      </c>
      <c r="R543" t="s">
        <v>8505</v>
      </c>
      <c r="S543" t="s">
        <v>8506</v>
      </c>
      <c r="T543" t="s">
        <v>69</v>
      </c>
      <c r="U543" t="s">
        <v>69</v>
      </c>
      <c r="V543" t="s">
        <v>69</v>
      </c>
      <c r="W543" t="s">
        <v>69</v>
      </c>
      <c r="X543" t="s">
        <v>69</v>
      </c>
      <c r="Y543" t="s">
        <v>18055</v>
      </c>
      <c r="Z543" t="s">
        <v>18056</v>
      </c>
      <c r="AA543" t="s">
        <v>2331</v>
      </c>
      <c r="AB543" t="s">
        <v>18057</v>
      </c>
      <c r="AC543" t="s">
        <v>69</v>
      </c>
      <c r="AD543" t="s">
        <v>18058</v>
      </c>
      <c r="AE543" t="s">
        <v>18059</v>
      </c>
      <c r="AF543" t="s">
        <v>2332</v>
      </c>
      <c r="AG543" t="s">
        <v>18060</v>
      </c>
      <c r="AH543" t="s">
        <v>18061</v>
      </c>
      <c r="AI543" t="s">
        <v>18062</v>
      </c>
      <c r="AJ543" t="s">
        <v>18063</v>
      </c>
      <c r="AK543" t="s">
        <v>69</v>
      </c>
      <c r="AL543">
        <v>42</v>
      </c>
      <c r="AM543">
        <v>10</v>
      </c>
      <c r="AN543">
        <v>10</v>
      </c>
      <c r="AO543">
        <v>4</v>
      </c>
      <c r="AP543">
        <v>24</v>
      </c>
      <c r="AQ543" t="s">
        <v>8636</v>
      </c>
      <c r="AR543" t="s">
        <v>8637</v>
      </c>
      <c r="AS543" t="s">
        <v>8638</v>
      </c>
      <c r="AT543" t="s">
        <v>1644</v>
      </c>
      <c r="AU543" t="s">
        <v>1645</v>
      </c>
      <c r="AV543" t="s">
        <v>69</v>
      </c>
      <c r="AW543" t="s">
        <v>16744</v>
      </c>
      <c r="AX543" t="s">
        <v>16745</v>
      </c>
      <c r="AY543" t="s">
        <v>75</v>
      </c>
      <c r="AZ543">
        <v>2018</v>
      </c>
      <c r="BA543">
        <v>228</v>
      </c>
      <c r="BB543" t="s">
        <v>69</v>
      </c>
      <c r="BC543" t="s">
        <v>69</v>
      </c>
      <c r="BD543" t="s">
        <v>69</v>
      </c>
      <c r="BE543" t="s">
        <v>69</v>
      </c>
      <c r="BF543" t="s">
        <v>69</v>
      </c>
      <c r="BG543">
        <v>291</v>
      </c>
      <c r="BH543">
        <v>300</v>
      </c>
      <c r="BI543" t="s">
        <v>69</v>
      </c>
      <c r="BJ543" t="s">
        <v>2333</v>
      </c>
      <c r="BK543" t="str">
        <f>HYPERLINK("http://dx.doi.org/10.1016/j.biocon.2018.10.021","http://dx.doi.org/10.1016/j.biocon.2018.10.021")</f>
        <v>http://dx.doi.org/10.1016/j.biocon.2018.10.021</v>
      </c>
      <c r="BL543" t="s">
        <v>69</v>
      </c>
      <c r="BM543" t="s">
        <v>69</v>
      </c>
      <c r="BN543">
        <v>10</v>
      </c>
      <c r="BO543" t="s">
        <v>16747</v>
      </c>
      <c r="BP543" t="s">
        <v>8548</v>
      </c>
      <c r="BQ543" t="s">
        <v>15452</v>
      </c>
      <c r="BR543" t="s">
        <v>18064</v>
      </c>
      <c r="BS543" t="s">
        <v>2334</v>
      </c>
      <c r="BT543" t="s">
        <v>69</v>
      </c>
      <c r="BU543" t="s">
        <v>69</v>
      </c>
      <c r="BV543" t="s">
        <v>69</v>
      </c>
      <c r="BW543" t="s">
        <v>69</v>
      </c>
      <c r="BX543" t="s">
        <v>8526</v>
      </c>
      <c r="BY543" t="str">
        <f>HYPERLINK("https%3A%2F%2Fwww.webofscience.com%2Fwos%2Fwoscc%2Ffull-record%2FWOS:000452815200032","View Full Record in Web of Science")</f>
        <v>View Full Record in Web of Science</v>
      </c>
    </row>
    <row r="544" spans="1:77" ht="12.5" x14ac:dyDescent="0.25">
      <c r="A544" t="s">
        <v>8495</v>
      </c>
      <c r="B544" s="7" t="s">
        <v>32933</v>
      </c>
      <c r="C544" s="7"/>
      <c r="D544" s="7"/>
      <c r="E544" s="7"/>
      <c r="F544" t="s">
        <v>67</v>
      </c>
      <c r="G544" t="s">
        <v>926</v>
      </c>
      <c r="H544" t="s">
        <v>69</v>
      </c>
      <c r="I544" t="s">
        <v>69</v>
      </c>
      <c r="J544" t="s">
        <v>69</v>
      </c>
      <c r="K544" t="s">
        <v>927</v>
      </c>
      <c r="L544" t="s">
        <v>69</v>
      </c>
      <c r="M544" t="s">
        <v>69</v>
      </c>
      <c r="N544" t="s">
        <v>928</v>
      </c>
      <c r="O544" t="s">
        <v>929</v>
      </c>
      <c r="P544" t="s">
        <v>69</v>
      </c>
      <c r="Q544" t="s">
        <v>69</v>
      </c>
      <c r="R544" t="s">
        <v>8505</v>
      </c>
      <c r="S544" t="s">
        <v>8506</v>
      </c>
      <c r="T544" t="s">
        <v>69</v>
      </c>
      <c r="U544" t="s">
        <v>69</v>
      </c>
      <c r="V544" t="s">
        <v>69</v>
      </c>
      <c r="W544" t="s">
        <v>69</v>
      </c>
      <c r="X544" t="s">
        <v>69</v>
      </c>
      <c r="Y544" t="s">
        <v>17025</v>
      </c>
      <c r="Z544" t="s">
        <v>17026</v>
      </c>
      <c r="AA544" t="s">
        <v>930</v>
      </c>
      <c r="AB544" t="s">
        <v>17027</v>
      </c>
      <c r="AC544" t="s">
        <v>69</v>
      </c>
      <c r="AD544" t="s">
        <v>17028</v>
      </c>
      <c r="AE544" t="s">
        <v>17029</v>
      </c>
      <c r="AF544" t="s">
        <v>69</v>
      </c>
      <c r="AG544" t="s">
        <v>69</v>
      </c>
      <c r="AH544" t="s">
        <v>69</v>
      </c>
      <c r="AI544" t="s">
        <v>69</v>
      </c>
      <c r="AJ544" t="s">
        <v>69</v>
      </c>
      <c r="AK544" t="s">
        <v>69</v>
      </c>
      <c r="AL544">
        <v>40</v>
      </c>
      <c r="AM544">
        <v>4</v>
      </c>
      <c r="AN544">
        <v>4</v>
      </c>
      <c r="AO544">
        <v>1</v>
      </c>
      <c r="AP544">
        <v>5</v>
      </c>
      <c r="AQ544" t="s">
        <v>8865</v>
      </c>
      <c r="AR544" t="s">
        <v>8612</v>
      </c>
      <c r="AS544" t="s">
        <v>8866</v>
      </c>
      <c r="AT544" t="s">
        <v>931</v>
      </c>
      <c r="AU544" t="s">
        <v>932</v>
      </c>
      <c r="AV544" t="s">
        <v>69</v>
      </c>
      <c r="AW544" t="s">
        <v>15975</v>
      </c>
      <c r="AX544" t="s">
        <v>15976</v>
      </c>
      <c r="AY544" t="s">
        <v>933</v>
      </c>
      <c r="AZ544">
        <v>2019</v>
      </c>
      <c r="BA544">
        <v>37</v>
      </c>
      <c r="BB544" t="s">
        <v>145</v>
      </c>
      <c r="BC544" t="s">
        <v>69</v>
      </c>
      <c r="BD544" t="s">
        <v>69</v>
      </c>
      <c r="BE544" t="s">
        <v>69</v>
      </c>
      <c r="BF544" t="s">
        <v>69</v>
      </c>
      <c r="BG544">
        <v>266</v>
      </c>
      <c r="BH544">
        <v>278</v>
      </c>
      <c r="BI544" t="s">
        <v>69</v>
      </c>
      <c r="BJ544" t="s">
        <v>934</v>
      </c>
      <c r="BK544" t="str">
        <f>HYPERLINK("http://dx.doi.org/10.1080/14615517.2019.1579989","http://dx.doi.org/10.1080/14615517.2019.1579989")</f>
        <v>http://dx.doi.org/10.1080/14615517.2019.1579989</v>
      </c>
      <c r="BL544" t="s">
        <v>69</v>
      </c>
      <c r="BM544" t="s">
        <v>69</v>
      </c>
      <c r="BN544">
        <v>13</v>
      </c>
      <c r="BO544" t="s">
        <v>8660</v>
      </c>
      <c r="BP544" t="s">
        <v>8661</v>
      </c>
      <c r="BQ544" t="s">
        <v>8662</v>
      </c>
      <c r="BR544" t="s">
        <v>17024</v>
      </c>
      <c r="BS544" t="s">
        <v>935</v>
      </c>
      <c r="BT544" t="s">
        <v>69</v>
      </c>
      <c r="BU544" t="s">
        <v>69</v>
      </c>
      <c r="BV544" t="s">
        <v>69</v>
      </c>
      <c r="BW544" t="s">
        <v>69</v>
      </c>
      <c r="BX544" t="s">
        <v>8526</v>
      </c>
      <c r="BY544" t="str">
        <f>HYPERLINK("https%3A%2F%2Fwww.webofscience.com%2Fwos%2Fwoscc%2Ffull-record%2FWOS:000476565900008","View Full Record in Web of Science")</f>
        <v>View Full Record in Web of Science</v>
      </c>
    </row>
    <row r="545" spans="1:77" ht="12.5" x14ac:dyDescent="0.25">
      <c r="A545" t="s">
        <v>8495</v>
      </c>
      <c r="B545" s="22" t="s">
        <v>32931</v>
      </c>
      <c r="C545" s="7"/>
      <c r="D545" s="7"/>
      <c r="E545" s="7"/>
      <c r="F545" t="s">
        <v>67</v>
      </c>
      <c r="G545" t="s">
        <v>8502</v>
      </c>
      <c r="H545" t="s">
        <v>69</v>
      </c>
      <c r="I545" t="s">
        <v>69</v>
      </c>
      <c r="J545" t="s">
        <v>69</v>
      </c>
      <c r="K545" t="s">
        <v>8503</v>
      </c>
      <c r="L545" t="s">
        <v>69</v>
      </c>
      <c r="M545" t="s">
        <v>69</v>
      </c>
      <c r="N545" t="s">
        <v>8504</v>
      </c>
      <c r="O545" t="s">
        <v>3592</v>
      </c>
      <c r="P545" t="s">
        <v>69</v>
      </c>
      <c r="Q545" t="s">
        <v>69</v>
      </c>
      <c r="R545" t="s">
        <v>8505</v>
      </c>
      <c r="S545" t="s">
        <v>8506</v>
      </c>
      <c r="T545" t="s">
        <v>69</v>
      </c>
      <c r="U545" t="s">
        <v>69</v>
      </c>
      <c r="V545" t="s">
        <v>69</v>
      </c>
      <c r="W545" t="s">
        <v>69</v>
      </c>
      <c r="X545" t="s">
        <v>69</v>
      </c>
      <c r="Y545" t="s">
        <v>8507</v>
      </c>
      <c r="Z545" t="s">
        <v>8508</v>
      </c>
      <c r="AA545" t="s">
        <v>8509</v>
      </c>
      <c r="AB545" t="s">
        <v>8510</v>
      </c>
      <c r="AC545" t="s">
        <v>69</v>
      </c>
      <c r="AD545" t="s">
        <v>8511</v>
      </c>
      <c r="AE545" t="s">
        <v>8512</v>
      </c>
      <c r="AF545" t="s">
        <v>69</v>
      </c>
      <c r="AG545" t="s">
        <v>69</v>
      </c>
      <c r="AH545" t="s">
        <v>8513</v>
      </c>
      <c r="AI545" t="s">
        <v>8514</v>
      </c>
      <c r="AJ545" t="s">
        <v>8515</v>
      </c>
      <c r="AK545" t="s">
        <v>69</v>
      </c>
      <c r="AL545">
        <v>65</v>
      </c>
      <c r="AM545">
        <v>0</v>
      </c>
      <c r="AN545">
        <v>0</v>
      </c>
      <c r="AO545">
        <v>0</v>
      </c>
      <c r="AP545">
        <v>0</v>
      </c>
      <c r="AQ545" t="s">
        <v>8516</v>
      </c>
      <c r="AR545" t="s">
        <v>8517</v>
      </c>
      <c r="AS545" t="s">
        <v>8518</v>
      </c>
      <c r="AT545" t="s">
        <v>3594</v>
      </c>
      <c r="AU545" t="s">
        <v>3595</v>
      </c>
      <c r="AV545" t="s">
        <v>69</v>
      </c>
      <c r="AW545" t="s">
        <v>8519</v>
      </c>
      <c r="AX545" t="s">
        <v>8520</v>
      </c>
      <c r="AY545" t="s">
        <v>381</v>
      </c>
      <c r="AZ545">
        <v>2022</v>
      </c>
      <c r="BA545">
        <v>226</v>
      </c>
      <c r="BB545" t="s">
        <v>69</v>
      </c>
      <c r="BC545" t="s">
        <v>69</v>
      </c>
      <c r="BD545" t="s">
        <v>69</v>
      </c>
      <c r="BE545" t="s">
        <v>69</v>
      </c>
      <c r="BF545" t="s">
        <v>69</v>
      </c>
      <c r="BG545" t="s">
        <v>69</v>
      </c>
      <c r="BH545" t="s">
        <v>69</v>
      </c>
      <c r="BI545">
        <v>104504</v>
      </c>
      <c r="BJ545" t="s">
        <v>8521</v>
      </c>
      <c r="BK545" t="str">
        <f>HYPERLINK("http://dx.doi.org/10.1016/j.lurbplan.2022.104504","http://dx.doi.org/10.1016/j.lurbplan.2022.104504")</f>
        <v>http://dx.doi.org/10.1016/j.lurbplan.2022.104504</v>
      </c>
      <c r="BL545" t="s">
        <v>69</v>
      </c>
      <c r="BM545" t="s">
        <v>69</v>
      </c>
      <c r="BN545">
        <v>11</v>
      </c>
      <c r="BO545" t="s">
        <v>8522</v>
      </c>
      <c r="BP545" t="s">
        <v>8523</v>
      </c>
      <c r="BQ545" t="s">
        <v>8524</v>
      </c>
      <c r="BR545" t="s">
        <v>8525</v>
      </c>
      <c r="BS545" t="s">
        <v>8527</v>
      </c>
      <c r="BT545" t="s">
        <v>69</v>
      </c>
      <c r="BU545" t="s">
        <v>69</v>
      </c>
      <c r="BV545" t="s">
        <v>69</v>
      </c>
      <c r="BW545" t="s">
        <v>69</v>
      </c>
      <c r="BX545" t="s">
        <v>8526</v>
      </c>
      <c r="BY545" t="str">
        <f>HYPERLINK("https%3A%2F%2Fwww.webofscience.com%2Fwos%2Fwoscc%2Ffull-record%2FWOS:000826304100002","View Full Record in Web of Science")</f>
        <v>View Full Record in Web of Science</v>
      </c>
    </row>
    <row r="546" spans="1:77" x14ac:dyDescent="0.3">
      <c r="A546" t="s">
        <v>8495</v>
      </c>
      <c r="B546" s="9" t="s">
        <v>32958</v>
      </c>
      <c r="C546" s="9" t="s">
        <v>33102</v>
      </c>
      <c r="D546" s="9" t="s">
        <v>8491</v>
      </c>
      <c r="E546" s="9" t="s">
        <v>8490</v>
      </c>
      <c r="F546" t="s">
        <v>67</v>
      </c>
      <c r="G546" t="s">
        <v>17308</v>
      </c>
      <c r="H546" t="s">
        <v>69</v>
      </c>
      <c r="I546" t="s">
        <v>69</v>
      </c>
      <c r="J546" t="s">
        <v>69</v>
      </c>
      <c r="K546" t="s">
        <v>17309</v>
      </c>
      <c r="L546" t="s">
        <v>69</v>
      </c>
      <c r="M546" t="s">
        <v>69</v>
      </c>
      <c r="N546" t="s">
        <v>17310</v>
      </c>
      <c r="O546" t="s">
        <v>929</v>
      </c>
      <c r="P546" t="s">
        <v>69</v>
      </c>
      <c r="Q546" t="s">
        <v>69</v>
      </c>
      <c r="R546" t="s">
        <v>8505</v>
      </c>
      <c r="S546" t="s">
        <v>8506</v>
      </c>
      <c r="T546" t="s">
        <v>69</v>
      </c>
      <c r="U546" t="s">
        <v>69</v>
      </c>
      <c r="V546" t="s">
        <v>69</v>
      </c>
      <c r="W546" t="s">
        <v>69</v>
      </c>
      <c r="X546" t="s">
        <v>69</v>
      </c>
      <c r="Y546" t="s">
        <v>17311</v>
      </c>
      <c r="Z546" t="s">
        <v>69</v>
      </c>
      <c r="AA546" t="s">
        <v>17312</v>
      </c>
      <c r="AB546" t="s">
        <v>17313</v>
      </c>
      <c r="AC546" t="s">
        <v>69</v>
      </c>
      <c r="AD546" t="s">
        <v>17314</v>
      </c>
      <c r="AE546" t="s">
        <v>17315</v>
      </c>
      <c r="AF546" t="s">
        <v>17316</v>
      </c>
      <c r="AG546" t="s">
        <v>17317</v>
      </c>
      <c r="AH546" t="s">
        <v>69</v>
      </c>
      <c r="AI546" t="s">
        <v>69</v>
      </c>
      <c r="AJ546" t="s">
        <v>69</v>
      </c>
      <c r="AK546" t="s">
        <v>69</v>
      </c>
      <c r="AL546">
        <v>25</v>
      </c>
      <c r="AM546">
        <v>6</v>
      </c>
      <c r="AN546">
        <v>5</v>
      </c>
      <c r="AO546">
        <v>2</v>
      </c>
      <c r="AP546">
        <v>14</v>
      </c>
      <c r="AQ546" t="s">
        <v>8865</v>
      </c>
      <c r="AR546" t="s">
        <v>8612</v>
      </c>
      <c r="AS546" t="s">
        <v>8866</v>
      </c>
      <c r="AT546" t="s">
        <v>931</v>
      </c>
      <c r="AU546" t="s">
        <v>932</v>
      </c>
      <c r="AV546" t="s">
        <v>69</v>
      </c>
      <c r="AW546" t="s">
        <v>15975</v>
      </c>
      <c r="AX546" t="s">
        <v>15976</v>
      </c>
      <c r="AY546" t="s">
        <v>933</v>
      </c>
      <c r="AZ546">
        <v>2019</v>
      </c>
      <c r="BA546">
        <v>37</v>
      </c>
      <c r="BB546" t="s">
        <v>145</v>
      </c>
      <c r="BC546" t="s">
        <v>69</v>
      </c>
      <c r="BD546" t="s">
        <v>69</v>
      </c>
      <c r="BE546" t="s">
        <v>69</v>
      </c>
      <c r="BF546" t="s">
        <v>69</v>
      </c>
      <c r="BG546">
        <v>279</v>
      </c>
      <c r="BH546">
        <v>291</v>
      </c>
      <c r="BI546" t="s">
        <v>69</v>
      </c>
      <c r="BJ546" t="s">
        <v>17318</v>
      </c>
      <c r="BK546" t="str">
        <f>HYPERLINK("http://dx.doi.org/10.1080/14615517.2019.1601441","http://dx.doi.org/10.1080/14615517.2019.1601441")</f>
        <v>http://dx.doi.org/10.1080/14615517.2019.1601441</v>
      </c>
      <c r="BL546" t="s">
        <v>69</v>
      </c>
      <c r="BM546" t="s">
        <v>4996</v>
      </c>
      <c r="BN546">
        <v>13</v>
      </c>
      <c r="BO546" t="s">
        <v>8660</v>
      </c>
      <c r="BP546" t="s">
        <v>8661</v>
      </c>
      <c r="BQ546" t="s">
        <v>8662</v>
      </c>
      <c r="BR546" t="s">
        <v>17024</v>
      </c>
      <c r="BS546" t="s">
        <v>17319</v>
      </c>
      <c r="BT546" t="s">
        <v>69</v>
      </c>
      <c r="BU546" t="s">
        <v>69</v>
      </c>
      <c r="BV546" t="s">
        <v>69</v>
      </c>
      <c r="BW546" t="s">
        <v>69</v>
      </c>
      <c r="BX546" t="s">
        <v>8526</v>
      </c>
      <c r="BY546" t="str">
        <f>HYPERLINK("https%3A%2F%2Fwww.webofscience.com%2Fwos%2Fwoscc%2Ffull-record%2FWOS:000465917300001","View Full Record in Web of Science")</f>
        <v>View Full Record in Web of Science</v>
      </c>
    </row>
    <row r="547" spans="1:77" ht="12.5" x14ac:dyDescent="0.25">
      <c r="A547" t="s">
        <v>8495</v>
      </c>
      <c r="B547" s="7" t="s">
        <v>32933</v>
      </c>
      <c r="C547" s="7"/>
      <c r="D547" s="7"/>
      <c r="E547" s="7"/>
      <c r="F547" t="s">
        <v>67</v>
      </c>
      <c r="G547" t="s">
        <v>2190</v>
      </c>
      <c r="H547" t="s">
        <v>69</v>
      </c>
      <c r="I547" t="s">
        <v>69</v>
      </c>
      <c r="J547" t="s">
        <v>69</v>
      </c>
      <c r="K547" t="s">
        <v>2191</v>
      </c>
      <c r="L547" t="s">
        <v>69</v>
      </c>
      <c r="M547" t="s">
        <v>69</v>
      </c>
      <c r="N547" t="s">
        <v>2192</v>
      </c>
      <c r="O547" t="s">
        <v>929</v>
      </c>
      <c r="P547" t="s">
        <v>69</v>
      </c>
      <c r="Q547" t="s">
        <v>69</v>
      </c>
      <c r="R547" t="s">
        <v>8505</v>
      </c>
      <c r="S547" t="s">
        <v>8506</v>
      </c>
      <c r="T547" t="s">
        <v>69</v>
      </c>
      <c r="U547" t="s">
        <v>69</v>
      </c>
      <c r="V547" t="s">
        <v>69</v>
      </c>
      <c r="W547" t="s">
        <v>69</v>
      </c>
      <c r="X547" t="s">
        <v>69</v>
      </c>
      <c r="Y547" t="s">
        <v>17020</v>
      </c>
      <c r="Z547" t="s">
        <v>69</v>
      </c>
      <c r="AA547" t="s">
        <v>2193</v>
      </c>
      <c r="AB547" t="s">
        <v>17021</v>
      </c>
      <c r="AC547" t="s">
        <v>69</v>
      </c>
      <c r="AD547" t="s">
        <v>17022</v>
      </c>
      <c r="AE547" t="s">
        <v>17023</v>
      </c>
      <c r="AF547" t="s">
        <v>69</v>
      </c>
      <c r="AG547" t="s">
        <v>69</v>
      </c>
      <c r="AH547" t="s">
        <v>69</v>
      </c>
      <c r="AI547" t="s">
        <v>69</v>
      </c>
      <c r="AJ547" t="s">
        <v>69</v>
      </c>
      <c r="AK547" t="s">
        <v>69</v>
      </c>
      <c r="AL547">
        <v>8</v>
      </c>
      <c r="AM547">
        <v>6</v>
      </c>
      <c r="AN547">
        <v>6</v>
      </c>
      <c r="AO547">
        <v>0</v>
      </c>
      <c r="AP547">
        <v>6</v>
      </c>
      <c r="AQ547" t="s">
        <v>8865</v>
      </c>
      <c r="AR547" t="s">
        <v>8612</v>
      </c>
      <c r="AS547" t="s">
        <v>8866</v>
      </c>
      <c r="AT547" t="s">
        <v>931</v>
      </c>
      <c r="AU547" t="s">
        <v>932</v>
      </c>
      <c r="AV547" t="s">
        <v>69</v>
      </c>
      <c r="AW547" t="s">
        <v>15975</v>
      </c>
      <c r="AX547" t="s">
        <v>15976</v>
      </c>
      <c r="AY547" t="s">
        <v>933</v>
      </c>
      <c r="AZ547">
        <v>2019</v>
      </c>
      <c r="BA547">
        <v>37</v>
      </c>
      <c r="BB547" t="s">
        <v>145</v>
      </c>
      <c r="BC547" t="s">
        <v>69</v>
      </c>
      <c r="BD547" t="s">
        <v>69</v>
      </c>
      <c r="BE547" t="s">
        <v>69</v>
      </c>
      <c r="BF547" t="s">
        <v>69</v>
      </c>
      <c r="BG547">
        <v>199</v>
      </c>
      <c r="BH547">
        <v>209</v>
      </c>
      <c r="BI547" t="s">
        <v>69</v>
      </c>
      <c r="BJ547" t="s">
        <v>2194</v>
      </c>
      <c r="BK547" t="str">
        <f>HYPERLINK("http://dx.doi.org/10.1080/14615517.2019.1578482","http://dx.doi.org/10.1080/14615517.2019.1578482")</f>
        <v>http://dx.doi.org/10.1080/14615517.2019.1578482</v>
      </c>
      <c r="BL547" t="s">
        <v>69</v>
      </c>
      <c r="BM547" t="s">
        <v>69</v>
      </c>
      <c r="BN547">
        <v>11</v>
      </c>
      <c r="BO547" t="s">
        <v>8660</v>
      </c>
      <c r="BP547" t="s">
        <v>8661</v>
      </c>
      <c r="BQ547" t="s">
        <v>8662</v>
      </c>
      <c r="BR547" t="s">
        <v>17024</v>
      </c>
      <c r="BS547" t="s">
        <v>2195</v>
      </c>
      <c r="BT547" t="s">
        <v>69</v>
      </c>
      <c r="BU547" t="s">
        <v>69</v>
      </c>
      <c r="BV547" t="s">
        <v>69</v>
      </c>
      <c r="BW547" t="s">
        <v>69</v>
      </c>
      <c r="BX547" t="s">
        <v>8526</v>
      </c>
      <c r="BY547" t="str">
        <f>HYPERLINK("https%3A%2F%2Fwww.webofscience.com%2Fwos%2Fwoscc%2Ffull-record%2FWOS:000476565900003","View Full Record in Web of Science")</f>
        <v>View Full Record in Web of Science</v>
      </c>
    </row>
    <row r="548" spans="1:77" ht="12.5" x14ac:dyDescent="0.25">
      <c r="A548" t="s">
        <v>8495</v>
      </c>
      <c r="B548" s="22" t="s">
        <v>32931</v>
      </c>
      <c r="C548" s="7"/>
      <c r="D548" s="7"/>
      <c r="E548" s="7"/>
      <c r="F548" t="s">
        <v>67</v>
      </c>
      <c r="G548" t="s">
        <v>24930</v>
      </c>
      <c r="H548" t="s">
        <v>69</v>
      </c>
      <c r="I548" t="s">
        <v>69</v>
      </c>
      <c r="J548" t="s">
        <v>69</v>
      </c>
      <c r="K548" t="s">
        <v>24931</v>
      </c>
      <c r="L548" t="s">
        <v>69</v>
      </c>
      <c r="M548" t="s">
        <v>69</v>
      </c>
      <c r="N548" t="s">
        <v>24932</v>
      </c>
      <c r="O548" t="s">
        <v>12317</v>
      </c>
      <c r="P548" t="s">
        <v>69</v>
      </c>
      <c r="Q548" t="s">
        <v>69</v>
      </c>
      <c r="R548" t="s">
        <v>8505</v>
      </c>
      <c r="S548" t="s">
        <v>8506</v>
      </c>
      <c r="T548" t="s">
        <v>69</v>
      </c>
      <c r="U548" t="s">
        <v>69</v>
      </c>
      <c r="V548" t="s">
        <v>69</v>
      </c>
      <c r="W548" t="s">
        <v>69</v>
      </c>
      <c r="X548" t="s">
        <v>69</v>
      </c>
      <c r="Y548" t="s">
        <v>24933</v>
      </c>
      <c r="Z548" t="s">
        <v>24934</v>
      </c>
      <c r="AA548" t="s">
        <v>24935</v>
      </c>
      <c r="AB548" t="s">
        <v>24936</v>
      </c>
      <c r="AC548" t="s">
        <v>69</v>
      </c>
      <c r="AD548" t="s">
        <v>24937</v>
      </c>
      <c r="AE548" t="s">
        <v>24938</v>
      </c>
      <c r="AF548" t="s">
        <v>24939</v>
      </c>
      <c r="AG548" t="s">
        <v>24940</v>
      </c>
      <c r="AH548" t="s">
        <v>24941</v>
      </c>
      <c r="AI548" t="s">
        <v>24941</v>
      </c>
      <c r="AJ548" t="s">
        <v>24942</v>
      </c>
      <c r="AK548" t="s">
        <v>69</v>
      </c>
      <c r="AL548">
        <v>46</v>
      </c>
      <c r="AM548">
        <v>12</v>
      </c>
      <c r="AN548">
        <v>12</v>
      </c>
      <c r="AO548">
        <v>1</v>
      </c>
      <c r="AP548">
        <v>31</v>
      </c>
      <c r="AQ548" t="s">
        <v>9203</v>
      </c>
      <c r="AR548" t="s">
        <v>8763</v>
      </c>
      <c r="AS548" t="s">
        <v>9204</v>
      </c>
      <c r="AT548" t="s">
        <v>12325</v>
      </c>
      <c r="AU548" t="s">
        <v>69</v>
      </c>
      <c r="AV548" t="s">
        <v>69</v>
      </c>
      <c r="AW548" t="s">
        <v>12326</v>
      </c>
      <c r="AX548" t="s">
        <v>12327</v>
      </c>
      <c r="AY548" t="s">
        <v>7041</v>
      </c>
      <c r="AZ548">
        <v>2013</v>
      </c>
      <c r="BA548">
        <v>13</v>
      </c>
      <c r="BB548" t="s">
        <v>69</v>
      </c>
      <c r="BC548" t="s">
        <v>69</v>
      </c>
      <c r="BD548" t="s">
        <v>69</v>
      </c>
      <c r="BE548" t="s">
        <v>69</v>
      </c>
      <c r="BF548" t="s">
        <v>69</v>
      </c>
      <c r="BG548" t="s">
        <v>69</v>
      </c>
      <c r="BH548" t="s">
        <v>69</v>
      </c>
      <c r="BI548">
        <v>226</v>
      </c>
      <c r="BJ548" t="s">
        <v>24943</v>
      </c>
      <c r="BK548" t="str">
        <f>HYPERLINK("http://dx.doi.org/10.1186/1472-6963-13-226","http://dx.doi.org/10.1186/1472-6963-13-226")</f>
        <v>http://dx.doi.org/10.1186/1472-6963-13-226</v>
      </c>
      <c r="BL548" t="s">
        <v>69</v>
      </c>
      <c r="BM548" t="s">
        <v>69</v>
      </c>
      <c r="BN548">
        <v>11</v>
      </c>
      <c r="BO548" t="s">
        <v>9209</v>
      </c>
      <c r="BP548" t="s">
        <v>8523</v>
      </c>
      <c r="BQ548" t="s">
        <v>9209</v>
      </c>
      <c r="BR548" t="s">
        <v>24944</v>
      </c>
      <c r="BS548" t="s">
        <v>24945</v>
      </c>
      <c r="BT548">
        <v>23800253</v>
      </c>
      <c r="BU548" t="s">
        <v>9352</v>
      </c>
      <c r="BV548" t="s">
        <v>69</v>
      </c>
      <c r="BW548" t="s">
        <v>69</v>
      </c>
      <c r="BX548" t="s">
        <v>8526</v>
      </c>
      <c r="BY548" t="str">
        <f>HYPERLINK("https%3A%2F%2Fwww.webofscience.com%2Fwos%2Fwoscc%2Ffull-record%2FWOS:000321665600001","View Full Record in Web of Science")</f>
        <v>View Full Record in Web of Science</v>
      </c>
    </row>
    <row r="549" spans="1:77" ht="12.5" x14ac:dyDescent="0.25">
      <c r="A549" t="s">
        <v>8495</v>
      </c>
      <c r="B549" s="22" t="s">
        <v>32931</v>
      </c>
      <c r="C549" s="7"/>
      <c r="D549" s="7"/>
      <c r="E549" s="7"/>
      <c r="F549" t="s">
        <v>67</v>
      </c>
      <c r="G549" t="s">
        <v>29993</v>
      </c>
      <c r="H549" t="s">
        <v>69</v>
      </c>
      <c r="I549" t="s">
        <v>69</v>
      </c>
      <c r="J549" t="s">
        <v>69</v>
      </c>
      <c r="K549" t="s">
        <v>29994</v>
      </c>
      <c r="L549" t="s">
        <v>69</v>
      </c>
      <c r="M549" t="s">
        <v>69</v>
      </c>
      <c r="N549" t="s">
        <v>29995</v>
      </c>
      <c r="O549" t="s">
        <v>29996</v>
      </c>
      <c r="P549" t="s">
        <v>69</v>
      </c>
      <c r="Q549" t="s">
        <v>69</v>
      </c>
      <c r="R549" t="s">
        <v>25721</v>
      </c>
      <c r="S549" t="s">
        <v>8506</v>
      </c>
      <c r="T549" t="s">
        <v>69</v>
      </c>
      <c r="U549" t="s">
        <v>69</v>
      </c>
      <c r="V549" t="s">
        <v>69</v>
      </c>
      <c r="W549" t="s">
        <v>69</v>
      </c>
      <c r="X549" t="s">
        <v>69</v>
      </c>
      <c r="Y549" t="s">
        <v>29997</v>
      </c>
      <c r="Z549" t="s">
        <v>69</v>
      </c>
      <c r="AA549" t="s">
        <v>29998</v>
      </c>
      <c r="AB549" t="s">
        <v>29999</v>
      </c>
      <c r="AC549" t="s">
        <v>69</v>
      </c>
      <c r="AD549" t="s">
        <v>30000</v>
      </c>
      <c r="AE549" t="s">
        <v>69</v>
      </c>
      <c r="AF549" t="s">
        <v>69</v>
      </c>
      <c r="AG549" t="s">
        <v>69</v>
      </c>
      <c r="AH549" t="s">
        <v>69</v>
      </c>
      <c r="AI549" t="s">
        <v>69</v>
      </c>
      <c r="AJ549" t="s">
        <v>69</v>
      </c>
      <c r="AK549" t="s">
        <v>69</v>
      </c>
      <c r="AL549">
        <v>19</v>
      </c>
      <c r="AM549">
        <v>0</v>
      </c>
      <c r="AN549">
        <v>0</v>
      </c>
      <c r="AO549">
        <v>1</v>
      </c>
      <c r="AP549">
        <v>1</v>
      </c>
      <c r="AQ549" t="s">
        <v>30001</v>
      </c>
      <c r="AR549" t="s">
        <v>14458</v>
      </c>
      <c r="AS549" t="s">
        <v>30002</v>
      </c>
      <c r="AT549" t="s">
        <v>30003</v>
      </c>
      <c r="AU549" t="s">
        <v>30004</v>
      </c>
      <c r="AV549" t="s">
        <v>69</v>
      </c>
      <c r="AW549" t="s">
        <v>30005</v>
      </c>
      <c r="AX549" t="s">
        <v>30006</v>
      </c>
      <c r="AY549" t="s">
        <v>69</v>
      </c>
      <c r="AZ549">
        <v>2007</v>
      </c>
      <c r="BA549">
        <v>10</v>
      </c>
      <c r="BB549">
        <v>4</v>
      </c>
      <c r="BC549" t="s">
        <v>69</v>
      </c>
      <c r="BD549" t="s">
        <v>69</v>
      </c>
      <c r="BE549" t="s">
        <v>69</v>
      </c>
      <c r="BF549" t="s">
        <v>69</v>
      </c>
      <c r="BG549">
        <v>441</v>
      </c>
      <c r="BH549">
        <v>449</v>
      </c>
      <c r="BI549" t="s">
        <v>69</v>
      </c>
      <c r="BJ549" t="s">
        <v>30007</v>
      </c>
      <c r="BK549" t="str">
        <f>HYPERLINK("http://dx.doi.org/10.2339/2007.10.4.441-449","http://dx.doi.org/10.2339/2007.10.4.441-449")</f>
        <v>http://dx.doi.org/10.2339/2007.10.4.441-449</v>
      </c>
      <c r="BL549" t="s">
        <v>69</v>
      </c>
      <c r="BM549" t="s">
        <v>69</v>
      </c>
      <c r="BN549">
        <v>9</v>
      </c>
      <c r="BO549" t="s">
        <v>9891</v>
      </c>
      <c r="BP549" t="s">
        <v>8573</v>
      </c>
      <c r="BQ549" t="s">
        <v>8445</v>
      </c>
      <c r="BR549" t="s">
        <v>30008</v>
      </c>
      <c r="BS549" t="s">
        <v>30009</v>
      </c>
      <c r="BT549" t="s">
        <v>69</v>
      </c>
      <c r="BU549" t="s">
        <v>69</v>
      </c>
      <c r="BV549" t="s">
        <v>69</v>
      </c>
      <c r="BW549" t="s">
        <v>69</v>
      </c>
      <c r="BX549" t="s">
        <v>8526</v>
      </c>
      <c r="BY549" t="str">
        <f>HYPERLINK("https%3A%2F%2Fwww.webofscience.com%2Fwos%2Fwoscc%2Ffull-record%2FWOS:000447783600014","View Full Record in Web of Science")</f>
        <v>View Full Record in Web of Science</v>
      </c>
    </row>
    <row r="550" spans="1:77" ht="12.5" x14ac:dyDescent="0.25">
      <c r="A550" t="s">
        <v>8495</v>
      </c>
      <c r="B550" s="7" t="s">
        <v>32933</v>
      </c>
      <c r="C550" s="7"/>
      <c r="D550" s="7"/>
      <c r="E550" s="7"/>
      <c r="F550" t="s">
        <v>67</v>
      </c>
      <c r="G550" t="s">
        <v>2593</v>
      </c>
      <c r="H550" t="s">
        <v>69</v>
      </c>
      <c r="I550" t="s">
        <v>69</v>
      </c>
      <c r="J550" t="s">
        <v>69</v>
      </c>
      <c r="K550" t="s">
        <v>2594</v>
      </c>
      <c r="L550" t="s">
        <v>69</v>
      </c>
      <c r="M550" t="s">
        <v>69</v>
      </c>
      <c r="N550" t="s">
        <v>2595</v>
      </c>
      <c r="O550" t="s">
        <v>2596</v>
      </c>
      <c r="P550" t="s">
        <v>69</v>
      </c>
      <c r="Q550" t="s">
        <v>69</v>
      </c>
      <c r="R550" t="s">
        <v>8505</v>
      </c>
      <c r="S550" t="s">
        <v>8506</v>
      </c>
      <c r="T550" t="s">
        <v>69</v>
      </c>
      <c r="U550" t="s">
        <v>69</v>
      </c>
      <c r="V550" t="s">
        <v>69</v>
      </c>
      <c r="W550" t="s">
        <v>69</v>
      </c>
      <c r="X550" t="s">
        <v>69</v>
      </c>
      <c r="Y550" t="s">
        <v>20317</v>
      </c>
      <c r="Z550" t="s">
        <v>20318</v>
      </c>
      <c r="AA550" t="s">
        <v>2597</v>
      </c>
      <c r="AB550" t="s">
        <v>20319</v>
      </c>
      <c r="AC550" t="s">
        <v>69</v>
      </c>
      <c r="AD550" t="s">
        <v>20320</v>
      </c>
      <c r="AE550" t="s">
        <v>20321</v>
      </c>
      <c r="AF550" t="s">
        <v>2598</v>
      </c>
      <c r="AG550" t="s">
        <v>2599</v>
      </c>
      <c r="AH550" t="s">
        <v>69</v>
      </c>
      <c r="AI550" t="s">
        <v>69</v>
      </c>
      <c r="AJ550" t="s">
        <v>69</v>
      </c>
      <c r="AK550" t="s">
        <v>69</v>
      </c>
      <c r="AL550">
        <v>83</v>
      </c>
      <c r="AM550">
        <v>21</v>
      </c>
      <c r="AN550">
        <v>21</v>
      </c>
      <c r="AO550">
        <v>1</v>
      </c>
      <c r="AP550">
        <v>25</v>
      </c>
      <c r="AQ550" t="s">
        <v>8611</v>
      </c>
      <c r="AR550" t="s">
        <v>8612</v>
      </c>
      <c r="AS550" t="s">
        <v>8613</v>
      </c>
      <c r="AT550" t="s">
        <v>2600</v>
      </c>
      <c r="AU550" t="s">
        <v>2601</v>
      </c>
      <c r="AV550" t="s">
        <v>69</v>
      </c>
      <c r="AW550" t="s">
        <v>20322</v>
      </c>
      <c r="AX550" t="s">
        <v>20323</v>
      </c>
      <c r="AY550" t="s">
        <v>155</v>
      </c>
      <c r="AZ550">
        <v>2017</v>
      </c>
      <c r="BA550">
        <v>41</v>
      </c>
      <c r="BB550">
        <v>2</v>
      </c>
      <c r="BC550" t="s">
        <v>69</v>
      </c>
      <c r="BD550" t="s">
        <v>69</v>
      </c>
      <c r="BE550" t="s">
        <v>69</v>
      </c>
      <c r="BF550" t="s">
        <v>69</v>
      </c>
      <c r="BG550">
        <v>77</v>
      </c>
      <c r="BH550">
        <v>95</v>
      </c>
      <c r="BI550" t="s">
        <v>69</v>
      </c>
      <c r="BJ550" t="s">
        <v>2602</v>
      </c>
      <c r="BK550" t="str">
        <f>HYPERLINK("http://dx.doi.org/10.1016/j.accfor.2017.01.002","http://dx.doi.org/10.1016/j.accfor.2017.01.002")</f>
        <v>http://dx.doi.org/10.1016/j.accfor.2017.01.002</v>
      </c>
      <c r="BL550" t="s">
        <v>69</v>
      </c>
      <c r="BM550" t="s">
        <v>69</v>
      </c>
      <c r="BN550">
        <v>19</v>
      </c>
      <c r="BO550" t="s">
        <v>9749</v>
      </c>
      <c r="BP550" t="s">
        <v>8661</v>
      </c>
      <c r="BQ550" t="s">
        <v>8594</v>
      </c>
      <c r="BR550" t="s">
        <v>20324</v>
      </c>
      <c r="BS550" t="s">
        <v>2603</v>
      </c>
      <c r="BT550" t="s">
        <v>69</v>
      </c>
      <c r="BU550" t="s">
        <v>69</v>
      </c>
      <c r="BV550" t="s">
        <v>69</v>
      </c>
      <c r="BW550" t="s">
        <v>69</v>
      </c>
      <c r="BX550" t="s">
        <v>8526</v>
      </c>
      <c r="BY550" t="str">
        <f>HYPERLINK("https%3A%2F%2Fwww.webofscience.com%2Fwos%2Fwoscc%2Ffull-record%2FWOS:000403269500002","View Full Record in Web of Science")</f>
        <v>View Full Record in Web of Science</v>
      </c>
    </row>
    <row r="551" spans="1:77" x14ac:dyDescent="0.3">
      <c r="A551" t="s">
        <v>8495</v>
      </c>
      <c r="B551" s="9" t="s">
        <v>32954</v>
      </c>
      <c r="C551" s="9" t="s">
        <v>33101</v>
      </c>
      <c r="D551" s="9" t="s">
        <v>8491</v>
      </c>
      <c r="E551" s="9" t="s">
        <v>8490</v>
      </c>
      <c r="F551" t="s">
        <v>67</v>
      </c>
      <c r="G551" t="s">
        <v>24055</v>
      </c>
      <c r="H551" t="s">
        <v>69</v>
      </c>
      <c r="I551" t="s">
        <v>69</v>
      </c>
      <c r="J551" t="s">
        <v>69</v>
      </c>
      <c r="K551" t="s">
        <v>24056</v>
      </c>
      <c r="L551" t="s">
        <v>69</v>
      </c>
      <c r="M551" t="s">
        <v>69</v>
      </c>
      <c r="N551" t="s">
        <v>24057</v>
      </c>
      <c r="O551" t="s">
        <v>4552</v>
      </c>
      <c r="P551" t="s">
        <v>69</v>
      </c>
      <c r="Q551" t="s">
        <v>69</v>
      </c>
      <c r="R551" t="s">
        <v>8505</v>
      </c>
      <c r="S551" t="s">
        <v>8506</v>
      </c>
      <c r="T551" t="s">
        <v>69</v>
      </c>
      <c r="U551" t="s">
        <v>69</v>
      </c>
      <c r="V551" t="s">
        <v>69</v>
      </c>
      <c r="W551" t="s">
        <v>69</v>
      </c>
      <c r="X551" t="s">
        <v>69</v>
      </c>
      <c r="Y551" t="s">
        <v>24058</v>
      </c>
      <c r="Z551" t="s">
        <v>24059</v>
      </c>
      <c r="AA551" t="s">
        <v>24060</v>
      </c>
      <c r="AB551" t="s">
        <v>24061</v>
      </c>
      <c r="AC551" t="s">
        <v>69</v>
      </c>
      <c r="AD551" t="s">
        <v>24062</v>
      </c>
      <c r="AE551" t="s">
        <v>24063</v>
      </c>
      <c r="AF551" t="s">
        <v>24064</v>
      </c>
      <c r="AG551" t="s">
        <v>24065</v>
      </c>
      <c r="AH551" t="s">
        <v>69</v>
      </c>
      <c r="AI551" t="s">
        <v>69</v>
      </c>
      <c r="AJ551" t="s">
        <v>69</v>
      </c>
      <c r="AK551" t="s">
        <v>69</v>
      </c>
      <c r="AL551">
        <v>46</v>
      </c>
      <c r="AM551">
        <v>4</v>
      </c>
      <c r="AN551">
        <v>5</v>
      </c>
      <c r="AO551">
        <v>0</v>
      </c>
      <c r="AP551">
        <v>13</v>
      </c>
      <c r="AQ551" t="s">
        <v>9091</v>
      </c>
      <c r="AR551" t="s">
        <v>8763</v>
      </c>
      <c r="AS551" t="s">
        <v>15468</v>
      </c>
      <c r="AT551" t="s">
        <v>4556</v>
      </c>
      <c r="AU551" t="s">
        <v>69</v>
      </c>
      <c r="AV551" t="s">
        <v>69</v>
      </c>
      <c r="AW551" t="s">
        <v>4552</v>
      </c>
      <c r="AX551" t="s">
        <v>9094</v>
      </c>
      <c r="AY551" t="s">
        <v>69</v>
      </c>
      <c r="AZ551">
        <v>2014</v>
      </c>
      <c r="BA551">
        <v>16</v>
      </c>
      <c r="BB551">
        <v>1</v>
      </c>
      <c r="BC551" t="s">
        <v>69</v>
      </c>
      <c r="BD551" t="s">
        <v>69</v>
      </c>
      <c r="BE551" t="s">
        <v>69</v>
      </c>
      <c r="BF551" t="s">
        <v>69</v>
      </c>
      <c r="BG551">
        <v>62</v>
      </c>
      <c r="BH551">
        <v>78</v>
      </c>
      <c r="BI551" t="s">
        <v>69</v>
      </c>
      <c r="BJ551" t="s">
        <v>24066</v>
      </c>
      <c r="BK551" t="str">
        <f>HYPERLINK("http://dx.doi.org/10.2166/wp.2013.135","http://dx.doi.org/10.2166/wp.2013.135")</f>
        <v>http://dx.doi.org/10.2166/wp.2013.135</v>
      </c>
      <c r="BL551" t="s">
        <v>69</v>
      </c>
      <c r="BM551" t="s">
        <v>69</v>
      </c>
      <c r="BN551">
        <v>17</v>
      </c>
      <c r="BO551" t="s">
        <v>9096</v>
      </c>
      <c r="BP551" t="s">
        <v>8523</v>
      </c>
      <c r="BQ551" t="s">
        <v>9096</v>
      </c>
      <c r="BR551" t="s">
        <v>24067</v>
      </c>
      <c r="BS551" t="s">
        <v>24068</v>
      </c>
      <c r="BT551" t="s">
        <v>69</v>
      </c>
      <c r="BU551" t="s">
        <v>69</v>
      </c>
      <c r="BV551" t="s">
        <v>69</v>
      </c>
      <c r="BW551" t="s">
        <v>69</v>
      </c>
      <c r="BX551" t="s">
        <v>8526</v>
      </c>
      <c r="BY551" t="str">
        <f>HYPERLINK("https%3A%2F%2Fwww.webofscience.com%2Fwos%2Fwoscc%2Ffull-record%2FWOS:000334505400004","View Full Record in Web of Science")</f>
        <v>View Full Record in Web of Science</v>
      </c>
    </row>
    <row r="552" spans="1:77" ht="12.5" x14ac:dyDescent="0.25">
      <c r="A552" t="s">
        <v>8495</v>
      </c>
      <c r="B552" s="7" t="s">
        <v>32933</v>
      </c>
      <c r="C552" s="7"/>
      <c r="D552" s="7"/>
      <c r="E552" s="7"/>
      <c r="F552" t="s">
        <v>67</v>
      </c>
      <c r="G552" t="s">
        <v>6481</v>
      </c>
      <c r="H552" t="s">
        <v>69</v>
      </c>
      <c r="I552" t="s">
        <v>69</v>
      </c>
      <c r="J552" t="s">
        <v>69</v>
      </c>
      <c r="K552" t="s">
        <v>6482</v>
      </c>
      <c r="L552" t="s">
        <v>69</v>
      </c>
      <c r="M552" t="s">
        <v>69</v>
      </c>
      <c r="N552" t="s">
        <v>6483</v>
      </c>
      <c r="O552" t="s">
        <v>6484</v>
      </c>
      <c r="P552" t="s">
        <v>69</v>
      </c>
      <c r="Q552" t="s">
        <v>69</v>
      </c>
      <c r="R552" t="s">
        <v>8505</v>
      </c>
      <c r="S552" t="s">
        <v>8506</v>
      </c>
      <c r="T552" t="s">
        <v>69</v>
      </c>
      <c r="U552" t="s">
        <v>69</v>
      </c>
      <c r="V552" t="s">
        <v>69</v>
      </c>
      <c r="W552" t="s">
        <v>69</v>
      </c>
      <c r="X552" t="s">
        <v>69</v>
      </c>
      <c r="Y552" t="s">
        <v>17588</v>
      </c>
      <c r="Z552" t="s">
        <v>17589</v>
      </c>
      <c r="AA552" t="s">
        <v>6485</v>
      </c>
      <c r="AB552" t="s">
        <v>17590</v>
      </c>
      <c r="AC552" t="s">
        <v>69</v>
      </c>
      <c r="AD552" t="s">
        <v>17591</v>
      </c>
      <c r="AE552" t="s">
        <v>17592</v>
      </c>
      <c r="AF552" t="s">
        <v>17593</v>
      </c>
      <c r="AG552" t="s">
        <v>17594</v>
      </c>
      <c r="AH552" t="s">
        <v>17595</v>
      </c>
      <c r="AI552" t="s">
        <v>17596</v>
      </c>
      <c r="AJ552" t="s">
        <v>17597</v>
      </c>
      <c r="AK552" t="s">
        <v>69</v>
      </c>
      <c r="AL552">
        <v>103</v>
      </c>
      <c r="AM552">
        <v>18</v>
      </c>
      <c r="AN552">
        <v>18</v>
      </c>
      <c r="AO552">
        <v>8</v>
      </c>
      <c r="AP552">
        <v>81</v>
      </c>
      <c r="AQ552" t="s">
        <v>8586</v>
      </c>
      <c r="AR552" t="s">
        <v>8587</v>
      </c>
      <c r="AS552" t="s">
        <v>8588</v>
      </c>
      <c r="AT552" t="s">
        <v>6486</v>
      </c>
      <c r="AU552" t="s">
        <v>6487</v>
      </c>
      <c r="AV552" t="s">
        <v>69</v>
      </c>
      <c r="AW552" t="s">
        <v>17598</v>
      </c>
      <c r="AX552" t="s">
        <v>17599</v>
      </c>
      <c r="AY552" t="s">
        <v>6488</v>
      </c>
      <c r="AZ552">
        <v>2019</v>
      </c>
      <c r="BA552">
        <v>39</v>
      </c>
      <c r="BB552">
        <v>1</v>
      </c>
      <c r="BC552" t="s">
        <v>69</v>
      </c>
      <c r="BD552" t="s">
        <v>69</v>
      </c>
      <c r="BE552" t="s">
        <v>69</v>
      </c>
      <c r="BF552" t="s">
        <v>69</v>
      </c>
      <c r="BG552">
        <v>138</v>
      </c>
      <c r="BH552">
        <v>163</v>
      </c>
      <c r="BI552" t="s">
        <v>69</v>
      </c>
      <c r="BJ552" t="s">
        <v>6489</v>
      </c>
      <c r="BK552" t="str">
        <f>HYPERLINK("http://dx.doi.org/10.1108/IJOPM-11-2017-0695","http://dx.doi.org/10.1108/IJOPM-11-2017-0695")</f>
        <v>http://dx.doi.org/10.1108/IJOPM-11-2017-0695</v>
      </c>
      <c r="BL552" t="s">
        <v>69</v>
      </c>
      <c r="BM552" t="s">
        <v>69</v>
      </c>
      <c r="BN552">
        <v>26</v>
      </c>
      <c r="BO552" t="s">
        <v>9410</v>
      </c>
      <c r="BP552" t="s">
        <v>8661</v>
      </c>
      <c r="BQ552" t="s">
        <v>8594</v>
      </c>
      <c r="BR552" t="s">
        <v>17600</v>
      </c>
      <c r="BS552" t="s">
        <v>6490</v>
      </c>
      <c r="BT552" t="s">
        <v>69</v>
      </c>
      <c r="BU552" t="s">
        <v>69</v>
      </c>
      <c r="BV552" t="s">
        <v>69</v>
      </c>
      <c r="BW552" t="s">
        <v>69</v>
      </c>
      <c r="BX552" t="s">
        <v>8526</v>
      </c>
      <c r="BY552" t="str">
        <f>HYPERLINK("https%3A%2F%2Fwww.webofscience.com%2Fwos%2Fwoscc%2Ffull-record%2FWOS:000453288300007","View Full Record in Web of Science")</f>
        <v>View Full Record in Web of Science</v>
      </c>
    </row>
    <row r="553" spans="1:77" ht="12.5" x14ac:dyDescent="0.25">
      <c r="A553" t="s">
        <v>8495</v>
      </c>
      <c r="B553" s="7" t="s">
        <v>32933</v>
      </c>
      <c r="C553" s="7"/>
      <c r="D553" s="7"/>
      <c r="E553" s="7"/>
      <c r="F553" t="s">
        <v>67</v>
      </c>
      <c r="G553" t="s">
        <v>6792</v>
      </c>
      <c r="H553" t="s">
        <v>69</v>
      </c>
      <c r="I553" t="s">
        <v>69</v>
      </c>
      <c r="J553" t="s">
        <v>69</v>
      </c>
      <c r="K553" t="s">
        <v>6793</v>
      </c>
      <c r="L553" t="s">
        <v>69</v>
      </c>
      <c r="M553" t="s">
        <v>69</v>
      </c>
      <c r="N553" t="s">
        <v>6794</v>
      </c>
      <c r="O553" t="s">
        <v>3088</v>
      </c>
      <c r="P553" t="s">
        <v>69</v>
      </c>
      <c r="Q553" t="s">
        <v>69</v>
      </c>
      <c r="R553" t="s">
        <v>8505</v>
      </c>
      <c r="S553" t="s">
        <v>8506</v>
      </c>
      <c r="T553" t="s">
        <v>69</v>
      </c>
      <c r="U553" t="s">
        <v>69</v>
      </c>
      <c r="V553" t="s">
        <v>69</v>
      </c>
      <c r="W553" t="s">
        <v>69</v>
      </c>
      <c r="X553" t="s">
        <v>69</v>
      </c>
      <c r="Y553" t="s">
        <v>28102</v>
      </c>
      <c r="Z553" t="s">
        <v>11306</v>
      </c>
      <c r="AA553" t="s">
        <v>6795</v>
      </c>
      <c r="AB553" t="s">
        <v>28103</v>
      </c>
      <c r="AC553" t="s">
        <v>69</v>
      </c>
      <c r="AD553" t="s">
        <v>28104</v>
      </c>
      <c r="AE553" t="s">
        <v>28105</v>
      </c>
      <c r="AF553" t="s">
        <v>69</v>
      </c>
      <c r="AG553" t="s">
        <v>69</v>
      </c>
      <c r="AH553" t="s">
        <v>69</v>
      </c>
      <c r="AI553" t="s">
        <v>69</v>
      </c>
      <c r="AJ553" t="s">
        <v>69</v>
      </c>
      <c r="AK553" t="s">
        <v>69</v>
      </c>
      <c r="AL553">
        <v>61</v>
      </c>
      <c r="AM553">
        <v>13</v>
      </c>
      <c r="AN553">
        <v>13</v>
      </c>
      <c r="AO553">
        <v>2</v>
      </c>
      <c r="AP553">
        <v>80</v>
      </c>
      <c r="AQ553" t="s">
        <v>22996</v>
      </c>
      <c r="AR553" t="s">
        <v>22997</v>
      </c>
      <c r="AS553" t="s">
        <v>22998</v>
      </c>
      <c r="AT553" t="s">
        <v>3090</v>
      </c>
      <c r="AU553" t="s">
        <v>3091</v>
      </c>
      <c r="AV553" t="s">
        <v>69</v>
      </c>
      <c r="AW553" t="s">
        <v>22999</v>
      </c>
      <c r="AX553" t="s">
        <v>23000</v>
      </c>
      <c r="AY553" t="s">
        <v>69</v>
      </c>
      <c r="AZ553">
        <v>2010</v>
      </c>
      <c r="BA553">
        <v>21</v>
      </c>
      <c r="BB553">
        <v>1</v>
      </c>
      <c r="BC553" t="s">
        <v>69</v>
      </c>
      <c r="BD553" t="s">
        <v>69</v>
      </c>
      <c r="BE553" t="s">
        <v>69</v>
      </c>
      <c r="BF553" t="s">
        <v>69</v>
      </c>
      <c r="BG553">
        <v>99</v>
      </c>
      <c r="BH553">
        <v>110</v>
      </c>
      <c r="BI553" t="s">
        <v>69</v>
      </c>
      <c r="BJ553" t="s">
        <v>69</v>
      </c>
      <c r="BK553" t="s">
        <v>69</v>
      </c>
      <c r="BL553" t="s">
        <v>69</v>
      </c>
      <c r="BM553" t="s">
        <v>69</v>
      </c>
      <c r="BN553">
        <v>12</v>
      </c>
      <c r="BO553" t="s">
        <v>9726</v>
      </c>
      <c r="BP553" t="s">
        <v>8661</v>
      </c>
      <c r="BQ553" t="s">
        <v>8594</v>
      </c>
      <c r="BR553" t="s">
        <v>28106</v>
      </c>
      <c r="BS553" t="s">
        <v>6796</v>
      </c>
      <c r="BT553" t="s">
        <v>69</v>
      </c>
      <c r="BU553" t="s">
        <v>69</v>
      </c>
      <c r="BV553" t="s">
        <v>69</v>
      </c>
      <c r="BW553" t="s">
        <v>69</v>
      </c>
      <c r="BX553" t="s">
        <v>8526</v>
      </c>
      <c r="BY553" t="str">
        <f>HYPERLINK("https%3A%2F%2Fwww.webofscience.com%2Fwos%2Fwoscc%2Ffull-record%2FWOS:000275918300011","View Full Record in Web of Science")</f>
        <v>View Full Record in Web of Science</v>
      </c>
    </row>
    <row r="554" spans="1:77" ht="12.5" x14ac:dyDescent="0.25">
      <c r="A554" t="s">
        <v>8495</v>
      </c>
      <c r="B554" s="7" t="s">
        <v>32933</v>
      </c>
      <c r="C554" s="7"/>
      <c r="D554" s="7"/>
      <c r="E554" s="7"/>
      <c r="F554" t="s">
        <v>67</v>
      </c>
      <c r="G554" t="s">
        <v>4533</v>
      </c>
      <c r="H554" t="s">
        <v>69</v>
      </c>
      <c r="I554" t="s">
        <v>69</v>
      </c>
      <c r="J554" t="s">
        <v>69</v>
      </c>
      <c r="K554" t="s">
        <v>4533</v>
      </c>
      <c r="L554" t="s">
        <v>69</v>
      </c>
      <c r="M554" t="s">
        <v>69</v>
      </c>
      <c r="N554" t="s">
        <v>4534</v>
      </c>
      <c r="O554" t="s">
        <v>100</v>
      </c>
      <c r="P554" t="s">
        <v>69</v>
      </c>
      <c r="Q554" t="s">
        <v>69</v>
      </c>
      <c r="R554" t="s">
        <v>8505</v>
      </c>
      <c r="S554" t="s">
        <v>15797</v>
      </c>
      <c r="T554" t="s">
        <v>4535</v>
      </c>
      <c r="U554" t="s">
        <v>4536</v>
      </c>
      <c r="V554" t="s">
        <v>4537</v>
      </c>
      <c r="W554" t="s">
        <v>69</v>
      </c>
      <c r="X554" t="s">
        <v>69</v>
      </c>
      <c r="Y554" t="s">
        <v>31014</v>
      </c>
      <c r="Z554" t="s">
        <v>69</v>
      </c>
      <c r="AA554" t="s">
        <v>4538</v>
      </c>
      <c r="AB554" t="s">
        <v>31015</v>
      </c>
      <c r="AC554" t="s">
        <v>69</v>
      </c>
      <c r="AD554" t="s">
        <v>31016</v>
      </c>
      <c r="AE554" t="s">
        <v>31017</v>
      </c>
      <c r="AF554" t="s">
        <v>69</v>
      </c>
      <c r="AG554" t="s">
        <v>69</v>
      </c>
      <c r="AH554" t="s">
        <v>69</v>
      </c>
      <c r="AI554" t="s">
        <v>69</v>
      </c>
      <c r="AJ554" t="s">
        <v>69</v>
      </c>
      <c r="AK554" t="s">
        <v>69</v>
      </c>
      <c r="AL554">
        <v>5</v>
      </c>
      <c r="AM554">
        <v>3</v>
      </c>
      <c r="AN554">
        <v>3</v>
      </c>
      <c r="AO554">
        <v>0</v>
      </c>
      <c r="AP554">
        <v>8</v>
      </c>
      <c r="AQ554" t="s">
        <v>9091</v>
      </c>
      <c r="AR554" t="s">
        <v>8763</v>
      </c>
      <c r="AS554" t="s">
        <v>15468</v>
      </c>
      <c r="AT554" t="s">
        <v>102</v>
      </c>
      <c r="AU554" t="s">
        <v>103</v>
      </c>
      <c r="AV554" t="s">
        <v>69</v>
      </c>
      <c r="AW554" t="s">
        <v>15469</v>
      </c>
      <c r="AX554" t="s">
        <v>15470</v>
      </c>
      <c r="AY554" t="s">
        <v>69</v>
      </c>
      <c r="AZ554">
        <v>2005</v>
      </c>
      <c r="BA554">
        <v>52</v>
      </c>
      <c r="BB554">
        <v>4</v>
      </c>
      <c r="BC554" t="s">
        <v>69</v>
      </c>
      <c r="BD554" t="s">
        <v>69</v>
      </c>
      <c r="BE554" t="s">
        <v>69</v>
      </c>
      <c r="BF554" t="s">
        <v>69</v>
      </c>
      <c r="BG554">
        <v>99</v>
      </c>
      <c r="BH554">
        <v>105</v>
      </c>
      <c r="BI554" t="s">
        <v>69</v>
      </c>
      <c r="BJ554" t="s">
        <v>31018</v>
      </c>
      <c r="BK554" t="str">
        <f>HYPERLINK("http://dx.doi.org/10.2166/wst.2005.0092","http://dx.doi.org/10.2166/wst.2005.0092")</f>
        <v>http://dx.doi.org/10.2166/wst.2005.0092</v>
      </c>
      <c r="BL554" t="s">
        <v>69</v>
      </c>
      <c r="BM554" t="s">
        <v>69</v>
      </c>
      <c r="BN554">
        <v>7</v>
      </c>
      <c r="BO554" t="s">
        <v>10687</v>
      </c>
      <c r="BP554" t="s">
        <v>15808</v>
      </c>
      <c r="BQ554" t="s">
        <v>10688</v>
      </c>
      <c r="BR554" t="s">
        <v>31019</v>
      </c>
      <c r="BS554" t="s">
        <v>4539</v>
      </c>
      <c r="BT554">
        <v>16235751</v>
      </c>
      <c r="BU554" t="s">
        <v>69</v>
      </c>
      <c r="BV554" t="s">
        <v>69</v>
      </c>
      <c r="BW554" t="s">
        <v>69</v>
      </c>
      <c r="BX554" t="s">
        <v>8526</v>
      </c>
      <c r="BY554" t="str">
        <f>HYPERLINK("https%3A%2F%2Fwww.webofscience.com%2Fwos%2Fwoscc%2Ffull-record%2FWOS:000232732600012","View Full Record in Web of Science")</f>
        <v>View Full Record in Web of Science</v>
      </c>
    </row>
    <row r="555" spans="1:77" ht="12.5" x14ac:dyDescent="0.25">
      <c r="A555" t="s">
        <v>8495</v>
      </c>
      <c r="B555" s="7" t="s">
        <v>32933</v>
      </c>
      <c r="C555" s="7"/>
      <c r="D555" s="7"/>
      <c r="E555" s="7"/>
      <c r="F555" t="s">
        <v>67</v>
      </c>
      <c r="G555" t="s">
        <v>2272</v>
      </c>
      <c r="H555" t="s">
        <v>69</v>
      </c>
      <c r="I555" t="s">
        <v>69</v>
      </c>
      <c r="J555" t="s">
        <v>69</v>
      </c>
      <c r="K555" t="s">
        <v>2273</v>
      </c>
      <c r="L555" t="s">
        <v>69</v>
      </c>
      <c r="M555" t="s">
        <v>69</v>
      </c>
      <c r="N555" t="s">
        <v>2274</v>
      </c>
      <c r="O555" t="s">
        <v>352</v>
      </c>
      <c r="P555" t="s">
        <v>69</v>
      </c>
      <c r="Q555" t="s">
        <v>69</v>
      </c>
      <c r="R555" t="s">
        <v>8505</v>
      </c>
      <c r="S555" t="s">
        <v>8506</v>
      </c>
      <c r="T555" t="s">
        <v>69</v>
      </c>
      <c r="U555" t="s">
        <v>69</v>
      </c>
      <c r="V555" t="s">
        <v>69</v>
      </c>
      <c r="W555" t="s">
        <v>69</v>
      </c>
      <c r="X555" t="s">
        <v>69</v>
      </c>
      <c r="Y555" t="s">
        <v>17251</v>
      </c>
      <c r="Z555" t="s">
        <v>17252</v>
      </c>
      <c r="AA555" t="s">
        <v>2275</v>
      </c>
      <c r="AB555" t="s">
        <v>17253</v>
      </c>
      <c r="AC555" t="s">
        <v>69</v>
      </c>
      <c r="AD555" t="s">
        <v>17254</v>
      </c>
      <c r="AE555" t="s">
        <v>17255</v>
      </c>
      <c r="AF555" t="s">
        <v>69</v>
      </c>
      <c r="AG555" t="s">
        <v>69</v>
      </c>
      <c r="AH555" t="s">
        <v>69</v>
      </c>
      <c r="AI555" t="s">
        <v>69</v>
      </c>
      <c r="AJ555" t="s">
        <v>69</v>
      </c>
      <c r="AK555" t="s">
        <v>69</v>
      </c>
      <c r="AL555">
        <v>58</v>
      </c>
      <c r="AM555">
        <v>2</v>
      </c>
      <c r="AN555">
        <v>2</v>
      </c>
      <c r="AO555">
        <v>2</v>
      </c>
      <c r="AP555">
        <v>14</v>
      </c>
      <c r="AQ555" t="s">
        <v>8924</v>
      </c>
      <c r="AR555" t="s">
        <v>8925</v>
      </c>
      <c r="AS555" t="s">
        <v>8926</v>
      </c>
      <c r="AT555" t="s">
        <v>69</v>
      </c>
      <c r="AU555" t="s">
        <v>354</v>
      </c>
      <c r="AV555" t="s">
        <v>69</v>
      </c>
      <c r="AW555" t="s">
        <v>8958</v>
      </c>
      <c r="AX555" t="s">
        <v>8434</v>
      </c>
      <c r="AY555" t="s">
        <v>636</v>
      </c>
      <c r="AZ555">
        <v>2019</v>
      </c>
      <c r="BA555">
        <v>11</v>
      </c>
      <c r="BB555">
        <v>9</v>
      </c>
      <c r="BC555" t="s">
        <v>69</v>
      </c>
      <c r="BD555" t="s">
        <v>69</v>
      </c>
      <c r="BE555" t="s">
        <v>69</v>
      </c>
      <c r="BF555" t="s">
        <v>69</v>
      </c>
      <c r="BG555" t="s">
        <v>69</v>
      </c>
      <c r="BH555" t="s">
        <v>69</v>
      </c>
      <c r="BI555">
        <v>2523</v>
      </c>
      <c r="BJ555" t="s">
        <v>2276</v>
      </c>
      <c r="BK555" t="str">
        <f>HYPERLINK("http://dx.doi.org/10.3390/su11092523","http://dx.doi.org/10.3390/su11092523")</f>
        <v>http://dx.doi.org/10.3390/su11092523</v>
      </c>
      <c r="BL555" t="s">
        <v>69</v>
      </c>
      <c r="BM555" t="s">
        <v>69</v>
      </c>
      <c r="BN555">
        <v>20</v>
      </c>
      <c r="BO555" t="s">
        <v>8960</v>
      </c>
      <c r="BP555" t="s">
        <v>8523</v>
      </c>
      <c r="BQ555" t="s">
        <v>8961</v>
      </c>
      <c r="BR555" t="s">
        <v>17256</v>
      </c>
      <c r="BS555" t="s">
        <v>2277</v>
      </c>
      <c r="BT555" t="s">
        <v>69</v>
      </c>
      <c r="BU555" t="s">
        <v>8812</v>
      </c>
      <c r="BV555" t="s">
        <v>69</v>
      </c>
      <c r="BW555" t="s">
        <v>69</v>
      </c>
      <c r="BX555" t="s">
        <v>8526</v>
      </c>
      <c r="BY555" t="str">
        <f>HYPERLINK("https%3A%2F%2Fwww.webofscience.com%2Fwos%2Fwoscc%2Ffull-record%2FWOS:000469518700071","View Full Record in Web of Science")</f>
        <v>View Full Record in Web of Science</v>
      </c>
    </row>
    <row r="556" spans="1:77" x14ac:dyDescent="0.3">
      <c r="A556" t="s">
        <v>8495</v>
      </c>
      <c r="B556" s="10" t="s">
        <v>32976</v>
      </c>
      <c r="F556" t="s">
        <v>67</v>
      </c>
      <c r="G556" t="s">
        <v>414</v>
      </c>
      <c r="H556" t="s">
        <v>69</v>
      </c>
      <c r="I556" t="s">
        <v>69</v>
      </c>
      <c r="J556" t="s">
        <v>69</v>
      </c>
      <c r="K556" s="2" t="s">
        <v>415</v>
      </c>
      <c r="L556" t="s">
        <v>69</v>
      </c>
      <c r="M556" t="s">
        <v>69</v>
      </c>
      <c r="N556" s="2" t="s">
        <v>416</v>
      </c>
      <c r="O556" t="s">
        <v>417</v>
      </c>
      <c r="P556" t="s">
        <v>69</v>
      </c>
      <c r="Q556" t="s">
        <v>69</v>
      </c>
      <c r="R556" t="s">
        <v>8505</v>
      </c>
      <c r="S556" t="s">
        <v>8506</v>
      </c>
      <c r="T556" t="s">
        <v>69</v>
      </c>
      <c r="U556" t="s">
        <v>69</v>
      </c>
      <c r="V556" t="s">
        <v>69</v>
      </c>
      <c r="W556" t="s">
        <v>69</v>
      </c>
      <c r="X556" t="s">
        <v>69</v>
      </c>
      <c r="Y556" t="s">
        <v>19732</v>
      </c>
      <c r="Z556" t="s">
        <v>19733</v>
      </c>
      <c r="AA556" t="s">
        <v>418</v>
      </c>
      <c r="AB556" t="s">
        <v>19734</v>
      </c>
      <c r="AC556" t="s">
        <v>69</v>
      </c>
      <c r="AD556" t="s">
        <v>19735</v>
      </c>
      <c r="AE556" t="s">
        <v>19736</v>
      </c>
      <c r="AF556" t="s">
        <v>69</v>
      </c>
      <c r="AG556" t="s">
        <v>19737</v>
      </c>
      <c r="AH556" t="s">
        <v>19738</v>
      </c>
      <c r="AI556" t="s">
        <v>19739</v>
      </c>
      <c r="AJ556" t="s">
        <v>19740</v>
      </c>
      <c r="AK556" t="s">
        <v>69</v>
      </c>
      <c r="AL556">
        <v>130</v>
      </c>
      <c r="AM556">
        <v>42</v>
      </c>
      <c r="AN556">
        <v>42</v>
      </c>
      <c r="AO556">
        <v>0</v>
      </c>
      <c r="AP556">
        <v>13</v>
      </c>
      <c r="AQ556" t="s">
        <v>9145</v>
      </c>
      <c r="AR556" t="s">
        <v>8637</v>
      </c>
      <c r="AS556" t="s">
        <v>9146</v>
      </c>
      <c r="AT556" t="s">
        <v>419</v>
      </c>
      <c r="AU556" t="s">
        <v>420</v>
      </c>
      <c r="AV556" t="s">
        <v>69</v>
      </c>
      <c r="AW556" t="s">
        <v>417</v>
      </c>
      <c r="AX556" t="s">
        <v>8482</v>
      </c>
      <c r="AY556" t="s">
        <v>75</v>
      </c>
      <c r="AZ556">
        <v>2017</v>
      </c>
      <c r="BA556">
        <v>87</v>
      </c>
      <c r="BB556" t="s">
        <v>69</v>
      </c>
      <c r="BC556" t="s">
        <v>69</v>
      </c>
      <c r="BD556" t="s">
        <v>69</v>
      </c>
      <c r="BE556" t="s">
        <v>69</v>
      </c>
      <c r="BF556" t="s">
        <v>69</v>
      </c>
      <c r="BG556">
        <v>95</v>
      </c>
      <c r="BH556">
        <v>107</v>
      </c>
      <c r="BI556" t="s">
        <v>69</v>
      </c>
      <c r="BJ556" t="s">
        <v>421</v>
      </c>
      <c r="BK556" t="str">
        <f>HYPERLINK("http://dx.doi.org/10.1016/j.geoforum.2017.10.010","http://dx.doi.org/10.1016/j.geoforum.2017.10.010")</f>
        <v>http://dx.doi.org/10.1016/j.geoforum.2017.10.010</v>
      </c>
      <c r="BL556" t="s">
        <v>69</v>
      </c>
      <c r="BM556" t="s">
        <v>69</v>
      </c>
      <c r="BN556">
        <v>13</v>
      </c>
      <c r="BO556" t="s">
        <v>8446</v>
      </c>
      <c r="BP556" t="s">
        <v>8661</v>
      </c>
      <c r="BQ556" t="s">
        <v>8446</v>
      </c>
      <c r="BR556" t="s">
        <v>19741</v>
      </c>
      <c r="BS556" t="s">
        <v>422</v>
      </c>
      <c r="BT556" t="s">
        <v>69</v>
      </c>
      <c r="BU556" t="s">
        <v>10363</v>
      </c>
      <c r="BV556" t="s">
        <v>69</v>
      </c>
      <c r="BW556" t="s">
        <v>69</v>
      </c>
      <c r="BX556" t="s">
        <v>8526</v>
      </c>
      <c r="BY556" t="str">
        <f>HYPERLINK("https%3A%2F%2Fwww.webofscience.com%2Fwos%2Fwoscc%2Ffull-record%2FWOS:000418213900009","View Full Record in Web of Science")</f>
        <v>View Full Record in Web of Science</v>
      </c>
    </row>
    <row r="557" spans="1:77" ht="12.5" x14ac:dyDescent="0.25">
      <c r="A557" t="s">
        <v>8495</v>
      </c>
      <c r="B557" s="7" t="s">
        <v>32933</v>
      </c>
      <c r="C557" s="7"/>
      <c r="D557" s="7"/>
      <c r="E557" s="7"/>
      <c r="F557" t="s">
        <v>67</v>
      </c>
      <c r="G557" t="s">
        <v>2760</v>
      </c>
      <c r="H557" t="s">
        <v>69</v>
      </c>
      <c r="I557" t="s">
        <v>69</v>
      </c>
      <c r="J557" t="s">
        <v>69</v>
      </c>
      <c r="K557" t="s">
        <v>2761</v>
      </c>
      <c r="L557" t="s">
        <v>69</v>
      </c>
      <c r="M557" t="s">
        <v>69</v>
      </c>
      <c r="N557" t="s">
        <v>2762</v>
      </c>
      <c r="O557" t="s">
        <v>2763</v>
      </c>
      <c r="P557" t="s">
        <v>69</v>
      </c>
      <c r="Q557" t="s">
        <v>69</v>
      </c>
      <c r="R557" t="s">
        <v>8505</v>
      </c>
      <c r="S557" t="s">
        <v>10174</v>
      </c>
      <c r="T557" t="s">
        <v>69</v>
      </c>
      <c r="U557" t="s">
        <v>69</v>
      </c>
      <c r="V557" t="s">
        <v>69</v>
      </c>
      <c r="W557" t="s">
        <v>69</v>
      </c>
      <c r="X557" t="s">
        <v>69</v>
      </c>
      <c r="Y557" t="s">
        <v>69</v>
      </c>
      <c r="Z557" t="s">
        <v>69</v>
      </c>
      <c r="AA557" t="s">
        <v>2764</v>
      </c>
      <c r="AB557" t="s">
        <v>69</v>
      </c>
      <c r="AC557" t="s">
        <v>69</v>
      </c>
      <c r="AD557" t="s">
        <v>21132</v>
      </c>
      <c r="AE557" t="s">
        <v>21133</v>
      </c>
      <c r="AF557" t="s">
        <v>69</v>
      </c>
      <c r="AG557" t="s">
        <v>69</v>
      </c>
      <c r="AH557" t="s">
        <v>21134</v>
      </c>
      <c r="AI557" t="s">
        <v>21134</v>
      </c>
      <c r="AJ557" t="s">
        <v>21135</v>
      </c>
      <c r="AK557" t="s">
        <v>69</v>
      </c>
      <c r="AL557">
        <v>0</v>
      </c>
      <c r="AM557">
        <v>0</v>
      </c>
      <c r="AN557">
        <v>0</v>
      </c>
      <c r="AO557">
        <v>0</v>
      </c>
      <c r="AP557">
        <v>2</v>
      </c>
      <c r="AQ557" t="s">
        <v>9978</v>
      </c>
      <c r="AR557" t="s">
        <v>9979</v>
      </c>
      <c r="AS557" t="s">
        <v>9980</v>
      </c>
      <c r="AT557" t="s">
        <v>2765</v>
      </c>
      <c r="AU557" t="s">
        <v>2766</v>
      </c>
      <c r="AV557" t="s">
        <v>69</v>
      </c>
      <c r="AW557" t="s">
        <v>21136</v>
      </c>
      <c r="AX557" t="s">
        <v>21137</v>
      </c>
      <c r="AY557" t="s">
        <v>75</v>
      </c>
      <c r="AZ557">
        <v>2016</v>
      </c>
      <c r="BA557">
        <v>18</v>
      </c>
      <c r="BB557">
        <v>4</v>
      </c>
      <c r="BC557" t="s">
        <v>69</v>
      </c>
      <c r="BD557" t="s">
        <v>69</v>
      </c>
      <c r="BE557" t="s">
        <v>69</v>
      </c>
      <c r="BF557" t="s">
        <v>69</v>
      </c>
      <c r="BG557">
        <v>270</v>
      </c>
      <c r="BH557">
        <v>273</v>
      </c>
      <c r="BI557" t="s">
        <v>69</v>
      </c>
      <c r="BJ557" t="s">
        <v>2767</v>
      </c>
      <c r="BK557" t="str">
        <f>HYPERLINK("http://dx.doi.org/10.1017/S1466046616000478","http://dx.doi.org/10.1017/S1466046616000478")</f>
        <v>http://dx.doi.org/10.1017/S1466046616000478</v>
      </c>
      <c r="BL557" t="s">
        <v>69</v>
      </c>
      <c r="BM557" t="s">
        <v>69</v>
      </c>
      <c r="BN557">
        <v>4</v>
      </c>
      <c r="BO557" t="s">
        <v>8717</v>
      </c>
      <c r="BP557" t="s">
        <v>8573</v>
      </c>
      <c r="BQ557" t="s">
        <v>8662</v>
      </c>
      <c r="BR557" t="s">
        <v>21138</v>
      </c>
      <c r="BS557" t="s">
        <v>2768</v>
      </c>
      <c r="BT557" t="s">
        <v>69</v>
      </c>
      <c r="BU557" t="s">
        <v>69</v>
      </c>
      <c r="BV557" t="s">
        <v>69</v>
      </c>
      <c r="BW557" t="s">
        <v>69</v>
      </c>
      <c r="BX557" t="s">
        <v>8526</v>
      </c>
      <c r="BY557" t="str">
        <f>HYPERLINK("https%3A%2F%2Fwww.webofscience.com%2Fwos%2Fwoscc%2Ffull-record%2FWOS:000388731200008","View Full Record in Web of Science")</f>
        <v>View Full Record in Web of Science</v>
      </c>
    </row>
    <row r="558" spans="1:77" ht="12.5" x14ac:dyDescent="0.25">
      <c r="A558" t="s">
        <v>8495</v>
      </c>
      <c r="B558" s="22" t="s">
        <v>32931</v>
      </c>
      <c r="C558" s="7"/>
      <c r="D558" s="7"/>
      <c r="E558" s="7"/>
      <c r="F558" t="s">
        <v>67</v>
      </c>
      <c r="G558" t="s">
        <v>20171</v>
      </c>
      <c r="H558" t="s">
        <v>69</v>
      </c>
      <c r="I558" t="s">
        <v>69</v>
      </c>
      <c r="J558" t="s">
        <v>69</v>
      </c>
      <c r="K558" t="s">
        <v>20172</v>
      </c>
      <c r="L558" t="s">
        <v>69</v>
      </c>
      <c r="M558" t="s">
        <v>69</v>
      </c>
      <c r="N558" t="s">
        <v>20173</v>
      </c>
      <c r="O558" t="s">
        <v>20174</v>
      </c>
      <c r="P558" t="s">
        <v>69</v>
      </c>
      <c r="Q558" t="s">
        <v>69</v>
      </c>
      <c r="R558" t="s">
        <v>8505</v>
      </c>
      <c r="S558" t="s">
        <v>8506</v>
      </c>
      <c r="T558" t="s">
        <v>69</v>
      </c>
      <c r="U558" t="s">
        <v>69</v>
      </c>
      <c r="V558" t="s">
        <v>69</v>
      </c>
      <c r="W558" t="s">
        <v>69</v>
      </c>
      <c r="X558" t="s">
        <v>69</v>
      </c>
      <c r="Y558" t="s">
        <v>20175</v>
      </c>
      <c r="Z558" t="s">
        <v>20176</v>
      </c>
      <c r="AA558" t="s">
        <v>20177</v>
      </c>
      <c r="AB558" t="s">
        <v>20178</v>
      </c>
      <c r="AC558" t="s">
        <v>69</v>
      </c>
      <c r="AD558" t="s">
        <v>20179</v>
      </c>
      <c r="AE558" t="s">
        <v>20180</v>
      </c>
      <c r="AF558" t="s">
        <v>20181</v>
      </c>
      <c r="AG558" t="s">
        <v>20182</v>
      </c>
      <c r="AH558" t="s">
        <v>69</v>
      </c>
      <c r="AI558" t="s">
        <v>69</v>
      </c>
      <c r="AJ558" t="s">
        <v>69</v>
      </c>
      <c r="AK558" t="s">
        <v>69</v>
      </c>
      <c r="AL558">
        <v>35</v>
      </c>
      <c r="AM558">
        <v>8</v>
      </c>
      <c r="AN558">
        <v>8</v>
      </c>
      <c r="AO558">
        <v>1</v>
      </c>
      <c r="AP558">
        <v>19</v>
      </c>
      <c r="AQ558" t="s">
        <v>20183</v>
      </c>
      <c r="AR558" t="s">
        <v>20184</v>
      </c>
      <c r="AS558" t="s">
        <v>20185</v>
      </c>
      <c r="AT558" t="s">
        <v>20186</v>
      </c>
      <c r="AU558" t="s">
        <v>69</v>
      </c>
      <c r="AV558" t="s">
        <v>69</v>
      </c>
      <c r="AW558" t="s">
        <v>20187</v>
      </c>
      <c r="AX558" t="s">
        <v>20188</v>
      </c>
      <c r="AY558" t="s">
        <v>84</v>
      </c>
      <c r="AZ558">
        <v>2017</v>
      </c>
      <c r="BA558">
        <v>18</v>
      </c>
      <c r="BB558">
        <v>3</v>
      </c>
      <c r="BC558" t="s">
        <v>69</v>
      </c>
      <c r="BD558" t="s">
        <v>69</v>
      </c>
      <c r="BE558" t="s">
        <v>69</v>
      </c>
      <c r="BF558" t="s">
        <v>69</v>
      </c>
      <c r="BG558">
        <v>135</v>
      </c>
      <c r="BH558">
        <v>155</v>
      </c>
      <c r="BI558" t="s">
        <v>69</v>
      </c>
      <c r="BJ558" t="s">
        <v>69</v>
      </c>
      <c r="BK558" t="s">
        <v>69</v>
      </c>
      <c r="BL558" t="s">
        <v>69</v>
      </c>
      <c r="BM558" t="s">
        <v>69</v>
      </c>
      <c r="BN558">
        <v>21</v>
      </c>
      <c r="BO558" t="s">
        <v>9290</v>
      </c>
      <c r="BP558" t="s">
        <v>8573</v>
      </c>
      <c r="BQ558" t="s">
        <v>9290</v>
      </c>
      <c r="BR558" t="s">
        <v>20189</v>
      </c>
      <c r="BS558" t="s">
        <v>20190</v>
      </c>
      <c r="BT558" t="s">
        <v>69</v>
      </c>
      <c r="BU558" t="s">
        <v>12220</v>
      </c>
      <c r="BV558" t="s">
        <v>69</v>
      </c>
      <c r="BW558" t="s">
        <v>69</v>
      </c>
      <c r="BX558" t="s">
        <v>8526</v>
      </c>
      <c r="BY558" t="str">
        <f>HYPERLINK("https%3A%2F%2Fwww.webofscience.com%2Fwos%2Fwoscc%2Ffull-record%2FWOS:000414269100009","View Full Record in Web of Science")</f>
        <v>View Full Record in Web of Science</v>
      </c>
    </row>
    <row r="559" spans="1:77" ht="12.5" x14ac:dyDescent="0.25">
      <c r="A559" t="s">
        <v>8495</v>
      </c>
      <c r="B559" s="22" t="s">
        <v>32931</v>
      </c>
      <c r="C559" s="7"/>
      <c r="D559" s="7"/>
      <c r="E559" s="7"/>
      <c r="F559" t="s">
        <v>67</v>
      </c>
      <c r="G559" t="s">
        <v>29218</v>
      </c>
      <c r="H559" t="s">
        <v>69</v>
      </c>
      <c r="I559" t="s">
        <v>69</v>
      </c>
      <c r="J559" t="s">
        <v>69</v>
      </c>
      <c r="K559" t="s">
        <v>29219</v>
      </c>
      <c r="L559" t="s">
        <v>69</v>
      </c>
      <c r="M559" t="s">
        <v>69</v>
      </c>
      <c r="N559" t="s">
        <v>29220</v>
      </c>
      <c r="O559" t="s">
        <v>29221</v>
      </c>
      <c r="P559" t="s">
        <v>69</v>
      </c>
      <c r="Q559" t="s">
        <v>69</v>
      </c>
      <c r="R559" t="s">
        <v>8505</v>
      </c>
      <c r="S559" t="s">
        <v>8506</v>
      </c>
      <c r="T559" t="s">
        <v>69</v>
      </c>
      <c r="U559" t="s">
        <v>69</v>
      </c>
      <c r="V559" t="s">
        <v>69</v>
      </c>
      <c r="W559" t="s">
        <v>69</v>
      </c>
      <c r="X559" t="s">
        <v>69</v>
      </c>
      <c r="Y559" t="s">
        <v>29222</v>
      </c>
      <c r="Z559" t="s">
        <v>69</v>
      </c>
      <c r="AA559" t="s">
        <v>29223</v>
      </c>
      <c r="AB559" t="s">
        <v>29224</v>
      </c>
      <c r="AC559" t="s">
        <v>69</v>
      </c>
      <c r="AD559" t="s">
        <v>29225</v>
      </c>
      <c r="AE559" t="s">
        <v>29226</v>
      </c>
      <c r="AF559" t="s">
        <v>29227</v>
      </c>
      <c r="AG559" t="s">
        <v>29228</v>
      </c>
      <c r="AH559" t="s">
        <v>69</v>
      </c>
      <c r="AI559" t="s">
        <v>69</v>
      </c>
      <c r="AJ559" t="s">
        <v>69</v>
      </c>
      <c r="AK559" t="s">
        <v>69</v>
      </c>
      <c r="AL559">
        <v>41</v>
      </c>
      <c r="AM559">
        <v>9</v>
      </c>
      <c r="AN559">
        <v>9</v>
      </c>
      <c r="AO559">
        <v>0</v>
      </c>
      <c r="AP559">
        <v>0</v>
      </c>
      <c r="AQ559" t="s">
        <v>29229</v>
      </c>
      <c r="AR559" t="s">
        <v>29230</v>
      </c>
      <c r="AS559" t="s">
        <v>29231</v>
      </c>
      <c r="AT559" t="s">
        <v>29232</v>
      </c>
      <c r="AU559" t="s">
        <v>69</v>
      </c>
      <c r="AV559" t="s">
        <v>69</v>
      </c>
      <c r="AW559" t="s">
        <v>29233</v>
      </c>
      <c r="AX559" t="s">
        <v>29234</v>
      </c>
      <c r="AY559" t="s">
        <v>155</v>
      </c>
      <c r="AZ559">
        <v>2008</v>
      </c>
      <c r="BA559">
        <v>1</v>
      </c>
      <c r="BB559">
        <v>1</v>
      </c>
      <c r="BC559" t="s">
        <v>69</v>
      </c>
      <c r="BD559" t="s">
        <v>69</v>
      </c>
      <c r="BE559" t="s">
        <v>69</v>
      </c>
      <c r="BF559" t="s">
        <v>69</v>
      </c>
      <c r="BG559">
        <v>18</v>
      </c>
      <c r="BH559">
        <v>43</v>
      </c>
      <c r="BI559" t="s">
        <v>69</v>
      </c>
      <c r="BJ559" t="s">
        <v>69</v>
      </c>
      <c r="BK559" t="s">
        <v>69</v>
      </c>
      <c r="BL559" t="s">
        <v>69</v>
      </c>
      <c r="BM559" t="s">
        <v>69</v>
      </c>
      <c r="BN559">
        <v>26</v>
      </c>
      <c r="BO559" t="s">
        <v>10975</v>
      </c>
      <c r="BP559" t="s">
        <v>8573</v>
      </c>
      <c r="BQ559" t="s">
        <v>10976</v>
      </c>
      <c r="BR559" t="s">
        <v>29235</v>
      </c>
      <c r="BS559" t="s">
        <v>29236</v>
      </c>
      <c r="BT559" t="s">
        <v>69</v>
      </c>
      <c r="BU559" t="s">
        <v>69</v>
      </c>
      <c r="BV559" t="s">
        <v>69</v>
      </c>
      <c r="BW559" t="s">
        <v>69</v>
      </c>
      <c r="BX559" t="s">
        <v>8526</v>
      </c>
      <c r="BY559" t="str">
        <f>HYPERLINK("https%3A%2F%2Fwww.webofscience.com%2Fwos%2Fwoscc%2Ffull-record%2FWOS:000214378600003","View Full Record in Web of Science")</f>
        <v>View Full Record in Web of Science</v>
      </c>
    </row>
    <row r="560" spans="1:77" ht="12.5" x14ac:dyDescent="0.25">
      <c r="A560" t="s">
        <v>8495</v>
      </c>
      <c r="B560" s="7" t="s">
        <v>32933</v>
      </c>
      <c r="C560" s="7"/>
      <c r="D560" s="7"/>
      <c r="E560" s="7"/>
      <c r="F560" t="s">
        <v>67</v>
      </c>
      <c r="G560" t="s">
        <v>2220</v>
      </c>
      <c r="H560" t="s">
        <v>69</v>
      </c>
      <c r="I560" t="s">
        <v>69</v>
      </c>
      <c r="J560" t="s">
        <v>69</v>
      </c>
      <c r="K560" t="s">
        <v>2221</v>
      </c>
      <c r="L560" t="s">
        <v>69</v>
      </c>
      <c r="M560" t="s">
        <v>69</v>
      </c>
      <c r="N560" t="s">
        <v>2222</v>
      </c>
      <c r="O560" t="s">
        <v>2223</v>
      </c>
      <c r="P560" t="s">
        <v>69</v>
      </c>
      <c r="Q560" t="s">
        <v>69</v>
      </c>
      <c r="R560" t="s">
        <v>8505</v>
      </c>
      <c r="S560" t="s">
        <v>8506</v>
      </c>
      <c r="T560" t="s">
        <v>69</v>
      </c>
      <c r="U560" t="s">
        <v>69</v>
      </c>
      <c r="V560" t="s">
        <v>69</v>
      </c>
      <c r="W560" t="s">
        <v>69</v>
      </c>
      <c r="X560" t="s">
        <v>69</v>
      </c>
      <c r="Y560" t="s">
        <v>69</v>
      </c>
      <c r="Z560" t="s">
        <v>17124</v>
      </c>
      <c r="AA560" t="s">
        <v>2224</v>
      </c>
      <c r="AB560" t="s">
        <v>17125</v>
      </c>
      <c r="AC560" t="s">
        <v>69</v>
      </c>
      <c r="AD560" t="s">
        <v>17126</v>
      </c>
      <c r="AE560" t="s">
        <v>17127</v>
      </c>
      <c r="AF560" t="s">
        <v>69</v>
      </c>
      <c r="AG560" t="s">
        <v>17128</v>
      </c>
      <c r="AH560" t="s">
        <v>69</v>
      </c>
      <c r="AI560" t="s">
        <v>69</v>
      </c>
      <c r="AJ560" t="s">
        <v>69</v>
      </c>
      <c r="AK560" t="s">
        <v>69</v>
      </c>
      <c r="AL560">
        <v>22</v>
      </c>
      <c r="AM560">
        <v>5</v>
      </c>
      <c r="AN560">
        <v>5</v>
      </c>
      <c r="AO560">
        <v>1</v>
      </c>
      <c r="AP560">
        <v>4</v>
      </c>
      <c r="AQ560" t="s">
        <v>8846</v>
      </c>
      <c r="AR560" t="s">
        <v>8847</v>
      </c>
      <c r="AS560" t="s">
        <v>8848</v>
      </c>
      <c r="AT560" t="s">
        <v>2225</v>
      </c>
      <c r="AU560" t="s">
        <v>2226</v>
      </c>
      <c r="AV560" t="s">
        <v>69</v>
      </c>
      <c r="AW560" t="s">
        <v>17129</v>
      </c>
      <c r="AX560" t="s">
        <v>17130</v>
      </c>
      <c r="AY560" t="s">
        <v>274</v>
      </c>
      <c r="AZ560">
        <v>2019</v>
      </c>
      <c r="BA560">
        <v>26</v>
      </c>
      <c r="BB560">
        <v>11</v>
      </c>
      <c r="BC560" t="s">
        <v>69</v>
      </c>
      <c r="BD560" t="s">
        <v>69</v>
      </c>
      <c r="BE560" t="s">
        <v>69</v>
      </c>
      <c r="BF560" t="s">
        <v>69</v>
      </c>
      <c r="BG560">
        <v>1245</v>
      </c>
      <c r="BH560">
        <v>1254</v>
      </c>
      <c r="BI560" t="s">
        <v>69</v>
      </c>
      <c r="BJ560" t="s">
        <v>2227</v>
      </c>
      <c r="BK560" t="str">
        <f>HYPERLINK("http://dx.doi.org/10.1111/acem.13814","http://dx.doi.org/10.1111/acem.13814")</f>
        <v>http://dx.doi.org/10.1111/acem.13814</v>
      </c>
      <c r="BL560" t="s">
        <v>69</v>
      </c>
      <c r="BM560" t="s">
        <v>2228</v>
      </c>
      <c r="BN560">
        <v>10</v>
      </c>
      <c r="BO560" t="s">
        <v>17131</v>
      </c>
      <c r="BP560" t="s">
        <v>8548</v>
      </c>
      <c r="BQ560" t="s">
        <v>17131</v>
      </c>
      <c r="BR560" t="s">
        <v>17132</v>
      </c>
      <c r="BS560" t="s">
        <v>2229</v>
      </c>
      <c r="BT560">
        <v>31166061</v>
      </c>
      <c r="BU560" t="s">
        <v>69</v>
      </c>
      <c r="BV560" t="s">
        <v>69</v>
      </c>
      <c r="BW560" t="s">
        <v>69</v>
      </c>
      <c r="BX560" t="s">
        <v>8526</v>
      </c>
      <c r="BY560" t="str">
        <f>HYPERLINK("https%3A%2F%2Fwww.webofscience.com%2Fwos%2Fwoscc%2Ffull-record%2FWOS:000476267100001","View Full Record in Web of Science")</f>
        <v>View Full Record in Web of Science</v>
      </c>
    </row>
    <row r="561" spans="1:77" ht="12.5" x14ac:dyDescent="0.25">
      <c r="A561" t="s">
        <v>8495</v>
      </c>
      <c r="B561" s="22" t="s">
        <v>32931</v>
      </c>
      <c r="C561" s="7"/>
      <c r="D561" s="7"/>
      <c r="E561" s="7"/>
      <c r="F561" t="s">
        <v>67</v>
      </c>
      <c r="G561" t="s">
        <v>26917</v>
      </c>
      <c r="H561" t="s">
        <v>69</v>
      </c>
      <c r="I561" t="s">
        <v>69</v>
      </c>
      <c r="J561" t="s">
        <v>69</v>
      </c>
      <c r="K561" t="s">
        <v>26918</v>
      </c>
      <c r="L561" t="s">
        <v>69</v>
      </c>
      <c r="M561" t="s">
        <v>69</v>
      </c>
      <c r="N561" t="s">
        <v>26919</v>
      </c>
      <c r="O561" t="s">
        <v>17957</v>
      </c>
      <c r="P561" t="s">
        <v>69</v>
      </c>
      <c r="Q561" t="s">
        <v>69</v>
      </c>
      <c r="R561" t="s">
        <v>8505</v>
      </c>
      <c r="S561" t="s">
        <v>8506</v>
      </c>
      <c r="T561" t="s">
        <v>69</v>
      </c>
      <c r="U561" t="s">
        <v>69</v>
      </c>
      <c r="V561" t="s">
        <v>69</v>
      </c>
      <c r="W561" t="s">
        <v>69</v>
      </c>
      <c r="X561" t="s">
        <v>69</v>
      </c>
      <c r="Y561" t="s">
        <v>26920</v>
      </c>
      <c r="Z561" t="s">
        <v>26921</v>
      </c>
      <c r="AA561" t="s">
        <v>26922</v>
      </c>
      <c r="AB561" t="s">
        <v>26923</v>
      </c>
      <c r="AC561" t="s">
        <v>69</v>
      </c>
      <c r="AD561" t="s">
        <v>26924</v>
      </c>
      <c r="AE561" t="s">
        <v>26925</v>
      </c>
      <c r="AF561" t="s">
        <v>26926</v>
      </c>
      <c r="AG561" t="s">
        <v>26927</v>
      </c>
      <c r="AH561" t="s">
        <v>26928</v>
      </c>
      <c r="AI561" t="s">
        <v>26928</v>
      </c>
      <c r="AJ561" t="s">
        <v>26929</v>
      </c>
      <c r="AK561" t="s">
        <v>69</v>
      </c>
      <c r="AL561">
        <v>62</v>
      </c>
      <c r="AM561">
        <v>52</v>
      </c>
      <c r="AN561">
        <v>52</v>
      </c>
      <c r="AO561">
        <v>0</v>
      </c>
      <c r="AP561">
        <v>36</v>
      </c>
      <c r="AQ561" t="s">
        <v>8636</v>
      </c>
      <c r="AR561" t="s">
        <v>8637</v>
      </c>
      <c r="AS561" t="s">
        <v>8638</v>
      </c>
      <c r="AT561" t="s">
        <v>17965</v>
      </c>
      <c r="AU561" t="s">
        <v>17966</v>
      </c>
      <c r="AV561" t="s">
        <v>69</v>
      </c>
      <c r="AW561" t="s">
        <v>17967</v>
      </c>
      <c r="AX561" t="s">
        <v>17968</v>
      </c>
      <c r="AY561" t="s">
        <v>84</v>
      </c>
      <c r="AZ561">
        <v>2011</v>
      </c>
      <c r="BA561">
        <v>104</v>
      </c>
      <c r="BB561">
        <v>6</v>
      </c>
      <c r="BC561" t="s">
        <v>69</v>
      </c>
      <c r="BD561" t="s">
        <v>69</v>
      </c>
      <c r="BE561" t="s">
        <v>69</v>
      </c>
      <c r="BF561" t="s">
        <v>69</v>
      </c>
      <c r="BG561">
        <v>441</v>
      </c>
      <c r="BH561">
        <v>450</v>
      </c>
      <c r="BI561" t="s">
        <v>69</v>
      </c>
      <c r="BJ561" t="s">
        <v>26930</v>
      </c>
      <c r="BK561" t="str">
        <f>HYPERLINK("http://dx.doi.org/10.1016/j.agsy.2011.03.001","http://dx.doi.org/10.1016/j.agsy.2011.03.001")</f>
        <v>http://dx.doi.org/10.1016/j.agsy.2011.03.001</v>
      </c>
      <c r="BL561" t="s">
        <v>69</v>
      </c>
      <c r="BM561" t="s">
        <v>69</v>
      </c>
      <c r="BN561">
        <v>10</v>
      </c>
      <c r="BO561" t="s">
        <v>17664</v>
      </c>
      <c r="BP561" t="s">
        <v>8523</v>
      </c>
      <c r="BQ561" t="s">
        <v>8450</v>
      </c>
      <c r="BR561" t="s">
        <v>26931</v>
      </c>
      <c r="BS561" t="s">
        <v>26932</v>
      </c>
      <c r="BT561" t="s">
        <v>69</v>
      </c>
      <c r="BU561" t="s">
        <v>69</v>
      </c>
      <c r="BV561" t="s">
        <v>69</v>
      </c>
      <c r="BW561" t="s">
        <v>69</v>
      </c>
      <c r="BX561" t="s">
        <v>8526</v>
      </c>
      <c r="BY561" t="str">
        <f>HYPERLINK("https%3A%2F%2Fwww.webofscience.com%2Fwos%2Fwoscc%2Ffull-record%2FWOS:000292711800001","View Full Record in Web of Science")</f>
        <v>View Full Record in Web of Science</v>
      </c>
    </row>
    <row r="562" spans="1:77" ht="12.5" x14ac:dyDescent="0.25">
      <c r="A562" t="s">
        <v>8495</v>
      </c>
      <c r="B562" s="22" t="s">
        <v>32931</v>
      </c>
      <c r="C562" s="7"/>
      <c r="D562" s="7"/>
      <c r="E562" s="7"/>
      <c r="F562" t="s">
        <v>67</v>
      </c>
      <c r="G562" t="s">
        <v>17825</v>
      </c>
      <c r="H562" t="s">
        <v>69</v>
      </c>
      <c r="I562" t="s">
        <v>69</v>
      </c>
      <c r="J562" t="s">
        <v>69</v>
      </c>
      <c r="K562" t="s">
        <v>17826</v>
      </c>
      <c r="L562" t="s">
        <v>69</v>
      </c>
      <c r="M562" t="s">
        <v>69</v>
      </c>
      <c r="N562" t="s">
        <v>17827</v>
      </c>
      <c r="O562" t="s">
        <v>17828</v>
      </c>
      <c r="P562" t="s">
        <v>69</v>
      </c>
      <c r="Q562" t="s">
        <v>69</v>
      </c>
      <c r="R562" t="s">
        <v>8505</v>
      </c>
      <c r="S562" t="s">
        <v>8506</v>
      </c>
      <c r="T562" t="s">
        <v>69</v>
      </c>
      <c r="U562" t="s">
        <v>69</v>
      </c>
      <c r="V562" t="s">
        <v>69</v>
      </c>
      <c r="W562" t="s">
        <v>69</v>
      </c>
      <c r="X562" t="s">
        <v>69</v>
      </c>
      <c r="Y562" t="s">
        <v>17829</v>
      </c>
      <c r="Z562" t="s">
        <v>17830</v>
      </c>
      <c r="AA562" t="s">
        <v>17831</v>
      </c>
      <c r="AB562" t="s">
        <v>17832</v>
      </c>
      <c r="AC562" t="s">
        <v>69</v>
      </c>
      <c r="AD562" t="s">
        <v>17833</v>
      </c>
      <c r="AE562" t="s">
        <v>17834</v>
      </c>
      <c r="AF562" t="s">
        <v>17835</v>
      </c>
      <c r="AG562" t="s">
        <v>17836</v>
      </c>
      <c r="AH562" t="s">
        <v>17837</v>
      </c>
      <c r="AI562" t="s">
        <v>17837</v>
      </c>
      <c r="AJ562" t="s">
        <v>17838</v>
      </c>
      <c r="AK562" t="s">
        <v>69</v>
      </c>
      <c r="AL562">
        <v>20</v>
      </c>
      <c r="AM562">
        <v>4</v>
      </c>
      <c r="AN562">
        <v>4</v>
      </c>
      <c r="AO562">
        <v>0</v>
      </c>
      <c r="AP562">
        <v>1</v>
      </c>
      <c r="AQ562" t="s">
        <v>10538</v>
      </c>
      <c r="AR562" t="s">
        <v>10539</v>
      </c>
      <c r="AS562" t="s">
        <v>14431</v>
      </c>
      <c r="AT562" t="s">
        <v>17839</v>
      </c>
      <c r="AU562" t="s">
        <v>17840</v>
      </c>
      <c r="AV562" t="s">
        <v>69</v>
      </c>
      <c r="AW562" t="s">
        <v>17841</v>
      </c>
      <c r="AX562" t="s">
        <v>17842</v>
      </c>
      <c r="AY562" t="s">
        <v>602</v>
      </c>
      <c r="AZ562">
        <v>2019</v>
      </c>
      <c r="BA562">
        <v>40</v>
      </c>
      <c r="BB562">
        <v>1</v>
      </c>
      <c r="BC562" t="s">
        <v>69</v>
      </c>
      <c r="BD562" t="s">
        <v>69</v>
      </c>
      <c r="BE562" t="s">
        <v>69</v>
      </c>
      <c r="BF562" t="s">
        <v>69</v>
      </c>
      <c r="BG562">
        <v>111</v>
      </c>
      <c r="BH562">
        <v>120</v>
      </c>
      <c r="BI562" t="s">
        <v>69</v>
      </c>
      <c r="BJ562" t="s">
        <v>17843</v>
      </c>
      <c r="BK562" t="str">
        <f>HYPERLINK("http://dx.doi.org/10.4103/ijmpo.ijmpo_168_17","http://dx.doi.org/10.4103/ijmpo.ijmpo_168_17")</f>
        <v>http://dx.doi.org/10.4103/ijmpo.ijmpo_168_17</v>
      </c>
      <c r="BL562" t="s">
        <v>69</v>
      </c>
      <c r="BM562" t="s">
        <v>69</v>
      </c>
      <c r="BN562">
        <v>10</v>
      </c>
      <c r="BO562" t="s">
        <v>17844</v>
      </c>
      <c r="BP562" t="s">
        <v>8573</v>
      </c>
      <c r="BQ562" t="s">
        <v>17844</v>
      </c>
      <c r="BR562" t="s">
        <v>17845</v>
      </c>
      <c r="BS562" t="s">
        <v>17846</v>
      </c>
      <c r="BT562" t="s">
        <v>69</v>
      </c>
      <c r="BU562" t="s">
        <v>8622</v>
      </c>
      <c r="BV562" t="s">
        <v>69</v>
      </c>
      <c r="BW562" t="s">
        <v>69</v>
      </c>
      <c r="BX562" t="s">
        <v>8526</v>
      </c>
      <c r="BY562" t="str">
        <f>HYPERLINK("https%3A%2F%2Fwww.webofscience.com%2Fwos%2Fwoscc%2Ffull-record%2FWOS:000465141300023","View Full Record in Web of Science")</f>
        <v>View Full Record in Web of Science</v>
      </c>
    </row>
    <row r="563" spans="1:77" ht="12.5" x14ac:dyDescent="0.25">
      <c r="A563" t="s">
        <v>8495</v>
      </c>
      <c r="B563" s="7" t="s">
        <v>32933</v>
      </c>
      <c r="C563" s="7"/>
      <c r="D563" s="7"/>
      <c r="E563" s="7"/>
      <c r="F563" t="s">
        <v>67</v>
      </c>
      <c r="G563" t="s">
        <v>7435</v>
      </c>
      <c r="H563" t="s">
        <v>69</v>
      </c>
      <c r="I563" t="s">
        <v>69</v>
      </c>
      <c r="J563" t="s">
        <v>69</v>
      </c>
      <c r="K563" t="s">
        <v>7436</v>
      </c>
      <c r="L563" t="s">
        <v>69</v>
      </c>
      <c r="M563" t="s">
        <v>69</v>
      </c>
      <c r="N563" t="s">
        <v>7437</v>
      </c>
      <c r="O563" t="s">
        <v>5977</v>
      </c>
      <c r="P563" t="s">
        <v>69</v>
      </c>
      <c r="Q563" t="s">
        <v>69</v>
      </c>
      <c r="R563" t="s">
        <v>8505</v>
      </c>
      <c r="S563" t="s">
        <v>8506</v>
      </c>
      <c r="T563" t="s">
        <v>69</v>
      </c>
      <c r="U563" t="s">
        <v>69</v>
      </c>
      <c r="V563" t="s">
        <v>69</v>
      </c>
      <c r="W563" t="s">
        <v>69</v>
      </c>
      <c r="X563" t="s">
        <v>69</v>
      </c>
      <c r="Y563" t="s">
        <v>25266</v>
      </c>
      <c r="Z563" t="s">
        <v>25267</v>
      </c>
      <c r="AA563" t="s">
        <v>7438</v>
      </c>
      <c r="AB563" t="s">
        <v>25268</v>
      </c>
      <c r="AC563" t="s">
        <v>69</v>
      </c>
      <c r="AD563" t="s">
        <v>25269</v>
      </c>
      <c r="AE563" t="s">
        <v>25270</v>
      </c>
      <c r="AF563" t="s">
        <v>69</v>
      </c>
      <c r="AG563" t="s">
        <v>69</v>
      </c>
      <c r="AH563" t="s">
        <v>25271</v>
      </c>
      <c r="AI563" t="s">
        <v>25272</v>
      </c>
      <c r="AJ563" t="s">
        <v>25273</v>
      </c>
      <c r="AK563" t="s">
        <v>69</v>
      </c>
      <c r="AL563">
        <v>62</v>
      </c>
      <c r="AM563">
        <v>38</v>
      </c>
      <c r="AN563">
        <v>38</v>
      </c>
      <c r="AO563">
        <v>0</v>
      </c>
      <c r="AP563">
        <v>29</v>
      </c>
      <c r="AQ563" t="s">
        <v>15611</v>
      </c>
      <c r="AR563" t="s">
        <v>10924</v>
      </c>
      <c r="AS563" t="s">
        <v>15612</v>
      </c>
      <c r="AT563" t="s">
        <v>5979</v>
      </c>
      <c r="AU563" t="s">
        <v>5980</v>
      </c>
      <c r="AV563" t="s">
        <v>69</v>
      </c>
      <c r="AW563" t="s">
        <v>20815</v>
      </c>
      <c r="AX563" t="s">
        <v>20816</v>
      </c>
      <c r="AY563" t="s">
        <v>69</v>
      </c>
      <c r="AZ563">
        <v>2013</v>
      </c>
      <c r="BA563">
        <v>38</v>
      </c>
      <c r="BB563">
        <v>2</v>
      </c>
      <c r="BC563" t="s">
        <v>69</v>
      </c>
      <c r="BD563" t="s">
        <v>69</v>
      </c>
      <c r="BE563" t="s">
        <v>69</v>
      </c>
      <c r="BF563" t="s">
        <v>69</v>
      </c>
      <c r="BG563">
        <v>135</v>
      </c>
      <c r="BH563">
        <v>147</v>
      </c>
      <c r="BI563" t="s">
        <v>69</v>
      </c>
      <c r="BJ563" t="s">
        <v>7439</v>
      </c>
      <c r="BK563" t="str">
        <f>HYPERLINK("http://dx.doi.org/10.1080/07011784.2013.794992","http://dx.doi.org/10.1080/07011784.2013.794992")</f>
        <v>http://dx.doi.org/10.1080/07011784.2013.794992</v>
      </c>
      <c r="BL563" t="s">
        <v>69</v>
      </c>
      <c r="BM563" t="s">
        <v>69</v>
      </c>
      <c r="BN563">
        <v>13</v>
      </c>
      <c r="BO563" t="s">
        <v>9096</v>
      </c>
      <c r="BP563" t="s">
        <v>8548</v>
      </c>
      <c r="BQ563" t="s">
        <v>9096</v>
      </c>
      <c r="BR563" t="s">
        <v>25274</v>
      </c>
      <c r="BS563" t="s">
        <v>7440</v>
      </c>
      <c r="BT563" t="s">
        <v>69</v>
      </c>
      <c r="BU563" t="s">
        <v>69</v>
      </c>
      <c r="BV563" t="s">
        <v>69</v>
      </c>
      <c r="BW563" t="s">
        <v>69</v>
      </c>
      <c r="BX563" t="s">
        <v>8526</v>
      </c>
      <c r="BY563" t="str">
        <f>HYPERLINK("https%3A%2F%2Fwww.webofscience.com%2Fwos%2Fwoscc%2Ffull-record%2FWOS:000328249100004","View Full Record in Web of Science")</f>
        <v>View Full Record in Web of Science</v>
      </c>
    </row>
    <row r="564" spans="1:77" ht="12.5" x14ac:dyDescent="0.25">
      <c r="A564" t="s">
        <v>8495</v>
      </c>
      <c r="B564" s="22" t="s">
        <v>32931</v>
      </c>
      <c r="C564" s="7"/>
      <c r="D564" s="7"/>
      <c r="E564" s="7"/>
      <c r="F564" t="s">
        <v>67</v>
      </c>
      <c r="G564" t="s">
        <v>31197</v>
      </c>
      <c r="H564" t="s">
        <v>69</v>
      </c>
      <c r="I564" t="s">
        <v>69</v>
      </c>
      <c r="J564" t="s">
        <v>69</v>
      </c>
      <c r="K564" t="s">
        <v>31197</v>
      </c>
      <c r="L564" t="s">
        <v>69</v>
      </c>
      <c r="M564" t="s">
        <v>69</v>
      </c>
      <c r="N564" t="s">
        <v>31198</v>
      </c>
      <c r="O564" t="s">
        <v>31199</v>
      </c>
      <c r="P564" t="s">
        <v>69</v>
      </c>
      <c r="Q564" t="s">
        <v>69</v>
      </c>
      <c r="R564" t="s">
        <v>12534</v>
      </c>
      <c r="S564" t="s">
        <v>8506</v>
      </c>
      <c r="T564" t="s">
        <v>69</v>
      </c>
      <c r="U564" t="s">
        <v>69</v>
      </c>
      <c r="V564" t="s">
        <v>69</v>
      </c>
      <c r="W564" t="s">
        <v>69</v>
      </c>
      <c r="X564" t="s">
        <v>69</v>
      </c>
      <c r="Y564" t="s">
        <v>31200</v>
      </c>
      <c r="Z564" t="s">
        <v>69</v>
      </c>
      <c r="AA564" t="s">
        <v>31201</v>
      </c>
      <c r="AB564" t="s">
        <v>31202</v>
      </c>
      <c r="AC564" t="s">
        <v>69</v>
      </c>
      <c r="AD564" t="s">
        <v>31203</v>
      </c>
      <c r="AE564" t="s">
        <v>69</v>
      </c>
      <c r="AF564" t="s">
        <v>69</v>
      </c>
      <c r="AG564" t="s">
        <v>69</v>
      </c>
      <c r="AH564" t="s">
        <v>69</v>
      </c>
      <c r="AI564" t="s">
        <v>69</v>
      </c>
      <c r="AJ564" t="s">
        <v>69</v>
      </c>
      <c r="AK564" t="s">
        <v>69</v>
      </c>
      <c r="AL564">
        <v>48</v>
      </c>
      <c r="AM564">
        <v>0</v>
      </c>
      <c r="AN564">
        <v>0</v>
      </c>
      <c r="AO564">
        <v>0</v>
      </c>
      <c r="AP564">
        <v>1</v>
      </c>
      <c r="AQ564" t="s">
        <v>31204</v>
      </c>
      <c r="AR564" t="s">
        <v>31205</v>
      </c>
      <c r="AS564" t="s">
        <v>31206</v>
      </c>
      <c r="AT564" t="s">
        <v>31207</v>
      </c>
      <c r="AU564" t="s">
        <v>69</v>
      </c>
      <c r="AV564" t="s">
        <v>69</v>
      </c>
      <c r="AW564" t="s">
        <v>31208</v>
      </c>
      <c r="AX564" t="s">
        <v>31209</v>
      </c>
      <c r="AY564" t="s">
        <v>201</v>
      </c>
      <c r="AZ564">
        <v>2003</v>
      </c>
      <c r="BA564">
        <v>174</v>
      </c>
      <c r="BB564">
        <v>8</v>
      </c>
      <c r="BC564" t="s">
        <v>69</v>
      </c>
      <c r="BD564" t="s">
        <v>69</v>
      </c>
      <c r="BE564" t="s">
        <v>69</v>
      </c>
      <c r="BF564" t="s">
        <v>69</v>
      </c>
      <c r="BG564">
        <v>137</v>
      </c>
      <c r="BH564">
        <v>148</v>
      </c>
      <c r="BI564" t="s">
        <v>69</v>
      </c>
      <c r="BJ564" t="s">
        <v>69</v>
      </c>
      <c r="BK564" t="s">
        <v>69</v>
      </c>
      <c r="BL564" t="s">
        <v>69</v>
      </c>
      <c r="BM564" t="s">
        <v>69</v>
      </c>
      <c r="BN564">
        <v>12</v>
      </c>
      <c r="BO564" t="s">
        <v>8453</v>
      </c>
      <c r="BP564" t="s">
        <v>8548</v>
      </c>
      <c r="BQ564" t="s">
        <v>8453</v>
      </c>
      <c r="BR564" t="s">
        <v>31210</v>
      </c>
      <c r="BS564" t="s">
        <v>31211</v>
      </c>
      <c r="BT564" t="s">
        <v>69</v>
      </c>
      <c r="BU564" t="s">
        <v>69</v>
      </c>
      <c r="BV564" t="s">
        <v>69</v>
      </c>
      <c r="BW564" t="s">
        <v>69</v>
      </c>
      <c r="BX564" t="s">
        <v>8526</v>
      </c>
      <c r="BY564" t="str">
        <f>HYPERLINK("https%3A%2F%2Fwww.webofscience.com%2Fwos%2Fwoscc%2Ffull-record%2FWOS:000184743700001","View Full Record in Web of Science")</f>
        <v>View Full Record in Web of Science</v>
      </c>
    </row>
    <row r="565" spans="1:77" ht="12.5" x14ac:dyDescent="0.25">
      <c r="A565" t="s">
        <v>8495</v>
      </c>
      <c r="B565" s="22" t="s">
        <v>32931</v>
      </c>
      <c r="C565" s="7"/>
      <c r="D565" s="7"/>
      <c r="E565" s="7"/>
      <c r="F565" t="s">
        <v>67</v>
      </c>
      <c r="G565" t="s">
        <v>25061</v>
      </c>
      <c r="H565" t="s">
        <v>69</v>
      </c>
      <c r="I565" t="s">
        <v>69</v>
      </c>
      <c r="J565" t="s">
        <v>69</v>
      </c>
      <c r="K565" t="s">
        <v>25062</v>
      </c>
      <c r="L565" t="s">
        <v>69</v>
      </c>
      <c r="M565" t="s">
        <v>69</v>
      </c>
      <c r="N565" t="s">
        <v>25063</v>
      </c>
      <c r="O565" t="s">
        <v>2668</v>
      </c>
      <c r="P565" t="s">
        <v>69</v>
      </c>
      <c r="Q565" t="s">
        <v>69</v>
      </c>
      <c r="R565" t="s">
        <v>8505</v>
      </c>
      <c r="S565" t="s">
        <v>8506</v>
      </c>
      <c r="T565" t="s">
        <v>69</v>
      </c>
      <c r="U565" t="s">
        <v>69</v>
      </c>
      <c r="V565" t="s">
        <v>69</v>
      </c>
      <c r="W565" t="s">
        <v>69</v>
      </c>
      <c r="X565" t="s">
        <v>69</v>
      </c>
      <c r="Y565" t="s">
        <v>25064</v>
      </c>
      <c r="Z565" t="s">
        <v>25065</v>
      </c>
      <c r="AA565" t="s">
        <v>25066</v>
      </c>
      <c r="AB565" t="s">
        <v>25067</v>
      </c>
      <c r="AC565" t="s">
        <v>69</v>
      </c>
      <c r="AD565" t="s">
        <v>25068</v>
      </c>
      <c r="AE565" t="s">
        <v>25069</v>
      </c>
      <c r="AF565" t="s">
        <v>25070</v>
      </c>
      <c r="AG565" t="s">
        <v>25071</v>
      </c>
      <c r="AH565" t="s">
        <v>69</v>
      </c>
      <c r="AI565" t="s">
        <v>69</v>
      </c>
      <c r="AJ565" t="s">
        <v>69</v>
      </c>
      <c r="AK565" t="s">
        <v>69</v>
      </c>
      <c r="AL565">
        <v>41</v>
      </c>
      <c r="AM565">
        <v>4</v>
      </c>
      <c r="AN565">
        <v>4</v>
      </c>
      <c r="AO565">
        <v>0</v>
      </c>
      <c r="AP565">
        <v>32</v>
      </c>
      <c r="AQ565" t="s">
        <v>8865</v>
      </c>
      <c r="AR565" t="s">
        <v>8612</v>
      </c>
      <c r="AS565" t="s">
        <v>22341</v>
      </c>
      <c r="AT565" t="s">
        <v>2670</v>
      </c>
      <c r="AU565" t="s">
        <v>69</v>
      </c>
      <c r="AV565" t="s">
        <v>69</v>
      </c>
      <c r="AW565" t="s">
        <v>20911</v>
      </c>
      <c r="AX565" t="s">
        <v>20912</v>
      </c>
      <c r="AY565" t="s">
        <v>3848</v>
      </c>
      <c r="AZ565">
        <v>2013</v>
      </c>
      <c r="BA565">
        <v>24</v>
      </c>
      <c r="BB565">
        <v>8</v>
      </c>
      <c r="BC565" t="s">
        <v>69</v>
      </c>
      <c r="BD565" t="s">
        <v>69</v>
      </c>
      <c r="BE565" t="s">
        <v>69</v>
      </c>
      <c r="BF565" t="s">
        <v>69</v>
      </c>
      <c r="BG565">
        <v>1613</v>
      </c>
      <c r="BH565">
        <v>1628</v>
      </c>
      <c r="BI565" t="s">
        <v>69</v>
      </c>
      <c r="BJ565" t="s">
        <v>25072</v>
      </c>
      <c r="BK565" t="str">
        <f>HYPERLINK("http://dx.doi.org/10.1080/09585192.2012.725083","http://dx.doi.org/10.1080/09585192.2012.725083")</f>
        <v>http://dx.doi.org/10.1080/09585192.2012.725083</v>
      </c>
      <c r="BL565" t="s">
        <v>69</v>
      </c>
      <c r="BM565" t="s">
        <v>69</v>
      </c>
      <c r="BN565">
        <v>16</v>
      </c>
      <c r="BO565" t="s">
        <v>9410</v>
      </c>
      <c r="BP565" t="s">
        <v>8661</v>
      </c>
      <c r="BQ565" t="s">
        <v>8594</v>
      </c>
      <c r="BR565" t="s">
        <v>25073</v>
      </c>
      <c r="BS565" t="s">
        <v>25074</v>
      </c>
      <c r="BT565" t="s">
        <v>69</v>
      </c>
      <c r="BU565" t="s">
        <v>10995</v>
      </c>
      <c r="BV565" t="s">
        <v>69</v>
      </c>
      <c r="BW565" t="s">
        <v>69</v>
      </c>
      <c r="BX565" t="s">
        <v>8526</v>
      </c>
      <c r="BY565" t="str">
        <f>HYPERLINK("https%3A%2F%2Fwww.webofscience.com%2Fwos%2Fwoscc%2Ffull-record%2FWOS:000315682800004","View Full Record in Web of Science")</f>
        <v>View Full Record in Web of Science</v>
      </c>
    </row>
    <row r="566" spans="1:77" ht="12.5" x14ac:dyDescent="0.25">
      <c r="A566" t="s">
        <v>8495</v>
      </c>
      <c r="B566" s="7" t="s">
        <v>32933</v>
      </c>
      <c r="C566" s="7"/>
      <c r="D566" s="7"/>
      <c r="E566" s="7"/>
      <c r="F566" t="s">
        <v>67</v>
      </c>
      <c r="G566" t="s">
        <v>6113</v>
      </c>
      <c r="H566" t="s">
        <v>69</v>
      </c>
      <c r="I566" t="s">
        <v>69</v>
      </c>
      <c r="J566" t="s">
        <v>69</v>
      </c>
      <c r="K566" t="s">
        <v>6114</v>
      </c>
      <c r="L566" t="s">
        <v>69</v>
      </c>
      <c r="M566" t="s">
        <v>69</v>
      </c>
      <c r="N566" t="s">
        <v>6115</v>
      </c>
      <c r="O566" t="s">
        <v>6116</v>
      </c>
      <c r="P566" t="s">
        <v>69</v>
      </c>
      <c r="Q566" t="s">
        <v>69</v>
      </c>
      <c r="R566" t="s">
        <v>8505</v>
      </c>
      <c r="S566" t="s">
        <v>8442</v>
      </c>
      <c r="T566" t="s">
        <v>69</v>
      </c>
      <c r="U566" t="s">
        <v>69</v>
      </c>
      <c r="V566" t="s">
        <v>69</v>
      </c>
      <c r="W566" t="s">
        <v>69</v>
      </c>
      <c r="X566" t="s">
        <v>69</v>
      </c>
      <c r="Y566" t="s">
        <v>69</v>
      </c>
      <c r="Z566" t="s">
        <v>23958</v>
      </c>
      <c r="AA566" t="s">
        <v>6117</v>
      </c>
      <c r="AB566" t="s">
        <v>23959</v>
      </c>
      <c r="AC566" t="s">
        <v>69</v>
      </c>
      <c r="AD566" t="s">
        <v>23960</v>
      </c>
      <c r="AE566" t="s">
        <v>23961</v>
      </c>
      <c r="AF566" t="s">
        <v>23962</v>
      </c>
      <c r="AG566" t="s">
        <v>23963</v>
      </c>
      <c r="AH566" t="s">
        <v>23964</v>
      </c>
      <c r="AI566" t="s">
        <v>23964</v>
      </c>
      <c r="AJ566" t="s">
        <v>23965</v>
      </c>
      <c r="AK566" t="s">
        <v>69</v>
      </c>
      <c r="AL566">
        <v>87</v>
      </c>
      <c r="AM566">
        <v>182</v>
      </c>
      <c r="AN566">
        <v>183</v>
      </c>
      <c r="AO566">
        <v>3</v>
      </c>
      <c r="AP566">
        <v>69</v>
      </c>
      <c r="AQ566" t="s">
        <v>23966</v>
      </c>
      <c r="AR566" t="s">
        <v>23967</v>
      </c>
      <c r="AS566" t="s">
        <v>23968</v>
      </c>
      <c r="AT566" t="s">
        <v>6118</v>
      </c>
      <c r="AU566" t="s">
        <v>6119</v>
      </c>
      <c r="AV566" t="s">
        <v>69</v>
      </c>
      <c r="AW566" t="s">
        <v>23969</v>
      </c>
      <c r="AX566" t="s">
        <v>23970</v>
      </c>
      <c r="AY566" t="s">
        <v>191</v>
      </c>
      <c r="AZ566">
        <v>2014</v>
      </c>
      <c r="BA566">
        <v>122</v>
      </c>
      <c r="BB566">
        <v>2</v>
      </c>
      <c r="BC566" t="s">
        <v>69</v>
      </c>
      <c r="BD566" t="s">
        <v>69</v>
      </c>
      <c r="BE566" t="s">
        <v>69</v>
      </c>
      <c r="BF566" t="s">
        <v>69</v>
      </c>
      <c r="BG566">
        <v>120</v>
      </c>
      <c r="BH566">
        <v>130</v>
      </c>
      <c r="BI566" t="s">
        <v>69</v>
      </c>
      <c r="BJ566" t="s">
        <v>6120</v>
      </c>
      <c r="BK566" t="str">
        <f>HYPERLINK("http://dx.doi.org/10.1289/ehp.1306639","http://dx.doi.org/10.1289/ehp.1306639")</f>
        <v>http://dx.doi.org/10.1289/ehp.1306639</v>
      </c>
      <c r="BL566" t="s">
        <v>69</v>
      </c>
      <c r="BM566" t="s">
        <v>69</v>
      </c>
      <c r="BN566">
        <v>11</v>
      </c>
      <c r="BO566" t="s">
        <v>23971</v>
      </c>
      <c r="BP566" t="s">
        <v>8523</v>
      </c>
      <c r="BQ566" t="s">
        <v>23972</v>
      </c>
      <c r="BR566" t="s">
        <v>23973</v>
      </c>
      <c r="BS566" t="s">
        <v>6121</v>
      </c>
      <c r="BT566">
        <v>24300100</v>
      </c>
      <c r="BU566" t="s">
        <v>12297</v>
      </c>
      <c r="BV566" t="s">
        <v>69</v>
      </c>
      <c r="BW566" t="s">
        <v>69</v>
      </c>
      <c r="BX566" t="s">
        <v>8526</v>
      </c>
      <c r="BY566" t="str">
        <f>HYPERLINK("https%3A%2F%2Fwww.webofscience.com%2Fwos%2Fwoscc%2Ffull-record%2FWOS:000332650500014","View Full Record in Web of Science")</f>
        <v>View Full Record in Web of Science</v>
      </c>
    </row>
    <row r="567" spans="1:77" ht="12.5" x14ac:dyDescent="0.25">
      <c r="A567" t="s">
        <v>8495</v>
      </c>
      <c r="B567" s="22" t="s">
        <v>32931</v>
      </c>
      <c r="C567" s="7"/>
      <c r="D567" s="7"/>
      <c r="E567" s="7"/>
      <c r="F567" t="s">
        <v>67</v>
      </c>
      <c r="G567" t="s">
        <v>11173</v>
      </c>
      <c r="H567" t="s">
        <v>69</v>
      </c>
      <c r="I567" t="s">
        <v>69</v>
      </c>
      <c r="J567" t="s">
        <v>69</v>
      </c>
      <c r="K567" t="s">
        <v>11174</v>
      </c>
      <c r="L567" t="s">
        <v>69</v>
      </c>
      <c r="M567" t="s">
        <v>69</v>
      </c>
      <c r="N567" t="s">
        <v>11175</v>
      </c>
      <c r="O567" t="s">
        <v>342</v>
      </c>
      <c r="P567" t="s">
        <v>69</v>
      </c>
      <c r="Q567" t="s">
        <v>69</v>
      </c>
      <c r="R567" t="s">
        <v>8505</v>
      </c>
      <c r="S567" t="s">
        <v>8556</v>
      </c>
      <c r="T567" t="s">
        <v>69</v>
      </c>
      <c r="U567" t="s">
        <v>69</v>
      </c>
      <c r="V567" t="s">
        <v>69</v>
      </c>
      <c r="W567" t="s">
        <v>69</v>
      </c>
      <c r="X567" t="s">
        <v>69</v>
      </c>
      <c r="Y567" t="s">
        <v>11176</v>
      </c>
      <c r="Z567" t="s">
        <v>11177</v>
      </c>
      <c r="AA567" t="s">
        <v>11178</v>
      </c>
      <c r="AB567" t="s">
        <v>11179</v>
      </c>
      <c r="AC567" t="s">
        <v>69</v>
      </c>
      <c r="AD567" t="s">
        <v>11180</v>
      </c>
      <c r="AE567" t="s">
        <v>11181</v>
      </c>
      <c r="AF567" t="s">
        <v>11182</v>
      </c>
      <c r="AG567" t="s">
        <v>11183</v>
      </c>
      <c r="AH567" t="s">
        <v>11184</v>
      </c>
      <c r="AI567" t="s">
        <v>11185</v>
      </c>
      <c r="AJ567" t="s">
        <v>11186</v>
      </c>
      <c r="AK567" t="s">
        <v>69</v>
      </c>
      <c r="AL567">
        <v>64</v>
      </c>
      <c r="AM567">
        <v>0</v>
      </c>
      <c r="AN567">
        <v>0</v>
      </c>
      <c r="AO567">
        <v>2</v>
      </c>
      <c r="AP567">
        <v>3</v>
      </c>
      <c r="AQ567" t="s">
        <v>8611</v>
      </c>
      <c r="AR567" t="s">
        <v>8612</v>
      </c>
      <c r="AS567" t="s">
        <v>8613</v>
      </c>
      <c r="AT567" t="s">
        <v>344</v>
      </c>
      <c r="AU567" t="s">
        <v>345</v>
      </c>
      <c r="AV567" t="s">
        <v>69</v>
      </c>
      <c r="AW567" t="s">
        <v>9821</v>
      </c>
      <c r="AX567" t="s">
        <v>9822</v>
      </c>
      <c r="AY567" t="s">
        <v>69</v>
      </c>
      <c r="AZ567" t="s">
        <v>69</v>
      </c>
      <c r="BA567" t="s">
        <v>69</v>
      </c>
      <c r="BB567" t="s">
        <v>69</v>
      </c>
      <c r="BC567" t="s">
        <v>69</v>
      </c>
      <c r="BD567" t="s">
        <v>69</v>
      </c>
      <c r="BE567" t="s">
        <v>69</v>
      </c>
      <c r="BF567" t="s">
        <v>69</v>
      </c>
      <c r="BG567" t="s">
        <v>69</v>
      </c>
      <c r="BH567" t="s">
        <v>69</v>
      </c>
      <c r="BI567" t="s">
        <v>69</v>
      </c>
      <c r="BJ567" t="s">
        <v>11187</v>
      </c>
      <c r="BK567" t="str">
        <f>HYPERLINK("http://dx.doi.org/10.1080/15623599.2021.1985775","http://dx.doi.org/10.1080/15623599.2021.1985775")</f>
        <v>http://dx.doi.org/10.1080/15623599.2021.1985775</v>
      </c>
      <c r="BL567" t="s">
        <v>69</v>
      </c>
      <c r="BM567" t="s">
        <v>10991</v>
      </c>
      <c r="BN567">
        <v>11</v>
      </c>
      <c r="BO567" t="s">
        <v>9410</v>
      </c>
      <c r="BP567" t="s">
        <v>8573</v>
      </c>
      <c r="BQ567" t="s">
        <v>8594</v>
      </c>
      <c r="BR567" t="s">
        <v>11188</v>
      </c>
      <c r="BS567" t="s">
        <v>11189</v>
      </c>
      <c r="BT567" t="s">
        <v>69</v>
      </c>
      <c r="BU567" t="s">
        <v>69</v>
      </c>
      <c r="BV567" t="s">
        <v>69</v>
      </c>
      <c r="BW567" t="s">
        <v>69</v>
      </c>
      <c r="BX567" t="s">
        <v>8526</v>
      </c>
      <c r="BY567" t="str">
        <f>HYPERLINK("https%3A%2F%2Fwww.webofscience.com%2Fwos%2Fwoscc%2Ffull-record%2FWOS:000705115800001","View Full Record in Web of Science")</f>
        <v>View Full Record in Web of Science</v>
      </c>
    </row>
    <row r="568" spans="1:77" ht="12.5" x14ac:dyDescent="0.25">
      <c r="A568" t="s">
        <v>8495</v>
      </c>
      <c r="B568" s="22" t="s">
        <v>32931</v>
      </c>
      <c r="C568" s="7"/>
      <c r="D568" s="7"/>
      <c r="E568" s="7"/>
      <c r="F568" t="s">
        <v>67</v>
      </c>
      <c r="G568" t="s">
        <v>10691</v>
      </c>
      <c r="H568" t="s">
        <v>69</v>
      </c>
      <c r="I568" t="s">
        <v>69</v>
      </c>
      <c r="J568" t="s">
        <v>69</v>
      </c>
      <c r="K568" t="s">
        <v>10692</v>
      </c>
      <c r="L568" t="s">
        <v>69</v>
      </c>
      <c r="M568" t="s">
        <v>69</v>
      </c>
      <c r="N568" t="s">
        <v>10693</v>
      </c>
      <c r="O568" t="s">
        <v>206</v>
      </c>
      <c r="P568" t="s">
        <v>69</v>
      </c>
      <c r="Q568" t="s">
        <v>69</v>
      </c>
      <c r="R568" t="s">
        <v>8505</v>
      </c>
      <c r="S568" t="s">
        <v>8442</v>
      </c>
      <c r="T568" t="s">
        <v>69</v>
      </c>
      <c r="U568" t="s">
        <v>69</v>
      </c>
      <c r="V568" t="s">
        <v>69</v>
      </c>
      <c r="W568" t="s">
        <v>69</v>
      </c>
      <c r="X568" t="s">
        <v>69</v>
      </c>
      <c r="Y568" t="s">
        <v>10694</v>
      </c>
      <c r="Z568" t="s">
        <v>10695</v>
      </c>
      <c r="AA568" t="s">
        <v>10696</v>
      </c>
      <c r="AB568" t="s">
        <v>10697</v>
      </c>
      <c r="AC568" t="s">
        <v>69</v>
      </c>
      <c r="AD568" t="s">
        <v>10698</v>
      </c>
      <c r="AE568" t="s">
        <v>10699</v>
      </c>
      <c r="AF568" t="s">
        <v>10700</v>
      </c>
      <c r="AG568" t="s">
        <v>10701</v>
      </c>
      <c r="AH568" t="s">
        <v>10702</v>
      </c>
      <c r="AI568" t="s">
        <v>10702</v>
      </c>
      <c r="AJ568" t="s">
        <v>10703</v>
      </c>
      <c r="AK568" t="s">
        <v>69</v>
      </c>
      <c r="AL568">
        <v>44</v>
      </c>
      <c r="AM568">
        <v>0</v>
      </c>
      <c r="AN568">
        <v>0</v>
      </c>
      <c r="AO568">
        <v>2</v>
      </c>
      <c r="AP568">
        <v>3</v>
      </c>
      <c r="AQ568" t="s">
        <v>9203</v>
      </c>
      <c r="AR568" t="s">
        <v>8763</v>
      </c>
      <c r="AS568" t="s">
        <v>9204</v>
      </c>
      <c r="AT568" t="s">
        <v>69</v>
      </c>
      <c r="AU568" t="s">
        <v>208</v>
      </c>
      <c r="AV568" t="s">
        <v>69</v>
      </c>
      <c r="AW568" t="s">
        <v>206</v>
      </c>
      <c r="AX568" t="s">
        <v>10704</v>
      </c>
      <c r="AY568" t="s">
        <v>10705</v>
      </c>
      <c r="AZ568">
        <v>2021</v>
      </c>
      <c r="BA568">
        <v>21</v>
      </c>
      <c r="BB568">
        <v>1</v>
      </c>
      <c r="BC568" t="s">
        <v>69</v>
      </c>
      <c r="BD568" t="s">
        <v>69</v>
      </c>
      <c r="BE568" t="s">
        <v>69</v>
      </c>
      <c r="BF568" t="s">
        <v>69</v>
      </c>
      <c r="BG568" t="s">
        <v>69</v>
      </c>
      <c r="BH568" t="s">
        <v>69</v>
      </c>
      <c r="BI568">
        <v>2176</v>
      </c>
      <c r="BJ568" t="s">
        <v>10706</v>
      </c>
      <c r="BK568" t="str">
        <f>HYPERLINK("http://dx.doi.org/10.1186/s12889-021-12212-7","http://dx.doi.org/10.1186/s12889-021-12212-7")</f>
        <v>http://dx.doi.org/10.1186/s12889-021-12212-7</v>
      </c>
      <c r="BL568" t="s">
        <v>69</v>
      </c>
      <c r="BM568" t="s">
        <v>69</v>
      </c>
      <c r="BN568">
        <v>13</v>
      </c>
      <c r="BO568" t="s">
        <v>8810</v>
      </c>
      <c r="BP568" t="s">
        <v>8523</v>
      </c>
      <c r="BQ568" t="s">
        <v>8810</v>
      </c>
      <c r="BR568" t="s">
        <v>10707</v>
      </c>
      <c r="BS568" t="s">
        <v>10708</v>
      </c>
      <c r="BT568">
        <v>34837979</v>
      </c>
      <c r="BU568" t="s">
        <v>9352</v>
      </c>
      <c r="BV568" t="s">
        <v>69</v>
      </c>
      <c r="BW568" t="s">
        <v>69</v>
      </c>
      <c r="BX568" t="s">
        <v>8526</v>
      </c>
      <c r="BY568" t="str">
        <f>HYPERLINK("https%3A%2F%2Fwww.webofscience.com%2Fwos%2Fwoscc%2Ffull-record%2FWOS:000722998500004","View Full Record in Web of Science")</f>
        <v>View Full Record in Web of Science</v>
      </c>
    </row>
    <row r="569" spans="1:77" x14ac:dyDescent="0.3">
      <c r="A569" t="s">
        <v>8495</v>
      </c>
      <c r="B569" s="9" t="s">
        <v>32954</v>
      </c>
      <c r="C569" s="9" t="s">
        <v>33100</v>
      </c>
      <c r="D569" s="9" t="s">
        <v>8491</v>
      </c>
      <c r="E569" s="9" t="s">
        <v>8490</v>
      </c>
      <c r="F569" t="s">
        <v>67</v>
      </c>
      <c r="G569" t="s">
        <v>31163</v>
      </c>
      <c r="H569" t="s">
        <v>69</v>
      </c>
      <c r="I569" t="s">
        <v>69</v>
      </c>
      <c r="J569" t="s">
        <v>69</v>
      </c>
      <c r="K569" t="s">
        <v>31163</v>
      </c>
      <c r="L569" t="s">
        <v>69</v>
      </c>
      <c r="M569" t="s">
        <v>69</v>
      </c>
      <c r="N569" t="s">
        <v>31164</v>
      </c>
      <c r="O569" t="s">
        <v>31165</v>
      </c>
      <c r="P569" t="s">
        <v>69</v>
      </c>
      <c r="Q569" t="s">
        <v>69</v>
      </c>
      <c r="R569" t="s">
        <v>8505</v>
      </c>
      <c r="S569" t="s">
        <v>8506</v>
      </c>
      <c r="T569" t="s">
        <v>69</v>
      </c>
      <c r="U569" t="s">
        <v>69</v>
      </c>
      <c r="V569" t="s">
        <v>69</v>
      </c>
      <c r="W569" t="s">
        <v>69</v>
      </c>
      <c r="X569" t="s">
        <v>69</v>
      </c>
      <c r="Y569" t="s">
        <v>31166</v>
      </c>
      <c r="Z569" t="s">
        <v>69</v>
      </c>
      <c r="AA569" t="s">
        <v>31167</v>
      </c>
      <c r="AB569" t="s">
        <v>31168</v>
      </c>
      <c r="AC569" t="s">
        <v>69</v>
      </c>
      <c r="AD569" t="s">
        <v>69</v>
      </c>
      <c r="AE569" t="s">
        <v>69</v>
      </c>
      <c r="AF569" t="s">
        <v>69</v>
      </c>
      <c r="AG569" t="s">
        <v>69</v>
      </c>
      <c r="AH569" t="s">
        <v>69</v>
      </c>
      <c r="AI569" t="s">
        <v>69</v>
      </c>
      <c r="AJ569" t="s">
        <v>69</v>
      </c>
      <c r="AK569" t="s">
        <v>69</v>
      </c>
      <c r="AL569">
        <v>20</v>
      </c>
      <c r="AM569">
        <v>0</v>
      </c>
      <c r="AN569">
        <v>0</v>
      </c>
      <c r="AO569">
        <v>1</v>
      </c>
      <c r="AP569">
        <v>6</v>
      </c>
      <c r="AQ569" t="s">
        <v>17140</v>
      </c>
      <c r="AR569" t="s">
        <v>8517</v>
      </c>
      <c r="AS569" t="s">
        <v>17141</v>
      </c>
      <c r="AT569" t="s">
        <v>31169</v>
      </c>
      <c r="AU569" t="s">
        <v>69</v>
      </c>
      <c r="AV569" t="s">
        <v>69</v>
      </c>
      <c r="AW569" t="s">
        <v>31170</v>
      </c>
      <c r="AX569" t="s">
        <v>31171</v>
      </c>
      <c r="AY569" t="s">
        <v>381</v>
      </c>
      <c r="AZ569">
        <v>2003</v>
      </c>
      <c r="BA569">
        <v>70</v>
      </c>
      <c r="BB569" t="s">
        <v>336</v>
      </c>
      <c r="BC569" t="s">
        <v>69</v>
      </c>
      <c r="BD569" t="s">
        <v>69</v>
      </c>
      <c r="BE569" t="s">
        <v>69</v>
      </c>
      <c r="BF569" t="s">
        <v>69</v>
      </c>
      <c r="BG569">
        <v>169</v>
      </c>
      <c r="BH569">
        <v>200</v>
      </c>
      <c r="BI569" t="s">
        <v>69</v>
      </c>
      <c r="BJ569" t="s">
        <v>31172</v>
      </c>
      <c r="BK569" t="str">
        <f>HYPERLINK("http://dx.doi.org/10.1016/S0013-7952(03)00084-X","http://dx.doi.org/10.1016/S0013-7952(03)00084-X")</f>
        <v>http://dx.doi.org/10.1016/S0013-7952(03)00084-X</v>
      </c>
      <c r="BL569" t="s">
        <v>69</v>
      </c>
      <c r="BM569" t="s">
        <v>69</v>
      </c>
      <c r="BN569">
        <v>32</v>
      </c>
      <c r="BO569" t="s">
        <v>31173</v>
      </c>
      <c r="BP569" t="s">
        <v>8548</v>
      </c>
      <c r="BQ569" t="s">
        <v>29172</v>
      </c>
      <c r="BR569" t="s">
        <v>31174</v>
      </c>
      <c r="BS569" t="s">
        <v>31175</v>
      </c>
      <c r="BT569" t="s">
        <v>69</v>
      </c>
      <c r="BU569" t="s">
        <v>69</v>
      </c>
      <c r="BV569" t="s">
        <v>69</v>
      </c>
      <c r="BW569" t="s">
        <v>69</v>
      </c>
      <c r="BX569" t="s">
        <v>8526</v>
      </c>
      <c r="BY569" t="str">
        <f>HYPERLINK("https%3A%2F%2Fwww.webofscience.com%2Fwos%2Fwoscc%2Ffull-record%2FWOS:000185641200012","View Full Record in Web of Science")</f>
        <v>View Full Record in Web of Science</v>
      </c>
    </row>
    <row r="570" spans="1:77" ht="12.5" x14ac:dyDescent="0.25">
      <c r="A570" t="s">
        <v>8495</v>
      </c>
      <c r="B570" s="7" t="s">
        <v>32933</v>
      </c>
      <c r="C570" s="7"/>
      <c r="D570" s="7"/>
      <c r="E570" s="7"/>
      <c r="F570" t="s">
        <v>67</v>
      </c>
      <c r="G570" t="s">
        <v>6964</v>
      </c>
      <c r="H570" t="s">
        <v>69</v>
      </c>
      <c r="I570" t="s">
        <v>69</v>
      </c>
      <c r="J570" t="s">
        <v>69</v>
      </c>
      <c r="K570" t="s">
        <v>6964</v>
      </c>
      <c r="L570" t="s">
        <v>69</v>
      </c>
      <c r="M570" t="s">
        <v>69</v>
      </c>
      <c r="N570" t="s">
        <v>6965</v>
      </c>
      <c r="O570" t="s">
        <v>436</v>
      </c>
      <c r="P570" t="s">
        <v>69</v>
      </c>
      <c r="Q570" t="s">
        <v>69</v>
      </c>
      <c r="R570" t="s">
        <v>8505</v>
      </c>
      <c r="S570" t="s">
        <v>15797</v>
      </c>
      <c r="T570" t="s">
        <v>6966</v>
      </c>
      <c r="U570" t="s">
        <v>6967</v>
      </c>
      <c r="V570" t="s">
        <v>6968</v>
      </c>
      <c r="W570" t="s">
        <v>69</v>
      </c>
      <c r="X570" t="s">
        <v>69</v>
      </c>
      <c r="Y570" t="s">
        <v>30501</v>
      </c>
      <c r="Z570" t="s">
        <v>69</v>
      </c>
      <c r="AA570" t="s">
        <v>6969</v>
      </c>
      <c r="AB570" t="s">
        <v>30502</v>
      </c>
      <c r="AC570" t="s">
        <v>69</v>
      </c>
      <c r="AD570" t="s">
        <v>30503</v>
      </c>
      <c r="AE570" t="s">
        <v>30504</v>
      </c>
      <c r="AF570" t="s">
        <v>69</v>
      </c>
      <c r="AG570" t="s">
        <v>69</v>
      </c>
      <c r="AH570" t="s">
        <v>69</v>
      </c>
      <c r="AI570" t="s">
        <v>69</v>
      </c>
      <c r="AJ570" t="s">
        <v>69</v>
      </c>
      <c r="AK570" t="s">
        <v>69</v>
      </c>
      <c r="AL570">
        <v>8</v>
      </c>
      <c r="AM570">
        <v>46</v>
      </c>
      <c r="AN570">
        <v>46</v>
      </c>
      <c r="AO570">
        <v>1</v>
      </c>
      <c r="AP570">
        <v>50</v>
      </c>
      <c r="AQ570" t="s">
        <v>8636</v>
      </c>
      <c r="AR570" t="s">
        <v>8637</v>
      </c>
      <c r="AS570" t="s">
        <v>8638</v>
      </c>
      <c r="AT570" t="s">
        <v>440</v>
      </c>
      <c r="AU570" t="s">
        <v>69</v>
      </c>
      <c r="AV570" t="s">
        <v>69</v>
      </c>
      <c r="AW570" t="s">
        <v>8639</v>
      </c>
      <c r="AX570" t="s">
        <v>8640</v>
      </c>
      <c r="AY570" t="s">
        <v>69</v>
      </c>
      <c r="AZ570">
        <v>2006</v>
      </c>
      <c r="BA570">
        <v>14</v>
      </c>
      <c r="BB570" t="s">
        <v>6970</v>
      </c>
      <c r="BC570" t="s">
        <v>69</v>
      </c>
      <c r="BD570" t="s">
        <v>69</v>
      </c>
      <c r="BE570" t="s">
        <v>69</v>
      </c>
      <c r="BF570" t="s">
        <v>69</v>
      </c>
      <c r="BG570">
        <v>601</v>
      </c>
      <c r="BH570">
        <v>609</v>
      </c>
      <c r="BI570" t="s">
        <v>69</v>
      </c>
      <c r="BJ570" t="s">
        <v>6971</v>
      </c>
      <c r="BK570" t="str">
        <f>HYPERLINK("http://dx.doi.org/10.1016/j.jclepro.2005.07.013","http://dx.doi.org/10.1016/j.jclepro.2005.07.013")</f>
        <v>http://dx.doi.org/10.1016/j.jclepro.2005.07.013</v>
      </c>
      <c r="BL570" t="s">
        <v>69</v>
      </c>
      <c r="BM570" t="s">
        <v>69</v>
      </c>
      <c r="BN570">
        <v>9</v>
      </c>
      <c r="BO570" t="s">
        <v>8643</v>
      </c>
      <c r="BP570" t="s">
        <v>29550</v>
      </c>
      <c r="BQ570" t="s">
        <v>8644</v>
      </c>
      <c r="BR570" t="s">
        <v>30505</v>
      </c>
      <c r="BS570" t="s">
        <v>6972</v>
      </c>
      <c r="BT570" t="s">
        <v>69</v>
      </c>
      <c r="BU570" t="s">
        <v>69</v>
      </c>
      <c r="BV570" t="s">
        <v>69</v>
      </c>
      <c r="BW570" t="s">
        <v>69</v>
      </c>
      <c r="BX570" t="s">
        <v>8526</v>
      </c>
      <c r="BY570" t="str">
        <f>HYPERLINK("https%3A%2F%2Fwww.webofscience.com%2Fwos%2Fwoscc%2Ffull-record%2FWOS:000236893500008","View Full Record in Web of Science")</f>
        <v>View Full Record in Web of Science</v>
      </c>
    </row>
    <row r="571" spans="1:77" ht="12.5" x14ac:dyDescent="0.25">
      <c r="A571" t="s">
        <v>8495</v>
      </c>
      <c r="B571" s="7" t="s">
        <v>32933</v>
      </c>
      <c r="C571" s="7"/>
      <c r="D571" s="7"/>
      <c r="E571" s="7"/>
      <c r="F571" t="s">
        <v>67</v>
      </c>
      <c r="G571" t="s">
        <v>878</v>
      </c>
      <c r="H571" t="s">
        <v>69</v>
      </c>
      <c r="I571" t="s">
        <v>69</v>
      </c>
      <c r="J571" t="s">
        <v>69</v>
      </c>
      <c r="K571" t="s">
        <v>879</v>
      </c>
      <c r="L571" t="s">
        <v>69</v>
      </c>
      <c r="M571" t="s">
        <v>69</v>
      </c>
      <c r="N571" t="s">
        <v>880</v>
      </c>
      <c r="O571" t="s">
        <v>881</v>
      </c>
      <c r="P571" t="s">
        <v>69</v>
      </c>
      <c r="Q571" t="s">
        <v>69</v>
      </c>
      <c r="R571" t="s">
        <v>8505</v>
      </c>
      <c r="S571" t="s">
        <v>8506</v>
      </c>
      <c r="T571" t="s">
        <v>69</v>
      </c>
      <c r="U571" t="s">
        <v>69</v>
      </c>
      <c r="V571" t="s">
        <v>69</v>
      </c>
      <c r="W571" t="s">
        <v>69</v>
      </c>
      <c r="X571" t="s">
        <v>69</v>
      </c>
      <c r="Y571" t="s">
        <v>16538</v>
      </c>
      <c r="Z571" t="s">
        <v>16539</v>
      </c>
      <c r="AA571" t="s">
        <v>882</v>
      </c>
      <c r="AB571" t="s">
        <v>16540</v>
      </c>
      <c r="AC571" t="s">
        <v>69</v>
      </c>
      <c r="AD571" t="s">
        <v>16541</v>
      </c>
      <c r="AE571" t="s">
        <v>16542</v>
      </c>
      <c r="AF571" t="s">
        <v>16543</v>
      </c>
      <c r="AG571" t="s">
        <v>16544</v>
      </c>
      <c r="AH571" t="s">
        <v>16545</v>
      </c>
      <c r="AI571" t="s">
        <v>16545</v>
      </c>
      <c r="AJ571" t="s">
        <v>16546</v>
      </c>
      <c r="AK571" t="s">
        <v>69</v>
      </c>
      <c r="AL571">
        <v>47</v>
      </c>
      <c r="AM571">
        <v>25</v>
      </c>
      <c r="AN571">
        <v>25</v>
      </c>
      <c r="AO571">
        <v>1</v>
      </c>
      <c r="AP571">
        <v>28</v>
      </c>
      <c r="AQ571" t="s">
        <v>8516</v>
      </c>
      <c r="AR571" t="s">
        <v>8517</v>
      </c>
      <c r="AS571" t="s">
        <v>8518</v>
      </c>
      <c r="AT571" t="s">
        <v>883</v>
      </c>
      <c r="AU571" t="s">
        <v>884</v>
      </c>
      <c r="AV571" t="s">
        <v>69</v>
      </c>
      <c r="AW571" t="s">
        <v>12415</v>
      </c>
      <c r="AX571" t="s">
        <v>12416</v>
      </c>
      <c r="AY571" t="s">
        <v>274</v>
      </c>
      <c r="AZ571">
        <v>2019</v>
      </c>
      <c r="BA571">
        <v>150</v>
      </c>
      <c r="BB571" t="s">
        <v>69</v>
      </c>
      <c r="BC571" t="s">
        <v>69</v>
      </c>
      <c r="BD571" t="s">
        <v>69</v>
      </c>
      <c r="BE571" t="s">
        <v>69</v>
      </c>
      <c r="BF571" t="s">
        <v>69</v>
      </c>
      <c r="BG571" t="s">
        <v>69</v>
      </c>
      <c r="BH571" t="s">
        <v>69</v>
      </c>
      <c r="BI571">
        <v>104444</v>
      </c>
      <c r="BJ571" t="s">
        <v>885</v>
      </c>
      <c r="BK571" t="str">
        <f>HYPERLINK("http://dx.doi.org/10.1016/j.resconrec.2019.104444","http://dx.doi.org/10.1016/j.resconrec.2019.104444")</f>
        <v>http://dx.doi.org/10.1016/j.resconrec.2019.104444</v>
      </c>
      <c r="BL571" t="s">
        <v>69</v>
      </c>
      <c r="BM571" t="s">
        <v>69</v>
      </c>
      <c r="BN571">
        <v>11</v>
      </c>
      <c r="BO571" t="s">
        <v>8743</v>
      </c>
      <c r="BP571" t="s">
        <v>8523</v>
      </c>
      <c r="BQ571" t="s">
        <v>8744</v>
      </c>
      <c r="BR571" t="s">
        <v>16547</v>
      </c>
      <c r="BS571" t="s">
        <v>886</v>
      </c>
      <c r="BT571" t="s">
        <v>69</v>
      </c>
      <c r="BU571" t="s">
        <v>69</v>
      </c>
      <c r="BV571" t="s">
        <v>69</v>
      </c>
      <c r="BW571" t="s">
        <v>69</v>
      </c>
      <c r="BX571" t="s">
        <v>8526</v>
      </c>
      <c r="BY571" t="str">
        <f>HYPERLINK("https%3A%2F%2Fwww.webofscience.com%2Fwos%2Fwoscc%2Ffull-record%2FWOS:000488141000033","View Full Record in Web of Science")</f>
        <v>View Full Record in Web of Science</v>
      </c>
    </row>
    <row r="572" spans="1:77" ht="12.5" x14ac:dyDescent="0.25">
      <c r="A572" t="s">
        <v>8495</v>
      </c>
      <c r="B572" s="7" t="s">
        <v>32933</v>
      </c>
      <c r="C572" s="7"/>
      <c r="D572" s="7"/>
      <c r="E572" s="7"/>
      <c r="F572" t="s">
        <v>67</v>
      </c>
      <c r="G572" t="s">
        <v>2173</v>
      </c>
      <c r="H572" t="s">
        <v>69</v>
      </c>
      <c r="I572" t="s">
        <v>69</v>
      </c>
      <c r="J572" t="s">
        <v>69</v>
      </c>
      <c r="K572" t="s">
        <v>2174</v>
      </c>
      <c r="L572" t="s">
        <v>69</v>
      </c>
      <c r="M572" t="s">
        <v>69</v>
      </c>
      <c r="N572" t="s">
        <v>2175</v>
      </c>
      <c r="O572" t="s">
        <v>332</v>
      </c>
      <c r="P572" t="s">
        <v>69</v>
      </c>
      <c r="Q572" t="s">
        <v>69</v>
      </c>
      <c r="R572" t="s">
        <v>8505</v>
      </c>
      <c r="S572" t="s">
        <v>8506</v>
      </c>
      <c r="T572" t="s">
        <v>69</v>
      </c>
      <c r="U572" t="s">
        <v>69</v>
      </c>
      <c r="V572" t="s">
        <v>69</v>
      </c>
      <c r="W572" t="s">
        <v>69</v>
      </c>
      <c r="X572" t="s">
        <v>69</v>
      </c>
      <c r="Y572" t="s">
        <v>16918</v>
      </c>
      <c r="Z572" t="s">
        <v>16919</v>
      </c>
      <c r="AA572" t="s">
        <v>2176</v>
      </c>
      <c r="AB572" t="s">
        <v>16920</v>
      </c>
      <c r="AC572" t="s">
        <v>69</v>
      </c>
      <c r="AD572" t="s">
        <v>16921</v>
      </c>
      <c r="AE572" t="s">
        <v>16922</v>
      </c>
      <c r="AF572" t="s">
        <v>69</v>
      </c>
      <c r="AG572" t="s">
        <v>2177</v>
      </c>
      <c r="AH572" t="s">
        <v>69</v>
      </c>
      <c r="AI572" t="s">
        <v>69</v>
      </c>
      <c r="AJ572" t="s">
        <v>69</v>
      </c>
      <c r="AK572" t="s">
        <v>69</v>
      </c>
      <c r="AL572">
        <v>39</v>
      </c>
      <c r="AM572">
        <v>0</v>
      </c>
      <c r="AN572">
        <v>0</v>
      </c>
      <c r="AO572">
        <v>1</v>
      </c>
      <c r="AP572">
        <v>3</v>
      </c>
      <c r="AQ572" t="s">
        <v>8586</v>
      </c>
      <c r="AR572" t="s">
        <v>8587</v>
      </c>
      <c r="AS572" t="s">
        <v>8588</v>
      </c>
      <c r="AT572" t="s">
        <v>334</v>
      </c>
      <c r="AU572" t="s">
        <v>335</v>
      </c>
      <c r="AV572" t="s">
        <v>69</v>
      </c>
      <c r="AW572" t="s">
        <v>332</v>
      </c>
      <c r="AX572" t="s">
        <v>16285</v>
      </c>
      <c r="AY572" t="s">
        <v>2178</v>
      </c>
      <c r="AZ572">
        <v>2019</v>
      </c>
      <c r="BA572">
        <v>37</v>
      </c>
      <c r="BB572" t="s">
        <v>1263</v>
      </c>
      <c r="BC572" t="s">
        <v>69</v>
      </c>
      <c r="BD572" t="s">
        <v>69</v>
      </c>
      <c r="BE572" t="s">
        <v>69</v>
      </c>
      <c r="BF572" t="s">
        <v>69</v>
      </c>
      <c r="BG572">
        <v>825</v>
      </c>
      <c r="BH572">
        <v>838</v>
      </c>
      <c r="BI572" t="s">
        <v>69</v>
      </c>
      <c r="BJ572" t="s">
        <v>2179</v>
      </c>
      <c r="BK572" t="str">
        <f>HYPERLINK("http://dx.doi.org/10.1108/F-02-2017-0014","http://dx.doi.org/10.1108/F-02-2017-0014")</f>
        <v>http://dx.doi.org/10.1108/F-02-2017-0014</v>
      </c>
      <c r="BL572" t="s">
        <v>69</v>
      </c>
      <c r="BM572" t="s">
        <v>69</v>
      </c>
      <c r="BN572">
        <v>14</v>
      </c>
      <c r="BO572" t="s">
        <v>9410</v>
      </c>
      <c r="BP572" t="s">
        <v>8573</v>
      </c>
      <c r="BQ572" t="s">
        <v>8594</v>
      </c>
      <c r="BR572" t="s">
        <v>16923</v>
      </c>
      <c r="BS572" t="s">
        <v>2180</v>
      </c>
      <c r="BT572" t="s">
        <v>69</v>
      </c>
      <c r="BU572" t="s">
        <v>69</v>
      </c>
      <c r="BV572" t="s">
        <v>69</v>
      </c>
      <c r="BW572" t="s">
        <v>69</v>
      </c>
      <c r="BX572" t="s">
        <v>8526</v>
      </c>
      <c r="BY572" t="str">
        <f>HYPERLINK("https%3A%2F%2Fwww.webofscience.com%2Fwos%2Fwoscc%2Ffull-record%2FWOS:000475370600009","View Full Record in Web of Science")</f>
        <v>View Full Record in Web of Science</v>
      </c>
    </row>
    <row r="573" spans="1:77" x14ac:dyDescent="0.3">
      <c r="A573" t="s">
        <v>8495</v>
      </c>
      <c r="B573" s="12" t="s">
        <v>32977</v>
      </c>
      <c r="F573" t="s">
        <v>67</v>
      </c>
      <c r="G573" t="s">
        <v>4896</v>
      </c>
      <c r="H573" t="s">
        <v>69</v>
      </c>
      <c r="I573" t="s">
        <v>69</v>
      </c>
      <c r="J573" t="s">
        <v>69</v>
      </c>
      <c r="K573" t="s">
        <v>4897</v>
      </c>
      <c r="L573" t="s">
        <v>69</v>
      </c>
      <c r="M573" t="s">
        <v>69</v>
      </c>
      <c r="N573" s="3" t="s">
        <v>4898</v>
      </c>
      <c r="O573" t="s">
        <v>4899</v>
      </c>
      <c r="P573" t="s">
        <v>69</v>
      </c>
      <c r="Q573" t="s">
        <v>69</v>
      </c>
      <c r="R573" t="s">
        <v>8505</v>
      </c>
      <c r="S573" t="s">
        <v>8442</v>
      </c>
      <c r="T573" t="s">
        <v>69</v>
      </c>
      <c r="U573" t="s">
        <v>69</v>
      </c>
      <c r="V573" t="s">
        <v>69</v>
      </c>
      <c r="W573" t="s">
        <v>69</v>
      </c>
      <c r="X573" t="s">
        <v>69</v>
      </c>
      <c r="Y573" t="s">
        <v>19904</v>
      </c>
      <c r="Z573" t="s">
        <v>19905</v>
      </c>
      <c r="AA573" t="s">
        <v>4900</v>
      </c>
      <c r="AB573" t="s">
        <v>19906</v>
      </c>
      <c r="AC573" t="s">
        <v>69</v>
      </c>
      <c r="AD573" t="s">
        <v>19907</v>
      </c>
      <c r="AE573" t="s">
        <v>19908</v>
      </c>
      <c r="AF573" t="s">
        <v>69</v>
      </c>
      <c r="AG573" t="s">
        <v>69</v>
      </c>
      <c r="AH573" t="s">
        <v>19909</v>
      </c>
      <c r="AI573" t="s">
        <v>15550</v>
      </c>
      <c r="AJ573" t="s">
        <v>19910</v>
      </c>
      <c r="AK573" t="s">
        <v>69</v>
      </c>
      <c r="AL573">
        <v>49</v>
      </c>
      <c r="AM573">
        <v>3</v>
      </c>
      <c r="AN573">
        <v>3</v>
      </c>
      <c r="AO573">
        <v>2</v>
      </c>
      <c r="AP573">
        <v>15</v>
      </c>
      <c r="AQ573" t="s">
        <v>9203</v>
      </c>
      <c r="AR573" t="s">
        <v>8763</v>
      </c>
      <c r="AS573" t="s">
        <v>9204</v>
      </c>
      <c r="AT573" t="s">
        <v>4901</v>
      </c>
      <c r="AU573" t="s">
        <v>69</v>
      </c>
      <c r="AV573" t="s">
        <v>69</v>
      </c>
      <c r="AW573" t="s">
        <v>19911</v>
      </c>
      <c r="AX573" t="s">
        <v>19912</v>
      </c>
      <c r="AY573" t="s">
        <v>891</v>
      </c>
      <c r="AZ573">
        <v>2017</v>
      </c>
      <c r="BA573">
        <v>7</v>
      </c>
      <c r="BB573" t="s">
        <v>69</v>
      </c>
      <c r="BC573" t="s">
        <v>69</v>
      </c>
      <c r="BD573" t="s">
        <v>69</v>
      </c>
      <c r="BE573" t="s">
        <v>69</v>
      </c>
      <c r="BF573" t="s">
        <v>69</v>
      </c>
      <c r="BG573" t="s">
        <v>69</v>
      </c>
      <c r="BH573" t="s">
        <v>69</v>
      </c>
      <c r="BI573">
        <v>30</v>
      </c>
      <c r="BJ573" t="s">
        <v>4902</v>
      </c>
      <c r="BK573" t="str">
        <f>HYPERLINK("http://dx.doi.org/10.1186/s13705-017-0132-1","http://dx.doi.org/10.1186/s13705-017-0132-1")</f>
        <v>http://dx.doi.org/10.1186/s13705-017-0132-1</v>
      </c>
      <c r="BL573" t="s">
        <v>69</v>
      </c>
      <c r="BM573" t="s">
        <v>69</v>
      </c>
      <c r="BN573">
        <v>10</v>
      </c>
      <c r="BO573" t="s">
        <v>9931</v>
      </c>
      <c r="BP573" t="s">
        <v>8548</v>
      </c>
      <c r="BQ573" t="s">
        <v>9932</v>
      </c>
      <c r="BR573" t="s">
        <v>19913</v>
      </c>
      <c r="BS573" t="s">
        <v>4903</v>
      </c>
      <c r="BT573" t="s">
        <v>69</v>
      </c>
      <c r="BU573" t="s">
        <v>9352</v>
      </c>
      <c r="BV573" t="s">
        <v>69</v>
      </c>
      <c r="BW573" t="s">
        <v>69</v>
      </c>
      <c r="BX573" t="s">
        <v>8526</v>
      </c>
      <c r="BY573" t="str">
        <f>HYPERLINK("https%3A%2F%2Fwww.webofscience.com%2Fwos%2Fwoscc%2Ffull-record%2FWOS:000414332500001","View Full Record in Web of Science")</f>
        <v>View Full Record in Web of Science</v>
      </c>
    </row>
    <row r="574" spans="1:77" ht="12.5" x14ac:dyDescent="0.25">
      <c r="A574" t="s">
        <v>8495</v>
      </c>
      <c r="B574" s="11" t="s">
        <v>32978</v>
      </c>
      <c r="C574" s="7"/>
      <c r="D574" s="7"/>
      <c r="E574" s="7"/>
      <c r="F574" t="s">
        <v>67</v>
      </c>
      <c r="G574" t="s">
        <v>8196</v>
      </c>
      <c r="H574" t="s">
        <v>69</v>
      </c>
      <c r="I574" t="s">
        <v>69</v>
      </c>
      <c r="J574" t="s">
        <v>69</v>
      </c>
      <c r="K574" s="2" t="s">
        <v>8197</v>
      </c>
      <c r="L574" t="s">
        <v>69</v>
      </c>
      <c r="M574" t="s">
        <v>69</v>
      </c>
      <c r="N574" s="11" t="s">
        <v>8198</v>
      </c>
      <c r="O574" t="s">
        <v>1405</v>
      </c>
      <c r="P574" t="s">
        <v>69</v>
      </c>
      <c r="Q574" t="s">
        <v>69</v>
      </c>
      <c r="R574" t="s">
        <v>8505</v>
      </c>
      <c r="S574" t="s">
        <v>8506</v>
      </c>
      <c r="T574" t="s">
        <v>69</v>
      </c>
      <c r="U574" t="s">
        <v>69</v>
      </c>
      <c r="V574" t="s">
        <v>69</v>
      </c>
      <c r="W574" t="s">
        <v>69</v>
      </c>
      <c r="X574" t="s">
        <v>69</v>
      </c>
      <c r="Y574" t="s">
        <v>21186</v>
      </c>
      <c r="Z574" t="s">
        <v>21187</v>
      </c>
      <c r="AA574" t="s">
        <v>8199</v>
      </c>
      <c r="AB574" t="s">
        <v>21188</v>
      </c>
      <c r="AC574" t="s">
        <v>69</v>
      </c>
      <c r="AD574" t="s">
        <v>21189</v>
      </c>
      <c r="AE574" t="s">
        <v>21190</v>
      </c>
      <c r="AF574" t="s">
        <v>69</v>
      </c>
      <c r="AG574" t="s">
        <v>8200</v>
      </c>
      <c r="AH574" t="s">
        <v>21191</v>
      </c>
      <c r="AI574" t="s">
        <v>21192</v>
      </c>
      <c r="AJ574" t="s">
        <v>21193</v>
      </c>
      <c r="AK574" t="s">
        <v>69</v>
      </c>
      <c r="AL574">
        <v>63</v>
      </c>
      <c r="AM574">
        <v>7</v>
      </c>
      <c r="AN574">
        <v>7</v>
      </c>
      <c r="AO574">
        <v>0</v>
      </c>
      <c r="AP574">
        <v>11</v>
      </c>
      <c r="AQ574" t="s">
        <v>8636</v>
      </c>
      <c r="AR574" t="s">
        <v>8637</v>
      </c>
      <c r="AS574" t="s">
        <v>8638</v>
      </c>
      <c r="AT574" t="s">
        <v>1407</v>
      </c>
      <c r="AU574" t="s">
        <v>1408</v>
      </c>
      <c r="AV574" t="s">
        <v>69</v>
      </c>
      <c r="AW574" t="s">
        <v>14240</v>
      </c>
      <c r="AX574" t="s">
        <v>8486</v>
      </c>
      <c r="AY574" t="s">
        <v>274</v>
      </c>
      <c r="AZ574">
        <v>2016</v>
      </c>
      <c r="BA574">
        <v>98</v>
      </c>
      <c r="BB574" t="s">
        <v>69</v>
      </c>
      <c r="BC574" t="s">
        <v>69</v>
      </c>
      <c r="BD574" t="s">
        <v>69</v>
      </c>
      <c r="BE574" t="s">
        <v>69</v>
      </c>
      <c r="BF574" t="s">
        <v>69</v>
      </c>
      <c r="BG574">
        <v>309</v>
      </c>
      <c r="BH574">
        <v>317</v>
      </c>
      <c r="BI574" t="s">
        <v>69</v>
      </c>
      <c r="BJ574" t="s">
        <v>8201</v>
      </c>
      <c r="BK574" t="str">
        <f>HYPERLINK("http://dx.doi.org/10.1016/j.enpol.2016.08.022","http://dx.doi.org/10.1016/j.enpol.2016.08.022")</f>
        <v>http://dx.doi.org/10.1016/j.enpol.2016.08.022</v>
      </c>
      <c r="BL574" t="s">
        <v>69</v>
      </c>
      <c r="BM574" t="s">
        <v>69</v>
      </c>
      <c r="BN574">
        <v>9</v>
      </c>
      <c r="BO574" t="s">
        <v>14242</v>
      </c>
      <c r="BP574" t="s">
        <v>8523</v>
      </c>
      <c r="BQ574" t="s">
        <v>14243</v>
      </c>
      <c r="BR574" t="s">
        <v>21194</v>
      </c>
      <c r="BS574" t="s">
        <v>8202</v>
      </c>
      <c r="BT574" t="s">
        <v>69</v>
      </c>
      <c r="BU574" t="s">
        <v>10995</v>
      </c>
      <c r="BV574" t="s">
        <v>69</v>
      </c>
      <c r="BW574" t="s">
        <v>69</v>
      </c>
      <c r="BX574" t="s">
        <v>8526</v>
      </c>
      <c r="BY574" t="str">
        <f>HYPERLINK("https%3A%2F%2Fwww.webofscience.com%2Fwos%2Fwoscc%2Ffull-record%2FWOS:000387300300029","View Full Record in Web of Science")</f>
        <v>View Full Record in Web of Science</v>
      </c>
    </row>
    <row r="575" spans="1:77" ht="12.5" x14ac:dyDescent="0.25">
      <c r="A575" t="s">
        <v>8495</v>
      </c>
      <c r="B575" s="22" t="s">
        <v>32931</v>
      </c>
      <c r="C575" s="7"/>
      <c r="D575" s="7"/>
      <c r="E575" s="7"/>
      <c r="F575" t="s">
        <v>67</v>
      </c>
      <c r="G575" t="s">
        <v>31183</v>
      </c>
      <c r="H575" t="s">
        <v>69</v>
      </c>
      <c r="I575" t="s">
        <v>69</v>
      </c>
      <c r="J575" t="s">
        <v>69</v>
      </c>
      <c r="K575" t="s">
        <v>31183</v>
      </c>
      <c r="L575" t="s">
        <v>69</v>
      </c>
      <c r="M575" t="s">
        <v>69</v>
      </c>
      <c r="N575" t="s">
        <v>31184</v>
      </c>
      <c r="O575" t="s">
        <v>19128</v>
      </c>
      <c r="P575" t="s">
        <v>69</v>
      </c>
      <c r="Q575" t="s">
        <v>69</v>
      </c>
      <c r="R575" t="s">
        <v>8505</v>
      </c>
      <c r="S575" t="s">
        <v>15797</v>
      </c>
      <c r="T575" t="s">
        <v>31185</v>
      </c>
      <c r="U575" t="s">
        <v>31186</v>
      </c>
      <c r="V575" t="s">
        <v>31187</v>
      </c>
      <c r="W575" t="s">
        <v>31188</v>
      </c>
      <c r="X575" t="s">
        <v>69</v>
      </c>
      <c r="Y575" t="s">
        <v>31189</v>
      </c>
      <c r="Z575" t="s">
        <v>69</v>
      </c>
      <c r="AA575" t="s">
        <v>31190</v>
      </c>
      <c r="AB575" t="s">
        <v>31191</v>
      </c>
      <c r="AC575" t="s">
        <v>69</v>
      </c>
      <c r="AD575" t="s">
        <v>31192</v>
      </c>
      <c r="AE575" t="s">
        <v>69</v>
      </c>
      <c r="AF575" t="s">
        <v>69</v>
      </c>
      <c r="AG575" t="s">
        <v>31193</v>
      </c>
      <c r="AH575" t="s">
        <v>69</v>
      </c>
      <c r="AI575" t="s">
        <v>69</v>
      </c>
      <c r="AJ575" t="s">
        <v>69</v>
      </c>
      <c r="AK575" t="s">
        <v>69</v>
      </c>
      <c r="AL575">
        <v>0</v>
      </c>
      <c r="AM575">
        <v>8</v>
      </c>
      <c r="AN575">
        <v>8</v>
      </c>
      <c r="AO575">
        <v>0</v>
      </c>
      <c r="AP575">
        <v>22</v>
      </c>
      <c r="AQ575" t="s">
        <v>8636</v>
      </c>
      <c r="AR575" t="s">
        <v>8637</v>
      </c>
      <c r="AS575" t="s">
        <v>8638</v>
      </c>
      <c r="AT575" t="s">
        <v>19136</v>
      </c>
      <c r="AU575" t="s">
        <v>69</v>
      </c>
      <c r="AV575" t="s">
        <v>69</v>
      </c>
      <c r="AW575" t="s">
        <v>19138</v>
      </c>
      <c r="AX575" t="s">
        <v>19139</v>
      </c>
      <c r="AY575" t="s">
        <v>1725</v>
      </c>
      <c r="AZ575">
        <v>2003</v>
      </c>
      <c r="BA575">
        <v>76</v>
      </c>
      <c r="BB575" t="s">
        <v>4219</v>
      </c>
      <c r="BC575" t="s">
        <v>69</v>
      </c>
      <c r="BD575" t="s">
        <v>69</v>
      </c>
      <c r="BE575" t="s">
        <v>69</v>
      </c>
      <c r="BF575" t="s">
        <v>69</v>
      </c>
      <c r="BG575">
        <v>123</v>
      </c>
      <c r="BH575">
        <v>134</v>
      </c>
      <c r="BI575" t="s">
        <v>69</v>
      </c>
      <c r="BJ575" t="s">
        <v>31194</v>
      </c>
      <c r="BK575" t="str">
        <f>HYPERLINK("http://dx.doi.org/10.1016/S0306-2619(03)00053-9","http://dx.doi.org/10.1016/S0306-2619(03)00053-9")</f>
        <v>http://dx.doi.org/10.1016/S0306-2619(03)00053-9</v>
      </c>
      <c r="BL575" t="s">
        <v>69</v>
      </c>
      <c r="BM575" t="s">
        <v>69</v>
      </c>
      <c r="BN575">
        <v>12</v>
      </c>
      <c r="BO575" t="s">
        <v>19141</v>
      </c>
      <c r="BP575" t="s">
        <v>29550</v>
      </c>
      <c r="BQ575" t="s">
        <v>19142</v>
      </c>
      <c r="BR575" t="s">
        <v>31195</v>
      </c>
      <c r="BS575" t="s">
        <v>31196</v>
      </c>
      <c r="BT575" t="s">
        <v>69</v>
      </c>
      <c r="BU575" t="s">
        <v>69</v>
      </c>
      <c r="BV575" t="s">
        <v>69</v>
      </c>
      <c r="BW575" t="s">
        <v>69</v>
      </c>
      <c r="BX575" t="s">
        <v>8526</v>
      </c>
      <c r="BY575" t="str">
        <f>HYPERLINK("https%3A%2F%2Fwww.webofscience.com%2Fwos%2Fwoscc%2Ffull-record%2FWOS:000184860200012","View Full Record in Web of Science")</f>
        <v>View Full Record in Web of Science</v>
      </c>
    </row>
    <row r="576" spans="1:77" ht="12.5" x14ac:dyDescent="0.25">
      <c r="A576" t="s">
        <v>8495</v>
      </c>
      <c r="B576" s="7" t="s">
        <v>32933</v>
      </c>
      <c r="C576" s="7"/>
      <c r="D576" s="7"/>
      <c r="E576" s="7"/>
      <c r="F576" t="s">
        <v>67</v>
      </c>
      <c r="G576" t="s">
        <v>5906</v>
      </c>
      <c r="H576" t="s">
        <v>69</v>
      </c>
      <c r="I576" t="s">
        <v>69</v>
      </c>
      <c r="J576" t="s">
        <v>69</v>
      </c>
      <c r="K576" t="s">
        <v>5907</v>
      </c>
      <c r="L576" t="s">
        <v>69</v>
      </c>
      <c r="M576" t="s">
        <v>69</v>
      </c>
      <c r="N576" t="s">
        <v>5908</v>
      </c>
      <c r="O576" t="s">
        <v>1405</v>
      </c>
      <c r="P576" t="s">
        <v>69</v>
      </c>
      <c r="Q576" t="s">
        <v>69</v>
      </c>
      <c r="R576" t="s">
        <v>8505</v>
      </c>
      <c r="S576" t="s">
        <v>8506</v>
      </c>
      <c r="T576" t="s">
        <v>69</v>
      </c>
      <c r="U576" t="s">
        <v>69</v>
      </c>
      <c r="V576" t="s">
        <v>69</v>
      </c>
      <c r="W576" t="s">
        <v>69</v>
      </c>
      <c r="X576" t="s">
        <v>69</v>
      </c>
      <c r="Y576" t="s">
        <v>28448</v>
      </c>
      <c r="Z576" t="s">
        <v>69</v>
      </c>
      <c r="AA576" t="s">
        <v>5909</v>
      </c>
      <c r="AB576" t="s">
        <v>28449</v>
      </c>
      <c r="AC576" t="s">
        <v>69</v>
      </c>
      <c r="AD576" t="s">
        <v>28450</v>
      </c>
      <c r="AE576" t="s">
        <v>28451</v>
      </c>
      <c r="AF576" t="s">
        <v>5910</v>
      </c>
      <c r="AG576" t="s">
        <v>5911</v>
      </c>
      <c r="AH576" t="s">
        <v>28452</v>
      </c>
      <c r="AI576" t="s">
        <v>28453</v>
      </c>
      <c r="AJ576" t="s">
        <v>28454</v>
      </c>
      <c r="AK576" t="s">
        <v>69</v>
      </c>
      <c r="AL576">
        <v>46</v>
      </c>
      <c r="AM576">
        <v>37</v>
      </c>
      <c r="AN576">
        <v>37</v>
      </c>
      <c r="AO576">
        <v>0</v>
      </c>
      <c r="AP576">
        <v>18</v>
      </c>
      <c r="AQ576" t="s">
        <v>8636</v>
      </c>
      <c r="AR576" t="s">
        <v>8637</v>
      </c>
      <c r="AS576" t="s">
        <v>8638</v>
      </c>
      <c r="AT576" t="s">
        <v>1407</v>
      </c>
      <c r="AU576" t="s">
        <v>1408</v>
      </c>
      <c r="AV576" t="s">
        <v>69</v>
      </c>
      <c r="AW576" t="s">
        <v>14240</v>
      </c>
      <c r="AX576" t="s">
        <v>8486</v>
      </c>
      <c r="AY576" t="s">
        <v>155</v>
      </c>
      <c r="AZ576">
        <v>2009</v>
      </c>
      <c r="BA576">
        <v>37</v>
      </c>
      <c r="BB576">
        <v>6</v>
      </c>
      <c r="BC576" t="s">
        <v>69</v>
      </c>
      <c r="BD576" t="s">
        <v>69</v>
      </c>
      <c r="BE576" t="s">
        <v>69</v>
      </c>
      <c r="BF576" t="s">
        <v>69</v>
      </c>
      <c r="BG576">
        <v>2356</v>
      </c>
      <c r="BH576">
        <v>2367</v>
      </c>
      <c r="BI576" t="s">
        <v>69</v>
      </c>
      <c r="BJ576" t="s">
        <v>5912</v>
      </c>
      <c r="BK576" t="str">
        <f>HYPERLINK("http://dx.doi.org/10.1016/j.enpol.2009.02.014","http://dx.doi.org/10.1016/j.enpol.2009.02.014")</f>
        <v>http://dx.doi.org/10.1016/j.enpol.2009.02.014</v>
      </c>
      <c r="BL576" t="s">
        <v>69</v>
      </c>
      <c r="BM576" t="s">
        <v>69</v>
      </c>
      <c r="BN576">
        <v>12</v>
      </c>
      <c r="BO576" t="s">
        <v>14242</v>
      </c>
      <c r="BP576" t="s">
        <v>8523</v>
      </c>
      <c r="BQ576" t="s">
        <v>14243</v>
      </c>
      <c r="BR576" t="s">
        <v>28455</v>
      </c>
      <c r="BS576" t="s">
        <v>5913</v>
      </c>
      <c r="BT576" t="s">
        <v>69</v>
      </c>
      <c r="BU576" t="s">
        <v>69</v>
      </c>
      <c r="BV576" t="s">
        <v>69</v>
      </c>
      <c r="BW576" t="s">
        <v>69</v>
      </c>
      <c r="BX576" t="s">
        <v>8526</v>
      </c>
      <c r="BY576" t="str">
        <f>HYPERLINK("https%3A%2F%2Fwww.webofscience.com%2Fwos%2Fwoscc%2Ffull-record%2FWOS:000266233300040","View Full Record in Web of Science")</f>
        <v>View Full Record in Web of Science</v>
      </c>
    </row>
    <row r="577" spans="1:77" ht="12.5" x14ac:dyDescent="0.25">
      <c r="A577" t="s">
        <v>8495</v>
      </c>
      <c r="B577" s="22" t="s">
        <v>32931</v>
      </c>
      <c r="C577" s="7"/>
      <c r="D577" s="7"/>
      <c r="E577" s="7"/>
      <c r="F577" t="s">
        <v>67</v>
      </c>
      <c r="G577" t="s">
        <v>10567</v>
      </c>
      <c r="H577" t="s">
        <v>69</v>
      </c>
      <c r="I577" t="s">
        <v>69</v>
      </c>
      <c r="J577" t="s">
        <v>69</v>
      </c>
      <c r="K577" t="s">
        <v>10568</v>
      </c>
      <c r="L577" t="s">
        <v>69</v>
      </c>
      <c r="M577" t="s">
        <v>69</v>
      </c>
      <c r="N577" t="s">
        <v>10569</v>
      </c>
      <c r="O577" t="s">
        <v>7227</v>
      </c>
      <c r="P577" t="s">
        <v>69</v>
      </c>
      <c r="Q577" t="s">
        <v>69</v>
      </c>
      <c r="R577" t="s">
        <v>8505</v>
      </c>
      <c r="S577" t="s">
        <v>8506</v>
      </c>
      <c r="T577" t="s">
        <v>69</v>
      </c>
      <c r="U577" t="s">
        <v>69</v>
      </c>
      <c r="V577" t="s">
        <v>69</v>
      </c>
      <c r="W577" t="s">
        <v>69</v>
      </c>
      <c r="X577" t="s">
        <v>69</v>
      </c>
      <c r="Y577" t="s">
        <v>10570</v>
      </c>
      <c r="Z577" t="s">
        <v>10571</v>
      </c>
      <c r="AA577" t="s">
        <v>10572</v>
      </c>
      <c r="AB577" t="s">
        <v>10573</v>
      </c>
      <c r="AC577" t="s">
        <v>69</v>
      </c>
      <c r="AD577" t="s">
        <v>10574</v>
      </c>
      <c r="AE577" t="s">
        <v>10575</v>
      </c>
      <c r="AF577" t="s">
        <v>10576</v>
      </c>
      <c r="AG577" t="s">
        <v>10577</v>
      </c>
      <c r="AH577" t="s">
        <v>69</v>
      </c>
      <c r="AI577" t="s">
        <v>69</v>
      </c>
      <c r="AJ577" t="s">
        <v>69</v>
      </c>
      <c r="AK577" t="s">
        <v>69</v>
      </c>
      <c r="AL577">
        <v>84</v>
      </c>
      <c r="AM577">
        <v>1</v>
      </c>
      <c r="AN577">
        <v>1</v>
      </c>
      <c r="AO577">
        <v>2</v>
      </c>
      <c r="AP577">
        <v>2</v>
      </c>
      <c r="AQ577" t="s">
        <v>8924</v>
      </c>
      <c r="AR577" t="s">
        <v>8925</v>
      </c>
      <c r="AS577" t="s">
        <v>8926</v>
      </c>
      <c r="AT577" t="s">
        <v>69</v>
      </c>
      <c r="AU577" t="s">
        <v>7231</v>
      </c>
      <c r="AV577" t="s">
        <v>69</v>
      </c>
      <c r="AW577" t="s">
        <v>7227</v>
      </c>
      <c r="AX577" t="s">
        <v>9162</v>
      </c>
      <c r="AY577" t="s">
        <v>75</v>
      </c>
      <c r="AZ577">
        <v>2021</v>
      </c>
      <c r="BA577">
        <v>14</v>
      </c>
      <c r="BB577">
        <v>24</v>
      </c>
      <c r="BC577" t="s">
        <v>69</v>
      </c>
      <c r="BD577" t="s">
        <v>69</v>
      </c>
      <c r="BE577" t="s">
        <v>69</v>
      </c>
      <c r="BF577" t="s">
        <v>69</v>
      </c>
      <c r="BG577" t="s">
        <v>69</v>
      </c>
      <c r="BH577" t="s">
        <v>69</v>
      </c>
      <c r="BI577">
        <v>8426</v>
      </c>
      <c r="BJ577" t="s">
        <v>10578</v>
      </c>
      <c r="BK577" t="str">
        <f>HYPERLINK("http://dx.doi.org/10.3390/en14248426","http://dx.doi.org/10.3390/en14248426")</f>
        <v>http://dx.doi.org/10.3390/en14248426</v>
      </c>
      <c r="BL577" t="s">
        <v>69</v>
      </c>
      <c r="BM577" t="s">
        <v>69</v>
      </c>
      <c r="BN577">
        <v>28</v>
      </c>
      <c r="BO577" t="s">
        <v>9164</v>
      </c>
      <c r="BP577" t="s">
        <v>8548</v>
      </c>
      <c r="BQ577" t="s">
        <v>9164</v>
      </c>
      <c r="BR577" t="s">
        <v>10579</v>
      </c>
      <c r="BS577" t="s">
        <v>10580</v>
      </c>
      <c r="BT577" t="s">
        <v>69</v>
      </c>
      <c r="BU577" t="s">
        <v>8812</v>
      </c>
      <c r="BV577" t="s">
        <v>69</v>
      </c>
      <c r="BW577" t="s">
        <v>69</v>
      </c>
      <c r="BX577" t="s">
        <v>8526</v>
      </c>
      <c r="BY577" t="str">
        <f>HYPERLINK("https%3A%2F%2Fwww.webofscience.com%2Fwos%2Fwoscc%2Ffull-record%2FWOS:000737566000001","View Full Record in Web of Science")</f>
        <v>View Full Record in Web of Science</v>
      </c>
    </row>
    <row r="578" spans="1:77" ht="12.5" x14ac:dyDescent="0.25">
      <c r="A578" t="s">
        <v>8495</v>
      </c>
      <c r="B578" s="7" t="s">
        <v>32933</v>
      </c>
      <c r="C578" s="7"/>
      <c r="D578" s="7"/>
      <c r="E578" s="7"/>
      <c r="F578" t="s">
        <v>67</v>
      </c>
      <c r="G578" t="s">
        <v>1378</v>
      </c>
      <c r="H578" t="s">
        <v>69</v>
      </c>
      <c r="I578" t="s">
        <v>69</v>
      </c>
      <c r="J578" t="s">
        <v>69</v>
      </c>
      <c r="K578" t="s">
        <v>1379</v>
      </c>
      <c r="L578" t="s">
        <v>69</v>
      </c>
      <c r="M578" t="s">
        <v>69</v>
      </c>
      <c r="N578" t="s">
        <v>1380</v>
      </c>
      <c r="O578" t="s">
        <v>436</v>
      </c>
      <c r="P578" t="s">
        <v>69</v>
      </c>
      <c r="Q578" t="s">
        <v>69</v>
      </c>
      <c r="R578" t="s">
        <v>8505</v>
      </c>
      <c r="S578" t="s">
        <v>8506</v>
      </c>
      <c r="T578" t="s">
        <v>69</v>
      </c>
      <c r="U578" t="s">
        <v>69</v>
      </c>
      <c r="V578" t="s">
        <v>69</v>
      </c>
      <c r="W578" t="s">
        <v>69</v>
      </c>
      <c r="X578" t="s">
        <v>69</v>
      </c>
      <c r="Y578" t="s">
        <v>23952</v>
      </c>
      <c r="Z578" t="s">
        <v>23953</v>
      </c>
      <c r="AA578" t="s">
        <v>1381</v>
      </c>
      <c r="AB578" t="s">
        <v>23954</v>
      </c>
      <c r="AC578" t="s">
        <v>69</v>
      </c>
      <c r="AD578" t="s">
        <v>23955</v>
      </c>
      <c r="AE578" t="s">
        <v>23956</v>
      </c>
      <c r="AF578" t="s">
        <v>1382</v>
      </c>
      <c r="AG578" t="s">
        <v>1383</v>
      </c>
      <c r="AH578" t="s">
        <v>69</v>
      </c>
      <c r="AI578" t="s">
        <v>69</v>
      </c>
      <c r="AJ578" t="s">
        <v>69</v>
      </c>
      <c r="AK578" t="s">
        <v>69</v>
      </c>
      <c r="AL578">
        <v>65</v>
      </c>
      <c r="AM578">
        <v>42</v>
      </c>
      <c r="AN578">
        <v>42</v>
      </c>
      <c r="AO578">
        <v>7</v>
      </c>
      <c r="AP578">
        <v>30</v>
      </c>
      <c r="AQ578" t="s">
        <v>8636</v>
      </c>
      <c r="AR578" t="s">
        <v>8637</v>
      </c>
      <c r="AS578" t="s">
        <v>8638</v>
      </c>
      <c r="AT578" t="s">
        <v>440</v>
      </c>
      <c r="AU578" t="s">
        <v>441</v>
      </c>
      <c r="AV578" t="s">
        <v>69</v>
      </c>
      <c r="AW578" t="s">
        <v>8639</v>
      </c>
      <c r="AX578" t="s">
        <v>8640</v>
      </c>
      <c r="AY578" t="s">
        <v>1384</v>
      </c>
      <c r="AZ578">
        <v>2014</v>
      </c>
      <c r="BA578">
        <v>65</v>
      </c>
      <c r="BB578" t="s">
        <v>69</v>
      </c>
      <c r="BC578" t="s">
        <v>69</v>
      </c>
      <c r="BD578" t="s">
        <v>69</v>
      </c>
      <c r="BE578" t="s">
        <v>69</v>
      </c>
      <c r="BF578" t="s">
        <v>69</v>
      </c>
      <c r="BG578">
        <v>380</v>
      </c>
      <c r="BH578">
        <v>388</v>
      </c>
      <c r="BI578" t="s">
        <v>69</v>
      </c>
      <c r="BJ578" t="s">
        <v>1385</v>
      </c>
      <c r="BK578" t="str">
        <f>HYPERLINK("http://dx.doi.org/10.1016/j.jclepro.2013.09.015","http://dx.doi.org/10.1016/j.jclepro.2013.09.015")</f>
        <v>http://dx.doi.org/10.1016/j.jclepro.2013.09.015</v>
      </c>
      <c r="BL578" t="s">
        <v>69</v>
      </c>
      <c r="BM578" t="s">
        <v>69</v>
      </c>
      <c r="BN578">
        <v>9</v>
      </c>
      <c r="BO578" t="s">
        <v>8643</v>
      </c>
      <c r="BP578" t="s">
        <v>8548</v>
      </c>
      <c r="BQ578" t="s">
        <v>8644</v>
      </c>
      <c r="BR578" t="s">
        <v>23957</v>
      </c>
      <c r="BS578" t="s">
        <v>1386</v>
      </c>
      <c r="BT578" t="s">
        <v>69</v>
      </c>
      <c r="BU578" t="s">
        <v>69</v>
      </c>
      <c r="BV578" t="s">
        <v>69</v>
      </c>
      <c r="BW578" t="s">
        <v>69</v>
      </c>
      <c r="BX578" t="s">
        <v>8526</v>
      </c>
      <c r="BY578" t="str">
        <f>HYPERLINK("https%3A%2F%2Fwww.webofscience.com%2Fwos%2Fwoscc%2Ffull-record%2FWOS:000332433200039","View Full Record in Web of Science")</f>
        <v>View Full Record in Web of Science</v>
      </c>
    </row>
    <row r="579" spans="1:77" ht="12.5" x14ac:dyDescent="0.25">
      <c r="A579" t="s">
        <v>8495</v>
      </c>
      <c r="B579" s="7" t="s">
        <v>32933</v>
      </c>
      <c r="C579" s="7"/>
      <c r="D579" s="7"/>
      <c r="E579" s="7"/>
      <c r="F579" t="s">
        <v>67</v>
      </c>
      <c r="G579" t="s">
        <v>3281</v>
      </c>
      <c r="H579" t="s">
        <v>69</v>
      </c>
      <c r="I579" t="s">
        <v>69</v>
      </c>
      <c r="J579" t="s">
        <v>69</v>
      </c>
      <c r="K579" t="s">
        <v>3282</v>
      </c>
      <c r="L579" t="s">
        <v>69</v>
      </c>
      <c r="M579" t="s">
        <v>69</v>
      </c>
      <c r="N579" t="s">
        <v>3283</v>
      </c>
      <c r="O579" t="s">
        <v>3284</v>
      </c>
      <c r="P579" t="s">
        <v>69</v>
      </c>
      <c r="Q579" t="s">
        <v>69</v>
      </c>
      <c r="R579" t="s">
        <v>8505</v>
      </c>
      <c r="S579" t="s">
        <v>8506</v>
      </c>
      <c r="T579" t="s">
        <v>69</v>
      </c>
      <c r="U579" t="s">
        <v>69</v>
      </c>
      <c r="V579" t="s">
        <v>69</v>
      </c>
      <c r="W579" t="s">
        <v>69</v>
      </c>
      <c r="X579" t="s">
        <v>69</v>
      </c>
      <c r="Y579" t="s">
        <v>24709</v>
      </c>
      <c r="Z579" t="s">
        <v>24710</v>
      </c>
      <c r="AA579" t="s">
        <v>3285</v>
      </c>
      <c r="AB579" t="s">
        <v>24711</v>
      </c>
      <c r="AC579" t="s">
        <v>69</v>
      </c>
      <c r="AD579" t="s">
        <v>24712</v>
      </c>
      <c r="AE579" t="s">
        <v>69</v>
      </c>
      <c r="AF579" t="s">
        <v>69</v>
      </c>
      <c r="AG579" t="s">
        <v>69</v>
      </c>
      <c r="AH579" t="s">
        <v>69</v>
      </c>
      <c r="AI579" t="s">
        <v>69</v>
      </c>
      <c r="AJ579" t="s">
        <v>69</v>
      </c>
      <c r="AK579" t="s">
        <v>69</v>
      </c>
      <c r="AL579">
        <v>34</v>
      </c>
      <c r="AM579">
        <v>9</v>
      </c>
      <c r="AN579">
        <v>9</v>
      </c>
      <c r="AO579">
        <v>0</v>
      </c>
      <c r="AP579">
        <v>17</v>
      </c>
      <c r="AQ579" t="s">
        <v>9554</v>
      </c>
      <c r="AR579" t="s">
        <v>9555</v>
      </c>
      <c r="AS579" t="s">
        <v>9556</v>
      </c>
      <c r="AT579" t="s">
        <v>3286</v>
      </c>
      <c r="AU579" t="s">
        <v>3287</v>
      </c>
      <c r="AV579" t="s">
        <v>69</v>
      </c>
      <c r="AW579" t="s">
        <v>24713</v>
      </c>
      <c r="AX579" t="s">
        <v>24714</v>
      </c>
      <c r="AY579" t="s">
        <v>255</v>
      </c>
      <c r="AZ579">
        <v>2013</v>
      </c>
      <c r="BA579">
        <v>649</v>
      </c>
      <c r="BB579">
        <v>1</v>
      </c>
      <c r="BC579" t="s">
        <v>69</v>
      </c>
      <c r="BD579" t="s">
        <v>69</v>
      </c>
      <c r="BE579" t="s">
        <v>69</v>
      </c>
      <c r="BF579" t="s">
        <v>69</v>
      </c>
      <c r="BG579">
        <v>122</v>
      </c>
      <c r="BH579">
        <v>138</v>
      </c>
      <c r="BI579" t="s">
        <v>69</v>
      </c>
      <c r="BJ579" t="s">
        <v>3288</v>
      </c>
      <c r="BK579" t="str">
        <f>HYPERLINK("http://dx.doi.org/10.1177/0002716213486468","http://dx.doi.org/10.1177/0002716213486468")</f>
        <v>http://dx.doi.org/10.1177/0002716213486468</v>
      </c>
      <c r="BL579" t="s">
        <v>69</v>
      </c>
      <c r="BM579" t="s">
        <v>69</v>
      </c>
      <c r="BN579">
        <v>17</v>
      </c>
      <c r="BO579" t="s">
        <v>24715</v>
      </c>
      <c r="BP579" t="s">
        <v>8661</v>
      </c>
      <c r="BQ579" t="s">
        <v>24716</v>
      </c>
      <c r="BR579" t="s">
        <v>24717</v>
      </c>
      <c r="BS579" t="s">
        <v>3289</v>
      </c>
      <c r="BT579" t="s">
        <v>69</v>
      </c>
      <c r="BU579" t="s">
        <v>69</v>
      </c>
      <c r="BV579" t="s">
        <v>69</v>
      </c>
      <c r="BW579" t="s">
        <v>69</v>
      </c>
      <c r="BX579" t="s">
        <v>8526</v>
      </c>
      <c r="BY579" t="str">
        <f>HYPERLINK("https%3A%2F%2Fwww.webofscience.com%2Fwos%2Fwoscc%2Ffull-record%2FWOS:000326238800007","View Full Record in Web of Science")</f>
        <v>View Full Record in Web of Science</v>
      </c>
    </row>
    <row r="580" spans="1:77" ht="12.5" x14ac:dyDescent="0.25">
      <c r="A580" t="s">
        <v>8495</v>
      </c>
      <c r="B580" s="22" t="s">
        <v>32931</v>
      </c>
      <c r="C580" s="7"/>
      <c r="D580" s="7"/>
      <c r="E580" s="7"/>
      <c r="F580" t="s">
        <v>67</v>
      </c>
      <c r="G580" t="s">
        <v>24443</v>
      </c>
      <c r="H580" t="s">
        <v>69</v>
      </c>
      <c r="I580" t="s">
        <v>69</v>
      </c>
      <c r="J580" t="s">
        <v>69</v>
      </c>
      <c r="K580" t="s">
        <v>24444</v>
      </c>
      <c r="L580" t="s">
        <v>69</v>
      </c>
      <c r="M580" t="s">
        <v>69</v>
      </c>
      <c r="N580" t="s">
        <v>24445</v>
      </c>
      <c r="O580" t="s">
        <v>24446</v>
      </c>
      <c r="P580" t="s">
        <v>69</v>
      </c>
      <c r="Q580" t="s">
        <v>69</v>
      </c>
      <c r="R580" t="s">
        <v>8505</v>
      </c>
      <c r="S580" t="s">
        <v>8506</v>
      </c>
      <c r="T580" t="s">
        <v>69</v>
      </c>
      <c r="U580" t="s">
        <v>69</v>
      </c>
      <c r="V580" t="s">
        <v>69</v>
      </c>
      <c r="W580" t="s">
        <v>69</v>
      </c>
      <c r="X580" t="s">
        <v>69</v>
      </c>
      <c r="Y580" t="s">
        <v>24447</v>
      </c>
      <c r="Z580" t="s">
        <v>24448</v>
      </c>
      <c r="AA580" t="s">
        <v>24449</v>
      </c>
      <c r="AB580" t="s">
        <v>24450</v>
      </c>
      <c r="AC580" t="s">
        <v>69</v>
      </c>
      <c r="AD580" t="s">
        <v>24451</v>
      </c>
      <c r="AE580" t="s">
        <v>24452</v>
      </c>
      <c r="AF580" t="s">
        <v>69</v>
      </c>
      <c r="AG580" t="s">
        <v>24453</v>
      </c>
      <c r="AH580" t="s">
        <v>69</v>
      </c>
      <c r="AI580" t="s">
        <v>69</v>
      </c>
      <c r="AJ580" t="s">
        <v>69</v>
      </c>
      <c r="AK580" t="s">
        <v>69</v>
      </c>
      <c r="AL580">
        <v>73</v>
      </c>
      <c r="AM580">
        <v>26</v>
      </c>
      <c r="AN580">
        <v>27</v>
      </c>
      <c r="AO580">
        <v>2</v>
      </c>
      <c r="AP580">
        <v>68</v>
      </c>
      <c r="AQ580" t="s">
        <v>8865</v>
      </c>
      <c r="AR580" t="s">
        <v>8612</v>
      </c>
      <c r="AS580" t="s">
        <v>8866</v>
      </c>
      <c r="AT580" t="s">
        <v>24454</v>
      </c>
      <c r="AU580" t="s">
        <v>24455</v>
      </c>
      <c r="AV580" t="s">
        <v>69</v>
      </c>
      <c r="AW580" t="s">
        <v>24456</v>
      </c>
      <c r="AX580" t="s">
        <v>24457</v>
      </c>
      <c r="AY580" t="s">
        <v>5185</v>
      </c>
      <c r="AZ580">
        <v>2013</v>
      </c>
      <c r="BA580">
        <v>44</v>
      </c>
      <c r="BB580">
        <v>4</v>
      </c>
      <c r="BC580" t="s">
        <v>69</v>
      </c>
      <c r="BD580" t="s">
        <v>69</v>
      </c>
      <c r="BE580" t="s">
        <v>69</v>
      </c>
      <c r="BF580" t="s">
        <v>69</v>
      </c>
      <c r="BG580">
        <v>435</v>
      </c>
      <c r="BH580">
        <v>459</v>
      </c>
      <c r="BI580" t="s">
        <v>69</v>
      </c>
      <c r="BJ580" t="s">
        <v>24458</v>
      </c>
      <c r="BK580" t="str">
        <f>HYPERLINK("http://dx.doi.org/10.1080/00049182.2013.852502","http://dx.doi.org/10.1080/00049182.2013.852502")</f>
        <v>http://dx.doi.org/10.1080/00049182.2013.852502</v>
      </c>
      <c r="BL580" t="s">
        <v>69</v>
      </c>
      <c r="BM580" t="s">
        <v>69</v>
      </c>
      <c r="BN580">
        <v>25</v>
      </c>
      <c r="BO580" t="s">
        <v>8446</v>
      </c>
      <c r="BP580" t="s">
        <v>8661</v>
      </c>
      <c r="BQ580" t="s">
        <v>8446</v>
      </c>
      <c r="BR580" t="s">
        <v>24459</v>
      </c>
      <c r="BS580" t="s">
        <v>24460</v>
      </c>
      <c r="BT580" t="s">
        <v>69</v>
      </c>
      <c r="BU580" t="s">
        <v>69</v>
      </c>
      <c r="BV580" t="s">
        <v>69</v>
      </c>
      <c r="BW580" t="s">
        <v>69</v>
      </c>
      <c r="BX580" t="s">
        <v>8526</v>
      </c>
      <c r="BY580" t="str">
        <f>HYPERLINK("https%3A%2F%2Fwww.webofscience.com%2Fwos%2Fwoscc%2Ffull-record%2FWOS:000327929400006","View Full Record in Web of Science")</f>
        <v>View Full Record in Web of Science</v>
      </c>
    </row>
    <row r="581" spans="1:77" x14ac:dyDescent="0.3">
      <c r="A581" t="s">
        <v>8495</v>
      </c>
      <c r="B581" s="9" t="s">
        <v>32954</v>
      </c>
      <c r="C581" s="9" t="s">
        <v>33098</v>
      </c>
      <c r="D581" s="12" t="s">
        <v>33099</v>
      </c>
      <c r="E581" s="9" t="s">
        <v>8490</v>
      </c>
      <c r="F581" t="s">
        <v>67</v>
      </c>
      <c r="G581" t="s">
        <v>18695</v>
      </c>
      <c r="H581" t="s">
        <v>69</v>
      </c>
      <c r="I581" t="s">
        <v>69</v>
      </c>
      <c r="J581" t="s">
        <v>69</v>
      </c>
      <c r="K581" t="s">
        <v>18696</v>
      </c>
      <c r="L581" t="s">
        <v>69</v>
      </c>
      <c r="M581" t="s">
        <v>69</v>
      </c>
      <c r="N581" t="s">
        <v>18697</v>
      </c>
      <c r="O581" t="s">
        <v>14890</v>
      </c>
      <c r="P581" t="s">
        <v>69</v>
      </c>
      <c r="Q581" t="s">
        <v>69</v>
      </c>
      <c r="R581" t="s">
        <v>8505</v>
      </c>
      <c r="S581" t="s">
        <v>8506</v>
      </c>
      <c r="T581" t="s">
        <v>69</v>
      </c>
      <c r="U581" t="s">
        <v>69</v>
      </c>
      <c r="V581" t="s">
        <v>69</v>
      </c>
      <c r="W581" t="s">
        <v>69</v>
      </c>
      <c r="X581" t="s">
        <v>69</v>
      </c>
      <c r="Y581" t="s">
        <v>18698</v>
      </c>
      <c r="Z581" t="s">
        <v>18699</v>
      </c>
      <c r="AA581" t="s">
        <v>18700</v>
      </c>
      <c r="AB581" t="s">
        <v>18701</v>
      </c>
      <c r="AC581" t="s">
        <v>69</v>
      </c>
      <c r="AD581" t="s">
        <v>18702</v>
      </c>
      <c r="AE581" t="s">
        <v>18703</v>
      </c>
      <c r="AF581" t="s">
        <v>18704</v>
      </c>
      <c r="AG581" t="s">
        <v>18705</v>
      </c>
      <c r="AH581" t="s">
        <v>69</v>
      </c>
      <c r="AI581" t="s">
        <v>69</v>
      </c>
      <c r="AJ581" t="s">
        <v>69</v>
      </c>
      <c r="AK581" t="s">
        <v>69</v>
      </c>
      <c r="AL581">
        <v>59</v>
      </c>
      <c r="AM581">
        <v>4</v>
      </c>
      <c r="AN581">
        <v>4</v>
      </c>
      <c r="AO581">
        <v>1</v>
      </c>
      <c r="AP581">
        <v>10</v>
      </c>
      <c r="AQ581" t="s">
        <v>9047</v>
      </c>
      <c r="AR581" t="s">
        <v>9048</v>
      </c>
      <c r="AS581" t="s">
        <v>9049</v>
      </c>
      <c r="AT581" t="s">
        <v>14898</v>
      </c>
      <c r="AU581" t="s">
        <v>14899</v>
      </c>
      <c r="AV581" t="s">
        <v>69</v>
      </c>
      <c r="AW581" t="s">
        <v>14890</v>
      </c>
      <c r="AX581" t="s">
        <v>14900</v>
      </c>
      <c r="AY581" t="s">
        <v>155</v>
      </c>
      <c r="AZ581">
        <v>2018</v>
      </c>
      <c r="BA581">
        <v>56</v>
      </c>
      <c r="BB581">
        <v>2</v>
      </c>
      <c r="BC581" t="s">
        <v>69</v>
      </c>
      <c r="BD581" t="s">
        <v>69</v>
      </c>
      <c r="BE581" t="s">
        <v>69</v>
      </c>
      <c r="BF581" t="s">
        <v>69</v>
      </c>
      <c r="BG581">
        <v>183</v>
      </c>
      <c r="BH581">
        <v>207</v>
      </c>
      <c r="BI581" t="s">
        <v>69</v>
      </c>
      <c r="BJ581" t="s">
        <v>18706</v>
      </c>
      <c r="BK581" t="str">
        <f>HYPERLINK("http://dx.doi.org/10.1007/s11024-017-9331-3","http://dx.doi.org/10.1007/s11024-017-9331-3")</f>
        <v>http://dx.doi.org/10.1007/s11024-017-9331-3</v>
      </c>
      <c r="BL581" t="s">
        <v>69</v>
      </c>
      <c r="BM581" t="s">
        <v>69</v>
      </c>
      <c r="BN581">
        <v>25</v>
      </c>
      <c r="BO581" t="s">
        <v>14902</v>
      </c>
      <c r="BP581" t="s">
        <v>8661</v>
      </c>
      <c r="BQ581" t="s">
        <v>14903</v>
      </c>
      <c r="BR581" t="s">
        <v>18707</v>
      </c>
      <c r="BS581" t="s">
        <v>18708</v>
      </c>
      <c r="BT581">
        <v>29780180</v>
      </c>
      <c r="BU581" t="s">
        <v>10363</v>
      </c>
      <c r="BV581" t="s">
        <v>69</v>
      </c>
      <c r="BW581" t="s">
        <v>69</v>
      </c>
      <c r="BX581" t="s">
        <v>8526</v>
      </c>
      <c r="BY581" t="str">
        <f>HYPERLINK("https%3A%2F%2Fwww.webofscience.com%2Fwos%2Fwoscc%2Ffull-record%2FWOS:000431960500003","View Full Record in Web of Science")</f>
        <v>View Full Record in Web of Science</v>
      </c>
    </row>
    <row r="582" spans="1:77" ht="12.5" x14ac:dyDescent="0.25">
      <c r="A582" t="s">
        <v>8495</v>
      </c>
      <c r="B582" s="7" t="s">
        <v>32933</v>
      </c>
      <c r="C582" s="7"/>
      <c r="D582" s="7"/>
      <c r="E582" s="7"/>
      <c r="F582" t="s">
        <v>67</v>
      </c>
      <c r="G582" t="s">
        <v>5298</v>
      </c>
      <c r="H582" t="s">
        <v>69</v>
      </c>
      <c r="I582" t="s">
        <v>69</v>
      </c>
      <c r="J582" t="s">
        <v>69</v>
      </c>
      <c r="K582" t="s">
        <v>5299</v>
      </c>
      <c r="L582" t="s">
        <v>69</v>
      </c>
      <c r="M582" t="s">
        <v>69</v>
      </c>
      <c r="N582" t="s">
        <v>5300</v>
      </c>
      <c r="O582" t="s">
        <v>5301</v>
      </c>
      <c r="P582" t="s">
        <v>69</v>
      </c>
      <c r="Q582" t="s">
        <v>69</v>
      </c>
      <c r="R582" t="s">
        <v>8505</v>
      </c>
      <c r="S582" t="s">
        <v>8506</v>
      </c>
      <c r="T582" t="s">
        <v>69</v>
      </c>
      <c r="U582" t="s">
        <v>69</v>
      </c>
      <c r="V582" t="s">
        <v>69</v>
      </c>
      <c r="W582" t="s">
        <v>69</v>
      </c>
      <c r="X582" t="s">
        <v>69</v>
      </c>
      <c r="Y582" t="s">
        <v>27910</v>
      </c>
      <c r="Z582" t="s">
        <v>27911</v>
      </c>
      <c r="AA582" t="s">
        <v>5302</v>
      </c>
      <c r="AB582" t="s">
        <v>27912</v>
      </c>
      <c r="AC582" t="s">
        <v>69</v>
      </c>
      <c r="AD582" t="s">
        <v>27913</v>
      </c>
      <c r="AE582" t="s">
        <v>27914</v>
      </c>
      <c r="AF582" t="s">
        <v>69</v>
      </c>
      <c r="AG582" t="s">
        <v>69</v>
      </c>
      <c r="AH582" t="s">
        <v>69</v>
      </c>
      <c r="AI582" t="s">
        <v>69</v>
      </c>
      <c r="AJ582" t="s">
        <v>69</v>
      </c>
      <c r="AK582" t="s">
        <v>69</v>
      </c>
      <c r="AL582">
        <v>11</v>
      </c>
      <c r="AM582">
        <v>0</v>
      </c>
      <c r="AN582">
        <v>0</v>
      </c>
      <c r="AO582">
        <v>0</v>
      </c>
      <c r="AP582">
        <v>5</v>
      </c>
      <c r="AQ582" t="s">
        <v>27915</v>
      </c>
      <c r="AR582" t="s">
        <v>27916</v>
      </c>
      <c r="AS582" t="s">
        <v>27917</v>
      </c>
      <c r="AT582" t="s">
        <v>5303</v>
      </c>
      <c r="AU582" t="s">
        <v>69</v>
      </c>
      <c r="AV582" t="s">
        <v>69</v>
      </c>
      <c r="AW582" t="s">
        <v>27918</v>
      </c>
      <c r="AX582" t="s">
        <v>27919</v>
      </c>
      <c r="AY582" t="s">
        <v>191</v>
      </c>
      <c r="AZ582">
        <v>2010</v>
      </c>
      <c r="BA582">
        <v>34</v>
      </c>
      <c r="BB582">
        <v>1</v>
      </c>
      <c r="BC582" t="s">
        <v>69</v>
      </c>
      <c r="BD582" t="s">
        <v>69</v>
      </c>
      <c r="BE582" t="s">
        <v>69</v>
      </c>
      <c r="BF582" t="s">
        <v>69</v>
      </c>
      <c r="BG582">
        <v>38</v>
      </c>
      <c r="BH582">
        <v>45</v>
      </c>
      <c r="BI582" t="s">
        <v>69</v>
      </c>
      <c r="BJ582" t="s">
        <v>5304</v>
      </c>
      <c r="BK582" t="str">
        <f>HYPERLINK("http://dx.doi.org/10.1093/sjaf/34.1.38","http://dx.doi.org/10.1093/sjaf/34.1.38")</f>
        <v>http://dx.doi.org/10.1093/sjaf/34.1.38</v>
      </c>
      <c r="BL582" t="s">
        <v>69</v>
      </c>
      <c r="BM582" t="s">
        <v>69</v>
      </c>
      <c r="BN582">
        <v>8</v>
      </c>
      <c r="BO582" t="s">
        <v>8453</v>
      </c>
      <c r="BP582" t="s">
        <v>8548</v>
      </c>
      <c r="BQ582" t="s">
        <v>8453</v>
      </c>
      <c r="BR582" t="s">
        <v>27920</v>
      </c>
      <c r="BS582" t="s">
        <v>5305</v>
      </c>
      <c r="BT582" t="s">
        <v>69</v>
      </c>
      <c r="BU582" t="s">
        <v>9374</v>
      </c>
      <c r="BV582" t="s">
        <v>69</v>
      </c>
      <c r="BW582" t="s">
        <v>69</v>
      </c>
      <c r="BX582" t="s">
        <v>8526</v>
      </c>
      <c r="BY582" t="str">
        <f>HYPERLINK("https%3A%2F%2Fwww.webofscience.com%2Fwos%2Fwoscc%2Ffull-record%2FWOS:000275448700006","View Full Record in Web of Science")</f>
        <v>View Full Record in Web of Science</v>
      </c>
    </row>
    <row r="583" spans="1:77" ht="12.5" x14ac:dyDescent="0.25">
      <c r="A583" t="s">
        <v>8495</v>
      </c>
      <c r="B583" s="22" t="s">
        <v>32931</v>
      </c>
      <c r="C583" s="7"/>
      <c r="D583" s="7"/>
      <c r="E583" s="7"/>
      <c r="F583" t="s">
        <v>67</v>
      </c>
      <c r="G583" t="s">
        <v>18478</v>
      </c>
      <c r="H583" t="s">
        <v>69</v>
      </c>
      <c r="I583" t="s">
        <v>69</v>
      </c>
      <c r="J583" t="s">
        <v>69</v>
      </c>
      <c r="K583" t="s">
        <v>18479</v>
      </c>
      <c r="L583" t="s">
        <v>69</v>
      </c>
      <c r="M583" t="s">
        <v>69</v>
      </c>
      <c r="N583" t="s">
        <v>18480</v>
      </c>
      <c r="O583" t="s">
        <v>18481</v>
      </c>
      <c r="P583" t="s">
        <v>69</v>
      </c>
      <c r="Q583" t="s">
        <v>69</v>
      </c>
      <c r="R583" t="s">
        <v>8505</v>
      </c>
      <c r="S583" t="s">
        <v>8506</v>
      </c>
      <c r="T583" t="s">
        <v>69</v>
      </c>
      <c r="U583" t="s">
        <v>69</v>
      </c>
      <c r="V583" t="s">
        <v>69</v>
      </c>
      <c r="W583" t="s">
        <v>69</v>
      </c>
      <c r="X583" t="s">
        <v>69</v>
      </c>
      <c r="Y583" t="s">
        <v>18482</v>
      </c>
      <c r="Z583" t="s">
        <v>69</v>
      </c>
      <c r="AA583" t="s">
        <v>18483</v>
      </c>
      <c r="AB583" t="s">
        <v>18484</v>
      </c>
      <c r="AC583" t="s">
        <v>69</v>
      </c>
      <c r="AD583" t="s">
        <v>18485</v>
      </c>
      <c r="AE583" t="s">
        <v>69</v>
      </c>
      <c r="AF583" t="s">
        <v>69</v>
      </c>
      <c r="AG583" t="s">
        <v>18486</v>
      </c>
      <c r="AH583" t="s">
        <v>69</v>
      </c>
      <c r="AI583" t="s">
        <v>69</v>
      </c>
      <c r="AJ583" t="s">
        <v>69</v>
      </c>
      <c r="AK583" t="s">
        <v>69</v>
      </c>
      <c r="AL583">
        <v>9</v>
      </c>
      <c r="AM583">
        <v>0</v>
      </c>
      <c r="AN583">
        <v>0</v>
      </c>
      <c r="AO583">
        <v>0</v>
      </c>
      <c r="AP583">
        <v>2</v>
      </c>
      <c r="AQ583" t="s">
        <v>18487</v>
      </c>
      <c r="AR583" t="s">
        <v>18488</v>
      </c>
      <c r="AS583" t="s">
        <v>18489</v>
      </c>
      <c r="AT583" t="s">
        <v>18490</v>
      </c>
      <c r="AU583" t="s">
        <v>18491</v>
      </c>
      <c r="AV583" t="s">
        <v>69</v>
      </c>
      <c r="AW583" t="s">
        <v>18492</v>
      </c>
      <c r="AX583" t="s">
        <v>18493</v>
      </c>
      <c r="AY583" t="s">
        <v>201</v>
      </c>
      <c r="AZ583">
        <v>2018</v>
      </c>
      <c r="BA583">
        <v>118</v>
      </c>
      <c r="BB583">
        <v>8</v>
      </c>
      <c r="BC583" t="s">
        <v>69</v>
      </c>
      <c r="BD583" t="s">
        <v>69</v>
      </c>
      <c r="BE583" t="s">
        <v>69</v>
      </c>
      <c r="BF583" t="s">
        <v>69</v>
      </c>
      <c r="BG583">
        <v>861</v>
      </c>
      <c r="BH583">
        <v>864</v>
      </c>
      <c r="BI583" t="s">
        <v>69</v>
      </c>
      <c r="BJ583" t="s">
        <v>18494</v>
      </c>
      <c r="BK583" t="str">
        <f>HYPERLINK("http://dx.doi.org/10.17159/2411-9717/2018/v118n8a8","http://dx.doi.org/10.17159/2411-9717/2018/v118n8a8")</f>
        <v>http://dx.doi.org/10.17159/2411-9717/2018/v118n8a8</v>
      </c>
      <c r="BL583" t="s">
        <v>69</v>
      </c>
      <c r="BM583" t="s">
        <v>69</v>
      </c>
      <c r="BN583">
        <v>4</v>
      </c>
      <c r="BO583" t="s">
        <v>18495</v>
      </c>
      <c r="BP583" t="s">
        <v>8548</v>
      </c>
      <c r="BQ583" t="s">
        <v>18495</v>
      </c>
      <c r="BR583" t="s">
        <v>18496</v>
      </c>
      <c r="BS583" t="s">
        <v>18497</v>
      </c>
      <c r="BT583" t="s">
        <v>69</v>
      </c>
      <c r="BU583" t="s">
        <v>11853</v>
      </c>
      <c r="BV583" t="s">
        <v>69</v>
      </c>
      <c r="BW583" t="s">
        <v>69</v>
      </c>
      <c r="BX583" t="s">
        <v>8526</v>
      </c>
      <c r="BY583" t="str">
        <f>HYPERLINK("https%3A%2F%2Fwww.webofscience.com%2Fwos%2Fwoscc%2Ffull-record%2FWOS:000444818200008","View Full Record in Web of Science")</f>
        <v>View Full Record in Web of Science</v>
      </c>
    </row>
    <row r="584" spans="1:77" x14ac:dyDescent="0.3">
      <c r="A584" t="s">
        <v>8495</v>
      </c>
      <c r="B584" s="9" t="s">
        <v>32954</v>
      </c>
      <c r="C584" s="9" t="s">
        <v>33097</v>
      </c>
      <c r="D584" s="9" t="s">
        <v>8491</v>
      </c>
      <c r="E584" s="9" t="s">
        <v>8490</v>
      </c>
      <c r="F584" t="s">
        <v>67</v>
      </c>
      <c r="G584" t="s">
        <v>22843</v>
      </c>
      <c r="H584" t="s">
        <v>69</v>
      </c>
      <c r="I584" t="s">
        <v>69</v>
      </c>
      <c r="J584" t="s">
        <v>69</v>
      </c>
      <c r="K584" t="s">
        <v>22844</v>
      </c>
      <c r="L584" t="s">
        <v>69</v>
      </c>
      <c r="M584" t="s">
        <v>69</v>
      </c>
      <c r="N584" t="s">
        <v>22845</v>
      </c>
      <c r="O584" t="s">
        <v>715</v>
      </c>
      <c r="P584" t="s">
        <v>69</v>
      </c>
      <c r="Q584" t="s">
        <v>69</v>
      </c>
      <c r="R584" t="s">
        <v>8505</v>
      </c>
      <c r="S584" t="s">
        <v>8506</v>
      </c>
      <c r="T584" t="s">
        <v>69</v>
      </c>
      <c r="U584" t="s">
        <v>69</v>
      </c>
      <c r="V584" t="s">
        <v>69</v>
      </c>
      <c r="W584" t="s">
        <v>69</v>
      </c>
      <c r="X584" t="s">
        <v>69</v>
      </c>
      <c r="Y584" t="s">
        <v>22846</v>
      </c>
      <c r="Z584" t="s">
        <v>22847</v>
      </c>
      <c r="AA584" t="s">
        <v>22848</v>
      </c>
      <c r="AB584" t="s">
        <v>22849</v>
      </c>
      <c r="AC584" t="s">
        <v>69</v>
      </c>
      <c r="AD584" t="s">
        <v>22850</v>
      </c>
      <c r="AE584" t="s">
        <v>22851</v>
      </c>
      <c r="AF584" t="s">
        <v>69</v>
      </c>
      <c r="AG584" t="s">
        <v>69</v>
      </c>
      <c r="AH584" t="s">
        <v>69</v>
      </c>
      <c r="AI584" t="s">
        <v>69</v>
      </c>
      <c r="AJ584" t="s">
        <v>69</v>
      </c>
      <c r="AK584" t="s">
        <v>69</v>
      </c>
      <c r="AL584">
        <v>54</v>
      </c>
      <c r="AM584">
        <v>63</v>
      </c>
      <c r="AN584">
        <v>65</v>
      </c>
      <c r="AO584">
        <v>5</v>
      </c>
      <c r="AP584">
        <v>61</v>
      </c>
      <c r="AQ584" t="s">
        <v>8846</v>
      </c>
      <c r="AR584" t="s">
        <v>8847</v>
      </c>
      <c r="AS584" t="s">
        <v>8848</v>
      </c>
      <c r="AT584" t="s">
        <v>719</v>
      </c>
      <c r="AU584" t="s">
        <v>720</v>
      </c>
      <c r="AV584" t="s">
        <v>69</v>
      </c>
      <c r="AW584" t="s">
        <v>9110</v>
      </c>
      <c r="AX584" t="s">
        <v>9111</v>
      </c>
      <c r="AY584" t="s">
        <v>94</v>
      </c>
      <c r="AZ584">
        <v>2015</v>
      </c>
      <c r="BA584">
        <v>24</v>
      </c>
      <c r="BB584">
        <v>3</v>
      </c>
      <c r="BC584" t="s">
        <v>69</v>
      </c>
      <c r="BD584" t="s">
        <v>69</v>
      </c>
      <c r="BE584" t="s">
        <v>69</v>
      </c>
      <c r="BF584" t="s">
        <v>69</v>
      </c>
      <c r="BG584">
        <v>190</v>
      </c>
      <c r="BH584">
        <v>216</v>
      </c>
      <c r="BI584" t="s">
        <v>69</v>
      </c>
      <c r="BJ584" t="s">
        <v>22852</v>
      </c>
      <c r="BK584" t="str">
        <f>HYPERLINK("http://dx.doi.org/10.1002/bse.1814","http://dx.doi.org/10.1002/bse.1814")</f>
        <v>http://dx.doi.org/10.1002/bse.1814</v>
      </c>
      <c r="BL584" t="s">
        <v>69</v>
      </c>
      <c r="BM584" t="s">
        <v>69</v>
      </c>
      <c r="BN584">
        <v>27</v>
      </c>
      <c r="BO584" t="s">
        <v>9113</v>
      </c>
      <c r="BP584" t="s">
        <v>8661</v>
      </c>
      <c r="BQ584" t="s">
        <v>9114</v>
      </c>
      <c r="BR584" t="s">
        <v>22853</v>
      </c>
      <c r="BS584" t="s">
        <v>22854</v>
      </c>
      <c r="BT584" t="s">
        <v>69</v>
      </c>
      <c r="BU584" t="s">
        <v>69</v>
      </c>
      <c r="BV584" t="s">
        <v>69</v>
      </c>
      <c r="BW584" t="s">
        <v>69</v>
      </c>
      <c r="BX584" t="s">
        <v>8526</v>
      </c>
      <c r="BY584" t="str">
        <f>HYPERLINK("https%3A%2F%2Fwww.webofscience.com%2Fwos%2Fwoscc%2Ffull-record%2FWOS:000351851800004","View Full Record in Web of Science")</f>
        <v>View Full Record in Web of Science</v>
      </c>
    </row>
    <row r="585" spans="1:77" ht="12.5" x14ac:dyDescent="0.25">
      <c r="A585" t="s">
        <v>8495</v>
      </c>
      <c r="B585" s="22" t="s">
        <v>32931</v>
      </c>
      <c r="C585" s="7"/>
      <c r="D585" s="7"/>
      <c r="E585" s="7"/>
      <c r="F585" t="s">
        <v>67</v>
      </c>
      <c r="G585" t="s">
        <v>29732</v>
      </c>
      <c r="H585" t="s">
        <v>69</v>
      </c>
      <c r="I585" t="s">
        <v>69</v>
      </c>
      <c r="J585" t="s">
        <v>69</v>
      </c>
      <c r="K585" t="s">
        <v>29733</v>
      </c>
      <c r="L585" t="s">
        <v>69</v>
      </c>
      <c r="M585" t="s">
        <v>69</v>
      </c>
      <c r="N585" t="s">
        <v>29734</v>
      </c>
      <c r="O585" t="s">
        <v>29304</v>
      </c>
      <c r="P585" t="s">
        <v>69</v>
      </c>
      <c r="Q585" t="s">
        <v>69</v>
      </c>
      <c r="R585" t="s">
        <v>8505</v>
      </c>
      <c r="S585" t="s">
        <v>8506</v>
      </c>
      <c r="T585" t="s">
        <v>69</v>
      </c>
      <c r="U585" t="s">
        <v>69</v>
      </c>
      <c r="V585" t="s">
        <v>69</v>
      </c>
      <c r="W585" t="s">
        <v>69</v>
      </c>
      <c r="X585" t="s">
        <v>69</v>
      </c>
      <c r="Y585" t="s">
        <v>29735</v>
      </c>
      <c r="Z585" t="s">
        <v>69</v>
      </c>
      <c r="AA585" t="s">
        <v>29736</v>
      </c>
      <c r="AB585" t="s">
        <v>29737</v>
      </c>
      <c r="AC585" t="s">
        <v>69</v>
      </c>
      <c r="AD585" t="s">
        <v>29738</v>
      </c>
      <c r="AE585" t="s">
        <v>29739</v>
      </c>
      <c r="AF585" t="s">
        <v>69</v>
      </c>
      <c r="AG585" t="s">
        <v>69</v>
      </c>
      <c r="AH585" t="s">
        <v>69</v>
      </c>
      <c r="AI585" t="s">
        <v>69</v>
      </c>
      <c r="AJ585" t="s">
        <v>69</v>
      </c>
      <c r="AK585" t="s">
        <v>69</v>
      </c>
      <c r="AL585">
        <v>8</v>
      </c>
      <c r="AM585">
        <v>1</v>
      </c>
      <c r="AN585">
        <v>1</v>
      </c>
      <c r="AO585">
        <v>0</v>
      </c>
      <c r="AP585">
        <v>0</v>
      </c>
      <c r="AQ585" t="s">
        <v>8636</v>
      </c>
      <c r="AR585" t="s">
        <v>8637</v>
      </c>
      <c r="AS585" t="s">
        <v>8638</v>
      </c>
      <c r="AT585" t="s">
        <v>29310</v>
      </c>
      <c r="AU585" t="s">
        <v>29311</v>
      </c>
      <c r="AV585" t="s">
        <v>69</v>
      </c>
      <c r="AW585" t="s">
        <v>29304</v>
      </c>
      <c r="AX585" t="s">
        <v>29312</v>
      </c>
      <c r="AY585" t="s">
        <v>586</v>
      </c>
      <c r="AZ585">
        <v>2007</v>
      </c>
      <c r="BA585">
        <v>13</v>
      </c>
      <c r="BB585">
        <v>2</v>
      </c>
      <c r="BC585" t="s">
        <v>69</v>
      </c>
      <c r="BD585" t="s">
        <v>69</v>
      </c>
      <c r="BE585" t="s">
        <v>69</v>
      </c>
      <c r="BF585" t="s">
        <v>69</v>
      </c>
      <c r="BG585">
        <v>159</v>
      </c>
      <c r="BH585">
        <v>163</v>
      </c>
      <c r="BI585" t="s">
        <v>69</v>
      </c>
      <c r="BJ585" t="s">
        <v>29740</v>
      </c>
      <c r="BK585" t="str">
        <f>HYPERLINK("http://dx.doi.org/10.1016/j.radi.2006.01.005","http://dx.doi.org/10.1016/j.radi.2006.01.005")</f>
        <v>http://dx.doi.org/10.1016/j.radi.2006.01.005</v>
      </c>
      <c r="BL585" t="s">
        <v>69</v>
      </c>
      <c r="BM585" t="s">
        <v>69</v>
      </c>
      <c r="BN585">
        <v>5</v>
      </c>
      <c r="BO585" t="s">
        <v>14443</v>
      </c>
      <c r="BP585" t="s">
        <v>8573</v>
      </c>
      <c r="BQ585" t="s">
        <v>14443</v>
      </c>
      <c r="BR585" t="s">
        <v>29741</v>
      </c>
      <c r="BS585" t="s">
        <v>29742</v>
      </c>
      <c r="BT585" t="s">
        <v>69</v>
      </c>
      <c r="BU585" t="s">
        <v>10995</v>
      </c>
      <c r="BV585" t="s">
        <v>69</v>
      </c>
      <c r="BW585" t="s">
        <v>69</v>
      </c>
      <c r="BX585" t="s">
        <v>8526</v>
      </c>
      <c r="BY585" t="str">
        <f>HYPERLINK("https%3A%2F%2Fwww.webofscience.com%2Fwos%2Fwoscc%2Ffull-record%2FWOS:000213724700011","View Full Record in Web of Science")</f>
        <v>View Full Record in Web of Science</v>
      </c>
    </row>
    <row r="586" spans="1:77" ht="12.5" x14ac:dyDescent="0.25">
      <c r="A586" t="s">
        <v>8495</v>
      </c>
      <c r="B586" s="7" t="s">
        <v>32933</v>
      </c>
      <c r="C586" s="7"/>
      <c r="D586" s="7"/>
      <c r="E586" s="7"/>
      <c r="F586" t="s">
        <v>67</v>
      </c>
      <c r="G586" t="s">
        <v>7951</v>
      </c>
      <c r="H586" t="s">
        <v>69</v>
      </c>
      <c r="I586" t="s">
        <v>69</v>
      </c>
      <c r="J586" t="s">
        <v>69</v>
      </c>
      <c r="K586" t="s">
        <v>7952</v>
      </c>
      <c r="L586" t="s">
        <v>69</v>
      </c>
      <c r="M586" t="s">
        <v>69</v>
      </c>
      <c r="N586" t="s">
        <v>7953</v>
      </c>
      <c r="O586" t="s">
        <v>215</v>
      </c>
      <c r="P586" t="s">
        <v>69</v>
      </c>
      <c r="Q586" t="s">
        <v>69</v>
      </c>
      <c r="R586" t="s">
        <v>8505</v>
      </c>
      <c r="S586" t="s">
        <v>8506</v>
      </c>
      <c r="T586" t="s">
        <v>69</v>
      </c>
      <c r="U586" t="s">
        <v>69</v>
      </c>
      <c r="V586" t="s">
        <v>69</v>
      </c>
      <c r="W586" t="s">
        <v>69</v>
      </c>
      <c r="X586" t="s">
        <v>69</v>
      </c>
      <c r="Y586" t="s">
        <v>28240</v>
      </c>
      <c r="Z586" t="s">
        <v>28241</v>
      </c>
      <c r="AA586" t="s">
        <v>7954</v>
      </c>
      <c r="AB586" t="s">
        <v>28242</v>
      </c>
      <c r="AC586" t="s">
        <v>69</v>
      </c>
      <c r="AD586" t="s">
        <v>28243</v>
      </c>
      <c r="AE586" t="s">
        <v>28244</v>
      </c>
      <c r="AF586" t="s">
        <v>7955</v>
      </c>
      <c r="AG586" t="s">
        <v>7956</v>
      </c>
      <c r="AH586" t="s">
        <v>69</v>
      </c>
      <c r="AI586" t="s">
        <v>69</v>
      </c>
      <c r="AJ586" t="s">
        <v>69</v>
      </c>
      <c r="AK586" t="s">
        <v>69</v>
      </c>
      <c r="AL586">
        <v>123</v>
      </c>
      <c r="AM586">
        <v>18</v>
      </c>
      <c r="AN586">
        <v>18</v>
      </c>
      <c r="AO586">
        <v>2</v>
      </c>
      <c r="AP586">
        <v>22</v>
      </c>
      <c r="AQ586" t="s">
        <v>9145</v>
      </c>
      <c r="AR586" t="s">
        <v>8637</v>
      </c>
      <c r="AS586" t="s">
        <v>9146</v>
      </c>
      <c r="AT586" t="s">
        <v>218</v>
      </c>
      <c r="AU586" t="s">
        <v>69</v>
      </c>
      <c r="AV586" t="s">
        <v>69</v>
      </c>
      <c r="AW586" t="s">
        <v>15240</v>
      </c>
      <c r="AX586" t="s">
        <v>15241</v>
      </c>
      <c r="AY586" t="s">
        <v>69</v>
      </c>
      <c r="AZ586">
        <v>2010</v>
      </c>
      <c r="BA586">
        <v>73</v>
      </c>
      <c r="BB586" t="s">
        <v>69</v>
      </c>
      <c r="BC586">
        <v>3</v>
      </c>
      <c r="BD586" t="s">
        <v>69</v>
      </c>
      <c r="BE586" t="s">
        <v>69</v>
      </c>
      <c r="BF586" t="s">
        <v>69</v>
      </c>
      <c r="BG586">
        <v>113</v>
      </c>
      <c r="BH586">
        <v>207</v>
      </c>
      <c r="BI586" t="s">
        <v>69</v>
      </c>
      <c r="BJ586" t="s">
        <v>7957</v>
      </c>
      <c r="BK586" t="str">
        <f>HYPERLINK("http://dx.doi.org/10.1016/j.progress.2009.11.001","http://dx.doi.org/10.1016/j.progress.2009.11.001")</f>
        <v>http://dx.doi.org/10.1016/j.progress.2009.11.001</v>
      </c>
      <c r="BL586" t="s">
        <v>69</v>
      </c>
      <c r="BM586" t="s">
        <v>69</v>
      </c>
      <c r="BN586">
        <v>95</v>
      </c>
      <c r="BO586" t="s">
        <v>15242</v>
      </c>
      <c r="BP586" t="s">
        <v>8661</v>
      </c>
      <c r="BQ586" t="s">
        <v>15243</v>
      </c>
      <c r="BR586" t="s">
        <v>28245</v>
      </c>
      <c r="BS586" t="s">
        <v>7958</v>
      </c>
      <c r="BT586" t="s">
        <v>69</v>
      </c>
      <c r="BU586" t="s">
        <v>69</v>
      </c>
      <c r="BV586" t="s">
        <v>69</v>
      </c>
      <c r="BW586" t="s">
        <v>69</v>
      </c>
      <c r="BX586" t="s">
        <v>8526</v>
      </c>
      <c r="BY586" t="str">
        <f>HYPERLINK("https%3A%2F%2Fwww.webofscience.com%2Fwos%2Fwoscc%2Ffull-record%2FWOS:000278500500001","View Full Record in Web of Science")</f>
        <v>View Full Record in Web of Science</v>
      </c>
    </row>
    <row r="587" spans="1:77" ht="12.5" x14ac:dyDescent="0.25">
      <c r="A587" t="s">
        <v>8495</v>
      </c>
      <c r="B587" s="7" t="s">
        <v>32933</v>
      </c>
      <c r="C587" s="7"/>
      <c r="D587" s="7"/>
      <c r="E587" s="7"/>
      <c r="F587" t="s">
        <v>67</v>
      </c>
      <c r="G587" t="s">
        <v>2304</v>
      </c>
      <c r="H587" t="s">
        <v>69</v>
      </c>
      <c r="I587" t="s">
        <v>69</v>
      </c>
      <c r="J587" t="s">
        <v>69</v>
      </c>
      <c r="K587" t="s">
        <v>2305</v>
      </c>
      <c r="L587" t="s">
        <v>69</v>
      </c>
      <c r="M587" t="s">
        <v>69</v>
      </c>
      <c r="N587" t="s">
        <v>2306</v>
      </c>
      <c r="O587" t="s">
        <v>2307</v>
      </c>
      <c r="P587" t="s">
        <v>69</v>
      </c>
      <c r="Q587" t="s">
        <v>69</v>
      </c>
      <c r="R587" t="s">
        <v>8505</v>
      </c>
      <c r="S587" t="s">
        <v>8506</v>
      </c>
      <c r="T587" t="s">
        <v>69</v>
      </c>
      <c r="U587" t="s">
        <v>69</v>
      </c>
      <c r="V587" t="s">
        <v>69</v>
      </c>
      <c r="W587" t="s">
        <v>69</v>
      </c>
      <c r="X587" t="s">
        <v>69</v>
      </c>
      <c r="Y587" t="s">
        <v>17541</v>
      </c>
      <c r="Z587" t="s">
        <v>17542</v>
      </c>
      <c r="AA587" t="s">
        <v>2308</v>
      </c>
      <c r="AB587" t="s">
        <v>17543</v>
      </c>
      <c r="AC587" t="s">
        <v>69</v>
      </c>
      <c r="AD587" t="s">
        <v>17544</v>
      </c>
      <c r="AE587" t="s">
        <v>17545</v>
      </c>
      <c r="AF587" t="s">
        <v>69</v>
      </c>
      <c r="AG587" t="s">
        <v>69</v>
      </c>
      <c r="AH587" t="s">
        <v>69</v>
      </c>
      <c r="AI587" t="s">
        <v>69</v>
      </c>
      <c r="AJ587" t="s">
        <v>69</v>
      </c>
      <c r="AK587" t="s">
        <v>69</v>
      </c>
      <c r="AL587">
        <v>61</v>
      </c>
      <c r="AM587">
        <v>9</v>
      </c>
      <c r="AN587">
        <v>9</v>
      </c>
      <c r="AO587">
        <v>2</v>
      </c>
      <c r="AP587">
        <v>20</v>
      </c>
      <c r="AQ587" t="s">
        <v>8762</v>
      </c>
      <c r="AR587" t="s">
        <v>8763</v>
      </c>
      <c r="AS587" t="s">
        <v>8764</v>
      </c>
      <c r="AT587" t="s">
        <v>2309</v>
      </c>
      <c r="AU587" t="s">
        <v>2310</v>
      </c>
      <c r="AV587" t="s">
        <v>69</v>
      </c>
      <c r="AW587" t="s">
        <v>17546</v>
      </c>
      <c r="AX587" t="s">
        <v>17547</v>
      </c>
      <c r="AY587" t="s">
        <v>191</v>
      </c>
      <c r="AZ587">
        <v>2019</v>
      </c>
      <c r="BA587">
        <v>72</v>
      </c>
      <c r="BB587">
        <v>2</v>
      </c>
      <c r="BC587" t="s">
        <v>69</v>
      </c>
      <c r="BD587" t="s">
        <v>69</v>
      </c>
      <c r="BE587" t="s">
        <v>69</v>
      </c>
      <c r="BF587" t="s">
        <v>69</v>
      </c>
      <c r="BG587">
        <v>188</v>
      </c>
      <c r="BH587">
        <v>216</v>
      </c>
      <c r="BI587" t="s">
        <v>69</v>
      </c>
      <c r="BJ587" t="s">
        <v>2311</v>
      </c>
      <c r="BK587" t="str">
        <f>HYPERLINK("http://dx.doi.org/10.1177/0018726718767952","http://dx.doi.org/10.1177/0018726718767952")</f>
        <v>http://dx.doi.org/10.1177/0018726718767952</v>
      </c>
      <c r="BL587" t="s">
        <v>69</v>
      </c>
      <c r="BM587" t="s">
        <v>69</v>
      </c>
      <c r="BN587">
        <v>29</v>
      </c>
      <c r="BO587" t="s">
        <v>17548</v>
      </c>
      <c r="BP587" t="s">
        <v>8661</v>
      </c>
      <c r="BQ587" t="s">
        <v>15524</v>
      </c>
      <c r="BR587" t="s">
        <v>17549</v>
      </c>
      <c r="BS587" t="s">
        <v>2312</v>
      </c>
      <c r="BT587" t="s">
        <v>69</v>
      </c>
      <c r="BU587" t="s">
        <v>10995</v>
      </c>
      <c r="BV587" t="s">
        <v>69</v>
      </c>
      <c r="BW587" t="s">
        <v>69</v>
      </c>
      <c r="BX587" t="s">
        <v>8526</v>
      </c>
      <c r="BY587" t="str">
        <f>HYPERLINK("https%3A%2F%2Fwww.webofscience.com%2Fwos%2Fwoscc%2Ffull-record%2FWOS:000456399400002","View Full Record in Web of Science")</f>
        <v>View Full Record in Web of Science</v>
      </c>
    </row>
    <row r="588" spans="1:77" ht="12.5" x14ac:dyDescent="0.25">
      <c r="A588" t="s">
        <v>8495</v>
      </c>
      <c r="B588" s="7" t="s">
        <v>32933</v>
      </c>
      <c r="C588" s="7"/>
      <c r="D588" s="7"/>
      <c r="E588" s="7"/>
      <c r="F588" t="s">
        <v>67</v>
      </c>
      <c r="G588" t="s">
        <v>7152</v>
      </c>
      <c r="H588" t="s">
        <v>69</v>
      </c>
      <c r="I588" t="s">
        <v>69</v>
      </c>
      <c r="J588" t="s">
        <v>69</v>
      </c>
      <c r="K588" t="s">
        <v>7153</v>
      </c>
      <c r="L588" t="s">
        <v>69</v>
      </c>
      <c r="M588" t="s">
        <v>69</v>
      </c>
      <c r="N588" t="s">
        <v>7154</v>
      </c>
      <c r="O588" t="s">
        <v>7155</v>
      </c>
      <c r="P588" t="s">
        <v>69</v>
      </c>
      <c r="Q588" t="s">
        <v>69</v>
      </c>
      <c r="R588" t="s">
        <v>8505</v>
      </c>
      <c r="S588" t="s">
        <v>8506</v>
      </c>
      <c r="T588" t="s">
        <v>69</v>
      </c>
      <c r="U588" t="s">
        <v>69</v>
      </c>
      <c r="V588" t="s">
        <v>69</v>
      </c>
      <c r="W588" t="s">
        <v>69</v>
      </c>
      <c r="X588" t="s">
        <v>69</v>
      </c>
      <c r="Y588" t="s">
        <v>16571</v>
      </c>
      <c r="Z588" t="s">
        <v>16572</v>
      </c>
      <c r="AA588" t="s">
        <v>7156</v>
      </c>
      <c r="AB588" t="s">
        <v>16573</v>
      </c>
      <c r="AC588" t="s">
        <v>69</v>
      </c>
      <c r="AD588" t="s">
        <v>16574</v>
      </c>
      <c r="AE588" t="s">
        <v>16575</v>
      </c>
      <c r="AF588" t="s">
        <v>69</v>
      </c>
      <c r="AG588" t="s">
        <v>69</v>
      </c>
      <c r="AH588" t="s">
        <v>69</v>
      </c>
      <c r="AI588" t="s">
        <v>69</v>
      </c>
      <c r="AJ588" t="s">
        <v>69</v>
      </c>
      <c r="AK588" t="s">
        <v>69</v>
      </c>
      <c r="AL588">
        <v>57</v>
      </c>
      <c r="AM588">
        <v>14</v>
      </c>
      <c r="AN588">
        <v>14</v>
      </c>
      <c r="AO588">
        <v>5</v>
      </c>
      <c r="AP588">
        <v>38</v>
      </c>
      <c r="AQ588" t="s">
        <v>8586</v>
      </c>
      <c r="AR588" t="s">
        <v>8587</v>
      </c>
      <c r="AS588" t="s">
        <v>8588</v>
      </c>
      <c r="AT588" t="s">
        <v>7157</v>
      </c>
      <c r="AU588" t="s">
        <v>7158</v>
      </c>
      <c r="AV588" t="s">
        <v>69</v>
      </c>
      <c r="AW588" t="s">
        <v>16576</v>
      </c>
      <c r="AX588" t="s">
        <v>16577</v>
      </c>
      <c r="AY588" t="s">
        <v>7159</v>
      </c>
      <c r="AZ588">
        <v>2019</v>
      </c>
      <c r="BA588">
        <v>8</v>
      </c>
      <c r="BB588">
        <v>3</v>
      </c>
      <c r="BC588" t="s">
        <v>69</v>
      </c>
      <c r="BD588" t="s">
        <v>69</v>
      </c>
      <c r="BE588" t="s">
        <v>69</v>
      </c>
      <c r="BF588" t="s">
        <v>69</v>
      </c>
      <c r="BG588">
        <v>348</v>
      </c>
      <c r="BH588">
        <v>369</v>
      </c>
      <c r="BI588" t="s">
        <v>69</v>
      </c>
      <c r="BJ588" t="s">
        <v>7160</v>
      </c>
      <c r="BK588" t="str">
        <f>HYPERLINK("http://dx.doi.org/10.1108/SAJBS-11-2018-0136","http://dx.doi.org/10.1108/SAJBS-11-2018-0136")</f>
        <v>http://dx.doi.org/10.1108/SAJBS-11-2018-0136</v>
      </c>
      <c r="BL588" t="s">
        <v>69</v>
      </c>
      <c r="BM588" t="s">
        <v>69</v>
      </c>
      <c r="BN588">
        <v>22</v>
      </c>
      <c r="BO588" t="s">
        <v>8444</v>
      </c>
      <c r="BP588" t="s">
        <v>8573</v>
      </c>
      <c r="BQ588" t="s">
        <v>8594</v>
      </c>
      <c r="BR588" t="s">
        <v>16578</v>
      </c>
      <c r="BS588" t="s">
        <v>7161</v>
      </c>
      <c r="BT588" t="s">
        <v>69</v>
      </c>
      <c r="BU588" t="s">
        <v>69</v>
      </c>
      <c r="BV588" t="s">
        <v>69</v>
      </c>
      <c r="BW588" t="s">
        <v>69</v>
      </c>
      <c r="BX588" t="s">
        <v>8526</v>
      </c>
      <c r="BY588" t="str">
        <f>HYPERLINK("https%3A%2F%2Fwww.webofscience.com%2Fwos%2Fwoscc%2Ffull-record%2FWOS:000495078400009","View Full Record in Web of Science")</f>
        <v>View Full Record in Web of Science</v>
      </c>
    </row>
    <row r="589" spans="1:77" ht="12.5" x14ac:dyDescent="0.25">
      <c r="A589" t="s">
        <v>8495</v>
      </c>
      <c r="B589" s="7" t="s">
        <v>32933</v>
      </c>
      <c r="C589" s="7"/>
      <c r="D589" s="7"/>
      <c r="E589" s="7"/>
      <c r="F589" t="s">
        <v>67</v>
      </c>
      <c r="G589" t="s">
        <v>8350</v>
      </c>
      <c r="H589" t="s">
        <v>69</v>
      </c>
      <c r="I589" t="s">
        <v>69</v>
      </c>
      <c r="J589" t="s">
        <v>69</v>
      </c>
      <c r="K589" t="s">
        <v>8350</v>
      </c>
      <c r="L589" t="s">
        <v>69</v>
      </c>
      <c r="M589" t="s">
        <v>69</v>
      </c>
      <c r="N589" t="s">
        <v>8351</v>
      </c>
      <c r="O589" t="s">
        <v>1722</v>
      </c>
      <c r="P589" t="s">
        <v>69</v>
      </c>
      <c r="Q589" t="s">
        <v>69</v>
      </c>
      <c r="R589" t="s">
        <v>8505</v>
      </c>
      <c r="S589" t="s">
        <v>8506</v>
      </c>
      <c r="T589" t="s">
        <v>69</v>
      </c>
      <c r="U589" t="s">
        <v>69</v>
      </c>
      <c r="V589" t="s">
        <v>69</v>
      </c>
      <c r="W589" t="s">
        <v>69</v>
      </c>
      <c r="X589" t="s">
        <v>69</v>
      </c>
      <c r="Y589" t="s">
        <v>69</v>
      </c>
      <c r="Z589" t="s">
        <v>32734</v>
      </c>
      <c r="AA589" t="s">
        <v>8352</v>
      </c>
      <c r="AB589" t="s">
        <v>69</v>
      </c>
      <c r="AC589" t="s">
        <v>69</v>
      </c>
      <c r="AD589" t="s">
        <v>32735</v>
      </c>
      <c r="AE589" t="s">
        <v>69</v>
      </c>
      <c r="AF589" t="s">
        <v>8353</v>
      </c>
      <c r="AG589" t="s">
        <v>8354</v>
      </c>
      <c r="AH589" t="s">
        <v>69</v>
      </c>
      <c r="AI589" t="s">
        <v>69</v>
      </c>
      <c r="AJ589" t="s">
        <v>69</v>
      </c>
      <c r="AK589" t="s">
        <v>69</v>
      </c>
      <c r="AL589">
        <v>18</v>
      </c>
      <c r="AM589">
        <v>55</v>
      </c>
      <c r="AN589">
        <v>57</v>
      </c>
      <c r="AO589">
        <v>1</v>
      </c>
      <c r="AP589">
        <v>49</v>
      </c>
      <c r="AQ589" t="s">
        <v>17140</v>
      </c>
      <c r="AR589" t="s">
        <v>8517</v>
      </c>
      <c r="AS589" t="s">
        <v>17141</v>
      </c>
      <c r="AT589" t="s">
        <v>1724</v>
      </c>
      <c r="AU589" t="s">
        <v>69</v>
      </c>
      <c r="AV589" t="s">
        <v>69</v>
      </c>
      <c r="AW589" t="s">
        <v>28853</v>
      </c>
      <c r="AX589" t="s">
        <v>28854</v>
      </c>
      <c r="AY589" t="s">
        <v>274</v>
      </c>
      <c r="AZ589">
        <v>1993</v>
      </c>
      <c r="BA589">
        <v>8</v>
      </c>
      <c r="BB589">
        <v>6</v>
      </c>
      <c r="BC589" t="s">
        <v>69</v>
      </c>
      <c r="BD589" t="s">
        <v>69</v>
      </c>
      <c r="BE589" t="s">
        <v>69</v>
      </c>
      <c r="BF589" t="s">
        <v>69</v>
      </c>
      <c r="BG589">
        <v>513</v>
      </c>
      <c r="BH589">
        <v>524</v>
      </c>
      <c r="BI589" t="s">
        <v>69</v>
      </c>
      <c r="BJ589" t="s">
        <v>8355</v>
      </c>
      <c r="BK589" t="str">
        <f>HYPERLINK("http://dx.doi.org/10.1016/0883-9026(93)90036-5","http://dx.doi.org/10.1016/0883-9026(93)90036-5")</f>
        <v>http://dx.doi.org/10.1016/0883-9026(93)90036-5</v>
      </c>
      <c r="BL589" t="s">
        <v>69</v>
      </c>
      <c r="BM589" t="s">
        <v>69</v>
      </c>
      <c r="BN589">
        <v>12</v>
      </c>
      <c r="BO589" t="s">
        <v>8444</v>
      </c>
      <c r="BP589" t="s">
        <v>8661</v>
      </c>
      <c r="BQ589" t="s">
        <v>8594</v>
      </c>
      <c r="BR589" t="s">
        <v>32736</v>
      </c>
      <c r="BS589" t="s">
        <v>8356</v>
      </c>
      <c r="BT589" t="s">
        <v>69</v>
      </c>
      <c r="BU589" t="s">
        <v>69</v>
      </c>
      <c r="BV589" t="s">
        <v>69</v>
      </c>
      <c r="BW589" t="s">
        <v>69</v>
      </c>
      <c r="BX589" t="s">
        <v>8526</v>
      </c>
      <c r="BY589" t="str">
        <f>HYPERLINK("https%3A%2F%2Fwww.webofscience.com%2Fwos%2Fwoscc%2Ffull-record%2FWOS:A1993MB74700004","View Full Record in Web of Science")</f>
        <v>View Full Record in Web of Science</v>
      </c>
    </row>
    <row r="590" spans="1:77" ht="12.5" x14ac:dyDescent="0.25">
      <c r="A590" t="s">
        <v>8495</v>
      </c>
      <c r="B590" s="22" t="s">
        <v>32931</v>
      </c>
      <c r="C590" s="7"/>
      <c r="D590" s="7"/>
      <c r="E590" s="7"/>
      <c r="F590" t="s">
        <v>67</v>
      </c>
      <c r="G590" t="s">
        <v>32384</v>
      </c>
      <c r="H590" t="s">
        <v>69</v>
      </c>
      <c r="I590" t="s">
        <v>69</v>
      </c>
      <c r="J590" t="s">
        <v>69</v>
      </c>
      <c r="K590" t="s">
        <v>32384</v>
      </c>
      <c r="L590" t="s">
        <v>69</v>
      </c>
      <c r="M590" t="s">
        <v>69</v>
      </c>
      <c r="N590" t="s">
        <v>32385</v>
      </c>
      <c r="O590" t="s">
        <v>32386</v>
      </c>
      <c r="P590" t="s">
        <v>69</v>
      </c>
      <c r="Q590" t="s">
        <v>69</v>
      </c>
      <c r="R590" t="s">
        <v>8505</v>
      </c>
      <c r="S590" t="s">
        <v>8506</v>
      </c>
      <c r="T590" t="s">
        <v>69</v>
      </c>
      <c r="U590" t="s">
        <v>69</v>
      </c>
      <c r="V590" t="s">
        <v>69</v>
      </c>
      <c r="W590" t="s">
        <v>69</v>
      </c>
      <c r="X590" t="s">
        <v>69</v>
      </c>
      <c r="Y590" t="s">
        <v>69</v>
      </c>
      <c r="Z590" t="s">
        <v>69</v>
      </c>
      <c r="AA590" t="s">
        <v>32387</v>
      </c>
      <c r="AB590" t="s">
        <v>69</v>
      </c>
      <c r="AC590" t="s">
        <v>69</v>
      </c>
      <c r="AD590" t="s">
        <v>32388</v>
      </c>
      <c r="AE590" t="s">
        <v>69</v>
      </c>
      <c r="AF590" t="s">
        <v>69</v>
      </c>
      <c r="AG590" t="s">
        <v>69</v>
      </c>
      <c r="AH590" t="s">
        <v>69</v>
      </c>
      <c r="AI590" t="s">
        <v>69</v>
      </c>
      <c r="AJ590" t="s">
        <v>69</v>
      </c>
      <c r="AK590" t="s">
        <v>69</v>
      </c>
      <c r="AL590">
        <v>11</v>
      </c>
      <c r="AM590">
        <v>2</v>
      </c>
      <c r="AN590">
        <v>2</v>
      </c>
      <c r="AO590">
        <v>1</v>
      </c>
      <c r="AP590">
        <v>2</v>
      </c>
      <c r="AQ590" t="s">
        <v>27579</v>
      </c>
      <c r="AR590" t="s">
        <v>8763</v>
      </c>
      <c r="AS590" t="s">
        <v>9179</v>
      </c>
      <c r="AT590" t="s">
        <v>32389</v>
      </c>
      <c r="AU590" t="s">
        <v>69</v>
      </c>
      <c r="AV590" t="s">
        <v>69</v>
      </c>
      <c r="AW590" t="s">
        <v>32390</v>
      </c>
      <c r="AX590" t="s">
        <v>32391</v>
      </c>
      <c r="AY590" t="s">
        <v>11008</v>
      </c>
      <c r="AZ590">
        <v>1996</v>
      </c>
      <c r="BA590">
        <v>313</v>
      </c>
      <c r="BB590">
        <v>7066</v>
      </c>
      <c r="BC590" t="s">
        <v>69</v>
      </c>
      <c r="BD590" t="s">
        <v>69</v>
      </c>
      <c r="BE590" t="s">
        <v>69</v>
      </c>
      <c r="BF590" t="s">
        <v>69</v>
      </c>
      <c r="BG590">
        <v>1197</v>
      </c>
      <c r="BH590">
        <v>1199</v>
      </c>
      <c r="BI590" t="s">
        <v>69</v>
      </c>
      <c r="BJ590" t="s">
        <v>32392</v>
      </c>
      <c r="BK590" t="str">
        <f>HYPERLINK("http://dx.doi.org/10.1136/bmj.313.7066.1197","http://dx.doi.org/10.1136/bmj.313.7066.1197")</f>
        <v>http://dx.doi.org/10.1136/bmj.313.7066.1197</v>
      </c>
      <c r="BL590" t="s">
        <v>69</v>
      </c>
      <c r="BM590" t="s">
        <v>69</v>
      </c>
      <c r="BN590">
        <v>3</v>
      </c>
      <c r="BO590" t="s">
        <v>9450</v>
      </c>
      <c r="BP590" t="s">
        <v>8548</v>
      </c>
      <c r="BQ590" t="s">
        <v>9451</v>
      </c>
      <c r="BR590" t="s">
        <v>32393</v>
      </c>
      <c r="BS590" t="s">
        <v>32394</v>
      </c>
      <c r="BT590">
        <v>8916758</v>
      </c>
      <c r="BU590" t="s">
        <v>10423</v>
      </c>
      <c r="BV590" t="s">
        <v>69</v>
      </c>
      <c r="BW590" t="s">
        <v>69</v>
      </c>
      <c r="BX590" t="s">
        <v>8526</v>
      </c>
      <c r="BY590" t="str">
        <f>HYPERLINK("https%3A%2F%2Fwww.webofscience.com%2Fwos%2Fwoscc%2Ffull-record%2FWOS:A1996VR90700031","View Full Record in Web of Science")</f>
        <v>View Full Record in Web of Science</v>
      </c>
    </row>
    <row r="591" spans="1:77" x14ac:dyDescent="0.3">
      <c r="A591" t="s">
        <v>8495</v>
      </c>
      <c r="B591" s="12" t="s">
        <v>32979</v>
      </c>
      <c r="F591" t="s">
        <v>67</v>
      </c>
      <c r="G591" t="s">
        <v>5370</v>
      </c>
      <c r="H591" t="s">
        <v>69</v>
      </c>
      <c r="I591" t="s">
        <v>69</v>
      </c>
      <c r="J591" t="s">
        <v>69</v>
      </c>
      <c r="K591" s="3" t="s">
        <v>5371</v>
      </c>
      <c r="L591" t="s">
        <v>69</v>
      </c>
      <c r="M591" t="s">
        <v>69</v>
      </c>
      <c r="N591" s="2" t="s">
        <v>5372</v>
      </c>
      <c r="O591" t="s">
        <v>5373</v>
      </c>
      <c r="P591" t="s">
        <v>69</v>
      </c>
      <c r="Q591" t="s">
        <v>69</v>
      </c>
      <c r="R591" t="s">
        <v>8505</v>
      </c>
      <c r="S591" t="s">
        <v>8506</v>
      </c>
      <c r="T591" t="s">
        <v>69</v>
      </c>
      <c r="U591" t="s">
        <v>69</v>
      </c>
      <c r="V591" t="s">
        <v>69</v>
      </c>
      <c r="W591" t="s">
        <v>69</v>
      </c>
      <c r="X591" t="s">
        <v>69</v>
      </c>
      <c r="Y591" t="s">
        <v>69</v>
      </c>
      <c r="Z591" t="s">
        <v>69</v>
      </c>
      <c r="AA591" t="s">
        <v>5374</v>
      </c>
      <c r="AB591" t="s">
        <v>30534</v>
      </c>
      <c r="AC591" t="s">
        <v>69</v>
      </c>
      <c r="AD591" t="s">
        <v>30535</v>
      </c>
      <c r="AE591" t="s">
        <v>69</v>
      </c>
      <c r="AF591" t="s">
        <v>69</v>
      </c>
      <c r="AG591" t="s">
        <v>5375</v>
      </c>
      <c r="AH591" t="s">
        <v>69</v>
      </c>
      <c r="AI591" t="s">
        <v>69</v>
      </c>
      <c r="AJ591" t="s">
        <v>69</v>
      </c>
      <c r="AK591" t="s">
        <v>69</v>
      </c>
      <c r="AL591">
        <v>32</v>
      </c>
      <c r="AM591">
        <v>1</v>
      </c>
      <c r="AN591">
        <v>1</v>
      </c>
      <c r="AO591">
        <v>1</v>
      </c>
      <c r="AP591">
        <v>13</v>
      </c>
      <c r="AQ591" t="s">
        <v>8846</v>
      </c>
      <c r="AR591" t="s">
        <v>8847</v>
      </c>
      <c r="AS591" t="s">
        <v>8848</v>
      </c>
      <c r="AT591" t="s">
        <v>5376</v>
      </c>
      <c r="AU591" t="s">
        <v>5377</v>
      </c>
      <c r="AV591" t="s">
        <v>69</v>
      </c>
      <c r="AW591" t="s">
        <v>22554</v>
      </c>
      <c r="AX591" t="s">
        <v>22555</v>
      </c>
      <c r="AY591" t="s">
        <v>69</v>
      </c>
      <c r="AZ591">
        <v>2006</v>
      </c>
      <c r="BA591">
        <v>34</v>
      </c>
      <c r="BB591">
        <v>4</v>
      </c>
      <c r="BC591" t="s">
        <v>69</v>
      </c>
      <c r="BD591" t="s">
        <v>69</v>
      </c>
      <c r="BE591" t="s">
        <v>69</v>
      </c>
      <c r="BF591" t="s">
        <v>69</v>
      </c>
      <c r="BG591">
        <v>511</v>
      </c>
      <c r="BH591">
        <v>532</v>
      </c>
      <c r="BI591" t="s">
        <v>69</v>
      </c>
      <c r="BJ591" t="s">
        <v>5378</v>
      </c>
      <c r="BK591" t="str">
        <f>HYPERLINK("http://dx.doi.org/10.1111/j.1541-0072.2006.00189.x","http://dx.doi.org/10.1111/j.1541-0072.2006.00189.x")</f>
        <v>http://dx.doi.org/10.1111/j.1541-0072.2006.00189.x</v>
      </c>
      <c r="BL591" t="s">
        <v>69</v>
      </c>
      <c r="BM591" t="s">
        <v>69</v>
      </c>
      <c r="BN591">
        <v>22</v>
      </c>
      <c r="BO591" t="s">
        <v>10439</v>
      </c>
      <c r="BP591" t="s">
        <v>8661</v>
      </c>
      <c r="BQ591" t="s">
        <v>10440</v>
      </c>
      <c r="BR591" t="s">
        <v>30536</v>
      </c>
      <c r="BS591" t="s">
        <v>5379</v>
      </c>
      <c r="BT591" t="s">
        <v>69</v>
      </c>
      <c r="BU591" t="s">
        <v>69</v>
      </c>
      <c r="BV591" t="s">
        <v>69</v>
      </c>
      <c r="BW591" t="s">
        <v>69</v>
      </c>
      <c r="BX591" t="s">
        <v>8526</v>
      </c>
      <c r="BY591" t="str">
        <f>HYPERLINK("https%3A%2F%2Fwww.webofscience.com%2Fwos%2Fwoscc%2Ffull-record%2FWOS:000242866800004","View Full Record in Web of Science")</f>
        <v>View Full Record in Web of Science</v>
      </c>
    </row>
    <row r="592" spans="1:77" x14ac:dyDescent="0.3">
      <c r="A592" t="s">
        <v>8495</v>
      </c>
      <c r="B592" s="10" t="s">
        <v>32980</v>
      </c>
      <c r="F592" t="s">
        <v>67</v>
      </c>
      <c r="G592" t="s">
        <v>4276</v>
      </c>
      <c r="H592" t="s">
        <v>69</v>
      </c>
      <c r="I592" t="s">
        <v>69</v>
      </c>
      <c r="J592" t="s">
        <v>69</v>
      </c>
      <c r="K592" s="2" t="s">
        <v>4276</v>
      </c>
      <c r="L592" t="s">
        <v>69</v>
      </c>
      <c r="M592" t="s">
        <v>69</v>
      </c>
      <c r="N592" s="2" t="s">
        <v>4277</v>
      </c>
      <c r="O592" t="s">
        <v>4241</v>
      </c>
      <c r="P592" t="s">
        <v>69</v>
      </c>
      <c r="Q592" t="s">
        <v>69</v>
      </c>
      <c r="R592" t="s">
        <v>8505</v>
      </c>
      <c r="S592" t="s">
        <v>8506</v>
      </c>
      <c r="T592" t="s">
        <v>69</v>
      </c>
      <c r="U592" t="s">
        <v>69</v>
      </c>
      <c r="V592" t="s">
        <v>69</v>
      </c>
      <c r="W592" t="s">
        <v>69</v>
      </c>
      <c r="X592" t="s">
        <v>69</v>
      </c>
      <c r="Y592" t="s">
        <v>69</v>
      </c>
      <c r="Z592" t="s">
        <v>69</v>
      </c>
      <c r="AA592" t="s">
        <v>4278</v>
      </c>
      <c r="AB592" t="s">
        <v>32571</v>
      </c>
      <c r="AC592" t="s">
        <v>69</v>
      </c>
      <c r="AD592" t="s">
        <v>32572</v>
      </c>
      <c r="AE592" t="s">
        <v>69</v>
      </c>
      <c r="AF592" t="s">
        <v>69</v>
      </c>
      <c r="AG592" t="s">
        <v>69</v>
      </c>
      <c r="AH592" t="s">
        <v>69</v>
      </c>
      <c r="AI592" t="s">
        <v>69</v>
      </c>
      <c r="AJ592" t="s">
        <v>69</v>
      </c>
      <c r="AK592" t="s">
        <v>69</v>
      </c>
      <c r="AL592">
        <v>17</v>
      </c>
      <c r="AM592">
        <v>1</v>
      </c>
      <c r="AN592">
        <v>1</v>
      </c>
      <c r="AO592">
        <v>0</v>
      </c>
      <c r="AP592">
        <v>0</v>
      </c>
      <c r="AQ592" t="s">
        <v>32462</v>
      </c>
      <c r="AR592" t="s">
        <v>32463</v>
      </c>
      <c r="AS592" t="s">
        <v>32464</v>
      </c>
      <c r="AT592" t="s">
        <v>4243</v>
      </c>
      <c r="AU592" t="s">
        <v>69</v>
      </c>
      <c r="AV592" t="s">
        <v>69</v>
      </c>
      <c r="AW592" t="s">
        <v>4241</v>
      </c>
      <c r="AX592" t="s">
        <v>8483</v>
      </c>
      <c r="AY592" t="s">
        <v>255</v>
      </c>
      <c r="AZ592">
        <v>1995</v>
      </c>
      <c r="BA592">
        <v>24</v>
      </c>
      <c r="BB592">
        <v>6</v>
      </c>
      <c r="BC592" t="s">
        <v>69</v>
      </c>
      <c r="BD592" t="s">
        <v>69</v>
      </c>
      <c r="BE592" t="s">
        <v>69</v>
      </c>
      <c r="BF592" t="s">
        <v>69</v>
      </c>
      <c r="BG592">
        <v>366</v>
      </c>
      <c r="BH592">
        <v>370</v>
      </c>
      <c r="BI592" t="s">
        <v>69</v>
      </c>
      <c r="BJ592" t="s">
        <v>69</v>
      </c>
      <c r="BK592" t="s">
        <v>69</v>
      </c>
      <c r="BL592" t="s">
        <v>69</v>
      </c>
      <c r="BM592" t="s">
        <v>69</v>
      </c>
      <c r="BN592">
        <v>5</v>
      </c>
      <c r="BO592" t="s">
        <v>8743</v>
      </c>
      <c r="BP592" t="s">
        <v>8548</v>
      </c>
      <c r="BQ592" t="s">
        <v>8744</v>
      </c>
      <c r="BR592" t="s">
        <v>32573</v>
      </c>
      <c r="BS592" t="s">
        <v>4279</v>
      </c>
      <c r="BT592" t="s">
        <v>69</v>
      </c>
      <c r="BU592" t="s">
        <v>69</v>
      </c>
      <c r="BV592" t="s">
        <v>69</v>
      </c>
      <c r="BW592" t="s">
        <v>69</v>
      </c>
      <c r="BX592" t="s">
        <v>8526</v>
      </c>
      <c r="BY592" t="str">
        <f>HYPERLINK("https%3A%2F%2Fwww.webofscience.com%2Fwos%2Fwoscc%2Ffull-record%2FWOS:A1995TC11000009","View Full Record in Web of Science")</f>
        <v>View Full Record in Web of Science</v>
      </c>
    </row>
    <row r="593" spans="1:77" x14ac:dyDescent="0.3">
      <c r="A593" t="s">
        <v>8495</v>
      </c>
      <c r="B593" s="9" t="s">
        <v>32954</v>
      </c>
      <c r="C593" s="9" t="s">
        <v>33075</v>
      </c>
      <c r="E593" s="9" t="s">
        <v>8490</v>
      </c>
      <c r="F593" t="s">
        <v>67</v>
      </c>
      <c r="G593" t="s">
        <v>28783</v>
      </c>
      <c r="H593" t="s">
        <v>69</v>
      </c>
      <c r="I593" t="s">
        <v>69</v>
      </c>
      <c r="J593" t="s">
        <v>69</v>
      </c>
      <c r="K593" t="s">
        <v>28784</v>
      </c>
      <c r="L593" t="s">
        <v>69</v>
      </c>
      <c r="M593" t="s">
        <v>69</v>
      </c>
      <c r="N593" t="s">
        <v>28785</v>
      </c>
      <c r="O593" t="s">
        <v>28786</v>
      </c>
      <c r="P593" t="s">
        <v>69</v>
      </c>
      <c r="Q593" t="s">
        <v>69</v>
      </c>
      <c r="R593" t="s">
        <v>8505</v>
      </c>
      <c r="S593" t="s">
        <v>8506</v>
      </c>
      <c r="T593" t="s">
        <v>69</v>
      </c>
      <c r="U593" t="s">
        <v>69</v>
      </c>
      <c r="V593" t="s">
        <v>69</v>
      </c>
      <c r="W593" t="s">
        <v>69</v>
      </c>
      <c r="X593" t="s">
        <v>69</v>
      </c>
      <c r="Y593" t="s">
        <v>28787</v>
      </c>
      <c r="Z593" t="s">
        <v>69</v>
      </c>
      <c r="AA593" t="s">
        <v>28788</v>
      </c>
      <c r="AB593" t="s">
        <v>28789</v>
      </c>
      <c r="AC593" t="s">
        <v>69</v>
      </c>
      <c r="AD593" t="s">
        <v>28790</v>
      </c>
      <c r="AE593" t="s">
        <v>28791</v>
      </c>
      <c r="AF593" t="s">
        <v>28792</v>
      </c>
      <c r="AG593" t="s">
        <v>28793</v>
      </c>
      <c r="AH593" t="s">
        <v>69</v>
      </c>
      <c r="AI593" t="s">
        <v>69</v>
      </c>
      <c r="AJ593" t="s">
        <v>69</v>
      </c>
      <c r="AK593" t="s">
        <v>69</v>
      </c>
      <c r="AL593">
        <v>39</v>
      </c>
      <c r="AM593">
        <v>10</v>
      </c>
      <c r="AN593">
        <v>11</v>
      </c>
      <c r="AO593">
        <v>0</v>
      </c>
      <c r="AP593">
        <v>0</v>
      </c>
      <c r="AQ593" t="s">
        <v>13509</v>
      </c>
      <c r="AR593" t="s">
        <v>13510</v>
      </c>
      <c r="AS593" t="s">
        <v>13511</v>
      </c>
      <c r="AT593" t="s">
        <v>28794</v>
      </c>
      <c r="AU593" t="s">
        <v>28795</v>
      </c>
      <c r="AV593" t="s">
        <v>69</v>
      </c>
      <c r="AW593" t="s">
        <v>28796</v>
      </c>
      <c r="AX593" t="s">
        <v>28797</v>
      </c>
      <c r="AY593" t="s">
        <v>69</v>
      </c>
      <c r="AZ593">
        <v>2009</v>
      </c>
      <c r="BA593">
        <v>10</v>
      </c>
      <c r="BB593">
        <v>2</v>
      </c>
      <c r="BC593" t="s">
        <v>69</v>
      </c>
      <c r="BD593" t="s">
        <v>69</v>
      </c>
      <c r="BE593" t="s">
        <v>69</v>
      </c>
      <c r="BF593" t="s">
        <v>69</v>
      </c>
      <c r="BG593">
        <v>223</v>
      </c>
      <c r="BH593">
        <v>240</v>
      </c>
      <c r="BI593" t="s">
        <v>69</v>
      </c>
      <c r="BJ593" t="s">
        <v>28798</v>
      </c>
      <c r="BK593" t="str">
        <f>HYPERLINK("http://dx.doi.org/10.1504/IJETM.2009.023523","http://dx.doi.org/10.1504/IJETM.2009.023523")</f>
        <v>http://dx.doi.org/10.1504/IJETM.2009.023523</v>
      </c>
      <c r="BL593" t="s">
        <v>69</v>
      </c>
      <c r="BM593" t="s">
        <v>69</v>
      </c>
      <c r="BN593">
        <v>18</v>
      </c>
      <c r="BO593" t="s">
        <v>28608</v>
      </c>
      <c r="BP593" t="s">
        <v>8573</v>
      </c>
      <c r="BQ593" t="s">
        <v>8445</v>
      </c>
      <c r="BR593" t="s">
        <v>28799</v>
      </c>
      <c r="BS593" t="s">
        <v>28800</v>
      </c>
      <c r="BT593" t="s">
        <v>69</v>
      </c>
      <c r="BU593" t="s">
        <v>10423</v>
      </c>
      <c r="BV593" t="s">
        <v>69</v>
      </c>
      <c r="BW593" t="s">
        <v>69</v>
      </c>
      <c r="BX593" t="s">
        <v>8526</v>
      </c>
      <c r="BY593" t="str">
        <f>HYPERLINK("https%3A%2F%2Fwww.webofscience.com%2Fwos%2Fwoscc%2Ffull-record%2FWOS:000213058600006","View Full Record in Web of Science")</f>
        <v>View Full Record in Web of Science</v>
      </c>
    </row>
    <row r="594" spans="1:77" ht="12.5" x14ac:dyDescent="0.25">
      <c r="A594" t="s">
        <v>8495</v>
      </c>
      <c r="B594" s="22" t="s">
        <v>32931</v>
      </c>
      <c r="C594" s="7"/>
      <c r="D594" s="7"/>
      <c r="E594" s="7"/>
      <c r="F594" t="s">
        <v>67</v>
      </c>
      <c r="G594" t="s">
        <v>10108</v>
      </c>
      <c r="H594" t="s">
        <v>69</v>
      </c>
      <c r="I594" t="s">
        <v>69</v>
      </c>
      <c r="J594" t="s">
        <v>69</v>
      </c>
      <c r="K594" t="s">
        <v>10109</v>
      </c>
      <c r="L594" t="s">
        <v>69</v>
      </c>
      <c r="M594" t="s">
        <v>69</v>
      </c>
      <c r="N594" t="s">
        <v>10110</v>
      </c>
      <c r="O594" t="s">
        <v>10111</v>
      </c>
      <c r="P594" t="s">
        <v>69</v>
      </c>
      <c r="Q594" t="s">
        <v>69</v>
      </c>
      <c r="R594" t="s">
        <v>8505</v>
      </c>
      <c r="S594" t="s">
        <v>8506</v>
      </c>
      <c r="T594" t="s">
        <v>69</v>
      </c>
      <c r="U594" t="s">
        <v>69</v>
      </c>
      <c r="V594" t="s">
        <v>69</v>
      </c>
      <c r="W594" t="s">
        <v>69</v>
      </c>
      <c r="X594" t="s">
        <v>69</v>
      </c>
      <c r="Y594" t="s">
        <v>10112</v>
      </c>
      <c r="Z594" t="s">
        <v>10113</v>
      </c>
      <c r="AA594" t="s">
        <v>10114</v>
      </c>
      <c r="AB594" t="s">
        <v>10115</v>
      </c>
      <c r="AC594" t="s">
        <v>69</v>
      </c>
      <c r="AD594" t="s">
        <v>10116</v>
      </c>
      <c r="AE594" t="s">
        <v>10117</v>
      </c>
      <c r="AF594" t="s">
        <v>69</v>
      </c>
      <c r="AG594" t="s">
        <v>69</v>
      </c>
      <c r="AH594" t="s">
        <v>69</v>
      </c>
      <c r="AI594" t="s">
        <v>69</v>
      </c>
      <c r="AJ594" t="s">
        <v>69</v>
      </c>
      <c r="AK594" t="s">
        <v>69</v>
      </c>
      <c r="AL594">
        <v>34</v>
      </c>
      <c r="AM594">
        <v>0</v>
      </c>
      <c r="AN594">
        <v>0</v>
      </c>
      <c r="AO594">
        <v>1</v>
      </c>
      <c r="AP594">
        <v>1</v>
      </c>
      <c r="AQ594" t="s">
        <v>10118</v>
      </c>
      <c r="AR594" t="s">
        <v>10119</v>
      </c>
      <c r="AS594" t="s">
        <v>10120</v>
      </c>
      <c r="AT594" t="s">
        <v>10121</v>
      </c>
      <c r="AU594" t="s">
        <v>10122</v>
      </c>
      <c r="AV594" t="s">
        <v>69</v>
      </c>
      <c r="AW594" t="s">
        <v>10123</v>
      </c>
      <c r="AX594" t="s">
        <v>10124</v>
      </c>
      <c r="AY594" t="s">
        <v>451</v>
      </c>
      <c r="AZ594">
        <v>2022</v>
      </c>
      <c r="BA594">
        <v>26</v>
      </c>
      <c r="BB594">
        <v>1</v>
      </c>
      <c r="BC594" t="s">
        <v>69</v>
      </c>
      <c r="BD594" t="s">
        <v>69</v>
      </c>
      <c r="BE594" t="s">
        <v>69</v>
      </c>
      <c r="BF594" t="s">
        <v>69</v>
      </c>
      <c r="BG594">
        <v>484</v>
      </c>
      <c r="BH594">
        <v>498</v>
      </c>
      <c r="BI594" t="s">
        <v>69</v>
      </c>
      <c r="BJ594" t="s">
        <v>10125</v>
      </c>
      <c r="BK594" t="str">
        <f>HYPERLINK("http://dx.doi.org/10.2478/rtuect-2022-0037","http://dx.doi.org/10.2478/rtuect-2022-0037")</f>
        <v>http://dx.doi.org/10.2478/rtuect-2022-0037</v>
      </c>
      <c r="BL594" t="s">
        <v>69</v>
      </c>
      <c r="BM594" t="s">
        <v>69</v>
      </c>
      <c r="BN594">
        <v>15</v>
      </c>
      <c r="BO594" t="s">
        <v>10126</v>
      </c>
      <c r="BP594" t="s">
        <v>8573</v>
      </c>
      <c r="BQ594" t="s">
        <v>8620</v>
      </c>
      <c r="BR594" t="s">
        <v>10127</v>
      </c>
      <c r="BS594" t="s">
        <v>10128</v>
      </c>
      <c r="BT594" t="s">
        <v>69</v>
      </c>
      <c r="BU594" t="s">
        <v>8931</v>
      </c>
      <c r="BV594" t="s">
        <v>69</v>
      </c>
      <c r="BW594" t="s">
        <v>69</v>
      </c>
      <c r="BX594" t="s">
        <v>8526</v>
      </c>
      <c r="BY594" t="str">
        <f>HYPERLINK("https%3A%2F%2Fwww.webofscience.com%2Fwos%2Fwoscc%2Ffull-record%2FWOS:000821620200002","View Full Record in Web of Science")</f>
        <v>View Full Record in Web of Science</v>
      </c>
    </row>
    <row r="595" spans="1:77" ht="12.5" x14ac:dyDescent="0.25">
      <c r="A595" t="s">
        <v>8495</v>
      </c>
      <c r="B595" s="22" t="s">
        <v>32931</v>
      </c>
      <c r="C595" s="7"/>
      <c r="D595" s="7"/>
      <c r="E595" s="7"/>
      <c r="F595" t="s">
        <v>67</v>
      </c>
      <c r="G595" t="s">
        <v>21991</v>
      </c>
      <c r="H595" t="s">
        <v>69</v>
      </c>
      <c r="I595" t="s">
        <v>69</v>
      </c>
      <c r="J595" t="s">
        <v>69</v>
      </c>
      <c r="K595" t="s">
        <v>21992</v>
      </c>
      <c r="L595" t="s">
        <v>69</v>
      </c>
      <c r="M595" t="s">
        <v>69</v>
      </c>
      <c r="N595" t="s">
        <v>21993</v>
      </c>
      <c r="O595" t="s">
        <v>21994</v>
      </c>
      <c r="P595" t="s">
        <v>69</v>
      </c>
      <c r="Q595" t="s">
        <v>69</v>
      </c>
      <c r="R595" t="s">
        <v>8505</v>
      </c>
      <c r="S595" t="s">
        <v>8506</v>
      </c>
      <c r="T595" t="s">
        <v>69</v>
      </c>
      <c r="U595" t="s">
        <v>69</v>
      </c>
      <c r="V595" t="s">
        <v>69</v>
      </c>
      <c r="W595" t="s">
        <v>69</v>
      </c>
      <c r="X595" t="s">
        <v>69</v>
      </c>
      <c r="Y595" t="s">
        <v>21995</v>
      </c>
      <c r="Z595" t="s">
        <v>21996</v>
      </c>
      <c r="AA595" t="s">
        <v>21997</v>
      </c>
      <c r="AB595" t="s">
        <v>21998</v>
      </c>
      <c r="AC595" t="s">
        <v>69</v>
      </c>
      <c r="AD595" t="s">
        <v>21999</v>
      </c>
      <c r="AE595" t="s">
        <v>22000</v>
      </c>
      <c r="AF595" t="s">
        <v>69</v>
      </c>
      <c r="AG595" t="s">
        <v>22001</v>
      </c>
      <c r="AH595" t="s">
        <v>69</v>
      </c>
      <c r="AI595" t="s">
        <v>69</v>
      </c>
      <c r="AJ595" t="s">
        <v>69</v>
      </c>
      <c r="AK595" t="s">
        <v>69</v>
      </c>
      <c r="AL595">
        <v>17</v>
      </c>
      <c r="AM595">
        <v>19</v>
      </c>
      <c r="AN595">
        <v>20</v>
      </c>
      <c r="AO595">
        <v>0</v>
      </c>
      <c r="AP595">
        <v>9</v>
      </c>
      <c r="AQ595" t="s">
        <v>15611</v>
      </c>
      <c r="AR595" t="s">
        <v>10924</v>
      </c>
      <c r="AS595" t="s">
        <v>15612</v>
      </c>
      <c r="AT595" t="s">
        <v>22002</v>
      </c>
      <c r="AU595" t="s">
        <v>22003</v>
      </c>
      <c r="AV595" t="s">
        <v>69</v>
      </c>
      <c r="AW595" t="s">
        <v>22004</v>
      </c>
      <c r="AX595" t="s">
        <v>22005</v>
      </c>
      <c r="AY595" t="s">
        <v>69</v>
      </c>
      <c r="AZ595">
        <v>2016</v>
      </c>
      <c r="BA595">
        <v>13</v>
      </c>
      <c r="BB595">
        <v>10</v>
      </c>
      <c r="BC595" t="s">
        <v>69</v>
      </c>
      <c r="BD595" t="s">
        <v>69</v>
      </c>
      <c r="BE595" t="s">
        <v>69</v>
      </c>
      <c r="BF595" t="s">
        <v>69</v>
      </c>
      <c r="BG595">
        <v>770</v>
      </c>
      <c r="BH595">
        <v>781</v>
      </c>
      <c r="BI595" t="s">
        <v>69</v>
      </c>
      <c r="BJ595" t="s">
        <v>22006</v>
      </c>
      <c r="BK595" t="str">
        <f>HYPERLINK("http://dx.doi.org/10.1080/15459624.2016.1177649","http://dx.doi.org/10.1080/15459624.2016.1177649")</f>
        <v>http://dx.doi.org/10.1080/15459624.2016.1177649</v>
      </c>
      <c r="BL595" t="s">
        <v>69</v>
      </c>
      <c r="BM595" t="s">
        <v>69</v>
      </c>
      <c r="BN595">
        <v>12</v>
      </c>
      <c r="BO595" t="s">
        <v>10595</v>
      </c>
      <c r="BP595" t="s">
        <v>8548</v>
      </c>
      <c r="BQ595" t="s">
        <v>10596</v>
      </c>
      <c r="BR595" t="s">
        <v>22007</v>
      </c>
      <c r="BS595" t="s">
        <v>22008</v>
      </c>
      <c r="BT595">
        <v>27105025</v>
      </c>
      <c r="BU595" t="s">
        <v>9292</v>
      </c>
      <c r="BV595" t="s">
        <v>69</v>
      </c>
      <c r="BW595" t="s">
        <v>69</v>
      </c>
      <c r="BX595" t="s">
        <v>8526</v>
      </c>
      <c r="BY595" t="str">
        <f>HYPERLINK("https%3A%2F%2Fwww.webofscience.com%2Fwos%2Fwoscc%2Ffull-record%2FWOS:000382752900008","View Full Record in Web of Science")</f>
        <v>View Full Record in Web of Science</v>
      </c>
    </row>
    <row r="596" spans="1:77" ht="12.5" x14ac:dyDescent="0.25">
      <c r="A596" t="s">
        <v>8495</v>
      </c>
      <c r="B596" s="7" t="s">
        <v>32933</v>
      </c>
      <c r="C596" s="7"/>
      <c r="D596" s="7"/>
      <c r="E596" s="7"/>
      <c r="F596" t="s">
        <v>67</v>
      </c>
      <c r="G596" t="s">
        <v>6470</v>
      </c>
      <c r="H596" t="s">
        <v>69</v>
      </c>
      <c r="I596" t="s">
        <v>69</v>
      </c>
      <c r="J596" t="s">
        <v>69</v>
      </c>
      <c r="K596" t="s">
        <v>6471</v>
      </c>
      <c r="L596" t="s">
        <v>69</v>
      </c>
      <c r="M596" t="s">
        <v>69</v>
      </c>
      <c r="N596" t="s">
        <v>6472</v>
      </c>
      <c r="O596" t="s">
        <v>6473</v>
      </c>
      <c r="P596" t="s">
        <v>69</v>
      </c>
      <c r="Q596" t="s">
        <v>69</v>
      </c>
      <c r="R596" t="s">
        <v>10153</v>
      </c>
      <c r="S596" t="s">
        <v>8506</v>
      </c>
      <c r="T596" t="s">
        <v>69</v>
      </c>
      <c r="U596" t="s">
        <v>69</v>
      </c>
      <c r="V596" t="s">
        <v>69</v>
      </c>
      <c r="W596" t="s">
        <v>69</v>
      </c>
      <c r="X596" t="s">
        <v>69</v>
      </c>
      <c r="Y596" t="s">
        <v>18522</v>
      </c>
      <c r="Z596" t="s">
        <v>69</v>
      </c>
      <c r="AA596" t="s">
        <v>6474</v>
      </c>
      <c r="AB596" t="s">
        <v>18523</v>
      </c>
      <c r="AC596" t="s">
        <v>69</v>
      </c>
      <c r="AD596" t="s">
        <v>18524</v>
      </c>
      <c r="AE596" t="s">
        <v>18525</v>
      </c>
      <c r="AF596" t="s">
        <v>6475</v>
      </c>
      <c r="AG596" t="s">
        <v>6476</v>
      </c>
      <c r="AH596" t="s">
        <v>69</v>
      </c>
      <c r="AI596" t="s">
        <v>69</v>
      </c>
      <c r="AJ596" t="s">
        <v>69</v>
      </c>
      <c r="AK596" t="s">
        <v>69</v>
      </c>
      <c r="AL596">
        <v>22</v>
      </c>
      <c r="AM596">
        <v>1</v>
      </c>
      <c r="AN596">
        <v>1</v>
      </c>
      <c r="AO596">
        <v>0</v>
      </c>
      <c r="AP596">
        <v>3</v>
      </c>
      <c r="AQ596" t="s">
        <v>18526</v>
      </c>
      <c r="AR596" t="s">
        <v>18527</v>
      </c>
      <c r="AS596" t="s">
        <v>18528</v>
      </c>
      <c r="AT596" t="s">
        <v>6477</v>
      </c>
      <c r="AU596" t="s">
        <v>6478</v>
      </c>
      <c r="AV596" t="s">
        <v>69</v>
      </c>
      <c r="AW596" t="s">
        <v>18529</v>
      </c>
      <c r="AX596" t="s">
        <v>18530</v>
      </c>
      <c r="AY596" t="s">
        <v>6479</v>
      </c>
      <c r="AZ596">
        <v>2018</v>
      </c>
      <c r="BA596">
        <v>15</v>
      </c>
      <c r="BB596">
        <v>30</v>
      </c>
      <c r="BC596" t="s">
        <v>69</v>
      </c>
      <c r="BD596" t="s">
        <v>69</v>
      </c>
      <c r="BE596" t="s">
        <v>69</v>
      </c>
      <c r="BF596" t="s">
        <v>69</v>
      </c>
      <c r="BG596">
        <v>169</v>
      </c>
      <c r="BH596">
        <v>195</v>
      </c>
      <c r="BI596" t="s">
        <v>69</v>
      </c>
      <c r="BJ596" t="s">
        <v>69</v>
      </c>
      <c r="BK596" t="s">
        <v>69</v>
      </c>
      <c r="BL596" t="s">
        <v>69</v>
      </c>
      <c r="BM596" t="s">
        <v>69</v>
      </c>
      <c r="BN596">
        <v>27</v>
      </c>
      <c r="BO596" t="s">
        <v>10299</v>
      </c>
      <c r="BP596" t="s">
        <v>8573</v>
      </c>
      <c r="BQ596" t="s">
        <v>10279</v>
      </c>
      <c r="BR596" t="s">
        <v>18531</v>
      </c>
      <c r="BS596" t="s">
        <v>6480</v>
      </c>
      <c r="BT596" t="s">
        <v>69</v>
      </c>
      <c r="BU596" t="s">
        <v>69</v>
      </c>
      <c r="BV596" t="s">
        <v>69</v>
      </c>
      <c r="BW596" t="s">
        <v>69</v>
      </c>
      <c r="BX596" t="s">
        <v>8526</v>
      </c>
      <c r="BY596" t="str">
        <f>HYPERLINK("https%3A%2F%2Fwww.webofscience.com%2Fwos%2Fwoscc%2Ffull-record%2FWOS:000457373100011","View Full Record in Web of Science")</f>
        <v>View Full Record in Web of Science</v>
      </c>
    </row>
    <row r="597" spans="1:77" ht="12.5" x14ac:dyDescent="0.25">
      <c r="A597" t="s">
        <v>8495</v>
      </c>
      <c r="B597" s="7" t="s">
        <v>32933</v>
      </c>
      <c r="C597" s="7"/>
      <c r="D597" s="7"/>
      <c r="E597" s="7"/>
      <c r="F597" t="s">
        <v>67</v>
      </c>
      <c r="G597" t="s">
        <v>1020</v>
      </c>
      <c r="H597" t="s">
        <v>69</v>
      </c>
      <c r="I597" t="s">
        <v>69</v>
      </c>
      <c r="J597" t="s">
        <v>69</v>
      </c>
      <c r="K597" t="s">
        <v>1021</v>
      </c>
      <c r="L597" t="s">
        <v>69</v>
      </c>
      <c r="M597" t="s">
        <v>69</v>
      </c>
      <c r="N597" t="s">
        <v>1022</v>
      </c>
      <c r="O597" t="s">
        <v>1023</v>
      </c>
      <c r="P597" t="s">
        <v>69</v>
      </c>
      <c r="Q597" t="s">
        <v>69</v>
      </c>
      <c r="R597" t="s">
        <v>8505</v>
      </c>
      <c r="S597" t="s">
        <v>8506</v>
      </c>
      <c r="T597" t="s">
        <v>69</v>
      </c>
      <c r="U597" t="s">
        <v>69</v>
      </c>
      <c r="V597" t="s">
        <v>69</v>
      </c>
      <c r="W597" t="s">
        <v>69</v>
      </c>
      <c r="X597" t="s">
        <v>69</v>
      </c>
      <c r="Y597" t="s">
        <v>18071</v>
      </c>
      <c r="Z597" t="s">
        <v>18072</v>
      </c>
      <c r="AA597" t="s">
        <v>1024</v>
      </c>
      <c r="AB597" t="s">
        <v>16498</v>
      </c>
      <c r="AC597" t="s">
        <v>69</v>
      </c>
      <c r="AD597" t="s">
        <v>16499</v>
      </c>
      <c r="AE597" t="s">
        <v>16500</v>
      </c>
      <c r="AF597" t="s">
        <v>18073</v>
      </c>
      <c r="AG597" t="s">
        <v>1025</v>
      </c>
      <c r="AH597" t="s">
        <v>69</v>
      </c>
      <c r="AI597" t="s">
        <v>69</v>
      </c>
      <c r="AJ597" t="s">
        <v>69</v>
      </c>
      <c r="AK597" t="s">
        <v>69</v>
      </c>
      <c r="AL597">
        <v>37</v>
      </c>
      <c r="AM597">
        <v>9</v>
      </c>
      <c r="AN597">
        <v>9</v>
      </c>
      <c r="AO597">
        <v>0</v>
      </c>
      <c r="AP597">
        <v>6</v>
      </c>
      <c r="AQ597" t="s">
        <v>9145</v>
      </c>
      <c r="AR597" t="s">
        <v>8637</v>
      </c>
      <c r="AS597" t="s">
        <v>9146</v>
      </c>
      <c r="AT597" t="s">
        <v>1026</v>
      </c>
      <c r="AU597" t="s">
        <v>69</v>
      </c>
      <c r="AV597" t="s">
        <v>69</v>
      </c>
      <c r="AW597" t="s">
        <v>18074</v>
      </c>
      <c r="AX597" t="s">
        <v>18075</v>
      </c>
      <c r="AY597" t="s">
        <v>75</v>
      </c>
      <c r="AZ597">
        <v>2018</v>
      </c>
      <c r="BA597">
        <v>118</v>
      </c>
      <c r="BB597" t="s">
        <v>69</v>
      </c>
      <c r="BC597" t="s">
        <v>69</v>
      </c>
      <c r="BD597" t="s">
        <v>69</v>
      </c>
      <c r="BE597" t="s">
        <v>69</v>
      </c>
      <c r="BF597" t="s">
        <v>69</v>
      </c>
      <c r="BG597">
        <v>556</v>
      </c>
      <c r="BH597">
        <v>566</v>
      </c>
      <c r="BI597" t="s">
        <v>69</v>
      </c>
      <c r="BJ597" t="s">
        <v>1027</v>
      </c>
      <c r="BK597" t="str">
        <f>HYPERLINK("http://dx.doi.org/10.1016/j.tra.2018.09.024","http://dx.doi.org/10.1016/j.tra.2018.09.024")</f>
        <v>http://dx.doi.org/10.1016/j.tra.2018.09.024</v>
      </c>
      <c r="BL597" t="s">
        <v>69</v>
      </c>
      <c r="BM597" t="s">
        <v>69</v>
      </c>
      <c r="BN597">
        <v>11</v>
      </c>
      <c r="BO597" t="s">
        <v>18076</v>
      </c>
      <c r="BP597" t="s">
        <v>8523</v>
      </c>
      <c r="BQ597" t="s">
        <v>15301</v>
      </c>
      <c r="BR597" t="s">
        <v>18077</v>
      </c>
      <c r="BS597" t="s">
        <v>1028</v>
      </c>
      <c r="BT597" t="s">
        <v>69</v>
      </c>
      <c r="BU597" t="s">
        <v>10423</v>
      </c>
      <c r="BV597" t="s">
        <v>69</v>
      </c>
      <c r="BW597" t="s">
        <v>69</v>
      </c>
      <c r="BX597" t="s">
        <v>8526</v>
      </c>
      <c r="BY597" t="str">
        <f>HYPERLINK("https%3A%2F%2Fwww.webofscience.com%2Fwos%2Fwoscc%2Ffull-record%2FWOS:000452941000038","View Full Record in Web of Science")</f>
        <v>View Full Record in Web of Science</v>
      </c>
    </row>
    <row r="598" spans="1:77" x14ac:dyDescent="0.3">
      <c r="A598" t="s">
        <v>8495</v>
      </c>
      <c r="B598" s="10" t="s">
        <v>32953</v>
      </c>
      <c r="F598" t="s">
        <v>67</v>
      </c>
      <c r="G598" t="s">
        <v>5945</v>
      </c>
      <c r="H598" t="s">
        <v>69</v>
      </c>
      <c r="I598" t="s">
        <v>69</v>
      </c>
      <c r="J598" t="s">
        <v>69</v>
      </c>
      <c r="K598" s="2" t="s">
        <v>5946</v>
      </c>
      <c r="L598" t="s">
        <v>69</v>
      </c>
      <c r="M598" t="s">
        <v>69</v>
      </c>
      <c r="N598" s="2" t="s">
        <v>5947</v>
      </c>
      <c r="O598" t="s">
        <v>417</v>
      </c>
      <c r="P598" t="s">
        <v>69</v>
      </c>
      <c r="Q598" t="s">
        <v>69</v>
      </c>
      <c r="R598" t="s">
        <v>8505</v>
      </c>
      <c r="S598" t="s">
        <v>8506</v>
      </c>
      <c r="T598" t="s">
        <v>69</v>
      </c>
      <c r="U598" t="s">
        <v>69</v>
      </c>
      <c r="V598" t="s">
        <v>69</v>
      </c>
      <c r="W598" t="s">
        <v>69</v>
      </c>
      <c r="X598" t="s">
        <v>69</v>
      </c>
      <c r="Y598" t="s">
        <v>16262</v>
      </c>
      <c r="Z598" t="s">
        <v>16263</v>
      </c>
      <c r="AA598" t="s">
        <v>5948</v>
      </c>
      <c r="AB598" t="s">
        <v>16264</v>
      </c>
      <c r="AC598" t="s">
        <v>69</v>
      </c>
      <c r="AD598" t="s">
        <v>16265</v>
      </c>
      <c r="AE598" t="s">
        <v>69</v>
      </c>
      <c r="AF598" t="s">
        <v>69</v>
      </c>
      <c r="AG598" t="s">
        <v>69</v>
      </c>
      <c r="AH598" t="s">
        <v>16266</v>
      </c>
      <c r="AI598" t="s">
        <v>16267</v>
      </c>
      <c r="AJ598" t="s">
        <v>16268</v>
      </c>
      <c r="AK598" t="s">
        <v>69</v>
      </c>
      <c r="AL598">
        <v>106</v>
      </c>
      <c r="AM598">
        <v>2</v>
      </c>
      <c r="AN598">
        <v>2</v>
      </c>
      <c r="AO598">
        <v>0</v>
      </c>
      <c r="AP598">
        <v>2</v>
      </c>
      <c r="AQ598" t="s">
        <v>9145</v>
      </c>
      <c r="AR598" t="s">
        <v>8637</v>
      </c>
      <c r="AS598" t="s">
        <v>9146</v>
      </c>
      <c r="AT598" t="s">
        <v>419</v>
      </c>
      <c r="AU598" t="s">
        <v>420</v>
      </c>
      <c r="AV598" t="s">
        <v>69</v>
      </c>
      <c r="AW598" t="s">
        <v>417</v>
      </c>
      <c r="AX598" t="s">
        <v>8482</v>
      </c>
      <c r="AY598" t="s">
        <v>373</v>
      </c>
      <c r="AZ598">
        <v>2020</v>
      </c>
      <c r="BA598">
        <v>108</v>
      </c>
      <c r="BB598" t="s">
        <v>69</v>
      </c>
      <c r="BC598" t="s">
        <v>69</v>
      </c>
      <c r="BD598" t="s">
        <v>69</v>
      </c>
      <c r="BE598" t="s">
        <v>69</v>
      </c>
      <c r="BF598" t="s">
        <v>69</v>
      </c>
      <c r="BG598">
        <v>88</v>
      </c>
      <c r="BH598">
        <v>97</v>
      </c>
      <c r="BI598" t="s">
        <v>69</v>
      </c>
      <c r="BJ598" t="s">
        <v>5949</v>
      </c>
      <c r="BK598" t="str">
        <f>HYPERLINK("http://dx.doi.org/10.1016/j.geoforum.2019.12.001","http://dx.doi.org/10.1016/j.geoforum.2019.12.001")</f>
        <v>http://dx.doi.org/10.1016/j.geoforum.2019.12.001</v>
      </c>
      <c r="BL598" t="s">
        <v>69</v>
      </c>
      <c r="BM598" t="s">
        <v>69</v>
      </c>
      <c r="BN598">
        <v>10</v>
      </c>
      <c r="BO598" t="s">
        <v>8446</v>
      </c>
      <c r="BP598" t="s">
        <v>8661</v>
      </c>
      <c r="BQ598" t="s">
        <v>8446</v>
      </c>
      <c r="BR598" t="s">
        <v>16269</v>
      </c>
      <c r="BS598" t="s">
        <v>5950</v>
      </c>
      <c r="BT598" t="s">
        <v>69</v>
      </c>
      <c r="BU598" t="s">
        <v>69</v>
      </c>
      <c r="BV598" t="s">
        <v>69</v>
      </c>
      <c r="BW598" t="s">
        <v>69</v>
      </c>
      <c r="BX598" t="s">
        <v>8526</v>
      </c>
      <c r="BY598" t="str">
        <f>HYPERLINK("https%3A%2F%2Fwww.webofscience.com%2Fwos%2Fwoscc%2Ffull-record%2FWOS:000512481900010","View Full Record in Web of Science")</f>
        <v>View Full Record in Web of Science</v>
      </c>
    </row>
    <row r="599" spans="1:77" ht="12.5" x14ac:dyDescent="0.25">
      <c r="A599" t="s">
        <v>8495</v>
      </c>
      <c r="B599" s="22" t="s">
        <v>32931</v>
      </c>
      <c r="C599" s="7"/>
      <c r="D599" s="7"/>
      <c r="E599" s="7"/>
      <c r="F599" t="s">
        <v>67</v>
      </c>
      <c r="G599" t="s">
        <v>24470</v>
      </c>
      <c r="H599" t="s">
        <v>69</v>
      </c>
      <c r="I599" t="s">
        <v>69</v>
      </c>
      <c r="J599" t="s">
        <v>69</v>
      </c>
      <c r="K599" t="s">
        <v>24471</v>
      </c>
      <c r="L599" t="s">
        <v>69</v>
      </c>
      <c r="M599" t="s">
        <v>69</v>
      </c>
      <c r="N599" t="s">
        <v>24472</v>
      </c>
      <c r="O599" t="s">
        <v>726</v>
      </c>
      <c r="P599" t="s">
        <v>69</v>
      </c>
      <c r="Q599" t="s">
        <v>69</v>
      </c>
      <c r="R599" t="s">
        <v>8505</v>
      </c>
      <c r="S599" t="s">
        <v>8506</v>
      </c>
      <c r="T599" t="s">
        <v>69</v>
      </c>
      <c r="U599" t="s">
        <v>69</v>
      </c>
      <c r="V599" t="s">
        <v>69</v>
      </c>
      <c r="W599" t="s">
        <v>69</v>
      </c>
      <c r="X599" t="s">
        <v>69</v>
      </c>
      <c r="Y599" t="s">
        <v>24473</v>
      </c>
      <c r="Z599" t="s">
        <v>24474</v>
      </c>
      <c r="AA599" t="s">
        <v>24475</v>
      </c>
      <c r="AB599" t="s">
        <v>24476</v>
      </c>
      <c r="AC599" t="s">
        <v>69</v>
      </c>
      <c r="AD599" t="s">
        <v>24477</v>
      </c>
      <c r="AE599" t="s">
        <v>24478</v>
      </c>
      <c r="AF599" t="s">
        <v>24479</v>
      </c>
      <c r="AG599" t="s">
        <v>24480</v>
      </c>
      <c r="AH599" t="s">
        <v>69</v>
      </c>
      <c r="AI599" t="s">
        <v>69</v>
      </c>
      <c r="AJ599" t="s">
        <v>69</v>
      </c>
      <c r="AK599" t="s">
        <v>69</v>
      </c>
      <c r="AL599">
        <v>54</v>
      </c>
      <c r="AM599">
        <v>9</v>
      </c>
      <c r="AN599">
        <v>9</v>
      </c>
      <c r="AO599">
        <v>0</v>
      </c>
      <c r="AP599">
        <v>15</v>
      </c>
      <c r="AQ599" t="s">
        <v>8865</v>
      </c>
      <c r="AR599" t="s">
        <v>8612</v>
      </c>
      <c r="AS599" t="s">
        <v>22341</v>
      </c>
      <c r="AT599" t="s">
        <v>729</v>
      </c>
      <c r="AU599" t="s">
        <v>730</v>
      </c>
      <c r="AV599" t="s">
        <v>69</v>
      </c>
      <c r="AW599" t="s">
        <v>14684</v>
      </c>
      <c r="AX599" t="s">
        <v>14685</v>
      </c>
      <c r="AY599" t="s">
        <v>5185</v>
      </c>
      <c r="AZ599">
        <v>2013</v>
      </c>
      <c r="BA599">
        <v>15</v>
      </c>
      <c r="BB599">
        <v>4</v>
      </c>
      <c r="BC599" t="s">
        <v>69</v>
      </c>
      <c r="BD599" t="s">
        <v>69</v>
      </c>
      <c r="BE599" t="s">
        <v>69</v>
      </c>
      <c r="BF599" t="s">
        <v>69</v>
      </c>
      <c r="BG599">
        <v>533</v>
      </c>
      <c r="BH599">
        <v>550</v>
      </c>
      <c r="BI599" t="s">
        <v>69</v>
      </c>
      <c r="BJ599" t="s">
        <v>24481</v>
      </c>
      <c r="BK599" t="str">
        <f>HYPERLINK("http://dx.doi.org/10.1080/1523908X.2013.807211","http://dx.doi.org/10.1080/1523908X.2013.807211")</f>
        <v>http://dx.doi.org/10.1080/1523908X.2013.807211</v>
      </c>
      <c r="BL599" t="s">
        <v>69</v>
      </c>
      <c r="BM599" t="s">
        <v>69</v>
      </c>
      <c r="BN599">
        <v>18</v>
      </c>
      <c r="BO599" t="s">
        <v>14686</v>
      </c>
      <c r="BP599" t="s">
        <v>8661</v>
      </c>
      <c r="BQ599" t="s">
        <v>14687</v>
      </c>
      <c r="BR599" t="s">
        <v>24482</v>
      </c>
      <c r="BS599" t="s">
        <v>24483</v>
      </c>
      <c r="BT599" t="s">
        <v>69</v>
      </c>
      <c r="BU599" t="s">
        <v>69</v>
      </c>
      <c r="BV599" t="s">
        <v>69</v>
      </c>
      <c r="BW599" t="s">
        <v>69</v>
      </c>
      <c r="BX599" t="s">
        <v>8526</v>
      </c>
      <c r="BY599" t="str">
        <f>HYPERLINK("https%3A%2F%2Fwww.webofscience.com%2Fwos%2Fwoscc%2Ffull-record%2FWOS:000326489600005","View Full Record in Web of Science")</f>
        <v>View Full Record in Web of Science</v>
      </c>
    </row>
    <row r="600" spans="1:77" ht="12.5" x14ac:dyDescent="0.25">
      <c r="A600" t="s">
        <v>8495</v>
      </c>
      <c r="B600" s="7" t="s">
        <v>32933</v>
      </c>
      <c r="C600" s="7"/>
      <c r="D600" s="7"/>
      <c r="E600" s="7"/>
      <c r="F600" t="s">
        <v>67</v>
      </c>
      <c r="G600" t="s">
        <v>1966</v>
      </c>
      <c r="H600" t="s">
        <v>69</v>
      </c>
      <c r="I600" t="s">
        <v>69</v>
      </c>
      <c r="J600" t="s">
        <v>69</v>
      </c>
      <c r="K600" t="s">
        <v>1967</v>
      </c>
      <c r="L600" t="s">
        <v>69</v>
      </c>
      <c r="M600" t="s">
        <v>69</v>
      </c>
      <c r="N600" t="s">
        <v>1968</v>
      </c>
      <c r="O600" t="s">
        <v>1969</v>
      </c>
      <c r="P600" t="s">
        <v>69</v>
      </c>
      <c r="Q600" t="s">
        <v>69</v>
      </c>
      <c r="R600" t="s">
        <v>8505</v>
      </c>
      <c r="S600" t="s">
        <v>8506</v>
      </c>
      <c r="T600" t="s">
        <v>69</v>
      </c>
      <c r="U600" t="s">
        <v>69</v>
      </c>
      <c r="V600" t="s">
        <v>69</v>
      </c>
      <c r="W600" t="s">
        <v>69</v>
      </c>
      <c r="X600" t="s">
        <v>69</v>
      </c>
      <c r="Y600" t="s">
        <v>15142</v>
      </c>
      <c r="Z600" t="s">
        <v>15143</v>
      </c>
      <c r="AA600" t="s">
        <v>1970</v>
      </c>
      <c r="AB600" t="s">
        <v>15144</v>
      </c>
      <c r="AC600" t="s">
        <v>69</v>
      </c>
      <c r="AD600" t="s">
        <v>15145</v>
      </c>
      <c r="AE600" t="s">
        <v>15146</v>
      </c>
      <c r="AF600" t="s">
        <v>15147</v>
      </c>
      <c r="AG600" t="s">
        <v>15148</v>
      </c>
      <c r="AH600" t="s">
        <v>69</v>
      </c>
      <c r="AI600" t="s">
        <v>69</v>
      </c>
      <c r="AJ600" t="s">
        <v>69</v>
      </c>
      <c r="AK600" t="s">
        <v>69</v>
      </c>
      <c r="AL600">
        <v>34</v>
      </c>
      <c r="AM600">
        <v>2</v>
      </c>
      <c r="AN600">
        <v>2</v>
      </c>
      <c r="AO600">
        <v>5</v>
      </c>
      <c r="AP600">
        <v>26</v>
      </c>
      <c r="AQ600" t="s">
        <v>8586</v>
      </c>
      <c r="AR600" t="s">
        <v>8587</v>
      </c>
      <c r="AS600" t="s">
        <v>8588</v>
      </c>
      <c r="AT600" t="s">
        <v>1971</v>
      </c>
      <c r="AU600" t="s">
        <v>1972</v>
      </c>
      <c r="AV600" t="s">
        <v>69</v>
      </c>
      <c r="AW600" t="s">
        <v>15149</v>
      </c>
      <c r="AX600" t="s">
        <v>15150</v>
      </c>
      <c r="AY600" t="s">
        <v>1973</v>
      </c>
      <c r="AZ600">
        <v>2020</v>
      </c>
      <c r="BA600">
        <v>31</v>
      </c>
      <c r="BB600">
        <v>6</v>
      </c>
      <c r="BC600" t="s">
        <v>69</v>
      </c>
      <c r="BD600" t="s">
        <v>69</v>
      </c>
      <c r="BE600" t="s">
        <v>69</v>
      </c>
      <c r="BF600" t="s">
        <v>69</v>
      </c>
      <c r="BG600">
        <v>1623</v>
      </c>
      <c r="BH600">
        <v>1645</v>
      </c>
      <c r="BI600" t="s">
        <v>69</v>
      </c>
      <c r="BJ600" t="s">
        <v>1974</v>
      </c>
      <c r="BK600" t="str">
        <f>HYPERLINK("http://dx.doi.org/10.1108/MEQ-07-2019-0153","http://dx.doi.org/10.1108/MEQ-07-2019-0153")</f>
        <v>http://dx.doi.org/10.1108/MEQ-07-2019-0153</v>
      </c>
      <c r="BL600" t="s">
        <v>69</v>
      </c>
      <c r="BM600" t="s">
        <v>732</v>
      </c>
      <c r="BN600">
        <v>23</v>
      </c>
      <c r="BO600" t="s">
        <v>8660</v>
      </c>
      <c r="BP600" t="s">
        <v>8573</v>
      </c>
      <c r="BQ600" t="s">
        <v>8662</v>
      </c>
      <c r="BR600" t="s">
        <v>15151</v>
      </c>
      <c r="BS600" t="s">
        <v>1975</v>
      </c>
      <c r="BT600" t="s">
        <v>69</v>
      </c>
      <c r="BU600" t="s">
        <v>69</v>
      </c>
      <c r="BV600" t="s">
        <v>69</v>
      </c>
      <c r="BW600" t="s">
        <v>69</v>
      </c>
      <c r="BX600" t="s">
        <v>8526</v>
      </c>
      <c r="BY600" t="str">
        <f>HYPERLINK("https%3A%2F%2Fwww.webofscience.com%2Fwos%2Fwoscc%2Ffull-record%2FWOS:000535724700001","View Full Record in Web of Science")</f>
        <v>View Full Record in Web of Science</v>
      </c>
    </row>
    <row r="601" spans="1:77" ht="12.5" x14ac:dyDescent="0.25">
      <c r="A601" t="s">
        <v>8495</v>
      </c>
      <c r="B601" s="7" t="s">
        <v>32933</v>
      </c>
      <c r="C601" s="7"/>
      <c r="D601" s="7"/>
      <c r="E601" s="7"/>
      <c r="F601" t="s">
        <v>67</v>
      </c>
      <c r="G601" t="s">
        <v>7473</v>
      </c>
      <c r="H601" t="s">
        <v>69</v>
      </c>
      <c r="I601" t="s">
        <v>69</v>
      </c>
      <c r="J601" t="s">
        <v>69</v>
      </c>
      <c r="K601" t="s">
        <v>7474</v>
      </c>
      <c r="L601" t="s">
        <v>69</v>
      </c>
      <c r="M601" t="s">
        <v>69</v>
      </c>
      <c r="N601" t="s">
        <v>7475</v>
      </c>
      <c r="O601" t="s">
        <v>436</v>
      </c>
      <c r="P601" t="s">
        <v>69</v>
      </c>
      <c r="Q601" t="s">
        <v>69</v>
      </c>
      <c r="R601" t="s">
        <v>8505</v>
      </c>
      <c r="S601" t="s">
        <v>8506</v>
      </c>
      <c r="T601" t="s">
        <v>69</v>
      </c>
      <c r="U601" t="s">
        <v>69</v>
      </c>
      <c r="V601" t="s">
        <v>69</v>
      </c>
      <c r="W601" t="s">
        <v>69</v>
      </c>
      <c r="X601" t="s">
        <v>69</v>
      </c>
      <c r="Y601" t="s">
        <v>14275</v>
      </c>
      <c r="Z601" t="s">
        <v>14276</v>
      </c>
      <c r="AA601" t="s">
        <v>7476</v>
      </c>
      <c r="AB601" t="s">
        <v>14277</v>
      </c>
      <c r="AC601" t="s">
        <v>69</v>
      </c>
      <c r="AD601" t="s">
        <v>14278</v>
      </c>
      <c r="AE601" t="s">
        <v>14279</v>
      </c>
      <c r="AF601" t="s">
        <v>14280</v>
      </c>
      <c r="AG601" t="s">
        <v>14281</v>
      </c>
      <c r="AH601" t="s">
        <v>69</v>
      </c>
      <c r="AI601" t="s">
        <v>69</v>
      </c>
      <c r="AJ601" t="s">
        <v>69</v>
      </c>
      <c r="AK601" t="s">
        <v>69</v>
      </c>
      <c r="AL601">
        <v>136</v>
      </c>
      <c r="AM601">
        <v>8</v>
      </c>
      <c r="AN601">
        <v>8</v>
      </c>
      <c r="AO601">
        <v>5</v>
      </c>
      <c r="AP601">
        <v>56</v>
      </c>
      <c r="AQ601" t="s">
        <v>8636</v>
      </c>
      <c r="AR601" t="s">
        <v>8637</v>
      </c>
      <c r="AS601" t="s">
        <v>8638</v>
      </c>
      <c r="AT601" t="s">
        <v>440</v>
      </c>
      <c r="AU601" t="s">
        <v>441</v>
      </c>
      <c r="AV601" t="s">
        <v>69</v>
      </c>
      <c r="AW601" t="s">
        <v>8639</v>
      </c>
      <c r="AX601" t="s">
        <v>8640</v>
      </c>
      <c r="AY601" t="s">
        <v>7477</v>
      </c>
      <c r="AZ601">
        <v>2020</v>
      </c>
      <c r="BA601">
        <v>267</v>
      </c>
      <c r="BB601" t="s">
        <v>69</v>
      </c>
      <c r="BC601" t="s">
        <v>69</v>
      </c>
      <c r="BD601" t="s">
        <v>69</v>
      </c>
      <c r="BE601" t="s">
        <v>69</v>
      </c>
      <c r="BF601" t="s">
        <v>69</v>
      </c>
      <c r="BG601" t="s">
        <v>69</v>
      </c>
      <c r="BH601" t="s">
        <v>69</v>
      </c>
      <c r="BI601">
        <v>121870</v>
      </c>
      <c r="BJ601" t="s">
        <v>7478</v>
      </c>
      <c r="BK601" t="str">
        <f>HYPERLINK("http://dx.doi.org/10.1016/j.jclepro.2020.121870","http://dx.doi.org/10.1016/j.jclepro.2020.121870")</f>
        <v>http://dx.doi.org/10.1016/j.jclepro.2020.121870</v>
      </c>
      <c r="BL601" t="s">
        <v>69</v>
      </c>
      <c r="BM601" t="s">
        <v>69</v>
      </c>
      <c r="BN601">
        <v>15</v>
      </c>
      <c r="BO601" t="s">
        <v>8643</v>
      </c>
      <c r="BP601" t="s">
        <v>8523</v>
      </c>
      <c r="BQ601" t="s">
        <v>8644</v>
      </c>
      <c r="BR601" t="s">
        <v>14282</v>
      </c>
      <c r="BS601" t="s">
        <v>7479</v>
      </c>
      <c r="BT601" t="s">
        <v>69</v>
      </c>
      <c r="BU601" t="s">
        <v>69</v>
      </c>
      <c r="BV601" t="s">
        <v>69</v>
      </c>
      <c r="BW601" t="s">
        <v>69</v>
      </c>
      <c r="BX601" t="s">
        <v>8526</v>
      </c>
      <c r="BY601" t="str">
        <f>HYPERLINK("https%3A%2F%2Fwww.webofscience.com%2Fwos%2Fwoscc%2Ffull-record%2FWOS:000542705400006","View Full Record in Web of Science")</f>
        <v>View Full Record in Web of Science</v>
      </c>
    </row>
    <row r="602" spans="1:77" ht="12.5" x14ac:dyDescent="0.25">
      <c r="A602" t="s">
        <v>8495</v>
      </c>
      <c r="B602" s="22" t="s">
        <v>32931</v>
      </c>
      <c r="C602" s="7"/>
      <c r="D602" s="7"/>
      <c r="E602" s="7"/>
      <c r="F602" t="s">
        <v>67</v>
      </c>
      <c r="G602" t="s">
        <v>29407</v>
      </c>
      <c r="H602" t="s">
        <v>69</v>
      </c>
      <c r="I602" t="s">
        <v>69</v>
      </c>
      <c r="J602" t="s">
        <v>69</v>
      </c>
      <c r="K602" t="s">
        <v>29408</v>
      </c>
      <c r="L602" t="s">
        <v>69</v>
      </c>
      <c r="M602" t="s">
        <v>69</v>
      </c>
      <c r="N602" t="s">
        <v>29409</v>
      </c>
      <c r="O602" t="s">
        <v>29410</v>
      </c>
      <c r="P602" t="s">
        <v>69</v>
      </c>
      <c r="Q602" t="s">
        <v>69</v>
      </c>
      <c r="R602" t="s">
        <v>8505</v>
      </c>
      <c r="S602" t="s">
        <v>8506</v>
      </c>
      <c r="T602" t="s">
        <v>69</v>
      </c>
      <c r="U602" t="s">
        <v>69</v>
      </c>
      <c r="V602" t="s">
        <v>69</v>
      </c>
      <c r="W602" t="s">
        <v>69</v>
      </c>
      <c r="X602" t="s">
        <v>69</v>
      </c>
      <c r="Y602" t="s">
        <v>29411</v>
      </c>
      <c r="Z602" t="s">
        <v>69</v>
      </c>
      <c r="AA602" t="s">
        <v>29412</v>
      </c>
      <c r="AB602" t="s">
        <v>29413</v>
      </c>
      <c r="AC602" t="s">
        <v>69</v>
      </c>
      <c r="AD602" t="s">
        <v>29414</v>
      </c>
      <c r="AE602" t="s">
        <v>29415</v>
      </c>
      <c r="AF602" t="s">
        <v>29416</v>
      </c>
      <c r="AG602" t="s">
        <v>29417</v>
      </c>
      <c r="AH602" t="s">
        <v>69</v>
      </c>
      <c r="AI602" t="s">
        <v>69</v>
      </c>
      <c r="AJ602" t="s">
        <v>69</v>
      </c>
      <c r="AK602" t="s">
        <v>69</v>
      </c>
      <c r="AL602">
        <v>54</v>
      </c>
      <c r="AM602">
        <v>14</v>
      </c>
      <c r="AN602">
        <v>15</v>
      </c>
      <c r="AO602">
        <v>0</v>
      </c>
      <c r="AP602">
        <v>0</v>
      </c>
      <c r="AQ602" t="s">
        <v>8586</v>
      </c>
      <c r="AR602" t="s">
        <v>8587</v>
      </c>
      <c r="AS602" t="s">
        <v>8588</v>
      </c>
      <c r="AT602" t="s">
        <v>29418</v>
      </c>
      <c r="AU602" t="s">
        <v>29419</v>
      </c>
      <c r="AV602" t="s">
        <v>69</v>
      </c>
      <c r="AW602" t="s">
        <v>29420</v>
      </c>
      <c r="AX602" t="s">
        <v>29421</v>
      </c>
      <c r="AY602" t="s">
        <v>69</v>
      </c>
      <c r="AZ602">
        <v>2008</v>
      </c>
      <c r="BA602">
        <v>21</v>
      </c>
      <c r="BB602">
        <v>5</v>
      </c>
      <c r="BC602" t="s">
        <v>69</v>
      </c>
      <c r="BD602" t="s">
        <v>69</v>
      </c>
      <c r="BE602" t="s">
        <v>69</v>
      </c>
      <c r="BF602" t="s">
        <v>69</v>
      </c>
      <c r="BG602">
        <v>525</v>
      </c>
      <c r="BH602" t="s">
        <v>219</v>
      </c>
      <c r="BI602" t="s">
        <v>69</v>
      </c>
      <c r="BJ602" t="s">
        <v>29422</v>
      </c>
      <c r="BK602" t="str">
        <f>HYPERLINK("http://dx.doi.org/10.1108/09513550810885813","http://dx.doi.org/10.1108/09513550810885813")</f>
        <v>http://dx.doi.org/10.1108/09513550810885813</v>
      </c>
      <c r="BL602" t="s">
        <v>69</v>
      </c>
      <c r="BM602" t="s">
        <v>69</v>
      </c>
      <c r="BN602">
        <v>16</v>
      </c>
      <c r="BO602" t="s">
        <v>29423</v>
      </c>
      <c r="BP602" t="s">
        <v>8573</v>
      </c>
      <c r="BQ602" t="s">
        <v>10993</v>
      </c>
      <c r="BR602" t="s">
        <v>29424</v>
      </c>
      <c r="BS602" t="s">
        <v>29425</v>
      </c>
      <c r="BT602" t="s">
        <v>69</v>
      </c>
      <c r="BU602" t="s">
        <v>69</v>
      </c>
      <c r="BV602" t="s">
        <v>69</v>
      </c>
      <c r="BW602" t="s">
        <v>69</v>
      </c>
      <c r="BX602" t="s">
        <v>8526</v>
      </c>
      <c r="BY602" t="str">
        <f>HYPERLINK("https%3A%2F%2Fwww.webofscience.com%2Fwos%2Fwoscc%2Ffull-record%2FWOS:000211496800006","View Full Record in Web of Science")</f>
        <v>View Full Record in Web of Science</v>
      </c>
    </row>
    <row r="603" spans="1:77" ht="12.5" x14ac:dyDescent="0.25">
      <c r="A603" t="s">
        <v>8495</v>
      </c>
      <c r="B603" s="7" t="s">
        <v>32933</v>
      </c>
      <c r="C603" s="7"/>
      <c r="D603" s="7"/>
      <c r="E603" s="7"/>
      <c r="F603" t="s">
        <v>67</v>
      </c>
      <c r="G603" t="s">
        <v>6348</v>
      </c>
      <c r="H603" t="s">
        <v>69</v>
      </c>
      <c r="I603" t="s">
        <v>69</v>
      </c>
      <c r="J603" t="s">
        <v>69</v>
      </c>
      <c r="K603" t="s">
        <v>6349</v>
      </c>
      <c r="L603" t="s">
        <v>69</v>
      </c>
      <c r="M603" t="s">
        <v>69</v>
      </c>
      <c r="N603" t="s">
        <v>6350</v>
      </c>
      <c r="O603" t="s">
        <v>436</v>
      </c>
      <c r="P603" t="s">
        <v>69</v>
      </c>
      <c r="Q603" t="s">
        <v>69</v>
      </c>
      <c r="R603" t="s">
        <v>8505</v>
      </c>
      <c r="S603" t="s">
        <v>8442</v>
      </c>
      <c r="T603" t="s">
        <v>69</v>
      </c>
      <c r="U603" t="s">
        <v>69</v>
      </c>
      <c r="V603" t="s">
        <v>69</v>
      </c>
      <c r="W603" t="s">
        <v>69</v>
      </c>
      <c r="X603" t="s">
        <v>69</v>
      </c>
      <c r="Y603" t="s">
        <v>23742</v>
      </c>
      <c r="Z603" t="s">
        <v>23743</v>
      </c>
      <c r="AA603" t="s">
        <v>6351</v>
      </c>
      <c r="AB603" t="s">
        <v>23744</v>
      </c>
      <c r="AC603" t="s">
        <v>69</v>
      </c>
      <c r="AD603" t="s">
        <v>23745</v>
      </c>
      <c r="AE603" t="s">
        <v>23746</v>
      </c>
      <c r="AF603" t="s">
        <v>23747</v>
      </c>
      <c r="AG603" t="s">
        <v>23748</v>
      </c>
      <c r="AH603" t="s">
        <v>23749</v>
      </c>
      <c r="AI603" t="s">
        <v>23750</v>
      </c>
      <c r="AJ603" t="s">
        <v>23751</v>
      </c>
      <c r="AK603" t="s">
        <v>69</v>
      </c>
      <c r="AL603">
        <v>50</v>
      </c>
      <c r="AM603">
        <v>55</v>
      </c>
      <c r="AN603">
        <v>55</v>
      </c>
      <c r="AO603">
        <v>0</v>
      </c>
      <c r="AP603">
        <v>79</v>
      </c>
      <c r="AQ603" t="s">
        <v>8636</v>
      </c>
      <c r="AR603" t="s">
        <v>8637</v>
      </c>
      <c r="AS603" t="s">
        <v>8638</v>
      </c>
      <c r="AT603" t="s">
        <v>440</v>
      </c>
      <c r="AU603" t="s">
        <v>441</v>
      </c>
      <c r="AV603" t="s">
        <v>69</v>
      </c>
      <c r="AW603" t="s">
        <v>8639</v>
      </c>
      <c r="AX603" t="s">
        <v>8640</v>
      </c>
      <c r="AY603" t="s">
        <v>2216</v>
      </c>
      <c r="AZ603">
        <v>2014</v>
      </c>
      <c r="BA603">
        <v>74</v>
      </c>
      <c r="BB603" t="s">
        <v>69</v>
      </c>
      <c r="BC603" t="s">
        <v>69</v>
      </c>
      <c r="BD603" t="s">
        <v>69</v>
      </c>
      <c r="BE603" t="s">
        <v>69</v>
      </c>
      <c r="BF603" t="s">
        <v>69</v>
      </c>
      <c r="BG603">
        <v>44</v>
      </c>
      <c r="BH603">
        <v>53</v>
      </c>
      <c r="BI603" t="s">
        <v>69</v>
      </c>
      <c r="BJ603" t="s">
        <v>6352</v>
      </c>
      <c r="BK603" t="str">
        <f>HYPERLINK("http://dx.doi.org/10.1016/j.jclepro.2014.03.027","http://dx.doi.org/10.1016/j.jclepro.2014.03.027")</f>
        <v>http://dx.doi.org/10.1016/j.jclepro.2014.03.027</v>
      </c>
      <c r="BL603" t="s">
        <v>69</v>
      </c>
      <c r="BM603" t="s">
        <v>69</v>
      </c>
      <c r="BN603">
        <v>10</v>
      </c>
      <c r="BO603" t="s">
        <v>8643</v>
      </c>
      <c r="BP603" t="s">
        <v>8523</v>
      </c>
      <c r="BQ603" t="s">
        <v>8644</v>
      </c>
      <c r="BR603" t="s">
        <v>23752</v>
      </c>
      <c r="BS603" t="s">
        <v>6353</v>
      </c>
      <c r="BT603" t="s">
        <v>69</v>
      </c>
      <c r="BU603" t="s">
        <v>69</v>
      </c>
      <c r="BV603" t="s">
        <v>69</v>
      </c>
      <c r="BW603" t="s">
        <v>69</v>
      </c>
      <c r="BX603" t="s">
        <v>8526</v>
      </c>
      <c r="BY603" t="str">
        <f>HYPERLINK("https%3A%2F%2Fwww.webofscience.com%2Fwos%2Fwoscc%2Ffull-record%2FWOS:000337773000005","View Full Record in Web of Science")</f>
        <v>View Full Record in Web of Science</v>
      </c>
    </row>
    <row r="604" spans="1:77" x14ac:dyDescent="0.3">
      <c r="A604" t="s">
        <v>8495</v>
      </c>
      <c r="B604" s="10" t="s">
        <v>32981</v>
      </c>
      <c r="F604" t="s">
        <v>67</v>
      </c>
      <c r="G604" t="s">
        <v>4657</v>
      </c>
      <c r="H604" t="s">
        <v>69</v>
      </c>
      <c r="I604" t="s">
        <v>69</v>
      </c>
      <c r="J604" t="s">
        <v>69</v>
      </c>
      <c r="K604" s="2" t="s">
        <v>4658</v>
      </c>
      <c r="L604" t="s">
        <v>69</v>
      </c>
      <c r="M604" t="s">
        <v>69</v>
      </c>
      <c r="N604" s="2" t="s">
        <v>4659</v>
      </c>
      <c r="O604" t="s">
        <v>715</v>
      </c>
      <c r="P604" t="s">
        <v>69</v>
      </c>
      <c r="Q604" t="s">
        <v>69</v>
      </c>
      <c r="R604" t="s">
        <v>8505</v>
      </c>
      <c r="S604" t="s">
        <v>8506</v>
      </c>
      <c r="T604" t="s">
        <v>69</v>
      </c>
      <c r="U604" t="s">
        <v>69</v>
      </c>
      <c r="V604" t="s">
        <v>69</v>
      </c>
      <c r="W604" t="s">
        <v>69</v>
      </c>
      <c r="X604" t="s">
        <v>69</v>
      </c>
      <c r="Y604" t="s">
        <v>22305</v>
      </c>
      <c r="Z604" t="s">
        <v>22306</v>
      </c>
      <c r="AA604" t="s">
        <v>4660</v>
      </c>
      <c r="AB604" t="s">
        <v>22307</v>
      </c>
      <c r="AC604" t="s">
        <v>69</v>
      </c>
      <c r="AD604" t="s">
        <v>22308</v>
      </c>
      <c r="AE604" t="s">
        <v>22309</v>
      </c>
      <c r="AF604" t="s">
        <v>4661</v>
      </c>
      <c r="AG604" t="s">
        <v>4662</v>
      </c>
      <c r="AH604" t="s">
        <v>69</v>
      </c>
      <c r="AI604" t="s">
        <v>69</v>
      </c>
      <c r="AJ604" t="s">
        <v>69</v>
      </c>
      <c r="AK604" t="s">
        <v>69</v>
      </c>
      <c r="AL604">
        <v>81</v>
      </c>
      <c r="AM604">
        <v>55</v>
      </c>
      <c r="AN604">
        <v>58</v>
      </c>
      <c r="AO604">
        <v>7</v>
      </c>
      <c r="AP604">
        <v>79</v>
      </c>
      <c r="AQ604" t="s">
        <v>8846</v>
      </c>
      <c r="AR604" t="s">
        <v>8847</v>
      </c>
      <c r="AS604" t="s">
        <v>8848</v>
      </c>
      <c r="AT604" t="s">
        <v>719</v>
      </c>
      <c r="AU604" t="s">
        <v>720</v>
      </c>
      <c r="AV604" t="s">
        <v>69</v>
      </c>
      <c r="AW604" t="s">
        <v>9110</v>
      </c>
      <c r="AX604" t="s">
        <v>9111</v>
      </c>
      <c r="AY604" t="s">
        <v>75</v>
      </c>
      <c r="AZ604">
        <v>2015</v>
      </c>
      <c r="BA604">
        <v>24</v>
      </c>
      <c r="BB604">
        <v>8</v>
      </c>
      <c r="BC604" t="s">
        <v>69</v>
      </c>
      <c r="BD604" t="s">
        <v>69</v>
      </c>
      <c r="BE604" t="s">
        <v>69</v>
      </c>
      <c r="BF604" t="s">
        <v>69</v>
      </c>
      <c r="BG604">
        <v>802</v>
      </c>
      <c r="BH604">
        <v>818</v>
      </c>
      <c r="BI604" t="s">
        <v>69</v>
      </c>
      <c r="BJ604" t="s">
        <v>4663</v>
      </c>
      <c r="BK604" t="str">
        <f>HYPERLINK("http://dx.doi.org/10.1002/bse.1847","http://dx.doi.org/10.1002/bse.1847")</f>
        <v>http://dx.doi.org/10.1002/bse.1847</v>
      </c>
      <c r="BL604" t="s">
        <v>69</v>
      </c>
      <c r="BM604" t="s">
        <v>69</v>
      </c>
      <c r="BN604">
        <v>17</v>
      </c>
      <c r="BO604" t="s">
        <v>9113</v>
      </c>
      <c r="BP604" t="s">
        <v>8661</v>
      </c>
      <c r="BQ604" t="s">
        <v>9114</v>
      </c>
      <c r="BR604" t="s">
        <v>22310</v>
      </c>
      <c r="BS604" t="s">
        <v>4664</v>
      </c>
      <c r="BT604" t="s">
        <v>69</v>
      </c>
      <c r="BU604" t="s">
        <v>69</v>
      </c>
      <c r="BV604" t="s">
        <v>69</v>
      </c>
      <c r="BW604" t="s">
        <v>69</v>
      </c>
      <c r="BX604" t="s">
        <v>8526</v>
      </c>
      <c r="BY604" t="str">
        <f>HYPERLINK("https%3A%2F%2Fwww.webofscience.com%2Fwos%2Fwoscc%2Ffull-record%2FWOS:000368298000009","View Full Record in Web of Science")</f>
        <v>View Full Record in Web of Science</v>
      </c>
    </row>
    <row r="605" spans="1:77" ht="12.5" x14ac:dyDescent="0.25">
      <c r="A605" t="s">
        <v>8495</v>
      </c>
      <c r="B605" s="22" t="s">
        <v>32931</v>
      </c>
      <c r="C605" s="7"/>
      <c r="D605" s="7"/>
      <c r="E605" s="7"/>
      <c r="F605" t="s">
        <v>67</v>
      </c>
      <c r="G605" t="s">
        <v>9686</v>
      </c>
      <c r="H605" t="s">
        <v>69</v>
      </c>
      <c r="I605" t="s">
        <v>69</v>
      </c>
      <c r="J605" t="s">
        <v>69</v>
      </c>
      <c r="K605" t="s">
        <v>9687</v>
      </c>
      <c r="L605" t="s">
        <v>69</v>
      </c>
      <c r="M605" t="s">
        <v>69</v>
      </c>
      <c r="N605" t="s">
        <v>9688</v>
      </c>
      <c r="O605" t="s">
        <v>1360</v>
      </c>
      <c r="P605" t="s">
        <v>69</v>
      </c>
      <c r="Q605" t="s">
        <v>69</v>
      </c>
      <c r="R605" t="s">
        <v>8505</v>
      </c>
      <c r="S605" t="s">
        <v>8506</v>
      </c>
      <c r="T605" t="s">
        <v>69</v>
      </c>
      <c r="U605" t="s">
        <v>69</v>
      </c>
      <c r="V605" t="s">
        <v>69</v>
      </c>
      <c r="W605" t="s">
        <v>69</v>
      </c>
      <c r="X605" t="s">
        <v>69</v>
      </c>
      <c r="Y605" t="s">
        <v>9689</v>
      </c>
      <c r="Z605" t="s">
        <v>9690</v>
      </c>
      <c r="AA605" t="s">
        <v>9691</v>
      </c>
      <c r="AB605" t="s">
        <v>9692</v>
      </c>
      <c r="AC605" t="s">
        <v>69</v>
      </c>
      <c r="AD605" t="s">
        <v>9693</v>
      </c>
      <c r="AE605" t="s">
        <v>9694</v>
      </c>
      <c r="AF605" t="s">
        <v>69</v>
      </c>
      <c r="AG605" t="s">
        <v>9695</v>
      </c>
      <c r="AH605" t="s">
        <v>9696</v>
      </c>
      <c r="AI605" t="s">
        <v>9696</v>
      </c>
      <c r="AJ605" t="s">
        <v>9697</v>
      </c>
      <c r="AK605" t="s">
        <v>69</v>
      </c>
      <c r="AL605">
        <v>98</v>
      </c>
      <c r="AM605">
        <v>2</v>
      </c>
      <c r="AN605">
        <v>2</v>
      </c>
      <c r="AO605">
        <v>8</v>
      </c>
      <c r="AP605">
        <v>8</v>
      </c>
      <c r="AQ605" t="s">
        <v>8636</v>
      </c>
      <c r="AR605" t="s">
        <v>8637</v>
      </c>
      <c r="AS605" t="s">
        <v>8638</v>
      </c>
      <c r="AT605" t="s">
        <v>1364</v>
      </c>
      <c r="AU605" t="s">
        <v>1365</v>
      </c>
      <c r="AV605" t="s">
        <v>69</v>
      </c>
      <c r="AW605" t="s">
        <v>9698</v>
      </c>
      <c r="AX605" t="s">
        <v>9699</v>
      </c>
      <c r="AY605" t="s">
        <v>94</v>
      </c>
      <c r="AZ605">
        <v>2022</v>
      </c>
      <c r="BA605">
        <v>129</v>
      </c>
      <c r="BB605" t="s">
        <v>69</v>
      </c>
      <c r="BC605" t="s">
        <v>69</v>
      </c>
      <c r="BD605" t="s">
        <v>69</v>
      </c>
      <c r="BE605" t="s">
        <v>69</v>
      </c>
      <c r="BF605" t="s">
        <v>69</v>
      </c>
      <c r="BG605">
        <v>96</v>
      </c>
      <c r="BH605">
        <v>106</v>
      </c>
      <c r="BI605" t="s">
        <v>69</v>
      </c>
      <c r="BJ605" t="s">
        <v>9700</v>
      </c>
      <c r="BK605" t="str">
        <f>HYPERLINK("http://dx.doi.org/10.1016/j.envsci.2021.12.016","http://dx.doi.org/10.1016/j.envsci.2021.12.016")</f>
        <v>http://dx.doi.org/10.1016/j.envsci.2021.12.016</v>
      </c>
      <c r="BL605" t="s">
        <v>69</v>
      </c>
      <c r="BM605" t="s">
        <v>69</v>
      </c>
      <c r="BN605">
        <v>11</v>
      </c>
      <c r="BO605" t="s">
        <v>8717</v>
      </c>
      <c r="BP605" t="s">
        <v>8523</v>
      </c>
      <c r="BQ605" t="s">
        <v>8662</v>
      </c>
      <c r="BR605" t="s">
        <v>9701</v>
      </c>
      <c r="BS605" t="s">
        <v>9702</v>
      </c>
      <c r="BT605" t="s">
        <v>69</v>
      </c>
      <c r="BU605" t="s">
        <v>69</v>
      </c>
      <c r="BV605" t="s">
        <v>69</v>
      </c>
      <c r="BW605" t="s">
        <v>69</v>
      </c>
      <c r="BX605" t="s">
        <v>8526</v>
      </c>
      <c r="BY605" t="str">
        <f>HYPERLINK("https%3A%2F%2Fwww.webofscience.com%2Fwos%2Fwoscc%2Ffull-record%2FWOS:000787577400010","View Full Record in Web of Science")</f>
        <v>View Full Record in Web of Science</v>
      </c>
    </row>
    <row r="606" spans="1:77" x14ac:dyDescent="0.3">
      <c r="A606" t="s">
        <v>8495</v>
      </c>
      <c r="B606" s="12" t="s">
        <v>32966</v>
      </c>
      <c r="F606" t="s">
        <v>67</v>
      </c>
      <c r="G606" t="s">
        <v>2815</v>
      </c>
      <c r="H606" t="s">
        <v>69</v>
      </c>
      <c r="I606" t="s">
        <v>69</v>
      </c>
      <c r="J606" t="s">
        <v>69</v>
      </c>
      <c r="K606" t="s">
        <v>2816</v>
      </c>
      <c r="L606" t="s">
        <v>69</v>
      </c>
      <c r="M606" t="s">
        <v>69</v>
      </c>
      <c r="N606" s="2" t="s">
        <v>2817</v>
      </c>
      <c r="O606" t="s">
        <v>2763</v>
      </c>
      <c r="P606" t="s">
        <v>69</v>
      </c>
      <c r="Q606" t="s">
        <v>69</v>
      </c>
      <c r="R606" t="s">
        <v>8505</v>
      </c>
      <c r="S606" t="s">
        <v>8442</v>
      </c>
      <c r="T606" t="s">
        <v>69</v>
      </c>
      <c r="U606" t="s">
        <v>69</v>
      </c>
      <c r="V606" t="s">
        <v>69</v>
      </c>
      <c r="W606" t="s">
        <v>69</v>
      </c>
      <c r="X606" t="s">
        <v>69</v>
      </c>
      <c r="Y606" t="s">
        <v>69</v>
      </c>
      <c r="Z606" t="s">
        <v>21386</v>
      </c>
      <c r="AA606" t="s">
        <v>2818</v>
      </c>
      <c r="AB606" t="s">
        <v>21387</v>
      </c>
      <c r="AC606" t="s">
        <v>69</v>
      </c>
      <c r="AD606" t="s">
        <v>21388</v>
      </c>
      <c r="AE606" t="s">
        <v>21389</v>
      </c>
      <c r="AF606" t="s">
        <v>69</v>
      </c>
      <c r="AG606" t="s">
        <v>69</v>
      </c>
      <c r="AH606" t="s">
        <v>69</v>
      </c>
      <c r="AI606" t="s">
        <v>69</v>
      </c>
      <c r="AJ606" t="s">
        <v>69</v>
      </c>
      <c r="AK606" t="s">
        <v>69</v>
      </c>
      <c r="AL606">
        <v>93</v>
      </c>
      <c r="AM606">
        <v>9</v>
      </c>
      <c r="AN606">
        <v>9</v>
      </c>
      <c r="AO606">
        <v>0</v>
      </c>
      <c r="AP606">
        <v>14</v>
      </c>
      <c r="AQ606" t="s">
        <v>9978</v>
      </c>
      <c r="AR606" t="s">
        <v>9979</v>
      </c>
      <c r="AS606" t="s">
        <v>9980</v>
      </c>
      <c r="AT606" t="s">
        <v>2765</v>
      </c>
      <c r="AU606" t="s">
        <v>2766</v>
      </c>
      <c r="AV606" t="s">
        <v>69</v>
      </c>
      <c r="AW606" t="s">
        <v>21136</v>
      </c>
      <c r="AX606" t="s">
        <v>21137</v>
      </c>
      <c r="AY606" t="s">
        <v>255</v>
      </c>
      <c r="AZ606">
        <v>2016</v>
      </c>
      <c r="BA606">
        <v>18</v>
      </c>
      <c r="BB606">
        <v>3</v>
      </c>
      <c r="BC606" t="s">
        <v>69</v>
      </c>
      <c r="BD606" t="s">
        <v>69</v>
      </c>
      <c r="BE606" t="s">
        <v>69</v>
      </c>
      <c r="BF606" t="s">
        <v>69</v>
      </c>
      <c r="BG606">
        <v>148</v>
      </c>
      <c r="BH606">
        <v>165</v>
      </c>
      <c r="BI606" t="s">
        <v>69</v>
      </c>
      <c r="BJ606" t="s">
        <v>2819</v>
      </c>
      <c r="BK606" t="str">
        <f>HYPERLINK("http://dx.doi.org/10.1017/S1466046616000259","http://dx.doi.org/10.1017/S1466046616000259")</f>
        <v>http://dx.doi.org/10.1017/S1466046616000259</v>
      </c>
      <c r="BL606" t="s">
        <v>69</v>
      </c>
      <c r="BM606" t="s">
        <v>69</v>
      </c>
      <c r="BN606">
        <v>18</v>
      </c>
      <c r="BO606" t="s">
        <v>8717</v>
      </c>
      <c r="BP606" t="s">
        <v>8573</v>
      </c>
      <c r="BQ606" t="s">
        <v>8662</v>
      </c>
      <c r="BR606" t="s">
        <v>21390</v>
      </c>
      <c r="BS606" t="s">
        <v>2820</v>
      </c>
      <c r="BT606" t="s">
        <v>69</v>
      </c>
      <c r="BU606" t="s">
        <v>69</v>
      </c>
      <c r="BV606" t="s">
        <v>69</v>
      </c>
      <c r="BW606" t="s">
        <v>69</v>
      </c>
      <c r="BX606" t="s">
        <v>8526</v>
      </c>
      <c r="BY606" t="str">
        <f>HYPERLINK("https%3A%2F%2Fwww.webofscience.com%2Fwos%2Fwoscc%2Ffull-record%2FWOS:000382976500004","View Full Record in Web of Science")</f>
        <v>View Full Record in Web of Science</v>
      </c>
    </row>
    <row r="607" spans="1:77" ht="12.5" x14ac:dyDescent="0.25">
      <c r="A607" t="s">
        <v>8495</v>
      </c>
      <c r="B607" s="22" t="s">
        <v>32931</v>
      </c>
      <c r="C607" s="7"/>
      <c r="D607" s="7"/>
      <c r="E607" s="7"/>
      <c r="F607" t="s">
        <v>67</v>
      </c>
      <c r="G607" t="s">
        <v>13794</v>
      </c>
      <c r="H607" t="s">
        <v>69</v>
      </c>
      <c r="I607" t="s">
        <v>69</v>
      </c>
      <c r="J607" t="s">
        <v>69</v>
      </c>
      <c r="K607" t="s">
        <v>13795</v>
      </c>
      <c r="L607" t="s">
        <v>69</v>
      </c>
      <c r="M607" t="s">
        <v>69</v>
      </c>
      <c r="N607" t="s">
        <v>13796</v>
      </c>
      <c r="O607" t="s">
        <v>13797</v>
      </c>
      <c r="P607" t="s">
        <v>69</v>
      </c>
      <c r="Q607" t="s">
        <v>69</v>
      </c>
      <c r="R607" t="s">
        <v>8505</v>
      </c>
      <c r="S607" t="s">
        <v>8506</v>
      </c>
      <c r="T607" t="s">
        <v>69</v>
      </c>
      <c r="U607" t="s">
        <v>69</v>
      </c>
      <c r="V607" t="s">
        <v>69</v>
      </c>
      <c r="W607" t="s">
        <v>69</v>
      </c>
      <c r="X607" t="s">
        <v>69</v>
      </c>
      <c r="Y607" t="s">
        <v>13798</v>
      </c>
      <c r="Z607" t="s">
        <v>13799</v>
      </c>
      <c r="AA607" t="s">
        <v>13800</v>
      </c>
      <c r="AB607" t="s">
        <v>13801</v>
      </c>
      <c r="AC607" t="s">
        <v>69</v>
      </c>
      <c r="AD607" t="s">
        <v>13802</v>
      </c>
      <c r="AE607" t="s">
        <v>13803</v>
      </c>
      <c r="AF607" t="s">
        <v>13804</v>
      </c>
      <c r="AG607" t="s">
        <v>13805</v>
      </c>
      <c r="AH607" t="s">
        <v>13806</v>
      </c>
      <c r="AI607" t="s">
        <v>13806</v>
      </c>
      <c r="AJ607" t="s">
        <v>13807</v>
      </c>
      <c r="AK607" t="s">
        <v>69</v>
      </c>
      <c r="AL607">
        <v>47</v>
      </c>
      <c r="AM607">
        <v>0</v>
      </c>
      <c r="AN607">
        <v>0</v>
      </c>
      <c r="AO607">
        <v>0</v>
      </c>
      <c r="AP607">
        <v>2</v>
      </c>
      <c r="AQ607" t="s">
        <v>13769</v>
      </c>
      <c r="AR607" t="s">
        <v>13770</v>
      </c>
      <c r="AS607" t="s">
        <v>13771</v>
      </c>
      <c r="AT607" t="s">
        <v>13808</v>
      </c>
      <c r="AU607" t="s">
        <v>69</v>
      </c>
      <c r="AV607" t="s">
        <v>69</v>
      </c>
      <c r="AW607" t="s">
        <v>13809</v>
      </c>
      <c r="AX607" t="s">
        <v>13810</v>
      </c>
      <c r="AY607" t="s">
        <v>451</v>
      </c>
      <c r="AZ607">
        <v>2021</v>
      </c>
      <c r="BA607">
        <v>8</v>
      </c>
      <c r="BB607">
        <v>1</v>
      </c>
      <c r="BC607" t="s">
        <v>69</v>
      </c>
      <c r="BD607" t="s">
        <v>69</v>
      </c>
      <c r="BE607" t="s">
        <v>69</v>
      </c>
      <c r="BF607" t="s">
        <v>69</v>
      </c>
      <c r="BG607" t="s">
        <v>69</v>
      </c>
      <c r="BH607" t="s">
        <v>69</v>
      </c>
      <c r="BI607">
        <v>1878590</v>
      </c>
      <c r="BJ607" t="s">
        <v>13811</v>
      </c>
      <c r="BK607" t="str">
        <f>HYPERLINK("http://dx.doi.org/10.1080/23311983.2021.1878590","http://dx.doi.org/10.1080/23311983.2021.1878590")</f>
        <v>http://dx.doi.org/10.1080/23311983.2021.1878590</v>
      </c>
      <c r="BL607" t="s">
        <v>69</v>
      </c>
      <c r="BM607" t="s">
        <v>69</v>
      </c>
      <c r="BN607">
        <v>15</v>
      </c>
      <c r="BO607" t="s">
        <v>11206</v>
      </c>
      <c r="BP607" t="s">
        <v>8573</v>
      </c>
      <c r="BQ607" t="s">
        <v>11208</v>
      </c>
      <c r="BR607" t="s">
        <v>13812</v>
      </c>
      <c r="BS607" t="s">
        <v>13813</v>
      </c>
      <c r="BT607" t="s">
        <v>69</v>
      </c>
      <c r="BU607" t="s">
        <v>8931</v>
      </c>
      <c r="BV607" t="s">
        <v>69</v>
      </c>
      <c r="BW607" t="s">
        <v>69</v>
      </c>
      <c r="BX607" t="s">
        <v>8526</v>
      </c>
      <c r="BY607" t="str">
        <f>HYPERLINK("https%3A%2F%2Fwww.webofscience.com%2Fwos%2Fwoscc%2Ffull-record%2FWOS:000620384500001","View Full Record in Web of Science")</f>
        <v>View Full Record in Web of Science</v>
      </c>
    </row>
    <row r="608" spans="1:77" x14ac:dyDescent="0.3">
      <c r="A608" t="s">
        <v>8495</v>
      </c>
      <c r="B608" s="9" t="s">
        <v>32982</v>
      </c>
      <c r="C608" s="9" t="s">
        <v>33074</v>
      </c>
      <c r="E608" s="9" t="s">
        <v>8490</v>
      </c>
      <c r="F608" t="s">
        <v>67</v>
      </c>
      <c r="G608" t="s">
        <v>14887</v>
      </c>
      <c r="H608" t="s">
        <v>69</v>
      </c>
      <c r="I608" t="s">
        <v>69</v>
      </c>
      <c r="J608" t="s">
        <v>69</v>
      </c>
      <c r="K608" t="s">
        <v>14888</v>
      </c>
      <c r="L608" t="s">
        <v>69</v>
      </c>
      <c r="M608" t="s">
        <v>69</v>
      </c>
      <c r="N608" t="s">
        <v>14889</v>
      </c>
      <c r="O608" t="s">
        <v>14890</v>
      </c>
      <c r="P608" t="s">
        <v>69</v>
      </c>
      <c r="Q608" t="s">
        <v>69</v>
      </c>
      <c r="R608" t="s">
        <v>8505</v>
      </c>
      <c r="S608" t="s">
        <v>8506</v>
      </c>
      <c r="T608" t="s">
        <v>69</v>
      </c>
      <c r="U608" t="s">
        <v>69</v>
      </c>
      <c r="V608" t="s">
        <v>69</v>
      </c>
      <c r="W608" t="s">
        <v>69</v>
      </c>
      <c r="X608" t="s">
        <v>69</v>
      </c>
      <c r="Y608" t="s">
        <v>14891</v>
      </c>
      <c r="Z608" t="s">
        <v>14892</v>
      </c>
      <c r="AA608" t="s">
        <v>14893</v>
      </c>
      <c r="AB608" t="s">
        <v>14894</v>
      </c>
      <c r="AC608" t="s">
        <v>69</v>
      </c>
      <c r="AD608" t="s">
        <v>14895</v>
      </c>
      <c r="AE608" t="s">
        <v>14896</v>
      </c>
      <c r="AF608" t="s">
        <v>69</v>
      </c>
      <c r="AG608" t="s">
        <v>14897</v>
      </c>
      <c r="AH608" t="s">
        <v>69</v>
      </c>
      <c r="AI608" t="s">
        <v>69</v>
      </c>
      <c r="AJ608" t="s">
        <v>69</v>
      </c>
      <c r="AK608" t="s">
        <v>69</v>
      </c>
      <c r="AL608">
        <v>90</v>
      </c>
      <c r="AM608">
        <v>0</v>
      </c>
      <c r="AN608">
        <v>0</v>
      </c>
      <c r="AO608">
        <v>0</v>
      </c>
      <c r="AP608">
        <v>4</v>
      </c>
      <c r="AQ608" t="s">
        <v>9047</v>
      </c>
      <c r="AR608" t="s">
        <v>9048</v>
      </c>
      <c r="AS608" t="s">
        <v>9049</v>
      </c>
      <c r="AT608" t="s">
        <v>14898</v>
      </c>
      <c r="AU608" t="s">
        <v>14899</v>
      </c>
      <c r="AV608" t="s">
        <v>69</v>
      </c>
      <c r="AW608" t="s">
        <v>14890</v>
      </c>
      <c r="AX608" t="s">
        <v>14900</v>
      </c>
      <c r="AY608" t="s">
        <v>75</v>
      </c>
      <c r="AZ608">
        <v>2020</v>
      </c>
      <c r="BA608">
        <v>58</v>
      </c>
      <c r="BB608">
        <v>4</v>
      </c>
      <c r="BC608" t="s">
        <v>69</v>
      </c>
      <c r="BD608" t="s">
        <v>69</v>
      </c>
      <c r="BE608" t="s">
        <v>69</v>
      </c>
      <c r="BF608" t="s">
        <v>69</v>
      </c>
      <c r="BG608">
        <v>535</v>
      </c>
      <c r="BH608">
        <v>558</v>
      </c>
      <c r="BI608" t="s">
        <v>69</v>
      </c>
      <c r="BJ608" t="s">
        <v>14901</v>
      </c>
      <c r="BK608" t="str">
        <f>HYPERLINK("http://dx.doi.org/10.1007/s11024-020-09411-8","http://dx.doi.org/10.1007/s11024-020-09411-8")</f>
        <v>http://dx.doi.org/10.1007/s11024-020-09411-8</v>
      </c>
      <c r="BL608" t="s">
        <v>69</v>
      </c>
      <c r="BM608" t="s">
        <v>4582</v>
      </c>
      <c r="BN608">
        <v>24</v>
      </c>
      <c r="BO608" t="s">
        <v>14902</v>
      </c>
      <c r="BP608" t="s">
        <v>8661</v>
      </c>
      <c r="BQ608" t="s">
        <v>14903</v>
      </c>
      <c r="BR608" t="s">
        <v>14904</v>
      </c>
      <c r="BS608" t="s">
        <v>14905</v>
      </c>
      <c r="BT608">
        <v>32836392</v>
      </c>
      <c r="BU608" t="s">
        <v>8746</v>
      </c>
      <c r="BV608" t="s">
        <v>69</v>
      </c>
      <c r="BW608" t="s">
        <v>69</v>
      </c>
      <c r="BX608" t="s">
        <v>8526</v>
      </c>
      <c r="BY608" t="str">
        <f>HYPERLINK("https%3A%2F%2Fwww.webofscience.com%2Fwos%2Fwoscc%2Ffull-record%2FWOS:000543003100001","View Full Record in Web of Science")</f>
        <v>View Full Record in Web of Science</v>
      </c>
    </row>
    <row r="609" spans="1:77" ht="12.5" x14ac:dyDescent="0.25">
      <c r="A609" t="s">
        <v>8495</v>
      </c>
      <c r="B609" s="7" t="s">
        <v>32933</v>
      </c>
      <c r="C609" s="7"/>
      <c r="D609" s="7"/>
      <c r="E609" s="7"/>
      <c r="F609" t="s">
        <v>67</v>
      </c>
      <c r="G609" t="s">
        <v>856</v>
      </c>
      <c r="H609" t="s">
        <v>69</v>
      </c>
      <c r="I609" t="s">
        <v>69</v>
      </c>
      <c r="J609" t="s">
        <v>69</v>
      </c>
      <c r="K609" t="s">
        <v>857</v>
      </c>
      <c r="L609" t="s">
        <v>69</v>
      </c>
      <c r="M609" t="s">
        <v>69</v>
      </c>
      <c r="N609" t="s">
        <v>858</v>
      </c>
      <c r="O609" t="s">
        <v>859</v>
      </c>
      <c r="P609" t="s">
        <v>69</v>
      </c>
      <c r="Q609" t="s">
        <v>69</v>
      </c>
      <c r="R609" t="s">
        <v>8505</v>
      </c>
      <c r="S609" t="s">
        <v>8506</v>
      </c>
      <c r="T609" t="s">
        <v>69</v>
      </c>
      <c r="U609" t="s">
        <v>69</v>
      </c>
      <c r="V609" t="s">
        <v>69</v>
      </c>
      <c r="W609" t="s">
        <v>69</v>
      </c>
      <c r="X609" t="s">
        <v>69</v>
      </c>
      <c r="Y609" t="s">
        <v>69</v>
      </c>
      <c r="Z609" t="s">
        <v>69</v>
      </c>
      <c r="AA609" t="s">
        <v>860</v>
      </c>
      <c r="AB609" t="s">
        <v>16351</v>
      </c>
      <c r="AC609" t="s">
        <v>69</v>
      </c>
      <c r="AD609" t="s">
        <v>16352</v>
      </c>
      <c r="AE609" t="s">
        <v>16353</v>
      </c>
      <c r="AF609" t="s">
        <v>69</v>
      </c>
      <c r="AG609" t="s">
        <v>861</v>
      </c>
      <c r="AH609" t="s">
        <v>16354</v>
      </c>
      <c r="AI609" t="s">
        <v>16355</v>
      </c>
      <c r="AJ609" t="s">
        <v>16356</v>
      </c>
      <c r="AK609" t="s">
        <v>69</v>
      </c>
      <c r="AL609">
        <v>20</v>
      </c>
      <c r="AM609">
        <v>1</v>
      </c>
      <c r="AN609">
        <v>1</v>
      </c>
      <c r="AO609">
        <v>0</v>
      </c>
      <c r="AP609">
        <v>0</v>
      </c>
      <c r="AQ609" t="s">
        <v>11130</v>
      </c>
      <c r="AR609" t="s">
        <v>11131</v>
      </c>
      <c r="AS609" t="s">
        <v>11132</v>
      </c>
      <c r="AT609" t="s">
        <v>862</v>
      </c>
      <c r="AU609" t="s">
        <v>69</v>
      </c>
      <c r="AV609" t="s">
        <v>69</v>
      </c>
      <c r="AW609" t="s">
        <v>859</v>
      </c>
      <c r="AX609" t="s">
        <v>11133</v>
      </c>
      <c r="AY609" t="s">
        <v>863</v>
      </c>
      <c r="AZ609">
        <v>2019</v>
      </c>
      <c r="BA609">
        <v>14</v>
      </c>
      <c r="BB609">
        <v>12</v>
      </c>
      <c r="BC609" t="s">
        <v>69</v>
      </c>
      <c r="BD609" t="s">
        <v>69</v>
      </c>
      <c r="BE609" t="s">
        <v>69</v>
      </c>
      <c r="BF609" t="s">
        <v>69</v>
      </c>
      <c r="BG609" t="s">
        <v>69</v>
      </c>
      <c r="BH609" t="s">
        <v>69</v>
      </c>
      <c r="BI609" t="s">
        <v>864</v>
      </c>
      <c r="BJ609" t="s">
        <v>865</v>
      </c>
      <c r="BK609" t="str">
        <f>HYPERLINK("http://dx.doi.org/10.1371/journal.pone.0226612","http://dx.doi.org/10.1371/journal.pone.0226612")</f>
        <v>http://dx.doi.org/10.1371/journal.pone.0226612</v>
      </c>
      <c r="BL609" t="s">
        <v>69</v>
      </c>
      <c r="BM609" t="s">
        <v>69</v>
      </c>
      <c r="BN609">
        <v>20</v>
      </c>
      <c r="BO609" t="s">
        <v>8619</v>
      </c>
      <c r="BP609" t="s">
        <v>8548</v>
      </c>
      <c r="BQ609" t="s">
        <v>8620</v>
      </c>
      <c r="BR609" t="s">
        <v>16357</v>
      </c>
      <c r="BS609" t="s">
        <v>866</v>
      </c>
      <c r="BT609">
        <v>31841555</v>
      </c>
      <c r="BU609" t="s">
        <v>8812</v>
      </c>
      <c r="BV609" t="s">
        <v>69</v>
      </c>
      <c r="BW609" t="s">
        <v>69</v>
      </c>
      <c r="BX609" t="s">
        <v>8526</v>
      </c>
      <c r="BY609" t="str">
        <f>HYPERLINK("https%3A%2F%2Fwww.webofscience.com%2Fwos%2Fwoscc%2Ffull-record%2FWOS:000534236300047","View Full Record in Web of Science")</f>
        <v>View Full Record in Web of Science</v>
      </c>
    </row>
    <row r="610" spans="1:77" x14ac:dyDescent="0.3">
      <c r="A610" t="s">
        <v>8495</v>
      </c>
      <c r="B610" s="13" t="s">
        <v>32971</v>
      </c>
      <c r="F610" t="s">
        <v>67</v>
      </c>
      <c r="G610" t="s">
        <v>6122</v>
      </c>
      <c r="H610" t="s">
        <v>69</v>
      </c>
      <c r="I610" t="s">
        <v>69</v>
      </c>
      <c r="J610" t="s">
        <v>69</v>
      </c>
      <c r="K610" s="4" t="s">
        <v>6123</v>
      </c>
      <c r="L610" t="s">
        <v>69</v>
      </c>
      <c r="M610" t="s">
        <v>69</v>
      </c>
      <c r="N610" s="6" t="s">
        <v>6124</v>
      </c>
      <c r="O610" t="s">
        <v>352</v>
      </c>
      <c r="P610" t="s">
        <v>69</v>
      </c>
      <c r="Q610" t="s">
        <v>69</v>
      </c>
      <c r="R610" t="s">
        <v>8505</v>
      </c>
      <c r="S610" t="s">
        <v>8506</v>
      </c>
      <c r="T610" t="s">
        <v>69</v>
      </c>
      <c r="U610" t="s">
        <v>69</v>
      </c>
      <c r="V610" t="s">
        <v>69</v>
      </c>
      <c r="W610" t="s">
        <v>69</v>
      </c>
      <c r="X610" t="s">
        <v>69</v>
      </c>
      <c r="Y610" t="s">
        <v>13992</v>
      </c>
      <c r="Z610" t="s">
        <v>13993</v>
      </c>
      <c r="AA610" t="s">
        <v>6125</v>
      </c>
      <c r="AB610" t="s">
        <v>13994</v>
      </c>
      <c r="AC610" t="s">
        <v>69</v>
      </c>
      <c r="AD610" t="s">
        <v>13995</v>
      </c>
      <c r="AE610" t="s">
        <v>13996</v>
      </c>
      <c r="AF610" t="s">
        <v>69</v>
      </c>
      <c r="AG610" t="s">
        <v>13997</v>
      </c>
      <c r="AH610" t="s">
        <v>13998</v>
      </c>
      <c r="AI610" t="s">
        <v>13999</v>
      </c>
      <c r="AJ610" t="s">
        <v>14000</v>
      </c>
      <c r="AK610" t="s">
        <v>69</v>
      </c>
      <c r="AL610">
        <v>60</v>
      </c>
      <c r="AM610">
        <v>2</v>
      </c>
      <c r="AN610">
        <v>2</v>
      </c>
      <c r="AO610">
        <v>25</v>
      </c>
      <c r="AP610">
        <v>50</v>
      </c>
      <c r="AQ610" t="s">
        <v>8924</v>
      </c>
      <c r="AR610" t="s">
        <v>8925</v>
      </c>
      <c r="AS610" t="s">
        <v>8926</v>
      </c>
      <c r="AT610" t="s">
        <v>69</v>
      </c>
      <c r="AU610" t="s">
        <v>354</v>
      </c>
      <c r="AV610" t="s">
        <v>69</v>
      </c>
      <c r="AW610" t="s">
        <v>8958</v>
      </c>
      <c r="AX610" t="s">
        <v>8434</v>
      </c>
      <c r="AY610" t="s">
        <v>75</v>
      </c>
      <c r="AZ610">
        <v>2020</v>
      </c>
      <c r="BA610">
        <v>12</v>
      </c>
      <c r="BB610">
        <v>24</v>
      </c>
      <c r="BC610" t="s">
        <v>69</v>
      </c>
      <c r="BD610" t="s">
        <v>69</v>
      </c>
      <c r="BE610" t="s">
        <v>69</v>
      </c>
      <c r="BF610" t="s">
        <v>69</v>
      </c>
      <c r="BG610" t="s">
        <v>69</v>
      </c>
      <c r="BH610" t="s">
        <v>69</v>
      </c>
      <c r="BI610">
        <v>10228</v>
      </c>
      <c r="BJ610" t="s">
        <v>6126</v>
      </c>
      <c r="BK610" t="str">
        <f>HYPERLINK("http://dx.doi.org/10.3390/su122410228","http://dx.doi.org/10.3390/su122410228")</f>
        <v>http://dx.doi.org/10.3390/su122410228</v>
      </c>
      <c r="BL610" t="s">
        <v>69</v>
      </c>
      <c r="BM610" t="s">
        <v>69</v>
      </c>
      <c r="BN610">
        <v>15</v>
      </c>
      <c r="BO610" t="s">
        <v>8960</v>
      </c>
      <c r="BP610" t="s">
        <v>8523</v>
      </c>
      <c r="BQ610" t="s">
        <v>8961</v>
      </c>
      <c r="BR610" t="s">
        <v>14001</v>
      </c>
      <c r="BS610" t="s">
        <v>6127</v>
      </c>
      <c r="BT610" t="s">
        <v>69</v>
      </c>
      <c r="BU610" t="s">
        <v>9352</v>
      </c>
      <c r="BV610" t="s">
        <v>69</v>
      </c>
      <c r="BW610" t="s">
        <v>69</v>
      </c>
      <c r="BX610" t="s">
        <v>8526</v>
      </c>
      <c r="BY610" t="str">
        <f>HYPERLINK("https%3A%2F%2Fwww.webofscience.com%2Fwos%2Fwoscc%2Ffull-record%2FWOS:000603287200001","View Full Record in Web of Science")</f>
        <v>View Full Record in Web of Science</v>
      </c>
    </row>
    <row r="611" spans="1:77" ht="12.5" x14ac:dyDescent="0.25">
      <c r="A611" t="s">
        <v>8495</v>
      </c>
      <c r="B611" s="7" t="s">
        <v>32933</v>
      </c>
      <c r="C611" s="7"/>
      <c r="D611" s="7"/>
      <c r="E611" s="7"/>
      <c r="F611" t="s">
        <v>67</v>
      </c>
      <c r="G611" t="s">
        <v>5075</v>
      </c>
      <c r="H611" t="s">
        <v>69</v>
      </c>
      <c r="I611" t="s">
        <v>69</v>
      </c>
      <c r="J611" t="s">
        <v>69</v>
      </c>
      <c r="K611" t="s">
        <v>5075</v>
      </c>
      <c r="L611" t="s">
        <v>69</v>
      </c>
      <c r="M611" t="s">
        <v>69</v>
      </c>
      <c r="N611" t="s">
        <v>5076</v>
      </c>
      <c r="O611" t="s">
        <v>5077</v>
      </c>
      <c r="P611" t="s">
        <v>69</v>
      </c>
      <c r="Q611" t="s">
        <v>69</v>
      </c>
      <c r="R611" t="s">
        <v>8505</v>
      </c>
      <c r="S611" t="s">
        <v>8506</v>
      </c>
      <c r="T611" t="s">
        <v>69</v>
      </c>
      <c r="U611" t="s">
        <v>69</v>
      </c>
      <c r="V611" t="s">
        <v>69</v>
      </c>
      <c r="W611" t="s">
        <v>69</v>
      </c>
      <c r="X611" t="s">
        <v>69</v>
      </c>
      <c r="Y611" t="s">
        <v>32900</v>
      </c>
      <c r="Z611" t="s">
        <v>69</v>
      </c>
      <c r="AA611" t="s">
        <v>5078</v>
      </c>
      <c r="AB611" t="s">
        <v>32901</v>
      </c>
      <c r="AC611" t="s">
        <v>69</v>
      </c>
      <c r="AD611" t="s">
        <v>32902</v>
      </c>
      <c r="AE611" t="s">
        <v>69</v>
      </c>
      <c r="AF611" t="s">
        <v>5079</v>
      </c>
      <c r="AG611" t="s">
        <v>5080</v>
      </c>
      <c r="AH611" t="s">
        <v>69</v>
      </c>
      <c r="AI611" t="s">
        <v>69</v>
      </c>
      <c r="AJ611" t="s">
        <v>69</v>
      </c>
      <c r="AK611" t="s">
        <v>69</v>
      </c>
      <c r="AL611">
        <v>14</v>
      </c>
      <c r="AM611">
        <v>13</v>
      </c>
      <c r="AN611">
        <v>13</v>
      </c>
      <c r="AO611">
        <v>0</v>
      </c>
      <c r="AP611">
        <v>5</v>
      </c>
      <c r="AQ611" t="s">
        <v>32903</v>
      </c>
      <c r="AR611" t="s">
        <v>26039</v>
      </c>
      <c r="AS611" t="s">
        <v>32728</v>
      </c>
      <c r="AT611" t="s">
        <v>5081</v>
      </c>
      <c r="AU611" t="s">
        <v>69</v>
      </c>
      <c r="AV611" t="s">
        <v>69</v>
      </c>
      <c r="AW611" t="s">
        <v>32729</v>
      </c>
      <c r="AX611" t="s">
        <v>32730</v>
      </c>
      <c r="AY611" t="s">
        <v>191</v>
      </c>
      <c r="AZ611">
        <v>1991</v>
      </c>
      <c r="BA611">
        <v>45</v>
      </c>
      <c r="BB611">
        <v>1</v>
      </c>
      <c r="BC611" t="s">
        <v>69</v>
      </c>
      <c r="BD611" t="s">
        <v>69</v>
      </c>
      <c r="BE611" t="s">
        <v>69</v>
      </c>
      <c r="BF611" t="s">
        <v>69</v>
      </c>
      <c r="BG611">
        <v>22</v>
      </c>
      <c r="BH611">
        <v>27</v>
      </c>
      <c r="BI611" t="s">
        <v>69</v>
      </c>
      <c r="BJ611" t="s">
        <v>5082</v>
      </c>
      <c r="BK611" t="str">
        <f>HYPERLINK("http://dx.doi.org/10.2307/2685234","http://dx.doi.org/10.2307/2685234")</f>
        <v>http://dx.doi.org/10.2307/2685234</v>
      </c>
      <c r="BL611" t="s">
        <v>69</v>
      </c>
      <c r="BM611" t="s">
        <v>69</v>
      </c>
      <c r="BN611">
        <v>6</v>
      </c>
      <c r="BO611" t="s">
        <v>25853</v>
      </c>
      <c r="BP611" t="s">
        <v>8548</v>
      </c>
      <c r="BQ611" t="s">
        <v>25854</v>
      </c>
      <c r="BR611" t="s">
        <v>32904</v>
      </c>
      <c r="BS611" t="s">
        <v>5083</v>
      </c>
      <c r="BT611" t="s">
        <v>69</v>
      </c>
      <c r="BU611" t="s">
        <v>69</v>
      </c>
      <c r="BV611" t="s">
        <v>69</v>
      </c>
      <c r="BW611" t="s">
        <v>69</v>
      </c>
      <c r="BX611" t="s">
        <v>8526</v>
      </c>
      <c r="BY611" t="str">
        <f>HYPERLINK("https%3A%2F%2Fwww.webofscience.com%2Fwos%2Fwoscc%2Ffull-record%2FWOS:A1991EU94800005","View Full Record in Web of Science")</f>
        <v>View Full Record in Web of Science</v>
      </c>
    </row>
    <row r="612" spans="1:77" ht="12.5" x14ac:dyDescent="0.25">
      <c r="A612" t="s">
        <v>8495</v>
      </c>
      <c r="B612" s="7" t="s">
        <v>32933</v>
      </c>
      <c r="C612" s="7"/>
      <c r="D612" s="7"/>
      <c r="E612" s="7"/>
      <c r="F612" t="s">
        <v>67</v>
      </c>
      <c r="G612" t="s">
        <v>7245</v>
      </c>
      <c r="H612" t="s">
        <v>69</v>
      </c>
      <c r="I612" t="s">
        <v>69</v>
      </c>
      <c r="J612" t="s">
        <v>69</v>
      </c>
      <c r="K612" t="s">
        <v>7246</v>
      </c>
      <c r="L612" t="s">
        <v>69</v>
      </c>
      <c r="M612" t="s">
        <v>69</v>
      </c>
      <c r="N612" s="4" t="s">
        <v>7247</v>
      </c>
      <c r="O612" t="s">
        <v>7248</v>
      </c>
      <c r="P612" t="s">
        <v>69</v>
      </c>
      <c r="Q612" t="s">
        <v>69</v>
      </c>
      <c r="R612" t="s">
        <v>8505</v>
      </c>
      <c r="S612" t="s">
        <v>8506</v>
      </c>
      <c r="T612" t="s">
        <v>69</v>
      </c>
      <c r="U612" t="s">
        <v>69</v>
      </c>
      <c r="V612" t="s">
        <v>69</v>
      </c>
      <c r="W612" t="s">
        <v>69</v>
      </c>
      <c r="X612" t="s">
        <v>69</v>
      </c>
      <c r="Y612" t="s">
        <v>16358</v>
      </c>
      <c r="Z612" t="s">
        <v>16359</v>
      </c>
      <c r="AA612" t="s">
        <v>7249</v>
      </c>
      <c r="AB612" t="s">
        <v>16360</v>
      </c>
      <c r="AC612" t="s">
        <v>69</v>
      </c>
      <c r="AD612" t="s">
        <v>16361</v>
      </c>
      <c r="AE612" t="s">
        <v>16362</v>
      </c>
      <c r="AF612" t="s">
        <v>69</v>
      </c>
      <c r="AG612" t="s">
        <v>16363</v>
      </c>
      <c r="AH612" t="s">
        <v>69</v>
      </c>
      <c r="AI612" t="s">
        <v>69</v>
      </c>
      <c r="AJ612" t="s">
        <v>69</v>
      </c>
      <c r="AK612" t="s">
        <v>69</v>
      </c>
      <c r="AL612">
        <v>22</v>
      </c>
      <c r="AM612">
        <v>4</v>
      </c>
      <c r="AN612">
        <v>4</v>
      </c>
      <c r="AO612">
        <v>0</v>
      </c>
      <c r="AP612">
        <v>0</v>
      </c>
      <c r="AQ612" t="s">
        <v>9978</v>
      </c>
      <c r="AR612" t="s">
        <v>9979</v>
      </c>
      <c r="AS612" t="s">
        <v>9980</v>
      </c>
      <c r="AT612" t="s">
        <v>7250</v>
      </c>
      <c r="AU612" t="s">
        <v>7251</v>
      </c>
      <c r="AV612" t="s">
        <v>69</v>
      </c>
      <c r="AW612" t="s">
        <v>16364</v>
      </c>
      <c r="AX612" t="s">
        <v>16365</v>
      </c>
      <c r="AY612" t="s">
        <v>75</v>
      </c>
      <c r="AZ612">
        <v>2019</v>
      </c>
      <c r="BA612">
        <v>29</v>
      </c>
      <c r="BB612">
        <v>12</v>
      </c>
      <c r="BC612" t="s">
        <v>69</v>
      </c>
      <c r="BD612" t="s">
        <v>69</v>
      </c>
      <c r="BE612" t="s">
        <v>69</v>
      </c>
      <c r="BF612" t="s">
        <v>69</v>
      </c>
      <c r="BG612">
        <v>1489</v>
      </c>
      <c r="BH612">
        <v>1493</v>
      </c>
      <c r="BI612" t="s">
        <v>69</v>
      </c>
      <c r="BJ612" t="s">
        <v>7252</v>
      </c>
      <c r="BK612" t="str">
        <f>HYPERLINK("http://dx.doi.org/10.1017/S1047951119002531","http://dx.doi.org/10.1017/S1047951119002531")</f>
        <v>http://dx.doi.org/10.1017/S1047951119002531</v>
      </c>
      <c r="BL612" t="s">
        <v>69</v>
      </c>
      <c r="BM612" t="s">
        <v>69</v>
      </c>
      <c r="BN612">
        <v>5</v>
      </c>
      <c r="BO612" t="s">
        <v>16366</v>
      </c>
      <c r="BP612" t="s">
        <v>8548</v>
      </c>
      <c r="BQ612" t="s">
        <v>16367</v>
      </c>
      <c r="BR612" t="s">
        <v>16368</v>
      </c>
      <c r="BS612" t="s">
        <v>7253</v>
      </c>
      <c r="BT612">
        <v>31749444</v>
      </c>
      <c r="BU612" t="s">
        <v>69</v>
      </c>
      <c r="BV612" t="s">
        <v>69</v>
      </c>
      <c r="BW612" t="s">
        <v>69</v>
      </c>
      <c r="BX612" t="s">
        <v>8526</v>
      </c>
      <c r="BY612" t="str">
        <f>HYPERLINK("https%3A%2F%2Fwww.webofscience.com%2Fwos%2Fwoscc%2Ffull-record%2FWOS:000511342400012","View Full Record in Web of Science")</f>
        <v>View Full Record in Web of Science</v>
      </c>
    </row>
    <row r="613" spans="1:77" ht="12.5" x14ac:dyDescent="0.25">
      <c r="A613" t="s">
        <v>8495</v>
      </c>
      <c r="B613" s="7" t="s">
        <v>32933</v>
      </c>
      <c r="C613" s="7"/>
      <c r="D613" s="7"/>
      <c r="E613" s="7"/>
      <c r="F613" t="s">
        <v>67</v>
      </c>
      <c r="G613" t="s">
        <v>7234</v>
      </c>
      <c r="H613" t="s">
        <v>69</v>
      </c>
      <c r="I613" t="s">
        <v>69</v>
      </c>
      <c r="J613" t="s">
        <v>69</v>
      </c>
      <c r="K613" t="s">
        <v>7235</v>
      </c>
      <c r="L613" t="s">
        <v>69</v>
      </c>
      <c r="M613" t="s">
        <v>69</v>
      </c>
      <c r="N613" t="s">
        <v>7236</v>
      </c>
      <c r="O613" t="s">
        <v>7237</v>
      </c>
      <c r="P613" t="s">
        <v>69</v>
      </c>
      <c r="Q613" t="s">
        <v>69</v>
      </c>
      <c r="R613" t="s">
        <v>8505</v>
      </c>
      <c r="S613" t="s">
        <v>8506</v>
      </c>
      <c r="T613" t="s">
        <v>69</v>
      </c>
      <c r="U613" t="s">
        <v>69</v>
      </c>
      <c r="V613" t="s">
        <v>69</v>
      </c>
      <c r="W613" t="s">
        <v>69</v>
      </c>
      <c r="X613" t="s">
        <v>69</v>
      </c>
      <c r="Y613" t="s">
        <v>17930</v>
      </c>
      <c r="Z613" t="s">
        <v>17931</v>
      </c>
      <c r="AA613" t="s">
        <v>7238</v>
      </c>
      <c r="AB613" t="s">
        <v>17932</v>
      </c>
      <c r="AC613" t="s">
        <v>69</v>
      </c>
      <c r="AD613" t="s">
        <v>17933</v>
      </c>
      <c r="AE613" t="s">
        <v>17934</v>
      </c>
      <c r="AF613" t="s">
        <v>7239</v>
      </c>
      <c r="AG613" t="s">
        <v>7240</v>
      </c>
      <c r="AH613" t="s">
        <v>17935</v>
      </c>
      <c r="AI613" t="s">
        <v>17936</v>
      </c>
      <c r="AJ613" t="s">
        <v>17937</v>
      </c>
      <c r="AK613" t="s">
        <v>69</v>
      </c>
      <c r="AL613">
        <v>28</v>
      </c>
      <c r="AM613">
        <v>8</v>
      </c>
      <c r="AN613">
        <v>8</v>
      </c>
      <c r="AO613">
        <v>1</v>
      </c>
      <c r="AP613">
        <v>8</v>
      </c>
      <c r="AQ613" t="s">
        <v>9978</v>
      </c>
      <c r="AR613" t="s">
        <v>8693</v>
      </c>
      <c r="AS613" t="s">
        <v>17938</v>
      </c>
      <c r="AT613" t="s">
        <v>7241</v>
      </c>
      <c r="AU613" t="s">
        <v>7242</v>
      </c>
      <c r="AV613" t="s">
        <v>69</v>
      </c>
      <c r="AW613" t="s">
        <v>7237</v>
      </c>
      <c r="AX613" t="s">
        <v>17939</v>
      </c>
      <c r="AY613" t="s">
        <v>373</v>
      </c>
      <c r="AZ613">
        <v>2019</v>
      </c>
      <c r="BA613">
        <v>53</v>
      </c>
      <c r="BB613">
        <v>1</v>
      </c>
      <c r="BC613" t="s">
        <v>69</v>
      </c>
      <c r="BD613" t="s">
        <v>69</v>
      </c>
      <c r="BE613" t="s">
        <v>69</v>
      </c>
      <c r="BF613" t="s">
        <v>69</v>
      </c>
      <c r="BG613">
        <v>49</v>
      </c>
      <c r="BH613">
        <v>57</v>
      </c>
      <c r="BI613" t="s">
        <v>69</v>
      </c>
      <c r="BJ613" t="s">
        <v>7243</v>
      </c>
      <c r="BK613" t="str">
        <f>HYPERLINK("http://dx.doi.org/10.1017/S0030605317001478","http://dx.doi.org/10.1017/S0030605317001478")</f>
        <v>http://dx.doi.org/10.1017/S0030605317001478</v>
      </c>
      <c r="BL613" t="s">
        <v>69</v>
      </c>
      <c r="BM613" t="s">
        <v>69</v>
      </c>
      <c r="BN613">
        <v>9</v>
      </c>
      <c r="BO613" t="s">
        <v>15451</v>
      </c>
      <c r="BP613" t="s">
        <v>8548</v>
      </c>
      <c r="BQ613" t="s">
        <v>15452</v>
      </c>
      <c r="BR613" t="s">
        <v>17940</v>
      </c>
      <c r="BS613" t="s">
        <v>7244</v>
      </c>
      <c r="BT613" t="s">
        <v>69</v>
      </c>
      <c r="BU613" t="s">
        <v>9374</v>
      </c>
      <c r="BV613" t="s">
        <v>69</v>
      </c>
      <c r="BW613" t="s">
        <v>69</v>
      </c>
      <c r="BX613" t="s">
        <v>8526</v>
      </c>
      <c r="BY613" t="str">
        <f>HYPERLINK("https%3A%2F%2Fwww.webofscience.com%2Fwos%2Fwoscc%2Ffull-record%2FWOS:000454304000009","View Full Record in Web of Science")</f>
        <v>View Full Record in Web of Science</v>
      </c>
    </row>
    <row r="614" spans="1:77" ht="12.5" x14ac:dyDescent="0.25">
      <c r="A614" t="s">
        <v>8495</v>
      </c>
      <c r="B614" s="7" t="s">
        <v>32933</v>
      </c>
      <c r="C614" s="7"/>
      <c r="D614" s="7"/>
      <c r="E614" s="7"/>
      <c r="F614" t="s">
        <v>67</v>
      </c>
      <c r="G614" t="s">
        <v>4323</v>
      </c>
      <c r="H614" t="s">
        <v>69</v>
      </c>
      <c r="I614" t="s">
        <v>69</v>
      </c>
      <c r="J614" t="s">
        <v>69</v>
      </c>
      <c r="K614" t="s">
        <v>4323</v>
      </c>
      <c r="L614" t="s">
        <v>69</v>
      </c>
      <c r="M614" t="s">
        <v>69</v>
      </c>
      <c r="N614" t="s">
        <v>4324</v>
      </c>
      <c r="O614" t="s">
        <v>1495</v>
      </c>
      <c r="P614" t="s">
        <v>69</v>
      </c>
      <c r="Q614" t="s">
        <v>69</v>
      </c>
      <c r="R614" t="s">
        <v>8505</v>
      </c>
      <c r="S614" t="s">
        <v>8506</v>
      </c>
      <c r="T614" t="s">
        <v>69</v>
      </c>
      <c r="U614" t="s">
        <v>69</v>
      </c>
      <c r="V614" t="s">
        <v>69</v>
      </c>
      <c r="W614" t="s">
        <v>69</v>
      </c>
      <c r="X614" t="s">
        <v>69</v>
      </c>
      <c r="Y614" t="s">
        <v>69</v>
      </c>
      <c r="Z614" t="s">
        <v>32683</v>
      </c>
      <c r="AA614" t="s">
        <v>4325</v>
      </c>
      <c r="AB614" t="s">
        <v>32684</v>
      </c>
      <c r="AC614" t="s">
        <v>69</v>
      </c>
      <c r="AD614" t="s">
        <v>32685</v>
      </c>
      <c r="AE614" t="s">
        <v>69</v>
      </c>
      <c r="AF614" t="s">
        <v>69</v>
      </c>
      <c r="AG614" t="s">
        <v>69</v>
      </c>
      <c r="AH614" t="s">
        <v>69</v>
      </c>
      <c r="AI614" t="s">
        <v>69</v>
      </c>
      <c r="AJ614" t="s">
        <v>69</v>
      </c>
      <c r="AK614" t="s">
        <v>69</v>
      </c>
      <c r="AL614">
        <v>30</v>
      </c>
      <c r="AM614">
        <v>14</v>
      </c>
      <c r="AN614">
        <v>14</v>
      </c>
      <c r="AO614">
        <v>0</v>
      </c>
      <c r="AP614">
        <v>7</v>
      </c>
      <c r="AQ614" t="s">
        <v>9554</v>
      </c>
      <c r="AR614" t="s">
        <v>9555</v>
      </c>
      <c r="AS614" t="s">
        <v>32686</v>
      </c>
      <c r="AT614" t="s">
        <v>1499</v>
      </c>
      <c r="AU614" t="s">
        <v>69</v>
      </c>
      <c r="AV614" t="s">
        <v>69</v>
      </c>
      <c r="AW614" t="s">
        <v>13954</v>
      </c>
      <c r="AX614" t="s">
        <v>13955</v>
      </c>
      <c r="AY614" t="s">
        <v>4092</v>
      </c>
      <c r="AZ614">
        <v>1994</v>
      </c>
      <c r="BA614">
        <v>19</v>
      </c>
      <c r="BB614">
        <v>2</v>
      </c>
      <c r="BC614" t="s">
        <v>69</v>
      </c>
      <c r="BD614" t="s">
        <v>69</v>
      </c>
      <c r="BE614" t="s">
        <v>69</v>
      </c>
      <c r="BF614" t="s">
        <v>69</v>
      </c>
      <c r="BG614">
        <v>223</v>
      </c>
      <c r="BH614">
        <v>241</v>
      </c>
      <c r="BI614" t="s">
        <v>69</v>
      </c>
      <c r="BJ614" t="s">
        <v>4326</v>
      </c>
      <c r="BK614" t="str">
        <f>HYPERLINK("http://dx.doi.org/10.1177/016224399401900206","http://dx.doi.org/10.1177/016224399401900206")</f>
        <v>http://dx.doi.org/10.1177/016224399401900206</v>
      </c>
      <c r="BL614" t="s">
        <v>69</v>
      </c>
      <c r="BM614" t="s">
        <v>69</v>
      </c>
      <c r="BN614">
        <v>19</v>
      </c>
      <c r="BO614" t="s">
        <v>13650</v>
      </c>
      <c r="BP614" t="s">
        <v>8661</v>
      </c>
      <c r="BQ614" t="s">
        <v>13650</v>
      </c>
      <c r="BR614" t="s">
        <v>32687</v>
      </c>
      <c r="BS614" t="s">
        <v>4327</v>
      </c>
      <c r="BT614">
        <v>11652278</v>
      </c>
      <c r="BU614" t="s">
        <v>69</v>
      </c>
      <c r="BV614" t="s">
        <v>69</v>
      </c>
      <c r="BW614" t="s">
        <v>69</v>
      </c>
      <c r="BX614" t="s">
        <v>8526</v>
      </c>
      <c r="BY614" t="str">
        <f>HYPERLINK("https%3A%2F%2Fwww.webofscience.com%2Fwos%2Fwoscc%2Ffull-record%2FWOS:A1994ND36700006","View Full Record in Web of Science")</f>
        <v>View Full Record in Web of Science</v>
      </c>
    </row>
    <row r="615" spans="1:77" ht="12.5" x14ac:dyDescent="0.25">
      <c r="A615" t="s">
        <v>8495</v>
      </c>
      <c r="B615" s="7" t="s">
        <v>32933</v>
      </c>
      <c r="C615" s="7"/>
      <c r="D615" s="7"/>
      <c r="E615" s="7"/>
      <c r="F615" t="s">
        <v>67</v>
      </c>
      <c r="G615" t="s">
        <v>1387</v>
      </c>
      <c r="H615" t="s">
        <v>69</v>
      </c>
      <c r="I615" t="s">
        <v>69</v>
      </c>
      <c r="J615" t="s">
        <v>69</v>
      </c>
      <c r="K615" t="s">
        <v>1388</v>
      </c>
      <c r="L615" t="s">
        <v>69</v>
      </c>
      <c r="M615" t="s">
        <v>69</v>
      </c>
      <c r="N615" t="s">
        <v>1389</v>
      </c>
      <c r="O615" t="s">
        <v>436</v>
      </c>
      <c r="P615" t="s">
        <v>69</v>
      </c>
      <c r="Q615" t="s">
        <v>69</v>
      </c>
      <c r="R615" t="s">
        <v>8505</v>
      </c>
      <c r="S615" t="s">
        <v>8506</v>
      </c>
      <c r="T615" t="s">
        <v>69</v>
      </c>
      <c r="U615" t="s">
        <v>69</v>
      </c>
      <c r="V615" t="s">
        <v>69</v>
      </c>
      <c r="W615" t="s">
        <v>69</v>
      </c>
      <c r="X615" t="s">
        <v>69</v>
      </c>
      <c r="Y615" t="s">
        <v>23991</v>
      </c>
      <c r="Z615" t="s">
        <v>23992</v>
      </c>
      <c r="AA615" t="s">
        <v>1390</v>
      </c>
      <c r="AB615" t="s">
        <v>23993</v>
      </c>
      <c r="AC615" t="s">
        <v>69</v>
      </c>
      <c r="AD615" t="s">
        <v>23994</v>
      </c>
      <c r="AE615" t="s">
        <v>23995</v>
      </c>
      <c r="AF615" t="s">
        <v>69</v>
      </c>
      <c r="AG615" t="s">
        <v>1391</v>
      </c>
      <c r="AH615" t="s">
        <v>23996</v>
      </c>
      <c r="AI615" t="s">
        <v>23997</v>
      </c>
      <c r="AJ615" t="s">
        <v>69</v>
      </c>
      <c r="AK615" t="s">
        <v>69</v>
      </c>
      <c r="AL615">
        <v>76</v>
      </c>
      <c r="AM615">
        <v>29</v>
      </c>
      <c r="AN615">
        <v>31</v>
      </c>
      <c r="AO615">
        <v>2</v>
      </c>
      <c r="AP615">
        <v>52</v>
      </c>
      <c r="AQ615" t="s">
        <v>8636</v>
      </c>
      <c r="AR615" t="s">
        <v>8637</v>
      </c>
      <c r="AS615" t="s">
        <v>8638</v>
      </c>
      <c r="AT615" t="s">
        <v>440</v>
      </c>
      <c r="AU615" t="s">
        <v>441</v>
      </c>
      <c r="AV615" t="s">
        <v>69</v>
      </c>
      <c r="AW615" t="s">
        <v>8639</v>
      </c>
      <c r="AX615" t="s">
        <v>8640</v>
      </c>
      <c r="AY615" t="s">
        <v>1392</v>
      </c>
      <c r="AZ615">
        <v>2014</v>
      </c>
      <c r="BA615">
        <v>63</v>
      </c>
      <c r="BB615" t="s">
        <v>69</v>
      </c>
      <c r="BC615" t="s">
        <v>69</v>
      </c>
      <c r="BD615" t="s">
        <v>69</v>
      </c>
      <c r="BE615" t="s">
        <v>69</v>
      </c>
      <c r="BF615" t="s">
        <v>69</v>
      </c>
      <c r="BG615">
        <v>84</v>
      </c>
      <c r="BH615">
        <v>92</v>
      </c>
      <c r="BI615" t="s">
        <v>69</v>
      </c>
      <c r="BJ615" t="s">
        <v>1393</v>
      </c>
      <c r="BK615" t="str">
        <f>HYPERLINK("http://dx.doi.org/10.1016/j.jclepro.2013.04.040","http://dx.doi.org/10.1016/j.jclepro.2013.04.040")</f>
        <v>http://dx.doi.org/10.1016/j.jclepro.2013.04.040</v>
      </c>
      <c r="BL615" t="s">
        <v>69</v>
      </c>
      <c r="BM615" t="s">
        <v>69</v>
      </c>
      <c r="BN615">
        <v>9</v>
      </c>
      <c r="BO615" t="s">
        <v>8643</v>
      </c>
      <c r="BP615" t="s">
        <v>8523</v>
      </c>
      <c r="BQ615" t="s">
        <v>8644</v>
      </c>
      <c r="BR615" t="s">
        <v>23998</v>
      </c>
      <c r="BS615" t="s">
        <v>1394</v>
      </c>
      <c r="BT615" t="s">
        <v>69</v>
      </c>
      <c r="BU615" t="s">
        <v>8622</v>
      </c>
      <c r="BV615" t="s">
        <v>69</v>
      </c>
      <c r="BW615" t="s">
        <v>69</v>
      </c>
      <c r="BX615" t="s">
        <v>8526</v>
      </c>
      <c r="BY615" t="str">
        <f>HYPERLINK("https%3A%2F%2Fwww.webofscience.com%2Fwos%2Fwoscc%2Ffull-record%2FWOS:000328527300009","View Full Record in Web of Science")</f>
        <v>View Full Record in Web of Science</v>
      </c>
    </row>
    <row r="616" spans="1:77" ht="12.5" x14ac:dyDescent="0.25">
      <c r="A616" t="s">
        <v>8495</v>
      </c>
      <c r="B616" s="22" t="s">
        <v>32931</v>
      </c>
      <c r="C616" s="7"/>
      <c r="D616" s="7"/>
      <c r="E616" s="7"/>
      <c r="F616" t="s">
        <v>67</v>
      </c>
      <c r="G616" t="s">
        <v>13653</v>
      </c>
      <c r="H616" t="s">
        <v>69</v>
      </c>
      <c r="I616" t="s">
        <v>69</v>
      </c>
      <c r="J616" t="s">
        <v>69</v>
      </c>
      <c r="K616" t="s">
        <v>13654</v>
      </c>
      <c r="L616" t="s">
        <v>69</v>
      </c>
      <c r="M616" t="s">
        <v>69</v>
      </c>
      <c r="N616" t="s">
        <v>13655</v>
      </c>
      <c r="O616" t="s">
        <v>13656</v>
      </c>
      <c r="P616" t="s">
        <v>69</v>
      </c>
      <c r="Q616" t="s">
        <v>69</v>
      </c>
      <c r="R616" t="s">
        <v>10153</v>
      </c>
      <c r="S616" t="s">
        <v>8506</v>
      </c>
      <c r="T616" t="s">
        <v>69</v>
      </c>
      <c r="U616" t="s">
        <v>69</v>
      </c>
      <c r="V616" t="s">
        <v>69</v>
      </c>
      <c r="W616" t="s">
        <v>69</v>
      </c>
      <c r="X616" t="s">
        <v>69</v>
      </c>
      <c r="Y616" t="s">
        <v>13657</v>
      </c>
      <c r="Z616" t="s">
        <v>69</v>
      </c>
      <c r="AA616" t="s">
        <v>13658</v>
      </c>
      <c r="AB616" t="s">
        <v>13659</v>
      </c>
      <c r="AC616" t="s">
        <v>69</v>
      </c>
      <c r="AD616" t="s">
        <v>13660</v>
      </c>
      <c r="AE616" t="s">
        <v>13661</v>
      </c>
      <c r="AF616" t="s">
        <v>13662</v>
      </c>
      <c r="AG616" t="s">
        <v>13663</v>
      </c>
      <c r="AH616" t="s">
        <v>69</v>
      </c>
      <c r="AI616" t="s">
        <v>69</v>
      </c>
      <c r="AJ616" t="s">
        <v>69</v>
      </c>
      <c r="AK616" t="s">
        <v>69</v>
      </c>
      <c r="AL616">
        <v>31</v>
      </c>
      <c r="AM616">
        <v>0</v>
      </c>
      <c r="AN616">
        <v>0</v>
      </c>
      <c r="AO616">
        <v>3</v>
      </c>
      <c r="AP616">
        <v>4</v>
      </c>
      <c r="AQ616" t="s">
        <v>13664</v>
      </c>
      <c r="AR616" t="s">
        <v>13665</v>
      </c>
      <c r="AS616" t="s">
        <v>13666</v>
      </c>
      <c r="AT616" t="s">
        <v>13667</v>
      </c>
      <c r="AU616" t="s">
        <v>69</v>
      </c>
      <c r="AV616" t="s">
        <v>69</v>
      </c>
      <c r="AW616" t="s">
        <v>13668</v>
      </c>
      <c r="AX616" t="s">
        <v>13669</v>
      </c>
      <c r="AY616" t="s">
        <v>2654</v>
      </c>
      <c r="AZ616">
        <v>2021</v>
      </c>
      <c r="BA616">
        <v>11</v>
      </c>
      <c r="BB616">
        <v>21</v>
      </c>
      <c r="BC616" t="s">
        <v>69</v>
      </c>
      <c r="BD616" t="s">
        <v>69</v>
      </c>
      <c r="BE616" t="s">
        <v>69</v>
      </c>
      <c r="BF616" t="s">
        <v>69</v>
      </c>
      <c r="BG616">
        <v>167</v>
      </c>
      <c r="BH616">
        <v>188</v>
      </c>
      <c r="BI616" t="s">
        <v>69</v>
      </c>
      <c r="BJ616" t="s">
        <v>13670</v>
      </c>
      <c r="BK616" t="str">
        <f>HYPERLINK("http://dx.doi.org/10.5783/RIRP-21-2021-09-167-188","http://dx.doi.org/10.5783/RIRP-21-2021-09-167-188")</f>
        <v>http://dx.doi.org/10.5783/RIRP-21-2021-09-167-188</v>
      </c>
      <c r="BL616" t="s">
        <v>69</v>
      </c>
      <c r="BM616" t="s">
        <v>69</v>
      </c>
      <c r="BN616">
        <v>22</v>
      </c>
      <c r="BO616" t="s">
        <v>8443</v>
      </c>
      <c r="BP616" t="s">
        <v>8573</v>
      </c>
      <c r="BQ616" t="s">
        <v>8443</v>
      </c>
      <c r="BR616" t="s">
        <v>13671</v>
      </c>
      <c r="BS616" t="s">
        <v>13672</v>
      </c>
      <c r="BT616" t="s">
        <v>69</v>
      </c>
      <c r="BU616" t="s">
        <v>8931</v>
      </c>
      <c r="BV616" t="s">
        <v>69</v>
      </c>
      <c r="BW616" t="s">
        <v>69</v>
      </c>
      <c r="BX616" t="s">
        <v>8526</v>
      </c>
      <c r="BY616" t="str">
        <f>HYPERLINK("https%3A%2F%2Fwww.webofscience.com%2Fwos%2Fwoscc%2Ffull-record%2FWOS:000667243700009","View Full Record in Web of Science")</f>
        <v>View Full Record in Web of Science</v>
      </c>
    </row>
    <row r="617" spans="1:77" ht="12.5" x14ac:dyDescent="0.25">
      <c r="A617" t="s">
        <v>8495</v>
      </c>
      <c r="B617" s="7" t="s">
        <v>32933</v>
      </c>
      <c r="C617" s="7"/>
      <c r="D617" s="7"/>
      <c r="E617" s="7"/>
      <c r="F617" t="s">
        <v>67</v>
      </c>
      <c r="G617" t="s">
        <v>1020</v>
      </c>
      <c r="H617" t="s">
        <v>69</v>
      </c>
      <c r="I617" t="s">
        <v>69</v>
      </c>
      <c r="J617" t="s">
        <v>69</v>
      </c>
      <c r="K617" t="s">
        <v>1021</v>
      </c>
      <c r="L617" t="s">
        <v>69</v>
      </c>
      <c r="M617" t="s">
        <v>69</v>
      </c>
      <c r="N617" t="s">
        <v>6973</v>
      </c>
      <c r="O617" t="s">
        <v>436</v>
      </c>
      <c r="P617" t="s">
        <v>69</v>
      </c>
      <c r="Q617" t="s">
        <v>69</v>
      </c>
      <c r="R617" t="s">
        <v>8505</v>
      </c>
      <c r="S617" t="s">
        <v>8506</v>
      </c>
      <c r="T617" t="s">
        <v>69</v>
      </c>
      <c r="U617" t="s">
        <v>69</v>
      </c>
      <c r="V617" t="s">
        <v>69</v>
      </c>
      <c r="W617" t="s">
        <v>69</v>
      </c>
      <c r="X617" t="s">
        <v>69</v>
      </c>
      <c r="Y617" t="s">
        <v>16496</v>
      </c>
      <c r="Z617" t="s">
        <v>16497</v>
      </c>
      <c r="AA617" t="s">
        <v>6974</v>
      </c>
      <c r="AB617" t="s">
        <v>16498</v>
      </c>
      <c r="AC617" t="s">
        <v>69</v>
      </c>
      <c r="AD617" t="s">
        <v>16499</v>
      </c>
      <c r="AE617" t="s">
        <v>16500</v>
      </c>
      <c r="AF617" t="s">
        <v>6975</v>
      </c>
      <c r="AG617" t="s">
        <v>1025</v>
      </c>
      <c r="AH617" t="s">
        <v>69</v>
      </c>
      <c r="AI617" t="s">
        <v>69</v>
      </c>
      <c r="AJ617" t="s">
        <v>69</v>
      </c>
      <c r="AK617" t="s">
        <v>69</v>
      </c>
      <c r="AL617">
        <v>61</v>
      </c>
      <c r="AM617">
        <v>28</v>
      </c>
      <c r="AN617">
        <v>29</v>
      </c>
      <c r="AO617">
        <v>3</v>
      </c>
      <c r="AP617">
        <v>78</v>
      </c>
      <c r="AQ617" t="s">
        <v>8636</v>
      </c>
      <c r="AR617" t="s">
        <v>8637</v>
      </c>
      <c r="AS617" t="s">
        <v>8638</v>
      </c>
      <c r="AT617" t="s">
        <v>440</v>
      </c>
      <c r="AU617" t="s">
        <v>441</v>
      </c>
      <c r="AV617" t="s">
        <v>69</v>
      </c>
      <c r="AW617" t="s">
        <v>8639</v>
      </c>
      <c r="AX617" t="s">
        <v>8640</v>
      </c>
      <c r="AY617" t="s">
        <v>6976</v>
      </c>
      <c r="AZ617">
        <v>2019</v>
      </c>
      <c r="BA617">
        <v>237</v>
      </c>
      <c r="BB617" t="s">
        <v>69</v>
      </c>
      <c r="BC617" t="s">
        <v>69</v>
      </c>
      <c r="BD617" t="s">
        <v>69</v>
      </c>
      <c r="BE617" t="s">
        <v>69</v>
      </c>
      <c r="BF617" t="s">
        <v>69</v>
      </c>
      <c r="BG617" t="s">
        <v>69</v>
      </c>
      <c r="BH617" t="s">
        <v>69</v>
      </c>
      <c r="BI617">
        <v>117734</v>
      </c>
      <c r="BJ617" t="s">
        <v>6977</v>
      </c>
      <c r="BK617" t="str">
        <f>HYPERLINK("http://dx.doi.org/10.1016/j.jclepro.2019.117734","http://dx.doi.org/10.1016/j.jclepro.2019.117734")</f>
        <v>http://dx.doi.org/10.1016/j.jclepro.2019.117734</v>
      </c>
      <c r="BL617" t="s">
        <v>69</v>
      </c>
      <c r="BM617" t="s">
        <v>69</v>
      </c>
      <c r="BN617">
        <v>10</v>
      </c>
      <c r="BO617" t="s">
        <v>8643</v>
      </c>
      <c r="BP617" t="s">
        <v>8523</v>
      </c>
      <c r="BQ617" t="s">
        <v>8644</v>
      </c>
      <c r="BR617" t="s">
        <v>16495</v>
      </c>
      <c r="BS617" t="s">
        <v>6978</v>
      </c>
      <c r="BT617" t="s">
        <v>69</v>
      </c>
      <c r="BU617" t="s">
        <v>10423</v>
      </c>
      <c r="BV617" t="s">
        <v>69</v>
      </c>
      <c r="BW617" t="s">
        <v>69</v>
      </c>
      <c r="BX617" t="s">
        <v>8526</v>
      </c>
      <c r="BY617" t="str">
        <f>HYPERLINK("https%3A%2F%2Fwww.webofscience.com%2Fwos%2Fwoscc%2Ffull-record%2FWOS:000483462700039","View Full Record in Web of Science")</f>
        <v>View Full Record in Web of Science</v>
      </c>
    </row>
    <row r="618" spans="1:77" ht="12.5" x14ac:dyDescent="0.25">
      <c r="A618" t="s">
        <v>8495</v>
      </c>
      <c r="B618" s="22" t="s">
        <v>32931</v>
      </c>
      <c r="C618" s="7"/>
      <c r="D618" s="7"/>
      <c r="E618" s="7"/>
      <c r="F618" t="s">
        <v>67</v>
      </c>
      <c r="G618" t="s">
        <v>30826</v>
      </c>
      <c r="H618" t="s">
        <v>69</v>
      </c>
      <c r="I618" t="s">
        <v>69</v>
      </c>
      <c r="J618" t="s">
        <v>69</v>
      </c>
      <c r="K618" t="s">
        <v>30827</v>
      </c>
      <c r="L618" t="s">
        <v>69</v>
      </c>
      <c r="M618" t="s">
        <v>69</v>
      </c>
      <c r="N618" t="s">
        <v>30828</v>
      </c>
      <c r="O618" t="s">
        <v>30829</v>
      </c>
      <c r="P618" t="s">
        <v>69</v>
      </c>
      <c r="Q618" t="s">
        <v>69</v>
      </c>
      <c r="R618" t="s">
        <v>8505</v>
      </c>
      <c r="S618" t="s">
        <v>8506</v>
      </c>
      <c r="T618" t="s">
        <v>69</v>
      </c>
      <c r="U618" t="s">
        <v>69</v>
      </c>
      <c r="V618" t="s">
        <v>69</v>
      </c>
      <c r="W618" t="s">
        <v>69</v>
      </c>
      <c r="X618" t="s">
        <v>69</v>
      </c>
      <c r="Y618" t="s">
        <v>69</v>
      </c>
      <c r="Z618" t="s">
        <v>69</v>
      </c>
      <c r="AA618" t="s">
        <v>69</v>
      </c>
      <c r="AB618" t="s">
        <v>30830</v>
      </c>
      <c r="AC618" t="s">
        <v>69</v>
      </c>
      <c r="AD618" t="s">
        <v>30831</v>
      </c>
      <c r="AE618" t="s">
        <v>30832</v>
      </c>
      <c r="AF618" t="s">
        <v>69</v>
      </c>
      <c r="AG618" t="s">
        <v>69</v>
      </c>
      <c r="AH618" t="s">
        <v>69</v>
      </c>
      <c r="AI618" t="s">
        <v>69</v>
      </c>
      <c r="AJ618" t="s">
        <v>69</v>
      </c>
      <c r="AK618" t="s">
        <v>69</v>
      </c>
      <c r="AL618">
        <v>0</v>
      </c>
      <c r="AM618">
        <v>0</v>
      </c>
      <c r="AN618">
        <v>0</v>
      </c>
      <c r="AO618">
        <v>0</v>
      </c>
      <c r="AP618">
        <v>0</v>
      </c>
      <c r="AQ618" t="s">
        <v>30833</v>
      </c>
      <c r="AR618" t="s">
        <v>30834</v>
      </c>
      <c r="AS618" t="s">
        <v>30835</v>
      </c>
      <c r="AT618" t="s">
        <v>30836</v>
      </c>
      <c r="AU618" t="s">
        <v>69</v>
      </c>
      <c r="AV618" t="s">
        <v>69</v>
      </c>
      <c r="AW618" t="s">
        <v>30829</v>
      </c>
      <c r="AX618" t="s">
        <v>30837</v>
      </c>
      <c r="AY618" t="s">
        <v>69</v>
      </c>
      <c r="AZ618">
        <v>2005</v>
      </c>
      <c r="BA618" t="s">
        <v>69</v>
      </c>
      <c r="BB618">
        <v>13</v>
      </c>
      <c r="BC618" t="s">
        <v>69</v>
      </c>
      <c r="BD618" t="s">
        <v>69</v>
      </c>
      <c r="BE618" t="s">
        <v>69</v>
      </c>
      <c r="BF618" t="s">
        <v>69</v>
      </c>
      <c r="BG618" t="s">
        <v>69</v>
      </c>
      <c r="BH618" t="s">
        <v>69</v>
      </c>
      <c r="BI618" t="s">
        <v>69</v>
      </c>
      <c r="BJ618" t="s">
        <v>69</v>
      </c>
      <c r="BK618" t="s">
        <v>69</v>
      </c>
      <c r="BL618" t="s">
        <v>69</v>
      </c>
      <c r="BM618" t="s">
        <v>69</v>
      </c>
      <c r="BN618">
        <v>37</v>
      </c>
      <c r="BO618" t="s">
        <v>9096</v>
      </c>
      <c r="BP618" t="s">
        <v>8573</v>
      </c>
      <c r="BQ618" t="s">
        <v>9096</v>
      </c>
      <c r="BR618" t="s">
        <v>30838</v>
      </c>
      <c r="BS618" t="s">
        <v>30839</v>
      </c>
      <c r="BT618" t="s">
        <v>69</v>
      </c>
      <c r="BU618" t="s">
        <v>69</v>
      </c>
      <c r="BV618" t="s">
        <v>69</v>
      </c>
      <c r="BW618" t="s">
        <v>69</v>
      </c>
      <c r="BX618" t="s">
        <v>8526</v>
      </c>
      <c r="BY618" t="str">
        <f>HYPERLINK("https%3A%2F%2Fwww.webofscience.com%2Fwos%2Fwoscc%2Ffull-record%2FWOS:000422312000001","View Full Record in Web of Science")</f>
        <v>View Full Record in Web of Science</v>
      </c>
    </row>
    <row r="619" spans="1:77" ht="12.5" x14ac:dyDescent="0.25">
      <c r="A619" t="s">
        <v>8495</v>
      </c>
      <c r="B619" s="7" t="s">
        <v>32933</v>
      </c>
      <c r="C619" s="7"/>
      <c r="D619" s="7"/>
      <c r="E619" s="7"/>
      <c r="F619" t="s">
        <v>67</v>
      </c>
      <c r="G619" t="s">
        <v>2994</v>
      </c>
      <c r="H619" t="s">
        <v>69</v>
      </c>
      <c r="I619" t="s">
        <v>69</v>
      </c>
      <c r="J619" t="s">
        <v>69</v>
      </c>
      <c r="K619" t="s">
        <v>2995</v>
      </c>
      <c r="L619" t="s">
        <v>69</v>
      </c>
      <c r="M619" t="s">
        <v>69</v>
      </c>
      <c r="N619" t="s">
        <v>2996</v>
      </c>
      <c r="O619" t="s">
        <v>1467</v>
      </c>
      <c r="P619" t="s">
        <v>69</v>
      </c>
      <c r="Q619" t="s">
        <v>69</v>
      </c>
      <c r="R619" t="s">
        <v>8505</v>
      </c>
      <c r="S619" t="s">
        <v>8506</v>
      </c>
      <c r="T619" t="s">
        <v>69</v>
      </c>
      <c r="U619" t="s">
        <v>69</v>
      </c>
      <c r="V619" t="s">
        <v>69</v>
      </c>
      <c r="W619" t="s">
        <v>69</v>
      </c>
      <c r="X619" t="s">
        <v>69</v>
      </c>
      <c r="Y619" t="s">
        <v>22435</v>
      </c>
      <c r="Z619" t="s">
        <v>22436</v>
      </c>
      <c r="AA619" t="s">
        <v>2997</v>
      </c>
      <c r="AB619" t="s">
        <v>22437</v>
      </c>
      <c r="AC619" t="s">
        <v>69</v>
      </c>
      <c r="AD619" t="s">
        <v>22438</v>
      </c>
      <c r="AE619" t="s">
        <v>22439</v>
      </c>
      <c r="AF619" t="s">
        <v>69</v>
      </c>
      <c r="AG619" t="s">
        <v>69</v>
      </c>
      <c r="AH619" t="s">
        <v>22440</v>
      </c>
      <c r="AI619" t="s">
        <v>22441</v>
      </c>
      <c r="AJ619" t="s">
        <v>22442</v>
      </c>
      <c r="AK619" t="s">
        <v>69</v>
      </c>
      <c r="AL619">
        <v>42</v>
      </c>
      <c r="AM619">
        <v>5</v>
      </c>
      <c r="AN619">
        <v>5</v>
      </c>
      <c r="AO619">
        <v>0</v>
      </c>
      <c r="AP619">
        <v>16</v>
      </c>
      <c r="AQ619" t="s">
        <v>8762</v>
      </c>
      <c r="AR619" t="s">
        <v>8763</v>
      </c>
      <c r="AS619" t="s">
        <v>8764</v>
      </c>
      <c r="AT619" t="s">
        <v>1469</v>
      </c>
      <c r="AU619" t="s">
        <v>1470</v>
      </c>
      <c r="AV619" t="s">
        <v>69</v>
      </c>
      <c r="AW619" t="s">
        <v>22443</v>
      </c>
      <c r="AX619" t="s">
        <v>22444</v>
      </c>
      <c r="AY619" t="s">
        <v>381</v>
      </c>
      <c r="AZ619">
        <v>2015</v>
      </c>
      <c r="BA619">
        <v>33</v>
      </c>
      <c r="BB619">
        <v>5</v>
      </c>
      <c r="BC619" t="s">
        <v>69</v>
      </c>
      <c r="BD619" t="s">
        <v>69</v>
      </c>
      <c r="BE619" t="s">
        <v>114</v>
      </c>
      <c r="BF619" t="s">
        <v>69</v>
      </c>
      <c r="BG619">
        <v>919</v>
      </c>
      <c r="BH619">
        <v>934</v>
      </c>
      <c r="BI619" t="s">
        <v>69</v>
      </c>
      <c r="BJ619" t="s">
        <v>2998</v>
      </c>
      <c r="BK619" t="str">
        <f>HYPERLINK("http://dx.doi.org/10.1177/0263774X15605898","http://dx.doi.org/10.1177/0263774X15605898")</f>
        <v>http://dx.doi.org/10.1177/0263774X15605898</v>
      </c>
      <c r="BL619" t="s">
        <v>69</v>
      </c>
      <c r="BM619" t="s">
        <v>69</v>
      </c>
      <c r="BN619">
        <v>16</v>
      </c>
      <c r="BO619" t="s">
        <v>22445</v>
      </c>
      <c r="BP619" t="s">
        <v>8661</v>
      </c>
      <c r="BQ619" t="s">
        <v>15243</v>
      </c>
      <c r="BR619" t="s">
        <v>22446</v>
      </c>
      <c r="BS619" t="s">
        <v>2999</v>
      </c>
      <c r="BT619" t="s">
        <v>69</v>
      </c>
      <c r="BU619" t="s">
        <v>10065</v>
      </c>
      <c r="BV619" t="s">
        <v>69</v>
      </c>
      <c r="BW619" t="s">
        <v>69</v>
      </c>
      <c r="BX619" t="s">
        <v>8526</v>
      </c>
      <c r="BY619" t="str">
        <f>HYPERLINK("https%3A%2F%2Fwww.webofscience.com%2Fwos%2Fwoscc%2Ffull-record%2FWOS:000364537900003","View Full Record in Web of Science")</f>
        <v>View Full Record in Web of Science</v>
      </c>
    </row>
    <row r="620" spans="1:77" ht="12.5" x14ac:dyDescent="0.25">
      <c r="A620" t="s">
        <v>8495</v>
      </c>
      <c r="B620" s="22" t="s">
        <v>32931</v>
      </c>
      <c r="C620" s="7"/>
      <c r="D620" s="7"/>
      <c r="E620" s="7"/>
      <c r="F620" t="s">
        <v>67</v>
      </c>
      <c r="G620" t="s">
        <v>13407</v>
      </c>
      <c r="H620" t="s">
        <v>69</v>
      </c>
      <c r="I620" t="s">
        <v>69</v>
      </c>
      <c r="J620" t="s">
        <v>69</v>
      </c>
      <c r="K620" t="s">
        <v>13408</v>
      </c>
      <c r="L620" t="s">
        <v>69</v>
      </c>
      <c r="M620" t="s">
        <v>69</v>
      </c>
      <c r="N620" t="s">
        <v>13409</v>
      </c>
      <c r="O620" t="s">
        <v>1959</v>
      </c>
      <c r="P620" t="s">
        <v>69</v>
      </c>
      <c r="Q620" t="s">
        <v>69</v>
      </c>
      <c r="R620" t="s">
        <v>8505</v>
      </c>
      <c r="S620" t="s">
        <v>8506</v>
      </c>
      <c r="T620" t="s">
        <v>69</v>
      </c>
      <c r="U620" t="s">
        <v>69</v>
      </c>
      <c r="V620" t="s">
        <v>69</v>
      </c>
      <c r="W620" t="s">
        <v>69</v>
      </c>
      <c r="X620" t="s">
        <v>69</v>
      </c>
      <c r="Y620" t="s">
        <v>13410</v>
      </c>
      <c r="Z620" t="s">
        <v>13411</v>
      </c>
      <c r="AA620" t="s">
        <v>13412</v>
      </c>
      <c r="AB620" t="s">
        <v>13413</v>
      </c>
      <c r="AC620" t="s">
        <v>69</v>
      </c>
      <c r="AD620" t="s">
        <v>13414</v>
      </c>
      <c r="AE620" t="s">
        <v>13415</v>
      </c>
      <c r="AF620" t="s">
        <v>69</v>
      </c>
      <c r="AG620" t="s">
        <v>13416</v>
      </c>
      <c r="AH620" t="s">
        <v>69</v>
      </c>
      <c r="AI620" t="s">
        <v>69</v>
      </c>
      <c r="AJ620" t="s">
        <v>69</v>
      </c>
      <c r="AK620" t="s">
        <v>69</v>
      </c>
      <c r="AL620">
        <v>109</v>
      </c>
      <c r="AM620">
        <v>0</v>
      </c>
      <c r="AN620">
        <v>0</v>
      </c>
      <c r="AO620">
        <v>4</v>
      </c>
      <c r="AP620">
        <v>6</v>
      </c>
      <c r="AQ620" t="s">
        <v>8636</v>
      </c>
      <c r="AR620" t="s">
        <v>8637</v>
      </c>
      <c r="AS620" t="s">
        <v>8638</v>
      </c>
      <c r="AT620" t="s">
        <v>69</v>
      </c>
      <c r="AU620" t="s">
        <v>1962</v>
      </c>
      <c r="AV620" t="s">
        <v>69</v>
      </c>
      <c r="AW620" t="s">
        <v>1959</v>
      </c>
      <c r="AX620" t="s">
        <v>13417</v>
      </c>
      <c r="AY620" t="s">
        <v>373</v>
      </c>
      <c r="AZ620">
        <v>2021</v>
      </c>
      <c r="BA620">
        <v>7</v>
      </c>
      <c r="BB620">
        <v>1</v>
      </c>
      <c r="BC620" t="s">
        <v>69</v>
      </c>
      <c r="BD620" t="s">
        <v>69</v>
      </c>
      <c r="BE620" t="s">
        <v>69</v>
      </c>
      <c r="BF620" t="s">
        <v>69</v>
      </c>
      <c r="BG620" t="s">
        <v>69</v>
      </c>
      <c r="BH620" t="s">
        <v>69</v>
      </c>
      <c r="BI620" t="s">
        <v>13418</v>
      </c>
      <c r="BJ620" t="s">
        <v>13419</v>
      </c>
      <c r="BK620" t="str">
        <f>HYPERLINK("http://dx.doi.org/10.1016/j.heliyon.2021.e05928","http://dx.doi.org/10.1016/j.heliyon.2021.e05928")</f>
        <v>http://dx.doi.org/10.1016/j.heliyon.2021.e05928</v>
      </c>
      <c r="BL620" t="s">
        <v>69</v>
      </c>
      <c r="BM620" t="s">
        <v>300</v>
      </c>
      <c r="BN620">
        <v>17</v>
      </c>
      <c r="BO620" t="s">
        <v>8619</v>
      </c>
      <c r="BP620" t="s">
        <v>8548</v>
      </c>
      <c r="BQ620" t="s">
        <v>8620</v>
      </c>
      <c r="BR620" t="s">
        <v>13420</v>
      </c>
      <c r="BS620" t="s">
        <v>13421</v>
      </c>
      <c r="BT620">
        <v>33521351</v>
      </c>
      <c r="BU620" t="s">
        <v>8812</v>
      </c>
      <c r="BV620" t="s">
        <v>69</v>
      </c>
      <c r="BW620" t="s">
        <v>69</v>
      </c>
      <c r="BX620" t="s">
        <v>8526</v>
      </c>
      <c r="BY620" t="str">
        <f>HYPERLINK("https%3A%2F%2Fwww.webofscience.com%2Fwos%2Fwoscc%2Ffull-record%2FWOS:000618043700024","View Full Record in Web of Science")</f>
        <v>View Full Record in Web of Science</v>
      </c>
    </row>
    <row r="621" spans="1:77" ht="12.5" x14ac:dyDescent="0.25">
      <c r="A621" t="s">
        <v>8495</v>
      </c>
      <c r="B621" s="22" t="s">
        <v>32931</v>
      </c>
      <c r="C621" s="7"/>
      <c r="D621" s="7"/>
      <c r="E621" s="7"/>
      <c r="F621" t="s">
        <v>67</v>
      </c>
      <c r="G621" t="s">
        <v>10581</v>
      </c>
      <c r="H621" t="s">
        <v>69</v>
      </c>
      <c r="I621" t="s">
        <v>69</v>
      </c>
      <c r="J621" t="s">
        <v>69</v>
      </c>
      <c r="K621" t="s">
        <v>10582</v>
      </c>
      <c r="L621" t="s">
        <v>69</v>
      </c>
      <c r="M621" t="s">
        <v>69</v>
      </c>
      <c r="N621" t="s">
        <v>10583</v>
      </c>
      <c r="O621" t="s">
        <v>2107</v>
      </c>
      <c r="P621" t="s">
        <v>69</v>
      </c>
      <c r="Q621" t="s">
        <v>69</v>
      </c>
      <c r="R621" t="s">
        <v>8505</v>
      </c>
      <c r="S621" t="s">
        <v>8506</v>
      </c>
      <c r="T621" t="s">
        <v>69</v>
      </c>
      <c r="U621" t="s">
        <v>69</v>
      </c>
      <c r="V621" t="s">
        <v>69</v>
      </c>
      <c r="W621" t="s">
        <v>69</v>
      </c>
      <c r="X621" t="s">
        <v>69</v>
      </c>
      <c r="Y621" t="s">
        <v>10584</v>
      </c>
      <c r="Z621" t="s">
        <v>10585</v>
      </c>
      <c r="AA621" t="s">
        <v>10586</v>
      </c>
      <c r="AB621" t="s">
        <v>10587</v>
      </c>
      <c r="AC621" t="s">
        <v>69</v>
      </c>
      <c r="AD621" t="s">
        <v>10588</v>
      </c>
      <c r="AE621" t="s">
        <v>10589</v>
      </c>
      <c r="AF621" t="s">
        <v>69</v>
      </c>
      <c r="AG621" t="s">
        <v>69</v>
      </c>
      <c r="AH621" t="s">
        <v>10590</v>
      </c>
      <c r="AI621" t="s">
        <v>9925</v>
      </c>
      <c r="AJ621" t="s">
        <v>10591</v>
      </c>
      <c r="AK621" t="s">
        <v>69</v>
      </c>
      <c r="AL621">
        <v>77</v>
      </c>
      <c r="AM621">
        <v>0</v>
      </c>
      <c r="AN621">
        <v>0</v>
      </c>
      <c r="AO621">
        <v>35</v>
      </c>
      <c r="AP621">
        <v>39</v>
      </c>
      <c r="AQ621" t="s">
        <v>8924</v>
      </c>
      <c r="AR621" t="s">
        <v>8925</v>
      </c>
      <c r="AS621" t="s">
        <v>8926</v>
      </c>
      <c r="AT621" t="s">
        <v>69</v>
      </c>
      <c r="AU621" t="s">
        <v>2110</v>
      </c>
      <c r="AV621" t="s">
        <v>69</v>
      </c>
      <c r="AW621" t="s">
        <v>10592</v>
      </c>
      <c r="AX621" t="s">
        <v>10593</v>
      </c>
      <c r="AY621" t="s">
        <v>75</v>
      </c>
      <c r="AZ621">
        <v>2021</v>
      </c>
      <c r="BA621">
        <v>18</v>
      </c>
      <c r="BB621">
        <v>24</v>
      </c>
      <c r="BC621" t="s">
        <v>69</v>
      </c>
      <c r="BD621" t="s">
        <v>69</v>
      </c>
      <c r="BE621" t="s">
        <v>69</v>
      </c>
      <c r="BF621" t="s">
        <v>69</v>
      </c>
      <c r="BG621" t="s">
        <v>69</v>
      </c>
      <c r="BH621" t="s">
        <v>69</v>
      </c>
      <c r="BI621">
        <v>12880</v>
      </c>
      <c r="BJ621" t="s">
        <v>10594</v>
      </c>
      <c r="BK621" t="str">
        <f>HYPERLINK("http://dx.doi.org/10.3390/ijerph182412880","http://dx.doi.org/10.3390/ijerph182412880")</f>
        <v>http://dx.doi.org/10.3390/ijerph182412880</v>
      </c>
      <c r="BL621" t="s">
        <v>69</v>
      </c>
      <c r="BM621" t="s">
        <v>69</v>
      </c>
      <c r="BN621">
        <v>20</v>
      </c>
      <c r="BO621" t="s">
        <v>10595</v>
      </c>
      <c r="BP621" t="s">
        <v>8523</v>
      </c>
      <c r="BQ621" t="s">
        <v>10596</v>
      </c>
      <c r="BR621" t="s">
        <v>10597</v>
      </c>
      <c r="BS621" t="s">
        <v>10598</v>
      </c>
      <c r="BT621">
        <v>34948490</v>
      </c>
      <c r="BU621" t="s">
        <v>8812</v>
      </c>
      <c r="BV621" t="s">
        <v>69</v>
      </c>
      <c r="BW621" t="s">
        <v>69</v>
      </c>
      <c r="BX621" t="s">
        <v>8526</v>
      </c>
      <c r="BY621" t="str">
        <f>HYPERLINK("https%3A%2F%2Fwww.webofscience.com%2Fwos%2Fwoscc%2Ffull-record%2FWOS:000738089800001","View Full Record in Web of Science")</f>
        <v>View Full Record in Web of Science</v>
      </c>
    </row>
    <row r="622" spans="1:77" ht="12.5" x14ac:dyDescent="0.25">
      <c r="A622" t="s">
        <v>8495</v>
      </c>
      <c r="B622" s="7" t="s">
        <v>32933</v>
      </c>
      <c r="C622" s="7"/>
      <c r="D622" s="7"/>
      <c r="E622" s="7"/>
      <c r="F622" t="s">
        <v>67</v>
      </c>
      <c r="G622" t="s">
        <v>5575</v>
      </c>
      <c r="H622" t="s">
        <v>69</v>
      </c>
      <c r="I622" t="s">
        <v>69</v>
      </c>
      <c r="J622" t="s">
        <v>69</v>
      </c>
      <c r="K622" t="s">
        <v>5576</v>
      </c>
      <c r="L622" t="s">
        <v>69</v>
      </c>
      <c r="M622" t="s">
        <v>69</v>
      </c>
      <c r="N622" t="s">
        <v>5577</v>
      </c>
      <c r="O622" t="s">
        <v>5162</v>
      </c>
      <c r="P622" t="s">
        <v>69</v>
      </c>
      <c r="Q622" t="s">
        <v>69</v>
      </c>
      <c r="R622" t="s">
        <v>8505</v>
      </c>
      <c r="S622" t="s">
        <v>8506</v>
      </c>
      <c r="T622" t="s">
        <v>69</v>
      </c>
      <c r="U622" t="s">
        <v>69</v>
      </c>
      <c r="V622" t="s">
        <v>69</v>
      </c>
      <c r="W622" t="s">
        <v>69</v>
      </c>
      <c r="X622" t="s">
        <v>69</v>
      </c>
      <c r="Y622" t="s">
        <v>69</v>
      </c>
      <c r="Z622" t="s">
        <v>18216</v>
      </c>
      <c r="AA622" t="s">
        <v>5578</v>
      </c>
      <c r="AB622" t="s">
        <v>18217</v>
      </c>
      <c r="AC622" t="s">
        <v>69</v>
      </c>
      <c r="AD622" t="s">
        <v>18218</v>
      </c>
      <c r="AE622" t="s">
        <v>18219</v>
      </c>
      <c r="AF622" t="s">
        <v>69</v>
      </c>
      <c r="AG622" t="s">
        <v>69</v>
      </c>
      <c r="AH622" t="s">
        <v>69</v>
      </c>
      <c r="AI622" t="s">
        <v>69</v>
      </c>
      <c r="AJ622" t="s">
        <v>69</v>
      </c>
      <c r="AK622" t="s">
        <v>69</v>
      </c>
      <c r="AL622">
        <v>49</v>
      </c>
      <c r="AM622">
        <v>12</v>
      </c>
      <c r="AN622">
        <v>12</v>
      </c>
      <c r="AO622">
        <v>1</v>
      </c>
      <c r="AP622">
        <v>8</v>
      </c>
      <c r="AQ622" t="s">
        <v>8636</v>
      </c>
      <c r="AR622" t="s">
        <v>8637</v>
      </c>
      <c r="AS622" t="s">
        <v>8638</v>
      </c>
      <c r="AT622" t="s">
        <v>5164</v>
      </c>
      <c r="AU622" t="s">
        <v>5165</v>
      </c>
      <c r="AV622" t="s">
        <v>69</v>
      </c>
      <c r="AW622" t="s">
        <v>11987</v>
      </c>
      <c r="AX622" t="s">
        <v>11988</v>
      </c>
      <c r="AY622" t="s">
        <v>274</v>
      </c>
      <c r="AZ622">
        <v>2018</v>
      </c>
      <c r="BA622">
        <v>97</v>
      </c>
      <c r="BB622" t="s">
        <v>69</v>
      </c>
      <c r="BC622" t="s">
        <v>69</v>
      </c>
      <c r="BD622" t="s">
        <v>69</v>
      </c>
      <c r="BE622" t="s">
        <v>69</v>
      </c>
      <c r="BF622" t="s">
        <v>69</v>
      </c>
      <c r="BG622">
        <v>109</v>
      </c>
      <c r="BH622">
        <v>118</v>
      </c>
      <c r="BI622" t="s">
        <v>69</v>
      </c>
      <c r="BJ622" t="s">
        <v>5579</v>
      </c>
      <c r="BK622" t="str">
        <f>HYPERLINK("http://dx.doi.org/10.1016/j.marpol.2018.08.020","http://dx.doi.org/10.1016/j.marpol.2018.08.020")</f>
        <v>http://dx.doi.org/10.1016/j.marpol.2018.08.020</v>
      </c>
      <c r="BL622" t="s">
        <v>69</v>
      </c>
      <c r="BM622" t="s">
        <v>69</v>
      </c>
      <c r="BN622">
        <v>10</v>
      </c>
      <c r="BO622" t="s">
        <v>11990</v>
      </c>
      <c r="BP622" t="s">
        <v>8661</v>
      </c>
      <c r="BQ622" t="s">
        <v>11991</v>
      </c>
      <c r="BR622" t="s">
        <v>18220</v>
      </c>
      <c r="BS622" t="s">
        <v>5580</v>
      </c>
      <c r="BT622" t="s">
        <v>69</v>
      </c>
      <c r="BU622" t="s">
        <v>69</v>
      </c>
      <c r="BV622" t="s">
        <v>69</v>
      </c>
      <c r="BW622" t="s">
        <v>69</v>
      </c>
      <c r="BX622" t="s">
        <v>8526</v>
      </c>
      <c r="BY622" t="str">
        <f>HYPERLINK("https%3A%2F%2Fwww.webofscience.com%2Fwos%2Fwoscc%2Ffull-record%2FWOS:000448099300013","View Full Record in Web of Science")</f>
        <v>View Full Record in Web of Science</v>
      </c>
    </row>
    <row r="623" spans="1:77" ht="12.5" x14ac:dyDescent="0.25">
      <c r="A623" t="s">
        <v>8495</v>
      </c>
      <c r="B623" s="7" t="s">
        <v>32933</v>
      </c>
      <c r="C623" s="7"/>
      <c r="D623" s="7"/>
      <c r="E623" s="7"/>
      <c r="F623" t="s">
        <v>67</v>
      </c>
      <c r="G623" t="s">
        <v>203</v>
      </c>
      <c r="H623" t="s">
        <v>69</v>
      </c>
      <c r="I623" t="s">
        <v>69</v>
      </c>
      <c r="J623" t="s">
        <v>69</v>
      </c>
      <c r="K623" t="s">
        <v>204</v>
      </c>
      <c r="L623" t="s">
        <v>69</v>
      </c>
      <c r="M623" t="s">
        <v>69</v>
      </c>
      <c r="N623" t="s">
        <v>205</v>
      </c>
      <c r="O623" t="s">
        <v>206</v>
      </c>
      <c r="P623" t="s">
        <v>69</v>
      </c>
      <c r="Q623" t="s">
        <v>69</v>
      </c>
      <c r="R623" t="s">
        <v>8505</v>
      </c>
      <c r="S623" t="s">
        <v>8506</v>
      </c>
      <c r="T623" t="s">
        <v>69</v>
      </c>
      <c r="U623" t="s">
        <v>69</v>
      </c>
      <c r="V623" t="s">
        <v>69</v>
      </c>
      <c r="W623" t="s">
        <v>69</v>
      </c>
      <c r="X623" t="s">
        <v>69</v>
      </c>
      <c r="Y623" t="s">
        <v>14601</v>
      </c>
      <c r="Z623" t="s">
        <v>14602</v>
      </c>
      <c r="AA623" t="s">
        <v>207</v>
      </c>
      <c r="AB623" t="s">
        <v>14603</v>
      </c>
      <c r="AC623" t="s">
        <v>69</v>
      </c>
      <c r="AD623" t="s">
        <v>14604</v>
      </c>
      <c r="AE623" t="s">
        <v>14605</v>
      </c>
      <c r="AF623" t="s">
        <v>69</v>
      </c>
      <c r="AG623" t="s">
        <v>14606</v>
      </c>
      <c r="AH623" t="s">
        <v>14607</v>
      </c>
      <c r="AI623" t="s">
        <v>14607</v>
      </c>
      <c r="AJ623" t="s">
        <v>14608</v>
      </c>
      <c r="AK623" t="s">
        <v>69</v>
      </c>
      <c r="AL623">
        <v>15</v>
      </c>
      <c r="AM623">
        <v>2</v>
      </c>
      <c r="AN623">
        <v>2</v>
      </c>
      <c r="AO623">
        <v>1</v>
      </c>
      <c r="AP623">
        <v>2</v>
      </c>
      <c r="AQ623" t="s">
        <v>9203</v>
      </c>
      <c r="AR623" t="s">
        <v>8763</v>
      </c>
      <c r="AS623" t="s">
        <v>9204</v>
      </c>
      <c r="AT623" t="s">
        <v>69</v>
      </c>
      <c r="AU623" t="s">
        <v>208</v>
      </c>
      <c r="AV623" t="s">
        <v>69</v>
      </c>
      <c r="AW623" t="s">
        <v>206</v>
      </c>
      <c r="AX623" t="s">
        <v>10704</v>
      </c>
      <c r="AY623" t="s">
        <v>209</v>
      </c>
      <c r="AZ623">
        <v>2020</v>
      </c>
      <c r="BA623">
        <v>20</v>
      </c>
      <c r="BB623" t="s">
        <v>69</v>
      </c>
      <c r="BC623" t="s">
        <v>69</v>
      </c>
      <c r="BD623">
        <v>2</v>
      </c>
      <c r="BE623" t="s">
        <v>114</v>
      </c>
      <c r="BF623" t="s">
        <v>69</v>
      </c>
      <c r="BG623" t="s">
        <v>69</v>
      </c>
      <c r="BH623" t="s">
        <v>69</v>
      </c>
      <c r="BI623">
        <v>1058</v>
      </c>
      <c r="BJ623" t="s">
        <v>210</v>
      </c>
      <c r="BK623" t="str">
        <f>HYPERLINK("http://dx.doi.org/10.1186/s12889-020-08591-y","http://dx.doi.org/10.1186/s12889-020-08591-y")</f>
        <v>http://dx.doi.org/10.1186/s12889-020-08591-y</v>
      </c>
      <c r="BL623" t="s">
        <v>69</v>
      </c>
      <c r="BM623" t="s">
        <v>69</v>
      </c>
      <c r="BN623">
        <v>10</v>
      </c>
      <c r="BO623" t="s">
        <v>8810</v>
      </c>
      <c r="BP623" t="s">
        <v>8523</v>
      </c>
      <c r="BQ623" t="s">
        <v>8810</v>
      </c>
      <c r="BR623" t="s">
        <v>14609</v>
      </c>
      <c r="BS623" t="s">
        <v>211</v>
      </c>
      <c r="BT623">
        <v>32787895</v>
      </c>
      <c r="BU623" t="s">
        <v>8812</v>
      </c>
      <c r="BV623" t="s">
        <v>69</v>
      </c>
      <c r="BW623" t="s">
        <v>69</v>
      </c>
      <c r="BX623" t="s">
        <v>8526</v>
      </c>
      <c r="BY623" t="str">
        <f>HYPERLINK("https%3A%2F%2Fwww.webofscience.com%2Fwos%2Fwoscc%2Ffull-record%2FWOS:000562780600003","View Full Record in Web of Science")</f>
        <v>View Full Record in Web of Science</v>
      </c>
    </row>
    <row r="624" spans="1:77" ht="12.5" x14ac:dyDescent="0.25">
      <c r="A624" t="s">
        <v>8495</v>
      </c>
      <c r="B624" s="7" t="s">
        <v>32933</v>
      </c>
      <c r="C624" s="7"/>
      <c r="D624" s="7"/>
      <c r="E624" s="7"/>
      <c r="F624" t="s">
        <v>67</v>
      </c>
      <c r="G624" t="s">
        <v>2203</v>
      </c>
      <c r="H624" t="s">
        <v>69</v>
      </c>
      <c r="I624" t="s">
        <v>69</v>
      </c>
      <c r="J624" t="s">
        <v>69</v>
      </c>
      <c r="K624" t="s">
        <v>2204</v>
      </c>
      <c r="L624" t="s">
        <v>69</v>
      </c>
      <c r="M624" t="s">
        <v>69</v>
      </c>
      <c r="N624" t="s">
        <v>2205</v>
      </c>
      <c r="O624" t="s">
        <v>2206</v>
      </c>
      <c r="P624" t="s">
        <v>69</v>
      </c>
      <c r="Q624" t="s">
        <v>69</v>
      </c>
      <c r="R624" t="s">
        <v>8505</v>
      </c>
      <c r="S624" t="s">
        <v>8506</v>
      </c>
      <c r="T624" t="s">
        <v>69</v>
      </c>
      <c r="U624" t="s">
        <v>69</v>
      </c>
      <c r="V624" t="s">
        <v>69</v>
      </c>
      <c r="W624" t="s">
        <v>69</v>
      </c>
      <c r="X624" t="s">
        <v>69</v>
      </c>
      <c r="Y624" t="s">
        <v>17087</v>
      </c>
      <c r="Z624" t="s">
        <v>17088</v>
      </c>
      <c r="AA624" t="s">
        <v>2207</v>
      </c>
      <c r="AB624" t="s">
        <v>17089</v>
      </c>
      <c r="AC624" t="s">
        <v>69</v>
      </c>
      <c r="AD624" t="s">
        <v>17090</v>
      </c>
      <c r="AE624" t="s">
        <v>17091</v>
      </c>
      <c r="AF624" t="s">
        <v>69</v>
      </c>
      <c r="AG624" t="s">
        <v>17092</v>
      </c>
      <c r="AH624" t="s">
        <v>69</v>
      </c>
      <c r="AI624" t="s">
        <v>69</v>
      </c>
      <c r="AJ624" t="s">
        <v>69</v>
      </c>
      <c r="AK624" t="s">
        <v>69</v>
      </c>
      <c r="AL624">
        <v>30</v>
      </c>
      <c r="AM624">
        <v>5</v>
      </c>
      <c r="AN624">
        <v>5</v>
      </c>
      <c r="AO624">
        <v>5</v>
      </c>
      <c r="AP624">
        <v>16</v>
      </c>
      <c r="AQ624" t="s">
        <v>9554</v>
      </c>
      <c r="AR624" t="s">
        <v>9555</v>
      </c>
      <c r="AS624" t="s">
        <v>9556</v>
      </c>
      <c r="AT624" t="s">
        <v>2208</v>
      </c>
      <c r="AU624" t="s">
        <v>2209</v>
      </c>
      <c r="AV624" t="s">
        <v>69</v>
      </c>
      <c r="AW624" t="s">
        <v>17093</v>
      </c>
      <c r="AX624" t="s">
        <v>17094</v>
      </c>
      <c r="AY624" t="s">
        <v>84</v>
      </c>
      <c r="AZ624">
        <v>2019</v>
      </c>
      <c r="BA624">
        <v>12</v>
      </c>
      <c r="BB624">
        <v>3</v>
      </c>
      <c r="BC624" t="s">
        <v>69</v>
      </c>
      <c r="BD624" t="s">
        <v>69</v>
      </c>
      <c r="BE624" t="s">
        <v>69</v>
      </c>
      <c r="BF624" t="s">
        <v>69</v>
      </c>
      <c r="BG624">
        <v>11</v>
      </c>
      <c r="BH624">
        <v>30</v>
      </c>
      <c r="BI624" t="s">
        <v>69</v>
      </c>
      <c r="BJ624" t="s">
        <v>2210</v>
      </c>
      <c r="BK624" t="str">
        <f>HYPERLINK("http://dx.doi.org/10.1177/1937586718812439","http://dx.doi.org/10.1177/1937586718812439")</f>
        <v>http://dx.doi.org/10.1177/1937586718812439</v>
      </c>
      <c r="BL624" t="s">
        <v>69</v>
      </c>
      <c r="BM624" t="s">
        <v>69</v>
      </c>
      <c r="BN624">
        <v>20</v>
      </c>
      <c r="BO624" t="s">
        <v>8810</v>
      </c>
      <c r="BP624" t="s">
        <v>8661</v>
      </c>
      <c r="BQ624" t="s">
        <v>8810</v>
      </c>
      <c r="BR624" t="s">
        <v>17095</v>
      </c>
      <c r="BS624" t="s">
        <v>2211</v>
      </c>
      <c r="BT624">
        <v>30509122</v>
      </c>
      <c r="BU624" t="s">
        <v>14589</v>
      </c>
      <c r="BV624" t="s">
        <v>69</v>
      </c>
      <c r="BW624" t="s">
        <v>69</v>
      </c>
      <c r="BX624" t="s">
        <v>8526</v>
      </c>
      <c r="BY624" t="str">
        <f>HYPERLINK("https%3A%2F%2Fwww.webofscience.com%2Fwos%2Fwoscc%2Ffull-record%2FWOS:000475784900002","View Full Record in Web of Science")</f>
        <v>View Full Record in Web of Science</v>
      </c>
    </row>
    <row r="625" spans="1:77" ht="12.5" x14ac:dyDescent="0.25">
      <c r="A625" t="s">
        <v>8495</v>
      </c>
      <c r="B625" s="7" t="s">
        <v>32933</v>
      </c>
      <c r="C625" s="7"/>
      <c r="D625" s="7"/>
      <c r="E625" s="7"/>
      <c r="F625" t="s">
        <v>67</v>
      </c>
      <c r="G625" t="s">
        <v>6322</v>
      </c>
      <c r="H625" t="s">
        <v>69</v>
      </c>
      <c r="I625" t="s">
        <v>69</v>
      </c>
      <c r="J625" t="s">
        <v>69</v>
      </c>
      <c r="K625" t="s">
        <v>6323</v>
      </c>
      <c r="L625" t="s">
        <v>69</v>
      </c>
      <c r="M625" t="s">
        <v>69</v>
      </c>
      <c r="N625" t="s">
        <v>6324</v>
      </c>
      <c r="O625" t="s">
        <v>6325</v>
      </c>
      <c r="P625" t="s">
        <v>69</v>
      </c>
      <c r="Q625" t="s">
        <v>69</v>
      </c>
      <c r="R625" t="s">
        <v>8505</v>
      </c>
      <c r="S625" t="s">
        <v>8506</v>
      </c>
      <c r="T625" t="s">
        <v>69</v>
      </c>
      <c r="U625" t="s">
        <v>69</v>
      </c>
      <c r="V625" t="s">
        <v>69</v>
      </c>
      <c r="W625" t="s">
        <v>69</v>
      </c>
      <c r="X625" t="s">
        <v>69</v>
      </c>
      <c r="Y625" t="s">
        <v>16977</v>
      </c>
      <c r="Z625" t="s">
        <v>16978</v>
      </c>
      <c r="AA625" t="s">
        <v>6326</v>
      </c>
      <c r="AB625" t="s">
        <v>16979</v>
      </c>
      <c r="AC625" t="s">
        <v>69</v>
      </c>
      <c r="AD625" t="s">
        <v>16980</v>
      </c>
      <c r="AE625" t="s">
        <v>16981</v>
      </c>
      <c r="AF625" t="s">
        <v>69</v>
      </c>
      <c r="AG625" t="s">
        <v>6327</v>
      </c>
      <c r="AH625" t="s">
        <v>69</v>
      </c>
      <c r="AI625" t="s">
        <v>69</v>
      </c>
      <c r="AJ625" t="s">
        <v>69</v>
      </c>
      <c r="AK625" t="s">
        <v>69</v>
      </c>
      <c r="AL625">
        <v>176</v>
      </c>
      <c r="AM625">
        <v>23</v>
      </c>
      <c r="AN625">
        <v>23</v>
      </c>
      <c r="AO625">
        <v>9</v>
      </c>
      <c r="AP625">
        <v>81</v>
      </c>
      <c r="AQ625" t="s">
        <v>9145</v>
      </c>
      <c r="AR625" t="s">
        <v>8637</v>
      </c>
      <c r="AS625" t="s">
        <v>9146</v>
      </c>
      <c r="AT625" t="s">
        <v>6328</v>
      </c>
      <c r="AU625" t="s">
        <v>69</v>
      </c>
      <c r="AV625" t="s">
        <v>69</v>
      </c>
      <c r="AW625" t="s">
        <v>11023</v>
      </c>
      <c r="AX625" t="s">
        <v>11024</v>
      </c>
      <c r="AY625" t="s">
        <v>201</v>
      </c>
      <c r="AZ625">
        <v>2019</v>
      </c>
      <c r="BA625">
        <v>73</v>
      </c>
      <c r="BB625" t="s">
        <v>69</v>
      </c>
      <c r="BC625" t="s">
        <v>69</v>
      </c>
      <c r="BD625" t="s">
        <v>69</v>
      </c>
      <c r="BE625" t="s">
        <v>69</v>
      </c>
      <c r="BF625" t="s">
        <v>69</v>
      </c>
      <c r="BG625">
        <v>162</v>
      </c>
      <c r="BH625">
        <v>186</v>
      </c>
      <c r="BI625" t="s">
        <v>69</v>
      </c>
      <c r="BJ625" t="s">
        <v>6329</v>
      </c>
      <c r="BK625" t="str">
        <f>HYPERLINK("http://dx.doi.org/10.1016/j.trd.2019.06.011","http://dx.doi.org/10.1016/j.trd.2019.06.011")</f>
        <v>http://dx.doi.org/10.1016/j.trd.2019.06.011</v>
      </c>
      <c r="BL625" t="s">
        <v>69</v>
      </c>
      <c r="BM625" t="s">
        <v>69</v>
      </c>
      <c r="BN625">
        <v>25</v>
      </c>
      <c r="BO625" t="s">
        <v>11026</v>
      </c>
      <c r="BP625" t="s">
        <v>8523</v>
      </c>
      <c r="BQ625" t="s">
        <v>11027</v>
      </c>
      <c r="BR625" t="s">
        <v>16982</v>
      </c>
      <c r="BS625" t="s">
        <v>6330</v>
      </c>
      <c r="BT625" t="s">
        <v>69</v>
      </c>
      <c r="BU625" t="s">
        <v>69</v>
      </c>
      <c r="BV625" t="s">
        <v>69</v>
      </c>
      <c r="BW625" t="s">
        <v>69</v>
      </c>
      <c r="BX625" t="s">
        <v>8526</v>
      </c>
      <c r="BY625" t="str">
        <f>HYPERLINK("https%3A%2F%2Fwww.webofscience.com%2Fwos%2Fwoscc%2Ffull-record%2FWOS:000483908200014","View Full Record in Web of Science")</f>
        <v>View Full Record in Web of Science</v>
      </c>
    </row>
    <row r="626" spans="1:77" ht="12.5" x14ac:dyDescent="0.25">
      <c r="A626" t="s">
        <v>8495</v>
      </c>
      <c r="B626" s="22" t="s">
        <v>32931</v>
      </c>
      <c r="C626" s="7"/>
      <c r="D626" s="7"/>
      <c r="E626" s="7"/>
      <c r="F626" t="s">
        <v>67</v>
      </c>
      <c r="G626" t="s">
        <v>13082</v>
      </c>
      <c r="H626" t="s">
        <v>69</v>
      </c>
      <c r="I626" t="s">
        <v>69</v>
      </c>
      <c r="J626" t="s">
        <v>69</v>
      </c>
      <c r="K626" t="s">
        <v>13083</v>
      </c>
      <c r="L626" t="s">
        <v>69</v>
      </c>
      <c r="M626" t="s">
        <v>69</v>
      </c>
      <c r="N626" t="s">
        <v>13084</v>
      </c>
      <c r="O626" t="s">
        <v>6529</v>
      </c>
      <c r="P626" t="s">
        <v>69</v>
      </c>
      <c r="Q626" t="s">
        <v>69</v>
      </c>
      <c r="R626" t="s">
        <v>8505</v>
      </c>
      <c r="S626" t="s">
        <v>10174</v>
      </c>
      <c r="T626" t="s">
        <v>69</v>
      </c>
      <c r="U626" t="s">
        <v>69</v>
      </c>
      <c r="V626" t="s">
        <v>69</v>
      </c>
      <c r="W626" t="s">
        <v>69</v>
      </c>
      <c r="X626" t="s">
        <v>69</v>
      </c>
      <c r="Y626" t="s">
        <v>69</v>
      </c>
      <c r="Z626" t="s">
        <v>13085</v>
      </c>
      <c r="AA626" t="s">
        <v>13086</v>
      </c>
      <c r="AB626" t="s">
        <v>13087</v>
      </c>
      <c r="AC626" t="s">
        <v>69</v>
      </c>
      <c r="AD626" t="s">
        <v>13088</v>
      </c>
      <c r="AE626" t="s">
        <v>13089</v>
      </c>
      <c r="AF626" t="s">
        <v>13090</v>
      </c>
      <c r="AG626" t="s">
        <v>13091</v>
      </c>
      <c r="AH626" t="s">
        <v>13092</v>
      </c>
      <c r="AI626" t="s">
        <v>13093</v>
      </c>
      <c r="AJ626" t="s">
        <v>13094</v>
      </c>
      <c r="AK626" t="s">
        <v>69</v>
      </c>
      <c r="AL626">
        <v>12</v>
      </c>
      <c r="AM626">
        <v>2</v>
      </c>
      <c r="AN626">
        <v>2</v>
      </c>
      <c r="AO626">
        <v>0</v>
      </c>
      <c r="AP626">
        <v>9</v>
      </c>
      <c r="AQ626" t="s">
        <v>13095</v>
      </c>
      <c r="AR626" t="s">
        <v>9979</v>
      </c>
      <c r="AS626" t="s">
        <v>13096</v>
      </c>
      <c r="AT626" t="s">
        <v>6531</v>
      </c>
      <c r="AU626" t="s">
        <v>69</v>
      </c>
      <c r="AV626" t="s">
        <v>69</v>
      </c>
      <c r="AW626" t="s">
        <v>6529</v>
      </c>
      <c r="AX626" t="s">
        <v>13097</v>
      </c>
      <c r="AY626" t="s">
        <v>8033</v>
      </c>
      <c r="AZ626">
        <v>2021</v>
      </c>
      <c r="BA626">
        <v>5</v>
      </c>
      <c r="BB626">
        <v>2</v>
      </c>
      <c r="BC626" t="s">
        <v>69</v>
      </c>
      <c r="BD626" t="s">
        <v>69</v>
      </c>
      <c r="BE626" t="s">
        <v>69</v>
      </c>
      <c r="BF626" t="s">
        <v>69</v>
      </c>
      <c r="BG626">
        <v>285</v>
      </c>
      <c r="BH626">
        <v>289</v>
      </c>
      <c r="BI626" t="s">
        <v>69</v>
      </c>
      <c r="BJ626" t="s">
        <v>13098</v>
      </c>
      <c r="BK626" t="str">
        <f>HYPERLINK("http://dx.doi.org/10.1016/j.joule.2020.12.019","http://dx.doi.org/10.1016/j.joule.2020.12.019")</f>
        <v>http://dx.doi.org/10.1016/j.joule.2020.12.019</v>
      </c>
      <c r="BL626" t="s">
        <v>69</v>
      </c>
      <c r="BM626" t="s">
        <v>69</v>
      </c>
      <c r="BN626">
        <v>5</v>
      </c>
      <c r="BO626" t="s">
        <v>13099</v>
      </c>
      <c r="BP626" t="s">
        <v>8548</v>
      </c>
      <c r="BQ626" t="s">
        <v>13100</v>
      </c>
      <c r="BR626" t="s">
        <v>13101</v>
      </c>
      <c r="BS626" t="s">
        <v>13102</v>
      </c>
      <c r="BT626" t="s">
        <v>69</v>
      </c>
      <c r="BU626" t="s">
        <v>10995</v>
      </c>
      <c r="BV626" t="s">
        <v>69</v>
      </c>
      <c r="BW626" t="s">
        <v>69</v>
      </c>
      <c r="BX626" t="s">
        <v>8526</v>
      </c>
      <c r="BY626" t="str">
        <f>HYPERLINK("https%3A%2F%2Fwww.webofscience.com%2Fwos%2Fwoscc%2Ffull-record%2FWOS:000629204800001","View Full Record in Web of Science")</f>
        <v>View Full Record in Web of Science</v>
      </c>
    </row>
    <row r="627" spans="1:77" ht="12.5" x14ac:dyDescent="0.25">
      <c r="A627" t="s">
        <v>8495</v>
      </c>
      <c r="B627" s="7" t="s">
        <v>32933</v>
      </c>
      <c r="C627" s="7"/>
      <c r="D627" s="7"/>
      <c r="E627" s="7"/>
      <c r="F627" t="s">
        <v>67</v>
      </c>
      <c r="G627" t="s">
        <v>5500</v>
      </c>
      <c r="H627" t="s">
        <v>69</v>
      </c>
      <c r="I627" t="s">
        <v>69</v>
      </c>
      <c r="J627" t="s">
        <v>69</v>
      </c>
      <c r="K627" t="s">
        <v>5501</v>
      </c>
      <c r="L627" t="s">
        <v>69</v>
      </c>
      <c r="M627" t="s">
        <v>69</v>
      </c>
      <c r="N627" t="s">
        <v>5502</v>
      </c>
      <c r="O627" t="s">
        <v>5503</v>
      </c>
      <c r="P627" t="s">
        <v>69</v>
      </c>
      <c r="Q627" t="s">
        <v>69</v>
      </c>
      <c r="R627" t="s">
        <v>8505</v>
      </c>
      <c r="S627" t="s">
        <v>8506</v>
      </c>
      <c r="T627" t="s">
        <v>69</v>
      </c>
      <c r="U627" t="s">
        <v>69</v>
      </c>
      <c r="V627" t="s">
        <v>69</v>
      </c>
      <c r="W627" t="s">
        <v>69</v>
      </c>
      <c r="X627" t="s">
        <v>69</v>
      </c>
      <c r="Y627" t="s">
        <v>29237</v>
      </c>
      <c r="Z627" t="s">
        <v>29238</v>
      </c>
      <c r="AA627" t="s">
        <v>5504</v>
      </c>
      <c r="AB627" t="s">
        <v>29239</v>
      </c>
      <c r="AC627" t="s">
        <v>69</v>
      </c>
      <c r="AD627" t="s">
        <v>29240</v>
      </c>
      <c r="AE627" t="s">
        <v>29241</v>
      </c>
      <c r="AF627" t="s">
        <v>69</v>
      </c>
      <c r="AG627" t="s">
        <v>69</v>
      </c>
      <c r="AH627" t="s">
        <v>69</v>
      </c>
      <c r="AI627" t="s">
        <v>69</v>
      </c>
      <c r="AJ627" t="s">
        <v>69</v>
      </c>
      <c r="AK627" t="s">
        <v>69</v>
      </c>
      <c r="AL627">
        <v>56</v>
      </c>
      <c r="AM627">
        <v>46</v>
      </c>
      <c r="AN627">
        <v>49</v>
      </c>
      <c r="AO627">
        <v>7</v>
      </c>
      <c r="AP627">
        <v>55</v>
      </c>
      <c r="AQ627" t="s">
        <v>29242</v>
      </c>
      <c r="AR627" t="s">
        <v>8637</v>
      </c>
      <c r="AS627" t="s">
        <v>29243</v>
      </c>
      <c r="AT627" t="s">
        <v>5505</v>
      </c>
      <c r="AU627" t="s">
        <v>69</v>
      </c>
      <c r="AV627" t="s">
        <v>69</v>
      </c>
      <c r="AW627" t="s">
        <v>23986</v>
      </c>
      <c r="AX627" t="s">
        <v>23987</v>
      </c>
      <c r="AY627" t="s">
        <v>155</v>
      </c>
      <c r="AZ627">
        <v>2008</v>
      </c>
      <c r="BA627">
        <v>22</v>
      </c>
      <c r="BB627">
        <v>3</v>
      </c>
      <c r="BC627" t="s">
        <v>69</v>
      </c>
      <c r="BD627" t="s">
        <v>69</v>
      </c>
      <c r="BE627" t="s">
        <v>69</v>
      </c>
      <c r="BF627" t="s">
        <v>69</v>
      </c>
      <c r="BG627">
        <v>636</v>
      </c>
      <c r="BH627">
        <v>646</v>
      </c>
      <c r="BI627" t="s">
        <v>69</v>
      </c>
      <c r="BJ627" t="s">
        <v>5506</v>
      </c>
      <c r="BK627" t="str">
        <f>HYPERLINK("http://dx.doi.org/10.1111/j.1523-1739.2008.00963.x","http://dx.doi.org/10.1111/j.1523-1739.2008.00963.x")</f>
        <v>http://dx.doi.org/10.1111/j.1523-1739.2008.00963.x</v>
      </c>
      <c r="BL627" t="s">
        <v>69</v>
      </c>
      <c r="BM627" t="s">
        <v>69</v>
      </c>
      <c r="BN627">
        <v>11</v>
      </c>
      <c r="BO627" t="s">
        <v>16747</v>
      </c>
      <c r="BP627" t="s">
        <v>8523</v>
      </c>
      <c r="BQ627" t="s">
        <v>15452</v>
      </c>
      <c r="BR627" t="s">
        <v>29244</v>
      </c>
      <c r="BS627" t="s">
        <v>5507</v>
      </c>
      <c r="BT627">
        <v>18577091</v>
      </c>
      <c r="BU627" t="s">
        <v>69</v>
      </c>
      <c r="BV627" t="s">
        <v>69</v>
      </c>
      <c r="BW627" t="s">
        <v>69</v>
      </c>
      <c r="BX627" t="s">
        <v>8526</v>
      </c>
      <c r="BY627" t="str">
        <f>HYPERLINK("https%3A%2F%2Fwww.webofscience.com%2Fwos%2Fwoscc%2Ffull-record%2FWOS:000256612800020","View Full Record in Web of Science")</f>
        <v>View Full Record in Web of Science</v>
      </c>
    </row>
    <row r="628" spans="1:77" ht="12.5" x14ac:dyDescent="0.25">
      <c r="A628" t="s">
        <v>8495</v>
      </c>
      <c r="B628" s="7" t="s">
        <v>32933</v>
      </c>
      <c r="C628" s="7"/>
      <c r="D628" s="7"/>
      <c r="E628" s="7"/>
      <c r="F628" t="s">
        <v>67</v>
      </c>
      <c r="G628" t="s">
        <v>6076</v>
      </c>
      <c r="H628" t="s">
        <v>69</v>
      </c>
      <c r="I628" t="s">
        <v>69</v>
      </c>
      <c r="J628" t="s">
        <v>69</v>
      </c>
      <c r="K628" t="s">
        <v>6077</v>
      </c>
      <c r="L628" t="s">
        <v>69</v>
      </c>
      <c r="M628" t="s">
        <v>69</v>
      </c>
      <c r="N628" t="s">
        <v>6078</v>
      </c>
      <c r="O628" t="s">
        <v>582</v>
      </c>
      <c r="P628" t="s">
        <v>69</v>
      </c>
      <c r="Q628" t="s">
        <v>69</v>
      </c>
      <c r="R628" t="s">
        <v>8505</v>
      </c>
      <c r="S628" t="s">
        <v>8506</v>
      </c>
      <c r="T628" t="s">
        <v>69</v>
      </c>
      <c r="U628" t="s">
        <v>69</v>
      </c>
      <c r="V628" t="s">
        <v>69</v>
      </c>
      <c r="W628" t="s">
        <v>69</v>
      </c>
      <c r="X628" t="s">
        <v>69</v>
      </c>
      <c r="Y628" t="s">
        <v>29039</v>
      </c>
      <c r="Z628" t="s">
        <v>69</v>
      </c>
      <c r="AA628" t="s">
        <v>6079</v>
      </c>
      <c r="AB628" t="s">
        <v>29040</v>
      </c>
      <c r="AC628" t="s">
        <v>69</v>
      </c>
      <c r="AD628" t="s">
        <v>29041</v>
      </c>
      <c r="AE628" t="s">
        <v>29042</v>
      </c>
      <c r="AF628" t="s">
        <v>69</v>
      </c>
      <c r="AG628" t="s">
        <v>69</v>
      </c>
      <c r="AH628" t="s">
        <v>69</v>
      </c>
      <c r="AI628" t="s">
        <v>69</v>
      </c>
      <c r="AJ628" t="s">
        <v>69</v>
      </c>
      <c r="AK628" t="s">
        <v>69</v>
      </c>
      <c r="AL628">
        <v>34</v>
      </c>
      <c r="AM628">
        <v>48</v>
      </c>
      <c r="AN628">
        <v>53</v>
      </c>
      <c r="AO628">
        <v>0</v>
      </c>
      <c r="AP628">
        <v>20</v>
      </c>
      <c r="AQ628" t="s">
        <v>8692</v>
      </c>
      <c r="AR628" t="s">
        <v>8693</v>
      </c>
      <c r="AS628" t="s">
        <v>18139</v>
      </c>
      <c r="AT628" t="s">
        <v>584</v>
      </c>
      <c r="AU628" t="s">
        <v>69</v>
      </c>
      <c r="AV628" t="s">
        <v>69</v>
      </c>
      <c r="AW628" t="s">
        <v>8695</v>
      </c>
      <c r="AX628" t="s">
        <v>8696</v>
      </c>
      <c r="AY628" t="s">
        <v>274</v>
      </c>
      <c r="AZ628">
        <v>2008</v>
      </c>
      <c r="BA628">
        <v>28</v>
      </c>
      <c r="BB628">
        <v>8</v>
      </c>
      <c r="BC628" t="s">
        <v>69</v>
      </c>
      <c r="BD628" t="s">
        <v>69</v>
      </c>
      <c r="BE628" t="s">
        <v>69</v>
      </c>
      <c r="BF628" t="s">
        <v>69</v>
      </c>
      <c r="BG628">
        <v>562</v>
      </c>
      <c r="BH628">
        <v>571</v>
      </c>
      <c r="BI628" t="s">
        <v>69</v>
      </c>
      <c r="BJ628" t="s">
        <v>6080</v>
      </c>
      <c r="BK628" t="str">
        <f>HYPERLINK("http://dx.doi.org/10.1016/j.eiar.2008.02.003","http://dx.doi.org/10.1016/j.eiar.2008.02.003")</f>
        <v>http://dx.doi.org/10.1016/j.eiar.2008.02.003</v>
      </c>
      <c r="BL628" t="s">
        <v>69</v>
      </c>
      <c r="BM628" t="s">
        <v>69</v>
      </c>
      <c r="BN628">
        <v>10</v>
      </c>
      <c r="BO628" t="s">
        <v>8660</v>
      </c>
      <c r="BP628" t="s">
        <v>8661</v>
      </c>
      <c r="BQ628" t="s">
        <v>8662</v>
      </c>
      <c r="BR628" t="s">
        <v>29043</v>
      </c>
      <c r="BS628" t="s">
        <v>6081</v>
      </c>
      <c r="BT628" t="s">
        <v>69</v>
      </c>
      <c r="BU628" t="s">
        <v>69</v>
      </c>
      <c r="BV628" t="s">
        <v>69</v>
      </c>
      <c r="BW628" t="s">
        <v>69</v>
      </c>
      <c r="BX628" t="s">
        <v>8526</v>
      </c>
      <c r="BY628" t="str">
        <f>HYPERLINK("https%3A%2F%2Fwww.webofscience.com%2Fwos%2Fwoscc%2Ffull-record%2FWOS:000261132600004","View Full Record in Web of Science")</f>
        <v>View Full Record in Web of Science</v>
      </c>
    </row>
    <row r="629" spans="1:77" ht="12.5" x14ac:dyDescent="0.25">
      <c r="A629" t="s">
        <v>8495</v>
      </c>
      <c r="B629" s="7" t="s">
        <v>32933</v>
      </c>
      <c r="C629" s="7"/>
      <c r="D629" s="7"/>
      <c r="E629" s="7"/>
      <c r="F629" t="s">
        <v>67</v>
      </c>
      <c r="G629" t="s">
        <v>3510</v>
      </c>
      <c r="H629" t="s">
        <v>69</v>
      </c>
      <c r="I629" t="s">
        <v>69</v>
      </c>
      <c r="J629" t="s">
        <v>69</v>
      </c>
      <c r="K629" t="s">
        <v>3511</v>
      </c>
      <c r="L629" t="s">
        <v>69</v>
      </c>
      <c r="M629" t="s">
        <v>69</v>
      </c>
      <c r="N629" t="s">
        <v>3512</v>
      </c>
      <c r="O629" t="s">
        <v>3513</v>
      </c>
      <c r="P629" t="s">
        <v>69</v>
      </c>
      <c r="Q629" t="s">
        <v>69</v>
      </c>
      <c r="R629" t="s">
        <v>8505</v>
      </c>
      <c r="S629" t="s">
        <v>8506</v>
      </c>
      <c r="T629" t="s">
        <v>69</v>
      </c>
      <c r="U629" t="s">
        <v>69</v>
      </c>
      <c r="V629" t="s">
        <v>69</v>
      </c>
      <c r="W629" t="s">
        <v>69</v>
      </c>
      <c r="X629" t="s">
        <v>69</v>
      </c>
      <c r="Y629" t="s">
        <v>69</v>
      </c>
      <c r="Z629" t="s">
        <v>27627</v>
      </c>
      <c r="AA629" t="s">
        <v>3514</v>
      </c>
      <c r="AB629" t="s">
        <v>27628</v>
      </c>
      <c r="AC629" t="s">
        <v>69</v>
      </c>
      <c r="AD629" t="s">
        <v>27629</v>
      </c>
      <c r="AE629" t="s">
        <v>27630</v>
      </c>
      <c r="AF629" t="s">
        <v>69</v>
      </c>
      <c r="AG629" t="s">
        <v>69</v>
      </c>
      <c r="AH629" t="s">
        <v>69</v>
      </c>
      <c r="AI629" t="s">
        <v>69</v>
      </c>
      <c r="AJ629" t="s">
        <v>69</v>
      </c>
      <c r="AK629" t="s">
        <v>69</v>
      </c>
      <c r="AL629">
        <v>26</v>
      </c>
      <c r="AM629">
        <v>14</v>
      </c>
      <c r="AN629">
        <v>14</v>
      </c>
      <c r="AO629">
        <v>0</v>
      </c>
      <c r="AP629">
        <v>16</v>
      </c>
      <c r="AQ629" t="s">
        <v>9554</v>
      </c>
      <c r="AR629" t="s">
        <v>9555</v>
      </c>
      <c r="AS629" t="s">
        <v>9556</v>
      </c>
      <c r="AT629" t="s">
        <v>3515</v>
      </c>
      <c r="AU629" t="s">
        <v>3516</v>
      </c>
      <c r="AV629" t="s">
        <v>69</v>
      </c>
      <c r="AW629" t="s">
        <v>27631</v>
      </c>
      <c r="AX629" t="s">
        <v>27632</v>
      </c>
      <c r="AY629" t="s">
        <v>381</v>
      </c>
      <c r="AZ629">
        <v>2010</v>
      </c>
      <c r="BA629">
        <v>15</v>
      </c>
      <c r="BB629">
        <v>4</v>
      </c>
      <c r="BC629" t="s">
        <v>69</v>
      </c>
      <c r="BD629" t="s">
        <v>69</v>
      </c>
      <c r="BE629" t="s">
        <v>69</v>
      </c>
      <c r="BF629" t="s">
        <v>69</v>
      </c>
      <c r="BG629">
        <v>195</v>
      </c>
      <c r="BH629">
        <v>203</v>
      </c>
      <c r="BI629" t="s">
        <v>69</v>
      </c>
      <c r="BJ629" t="s">
        <v>3517</v>
      </c>
      <c r="BK629" t="str">
        <f>HYPERLINK("http://dx.doi.org/10.1258/jhsrp.2010.009068","http://dx.doi.org/10.1258/jhsrp.2010.009068")</f>
        <v>http://dx.doi.org/10.1258/jhsrp.2010.009068</v>
      </c>
      <c r="BL629" t="s">
        <v>69</v>
      </c>
      <c r="BM629" t="s">
        <v>69</v>
      </c>
      <c r="BN629">
        <v>9</v>
      </c>
      <c r="BO629" t="s">
        <v>9208</v>
      </c>
      <c r="BP629" t="s">
        <v>8661</v>
      </c>
      <c r="BQ629" t="s">
        <v>9209</v>
      </c>
      <c r="BR629" t="s">
        <v>27633</v>
      </c>
      <c r="BS629" t="s">
        <v>3518</v>
      </c>
      <c r="BT629">
        <v>20410188</v>
      </c>
      <c r="BU629" t="s">
        <v>69</v>
      </c>
      <c r="BV629" t="s">
        <v>69</v>
      </c>
      <c r="BW629" t="s">
        <v>69</v>
      </c>
      <c r="BX629" t="s">
        <v>8526</v>
      </c>
      <c r="BY629" t="str">
        <f>HYPERLINK("https%3A%2F%2Fwww.webofscience.com%2Fwos%2Fwoscc%2Ffull-record%2FWOS:000283755900002","View Full Record in Web of Science")</f>
        <v>View Full Record in Web of Science</v>
      </c>
    </row>
    <row r="630" spans="1:77" ht="12.5" x14ac:dyDescent="0.25">
      <c r="A630" t="s">
        <v>8495</v>
      </c>
      <c r="B630" s="7" t="s">
        <v>32933</v>
      </c>
      <c r="C630" s="7"/>
      <c r="D630" s="7"/>
      <c r="E630" s="7"/>
      <c r="F630" t="s">
        <v>67</v>
      </c>
      <c r="G630" t="s">
        <v>809</v>
      </c>
      <c r="H630" t="s">
        <v>69</v>
      </c>
      <c r="I630" t="s">
        <v>69</v>
      </c>
      <c r="J630" t="s">
        <v>69</v>
      </c>
      <c r="K630" t="s">
        <v>810</v>
      </c>
      <c r="L630" t="s">
        <v>69</v>
      </c>
      <c r="M630" t="s">
        <v>69</v>
      </c>
      <c r="N630" t="s">
        <v>811</v>
      </c>
      <c r="O630" t="s">
        <v>812</v>
      </c>
      <c r="P630" t="s">
        <v>69</v>
      </c>
      <c r="Q630" t="s">
        <v>69</v>
      </c>
      <c r="R630" t="s">
        <v>8505</v>
      </c>
      <c r="S630" t="s">
        <v>8506</v>
      </c>
      <c r="T630" t="s">
        <v>69</v>
      </c>
      <c r="U630" t="s">
        <v>69</v>
      </c>
      <c r="V630" t="s">
        <v>69</v>
      </c>
      <c r="W630" t="s">
        <v>69</v>
      </c>
      <c r="X630" t="s">
        <v>69</v>
      </c>
      <c r="Y630" t="s">
        <v>15617</v>
      </c>
      <c r="Z630" t="s">
        <v>15618</v>
      </c>
      <c r="AA630" t="s">
        <v>813</v>
      </c>
      <c r="AB630" t="s">
        <v>15619</v>
      </c>
      <c r="AC630" t="s">
        <v>69</v>
      </c>
      <c r="AD630" t="s">
        <v>15620</v>
      </c>
      <c r="AE630" t="s">
        <v>15621</v>
      </c>
      <c r="AF630" t="s">
        <v>814</v>
      </c>
      <c r="AG630" t="s">
        <v>815</v>
      </c>
      <c r="AH630" t="s">
        <v>69</v>
      </c>
      <c r="AI630" t="s">
        <v>69</v>
      </c>
      <c r="AJ630" t="s">
        <v>69</v>
      </c>
      <c r="AK630" t="s">
        <v>69</v>
      </c>
      <c r="AL630">
        <v>62</v>
      </c>
      <c r="AM630">
        <v>46</v>
      </c>
      <c r="AN630">
        <v>46</v>
      </c>
      <c r="AO630">
        <v>5</v>
      </c>
      <c r="AP630">
        <v>32</v>
      </c>
      <c r="AQ630" t="s">
        <v>9047</v>
      </c>
      <c r="AR630" t="s">
        <v>8693</v>
      </c>
      <c r="AS630" t="s">
        <v>11784</v>
      </c>
      <c r="AT630" t="s">
        <v>816</v>
      </c>
      <c r="AU630" t="s">
        <v>817</v>
      </c>
      <c r="AV630" t="s">
        <v>69</v>
      </c>
      <c r="AW630" t="s">
        <v>15622</v>
      </c>
      <c r="AX630" t="s">
        <v>15623</v>
      </c>
      <c r="AY630" t="s">
        <v>94</v>
      </c>
      <c r="AZ630">
        <v>2020</v>
      </c>
      <c r="BA630">
        <v>22</v>
      </c>
      <c r="BB630">
        <v>2</v>
      </c>
      <c r="BC630" t="s">
        <v>69</v>
      </c>
      <c r="BD630" t="s">
        <v>69</v>
      </c>
      <c r="BE630" t="s">
        <v>69</v>
      </c>
      <c r="BF630" t="s">
        <v>69</v>
      </c>
      <c r="BG630">
        <v>493</v>
      </c>
      <c r="BH630">
        <v>512</v>
      </c>
      <c r="BI630" t="s">
        <v>69</v>
      </c>
      <c r="BJ630" t="s">
        <v>818</v>
      </c>
      <c r="BK630" t="str">
        <f>HYPERLINK("http://dx.doi.org/10.1007/s10098-019-01798-7","http://dx.doi.org/10.1007/s10098-019-01798-7")</f>
        <v>http://dx.doi.org/10.1007/s10098-019-01798-7</v>
      </c>
      <c r="BL630" t="s">
        <v>69</v>
      </c>
      <c r="BM630" t="s">
        <v>69</v>
      </c>
      <c r="BN630">
        <v>20</v>
      </c>
      <c r="BO630" t="s">
        <v>8643</v>
      </c>
      <c r="BP630" t="s">
        <v>8548</v>
      </c>
      <c r="BQ630" t="s">
        <v>8644</v>
      </c>
      <c r="BR630" t="s">
        <v>15624</v>
      </c>
      <c r="BS630" t="s">
        <v>819</v>
      </c>
      <c r="BT630" t="s">
        <v>69</v>
      </c>
      <c r="BU630" t="s">
        <v>69</v>
      </c>
      <c r="BV630" t="s">
        <v>69</v>
      </c>
      <c r="BW630" t="s">
        <v>69</v>
      </c>
      <c r="BX630" t="s">
        <v>8526</v>
      </c>
      <c r="BY630" t="str">
        <f>HYPERLINK("https%3A%2F%2Fwww.webofscience.com%2Fwos%2Fwoscc%2Ffull-record%2FWOS:000519114000014","View Full Record in Web of Science")</f>
        <v>View Full Record in Web of Science</v>
      </c>
    </row>
    <row r="631" spans="1:77" ht="12.5" x14ac:dyDescent="0.25">
      <c r="A631" t="s">
        <v>8495</v>
      </c>
      <c r="B631" s="7" t="s">
        <v>32933</v>
      </c>
      <c r="C631" s="7"/>
      <c r="D631" s="7"/>
      <c r="E631" s="7"/>
      <c r="F631" t="s">
        <v>67</v>
      </c>
      <c r="G631" t="s">
        <v>7980</v>
      </c>
      <c r="H631" t="s">
        <v>69</v>
      </c>
      <c r="I631" t="s">
        <v>69</v>
      </c>
      <c r="J631" t="s">
        <v>69</v>
      </c>
      <c r="K631" t="s">
        <v>7981</v>
      </c>
      <c r="L631" t="s">
        <v>69</v>
      </c>
      <c r="M631" t="s">
        <v>69</v>
      </c>
      <c r="N631" t="s">
        <v>7982</v>
      </c>
      <c r="O631" t="s">
        <v>4622</v>
      </c>
      <c r="P631" t="s">
        <v>69</v>
      </c>
      <c r="Q631" t="s">
        <v>69</v>
      </c>
      <c r="R631" t="s">
        <v>8505</v>
      </c>
      <c r="S631" t="s">
        <v>8506</v>
      </c>
      <c r="T631" t="s">
        <v>69</v>
      </c>
      <c r="U631" t="s">
        <v>69</v>
      </c>
      <c r="V631" t="s">
        <v>69</v>
      </c>
      <c r="W631" t="s">
        <v>69</v>
      </c>
      <c r="X631" t="s">
        <v>69</v>
      </c>
      <c r="Y631" t="s">
        <v>18590</v>
      </c>
      <c r="Z631" t="s">
        <v>18591</v>
      </c>
      <c r="AA631" t="s">
        <v>7983</v>
      </c>
      <c r="AB631" t="s">
        <v>18592</v>
      </c>
      <c r="AC631" t="s">
        <v>69</v>
      </c>
      <c r="AD631" t="s">
        <v>18593</v>
      </c>
      <c r="AE631" t="s">
        <v>18594</v>
      </c>
      <c r="AF631" t="s">
        <v>18595</v>
      </c>
      <c r="AG631" t="s">
        <v>18596</v>
      </c>
      <c r="AH631" t="s">
        <v>18597</v>
      </c>
      <c r="AI631" t="s">
        <v>18597</v>
      </c>
      <c r="AJ631" t="s">
        <v>18598</v>
      </c>
      <c r="AK631" t="s">
        <v>69</v>
      </c>
      <c r="AL631">
        <v>41</v>
      </c>
      <c r="AM631">
        <v>17</v>
      </c>
      <c r="AN631">
        <v>18</v>
      </c>
      <c r="AO631">
        <v>0</v>
      </c>
      <c r="AP631">
        <v>19</v>
      </c>
      <c r="AQ631" t="s">
        <v>17140</v>
      </c>
      <c r="AR631" t="s">
        <v>8517</v>
      </c>
      <c r="AS631" t="s">
        <v>17141</v>
      </c>
      <c r="AT631" t="s">
        <v>4624</v>
      </c>
      <c r="AU631" t="s">
        <v>4625</v>
      </c>
      <c r="AV631" t="s">
        <v>69</v>
      </c>
      <c r="AW631" t="s">
        <v>18032</v>
      </c>
      <c r="AX631" t="s">
        <v>18033</v>
      </c>
      <c r="AY631" t="s">
        <v>84</v>
      </c>
      <c r="AZ631">
        <v>2018</v>
      </c>
      <c r="BA631">
        <v>562</v>
      </c>
      <c r="BB631" t="s">
        <v>69</v>
      </c>
      <c r="BC631" t="s">
        <v>69</v>
      </c>
      <c r="BD631" t="s">
        <v>69</v>
      </c>
      <c r="BE631" t="s">
        <v>69</v>
      </c>
      <c r="BF631" t="s">
        <v>69</v>
      </c>
      <c r="BG631">
        <v>181</v>
      </c>
      <c r="BH631">
        <v>192</v>
      </c>
      <c r="BI631" t="s">
        <v>69</v>
      </c>
      <c r="BJ631" t="s">
        <v>7984</v>
      </c>
      <c r="BK631" t="str">
        <f>HYPERLINK("http://dx.doi.org/10.1016/j.jhydrol.2018.04.066","http://dx.doi.org/10.1016/j.jhydrol.2018.04.066")</f>
        <v>http://dx.doi.org/10.1016/j.jhydrol.2018.04.066</v>
      </c>
      <c r="BL631" t="s">
        <v>69</v>
      </c>
      <c r="BM631" t="s">
        <v>69</v>
      </c>
      <c r="BN631">
        <v>12</v>
      </c>
      <c r="BO631" t="s">
        <v>18034</v>
      </c>
      <c r="BP631" t="s">
        <v>8548</v>
      </c>
      <c r="BQ631" t="s">
        <v>8853</v>
      </c>
      <c r="BR631" t="s">
        <v>18599</v>
      </c>
      <c r="BS631" t="s">
        <v>7985</v>
      </c>
      <c r="BT631" t="s">
        <v>69</v>
      </c>
      <c r="BU631" t="s">
        <v>9292</v>
      </c>
      <c r="BV631" t="s">
        <v>69</v>
      </c>
      <c r="BW631" t="s">
        <v>69</v>
      </c>
      <c r="BX631" t="s">
        <v>8526</v>
      </c>
      <c r="BY631" t="str">
        <f>HYPERLINK("https%3A%2F%2Fwww.webofscience.com%2Fwos%2Fwoscc%2Ffull-record%2FWOS:000438003000014","View Full Record in Web of Science")</f>
        <v>View Full Record in Web of Science</v>
      </c>
    </row>
    <row r="632" spans="1:77" ht="12.5" x14ac:dyDescent="0.25">
      <c r="A632" t="s">
        <v>8495</v>
      </c>
      <c r="B632" s="22" t="s">
        <v>32931</v>
      </c>
      <c r="C632" s="7"/>
      <c r="D632" s="7"/>
      <c r="E632" s="7"/>
      <c r="F632" t="s">
        <v>67</v>
      </c>
      <c r="G632" t="s">
        <v>20302</v>
      </c>
      <c r="H632" t="s">
        <v>69</v>
      </c>
      <c r="I632" t="s">
        <v>69</v>
      </c>
      <c r="J632" t="s">
        <v>69</v>
      </c>
      <c r="K632" t="s">
        <v>20303</v>
      </c>
      <c r="L632" t="s">
        <v>69</v>
      </c>
      <c r="M632" t="s">
        <v>69</v>
      </c>
      <c r="N632" t="s">
        <v>20304</v>
      </c>
      <c r="O632" t="s">
        <v>352</v>
      </c>
      <c r="P632" t="s">
        <v>69</v>
      </c>
      <c r="Q632" t="s">
        <v>69</v>
      </c>
      <c r="R632" t="s">
        <v>8505</v>
      </c>
      <c r="S632" t="s">
        <v>8506</v>
      </c>
      <c r="T632" t="s">
        <v>69</v>
      </c>
      <c r="U632" t="s">
        <v>69</v>
      </c>
      <c r="V632" t="s">
        <v>69</v>
      </c>
      <c r="W632" t="s">
        <v>69</v>
      </c>
      <c r="X632" t="s">
        <v>69</v>
      </c>
      <c r="Y632" t="s">
        <v>20305</v>
      </c>
      <c r="Z632" t="s">
        <v>20306</v>
      </c>
      <c r="AA632" t="s">
        <v>20307</v>
      </c>
      <c r="AB632" t="s">
        <v>20308</v>
      </c>
      <c r="AC632" t="s">
        <v>69</v>
      </c>
      <c r="AD632" t="s">
        <v>20309</v>
      </c>
      <c r="AE632" t="s">
        <v>20310</v>
      </c>
      <c r="AF632" t="s">
        <v>69</v>
      </c>
      <c r="AG632" t="s">
        <v>20311</v>
      </c>
      <c r="AH632" t="s">
        <v>20312</v>
      </c>
      <c r="AI632" t="s">
        <v>20313</v>
      </c>
      <c r="AJ632" t="s">
        <v>20314</v>
      </c>
      <c r="AK632" t="s">
        <v>69</v>
      </c>
      <c r="AL632">
        <v>61</v>
      </c>
      <c r="AM632">
        <v>17</v>
      </c>
      <c r="AN632">
        <v>18</v>
      </c>
      <c r="AO632">
        <v>3</v>
      </c>
      <c r="AP632">
        <v>49</v>
      </c>
      <c r="AQ632" t="s">
        <v>8924</v>
      </c>
      <c r="AR632" t="s">
        <v>8925</v>
      </c>
      <c r="AS632" t="s">
        <v>8926</v>
      </c>
      <c r="AT632" t="s">
        <v>69</v>
      </c>
      <c r="AU632" t="s">
        <v>354</v>
      </c>
      <c r="AV632" t="s">
        <v>69</v>
      </c>
      <c r="AW632" t="s">
        <v>8958</v>
      </c>
      <c r="AX632" t="s">
        <v>8434</v>
      </c>
      <c r="AY632" t="s">
        <v>155</v>
      </c>
      <c r="AZ632">
        <v>2017</v>
      </c>
      <c r="BA632">
        <v>9</v>
      </c>
      <c r="BB632">
        <v>6</v>
      </c>
      <c r="BC632" t="s">
        <v>69</v>
      </c>
      <c r="BD632" t="s">
        <v>69</v>
      </c>
      <c r="BE632" t="s">
        <v>69</v>
      </c>
      <c r="BF632" t="s">
        <v>69</v>
      </c>
      <c r="BG632" t="s">
        <v>69</v>
      </c>
      <c r="BH632" t="s">
        <v>69</v>
      </c>
      <c r="BI632">
        <v>1009</v>
      </c>
      <c r="BJ632" t="s">
        <v>20315</v>
      </c>
      <c r="BK632" t="str">
        <f>HYPERLINK("http://dx.doi.org/10.3390/su9061009","http://dx.doi.org/10.3390/su9061009")</f>
        <v>http://dx.doi.org/10.3390/su9061009</v>
      </c>
      <c r="BL632" t="s">
        <v>69</v>
      </c>
      <c r="BM632" t="s">
        <v>69</v>
      </c>
      <c r="BN632">
        <v>23</v>
      </c>
      <c r="BO632" t="s">
        <v>8960</v>
      </c>
      <c r="BP632" t="s">
        <v>8523</v>
      </c>
      <c r="BQ632" t="s">
        <v>8961</v>
      </c>
      <c r="BR632" t="s">
        <v>20301</v>
      </c>
      <c r="BS632" t="s">
        <v>20316</v>
      </c>
      <c r="BT632" t="s">
        <v>69</v>
      </c>
      <c r="BU632" t="s">
        <v>11853</v>
      </c>
      <c r="BV632" t="s">
        <v>69</v>
      </c>
      <c r="BW632" t="s">
        <v>69</v>
      </c>
      <c r="BX632" t="s">
        <v>8526</v>
      </c>
      <c r="BY632" t="str">
        <f>HYPERLINK("https%3A%2F%2Fwww.webofscience.com%2Fwos%2Fwoscc%2Ffull-record%2FWOS:000404133200140","View Full Record in Web of Science")</f>
        <v>View Full Record in Web of Science</v>
      </c>
    </row>
    <row r="633" spans="1:77" ht="12.5" x14ac:dyDescent="0.25">
      <c r="A633" t="s">
        <v>8495</v>
      </c>
      <c r="B633" s="22" t="s">
        <v>32931</v>
      </c>
      <c r="C633" s="7"/>
      <c r="D633" s="7"/>
      <c r="E633" s="7"/>
      <c r="F633" t="s">
        <v>67</v>
      </c>
      <c r="G633" t="s">
        <v>20928</v>
      </c>
      <c r="H633" t="s">
        <v>69</v>
      </c>
      <c r="I633" t="s">
        <v>69</v>
      </c>
      <c r="J633" t="s">
        <v>69</v>
      </c>
      <c r="K633" t="s">
        <v>20929</v>
      </c>
      <c r="L633" t="s">
        <v>69</v>
      </c>
      <c r="M633" t="s">
        <v>69</v>
      </c>
      <c r="N633" t="s">
        <v>20930</v>
      </c>
      <c r="O633" t="s">
        <v>20931</v>
      </c>
      <c r="P633" t="s">
        <v>69</v>
      </c>
      <c r="Q633" t="s">
        <v>69</v>
      </c>
      <c r="R633" t="s">
        <v>8505</v>
      </c>
      <c r="S633" t="s">
        <v>8506</v>
      </c>
      <c r="T633" t="s">
        <v>69</v>
      </c>
      <c r="U633" t="s">
        <v>69</v>
      </c>
      <c r="V633" t="s">
        <v>69</v>
      </c>
      <c r="W633" t="s">
        <v>69</v>
      </c>
      <c r="X633" t="s">
        <v>69</v>
      </c>
      <c r="Y633" t="s">
        <v>20932</v>
      </c>
      <c r="Z633" t="s">
        <v>20933</v>
      </c>
      <c r="AA633" t="s">
        <v>20934</v>
      </c>
      <c r="AB633" t="s">
        <v>20935</v>
      </c>
      <c r="AC633" t="s">
        <v>69</v>
      </c>
      <c r="AD633" t="s">
        <v>20936</v>
      </c>
      <c r="AE633" t="s">
        <v>20937</v>
      </c>
      <c r="AF633" t="s">
        <v>20938</v>
      </c>
      <c r="AG633" t="s">
        <v>20939</v>
      </c>
      <c r="AH633" t="s">
        <v>20940</v>
      </c>
      <c r="AI633" t="s">
        <v>20941</v>
      </c>
      <c r="AJ633" t="s">
        <v>20942</v>
      </c>
      <c r="AK633" t="s">
        <v>69</v>
      </c>
      <c r="AL633">
        <v>13</v>
      </c>
      <c r="AM633">
        <v>7</v>
      </c>
      <c r="AN633">
        <v>8</v>
      </c>
      <c r="AO633">
        <v>2</v>
      </c>
      <c r="AP633">
        <v>12</v>
      </c>
      <c r="AQ633" t="s">
        <v>20943</v>
      </c>
      <c r="AR633" t="s">
        <v>13553</v>
      </c>
      <c r="AS633" t="s">
        <v>20944</v>
      </c>
      <c r="AT633" t="s">
        <v>20945</v>
      </c>
      <c r="AU633" t="s">
        <v>20946</v>
      </c>
      <c r="AV633" t="s">
        <v>69</v>
      </c>
      <c r="AW633" t="s">
        <v>20947</v>
      </c>
      <c r="AX633" t="s">
        <v>20948</v>
      </c>
      <c r="AY633" t="s">
        <v>69</v>
      </c>
      <c r="AZ633">
        <v>2017</v>
      </c>
      <c r="BA633">
        <v>19</v>
      </c>
      <c r="BB633">
        <v>1</v>
      </c>
      <c r="BC633" t="s">
        <v>69</v>
      </c>
      <c r="BD633" t="s">
        <v>69</v>
      </c>
      <c r="BE633" t="s">
        <v>69</v>
      </c>
      <c r="BF633" t="s">
        <v>69</v>
      </c>
      <c r="BG633">
        <v>39</v>
      </c>
      <c r="BH633">
        <v>43</v>
      </c>
      <c r="BI633" t="s">
        <v>69</v>
      </c>
      <c r="BJ633" t="s">
        <v>20949</v>
      </c>
      <c r="BK633" t="str">
        <f>HYPERLINK("http://dx.doi.org/10.5114/fmpcr.2017.65089","http://dx.doi.org/10.5114/fmpcr.2017.65089")</f>
        <v>http://dx.doi.org/10.5114/fmpcr.2017.65089</v>
      </c>
      <c r="BL633" t="s">
        <v>69</v>
      </c>
      <c r="BM633" t="s">
        <v>69</v>
      </c>
      <c r="BN633">
        <v>5</v>
      </c>
      <c r="BO633" t="s">
        <v>10546</v>
      </c>
      <c r="BP633" t="s">
        <v>8573</v>
      </c>
      <c r="BQ633" t="s">
        <v>9451</v>
      </c>
      <c r="BR633" t="s">
        <v>20950</v>
      </c>
      <c r="BS633" t="s">
        <v>20951</v>
      </c>
      <c r="BT633" t="s">
        <v>69</v>
      </c>
      <c r="BU633" t="s">
        <v>10482</v>
      </c>
      <c r="BV633" t="s">
        <v>69</v>
      </c>
      <c r="BW633" t="s">
        <v>69</v>
      </c>
      <c r="BX633" t="s">
        <v>8526</v>
      </c>
      <c r="BY633" t="str">
        <f>HYPERLINK("https%3A%2F%2Fwww.webofscience.com%2Fwos%2Fwoscc%2Ffull-record%2FWOS:000398934500008","View Full Record in Web of Science")</f>
        <v>View Full Record in Web of Science</v>
      </c>
    </row>
    <row r="634" spans="1:77" ht="12.5" x14ac:dyDescent="0.25">
      <c r="A634" t="s">
        <v>8495</v>
      </c>
      <c r="B634" s="22" t="s">
        <v>32931</v>
      </c>
      <c r="C634" s="7"/>
      <c r="D634" s="7"/>
      <c r="E634" s="7"/>
      <c r="F634" t="s">
        <v>67</v>
      </c>
      <c r="G634" t="s">
        <v>11084</v>
      </c>
      <c r="H634" t="s">
        <v>69</v>
      </c>
      <c r="I634" t="s">
        <v>69</v>
      </c>
      <c r="J634" t="s">
        <v>69</v>
      </c>
      <c r="K634" t="s">
        <v>11085</v>
      </c>
      <c r="L634" t="s">
        <v>69</v>
      </c>
      <c r="M634" t="s">
        <v>69</v>
      </c>
      <c r="N634" t="s">
        <v>11086</v>
      </c>
      <c r="O634" t="s">
        <v>632</v>
      </c>
      <c r="P634" t="s">
        <v>69</v>
      </c>
      <c r="Q634" t="s">
        <v>69</v>
      </c>
      <c r="R634" t="s">
        <v>8505</v>
      </c>
      <c r="S634" t="s">
        <v>8506</v>
      </c>
      <c r="T634" t="s">
        <v>69</v>
      </c>
      <c r="U634" t="s">
        <v>69</v>
      </c>
      <c r="V634" t="s">
        <v>69</v>
      </c>
      <c r="W634" t="s">
        <v>69</v>
      </c>
      <c r="X634" t="s">
        <v>69</v>
      </c>
      <c r="Y634" t="s">
        <v>11087</v>
      </c>
      <c r="Z634" t="s">
        <v>11088</v>
      </c>
      <c r="AA634" t="s">
        <v>11089</v>
      </c>
      <c r="AB634" t="s">
        <v>11090</v>
      </c>
      <c r="AC634" t="s">
        <v>69</v>
      </c>
      <c r="AD634" t="s">
        <v>11091</v>
      </c>
      <c r="AE634" t="s">
        <v>11092</v>
      </c>
      <c r="AF634" t="s">
        <v>69</v>
      </c>
      <c r="AG634" t="s">
        <v>69</v>
      </c>
      <c r="AH634" t="s">
        <v>11093</v>
      </c>
      <c r="AI634" t="s">
        <v>11093</v>
      </c>
      <c r="AJ634" t="s">
        <v>11094</v>
      </c>
      <c r="AK634" t="s">
        <v>69</v>
      </c>
      <c r="AL634">
        <v>331</v>
      </c>
      <c r="AM634">
        <v>4</v>
      </c>
      <c r="AN634">
        <v>4</v>
      </c>
      <c r="AO634">
        <v>38</v>
      </c>
      <c r="AP634">
        <v>82</v>
      </c>
      <c r="AQ634" t="s">
        <v>8516</v>
      </c>
      <c r="AR634" t="s">
        <v>8517</v>
      </c>
      <c r="AS634" t="s">
        <v>8518</v>
      </c>
      <c r="AT634" t="s">
        <v>634</v>
      </c>
      <c r="AU634" t="s">
        <v>635</v>
      </c>
      <c r="AV634" t="s">
        <v>69</v>
      </c>
      <c r="AW634" t="s">
        <v>8714</v>
      </c>
      <c r="AX634" t="s">
        <v>8715</v>
      </c>
      <c r="AY634" t="s">
        <v>8102</v>
      </c>
      <c r="AZ634">
        <v>2022</v>
      </c>
      <c r="BA634">
        <v>807</v>
      </c>
      <c r="BB634" t="s">
        <v>69</v>
      </c>
      <c r="BC634">
        <v>1</v>
      </c>
      <c r="BD634" t="s">
        <v>69</v>
      </c>
      <c r="BE634" t="s">
        <v>69</v>
      </c>
      <c r="BF634" t="s">
        <v>69</v>
      </c>
      <c r="BG634" t="s">
        <v>69</v>
      </c>
      <c r="BH634" t="s">
        <v>69</v>
      </c>
      <c r="BI634">
        <v>150700</v>
      </c>
      <c r="BJ634" t="s">
        <v>11095</v>
      </c>
      <c r="BK634" t="str">
        <f>HYPERLINK("http://dx.doi.org/10.1016/j.scitotenv.2021.150700","http://dx.doi.org/10.1016/j.scitotenv.2021.150700")</f>
        <v>http://dx.doi.org/10.1016/j.scitotenv.2021.150700</v>
      </c>
      <c r="BL634" t="s">
        <v>69</v>
      </c>
      <c r="BM634" t="s">
        <v>10991</v>
      </c>
      <c r="BN634">
        <v>16</v>
      </c>
      <c r="BO634" t="s">
        <v>8717</v>
      </c>
      <c r="BP634" t="s">
        <v>8523</v>
      </c>
      <c r="BQ634" t="s">
        <v>8662</v>
      </c>
      <c r="BR634" t="s">
        <v>11096</v>
      </c>
      <c r="BS634" t="s">
        <v>11097</v>
      </c>
      <c r="BT634">
        <v>34606858</v>
      </c>
      <c r="BU634" t="s">
        <v>69</v>
      </c>
      <c r="BV634" t="s">
        <v>69</v>
      </c>
      <c r="BW634" t="s">
        <v>69</v>
      </c>
      <c r="BX634" t="s">
        <v>8526</v>
      </c>
      <c r="BY634" t="str">
        <f>HYPERLINK("https%3A%2F%2Fwww.webofscience.com%2Fwos%2Fwoscc%2Ffull-record%2FWOS:000707663100002","View Full Record in Web of Science")</f>
        <v>View Full Record in Web of Science</v>
      </c>
    </row>
    <row r="635" spans="1:77" ht="12.5" x14ac:dyDescent="0.25">
      <c r="A635" t="s">
        <v>8495</v>
      </c>
      <c r="B635" s="7" t="s">
        <v>32933</v>
      </c>
      <c r="C635" s="7"/>
      <c r="D635" s="7"/>
      <c r="E635" s="7"/>
      <c r="F635" t="s">
        <v>67</v>
      </c>
      <c r="G635" t="s">
        <v>1106</v>
      </c>
      <c r="H635" t="s">
        <v>69</v>
      </c>
      <c r="I635" t="s">
        <v>69</v>
      </c>
      <c r="J635" t="s">
        <v>69</v>
      </c>
      <c r="K635" t="s">
        <v>1107</v>
      </c>
      <c r="L635" t="s">
        <v>69</v>
      </c>
      <c r="M635" t="s">
        <v>69</v>
      </c>
      <c r="N635" t="s">
        <v>1108</v>
      </c>
      <c r="O635" t="s">
        <v>1109</v>
      </c>
      <c r="P635" t="s">
        <v>69</v>
      </c>
      <c r="Q635" t="s">
        <v>69</v>
      </c>
      <c r="R635" t="s">
        <v>8505</v>
      </c>
      <c r="S635" t="s">
        <v>8506</v>
      </c>
      <c r="T635" t="s">
        <v>69</v>
      </c>
      <c r="U635" t="s">
        <v>69</v>
      </c>
      <c r="V635" t="s">
        <v>69</v>
      </c>
      <c r="W635" t="s">
        <v>69</v>
      </c>
      <c r="X635" t="s">
        <v>69</v>
      </c>
      <c r="Y635" t="s">
        <v>19475</v>
      </c>
      <c r="Z635" t="s">
        <v>69</v>
      </c>
      <c r="AA635" t="s">
        <v>1110</v>
      </c>
      <c r="AB635" t="s">
        <v>19476</v>
      </c>
      <c r="AC635" t="s">
        <v>69</v>
      </c>
      <c r="AD635" t="s">
        <v>18258</v>
      </c>
      <c r="AE635" t="s">
        <v>19477</v>
      </c>
      <c r="AF635" t="s">
        <v>69</v>
      </c>
      <c r="AG635" t="s">
        <v>69</v>
      </c>
      <c r="AH635" t="s">
        <v>19478</v>
      </c>
      <c r="AI635" t="s">
        <v>19479</v>
      </c>
      <c r="AJ635" t="s">
        <v>19480</v>
      </c>
      <c r="AK635" t="s">
        <v>69</v>
      </c>
      <c r="AL635">
        <v>9</v>
      </c>
      <c r="AM635">
        <v>8</v>
      </c>
      <c r="AN635">
        <v>8</v>
      </c>
      <c r="AO635">
        <v>0</v>
      </c>
      <c r="AP635">
        <v>6</v>
      </c>
      <c r="AQ635" t="s">
        <v>8865</v>
      </c>
      <c r="AR635" t="s">
        <v>8612</v>
      </c>
      <c r="AS635" t="s">
        <v>8866</v>
      </c>
      <c r="AT635" t="s">
        <v>1111</v>
      </c>
      <c r="AU635" t="s">
        <v>1112</v>
      </c>
      <c r="AV635" t="s">
        <v>69</v>
      </c>
      <c r="AW635" t="s">
        <v>19289</v>
      </c>
      <c r="AX635" t="s">
        <v>19290</v>
      </c>
      <c r="AY635" t="s">
        <v>69</v>
      </c>
      <c r="AZ635">
        <v>2018</v>
      </c>
      <c r="BA635">
        <v>16</v>
      </c>
      <c r="BB635">
        <v>1</v>
      </c>
      <c r="BC635" t="s">
        <v>69</v>
      </c>
      <c r="BD635" t="s">
        <v>69</v>
      </c>
      <c r="BE635" t="s">
        <v>69</v>
      </c>
      <c r="BF635" t="s">
        <v>69</v>
      </c>
      <c r="BG635">
        <v>28</v>
      </c>
      <c r="BH635">
        <v>35</v>
      </c>
      <c r="BI635" t="s">
        <v>69</v>
      </c>
      <c r="BJ635" t="s">
        <v>1113</v>
      </c>
      <c r="BK635" t="str">
        <f>HYPERLINK("http://dx.doi.org/10.1080/10042857.2018.1433809","http://dx.doi.org/10.1080/10042857.2018.1433809")</f>
        <v>http://dx.doi.org/10.1080/10042857.2018.1433809</v>
      </c>
      <c r="BL635" t="s">
        <v>69</v>
      </c>
      <c r="BM635" t="s">
        <v>69</v>
      </c>
      <c r="BN635">
        <v>8</v>
      </c>
      <c r="BO635" t="s">
        <v>8660</v>
      </c>
      <c r="BP635" t="s">
        <v>8573</v>
      </c>
      <c r="BQ635" t="s">
        <v>8662</v>
      </c>
      <c r="BR635" t="s">
        <v>19481</v>
      </c>
      <c r="BS635" t="s">
        <v>1114</v>
      </c>
      <c r="BT635" t="s">
        <v>69</v>
      </c>
      <c r="BU635" t="s">
        <v>69</v>
      </c>
      <c r="BV635" t="s">
        <v>69</v>
      </c>
      <c r="BW635" t="s">
        <v>69</v>
      </c>
      <c r="BX635" t="s">
        <v>8526</v>
      </c>
      <c r="BY635" t="str">
        <f>HYPERLINK("https%3A%2F%2Fwww.webofscience.com%2Fwos%2Fwoscc%2Ffull-record%2FWOS:000437273300003","View Full Record in Web of Science")</f>
        <v>View Full Record in Web of Science</v>
      </c>
    </row>
    <row r="636" spans="1:77" ht="12.5" x14ac:dyDescent="0.25">
      <c r="A636" t="s">
        <v>8495</v>
      </c>
      <c r="B636" s="22" t="s">
        <v>32931</v>
      </c>
      <c r="C636" s="7"/>
      <c r="D636" s="7"/>
      <c r="E636" s="7"/>
      <c r="F636" t="s">
        <v>67</v>
      </c>
      <c r="G636" t="s">
        <v>20325</v>
      </c>
      <c r="H636" t="s">
        <v>69</v>
      </c>
      <c r="I636" t="s">
        <v>69</v>
      </c>
      <c r="J636" t="s">
        <v>69</v>
      </c>
      <c r="K636" t="s">
        <v>20326</v>
      </c>
      <c r="L636" t="s">
        <v>69</v>
      </c>
      <c r="M636" t="s">
        <v>69</v>
      </c>
      <c r="N636" t="s">
        <v>20327</v>
      </c>
      <c r="O636" t="s">
        <v>18957</v>
      </c>
      <c r="P636" t="s">
        <v>69</v>
      </c>
      <c r="Q636" t="s">
        <v>69</v>
      </c>
      <c r="R636" t="s">
        <v>8505</v>
      </c>
      <c r="S636" t="s">
        <v>8506</v>
      </c>
      <c r="T636" t="s">
        <v>69</v>
      </c>
      <c r="U636" t="s">
        <v>69</v>
      </c>
      <c r="V636" t="s">
        <v>69</v>
      </c>
      <c r="W636" t="s">
        <v>69</v>
      </c>
      <c r="X636" t="s">
        <v>69</v>
      </c>
      <c r="Y636" t="s">
        <v>69</v>
      </c>
      <c r="Z636" t="s">
        <v>20328</v>
      </c>
      <c r="AA636" t="s">
        <v>20329</v>
      </c>
      <c r="AB636" t="s">
        <v>20330</v>
      </c>
      <c r="AC636" t="s">
        <v>69</v>
      </c>
      <c r="AD636" t="s">
        <v>20331</v>
      </c>
      <c r="AE636" t="s">
        <v>20332</v>
      </c>
      <c r="AF636" t="s">
        <v>69</v>
      </c>
      <c r="AG636" t="s">
        <v>20333</v>
      </c>
      <c r="AH636" t="s">
        <v>20334</v>
      </c>
      <c r="AI636" t="s">
        <v>20334</v>
      </c>
      <c r="AJ636" t="s">
        <v>20335</v>
      </c>
      <c r="AK636" t="s">
        <v>69</v>
      </c>
      <c r="AL636">
        <v>40</v>
      </c>
      <c r="AM636">
        <v>42</v>
      </c>
      <c r="AN636">
        <v>46</v>
      </c>
      <c r="AO636">
        <v>2</v>
      </c>
      <c r="AP636">
        <v>23</v>
      </c>
      <c r="AQ636" t="s">
        <v>9305</v>
      </c>
      <c r="AR636" t="s">
        <v>8763</v>
      </c>
      <c r="AS636" t="s">
        <v>9306</v>
      </c>
      <c r="AT636" t="s">
        <v>18965</v>
      </c>
      <c r="AU636" t="s">
        <v>18966</v>
      </c>
      <c r="AV636" t="s">
        <v>69</v>
      </c>
      <c r="AW636" t="s">
        <v>18967</v>
      </c>
      <c r="AX636" t="s">
        <v>18968</v>
      </c>
      <c r="AY636" t="s">
        <v>155</v>
      </c>
      <c r="AZ636">
        <v>2017</v>
      </c>
      <c r="BA636">
        <v>222</v>
      </c>
      <c r="BB636">
        <v>12</v>
      </c>
      <c r="BC636" t="s">
        <v>69</v>
      </c>
      <c r="BD636" t="s">
        <v>69</v>
      </c>
      <c r="BE636" t="s">
        <v>69</v>
      </c>
      <c r="BF636" t="s">
        <v>69</v>
      </c>
      <c r="BG636">
        <v>944</v>
      </c>
      <c r="BH636">
        <v>948</v>
      </c>
      <c r="BI636" t="s">
        <v>69</v>
      </c>
      <c r="BJ636" t="s">
        <v>20336</v>
      </c>
      <c r="BK636" t="str">
        <f>HYPERLINK("http://dx.doi.org/10.1038/sj.bdj.2017.544","http://dx.doi.org/10.1038/sj.bdj.2017.544")</f>
        <v>http://dx.doi.org/10.1038/sj.bdj.2017.544</v>
      </c>
      <c r="BL636" t="s">
        <v>69</v>
      </c>
      <c r="BM636" t="s">
        <v>69</v>
      </c>
      <c r="BN636">
        <v>5</v>
      </c>
      <c r="BO636" t="s">
        <v>17390</v>
      </c>
      <c r="BP636" t="s">
        <v>8548</v>
      </c>
      <c r="BQ636" t="s">
        <v>17390</v>
      </c>
      <c r="BR636" t="s">
        <v>20337</v>
      </c>
      <c r="BS636" t="s">
        <v>20338</v>
      </c>
      <c r="BT636">
        <v>28642531</v>
      </c>
      <c r="BU636" t="s">
        <v>10995</v>
      </c>
      <c r="BV636" t="s">
        <v>69</v>
      </c>
      <c r="BW636" t="s">
        <v>69</v>
      </c>
      <c r="BX636" t="s">
        <v>8526</v>
      </c>
      <c r="BY636" t="str">
        <f>HYPERLINK("https%3A%2F%2Fwww.webofscience.com%2Fwos%2Fwoscc%2Ffull-record%2FWOS:000404111200018","View Full Record in Web of Science")</f>
        <v>View Full Record in Web of Science</v>
      </c>
    </row>
    <row r="637" spans="1:77" ht="12.5" x14ac:dyDescent="0.25">
      <c r="A637" t="s">
        <v>8495</v>
      </c>
      <c r="B637" s="22" t="s">
        <v>32931</v>
      </c>
      <c r="C637" s="7"/>
      <c r="D637" s="7"/>
      <c r="E637" s="7"/>
      <c r="F637" t="s">
        <v>67</v>
      </c>
      <c r="G637" t="s">
        <v>10890</v>
      </c>
      <c r="H637" t="s">
        <v>69</v>
      </c>
      <c r="I637" t="s">
        <v>69</v>
      </c>
      <c r="J637" t="s">
        <v>69</v>
      </c>
      <c r="K637" t="s">
        <v>10891</v>
      </c>
      <c r="L637" t="s">
        <v>69</v>
      </c>
      <c r="M637" t="s">
        <v>69</v>
      </c>
      <c r="N637" t="s">
        <v>10892</v>
      </c>
      <c r="O637" t="s">
        <v>10893</v>
      </c>
      <c r="P637" t="s">
        <v>69</v>
      </c>
      <c r="Q637" t="s">
        <v>69</v>
      </c>
      <c r="R637" t="s">
        <v>8505</v>
      </c>
      <c r="S637" t="s">
        <v>8506</v>
      </c>
      <c r="T637" t="s">
        <v>69</v>
      </c>
      <c r="U637" t="s">
        <v>69</v>
      </c>
      <c r="V637" t="s">
        <v>69</v>
      </c>
      <c r="W637" t="s">
        <v>69</v>
      </c>
      <c r="X637" t="s">
        <v>69</v>
      </c>
      <c r="Y637" t="s">
        <v>10894</v>
      </c>
      <c r="Z637" t="s">
        <v>10895</v>
      </c>
      <c r="AA637" t="s">
        <v>10896</v>
      </c>
      <c r="AB637" t="s">
        <v>10897</v>
      </c>
      <c r="AC637" t="s">
        <v>69</v>
      </c>
      <c r="AD637" t="s">
        <v>10898</v>
      </c>
      <c r="AE637" t="s">
        <v>10899</v>
      </c>
      <c r="AF637" t="s">
        <v>10900</v>
      </c>
      <c r="AG637" t="s">
        <v>10901</v>
      </c>
      <c r="AH637" t="s">
        <v>10902</v>
      </c>
      <c r="AI637" t="s">
        <v>10903</v>
      </c>
      <c r="AJ637" t="s">
        <v>10904</v>
      </c>
      <c r="AK637" t="s">
        <v>69</v>
      </c>
      <c r="AL637">
        <v>61</v>
      </c>
      <c r="AM637">
        <v>0</v>
      </c>
      <c r="AN637">
        <v>0</v>
      </c>
      <c r="AO637">
        <v>2</v>
      </c>
      <c r="AP637">
        <v>2</v>
      </c>
      <c r="AQ637" t="s">
        <v>8924</v>
      </c>
      <c r="AR637" t="s">
        <v>8925</v>
      </c>
      <c r="AS637" t="s">
        <v>8926</v>
      </c>
      <c r="AT637" t="s">
        <v>69</v>
      </c>
      <c r="AU637" t="s">
        <v>10905</v>
      </c>
      <c r="AV637" t="s">
        <v>69</v>
      </c>
      <c r="AW637" t="s">
        <v>10893</v>
      </c>
      <c r="AX637" t="s">
        <v>10906</v>
      </c>
      <c r="AY637" t="s">
        <v>274</v>
      </c>
      <c r="AZ637">
        <v>2021</v>
      </c>
      <c r="BA637">
        <v>13</v>
      </c>
      <c r="BB637">
        <v>11</v>
      </c>
      <c r="BC637" t="s">
        <v>69</v>
      </c>
      <c r="BD637" t="s">
        <v>69</v>
      </c>
      <c r="BE637" t="s">
        <v>69</v>
      </c>
      <c r="BF637" t="s">
        <v>69</v>
      </c>
      <c r="BG637" t="s">
        <v>69</v>
      </c>
      <c r="BH637" t="s">
        <v>69</v>
      </c>
      <c r="BI637">
        <v>3748</v>
      </c>
      <c r="BJ637" t="s">
        <v>10907</v>
      </c>
      <c r="BK637" t="str">
        <f>HYPERLINK("http://dx.doi.org/10.3390/nu13113748","http://dx.doi.org/10.3390/nu13113748")</f>
        <v>http://dx.doi.org/10.3390/nu13113748</v>
      </c>
      <c r="BL637" t="s">
        <v>69</v>
      </c>
      <c r="BM637" t="s">
        <v>69</v>
      </c>
      <c r="BN637">
        <v>17</v>
      </c>
      <c r="BO637" t="s">
        <v>10908</v>
      </c>
      <c r="BP637" t="s">
        <v>8548</v>
      </c>
      <c r="BQ637" t="s">
        <v>10908</v>
      </c>
      <c r="BR637" t="s">
        <v>10909</v>
      </c>
      <c r="BS637" t="s">
        <v>10910</v>
      </c>
      <c r="BT637">
        <v>34836004</v>
      </c>
      <c r="BU637" t="s">
        <v>9352</v>
      </c>
      <c r="BV637" t="s">
        <v>69</v>
      </c>
      <c r="BW637" t="s">
        <v>69</v>
      </c>
      <c r="BX637" t="s">
        <v>8526</v>
      </c>
      <c r="BY637" t="str">
        <f>HYPERLINK("https%3A%2F%2Fwww.webofscience.com%2Fwos%2Fwoscc%2Ffull-record%2FWOS:000724111000001","View Full Record in Web of Science")</f>
        <v>View Full Record in Web of Science</v>
      </c>
    </row>
    <row r="638" spans="1:77" ht="12.5" x14ac:dyDescent="0.25">
      <c r="A638" t="s">
        <v>8495</v>
      </c>
      <c r="B638" s="22" t="s">
        <v>32931</v>
      </c>
      <c r="C638" s="7"/>
      <c r="D638" s="7"/>
      <c r="E638" s="7"/>
      <c r="F638" t="s">
        <v>67</v>
      </c>
      <c r="G638" t="s">
        <v>26618</v>
      </c>
      <c r="H638" t="s">
        <v>69</v>
      </c>
      <c r="I638" t="s">
        <v>69</v>
      </c>
      <c r="J638" t="s">
        <v>69</v>
      </c>
      <c r="K638" t="s">
        <v>26619</v>
      </c>
      <c r="L638" t="s">
        <v>69</v>
      </c>
      <c r="M638" t="s">
        <v>69</v>
      </c>
      <c r="N638" t="s">
        <v>26620</v>
      </c>
      <c r="O638" t="s">
        <v>120</v>
      </c>
      <c r="P638" t="s">
        <v>69</v>
      </c>
      <c r="Q638" t="s">
        <v>69</v>
      </c>
      <c r="R638" t="s">
        <v>8505</v>
      </c>
      <c r="S638" t="s">
        <v>8506</v>
      </c>
      <c r="T638" t="s">
        <v>69</v>
      </c>
      <c r="U638" t="s">
        <v>69</v>
      </c>
      <c r="V638" t="s">
        <v>69</v>
      </c>
      <c r="W638" t="s">
        <v>69</v>
      </c>
      <c r="X638" t="s">
        <v>69</v>
      </c>
      <c r="Y638" t="s">
        <v>26621</v>
      </c>
      <c r="Z638" t="s">
        <v>69</v>
      </c>
      <c r="AA638" t="s">
        <v>26622</v>
      </c>
      <c r="AB638" t="s">
        <v>26623</v>
      </c>
      <c r="AC638" t="s">
        <v>69</v>
      </c>
      <c r="AD638" t="s">
        <v>26624</v>
      </c>
      <c r="AE638" t="s">
        <v>26625</v>
      </c>
      <c r="AF638" t="s">
        <v>26626</v>
      </c>
      <c r="AG638" t="s">
        <v>26627</v>
      </c>
      <c r="AH638" t="s">
        <v>69</v>
      </c>
      <c r="AI638" t="s">
        <v>69</v>
      </c>
      <c r="AJ638" t="s">
        <v>69</v>
      </c>
      <c r="AK638" t="s">
        <v>69</v>
      </c>
      <c r="AL638">
        <v>2</v>
      </c>
      <c r="AM638">
        <v>1</v>
      </c>
      <c r="AN638">
        <v>1</v>
      </c>
      <c r="AO638">
        <v>0</v>
      </c>
      <c r="AP638">
        <v>0</v>
      </c>
      <c r="AQ638" t="s">
        <v>23318</v>
      </c>
      <c r="AR638" t="s">
        <v>23319</v>
      </c>
      <c r="AS638" t="s">
        <v>23320</v>
      </c>
      <c r="AT638" t="s">
        <v>122</v>
      </c>
      <c r="AU638" t="s">
        <v>123</v>
      </c>
      <c r="AV638" t="s">
        <v>69</v>
      </c>
      <c r="AW638" t="s">
        <v>23321</v>
      </c>
      <c r="AX638" t="s">
        <v>23322</v>
      </c>
      <c r="AY638" t="s">
        <v>69</v>
      </c>
      <c r="AZ638">
        <v>2012</v>
      </c>
      <c r="BA638">
        <v>12</v>
      </c>
      <c r="BB638">
        <v>3</v>
      </c>
      <c r="BC638" t="s">
        <v>69</v>
      </c>
      <c r="BD638" t="s">
        <v>69</v>
      </c>
      <c r="BE638" t="s">
        <v>69</v>
      </c>
      <c r="BF638" t="s">
        <v>69</v>
      </c>
      <c r="BG638">
        <v>123</v>
      </c>
      <c r="BH638">
        <v>128</v>
      </c>
      <c r="BI638" t="s">
        <v>69</v>
      </c>
      <c r="BJ638" t="s">
        <v>69</v>
      </c>
      <c r="BK638" t="s">
        <v>69</v>
      </c>
      <c r="BL638" t="s">
        <v>69</v>
      </c>
      <c r="BM638" t="s">
        <v>69</v>
      </c>
      <c r="BN638">
        <v>6</v>
      </c>
      <c r="BO638" t="s">
        <v>23323</v>
      </c>
      <c r="BP638" t="s">
        <v>8573</v>
      </c>
      <c r="BQ638" t="s">
        <v>8450</v>
      </c>
      <c r="BR638" t="s">
        <v>26628</v>
      </c>
      <c r="BS638" t="s">
        <v>26629</v>
      </c>
      <c r="BT638" t="s">
        <v>69</v>
      </c>
      <c r="BU638" t="s">
        <v>69</v>
      </c>
      <c r="BV638" t="s">
        <v>69</v>
      </c>
      <c r="BW638" t="s">
        <v>69</v>
      </c>
      <c r="BX638" t="s">
        <v>8526</v>
      </c>
      <c r="BY638" t="str">
        <f>HYPERLINK("https%3A%2F%2Fwww.webofscience.com%2Fwos%2Fwoscc%2Ffull-record%2FWOS:000422177300024","View Full Record in Web of Science")</f>
        <v>View Full Record in Web of Science</v>
      </c>
    </row>
    <row r="639" spans="1:77" ht="12.5" x14ac:dyDescent="0.25">
      <c r="A639" t="s">
        <v>8495</v>
      </c>
      <c r="B639" s="22" t="s">
        <v>32931</v>
      </c>
      <c r="C639" s="7"/>
      <c r="D639" s="7"/>
      <c r="E639" s="7"/>
      <c r="F639" t="s">
        <v>67</v>
      </c>
      <c r="G639" t="s">
        <v>12459</v>
      </c>
      <c r="H639" t="s">
        <v>69</v>
      </c>
      <c r="I639" t="s">
        <v>69</v>
      </c>
      <c r="J639" t="s">
        <v>69</v>
      </c>
      <c r="K639" t="s">
        <v>12460</v>
      </c>
      <c r="L639" t="s">
        <v>69</v>
      </c>
      <c r="M639" t="s">
        <v>69</v>
      </c>
      <c r="N639" t="s">
        <v>12461</v>
      </c>
      <c r="O639" t="s">
        <v>12462</v>
      </c>
      <c r="P639" t="s">
        <v>69</v>
      </c>
      <c r="Q639" t="s">
        <v>69</v>
      </c>
      <c r="R639" t="s">
        <v>8505</v>
      </c>
      <c r="S639" t="s">
        <v>8506</v>
      </c>
      <c r="T639" t="s">
        <v>69</v>
      </c>
      <c r="U639" t="s">
        <v>69</v>
      </c>
      <c r="V639" t="s">
        <v>69</v>
      </c>
      <c r="W639" t="s">
        <v>69</v>
      </c>
      <c r="X639" t="s">
        <v>69</v>
      </c>
      <c r="Y639" t="s">
        <v>12463</v>
      </c>
      <c r="Z639" t="s">
        <v>69</v>
      </c>
      <c r="AA639" t="s">
        <v>12464</v>
      </c>
      <c r="AB639" t="s">
        <v>12465</v>
      </c>
      <c r="AC639" t="s">
        <v>69</v>
      </c>
      <c r="AD639" t="s">
        <v>12466</v>
      </c>
      <c r="AE639" t="s">
        <v>12467</v>
      </c>
      <c r="AF639" t="s">
        <v>69</v>
      </c>
      <c r="AG639" t="s">
        <v>69</v>
      </c>
      <c r="AH639" t="s">
        <v>69</v>
      </c>
      <c r="AI639" t="s">
        <v>69</v>
      </c>
      <c r="AJ639" t="s">
        <v>69</v>
      </c>
      <c r="AK639" t="s">
        <v>69</v>
      </c>
      <c r="AL639">
        <v>23</v>
      </c>
      <c r="AM639">
        <v>3</v>
      </c>
      <c r="AN639">
        <v>4</v>
      </c>
      <c r="AO639">
        <v>6</v>
      </c>
      <c r="AP639">
        <v>6</v>
      </c>
      <c r="AQ639" t="s">
        <v>8611</v>
      </c>
      <c r="AR639" t="s">
        <v>8612</v>
      </c>
      <c r="AS639" t="s">
        <v>8613</v>
      </c>
      <c r="AT639" t="s">
        <v>69</v>
      </c>
      <c r="AU639" t="s">
        <v>12468</v>
      </c>
      <c r="AV639" t="s">
        <v>69</v>
      </c>
      <c r="AW639" t="s">
        <v>12469</v>
      </c>
      <c r="AX639" t="s">
        <v>12470</v>
      </c>
      <c r="AY639" t="s">
        <v>4530</v>
      </c>
      <c r="AZ639">
        <v>2021</v>
      </c>
      <c r="BA639">
        <v>4</v>
      </c>
      <c r="BB639">
        <v>2</v>
      </c>
      <c r="BC639" t="s">
        <v>69</v>
      </c>
      <c r="BD639" t="s">
        <v>69</v>
      </c>
      <c r="BE639" t="s">
        <v>114</v>
      </c>
      <c r="BF639" t="s">
        <v>69</v>
      </c>
      <c r="BG639">
        <v>252</v>
      </c>
      <c r="BH639">
        <v>270</v>
      </c>
      <c r="BI639" t="s">
        <v>69</v>
      </c>
      <c r="BJ639" t="s">
        <v>12471</v>
      </c>
      <c r="BK639" t="str">
        <f>HYPERLINK("http://dx.doi.org/10.1080/25741292.2021.1883834","http://dx.doi.org/10.1080/25741292.2021.1883834")</f>
        <v>http://dx.doi.org/10.1080/25741292.2021.1883834</v>
      </c>
      <c r="BL639" t="s">
        <v>69</v>
      </c>
      <c r="BM639" t="s">
        <v>69</v>
      </c>
      <c r="BN639">
        <v>19</v>
      </c>
      <c r="BO639" t="s">
        <v>12182</v>
      </c>
      <c r="BP639" t="s">
        <v>8573</v>
      </c>
      <c r="BQ639" t="s">
        <v>12182</v>
      </c>
      <c r="BR639" t="s">
        <v>12472</v>
      </c>
      <c r="BS639" t="s">
        <v>12473</v>
      </c>
      <c r="BT639" t="s">
        <v>69</v>
      </c>
      <c r="BU639" t="s">
        <v>8931</v>
      </c>
      <c r="BV639" t="s">
        <v>69</v>
      </c>
      <c r="BW639" t="s">
        <v>69</v>
      </c>
      <c r="BX639" t="s">
        <v>8526</v>
      </c>
      <c r="BY639" t="str">
        <f>HYPERLINK("https%3A%2F%2Fwww.webofscience.com%2Fwos%2Fwoscc%2Ffull-record%2FWOS:000679955800005","View Full Record in Web of Science")</f>
        <v>View Full Record in Web of Science</v>
      </c>
    </row>
    <row r="640" spans="1:77" ht="12.5" x14ac:dyDescent="0.25">
      <c r="A640" t="s">
        <v>8495</v>
      </c>
      <c r="B640" s="22" t="s">
        <v>32931</v>
      </c>
      <c r="C640" s="7"/>
      <c r="D640" s="7"/>
      <c r="E640" s="7"/>
      <c r="F640" t="s">
        <v>67</v>
      </c>
      <c r="G640" t="s">
        <v>19380</v>
      </c>
      <c r="H640" t="s">
        <v>69</v>
      </c>
      <c r="I640" t="s">
        <v>69</v>
      </c>
      <c r="J640" t="s">
        <v>69</v>
      </c>
      <c r="K640" t="s">
        <v>19381</v>
      </c>
      <c r="L640" t="s">
        <v>69</v>
      </c>
      <c r="M640" t="s">
        <v>69</v>
      </c>
      <c r="N640" t="s">
        <v>19382</v>
      </c>
      <c r="O640" t="s">
        <v>11049</v>
      </c>
      <c r="P640" t="s">
        <v>69</v>
      </c>
      <c r="Q640" t="s">
        <v>69</v>
      </c>
      <c r="R640" t="s">
        <v>8505</v>
      </c>
      <c r="S640" t="s">
        <v>8506</v>
      </c>
      <c r="T640" t="s">
        <v>69</v>
      </c>
      <c r="U640" t="s">
        <v>69</v>
      </c>
      <c r="V640" t="s">
        <v>69</v>
      </c>
      <c r="W640" t="s">
        <v>69</v>
      </c>
      <c r="X640" t="s">
        <v>69</v>
      </c>
      <c r="Y640" t="s">
        <v>19383</v>
      </c>
      <c r="Z640" t="s">
        <v>19384</v>
      </c>
      <c r="AA640" t="s">
        <v>19385</v>
      </c>
      <c r="AB640" t="s">
        <v>19386</v>
      </c>
      <c r="AC640" t="s">
        <v>69</v>
      </c>
      <c r="AD640" t="s">
        <v>19387</v>
      </c>
      <c r="AE640" t="s">
        <v>19325</v>
      </c>
      <c r="AF640" t="s">
        <v>19326</v>
      </c>
      <c r="AG640" t="s">
        <v>19327</v>
      </c>
      <c r="AH640" t="s">
        <v>69</v>
      </c>
      <c r="AI640" t="s">
        <v>69</v>
      </c>
      <c r="AJ640" t="s">
        <v>69</v>
      </c>
      <c r="AK640" t="s">
        <v>69</v>
      </c>
      <c r="AL640">
        <v>77</v>
      </c>
      <c r="AM640">
        <v>37</v>
      </c>
      <c r="AN640">
        <v>39</v>
      </c>
      <c r="AO640">
        <v>2</v>
      </c>
      <c r="AP640">
        <v>58</v>
      </c>
      <c r="AQ640" t="s">
        <v>8586</v>
      </c>
      <c r="AR640" t="s">
        <v>8587</v>
      </c>
      <c r="AS640" t="s">
        <v>8588</v>
      </c>
      <c r="AT640" t="s">
        <v>11058</v>
      </c>
      <c r="AU640" t="s">
        <v>11059</v>
      </c>
      <c r="AV640" t="s">
        <v>69</v>
      </c>
      <c r="AW640" t="s">
        <v>11060</v>
      </c>
      <c r="AX640" t="s">
        <v>11061</v>
      </c>
      <c r="AY640" t="s">
        <v>69</v>
      </c>
      <c r="AZ640">
        <v>2018</v>
      </c>
      <c r="BA640">
        <v>31</v>
      </c>
      <c r="BB640">
        <v>2</v>
      </c>
      <c r="BC640" t="s">
        <v>69</v>
      </c>
      <c r="BD640" t="s">
        <v>69</v>
      </c>
      <c r="BE640" t="s">
        <v>69</v>
      </c>
      <c r="BF640" t="s">
        <v>69</v>
      </c>
      <c r="BG640">
        <v>338</v>
      </c>
      <c r="BH640">
        <v>356</v>
      </c>
      <c r="BI640" t="s">
        <v>69</v>
      </c>
      <c r="BJ640" t="s">
        <v>19388</v>
      </c>
      <c r="BK640" t="str">
        <f>HYPERLINK("http://dx.doi.org/10.1108/JEIM-12-2014-0125","http://dx.doi.org/10.1108/JEIM-12-2014-0125")</f>
        <v>http://dx.doi.org/10.1108/JEIM-12-2014-0125</v>
      </c>
      <c r="BL640" t="s">
        <v>69</v>
      </c>
      <c r="BM640" t="s">
        <v>69</v>
      </c>
      <c r="BN640">
        <v>19</v>
      </c>
      <c r="BO640" t="s">
        <v>11063</v>
      </c>
      <c r="BP640" t="s">
        <v>8661</v>
      </c>
      <c r="BQ640" t="s">
        <v>11064</v>
      </c>
      <c r="BR640" t="s">
        <v>19389</v>
      </c>
      <c r="BS640" t="s">
        <v>19390</v>
      </c>
      <c r="BT640" t="s">
        <v>69</v>
      </c>
      <c r="BU640" t="s">
        <v>9292</v>
      </c>
      <c r="BV640" t="s">
        <v>69</v>
      </c>
      <c r="BW640" t="s">
        <v>69</v>
      </c>
      <c r="BX640" t="s">
        <v>8526</v>
      </c>
      <c r="BY640" t="str">
        <f>HYPERLINK("https%3A%2F%2Fwww.webofscience.com%2Fwos%2Fwoscc%2Ffull-record%2FWOS:000426176900006","View Full Record in Web of Science")</f>
        <v>View Full Record in Web of Science</v>
      </c>
    </row>
    <row r="641" spans="1:77" ht="12.5" x14ac:dyDescent="0.25">
      <c r="A641" t="s">
        <v>8495</v>
      </c>
      <c r="B641" s="7" t="s">
        <v>32933</v>
      </c>
      <c r="C641" s="7"/>
      <c r="D641" s="7"/>
      <c r="E641" s="7"/>
      <c r="F641" t="s">
        <v>67</v>
      </c>
      <c r="G641" t="s">
        <v>1076</v>
      </c>
      <c r="H641" t="s">
        <v>69</v>
      </c>
      <c r="I641" t="s">
        <v>69</v>
      </c>
      <c r="J641" t="s">
        <v>69</v>
      </c>
      <c r="K641" t="s">
        <v>1077</v>
      </c>
      <c r="L641" t="s">
        <v>69</v>
      </c>
      <c r="M641" t="s">
        <v>69</v>
      </c>
      <c r="N641" t="s">
        <v>1078</v>
      </c>
      <c r="O641" t="s">
        <v>1079</v>
      </c>
      <c r="P641" t="s">
        <v>69</v>
      </c>
      <c r="Q641" t="s">
        <v>69</v>
      </c>
      <c r="R641" t="s">
        <v>8505</v>
      </c>
      <c r="S641" t="s">
        <v>8506</v>
      </c>
      <c r="T641" t="s">
        <v>69</v>
      </c>
      <c r="U641" t="s">
        <v>69</v>
      </c>
      <c r="V641" t="s">
        <v>69</v>
      </c>
      <c r="W641" t="s">
        <v>69</v>
      </c>
      <c r="X641" t="s">
        <v>69</v>
      </c>
      <c r="Y641" t="s">
        <v>19028</v>
      </c>
      <c r="Z641" t="s">
        <v>69</v>
      </c>
      <c r="AA641" t="s">
        <v>1080</v>
      </c>
      <c r="AB641" t="s">
        <v>19029</v>
      </c>
      <c r="AC641" t="s">
        <v>69</v>
      </c>
      <c r="AD641" t="s">
        <v>19030</v>
      </c>
      <c r="AE641" t="s">
        <v>19031</v>
      </c>
      <c r="AF641" t="s">
        <v>19032</v>
      </c>
      <c r="AG641" t="s">
        <v>69</v>
      </c>
      <c r="AH641" t="s">
        <v>19033</v>
      </c>
      <c r="AI641" t="s">
        <v>19034</v>
      </c>
      <c r="AJ641" t="s">
        <v>19035</v>
      </c>
      <c r="AK641" t="s">
        <v>69</v>
      </c>
      <c r="AL641">
        <v>25</v>
      </c>
      <c r="AM641">
        <v>0</v>
      </c>
      <c r="AN641">
        <v>0</v>
      </c>
      <c r="AO641">
        <v>0</v>
      </c>
      <c r="AP641">
        <v>3</v>
      </c>
      <c r="AQ641" t="s">
        <v>19036</v>
      </c>
      <c r="AR641" t="s">
        <v>19037</v>
      </c>
      <c r="AS641" t="s">
        <v>19038</v>
      </c>
      <c r="AT641" t="s">
        <v>1081</v>
      </c>
      <c r="AU641" t="s">
        <v>1082</v>
      </c>
      <c r="AV641" t="s">
        <v>69</v>
      </c>
      <c r="AW641" t="s">
        <v>19039</v>
      </c>
      <c r="AX641" t="s">
        <v>19040</v>
      </c>
      <c r="AY641" t="s">
        <v>246</v>
      </c>
      <c r="AZ641">
        <v>2018</v>
      </c>
      <c r="BA641">
        <v>37</v>
      </c>
      <c r="BB641">
        <v>2</v>
      </c>
      <c r="BC641" t="s">
        <v>69</v>
      </c>
      <c r="BD641" t="s">
        <v>69</v>
      </c>
      <c r="BE641" t="s">
        <v>69</v>
      </c>
      <c r="BF641" t="s">
        <v>69</v>
      </c>
      <c r="BG641">
        <v>417</v>
      </c>
      <c r="BH641">
        <v>428</v>
      </c>
      <c r="BI641" t="s">
        <v>69</v>
      </c>
      <c r="BJ641" t="s">
        <v>1083</v>
      </c>
      <c r="BK641" t="str">
        <f>HYPERLINK("http://dx.doi.org/10.22581/muet1982.1802.17","http://dx.doi.org/10.22581/muet1982.1802.17")</f>
        <v>http://dx.doi.org/10.22581/muet1982.1802.17</v>
      </c>
      <c r="BL641" t="s">
        <v>69</v>
      </c>
      <c r="BM641" t="s">
        <v>69</v>
      </c>
      <c r="BN641">
        <v>12</v>
      </c>
      <c r="BO641" t="s">
        <v>9891</v>
      </c>
      <c r="BP641" t="s">
        <v>8573</v>
      </c>
      <c r="BQ641" t="s">
        <v>8445</v>
      </c>
      <c r="BR641" t="s">
        <v>19041</v>
      </c>
      <c r="BS641" t="s">
        <v>1084</v>
      </c>
      <c r="BT641" t="s">
        <v>69</v>
      </c>
      <c r="BU641" t="s">
        <v>8931</v>
      </c>
      <c r="BV641" t="s">
        <v>69</v>
      </c>
      <c r="BW641" t="s">
        <v>69</v>
      </c>
      <c r="BX641" t="s">
        <v>8526</v>
      </c>
      <c r="BY641" t="str">
        <f>HYPERLINK("https%3A%2F%2Fwww.webofscience.com%2Fwos%2Fwoscc%2Ffull-record%2FWOS:000430487400017","View Full Record in Web of Science")</f>
        <v>View Full Record in Web of Science</v>
      </c>
    </row>
    <row r="642" spans="1:77" ht="12.5" x14ac:dyDescent="0.25">
      <c r="A642" t="s">
        <v>8495</v>
      </c>
      <c r="B642" s="22" t="s">
        <v>32931</v>
      </c>
      <c r="C642" s="7"/>
      <c r="D642" s="7"/>
      <c r="E642" s="7"/>
      <c r="F642" t="s">
        <v>67</v>
      </c>
      <c r="G642" t="s">
        <v>12368</v>
      </c>
      <c r="H642" t="s">
        <v>69</v>
      </c>
      <c r="I642" t="s">
        <v>69</v>
      </c>
      <c r="J642" t="s">
        <v>69</v>
      </c>
      <c r="K642" t="s">
        <v>12369</v>
      </c>
      <c r="L642" t="s">
        <v>69</v>
      </c>
      <c r="M642" t="s">
        <v>69</v>
      </c>
      <c r="N642" t="s">
        <v>12370</v>
      </c>
      <c r="O642" t="s">
        <v>5838</v>
      </c>
      <c r="P642" t="s">
        <v>69</v>
      </c>
      <c r="Q642" t="s">
        <v>69</v>
      </c>
      <c r="R642" t="s">
        <v>8505</v>
      </c>
      <c r="S642" t="s">
        <v>8506</v>
      </c>
      <c r="T642" t="s">
        <v>69</v>
      </c>
      <c r="U642" t="s">
        <v>69</v>
      </c>
      <c r="V642" t="s">
        <v>69</v>
      </c>
      <c r="W642" t="s">
        <v>69</v>
      </c>
      <c r="X642" t="s">
        <v>69</v>
      </c>
      <c r="Y642" t="s">
        <v>12371</v>
      </c>
      <c r="Z642" t="s">
        <v>12372</v>
      </c>
      <c r="AA642" t="s">
        <v>12373</v>
      </c>
      <c r="AB642" t="s">
        <v>12374</v>
      </c>
      <c r="AC642" t="s">
        <v>69</v>
      </c>
      <c r="AD642" t="s">
        <v>12375</v>
      </c>
      <c r="AE642" t="s">
        <v>12376</v>
      </c>
      <c r="AF642" t="s">
        <v>12377</v>
      </c>
      <c r="AG642" t="s">
        <v>12378</v>
      </c>
      <c r="AH642" t="s">
        <v>69</v>
      </c>
      <c r="AI642" t="s">
        <v>69</v>
      </c>
      <c r="AJ642" t="s">
        <v>69</v>
      </c>
      <c r="AK642" t="s">
        <v>69</v>
      </c>
      <c r="AL642">
        <v>122</v>
      </c>
      <c r="AM642">
        <v>9</v>
      </c>
      <c r="AN642">
        <v>9</v>
      </c>
      <c r="AO642">
        <v>26</v>
      </c>
      <c r="AP642">
        <v>47</v>
      </c>
      <c r="AQ642" t="s">
        <v>8692</v>
      </c>
      <c r="AR642" t="s">
        <v>8693</v>
      </c>
      <c r="AS642" t="s">
        <v>8694</v>
      </c>
      <c r="AT642" t="s">
        <v>5841</v>
      </c>
      <c r="AU642" t="s">
        <v>5842</v>
      </c>
      <c r="AV642" t="s">
        <v>69</v>
      </c>
      <c r="AW642" t="s">
        <v>12379</v>
      </c>
      <c r="AX642" t="s">
        <v>12380</v>
      </c>
      <c r="AY642" t="s">
        <v>84</v>
      </c>
      <c r="AZ642">
        <v>2021</v>
      </c>
      <c r="BA642">
        <v>131</v>
      </c>
      <c r="BB642" t="s">
        <v>69</v>
      </c>
      <c r="BC642" t="s">
        <v>69</v>
      </c>
      <c r="BD642" t="s">
        <v>69</v>
      </c>
      <c r="BE642" t="s">
        <v>69</v>
      </c>
      <c r="BF642" t="s">
        <v>69</v>
      </c>
      <c r="BG642">
        <v>311</v>
      </c>
      <c r="BH642">
        <v>326</v>
      </c>
      <c r="BI642" t="s">
        <v>69</v>
      </c>
      <c r="BJ642" t="s">
        <v>12381</v>
      </c>
      <c r="BK642" t="str">
        <f>HYPERLINK("http://dx.doi.org/10.1016/j.jbusres.2021.03.054","http://dx.doi.org/10.1016/j.jbusres.2021.03.054")</f>
        <v>http://dx.doi.org/10.1016/j.jbusres.2021.03.054</v>
      </c>
      <c r="BL642" t="s">
        <v>69</v>
      </c>
      <c r="BM642" t="s">
        <v>12312</v>
      </c>
      <c r="BN642">
        <v>16</v>
      </c>
      <c r="BO642" t="s">
        <v>8444</v>
      </c>
      <c r="BP642" t="s">
        <v>8661</v>
      </c>
      <c r="BQ642" t="s">
        <v>8594</v>
      </c>
      <c r="BR642" t="s">
        <v>12382</v>
      </c>
      <c r="BS642" t="s">
        <v>12383</v>
      </c>
      <c r="BT642" t="s">
        <v>69</v>
      </c>
      <c r="BU642" t="s">
        <v>69</v>
      </c>
      <c r="BV642" t="s">
        <v>69</v>
      </c>
      <c r="BW642" t="s">
        <v>69</v>
      </c>
      <c r="BX642" t="s">
        <v>8526</v>
      </c>
      <c r="BY642" t="str">
        <f>HYPERLINK("https%3A%2F%2Fwww.webofscience.com%2Fwos%2Fwoscc%2Ffull-record%2FWOS:000694876300027","View Full Record in Web of Science")</f>
        <v>View Full Record in Web of Science</v>
      </c>
    </row>
    <row r="643" spans="1:77" ht="12.5" x14ac:dyDescent="0.25">
      <c r="A643" t="s">
        <v>8495</v>
      </c>
      <c r="B643" s="7" t="s">
        <v>32933</v>
      </c>
      <c r="C643" s="7"/>
      <c r="D643" s="7"/>
      <c r="E643" s="7"/>
      <c r="F643" t="s">
        <v>67</v>
      </c>
      <c r="G643" t="s">
        <v>7078</v>
      </c>
      <c r="H643" t="s">
        <v>69</v>
      </c>
      <c r="I643" t="s">
        <v>69</v>
      </c>
      <c r="J643" t="s">
        <v>69</v>
      </c>
      <c r="K643" t="s">
        <v>7079</v>
      </c>
      <c r="L643" t="s">
        <v>69</v>
      </c>
      <c r="M643" t="s">
        <v>69</v>
      </c>
      <c r="N643" t="s">
        <v>7080</v>
      </c>
      <c r="O643" t="s">
        <v>7038</v>
      </c>
      <c r="P643" t="s">
        <v>69</v>
      </c>
      <c r="Q643" t="s">
        <v>69</v>
      </c>
      <c r="R643" t="s">
        <v>8505</v>
      </c>
      <c r="S643" t="s">
        <v>8506</v>
      </c>
      <c r="T643" t="s">
        <v>69</v>
      </c>
      <c r="U643" t="s">
        <v>69</v>
      </c>
      <c r="V643" t="s">
        <v>69</v>
      </c>
      <c r="W643" t="s">
        <v>69</v>
      </c>
      <c r="X643" t="s">
        <v>69</v>
      </c>
      <c r="Y643" t="s">
        <v>21348</v>
      </c>
      <c r="Z643" t="s">
        <v>21349</v>
      </c>
      <c r="AA643" t="s">
        <v>7081</v>
      </c>
      <c r="AB643" t="s">
        <v>21350</v>
      </c>
      <c r="AC643" t="s">
        <v>69</v>
      </c>
      <c r="AD643" t="s">
        <v>21351</v>
      </c>
      <c r="AE643" t="s">
        <v>21352</v>
      </c>
      <c r="AF643" t="s">
        <v>69</v>
      </c>
      <c r="AG643" t="s">
        <v>69</v>
      </c>
      <c r="AH643" t="s">
        <v>21353</v>
      </c>
      <c r="AI643" t="s">
        <v>21353</v>
      </c>
      <c r="AJ643" t="s">
        <v>21354</v>
      </c>
      <c r="AK643" t="s">
        <v>69</v>
      </c>
      <c r="AL643">
        <v>40</v>
      </c>
      <c r="AM643">
        <v>10</v>
      </c>
      <c r="AN643">
        <v>10</v>
      </c>
      <c r="AO643">
        <v>0</v>
      </c>
      <c r="AP643">
        <v>9</v>
      </c>
      <c r="AQ643" t="s">
        <v>9203</v>
      </c>
      <c r="AR643" t="s">
        <v>8763</v>
      </c>
      <c r="AS643" t="s">
        <v>9204</v>
      </c>
      <c r="AT643" t="s">
        <v>7040</v>
      </c>
      <c r="AU643" t="s">
        <v>69</v>
      </c>
      <c r="AV643" t="s">
        <v>69</v>
      </c>
      <c r="AW643" t="s">
        <v>9205</v>
      </c>
      <c r="AX643" t="s">
        <v>9206</v>
      </c>
      <c r="AY643" t="s">
        <v>477</v>
      </c>
      <c r="AZ643">
        <v>2016</v>
      </c>
      <c r="BA643">
        <v>14</v>
      </c>
      <c r="BB643" t="s">
        <v>69</v>
      </c>
      <c r="BC643" t="s">
        <v>69</v>
      </c>
      <c r="BD643" t="s">
        <v>69</v>
      </c>
      <c r="BE643" t="s">
        <v>69</v>
      </c>
      <c r="BF643" t="s">
        <v>69</v>
      </c>
      <c r="BG643" t="s">
        <v>69</v>
      </c>
      <c r="BH643" t="s">
        <v>69</v>
      </c>
      <c r="BI643">
        <v>66</v>
      </c>
      <c r="BJ643" t="s">
        <v>7082</v>
      </c>
      <c r="BK643" t="str">
        <f>HYPERLINK("http://dx.doi.org/10.1186/s12961-016-0139-7","http://dx.doi.org/10.1186/s12961-016-0139-7")</f>
        <v>http://dx.doi.org/10.1186/s12961-016-0139-7</v>
      </c>
      <c r="BL643" t="s">
        <v>69</v>
      </c>
      <c r="BM643" t="s">
        <v>69</v>
      </c>
      <c r="BN643">
        <v>11</v>
      </c>
      <c r="BO643" t="s">
        <v>9208</v>
      </c>
      <c r="BP643" t="s">
        <v>8661</v>
      </c>
      <c r="BQ643" t="s">
        <v>9209</v>
      </c>
      <c r="BR643" t="s">
        <v>21355</v>
      </c>
      <c r="BS643" t="s">
        <v>7083</v>
      </c>
      <c r="BT643">
        <v>27585630</v>
      </c>
      <c r="BU643" t="s">
        <v>9352</v>
      </c>
      <c r="BV643" t="s">
        <v>69</v>
      </c>
      <c r="BW643" t="s">
        <v>69</v>
      </c>
      <c r="BX643" t="s">
        <v>8526</v>
      </c>
      <c r="BY643" t="str">
        <f>HYPERLINK("https%3A%2F%2Fwww.webofscience.com%2Fwos%2Fwoscc%2Ffull-record%2FWOS:000384478900001","View Full Record in Web of Science")</f>
        <v>View Full Record in Web of Science</v>
      </c>
    </row>
    <row r="644" spans="1:77" x14ac:dyDescent="0.3">
      <c r="A644" t="s">
        <v>8495</v>
      </c>
      <c r="B644" s="10" t="s">
        <v>32957</v>
      </c>
      <c r="F644" t="s">
        <v>67</v>
      </c>
      <c r="G644" t="s">
        <v>4824</v>
      </c>
      <c r="H644" t="s">
        <v>69</v>
      </c>
      <c r="I644" t="s">
        <v>69</v>
      </c>
      <c r="J644" t="s">
        <v>69</v>
      </c>
      <c r="K644" s="2" t="s">
        <v>4825</v>
      </c>
      <c r="L644" t="s">
        <v>69</v>
      </c>
      <c r="M644" t="s">
        <v>69</v>
      </c>
      <c r="N644" s="2" t="s">
        <v>4826</v>
      </c>
      <c r="O644" t="s">
        <v>4827</v>
      </c>
      <c r="P644" t="s">
        <v>69</v>
      </c>
      <c r="Q644" t="s">
        <v>69</v>
      </c>
      <c r="R644" t="s">
        <v>8505</v>
      </c>
      <c r="S644" t="s">
        <v>8506</v>
      </c>
      <c r="T644" t="s">
        <v>69</v>
      </c>
      <c r="U644" t="s">
        <v>69</v>
      </c>
      <c r="V644" t="s">
        <v>69</v>
      </c>
      <c r="W644" t="s">
        <v>69</v>
      </c>
      <c r="X644" t="s">
        <v>69</v>
      </c>
      <c r="Y644" t="s">
        <v>69</v>
      </c>
      <c r="Z644" t="s">
        <v>23753</v>
      </c>
      <c r="AA644" t="s">
        <v>4828</v>
      </c>
      <c r="AB644" t="s">
        <v>23754</v>
      </c>
      <c r="AC644" t="s">
        <v>69</v>
      </c>
      <c r="AD644" t="s">
        <v>23755</v>
      </c>
      <c r="AE644" t="s">
        <v>69</v>
      </c>
      <c r="AF644" t="s">
        <v>23756</v>
      </c>
      <c r="AG644" t="s">
        <v>4829</v>
      </c>
      <c r="AH644" t="s">
        <v>69</v>
      </c>
      <c r="AI644" t="s">
        <v>69</v>
      </c>
      <c r="AJ644" t="s">
        <v>69</v>
      </c>
      <c r="AK644" t="s">
        <v>69</v>
      </c>
      <c r="AL644">
        <v>52</v>
      </c>
      <c r="AM644">
        <v>15</v>
      </c>
      <c r="AN644">
        <v>15</v>
      </c>
      <c r="AO644">
        <v>0</v>
      </c>
      <c r="AP644">
        <v>18</v>
      </c>
      <c r="AQ644" t="s">
        <v>8846</v>
      </c>
      <c r="AR644" t="s">
        <v>8847</v>
      </c>
      <c r="AS644" t="s">
        <v>8848</v>
      </c>
      <c r="AT644" t="s">
        <v>4830</v>
      </c>
      <c r="AU644" t="s">
        <v>4831</v>
      </c>
      <c r="AV644" t="s">
        <v>69</v>
      </c>
      <c r="AW644" t="s">
        <v>23757</v>
      </c>
      <c r="AX644" t="s">
        <v>23758</v>
      </c>
      <c r="AY644" t="s">
        <v>84</v>
      </c>
      <c r="AZ644">
        <v>2014</v>
      </c>
      <c r="BA644">
        <v>23</v>
      </c>
      <c r="BB644">
        <v>3</v>
      </c>
      <c r="BC644" t="s">
        <v>69</v>
      </c>
      <c r="BD644" t="s">
        <v>69</v>
      </c>
      <c r="BE644" t="s">
        <v>69</v>
      </c>
      <c r="BF644" t="s">
        <v>69</v>
      </c>
      <c r="BG644">
        <v>258</v>
      </c>
      <c r="BH644">
        <v>271</v>
      </c>
      <c r="BI644" t="s">
        <v>69</v>
      </c>
      <c r="BJ644" t="s">
        <v>4832</v>
      </c>
      <c r="BK644" t="str">
        <f>HYPERLINK("http://dx.doi.org/10.1111/beer.12054","http://dx.doi.org/10.1111/beer.12054")</f>
        <v>http://dx.doi.org/10.1111/beer.12054</v>
      </c>
      <c r="BL644" t="s">
        <v>69</v>
      </c>
      <c r="BM644" t="s">
        <v>69</v>
      </c>
      <c r="BN644">
        <v>14</v>
      </c>
      <c r="BO644" t="s">
        <v>15523</v>
      </c>
      <c r="BP644" t="s">
        <v>8661</v>
      </c>
      <c r="BQ644" t="s">
        <v>15524</v>
      </c>
      <c r="BR644" t="s">
        <v>23759</v>
      </c>
      <c r="BS644" t="s">
        <v>4833</v>
      </c>
      <c r="BT644" t="s">
        <v>69</v>
      </c>
      <c r="BU644" t="s">
        <v>69</v>
      </c>
      <c r="BV644" t="s">
        <v>69</v>
      </c>
      <c r="BW644" t="s">
        <v>69</v>
      </c>
      <c r="BX644" t="s">
        <v>8526</v>
      </c>
      <c r="BY644" t="str">
        <f>HYPERLINK("https%3A%2F%2Fwww.webofscience.com%2Fwos%2Fwoscc%2Ffull-record%2FWOS:000337675400003","View Full Record in Web of Science")</f>
        <v>View Full Record in Web of Science</v>
      </c>
    </row>
    <row r="645" spans="1:77" ht="12.5" x14ac:dyDescent="0.25">
      <c r="A645" t="s">
        <v>8495</v>
      </c>
      <c r="B645" s="22" t="s">
        <v>32931</v>
      </c>
      <c r="C645" s="7"/>
      <c r="D645" s="7"/>
      <c r="E645" s="7"/>
      <c r="F645" t="s">
        <v>67</v>
      </c>
      <c r="G645" t="s">
        <v>25109</v>
      </c>
      <c r="H645" t="s">
        <v>69</v>
      </c>
      <c r="I645" t="s">
        <v>69</v>
      </c>
      <c r="J645" t="s">
        <v>69</v>
      </c>
      <c r="K645" t="s">
        <v>25110</v>
      </c>
      <c r="L645" t="s">
        <v>69</v>
      </c>
      <c r="M645" t="s">
        <v>69</v>
      </c>
      <c r="N645" t="s">
        <v>25111</v>
      </c>
      <c r="O645" t="s">
        <v>25112</v>
      </c>
      <c r="P645" t="s">
        <v>69</v>
      </c>
      <c r="Q645" t="s">
        <v>69</v>
      </c>
      <c r="R645" t="s">
        <v>9357</v>
      </c>
      <c r="S645" t="s">
        <v>8506</v>
      </c>
      <c r="T645" t="s">
        <v>69</v>
      </c>
      <c r="U645" t="s">
        <v>69</v>
      </c>
      <c r="V645" t="s">
        <v>69</v>
      </c>
      <c r="W645" t="s">
        <v>69</v>
      </c>
      <c r="X645" t="s">
        <v>69</v>
      </c>
      <c r="Y645" t="s">
        <v>25113</v>
      </c>
      <c r="Z645" t="s">
        <v>69</v>
      </c>
      <c r="AA645" t="s">
        <v>25114</v>
      </c>
      <c r="AB645" t="s">
        <v>25115</v>
      </c>
      <c r="AC645" t="s">
        <v>69</v>
      </c>
      <c r="AD645" t="s">
        <v>25116</v>
      </c>
      <c r="AE645" t="s">
        <v>25117</v>
      </c>
      <c r="AF645" t="s">
        <v>25118</v>
      </c>
      <c r="AG645" t="s">
        <v>25119</v>
      </c>
      <c r="AH645" t="s">
        <v>69</v>
      </c>
      <c r="AI645" t="s">
        <v>69</v>
      </c>
      <c r="AJ645" t="s">
        <v>69</v>
      </c>
      <c r="AK645" t="s">
        <v>69</v>
      </c>
      <c r="AL645">
        <v>8</v>
      </c>
      <c r="AM645">
        <v>0</v>
      </c>
      <c r="AN645">
        <v>0</v>
      </c>
      <c r="AO645">
        <v>0</v>
      </c>
      <c r="AP645">
        <v>1</v>
      </c>
      <c r="AQ645" t="s">
        <v>21091</v>
      </c>
      <c r="AR645" t="s">
        <v>21092</v>
      </c>
      <c r="AS645" t="s">
        <v>21093</v>
      </c>
      <c r="AT645" t="s">
        <v>25120</v>
      </c>
      <c r="AU645" t="s">
        <v>25121</v>
      </c>
      <c r="AV645" t="s">
        <v>69</v>
      </c>
      <c r="AW645" t="s">
        <v>25122</v>
      </c>
      <c r="AX645" t="s">
        <v>25123</v>
      </c>
      <c r="AY645" t="s">
        <v>246</v>
      </c>
      <c r="AZ645">
        <v>2013</v>
      </c>
      <c r="BA645" t="s">
        <v>69</v>
      </c>
      <c r="BB645">
        <v>369</v>
      </c>
      <c r="BC645" t="s">
        <v>69</v>
      </c>
      <c r="BD645" t="s">
        <v>69</v>
      </c>
      <c r="BE645" t="s">
        <v>69</v>
      </c>
      <c r="BF645" t="s">
        <v>69</v>
      </c>
      <c r="BG645">
        <v>122</v>
      </c>
      <c r="BH645" t="s">
        <v>219</v>
      </c>
      <c r="BI645" t="s">
        <v>69</v>
      </c>
      <c r="BJ645" t="s">
        <v>69</v>
      </c>
      <c r="BK645" t="s">
        <v>69</v>
      </c>
      <c r="BL645" t="s">
        <v>69</v>
      </c>
      <c r="BM645" t="s">
        <v>69</v>
      </c>
      <c r="BN645">
        <v>5</v>
      </c>
      <c r="BO645" t="s">
        <v>8619</v>
      </c>
      <c r="BP645" t="s">
        <v>8573</v>
      </c>
      <c r="BQ645" t="s">
        <v>8620</v>
      </c>
      <c r="BR645" t="s">
        <v>25124</v>
      </c>
      <c r="BS645" t="s">
        <v>25125</v>
      </c>
      <c r="BT645" t="s">
        <v>69</v>
      </c>
      <c r="BU645" t="s">
        <v>69</v>
      </c>
      <c r="BV645" t="s">
        <v>69</v>
      </c>
      <c r="BW645" t="s">
        <v>69</v>
      </c>
      <c r="BX645" t="s">
        <v>8526</v>
      </c>
      <c r="BY645" t="str">
        <f>HYPERLINK("https%3A%2F%2Fwww.webofscience.com%2Fwos%2Fwoscc%2Ffull-record%2FWOS:000421539100026","View Full Record in Web of Science")</f>
        <v>View Full Record in Web of Science</v>
      </c>
    </row>
    <row r="646" spans="1:77" ht="12.5" x14ac:dyDescent="0.25">
      <c r="A646" t="s">
        <v>8495</v>
      </c>
      <c r="B646" s="22" t="s">
        <v>32931</v>
      </c>
      <c r="C646" s="7"/>
      <c r="D646" s="7"/>
      <c r="E646" s="7"/>
      <c r="F646" t="s">
        <v>67</v>
      </c>
      <c r="G646" t="s">
        <v>27173</v>
      </c>
      <c r="H646" t="s">
        <v>69</v>
      </c>
      <c r="I646" t="s">
        <v>69</v>
      </c>
      <c r="J646" t="s">
        <v>69</v>
      </c>
      <c r="K646" t="s">
        <v>27174</v>
      </c>
      <c r="L646" t="s">
        <v>69</v>
      </c>
      <c r="M646" t="s">
        <v>69</v>
      </c>
      <c r="N646" t="s">
        <v>27175</v>
      </c>
      <c r="O646" t="s">
        <v>13858</v>
      </c>
      <c r="P646" t="s">
        <v>69</v>
      </c>
      <c r="Q646" t="s">
        <v>69</v>
      </c>
      <c r="R646" t="s">
        <v>8505</v>
      </c>
      <c r="S646" t="s">
        <v>8506</v>
      </c>
      <c r="T646" t="s">
        <v>69</v>
      </c>
      <c r="U646" t="s">
        <v>69</v>
      </c>
      <c r="V646" t="s">
        <v>69</v>
      </c>
      <c r="W646" t="s">
        <v>69</v>
      </c>
      <c r="X646" t="s">
        <v>69</v>
      </c>
      <c r="Y646" t="s">
        <v>27176</v>
      </c>
      <c r="Z646" t="s">
        <v>27177</v>
      </c>
      <c r="AA646" t="s">
        <v>27178</v>
      </c>
      <c r="AB646" t="s">
        <v>27179</v>
      </c>
      <c r="AC646" t="s">
        <v>69</v>
      </c>
      <c r="AD646" t="s">
        <v>27180</v>
      </c>
      <c r="AE646" t="s">
        <v>27181</v>
      </c>
      <c r="AF646" t="s">
        <v>27182</v>
      </c>
      <c r="AG646" t="s">
        <v>27183</v>
      </c>
      <c r="AH646" t="s">
        <v>69</v>
      </c>
      <c r="AI646" t="s">
        <v>69</v>
      </c>
      <c r="AJ646" t="s">
        <v>69</v>
      </c>
      <c r="AK646" t="s">
        <v>69</v>
      </c>
      <c r="AL646">
        <v>18</v>
      </c>
      <c r="AM646">
        <v>8</v>
      </c>
      <c r="AN646">
        <v>8</v>
      </c>
      <c r="AO646">
        <v>1</v>
      </c>
      <c r="AP646">
        <v>10</v>
      </c>
      <c r="AQ646" t="s">
        <v>8586</v>
      </c>
      <c r="AR646" t="s">
        <v>8587</v>
      </c>
      <c r="AS646" t="s">
        <v>8588</v>
      </c>
      <c r="AT646" t="s">
        <v>13869</v>
      </c>
      <c r="AU646" t="s">
        <v>13870</v>
      </c>
      <c r="AV646" t="s">
        <v>69</v>
      </c>
      <c r="AW646" t="s">
        <v>13871</v>
      </c>
      <c r="AX646" t="s">
        <v>13872</v>
      </c>
      <c r="AY646" t="s">
        <v>69</v>
      </c>
      <c r="AZ646">
        <v>2011</v>
      </c>
      <c r="BA646">
        <v>12</v>
      </c>
      <c r="BB646">
        <v>2</v>
      </c>
      <c r="BC646" t="s">
        <v>69</v>
      </c>
      <c r="BD646" t="s">
        <v>69</v>
      </c>
      <c r="BE646" t="s">
        <v>69</v>
      </c>
      <c r="BF646" t="s">
        <v>69</v>
      </c>
      <c r="BG646">
        <v>163</v>
      </c>
      <c r="BH646">
        <v>176</v>
      </c>
      <c r="BI646" t="s">
        <v>69</v>
      </c>
      <c r="BJ646" t="s">
        <v>27184</v>
      </c>
      <c r="BK646" t="str">
        <f>HYPERLINK("http://dx.doi.org/10.1108/14676371111118219","http://dx.doi.org/10.1108/14676371111118219")</f>
        <v>http://dx.doi.org/10.1108/14676371111118219</v>
      </c>
      <c r="BL646" t="s">
        <v>69</v>
      </c>
      <c r="BM646" t="s">
        <v>69</v>
      </c>
      <c r="BN646">
        <v>14</v>
      </c>
      <c r="BO646" t="s">
        <v>13875</v>
      </c>
      <c r="BP646" t="s">
        <v>8661</v>
      </c>
      <c r="BQ646" t="s">
        <v>13876</v>
      </c>
      <c r="BR646" t="s">
        <v>27185</v>
      </c>
      <c r="BS646" t="s">
        <v>27186</v>
      </c>
      <c r="BT646" t="s">
        <v>69</v>
      </c>
      <c r="BU646" t="s">
        <v>10423</v>
      </c>
      <c r="BV646" t="s">
        <v>69</v>
      </c>
      <c r="BW646" t="s">
        <v>69</v>
      </c>
      <c r="BX646" t="s">
        <v>8526</v>
      </c>
      <c r="BY646" t="str">
        <f>HYPERLINK("https%3A%2F%2Fwww.webofscience.com%2Fwos%2Fwoscc%2Ffull-record%2FWOS:000306672500005","View Full Record in Web of Science")</f>
        <v>View Full Record in Web of Science</v>
      </c>
    </row>
    <row r="647" spans="1:77" ht="12.5" x14ac:dyDescent="0.25">
      <c r="A647" t="s">
        <v>8495</v>
      </c>
      <c r="B647" s="22" t="s">
        <v>32931</v>
      </c>
      <c r="C647" s="7"/>
      <c r="D647" s="7"/>
      <c r="E647" s="7"/>
      <c r="F647" t="s">
        <v>67</v>
      </c>
      <c r="G647" t="s">
        <v>7986</v>
      </c>
      <c r="H647" t="s">
        <v>69</v>
      </c>
      <c r="I647" t="s">
        <v>69</v>
      </c>
      <c r="J647" t="s">
        <v>69</v>
      </c>
      <c r="K647" t="s">
        <v>7986</v>
      </c>
      <c r="L647" t="s">
        <v>69</v>
      </c>
      <c r="M647" t="s">
        <v>69</v>
      </c>
      <c r="N647" t="s">
        <v>31733</v>
      </c>
      <c r="O647" t="s">
        <v>31704</v>
      </c>
      <c r="P647" t="s">
        <v>69</v>
      </c>
      <c r="Q647" t="s">
        <v>69</v>
      </c>
      <c r="R647" t="s">
        <v>12534</v>
      </c>
      <c r="S647" t="s">
        <v>8506</v>
      </c>
      <c r="T647" t="s">
        <v>69</v>
      </c>
      <c r="U647" t="s">
        <v>69</v>
      </c>
      <c r="V647" t="s">
        <v>69</v>
      </c>
      <c r="W647" t="s">
        <v>69</v>
      </c>
      <c r="X647" t="s">
        <v>69</v>
      </c>
      <c r="Y647" t="s">
        <v>69</v>
      </c>
      <c r="Z647" t="s">
        <v>69</v>
      </c>
      <c r="AA647" t="s">
        <v>31734</v>
      </c>
      <c r="AB647" t="s">
        <v>69</v>
      </c>
      <c r="AC647" t="s">
        <v>69</v>
      </c>
      <c r="AD647" t="s">
        <v>69</v>
      </c>
      <c r="AE647" t="s">
        <v>69</v>
      </c>
      <c r="AF647" t="s">
        <v>69</v>
      </c>
      <c r="AG647" t="s">
        <v>69</v>
      </c>
      <c r="AH647" t="s">
        <v>69</v>
      </c>
      <c r="AI647" t="s">
        <v>69</v>
      </c>
      <c r="AJ647" t="s">
        <v>69</v>
      </c>
      <c r="AK647" t="s">
        <v>69</v>
      </c>
      <c r="AL647">
        <v>0</v>
      </c>
      <c r="AM647">
        <v>0</v>
      </c>
      <c r="AN647">
        <v>0</v>
      </c>
      <c r="AO647">
        <v>1</v>
      </c>
      <c r="AP647">
        <v>1</v>
      </c>
      <c r="AQ647" t="s">
        <v>30767</v>
      </c>
      <c r="AR647" t="s">
        <v>30768</v>
      </c>
      <c r="AS647" t="s">
        <v>30769</v>
      </c>
      <c r="AT647" t="s">
        <v>12505</v>
      </c>
      <c r="AU647" t="s">
        <v>69</v>
      </c>
      <c r="AV647" t="s">
        <v>69</v>
      </c>
      <c r="AW647" t="s">
        <v>31708</v>
      </c>
      <c r="AX647" t="s">
        <v>31709</v>
      </c>
      <c r="AY647" t="s">
        <v>274</v>
      </c>
      <c r="AZ647">
        <v>2000</v>
      </c>
      <c r="BA647">
        <v>45</v>
      </c>
      <c r="BB647">
        <v>11</v>
      </c>
      <c r="BC647" t="s">
        <v>69</v>
      </c>
      <c r="BD647" t="s">
        <v>69</v>
      </c>
      <c r="BE647" t="s">
        <v>69</v>
      </c>
      <c r="BF647" t="s">
        <v>69</v>
      </c>
      <c r="BG647">
        <v>661</v>
      </c>
      <c r="BH647" t="s">
        <v>219</v>
      </c>
      <c r="BI647" t="s">
        <v>69</v>
      </c>
      <c r="BJ647" t="s">
        <v>69</v>
      </c>
      <c r="BK647" t="s">
        <v>69</v>
      </c>
      <c r="BL647" t="s">
        <v>69</v>
      </c>
      <c r="BM647" t="s">
        <v>69</v>
      </c>
      <c r="BN647">
        <v>3</v>
      </c>
      <c r="BO647" t="s">
        <v>12508</v>
      </c>
      <c r="BP647" t="s">
        <v>8548</v>
      </c>
      <c r="BQ647" t="s">
        <v>12508</v>
      </c>
      <c r="BR647" t="s">
        <v>31735</v>
      </c>
      <c r="BS647" t="s">
        <v>31736</v>
      </c>
      <c r="BT647" t="s">
        <v>69</v>
      </c>
      <c r="BU647" t="s">
        <v>69</v>
      </c>
      <c r="BV647" t="s">
        <v>69</v>
      </c>
      <c r="BW647" t="s">
        <v>69</v>
      </c>
      <c r="BX647" t="s">
        <v>8526</v>
      </c>
      <c r="BY647" t="str">
        <f>HYPERLINK("https%3A%2F%2Fwww.webofscience.com%2Fwos%2Fwoscc%2Ffull-record%2FWOS:000165901400004","View Full Record in Web of Science")</f>
        <v>View Full Record in Web of Science</v>
      </c>
    </row>
    <row r="648" spans="1:77" ht="12.5" x14ac:dyDescent="0.25">
      <c r="A648" t="s">
        <v>8495</v>
      </c>
      <c r="B648" s="7" t="s">
        <v>32933</v>
      </c>
      <c r="C648" s="7"/>
      <c r="D648" s="7"/>
      <c r="E648" s="7"/>
      <c r="F648" t="s">
        <v>67</v>
      </c>
      <c r="G648" t="s">
        <v>4559</v>
      </c>
      <c r="H648" t="s">
        <v>69</v>
      </c>
      <c r="I648" t="s">
        <v>69</v>
      </c>
      <c r="J648" t="s">
        <v>69</v>
      </c>
      <c r="K648" t="s">
        <v>4560</v>
      </c>
      <c r="L648" t="s">
        <v>69</v>
      </c>
      <c r="M648" t="s">
        <v>69</v>
      </c>
      <c r="N648" t="s">
        <v>4561</v>
      </c>
      <c r="O648" t="s">
        <v>632</v>
      </c>
      <c r="P648" t="s">
        <v>69</v>
      </c>
      <c r="Q648" t="s">
        <v>69</v>
      </c>
      <c r="R648" t="s">
        <v>8505</v>
      </c>
      <c r="S648" t="s">
        <v>8506</v>
      </c>
      <c r="T648" t="s">
        <v>69</v>
      </c>
      <c r="U648" t="s">
        <v>69</v>
      </c>
      <c r="V648" t="s">
        <v>69</v>
      </c>
      <c r="W648" t="s">
        <v>69</v>
      </c>
      <c r="X648" t="s">
        <v>69</v>
      </c>
      <c r="Y648" t="s">
        <v>25785</v>
      </c>
      <c r="Z648" t="s">
        <v>25786</v>
      </c>
      <c r="AA648" t="s">
        <v>4562</v>
      </c>
      <c r="AB648" t="s">
        <v>25787</v>
      </c>
      <c r="AC648" t="s">
        <v>69</v>
      </c>
      <c r="AD648" t="s">
        <v>25788</v>
      </c>
      <c r="AE648" t="s">
        <v>25789</v>
      </c>
      <c r="AF648" t="s">
        <v>4563</v>
      </c>
      <c r="AG648" t="s">
        <v>4564</v>
      </c>
      <c r="AH648" t="s">
        <v>25790</v>
      </c>
      <c r="AI648" t="s">
        <v>25790</v>
      </c>
      <c r="AJ648" t="s">
        <v>25791</v>
      </c>
      <c r="AK648" t="s">
        <v>69</v>
      </c>
      <c r="AL648">
        <v>40</v>
      </c>
      <c r="AM648">
        <v>8</v>
      </c>
      <c r="AN648">
        <v>8</v>
      </c>
      <c r="AO648">
        <v>1</v>
      </c>
      <c r="AP648">
        <v>33</v>
      </c>
      <c r="AQ648" t="s">
        <v>8516</v>
      </c>
      <c r="AR648" t="s">
        <v>8517</v>
      </c>
      <c r="AS648" t="s">
        <v>8518</v>
      </c>
      <c r="AT648" t="s">
        <v>634</v>
      </c>
      <c r="AU648" t="s">
        <v>635</v>
      </c>
      <c r="AV648" t="s">
        <v>69</v>
      </c>
      <c r="AW648" t="s">
        <v>8714</v>
      </c>
      <c r="AX648" t="s">
        <v>8715</v>
      </c>
      <c r="AY648" t="s">
        <v>2982</v>
      </c>
      <c r="AZ648">
        <v>2012</v>
      </c>
      <c r="BA648">
        <v>437</v>
      </c>
      <c r="BB648" t="s">
        <v>69</v>
      </c>
      <c r="BC648" t="s">
        <v>69</v>
      </c>
      <c r="BD648" t="s">
        <v>69</v>
      </c>
      <c r="BE648" t="s">
        <v>69</v>
      </c>
      <c r="BF648" t="s">
        <v>69</v>
      </c>
      <c r="BG648">
        <v>245</v>
      </c>
      <c r="BH648">
        <v>254</v>
      </c>
      <c r="BI648" t="s">
        <v>69</v>
      </c>
      <c r="BJ648" t="s">
        <v>4565</v>
      </c>
      <c r="BK648" t="str">
        <f>HYPERLINK("http://dx.doi.org/10.1016/j.scitotenv.2012.07.067","http://dx.doi.org/10.1016/j.scitotenv.2012.07.067")</f>
        <v>http://dx.doi.org/10.1016/j.scitotenv.2012.07.067</v>
      </c>
      <c r="BL648" t="s">
        <v>69</v>
      </c>
      <c r="BM648" t="s">
        <v>69</v>
      </c>
      <c r="BN648">
        <v>10</v>
      </c>
      <c r="BO648" t="s">
        <v>8717</v>
      </c>
      <c r="BP648" t="s">
        <v>8523</v>
      </c>
      <c r="BQ648" t="s">
        <v>8662</v>
      </c>
      <c r="BR648" t="s">
        <v>25792</v>
      </c>
      <c r="BS648" t="s">
        <v>4566</v>
      </c>
      <c r="BT648">
        <v>22944216</v>
      </c>
      <c r="BU648" t="s">
        <v>69</v>
      </c>
      <c r="BV648" t="s">
        <v>69</v>
      </c>
      <c r="BW648" t="s">
        <v>69</v>
      </c>
      <c r="BX648" t="s">
        <v>8526</v>
      </c>
      <c r="BY648" t="str">
        <f>HYPERLINK("https%3A%2F%2Fwww.webofscience.com%2Fwos%2Fwoscc%2Ffull-record%2FWOS:000310941000029","View Full Record in Web of Science")</f>
        <v>View Full Record in Web of Science</v>
      </c>
    </row>
    <row r="649" spans="1:77" ht="12.5" x14ac:dyDescent="0.25">
      <c r="A649" t="s">
        <v>8495</v>
      </c>
      <c r="B649" s="7" t="s">
        <v>32933</v>
      </c>
      <c r="C649" s="7"/>
      <c r="D649" s="7"/>
      <c r="E649" s="7"/>
      <c r="F649" t="s">
        <v>67</v>
      </c>
      <c r="G649" t="s">
        <v>4584</v>
      </c>
      <c r="H649" t="s">
        <v>69</v>
      </c>
      <c r="I649" t="s">
        <v>69</v>
      </c>
      <c r="J649" t="s">
        <v>69</v>
      </c>
      <c r="K649" t="s">
        <v>4585</v>
      </c>
      <c r="L649" t="s">
        <v>69</v>
      </c>
      <c r="M649" t="s">
        <v>69</v>
      </c>
      <c r="N649" t="s">
        <v>4586</v>
      </c>
      <c r="O649" t="s">
        <v>179</v>
      </c>
      <c r="P649" t="s">
        <v>69</v>
      </c>
      <c r="Q649" t="s">
        <v>69</v>
      </c>
      <c r="R649" t="s">
        <v>8505</v>
      </c>
      <c r="S649" t="s">
        <v>8506</v>
      </c>
      <c r="T649" t="s">
        <v>69</v>
      </c>
      <c r="U649" t="s">
        <v>69</v>
      </c>
      <c r="V649" t="s">
        <v>69</v>
      </c>
      <c r="W649" t="s">
        <v>69</v>
      </c>
      <c r="X649" t="s">
        <v>69</v>
      </c>
      <c r="Y649" t="s">
        <v>30131</v>
      </c>
      <c r="Z649" t="s">
        <v>30132</v>
      </c>
      <c r="AA649" t="s">
        <v>4587</v>
      </c>
      <c r="AB649" t="s">
        <v>30133</v>
      </c>
      <c r="AC649" t="s">
        <v>69</v>
      </c>
      <c r="AD649" t="s">
        <v>30134</v>
      </c>
      <c r="AE649" t="s">
        <v>30135</v>
      </c>
      <c r="AF649" t="s">
        <v>69</v>
      </c>
      <c r="AG649" t="s">
        <v>69</v>
      </c>
      <c r="AH649" t="s">
        <v>69</v>
      </c>
      <c r="AI649" t="s">
        <v>69</v>
      </c>
      <c r="AJ649" t="s">
        <v>69</v>
      </c>
      <c r="AK649" t="s">
        <v>69</v>
      </c>
      <c r="AL649">
        <v>76</v>
      </c>
      <c r="AM649">
        <v>54</v>
      </c>
      <c r="AN649">
        <v>59</v>
      </c>
      <c r="AO649">
        <v>4</v>
      </c>
      <c r="AP649">
        <v>70</v>
      </c>
      <c r="AQ649" t="s">
        <v>9047</v>
      </c>
      <c r="AR649" t="s">
        <v>8693</v>
      </c>
      <c r="AS649" t="s">
        <v>11784</v>
      </c>
      <c r="AT649" t="s">
        <v>181</v>
      </c>
      <c r="AU649" t="s">
        <v>182</v>
      </c>
      <c r="AV649" t="s">
        <v>69</v>
      </c>
      <c r="AW649" t="s">
        <v>17432</v>
      </c>
      <c r="AX649" t="s">
        <v>17433</v>
      </c>
      <c r="AY649" t="s">
        <v>274</v>
      </c>
      <c r="AZ649">
        <v>2006</v>
      </c>
      <c r="BA649">
        <v>38</v>
      </c>
      <c r="BB649">
        <v>5</v>
      </c>
      <c r="BC649" t="s">
        <v>69</v>
      </c>
      <c r="BD649" t="s">
        <v>69</v>
      </c>
      <c r="BE649" t="s">
        <v>69</v>
      </c>
      <c r="BF649" t="s">
        <v>69</v>
      </c>
      <c r="BG649">
        <v>853</v>
      </c>
      <c r="BH649">
        <v>866</v>
      </c>
      <c r="BI649" t="s">
        <v>69</v>
      </c>
      <c r="BJ649" t="s">
        <v>4588</v>
      </c>
      <c r="BK649" t="str">
        <f>HYPERLINK("http://dx.doi.org/10.1007/s00267-005-0306-z","http://dx.doi.org/10.1007/s00267-005-0306-z")</f>
        <v>http://dx.doi.org/10.1007/s00267-005-0306-z</v>
      </c>
      <c r="BL649" t="s">
        <v>69</v>
      </c>
      <c r="BM649" t="s">
        <v>69</v>
      </c>
      <c r="BN649">
        <v>14</v>
      </c>
      <c r="BO649" t="s">
        <v>8717</v>
      </c>
      <c r="BP649" t="s">
        <v>8523</v>
      </c>
      <c r="BQ649" t="s">
        <v>8662</v>
      </c>
      <c r="BR649" t="s">
        <v>30136</v>
      </c>
      <c r="BS649" t="s">
        <v>4589</v>
      </c>
      <c r="BT649">
        <v>16955232</v>
      </c>
      <c r="BU649" t="s">
        <v>69</v>
      </c>
      <c r="BV649" t="s">
        <v>69</v>
      </c>
      <c r="BW649" t="s">
        <v>69</v>
      </c>
      <c r="BX649" t="s">
        <v>8526</v>
      </c>
      <c r="BY649" t="str">
        <f>HYPERLINK("https%3A%2F%2Fwww.webofscience.com%2Fwos%2Fwoscc%2Ffull-record%2FWOS:000241104500012","View Full Record in Web of Science")</f>
        <v>View Full Record in Web of Science</v>
      </c>
    </row>
    <row r="650" spans="1:77" x14ac:dyDescent="0.3">
      <c r="A650" t="s">
        <v>8495</v>
      </c>
      <c r="B650" s="12" t="s">
        <v>32983</v>
      </c>
      <c r="F650" t="s">
        <v>67</v>
      </c>
      <c r="G650" t="s">
        <v>554</v>
      </c>
      <c r="H650" t="s">
        <v>69</v>
      </c>
      <c r="I650" t="s">
        <v>69</v>
      </c>
      <c r="J650" t="s">
        <v>69</v>
      </c>
      <c r="K650" s="3" t="s">
        <v>555</v>
      </c>
      <c r="L650" t="s">
        <v>69</v>
      </c>
      <c r="M650" t="s">
        <v>69</v>
      </c>
      <c r="N650" s="14" t="s">
        <v>8397</v>
      </c>
      <c r="O650" t="s">
        <v>556</v>
      </c>
      <c r="P650" t="s">
        <v>69</v>
      </c>
      <c r="Q650" t="s">
        <v>69</v>
      </c>
      <c r="R650" t="s">
        <v>8505</v>
      </c>
      <c r="S650" t="s">
        <v>8506</v>
      </c>
      <c r="T650" t="s">
        <v>69</v>
      </c>
      <c r="U650" t="s">
        <v>69</v>
      </c>
      <c r="V650" t="s">
        <v>69</v>
      </c>
      <c r="W650" t="s">
        <v>69</v>
      </c>
      <c r="X650" t="s">
        <v>69</v>
      </c>
      <c r="Y650" t="s">
        <v>28775</v>
      </c>
      <c r="Z650" t="s">
        <v>69</v>
      </c>
      <c r="AA650" t="s">
        <v>557</v>
      </c>
      <c r="AB650" t="s">
        <v>28776</v>
      </c>
      <c r="AC650" t="s">
        <v>69</v>
      </c>
      <c r="AD650" t="s">
        <v>28777</v>
      </c>
      <c r="AE650" t="s">
        <v>28778</v>
      </c>
      <c r="AF650" t="s">
        <v>69</v>
      </c>
      <c r="AG650" t="s">
        <v>558</v>
      </c>
      <c r="AH650" t="s">
        <v>69</v>
      </c>
      <c r="AI650" t="s">
        <v>69</v>
      </c>
      <c r="AJ650" t="s">
        <v>69</v>
      </c>
      <c r="AK650" t="s">
        <v>69</v>
      </c>
      <c r="AL650">
        <v>43</v>
      </c>
      <c r="AM650">
        <v>8</v>
      </c>
      <c r="AN650">
        <v>8</v>
      </c>
      <c r="AO650">
        <v>0</v>
      </c>
      <c r="AP650">
        <v>9</v>
      </c>
      <c r="AQ650" t="s">
        <v>8865</v>
      </c>
      <c r="AR650" t="s">
        <v>8612</v>
      </c>
      <c r="AS650" t="s">
        <v>22341</v>
      </c>
      <c r="AT650" t="s">
        <v>559</v>
      </c>
      <c r="AU650" t="s">
        <v>69</v>
      </c>
      <c r="AV650" t="s">
        <v>69</v>
      </c>
      <c r="AW650" t="s">
        <v>28779</v>
      </c>
      <c r="AX650" t="s">
        <v>28780</v>
      </c>
      <c r="AY650" t="s">
        <v>69</v>
      </c>
      <c r="AZ650">
        <v>2009</v>
      </c>
      <c r="BA650">
        <v>12</v>
      </c>
      <c r="BB650">
        <v>1</v>
      </c>
      <c r="BC650" t="s">
        <v>69</v>
      </c>
      <c r="BD650" t="s">
        <v>69</v>
      </c>
      <c r="BE650" t="s">
        <v>69</v>
      </c>
      <c r="BF650" t="s">
        <v>69</v>
      </c>
      <c r="BG650">
        <v>110</v>
      </c>
      <c r="BH650">
        <v>127</v>
      </c>
      <c r="BI650" t="s">
        <v>69</v>
      </c>
      <c r="BJ650" t="s">
        <v>560</v>
      </c>
      <c r="BK650" t="str">
        <f>HYPERLINK("http://dx.doi.org/10.1080/13691180802109030","http://dx.doi.org/10.1080/13691180802109030")</f>
        <v>http://dx.doi.org/10.1080/13691180802109030</v>
      </c>
      <c r="BL650" t="s">
        <v>69</v>
      </c>
      <c r="BM650" t="s">
        <v>69</v>
      </c>
      <c r="BN650">
        <v>18</v>
      </c>
      <c r="BO650" t="s">
        <v>28781</v>
      </c>
      <c r="BP650" t="s">
        <v>8661</v>
      </c>
      <c r="BQ650" t="s">
        <v>28781</v>
      </c>
      <c r="BR650" t="s">
        <v>28782</v>
      </c>
      <c r="BS650" t="s">
        <v>561</v>
      </c>
      <c r="BT650" t="s">
        <v>69</v>
      </c>
      <c r="BU650" t="s">
        <v>69</v>
      </c>
      <c r="BV650" t="s">
        <v>69</v>
      </c>
      <c r="BW650" t="s">
        <v>69</v>
      </c>
      <c r="BX650" t="s">
        <v>8526</v>
      </c>
      <c r="BY650" t="str">
        <f>HYPERLINK("https%3A%2F%2Fwww.webofscience.com%2Fwos%2Fwoscc%2Ffull-record%2FWOS:000207870700005","View Full Record in Web of Science")</f>
        <v>View Full Record in Web of Science</v>
      </c>
    </row>
    <row r="651" spans="1:77" x14ac:dyDescent="0.3">
      <c r="A651" t="s">
        <v>8495</v>
      </c>
      <c r="B651" s="9" t="s">
        <v>32954</v>
      </c>
      <c r="C651" s="9" t="s">
        <v>33073</v>
      </c>
      <c r="E651" s="9" t="s">
        <v>8490</v>
      </c>
      <c r="F651" t="s">
        <v>67</v>
      </c>
      <c r="G651" t="s">
        <v>26217</v>
      </c>
      <c r="H651" t="s">
        <v>69</v>
      </c>
      <c r="I651" t="s">
        <v>69</v>
      </c>
      <c r="J651" t="s">
        <v>69</v>
      </c>
      <c r="K651" t="s">
        <v>26218</v>
      </c>
      <c r="L651" t="s">
        <v>69</v>
      </c>
      <c r="M651" t="s">
        <v>69</v>
      </c>
      <c r="N651" t="s">
        <v>26219</v>
      </c>
      <c r="O651" t="s">
        <v>5392</v>
      </c>
      <c r="P651" t="s">
        <v>69</v>
      </c>
      <c r="Q651" t="s">
        <v>69</v>
      </c>
      <c r="R651" t="s">
        <v>8505</v>
      </c>
      <c r="S651" t="s">
        <v>8506</v>
      </c>
      <c r="T651" t="s">
        <v>69</v>
      </c>
      <c r="U651" t="s">
        <v>69</v>
      </c>
      <c r="V651" t="s">
        <v>69</v>
      </c>
      <c r="W651" t="s">
        <v>69</v>
      </c>
      <c r="X651" t="s">
        <v>69</v>
      </c>
      <c r="Y651" t="s">
        <v>26220</v>
      </c>
      <c r="Z651" t="s">
        <v>26221</v>
      </c>
      <c r="AA651" t="s">
        <v>26222</v>
      </c>
      <c r="AB651" t="s">
        <v>26223</v>
      </c>
      <c r="AC651" t="s">
        <v>69</v>
      </c>
      <c r="AD651" t="s">
        <v>26224</v>
      </c>
      <c r="AE651" t="s">
        <v>26225</v>
      </c>
      <c r="AF651" t="s">
        <v>26226</v>
      </c>
      <c r="AG651" t="s">
        <v>26227</v>
      </c>
      <c r="AH651" t="s">
        <v>69</v>
      </c>
      <c r="AI651" t="s">
        <v>69</v>
      </c>
      <c r="AJ651" t="s">
        <v>69</v>
      </c>
      <c r="AK651" t="s">
        <v>69</v>
      </c>
      <c r="AL651">
        <v>49</v>
      </c>
      <c r="AM651">
        <v>7</v>
      </c>
      <c r="AN651">
        <v>7</v>
      </c>
      <c r="AO651">
        <v>3</v>
      </c>
      <c r="AP651">
        <v>17</v>
      </c>
      <c r="AQ651" t="s">
        <v>21296</v>
      </c>
      <c r="AR651" t="s">
        <v>21297</v>
      </c>
      <c r="AS651" t="s">
        <v>21298</v>
      </c>
      <c r="AT651" t="s">
        <v>5394</v>
      </c>
      <c r="AU651" t="s">
        <v>8294</v>
      </c>
      <c r="AV651" t="s">
        <v>69</v>
      </c>
      <c r="AW651" t="s">
        <v>21299</v>
      </c>
      <c r="AX651" t="s">
        <v>21300</v>
      </c>
      <c r="AY651" t="s">
        <v>69</v>
      </c>
      <c r="AZ651">
        <v>2012</v>
      </c>
      <c r="BA651">
        <v>7</v>
      </c>
      <c r="BB651">
        <v>3</v>
      </c>
      <c r="BC651" t="s">
        <v>69</v>
      </c>
      <c r="BD651" t="s">
        <v>69</v>
      </c>
      <c r="BE651" t="s">
        <v>69</v>
      </c>
      <c r="BF651" t="s">
        <v>69</v>
      </c>
      <c r="BG651">
        <v>193</v>
      </c>
      <c r="BH651">
        <v>209</v>
      </c>
      <c r="BI651" t="s">
        <v>69</v>
      </c>
      <c r="BJ651" t="s">
        <v>26228</v>
      </c>
      <c r="BK651" t="str">
        <f>HYPERLINK("http://dx.doi.org/10.3992/1943-4618-7.3.193","http://dx.doi.org/10.3992/1943-4618-7.3.193")</f>
        <v>http://dx.doi.org/10.3992/1943-4618-7.3.193</v>
      </c>
      <c r="BL651" t="s">
        <v>69</v>
      </c>
      <c r="BM651" t="s">
        <v>69</v>
      </c>
      <c r="BN651">
        <v>17</v>
      </c>
      <c r="BO651" t="s">
        <v>8449</v>
      </c>
      <c r="BP651" t="s">
        <v>11207</v>
      </c>
      <c r="BQ651" t="s">
        <v>8449</v>
      </c>
      <c r="BR651" t="s">
        <v>26229</v>
      </c>
      <c r="BS651" t="s">
        <v>26230</v>
      </c>
      <c r="BT651" t="s">
        <v>69</v>
      </c>
      <c r="BU651" t="s">
        <v>8622</v>
      </c>
      <c r="BV651" t="s">
        <v>69</v>
      </c>
      <c r="BW651" t="s">
        <v>69</v>
      </c>
      <c r="BX651" t="s">
        <v>8526</v>
      </c>
      <c r="BY651" t="str">
        <f>HYPERLINK("https%3A%2F%2Fwww.webofscience.com%2Fwos%2Fwoscc%2Ffull-record%2FWOS:000322715200012","View Full Record in Web of Science")</f>
        <v>View Full Record in Web of Science</v>
      </c>
    </row>
    <row r="652" spans="1:77" ht="12.5" x14ac:dyDescent="0.25">
      <c r="A652" t="s">
        <v>8495</v>
      </c>
      <c r="B652" s="7" t="s">
        <v>32933</v>
      </c>
      <c r="C652" s="7"/>
      <c r="D652" s="7"/>
      <c r="E652" s="7"/>
      <c r="F652" t="s">
        <v>67</v>
      </c>
      <c r="G652" t="s">
        <v>1339</v>
      </c>
      <c r="H652" t="s">
        <v>69</v>
      </c>
      <c r="I652" t="s">
        <v>69</v>
      </c>
      <c r="J652" t="s">
        <v>69</v>
      </c>
      <c r="K652" t="s">
        <v>1340</v>
      </c>
      <c r="L652" t="s">
        <v>69</v>
      </c>
      <c r="M652" t="s">
        <v>69</v>
      </c>
      <c r="N652" t="s">
        <v>1341</v>
      </c>
      <c r="O652" t="s">
        <v>1342</v>
      </c>
      <c r="P652" t="s">
        <v>69</v>
      </c>
      <c r="Q652" t="s">
        <v>69</v>
      </c>
      <c r="R652" t="s">
        <v>8505</v>
      </c>
      <c r="S652" t="s">
        <v>8506</v>
      </c>
      <c r="T652" t="s">
        <v>69</v>
      </c>
      <c r="U652" t="s">
        <v>69</v>
      </c>
      <c r="V652" t="s">
        <v>69</v>
      </c>
      <c r="W652" t="s">
        <v>69</v>
      </c>
      <c r="X652" t="s">
        <v>69</v>
      </c>
      <c r="Y652" t="s">
        <v>23481</v>
      </c>
      <c r="Z652" t="s">
        <v>23482</v>
      </c>
      <c r="AA652" t="s">
        <v>1343</v>
      </c>
      <c r="AB652" t="s">
        <v>23483</v>
      </c>
      <c r="AC652" t="s">
        <v>69</v>
      </c>
      <c r="AD652" t="s">
        <v>23484</v>
      </c>
      <c r="AE652" t="s">
        <v>23485</v>
      </c>
      <c r="AF652" t="s">
        <v>69</v>
      </c>
      <c r="AG652" t="s">
        <v>69</v>
      </c>
      <c r="AH652" t="s">
        <v>69</v>
      </c>
      <c r="AI652" t="s">
        <v>69</v>
      </c>
      <c r="AJ652" t="s">
        <v>69</v>
      </c>
      <c r="AK652" t="s">
        <v>69</v>
      </c>
      <c r="AL652">
        <v>47</v>
      </c>
      <c r="AM652">
        <v>10</v>
      </c>
      <c r="AN652">
        <v>10</v>
      </c>
      <c r="AO652">
        <v>0</v>
      </c>
      <c r="AP652">
        <v>3</v>
      </c>
      <c r="AQ652" t="s">
        <v>21110</v>
      </c>
      <c r="AR652" t="s">
        <v>8847</v>
      </c>
      <c r="AS652" t="s">
        <v>8848</v>
      </c>
      <c r="AT652" t="s">
        <v>1344</v>
      </c>
      <c r="AU652" t="s">
        <v>1345</v>
      </c>
      <c r="AV652" t="s">
        <v>69</v>
      </c>
      <c r="AW652" t="s">
        <v>23486</v>
      </c>
      <c r="AX652" t="s">
        <v>23487</v>
      </c>
      <c r="AY652" t="s">
        <v>274</v>
      </c>
      <c r="AZ652">
        <v>2014</v>
      </c>
      <c r="BA652">
        <v>52</v>
      </c>
      <c r="BB652">
        <v>4</v>
      </c>
      <c r="BC652" t="s">
        <v>69</v>
      </c>
      <c r="BD652" t="s">
        <v>69</v>
      </c>
      <c r="BE652" t="s">
        <v>114</v>
      </c>
      <c r="BF652" t="s">
        <v>69</v>
      </c>
      <c r="BG652">
        <v>411</v>
      </c>
      <c r="BH652">
        <v>429</v>
      </c>
      <c r="BI652" t="s">
        <v>69</v>
      </c>
      <c r="BJ652" t="s">
        <v>1346</v>
      </c>
      <c r="BK652" t="str">
        <f>HYPERLINK("http://dx.doi.org/10.1111/1745-5871.12083","http://dx.doi.org/10.1111/1745-5871.12083")</f>
        <v>http://dx.doi.org/10.1111/1745-5871.12083</v>
      </c>
      <c r="BL652" t="s">
        <v>69</v>
      </c>
      <c r="BM652" t="s">
        <v>69</v>
      </c>
      <c r="BN652">
        <v>19</v>
      </c>
      <c r="BO652" t="s">
        <v>8446</v>
      </c>
      <c r="BP652" t="s">
        <v>8661</v>
      </c>
      <c r="BQ652" t="s">
        <v>8446</v>
      </c>
      <c r="BR652" t="s">
        <v>23488</v>
      </c>
      <c r="BS652" t="s">
        <v>1347</v>
      </c>
      <c r="BT652" t="s">
        <v>69</v>
      </c>
      <c r="BU652" t="s">
        <v>69</v>
      </c>
      <c r="BV652" t="s">
        <v>69</v>
      </c>
      <c r="BW652" t="s">
        <v>69</v>
      </c>
      <c r="BX652" t="s">
        <v>8526</v>
      </c>
      <c r="BY652" t="str">
        <f>HYPERLINK("https%3A%2F%2Fwww.webofscience.com%2Fwos%2Fwoscc%2Ffull-record%2FWOS:000344522100008","View Full Record in Web of Science")</f>
        <v>View Full Record in Web of Science</v>
      </c>
    </row>
    <row r="653" spans="1:77" ht="12.5" x14ac:dyDescent="0.25">
      <c r="A653" t="s">
        <v>8495</v>
      </c>
      <c r="B653" s="22" t="s">
        <v>32931</v>
      </c>
      <c r="C653" s="7"/>
      <c r="D653" s="7"/>
      <c r="E653" s="7"/>
      <c r="F653" t="s">
        <v>67</v>
      </c>
      <c r="G653" t="s">
        <v>16942</v>
      </c>
      <c r="H653" t="s">
        <v>69</v>
      </c>
      <c r="I653" t="s">
        <v>69</v>
      </c>
      <c r="J653" t="s">
        <v>69</v>
      </c>
      <c r="K653" t="s">
        <v>16943</v>
      </c>
      <c r="L653" t="s">
        <v>69</v>
      </c>
      <c r="M653" t="s">
        <v>69</v>
      </c>
      <c r="N653" t="s">
        <v>16944</v>
      </c>
      <c r="O653" t="s">
        <v>9437</v>
      </c>
      <c r="P653" t="s">
        <v>69</v>
      </c>
      <c r="Q653" t="s">
        <v>69</v>
      </c>
      <c r="R653" t="s">
        <v>8505</v>
      </c>
      <c r="S653" t="s">
        <v>8506</v>
      </c>
      <c r="T653" t="s">
        <v>69</v>
      </c>
      <c r="U653" t="s">
        <v>69</v>
      </c>
      <c r="V653" t="s">
        <v>69</v>
      </c>
      <c r="W653" t="s">
        <v>69</v>
      </c>
      <c r="X653" t="s">
        <v>69</v>
      </c>
      <c r="Y653" t="s">
        <v>69</v>
      </c>
      <c r="Z653" t="s">
        <v>16945</v>
      </c>
      <c r="AA653" t="s">
        <v>16946</v>
      </c>
      <c r="AB653" t="s">
        <v>16947</v>
      </c>
      <c r="AC653" t="s">
        <v>69</v>
      </c>
      <c r="AD653" t="s">
        <v>16948</v>
      </c>
      <c r="AE653" t="s">
        <v>16949</v>
      </c>
      <c r="AF653" t="s">
        <v>69</v>
      </c>
      <c r="AG653" t="s">
        <v>16950</v>
      </c>
      <c r="AH653" t="s">
        <v>16951</v>
      </c>
      <c r="AI653" t="s">
        <v>16952</v>
      </c>
      <c r="AJ653" t="s">
        <v>16953</v>
      </c>
      <c r="AK653" t="s">
        <v>69</v>
      </c>
      <c r="AL653">
        <v>50</v>
      </c>
      <c r="AM653">
        <v>5</v>
      </c>
      <c r="AN653">
        <v>5</v>
      </c>
      <c r="AO653">
        <v>0</v>
      </c>
      <c r="AP653">
        <v>1</v>
      </c>
      <c r="AQ653" t="s">
        <v>9178</v>
      </c>
      <c r="AR653" t="s">
        <v>8763</v>
      </c>
      <c r="AS653" t="s">
        <v>9179</v>
      </c>
      <c r="AT653" t="s">
        <v>9446</v>
      </c>
      <c r="AU653" t="s">
        <v>69</v>
      </c>
      <c r="AV653" t="s">
        <v>69</v>
      </c>
      <c r="AW653" t="s">
        <v>9437</v>
      </c>
      <c r="AX653" t="s">
        <v>9447</v>
      </c>
      <c r="AY653" t="s">
        <v>201</v>
      </c>
      <c r="AZ653">
        <v>2019</v>
      </c>
      <c r="BA653">
        <v>9</v>
      </c>
      <c r="BB653">
        <v>7</v>
      </c>
      <c r="BC653" t="s">
        <v>69</v>
      </c>
      <c r="BD653" t="s">
        <v>69</v>
      </c>
      <c r="BE653" t="s">
        <v>69</v>
      </c>
      <c r="BF653" t="s">
        <v>69</v>
      </c>
      <c r="BG653" t="s">
        <v>69</v>
      </c>
      <c r="BH653" t="s">
        <v>69</v>
      </c>
      <c r="BI653" t="s">
        <v>16954</v>
      </c>
      <c r="BJ653" t="s">
        <v>16955</v>
      </c>
      <c r="BK653" t="str">
        <f>HYPERLINK("http://dx.doi.org/10.1136/bmjopen-2018-026586","http://dx.doi.org/10.1136/bmjopen-2018-026586")</f>
        <v>http://dx.doi.org/10.1136/bmjopen-2018-026586</v>
      </c>
      <c r="BL653" t="s">
        <v>69</v>
      </c>
      <c r="BM653" t="s">
        <v>69</v>
      </c>
      <c r="BN653">
        <v>11</v>
      </c>
      <c r="BO653" t="s">
        <v>9450</v>
      </c>
      <c r="BP653" t="s">
        <v>8523</v>
      </c>
      <c r="BQ653" t="s">
        <v>9451</v>
      </c>
      <c r="BR653" t="s">
        <v>16956</v>
      </c>
      <c r="BS653" t="s">
        <v>16957</v>
      </c>
      <c r="BT653">
        <v>31272974</v>
      </c>
      <c r="BU653" t="s">
        <v>9352</v>
      </c>
      <c r="BV653" t="s">
        <v>69</v>
      </c>
      <c r="BW653" t="s">
        <v>69</v>
      </c>
      <c r="BX653" t="s">
        <v>8526</v>
      </c>
      <c r="BY653" t="str">
        <f>HYPERLINK("https%3A%2F%2Fwww.webofscience.com%2Fwos%2Fwoscc%2Ffull-record%2FWOS:000485269700379","View Full Record in Web of Science")</f>
        <v>View Full Record in Web of Science</v>
      </c>
    </row>
    <row r="654" spans="1:77" ht="12.5" x14ac:dyDescent="0.25">
      <c r="A654" t="s">
        <v>8495</v>
      </c>
      <c r="B654" s="22" t="s">
        <v>32931</v>
      </c>
      <c r="C654" s="7"/>
      <c r="D654" s="7"/>
      <c r="E654" s="7"/>
      <c r="F654" t="s">
        <v>67</v>
      </c>
      <c r="G654" t="s">
        <v>27538</v>
      </c>
      <c r="H654" t="s">
        <v>69</v>
      </c>
      <c r="I654" t="s">
        <v>69</v>
      </c>
      <c r="J654" t="s">
        <v>69</v>
      </c>
      <c r="K654" t="s">
        <v>27539</v>
      </c>
      <c r="L654" t="s">
        <v>69</v>
      </c>
      <c r="M654" t="s">
        <v>69</v>
      </c>
      <c r="N654" t="s">
        <v>27540</v>
      </c>
      <c r="O654" t="s">
        <v>7713</v>
      </c>
      <c r="P654" t="s">
        <v>69</v>
      </c>
      <c r="Q654" t="s">
        <v>69</v>
      </c>
      <c r="R654" t="s">
        <v>8505</v>
      </c>
      <c r="S654" t="s">
        <v>8506</v>
      </c>
      <c r="T654" t="s">
        <v>69</v>
      </c>
      <c r="U654" t="s">
        <v>69</v>
      </c>
      <c r="V654" t="s">
        <v>69</v>
      </c>
      <c r="W654" t="s">
        <v>69</v>
      </c>
      <c r="X654" t="s">
        <v>69</v>
      </c>
      <c r="Y654" t="s">
        <v>27541</v>
      </c>
      <c r="Z654" t="s">
        <v>27542</v>
      </c>
      <c r="AA654" t="s">
        <v>27543</v>
      </c>
      <c r="AB654" t="s">
        <v>27544</v>
      </c>
      <c r="AC654" t="s">
        <v>69</v>
      </c>
      <c r="AD654" t="s">
        <v>27545</v>
      </c>
      <c r="AE654" t="s">
        <v>27546</v>
      </c>
      <c r="AF654" t="s">
        <v>27547</v>
      </c>
      <c r="AG654" t="s">
        <v>27548</v>
      </c>
      <c r="AH654" t="s">
        <v>27549</v>
      </c>
      <c r="AI654" t="s">
        <v>27550</v>
      </c>
      <c r="AJ654" t="s">
        <v>27551</v>
      </c>
      <c r="AK654" t="s">
        <v>69</v>
      </c>
      <c r="AL654">
        <v>68</v>
      </c>
      <c r="AM654">
        <v>28</v>
      </c>
      <c r="AN654">
        <v>28</v>
      </c>
      <c r="AO654">
        <v>0</v>
      </c>
      <c r="AP654">
        <v>35</v>
      </c>
      <c r="AQ654" t="s">
        <v>9047</v>
      </c>
      <c r="AR654" t="s">
        <v>9048</v>
      </c>
      <c r="AS654" t="s">
        <v>9049</v>
      </c>
      <c r="AT654" t="s">
        <v>7715</v>
      </c>
      <c r="AU654" t="s">
        <v>9224</v>
      </c>
      <c r="AV654" t="s">
        <v>69</v>
      </c>
      <c r="AW654" t="s">
        <v>9225</v>
      </c>
      <c r="AX654" t="s">
        <v>9226</v>
      </c>
      <c r="AY654" t="s">
        <v>373</v>
      </c>
      <c r="AZ654">
        <v>2011</v>
      </c>
      <c r="BA654">
        <v>25</v>
      </c>
      <c r="BB654">
        <v>1</v>
      </c>
      <c r="BC654" t="s">
        <v>69</v>
      </c>
      <c r="BD654" t="s">
        <v>69</v>
      </c>
      <c r="BE654" t="s">
        <v>69</v>
      </c>
      <c r="BF654" t="s">
        <v>69</v>
      </c>
      <c r="BG654">
        <v>141</v>
      </c>
      <c r="BH654">
        <v>164</v>
      </c>
      <c r="BI654" t="s">
        <v>69</v>
      </c>
      <c r="BJ654" t="s">
        <v>27552</v>
      </c>
      <c r="BK654" t="str">
        <f>HYPERLINK("http://dx.doi.org/10.1007/s11269-010-9691-z","http://dx.doi.org/10.1007/s11269-010-9691-z")</f>
        <v>http://dx.doi.org/10.1007/s11269-010-9691-z</v>
      </c>
      <c r="BL654" t="s">
        <v>69</v>
      </c>
      <c r="BM654" t="s">
        <v>69</v>
      </c>
      <c r="BN654">
        <v>24</v>
      </c>
      <c r="BO654" t="s">
        <v>9229</v>
      </c>
      <c r="BP654" t="s">
        <v>8523</v>
      </c>
      <c r="BQ654" t="s">
        <v>9230</v>
      </c>
      <c r="BR654" t="s">
        <v>27553</v>
      </c>
      <c r="BS654" t="s">
        <v>27554</v>
      </c>
      <c r="BT654" t="s">
        <v>69</v>
      </c>
      <c r="BU654" t="s">
        <v>69</v>
      </c>
      <c r="BV654" t="s">
        <v>69</v>
      </c>
      <c r="BW654" t="s">
        <v>69</v>
      </c>
      <c r="BX654" t="s">
        <v>8526</v>
      </c>
      <c r="BY654" t="str">
        <f>HYPERLINK("https%3A%2F%2Fwww.webofscience.com%2Fwos%2Fwoscc%2Ffull-record%2FWOS:000285469200008","View Full Record in Web of Science")</f>
        <v>View Full Record in Web of Science</v>
      </c>
    </row>
    <row r="655" spans="1:77" ht="12.5" x14ac:dyDescent="0.25">
      <c r="A655" t="s">
        <v>8495</v>
      </c>
      <c r="B655" s="7" t="s">
        <v>32933</v>
      </c>
      <c r="C655" s="7"/>
      <c r="D655" s="7"/>
      <c r="E655" s="7"/>
      <c r="F655" t="s">
        <v>67</v>
      </c>
      <c r="G655" t="s">
        <v>2372</v>
      </c>
      <c r="H655" t="s">
        <v>69</v>
      </c>
      <c r="I655" t="s">
        <v>69</v>
      </c>
      <c r="J655" t="s">
        <v>69</v>
      </c>
      <c r="K655" t="s">
        <v>2373</v>
      </c>
      <c r="L655" t="s">
        <v>69</v>
      </c>
      <c r="M655" t="s">
        <v>69</v>
      </c>
      <c r="N655" t="s">
        <v>2374</v>
      </c>
      <c r="O655" t="s">
        <v>2375</v>
      </c>
      <c r="P655" t="s">
        <v>69</v>
      </c>
      <c r="Q655" t="s">
        <v>69</v>
      </c>
      <c r="R655" t="s">
        <v>8505</v>
      </c>
      <c r="S655" t="s">
        <v>8506</v>
      </c>
      <c r="T655" t="s">
        <v>69</v>
      </c>
      <c r="U655" t="s">
        <v>69</v>
      </c>
      <c r="V655" t="s">
        <v>69</v>
      </c>
      <c r="W655" t="s">
        <v>69</v>
      </c>
      <c r="X655" t="s">
        <v>69</v>
      </c>
      <c r="Y655" t="s">
        <v>18229</v>
      </c>
      <c r="Z655" t="s">
        <v>18230</v>
      </c>
      <c r="AA655" t="s">
        <v>2376</v>
      </c>
      <c r="AB655" t="s">
        <v>18231</v>
      </c>
      <c r="AC655" t="s">
        <v>69</v>
      </c>
      <c r="AD655" t="s">
        <v>18232</v>
      </c>
      <c r="AE655" t="s">
        <v>18233</v>
      </c>
      <c r="AF655" t="s">
        <v>2377</v>
      </c>
      <c r="AG655" t="s">
        <v>18234</v>
      </c>
      <c r="AH655" t="s">
        <v>18235</v>
      </c>
      <c r="AI655" t="s">
        <v>18236</v>
      </c>
      <c r="AJ655" t="s">
        <v>18237</v>
      </c>
      <c r="AK655" t="s">
        <v>69</v>
      </c>
      <c r="AL655">
        <v>46</v>
      </c>
      <c r="AM655">
        <v>16</v>
      </c>
      <c r="AN655">
        <v>16</v>
      </c>
      <c r="AO655">
        <v>2</v>
      </c>
      <c r="AP655">
        <v>10</v>
      </c>
      <c r="AQ655" t="s">
        <v>8692</v>
      </c>
      <c r="AR655" t="s">
        <v>8693</v>
      </c>
      <c r="AS655" t="s">
        <v>8694</v>
      </c>
      <c r="AT655" t="s">
        <v>2378</v>
      </c>
      <c r="AU655" t="s">
        <v>2379</v>
      </c>
      <c r="AV655" t="s">
        <v>69</v>
      </c>
      <c r="AW655" t="s">
        <v>18238</v>
      </c>
      <c r="AX655" t="s">
        <v>18239</v>
      </c>
      <c r="AY655" t="s">
        <v>274</v>
      </c>
      <c r="AZ655">
        <v>2018</v>
      </c>
      <c r="BA655">
        <v>19</v>
      </c>
      <c r="BB655">
        <v>11</v>
      </c>
      <c r="BC655" t="s">
        <v>69</v>
      </c>
      <c r="BD655" t="s">
        <v>69</v>
      </c>
      <c r="BE655" t="s">
        <v>69</v>
      </c>
      <c r="BF655" t="s">
        <v>69</v>
      </c>
      <c r="BG655">
        <v>948</v>
      </c>
      <c r="BH655" t="s">
        <v>219</v>
      </c>
      <c r="BI655" t="s">
        <v>69</v>
      </c>
      <c r="BJ655" t="s">
        <v>2380</v>
      </c>
      <c r="BK655" t="str">
        <f>HYPERLINK("http://dx.doi.org/10.1016/j.jamda.2018.07.004","http://dx.doi.org/10.1016/j.jamda.2018.07.004")</f>
        <v>http://dx.doi.org/10.1016/j.jamda.2018.07.004</v>
      </c>
      <c r="BL655" t="s">
        <v>69</v>
      </c>
      <c r="BM655" t="s">
        <v>69</v>
      </c>
      <c r="BN655">
        <v>23</v>
      </c>
      <c r="BO655" t="s">
        <v>18240</v>
      </c>
      <c r="BP655" t="s">
        <v>8523</v>
      </c>
      <c r="BQ655" t="s">
        <v>18240</v>
      </c>
      <c r="BR655" t="s">
        <v>18241</v>
      </c>
      <c r="BS655" t="s">
        <v>2381</v>
      </c>
      <c r="BT655">
        <v>30241987</v>
      </c>
      <c r="BU655" t="s">
        <v>10995</v>
      </c>
      <c r="BV655" t="s">
        <v>69</v>
      </c>
      <c r="BW655" t="s">
        <v>69</v>
      </c>
      <c r="BX655" t="s">
        <v>8526</v>
      </c>
      <c r="BY655" t="str">
        <f>HYPERLINK("https%3A%2F%2Fwww.webofscience.com%2Fwos%2Fwoscc%2Ffull-record%2FWOS:000448423900005","View Full Record in Web of Science")</f>
        <v>View Full Record in Web of Science</v>
      </c>
    </row>
    <row r="656" spans="1:77" ht="12.5" x14ac:dyDescent="0.25">
      <c r="A656" t="s">
        <v>8495</v>
      </c>
      <c r="B656" s="22" t="s">
        <v>32931</v>
      </c>
      <c r="C656" s="7"/>
      <c r="D656" s="7"/>
      <c r="E656" s="7"/>
      <c r="F656" t="s">
        <v>67</v>
      </c>
      <c r="G656" t="s">
        <v>15631</v>
      </c>
      <c r="H656" t="s">
        <v>69</v>
      </c>
      <c r="I656" t="s">
        <v>69</v>
      </c>
      <c r="J656" t="s">
        <v>69</v>
      </c>
      <c r="K656" t="s">
        <v>15632</v>
      </c>
      <c r="L656" t="s">
        <v>69</v>
      </c>
      <c r="M656" t="s">
        <v>69</v>
      </c>
      <c r="N656" t="s">
        <v>15633</v>
      </c>
      <c r="O656" t="s">
        <v>15634</v>
      </c>
      <c r="P656" t="s">
        <v>69</v>
      </c>
      <c r="Q656" t="s">
        <v>69</v>
      </c>
      <c r="R656" t="s">
        <v>8505</v>
      </c>
      <c r="S656" t="s">
        <v>8506</v>
      </c>
      <c r="T656" t="s">
        <v>69</v>
      </c>
      <c r="U656" t="s">
        <v>69</v>
      </c>
      <c r="V656" t="s">
        <v>69</v>
      </c>
      <c r="W656" t="s">
        <v>69</v>
      </c>
      <c r="X656" t="s">
        <v>69</v>
      </c>
      <c r="Y656" t="s">
        <v>15635</v>
      </c>
      <c r="Z656" t="s">
        <v>15388</v>
      </c>
      <c r="AA656" t="s">
        <v>15636</v>
      </c>
      <c r="AB656" t="s">
        <v>15637</v>
      </c>
      <c r="AC656" t="s">
        <v>69</v>
      </c>
      <c r="AD656" t="s">
        <v>15638</v>
      </c>
      <c r="AE656" t="s">
        <v>15639</v>
      </c>
      <c r="AF656" t="s">
        <v>69</v>
      </c>
      <c r="AG656" t="s">
        <v>69</v>
      </c>
      <c r="AH656" t="s">
        <v>15640</v>
      </c>
      <c r="AI656" t="s">
        <v>15640</v>
      </c>
      <c r="AJ656" t="s">
        <v>15641</v>
      </c>
      <c r="AK656" t="s">
        <v>69</v>
      </c>
      <c r="AL656">
        <v>39</v>
      </c>
      <c r="AM656">
        <v>2</v>
      </c>
      <c r="AN656">
        <v>2</v>
      </c>
      <c r="AO656">
        <v>1</v>
      </c>
      <c r="AP656">
        <v>1</v>
      </c>
      <c r="AQ656" t="s">
        <v>15642</v>
      </c>
      <c r="AR656" t="s">
        <v>8735</v>
      </c>
      <c r="AS656" t="s">
        <v>15643</v>
      </c>
      <c r="AT656" t="s">
        <v>15644</v>
      </c>
      <c r="AU656" t="s">
        <v>15645</v>
      </c>
      <c r="AV656" t="s">
        <v>69</v>
      </c>
      <c r="AW656" t="s">
        <v>15646</v>
      </c>
      <c r="AX656" t="s">
        <v>15647</v>
      </c>
      <c r="AY656" t="s">
        <v>94</v>
      </c>
      <c r="AZ656">
        <v>2020</v>
      </c>
      <c r="BA656">
        <v>72</v>
      </c>
      <c r="BB656">
        <v>1</v>
      </c>
      <c r="BC656" t="s">
        <v>69</v>
      </c>
      <c r="BD656" t="s">
        <v>69</v>
      </c>
      <c r="BE656" t="s">
        <v>114</v>
      </c>
      <c r="BF656" t="s">
        <v>69</v>
      </c>
      <c r="BG656">
        <v>8</v>
      </c>
      <c r="BH656">
        <v>26</v>
      </c>
      <c r="BI656" t="s">
        <v>69</v>
      </c>
      <c r="BJ656" t="s">
        <v>15648</v>
      </c>
      <c r="BK656" t="str">
        <f>HYPERLINK("http://dx.doi.org/10.1037/cpb0000155","http://dx.doi.org/10.1037/cpb0000155")</f>
        <v>http://dx.doi.org/10.1037/cpb0000155</v>
      </c>
      <c r="BL656" t="s">
        <v>69</v>
      </c>
      <c r="BM656" t="s">
        <v>69</v>
      </c>
      <c r="BN656">
        <v>19</v>
      </c>
      <c r="BO656" t="s">
        <v>15649</v>
      </c>
      <c r="BP656" t="s">
        <v>8573</v>
      </c>
      <c r="BQ656" t="s">
        <v>9001</v>
      </c>
      <c r="BR656" t="s">
        <v>15650</v>
      </c>
      <c r="BS656" t="s">
        <v>15651</v>
      </c>
      <c r="BT656" t="s">
        <v>69</v>
      </c>
      <c r="BU656" t="s">
        <v>69</v>
      </c>
      <c r="BV656" t="s">
        <v>69</v>
      </c>
      <c r="BW656" t="s">
        <v>69</v>
      </c>
      <c r="BX656" t="s">
        <v>8526</v>
      </c>
      <c r="BY656" t="str">
        <f>HYPERLINK("https%3A%2F%2Fwww.webofscience.com%2Fwos%2Fwoscc%2Ffull-record%2FWOS:000719413900003","View Full Record in Web of Science")</f>
        <v>View Full Record in Web of Science</v>
      </c>
    </row>
    <row r="657" spans="1:77" ht="12.5" x14ac:dyDescent="0.25">
      <c r="A657" t="s">
        <v>8495</v>
      </c>
      <c r="B657" s="7" t="s">
        <v>32933</v>
      </c>
      <c r="C657" s="7"/>
      <c r="D657" s="7"/>
      <c r="E657" s="7"/>
      <c r="F657" t="s">
        <v>67</v>
      </c>
      <c r="G657" t="s">
        <v>6544</v>
      </c>
      <c r="H657" t="s">
        <v>69</v>
      </c>
      <c r="I657" t="s">
        <v>69</v>
      </c>
      <c r="J657" t="s">
        <v>69</v>
      </c>
      <c r="K657" t="s">
        <v>6545</v>
      </c>
      <c r="L657" t="s">
        <v>69</v>
      </c>
      <c r="M657" t="s">
        <v>69</v>
      </c>
      <c r="N657" t="s">
        <v>6546</v>
      </c>
      <c r="O657" t="s">
        <v>408</v>
      </c>
      <c r="P657" t="s">
        <v>69</v>
      </c>
      <c r="Q657" t="s">
        <v>69</v>
      </c>
      <c r="R657" t="s">
        <v>8505</v>
      </c>
      <c r="S657" t="s">
        <v>8506</v>
      </c>
      <c r="T657" t="s">
        <v>69</v>
      </c>
      <c r="U657" t="s">
        <v>69</v>
      </c>
      <c r="V657" t="s">
        <v>69</v>
      </c>
      <c r="W657" t="s">
        <v>69</v>
      </c>
      <c r="X657" t="s">
        <v>69</v>
      </c>
      <c r="Y657" t="s">
        <v>14265</v>
      </c>
      <c r="Z657" t="s">
        <v>14266</v>
      </c>
      <c r="AA657" t="s">
        <v>6547</v>
      </c>
      <c r="AB657" t="s">
        <v>14267</v>
      </c>
      <c r="AC657" t="s">
        <v>69</v>
      </c>
      <c r="AD657" t="s">
        <v>14268</v>
      </c>
      <c r="AE657" t="s">
        <v>14269</v>
      </c>
      <c r="AF657" t="s">
        <v>69</v>
      </c>
      <c r="AG657" t="s">
        <v>69</v>
      </c>
      <c r="AH657" t="s">
        <v>14270</v>
      </c>
      <c r="AI657" t="s">
        <v>14271</v>
      </c>
      <c r="AJ657" t="s">
        <v>14272</v>
      </c>
      <c r="AK657" t="s">
        <v>69</v>
      </c>
      <c r="AL657">
        <v>55</v>
      </c>
      <c r="AM657">
        <v>7</v>
      </c>
      <c r="AN657">
        <v>7</v>
      </c>
      <c r="AO657">
        <v>9</v>
      </c>
      <c r="AP657">
        <v>42</v>
      </c>
      <c r="AQ657" t="s">
        <v>8586</v>
      </c>
      <c r="AR657" t="s">
        <v>8587</v>
      </c>
      <c r="AS657" t="s">
        <v>8588</v>
      </c>
      <c r="AT657" t="s">
        <v>410</v>
      </c>
      <c r="AU657" t="s">
        <v>411</v>
      </c>
      <c r="AV657" t="s">
        <v>69</v>
      </c>
      <c r="AW657" t="s">
        <v>9125</v>
      </c>
      <c r="AX657" t="s">
        <v>9126</v>
      </c>
      <c r="AY657" t="s">
        <v>14273</v>
      </c>
      <c r="AZ657">
        <v>2021</v>
      </c>
      <c r="BA657">
        <v>28</v>
      </c>
      <c r="BB657">
        <v>6</v>
      </c>
      <c r="BC657" t="s">
        <v>69</v>
      </c>
      <c r="BD657" t="s">
        <v>69</v>
      </c>
      <c r="BE657" t="s">
        <v>69</v>
      </c>
      <c r="BF657" t="s">
        <v>69</v>
      </c>
      <c r="BG657">
        <v>1561</v>
      </c>
      <c r="BH657">
        <v>1592</v>
      </c>
      <c r="BI657" t="s">
        <v>69</v>
      </c>
      <c r="BJ657" t="s">
        <v>6548</v>
      </c>
      <c r="BK657" t="str">
        <f>HYPERLINK("http://dx.doi.org/10.1108/ECAM-12-2019-0709","http://dx.doi.org/10.1108/ECAM-12-2019-0709")</f>
        <v>http://dx.doi.org/10.1108/ECAM-12-2019-0709</v>
      </c>
      <c r="BL657" t="s">
        <v>69</v>
      </c>
      <c r="BM657" t="s">
        <v>683</v>
      </c>
      <c r="BN657">
        <v>32</v>
      </c>
      <c r="BO657" t="s">
        <v>9128</v>
      </c>
      <c r="BP657" t="s">
        <v>8523</v>
      </c>
      <c r="BQ657" t="s">
        <v>9129</v>
      </c>
      <c r="BR657" t="s">
        <v>14274</v>
      </c>
      <c r="BS657" t="s">
        <v>6549</v>
      </c>
      <c r="BT657" t="s">
        <v>69</v>
      </c>
      <c r="BU657" t="s">
        <v>69</v>
      </c>
      <c r="BV657" t="s">
        <v>69</v>
      </c>
      <c r="BW657" t="s">
        <v>69</v>
      </c>
      <c r="BX657" t="s">
        <v>8526</v>
      </c>
      <c r="BY657" t="str">
        <f>HYPERLINK("https%3A%2F%2Fwww.webofscience.com%2Fwos%2Fwoscc%2Ffull-record%2FWOS:000577333800001","View Full Record in Web of Science")</f>
        <v>View Full Record in Web of Science</v>
      </c>
    </row>
    <row r="658" spans="1:77" ht="12.5" x14ac:dyDescent="0.25">
      <c r="A658" t="s">
        <v>8495</v>
      </c>
      <c r="B658" s="22" t="s">
        <v>32931</v>
      </c>
      <c r="C658" s="7"/>
      <c r="D658" s="7"/>
      <c r="E658" s="7"/>
      <c r="F658" t="s">
        <v>67</v>
      </c>
      <c r="G658" t="s">
        <v>31686</v>
      </c>
      <c r="H658" t="s">
        <v>69</v>
      </c>
      <c r="I658" t="s">
        <v>69</v>
      </c>
      <c r="J658" t="s">
        <v>69</v>
      </c>
      <c r="K658" t="s">
        <v>31686</v>
      </c>
      <c r="L658" t="s">
        <v>69</v>
      </c>
      <c r="M658" t="s">
        <v>69</v>
      </c>
      <c r="N658" t="s">
        <v>31687</v>
      </c>
      <c r="O658" t="s">
        <v>31688</v>
      </c>
      <c r="P658" t="s">
        <v>69</v>
      </c>
      <c r="Q658" t="s">
        <v>69</v>
      </c>
      <c r="R658" t="s">
        <v>8505</v>
      </c>
      <c r="S658" t="s">
        <v>8506</v>
      </c>
      <c r="T658" t="s">
        <v>69</v>
      </c>
      <c r="U658" t="s">
        <v>69</v>
      </c>
      <c r="V658" t="s">
        <v>69</v>
      </c>
      <c r="W658" t="s">
        <v>69</v>
      </c>
      <c r="X658" t="s">
        <v>69</v>
      </c>
      <c r="Y658" t="s">
        <v>31689</v>
      </c>
      <c r="Z658" t="s">
        <v>31690</v>
      </c>
      <c r="AA658" t="s">
        <v>31691</v>
      </c>
      <c r="AB658" t="s">
        <v>31692</v>
      </c>
      <c r="AC658" t="s">
        <v>69</v>
      </c>
      <c r="AD658" t="s">
        <v>31693</v>
      </c>
      <c r="AE658" t="s">
        <v>69</v>
      </c>
      <c r="AF658" t="s">
        <v>69</v>
      </c>
      <c r="AG658" t="s">
        <v>31694</v>
      </c>
      <c r="AH658" t="s">
        <v>69</v>
      </c>
      <c r="AI658" t="s">
        <v>69</v>
      </c>
      <c r="AJ658" t="s">
        <v>69</v>
      </c>
      <c r="AK658" t="s">
        <v>69</v>
      </c>
      <c r="AL658">
        <v>46</v>
      </c>
      <c r="AM658">
        <v>27</v>
      </c>
      <c r="AN658">
        <v>27</v>
      </c>
      <c r="AO658">
        <v>1</v>
      </c>
      <c r="AP658">
        <v>8</v>
      </c>
      <c r="AQ658" t="s">
        <v>31695</v>
      </c>
      <c r="AR658" t="s">
        <v>31293</v>
      </c>
      <c r="AS658" t="s">
        <v>31294</v>
      </c>
      <c r="AT658" t="s">
        <v>31696</v>
      </c>
      <c r="AU658" t="s">
        <v>69</v>
      </c>
      <c r="AV658" t="s">
        <v>69</v>
      </c>
      <c r="AW658" t="s">
        <v>31697</v>
      </c>
      <c r="AX658" t="s">
        <v>31698</v>
      </c>
      <c r="AY658" t="s">
        <v>69</v>
      </c>
      <c r="AZ658">
        <v>2001</v>
      </c>
      <c r="BA658">
        <v>24</v>
      </c>
      <c r="BB658">
        <v>3</v>
      </c>
      <c r="BC658" t="s">
        <v>69</v>
      </c>
      <c r="BD658" t="s">
        <v>69</v>
      </c>
      <c r="BE658" t="s">
        <v>69</v>
      </c>
      <c r="BF658" t="s">
        <v>69</v>
      </c>
      <c r="BG658">
        <v>399</v>
      </c>
      <c r="BH658">
        <v>419</v>
      </c>
      <c r="BI658" t="s">
        <v>69</v>
      </c>
      <c r="BJ658" t="s">
        <v>31699</v>
      </c>
      <c r="BK658" t="str">
        <f>HYPERLINK("http://dx.doi.org/10.1108/EUM0000000005854","http://dx.doi.org/10.1108/EUM0000000005854")</f>
        <v>http://dx.doi.org/10.1108/EUM0000000005854</v>
      </c>
      <c r="BL658" t="s">
        <v>69</v>
      </c>
      <c r="BM658" t="s">
        <v>69</v>
      </c>
      <c r="BN658">
        <v>21</v>
      </c>
      <c r="BO658" t="s">
        <v>19122</v>
      </c>
      <c r="BP658" t="s">
        <v>8661</v>
      </c>
      <c r="BQ658" t="s">
        <v>19122</v>
      </c>
      <c r="BR658" t="s">
        <v>31700</v>
      </c>
      <c r="BS658" t="s">
        <v>31701</v>
      </c>
      <c r="BT658" t="s">
        <v>69</v>
      </c>
      <c r="BU658" t="s">
        <v>69</v>
      </c>
      <c r="BV658" t="s">
        <v>69</v>
      </c>
      <c r="BW658" t="s">
        <v>69</v>
      </c>
      <c r="BX658" t="s">
        <v>8526</v>
      </c>
      <c r="BY658" t="str">
        <f>HYPERLINK("https%3A%2F%2Fwww.webofscience.com%2Fwos%2Fwoscc%2Ffull-record%2FWOS:000172006400009","View Full Record in Web of Science")</f>
        <v>View Full Record in Web of Science</v>
      </c>
    </row>
    <row r="659" spans="1:77" ht="12.5" x14ac:dyDescent="0.25">
      <c r="A659" t="s">
        <v>8495</v>
      </c>
      <c r="B659" s="7" t="s">
        <v>32933</v>
      </c>
      <c r="C659" s="7"/>
      <c r="D659" s="7"/>
      <c r="E659" s="7"/>
      <c r="F659" t="s">
        <v>67</v>
      </c>
      <c r="G659" t="s">
        <v>1909</v>
      </c>
      <c r="H659" t="s">
        <v>69</v>
      </c>
      <c r="I659" t="s">
        <v>69</v>
      </c>
      <c r="J659" t="s">
        <v>69</v>
      </c>
      <c r="K659" t="s">
        <v>1910</v>
      </c>
      <c r="L659" t="s">
        <v>69</v>
      </c>
      <c r="M659" t="s">
        <v>69</v>
      </c>
      <c r="N659" t="s">
        <v>1911</v>
      </c>
      <c r="O659" t="s">
        <v>1912</v>
      </c>
      <c r="P659" t="s">
        <v>69</v>
      </c>
      <c r="Q659" t="s">
        <v>69</v>
      </c>
      <c r="R659" t="s">
        <v>8505</v>
      </c>
      <c r="S659" t="s">
        <v>8506</v>
      </c>
      <c r="T659" t="s">
        <v>69</v>
      </c>
      <c r="U659" t="s">
        <v>69</v>
      </c>
      <c r="V659" t="s">
        <v>69</v>
      </c>
      <c r="W659" t="s">
        <v>69</v>
      </c>
      <c r="X659" t="s">
        <v>69</v>
      </c>
      <c r="Y659" t="s">
        <v>14544</v>
      </c>
      <c r="Z659" t="s">
        <v>14545</v>
      </c>
      <c r="AA659" t="s">
        <v>1913</v>
      </c>
      <c r="AB659" t="s">
        <v>14546</v>
      </c>
      <c r="AC659" t="s">
        <v>69</v>
      </c>
      <c r="AD659" t="s">
        <v>14547</v>
      </c>
      <c r="AE659" t="s">
        <v>14548</v>
      </c>
      <c r="AF659" t="s">
        <v>14549</v>
      </c>
      <c r="AG659" t="s">
        <v>14550</v>
      </c>
      <c r="AH659" t="s">
        <v>69</v>
      </c>
      <c r="AI659" t="s">
        <v>69</v>
      </c>
      <c r="AJ659" t="s">
        <v>69</v>
      </c>
      <c r="AK659" t="s">
        <v>69</v>
      </c>
      <c r="AL659">
        <v>68</v>
      </c>
      <c r="AM659">
        <v>1</v>
      </c>
      <c r="AN659">
        <v>1</v>
      </c>
      <c r="AO659">
        <v>3</v>
      </c>
      <c r="AP659">
        <v>17</v>
      </c>
      <c r="AQ659" t="s">
        <v>8586</v>
      </c>
      <c r="AR659" t="s">
        <v>8587</v>
      </c>
      <c r="AS659" t="s">
        <v>8588</v>
      </c>
      <c r="AT659" t="s">
        <v>1914</v>
      </c>
      <c r="AU659" t="s">
        <v>1915</v>
      </c>
      <c r="AV659" t="s">
        <v>69</v>
      </c>
      <c r="AW659" t="s">
        <v>14551</v>
      </c>
      <c r="AX659" t="s">
        <v>14552</v>
      </c>
      <c r="AY659" t="s">
        <v>14553</v>
      </c>
      <c r="AZ659">
        <v>2021</v>
      </c>
      <c r="BA659">
        <v>33</v>
      </c>
      <c r="BB659">
        <v>3</v>
      </c>
      <c r="BC659" t="s">
        <v>69</v>
      </c>
      <c r="BD659" t="s">
        <v>69</v>
      </c>
      <c r="BE659" t="s">
        <v>69</v>
      </c>
      <c r="BF659" t="s">
        <v>69</v>
      </c>
      <c r="BG659">
        <v>450</v>
      </c>
      <c r="BH659">
        <v>464</v>
      </c>
      <c r="BI659" t="s">
        <v>69</v>
      </c>
      <c r="BJ659" t="s">
        <v>1916</v>
      </c>
      <c r="BK659" t="str">
        <f>HYPERLINK("http://dx.doi.org/10.1108/EBR-04-2020-0089","http://dx.doi.org/10.1108/EBR-04-2020-0089")</f>
        <v>http://dx.doi.org/10.1108/EBR-04-2020-0089</v>
      </c>
      <c r="BL659" t="s">
        <v>69</v>
      </c>
      <c r="BM659" t="s">
        <v>1917</v>
      </c>
      <c r="BN659">
        <v>15</v>
      </c>
      <c r="BO659" t="s">
        <v>8444</v>
      </c>
      <c r="BP659" t="s">
        <v>8573</v>
      </c>
      <c r="BQ659" t="s">
        <v>8594</v>
      </c>
      <c r="BR659" t="s">
        <v>14554</v>
      </c>
      <c r="BS659" t="s">
        <v>1918</v>
      </c>
      <c r="BT659" t="s">
        <v>69</v>
      </c>
      <c r="BU659" t="s">
        <v>69</v>
      </c>
      <c r="BV659" t="s">
        <v>69</v>
      </c>
      <c r="BW659" t="s">
        <v>69</v>
      </c>
      <c r="BX659" t="s">
        <v>8526</v>
      </c>
      <c r="BY659" t="str">
        <f>HYPERLINK("https%3A%2F%2Fwww.webofscience.com%2Fwos%2Fwoscc%2Ffull-record%2FWOS:000566119200001","View Full Record in Web of Science")</f>
        <v>View Full Record in Web of Science</v>
      </c>
    </row>
    <row r="660" spans="1:77" ht="12.5" x14ac:dyDescent="0.25">
      <c r="A660" t="s">
        <v>8495</v>
      </c>
      <c r="B660" s="22" t="s">
        <v>32931</v>
      </c>
      <c r="C660" s="7"/>
      <c r="D660" s="7"/>
      <c r="E660" s="7"/>
      <c r="F660" t="s">
        <v>67</v>
      </c>
      <c r="G660" t="s">
        <v>13889</v>
      </c>
      <c r="H660" t="s">
        <v>69</v>
      </c>
      <c r="I660" t="s">
        <v>69</v>
      </c>
      <c r="J660" t="s">
        <v>69</v>
      </c>
      <c r="K660" t="s">
        <v>13890</v>
      </c>
      <c r="L660" t="s">
        <v>69</v>
      </c>
      <c r="M660" t="s">
        <v>69</v>
      </c>
      <c r="N660" t="s">
        <v>13891</v>
      </c>
      <c r="O660" t="s">
        <v>13892</v>
      </c>
      <c r="P660" t="s">
        <v>69</v>
      </c>
      <c r="Q660" t="s">
        <v>69</v>
      </c>
      <c r="R660" t="s">
        <v>8505</v>
      </c>
      <c r="S660" t="s">
        <v>8506</v>
      </c>
      <c r="T660" t="s">
        <v>69</v>
      </c>
      <c r="U660" t="s">
        <v>69</v>
      </c>
      <c r="V660" t="s">
        <v>69</v>
      </c>
      <c r="W660" t="s">
        <v>69</v>
      </c>
      <c r="X660" t="s">
        <v>69</v>
      </c>
      <c r="Y660" t="s">
        <v>69</v>
      </c>
      <c r="Z660" t="s">
        <v>13893</v>
      </c>
      <c r="AA660" t="s">
        <v>13894</v>
      </c>
      <c r="AB660" t="s">
        <v>13895</v>
      </c>
      <c r="AC660" t="s">
        <v>69</v>
      </c>
      <c r="AD660" t="s">
        <v>13896</v>
      </c>
      <c r="AE660" t="s">
        <v>13897</v>
      </c>
      <c r="AF660" t="s">
        <v>69</v>
      </c>
      <c r="AG660" t="s">
        <v>13898</v>
      </c>
      <c r="AH660" t="s">
        <v>13899</v>
      </c>
      <c r="AI660" t="s">
        <v>13899</v>
      </c>
      <c r="AJ660" t="s">
        <v>13899</v>
      </c>
      <c r="AK660" t="s">
        <v>69</v>
      </c>
      <c r="AL660">
        <v>47</v>
      </c>
      <c r="AM660">
        <v>5</v>
      </c>
      <c r="AN660">
        <v>5</v>
      </c>
      <c r="AO660">
        <v>1</v>
      </c>
      <c r="AP660">
        <v>7</v>
      </c>
      <c r="AQ660" t="s">
        <v>8846</v>
      </c>
      <c r="AR660" t="s">
        <v>8847</v>
      </c>
      <c r="AS660" t="s">
        <v>8848</v>
      </c>
      <c r="AT660" t="s">
        <v>13900</v>
      </c>
      <c r="AU660" t="s">
        <v>13901</v>
      </c>
      <c r="AV660" t="s">
        <v>69</v>
      </c>
      <c r="AW660" t="s">
        <v>13902</v>
      </c>
      <c r="AX660" t="s">
        <v>13903</v>
      </c>
      <c r="AY660" t="s">
        <v>246</v>
      </c>
      <c r="AZ660">
        <v>2021</v>
      </c>
      <c r="BA660">
        <v>55</v>
      </c>
      <c r="BB660">
        <v>4</v>
      </c>
      <c r="BC660" t="s">
        <v>69</v>
      </c>
      <c r="BD660" t="s">
        <v>69</v>
      </c>
      <c r="BE660" t="s">
        <v>69</v>
      </c>
      <c r="BF660" t="s">
        <v>69</v>
      </c>
      <c r="BG660">
        <v>486</v>
      </c>
      <c r="BH660">
        <v>495</v>
      </c>
      <c r="BI660" t="s">
        <v>69</v>
      </c>
      <c r="BJ660" t="s">
        <v>13904</v>
      </c>
      <c r="BK660" t="str">
        <f>HYPERLINK("http://dx.doi.org/10.1111/medu.14408","http://dx.doi.org/10.1111/medu.14408")</f>
        <v>http://dx.doi.org/10.1111/medu.14408</v>
      </c>
      <c r="BL660" t="s">
        <v>69</v>
      </c>
      <c r="BM660" t="s">
        <v>1852</v>
      </c>
      <c r="BN660">
        <v>10</v>
      </c>
      <c r="BO660" t="s">
        <v>13905</v>
      </c>
      <c r="BP660" t="s">
        <v>8548</v>
      </c>
      <c r="BQ660" t="s">
        <v>13906</v>
      </c>
      <c r="BR660" t="s">
        <v>13907</v>
      </c>
      <c r="BS660" t="s">
        <v>13908</v>
      </c>
      <c r="BT660">
        <v>33152148</v>
      </c>
      <c r="BU660" t="s">
        <v>69</v>
      </c>
      <c r="BV660" t="s">
        <v>69</v>
      </c>
      <c r="BW660" t="s">
        <v>69</v>
      </c>
      <c r="BX660" t="s">
        <v>8526</v>
      </c>
      <c r="BY660" t="str">
        <f>HYPERLINK("https%3A%2F%2Fwww.webofscience.com%2Fwos%2Fwoscc%2Ffull-record%2FWOS:000596627800001","View Full Record in Web of Science")</f>
        <v>View Full Record in Web of Science</v>
      </c>
    </row>
    <row r="661" spans="1:77" x14ac:dyDescent="0.3">
      <c r="A661" t="s">
        <v>8495</v>
      </c>
      <c r="B661" s="10" t="s">
        <v>32984</v>
      </c>
      <c r="F661" t="s">
        <v>67</v>
      </c>
      <c r="G661" s="2" t="s">
        <v>87</v>
      </c>
      <c r="H661" t="s">
        <v>69</v>
      </c>
      <c r="I661" t="s">
        <v>69</v>
      </c>
      <c r="J661" t="s">
        <v>69</v>
      </c>
      <c r="K661" s="2" t="s">
        <v>88</v>
      </c>
      <c r="L661" t="s">
        <v>69</v>
      </c>
      <c r="M661" t="s">
        <v>69</v>
      </c>
      <c r="N661" s="5" t="s">
        <v>89</v>
      </c>
      <c r="O661" t="s">
        <v>90</v>
      </c>
      <c r="P661" t="s">
        <v>69</v>
      </c>
      <c r="Q661" t="s">
        <v>69</v>
      </c>
      <c r="R661" t="s">
        <v>8505</v>
      </c>
      <c r="S661" t="s">
        <v>8506</v>
      </c>
      <c r="T661" t="s">
        <v>69</v>
      </c>
      <c r="U661" t="s">
        <v>69</v>
      </c>
      <c r="V661" t="s">
        <v>69</v>
      </c>
      <c r="W661" t="s">
        <v>69</v>
      </c>
      <c r="X661" t="s">
        <v>69</v>
      </c>
      <c r="Y661" t="s">
        <v>27099</v>
      </c>
      <c r="Z661" t="s">
        <v>27100</v>
      </c>
      <c r="AA661" t="s">
        <v>91</v>
      </c>
      <c r="AB661" t="s">
        <v>27101</v>
      </c>
      <c r="AC661" t="s">
        <v>69</v>
      </c>
      <c r="AD661" t="s">
        <v>27102</v>
      </c>
      <c r="AE661" t="s">
        <v>27103</v>
      </c>
      <c r="AF661" t="s">
        <v>69</v>
      </c>
      <c r="AG661" t="s">
        <v>69</v>
      </c>
      <c r="AH661" t="s">
        <v>69</v>
      </c>
      <c r="AI661" t="s">
        <v>69</v>
      </c>
      <c r="AJ661" t="s">
        <v>69</v>
      </c>
      <c r="AK661" t="s">
        <v>69</v>
      </c>
      <c r="AL661">
        <v>85</v>
      </c>
      <c r="AM661">
        <v>27</v>
      </c>
      <c r="AN661">
        <v>27</v>
      </c>
      <c r="AO661">
        <v>2</v>
      </c>
      <c r="AP661">
        <v>13</v>
      </c>
      <c r="AQ661" t="s">
        <v>9047</v>
      </c>
      <c r="AR661" t="s">
        <v>9048</v>
      </c>
      <c r="AS661" t="s">
        <v>9049</v>
      </c>
      <c r="AT661" t="s">
        <v>92</v>
      </c>
      <c r="AU661" t="s">
        <v>93</v>
      </c>
      <c r="AV661" t="s">
        <v>69</v>
      </c>
      <c r="AW661" t="s">
        <v>27104</v>
      </c>
      <c r="AX661" t="s">
        <v>27105</v>
      </c>
      <c r="AY661" t="s">
        <v>94</v>
      </c>
      <c r="AZ661">
        <v>2011</v>
      </c>
      <c r="BA661">
        <v>11</v>
      </c>
      <c r="BB661">
        <v>1</v>
      </c>
      <c r="BC661" t="s">
        <v>69</v>
      </c>
      <c r="BD661" t="s">
        <v>69</v>
      </c>
      <c r="BE661" t="s">
        <v>69</v>
      </c>
      <c r="BF661" t="s">
        <v>69</v>
      </c>
      <c r="BG661">
        <v>43</v>
      </c>
      <c r="BH661">
        <v>61</v>
      </c>
      <c r="BI661" t="s">
        <v>69</v>
      </c>
      <c r="BJ661" t="s">
        <v>95</v>
      </c>
      <c r="BK661" t="str">
        <f>HYPERLINK("http://dx.doi.org/10.1007/s10784-011-9149-7","http://dx.doi.org/10.1007/s10784-011-9149-7")</f>
        <v>http://dx.doi.org/10.1007/s10784-011-9149-7</v>
      </c>
      <c r="BL661" t="s">
        <v>69</v>
      </c>
      <c r="BM661" t="s">
        <v>69</v>
      </c>
      <c r="BN661">
        <v>19</v>
      </c>
      <c r="BO661" t="s">
        <v>27106</v>
      </c>
      <c r="BP661" t="s">
        <v>8661</v>
      </c>
      <c r="BQ661" t="s">
        <v>27107</v>
      </c>
      <c r="BR661" t="s">
        <v>27108</v>
      </c>
      <c r="BS661" t="s">
        <v>96</v>
      </c>
      <c r="BT661" t="s">
        <v>69</v>
      </c>
      <c r="BU661" t="s">
        <v>69</v>
      </c>
      <c r="BV661" t="s">
        <v>69</v>
      </c>
      <c r="BW661" t="s">
        <v>69</v>
      </c>
      <c r="BX661" t="s">
        <v>8526</v>
      </c>
      <c r="BY661" t="str">
        <f>HYPERLINK("https%3A%2F%2Fwww.webofscience.com%2Fwos%2Fwoscc%2Ffull-record%2FWOS:000293788900004","View Full Record in Web of Science")</f>
        <v>View Full Record in Web of Science</v>
      </c>
    </row>
    <row r="662" spans="1:77" ht="12.5" x14ac:dyDescent="0.25">
      <c r="A662" t="s">
        <v>8495</v>
      </c>
      <c r="B662" s="22" t="s">
        <v>32931</v>
      </c>
      <c r="C662" s="7"/>
      <c r="D662" s="7"/>
      <c r="E662" s="7"/>
      <c r="F662" t="s">
        <v>67</v>
      </c>
      <c r="G662" t="s">
        <v>26402</v>
      </c>
      <c r="H662" t="s">
        <v>69</v>
      </c>
      <c r="I662" t="s">
        <v>69</v>
      </c>
      <c r="J662" t="s">
        <v>69</v>
      </c>
      <c r="K662" t="s">
        <v>26403</v>
      </c>
      <c r="L662" t="s">
        <v>69</v>
      </c>
      <c r="M662" t="s">
        <v>69</v>
      </c>
      <c r="N662" t="s">
        <v>26404</v>
      </c>
      <c r="O662" t="s">
        <v>26405</v>
      </c>
      <c r="P662" t="s">
        <v>69</v>
      </c>
      <c r="Q662" t="s">
        <v>69</v>
      </c>
      <c r="R662" t="s">
        <v>8505</v>
      </c>
      <c r="S662" t="s">
        <v>8506</v>
      </c>
      <c r="T662" t="s">
        <v>69</v>
      </c>
      <c r="U662" t="s">
        <v>69</v>
      </c>
      <c r="V662" t="s">
        <v>69</v>
      </c>
      <c r="W662" t="s">
        <v>69</v>
      </c>
      <c r="X662" t="s">
        <v>69</v>
      </c>
      <c r="Y662" t="s">
        <v>69</v>
      </c>
      <c r="Z662" t="s">
        <v>69</v>
      </c>
      <c r="AA662" t="s">
        <v>26406</v>
      </c>
      <c r="AB662" t="s">
        <v>26407</v>
      </c>
      <c r="AC662" t="s">
        <v>69</v>
      </c>
      <c r="AD662" t="s">
        <v>26408</v>
      </c>
      <c r="AE662" t="s">
        <v>69</v>
      </c>
      <c r="AF662" t="s">
        <v>26409</v>
      </c>
      <c r="AG662" t="s">
        <v>26410</v>
      </c>
      <c r="AH662" t="s">
        <v>69</v>
      </c>
      <c r="AI662" t="s">
        <v>69</v>
      </c>
      <c r="AJ662" t="s">
        <v>69</v>
      </c>
      <c r="AK662" t="s">
        <v>69</v>
      </c>
      <c r="AL662">
        <v>39</v>
      </c>
      <c r="AM662">
        <v>2</v>
      </c>
      <c r="AN662">
        <v>2</v>
      </c>
      <c r="AO662">
        <v>0</v>
      </c>
      <c r="AP662">
        <v>0</v>
      </c>
      <c r="AQ662" t="s">
        <v>26411</v>
      </c>
      <c r="AR662" t="s">
        <v>26412</v>
      </c>
      <c r="AS662" t="s">
        <v>26413</v>
      </c>
      <c r="AT662" t="s">
        <v>26414</v>
      </c>
      <c r="AU662" t="s">
        <v>26415</v>
      </c>
      <c r="AV662" t="s">
        <v>69</v>
      </c>
      <c r="AW662" t="s">
        <v>26405</v>
      </c>
      <c r="AX662" t="s">
        <v>26416</v>
      </c>
      <c r="AY662" t="s">
        <v>69</v>
      </c>
      <c r="AZ662">
        <v>2012</v>
      </c>
      <c r="BA662">
        <v>17</v>
      </c>
      <c r="BB662">
        <v>1</v>
      </c>
      <c r="BC662" t="s">
        <v>69</v>
      </c>
      <c r="BD662" t="s">
        <v>69</v>
      </c>
      <c r="BE662" t="s">
        <v>69</v>
      </c>
      <c r="BF662" t="s">
        <v>69</v>
      </c>
      <c r="BG662">
        <v>199</v>
      </c>
      <c r="BH662">
        <v>221</v>
      </c>
      <c r="BI662" t="s">
        <v>69</v>
      </c>
      <c r="BJ662" t="s">
        <v>69</v>
      </c>
      <c r="BK662" t="s">
        <v>69</v>
      </c>
      <c r="BL662" t="s">
        <v>69</v>
      </c>
      <c r="BM662" t="s">
        <v>69</v>
      </c>
      <c r="BN662">
        <v>23</v>
      </c>
      <c r="BO662" t="s">
        <v>8443</v>
      </c>
      <c r="BP662" t="s">
        <v>8573</v>
      </c>
      <c r="BQ662" t="s">
        <v>8443</v>
      </c>
      <c r="BR662" t="s">
        <v>26417</v>
      </c>
      <c r="BS662" t="s">
        <v>26418</v>
      </c>
      <c r="BT662" t="s">
        <v>69</v>
      </c>
      <c r="BU662" t="s">
        <v>69</v>
      </c>
      <c r="BV662" t="s">
        <v>69</v>
      </c>
      <c r="BW662" t="s">
        <v>69</v>
      </c>
      <c r="BX662" t="s">
        <v>8526</v>
      </c>
      <c r="BY662" t="str">
        <f>HYPERLINK("https%3A%2F%2Fwww.webofscience.com%2Fwos%2Fwoscc%2Ffull-record%2FWOS:000420002300011","View Full Record in Web of Science")</f>
        <v>View Full Record in Web of Science</v>
      </c>
    </row>
    <row r="663" spans="1:77" ht="12.5" x14ac:dyDescent="0.25">
      <c r="A663" t="s">
        <v>8495</v>
      </c>
      <c r="B663" s="7" t="s">
        <v>32933</v>
      </c>
      <c r="C663" s="7"/>
      <c r="D663" s="7"/>
      <c r="E663" s="7"/>
      <c r="F663" t="s">
        <v>67</v>
      </c>
      <c r="G663" t="s">
        <v>6184</v>
      </c>
      <c r="H663" t="s">
        <v>69</v>
      </c>
      <c r="I663" t="s">
        <v>69</v>
      </c>
      <c r="J663" t="s">
        <v>69</v>
      </c>
      <c r="K663" t="s">
        <v>6185</v>
      </c>
      <c r="L663" t="s">
        <v>69</v>
      </c>
      <c r="M663" t="s">
        <v>69</v>
      </c>
      <c r="N663" t="s">
        <v>6186</v>
      </c>
      <c r="O663" t="s">
        <v>352</v>
      </c>
      <c r="P663" t="s">
        <v>69</v>
      </c>
      <c r="Q663" t="s">
        <v>69</v>
      </c>
      <c r="R663" t="s">
        <v>8505</v>
      </c>
      <c r="S663" t="s">
        <v>8506</v>
      </c>
      <c r="T663" t="s">
        <v>69</v>
      </c>
      <c r="U663" t="s">
        <v>69</v>
      </c>
      <c r="V663" t="s">
        <v>69</v>
      </c>
      <c r="W663" t="s">
        <v>69</v>
      </c>
      <c r="X663" t="s">
        <v>69</v>
      </c>
      <c r="Y663" t="s">
        <v>16765</v>
      </c>
      <c r="Z663" t="s">
        <v>16766</v>
      </c>
      <c r="AA663" t="s">
        <v>6187</v>
      </c>
      <c r="AB663" t="s">
        <v>16767</v>
      </c>
      <c r="AC663" t="s">
        <v>69</v>
      </c>
      <c r="AD663" t="s">
        <v>16768</v>
      </c>
      <c r="AE663" t="s">
        <v>16769</v>
      </c>
      <c r="AF663" t="s">
        <v>69</v>
      </c>
      <c r="AG663" t="s">
        <v>69</v>
      </c>
      <c r="AH663" t="s">
        <v>16770</v>
      </c>
      <c r="AI663" t="s">
        <v>9925</v>
      </c>
      <c r="AJ663" t="s">
        <v>16771</v>
      </c>
      <c r="AK663" t="s">
        <v>69</v>
      </c>
      <c r="AL663">
        <v>90</v>
      </c>
      <c r="AM663">
        <v>4</v>
      </c>
      <c r="AN663">
        <v>4</v>
      </c>
      <c r="AO663">
        <v>9</v>
      </c>
      <c r="AP663">
        <v>50</v>
      </c>
      <c r="AQ663" t="s">
        <v>8924</v>
      </c>
      <c r="AR663" t="s">
        <v>8925</v>
      </c>
      <c r="AS663" t="s">
        <v>8926</v>
      </c>
      <c r="AT663" t="s">
        <v>69</v>
      </c>
      <c r="AU663" t="s">
        <v>354</v>
      </c>
      <c r="AV663" t="s">
        <v>69</v>
      </c>
      <c r="AW663" t="s">
        <v>8958</v>
      </c>
      <c r="AX663" t="s">
        <v>8434</v>
      </c>
      <c r="AY663" t="s">
        <v>477</v>
      </c>
      <c r="AZ663">
        <v>2019</v>
      </c>
      <c r="BA663">
        <v>11</v>
      </c>
      <c r="BB663">
        <v>17</v>
      </c>
      <c r="BC663" t="s">
        <v>69</v>
      </c>
      <c r="BD663" t="s">
        <v>69</v>
      </c>
      <c r="BE663" t="s">
        <v>69</v>
      </c>
      <c r="BF663" t="s">
        <v>69</v>
      </c>
      <c r="BG663" t="s">
        <v>69</v>
      </c>
      <c r="BH663" t="s">
        <v>69</v>
      </c>
      <c r="BI663">
        <v>4744</v>
      </c>
      <c r="BJ663" t="s">
        <v>6188</v>
      </c>
      <c r="BK663" t="str">
        <f>HYPERLINK("http://dx.doi.org/10.3390/su11174744","http://dx.doi.org/10.3390/su11174744")</f>
        <v>http://dx.doi.org/10.3390/su11174744</v>
      </c>
      <c r="BL663" t="s">
        <v>69</v>
      </c>
      <c r="BM663" t="s">
        <v>69</v>
      </c>
      <c r="BN663">
        <v>27</v>
      </c>
      <c r="BO663" t="s">
        <v>8960</v>
      </c>
      <c r="BP663" t="s">
        <v>8523</v>
      </c>
      <c r="BQ663" t="s">
        <v>8961</v>
      </c>
      <c r="BR663" t="s">
        <v>16762</v>
      </c>
      <c r="BS663" t="s">
        <v>6189</v>
      </c>
      <c r="BT663" t="s">
        <v>69</v>
      </c>
      <c r="BU663" t="s">
        <v>12297</v>
      </c>
      <c r="BV663" t="s">
        <v>69</v>
      </c>
      <c r="BW663" t="s">
        <v>69</v>
      </c>
      <c r="BX663" t="s">
        <v>8526</v>
      </c>
      <c r="BY663" t="str">
        <f>HYPERLINK("https%3A%2F%2Fwww.webofscience.com%2Fwos%2Fwoscc%2Ffull-record%2FWOS:000486877700232","View Full Record in Web of Science")</f>
        <v>View Full Record in Web of Science</v>
      </c>
    </row>
    <row r="664" spans="1:77" ht="12.5" x14ac:dyDescent="0.25">
      <c r="A664" t="s">
        <v>8495</v>
      </c>
      <c r="B664" s="22" t="s">
        <v>32931</v>
      </c>
      <c r="C664" s="7"/>
      <c r="D664" s="7"/>
      <c r="E664" s="7"/>
      <c r="F664" t="s">
        <v>67</v>
      </c>
      <c r="G664" t="s">
        <v>13497</v>
      </c>
      <c r="H664" t="s">
        <v>69</v>
      </c>
      <c r="I664" t="s">
        <v>69</v>
      </c>
      <c r="J664" t="s">
        <v>69</v>
      </c>
      <c r="K664" t="s">
        <v>13498</v>
      </c>
      <c r="L664" t="s">
        <v>69</v>
      </c>
      <c r="M664" t="s">
        <v>69</v>
      </c>
      <c r="N664" t="s">
        <v>13499</v>
      </c>
      <c r="O664" t="s">
        <v>13500</v>
      </c>
      <c r="P664" t="s">
        <v>69</v>
      </c>
      <c r="Q664" t="s">
        <v>69</v>
      </c>
      <c r="R664" t="s">
        <v>8505</v>
      </c>
      <c r="S664" t="s">
        <v>8506</v>
      </c>
      <c r="T664" t="s">
        <v>69</v>
      </c>
      <c r="U664" t="s">
        <v>69</v>
      </c>
      <c r="V664" t="s">
        <v>69</v>
      </c>
      <c r="W664" t="s">
        <v>69</v>
      </c>
      <c r="X664" t="s">
        <v>69</v>
      </c>
      <c r="Y664" t="s">
        <v>13501</v>
      </c>
      <c r="Z664" t="s">
        <v>13502</v>
      </c>
      <c r="AA664" t="s">
        <v>13503</v>
      </c>
      <c r="AB664" t="s">
        <v>13504</v>
      </c>
      <c r="AC664" t="s">
        <v>69</v>
      </c>
      <c r="AD664" t="s">
        <v>13505</v>
      </c>
      <c r="AE664" t="s">
        <v>13506</v>
      </c>
      <c r="AF664" t="s">
        <v>13507</v>
      </c>
      <c r="AG664" t="s">
        <v>13508</v>
      </c>
      <c r="AH664" t="s">
        <v>69</v>
      </c>
      <c r="AI664" t="s">
        <v>69</v>
      </c>
      <c r="AJ664" t="s">
        <v>69</v>
      </c>
      <c r="AK664" t="s">
        <v>69</v>
      </c>
      <c r="AL664">
        <v>33</v>
      </c>
      <c r="AM664">
        <v>0</v>
      </c>
      <c r="AN664">
        <v>0</v>
      </c>
      <c r="AO664">
        <v>2</v>
      </c>
      <c r="AP664">
        <v>3</v>
      </c>
      <c r="AQ664" t="s">
        <v>13509</v>
      </c>
      <c r="AR664" t="s">
        <v>13510</v>
      </c>
      <c r="AS664" t="s">
        <v>13511</v>
      </c>
      <c r="AT664" t="s">
        <v>13512</v>
      </c>
      <c r="AU664" t="s">
        <v>13513</v>
      </c>
      <c r="AV664" t="s">
        <v>69</v>
      </c>
      <c r="AW664" t="s">
        <v>13514</v>
      </c>
      <c r="AX664" t="s">
        <v>13515</v>
      </c>
      <c r="AY664" t="s">
        <v>69</v>
      </c>
      <c r="AZ664">
        <v>2021</v>
      </c>
      <c r="BA664">
        <v>24</v>
      </c>
      <c r="BB664">
        <v>2</v>
      </c>
      <c r="BC664" t="s">
        <v>69</v>
      </c>
      <c r="BD664" t="s">
        <v>69</v>
      </c>
      <c r="BE664" t="s">
        <v>69</v>
      </c>
      <c r="BF664" t="s">
        <v>69</v>
      </c>
      <c r="BG664">
        <v>214</v>
      </c>
      <c r="BH664">
        <v>224</v>
      </c>
      <c r="BI664" t="s">
        <v>69</v>
      </c>
      <c r="BJ664" t="s">
        <v>13516</v>
      </c>
      <c r="BK664" t="str">
        <f>HYPERLINK("http://dx.doi.org/10.1504/IJICBM.2021.118880","http://dx.doi.org/10.1504/IJICBM.2021.118880")</f>
        <v>http://dx.doi.org/10.1504/IJICBM.2021.118880</v>
      </c>
      <c r="BL664" t="s">
        <v>69</v>
      </c>
      <c r="BM664" t="s">
        <v>69</v>
      </c>
      <c r="BN664">
        <v>11</v>
      </c>
      <c r="BO664" t="s">
        <v>8444</v>
      </c>
      <c r="BP664" t="s">
        <v>8573</v>
      </c>
      <c r="BQ664" t="s">
        <v>8594</v>
      </c>
      <c r="BR664" t="s">
        <v>13517</v>
      </c>
      <c r="BS664" t="s">
        <v>13518</v>
      </c>
      <c r="BT664" t="s">
        <v>69</v>
      </c>
      <c r="BU664" t="s">
        <v>69</v>
      </c>
      <c r="BV664" t="s">
        <v>69</v>
      </c>
      <c r="BW664" t="s">
        <v>69</v>
      </c>
      <c r="BX664" t="s">
        <v>8526</v>
      </c>
      <c r="BY664" t="str">
        <f>HYPERLINK("https%3A%2F%2Fwww.webofscience.com%2Fwos%2Fwoscc%2Ffull-record%2FWOS:000716628400004","View Full Record in Web of Science")</f>
        <v>View Full Record in Web of Science</v>
      </c>
    </row>
    <row r="665" spans="1:77" ht="12.5" x14ac:dyDescent="0.25">
      <c r="A665" t="s">
        <v>8495</v>
      </c>
      <c r="B665" s="7" t="s">
        <v>32933</v>
      </c>
      <c r="C665" s="7"/>
      <c r="D665" s="7"/>
      <c r="E665" s="7"/>
      <c r="F665" t="s">
        <v>67</v>
      </c>
      <c r="G665" t="s">
        <v>5762</v>
      </c>
      <c r="H665" t="s">
        <v>69</v>
      </c>
      <c r="I665" t="s">
        <v>69</v>
      </c>
      <c r="J665" t="s">
        <v>69</v>
      </c>
      <c r="K665" t="s">
        <v>5763</v>
      </c>
      <c r="L665" t="s">
        <v>69</v>
      </c>
      <c r="M665" t="s">
        <v>69</v>
      </c>
      <c r="N665" t="s">
        <v>5764</v>
      </c>
      <c r="O665" t="s">
        <v>457</v>
      </c>
      <c r="P665" t="s">
        <v>69</v>
      </c>
      <c r="Q665" t="s">
        <v>69</v>
      </c>
      <c r="R665" t="s">
        <v>8505</v>
      </c>
      <c r="S665" t="s">
        <v>8506</v>
      </c>
      <c r="T665" t="s">
        <v>69</v>
      </c>
      <c r="U665" t="s">
        <v>69</v>
      </c>
      <c r="V665" t="s">
        <v>69</v>
      </c>
      <c r="W665" t="s">
        <v>69</v>
      </c>
      <c r="X665" t="s">
        <v>69</v>
      </c>
      <c r="Y665" t="s">
        <v>24003</v>
      </c>
      <c r="Z665" t="s">
        <v>24004</v>
      </c>
      <c r="AA665" t="s">
        <v>5765</v>
      </c>
      <c r="AB665" t="s">
        <v>24005</v>
      </c>
      <c r="AC665" t="s">
        <v>69</v>
      </c>
      <c r="AD665" t="s">
        <v>24006</v>
      </c>
      <c r="AE665" t="s">
        <v>24007</v>
      </c>
      <c r="AF665" t="s">
        <v>5766</v>
      </c>
      <c r="AG665" t="s">
        <v>5767</v>
      </c>
      <c r="AH665" t="s">
        <v>24008</v>
      </c>
      <c r="AI665" t="s">
        <v>24008</v>
      </c>
      <c r="AJ665" t="s">
        <v>24009</v>
      </c>
      <c r="AK665" t="s">
        <v>69</v>
      </c>
      <c r="AL665">
        <v>44</v>
      </c>
      <c r="AM665">
        <v>4</v>
      </c>
      <c r="AN665">
        <v>4</v>
      </c>
      <c r="AO665">
        <v>1</v>
      </c>
      <c r="AP665">
        <v>13</v>
      </c>
      <c r="AQ665" t="s">
        <v>17203</v>
      </c>
      <c r="AR665" t="s">
        <v>17204</v>
      </c>
      <c r="AS665" t="s">
        <v>17205</v>
      </c>
      <c r="AT665" t="s">
        <v>461</v>
      </c>
      <c r="AU665" t="s">
        <v>462</v>
      </c>
      <c r="AV665" t="s">
        <v>69</v>
      </c>
      <c r="AW665" t="s">
        <v>17206</v>
      </c>
      <c r="AX665" t="s">
        <v>17207</v>
      </c>
      <c r="AY665" t="s">
        <v>69</v>
      </c>
      <c r="AZ665">
        <v>2014</v>
      </c>
      <c r="BA665">
        <v>16</v>
      </c>
      <c r="BB665">
        <v>6</v>
      </c>
      <c r="BC665" t="s">
        <v>69</v>
      </c>
      <c r="BD665" t="s">
        <v>69</v>
      </c>
      <c r="BE665" t="s">
        <v>69</v>
      </c>
      <c r="BF665" t="s">
        <v>69</v>
      </c>
      <c r="BG665">
        <v>573</v>
      </c>
      <c r="BH665">
        <v>585</v>
      </c>
      <c r="BI665" t="s">
        <v>69</v>
      </c>
      <c r="BJ665" t="s">
        <v>5768</v>
      </c>
      <c r="BK665" t="str">
        <f>HYPERLINK("http://dx.doi.org/10.1505/146554814814095320","http://dx.doi.org/10.1505/146554814814095320")</f>
        <v>http://dx.doi.org/10.1505/146554814814095320</v>
      </c>
      <c r="BL665" t="s">
        <v>69</v>
      </c>
      <c r="BM665" t="s">
        <v>69</v>
      </c>
      <c r="BN665">
        <v>13</v>
      </c>
      <c r="BO665" t="s">
        <v>8453</v>
      </c>
      <c r="BP665" t="s">
        <v>8523</v>
      </c>
      <c r="BQ665" t="s">
        <v>8453</v>
      </c>
      <c r="BR665" t="s">
        <v>24010</v>
      </c>
      <c r="BS665" t="s">
        <v>5769</v>
      </c>
      <c r="BT665" t="s">
        <v>69</v>
      </c>
      <c r="BU665" t="s">
        <v>69</v>
      </c>
      <c r="BV665" t="s">
        <v>69</v>
      </c>
      <c r="BW665" t="s">
        <v>69</v>
      </c>
      <c r="BX665" t="s">
        <v>8526</v>
      </c>
      <c r="BY665" t="str">
        <f>HYPERLINK("https%3A%2F%2Fwww.webofscience.com%2Fwos%2Fwoscc%2Ffull-record%2FWOS:000346628300006","View Full Record in Web of Science")</f>
        <v>View Full Record in Web of Science</v>
      </c>
    </row>
    <row r="666" spans="1:77" ht="12.5" x14ac:dyDescent="0.25">
      <c r="A666" t="s">
        <v>8495</v>
      </c>
      <c r="B666" s="22" t="s">
        <v>32931</v>
      </c>
      <c r="C666" s="7"/>
      <c r="D666" s="7"/>
      <c r="E666" s="7"/>
      <c r="F666" t="s">
        <v>67</v>
      </c>
      <c r="G666" t="s">
        <v>29675</v>
      </c>
      <c r="H666" t="s">
        <v>69</v>
      </c>
      <c r="I666" t="s">
        <v>69</v>
      </c>
      <c r="J666" t="s">
        <v>69</v>
      </c>
      <c r="K666" t="s">
        <v>29676</v>
      </c>
      <c r="L666" t="s">
        <v>69</v>
      </c>
      <c r="M666" t="s">
        <v>69</v>
      </c>
      <c r="N666" t="s">
        <v>29677</v>
      </c>
      <c r="O666" t="s">
        <v>7713</v>
      </c>
      <c r="P666" t="s">
        <v>69</v>
      </c>
      <c r="Q666" t="s">
        <v>69</v>
      </c>
      <c r="R666" t="s">
        <v>8505</v>
      </c>
      <c r="S666" t="s">
        <v>8506</v>
      </c>
      <c r="T666" t="s">
        <v>69</v>
      </c>
      <c r="U666" t="s">
        <v>69</v>
      </c>
      <c r="V666" t="s">
        <v>69</v>
      </c>
      <c r="W666" t="s">
        <v>69</v>
      </c>
      <c r="X666" t="s">
        <v>69</v>
      </c>
      <c r="Y666" t="s">
        <v>29678</v>
      </c>
      <c r="Z666" t="s">
        <v>29679</v>
      </c>
      <c r="AA666" t="s">
        <v>29680</v>
      </c>
      <c r="AB666" t="s">
        <v>29681</v>
      </c>
      <c r="AC666" t="s">
        <v>69</v>
      </c>
      <c r="AD666" t="s">
        <v>29682</v>
      </c>
      <c r="AE666" t="s">
        <v>29683</v>
      </c>
      <c r="AF666" t="s">
        <v>69</v>
      </c>
      <c r="AG666" t="s">
        <v>69</v>
      </c>
      <c r="AH666" t="s">
        <v>69</v>
      </c>
      <c r="AI666" t="s">
        <v>69</v>
      </c>
      <c r="AJ666" t="s">
        <v>69</v>
      </c>
      <c r="AK666" t="s">
        <v>69</v>
      </c>
      <c r="AL666">
        <v>53</v>
      </c>
      <c r="AM666">
        <v>106</v>
      </c>
      <c r="AN666">
        <v>107</v>
      </c>
      <c r="AO666">
        <v>0</v>
      </c>
      <c r="AP666">
        <v>37</v>
      </c>
      <c r="AQ666" t="s">
        <v>9047</v>
      </c>
      <c r="AR666" t="s">
        <v>9048</v>
      </c>
      <c r="AS666" t="s">
        <v>9049</v>
      </c>
      <c r="AT666" t="s">
        <v>7715</v>
      </c>
      <c r="AU666" t="s">
        <v>9224</v>
      </c>
      <c r="AV666" t="s">
        <v>69</v>
      </c>
      <c r="AW666" t="s">
        <v>9225</v>
      </c>
      <c r="AX666" t="s">
        <v>9226</v>
      </c>
      <c r="AY666" t="s">
        <v>84</v>
      </c>
      <c r="AZ666">
        <v>2007</v>
      </c>
      <c r="BA666">
        <v>21</v>
      </c>
      <c r="BB666">
        <v>7</v>
      </c>
      <c r="BC666" t="s">
        <v>69</v>
      </c>
      <c r="BD666" t="s">
        <v>69</v>
      </c>
      <c r="BE666" t="s">
        <v>69</v>
      </c>
      <c r="BF666" t="s">
        <v>69</v>
      </c>
      <c r="BG666">
        <v>1049</v>
      </c>
      <c r="BH666">
        <v>1074</v>
      </c>
      <c r="BI666" t="s">
        <v>69</v>
      </c>
      <c r="BJ666" t="s">
        <v>29684</v>
      </c>
      <c r="BK666" t="str">
        <f>HYPERLINK("http://dx.doi.org/10.1007/s11269-006-9098-z","http://dx.doi.org/10.1007/s11269-006-9098-z")</f>
        <v>http://dx.doi.org/10.1007/s11269-006-9098-z</v>
      </c>
      <c r="BL666" t="s">
        <v>69</v>
      </c>
      <c r="BM666" t="s">
        <v>69</v>
      </c>
      <c r="BN666">
        <v>26</v>
      </c>
      <c r="BO666" t="s">
        <v>9229</v>
      </c>
      <c r="BP666" t="s">
        <v>8523</v>
      </c>
      <c r="BQ666" t="s">
        <v>9230</v>
      </c>
      <c r="BR666" t="s">
        <v>29685</v>
      </c>
      <c r="BS666" t="s">
        <v>29686</v>
      </c>
      <c r="BT666" t="s">
        <v>69</v>
      </c>
      <c r="BU666" t="s">
        <v>69</v>
      </c>
      <c r="BV666" t="s">
        <v>69</v>
      </c>
      <c r="BW666" t="s">
        <v>69</v>
      </c>
      <c r="BX666" t="s">
        <v>8526</v>
      </c>
      <c r="BY666" t="str">
        <f>HYPERLINK("https%3A%2F%2Fwww.webofscience.com%2Fwos%2Fwoscc%2Ffull-record%2FWOS:000247312200002","View Full Record in Web of Science")</f>
        <v>View Full Record in Web of Science</v>
      </c>
    </row>
    <row r="667" spans="1:77" ht="12.5" x14ac:dyDescent="0.25">
      <c r="A667" t="s">
        <v>8495</v>
      </c>
      <c r="B667" s="22" t="s">
        <v>32931</v>
      </c>
      <c r="C667" s="7"/>
      <c r="D667" s="7"/>
      <c r="E667" s="7"/>
      <c r="F667" t="s">
        <v>67</v>
      </c>
      <c r="G667" t="s">
        <v>21668</v>
      </c>
      <c r="H667" t="s">
        <v>69</v>
      </c>
      <c r="I667" t="s">
        <v>69</v>
      </c>
      <c r="J667" t="s">
        <v>69</v>
      </c>
      <c r="K667" t="s">
        <v>21669</v>
      </c>
      <c r="L667" t="s">
        <v>69</v>
      </c>
      <c r="M667" t="s">
        <v>69</v>
      </c>
      <c r="N667" t="s">
        <v>21670</v>
      </c>
      <c r="O667" t="s">
        <v>21671</v>
      </c>
      <c r="P667" t="s">
        <v>69</v>
      </c>
      <c r="Q667" t="s">
        <v>69</v>
      </c>
      <c r="R667" t="s">
        <v>8505</v>
      </c>
      <c r="S667" t="s">
        <v>8506</v>
      </c>
      <c r="T667" t="s">
        <v>69</v>
      </c>
      <c r="U667" t="s">
        <v>69</v>
      </c>
      <c r="V667" t="s">
        <v>69</v>
      </c>
      <c r="W667" t="s">
        <v>69</v>
      </c>
      <c r="X667" t="s">
        <v>69</v>
      </c>
      <c r="Y667" t="s">
        <v>69</v>
      </c>
      <c r="Z667" t="s">
        <v>21672</v>
      </c>
      <c r="AA667" t="s">
        <v>21673</v>
      </c>
      <c r="AB667" t="s">
        <v>21674</v>
      </c>
      <c r="AC667" t="s">
        <v>69</v>
      </c>
      <c r="AD667" t="s">
        <v>21675</v>
      </c>
      <c r="AE667" t="s">
        <v>21676</v>
      </c>
      <c r="AF667" t="s">
        <v>69</v>
      </c>
      <c r="AG667" t="s">
        <v>69</v>
      </c>
      <c r="AH667" t="s">
        <v>21677</v>
      </c>
      <c r="AI667" t="s">
        <v>21678</v>
      </c>
      <c r="AJ667" t="s">
        <v>21679</v>
      </c>
      <c r="AK667" t="s">
        <v>69</v>
      </c>
      <c r="AL667">
        <v>20</v>
      </c>
      <c r="AM667">
        <v>1</v>
      </c>
      <c r="AN667">
        <v>1</v>
      </c>
      <c r="AO667">
        <v>1</v>
      </c>
      <c r="AP667">
        <v>5</v>
      </c>
      <c r="AQ667" t="s">
        <v>21680</v>
      </c>
      <c r="AR667" t="s">
        <v>18731</v>
      </c>
      <c r="AS667" t="s">
        <v>21681</v>
      </c>
      <c r="AT667" t="s">
        <v>21682</v>
      </c>
      <c r="AU667" t="s">
        <v>69</v>
      </c>
      <c r="AV667" t="s">
        <v>69</v>
      </c>
      <c r="AW667" t="s">
        <v>21683</v>
      </c>
      <c r="AX667" t="s">
        <v>21684</v>
      </c>
      <c r="AY667" t="s">
        <v>586</v>
      </c>
      <c r="AZ667">
        <v>2016</v>
      </c>
      <c r="BA667">
        <v>8</v>
      </c>
      <c r="BB667">
        <v>1</v>
      </c>
      <c r="BC667" t="s">
        <v>69</v>
      </c>
      <c r="BD667" t="s">
        <v>69</v>
      </c>
      <c r="BE667" t="s">
        <v>69</v>
      </c>
      <c r="BF667" t="s">
        <v>69</v>
      </c>
      <c r="BG667">
        <v>99</v>
      </c>
      <c r="BH667">
        <v>103</v>
      </c>
      <c r="BI667" t="s">
        <v>69</v>
      </c>
      <c r="BJ667" t="s">
        <v>21685</v>
      </c>
      <c r="BK667" t="str">
        <f>HYPERLINK("http://dx.doi.org/10.7196/AJHPE.2016.v8i1.748","http://dx.doi.org/10.7196/AJHPE.2016.v8i1.748")</f>
        <v>http://dx.doi.org/10.7196/AJHPE.2016.v8i1.748</v>
      </c>
      <c r="BL667" t="s">
        <v>69</v>
      </c>
      <c r="BM667" t="s">
        <v>69</v>
      </c>
      <c r="BN667">
        <v>5</v>
      </c>
      <c r="BO667" t="s">
        <v>9209</v>
      </c>
      <c r="BP667" t="s">
        <v>8573</v>
      </c>
      <c r="BQ667" t="s">
        <v>9209</v>
      </c>
      <c r="BR667" t="s">
        <v>21686</v>
      </c>
      <c r="BS667" t="s">
        <v>21687</v>
      </c>
      <c r="BT667" t="s">
        <v>69</v>
      </c>
      <c r="BU667" t="s">
        <v>8931</v>
      </c>
      <c r="BV667" t="s">
        <v>69</v>
      </c>
      <c r="BW667" t="s">
        <v>69</v>
      </c>
      <c r="BX667" t="s">
        <v>8526</v>
      </c>
      <c r="BY667" t="str">
        <f>HYPERLINK("https%3A%2F%2Fwww.webofscience.com%2Fwos%2Fwoscc%2Ffull-record%2FWOS:000379316000025","View Full Record in Web of Science")</f>
        <v>View Full Record in Web of Science</v>
      </c>
    </row>
    <row r="668" spans="1:77" ht="12.5" x14ac:dyDescent="0.25">
      <c r="A668" t="s">
        <v>8495</v>
      </c>
      <c r="B668" s="22" t="s">
        <v>32931</v>
      </c>
      <c r="C668" s="7"/>
      <c r="D668" s="7"/>
      <c r="E668" s="7"/>
      <c r="F668" t="s">
        <v>67</v>
      </c>
      <c r="G668" t="s">
        <v>25603</v>
      </c>
      <c r="H668" t="s">
        <v>69</v>
      </c>
      <c r="I668" t="s">
        <v>69</v>
      </c>
      <c r="J668" t="s">
        <v>69</v>
      </c>
      <c r="K668" t="s">
        <v>25604</v>
      </c>
      <c r="L668" t="s">
        <v>69</v>
      </c>
      <c r="M668" t="s">
        <v>69</v>
      </c>
      <c r="N668" t="s">
        <v>25605</v>
      </c>
      <c r="O668" t="s">
        <v>25606</v>
      </c>
      <c r="P668" t="s">
        <v>69</v>
      </c>
      <c r="Q668" t="s">
        <v>69</v>
      </c>
      <c r="R668" t="s">
        <v>8505</v>
      </c>
      <c r="S668" t="s">
        <v>8506</v>
      </c>
      <c r="T668" t="s">
        <v>69</v>
      </c>
      <c r="U668" t="s">
        <v>69</v>
      </c>
      <c r="V668" t="s">
        <v>69</v>
      </c>
      <c r="W668" t="s">
        <v>69</v>
      </c>
      <c r="X668" t="s">
        <v>69</v>
      </c>
      <c r="Y668" t="s">
        <v>25607</v>
      </c>
      <c r="Z668" t="s">
        <v>25608</v>
      </c>
      <c r="AA668" t="s">
        <v>25609</v>
      </c>
      <c r="AB668" t="s">
        <v>25610</v>
      </c>
      <c r="AC668" t="s">
        <v>69</v>
      </c>
      <c r="AD668" t="s">
        <v>25611</v>
      </c>
      <c r="AE668" t="s">
        <v>25612</v>
      </c>
      <c r="AF668" t="s">
        <v>69</v>
      </c>
      <c r="AG668" t="s">
        <v>69</v>
      </c>
      <c r="AH668" t="s">
        <v>69</v>
      </c>
      <c r="AI668" t="s">
        <v>69</v>
      </c>
      <c r="AJ668" t="s">
        <v>69</v>
      </c>
      <c r="AK668" t="s">
        <v>69</v>
      </c>
      <c r="AL668">
        <v>77</v>
      </c>
      <c r="AM668">
        <v>33</v>
      </c>
      <c r="AN668">
        <v>33</v>
      </c>
      <c r="AO668">
        <v>3</v>
      </c>
      <c r="AP668">
        <v>48</v>
      </c>
      <c r="AQ668" t="s">
        <v>25613</v>
      </c>
      <c r="AR668" t="s">
        <v>25614</v>
      </c>
      <c r="AS668" t="s">
        <v>25615</v>
      </c>
      <c r="AT668" t="s">
        <v>25616</v>
      </c>
      <c r="AU668" t="s">
        <v>25617</v>
      </c>
      <c r="AV668" t="s">
        <v>69</v>
      </c>
      <c r="AW668" t="s">
        <v>25618</v>
      </c>
      <c r="AX668" t="s">
        <v>25619</v>
      </c>
      <c r="AY668" t="s">
        <v>1710</v>
      </c>
      <c r="AZ668">
        <v>2012</v>
      </c>
      <c r="BA668">
        <v>19</v>
      </c>
      <c r="BB668">
        <v>2</v>
      </c>
      <c r="BC668" t="s">
        <v>69</v>
      </c>
      <c r="BD668" t="s">
        <v>69</v>
      </c>
      <c r="BE668" t="s">
        <v>69</v>
      </c>
      <c r="BF668" t="s">
        <v>69</v>
      </c>
      <c r="BG668">
        <v>110</v>
      </c>
      <c r="BH668">
        <v>124</v>
      </c>
      <c r="BI668" t="s">
        <v>69</v>
      </c>
      <c r="BJ668" t="s">
        <v>69</v>
      </c>
      <c r="BK668" t="s">
        <v>69</v>
      </c>
      <c r="BL668" t="s">
        <v>69</v>
      </c>
      <c r="BM668" t="s">
        <v>69</v>
      </c>
      <c r="BN668">
        <v>15</v>
      </c>
      <c r="BO668" t="s">
        <v>25620</v>
      </c>
      <c r="BP668" t="s">
        <v>8661</v>
      </c>
      <c r="BQ668" t="s">
        <v>25621</v>
      </c>
      <c r="BR668" t="s">
        <v>25622</v>
      </c>
      <c r="BS668" t="s">
        <v>25623</v>
      </c>
      <c r="BT668" t="s">
        <v>69</v>
      </c>
      <c r="BU668" t="s">
        <v>69</v>
      </c>
      <c r="BV668" t="s">
        <v>69</v>
      </c>
      <c r="BW668" t="s">
        <v>69</v>
      </c>
      <c r="BX668" t="s">
        <v>8526</v>
      </c>
      <c r="BY668" t="str">
        <f>HYPERLINK("https%3A%2F%2Fwww.webofscience.com%2Fwos%2Fwoscc%2Ffull-record%2FWOS:000315541700003","View Full Record in Web of Science")</f>
        <v>View Full Record in Web of Science</v>
      </c>
    </row>
    <row r="669" spans="1:77" ht="12.5" x14ac:dyDescent="0.25">
      <c r="A669" t="s">
        <v>8495</v>
      </c>
      <c r="B669" s="22" t="s">
        <v>32931</v>
      </c>
      <c r="C669" s="7"/>
      <c r="D669" s="7"/>
      <c r="E669" s="7"/>
      <c r="F669" t="s">
        <v>67</v>
      </c>
      <c r="G669" t="s">
        <v>19097</v>
      </c>
      <c r="H669" t="s">
        <v>69</v>
      </c>
      <c r="I669" t="s">
        <v>69</v>
      </c>
      <c r="J669" t="s">
        <v>69</v>
      </c>
      <c r="K669" t="s">
        <v>19098</v>
      </c>
      <c r="L669" t="s">
        <v>69</v>
      </c>
      <c r="M669" t="s">
        <v>69</v>
      </c>
      <c r="N669" t="s">
        <v>19099</v>
      </c>
      <c r="O669" t="s">
        <v>1522</v>
      </c>
      <c r="P669" t="s">
        <v>69</v>
      </c>
      <c r="Q669" t="s">
        <v>69</v>
      </c>
      <c r="R669" t="s">
        <v>8505</v>
      </c>
      <c r="S669" t="s">
        <v>8506</v>
      </c>
      <c r="T669" t="s">
        <v>69</v>
      </c>
      <c r="U669" t="s">
        <v>69</v>
      </c>
      <c r="V669" t="s">
        <v>69</v>
      </c>
      <c r="W669" t="s">
        <v>69</v>
      </c>
      <c r="X669" t="s">
        <v>69</v>
      </c>
      <c r="Y669" t="s">
        <v>19100</v>
      </c>
      <c r="Z669" t="s">
        <v>19101</v>
      </c>
      <c r="AA669" t="s">
        <v>19102</v>
      </c>
      <c r="AB669" t="s">
        <v>19103</v>
      </c>
      <c r="AC669" t="s">
        <v>69</v>
      </c>
      <c r="AD669" t="s">
        <v>19104</v>
      </c>
      <c r="AE669" t="s">
        <v>19105</v>
      </c>
      <c r="AF669" t="s">
        <v>69</v>
      </c>
      <c r="AG669" t="s">
        <v>69</v>
      </c>
      <c r="AH669" t="s">
        <v>69</v>
      </c>
      <c r="AI669" t="s">
        <v>69</v>
      </c>
      <c r="AJ669" t="s">
        <v>69</v>
      </c>
      <c r="AK669" t="s">
        <v>69</v>
      </c>
      <c r="AL669">
        <v>58</v>
      </c>
      <c r="AM669">
        <v>17</v>
      </c>
      <c r="AN669">
        <v>17</v>
      </c>
      <c r="AO669">
        <v>0</v>
      </c>
      <c r="AP669">
        <v>16</v>
      </c>
      <c r="AQ669" t="s">
        <v>8563</v>
      </c>
      <c r="AR669" t="s">
        <v>8564</v>
      </c>
      <c r="AS669" t="s">
        <v>8565</v>
      </c>
      <c r="AT669" t="s">
        <v>1525</v>
      </c>
      <c r="AU669" t="s">
        <v>1526</v>
      </c>
      <c r="AV669" t="s">
        <v>69</v>
      </c>
      <c r="AW669" t="s">
        <v>14032</v>
      </c>
      <c r="AX669" t="s">
        <v>14033</v>
      </c>
      <c r="AY669" t="s">
        <v>94</v>
      </c>
      <c r="AZ669">
        <v>2018</v>
      </c>
      <c r="BA669">
        <v>23</v>
      </c>
      <c r="BB669">
        <v>3</v>
      </c>
      <c r="BC669" t="s">
        <v>69</v>
      </c>
      <c r="BD669" t="s">
        <v>69</v>
      </c>
      <c r="BE669" t="s">
        <v>69</v>
      </c>
      <c r="BF669" t="s">
        <v>69</v>
      </c>
      <c r="BG669">
        <v>492</v>
      </c>
      <c r="BH669">
        <v>506</v>
      </c>
      <c r="BI669" t="s">
        <v>69</v>
      </c>
      <c r="BJ669" t="s">
        <v>19106</v>
      </c>
      <c r="BK669" t="str">
        <f>HYPERLINK("http://dx.doi.org/10.1007/s11367-016-1226-2","http://dx.doi.org/10.1007/s11367-016-1226-2")</f>
        <v>http://dx.doi.org/10.1007/s11367-016-1226-2</v>
      </c>
      <c r="BL669" t="s">
        <v>69</v>
      </c>
      <c r="BM669" t="s">
        <v>69</v>
      </c>
      <c r="BN669">
        <v>15</v>
      </c>
      <c r="BO669" t="s">
        <v>8743</v>
      </c>
      <c r="BP669" t="s">
        <v>8523</v>
      </c>
      <c r="BQ669" t="s">
        <v>8744</v>
      </c>
      <c r="BR669" t="s">
        <v>19107</v>
      </c>
      <c r="BS669" t="s">
        <v>19108</v>
      </c>
      <c r="BT669" t="s">
        <v>69</v>
      </c>
      <c r="BU669" t="s">
        <v>10995</v>
      </c>
      <c r="BV669" t="s">
        <v>69</v>
      </c>
      <c r="BW669" t="s">
        <v>69</v>
      </c>
      <c r="BX669" t="s">
        <v>8526</v>
      </c>
      <c r="BY669" t="str">
        <f>HYPERLINK("https%3A%2F%2Fwww.webofscience.com%2Fwos%2Fwoscc%2Ffull-record%2FWOS:000424920100010","View Full Record in Web of Science")</f>
        <v>View Full Record in Web of Science</v>
      </c>
    </row>
    <row r="670" spans="1:77" x14ac:dyDescent="0.3">
      <c r="A670" t="s">
        <v>8495</v>
      </c>
      <c r="B670" s="13" t="s">
        <v>32985</v>
      </c>
      <c r="F670" t="s">
        <v>67</v>
      </c>
      <c r="G670" t="s">
        <v>367</v>
      </c>
      <c r="H670" t="s">
        <v>69</v>
      </c>
      <c r="I670" t="s">
        <v>69</v>
      </c>
      <c r="J670" t="s">
        <v>69</v>
      </c>
      <c r="K670" t="s">
        <v>368</v>
      </c>
      <c r="L670" t="s">
        <v>69</v>
      </c>
      <c r="M670" t="s">
        <v>69</v>
      </c>
      <c r="N670" s="2" t="s">
        <v>369</v>
      </c>
      <c r="O670" t="s">
        <v>370</v>
      </c>
      <c r="P670" t="s">
        <v>69</v>
      </c>
      <c r="Q670" t="s">
        <v>69</v>
      </c>
      <c r="R670" t="s">
        <v>8505</v>
      </c>
      <c r="S670" t="s">
        <v>8506</v>
      </c>
      <c r="T670" t="s">
        <v>69</v>
      </c>
      <c r="U670" t="s">
        <v>69</v>
      </c>
      <c r="V670" t="s">
        <v>69</v>
      </c>
      <c r="W670" t="s">
        <v>69</v>
      </c>
      <c r="X670" t="s">
        <v>69</v>
      </c>
      <c r="Y670" t="s">
        <v>17941</v>
      </c>
      <c r="Z670" t="s">
        <v>17942</v>
      </c>
      <c r="AA670" t="s">
        <v>371</v>
      </c>
      <c r="AB670" t="s">
        <v>17943</v>
      </c>
      <c r="AC670" t="s">
        <v>69</v>
      </c>
      <c r="AD670" t="s">
        <v>17944</v>
      </c>
      <c r="AE670" t="s">
        <v>17945</v>
      </c>
      <c r="AF670" t="s">
        <v>17946</v>
      </c>
      <c r="AG670" t="s">
        <v>17947</v>
      </c>
      <c r="AH670" t="s">
        <v>17948</v>
      </c>
      <c r="AI670" t="s">
        <v>17949</v>
      </c>
      <c r="AJ670" t="s">
        <v>17950</v>
      </c>
      <c r="AK670" t="s">
        <v>69</v>
      </c>
      <c r="AL670">
        <v>64</v>
      </c>
      <c r="AM670">
        <v>64</v>
      </c>
      <c r="AN670">
        <v>65</v>
      </c>
      <c r="AO670">
        <v>21</v>
      </c>
      <c r="AP670">
        <v>109</v>
      </c>
      <c r="AQ670" t="s">
        <v>9145</v>
      </c>
      <c r="AR670" t="s">
        <v>8637</v>
      </c>
      <c r="AS670" t="s">
        <v>9146</v>
      </c>
      <c r="AT670" t="s">
        <v>372</v>
      </c>
      <c r="AU670" t="s">
        <v>69</v>
      </c>
      <c r="AV670" t="s">
        <v>69</v>
      </c>
      <c r="AW670" t="s">
        <v>17951</v>
      </c>
      <c r="AX670" t="s">
        <v>17952</v>
      </c>
      <c r="AY670" t="s">
        <v>373</v>
      </c>
      <c r="AZ670">
        <v>2019</v>
      </c>
      <c r="BA670">
        <v>83</v>
      </c>
      <c r="BB670" t="s">
        <v>69</v>
      </c>
      <c r="BC670" t="s">
        <v>69</v>
      </c>
      <c r="BD670" t="s">
        <v>69</v>
      </c>
      <c r="BE670" t="s">
        <v>69</v>
      </c>
      <c r="BF670" t="s">
        <v>69</v>
      </c>
      <c r="BG670">
        <v>161</v>
      </c>
      <c r="BH670">
        <v>170</v>
      </c>
      <c r="BI670" t="s">
        <v>69</v>
      </c>
      <c r="BJ670" t="s">
        <v>374</v>
      </c>
      <c r="BK670" t="str">
        <f>HYPERLINK("http://dx.doi.org/10.1016/j.wasman.2018.11.016","http://dx.doi.org/10.1016/j.wasman.2018.11.016")</f>
        <v>http://dx.doi.org/10.1016/j.wasman.2018.11.016</v>
      </c>
      <c r="BL670" t="s">
        <v>69</v>
      </c>
      <c r="BM670" t="s">
        <v>69</v>
      </c>
      <c r="BN670">
        <v>10</v>
      </c>
      <c r="BO670" t="s">
        <v>8743</v>
      </c>
      <c r="BP670" t="s">
        <v>8523</v>
      </c>
      <c r="BQ670" t="s">
        <v>8744</v>
      </c>
      <c r="BR670" t="s">
        <v>17953</v>
      </c>
      <c r="BS670" t="s">
        <v>375</v>
      </c>
      <c r="BT670">
        <v>30514463</v>
      </c>
      <c r="BU670" t="s">
        <v>69</v>
      </c>
      <c r="BV670" t="s">
        <v>69</v>
      </c>
      <c r="BW670" t="s">
        <v>69</v>
      </c>
      <c r="BX670" t="s">
        <v>8526</v>
      </c>
      <c r="BY670" t="str">
        <f>HYPERLINK("https%3A%2F%2Fwww.webofscience.com%2Fwos%2Fwoscc%2Ffull-record%2FWOS:000454371400018","View Full Record in Web of Science")</f>
        <v>View Full Record in Web of Science</v>
      </c>
    </row>
    <row r="671" spans="1:77" x14ac:dyDescent="0.3">
      <c r="A671" t="s">
        <v>8495</v>
      </c>
      <c r="B671" s="9" t="s">
        <v>32972</v>
      </c>
      <c r="C671" s="9" t="s">
        <v>33072</v>
      </c>
      <c r="D671" s="27" t="s">
        <v>8490</v>
      </c>
      <c r="E671" s="9" t="s">
        <v>8490</v>
      </c>
      <c r="F671" t="s">
        <v>67</v>
      </c>
      <c r="G671" t="s">
        <v>12474</v>
      </c>
      <c r="H671" t="s">
        <v>69</v>
      </c>
      <c r="I671" t="s">
        <v>69</v>
      </c>
      <c r="J671" t="s">
        <v>69</v>
      </c>
      <c r="K671" t="s">
        <v>12475</v>
      </c>
      <c r="L671" t="s">
        <v>69</v>
      </c>
      <c r="M671" t="s">
        <v>69</v>
      </c>
      <c r="N671" t="s">
        <v>12476</v>
      </c>
      <c r="O671" t="s">
        <v>12477</v>
      </c>
      <c r="P671" t="s">
        <v>69</v>
      </c>
      <c r="Q671" t="s">
        <v>69</v>
      </c>
      <c r="R671" t="s">
        <v>8505</v>
      </c>
      <c r="S671" t="s">
        <v>8506</v>
      </c>
      <c r="T671" t="s">
        <v>69</v>
      </c>
      <c r="U671" t="s">
        <v>69</v>
      </c>
      <c r="V671" t="s">
        <v>69</v>
      </c>
      <c r="W671" t="s">
        <v>69</v>
      </c>
      <c r="X671" t="s">
        <v>69</v>
      </c>
      <c r="Y671" t="s">
        <v>12478</v>
      </c>
      <c r="Z671" t="s">
        <v>12479</v>
      </c>
      <c r="AA671" t="s">
        <v>12480</v>
      </c>
      <c r="AB671" t="s">
        <v>12481</v>
      </c>
      <c r="AC671" t="s">
        <v>69</v>
      </c>
      <c r="AD671" t="s">
        <v>12482</v>
      </c>
      <c r="AE671" t="s">
        <v>12483</v>
      </c>
      <c r="AF671" t="s">
        <v>12484</v>
      </c>
      <c r="AG671" t="s">
        <v>12485</v>
      </c>
      <c r="AH671" t="s">
        <v>12486</v>
      </c>
      <c r="AI671" t="s">
        <v>12487</v>
      </c>
      <c r="AJ671" t="s">
        <v>12488</v>
      </c>
      <c r="AK671" t="s">
        <v>69</v>
      </c>
      <c r="AL671">
        <v>105</v>
      </c>
      <c r="AM671">
        <v>6</v>
      </c>
      <c r="AN671">
        <v>6</v>
      </c>
      <c r="AO671">
        <v>3</v>
      </c>
      <c r="AP671">
        <v>12</v>
      </c>
      <c r="AQ671" t="s">
        <v>8516</v>
      </c>
      <c r="AR671" t="s">
        <v>8517</v>
      </c>
      <c r="AS671" t="s">
        <v>8518</v>
      </c>
      <c r="AT671" t="s">
        <v>12489</v>
      </c>
      <c r="AU671" t="s">
        <v>69</v>
      </c>
      <c r="AV671" t="s">
        <v>69</v>
      </c>
      <c r="AW671" t="s">
        <v>12490</v>
      </c>
      <c r="AX671" t="s">
        <v>12491</v>
      </c>
      <c r="AY671" t="s">
        <v>586</v>
      </c>
      <c r="AZ671">
        <v>2021</v>
      </c>
      <c r="BA671">
        <v>58</v>
      </c>
      <c r="BB671" t="s">
        <v>69</v>
      </c>
      <c r="BC671" t="s">
        <v>69</v>
      </c>
      <c r="BD671" t="s">
        <v>69</v>
      </c>
      <c r="BE671" t="s">
        <v>69</v>
      </c>
      <c r="BF671" t="s">
        <v>69</v>
      </c>
      <c r="BG671" t="s">
        <v>69</v>
      </c>
      <c r="BH671" t="s">
        <v>69</v>
      </c>
      <c r="BI671">
        <v>102196</v>
      </c>
      <c r="BJ671" t="s">
        <v>12492</v>
      </c>
      <c r="BK671" t="str">
        <f>HYPERLINK("http://dx.doi.org/10.1016/j.ijdrr.2021.102196","http://dx.doi.org/10.1016/j.ijdrr.2021.102196")</f>
        <v>http://dx.doi.org/10.1016/j.ijdrr.2021.102196</v>
      </c>
      <c r="BL671" t="s">
        <v>69</v>
      </c>
      <c r="BM671" t="s">
        <v>12312</v>
      </c>
      <c r="BN671">
        <v>10</v>
      </c>
      <c r="BO671" t="s">
        <v>9586</v>
      </c>
      <c r="BP671" t="s">
        <v>8523</v>
      </c>
      <c r="BQ671" t="s">
        <v>9587</v>
      </c>
      <c r="BR671" t="s">
        <v>12493</v>
      </c>
      <c r="BS671" t="s">
        <v>12494</v>
      </c>
      <c r="BT671" t="s">
        <v>69</v>
      </c>
      <c r="BU671" t="s">
        <v>9292</v>
      </c>
      <c r="BV671" t="s">
        <v>69</v>
      </c>
      <c r="BW671" t="s">
        <v>69</v>
      </c>
      <c r="BX671" t="s">
        <v>8526</v>
      </c>
      <c r="BY671" t="str">
        <f>HYPERLINK("https%3A%2F%2Fwww.webofscience.com%2Fwos%2Fwoscc%2Ffull-record%2FWOS:000649711900004","View Full Record in Web of Science")</f>
        <v>View Full Record in Web of Science</v>
      </c>
    </row>
    <row r="672" spans="1:77" ht="12.5" x14ac:dyDescent="0.25">
      <c r="A672" t="s">
        <v>8495</v>
      </c>
      <c r="B672" s="22" t="s">
        <v>32931</v>
      </c>
      <c r="C672" s="7"/>
      <c r="D672" s="7"/>
      <c r="E672" s="7"/>
      <c r="F672" t="s">
        <v>67</v>
      </c>
      <c r="G672" t="s">
        <v>23237</v>
      </c>
      <c r="H672" t="s">
        <v>69</v>
      </c>
      <c r="I672" t="s">
        <v>69</v>
      </c>
      <c r="J672" t="s">
        <v>69</v>
      </c>
      <c r="K672" t="s">
        <v>23238</v>
      </c>
      <c r="L672" t="s">
        <v>69</v>
      </c>
      <c r="M672" t="s">
        <v>69</v>
      </c>
      <c r="N672" t="s">
        <v>23239</v>
      </c>
      <c r="O672" t="s">
        <v>23221</v>
      </c>
      <c r="P672" t="s">
        <v>69</v>
      </c>
      <c r="Q672" t="s">
        <v>69</v>
      </c>
      <c r="R672" t="s">
        <v>8505</v>
      </c>
      <c r="S672" t="s">
        <v>8506</v>
      </c>
      <c r="T672" t="s">
        <v>69</v>
      </c>
      <c r="U672" t="s">
        <v>69</v>
      </c>
      <c r="V672" t="s">
        <v>69</v>
      </c>
      <c r="W672" t="s">
        <v>69</v>
      </c>
      <c r="X672" t="s">
        <v>69</v>
      </c>
      <c r="Y672" t="s">
        <v>23240</v>
      </c>
      <c r="Z672" t="s">
        <v>10571</v>
      </c>
      <c r="AA672" t="s">
        <v>23241</v>
      </c>
      <c r="AB672" t="s">
        <v>23242</v>
      </c>
      <c r="AC672" t="s">
        <v>69</v>
      </c>
      <c r="AD672" t="s">
        <v>23243</v>
      </c>
      <c r="AE672" t="s">
        <v>23244</v>
      </c>
      <c r="AF672" t="s">
        <v>23245</v>
      </c>
      <c r="AG672" t="s">
        <v>23246</v>
      </c>
      <c r="AH672" t="s">
        <v>23247</v>
      </c>
      <c r="AI672" t="s">
        <v>23248</v>
      </c>
      <c r="AJ672" t="s">
        <v>23249</v>
      </c>
      <c r="AK672" t="s">
        <v>69</v>
      </c>
      <c r="AL672">
        <v>45</v>
      </c>
      <c r="AM672">
        <v>7</v>
      </c>
      <c r="AN672">
        <v>7</v>
      </c>
      <c r="AO672">
        <v>1</v>
      </c>
      <c r="AP672">
        <v>6</v>
      </c>
      <c r="AQ672" t="s">
        <v>8865</v>
      </c>
      <c r="AR672" t="s">
        <v>8612</v>
      </c>
      <c r="AS672" t="s">
        <v>8866</v>
      </c>
      <c r="AT672" t="s">
        <v>23230</v>
      </c>
      <c r="AU672" t="s">
        <v>23231</v>
      </c>
      <c r="AV672" t="s">
        <v>69</v>
      </c>
      <c r="AW672" t="s">
        <v>23232</v>
      </c>
      <c r="AX672" t="s">
        <v>23233</v>
      </c>
      <c r="AY672" t="s">
        <v>69</v>
      </c>
      <c r="AZ672">
        <v>2015</v>
      </c>
      <c r="BA672">
        <v>47</v>
      </c>
      <c r="BB672">
        <v>3</v>
      </c>
      <c r="BC672" t="s">
        <v>69</v>
      </c>
      <c r="BD672" t="s">
        <v>69</v>
      </c>
      <c r="BE672" t="s">
        <v>114</v>
      </c>
      <c r="BF672" t="s">
        <v>69</v>
      </c>
      <c r="BG672">
        <v>272</v>
      </c>
      <c r="BH672">
        <v>293</v>
      </c>
      <c r="BI672" t="s">
        <v>69</v>
      </c>
      <c r="BJ672" t="s">
        <v>23250</v>
      </c>
      <c r="BK672" t="str">
        <f>HYPERLINK("http://dx.doi.org/10.1080/00220620.2015.1038699","http://dx.doi.org/10.1080/00220620.2015.1038699")</f>
        <v>http://dx.doi.org/10.1080/00220620.2015.1038699</v>
      </c>
      <c r="BL672" t="s">
        <v>69</v>
      </c>
      <c r="BM672" t="s">
        <v>69</v>
      </c>
      <c r="BN672">
        <v>22</v>
      </c>
      <c r="BO672" t="s">
        <v>9290</v>
      </c>
      <c r="BP672" t="s">
        <v>8573</v>
      </c>
      <c r="BQ672" t="s">
        <v>9290</v>
      </c>
      <c r="BR672" t="s">
        <v>23235</v>
      </c>
      <c r="BS672" t="s">
        <v>23251</v>
      </c>
      <c r="BT672" t="s">
        <v>69</v>
      </c>
      <c r="BU672" t="s">
        <v>69</v>
      </c>
      <c r="BV672" t="s">
        <v>69</v>
      </c>
      <c r="BW672" t="s">
        <v>69</v>
      </c>
      <c r="BX672" t="s">
        <v>8526</v>
      </c>
      <c r="BY672" t="str">
        <f>HYPERLINK("https%3A%2F%2Fwww.webofscience.com%2Fwos%2Fwoscc%2Ffull-record%2FWOS:000212003700005","View Full Record in Web of Science")</f>
        <v>View Full Record in Web of Science</v>
      </c>
    </row>
    <row r="673" spans="1:77" ht="12.5" x14ac:dyDescent="0.25">
      <c r="A673" t="s">
        <v>8495</v>
      </c>
      <c r="B673" s="7" t="s">
        <v>32933</v>
      </c>
      <c r="C673" s="7"/>
      <c r="D673" s="7"/>
      <c r="E673" s="7"/>
      <c r="F673" t="s">
        <v>67</v>
      </c>
      <c r="G673" t="s">
        <v>830</v>
      </c>
      <c r="H673" t="s">
        <v>69</v>
      </c>
      <c r="I673" t="s">
        <v>69</v>
      </c>
      <c r="J673" t="s">
        <v>69</v>
      </c>
      <c r="K673" t="s">
        <v>831</v>
      </c>
      <c r="L673" t="s">
        <v>69</v>
      </c>
      <c r="M673" t="s">
        <v>69</v>
      </c>
      <c r="N673" t="s">
        <v>832</v>
      </c>
      <c r="O673" t="s">
        <v>833</v>
      </c>
      <c r="P673" t="s">
        <v>69</v>
      </c>
      <c r="Q673" t="s">
        <v>69</v>
      </c>
      <c r="R673" t="s">
        <v>8505</v>
      </c>
      <c r="S673" t="s">
        <v>8506</v>
      </c>
      <c r="T673" t="s">
        <v>69</v>
      </c>
      <c r="U673" t="s">
        <v>69</v>
      </c>
      <c r="V673" t="s">
        <v>69</v>
      </c>
      <c r="W673" t="s">
        <v>69</v>
      </c>
      <c r="X673" t="s">
        <v>69</v>
      </c>
      <c r="Y673" t="s">
        <v>15980</v>
      </c>
      <c r="Z673" t="s">
        <v>15981</v>
      </c>
      <c r="AA673" t="s">
        <v>834</v>
      </c>
      <c r="AB673" t="s">
        <v>15982</v>
      </c>
      <c r="AC673" t="s">
        <v>69</v>
      </c>
      <c r="AD673" t="s">
        <v>15983</v>
      </c>
      <c r="AE673" t="s">
        <v>69</v>
      </c>
      <c r="AF673" t="s">
        <v>69</v>
      </c>
      <c r="AG673" t="s">
        <v>69</v>
      </c>
      <c r="AH673" t="s">
        <v>69</v>
      </c>
      <c r="AI673" t="s">
        <v>69</v>
      </c>
      <c r="AJ673" t="s">
        <v>69</v>
      </c>
      <c r="AK673" t="s">
        <v>69</v>
      </c>
      <c r="AL673">
        <v>58</v>
      </c>
      <c r="AM673">
        <v>2</v>
      </c>
      <c r="AN673">
        <v>2</v>
      </c>
      <c r="AO673">
        <v>0</v>
      </c>
      <c r="AP673">
        <v>16</v>
      </c>
      <c r="AQ673" t="s">
        <v>8865</v>
      </c>
      <c r="AR673" t="s">
        <v>8612</v>
      </c>
      <c r="AS673" t="s">
        <v>8866</v>
      </c>
      <c r="AT673" t="s">
        <v>835</v>
      </c>
      <c r="AU673" t="s">
        <v>836</v>
      </c>
      <c r="AV673" t="s">
        <v>69</v>
      </c>
      <c r="AW673" t="s">
        <v>15984</v>
      </c>
      <c r="AX673" t="s">
        <v>15985</v>
      </c>
      <c r="AY673" t="s">
        <v>837</v>
      </c>
      <c r="AZ673">
        <v>2020</v>
      </c>
      <c r="BA673">
        <v>40</v>
      </c>
      <c r="BB673">
        <v>1</v>
      </c>
      <c r="BC673" t="s">
        <v>69</v>
      </c>
      <c r="BD673" t="s">
        <v>69</v>
      </c>
      <c r="BE673" t="s">
        <v>69</v>
      </c>
      <c r="BF673" t="s">
        <v>69</v>
      </c>
      <c r="BG673">
        <v>42</v>
      </c>
      <c r="BH673">
        <v>51</v>
      </c>
      <c r="BI673" t="s">
        <v>69</v>
      </c>
      <c r="BJ673" t="s">
        <v>838</v>
      </c>
      <c r="BK673" t="str">
        <f>HYPERLINK("http://dx.doi.org/10.1080/09540962.2019.1583890","http://dx.doi.org/10.1080/09540962.2019.1583890")</f>
        <v>http://dx.doi.org/10.1080/09540962.2019.1583890</v>
      </c>
      <c r="BL673" t="s">
        <v>69</v>
      </c>
      <c r="BM673" t="s">
        <v>69</v>
      </c>
      <c r="BN673">
        <v>10</v>
      </c>
      <c r="BO673" t="s">
        <v>12182</v>
      </c>
      <c r="BP673" t="s">
        <v>8661</v>
      </c>
      <c r="BQ673" t="s">
        <v>12182</v>
      </c>
      <c r="BR673" t="s">
        <v>15986</v>
      </c>
      <c r="BS673" t="s">
        <v>839</v>
      </c>
      <c r="BT673" t="s">
        <v>69</v>
      </c>
      <c r="BU673" t="s">
        <v>10995</v>
      </c>
      <c r="BV673" t="s">
        <v>69</v>
      </c>
      <c r="BW673" t="s">
        <v>69</v>
      </c>
      <c r="BX673" t="s">
        <v>8526</v>
      </c>
      <c r="BY673" t="str">
        <f>HYPERLINK("https%3A%2F%2Fwww.webofscience.com%2Fwos%2Fwoscc%2Ffull-record%2FWOS:000499753800009","View Full Record in Web of Science")</f>
        <v>View Full Record in Web of Science</v>
      </c>
    </row>
    <row r="674" spans="1:77" ht="12.5" x14ac:dyDescent="0.25">
      <c r="A674" t="s">
        <v>8495</v>
      </c>
      <c r="B674" s="7" t="s">
        <v>32933</v>
      </c>
      <c r="C674" s="7"/>
      <c r="D674" s="7"/>
      <c r="E674" s="7"/>
      <c r="F674" t="s">
        <v>67</v>
      </c>
      <c r="G674" t="s">
        <v>7594</v>
      </c>
      <c r="H674" t="s">
        <v>69</v>
      </c>
      <c r="I674" t="s">
        <v>69</v>
      </c>
      <c r="J674" t="s">
        <v>69</v>
      </c>
      <c r="K674" t="s">
        <v>8027</v>
      </c>
      <c r="L674" t="s">
        <v>69</v>
      </c>
      <c r="M674" t="s">
        <v>69</v>
      </c>
      <c r="N674" t="s">
        <v>8028</v>
      </c>
      <c r="O674" t="s">
        <v>8029</v>
      </c>
      <c r="P674" t="s">
        <v>69</v>
      </c>
      <c r="Q674" t="s">
        <v>69</v>
      </c>
      <c r="R674" t="s">
        <v>8505</v>
      </c>
      <c r="S674" t="s">
        <v>8506</v>
      </c>
      <c r="T674" t="s">
        <v>69</v>
      </c>
      <c r="U674" t="s">
        <v>69</v>
      </c>
      <c r="V674" t="s">
        <v>69</v>
      </c>
      <c r="W674" t="s">
        <v>69</v>
      </c>
      <c r="X674" t="s">
        <v>69</v>
      </c>
      <c r="Y674" t="s">
        <v>21784</v>
      </c>
      <c r="Z674" t="s">
        <v>21785</v>
      </c>
      <c r="AA674" t="s">
        <v>8030</v>
      </c>
      <c r="AB674" t="s">
        <v>21786</v>
      </c>
      <c r="AC674" t="s">
        <v>69</v>
      </c>
      <c r="AD674" t="s">
        <v>21787</v>
      </c>
      <c r="AE674" t="s">
        <v>21788</v>
      </c>
      <c r="AF674" t="s">
        <v>21789</v>
      </c>
      <c r="AG674" t="s">
        <v>7432</v>
      </c>
      <c r="AH674" t="s">
        <v>21790</v>
      </c>
      <c r="AI674" t="s">
        <v>21791</v>
      </c>
      <c r="AJ674" t="s">
        <v>21792</v>
      </c>
      <c r="AK674" t="s">
        <v>69</v>
      </c>
      <c r="AL674">
        <v>40</v>
      </c>
      <c r="AM674">
        <v>21</v>
      </c>
      <c r="AN674">
        <v>21</v>
      </c>
      <c r="AO674">
        <v>2</v>
      </c>
      <c r="AP674">
        <v>57</v>
      </c>
      <c r="AQ674" t="s">
        <v>13769</v>
      </c>
      <c r="AR674" t="s">
        <v>13770</v>
      </c>
      <c r="AS674" t="s">
        <v>13771</v>
      </c>
      <c r="AT674" t="s">
        <v>8031</v>
      </c>
      <c r="AU674" t="s">
        <v>8032</v>
      </c>
      <c r="AV674" t="s">
        <v>69</v>
      </c>
      <c r="AW674" t="s">
        <v>21793</v>
      </c>
      <c r="AX674" t="s">
        <v>21794</v>
      </c>
      <c r="AY674" t="s">
        <v>8033</v>
      </c>
      <c r="AZ674">
        <v>2016</v>
      </c>
      <c r="BA674">
        <v>31</v>
      </c>
      <c r="BB674">
        <v>2</v>
      </c>
      <c r="BC674" t="s">
        <v>69</v>
      </c>
      <c r="BD674" t="s">
        <v>69</v>
      </c>
      <c r="BE674" t="s">
        <v>69</v>
      </c>
      <c r="BF674" t="s">
        <v>69</v>
      </c>
      <c r="BG674">
        <v>148</v>
      </c>
      <c r="BH674">
        <v>155</v>
      </c>
      <c r="BI674" t="s">
        <v>69</v>
      </c>
      <c r="BJ674" t="s">
        <v>8034</v>
      </c>
      <c r="BK674" t="str">
        <f>HYPERLINK("http://dx.doi.org/10.1080/02827581.2015.1113308","http://dx.doi.org/10.1080/02827581.2015.1113308")</f>
        <v>http://dx.doi.org/10.1080/02827581.2015.1113308</v>
      </c>
      <c r="BL674" t="s">
        <v>69</v>
      </c>
      <c r="BM674" t="s">
        <v>69</v>
      </c>
      <c r="BN674">
        <v>8</v>
      </c>
      <c r="BO674" t="s">
        <v>8453</v>
      </c>
      <c r="BP674" t="s">
        <v>8523</v>
      </c>
      <c r="BQ674" t="s">
        <v>8453</v>
      </c>
      <c r="BR674" t="s">
        <v>21795</v>
      </c>
      <c r="BS674" t="s">
        <v>8035</v>
      </c>
      <c r="BT674" t="s">
        <v>69</v>
      </c>
      <c r="BU674" t="s">
        <v>11793</v>
      </c>
      <c r="BV674" t="s">
        <v>69</v>
      </c>
      <c r="BW674" t="s">
        <v>69</v>
      </c>
      <c r="BX674" t="s">
        <v>8526</v>
      </c>
      <c r="BY674" t="str">
        <f>HYPERLINK("https%3A%2F%2Fwww.webofscience.com%2Fwos%2Fwoscc%2Ffull-record%2FWOS:000368547300003","View Full Record in Web of Science")</f>
        <v>View Full Record in Web of Science</v>
      </c>
    </row>
    <row r="675" spans="1:77" ht="12.5" x14ac:dyDescent="0.25">
      <c r="A675" t="s">
        <v>8495</v>
      </c>
      <c r="B675" s="7" t="s">
        <v>32933</v>
      </c>
      <c r="C675" s="7"/>
      <c r="D675" s="7"/>
      <c r="E675" s="7"/>
      <c r="F675" t="s">
        <v>67</v>
      </c>
      <c r="G675" t="s">
        <v>4150</v>
      </c>
      <c r="H675" t="s">
        <v>69</v>
      </c>
      <c r="I675" t="s">
        <v>69</v>
      </c>
      <c r="J675" t="s">
        <v>69</v>
      </c>
      <c r="K675" t="s">
        <v>4150</v>
      </c>
      <c r="L675" t="s">
        <v>69</v>
      </c>
      <c r="M675" t="s">
        <v>69</v>
      </c>
      <c r="N675" t="s">
        <v>4151</v>
      </c>
      <c r="O675" t="s">
        <v>4152</v>
      </c>
      <c r="P675" t="s">
        <v>69</v>
      </c>
      <c r="Q675" t="s">
        <v>69</v>
      </c>
      <c r="R675" t="s">
        <v>8505</v>
      </c>
      <c r="S675" t="s">
        <v>8506</v>
      </c>
      <c r="T675" t="s">
        <v>69</v>
      </c>
      <c r="U675" t="s">
        <v>69</v>
      </c>
      <c r="V675" t="s">
        <v>69</v>
      </c>
      <c r="W675" t="s">
        <v>69</v>
      </c>
      <c r="X675" t="s">
        <v>69</v>
      </c>
      <c r="Y675" t="s">
        <v>69</v>
      </c>
      <c r="Z675" t="s">
        <v>69</v>
      </c>
      <c r="AA675" t="s">
        <v>4153</v>
      </c>
      <c r="AB675" t="s">
        <v>31998</v>
      </c>
      <c r="AC675" t="s">
        <v>69</v>
      </c>
      <c r="AD675" t="s">
        <v>31999</v>
      </c>
      <c r="AE675" t="s">
        <v>69</v>
      </c>
      <c r="AF675" t="s">
        <v>4154</v>
      </c>
      <c r="AG675" t="s">
        <v>4155</v>
      </c>
      <c r="AH675" t="s">
        <v>69</v>
      </c>
      <c r="AI675" t="s">
        <v>69</v>
      </c>
      <c r="AJ675" t="s">
        <v>69</v>
      </c>
      <c r="AK675" t="s">
        <v>69</v>
      </c>
      <c r="AL675">
        <v>25</v>
      </c>
      <c r="AM675">
        <v>12</v>
      </c>
      <c r="AN675">
        <v>12</v>
      </c>
      <c r="AO675">
        <v>0</v>
      </c>
      <c r="AP675">
        <v>6</v>
      </c>
      <c r="AQ675" t="s">
        <v>8611</v>
      </c>
      <c r="AR675" t="s">
        <v>8612</v>
      </c>
      <c r="AS675" t="s">
        <v>8613</v>
      </c>
      <c r="AT675" t="s">
        <v>4156</v>
      </c>
      <c r="AU675" t="s">
        <v>32000</v>
      </c>
      <c r="AV675" t="s">
        <v>69</v>
      </c>
      <c r="AW675" t="s">
        <v>32001</v>
      </c>
      <c r="AX675" t="s">
        <v>32002</v>
      </c>
      <c r="AY675" t="s">
        <v>4157</v>
      </c>
      <c r="AZ675">
        <v>1999</v>
      </c>
      <c r="BA675">
        <v>45</v>
      </c>
      <c r="BB675">
        <v>2</v>
      </c>
      <c r="BC675" t="s">
        <v>69</v>
      </c>
      <c r="BD675" t="s">
        <v>69</v>
      </c>
      <c r="BE675" t="s">
        <v>69</v>
      </c>
      <c r="BF675" t="s">
        <v>69</v>
      </c>
      <c r="BG675">
        <v>85</v>
      </c>
      <c r="BH675">
        <v>90</v>
      </c>
      <c r="BI675" t="s">
        <v>69</v>
      </c>
      <c r="BJ675" t="s">
        <v>4158</v>
      </c>
      <c r="BK675" t="str">
        <f>HYPERLINK("http://dx.doi.org/10.1080/096708799227860","http://dx.doi.org/10.1080/096708799227860")</f>
        <v>http://dx.doi.org/10.1080/096708799227860</v>
      </c>
      <c r="BL675" t="s">
        <v>69</v>
      </c>
      <c r="BM675" t="s">
        <v>69</v>
      </c>
      <c r="BN675">
        <v>6</v>
      </c>
      <c r="BO675" t="s">
        <v>26862</v>
      </c>
      <c r="BP675" t="s">
        <v>8548</v>
      </c>
      <c r="BQ675" t="s">
        <v>26862</v>
      </c>
      <c r="BR675" t="s">
        <v>32003</v>
      </c>
      <c r="BS675" t="s">
        <v>4159</v>
      </c>
      <c r="BT675" t="s">
        <v>69</v>
      </c>
      <c r="BU675" t="s">
        <v>69</v>
      </c>
      <c r="BV675" t="s">
        <v>69</v>
      </c>
      <c r="BW675" t="s">
        <v>69</v>
      </c>
      <c r="BX675" t="s">
        <v>8526</v>
      </c>
      <c r="BY675" t="str">
        <f>HYPERLINK("https%3A%2F%2Fwww.webofscience.com%2Fwos%2Fwoscc%2Ffull-record%2FWOS:000080024600002","View Full Record in Web of Science")</f>
        <v>View Full Record in Web of Science</v>
      </c>
    </row>
    <row r="676" spans="1:77" ht="12.5" x14ac:dyDescent="0.25">
      <c r="A676" t="s">
        <v>8495</v>
      </c>
      <c r="B676" s="7" t="s">
        <v>32933</v>
      </c>
      <c r="C676" s="7"/>
      <c r="D676" s="7"/>
      <c r="E676" s="7"/>
      <c r="F676" t="s">
        <v>67</v>
      </c>
      <c r="G676" t="s">
        <v>4239</v>
      </c>
      <c r="H676" t="s">
        <v>69</v>
      </c>
      <c r="I676" t="s">
        <v>69</v>
      </c>
      <c r="J676" t="s">
        <v>69</v>
      </c>
      <c r="K676" t="s">
        <v>4239</v>
      </c>
      <c r="L676" t="s">
        <v>69</v>
      </c>
      <c r="M676" t="s">
        <v>69</v>
      </c>
      <c r="N676" t="s">
        <v>4240</v>
      </c>
      <c r="O676" t="s">
        <v>4241</v>
      </c>
      <c r="P676" t="s">
        <v>69</v>
      </c>
      <c r="Q676" t="s">
        <v>69</v>
      </c>
      <c r="R676" t="s">
        <v>8505</v>
      </c>
      <c r="S676" t="s">
        <v>8506</v>
      </c>
      <c r="T676" t="s">
        <v>69</v>
      </c>
      <c r="U676" t="s">
        <v>69</v>
      </c>
      <c r="V676" t="s">
        <v>69</v>
      </c>
      <c r="W676" t="s">
        <v>69</v>
      </c>
      <c r="X676" t="s">
        <v>69</v>
      </c>
      <c r="Y676" t="s">
        <v>69</v>
      </c>
      <c r="Z676" t="s">
        <v>69</v>
      </c>
      <c r="AA676" t="s">
        <v>4242</v>
      </c>
      <c r="AB676" t="s">
        <v>69</v>
      </c>
      <c r="AC676" t="s">
        <v>69</v>
      </c>
      <c r="AD676" t="s">
        <v>32461</v>
      </c>
      <c r="AE676" t="s">
        <v>69</v>
      </c>
      <c r="AF676" t="s">
        <v>69</v>
      </c>
      <c r="AG676" t="s">
        <v>69</v>
      </c>
      <c r="AH676" t="s">
        <v>69</v>
      </c>
      <c r="AI676" t="s">
        <v>69</v>
      </c>
      <c r="AJ676" t="s">
        <v>69</v>
      </c>
      <c r="AK676" t="s">
        <v>69</v>
      </c>
      <c r="AL676">
        <v>1</v>
      </c>
      <c r="AM676">
        <v>1</v>
      </c>
      <c r="AN676">
        <v>1</v>
      </c>
      <c r="AO676">
        <v>0</v>
      </c>
      <c r="AP676">
        <v>2</v>
      </c>
      <c r="AQ676" t="s">
        <v>32462</v>
      </c>
      <c r="AR676" t="s">
        <v>32463</v>
      </c>
      <c r="AS676" t="s">
        <v>32464</v>
      </c>
      <c r="AT676" t="s">
        <v>4243</v>
      </c>
      <c r="AU676" t="s">
        <v>69</v>
      </c>
      <c r="AV676" t="s">
        <v>69</v>
      </c>
      <c r="AW676" t="s">
        <v>4241</v>
      </c>
      <c r="AX676" t="s">
        <v>8483</v>
      </c>
      <c r="AY676" t="s">
        <v>586</v>
      </c>
      <c r="AZ676">
        <v>1996</v>
      </c>
      <c r="BA676">
        <v>25</v>
      </c>
      <c r="BB676">
        <v>3</v>
      </c>
      <c r="BC676" t="s">
        <v>69</v>
      </c>
      <c r="BD676" t="s">
        <v>69</v>
      </c>
      <c r="BE676" t="s">
        <v>69</v>
      </c>
      <c r="BF676" t="s">
        <v>69</v>
      </c>
      <c r="BG676">
        <v>214</v>
      </c>
      <c r="BH676">
        <v>215</v>
      </c>
      <c r="BI676" t="s">
        <v>69</v>
      </c>
      <c r="BJ676" t="s">
        <v>69</v>
      </c>
      <c r="BK676" t="s">
        <v>69</v>
      </c>
      <c r="BL676" t="s">
        <v>69</v>
      </c>
      <c r="BM676" t="s">
        <v>69</v>
      </c>
      <c r="BN676">
        <v>2</v>
      </c>
      <c r="BO676" t="s">
        <v>8743</v>
      </c>
      <c r="BP676" t="s">
        <v>8523</v>
      </c>
      <c r="BQ676" t="s">
        <v>8744</v>
      </c>
      <c r="BR676" t="s">
        <v>32465</v>
      </c>
      <c r="BS676" t="s">
        <v>4244</v>
      </c>
      <c r="BT676" t="s">
        <v>69</v>
      </c>
      <c r="BU676" t="s">
        <v>69</v>
      </c>
      <c r="BV676" t="s">
        <v>69</v>
      </c>
      <c r="BW676" t="s">
        <v>69</v>
      </c>
      <c r="BX676" t="s">
        <v>8526</v>
      </c>
      <c r="BY676" t="str">
        <f>HYPERLINK("https%3A%2F%2Fwww.webofscience.com%2Fwos%2Fwoscc%2Ffull-record%2FWOS:A1996UQ53100015","View Full Record in Web of Science")</f>
        <v>View Full Record in Web of Science</v>
      </c>
    </row>
    <row r="677" spans="1:77" ht="12.5" x14ac:dyDescent="0.25">
      <c r="A677" t="s">
        <v>8495</v>
      </c>
      <c r="B677" s="7" t="s">
        <v>32933</v>
      </c>
      <c r="C677" s="7"/>
      <c r="D677" s="7"/>
      <c r="E677" s="7"/>
      <c r="F677" t="s">
        <v>67</v>
      </c>
      <c r="G677" t="s">
        <v>5091</v>
      </c>
      <c r="H677" t="s">
        <v>69</v>
      </c>
      <c r="I677" t="s">
        <v>69</v>
      </c>
      <c r="J677" t="s">
        <v>69</v>
      </c>
      <c r="K677" t="s">
        <v>5092</v>
      </c>
      <c r="L677" t="s">
        <v>69</v>
      </c>
      <c r="M677" t="s">
        <v>69</v>
      </c>
      <c r="N677" t="s">
        <v>5093</v>
      </c>
      <c r="O677" t="s">
        <v>4739</v>
      </c>
      <c r="P677" t="s">
        <v>69</v>
      </c>
      <c r="Q677" t="s">
        <v>69</v>
      </c>
      <c r="R677" t="s">
        <v>8505</v>
      </c>
      <c r="S677" t="s">
        <v>8506</v>
      </c>
      <c r="T677" t="s">
        <v>69</v>
      </c>
      <c r="U677" t="s">
        <v>69</v>
      </c>
      <c r="V677" t="s">
        <v>69</v>
      </c>
      <c r="W677" t="s">
        <v>69</v>
      </c>
      <c r="X677" t="s">
        <v>69</v>
      </c>
      <c r="Y677" t="s">
        <v>20223</v>
      </c>
      <c r="Z677" t="s">
        <v>20224</v>
      </c>
      <c r="AA677" t="s">
        <v>5094</v>
      </c>
      <c r="AB677" t="s">
        <v>20225</v>
      </c>
      <c r="AC677" t="s">
        <v>69</v>
      </c>
      <c r="AD677" t="s">
        <v>20226</v>
      </c>
      <c r="AE677" t="s">
        <v>20227</v>
      </c>
      <c r="AF677" t="s">
        <v>20228</v>
      </c>
      <c r="AG677" t="s">
        <v>20229</v>
      </c>
      <c r="AH677" t="s">
        <v>20230</v>
      </c>
      <c r="AI677" t="s">
        <v>20231</v>
      </c>
      <c r="AJ677" t="s">
        <v>20232</v>
      </c>
      <c r="AK677" t="s">
        <v>69</v>
      </c>
      <c r="AL677">
        <v>20</v>
      </c>
      <c r="AM677">
        <v>2</v>
      </c>
      <c r="AN677">
        <v>2</v>
      </c>
      <c r="AO677">
        <v>1</v>
      </c>
      <c r="AP677">
        <v>16</v>
      </c>
      <c r="AQ677" t="s">
        <v>19814</v>
      </c>
      <c r="AR677" t="s">
        <v>8925</v>
      </c>
      <c r="AS677" t="s">
        <v>8926</v>
      </c>
      <c r="AT677" t="s">
        <v>4741</v>
      </c>
      <c r="AU677" t="s">
        <v>69</v>
      </c>
      <c r="AV677" t="s">
        <v>69</v>
      </c>
      <c r="AW677" t="s">
        <v>11435</v>
      </c>
      <c r="AX677" t="s">
        <v>8426</v>
      </c>
      <c r="AY677" t="s">
        <v>84</v>
      </c>
      <c r="AZ677">
        <v>2017</v>
      </c>
      <c r="BA677">
        <v>9</v>
      </c>
      <c r="BB677">
        <v>7</v>
      </c>
      <c r="BC677" t="s">
        <v>69</v>
      </c>
      <c r="BD677" t="s">
        <v>69</v>
      </c>
      <c r="BE677" t="s">
        <v>69</v>
      </c>
      <c r="BF677" t="s">
        <v>69</v>
      </c>
      <c r="BG677" t="s">
        <v>69</v>
      </c>
      <c r="BH677" t="s">
        <v>69</v>
      </c>
      <c r="BI677">
        <v>492</v>
      </c>
      <c r="BJ677" t="s">
        <v>5095</v>
      </c>
      <c r="BK677" t="str">
        <f>HYPERLINK("http://dx.doi.org/10.3390/w9070492","http://dx.doi.org/10.3390/w9070492")</f>
        <v>http://dx.doi.org/10.3390/w9070492</v>
      </c>
      <c r="BL677" t="s">
        <v>69</v>
      </c>
      <c r="BM677" t="s">
        <v>69</v>
      </c>
      <c r="BN677">
        <v>10</v>
      </c>
      <c r="BO677" t="s">
        <v>11437</v>
      </c>
      <c r="BP677" t="s">
        <v>8548</v>
      </c>
      <c r="BQ677" t="s">
        <v>11438</v>
      </c>
      <c r="BR677" t="s">
        <v>20233</v>
      </c>
      <c r="BS677" t="s">
        <v>5096</v>
      </c>
      <c r="BT677" t="s">
        <v>69</v>
      </c>
      <c r="BU677" t="s">
        <v>12220</v>
      </c>
      <c r="BV677" t="s">
        <v>69</v>
      </c>
      <c r="BW677" t="s">
        <v>69</v>
      </c>
      <c r="BX677" t="s">
        <v>8526</v>
      </c>
      <c r="BY677" t="str">
        <f>HYPERLINK("https%3A%2F%2Fwww.webofscience.com%2Fwos%2Fwoscc%2Ffull-record%2FWOS:000406681700043","View Full Record in Web of Science")</f>
        <v>View Full Record in Web of Science</v>
      </c>
    </row>
    <row r="678" spans="1:77" ht="12.5" x14ac:dyDescent="0.25">
      <c r="A678" t="s">
        <v>8495</v>
      </c>
      <c r="B678" s="7" t="s">
        <v>32933</v>
      </c>
      <c r="C678" s="7"/>
      <c r="D678" s="7"/>
      <c r="E678" s="7"/>
      <c r="F678" t="s">
        <v>67</v>
      </c>
      <c r="G678" t="s">
        <v>394</v>
      </c>
      <c r="H678" t="s">
        <v>69</v>
      </c>
      <c r="I678" t="s">
        <v>69</v>
      </c>
      <c r="J678" t="s">
        <v>69</v>
      </c>
      <c r="K678" t="s">
        <v>395</v>
      </c>
      <c r="L678" t="s">
        <v>69</v>
      </c>
      <c r="M678" t="s">
        <v>69</v>
      </c>
      <c r="N678" t="s">
        <v>396</v>
      </c>
      <c r="O678" t="s">
        <v>397</v>
      </c>
      <c r="P678" t="s">
        <v>69</v>
      </c>
      <c r="Q678" t="s">
        <v>69</v>
      </c>
      <c r="R678" t="s">
        <v>8505</v>
      </c>
      <c r="S678" t="s">
        <v>8506</v>
      </c>
      <c r="T678" t="s">
        <v>69</v>
      </c>
      <c r="U678" t="s">
        <v>69</v>
      </c>
      <c r="V678" t="s">
        <v>69</v>
      </c>
      <c r="W678" t="s">
        <v>69</v>
      </c>
      <c r="X678" t="s">
        <v>69</v>
      </c>
      <c r="Y678" t="s">
        <v>19607</v>
      </c>
      <c r="Z678" t="s">
        <v>19608</v>
      </c>
      <c r="AA678" t="s">
        <v>398</v>
      </c>
      <c r="AB678" t="s">
        <v>19609</v>
      </c>
      <c r="AC678" t="s">
        <v>69</v>
      </c>
      <c r="AD678" t="s">
        <v>19610</v>
      </c>
      <c r="AE678" t="s">
        <v>19611</v>
      </c>
      <c r="AF678" t="s">
        <v>399</v>
      </c>
      <c r="AG678" t="s">
        <v>400</v>
      </c>
      <c r="AH678" t="s">
        <v>69</v>
      </c>
      <c r="AI678" t="s">
        <v>69</v>
      </c>
      <c r="AJ678" t="s">
        <v>69</v>
      </c>
      <c r="AK678" t="s">
        <v>69</v>
      </c>
      <c r="AL678">
        <v>80</v>
      </c>
      <c r="AM678">
        <v>10</v>
      </c>
      <c r="AN678">
        <v>10</v>
      </c>
      <c r="AO678">
        <v>1</v>
      </c>
      <c r="AP678">
        <v>7</v>
      </c>
      <c r="AQ678" t="s">
        <v>8586</v>
      </c>
      <c r="AR678" t="s">
        <v>8587</v>
      </c>
      <c r="AS678" t="s">
        <v>8588</v>
      </c>
      <c r="AT678" t="s">
        <v>401</v>
      </c>
      <c r="AU678" t="s">
        <v>402</v>
      </c>
      <c r="AV678" t="s">
        <v>69</v>
      </c>
      <c r="AW678" t="s">
        <v>19612</v>
      </c>
      <c r="AX678" t="s">
        <v>19613</v>
      </c>
      <c r="AY678" t="s">
        <v>69</v>
      </c>
      <c r="AZ678">
        <v>2018</v>
      </c>
      <c r="BA678">
        <v>25</v>
      </c>
      <c r="BB678">
        <v>1</v>
      </c>
      <c r="BC678" t="s">
        <v>69</v>
      </c>
      <c r="BD678" t="s">
        <v>69</v>
      </c>
      <c r="BE678" t="s">
        <v>69</v>
      </c>
      <c r="BF678" t="s">
        <v>69</v>
      </c>
      <c r="BG678">
        <v>357</v>
      </c>
      <c r="BH678">
        <v>372</v>
      </c>
      <c r="BI678" t="s">
        <v>69</v>
      </c>
      <c r="BJ678" t="s">
        <v>403</v>
      </c>
      <c r="BK678" t="str">
        <f>HYPERLINK("http://dx.doi.org/10.1108/BIJ-07-2016-0117","http://dx.doi.org/10.1108/BIJ-07-2016-0117")</f>
        <v>http://dx.doi.org/10.1108/BIJ-07-2016-0117</v>
      </c>
      <c r="BL678" t="s">
        <v>69</v>
      </c>
      <c r="BM678" t="s">
        <v>69</v>
      </c>
      <c r="BN678">
        <v>16</v>
      </c>
      <c r="BO678" t="s">
        <v>9410</v>
      </c>
      <c r="BP678" t="s">
        <v>8573</v>
      </c>
      <c r="BQ678" t="s">
        <v>8594</v>
      </c>
      <c r="BR678" t="s">
        <v>19614</v>
      </c>
      <c r="BS678" t="s">
        <v>404</v>
      </c>
      <c r="BT678" t="s">
        <v>69</v>
      </c>
      <c r="BU678" t="s">
        <v>69</v>
      </c>
      <c r="BV678" t="s">
        <v>69</v>
      </c>
      <c r="BW678" t="s">
        <v>69</v>
      </c>
      <c r="BX678" t="s">
        <v>8526</v>
      </c>
      <c r="BY678" t="str">
        <f>HYPERLINK("https%3A%2F%2Fwww.webofscience.com%2Fwos%2Fwoscc%2Ffull-record%2FWOS:000426531000018","View Full Record in Web of Science")</f>
        <v>View Full Record in Web of Science</v>
      </c>
    </row>
    <row r="679" spans="1:77" ht="12.5" x14ac:dyDescent="0.25">
      <c r="A679" t="s">
        <v>8495</v>
      </c>
      <c r="B679" s="7" t="s">
        <v>32933</v>
      </c>
      <c r="C679" s="7"/>
      <c r="D679" s="7"/>
      <c r="E679" s="7"/>
      <c r="F679" t="s">
        <v>67</v>
      </c>
      <c r="G679" t="s">
        <v>2320</v>
      </c>
      <c r="H679" t="s">
        <v>69</v>
      </c>
      <c r="I679" t="s">
        <v>69</v>
      </c>
      <c r="J679" t="s">
        <v>69</v>
      </c>
      <c r="K679" t="s">
        <v>2321</v>
      </c>
      <c r="L679" t="s">
        <v>69</v>
      </c>
      <c r="M679" t="s">
        <v>69</v>
      </c>
      <c r="N679" t="s">
        <v>2322</v>
      </c>
      <c r="O679" t="s">
        <v>2323</v>
      </c>
      <c r="P679" t="s">
        <v>69</v>
      </c>
      <c r="Q679" t="s">
        <v>69</v>
      </c>
      <c r="R679" t="s">
        <v>18078</v>
      </c>
      <c r="S679" t="s">
        <v>8506</v>
      </c>
      <c r="T679" t="s">
        <v>69</v>
      </c>
      <c r="U679" t="s">
        <v>69</v>
      </c>
      <c r="V679" t="s">
        <v>69</v>
      </c>
      <c r="W679" t="s">
        <v>69</v>
      </c>
      <c r="X679" t="s">
        <v>69</v>
      </c>
      <c r="Y679" t="s">
        <v>18079</v>
      </c>
      <c r="Z679" t="s">
        <v>69</v>
      </c>
      <c r="AA679" t="s">
        <v>2324</v>
      </c>
      <c r="AB679" t="s">
        <v>18080</v>
      </c>
      <c r="AC679" t="s">
        <v>69</v>
      </c>
      <c r="AD679" t="s">
        <v>18081</v>
      </c>
      <c r="AE679" t="s">
        <v>18082</v>
      </c>
      <c r="AF679" t="s">
        <v>69</v>
      </c>
      <c r="AG679" t="s">
        <v>69</v>
      </c>
      <c r="AH679" t="s">
        <v>69</v>
      </c>
      <c r="AI679" t="s">
        <v>69</v>
      </c>
      <c r="AJ679" t="s">
        <v>69</v>
      </c>
      <c r="AK679" t="s">
        <v>69</v>
      </c>
      <c r="AL679">
        <v>30</v>
      </c>
      <c r="AM679">
        <v>0</v>
      </c>
      <c r="AN679">
        <v>0</v>
      </c>
      <c r="AO679">
        <v>1</v>
      </c>
      <c r="AP679">
        <v>1</v>
      </c>
      <c r="AQ679" t="s">
        <v>18083</v>
      </c>
      <c r="AR679" t="s">
        <v>18084</v>
      </c>
      <c r="AS679" t="s">
        <v>18085</v>
      </c>
      <c r="AT679" t="s">
        <v>2325</v>
      </c>
      <c r="AU679" t="s">
        <v>2326</v>
      </c>
      <c r="AV679" t="s">
        <v>69</v>
      </c>
      <c r="AW679" t="s">
        <v>18086</v>
      </c>
      <c r="AX679" t="s">
        <v>18087</v>
      </c>
      <c r="AY679" t="s">
        <v>75</v>
      </c>
      <c r="AZ679">
        <v>2018</v>
      </c>
      <c r="BA679">
        <v>25</v>
      </c>
      <c r="BB679">
        <v>2</v>
      </c>
      <c r="BC679" t="s">
        <v>69</v>
      </c>
      <c r="BD679" t="s">
        <v>69</v>
      </c>
      <c r="BE679" t="s">
        <v>69</v>
      </c>
      <c r="BF679" t="s">
        <v>69</v>
      </c>
      <c r="BG679">
        <v>1</v>
      </c>
      <c r="BH679">
        <v>18</v>
      </c>
      <c r="BI679" t="s">
        <v>69</v>
      </c>
      <c r="BJ679" t="s">
        <v>69</v>
      </c>
      <c r="BK679" t="s">
        <v>69</v>
      </c>
      <c r="BL679" t="s">
        <v>69</v>
      </c>
      <c r="BM679" t="s">
        <v>69</v>
      </c>
      <c r="BN679">
        <v>18</v>
      </c>
      <c r="BO679" t="s">
        <v>9726</v>
      </c>
      <c r="BP679" t="s">
        <v>8573</v>
      </c>
      <c r="BQ679" t="s">
        <v>8594</v>
      </c>
      <c r="BR679" t="s">
        <v>18088</v>
      </c>
      <c r="BS679" t="s">
        <v>2327</v>
      </c>
      <c r="BT679" t="s">
        <v>69</v>
      </c>
      <c r="BU679" t="s">
        <v>69</v>
      </c>
      <c r="BV679" t="s">
        <v>69</v>
      </c>
      <c r="BW679" t="s">
        <v>69</v>
      </c>
      <c r="BX679" t="s">
        <v>8526</v>
      </c>
      <c r="BY679" t="str">
        <f>HYPERLINK("https%3A%2F%2Fwww.webofscience.com%2Fwos%2Fwoscc%2Ffull-record%2FWOS:000598881800001","View Full Record in Web of Science")</f>
        <v>View Full Record in Web of Science</v>
      </c>
    </row>
    <row r="680" spans="1:77" ht="12.5" x14ac:dyDescent="0.25">
      <c r="A680" t="s">
        <v>8495</v>
      </c>
      <c r="B680" s="22" t="s">
        <v>32931</v>
      </c>
      <c r="C680" s="7"/>
      <c r="D680" s="7"/>
      <c r="E680" s="7"/>
      <c r="F680" t="s">
        <v>67</v>
      </c>
      <c r="G680" t="s">
        <v>11013</v>
      </c>
      <c r="H680" t="s">
        <v>69</v>
      </c>
      <c r="I680" t="s">
        <v>69</v>
      </c>
      <c r="J680" t="s">
        <v>69</v>
      </c>
      <c r="K680" t="s">
        <v>11014</v>
      </c>
      <c r="L680" t="s">
        <v>69</v>
      </c>
      <c r="M680" t="s">
        <v>69</v>
      </c>
      <c r="N680" t="s">
        <v>11015</v>
      </c>
      <c r="O680" t="s">
        <v>6325</v>
      </c>
      <c r="P680" t="s">
        <v>69</v>
      </c>
      <c r="Q680" t="s">
        <v>69</v>
      </c>
      <c r="R680" t="s">
        <v>8505</v>
      </c>
      <c r="S680" t="s">
        <v>8506</v>
      </c>
      <c r="T680" t="s">
        <v>69</v>
      </c>
      <c r="U680" t="s">
        <v>69</v>
      </c>
      <c r="V680" t="s">
        <v>69</v>
      </c>
      <c r="W680" t="s">
        <v>69</v>
      </c>
      <c r="X680" t="s">
        <v>69</v>
      </c>
      <c r="Y680" t="s">
        <v>11016</v>
      </c>
      <c r="Z680" t="s">
        <v>11017</v>
      </c>
      <c r="AA680" t="s">
        <v>11018</v>
      </c>
      <c r="AB680" t="s">
        <v>11019</v>
      </c>
      <c r="AC680" t="s">
        <v>69</v>
      </c>
      <c r="AD680" t="s">
        <v>11020</v>
      </c>
      <c r="AE680" t="s">
        <v>11021</v>
      </c>
      <c r="AF680" t="s">
        <v>69</v>
      </c>
      <c r="AG680" t="s">
        <v>69</v>
      </c>
      <c r="AH680" t="s">
        <v>69</v>
      </c>
      <c r="AI680" t="s">
        <v>69</v>
      </c>
      <c r="AJ680" t="s">
        <v>69</v>
      </c>
      <c r="AK680" t="s">
        <v>69</v>
      </c>
      <c r="AL680">
        <v>64</v>
      </c>
      <c r="AM680">
        <v>0</v>
      </c>
      <c r="AN680">
        <v>0</v>
      </c>
      <c r="AO680">
        <v>3</v>
      </c>
      <c r="AP680">
        <v>3</v>
      </c>
      <c r="AQ680" t="s">
        <v>9145</v>
      </c>
      <c r="AR680" t="s">
        <v>8637</v>
      </c>
      <c r="AS680" t="s">
        <v>9146</v>
      </c>
      <c r="AT680" t="s">
        <v>6328</v>
      </c>
      <c r="AU680" t="s">
        <v>11022</v>
      </c>
      <c r="AV680" t="s">
        <v>69</v>
      </c>
      <c r="AW680" t="s">
        <v>11023</v>
      </c>
      <c r="AX680" t="s">
        <v>11024</v>
      </c>
      <c r="AY680" t="s">
        <v>274</v>
      </c>
      <c r="AZ680">
        <v>2021</v>
      </c>
      <c r="BA680">
        <v>100</v>
      </c>
      <c r="BB680" t="s">
        <v>69</v>
      </c>
      <c r="BC680" t="s">
        <v>69</v>
      </c>
      <c r="BD680" t="s">
        <v>69</v>
      </c>
      <c r="BE680" t="s">
        <v>69</v>
      </c>
      <c r="BF680" t="s">
        <v>69</v>
      </c>
      <c r="BG680" t="s">
        <v>69</v>
      </c>
      <c r="BH680" t="s">
        <v>69</v>
      </c>
      <c r="BI680">
        <v>103084</v>
      </c>
      <c r="BJ680" t="s">
        <v>11025</v>
      </c>
      <c r="BK680" t="str">
        <f>HYPERLINK("http://dx.doi.org/10.1016/j.trd.2021.103084","http://dx.doi.org/10.1016/j.trd.2021.103084")</f>
        <v>http://dx.doi.org/10.1016/j.trd.2021.103084</v>
      </c>
      <c r="BL680" t="s">
        <v>69</v>
      </c>
      <c r="BM680" t="s">
        <v>10991</v>
      </c>
      <c r="BN680">
        <v>14</v>
      </c>
      <c r="BO680" t="s">
        <v>11026</v>
      </c>
      <c r="BP680" t="s">
        <v>8523</v>
      </c>
      <c r="BQ680" t="s">
        <v>11027</v>
      </c>
      <c r="BR680" t="s">
        <v>11028</v>
      </c>
      <c r="BS680" t="s">
        <v>11029</v>
      </c>
      <c r="BT680" t="s">
        <v>69</v>
      </c>
      <c r="BU680" t="s">
        <v>69</v>
      </c>
      <c r="BV680" t="s">
        <v>69</v>
      </c>
      <c r="BW680" t="s">
        <v>69</v>
      </c>
      <c r="BX680" t="s">
        <v>8526</v>
      </c>
      <c r="BY680" t="str">
        <f>HYPERLINK("https%3A%2F%2Fwww.webofscience.com%2Fwos%2Fwoscc%2Ffull-record%2FWOS:000723848500005","View Full Record in Web of Science")</f>
        <v>View Full Record in Web of Science</v>
      </c>
    </row>
    <row r="681" spans="1:77" ht="12.5" x14ac:dyDescent="0.25">
      <c r="A681" t="s">
        <v>8495</v>
      </c>
      <c r="B681" s="22" t="s">
        <v>32931</v>
      </c>
      <c r="C681" s="7"/>
      <c r="D681" s="7"/>
      <c r="E681" s="7"/>
      <c r="F681" t="s">
        <v>67</v>
      </c>
      <c r="G681" t="s">
        <v>11245</v>
      </c>
      <c r="H681" t="s">
        <v>69</v>
      </c>
      <c r="I681" t="s">
        <v>69</v>
      </c>
      <c r="J681" t="s">
        <v>69</v>
      </c>
      <c r="K681" t="s">
        <v>11246</v>
      </c>
      <c r="L681" t="s">
        <v>69</v>
      </c>
      <c r="M681" t="s">
        <v>69</v>
      </c>
      <c r="N681" t="s">
        <v>11247</v>
      </c>
      <c r="O681" t="s">
        <v>352</v>
      </c>
      <c r="P681" t="s">
        <v>69</v>
      </c>
      <c r="Q681" t="s">
        <v>69</v>
      </c>
      <c r="R681" t="s">
        <v>8505</v>
      </c>
      <c r="S681" t="s">
        <v>8506</v>
      </c>
      <c r="T681" t="s">
        <v>69</v>
      </c>
      <c r="U681" t="s">
        <v>69</v>
      </c>
      <c r="V681" t="s">
        <v>69</v>
      </c>
      <c r="W681" t="s">
        <v>69</v>
      </c>
      <c r="X681" t="s">
        <v>69</v>
      </c>
      <c r="Y681" t="s">
        <v>11248</v>
      </c>
      <c r="Z681" t="s">
        <v>11249</v>
      </c>
      <c r="AA681" t="s">
        <v>11250</v>
      </c>
      <c r="AB681" t="s">
        <v>11251</v>
      </c>
      <c r="AC681" t="s">
        <v>69</v>
      </c>
      <c r="AD681" t="s">
        <v>11252</v>
      </c>
      <c r="AE681" t="s">
        <v>11253</v>
      </c>
      <c r="AF681" t="s">
        <v>11254</v>
      </c>
      <c r="AG681" t="s">
        <v>11255</v>
      </c>
      <c r="AH681" t="s">
        <v>11256</v>
      </c>
      <c r="AI681" t="s">
        <v>11257</v>
      </c>
      <c r="AJ681" t="s">
        <v>11258</v>
      </c>
      <c r="AK681" t="s">
        <v>69</v>
      </c>
      <c r="AL681">
        <v>62</v>
      </c>
      <c r="AM681">
        <v>0</v>
      </c>
      <c r="AN681">
        <v>0</v>
      </c>
      <c r="AO681">
        <v>25</v>
      </c>
      <c r="AP681">
        <v>55</v>
      </c>
      <c r="AQ681" t="s">
        <v>8924</v>
      </c>
      <c r="AR681" t="s">
        <v>8925</v>
      </c>
      <c r="AS681" t="s">
        <v>8926</v>
      </c>
      <c r="AT681" t="s">
        <v>69</v>
      </c>
      <c r="AU681" t="s">
        <v>354</v>
      </c>
      <c r="AV681" t="s">
        <v>69</v>
      </c>
      <c r="AW681" t="s">
        <v>8958</v>
      </c>
      <c r="AX681" t="s">
        <v>8434</v>
      </c>
      <c r="AY681" t="s">
        <v>381</v>
      </c>
      <c r="AZ681">
        <v>2021</v>
      </c>
      <c r="BA681">
        <v>13</v>
      </c>
      <c r="BB681">
        <v>19</v>
      </c>
      <c r="BC681" t="s">
        <v>69</v>
      </c>
      <c r="BD681" t="s">
        <v>69</v>
      </c>
      <c r="BE681" t="s">
        <v>69</v>
      </c>
      <c r="BF681" t="s">
        <v>69</v>
      </c>
      <c r="BG681" t="s">
        <v>69</v>
      </c>
      <c r="BH681" t="s">
        <v>69</v>
      </c>
      <c r="BI681">
        <v>10868</v>
      </c>
      <c r="BJ681" t="s">
        <v>11259</v>
      </c>
      <c r="BK681" t="str">
        <f>HYPERLINK("http://dx.doi.org/10.3390/su131910868","http://dx.doi.org/10.3390/su131910868")</f>
        <v>http://dx.doi.org/10.3390/su131910868</v>
      </c>
      <c r="BL681" t="s">
        <v>69</v>
      </c>
      <c r="BM681" t="s">
        <v>69</v>
      </c>
      <c r="BN681">
        <v>14</v>
      </c>
      <c r="BO681" t="s">
        <v>8960</v>
      </c>
      <c r="BP681" t="s">
        <v>8523</v>
      </c>
      <c r="BQ681" t="s">
        <v>8961</v>
      </c>
      <c r="BR681" t="s">
        <v>11260</v>
      </c>
      <c r="BS681" t="s">
        <v>11261</v>
      </c>
      <c r="BT681" t="s">
        <v>69</v>
      </c>
      <c r="BU681" t="s">
        <v>8931</v>
      </c>
      <c r="BV681" t="s">
        <v>69</v>
      </c>
      <c r="BW681" t="s">
        <v>69</v>
      </c>
      <c r="BX681" t="s">
        <v>8526</v>
      </c>
      <c r="BY681" t="str">
        <f>HYPERLINK("https%3A%2F%2Fwww.webofscience.com%2Fwos%2Fwoscc%2Ffull-record%2FWOS:000710731700001","View Full Record in Web of Science")</f>
        <v>View Full Record in Web of Science</v>
      </c>
    </row>
    <row r="682" spans="1:77" ht="12.5" x14ac:dyDescent="0.25">
      <c r="A682" t="s">
        <v>8495</v>
      </c>
      <c r="B682" s="22" t="s">
        <v>32931</v>
      </c>
      <c r="C682" s="7"/>
      <c r="D682" s="7"/>
      <c r="E682" s="7"/>
      <c r="F682" t="s">
        <v>67</v>
      </c>
      <c r="G682" t="s">
        <v>9703</v>
      </c>
      <c r="H682" t="s">
        <v>69</v>
      </c>
      <c r="I682" t="s">
        <v>69</v>
      </c>
      <c r="J682" t="s">
        <v>69</v>
      </c>
      <c r="K682" t="s">
        <v>9704</v>
      </c>
      <c r="L682" t="s">
        <v>69</v>
      </c>
      <c r="M682" t="s">
        <v>69</v>
      </c>
      <c r="N682" t="s">
        <v>9705</v>
      </c>
      <c r="O682" t="s">
        <v>9706</v>
      </c>
      <c r="P682" t="s">
        <v>69</v>
      </c>
      <c r="Q682" t="s">
        <v>69</v>
      </c>
      <c r="R682" t="s">
        <v>8505</v>
      </c>
      <c r="S682" t="s">
        <v>8506</v>
      </c>
      <c r="T682" t="s">
        <v>69</v>
      </c>
      <c r="U682" t="s">
        <v>69</v>
      </c>
      <c r="V682" t="s">
        <v>69</v>
      </c>
      <c r="W682" t="s">
        <v>69</v>
      </c>
      <c r="X682" t="s">
        <v>69</v>
      </c>
      <c r="Y682" t="s">
        <v>9707</v>
      </c>
      <c r="Z682" t="s">
        <v>9708</v>
      </c>
      <c r="AA682" t="s">
        <v>9709</v>
      </c>
      <c r="AB682" t="s">
        <v>9710</v>
      </c>
      <c r="AC682" t="s">
        <v>69</v>
      </c>
      <c r="AD682" t="s">
        <v>9711</v>
      </c>
      <c r="AE682" t="s">
        <v>9712</v>
      </c>
      <c r="AF682" t="s">
        <v>9713</v>
      </c>
      <c r="AG682" t="s">
        <v>9714</v>
      </c>
      <c r="AH682" t="s">
        <v>9715</v>
      </c>
      <c r="AI682" t="s">
        <v>9716</v>
      </c>
      <c r="AJ682" t="s">
        <v>9717</v>
      </c>
      <c r="AK682" t="s">
        <v>69</v>
      </c>
      <c r="AL682">
        <v>82</v>
      </c>
      <c r="AM682">
        <v>0</v>
      </c>
      <c r="AN682">
        <v>0</v>
      </c>
      <c r="AO682">
        <v>7</v>
      </c>
      <c r="AP682">
        <v>7</v>
      </c>
      <c r="AQ682" t="s">
        <v>9718</v>
      </c>
      <c r="AR682" t="s">
        <v>9719</v>
      </c>
      <c r="AS682" t="s">
        <v>9720</v>
      </c>
      <c r="AT682" t="s">
        <v>9721</v>
      </c>
      <c r="AU682" t="s">
        <v>9722</v>
      </c>
      <c r="AV682" t="s">
        <v>69</v>
      </c>
      <c r="AW682" t="s">
        <v>9723</v>
      </c>
      <c r="AX682" t="s">
        <v>9724</v>
      </c>
      <c r="AY682" t="s">
        <v>94</v>
      </c>
      <c r="AZ682">
        <v>2022</v>
      </c>
      <c r="BA682">
        <v>13</v>
      </c>
      <c r="BB682">
        <v>1</v>
      </c>
      <c r="BC682" t="s">
        <v>69</v>
      </c>
      <c r="BD682" t="s">
        <v>69</v>
      </c>
      <c r="BE682" t="s">
        <v>69</v>
      </c>
      <c r="BF682" t="s">
        <v>69</v>
      </c>
      <c r="BG682">
        <v>79</v>
      </c>
      <c r="BH682">
        <v>108</v>
      </c>
      <c r="BI682" t="s">
        <v>69</v>
      </c>
      <c r="BJ682" t="s">
        <v>9725</v>
      </c>
      <c r="BK682" t="str">
        <f>HYPERLINK("http://dx.doi.org/10.24136/oc.2022.003","http://dx.doi.org/10.24136/oc.2022.003")</f>
        <v>http://dx.doi.org/10.24136/oc.2022.003</v>
      </c>
      <c r="BL682" t="s">
        <v>69</v>
      </c>
      <c r="BM682" t="s">
        <v>69</v>
      </c>
      <c r="BN682">
        <v>30</v>
      </c>
      <c r="BO682" t="s">
        <v>9726</v>
      </c>
      <c r="BP682" t="s">
        <v>8661</v>
      </c>
      <c r="BQ682" t="s">
        <v>8594</v>
      </c>
      <c r="BR682" t="s">
        <v>9727</v>
      </c>
      <c r="BS682" t="s">
        <v>9728</v>
      </c>
      <c r="BT682" t="s">
        <v>69</v>
      </c>
      <c r="BU682" t="s">
        <v>8931</v>
      </c>
      <c r="BV682" t="s">
        <v>69</v>
      </c>
      <c r="BW682" t="s">
        <v>69</v>
      </c>
      <c r="BX682" t="s">
        <v>8526</v>
      </c>
      <c r="BY682" t="str">
        <f>HYPERLINK("https%3A%2F%2Fwww.webofscience.com%2Fwos%2Fwoscc%2Ffull-record%2FWOS:000782850400003","View Full Record in Web of Science")</f>
        <v>View Full Record in Web of Science</v>
      </c>
    </row>
    <row r="683" spans="1:77" ht="12.5" x14ac:dyDescent="0.25">
      <c r="A683" t="s">
        <v>8495</v>
      </c>
      <c r="B683" s="7" t="s">
        <v>32933</v>
      </c>
      <c r="C683" s="7"/>
      <c r="D683" s="7"/>
      <c r="E683" s="7"/>
      <c r="F683" t="s">
        <v>67</v>
      </c>
      <c r="G683" t="s">
        <v>2167</v>
      </c>
      <c r="H683" t="s">
        <v>69</v>
      </c>
      <c r="I683" t="s">
        <v>69</v>
      </c>
      <c r="J683" t="s">
        <v>69</v>
      </c>
      <c r="K683" t="s">
        <v>2168</v>
      </c>
      <c r="L683" t="s">
        <v>69</v>
      </c>
      <c r="M683" t="s">
        <v>69</v>
      </c>
      <c r="N683" t="s">
        <v>2169</v>
      </c>
      <c r="O683" t="s">
        <v>436</v>
      </c>
      <c r="P683" t="s">
        <v>69</v>
      </c>
      <c r="Q683" t="s">
        <v>69</v>
      </c>
      <c r="R683" t="s">
        <v>8505</v>
      </c>
      <c r="S683" t="s">
        <v>8506</v>
      </c>
      <c r="T683" t="s">
        <v>69</v>
      </c>
      <c r="U683" t="s">
        <v>69</v>
      </c>
      <c r="V683" t="s">
        <v>69</v>
      </c>
      <c r="W683" t="s">
        <v>69</v>
      </c>
      <c r="X683" t="s">
        <v>69</v>
      </c>
      <c r="Y683" t="s">
        <v>16857</v>
      </c>
      <c r="Z683" t="s">
        <v>16858</v>
      </c>
      <c r="AA683" t="s">
        <v>2170</v>
      </c>
      <c r="AB683" t="s">
        <v>16859</v>
      </c>
      <c r="AC683" t="s">
        <v>69</v>
      </c>
      <c r="AD683" t="s">
        <v>16860</v>
      </c>
      <c r="AE683" t="s">
        <v>16861</v>
      </c>
      <c r="AF683" t="s">
        <v>16862</v>
      </c>
      <c r="AG683" t="s">
        <v>16863</v>
      </c>
      <c r="AH683" t="s">
        <v>16864</v>
      </c>
      <c r="AI683" t="s">
        <v>16865</v>
      </c>
      <c r="AJ683" t="s">
        <v>16866</v>
      </c>
      <c r="AK683" t="s">
        <v>69</v>
      </c>
      <c r="AL683">
        <v>69</v>
      </c>
      <c r="AM683">
        <v>0</v>
      </c>
      <c r="AN683">
        <v>0</v>
      </c>
      <c r="AO683">
        <v>1</v>
      </c>
      <c r="AP683">
        <v>9</v>
      </c>
      <c r="AQ683" t="s">
        <v>8636</v>
      </c>
      <c r="AR683" t="s">
        <v>8637</v>
      </c>
      <c r="AS683" t="s">
        <v>8638</v>
      </c>
      <c r="AT683" t="s">
        <v>440</v>
      </c>
      <c r="AU683" t="s">
        <v>441</v>
      </c>
      <c r="AV683" t="s">
        <v>69</v>
      </c>
      <c r="AW683" t="s">
        <v>8639</v>
      </c>
      <c r="AX683" t="s">
        <v>8640</v>
      </c>
      <c r="AY683" t="s">
        <v>477</v>
      </c>
      <c r="AZ683">
        <v>2019</v>
      </c>
      <c r="BA683">
        <v>230</v>
      </c>
      <c r="BB683" t="s">
        <v>69</v>
      </c>
      <c r="BC683" t="s">
        <v>69</v>
      </c>
      <c r="BD683" t="s">
        <v>69</v>
      </c>
      <c r="BE683" t="s">
        <v>69</v>
      </c>
      <c r="BF683" t="s">
        <v>69</v>
      </c>
      <c r="BG683">
        <v>634</v>
      </c>
      <c r="BH683">
        <v>646</v>
      </c>
      <c r="BI683" t="s">
        <v>69</v>
      </c>
      <c r="BJ683" t="s">
        <v>2171</v>
      </c>
      <c r="BK683" t="str">
        <f>HYPERLINK("http://dx.doi.org/10.1016/j.jclepro.2019.05.123","http://dx.doi.org/10.1016/j.jclepro.2019.05.123")</f>
        <v>http://dx.doi.org/10.1016/j.jclepro.2019.05.123</v>
      </c>
      <c r="BL683" t="s">
        <v>69</v>
      </c>
      <c r="BM683" t="s">
        <v>69</v>
      </c>
      <c r="BN683">
        <v>13</v>
      </c>
      <c r="BO683" t="s">
        <v>8643</v>
      </c>
      <c r="BP683" t="s">
        <v>8548</v>
      </c>
      <c r="BQ683" t="s">
        <v>8644</v>
      </c>
      <c r="BR683" t="s">
        <v>16867</v>
      </c>
      <c r="BS683" t="s">
        <v>2172</v>
      </c>
      <c r="BT683" t="s">
        <v>69</v>
      </c>
      <c r="BU683" t="s">
        <v>69</v>
      </c>
      <c r="BV683" t="s">
        <v>69</v>
      </c>
      <c r="BW683" t="s">
        <v>69</v>
      </c>
      <c r="BX683" t="s">
        <v>8526</v>
      </c>
      <c r="BY683" t="str">
        <f>HYPERLINK("https%3A%2F%2Fwww.webofscience.com%2Fwos%2Fwoscc%2Ffull-record%2FWOS:000474676300056","View Full Record in Web of Science")</f>
        <v>View Full Record in Web of Science</v>
      </c>
    </row>
    <row r="684" spans="1:77" x14ac:dyDescent="0.3">
      <c r="A684" t="s">
        <v>8495</v>
      </c>
      <c r="B684" s="12" t="s">
        <v>32986</v>
      </c>
      <c r="F684" t="s">
        <v>67</v>
      </c>
      <c r="G684" t="s">
        <v>291</v>
      </c>
      <c r="H684" t="s">
        <v>69</v>
      </c>
      <c r="I684" t="s">
        <v>69</v>
      </c>
      <c r="J684" t="s">
        <v>69</v>
      </c>
      <c r="K684" t="s">
        <v>292</v>
      </c>
      <c r="L684" t="s">
        <v>69</v>
      </c>
      <c r="M684" t="s">
        <v>69</v>
      </c>
      <c r="N684" s="11" t="s">
        <v>293</v>
      </c>
      <c r="O684" t="s">
        <v>294</v>
      </c>
      <c r="P684" t="s">
        <v>69</v>
      </c>
      <c r="Q684" t="s">
        <v>69</v>
      </c>
      <c r="R684" t="s">
        <v>8505</v>
      </c>
      <c r="S684" t="s">
        <v>8442</v>
      </c>
      <c r="T684" t="s">
        <v>69</v>
      </c>
      <c r="U684" t="s">
        <v>69</v>
      </c>
      <c r="V684" t="s">
        <v>69</v>
      </c>
      <c r="W684" t="s">
        <v>69</v>
      </c>
      <c r="X684" t="s">
        <v>69</v>
      </c>
      <c r="Y684" t="s">
        <v>13422</v>
      </c>
      <c r="Z684" t="s">
        <v>13423</v>
      </c>
      <c r="AA684" t="s">
        <v>295</v>
      </c>
      <c r="AB684" t="s">
        <v>13424</v>
      </c>
      <c r="AC684" t="s">
        <v>69</v>
      </c>
      <c r="AD684" t="s">
        <v>13425</v>
      </c>
      <c r="AE684" t="s">
        <v>13426</v>
      </c>
      <c r="AF684" t="s">
        <v>296</v>
      </c>
      <c r="AG684" t="s">
        <v>13427</v>
      </c>
      <c r="AH684" t="s">
        <v>69</v>
      </c>
      <c r="AI684" t="s">
        <v>69</v>
      </c>
      <c r="AJ684" t="s">
        <v>69</v>
      </c>
      <c r="AK684" t="s">
        <v>69</v>
      </c>
      <c r="AL684">
        <v>116</v>
      </c>
      <c r="AM684">
        <v>2</v>
      </c>
      <c r="AN684">
        <v>2</v>
      </c>
      <c r="AO684">
        <v>5</v>
      </c>
      <c r="AP684">
        <v>30</v>
      </c>
      <c r="AQ684" t="s">
        <v>8563</v>
      </c>
      <c r="AR684" t="s">
        <v>8564</v>
      </c>
      <c r="AS684" t="s">
        <v>8565</v>
      </c>
      <c r="AT684" t="s">
        <v>297</v>
      </c>
      <c r="AU684" t="s">
        <v>298</v>
      </c>
      <c r="AV684" t="s">
        <v>69</v>
      </c>
      <c r="AW684" t="s">
        <v>13428</v>
      </c>
      <c r="AX684" t="s">
        <v>13429</v>
      </c>
      <c r="AY684" t="s">
        <v>94</v>
      </c>
      <c r="AZ684">
        <v>2021</v>
      </c>
      <c r="BA684">
        <v>28</v>
      </c>
      <c r="BB684">
        <v>9</v>
      </c>
      <c r="BC684" t="s">
        <v>69</v>
      </c>
      <c r="BD684" t="s">
        <v>69</v>
      </c>
      <c r="BE684" t="s">
        <v>69</v>
      </c>
      <c r="BF684" t="s">
        <v>69</v>
      </c>
      <c r="BG684">
        <v>10335</v>
      </c>
      <c r="BH684">
        <v>10356</v>
      </c>
      <c r="BI684" t="s">
        <v>69</v>
      </c>
      <c r="BJ684" t="s">
        <v>299</v>
      </c>
      <c r="BK684" t="str">
        <f>HYPERLINK("http://dx.doi.org/10.1007/s11356-020-12143-7","http://dx.doi.org/10.1007/s11356-020-12143-7")</f>
        <v>http://dx.doi.org/10.1007/s11356-020-12143-7</v>
      </c>
      <c r="BL684" t="s">
        <v>69</v>
      </c>
      <c r="BM684" t="s">
        <v>300</v>
      </c>
      <c r="BN684">
        <v>22</v>
      </c>
      <c r="BO684" t="s">
        <v>8717</v>
      </c>
      <c r="BP684" t="s">
        <v>8523</v>
      </c>
      <c r="BQ684" t="s">
        <v>8662</v>
      </c>
      <c r="BR684" t="s">
        <v>13430</v>
      </c>
      <c r="BS684" t="s">
        <v>301</v>
      </c>
      <c r="BT684">
        <v>33403636</v>
      </c>
      <c r="BU684" t="s">
        <v>69</v>
      </c>
      <c r="BV684" t="s">
        <v>69</v>
      </c>
      <c r="BW684" t="s">
        <v>69</v>
      </c>
      <c r="BX684" t="s">
        <v>8526</v>
      </c>
      <c r="BY684" t="str">
        <f>HYPERLINK("https%3A%2F%2Fwww.webofscience.com%2Fwos%2Fwoscc%2Ffull-record%2FWOS:000605128700004","View Full Record in Web of Science")</f>
        <v>View Full Record in Web of Science</v>
      </c>
    </row>
    <row r="685" spans="1:77" ht="12.5" x14ac:dyDescent="0.25">
      <c r="A685" t="s">
        <v>8495</v>
      </c>
      <c r="B685" s="22" t="s">
        <v>32931</v>
      </c>
      <c r="C685" s="7"/>
      <c r="D685" s="7"/>
      <c r="E685" s="7"/>
      <c r="F685" t="s">
        <v>67</v>
      </c>
      <c r="G685" t="s">
        <v>22822</v>
      </c>
      <c r="H685" t="s">
        <v>69</v>
      </c>
      <c r="I685" t="s">
        <v>69</v>
      </c>
      <c r="J685" t="s">
        <v>69</v>
      </c>
      <c r="K685" t="s">
        <v>22823</v>
      </c>
      <c r="L685" t="s">
        <v>69</v>
      </c>
      <c r="M685" t="s">
        <v>69</v>
      </c>
      <c r="N685" t="s">
        <v>22824</v>
      </c>
      <c r="O685" t="s">
        <v>22825</v>
      </c>
      <c r="P685" t="s">
        <v>69</v>
      </c>
      <c r="Q685" t="s">
        <v>69</v>
      </c>
      <c r="R685" t="s">
        <v>8505</v>
      </c>
      <c r="S685" t="s">
        <v>8506</v>
      </c>
      <c r="T685" t="s">
        <v>69</v>
      </c>
      <c r="U685" t="s">
        <v>69</v>
      </c>
      <c r="V685" t="s">
        <v>69</v>
      </c>
      <c r="W685" t="s">
        <v>69</v>
      </c>
      <c r="X685" t="s">
        <v>69</v>
      </c>
      <c r="Y685" t="s">
        <v>69</v>
      </c>
      <c r="Z685" t="s">
        <v>22826</v>
      </c>
      <c r="AA685" t="s">
        <v>22827</v>
      </c>
      <c r="AB685" t="s">
        <v>22828</v>
      </c>
      <c r="AC685" t="s">
        <v>69</v>
      </c>
      <c r="AD685" t="s">
        <v>22829</v>
      </c>
      <c r="AE685" t="s">
        <v>22830</v>
      </c>
      <c r="AF685" t="s">
        <v>69</v>
      </c>
      <c r="AG685" t="s">
        <v>22831</v>
      </c>
      <c r="AH685" t="s">
        <v>22832</v>
      </c>
      <c r="AI685" t="s">
        <v>22833</v>
      </c>
      <c r="AJ685" t="s">
        <v>22834</v>
      </c>
      <c r="AK685" t="s">
        <v>69</v>
      </c>
      <c r="AL685">
        <v>23</v>
      </c>
      <c r="AM685">
        <v>13</v>
      </c>
      <c r="AN685">
        <v>14</v>
      </c>
      <c r="AO685">
        <v>1</v>
      </c>
      <c r="AP685">
        <v>16</v>
      </c>
      <c r="AQ685" t="s">
        <v>9178</v>
      </c>
      <c r="AR685" t="s">
        <v>8763</v>
      </c>
      <c r="AS685" t="s">
        <v>9179</v>
      </c>
      <c r="AT685" t="s">
        <v>22835</v>
      </c>
      <c r="AU685" t="s">
        <v>22836</v>
      </c>
      <c r="AV685" t="s">
        <v>69</v>
      </c>
      <c r="AW685" t="s">
        <v>22837</v>
      </c>
      <c r="AX685" t="s">
        <v>22838</v>
      </c>
      <c r="AY685" t="s">
        <v>94</v>
      </c>
      <c r="AZ685">
        <v>2015</v>
      </c>
      <c r="BA685">
        <v>5</v>
      </c>
      <c r="BB685">
        <v>1</v>
      </c>
      <c r="BC685" t="s">
        <v>69</v>
      </c>
      <c r="BD685" t="s">
        <v>69</v>
      </c>
      <c r="BE685" t="s">
        <v>69</v>
      </c>
      <c r="BF685" t="s">
        <v>69</v>
      </c>
      <c r="BG685">
        <v>70</v>
      </c>
      <c r="BH685">
        <v>77</v>
      </c>
      <c r="BI685" t="s">
        <v>69</v>
      </c>
      <c r="BJ685" t="s">
        <v>22839</v>
      </c>
      <c r="BK685" t="str">
        <f>HYPERLINK("http://dx.doi.org/10.1136/bmjspcare-2014-000723","http://dx.doi.org/10.1136/bmjspcare-2014-000723")</f>
        <v>http://dx.doi.org/10.1136/bmjspcare-2014-000723</v>
      </c>
      <c r="BL685" t="s">
        <v>69</v>
      </c>
      <c r="BM685" t="s">
        <v>69</v>
      </c>
      <c r="BN685">
        <v>8</v>
      </c>
      <c r="BO685" t="s">
        <v>9209</v>
      </c>
      <c r="BP685" t="s">
        <v>8548</v>
      </c>
      <c r="BQ685" t="s">
        <v>9209</v>
      </c>
      <c r="BR685" t="s">
        <v>22840</v>
      </c>
      <c r="BS685" t="s">
        <v>22842</v>
      </c>
      <c r="BT685">
        <v>25380834</v>
      </c>
      <c r="BU685" t="s">
        <v>22841</v>
      </c>
      <c r="BV685" t="s">
        <v>69</v>
      </c>
      <c r="BW685" t="s">
        <v>69</v>
      </c>
      <c r="BX685" t="s">
        <v>8526</v>
      </c>
      <c r="BY685" t="str">
        <f>HYPERLINK("https%3A%2F%2Fwww.webofscience.com%2Fwos%2Fwoscc%2Ffull-record%2FWOS:000360579700013","View Full Record in Web of Science")</f>
        <v>View Full Record in Web of Science</v>
      </c>
    </row>
    <row r="686" spans="1:77" ht="12.5" x14ac:dyDescent="0.25">
      <c r="A686" t="s">
        <v>8495</v>
      </c>
      <c r="B686" s="22" t="s">
        <v>32931</v>
      </c>
      <c r="C686" s="7"/>
      <c r="D686" s="7"/>
      <c r="E686" s="7"/>
      <c r="F686" t="s">
        <v>67</v>
      </c>
      <c r="G686" t="s">
        <v>24361</v>
      </c>
      <c r="H686" t="s">
        <v>69</v>
      </c>
      <c r="I686" t="s">
        <v>69</v>
      </c>
      <c r="J686" t="s">
        <v>69</v>
      </c>
      <c r="K686" t="s">
        <v>24362</v>
      </c>
      <c r="L686" t="s">
        <v>69</v>
      </c>
      <c r="M686" t="s">
        <v>69</v>
      </c>
      <c r="N686" t="s">
        <v>24363</v>
      </c>
      <c r="O686" t="s">
        <v>24364</v>
      </c>
      <c r="P686" t="s">
        <v>69</v>
      </c>
      <c r="Q686" t="s">
        <v>69</v>
      </c>
      <c r="R686" t="s">
        <v>8505</v>
      </c>
      <c r="S686" t="s">
        <v>8442</v>
      </c>
      <c r="T686" t="s">
        <v>69</v>
      </c>
      <c r="U686" t="s">
        <v>69</v>
      </c>
      <c r="V686" t="s">
        <v>69</v>
      </c>
      <c r="W686" t="s">
        <v>69</v>
      </c>
      <c r="X686" t="s">
        <v>69</v>
      </c>
      <c r="Y686" t="s">
        <v>24365</v>
      </c>
      <c r="Z686" t="s">
        <v>24366</v>
      </c>
      <c r="AA686" t="s">
        <v>24367</v>
      </c>
      <c r="AB686" t="s">
        <v>24368</v>
      </c>
      <c r="AC686" t="s">
        <v>69</v>
      </c>
      <c r="AD686" t="s">
        <v>24369</v>
      </c>
      <c r="AE686" t="s">
        <v>24370</v>
      </c>
      <c r="AF686" t="s">
        <v>24371</v>
      </c>
      <c r="AG686" t="s">
        <v>24372</v>
      </c>
      <c r="AH686" t="s">
        <v>69</v>
      </c>
      <c r="AI686" t="s">
        <v>69</v>
      </c>
      <c r="AJ686" t="s">
        <v>69</v>
      </c>
      <c r="AK686" t="s">
        <v>69</v>
      </c>
      <c r="AL686">
        <v>24</v>
      </c>
      <c r="AM686">
        <v>2</v>
      </c>
      <c r="AN686">
        <v>2</v>
      </c>
      <c r="AO686">
        <v>0</v>
      </c>
      <c r="AP686">
        <v>0</v>
      </c>
      <c r="AQ686" t="s">
        <v>9203</v>
      </c>
      <c r="AR686" t="s">
        <v>8763</v>
      </c>
      <c r="AS686" t="s">
        <v>9204</v>
      </c>
      <c r="AT686" t="s">
        <v>69</v>
      </c>
      <c r="AU686" t="s">
        <v>24373</v>
      </c>
      <c r="AV686" t="s">
        <v>69</v>
      </c>
      <c r="AW686" t="s">
        <v>24374</v>
      </c>
      <c r="AX686" t="s">
        <v>24375</v>
      </c>
      <c r="AY686" t="s">
        <v>69</v>
      </c>
      <c r="AZ686">
        <v>2014</v>
      </c>
      <c r="BA686">
        <v>3</v>
      </c>
      <c r="BB686" t="s">
        <v>69</v>
      </c>
      <c r="BC686" t="s">
        <v>69</v>
      </c>
      <c r="BD686" t="s">
        <v>69</v>
      </c>
      <c r="BE686" t="s">
        <v>69</v>
      </c>
      <c r="BF686" t="s">
        <v>69</v>
      </c>
      <c r="BG686" t="s">
        <v>69</v>
      </c>
      <c r="BH686" t="s">
        <v>69</v>
      </c>
      <c r="BI686">
        <v>115</v>
      </c>
      <c r="BJ686" t="s">
        <v>24376</v>
      </c>
      <c r="BK686" t="str">
        <f>HYPERLINK("http://dx.doi.org/10.1186/2046-4053-3-115","http://dx.doi.org/10.1186/2046-4053-3-115")</f>
        <v>http://dx.doi.org/10.1186/2046-4053-3-115</v>
      </c>
      <c r="BL686" t="s">
        <v>69</v>
      </c>
      <c r="BM686" t="s">
        <v>69</v>
      </c>
      <c r="BN686">
        <v>5</v>
      </c>
      <c r="BO686" t="s">
        <v>9450</v>
      </c>
      <c r="BP686" t="s">
        <v>8573</v>
      </c>
      <c r="BQ686" t="s">
        <v>9451</v>
      </c>
      <c r="BR686" t="s">
        <v>24377</v>
      </c>
      <c r="BS686" t="s">
        <v>24378</v>
      </c>
      <c r="BT686">
        <v>25312976</v>
      </c>
      <c r="BU686" t="s">
        <v>9352</v>
      </c>
      <c r="BV686" t="s">
        <v>69</v>
      </c>
      <c r="BW686" t="s">
        <v>69</v>
      </c>
      <c r="BX686" t="s">
        <v>8526</v>
      </c>
      <c r="BY686" t="str">
        <f>HYPERLINK("https%3A%2F%2Fwww.webofscience.com%2Fwos%2Fwoscc%2Ffull-record%2FWOS:000453128800114","View Full Record in Web of Science")</f>
        <v>View Full Record in Web of Science</v>
      </c>
    </row>
    <row r="687" spans="1:77" x14ac:dyDescent="0.3">
      <c r="A687" t="s">
        <v>8495</v>
      </c>
      <c r="B687" s="12" t="s">
        <v>32987</v>
      </c>
      <c r="F687" t="s">
        <v>67</v>
      </c>
      <c r="G687" t="s">
        <v>4404</v>
      </c>
      <c r="H687" t="s">
        <v>69</v>
      </c>
      <c r="I687" t="s">
        <v>69</v>
      </c>
      <c r="J687" t="s">
        <v>69</v>
      </c>
      <c r="K687" s="3" t="s">
        <v>4405</v>
      </c>
      <c r="L687" t="s">
        <v>69</v>
      </c>
      <c r="M687" t="s">
        <v>69</v>
      </c>
      <c r="N687" s="2" t="s">
        <v>4879</v>
      </c>
      <c r="O687" t="s">
        <v>4880</v>
      </c>
      <c r="P687" t="s">
        <v>69</v>
      </c>
      <c r="Q687" t="s">
        <v>69</v>
      </c>
      <c r="R687" t="s">
        <v>8505</v>
      </c>
      <c r="S687" t="s">
        <v>8506</v>
      </c>
      <c r="T687" t="s">
        <v>69</v>
      </c>
      <c r="U687" t="s">
        <v>69</v>
      </c>
      <c r="V687" t="s">
        <v>69</v>
      </c>
      <c r="W687" t="s">
        <v>69</v>
      </c>
      <c r="X687" t="s">
        <v>69</v>
      </c>
      <c r="Y687" t="s">
        <v>18221</v>
      </c>
      <c r="Z687" t="s">
        <v>18222</v>
      </c>
      <c r="AA687" t="s">
        <v>4881</v>
      </c>
      <c r="AB687" t="s">
        <v>18223</v>
      </c>
      <c r="AC687" t="s">
        <v>69</v>
      </c>
      <c r="AD687" t="s">
        <v>18224</v>
      </c>
      <c r="AE687" t="s">
        <v>18225</v>
      </c>
      <c r="AF687" t="s">
        <v>4409</v>
      </c>
      <c r="AG687" t="s">
        <v>4410</v>
      </c>
      <c r="AH687" t="s">
        <v>18226</v>
      </c>
      <c r="AI687" t="s">
        <v>18226</v>
      </c>
      <c r="AJ687" t="s">
        <v>18227</v>
      </c>
      <c r="AK687" t="s">
        <v>69</v>
      </c>
      <c r="AL687">
        <v>100</v>
      </c>
      <c r="AM687">
        <v>6</v>
      </c>
      <c r="AN687">
        <v>8</v>
      </c>
      <c r="AO687">
        <v>6</v>
      </c>
      <c r="AP687">
        <v>20</v>
      </c>
      <c r="AQ687" t="s">
        <v>8846</v>
      </c>
      <c r="AR687" t="s">
        <v>8847</v>
      </c>
      <c r="AS687" t="s">
        <v>8848</v>
      </c>
      <c r="AT687" t="s">
        <v>4882</v>
      </c>
      <c r="AU687" t="s">
        <v>4883</v>
      </c>
      <c r="AV687" t="s">
        <v>69</v>
      </c>
      <c r="AW687" t="s">
        <v>15931</v>
      </c>
      <c r="AX687" t="s">
        <v>15932</v>
      </c>
      <c r="AY687" t="s">
        <v>274</v>
      </c>
      <c r="AZ687">
        <v>2018</v>
      </c>
      <c r="BA687">
        <v>22</v>
      </c>
      <c r="BB687">
        <v>3</v>
      </c>
      <c r="BC687" t="s">
        <v>69</v>
      </c>
      <c r="BD687" t="s">
        <v>69</v>
      </c>
      <c r="BE687" t="s">
        <v>69</v>
      </c>
      <c r="BF687" t="s">
        <v>69</v>
      </c>
      <c r="BG687">
        <v>404</v>
      </c>
      <c r="BH687">
        <v>421</v>
      </c>
      <c r="BI687" t="s">
        <v>69</v>
      </c>
      <c r="BJ687" t="s">
        <v>4884</v>
      </c>
      <c r="BK687" t="str">
        <f>HYPERLINK("http://dx.doi.org/10.1111/ijau.12125","http://dx.doi.org/10.1111/ijau.12125")</f>
        <v>http://dx.doi.org/10.1111/ijau.12125</v>
      </c>
      <c r="BL687" t="s">
        <v>69</v>
      </c>
      <c r="BM687" t="s">
        <v>69</v>
      </c>
      <c r="BN687">
        <v>18</v>
      </c>
      <c r="BO687" t="s">
        <v>9749</v>
      </c>
      <c r="BP687" t="s">
        <v>8661</v>
      </c>
      <c r="BQ687" t="s">
        <v>8594</v>
      </c>
      <c r="BR687" t="s">
        <v>18228</v>
      </c>
      <c r="BS687" t="s">
        <v>4885</v>
      </c>
      <c r="BT687" t="s">
        <v>69</v>
      </c>
      <c r="BU687" t="s">
        <v>69</v>
      </c>
      <c r="BV687" t="s">
        <v>69</v>
      </c>
      <c r="BW687" t="s">
        <v>69</v>
      </c>
      <c r="BX687" t="s">
        <v>8526</v>
      </c>
      <c r="BY687" t="str">
        <f>HYPERLINK("https%3A%2F%2Fwww.webofscience.com%2Fwos%2Fwoscc%2Ffull-record%2FWOS:000448847400007","View Full Record in Web of Science")</f>
        <v>View Full Record in Web of Science</v>
      </c>
    </row>
    <row r="688" spans="1:77" ht="12.5" x14ac:dyDescent="0.25">
      <c r="A688" t="s">
        <v>8495</v>
      </c>
      <c r="B688" s="7" t="s">
        <v>32933</v>
      </c>
      <c r="C688" s="7"/>
      <c r="D688" s="7"/>
      <c r="E688" s="7"/>
      <c r="F688" t="s">
        <v>67</v>
      </c>
      <c r="G688" t="s">
        <v>7102</v>
      </c>
      <c r="H688" t="s">
        <v>69</v>
      </c>
      <c r="I688" t="s">
        <v>69</v>
      </c>
      <c r="J688" t="s">
        <v>69</v>
      </c>
      <c r="K688" t="s">
        <v>7103</v>
      </c>
      <c r="L688" t="s">
        <v>69</v>
      </c>
      <c r="M688" t="s">
        <v>69</v>
      </c>
      <c r="N688" t="s">
        <v>7104</v>
      </c>
      <c r="O688" t="s">
        <v>206</v>
      </c>
      <c r="P688" t="s">
        <v>69</v>
      </c>
      <c r="Q688" t="s">
        <v>69</v>
      </c>
      <c r="R688" t="s">
        <v>8505</v>
      </c>
      <c r="S688" t="s">
        <v>8506</v>
      </c>
      <c r="T688" t="s">
        <v>69</v>
      </c>
      <c r="U688" t="s">
        <v>69</v>
      </c>
      <c r="V688" t="s">
        <v>69</v>
      </c>
      <c r="W688" t="s">
        <v>69</v>
      </c>
      <c r="X688" t="s">
        <v>69</v>
      </c>
      <c r="Y688" t="s">
        <v>18741</v>
      </c>
      <c r="Z688" t="s">
        <v>18742</v>
      </c>
      <c r="AA688" t="s">
        <v>7105</v>
      </c>
      <c r="AB688" t="s">
        <v>18743</v>
      </c>
      <c r="AC688" t="s">
        <v>69</v>
      </c>
      <c r="AD688" t="s">
        <v>18744</v>
      </c>
      <c r="AE688" t="s">
        <v>18745</v>
      </c>
      <c r="AF688" t="s">
        <v>69</v>
      </c>
      <c r="AG688" t="s">
        <v>18746</v>
      </c>
      <c r="AH688" t="s">
        <v>18747</v>
      </c>
      <c r="AI688" t="s">
        <v>18747</v>
      </c>
      <c r="AJ688" t="s">
        <v>18748</v>
      </c>
      <c r="AK688" t="s">
        <v>69</v>
      </c>
      <c r="AL688">
        <v>67</v>
      </c>
      <c r="AM688">
        <v>8</v>
      </c>
      <c r="AN688">
        <v>8</v>
      </c>
      <c r="AO688">
        <v>4</v>
      </c>
      <c r="AP688">
        <v>24</v>
      </c>
      <c r="AQ688" t="s">
        <v>18749</v>
      </c>
      <c r="AR688" t="s">
        <v>8763</v>
      </c>
      <c r="AS688" t="s">
        <v>18750</v>
      </c>
      <c r="AT688" t="s">
        <v>208</v>
      </c>
      <c r="AU688" t="s">
        <v>69</v>
      </c>
      <c r="AV688" t="s">
        <v>69</v>
      </c>
      <c r="AW688" t="s">
        <v>206</v>
      </c>
      <c r="AX688" t="s">
        <v>10704</v>
      </c>
      <c r="AY688" t="s">
        <v>7106</v>
      </c>
      <c r="AZ688">
        <v>2018</v>
      </c>
      <c r="BA688">
        <v>18</v>
      </c>
      <c r="BB688" t="s">
        <v>69</v>
      </c>
      <c r="BC688" t="s">
        <v>69</v>
      </c>
      <c r="BD688" t="s">
        <v>69</v>
      </c>
      <c r="BE688" t="s">
        <v>69</v>
      </c>
      <c r="BF688" t="s">
        <v>69</v>
      </c>
      <c r="BG688" t="s">
        <v>69</v>
      </c>
      <c r="BH688" t="s">
        <v>69</v>
      </c>
      <c r="BI688">
        <v>636</v>
      </c>
      <c r="BJ688" t="s">
        <v>7107</v>
      </c>
      <c r="BK688" t="str">
        <f>HYPERLINK("http://dx.doi.org/10.1186/s12889-018-5482-x","http://dx.doi.org/10.1186/s12889-018-5482-x")</f>
        <v>http://dx.doi.org/10.1186/s12889-018-5482-x</v>
      </c>
      <c r="BL688" t="s">
        <v>69</v>
      </c>
      <c r="BM688" t="s">
        <v>69</v>
      </c>
      <c r="BN688">
        <v>14</v>
      </c>
      <c r="BO688" t="s">
        <v>8810</v>
      </c>
      <c r="BP688" t="s">
        <v>8523</v>
      </c>
      <c r="BQ688" t="s">
        <v>8810</v>
      </c>
      <c r="BR688" t="s">
        <v>18751</v>
      </c>
      <c r="BS688" t="s">
        <v>7108</v>
      </c>
      <c r="BT688">
        <v>29769054</v>
      </c>
      <c r="BU688" t="s">
        <v>8812</v>
      </c>
      <c r="BV688" t="s">
        <v>69</v>
      </c>
      <c r="BW688" t="s">
        <v>69</v>
      </c>
      <c r="BX688" t="s">
        <v>8526</v>
      </c>
      <c r="BY688" t="str">
        <f>HYPERLINK("https%3A%2F%2Fwww.webofscience.com%2Fwos%2Fwoscc%2Ffull-record%2FWOS:000432721200006","View Full Record in Web of Science")</f>
        <v>View Full Record in Web of Science</v>
      </c>
    </row>
    <row r="689" spans="1:77" ht="12.5" x14ac:dyDescent="0.25">
      <c r="A689" t="s">
        <v>8495</v>
      </c>
      <c r="B689" s="7" t="s">
        <v>32933</v>
      </c>
      <c r="C689" s="7"/>
      <c r="D689" s="7"/>
      <c r="E689" s="7"/>
      <c r="F689" t="s">
        <v>67</v>
      </c>
      <c r="G689" t="s">
        <v>7364</v>
      </c>
      <c r="H689" t="s">
        <v>69</v>
      </c>
      <c r="I689" t="s">
        <v>69</v>
      </c>
      <c r="J689" t="s">
        <v>69</v>
      </c>
      <c r="K689" t="s">
        <v>7365</v>
      </c>
      <c r="L689" t="s">
        <v>69</v>
      </c>
      <c r="M689" t="s">
        <v>69</v>
      </c>
      <c r="N689" t="s">
        <v>7366</v>
      </c>
      <c r="O689" t="s">
        <v>7367</v>
      </c>
      <c r="P689" t="s">
        <v>69</v>
      </c>
      <c r="Q689" t="s">
        <v>69</v>
      </c>
      <c r="R689" t="s">
        <v>8505</v>
      </c>
      <c r="S689" t="s">
        <v>8506</v>
      </c>
      <c r="T689" t="s">
        <v>69</v>
      </c>
      <c r="U689" t="s">
        <v>69</v>
      </c>
      <c r="V689" t="s">
        <v>69</v>
      </c>
      <c r="W689" t="s">
        <v>69</v>
      </c>
      <c r="X689" t="s">
        <v>69</v>
      </c>
      <c r="Y689" t="s">
        <v>20519</v>
      </c>
      <c r="Z689" t="s">
        <v>20520</v>
      </c>
      <c r="AA689" t="s">
        <v>7368</v>
      </c>
      <c r="AB689" t="s">
        <v>20521</v>
      </c>
      <c r="AC689" t="s">
        <v>69</v>
      </c>
      <c r="AD689" t="s">
        <v>20522</v>
      </c>
      <c r="AE689" t="s">
        <v>20523</v>
      </c>
      <c r="AF689" t="s">
        <v>20524</v>
      </c>
      <c r="AG689" t="s">
        <v>20525</v>
      </c>
      <c r="AH689" t="s">
        <v>69</v>
      </c>
      <c r="AI689" t="s">
        <v>69</v>
      </c>
      <c r="AJ689" t="s">
        <v>69</v>
      </c>
      <c r="AK689" t="s">
        <v>69</v>
      </c>
      <c r="AL689">
        <v>72</v>
      </c>
      <c r="AM689">
        <v>77</v>
      </c>
      <c r="AN689">
        <v>77</v>
      </c>
      <c r="AO689">
        <v>45</v>
      </c>
      <c r="AP689">
        <v>148</v>
      </c>
      <c r="AQ689" t="s">
        <v>17140</v>
      </c>
      <c r="AR689" t="s">
        <v>8517</v>
      </c>
      <c r="AS689" t="s">
        <v>17141</v>
      </c>
      <c r="AT689" t="s">
        <v>7369</v>
      </c>
      <c r="AU689" t="s">
        <v>69</v>
      </c>
      <c r="AV689" t="s">
        <v>69</v>
      </c>
      <c r="AW689" t="s">
        <v>20526</v>
      </c>
      <c r="AX689" t="s">
        <v>20527</v>
      </c>
      <c r="AY689" t="s">
        <v>94</v>
      </c>
      <c r="AZ689">
        <v>2017</v>
      </c>
      <c r="BA689">
        <v>10</v>
      </c>
      <c r="BB689" t="s">
        <v>69</v>
      </c>
      <c r="BC689" t="s">
        <v>69</v>
      </c>
      <c r="BD689" t="s">
        <v>69</v>
      </c>
      <c r="BE689" t="s">
        <v>69</v>
      </c>
      <c r="BF689" t="s">
        <v>69</v>
      </c>
      <c r="BG689">
        <v>89</v>
      </c>
      <c r="BH689">
        <v>101</v>
      </c>
      <c r="BI689" t="s">
        <v>69</v>
      </c>
      <c r="BJ689" t="s">
        <v>7370</v>
      </c>
      <c r="BK689" t="str">
        <f>HYPERLINK("http://dx.doi.org/10.1016/j.jobe.2017.02.006","http://dx.doi.org/10.1016/j.jobe.2017.02.006")</f>
        <v>http://dx.doi.org/10.1016/j.jobe.2017.02.006</v>
      </c>
      <c r="BL689" t="s">
        <v>69</v>
      </c>
      <c r="BM689" t="s">
        <v>69</v>
      </c>
      <c r="BN689">
        <v>13</v>
      </c>
      <c r="BO689" t="s">
        <v>11242</v>
      </c>
      <c r="BP689" t="s">
        <v>8548</v>
      </c>
      <c r="BQ689" t="s">
        <v>8549</v>
      </c>
      <c r="BR689" t="s">
        <v>20528</v>
      </c>
      <c r="BS689" t="s">
        <v>7371</v>
      </c>
      <c r="BT689" t="s">
        <v>69</v>
      </c>
      <c r="BU689" t="s">
        <v>9292</v>
      </c>
      <c r="BV689" t="s">
        <v>69</v>
      </c>
      <c r="BW689" t="s">
        <v>69</v>
      </c>
      <c r="BX689" t="s">
        <v>8526</v>
      </c>
      <c r="BY689" t="str">
        <f>HYPERLINK("https%3A%2F%2Fwww.webofscience.com%2Fwos%2Fwoscc%2Ffull-record%2FWOS:000398995200010","View Full Record in Web of Science")</f>
        <v>View Full Record in Web of Science</v>
      </c>
    </row>
    <row r="690" spans="1:77" ht="12.5" x14ac:dyDescent="0.25">
      <c r="A690" t="s">
        <v>8495</v>
      </c>
      <c r="B690" s="22" t="s">
        <v>32931</v>
      </c>
      <c r="C690" s="7"/>
      <c r="D690" s="7"/>
      <c r="E690" s="7"/>
      <c r="F690" t="s">
        <v>67</v>
      </c>
      <c r="G690" t="s">
        <v>14104</v>
      </c>
      <c r="H690" t="s">
        <v>69</v>
      </c>
      <c r="I690" t="s">
        <v>69</v>
      </c>
      <c r="J690" t="s">
        <v>69</v>
      </c>
      <c r="K690" t="s">
        <v>14105</v>
      </c>
      <c r="L690" t="s">
        <v>69</v>
      </c>
      <c r="M690" t="s">
        <v>69</v>
      </c>
      <c r="N690" t="s">
        <v>14106</v>
      </c>
      <c r="O690" t="s">
        <v>14107</v>
      </c>
      <c r="P690" t="s">
        <v>69</v>
      </c>
      <c r="Q690" t="s">
        <v>69</v>
      </c>
      <c r="R690" t="s">
        <v>8505</v>
      </c>
      <c r="S690" t="s">
        <v>8506</v>
      </c>
      <c r="T690" t="s">
        <v>69</v>
      </c>
      <c r="U690" t="s">
        <v>69</v>
      </c>
      <c r="V690" t="s">
        <v>69</v>
      </c>
      <c r="W690" t="s">
        <v>69</v>
      </c>
      <c r="X690" t="s">
        <v>69</v>
      </c>
      <c r="Y690" t="s">
        <v>14108</v>
      </c>
      <c r="Z690" t="s">
        <v>14109</v>
      </c>
      <c r="AA690" t="s">
        <v>14110</v>
      </c>
      <c r="AB690" t="s">
        <v>14111</v>
      </c>
      <c r="AC690" t="s">
        <v>69</v>
      </c>
      <c r="AD690" t="s">
        <v>14112</v>
      </c>
      <c r="AE690" t="s">
        <v>14113</v>
      </c>
      <c r="AF690" t="s">
        <v>69</v>
      </c>
      <c r="AG690" t="s">
        <v>14114</v>
      </c>
      <c r="AH690" t="s">
        <v>69</v>
      </c>
      <c r="AI690" t="s">
        <v>69</v>
      </c>
      <c r="AJ690" t="s">
        <v>69</v>
      </c>
      <c r="AK690" t="s">
        <v>69</v>
      </c>
      <c r="AL690">
        <v>77</v>
      </c>
      <c r="AM690">
        <v>3</v>
      </c>
      <c r="AN690">
        <v>3</v>
      </c>
      <c r="AO690">
        <v>1</v>
      </c>
      <c r="AP690">
        <v>6</v>
      </c>
      <c r="AQ690" t="s">
        <v>8924</v>
      </c>
      <c r="AR690" t="s">
        <v>8925</v>
      </c>
      <c r="AS690" t="s">
        <v>8926</v>
      </c>
      <c r="AT690" t="s">
        <v>69</v>
      </c>
      <c r="AU690" t="s">
        <v>14115</v>
      </c>
      <c r="AV690" t="s">
        <v>69</v>
      </c>
      <c r="AW690" t="s">
        <v>14116</v>
      </c>
      <c r="AX690" t="s">
        <v>14117</v>
      </c>
      <c r="AY690" t="s">
        <v>274</v>
      </c>
      <c r="AZ690">
        <v>2020</v>
      </c>
      <c r="BA690">
        <v>10</v>
      </c>
      <c r="BB690">
        <v>22</v>
      </c>
      <c r="BC690" t="s">
        <v>69</v>
      </c>
      <c r="BD690" t="s">
        <v>69</v>
      </c>
      <c r="BE690" t="s">
        <v>69</v>
      </c>
      <c r="BF690" t="s">
        <v>69</v>
      </c>
      <c r="BG690" t="s">
        <v>69</v>
      </c>
      <c r="BH690" t="s">
        <v>69</v>
      </c>
      <c r="BI690">
        <v>8098</v>
      </c>
      <c r="BJ690" t="s">
        <v>14118</v>
      </c>
      <c r="BK690" t="str">
        <f>HYPERLINK("http://dx.doi.org/10.3390/app10228098","http://dx.doi.org/10.3390/app10228098")</f>
        <v>http://dx.doi.org/10.3390/app10228098</v>
      </c>
      <c r="BL690" t="s">
        <v>69</v>
      </c>
      <c r="BM690" t="s">
        <v>69</v>
      </c>
      <c r="BN690">
        <v>27</v>
      </c>
      <c r="BO690" t="s">
        <v>14119</v>
      </c>
      <c r="BP690" t="s">
        <v>8523</v>
      </c>
      <c r="BQ690" t="s">
        <v>14120</v>
      </c>
      <c r="BR690" t="s">
        <v>14121</v>
      </c>
      <c r="BS690" t="s">
        <v>14122</v>
      </c>
      <c r="BT690" t="s">
        <v>69</v>
      </c>
      <c r="BU690" t="s">
        <v>12220</v>
      </c>
      <c r="BV690" t="s">
        <v>69</v>
      </c>
      <c r="BW690" t="s">
        <v>69</v>
      </c>
      <c r="BX690" t="s">
        <v>8526</v>
      </c>
      <c r="BY690" t="str">
        <f>HYPERLINK("https%3A%2F%2Fwww.webofscience.com%2Fwos%2Fwoscc%2Ffull-record%2FWOS:000594895300001","View Full Record in Web of Science")</f>
        <v>View Full Record in Web of Science</v>
      </c>
    </row>
    <row r="691" spans="1:77" ht="12.5" x14ac:dyDescent="0.25">
      <c r="A691" t="s">
        <v>8495</v>
      </c>
      <c r="B691" s="22" t="s">
        <v>32931</v>
      </c>
      <c r="C691" s="7"/>
      <c r="D691" s="7"/>
      <c r="E691" s="7"/>
      <c r="F691" t="s">
        <v>67</v>
      </c>
      <c r="G691" t="s">
        <v>17523</v>
      </c>
      <c r="H691" t="s">
        <v>69</v>
      </c>
      <c r="I691" t="s">
        <v>69</v>
      </c>
      <c r="J691" t="s">
        <v>69</v>
      </c>
      <c r="K691" t="s">
        <v>17524</v>
      </c>
      <c r="L691" t="s">
        <v>69</v>
      </c>
      <c r="M691" t="s">
        <v>69</v>
      </c>
      <c r="N691" t="s">
        <v>17525</v>
      </c>
      <c r="O691" t="s">
        <v>7846</v>
      </c>
      <c r="P691" t="s">
        <v>69</v>
      </c>
      <c r="Q691" t="s">
        <v>69</v>
      </c>
      <c r="R691" t="s">
        <v>8505</v>
      </c>
      <c r="S691" t="s">
        <v>8506</v>
      </c>
      <c r="T691" t="s">
        <v>69</v>
      </c>
      <c r="U691" t="s">
        <v>69</v>
      </c>
      <c r="V691" t="s">
        <v>69</v>
      </c>
      <c r="W691" t="s">
        <v>69</v>
      </c>
      <c r="X691" t="s">
        <v>69</v>
      </c>
      <c r="Y691" t="s">
        <v>17526</v>
      </c>
      <c r="Z691" t="s">
        <v>17527</v>
      </c>
      <c r="AA691" t="s">
        <v>17528</v>
      </c>
      <c r="AB691" t="s">
        <v>17529</v>
      </c>
      <c r="AC691" t="s">
        <v>69</v>
      </c>
      <c r="AD691" t="s">
        <v>17530</v>
      </c>
      <c r="AE691" t="s">
        <v>17531</v>
      </c>
      <c r="AF691" t="s">
        <v>69</v>
      </c>
      <c r="AG691" t="s">
        <v>17532</v>
      </c>
      <c r="AH691" t="s">
        <v>17533</v>
      </c>
      <c r="AI691" t="s">
        <v>17534</v>
      </c>
      <c r="AJ691" t="s">
        <v>17535</v>
      </c>
      <c r="AK691" t="s">
        <v>69</v>
      </c>
      <c r="AL691">
        <v>52</v>
      </c>
      <c r="AM691">
        <v>0</v>
      </c>
      <c r="AN691">
        <v>0</v>
      </c>
      <c r="AO691">
        <v>1</v>
      </c>
      <c r="AP691">
        <v>36</v>
      </c>
      <c r="AQ691" t="s">
        <v>8516</v>
      </c>
      <c r="AR691" t="s">
        <v>8517</v>
      </c>
      <c r="AS691" t="s">
        <v>8518</v>
      </c>
      <c r="AT691" t="s">
        <v>7850</v>
      </c>
      <c r="AU691" t="s">
        <v>7851</v>
      </c>
      <c r="AV691" t="s">
        <v>69</v>
      </c>
      <c r="AW691" t="s">
        <v>17536</v>
      </c>
      <c r="AX691" t="s">
        <v>17537</v>
      </c>
      <c r="AY691" t="s">
        <v>3909</v>
      </c>
      <c r="AZ691">
        <v>2019</v>
      </c>
      <c r="BA691">
        <v>434</v>
      </c>
      <c r="BB691" t="s">
        <v>69</v>
      </c>
      <c r="BC691" t="s">
        <v>69</v>
      </c>
      <c r="BD691" t="s">
        <v>69</v>
      </c>
      <c r="BE691" t="s">
        <v>69</v>
      </c>
      <c r="BF691" t="s">
        <v>69</v>
      </c>
      <c r="BG691">
        <v>172</v>
      </c>
      <c r="BH691">
        <v>180</v>
      </c>
      <c r="BI691" t="s">
        <v>69</v>
      </c>
      <c r="BJ691" t="s">
        <v>17538</v>
      </c>
      <c r="BK691" t="str">
        <f>HYPERLINK("http://dx.doi.org/10.1016/j.foreco.2018.12.025","http://dx.doi.org/10.1016/j.foreco.2018.12.025")</f>
        <v>http://dx.doi.org/10.1016/j.foreco.2018.12.025</v>
      </c>
      <c r="BL691" t="s">
        <v>69</v>
      </c>
      <c r="BM691" t="s">
        <v>69</v>
      </c>
      <c r="BN691">
        <v>9</v>
      </c>
      <c r="BO691" t="s">
        <v>8453</v>
      </c>
      <c r="BP691" t="s">
        <v>8523</v>
      </c>
      <c r="BQ691" t="s">
        <v>8453</v>
      </c>
      <c r="BR691" t="s">
        <v>17539</v>
      </c>
      <c r="BS691" t="s">
        <v>17540</v>
      </c>
      <c r="BT691" t="s">
        <v>69</v>
      </c>
      <c r="BU691" t="s">
        <v>69</v>
      </c>
      <c r="BV691" t="s">
        <v>69</v>
      </c>
      <c r="BW691" t="s">
        <v>69</v>
      </c>
      <c r="BX691" t="s">
        <v>8526</v>
      </c>
      <c r="BY691" t="str">
        <f>HYPERLINK("https%3A%2F%2Fwww.webofscience.com%2Fwos%2Fwoscc%2Ffull-record%2FWOS:000457657100016","View Full Record in Web of Science")</f>
        <v>View Full Record in Web of Science</v>
      </c>
    </row>
    <row r="692" spans="1:77" ht="12.5" x14ac:dyDescent="0.25">
      <c r="A692" t="s">
        <v>8495</v>
      </c>
      <c r="B692" s="22" t="s">
        <v>32931</v>
      </c>
      <c r="C692" s="7"/>
      <c r="D692" s="7"/>
      <c r="E692" s="7"/>
      <c r="F692" t="s">
        <v>67</v>
      </c>
      <c r="G692" t="s">
        <v>10443</v>
      </c>
      <c r="H692" t="s">
        <v>69</v>
      </c>
      <c r="I692" t="s">
        <v>69</v>
      </c>
      <c r="J692" t="s">
        <v>69</v>
      </c>
      <c r="K692" t="s">
        <v>10444</v>
      </c>
      <c r="L692" t="s">
        <v>69</v>
      </c>
      <c r="M692" t="s">
        <v>69</v>
      </c>
      <c r="N692" t="s">
        <v>10445</v>
      </c>
      <c r="O692" t="s">
        <v>10446</v>
      </c>
      <c r="P692" t="s">
        <v>69</v>
      </c>
      <c r="Q692" t="s">
        <v>69</v>
      </c>
      <c r="R692" t="s">
        <v>8505</v>
      </c>
      <c r="S692" t="s">
        <v>8556</v>
      </c>
      <c r="T692" t="s">
        <v>69</v>
      </c>
      <c r="U692" t="s">
        <v>69</v>
      </c>
      <c r="V692" t="s">
        <v>69</v>
      </c>
      <c r="W692" t="s">
        <v>69</v>
      </c>
      <c r="X692" t="s">
        <v>69</v>
      </c>
      <c r="Y692" t="s">
        <v>10447</v>
      </c>
      <c r="Z692" t="s">
        <v>10448</v>
      </c>
      <c r="AA692" t="s">
        <v>10449</v>
      </c>
      <c r="AB692" t="s">
        <v>10450</v>
      </c>
      <c r="AC692" t="s">
        <v>69</v>
      </c>
      <c r="AD692" t="s">
        <v>10451</v>
      </c>
      <c r="AE692" t="s">
        <v>10452</v>
      </c>
      <c r="AF692" t="s">
        <v>69</v>
      </c>
      <c r="AG692" t="s">
        <v>10453</v>
      </c>
      <c r="AH692" t="s">
        <v>69</v>
      </c>
      <c r="AI692" t="s">
        <v>69</v>
      </c>
      <c r="AJ692" t="s">
        <v>69</v>
      </c>
      <c r="AK692" t="s">
        <v>69</v>
      </c>
      <c r="AL692">
        <v>71</v>
      </c>
      <c r="AM692">
        <v>0</v>
      </c>
      <c r="AN692">
        <v>0</v>
      </c>
      <c r="AO692">
        <v>3</v>
      </c>
      <c r="AP692">
        <v>3</v>
      </c>
      <c r="AQ692" t="s">
        <v>8586</v>
      </c>
      <c r="AR692" t="s">
        <v>8587</v>
      </c>
      <c r="AS692" t="s">
        <v>8588</v>
      </c>
      <c r="AT692" t="s">
        <v>10454</v>
      </c>
      <c r="AU692" t="s">
        <v>10455</v>
      </c>
      <c r="AV692" t="s">
        <v>69</v>
      </c>
      <c r="AW692" t="s">
        <v>10456</v>
      </c>
      <c r="AX692" t="s">
        <v>10457</v>
      </c>
      <c r="AY692" t="s">
        <v>69</v>
      </c>
      <c r="AZ692" t="s">
        <v>69</v>
      </c>
      <c r="BA692" t="s">
        <v>69</v>
      </c>
      <c r="BB692" t="s">
        <v>69</v>
      </c>
      <c r="BC692" t="s">
        <v>69</v>
      </c>
      <c r="BD692" t="s">
        <v>69</v>
      </c>
      <c r="BE692" t="s">
        <v>69</v>
      </c>
      <c r="BF692" t="s">
        <v>69</v>
      </c>
      <c r="BG692" t="s">
        <v>69</v>
      </c>
      <c r="BH692" t="s">
        <v>69</v>
      </c>
      <c r="BI692" t="s">
        <v>69</v>
      </c>
      <c r="BJ692" t="s">
        <v>10458</v>
      </c>
      <c r="BK692" t="str">
        <f>HYPERLINK("http://dx.doi.org/10.1108/JQME-05-2021-0038","http://dx.doi.org/10.1108/JQME-05-2021-0038")</f>
        <v>http://dx.doi.org/10.1108/JQME-05-2021-0038</v>
      </c>
      <c r="BL692" t="s">
        <v>69</v>
      </c>
      <c r="BM692" t="s">
        <v>10359</v>
      </c>
      <c r="BN692">
        <v>20</v>
      </c>
      <c r="BO692" t="s">
        <v>10459</v>
      </c>
      <c r="BP692" t="s">
        <v>8573</v>
      </c>
      <c r="BQ692" t="s">
        <v>8445</v>
      </c>
      <c r="BR692" t="s">
        <v>10460</v>
      </c>
      <c r="BS692" t="s">
        <v>10461</v>
      </c>
      <c r="BT692" t="s">
        <v>69</v>
      </c>
      <c r="BU692" t="s">
        <v>69</v>
      </c>
      <c r="BV692" t="s">
        <v>69</v>
      </c>
      <c r="BW692" t="s">
        <v>69</v>
      </c>
      <c r="BX692" t="s">
        <v>8526</v>
      </c>
      <c r="BY692" t="str">
        <f>HYPERLINK("https%3A%2F%2Fwww.webofscience.com%2Fwos%2Fwoscc%2Ffull-record%2FWOS:000730618300001","View Full Record in Web of Science")</f>
        <v>View Full Record in Web of Science</v>
      </c>
    </row>
    <row r="693" spans="1:77" ht="12.5" x14ac:dyDescent="0.25">
      <c r="A693" t="s">
        <v>8495</v>
      </c>
      <c r="B693" s="22" t="s">
        <v>32931</v>
      </c>
      <c r="C693" s="7"/>
      <c r="D693" s="7"/>
      <c r="E693" s="7"/>
      <c r="F693" t="s">
        <v>67</v>
      </c>
      <c r="G693" t="s">
        <v>31339</v>
      </c>
      <c r="H693" t="s">
        <v>69</v>
      </c>
      <c r="I693" t="s">
        <v>69</v>
      </c>
      <c r="J693" t="s">
        <v>69</v>
      </c>
      <c r="K693" t="s">
        <v>31339</v>
      </c>
      <c r="L693" t="s">
        <v>69</v>
      </c>
      <c r="M693" t="s">
        <v>69</v>
      </c>
      <c r="N693" t="s">
        <v>31340</v>
      </c>
      <c r="O693" t="s">
        <v>31341</v>
      </c>
      <c r="P693" t="s">
        <v>69</v>
      </c>
      <c r="Q693" t="s">
        <v>69</v>
      </c>
      <c r="R693" t="s">
        <v>14800</v>
      </c>
      <c r="S693" t="s">
        <v>8506</v>
      </c>
      <c r="T693" t="s">
        <v>69</v>
      </c>
      <c r="U693" t="s">
        <v>69</v>
      </c>
      <c r="V693" t="s">
        <v>69</v>
      </c>
      <c r="W693" t="s">
        <v>69</v>
      </c>
      <c r="X693" t="s">
        <v>69</v>
      </c>
      <c r="Y693" t="s">
        <v>69</v>
      </c>
      <c r="Z693" t="s">
        <v>31342</v>
      </c>
      <c r="AA693" t="s">
        <v>31343</v>
      </c>
      <c r="AB693" t="s">
        <v>31344</v>
      </c>
      <c r="AC693" t="s">
        <v>69</v>
      </c>
      <c r="AD693" t="s">
        <v>31345</v>
      </c>
      <c r="AE693" t="s">
        <v>31346</v>
      </c>
      <c r="AF693" t="s">
        <v>31347</v>
      </c>
      <c r="AG693" t="s">
        <v>31348</v>
      </c>
      <c r="AH693" t="s">
        <v>69</v>
      </c>
      <c r="AI693" t="s">
        <v>69</v>
      </c>
      <c r="AJ693" t="s">
        <v>69</v>
      </c>
      <c r="AK693" t="s">
        <v>69</v>
      </c>
      <c r="AL693">
        <v>23</v>
      </c>
      <c r="AM693">
        <v>6</v>
      </c>
      <c r="AN693">
        <v>7</v>
      </c>
      <c r="AO693">
        <v>0</v>
      </c>
      <c r="AP693">
        <v>1</v>
      </c>
      <c r="AQ693" t="s">
        <v>31349</v>
      </c>
      <c r="AR693" t="s">
        <v>31350</v>
      </c>
      <c r="AS693" t="s">
        <v>31351</v>
      </c>
      <c r="AT693" t="s">
        <v>31352</v>
      </c>
      <c r="AU693" t="s">
        <v>31353</v>
      </c>
      <c r="AV693" t="s">
        <v>69</v>
      </c>
      <c r="AW693" t="s">
        <v>31354</v>
      </c>
      <c r="AX693" t="s">
        <v>31355</v>
      </c>
      <c r="AY693" t="s">
        <v>31356</v>
      </c>
      <c r="AZ693">
        <v>2002</v>
      </c>
      <c r="BA693">
        <v>31</v>
      </c>
      <c r="BB693">
        <v>39</v>
      </c>
      <c r="BC693">
        <v>1</v>
      </c>
      <c r="BD693" t="s">
        <v>69</v>
      </c>
      <c r="BE693" t="s">
        <v>69</v>
      </c>
      <c r="BF693" t="s">
        <v>69</v>
      </c>
      <c r="BG693">
        <v>1831</v>
      </c>
      <c r="BH693">
        <v>1835</v>
      </c>
      <c r="BI693" t="s">
        <v>69</v>
      </c>
      <c r="BJ693" t="s">
        <v>69</v>
      </c>
      <c r="BK693" t="s">
        <v>69</v>
      </c>
      <c r="BL693" t="s">
        <v>69</v>
      </c>
      <c r="BM693" t="s">
        <v>69</v>
      </c>
      <c r="BN693">
        <v>5</v>
      </c>
      <c r="BO693" t="s">
        <v>9450</v>
      </c>
      <c r="BP693" t="s">
        <v>8548</v>
      </c>
      <c r="BQ693" t="s">
        <v>9451</v>
      </c>
      <c r="BR693" t="s">
        <v>31357</v>
      </c>
      <c r="BS693" t="s">
        <v>31358</v>
      </c>
      <c r="BT693">
        <v>12496712</v>
      </c>
      <c r="BU693" t="s">
        <v>69</v>
      </c>
      <c r="BV693" t="s">
        <v>69</v>
      </c>
      <c r="BW693" t="s">
        <v>69</v>
      </c>
      <c r="BX693" t="s">
        <v>8526</v>
      </c>
      <c r="BY693" t="str">
        <f>HYPERLINK("https%3A%2F%2Fwww.webofscience.com%2Fwos%2Fwoscc%2Ffull-record%2FWOS:000179953500002","View Full Record in Web of Science")</f>
        <v>View Full Record in Web of Science</v>
      </c>
    </row>
    <row r="694" spans="1:77" ht="12.5" x14ac:dyDescent="0.25">
      <c r="A694" t="s">
        <v>8495</v>
      </c>
      <c r="B694" s="7" t="s">
        <v>32933</v>
      </c>
      <c r="C694" s="7"/>
      <c r="D694" s="7"/>
      <c r="E694" s="7"/>
      <c r="F694" t="s">
        <v>67</v>
      </c>
      <c r="G694" t="s">
        <v>3085</v>
      </c>
      <c r="H694" t="s">
        <v>69</v>
      </c>
      <c r="I694" t="s">
        <v>69</v>
      </c>
      <c r="J694" t="s">
        <v>69</v>
      </c>
      <c r="K694" t="s">
        <v>3086</v>
      </c>
      <c r="L694" t="s">
        <v>69</v>
      </c>
      <c r="M694" t="s">
        <v>69</v>
      </c>
      <c r="N694" t="s">
        <v>3087</v>
      </c>
      <c r="O694" t="s">
        <v>3088</v>
      </c>
      <c r="P694" t="s">
        <v>69</v>
      </c>
      <c r="Q694" t="s">
        <v>69</v>
      </c>
      <c r="R694" t="s">
        <v>8505</v>
      </c>
      <c r="S694" t="s">
        <v>8506</v>
      </c>
      <c r="T694" t="s">
        <v>69</v>
      </c>
      <c r="U694" t="s">
        <v>69</v>
      </c>
      <c r="V694" t="s">
        <v>69</v>
      </c>
      <c r="W694" t="s">
        <v>69</v>
      </c>
      <c r="X694" t="s">
        <v>69</v>
      </c>
      <c r="Y694" t="s">
        <v>22986</v>
      </c>
      <c r="Z694" t="s">
        <v>22987</v>
      </c>
      <c r="AA694" t="s">
        <v>3089</v>
      </c>
      <c r="AB694" t="s">
        <v>22988</v>
      </c>
      <c r="AC694" t="s">
        <v>69</v>
      </c>
      <c r="AD694" t="s">
        <v>22989</v>
      </c>
      <c r="AE694" t="s">
        <v>22990</v>
      </c>
      <c r="AF694" t="s">
        <v>22991</v>
      </c>
      <c r="AG694" t="s">
        <v>22992</v>
      </c>
      <c r="AH694" t="s">
        <v>22993</v>
      </c>
      <c r="AI694" t="s">
        <v>22994</v>
      </c>
      <c r="AJ694" t="s">
        <v>22995</v>
      </c>
      <c r="AK694" t="s">
        <v>69</v>
      </c>
      <c r="AL694">
        <v>61</v>
      </c>
      <c r="AM694">
        <v>16</v>
      </c>
      <c r="AN694">
        <v>16</v>
      </c>
      <c r="AO694">
        <v>0</v>
      </c>
      <c r="AP694">
        <v>29</v>
      </c>
      <c r="AQ694" t="s">
        <v>22996</v>
      </c>
      <c r="AR694" t="s">
        <v>22997</v>
      </c>
      <c r="AS694" t="s">
        <v>22998</v>
      </c>
      <c r="AT694" t="s">
        <v>3090</v>
      </c>
      <c r="AU694" t="s">
        <v>3091</v>
      </c>
      <c r="AV694" t="s">
        <v>69</v>
      </c>
      <c r="AW694" t="s">
        <v>22999</v>
      </c>
      <c r="AX694" t="s">
        <v>23000</v>
      </c>
      <c r="AY694" t="s">
        <v>69</v>
      </c>
      <c r="AZ694">
        <v>2015</v>
      </c>
      <c r="BA694">
        <v>26</v>
      </c>
      <c r="BB694">
        <v>5</v>
      </c>
      <c r="BC694" t="s">
        <v>69</v>
      </c>
      <c r="BD694" t="s">
        <v>69</v>
      </c>
      <c r="BE694" t="s">
        <v>69</v>
      </c>
      <c r="BF694" t="s">
        <v>69</v>
      </c>
      <c r="BG694">
        <v>560</v>
      </c>
      <c r="BH694">
        <v>570</v>
      </c>
      <c r="BI694" t="s">
        <v>69</v>
      </c>
      <c r="BJ694" t="s">
        <v>3092</v>
      </c>
      <c r="BK694" t="str">
        <f>HYPERLINK("http://dx.doi.org/10.5755/j01.ee.26.5.7690","http://dx.doi.org/10.5755/j01.ee.26.5.7690")</f>
        <v>http://dx.doi.org/10.5755/j01.ee.26.5.7690</v>
      </c>
      <c r="BL694" t="s">
        <v>69</v>
      </c>
      <c r="BM694" t="s">
        <v>69</v>
      </c>
      <c r="BN694">
        <v>11</v>
      </c>
      <c r="BO694" t="s">
        <v>9726</v>
      </c>
      <c r="BP694" t="s">
        <v>8661</v>
      </c>
      <c r="BQ694" t="s">
        <v>8594</v>
      </c>
      <c r="BR694" t="s">
        <v>23001</v>
      </c>
      <c r="BS694" t="s">
        <v>3093</v>
      </c>
      <c r="BT694" t="s">
        <v>69</v>
      </c>
      <c r="BU694" t="s">
        <v>9374</v>
      </c>
      <c r="BV694" t="s">
        <v>69</v>
      </c>
      <c r="BW694" t="s">
        <v>69</v>
      </c>
      <c r="BX694" t="s">
        <v>8526</v>
      </c>
      <c r="BY694" t="str">
        <f>HYPERLINK("https%3A%2F%2Fwww.webofscience.com%2Fwos%2Fwoscc%2Ffull-record%2FWOS:000368523300010","View Full Record in Web of Science")</f>
        <v>View Full Record in Web of Science</v>
      </c>
    </row>
    <row r="695" spans="1:77" ht="12.5" x14ac:dyDescent="0.25">
      <c r="A695" t="s">
        <v>8495</v>
      </c>
      <c r="B695" s="22" t="s">
        <v>32931</v>
      </c>
      <c r="C695" s="7"/>
      <c r="D695" s="7"/>
      <c r="E695" s="7"/>
      <c r="F695" t="s">
        <v>67</v>
      </c>
      <c r="G695" t="s">
        <v>12690</v>
      </c>
      <c r="H695" t="s">
        <v>69</v>
      </c>
      <c r="I695" t="s">
        <v>69</v>
      </c>
      <c r="J695" t="s">
        <v>69</v>
      </c>
      <c r="K695" t="s">
        <v>12691</v>
      </c>
      <c r="L695" t="s">
        <v>69</v>
      </c>
      <c r="M695" t="s">
        <v>69</v>
      </c>
      <c r="N695" t="s">
        <v>12692</v>
      </c>
      <c r="O695" t="s">
        <v>7336</v>
      </c>
      <c r="P695" t="s">
        <v>69</v>
      </c>
      <c r="Q695" t="s">
        <v>69</v>
      </c>
      <c r="R695" t="s">
        <v>8505</v>
      </c>
      <c r="S695" t="s">
        <v>8506</v>
      </c>
      <c r="T695" t="s">
        <v>69</v>
      </c>
      <c r="U695" t="s">
        <v>69</v>
      </c>
      <c r="V695" t="s">
        <v>69</v>
      </c>
      <c r="W695" t="s">
        <v>69</v>
      </c>
      <c r="X695" t="s">
        <v>69</v>
      </c>
      <c r="Y695" t="s">
        <v>12693</v>
      </c>
      <c r="Z695" t="s">
        <v>69</v>
      </c>
      <c r="AA695" t="s">
        <v>12694</v>
      </c>
      <c r="AB695" t="s">
        <v>12695</v>
      </c>
      <c r="AC695" t="s">
        <v>69</v>
      </c>
      <c r="AD695" t="s">
        <v>12696</v>
      </c>
      <c r="AE695" t="s">
        <v>12697</v>
      </c>
      <c r="AF695" t="s">
        <v>12698</v>
      </c>
      <c r="AG695" t="s">
        <v>12699</v>
      </c>
      <c r="AH695" t="s">
        <v>69</v>
      </c>
      <c r="AI695" t="s">
        <v>69</v>
      </c>
      <c r="AJ695" t="s">
        <v>69</v>
      </c>
      <c r="AK695" t="s">
        <v>69</v>
      </c>
      <c r="AL695">
        <v>60</v>
      </c>
      <c r="AM695">
        <v>4</v>
      </c>
      <c r="AN695">
        <v>4</v>
      </c>
      <c r="AO695">
        <v>2</v>
      </c>
      <c r="AP695">
        <v>8</v>
      </c>
      <c r="AQ695" t="s">
        <v>8586</v>
      </c>
      <c r="AR695" t="s">
        <v>8587</v>
      </c>
      <c r="AS695" t="s">
        <v>8588</v>
      </c>
      <c r="AT695" t="s">
        <v>7338</v>
      </c>
      <c r="AU695" t="s">
        <v>69</v>
      </c>
      <c r="AV695" t="s">
        <v>69</v>
      </c>
      <c r="AW695" t="s">
        <v>12700</v>
      </c>
      <c r="AX695" t="s">
        <v>12701</v>
      </c>
      <c r="AY695" t="s">
        <v>12702</v>
      </c>
      <c r="AZ695">
        <v>2022</v>
      </c>
      <c r="BA695">
        <v>40</v>
      </c>
      <c r="BB695">
        <v>2</v>
      </c>
      <c r="BC695" t="s">
        <v>69</v>
      </c>
      <c r="BD695" t="s">
        <v>69</v>
      </c>
      <c r="BE695" t="s">
        <v>114</v>
      </c>
      <c r="BF695" t="s">
        <v>69</v>
      </c>
      <c r="BG695">
        <v>202</v>
      </c>
      <c r="BH695">
        <v>218</v>
      </c>
      <c r="BI695" t="s">
        <v>69</v>
      </c>
      <c r="BJ695" t="s">
        <v>12703</v>
      </c>
      <c r="BK695" t="str">
        <f>HYPERLINK("http://dx.doi.org/10.1108/IJBPA-11-2020-0100","http://dx.doi.org/10.1108/IJBPA-11-2020-0100")</f>
        <v>http://dx.doi.org/10.1108/IJBPA-11-2020-0100</v>
      </c>
      <c r="BL695" t="s">
        <v>69</v>
      </c>
      <c r="BM695" t="s">
        <v>12704</v>
      </c>
      <c r="BN695">
        <v>17</v>
      </c>
      <c r="BO695" t="s">
        <v>10105</v>
      </c>
      <c r="BP695" t="s">
        <v>8573</v>
      </c>
      <c r="BQ695" t="s">
        <v>10105</v>
      </c>
      <c r="BR695" t="s">
        <v>12705</v>
      </c>
      <c r="BS695" t="s">
        <v>12706</v>
      </c>
      <c r="BT695" t="s">
        <v>69</v>
      </c>
      <c r="BU695" t="s">
        <v>69</v>
      </c>
      <c r="BV695" t="s">
        <v>69</v>
      </c>
      <c r="BW695" t="s">
        <v>69</v>
      </c>
      <c r="BX695" t="s">
        <v>8526</v>
      </c>
      <c r="BY695" t="str">
        <f>HYPERLINK("https%3A%2F%2Fwww.webofscience.com%2Fwos%2Fwoscc%2Ffull-record%2FWOS:000631567200001","View Full Record in Web of Science")</f>
        <v>View Full Record in Web of Science</v>
      </c>
    </row>
    <row r="696" spans="1:77" ht="12.5" x14ac:dyDescent="0.25">
      <c r="A696" t="s">
        <v>8495</v>
      </c>
      <c r="B696" s="22" t="s">
        <v>32931</v>
      </c>
      <c r="C696" s="7"/>
      <c r="D696" s="7"/>
      <c r="E696" s="7"/>
      <c r="F696" t="s">
        <v>67</v>
      </c>
      <c r="G696" t="s">
        <v>26790</v>
      </c>
      <c r="H696" t="s">
        <v>69</v>
      </c>
      <c r="I696" t="s">
        <v>69</v>
      </c>
      <c r="J696" t="s">
        <v>69</v>
      </c>
      <c r="K696" t="s">
        <v>26791</v>
      </c>
      <c r="L696" t="s">
        <v>69</v>
      </c>
      <c r="M696" t="s">
        <v>69</v>
      </c>
      <c r="N696" t="s">
        <v>26792</v>
      </c>
      <c r="O696" t="s">
        <v>21578</v>
      </c>
      <c r="P696" t="s">
        <v>69</v>
      </c>
      <c r="Q696" t="s">
        <v>69</v>
      </c>
      <c r="R696" t="s">
        <v>8505</v>
      </c>
      <c r="S696" t="s">
        <v>8506</v>
      </c>
      <c r="T696" t="s">
        <v>69</v>
      </c>
      <c r="U696" t="s">
        <v>69</v>
      </c>
      <c r="V696" t="s">
        <v>69</v>
      </c>
      <c r="W696" t="s">
        <v>69</v>
      </c>
      <c r="X696" t="s">
        <v>69</v>
      </c>
      <c r="Y696" t="s">
        <v>69</v>
      </c>
      <c r="Z696" t="s">
        <v>26793</v>
      </c>
      <c r="AA696" t="s">
        <v>26794</v>
      </c>
      <c r="AB696" t="s">
        <v>26795</v>
      </c>
      <c r="AC696" t="s">
        <v>69</v>
      </c>
      <c r="AD696" t="s">
        <v>26796</v>
      </c>
      <c r="AE696" t="s">
        <v>69</v>
      </c>
      <c r="AF696" t="s">
        <v>69</v>
      </c>
      <c r="AG696" t="s">
        <v>26797</v>
      </c>
      <c r="AH696" t="s">
        <v>69</v>
      </c>
      <c r="AI696" t="s">
        <v>69</v>
      </c>
      <c r="AJ696" t="s">
        <v>69</v>
      </c>
      <c r="AK696" t="s">
        <v>69</v>
      </c>
      <c r="AL696">
        <v>54</v>
      </c>
      <c r="AM696">
        <v>22</v>
      </c>
      <c r="AN696">
        <v>22</v>
      </c>
      <c r="AO696">
        <v>1</v>
      </c>
      <c r="AP696">
        <v>54</v>
      </c>
      <c r="AQ696" t="s">
        <v>21583</v>
      </c>
      <c r="AR696" t="s">
        <v>8693</v>
      </c>
      <c r="AS696" t="s">
        <v>21584</v>
      </c>
      <c r="AT696" t="s">
        <v>21585</v>
      </c>
      <c r="AU696" t="s">
        <v>69</v>
      </c>
      <c r="AV696" t="s">
        <v>69</v>
      </c>
      <c r="AW696" t="s">
        <v>21587</v>
      </c>
      <c r="AX696" t="s">
        <v>21588</v>
      </c>
      <c r="AY696" t="s">
        <v>255</v>
      </c>
      <c r="AZ696">
        <v>2011</v>
      </c>
      <c r="BA696">
        <v>113</v>
      </c>
      <c r="BB696">
        <v>9</v>
      </c>
      <c r="BC696" t="s">
        <v>69</v>
      </c>
      <c r="BD696" t="s">
        <v>69</v>
      </c>
      <c r="BE696" t="s">
        <v>69</v>
      </c>
      <c r="BF696" t="s">
        <v>69</v>
      </c>
      <c r="BG696">
        <v>2080</v>
      </c>
      <c r="BH696">
        <v>2114</v>
      </c>
      <c r="BI696" t="s">
        <v>69</v>
      </c>
      <c r="BJ696" t="s">
        <v>69</v>
      </c>
      <c r="BK696" t="s">
        <v>69</v>
      </c>
      <c r="BL696" t="s">
        <v>69</v>
      </c>
      <c r="BM696" t="s">
        <v>69</v>
      </c>
      <c r="BN696">
        <v>35</v>
      </c>
      <c r="BO696" t="s">
        <v>9290</v>
      </c>
      <c r="BP696" t="s">
        <v>8661</v>
      </c>
      <c r="BQ696" t="s">
        <v>9290</v>
      </c>
      <c r="BR696" t="s">
        <v>26798</v>
      </c>
      <c r="BS696" t="s">
        <v>26799</v>
      </c>
      <c r="BT696" t="s">
        <v>69</v>
      </c>
      <c r="BU696" t="s">
        <v>69</v>
      </c>
      <c r="BV696" t="s">
        <v>69</v>
      </c>
      <c r="BW696" t="s">
        <v>69</v>
      </c>
      <c r="BX696" t="s">
        <v>8526</v>
      </c>
      <c r="BY696" t="str">
        <f>HYPERLINK("https%3A%2F%2Fwww.webofscience.com%2Fwos%2Fwoscc%2Ffull-record%2FWOS:000297995100007","View Full Record in Web of Science")</f>
        <v>View Full Record in Web of Science</v>
      </c>
    </row>
    <row r="697" spans="1:77" ht="12.5" x14ac:dyDescent="0.25">
      <c r="A697" t="s">
        <v>8495</v>
      </c>
      <c r="B697" s="22" t="s">
        <v>32931</v>
      </c>
      <c r="C697" s="7"/>
      <c r="D697" s="7"/>
      <c r="E697" s="7"/>
      <c r="F697" t="s">
        <v>67</v>
      </c>
      <c r="G697" t="s">
        <v>20876</v>
      </c>
      <c r="H697" t="s">
        <v>69</v>
      </c>
      <c r="I697" t="s">
        <v>69</v>
      </c>
      <c r="J697" t="s">
        <v>69</v>
      </c>
      <c r="K697" t="s">
        <v>20877</v>
      </c>
      <c r="L697" t="s">
        <v>69</v>
      </c>
      <c r="M697" t="s">
        <v>69</v>
      </c>
      <c r="N697" t="s">
        <v>20878</v>
      </c>
      <c r="O697" t="s">
        <v>20879</v>
      </c>
      <c r="P697" t="s">
        <v>69</v>
      </c>
      <c r="Q697" t="s">
        <v>69</v>
      </c>
      <c r="R697" t="s">
        <v>8505</v>
      </c>
      <c r="S697" t="s">
        <v>8506</v>
      </c>
      <c r="T697" t="s">
        <v>69</v>
      </c>
      <c r="U697" t="s">
        <v>69</v>
      </c>
      <c r="V697" t="s">
        <v>69</v>
      </c>
      <c r="W697" t="s">
        <v>69</v>
      </c>
      <c r="X697" t="s">
        <v>69</v>
      </c>
      <c r="Y697" t="s">
        <v>20880</v>
      </c>
      <c r="Z697" t="s">
        <v>20881</v>
      </c>
      <c r="AA697" t="s">
        <v>20882</v>
      </c>
      <c r="AB697" t="s">
        <v>20883</v>
      </c>
      <c r="AC697" t="s">
        <v>69</v>
      </c>
      <c r="AD697" t="s">
        <v>20884</v>
      </c>
      <c r="AE697" t="s">
        <v>20885</v>
      </c>
      <c r="AF697" t="s">
        <v>69</v>
      </c>
      <c r="AG697" t="s">
        <v>69</v>
      </c>
      <c r="AH697" t="s">
        <v>69</v>
      </c>
      <c r="AI697" t="s">
        <v>69</v>
      </c>
      <c r="AJ697" t="s">
        <v>69</v>
      </c>
      <c r="AK697" t="s">
        <v>69</v>
      </c>
      <c r="AL697">
        <v>61</v>
      </c>
      <c r="AM697">
        <v>4</v>
      </c>
      <c r="AN697">
        <v>4</v>
      </c>
      <c r="AO697">
        <v>1</v>
      </c>
      <c r="AP697">
        <v>16</v>
      </c>
      <c r="AQ697" t="s">
        <v>15611</v>
      </c>
      <c r="AR697" t="s">
        <v>10924</v>
      </c>
      <c r="AS697" t="s">
        <v>15612</v>
      </c>
      <c r="AT697" t="s">
        <v>20886</v>
      </c>
      <c r="AU697" t="s">
        <v>20887</v>
      </c>
      <c r="AV697" t="s">
        <v>69</v>
      </c>
      <c r="AW697" t="s">
        <v>20888</v>
      </c>
      <c r="AX697" t="s">
        <v>20889</v>
      </c>
      <c r="AY697" t="s">
        <v>69</v>
      </c>
      <c r="AZ697">
        <v>2017</v>
      </c>
      <c r="BA697">
        <v>36</v>
      </c>
      <c r="BB697">
        <v>4</v>
      </c>
      <c r="BC697" t="s">
        <v>69</v>
      </c>
      <c r="BD697" t="s">
        <v>69</v>
      </c>
      <c r="BE697" t="s">
        <v>69</v>
      </c>
      <c r="BF697" t="s">
        <v>69</v>
      </c>
      <c r="BG697">
        <v>309</v>
      </c>
      <c r="BH697">
        <v>323</v>
      </c>
      <c r="BI697" t="s">
        <v>69</v>
      </c>
      <c r="BJ697" t="s">
        <v>20890</v>
      </c>
      <c r="BK697" t="str">
        <f>HYPERLINK("http://dx.doi.org/10.1080/10549811.2017.1300539","http://dx.doi.org/10.1080/10549811.2017.1300539")</f>
        <v>http://dx.doi.org/10.1080/10549811.2017.1300539</v>
      </c>
      <c r="BL697" t="s">
        <v>69</v>
      </c>
      <c r="BM697" t="s">
        <v>69</v>
      </c>
      <c r="BN697">
        <v>15</v>
      </c>
      <c r="BO697" t="s">
        <v>8453</v>
      </c>
      <c r="BP697" t="s">
        <v>8523</v>
      </c>
      <c r="BQ697" t="s">
        <v>8453</v>
      </c>
      <c r="BR697" t="s">
        <v>20891</v>
      </c>
      <c r="BS697" t="s">
        <v>20892</v>
      </c>
      <c r="BT697" t="s">
        <v>69</v>
      </c>
      <c r="BU697" t="s">
        <v>9292</v>
      </c>
      <c r="BV697" t="s">
        <v>69</v>
      </c>
      <c r="BW697" t="s">
        <v>69</v>
      </c>
      <c r="BX697" t="s">
        <v>8526</v>
      </c>
      <c r="BY697" t="str">
        <f>HYPERLINK("https%3A%2F%2Fwww.webofscience.com%2Fwos%2Fwoscc%2Ffull-record%2FWOS:000404290500001","View Full Record in Web of Science")</f>
        <v>View Full Record in Web of Science</v>
      </c>
    </row>
    <row r="698" spans="1:77" ht="12.5" x14ac:dyDescent="0.25">
      <c r="A698" t="s">
        <v>8495</v>
      </c>
      <c r="B698" s="7" t="s">
        <v>32933</v>
      </c>
      <c r="C698" s="7"/>
      <c r="D698" s="7"/>
      <c r="E698" s="7"/>
      <c r="F698" t="s">
        <v>67</v>
      </c>
      <c r="G698" t="s">
        <v>3205</v>
      </c>
      <c r="H698" t="s">
        <v>69</v>
      </c>
      <c r="I698" t="s">
        <v>69</v>
      </c>
      <c r="J698" t="s">
        <v>69</v>
      </c>
      <c r="K698" t="s">
        <v>3206</v>
      </c>
      <c r="L698" t="s">
        <v>69</v>
      </c>
      <c r="M698" t="s">
        <v>69</v>
      </c>
      <c r="N698" t="s">
        <v>3207</v>
      </c>
      <c r="O698" t="s">
        <v>3208</v>
      </c>
      <c r="P698" t="s">
        <v>69</v>
      </c>
      <c r="Q698" t="s">
        <v>69</v>
      </c>
      <c r="R698" t="s">
        <v>8505</v>
      </c>
      <c r="S698" t="s">
        <v>8506</v>
      </c>
      <c r="T698" t="s">
        <v>69</v>
      </c>
      <c r="U698" t="s">
        <v>69</v>
      </c>
      <c r="V698" t="s">
        <v>69</v>
      </c>
      <c r="W698" t="s">
        <v>69</v>
      </c>
      <c r="X698" t="s">
        <v>69</v>
      </c>
      <c r="Y698" t="s">
        <v>24046</v>
      </c>
      <c r="Z698" t="s">
        <v>24047</v>
      </c>
      <c r="AA698" t="s">
        <v>3209</v>
      </c>
      <c r="AB698" t="s">
        <v>24048</v>
      </c>
      <c r="AC698" t="s">
        <v>69</v>
      </c>
      <c r="AD698" t="s">
        <v>24049</v>
      </c>
      <c r="AE698" t="s">
        <v>24050</v>
      </c>
      <c r="AF698" t="s">
        <v>24051</v>
      </c>
      <c r="AG698" t="s">
        <v>24052</v>
      </c>
      <c r="AH698" t="s">
        <v>21822</v>
      </c>
      <c r="AI698" t="s">
        <v>21822</v>
      </c>
      <c r="AJ698" t="s">
        <v>24053</v>
      </c>
      <c r="AK698" t="s">
        <v>69</v>
      </c>
      <c r="AL698">
        <v>22</v>
      </c>
      <c r="AM698">
        <v>4</v>
      </c>
      <c r="AN698">
        <v>4</v>
      </c>
      <c r="AO698">
        <v>1</v>
      </c>
      <c r="AP698">
        <v>14</v>
      </c>
      <c r="AQ698" t="s">
        <v>17695</v>
      </c>
      <c r="AR698" t="s">
        <v>12737</v>
      </c>
      <c r="AS698" t="s">
        <v>17696</v>
      </c>
      <c r="AT698" t="s">
        <v>3210</v>
      </c>
      <c r="AU698" t="s">
        <v>69</v>
      </c>
      <c r="AV698" t="s">
        <v>69</v>
      </c>
      <c r="AW698" t="s">
        <v>17697</v>
      </c>
      <c r="AX698" t="s">
        <v>17697</v>
      </c>
      <c r="AY698" t="s">
        <v>69</v>
      </c>
      <c r="AZ698">
        <v>2014</v>
      </c>
      <c r="BA698">
        <v>23</v>
      </c>
      <c r="BB698">
        <v>2</v>
      </c>
      <c r="BC698" t="s">
        <v>69</v>
      </c>
      <c r="BD698" t="s">
        <v>69</v>
      </c>
      <c r="BE698" t="s">
        <v>69</v>
      </c>
      <c r="BF698" t="s">
        <v>69</v>
      </c>
      <c r="BG698">
        <v>118</v>
      </c>
      <c r="BH698">
        <v>124</v>
      </c>
      <c r="BI698" t="s">
        <v>69</v>
      </c>
      <c r="BJ698" t="s">
        <v>3211</v>
      </c>
      <c r="BK698" t="str">
        <f>HYPERLINK("http://dx.doi.org/10.14512/gaia.23.2.9","http://dx.doi.org/10.14512/gaia.23.2.9")</f>
        <v>http://dx.doi.org/10.14512/gaia.23.2.9</v>
      </c>
      <c r="BL698" t="s">
        <v>69</v>
      </c>
      <c r="BM698" t="s">
        <v>69</v>
      </c>
      <c r="BN698">
        <v>7</v>
      </c>
      <c r="BO698" t="s">
        <v>11791</v>
      </c>
      <c r="BP698" t="s">
        <v>8523</v>
      </c>
      <c r="BQ698" t="s">
        <v>8662</v>
      </c>
      <c r="BR698" t="s">
        <v>24054</v>
      </c>
      <c r="BS698" t="s">
        <v>3212</v>
      </c>
      <c r="BT698" t="s">
        <v>69</v>
      </c>
      <c r="BU698" t="s">
        <v>69</v>
      </c>
      <c r="BV698" t="s">
        <v>69</v>
      </c>
      <c r="BW698" t="s">
        <v>69</v>
      </c>
      <c r="BX698" t="s">
        <v>8526</v>
      </c>
      <c r="BY698" t="str">
        <f>HYPERLINK("https%3A%2F%2Fwww.webofscience.com%2Fwos%2Fwoscc%2Ffull-record%2FWOS:000336561700008","View Full Record in Web of Science")</f>
        <v>View Full Record in Web of Science</v>
      </c>
    </row>
    <row r="699" spans="1:77" x14ac:dyDescent="0.3">
      <c r="A699" t="s">
        <v>8495</v>
      </c>
      <c r="B699" s="9" t="s">
        <v>32972</v>
      </c>
      <c r="C699" s="9" t="s">
        <v>33071</v>
      </c>
      <c r="D699" s="27" t="s">
        <v>8490</v>
      </c>
      <c r="E699" s="9" t="s">
        <v>8490</v>
      </c>
      <c r="F699" t="s">
        <v>67</v>
      </c>
      <c r="G699" t="s">
        <v>31651</v>
      </c>
      <c r="H699" t="s">
        <v>69</v>
      </c>
      <c r="I699" t="s">
        <v>69</v>
      </c>
      <c r="J699" t="s">
        <v>69</v>
      </c>
      <c r="K699" t="s">
        <v>31651</v>
      </c>
      <c r="L699" t="s">
        <v>69</v>
      </c>
      <c r="M699" t="s">
        <v>69</v>
      </c>
      <c r="N699" t="s">
        <v>31652</v>
      </c>
      <c r="O699" t="s">
        <v>3321</v>
      </c>
      <c r="P699" t="s">
        <v>69</v>
      </c>
      <c r="Q699" t="s">
        <v>69</v>
      </c>
      <c r="R699" t="s">
        <v>8505</v>
      </c>
      <c r="S699" t="s">
        <v>8506</v>
      </c>
      <c r="T699" t="s">
        <v>69</v>
      </c>
      <c r="U699" t="s">
        <v>69</v>
      </c>
      <c r="V699" t="s">
        <v>69</v>
      </c>
      <c r="W699" t="s">
        <v>69</v>
      </c>
      <c r="X699" t="s">
        <v>69</v>
      </c>
      <c r="Y699" t="s">
        <v>31653</v>
      </c>
      <c r="Z699" t="s">
        <v>31654</v>
      </c>
      <c r="AA699" t="s">
        <v>31655</v>
      </c>
      <c r="AB699" t="s">
        <v>31656</v>
      </c>
      <c r="AC699" t="s">
        <v>69</v>
      </c>
      <c r="AD699" t="s">
        <v>31657</v>
      </c>
      <c r="AE699" t="s">
        <v>69</v>
      </c>
      <c r="AF699" t="s">
        <v>69</v>
      </c>
      <c r="AG699" t="s">
        <v>69</v>
      </c>
      <c r="AH699" t="s">
        <v>69</v>
      </c>
      <c r="AI699" t="s">
        <v>69</v>
      </c>
      <c r="AJ699" t="s">
        <v>69</v>
      </c>
      <c r="AK699" t="s">
        <v>69</v>
      </c>
      <c r="AL699">
        <v>64</v>
      </c>
      <c r="AM699">
        <v>45</v>
      </c>
      <c r="AN699">
        <v>45</v>
      </c>
      <c r="AO699">
        <v>0</v>
      </c>
      <c r="AP699">
        <v>12</v>
      </c>
      <c r="AQ699" t="s">
        <v>8762</v>
      </c>
      <c r="AR699" t="s">
        <v>8763</v>
      </c>
      <c r="AS699" t="s">
        <v>31143</v>
      </c>
      <c r="AT699" t="s">
        <v>3323</v>
      </c>
      <c r="AU699" t="s">
        <v>69</v>
      </c>
      <c r="AV699" t="s">
        <v>69</v>
      </c>
      <c r="AW699" t="s">
        <v>3321</v>
      </c>
      <c r="AX699" t="s">
        <v>25026</v>
      </c>
      <c r="AY699" t="s">
        <v>191</v>
      </c>
      <c r="AZ699">
        <v>2001</v>
      </c>
      <c r="BA699">
        <v>8</v>
      </c>
      <c r="BB699">
        <v>1</v>
      </c>
      <c r="BC699" t="s">
        <v>69</v>
      </c>
      <c r="BD699" t="s">
        <v>69</v>
      </c>
      <c r="BE699" t="s">
        <v>69</v>
      </c>
      <c r="BF699" t="s">
        <v>69</v>
      </c>
      <c r="BG699">
        <v>17</v>
      </c>
      <c r="BH699">
        <v>31</v>
      </c>
      <c r="BI699" t="s">
        <v>69</v>
      </c>
      <c r="BJ699" t="s">
        <v>31658</v>
      </c>
      <c r="BK699" t="str">
        <f>HYPERLINK("http://dx.doi.org/10.1177/135050840181002","http://dx.doi.org/10.1177/135050840181002")</f>
        <v>http://dx.doi.org/10.1177/135050840181002</v>
      </c>
      <c r="BL699" t="s">
        <v>69</v>
      </c>
      <c r="BM699" t="s">
        <v>69</v>
      </c>
      <c r="BN699">
        <v>15</v>
      </c>
      <c r="BO699" t="s">
        <v>9410</v>
      </c>
      <c r="BP699" t="s">
        <v>8661</v>
      </c>
      <c r="BQ699" t="s">
        <v>8594</v>
      </c>
      <c r="BR699" t="s">
        <v>31659</v>
      </c>
      <c r="BS699" t="s">
        <v>31660</v>
      </c>
      <c r="BT699" t="s">
        <v>69</v>
      </c>
      <c r="BU699" t="s">
        <v>69</v>
      </c>
      <c r="BV699" t="s">
        <v>69</v>
      </c>
      <c r="BW699" t="s">
        <v>69</v>
      </c>
      <c r="BX699" t="s">
        <v>8526</v>
      </c>
      <c r="BY699" t="str">
        <f>HYPERLINK("https%3A%2F%2Fwww.webofscience.com%2Fwos%2Fwoscc%2Ffull-record%2FWOS:000167229400002","View Full Record in Web of Science")</f>
        <v>View Full Record in Web of Science</v>
      </c>
    </row>
    <row r="700" spans="1:77" ht="12.5" x14ac:dyDescent="0.25">
      <c r="A700" t="s">
        <v>8495</v>
      </c>
      <c r="B700" s="22" t="s">
        <v>32931</v>
      </c>
      <c r="C700" s="7"/>
      <c r="D700" s="7"/>
      <c r="E700" s="7"/>
      <c r="F700" t="s">
        <v>67</v>
      </c>
      <c r="G700" t="s">
        <v>15272</v>
      </c>
      <c r="H700" t="s">
        <v>69</v>
      </c>
      <c r="I700" t="s">
        <v>69</v>
      </c>
      <c r="J700" t="s">
        <v>69</v>
      </c>
      <c r="K700" t="s">
        <v>15273</v>
      </c>
      <c r="L700" t="s">
        <v>69</v>
      </c>
      <c r="M700" t="s">
        <v>15274</v>
      </c>
      <c r="N700" t="s">
        <v>15275</v>
      </c>
      <c r="O700" t="s">
        <v>15276</v>
      </c>
      <c r="P700" t="s">
        <v>69</v>
      </c>
      <c r="Q700" t="s">
        <v>69</v>
      </c>
      <c r="R700" t="s">
        <v>8505</v>
      </c>
      <c r="S700" t="s">
        <v>8506</v>
      </c>
      <c r="T700" t="s">
        <v>69</v>
      </c>
      <c r="U700" t="s">
        <v>69</v>
      </c>
      <c r="V700" t="s">
        <v>69</v>
      </c>
      <c r="W700" t="s">
        <v>69</v>
      </c>
      <c r="X700" t="s">
        <v>69</v>
      </c>
      <c r="Y700" t="s">
        <v>15277</v>
      </c>
      <c r="Z700" t="s">
        <v>15278</v>
      </c>
      <c r="AA700" t="s">
        <v>15279</v>
      </c>
      <c r="AB700" t="s">
        <v>15280</v>
      </c>
      <c r="AC700" t="s">
        <v>69</v>
      </c>
      <c r="AD700" t="s">
        <v>15281</v>
      </c>
      <c r="AE700" t="s">
        <v>15282</v>
      </c>
      <c r="AF700" t="s">
        <v>69</v>
      </c>
      <c r="AG700" t="s">
        <v>15283</v>
      </c>
      <c r="AH700" t="s">
        <v>15284</v>
      </c>
      <c r="AI700" t="s">
        <v>15284</v>
      </c>
      <c r="AJ700" t="s">
        <v>15285</v>
      </c>
      <c r="AK700" t="s">
        <v>69</v>
      </c>
      <c r="AL700">
        <v>62</v>
      </c>
      <c r="AM700">
        <v>9</v>
      </c>
      <c r="AN700">
        <v>9</v>
      </c>
      <c r="AO700">
        <v>0</v>
      </c>
      <c r="AP700">
        <v>3</v>
      </c>
      <c r="AQ700" t="s">
        <v>8692</v>
      </c>
      <c r="AR700" t="s">
        <v>8693</v>
      </c>
      <c r="AS700" t="s">
        <v>8694</v>
      </c>
      <c r="AT700" t="s">
        <v>15286</v>
      </c>
      <c r="AU700" t="s">
        <v>15287</v>
      </c>
      <c r="AV700" t="s">
        <v>69</v>
      </c>
      <c r="AW700" t="s">
        <v>15288</v>
      </c>
      <c r="AX700" t="s">
        <v>15289</v>
      </c>
      <c r="AY700" t="s">
        <v>586</v>
      </c>
      <c r="AZ700">
        <v>2020</v>
      </c>
      <c r="BA700">
        <v>16</v>
      </c>
      <c r="BB700">
        <v>5</v>
      </c>
      <c r="BC700" t="s">
        <v>69</v>
      </c>
      <c r="BD700" t="s">
        <v>69</v>
      </c>
      <c r="BE700" t="s">
        <v>69</v>
      </c>
      <c r="BF700" t="s">
        <v>69</v>
      </c>
      <c r="BG700">
        <v>699</v>
      </c>
      <c r="BH700">
        <v>709</v>
      </c>
      <c r="BI700" t="s">
        <v>69</v>
      </c>
      <c r="BJ700" t="s">
        <v>15290</v>
      </c>
      <c r="BK700" t="str">
        <f>HYPERLINK("http://dx.doi.org/10.1016/j.sapharm.2019.08.026","http://dx.doi.org/10.1016/j.sapharm.2019.08.026")</f>
        <v>http://dx.doi.org/10.1016/j.sapharm.2019.08.026</v>
      </c>
      <c r="BL700" t="s">
        <v>69</v>
      </c>
      <c r="BM700" t="s">
        <v>69</v>
      </c>
      <c r="BN700">
        <v>11</v>
      </c>
      <c r="BO700" t="s">
        <v>15291</v>
      </c>
      <c r="BP700" t="s">
        <v>8661</v>
      </c>
      <c r="BQ700" t="s">
        <v>15291</v>
      </c>
      <c r="BR700" t="s">
        <v>15292</v>
      </c>
      <c r="BS700" t="s">
        <v>15293</v>
      </c>
      <c r="BT700">
        <v>31611071</v>
      </c>
      <c r="BU700" t="s">
        <v>10363</v>
      </c>
      <c r="BV700" t="s">
        <v>69</v>
      </c>
      <c r="BW700" t="s">
        <v>69</v>
      </c>
      <c r="BX700" t="s">
        <v>8526</v>
      </c>
      <c r="BY700" t="str">
        <f>HYPERLINK("https%3A%2F%2Fwww.webofscience.com%2Fwos%2Fwoscc%2Ffull-record%2FWOS:000527106000011","View Full Record in Web of Science")</f>
        <v>View Full Record in Web of Science</v>
      </c>
    </row>
    <row r="701" spans="1:77" ht="12.5" x14ac:dyDescent="0.25">
      <c r="A701" t="s">
        <v>8495</v>
      </c>
      <c r="B701" s="22" t="s">
        <v>32931</v>
      </c>
      <c r="C701" s="7"/>
      <c r="D701" s="7"/>
      <c r="E701" s="7"/>
      <c r="F701" t="s">
        <v>67</v>
      </c>
      <c r="G701" t="s">
        <v>13348</v>
      </c>
      <c r="H701" t="s">
        <v>69</v>
      </c>
      <c r="I701" t="s">
        <v>69</v>
      </c>
      <c r="J701" t="s">
        <v>69</v>
      </c>
      <c r="K701" t="s">
        <v>13349</v>
      </c>
      <c r="L701" t="s">
        <v>69</v>
      </c>
      <c r="M701" t="s">
        <v>69</v>
      </c>
      <c r="N701" t="s">
        <v>13350</v>
      </c>
      <c r="O701" t="s">
        <v>13351</v>
      </c>
      <c r="P701" t="s">
        <v>69</v>
      </c>
      <c r="Q701" t="s">
        <v>69</v>
      </c>
      <c r="R701" t="s">
        <v>8505</v>
      </c>
      <c r="S701" t="s">
        <v>8506</v>
      </c>
      <c r="T701" t="s">
        <v>69</v>
      </c>
      <c r="U701" t="s">
        <v>69</v>
      </c>
      <c r="V701" t="s">
        <v>69</v>
      </c>
      <c r="W701" t="s">
        <v>69</v>
      </c>
      <c r="X701" t="s">
        <v>69</v>
      </c>
      <c r="Y701" t="s">
        <v>13352</v>
      </c>
      <c r="Z701" t="s">
        <v>13353</v>
      </c>
      <c r="AA701" t="s">
        <v>13354</v>
      </c>
      <c r="AB701" t="s">
        <v>13355</v>
      </c>
      <c r="AC701" t="s">
        <v>69</v>
      </c>
      <c r="AD701" t="s">
        <v>13356</v>
      </c>
      <c r="AE701" t="s">
        <v>13357</v>
      </c>
      <c r="AF701" t="s">
        <v>69</v>
      </c>
      <c r="AG701" t="s">
        <v>69</v>
      </c>
      <c r="AH701" t="s">
        <v>13358</v>
      </c>
      <c r="AI701" t="s">
        <v>13359</v>
      </c>
      <c r="AJ701" t="s">
        <v>13360</v>
      </c>
      <c r="AK701" t="s">
        <v>69</v>
      </c>
      <c r="AL701">
        <v>38</v>
      </c>
      <c r="AM701">
        <v>2</v>
      </c>
      <c r="AN701">
        <v>2</v>
      </c>
      <c r="AO701">
        <v>7</v>
      </c>
      <c r="AP701">
        <v>11</v>
      </c>
      <c r="AQ701" t="s">
        <v>8636</v>
      </c>
      <c r="AR701" t="s">
        <v>8637</v>
      </c>
      <c r="AS701" t="s">
        <v>8638</v>
      </c>
      <c r="AT701" t="s">
        <v>13361</v>
      </c>
      <c r="AU701" t="s">
        <v>13362</v>
      </c>
      <c r="AV701" t="s">
        <v>69</v>
      </c>
      <c r="AW701" t="s">
        <v>13363</v>
      </c>
      <c r="AX701" t="s">
        <v>13364</v>
      </c>
      <c r="AY701" t="s">
        <v>191</v>
      </c>
      <c r="AZ701">
        <v>2021</v>
      </c>
      <c r="BA701">
        <v>9</v>
      </c>
      <c r="BB701">
        <v>1</v>
      </c>
      <c r="BC701" t="s">
        <v>69</v>
      </c>
      <c r="BD701" t="s">
        <v>69</v>
      </c>
      <c r="BE701" t="s">
        <v>69</v>
      </c>
      <c r="BF701" t="s">
        <v>69</v>
      </c>
      <c r="BG701" t="s">
        <v>69</v>
      </c>
      <c r="BH701" t="s">
        <v>69</v>
      </c>
      <c r="BI701">
        <v>104721</v>
      </c>
      <c r="BJ701" t="s">
        <v>13365</v>
      </c>
      <c r="BK701" t="str">
        <f>HYPERLINK("http://dx.doi.org/10.1016/j.jece.2020.104721","http://dx.doi.org/10.1016/j.jece.2020.104721")</f>
        <v>http://dx.doi.org/10.1016/j.jece.2020.104721</v>
      </c>
      <c r="BL701" t="s">
        <v>69</v>
      </c>
      <c r="BM701" t="s">
        <v>300</v>
      </c>
      <c r="BN701">
        <v>6</v>
      </c>
      <c r="BO701" t="s">
        <v>13366</v>
      </c>
      <c r="BP701" t="s">
        <v>8548</v>
      </c>
      <c r="BQ701" t="s">
        <v>8445</v>
      </c>
      <c r="BR701" t="s">
        <v>13367</v>
      </c>
      <c r="BS701" t="s">
        <v>13368</v>
      </c>
      <c r="BT701">
        <v>33173752</v>
      </c>
      <c r="BU701" t="s">
        <v>11793</v>
      </c>
      <c r="BV701" t="s">
        <v>69</v>
      </c>
      <c r="BW701" t="s">
        <v>69</v>
      </c>
      <c r="BX701" t="s">
        <v>8526</v>
      </c>
      <c r="BY701" t="str">
        <f>HYPERLINK("https%3A%2F%2Fwww.webofscience.com%2Fwos%2Fwoscc%2Ffull-record%2FWOS:000615243900002","View Full Record in Web of Science")</f>
        <v>View Full Record in Web of Science</v>
      </c>
    </row>
    <row r="702" spans="1:77" ht="12.5" x14ac:dyDescent="0.25">
      <c r="A702" t="s">
        <v>8495</v>
      </c>
      <c r="B702" s="7" t="s">
        <v>32933</v>
      </c>
      <c r="C702" s="7"/>
      <c r="D702" s="7"/>
      <c r="E702" s="7"/>
      <c r="F702" t="s">
        <v>67</v>
      </c>
      <c r="G702" t="s">
        <v>1987</v>
      </c>
      <c r="H702" t="s">
        <v>69</v>
      </c>
      <c r="I702" t="s">
        <v>69</v>
      </c>
      <c r="J702" t="s">
        <v>69</v>
      </c>
      <c r="K702" t="s">
        <v>1988</v>
      </c>
      <c r="L702" t="s">
        <v>69</v>
      </c>
      <c r="M702" t="s">
        <v>69</v>
      </c>
      <c r="N702" t="s">
        <v>1989</v>
      </c>
      <c r="O702" t="s">
        <v>1990</v>
      </c>
      <c r="P702" t="s">
        <v>69</v>
      </c>
      <c r="Q702" t="s">
        <v>69</v>
      </c>
      <c r="R702" t="s">
        <v>8505</v>
      </c>
      <c r="S702" t="s">
        <v>8506</v>
      </c>
      <c r="T702" t="s">
        <v>69</v>
      </c>
      <c r="U702" t="s">
        <v>69</v>
      </c>
      <c r="V702" t="s">
        <v>69</v>
      </c>
      <c r="W702" t="s">
        <v>69</v>
      </c>
      <c r="X702" t="s">
        <v>69</v>
      </c>
      <c r="Y702" t="s">
        <v>15420</v>
      </c>
      <c r="Z702" t="s">
        <v>15421</v>
      </c>
      <c r="AA702" t="s">
        <v>1991</v>
      </c>
      <c r="AB702" t="s">
        <v>15422</v>
      </c>
      <c r="AC702" t="s">
        <v>69</v>
      </c>
      <c r="AD702" t="s">
        <v>15423</v>
      </c>
      <c r="AE702" t="s">
        <v>15424</v>
      </c>
      <c r="AF702" t="s">
        <v>69</v>
      </c>
      <c r="AG702" t="s">
        <v>15425</v>
      </c>
      <c r="AH702" t="s">
        <v>15426</v>
      </c>
      <c r="AI702" t="s">
        <v>15427</v>
      </c>
      <c r="AJ702" t="s">
        <v>15428</v>
      </c>
      <c r="AK702" t="s">
        <v>69</v>
      </c>
      <c r="AL702">
        <v>72</v>
      </c>
      <c r="AM702">
        <v>2</v>
      </c>
      <c r="AN702">
        <v>2</v>
      </c>
      <c r="AO702">
        <v>0</v>
      </c>
      <c r="AP702">
        <v>7</v>
      </c>
      <c r="AQ702" t="s">
        <v>8846</v>
      </c>
      <c r="AR702" t="s">
        <v>8847</v>
      </c>
      <c r="AS702" t="s">
        <v>8848</v>
      </c>
      <c r="AT702" t="s">
        <v>1992</v>
      </c>
      <c r="AU702" t="s">
        <v>1993</v>
      </c>
      <c r="AV702" t="s">
        <v>69</v>
      </c>
      <c r="AW702" t="s">
        <v>15139</v>
      </c>
      <c r="AX702" t="s">
        <v>15140</v>
      </c>
      <c r="AY702" t="s">
        <v>586</v>
      </c>
      <c r="AZ702">
        <v>2021</v>
      </c>
      <c r="BA702">
        <v>37</v>
      </c>
      <c r="BB702">
        <v>2</v>
      </c>
      <c r="BC702" t="s">
        <v>69</v>
      </c>
      <c r="BD702" t="s">
        <v>69</v>
      </c>
      <c r="BE702" t="s">
        <v>69</v>
      </c>
      <c r="BF702" t="s">
        <v>69</v>
      </c>
      <c r="BG702">
        <v>107</v>
      </c>
      <c r="BH702">
        <v>123</v>
      </c>
      <c r="BI702" t="s">
        <v>69</v>
      </c>
      <c r="BJ702" t="s">
        <v>1994</v>
      </c>
      <c r="BK702" t="str">
        <f>HYPERLINK("http://dx.doi.org/10.1111/faam.12240","http://dx.doi.org/10.1111/faam.12240")</f>
        <v>http://dx.doi.org/10.1111/faam.12240</v>
      </c>
      <c r="BL702" t="s">
        <v>69</v>
      </c>
      <c r="BM702" t="s">
        <v>767</v>
      </c>
      <c r="BN702">
        <v>17</v>
      </c>
      <c r="BO702" t="s">
        <v>9749</v>
      </c>
      <c r="BP702" t="s">
        <v>8573</v>
      </c>
      <c r="BQ702" t="s">
        <v>8594</v>
      </c>
      <c r="BR702" t="s">
        <v>15429</v>
      </c>
      <c r="BS702" t="s">
        <v>1995</v>
      </c>
      <c r="BT702" t="s">
        <v>69</v>
      </c>
      <c r="BU702" t="s">
        <v>9292</v>
      </c>
      <c r="BV702" t="s">
        <v>69</v>
      </c>
      <c r="BW702" t="s">
        <v>69</v>
      </c>
      <c r="BX702" t="s">
        <v>8526</v>
      </c>
      <c r="BY702" t="str">
        <f>HYPERLINK("https%3A%2F%2Fwww.webofscience.com%2Fwos%2Fwoscc%2Ffull-record%2FWOS:000525960100001","View Full Record in Web of Science")</f>
        <v>View Full Record in Web of Science</v>
      </c>
    </row>
    <row r="703" spans="1:77" ht="12.5" x14ac:dyDescent="0.25">
      <c r="A703" t="s">
        <v>8495</v>
      </c>
      <c r="B703" s="7" t="s">
        <v>32933</v>
      </c>
      <c r="C703" s="7"/>
      <c r="D703" s="7"/>
      <c r="E703" s="7"/>
      <c r="F703" t="s">
        <v>67</v>
      </c>
      <c r="G703" t="s">
        <v>6381</v>
      </c>
      <c r="H703" t="s">
        <v>69</v>
      </c>
      <c r="I703" t="s">
        <v>69</v>
      </c>
      <c r="J703" t="s">
        <v>69</v>
      </c>
      <c r="K703" t="s">
        <v>6382</v>
      </c>
      <c r="L703" t="s">
        <v>69</v>
      </c>
      <c r="M703" t="s">
        <v>69</v>
      </c>
      <c r="N703" t="s">
        <v>6383</v>
      </c>
      <c r="O703" t="s">
        <v>6384</v>
      </c>
      <c r="P703" t="s">
        <v>69</v>
      </c>
      <c r="Q703" t="s">
        <v>69</v>
      </c>
      <c r="R703" t="s">
        <v>8505</v>
      </c>
      <c r="S703" t="s">
        <v>8506</v>
      </c>
      <c r="T703" t="s">
        <v>69</v>
      </c>
      <c r="U703" t="s">
        <v>69</v>
      </c>
      <c r="V703" t="s">
        <v>69</v>
      </c>
      <c r="W703" t="s">
        <v>69</v>
      </c>
      <c r="X703" t="s">
        <v>69</v>
      </c>
      <c r="Y703" t="s">
        <v>22177</v>
      </c>
      <c r="Z703" t="s">
        <v>22178</v>
      </c>
      <c r="AA703" t="s">
        <v>6385</v>
      </c>
      <c r="AB703" t="s">
        <v>22179</v>
      </c>
      <c r="AC703" t="s">
        <v>69</v>
      </c>
      <c r="AD703" t="s">
        <v>22180</v>
      </c>
      <c r="AE703" t="s">
        <v>22181</v>
      </c>
      <c r="AF703" t="s">
        <v>6386</v>
      </c>
      <c r="AG703" t="s">
        <v>6387</v>
      </c>
      <c r="AH703" t="s">
        <v>22182</v>
      </c>
      <c r="AI703" t="s">
        <v>22183</v>
      </c>
      <c r="AJ703" t="s">
        <v>22184</v>
      </c>
      <c r="AK703" t="s">
        <v>69</v>
      </c>
      <c r="AL703">
        <v>103</v>
      </c>
      <c r="AM703">
        <v>27</v>
      </c>
      <c r="AN703">
        <v>29</v>
      </c>
      <c r="AO703">
        <v>6</v>
      </c>
      <c r="AP703">
        <v>82</v>
      </c>
      <c r="AQ703" t="s">
        <v>8586</v>
      </c>
      <c r="AR703" t="s">
        <v>8587</v>
      </c>
      <c r="AS703" t="s">
        <v>8588</v>
      </c>
      <c r="AT703" t="s">
        <v>6388</v>
      </c>
      <c r="AU703" t="s">
        <v>6389</v>
      </c>
      <c r="AV703" t="s">
        <v>69</v>
      </c>
      <c r="AW703" t="s">
        <v>22185</v>
      </c>
      <c r="AX703" t="s">
        <v>22186</v>
      </c>
      <c r="AY703" t="s">
        <v>69</v>
      </c>
      <c r="AZ703">
        <v>2016</v>
      </c>
      <c r="BA703">
        <v>29</v>
      </c>
      <c r="BB703">
        <v>1</v>
      </c>
      <c r="BC703" t="s">
        <v>69</v>
      </c>
      <c r="BD703" t="s">
        <v>69</v>
      </c>
      <c r="BE703" t="s">
        <v>69</v>
      </c>
      <c r="BF703" t="s">
        <v>69</v>
      </c>
      <c r="BG703">
        <v>84</v>
      </c>
      <c r="BH703">
        <v>106</v>
      </c>
      <c r="BI703" t="s">
        <v>69</v>
      </c>
      <c r="BJ703" t="s">
        <v>6390</v>
      </c>
      <c r="BK703" t="str">
        <f>HYPERLINK("http://dx.doi.org/10.1108/ARLA-04-2015-0067","http://dx.doi.org/10.1108/ARLA-04-2015-0067")</f>
        <v>http://dx.doi.org/10.1108/ARLA-04-2015-0067</v>
      </c>
      <c r="BL703" t="s">
        <v>69</v>
      </c>
      <c r="BM703" t="s">
        <v>69</v>
      </c>
      <c r="BN703">
        <v>23</v>
      </c>
      <c r="BO703" t="s">
        <v>8791</v>
      </c>
      <c r="BP703" t="s">
        <v>8661</v>
      </c>
      <c r="BQ703" t="s">
        <v>8594</v>
      </c>
      <c r="BR703" t="s">
        <v>22187</v>
      </c>
      <c r="BS703" t="s">
        <v>6391</v>
      </c>
      <c r="BT703" t="s">
        <v>69</v>
      </c>
      <c r="BU703" t="s">
        <v>69</v>
      </c>
      <c r="BV703" t="s">
        <v>69</v>
      </c>
      <c r="BW703" t="s">
        <v>69</v>
      </c>
      <c r="BX703" t="s">
        <v>8526</v>
      </c>
      <c r="BY703" t="str">
        <f>HYPERLINK("https%3A%2F%2Fwww.webofscience.com%2Fwos%2Fwoscc%2Ffull-record%2FWOS:000374136400005","View Full Record in Web of Science")</f>
        <v>View Full Record in Web of Science</v>
      </c>
    </row>
    <row r="704" spans="1:77" ht="12.5" x14ac:dyDescent="0.25">
      <c r="A704" t="s">
        <v>8495</v>
      </c>
      <c r="B704" s="7" t="s">
        <v>32933</v>
      </c>
      <c r="C704" s="7"/>
      <c r="D704" s="7"/>
      <c r="E704" s="7"/>
      <c r="F704" t="s">
        <v>67</v>
      </c>
      <c r="G704" t="s">
        <v>1187</v>
      </c>
      <c r="H704" t="s">
        <v>69</v>
      </c>
      <c r="I704" t="s">
        <v>69</v>
      </c>
      <c r="J704" t="s">
        <v>69</v>
      </c>
      <c r="K704" t="s">
        <v>1188</v>
      </c>
      <c r="L704" t="s">
        <v>69</v>
      </c>
      <c r="M704" t="s">
        <v>69</v>
      </c>
      <c r="N704" t="s">
        <v>1189</v>
      </c>
      <c r="O704" t="s">
        <v>473</v>
      </c>
      <c r="P704" t="s">
        <v>69</v>
      </c>
      <c r="Q704" t="s">
        <v>69</v>
      </c>
      <c r="R704" t="s">
        <v>8505</v>
      </c>
      <c r="S704" t="s">
        <v>8506</v>
      </c>
      <c r="T704" t="s">
        <v>69</v>
      </c>
      <c r="U704" t="s">
        <v>69</v>
      </c>
      <c r="V704" t="s">
        <v>69</v>
      </c>
      <c r="W704" t="s">
        <v>69</v>
      </c>
      <c r="X704" t="s">
        <v>69</v>
      </c>
      <c r="Y704" t="s">
        <v>21074</v>
      </c>
      <c r="Z704" t="s">
        <v>21075</v>
      </c>
      <c r="AA704" t="s">
        <v>1190</v>
      </c>
      <c r="AB704" t="s">
        <v>21076</v>
      </c>
      <c r="AC704" t="s">
        <v>69</v>
      </c>
      <c r="AD704" t="s">
        <v>21077</v>
      </c>
      <c r="AE704" t="s">
        <v>21078</v>
      </c>
      <c r="AF704" t="s">
        <v>69</v>
      </c>
      <c r="AG704" t="s">
        <v>69</v>
      </c>
      <c r="AH704" t="s">
        <v>21079</v>
      </c>
      <c r="AI704" t="s">
        <v>21080</v>
      </c>
      <c r="AJ704" t="s">
        <v>21081</v>
      </c>
      <c r="AK704" t="s">
        <v>69</v>
      </c>
      <c r="AL704">
        <v>57</v>
      </c>
      <c r="AM704">
        <v>15</v>
      </c>
      <c r="AN704">
        <v>16</v>
      </c>
      <c r="AO704">
        <v>3</v>
      </c>
      <c r="AP704">
        <v>22</v>
      </c>
      <c r="AQ704" t="s">
        <v>18272</v>
      </c>
      <c r="AR704" t="s">
        <v>8763</v>
      </c>
      <c r="AS704" t="s">
        <v>18273</v>
      </c>
      <c r="AT704" t="s">
        <v>475</v>
      </c>
      <c r="AU704" t="s">
        <v>476</v>
      </c>
      <c r="AV704" t="s">
        <v>69</v>
      </c>
      <c r="AW704" t="s">
        <v>18274</v>
      </c>
      <c r="AX704" t="s">
        <v>18275</v>
      </c>
      <c r="AY704" t="s">
        <v>504</v>
      </c>
      <c r="AZ704">
        <v>2016</v>
      </c>
      <c r="BA704">
        <v>184</v>
      </c>
      <c r="BB704" t="s">
        <v>69</v>
      </c>
      <c r="BC704">
        <v>1</v>
      </c>
      <c r="BD704" t="s">
        <v>69</v>
      </c>
      <c r="BE704" t="s">
        <v>114</v>
      </c>
      <c r="BF704" t="s">
        <v>69</v>
      </c>
      <c r="BG704">
        <v>108</v>
      </c>
      <c r="BH704">
        <v>119</v>
      </c>
      <c r="BI704" t="s">
        <v>69</v>
      </c>
      <c r="BJ704" t="s">
        <v>1191</v>
      </c>
      <c r="BK704" t="str">
        <f>HYPERLINK("http://dx.doi.org/10.1016/j.jenvman.2016.08.046","http://dx.doi.org/10.1016/j.jenvman.2016.08.046")</f>
        <v>http://dx.doi.org/10.1016/j.jenvman.2016.08.046</v>
      </c>
      <c r="BL704" t="s">
        <v>69</v>
      </c>
      <c r="BM704" t="s">
        <v>69</v>
      </c>
      <c r="BN704">
        <v>12</v>
      </c>
      <c r="BO704" t="s">
        <v>8717</v>
      </c>
      <c r="BP704" t="s">
        <v>8523</v>
      </c>
      <c r="BQ704" t="s">
        <v>8662</v>
      </c>
      <c r="BR704" t="s">
        <v>21082</v>
      </c>
      <c r="BS704" t="s">
        <v>1192</v>
      </c>
      <c r="BT704">
        <v>27589916</v>
      </c>
      <c r="BU704" t="s">
        <v>69</v>
      </c>
      <c r="BV704" t="s">
        <v>69</v>
      </c>
      <c r="BW704" t="s">
        <v>69</v>
      </c>
      <c r="BX704" t="s">
        <v>8526</v>
      </c>
      <c r="BY704" t="str">
        <f>HYPERLINK("https%3A%2F%2Fwww.webofscience.com%2Fwos%2Fwoscc%2Ffull-record%2FWOS:000388547300012","View Full Record in Web of Science")</f>
        <v>View Full Record in Web of Science</v>
      </c>
    </row>
    <row r="705" spans="1:77" ht="12.5" x14ac:dyDescent="0.25">
      <c r="A705" t="s">
        <v>8495</v>
      </c>
      <c r="B705" s="7" t="s">
        <v>32933</v>
      </c>
      <c r="C705" s="7"/>
      <c r="D705" s="7"/>
      <c r="E705" s="7"/>
      <c r="F705" t="s">
        <v>67</v>
      </c>
      <c r="G705" t="s">
        <v>5983</v>
      </c>
      <c r="H705" t="s">
        <v>69</v>
      </c>
      <c r="I705" t="s">
        <v>69</v>
      </c>
      <c r="J705" t="s">
        <v>69</v>
      </c>
      <c r="K705" t="s">
        <v>5984</v>
      </c>
      <c r="L705" t="s">
        <v>69</v>
      </c>
      <c r="M705" t="s">
        <v>69</v>
      </c>
      <c r="N705" t="s">
        <v>5985</v>
      </c>
      <c r="O705" t="s">
        <v>510</v>
      </c>
      <c r="P705" t="s">
        <v>69</v>
      </c>
      <c r="Q705" t="s">
        <v>69</v>
      </c>
      <c r="R705" t="s">
        <v>8505</v>
      </c>
      <c r="S705" t="s">
        <v>8506</v>
      </c>
      <c r="T705" t="s">
        <v>69</v>
      </c>
      <c r="U705" t="s">
        <v>69</v>
      </c>
      <c r="V705" t="s">
        <v>69</v>
      </c>
      <c r="W705" t="s">
        <v>69</v>
      </c>
      <c r="X705" t="s">
        <v>69</v>
      </c>
      <c r="Y705" t="s">
        <v>18402</v>
      </c>
      <c r="Z705" t="s">
        <v>18403</v>
      </c>
      <c r="AA705" t="s">
        <v>5986</v>
      </c>
      <c r="AB705" t="s">
        <v>18404</v>
      </c>
      <c r="AC705" t="s">
        <v>69</v>
      </c>
      <c r="AD705" t="s">
        <v>18405</v>
      </c>
      <c r="AE705" t="s">
        <v>18406</v>
      </c>
      <c r="AF705" t="s">
        <v>18407</v>
      </c>
      <c r="AG705" t="s">
        <v>5987</v>
      </c>
      <c r="AH705" t="s">
        <v>69</v>
      </c>
      <c r="AI705" t="s">
        <v>69</v>
      </c>
      <c r="AJ705" t="s">
        <v>69</v>
      </c>
      <c r="AK705" t="s">
        <v>69</v>
      </c>
      <c r="AL705">
        <v>55</v>
      </c>
      <c r="AM705">
        <v>7</v>
      </c>
      <c r="AN705">
        <v>8</v>
      </c>
      <c r="AO705">
        <v>0</v>
      </c>
      <c r="AP705">
        <v>9</v>
      </c>
      <c r="AQ705" t="s">
        <v>8636</v>
      </c>
      <c r="AR705" t="s">
        <v>8637</v>
      </c>
      <c r="AS705" t="s">
        <v>8638</v>
      </c>
      <c r="AT705" t="s">
        <v>512</v>
      </c>
      <c r="AU705" t="s">
        <v>513</v>
      </c>
      <c r="AV705" t="s">
        <v>69</v>
      </c>
      <c r="AW705" t="s">
        <v>18408</v>
      </c>
      <c r="AX705" t="s">
        <v>18409</v>
      </c>
      <c r="AY705" t="s">
        <v>477</v>
      </c>
      <c r="AZ705">
        <v>2018</v>
      </c>
      <c r="BA705">
        <v>163</v>
      </c>
      <c r="BB705" t="s">
        <v>69</v>
      </c>
      <c r="BC705" t="s">
        <v>69</v>
      </c>
      <c r="BD705" t="s">
        <v>69</v>
      </c>
      <c r="BE705" t="s">
        <v>69</v>
      </c>
      <c r="BF705" t="s">
        <v>69</v>
      </c>
      <c r="BG705">
        <v>11</v>
      </c>
      <c r="BH705">
        <v>21</v>
      </c>
      <c r="BI705" t="s">
        <v>69</v>
      </c>
      <c r="BJ705" t="s">
        <v>5988</v>
      </c>
      <c r="BK705" t="str">
        <f>HYPERLINK("http://dx.doi.org/10.1016/j.ocecoaman.2018.05.022","http://dx.doi.org/10.1016/j.ocecoaman.2018.05.022")</f>
        <v>http://dx.doi.org/10.1016/j.ocecoaman.2018.05.022</v>
      </c>
      <c r="BL705" t="s">
        <v>69</v>
      </c>
      <c r="BM705" t="s">
        <v>69</v>
      </c>
      <c r="BN705">
        <v>11</v>
      </c>
      <c r="BO705" t="s">
        <v>18410</v>
      </c>
      <c r="BP705" t="s">
        <v>8523</v>
      </c>
      <c r="BQ705" t="s">
        <v>18410</v>
      </c>
      <c r="BR705" t="s">
        <v>18411</v>
      </c>
      <c r="BS705" t="s">
        <v>5989</v>
      </c>
      <c r="BT705" t="s">
        <v>69</v>
      </c>
      <c r="BU705" t="s">
        <v>69</v>
      </c>
      <c r="BV705" t="s">
        <v>69</v>
      </c>
      <c r="BW705" t="s">
        <v>69</v>
      </c>
      <c r="BX705" t="s">
        <v>8526</v>
      </c>
      <c r="BY705" t="str">
        <f>HYPERLINK("https%3A%2F%2Fwww.webofscience.com%2Fwos%2Fwoscc%2Ffull-record%2FWOS:000444793600002","View Full Record in Web of Science")</f>
        <v>View Full Record in Web of Science</v>
      </c>
    </row>
    <row r="706" spans="1:77" ht="12.5" x14ac:dyDescent="0.25">
      <c r="A706" t="s">
        <v>8495</v>
      </c>
      <c r="B706" s="22" t="s">
        <v>32931</v>
      </c>
      <c r="C706" s="7"/>
      <c r="D706" s="7"/>
      <c r="E706" s="7"/>
      <c r="F706" t="s">
        <v>67</v>
      </c>
      <c r="G706" t="s">
        <v>22966</v>
      </c>
      <c r="H706" t="s">
        <v>69</v>
      </c>
      <c r="I706" t="s">
        <v>69</v>
      </c>
      <c r="J706" t="s">
        <v>69</v>
      </c>
      <c r="K706" t="s">
        <v>22967</v>
      </c>
      <c r="L706" t="s">
        <v>69</v>
      </c>
      <c r="M706" t="s">
        <v>69</v>
      </c>
      <c r="N706" t="s">
        <v>22968</v>
      </c>
      <c r="O706" t="s">
        <v>929</v>
      </c>
      <c r="P706" t="s">
        <v>69</v>
      </c>
      <c r="Q706" t="s">
        <v>69</v>
      </c>
      <c r="R706" t="s">
        <v>8505</v>
      </c>
      <c r="S706" t="s">
        <v>8506</v>
      </c>
      <c r="T706" t="s">
        <v>69</v>
      </c>
      <c r="U706" t="s">
        <v>69</v>
      </c>
      <c r="V706" t="s">
        <v>69</v>
      </c>
      <c r="W706" t="s">
        <v>69</v>
      </c>
      <c r="X706" t="s">
        <v>69</v>
      </c>
      <c r="Y706" t="s">
        <v>22969</v>
      </c>
      <c r="Z706" t="s">
        <v>69</v>
      </c>
      <c r="AA706" t="s">
        <v>22970</v>
      </c>
      <c r="AB706" t="s">
        <v>22971</v>
      </c>
      <c r="AC706" t="s">
        <v>69</v>
      </c>
      <c r="AD706" t="s">
        <v>22972</v>
      </c>
      <c r="AE706" t="s">
        <v>22973</v>
      </c>
      <c r="AF706" t="s">
        <v>22974</v>
      </c>
      <c r="AG706" t="s">
        <v>22975</v>
      </c>
      <c r="AH706" t="s">
        <v>69</v>
      </c>
      <c r="AI706" t="s">
        <v>69</v>
      </c>
      <c r="AJ706" t="s">
        <v>69</v>
      </c>
      <c r="AK706" t="s">
        <v>69</v>
      </c>
      <c r="AL706">
        <v>14</v>
      </c>
      <c r="AM706">
        <v>28</v>
      </c>
      <c r="AN706">
        <v>28</v>
      </c>
      <c r="AO706">
        <v>1</v>
      </c>
      <c r="AP706">
        <v>11</v>
      </c>
      <c r="AQ706" t="s">
        <v>8865</v>
      </c>
      <c r="AR706" t="s">
        <v>8612</v>
      </c>
      <c r="AS706" t="s">
        <v>22341</v>
      </c>
      <c r="AT706" t="s">
        <v>931</v>
      </c>
      <c r="AU706" t="s">
        <v>932</v>
      </c>
      <c r="AV706" t="s">
        <v>69</v>
      </c>
      <c r="AW706" t="s">
        <v>15975</v>
      </c>
      <c r="AX706" t="s">
        <v>15976</v>
      </c>
      <c r="AY706" t="s">
        <v>69</v>
      </c>
      <c r="AZ706">
        <v>2015</v>
      </c>
      <c r="BA706">
        <v>33</v>
      </c>
      <c r="BB706">
        <v>3</v>
      </c>
      <c r="BC706" t="s">
        <v>69</v>
      </c>
      <c r="BD706" t="s">
        <v>69</v>
      </c>
      <c r="BE706" t="s">
        <v>69</v>
      </c>
      <c r="BF706" t="s">
        <v>69</v>
      </c>
      <c r="BG706">
        <v>220</v>
      </c>
      <c r="BH706">
        <v>225</v>
      </c>
      <c r="BI706" t="s">
        <v>69</v>
      </c>
      <c r="BJ706" t="s">
        <v>22976</v>
      </c>
      <c r="BK706" t="str">
        <f>HYPERLINK("http://dx.doi.org/10.1080/14615517.2015.1037665","http://dx.doi.org/10.1080/14615517.2015.1037665")</f>
        <v>http://dx.doi.org/10.1080/14615517.2015.1037665</v>
      </c>
      <c r="BL706" t="s">
        <v>69</v>
      </c>
      <c r="BM706" t="s">
        <v>69</v>
      </c>
      <c r="BN706">
        <v>6</v>
      </c>
      <c r="BO706" t="s">
        <v>8660</v>
      </c>
      <c r="BP706" t="s">
        <v>8661</v>
      </c>
      <c r="BQ706" t="s">
        <v>8662</v>
      </c>
      <c r="BR706" t="s">
        <v>22977</v>
      </c>
      <c r="BS706" t="s">
        <v>22978</v>
      </c>
      <c r="BT706" t="s">
        <v>69</v>
      </c>
      <c r="BU706" t="s">
        <v>69</v>
      </c>
      <c r="BV706" t="s">
        <v>69</v>
      </c>
      <c r="BW706" t="s">
        <v>69</v>
      </c>
      <c r="BX706" t="s">
        <v>8526</v>
      </c>
      <c r="BY706" t="str">
        <f>HYPERLINK("https%3A%2F%2Fwww.webofscience.com%2Fwos%2Fwoscc%2Ffull-record%2FWOS:000368669300005","View Full Record in Web of Science")</f>
        <v>View Full Record in Web of Science</v>
      </c>
    </row>
    <row r="707" spans="1:77" ht="12.5" x14ac:dyDescent="0.25">
      <c r="A707" t="s">
        <v>8495</v>
      </c>
      <c r="B707" s="22" t="s">
        <v>32931</v>
      </c>
      <c r="C707" s="7"/>
      <c r="D707" s="7"/>
      <c r="E707" s="7"/>
      <c r="F707" t="s">
        <v>67</v>
      </c>
      <c r="G707" t="s">
        <v>12652</v>
      </c>
      <c r="H707" t="s">
        <v>69</v>
      </c>
      <c r="I707" t="s">
        <v>69</v>
      </c>
      <c r="J707" t="s">
        <v>69</v>
      </c>
      <c r="K707" t="s">
        <v>12653</v>
      </c>
      <c r="L707" t="s">
        <v>69</v>
      </c>
      <c r="M707" t="s">
        <v>69</v>
      </c>
      <c r="N707" t="s">
        <v>12654</v>
      </c>
      <c r="O707" t="s">
        <v>12655</v>
      </c>
      <c r="P707" t="s">
        <v>69</v>
      </c>
      <c r="Q707" t="s">
        <v>69</v>
      </c>
      <c r="R707" t="s">
        <v>8505</v>
      </c>
      <c r="S707" t="s">
        <v>10174</v>
      </c>
      <c r="T707" t="s">
        <v>69</v>
      </c>
      <c r="U707" t="s">
        <v>69</v>
      </c>
      <c r="V707" t="s">
        <v>69</v>
      </c>
      <c r="W707" t="s">
        <v>69</v>
      </c>
      <c r="X707" t="s">
        <v>69</v>
      </c>
      <c r="Y707" t="s">
        <v>12656</v>
      </c>
      <c r="Z707" t="s">
        <v>69</v>
      </c>
      <c r="AA707" t="s">
        <v>12657</v>
      </c>
      <c r="AB707" t="s">
        <v>12658</v>
      </c>
      <c r="AC707" t="s">
        <v>69</v>
      </c>
      <c r="AD707" t="s">
        <v>12659</v>
      </c>
      <c r="AE707" t="s">
        <v>12660</v>
      </c>
      <c r="AF707" t="s">
        <v>69</v>
      </c>
      <c r="AG707" t="s">
        <v>69</v>
      </c>
      <c r="AH707" t="s">
        <v>69</v>
      </c>
      <c r="AI707" t="s">
        <v>69</v>
      </c>
      <c r="AJ707" t="s">
        <v>69</v>
      </c>
      <c r="AK707" t="s">
        <v>69</v>
      </c>
      <c r="AL707">
        <v>8</v>
      </c>
      <c r="AM707">
        <v>1</v>
      </c>
      <c r="AN707">
        <v>1</v>
      </c>
      <c r="AO707">
        <v>0</v>
      </c>
      <c r="AP707">
        <v>0</v>
      </c>
      <c r="AQ707" t="s">
        <v>9978</v>
      </c>
      <c r="AR707" t="s">
        <v>9979</v>
      </c>
      <c r="AS707" t="s">
        <v>9980</v>
      </c>
      <c r="AT707" t="s">
        <v>12661</v>
      </c>
      <c r="AU707" t="s">
        <v>12662</v>
      </c>
      <c r="AV707" t="s">
        <v>69</v>
      </c>
      <c r="AW707" t="s">
        <v>12663</v>
      </c>
      <c r="AX707" t="s">
        <v>12664</v>
      </c>
      <c r="AY707" t="s">
        <v>246</v>
      </c>
      <c r="AZ707">
        <v>2021</v>
      </c>
      <c r="BA707">
        <v>45</v>
      </c>
      <c r="BB707">
        <v>2</v>
      </c>
      <c r="BC707" t="s">
        <v>69</v>
      </c>
      <c r="BD707" t="s">
        <v>69</v>
      </c>
      <c r="BE707" t="s">
        <v>69</v>
      </c>
      <c r="BF707" t="s">
        <v>69</v>
      </c>
      <c r="BG707">
        <v>73</v>
      </c>
      <c r="BH707">
        <v>76</v>
      </c>
      <c r="BI707" t="s">
        <v>12665</v>
      </c>
      <c r="BJ707" t="s">
        <v>12666</v>
      </c>
      <c r="BK707" t="str">
        <f>HYPERLINK("http://dx.doi.org/10.1192/bjb.2020.50","http://dx.doi.org/10.1192/bjb.2020.50")</f>
        <v>http://dx.doi.org/10.1192/bjb.2020.50</v>
      </c>
      <c r="BL707" t="s">
        <v>69</v>
      </c>
      <c r="BM707" t="s">
        <v>69</v>
      </c>
      <c r="BN707">
        <v>4</v>
      </c>
      <c r="BO707" t="s">
        <v>9332</v>
      </c>
      <c r="BP707" t="s">
        <v>8573</v>
      </c>
      <c r="BQ707" t="s">
        <v>9332</v>
      </c>
      <c r="BR707" t="s">
        <v>12667</v>
      </c>
      <c r="BS707" t="s">
        <v>12669</v>
      </c>
      <c r="BT707">
        <v>32654674</v>
      </c>
      <c r="BU707" t="s">
        <v>12668</v>
      </c>
      <c r="BV707" t="s">
        <v>69</v>
      </c>
      <c r="BW707" t="s">
        <v>69</v>
      </c>
      <c r="BX707" t="s">
        <v>8526</v>
      </c>
      <c r="BY707" t="str">
        <f>HYPERLINK("https%3A%2F%2Fwww.webofscience.com%2Fwos%2Fwoscc%2Ffull-record%2FWOS:000632448600001","View Full Record in Web of Science")</f>
        <v>View Full Record in Web of Science</v>
      </c>
    </row>
    <row r="708" spans="1:77" ht="12.5" x14ac:dyDescent="0.25">
      <c r="A708" t="s">
        <v>8495</v>
      </c>
      <c r="B708" s="7" t="s">
        <v>32933</v>
      </c>
      <c r="C708" s="7"/>
      <c r="D708" s="7"/>
      <c r="E708" s="7"/>
      <c r="F708" t="s">
        <v>67</v>
      </c>
      <c r="G708" t="s">
        <v>6507</v>
      </c>
      <c r="H708" t="s">
        <v>69</v>
      </c>
      <c r="I708" t="s">
        <v>69</v>
      </c>
      <c r="J708" t="s">
        <v>69</v>
      </c>
      <c r="K708" t="s">
        <v>6508</v>
      </c>
      <c r="L708" t="s">
        <v>69</v>
      </c>
      <c r="M708" t="s">
        <v>69</v>
      </c>
      <c r="N708" t="s">
        <v>6509</v>
      </c>
      <c r="O708" t="s">
        <v>6510</v>
      </c>
      <c r="P708" t="s">
        <v>69</v>
      </c>
      <c r="Q708" t="s">
        <v>69</v>
      </c>
      <c r="R708" t="s">
        <v>8505</v>
      </c>
      <c r="S708" t="s">
        <v>8506</v>
      </c>
      <c r="T708" t="s">
        <v>69</v>
      </c>
      <c r="U708" t="s">
        <v>69</v>
      </c>
      <c r="V708" t="s">
        <v>69</v>
      </c>
      <c r="W708" t="s">
        <v>69</v>
      </c>
      <c r="X708" t="s">
        <v>69</v>
      </c>
      <c r="Y708" t="s">
        <v>18647</v>
      </c>
      <c r="Z708" t="s">
        <v>18648</v>
      </c>
      <c r="AA708" t="s">
        <v>6511</v>
      </c>
      <c r="AB708" t="s">
        <v>18649</v>
      </c>
      <c r="AC708" t="s">
        <v>69</v>
      </c>
      <c r="AD708" t="s">
        <v>18650</v>
      </c>
      <c r="AE708" t="s">
        <v>18651</v>
      </c>
      <c r="AF708" t="s">
        <v>69</v>
      </c>
      <c r="AG708" t="s">
        <v>69</v>
      </c>
      <c r="AH708" t="s">
        <v>69</v>
      </c>
      <c r="AI708" t="s">
        <v>69</v>
      </c>
      <c r="AJ708" t="s">
        <v>69</v>
      </c>
      <c r="AK708" t="s">
        <v>69</v>
      </c>
      <c r="AL708">
        <v>33</v>
      </c>
      <c r="AM708">
        <v>4</v>
      </c>
      <c r="AN708">
        <v>5</v>
      </c>
      <c r="AO708">
        <v>6</v>
      </c>
      <c r="AP708">
        <v>53</v>
      </c>
      <c r="AQ708" t="s">
        <v>8636</v>
      </c>
      <c r="AR708" t="s">
        <v>8637</v>
      </c>
      <c r="AS708" t="s">
        <v>8638</v>
      </c>
      <c r="AT708" t="s">
        <v>6512</v>
      </c>
      <c r="AU708" t="s">
        <v>6513</v>
      </c>
      <c r="AV708" t="s">
        <v>69</v>
      </c>
      <c r="AW708" t="s">
        <v>18652</v>
      </c>
      <c r="AX708" t="s">
        <v>18653</v>
      </c>
      <c r="AY708" t="s">
        <v>155</v>
      </c>
      <c r="AZ708">
        <v>2018</v>
      </c>
      <c r="BA708">
        <v>47</v>
      </c>
      <c r="BB708" t="s">
        <v>69</v>
      </c>
      <c r="BC708" t="s">
        <v>69</v>
      </c>
      <c r="BD708" t="s">
        <v>69</v>
      </c>
      <c r="BE708" t="s">
        <v>69</v>
      </c>
      <c r="BF708" t="s">
        <v>69</v>
      </c>
      <c r="BG708">
        <v>326</v>
      </c>
      <c r="BH708">
        <v>334</v>
      </c>
      <c r="BI708" t="s">
        <v>69</v>
      </c>
      <c r="BJ708" t="s">
        <v>6514</v>
      </c>
      <c r="BK708" t="str">
        <f>HYPERLINK("http://dx.doi.org/10.1016/j.ifset.2018.03.001","http://dx.doi.org/10.1016/j.ifset.2018.03.001")</f>
        <v>http://dx.doi.org/10.1016/j.ifset.2018.03.001</v>
      </c>
      <c r="BL708" t="s">
        <v>69</v>
      </c>
      <c r="BM708" t="s">
        <v>69</v>
      </c>
      <c r="BN708">
        <v>9</v>
      </c>
      <c r="BO708" t="s">
        <v>17221</v>
      </c>
      <c r="BP708" t="s">
        <v>8548</v>
      </c>
      <c r="BQ708" t="s">
        <v>17221</v>
      </c>
      <c r="BR708" t="s">
        <v>18654</v>
      </c>
      <c r="BS708" t="s">
        <v>6515</v>
      </c>
      <c r="BT708" t="s">
        <v>69</v>
      </c>
      <c r="BU708" t="s">
        <v>69</v>
      </c>
      <c r="BV708" t="s">
        <v>69</v>
      </c>
      <c r="BW708" t="s">
        <v>69</v>
      </c>
      <c r="BX708" t="s">
        <v>8526</v>
      </c>
      <c r="BY708" t="str">
        <f>HYPERLINK("https%3A%2F%2Fwww.webofscience.com%2Fwos%2Fwoscc%2Ffull-record%2FWOS:000444364100038","View Full Record in Web of Science")</f>
        <v>View Full Record in Web of Science</v>
      </c>
    </row>
    <row r="709" spans="1:77" ht="12.5" x14ac:dyDescent="0.25">
      <c r="A709" t="s">
        <v>8495</v>
      </c>
      <c r="B709" s="22" t="s">
        <v>32931</v>
      </c>
      <c r="C709" s="7"/>
      <c r="D709" s="7"/>
      <c r="E709" s="7"/>
      <c r="F709" t="s">
        <v>67</v>
      </c>
      <c r="G709" t="s">
        <v>25825</v>
      </c>
      <c r="H709" t="s">
        <v>69</v>
      </c>
      <c r="I709" t="s">
        <v>69</v>
      </c>
      <c r="J709" t="s">
        <v>69</v>
      </c>
      <c r="K709" t="s">
        <v>25826</v>
      </c>
      <c r="L709" t="s">
        <v>69</v>
      </c>
      <c r="M709" t="s">
        <v>69</v>
      </c>
      <c r="N709" t="s">
        <v>25827</v>
      </c>
      <c r="O709" t="s">
        <v>1930</v>
      </c>
      <c r="P709" t="s">
        <v>69</v>
      </c>
      <c r="Q709" t="s">
        <v>69</v>
      </c>
      <c r="R709" t="s">
        <v>8505</v>
      </c>
      <c r="S709" t="s">
        <v>8506</v>
      </c>
      <c r="T709" t="s">
        <v>69</v>
      </c>
      <c r="U709" t="s">
        <v>69</v>
      </c>
      <c r="V709" t="s">
        <v>69</v>
      </c>
      <c r="W709" t="s">
        <v>69</v>
      </c>
      <c r="X709" t="s">
        <v>69</v>
      </c>
      <c r="Y709" t="s">
        <v>25828</v>
      </c>
      <c r="Z709" t="s">
        <v>25829</v>
      </c>
      <c r="AA709" t="s">
        <v>25830</v>
      </c>
      <c r="AB709" t="s">
        <v>25831</v>
      </c>
      <c r="AC709" t="s">
        <v>69</v>
      </c>
      <c r="AD709" t="s">
        <v>25832</v>
      </c>
      <c r="AE709" t="s">
        <v>25833</v>
      </c>
      <c r="AF709" t="s">
        <v>25834</v>
      </c>
      <c r="AG709" t="s">
        <v>25835</v>
      </c>
      <c r="AH709" t="s">
        <v>69</v>
      </c>
      <c r="AI709" t="s">
        <v>69</v>
      </c>
      <c r="AJ709" t="s">
        <v>69</v>
      </c>
      <c r="AK709" t="s">
        <v>69</v>
      </c>
      <c r="AL709">
        <v>76</v>
      </c>
      <c r="AM709">
        <v>10</v>
      </c>
      <c r="AN709">
        <v>12</v>
      </c>
      <c r="AO709">
        <v>3</v>
      </c>
      <c r="AP709">
        <v>59</v>
      </c>
      <c r="AQ709" t="s">
        <v>8636</v>
      </c>
      <c r="AR709" t="s">
        <v>8637</v>
      </c>
      <c r="AS709" t="s">
        <v>8638</v>
      </c>
      <c r="AT709" t="s">
        <v>1933</v>
      </c>
      <c r="AU709" t="s">
        <v>1934</v>
      </c>
      <c r="AV709" t="s">
        <v>69</v>
      </c>
      <c r="AW709" t="s">
        <v>1930</v>
      </c>
      <c r="AX709" t="s">
        <v>14639</v>
      </c>
      <c r="AY709" t="s">
        <v>201</v>
      </c>
      <c r="AZ709">
        <v>2012</v>
      </c>
      <c r="BA709">
        <v>37</v>
      </c>
      <c r="BB709">
        <v>4</v>
      </c>
      <c r="BC709" t="s">
        <v>69</v>
      </c>
      <c r="BD709" t="s">
        <v>69</v>
      </c>
      <c r="BE709" t="s">
        <v>69</v>
      </c>
      <c r="BF709" t="s">
        <v>69</v>
      </c>
      <c r="BG709">
        <v>427</v>
      </c>
      <c r="BH709">
        <v>438</v>
      </c>
      <c r="BI709" t="s">
        <v>69</v>
      </c>
      <c r="BJ709" t="s">
        <v>25836</v>
      </c>
      <c r="BK709" t="str">
        <f>HYPERLINK("http://dx.doi.org/10.1016/j.foodpol.2012.03.005","http://dx.doi.org/10.1016/j.foodpol.2012.03.005")</f>
        <v>http://dx.doi.org/10.1016/j.foodpol.2012.03.005</v>
      </c>
      <c r="BL709" t="s">
        <v>69</v>
      </c>
      <c r="BM709" t="s">
        <v>69</v>
      </c>
      <c r="BN709">
        <v>12</v>
      </c>
      <c r="BO709" t="s">
        <v>14640</v>
      </c>
      <c r="BP709" t="s">
        <v>8523</v>
      </c>
      <c r="BQ709" t="s">
        <v>14641</v>
      </c>
      <c r="BR709" t="s">
        <v>25837</v>
      </c>
      <c r="BS709" t="s">
        <v>25838</v>
      </c>
      <c r="BT709" t="s">
        <v>69</v>
      </c>
      <c r="BU709" t="s">
        <v>69</v>
      </c>
      <c r="BV709" t="s">
        <v>69</v>
      </c>
      <c r="BW709" t="s">
        <v>69</v>
      </c>
      <c r="BX709" t="s">
        <v>8526</v>
      </c>
      <c r="BY709" t="str">
        <f>HYPERLINK("https%3A%2F%2Fwww.webofscience.com%2Fwos%2Fwoscc%2Ffull-record%2FWOS:000307203000008","View Full Record in Web of Science")</f>
        <v>View Full Record in Web of Science</v>
      </c>
    </row>
    <row r="710" spans="1:77" ht="12.5" x14ac:dyDescent="0.25">
      <c r="A710" t="s">
        <v>8495</v>
      </c>
      <c r="B710" s="22" t="s">
        <v>32931</v>
      </c>
      <c r="C710" s="7"/>
      <c r="D710" s="7"/>
      <c r="E710" s="7"/>
      <c r="F710" t="s">
        <v>67</v>
      </c>
      <c r="G710" t="s">
        <v>12860</v>
      </c>
      <c r="H710" t="s">
        <v>69</v>
      </c>
      <c r="I710" t="s">
        <v>69</v>
      </c>
      <c r="J710" t="s">
        <v>69</v>
      </c>
      <c r="K710" t="s">
        <v>12861</v>
      </c>
      <c r="L710" t="s">
        <v>69</v>
      </c>
      <c r="M710" t="s">
        <v>69</v>
      </c>
      <c r="N710" t="s">
        <v>12862</v>
      </c>
      <c r="O710" t="s">
        <v>2731</v>
      </c>
      <c r="P710" t="s">
        <v>69</v>
      </c>
      <c r="Q710" t="s">
        <v>69</v>
      </c>
      <c r="R710" t="s">
        <v>10153</v>
      </c>
      <c r="S710" t="s">
        <v>8506</v>
      </c>
      <c r="T710" t="s">
        <v>69</v>
      </c>
      <c r="U710" t="s">
        <v>69</v>
      </c>
      <c r="V710" t="s">
        <v>69</v>
      </c>
      <c r="W710" t="s">
        <v>69</v>
      </c>
      <c r="X710" t="s">
        <v>69</v>
      </c>
      <c r="Y710" t="s">
        <v>12863</v>
      </c>
      <c r="Z710" t="s">
        <v>69</v>
      </c>
      <c r="AA710" t="s">
        <v>12864</v>
      </c>
      <c r="AB710" t="s">
        <v>12865</v>
      </c>
      <c r="AC710" t="s">
        <v>69</v>
      </c>
      <c r="AD710" t="s">
        <v>12866</v>
      </c>
      <c r="AE710" t="s">
        <v>12867</v>
      </c>
      <c r="AF710" t="s">
        <v>69</v>
      </c>
      <c r="AG710" t="s">
        <v>69</v>
      </c>
      <c r="AH710" t="s">
        <v>69</v>
      </c>
      <c r="AI710" t="s">
        <v>69</v>
      </c>
      <c r="AJ710" t="s">
        <v>69</v>
      </c>
      <c r="AK710" t="s">
        <v>69</v>
      </c>
      <c r="AL710">
        <v>31</v>
      </c>
      <c r="AM710">
        <v>0</v>
      </c>
      <c r="AN710">
        <v>0</v>
      </c>
      <c r="AO710">
        <v>0</v>
      </c>
      <c r="AP710">
        <v>0</v>
      </c>
      <c r="AQ710" t="s">
        <v>12868</v>
      </c>
      <c r="AR710" t="s">
        <v>12869</v>
      </c>
      <c r="AS710" t="s">
        <v>12870</v>
      </c>
      <c r="AT710" t="s">
        <v>2733</v>
      </c>
      <c r="AU710" t="s">
        <v>69</v>
      </c>
      <c r="AV710" t="s">
        <v>69</v>
      </c>
      <c r="AW710" t="s">
        <v>12871</v>
      </c>
      <c r="AX710" t="s">
        <v>12872</v>
      </c>
      <c r="AY710" t="s">
        <v>94</v>
      </c>
      <c r="AZ710">
        <v>2021</v>
      </c>
      <c r="BA710">
        <v>8</v>
      </c>
      <c r="BB710">
        <v>38</v>
      </c>
      <c r="BC710" t="s">
        <v>69</v>
      </c>
      <c r="BD710" t="s">
        <v>69</v>
      </c>
      <c r="BE710" t="s">
        <v>69</v>
      </c>
      <c r="BF710" t="s">
        <v>69</v>
      </c>
      <c r="BG710">
        <v>119</v>
      </c>
      <c r="BH710">
        <v>130</v>
      </c>
      <c r="BI710" t="s">
        <v>69</v>
      </c>
      <c r="BJ710" t="s">
        <v>69</v>
      </c>
      <c r="BK710" t="s">
        <v>69</v>
      </c>
      <c r="BL710" t="s">
        <v>69</v>
      </c>
      <c r="BM710" t="s">
        <v>69</v>
      </c>
      <c r="BN710">
        <v>12</v>
      </c>
      <c r="BO710" t="s">
        <v>11206</v>
      </c>
      <c r="BP710" t="s">
        <v>8573</v>
      </c>
      <c r="BQ710" t="s">
        <v>11208</v>
      </c>
      <c r="BR710" t="s">
        <v>12873</v>
      </c>
      <c r="BS710" t="s">
        <v>12874</v>
      </c>
      <c r="BT710" t="s">
        <v>69</v>
      </c>
      <c r="BU710" t="s">
        <v>69</v>
      </c>
      <c r="BV710" t="s">
        <v>69</v>
      </c>
      <c r="BW710" t="s">
        <v>69</v>
      </c>
      <c r="BX710" t="s">
        <v>8526</v>
      </c>
      <c r="BY710" t="str">
        <f>HYPERLINK("https%3A%2F%2Fwww.webofscience.com%2Fwos%2Fwoscc%2Ffull-record%2FWOS:000674633900010","View Full Record in Web of Science")</f>
        <v>View Full Record in Web of Science</v>
      </c>
    </row>
    <row r="711" spans="1:77" ht="12.5" x14ac:dyDescent="0.25">
      <c r="A711" t="s">
        <v>8495</v>
      </c>
      <c r="B711" s="22" t="s">
        <v>32931</v>
      </c>
      <c r="C711" s="7"/>
      <c r="D711" s="7"/>
      <c r="E711" s="7"/>
      <c r="F711" t="s">
        <v>67</v>
      </c>
      <c r="G711" t="s">
        <v>26541</v>
      </c>
      <c r="H711" t="s">
        <v>69</v>
      </c>
      <c r="I711" t="s">
        <v>69</v>
      </c>
      <c r="J711" t="s">
        <v>69</v>
      </c>
      <c r="K711" t="s">
        <v>26542</v>
      </c>
      <c r="L711" t="s">
        <v>69</v>
      </c>
      <c r="M711" t="s">
        <v>69</v>
      </c>
      <c r="N711" t="s">
        <v>26543</v>
      </c>
      <c r="O711" t="s">
        <v>26544</v>
      </c>
      <c r="P711" t="s">
        <v>69</v>
      </c>
      <c r="Q711" t="s">
        <v>69</v>
      </c>
      <c r="R711" t="s">
        <v>8505</v>
      </c>
      <c r="S711" t="s">
        <v>8506</v>
      </c>
      <c r="T711" t="s">
        <v>69</v>
      </c>
      <c r="U711" t="s">
        <v>69</v>
      </c>
      <c r="V711" t="s">
        <v>69</v>
      </c>
      <c r="W711" t="s">
        <v>69</v>
      </c>
      <c r="X711" t="s">
        <v>69</v>
      </c>
      <c r="Y711" t="s">
        <v>26545</v>
      </c>
      <c r="Z711" t="s">
        <v>69</v>
      </c>
      <c r="AA711" t="s">
        <v>26546</v>
      </c>
      <c r="AB711" t="s">
        <v>26547</v>
      </c>
      <c r="AC711" t="s">
        <v>69</v>
      </c>
      <c r="AD711" t="s">
        <v>26548</v>
      </c>
      <c r="AE711" t="s">
        <v>26549</v>
      </c>
      <c r="AF711" t="s">
        <v>69</v>
      </c>
      <c r="AG711" t="s">
        <v>69</v>
      </c>
      <c r="AH711" t="s">
        <v>69</v>
      </c>
      <c r="AI711" t="s">
        <v>69</v>
      </c>
      <c r="AJ711" t="s">
        <v>69</v>
      </c>
      <c r="AK711" t="s">
        <v>69</v>
      </c>
      <c r="AL711">
        <v>10</v>
      </c>
      <c r="AM711">
        <v>0</v>
      </c>
      <c r="AN711">
        <v>0</v>
      </c>
      <c r="AO711">
        <v>0</v>
      </c>
      <c r="AP711">
        <v>0</v>
      </c>
      <c r="AQ711" t="s">
        <v>17140</v>
      </c>
      <c r="AR711" t="s">
        <v>8517</v>
      </c>
      <c r="AS711" t="s">
        <v>17141</v>
      </c>
      <c r="AT711" t="s">
        <v>26550</v>
      </c>
      <c r="AU711" t="s">
        <v>26551</v>
      </c>
      <c r="AV711" t="s">
        <v>69</v>
      </c>
      <c r="AW711" t="s">
        <v>26552</v>
      </c>
      <c r="AX711" t="s">
        <v>26553</v>
      </c>
      <c r="AY711" t="s">
        <v>69</v>
      </c>
      <c r="AZ711">
        <v>2012</v>
      </c>
      <c r="BA711">
        <v>1</v>
      </c>
      <c r="BB711">
        <v>1</v>
      </c>
      <c r="BC711" t="s">
        <v>69</v>
      </c>
      <c r="BD711" t="s">
        <v>69</v>
      </c>
      <c r="BE711" t="s">
        <v>69</v>
      </c>
      <c r="BF711" t="s">
        <v>69</v>
      </c>
      <c r="BG711">
        <v>39</v>
      </c>
      <c r="BH711">
        <v>61</v>
      </c>
      <c r="BI711" t="s">
        <v>69</v>
      </c>
      <c r="BJ711" t="s">
        <v>26554</v>
      </c>
      <c r="BK711" t="str">
        <f>HYPERLINK("http://dx.doi.org/10.1016/S2226-5856(18)30053-0","http://dx.doi.org/10.1016/S2226-5856(18)30053-0")</f>
        <v>http://dx.doi.org/10.1016/S2226-5856(18)30053-0</v>
      </c>
      <c r="BL711" t="s">
        <v>69</v>
      </c>
      <c r="BM711" t="s">
        <v>69</v>
      </c>
      <c r="BN711">
        <v>23</v>
      </c>
      <c r="BO711" t="s">
        <v>8475</v>
      </c>
      <c r="BP711" t="s">
        <v>8573</v>
      </c>
      <c r="BQ711" t="s">
        <v>8475</v>
      </c>
      <c r="BR711" t="s">
        <v>26555</v>
      </c>
      <c r="BS711" t="s">
        <v>26556</v>
      </c>
      <c r="BT711" t="s">
        <v>69</v>
      </c>
      <c r="BU711" t="s">
        <v>8746</v>
      </c>
      <c r="BV711" t="s">
        <v>69</v>
      </c>
      <c r="BW711" t="s">
        <v>69</v>
      </c>
      <c r="BX711" t="s">
        <v>8526</v>
      </c>
      <c r="BY711" t="str">
        <f>HYPERLINK("https%3A%2F%2Fwww.webofscience.com%2Fwos%2Fwoscc%2Ffull-record%2FWOS:000453151200003","View Full Record in Web of Science")</f>
        <v>View Full Record in Web of Science</v>
      </c>
    </row>
    <row r="712" spans="1:77" ht="12.5" x14ac:dyDescent="0.25">
      <c r="A712" t="s">
        <v>8495</v>
      </c>
      <c r="B712" s="7" t="s">
        <v>32933</v>
      </c>
      <c r="C712" s="7"/>
      <c r="D712" s="7"/>
      <c r="E712" s="7"/>
      <c r="F712" t="s">
        <v>67</v>
      </c>
      <c r="G712" t="s">
        <v>7693</v>
      </c>
      <c r="H712" t="s">
        <v>69</v>
      </c>
      <c r="I712" t="s">
        <v>69</v>
      </c>
      <c r="J712" t="s">
        <v>69</v>
      </c>
      <c r="K712" t="s">
        <v>7694</v>
      </c>
      <c r="L712" t="s">
        <v>69</v>
      </c>
      <c r="M712" t="s">
        <v>69</v>
      </c>
      <c r="N712" t="s">
        <v>7695</v>
      </c>
      <c r="O712" t="s">
        <v>6571</v>
      </c>
      <c r="P712" t="s">
        <v>69</v>
      </c>
      <c r="Q712" t="s">
        <v>69</v>
      </c>
      <c r="R712" t="s">
        <v>8505</v>
      </c>
      <c r="S712" t="s">
        <v>8506</v>
      </c>
      <c r="T712" t="s">
        <v>69</v>
      </c>
      <c r="U712" t="s">
        <v>69</v>
      </c>
      <c r="V712" t="s">
        <v>69</v>
      </c>
      <c r="W712" t="s">
        <v>69</v>
      </c>
      <c r="X712" t="s">
        <v>69</v>
      </c>
      <c r="Y712" t="s">
        <v>27593</v>
      </c>
      <c r="Z712" t="s">
        <v>27594</v>
      </c>
      <c r="AA712" t="s">
        <v>7696</v>
      </c>
      <c r="AB712" t="s">
        <v>27595</v>
      </c>
      <c r="AC712" t="s">
        <v>69</v>
      </c>
      <c r="AD712" t="s">
        <v>27596</v>
      </c>
      <c r="AE712" t="s">
        <v>27597</v>
      </c>
      <c r="AF712" t="s">
        <v>69</v>
      </c>
      <c r="AG712" t="s">
        <v>69</v>
      </c>
      <c r="AH712" t="s">
        <v>69</v>
      </c>
      <c r="AI712" t="s">
        <v>69</v>
      </c>
      <c r="AJ712" t="s">
        <v>69</v>
      </c>
      <c r="AK712" t="s">
        <v>69</v>
      </c>
      <c r="AL712">
        <v>51</v>
      </c>
      <c r="AM712">
        <v>23</v>
      </c>
      <c r="AN712">
        <v>23</v>
      </c>
      <c r="AO712">
        <v>0</v>
      </c>
      <c r="AP712">
        <v>30</v>
      </c>
      <c r="AQ712" t="s">
        <v>8692</v>
      </c>
      <c r="AR712" t="s">
        <v>8693</v>
      </c>
      <c r="AS712" t="s">
        <v>8694</v>
      </c>
      <c r="AT712" t="s">
        <v>6573</v>
      </c>
      <c r="AU712" t="s">
        <v>6574</v>
      </c>
      <c r="AV712" t="s">
        <v>69</v>
      </c>
      <c r="AW712" t="s">
        <v>10988</v>
      </c>
      <c r="AX712" t="s">
        <v>10989</v>
      </c>
      <c r="AY712" t="s">
        <v>274</v>
      </c>
      <c r="AZ712">
        <v>2010</v>
      </c>
      <c r="BA712">
        <v>77</v>
      </c>
      <c r="BB712">
        <v>9</v>
      </c>
      <c r="BC712" t="s">
        <v>69</v>
      </c>
      <c r="BD712" t="s">
        <v>69</v>
      </c>
      <c r="BE712" t="s">
        <v>114</v>
      </c>
      <c r="BF712" t="s">
        <v>69</v>
      </c>
      <c r="BG712">
        <v>1575</v>
      </c>
      <c r="BH712">
        <v>1587</v>
      </c>
      <c r="BI712" t="s">
        <v>69</v>
      </c>
      <c r="BJ712" t="s">
        <v>7697</v>
      </c>
      <c r="BK712" t="str">
        <f>HYPERLINK("http://dx.doi.org/10.1016/j.techfore.2010.07.005","http://dx.doi.org/10.1016/j.techfore.2010.07.005")</f>
        <v>http://dx.doi.org/10.1016/j.techfore.2010.07.005</v>
      </c>
      <c r="BL712" t="s">
        <v>69</v>
      </c>
      <c r="BM712" t="s">
        <v>69</v>
      </c>
      <c r="BN712">
        <v>13</v>
      </c>
      <c r="BO712" t="s">
        <v>10992</v>
      </c>
      <c r="BP712" t="s">
        <v>8661</v>
      </c>
      <c r="BQ712" t="s">
        <v>10993</v>
      </c>
      <c r="BR712" t="s">
        <v>27598</v>
      </c>
      <c r="BS712" t="s">
        <v>7698</v>
      </c>
      <c r="BT712" t="s">
        <v>69</v>
      </c>
      <c r="BU712" t="s">
        <v>69</v>
      </c>
      <c r="BV712" t="s">
        <v>69</v>
      </c>
      <c r="BW712" t="s">
        <v>69</v>
      </c>
      <c r="BX712" t="s">
        <v>8526</v>
      </c>
      <c r="BY712" t="str">
        <f>HYPERLINK("https%3A%2F%2Fwww.webofscience.com%2Fwos%2Fwoscc%2Ffull-record%2FWOS:000285123900024","View Full Record in Web of Science")</f>
        <v>View Full Record in Web of Science</v>
      </c>
    </row>
    <row r="713" spans="1:77" ht="12.5" x14ac:dyDescent="0.25">
      <c r="A713" t="s">
        <v>8495</v>
      </c>
      <c r="B713" s="7" t="s">
        <v>32933</v>
      </c>
      <c r="C713" s="7"/>
      <c r="D713" s="7"/>
      <c r="E713" s="7"/>
      <c r="F713" t="s">
        <v>67</v>
      </c>
      <c r="G713" t="s">
        <v>454</v>
      </c>
      <c r="H713" t="s">
        <v>69</v>
      </c>
      <c r="I713" t="s">
        <v>69</v>
      </c>
      <c r="J713" t="s">
        <v>69</v>
      </c>
      <c r="K713" t="s">
        <v>455</v>
      </c>
      <c r="L713" t="s">
        <v>69</v>
      </c>
      <c r="M713" t="s">
        <v>69</v>
      </c>
      <c r="N713" t="s">
        <v>456</v>
      </c>
      <c r="O713" t="s">
        <v>457</v>
      </c>
      <c r="P713" t="s">
        <v>69</v>
      </c>
      <c r="Q713" t="s">
        <v>69</v>
      </c>
      <c r="R713" t="s">
        <v>8505</v>
      </c>
      <c r="S713" t="s">
        <v>8506</v>
      </c>
      <c r="T713" t="s">
        <v>69</v>
      </c>
      <c r="U713" t="s">
        <v>69</v>
      </c>
      <c r="V713" t="s">
        <v>69</v>
      </c>
      <c r="W713" t="s">
        <v>69</v>
      </c>
      <c r="X713" t="s">
        <v>69</v>
      </c>
      <c r="Y713" t="s">
        <v>20666</v>
      </c>
      <c r="Z713" t="s">
        <v>20667</v>
      </c>
      <c r="AA713" t="s">
        <v>458</v>
      </c>
      <c r="AB713" t="s">
        <v>20668</v>
      </c>
      <c r="AC713" t="s">
        <v>69</v>
      </c>
      <c r="AD713" t="s">
        <v>20669</v>
      </c>
      <c r="AE713" t="s">
        <v>20670</v>
      </c>
      <c r="AF713" t="s">
        <v>459</v>
      </c>
      <c r="AG713" t="s">
        <v>460</v>
      </c>
      <c r="AH713" t="s">
        <v>20671</v>
      </c>
      <c r="AI713" t="s">
        <v>20672</v>
      </c>
      <c r="AJ713" t="s">
        <v>20673</v>
      </c>
      <c r="AK713" t="s">
        <v>69</v>
      </c>
      <c r="AL713">
        <v>67</v>
      </c>
      <c r="AM713">
        <v>1</v>
      </c>
      <c r="AN713">
        <v>1</v>
      </c>
      <c r="AO713">
        <v>3</v>
      </c>
      <c r="AP713">
        <v>15</v>
      </c>
      <c r="AQ713" t="s">
        <v>17203</v>
      </c>
      <c r="AR713" t="s">
        <v>17204</v>
      </c>
      <c r="AS713" t="s">
        <v>17205</v>
      </c>
      <c r="AT713" t="s">
        <v>461</v>
      </c>
      <c r="AU713" t="s">
        <v>462</v>
      </c>
      <c r="AV713" t="s">
        <v>69</v>
      </c>
      <c r="AW713" t="s">
        <v>17206</v>
      </c>
      <c r="AX713" t="s">
        <v>17207</v>
      </c>
      <c r="AY713" t="s">
        <v>69</v>
      </c>
      <c r="AZ713">
        <v>2017</v>
      </c>
      <c r="BA713">
        <v>19</v>
      </c>
      <c r="BB713" t="s">
        <v>69</v>
      </c>
      <c r="BC713" t="s">
        <v>69</v>
      </c>
      <c r="BD713">
        <v>1</v>
      </c>
      <c r="BE713" t="s">
        <v>69</v>
      </c>
      <c r="BF713" t="s">
        <v>69</v>
      </c>
      <c r="BG713">
        <v>170</v>
      </c>
      <c r="BH713">
        <v>182</v>
      </c>
      <c r="BI713" t="s">
        <v>69</v>
      </c>
      <c r="BJ713" t="s">
        <v>20674</v>
      </c>
      <c r="BK713" t="str">
        <f>HYPERLINK("http://dx.doi.org/10.1505/146554817822407402","http://dx.doi.org/10.1505/146554817822407402")</f>
        <v>http://dx.doi.org/10.1505/146554817822407402</v>
      </c>
      <c r="BL713" t="s">
        <v>69</v>
      </c>
      <c r="BM713" t="s">
        <v>69</v>
      </c>
      <c r="BN713">
        <v>13</v>
      </c>
      <c r="BO713" t="s">
        <v>8453</v>
      </c>
      <c r="BP713" t="s">
        <v>8523</v>
      </c>
      <c r="BQ713" t="s">
        <v>8453</v>
      </c>
      <c r="BR713" t="s">
        <v>20675</v>
      </c>
      <c r="BS713" t="s">
        <v>463</v>
      </c>
      <c r="BT713" t="s">
        <v>69</v>
      </c>
      <c r="BU713" t="s">
        <v>69</v>
      </c>
      <c r="BV713" t="s">
        <v>69</v>
      </c>
      <c r="BW713" t="s">
        <v>69</v>
      </c>
      <c r="BX713" t="s">
        <v>8526</v>
      </c>
      <c r="BY713" t="str">
        <f>HYPERLINK("https%3A%2F%2Fwww.webofscience.com%2Fwos%2Fwoscc%2Ffull-record%2FWOS:000427716200013","View Full Record in Web of Science")</f>
        <v>View Full Record in Web of Science</v>
      </c>
    </row>
    <row r="714" spans="1:77" ht="12.5" x14ac:dyDescent="0.25">
      <c r="A714" t="s">
        <v>8495</v>
      </c>
      <c r="B714" s="22" t="s">
        <v>32931</v>
      </c>
      <c r="C714" s="7"/>
      <c r="D714" s="7"/>
      <c r="E714" s="7"/>
      <c r="F714" t="s">
        <v>67</v>
      </c>
      <c r="G714" t="s">
        <v>23811</v>
      </c>
      <c r="H714" t="s">
        <v>69</v>
      </c>
      <c r="I714" t="s">
        <v>69</v>
      </c>
      <c r="J714" t="s">
        <v>69</v>
      </c>
      <c r="K714" t="s">
        <v>23812</v>
      </c>
      <c r="L714" t="s">
        <v>69</v>
      </c>
      <c r="M714" t="s">
        <v>69</v>
      </c>
      <c r="N714" t="s">
        <v>23813</v>
      </c>
      <c r="O714" t="s">
        <v>1128</v>
      </c>
      <c r="P714" t="s">
        <v>69</v>
      </c>
      <c r="Q714" t="s">
        <v>69</v>
      </c>
      <c r="R714" t="s">
        <v>8505</v>
      </c>
      <c r="S714" t="s">
        <v>8506</v>
      </c>
      <c r="T714" t="s">
        <v>69</v>
      </c>
      <c r="U714" t="s">
        <v>69</v>
      </c>
      <c r="V714" t="s">
        <v>69</v>
      </c>
      <c r="W714" t="s">
        <v>69</v>
      </c>
      <c r="X714" t="s">
        <v>69</v>
      </c>
      <c r="Y714" t="s">
        <v>23814</v>
      </c>
      <c r="Z714" t="s">
        <v>23815</v>
      </c>
      <c r="AA714" t="s">
        <v>23816</v>
      </c>
      <c r="AB714" t="s">
        <v>23817</v>
      </c>
      <c r="AC714" t="s">
        <v>69</v>
      </c>
      <c r="AD714" t="s">
        <v>23818</v>
      </c>
      <c r="AE714" t="s">
        <v>23819</v>
      </c>
      <c r="AF714" t="s">
        <v>69</v>
      </c>
      <c r="AG714" t="s">
        <v>69</v>
      </c>
      <c r="AH714" t="s">
        <v>69</v>
      </c>
      <c r="AI714" t="s">
        <v>69</v>
      </c>
      <c r="AJ714" t="s">
        <v>69</v>
      </c>
      <c r="AK714" t="s">
        <v>69</v>
      </c>
      <c r="AL714">
        <v>59</v>
      </c>
      <c r="AM714">
        <v>10</v>
      </c>
      <c r="AN714">
        <v>10</v>
      </c>
      <c r="AO714">
        <v>1</v>
      </c>
      <c r="AP714">
        <v>65</v>
      </c>
      <c r="AQ714" t="s">
        <v>8636</v>
      </c>
      <c r="AR714" t="s">
        <v>8637</v>
      </c>
      <c r="AS714" t="s">
        <v>8638</v>
      </c>
      <c r="AT714" t="s">
        <v>1130</v>
      </c>
      <c r="AU714" t="s">
        <v>1131</v>
      </c>
      <c r="AV714" t="s">
        <v>69</v>
      </c>
      <c r="AW714" t="s">
        <v>1128</v>
      </c>
      <c r="AX714" t="s">
        <v>8658</v>
      </c>
      <c r="AY714" t="s">
        <v>586</v>
      </c>
      <c r="AZ714">
        <v>2014</v>
      </c>
      <c r="BA714">
        <v>38</v>
      </c>
      <c r="BB714" t="s">
        <v>69</v>
      </c>
      <c r="BC714" t="s">
        <v>69</v>
      </c>
      <c r="BD714" t="s">
        <v>69</v>
      </c>
      <c r="BE714" t="s">
        <v>69</v>
      </c>
      <c r="BF714" t="s">
        <v>69</v>
      </c>
      <c r="BG714">
        <v>388</v>
      </c>
      <c r="BH714">
        <v>396</v>
      </c>
      <c r="BI714" t="s">
        <v>69</v>
      </c>
      <c r="BJ714" t="s">
        <v>23820</v>
      </c>
      <c r="BK714" t="str">
        <f>HYPERLINK("http://dx.doi.org/10.1016/j.landusepol.2013.11.025","http://dx.doi.org/10.1016/j.landusepol.2013.11.025")</f>
        <v>http://dx.doi.org/10.1016/j.landusepol.2013.11.025</v>
      </c>
      <c r="BL714" t="s">
        <v>69</v>
      </c>
      <c r="BM714" t="s">
        <v>69</v>
      </c>
      <c r="BN714">
        <v>9</v>
      </c>
      <c r="BO714" t="s">
        <v>8660</v>
      </c>
      <c r="BP714" t="s">
        <v>8661</v>
      </c>
      <c r="BQ714" t="s">
        <v>8662</v>
      </c>
      <c r="BR714" t="s">
        <v>23821</v>
      </c>
      <c r="BS714" t="s">
        <v>23822</v>
      </c>
      <c r="BT714" t="s">
        <v>69</v>
      </c>
      <c r="BU714" t="s">
        <v>69</v>
      </c>
      <c r="BV714" t="s">
        <v>69</v>
      </c>
      <c r="BW714" t="s">
        <v>69</v>
      </c>
      <c r="BX714" t="s">
        <v>8526</v>
      </c>
      <c r="BY714" t="str">
        <f>HYPERLINK("https%3A%2F%2Fwww.webofscience.com%2Fwos%2Fwoscc%2Ffull-record%2FWOS:000335424100038","View Full Record in Web of Science")</f>
        <v>View Full Record in Web of Science</v>
      </c>
    </row>
    <row r="715" spans="1:77" ht="12.5" x14ac:dyDescent="0.25">
      <c r="A715" t="s">
        <v>8495</v>
      </c>
      <c r="B715" s="22" t="s">
        <v>32931</v>
      </c>
      <c r="C715" s="7"/>
      <c r="D715" s="7"/>
      <c r="E715" s="7"/>
      <c r="F715" t="s">
        <v>67</v>
      </c>
      <c r="G715" t="s">
        <v>31927</v>
      </c>
      <c r="H715" t="s">
        <v>69</v>
      </c>
      <c r="I715" t="s">
        <v>69</v>
      </c>
      <c r="J715" t="s">
        <v>69</v>
      </c>
      <c r="K715" t="s">
        <v>31927</v>
      </c>
      <c r="L715" t="s">
        <v>69</v>
      </c>
      <c r="M715" t="s">
        <v>69</v>
      </c>
      <c r="N715" t="s">
        <v>31928</v>
      </c>
      <c r="O715" t="s">
        <v>31929</v>
      </c>
      <c r="P715" t="s">
        <v>69</v>
      </c>
      <c r="Q715" t="s">
        <v>69</v>
      </c>
      <c r="R715" t="s">
        <v>8505</v>
      </c>
      <c r="S715" t="s">
        <v>8506</v>
      </c>
      <c r="T715" t="s">
        <v>69</v>
      </c>
      <c r="U715" t="s">
        <v>69</v>
      </c>
      <c r="V715" t="s">
        <v>69</v>
      </c>
      <c r="W715" t="s">
        <v>69</v>
      </c>
      <c r="X715" t="s">
        <v>69</v>
      </c>
      <c r="Y715" t="s">
        <v>31930</v>
      </c>
      <c r="Z715" t="s">
        <v>31931</v>
      </c>
      <c r="AA715" t="s">
        <v>31932</v>
      </c>
      <c r="AB715" t="s">
        <v>31933</v>
      </c>
      <c r="AC715" t="s">
        <v>69</v>
      </c>
      <c r="AD715" t="s">
        <v>31934</v>
      </c>
      <c r="AE715" t="s">
        <v>31935</v>
      </c>
      <c r="AF715" t="s">
        <v>69</v>
      </c>
      <c r="AG715" t="s">
        <v>31936</v>
      </c>
      <c r="AH715" t="s">
        <v>69</v>
      </c>
      <c r="AI715" t="s">
        <v>69</v>
      </c>
      <c r="AJ715" t="s">
        <v>69</v>
      </c>
      <c r="AK715" t="s">
        <v>69</v>
      </c>
      <c r="AL715">
        <v>43</v>
      </c>
      <c r="AM715">
        <v>278</v>
      </c>
      <c r="AN715">
        <v>289</v>
      </c>
      <c r="AO715">
        <v>1</v>
      </c>
      <c r="AP715">
        <v>23</v>
      </c>
      <c r="AQ715" t="s">
        <v>10923</v>
      </c>
      <c r="AR715" t="s">
        <v>10924</v>
      </c>
      <c r="AS715" t="s">
        <v>10925</v>
      </c>
      <c r="AT715" t="s">
        <v>31937</v>
      </c>
      <c r="AU715" t="s">
        <v>31938</v>
      </c>
      <c r="AV715" t="s">
        <v>69</v>
      </c>
      <c r="AW715" t="s">
        <v>31939</v>
      </c>
      <c r="AX715" t="s">
        <v>31940</v>
      </c>
      <c r="AY715" t="s">
        <v>201</v>
      </c>
      <c r="AZ715">
        <v>1999</v>
      </c>
      <c r="BA715">
        <v>27</v>
      </c>
      <c r="BB715">
        <v>8</v>
      </c>
      <c r="BC715" t="s">
        <v>69</v>
      </c>
      <c r="BD715" t="s">
        <v>69</v>
      </c>
      <c r="BE715" t="s">
        <v>69</v>
      </c>
      <c r="BF715" t="s">
        <v>69</v>
      </c>
      <c r="BG715">
        <v>1626</v>
      </c>
      <c r="BH715">
        <v>1633</v>
      </c>
      <c r="BI715" t="s">
        <v>69</v>
      </c>
      <c r="BJ715" t="s">
        <v>31941</v>
      </c>
      <c r="BK715" t="str">
        <f>HYPERLINK("http://dx.doi.org/10.1097/00003246-199908000-00042","http://dx.doi.org/10.1097/00003246-199908000-00042")</f>
        <v>http://dx.doi.org/10.1097/00003246-199908000-00042</v>
      </c>
      <c r="BL715" t="s">
        <v>69</v>
      </c>
      <c r="BM715" t="s">
        <v>69</v>
      </c>
      <c r="BN715">
        <v>8</v>
      </c>
      <c r="BO715" t="s">
        <v>22637</v>
      </c>
      <c r="BP715" t="s">
        <v>8548</v>
      </c>
      <c r="BQ715" t="s">
        <v>9451</v>
      </c>
      <c r="BR715" t="s">
        <v>31942</v>
      </c>
      <c r="BS715" t="s">
        <v>31943</v>
      </c>
      <c r="BT715">
        <v>10470775</v>
      </c>
      <c r="BU715" t="s">
        <v>69</v>
      </c>
      <c r="BV715" t="s">
        <v>69</v>
      </c>
      <c r="BW715" t="s">
        <v>69</v>
      </c>
      <c r="BX715" t="s">
        <v>8526</v>
      </c>
      <c r="BY715" t="str">
        <f>HYPERLINK("https%3A%2F%2Fwww.webofscience.com%2Fwos%2Fwoscc%2Ffull-record%2FWOS:000082218300033","View Full Record in Web of Science")</f>
        <v>View Full Record in Web of Science</v>
      </c>
    </row>
    <row r="716" spans="1:77" ht="12.5" x14ac:dyDescent="0.25">
      <c r="A716" t="s">
        <v>8495</v>
      </c>
      <c r="B716" s="22" t="s">
        <v>32931</v>
      </c>
      <c r="C716" s="7"/>
      <c r="D716" s="7"/>
      <c r="E716" s="7"/>
      <c r="F716" t="s">
        <v>67</v>
      </c>
      <c r="G716" t="s">
        <v>24851</v>
      </c>
      <c r="H716" t="s">
        <v>69</v>
      </c>
      <c r="I716" t="s">
        <v>69</v>
      </c>
      <c r="J716" t="s">
        <v>69</v>
      </c>
      <c r="K716" t="s">
        <v>24852</v>
      </c>
      <c r="L716" t="s">
        <v>69</v>
      </c>
      <c r="M716" t="s">
        <v>69</v>
      </c>
      <c r="N716" t="s">
        <v>24853</v>
      </c>
      <c r="O716" t="s">
        <v>24854</v>
      </c>
      <c r="P716" t="s">
        <v>69</v>
      </c>
      <c r="Q716" t="s">
        <v>69</v>
      </c>
      <c r="R716" t="s">
        <v>8505</v>
      </c>
      <c r="S716" t="s">
        <v>10174</v>
      </c>
      <c r="T716" t="s">
        <v>69</v>
      </c>
      <c r="U716" t="s">
        <v>69</v>
      </c>
      <c r="V716" t="s">
        <v>69</v>
      </c>
      <c r="W716" t="s">
        <v>69</v>
      </c>
      <c r="X716" t="s">
        <v>69</v>
      </c>
      <c r="Y716" t="s">
        <v>24855</v>
      </c>
      <c r="Z716" t="s">
        <v>69</v>
      </c>
      <c r="AA716" t="s">
        <v>24856</v>
      </c>
      <c r="AB716" t="s">
        <v>24857</v>
      </c>
      <c r="AC716" t="s">
        <v>69</v>
      </c>
      <c r="AD716" t="s">
        <v>24858</v>
      </c>
      <c r="AE716" t="s">
        <v>69</v>
      </c>
      <c r="AF716" t="s">
        <v>69</v>
      </c>
      <c r="AG716" t="s">
        <v>69</v>
      </c>
      <c r="AH716" t="s">
        <v>69</v>
      </c>
      <c r="AI716" t="s">
        <v>69</v>
      </c>
      <c r="AJ716" t="s">
        <v>69</v>
      </c>
      <c r="AK716" t="s">
        <v>69</v>
      </c>
      <c r="AL716">
        <v>5</v>
      </c>
      <c r="AM716">
        <v>4</v>
      </c>
      <c r="AN716">
        <v>5</v>
      </c>
      <c r="AO716">
        <v>0</v>
      </c>
      <c r="AP716">
        <v>0</v>
      </c>
      <c r="AQ716" t="s">
        <v>8762</v>
      </c>
      <c r="AR716" t="s">
        <v>8763</v>
      </c>
      <c r="AS716" t="s">
        <v>8764</v>
      </c>
      <c r="AT716" t="s">
        <v>24859</v>
      </c>
      <c r="AU716" t="s">
        <v>24860</v>
      </c>
      <c r="AV716" t="s">
        <v>69</v>
      </c>
      <c r="AW716" t="s">
        <v>24861</v>
      </c>
      <c r="AX716" t="s">
        <v>24862</v>
      </c>
      <c r="AY716" t="s">
        <v>84</v>
      </c>
      <c r="AZ716">
        <v>2013</v>
      </c>
      <c r="BA716">
        <v>8</v>
      </c>
      <c r="BB716">
        <v>2</v>
      </c>
      <c r="BC716" t="s">
        <v>69</v>
      </c>
      <c r="BD716" t="s">
        <v>69</v>
      </c>
      <c r="BE716" t="s">
        <v>69</v>
      </c>
      <c r="BF716" t="s">
        <v>69</v>
      </c>
      <c r="BG716">
        <v>76</v>
      </c>
      <c r="BH716">
        <v>84</v>
      </c>
      <c r="BI716" t="s">
        <v>69</v>
      </c>
      <c r="BJ716" t="s">
        <v>24863</v>
      </c>
      <c r="BK716" t="str">
        <f>HYPERLINK("http://dx.doi.org/10.7227/CST.8.2.8","http://dx.doi.org/10.7227/CST.8.2.8")</f>
        <v>http://dx.doi.org/10.7227/CST.8.2.8</v>
      </c>
      <c r="BL716" t="s">
        <v>69</v>
      </c>
      <c r="BM716" t="s">
        <v>69</v>
      </c>
      <c r="BN716">
        <v>9</v>
      </c>
      <c r="BO716" t="s">
        <v>24864</v>
      </c>
      <c r="BP716" t="s">
        <v>8573</v>
      </c>
      <c r="BQ716" t="s">
        <v>24865</v>
      </c>
      <c r="BR716" t="s">
        <v>24866</v>
      </c>
      <c r="BS716" t="s">
        <v>24867</v>
      </c>
      <c r="BT716" t="s">
        <v>69</v>
      </c>
      <c r="BU716" t="s">
        <v>69</v>
      </c>
      <c r="BV716" t="s">
        <v>69</v>
      </c>
      <c r="BW716" t="s">
        <v>69</v>
      </c>
      <c r="BX716" t="s">
        <v>8526</v>
      </c>
      <c r="BY716" t="str">
        <f>HYPERLINK("https%3A%2F%2Fwww.webofscience.com%2Fwos%2Fwoscc%2Ffull-record%2FWOS:000214629500008","View Full Record in Web of Science")</f>
        <v>View Full Record in Web of Science</v>
      </c>
    </row>
    <row r="717" spans="1:77" x14ac:dyDescent="0.3">
      <c r="A717" t="s">
        <v>8495</v>
      </c>
      <c r="B717" s="9" t="s">
        <v>32954</v>
      </c>
      <c r="C717" s="9" t="s">
        <v>33070</v>
      </c>
      <c r="D717" s="27" t="s">
        <v>8490</v>
      </c>
      <c r="E717" s="9" t="s">
        <v>8490</v>
      </c>
      <c r="F717" t="s">
        <v>67</v>
      </c>
      <c r="G717" t="s">
        <v>11030</v>
      </c>
      <c r="H717" t="s">
        <v>69</v>
      </c>
      <c r="I717" t="s">
        <v>69</v>
      </c>
      <c r="J717" t="s">
        <v>69</v>
      </c>
      <c r="K717" t="s">
        <v>11031</v>
      </c>
      <c r="L717" t="s">
        <v>69</v>
      </c>
      <c r="M717" t="s">
        <v>69</v>
      </c>
      <c r="N717" t="s">
        <v>11032</v>
      </c>
      <c r="O717" t="s">
        <v>1360</v>
      </c>
      <c r="P717" t="s">
        <v>69</v>
      </c>
      <c r="Q717" t="s">
        <v>69</v>
      </c>
      <c r="R717" t="s">
        <v>8505</v>
      </c>
      <c r="S717" t="s">
        <v>8506</v>
      </c>
      <c r="T717" t="s">
        <v>69</v>
      </c>
      <c r="U717" t="s">
        <v>69</v>
      </c>
      <c r="V717" t="s">
        <v>69</v>
      </c>
      <c r="W717" t="s">
        <v>69</v>
      </c>
      <c r="X717" t="s">
        <v>69</v>
      </c>
      <c r="Y717" t="s">
        <v>11033</v>
      </c>
      <c r="Z717" t="s">
        <v>11034</v>
      </c>
      <c r="AA717" t="s">
        <v>11035</v>
      </c>
      <c r="AB717" t="s">
        <v>11036</v>
      </c>
      <c r="AC717" t="s">
        <v>69</v>
      </c>
      <c r="AD717" t="s">
        <v>11037</v>
      </c>
      <c r="AE717" t="s">
        <v>11038</v>
      </c>
      <c r="AF717" t="s">
        <v>11039</v>
      </c>
      <c r="AG717" t="s">
        <v>11040</v>
      </c>
      <c r="AH717" t="s">
        <v>11041</v>
      </c>
      <c r="AI717" t="s">
        <v>11041</v>
      </c>
      <c r="AJ717" t="s">
        <v>11042</v>
      </c>
      <c r="AK717" t="s">
        <v>69</v>
      </c>
      <c r="AL717">
        <v>68</v>
      </c>
      <c r="AM717">
        <v>1</v>
      </c>
      <c r="AN717">
        <v>1</v>
      </c>
      <c r="AO717">
        <v>7</v>
      </c>
      <c r="AP717">
        <v>10</v>
      </c>
      <c r="AQ717" t="s">
        <v>8636</v>
      </c>
      <c r="AR717" t="s">
        <v>8637</v>
      </c>
      <c r="AS717" t="s">
        <v>8638</v>
      </c>
      <c r="AT717" t="s">
        <v>1364</v>
      </c>
      <c r="AU717" t="s">
        <v>1365</v>
      </c>
      <c r="AV717" t="s">
        <v>69</v>
      </c>
      <c r="AW717" t="s">
        <v>9698</v>
      </c>
      <c r="AX717" t="s">
        <v>9699</v>
      </c>
      <c r="AY717" t="s">
        <v>373</v>
      </c>
      <c r="AZ717">
        <v>2022</v>
      </c>
      <c r="BA717">
        <v>127</v>
      </c>
      <c r="BB717" t="s">
        <v>69</v>
      </c>
      <c r="BC717" t="s">
        <v>69</v>
      </c>
      <c r="BD717" t="s">
        <v>69</v>
      </c>
      <c r="BE717" t="s">
        <v>69</v>
      </c>
      <c r="BF717" t="s">
        <v>69</v>
      </c>
      <c r="BG717">
        <v>1</v>
      </c>
      <c r="BH717">
        <v>11</v>
      </c>
      <c r="BI717" t="s">
        <v>69</v>
      </c>
      <c r="BJ717" t="s">
        <v>11043</v>
      </c>
      <c r="BK717" t="str">
        <f>HYPERLINK("http://dx.doi.org/10.1016/j.envsci.2021.10.012","http://dx.doi.org/10.1016/j.envsci.2021.10.012")</f>
        <v>http://dx.doi.org/10.1016/j.envsci.2021.10.012</v>
      </c>
      <c r="BL717" t="s">
        <v>69</v>
      </c>
      <c r="BM717" t="s">
        <v>10991</v>
      </c>
      <c r="BN717">
        <v>11</v>
      </c>
      <c r="BO717" t="s">
        <v>8717</v>
      </c>
      <c r="BP717" t="s">
        <v>8548</v>
      </c>
      <c r="BQ717" t="s">
        <v>8662</v>
      </c>
      <c r="BR717" t="s">
        <v>11044</v>
      </c>
      <c r="BS717" t="s">
        <v>11045</v>
      </c>
      <c r="BT717" t="s">
        <v>69</v>
      </c>
      <c r="BU717" t="s">
        <v>9374</v>
      </c>
      <c r="BV717" t="s">
        <v>69</v>
      </c>
      <c r="BW717" t="s">
        <v>69</v>
      </c>
      <c r="BX717" t="s">
        <v>8526</v>
      </c>
      <c r="BY717" t="str">
        <f>HYPERLINK("https%3A%2F%2Fwww.webofscience.com%2Fwos%2Fwoscc%2Ffull-record%2FWOS:000714979100001","View Full Record in Web of Science")</f>
        <v>View Full Record in Web of Science</v>
      </c>
    </row>
    <row r="718" spans="1:77" ht="12.5" x14ac:dyDescent="0.25">
      <c r="A718" t="s">
        <v>8495</v>
      </c>
      <c r="B718" s="22" t="s">
        <v>32931</v>
      </c>
      <c r="C718" s="7"/>
      <c r="D718" s="7"/>
      <c r="E718" s="7"/>
      <c r="F718" t="s">
        <v>67</v>
      </c>
      <c r="G718" t="s">
        <v>25387</v>
      </c>
      <c r="H718" t="s">
        <v>69</v>
      </c>
      <c r="I718" t="s">
        <v>69</v>
      </c>
      <c r="J718" t="s">
        <v>69</v>
      </c>
      <c r="K718" t="s">
        <v>25388</v>
      </c>
      <c r="L718" t="s">
        <v>69</v>
      </c>
      <c r="M718" t="s">
        <v>69</v>
      </c>
      <c r="N718" t="s">
        <v>25389</v>
      </c>
      <c r="O718" t="s">
        <v>25390</v>
      </c>
      <c r="P718" t="s">
        <v>69</v>
      </c>
      <c r="Q718" t="s">
        <v>69</v>
      </c>
      <c r="R718" t="s">
        <v>8505</v>
      </c>
      <c r="S718" t="s">
        <v>8506</v>
      </c>
      <c r="T718" t="s">
        <v>69</v>
      </c>
      <c r="U718" t="s">
        <v>69</v>
      </c>
      <c r="V718" t="s">
        <v>69</v>
      </c>
      <c r="W718" t="s">
        <v>69</v>
      </c>
      <c r="X718" t="s">
        <v>69</v>
      </c>
      <c r="Y718" t="s">
        <v>25391</v>
      </c>
      <c r="Z718" t="s">
        <v>69</v>
      </c>
      <c r="AA718" t="s">
        <v>25392</v>
      </c>
      <c r="AB718" t="s">
        <v>25393</v>
      </c>
      <c r="AC718" t="s">
        <v>69</v>
      </c>
      <c r="AD718" t="s">
        <v>25394</v>
      </c>
      <c r="AE718" t="s">
        <v>25395</v>
      </c>
      <c r="AF718" t="s">
        <v>25396</v>
      </c>
      <c r="AG718" t="s">
        <v>25397</v>
      </c>
      <c r="AH718" t="s">
        <v>69</v>
      </c>
      <c r="AI718" t="s">
        <v>69</v>
      </c>
      <c r="AJ718" t="s">
        <v>69</v>
      </c>
      <c r="AK718" t="s">
        <v>69</v>
      </c>
      <c r="AL718">
        <v>22</v>
      </c>
      <c r="AM718">
        <v>12</v>
      </c>
      <c r="AN718">
        <v>12</v>
      </c>
      <c r="AO718">
        <v>0</v>
      </c>
      <c r="AP718">
        <v>0</v>
      </c>
      <c r="AQ718" t="s">
        <v>8586</v>
      </c>
      <c r="AR718" t="s">
        <v>8587</v>
      </c>
      <c r="AS718" t="s">
        <v>8588</v>
      </c>
      <c r="AT718" t="s">
        <v>25398</v>
      </c>
      <c r="AU718" t="s">
        <v>25399</v>
      </c>
      <c r="AV718" t="s">
        <v>69</v>
      </c>
      <c r="AW718" t="s">
        <v>25400</v>
      </c>
      <c r="AX718" t="s">
        <v>25401</v>
      </c>
      <c r="AY718" t="s">
        <v>69</v>
      </c>
      <c r="AZ718">
        <v>2013</v>
      </c>
      <c r="BA718">
        <v>37</v>
      </c>
      <c r="BB718">
        <v>7</v>
      </c>
      <c r="BC718" t="s">
        <v>69</v>
      </c>
      <c r="BD718" t="s">
        <v>69</v>
      </c>
      <c r="BE718" t="s">
        <v>114</v>
      </c>
      <c r="BF718" t="s">
        <v>69</v>
      </c>
      <c r="BG718">
        <v>662</v>
      </c>
      <c r="BH718">
        <v>677</v>
      </c>
      <c r="BI718" t="s">
        <v>69</v>
      </c>
      <c r="BJ718" t="s">
        <v>25402</v>
      </c>
      <c r="BK718" t="str">
        <f>HYPERLINK("http://dx.doi.org/10.1108/EJTD-10-2012-0060","http://dx.doi.org/10.1108/EJTD-10-2012-0060")</f>
        <v>http://dx.doi.org/10.1108/EJTD-10-2012-0060</v>
      </c>
      <c r="BL718" t="s">
        <v>69</v>
      </c>
      <c r="BM718" t="s">
        <v>69</v>
      </c>
      <c r="BN718">
        <v>16</v>
      </c>
      <c r="BO718" t="s">
        <v>9410</v>
      </c>
      <c r="BP718" t="s">
        <v>8573</v>
      </c>
      <c r="BQ718" t="s">
        <v>8594</v>
      </c>
      <c r="BR718" t="s">
        <v>25403</v>
      </c>
      <c r="BS718" t="s">
        <v>25404</v>
      </c>
      <c r="BT718" t="s">
        <v>69</v>
      </c>
      <c r="BU718" t="s">
        <v>69</v>
      </c>
      <c r="BV718" t="s">
        <v>69</v>
      </c>
      <c r="BW718" t="s">
        <v>69</v>
      </c>
      <c r="BX718" t="s">
        <v>8526</v>
      </c>
      <c r="BY718" t="str">
        <f>HYPERLINK("https%3A%2F%2Fwww.webofscience.com%2Fwos%2Fwoscc%2Ffull-record%2FWOS:000214813000005","View Full Record in Web of Science")</f>
        <v>View Full Record in Web of Science</v>
      </c>
    </row>
    <row r="719" spans="1:77" x14ac:dyDescent="0.3">
      <c r="A719" t="s">
        <v>8495</v>
      </c>
      <c r="B719" s="10" t="s">
        <v>32988</v>
      </c>
      <c r="F719" t="s">
        <v>67</v>
      </c>
      <c r="G719" t="s">
        <v>7428</v>
      </c>
      <c r="H719" t="s">
        <v>69</v>
      </c>
      <c r="I719" t="s">
        <v>69</v>
      </c>
      <c r="J719" t="s">
        <v>69</v>
      </c>
      <c r="K719" s="2" t="s">
        <v>7429</v>
      </c>
      <c r="L719" t="s">
        <v>69</v>
      </c>
      <c r="M719" t="s">
        <v>69</v>
      </c>
      <c r="N719" s="2" t="s">
        <v>7430</v>
      </c>
      <c r="O719" t="s">
        <v>1831</v>
      </c>
      <c r="P719" t="s">
        <v>69</v>
      </c>
      <c r="Q719" t="s">
        <v>69</v>
      </c>
      <c r="R719" t="s">
        <v>8505</v>
      </c>
      <c r="S719" t="s">
        <v>8506</v>
      </c>
      <c r="T719" t="s">
        <v>69</v>
      </c>
      <c r="U719" t="s">
        <v>69</v>
      </c>
      <c r="V719" t="s">
        <v>69</v>
      </c>
      <c r="W719" t="s">
        <v>69</v>
      </c>
      <c r="X719" t="s">
        <v>69</v>
      </c>
      <c r="Y719" t="s">
        <v>22171</v>
      </c>
      <c r="Z719" t="s">
        <v>22172</v>
      </c>
      <c r="AA719" t="s">
        <v>7431</v>
      </c>
      <c r="AB719" t="s">
        <v>22173</v>
      </c>
      <c r="AC719" t="s">
        <v>69</v>
      </c>
      <c r="AD719" t="s">
        <v>21787</v>
      </c>
      <c r="AE719" t="s">
        <v>21788</v>
      </c>
      <c r="AF719" t="s">
        <v>21789</v>
      </c>
      <c r="AG719" t="s">
        <v>7432</v>
      </c>
      <c r="AH719" t="s">
        <v>22174</v>
      </c>
      <c r="AI719" t="s">
        <v>22174</v>
      </c>
      <c r="AJ719" t="s">
        <v>22175</v>
      </c>
      <c r="AK719" t="s">
        <v>69</v>
      </c>
      <c r="AL719">
        <v>43</v>
      </c>
      <c r="AM719">
        <v>20</v>
      </c>
      <c r="AN719">
        <v>20</v>
      </c>
      <c r="AO719">
        <v>1</v>
      </c>
      <c r="AP719">
        <v>15</v>
      </c>
      <c r="AQ719" t="s">
        <v>8516</v>
      </c>
      <c r="AR719" t="s">
        <v>8517</v>
      </c>
      <c r="AS719" t="s">
        <v>8518</v>
      </c>
      <c r="AT719" t="s">
        <v>1833</v>
      </c>
      <c r="AU719" t="s">
        <v>1834</v>
      </c>
      <c r="AV719" t="s">
        <v>69</v>
      </c>
      <c r="AW719" t="s">
        <v>13291</v>
      </c>
      <c r="AX719" t="s">
        <v>13292</v>
      </c>
      <c r="AY719" t="s">
        <v>373</v>
      </c>
      <c r="AZ719">
        <v>2016</v>
      </c>
      <c r="BA719">
        <v>62</v>
      </c>
      <c r="BB719" t="s">
        <v>69</v>
      </c>
      <c r="BC719" t="s">
        <v>69</v>
      </c>
      <c r="BD719" t="s">
        <v>69</v>
      </c>
      <c r="BE719" t="s">
        <v>69</v>
      </c>
      <c r="BF719" t="s">
        <v>69</v>
      </c>
      <c r="BG719">
        <v>177</v>
      </c>
      <c r="BH719">
        <v>183</v>
      </c>
      <c r="BI719" t="s">
        <v>69</v>
      </c>
      <c r="BJ719" t="s">
        <v>7433</v>
      </c>
      <c r="BK719" t="str">
        <f>HYPERLINK("http://dx.doi.org/10.1016/j.forpol.2015.10.015","http://dx.doi.org/10.1016/j.forpol.2015.10.015")</f>
        <v>http://dx.doi.org/10.1016/j.forpol.2015.10.015</v>
      </c>
      <c r="BL719" t="s">
        <v>69</v>
      </c>
      <c r="BM719" t="s">
        <v>69</v>
      </c>
      <c r="BN719">
        <v>7</v>
      </c>
      <c r="BO719" t="s">
        <v>13293</v>
      </c>
      <c r="BP719" t="s">
        <v>8523</v>
      </c>
      <c r="BQ719" t="s">
        <v>13294</v>
      </c>
      <c r="BR719" t="s">
        <v>22176</v>
      </c>
      <c r="BS719" t="s">
        <v>7434</v>
      </c>
      <c r="BT719" t="s">
        <v>69</v>
      </c>
      <c r="BU719" t="s">
        <v>8746</v>
      </c>
      <c r="BV719" t="s">
        <v>69</v>
      </c>
      <c r="BW719" t="s">
        <v>69</v>
      </c>
      <c r="BX719" t="s">
        <v>8526</v>
      </c>
      <c r="BY719" t="str">
        <f>HYPERLINK("https%3A%2F%2Fwww.webofscience.com%2Fwos%2Fwoscc%2Ffull-record%2FWOS:000366535100022","View Full Record in Web of Science")</f>
        <v>View Full Record in Web of Science</v>
      </c>
    </row>
    <row r="720" spans="1:77" ht="12.5" x14ac:dyDescent="0.25">
      <c r="A720" t="s">
        <v>8495</v>
      </c>
      <c r="B720" s="7" t="s">
        <v>32933</v>
      </c>
      <c r="C720" s="7"/>
      <c r="D720" s="7"/>
      <c r="E720" s="7"/>
      <c r="F720" t="s">
        <v>67</v>
      </c>
      <c r="G720" t="s">
        <v>1729</v>
      </c>
      <c r="H720" t="s">
        <v>69</v>
      </c>
      <c r="I720" t="s">
        <v>69</v>
      </c>
      <c r="J720" t="s">
        <v>69</v>
      </c>
      <c r="K720" t="s">
        <v>1729</v>
      </c>
      <c r="L720" t="s">
        <v>69</v>
      </c>
      <c r="M720" t="s">
        <v>69</v>
      </c>
      <c r="N720" t="s">
        <v>1730</v>
      </c>
      <c r="O720" t="s">
        <v>1731</v>
      </c>
      <c r="P720" t="s">
        <v>69</v>
      </c>
      <c r="Q720" t="s">
        <v>69</v>
      </c>
      <c r="R720" t="s">
        <v>8505</v>
      </c>
      <c r="S720" t="s">
        <v>15797</v>
      </c>
      <c r="T720" t="s">
        <v>1732</v>
      </c>
      <c r="U720" t="s">
        <v>1733</v>
      </c>
      <c r="V720" t="s">
        <v>1734</v>
      </c>
      <c r="W720" t="s">
        <v>31770</v>
      </c>
      <c r="X720" t="s">
        <v>69</v>
      </c>
      <c r="Y720" t="s">
        <v>31771</v>
      </c>
      <c r="Z720" t="s">
        <v>31772</v>
      </c>
      <c r="AA720" t="s">
        <v>1735</v>
      </c>
      <c r="AB720" t="s">
        <v>31773</v>
      </c>
      <c r="AC720" t="s">
        <v>69</v>
      </c>
      <c r="AD720" t="s">
        <v>31774</v>
      </c>
      <c r="AE720" t="s">
        <v>31775</v>
      </c>
      <c r="AF720" t="s">
        <v>69</v>
      </c>
      <c r="AG720" t="s">
        <v>1736</v>
      </c>
      <c r="AH720" t="s">
        <v>69</v>
      </c>
      <c r="AI720" t="s">
        <v>69</v>
      </c>
      <c r="AJ720" t="s">
        <v>69</v>
      </c>
      <c r="AK720" t="s">
        <v>69</v>
      </c>
      <c r="AL720">
        <v>61</v>
      </c>
      <c r="AM720">
        <v>57</v>
      </c>
      <c r="AN720">
        <v>58</v>
      </c>
      <c r="AO720">
        <v>4</v>
      </c>
      <c r="AP720">
        <v>30</v>
      </c>
      <c r="AQ720" t="s">
        <v>8516</v>
      </c>
      <c r="AR720" t="s">
        <v>8517</v>
      </c>
      <c r="AS720" t="s">
        <v>8518</v>
      </c>
      <c r="AT720" t="s">
        <v>1737</v>
      </c>
      <c r="AU720" t="s">
        <v>1738</v>
      </c>
      <c r="AV720" t="s">
        <v>69</v>
      </c>
      <c r="AW720" t="s">
        <v>31776</v>
      </c>
      <c r="AX720" t="s">
        <v>31777</v>
      </c>
      <c r="AY720" t="s">
        <v>201</v>
      </c>
      <c r="AZ720">
        <v>2000</v>
      </c>
      <c r="BA720">
        <v>15</v>
      </c>
      <c r="BB720">
        <v>1</v>
      </c>
      <c r="BC720" t="s">
        <v>69</v>
      </c>
      <c r="BD720" t="s">
        <v>69</v>
      </c>
      <c r="BE720" t="s">
        <v>69</v>
      </c>
      <c r="BF720" t="s">
        <v>69</v>
      </c>
      <c r="BG720">
        <v>61</v>
      </c>
      <c r="BH720">
        <v>73</v>
      </c>
      <c r="BI720" t="s">
        <v>69</v>
      </c>
      <c r="BJ720" t="s">
        <v>1739</v>
      </c>
      <c r="BK720" t="str">
        <f>HYPERLINK("http://dx.doi.org/10.1016/S0929-1393(00)00072-X","http://dx.doi.org/10.1016/S0929-1393(00)00072-X")</f>
        <v>http://dx.doi.org/10.1016/S0929-1393(00)00072-X</v>
      </c>
      <c r="BL720" t="s">
        <v>69</v>
      </c>
      <c r="BM720" t="s">
        <v>69</v>
      </c>
      <c r="BN720">
        <v>13</v>
      </c>
      <c r="BO720" t="s">
        <v>17154</v>
      </c>
      <c r="BP720" t="s">
        <v>15808</v>
      </c>
      <c r="BQ720" t="s">
        <v>8450</v>
      </c>
      <c r="BR720" t="s">
        <v>31778</v>
      </c>
      <c r="BS720" t="s">
        <v>1740</v>
      </c>
      <c r="BT720" t="s">
        <v>69</v>
      </c>
      <c r="BU720" t="s">
        <v>69</v>
      </c>
      <c r="BV720" t="s">
        <v>69</v>
      </c>
      <c r="BW720" t="s">
        <v>69</v>
      </c>
      <c r="BX720" t="s">
        <v>8526</v>
      </c>
      <c r="BY720" t="str">
        <f>HYPERLINK("https%3A%2F%2Fwww.webofscience.com%2Fwos%2Fwoscc%2Ffull-record%2FWOS:000088655500007","View Full Record in Web of Science")</f>
        <v>View Full Record in Web of Science</v>
      </c>
    </row>
    <row r="721" spans="1:77" ht="12.5" x14ac:dyDescent="0.25">
      <c r="A721" t="s">
        <v>8495</v>
      </c>
      <c r="B721" s="22" t="s">
        <v>32931</v>
      </c>
      <c r="C721" s="7"/>
      <c r="D721" s="7"/>
      <c r="E721" s="7"/>
      <c r="F721" t="s">
        <v>67</v>
      </c>
      <c r="G721" t="s">
        <v>20068</v>
      </c>
      <c r="H721" t="s">
        <v>69</v>
      </c>
      <c r="I721" t="s">
        <v>69</v>
      </c>
      <c r="J721" t="s">
        <v>69</v>
      </c>
      <c r="K721" t="s">
        <v>20069</v>
      </c>
      <c r="L721" t="s">
        <v>69</v>
      </c>
      <c r="M721" t="s">
        <v>69</v>
      </c>
      <c r="N721" t="s">
        <v>20070</v>
      </c>
      <c r="O721" t="s">
        <v>18603</v>
      </c>
      <c r="P721" t="s">
        <v>69</v>
      </c>
      <c r="Q721" t="s">
        <v>69</v>
      </c>
      <c r="R721" t="s">
        <v>8505</v>
      </c>
      <c r="S721" t="s">
        <v>8506</v>
      </c>
      <c r="T721" t="s">
        <v>69</v>
      </c>
      <c r="U721" t="s">
        <v>69</v>
      </c>
      <c r="V721" t="s">
        <v>69</v>
      </c>
      <c r="W721" t="s">
        <v>69</v>
      </c>
      <c r="X721" t="s">
        <v>69</v>
      </c>
      <c r="Y721" t="s">
        <v>20071</v>
      </c>
      <c r="Z721" t="s">
        <v>69</v>
      </c>
      <c r="AA721" t="s">
        <v>20072</v>
      </c>
      <c r="AB721" t="s">
        <v>20073</v>
      </c>
      <c r="AC721" t="s">
        <v>69</v>
      </c>
      <c r="AD721" t="s">
        <v>20074</v>
      </c>
      <c r="AE721" t="s">
        <v>69</v>
      </c>
      <c r="AF721" t="s">
        <v>69</v>
      </c>
      <c r="AG721" t="s">
        <v>69</v>
      </c>
      <c r="AH721" t="s">
        <v>69</v>
      </c>
      <c r="AI721" t="s">
        <v>69</v>
      </c>
      <c r="AJ721" t="s">
        <v>69</v>
      </c>
      <c r="AK721" t="s">
        <v>69</v>
      </c>
      <c r="AL721">
        <v>12</v>
      </c>
      <c r="AM721">
        <v>3</v>
      </c>
      <c r="AN721">
        <v>3</v>
      </c>
      <c r="AO721">
        <v>1</v>
      </c>
      <c r="AP721">
        <v>20</v>
      </c>
      <c r="AQ721" t="s">
        <v>14856</v>
      </c>
      <c r="AR721" t="s">
        <v>11131</v>
      </c>
      <c r="AS721" t="s">
        <v>14857</v>
      </c>
      <c r="AT721" t="s">
        <v>18608</v>
      </c>
      <c r="AU721" t="s">
        <v>18609</v>
      </c>
      <c r="AV721" t="s">
        <v>69</v>
      </c>
      <c r="AW721" t="s">
        <v>18610</v>
      </c>
      <c r="AX721" t="s">
        <v>18611</v>
      </c>
      <c r="AY721" t="s">
        <v>1774</v>
      </c>
      <c r="AZ721">
        <v>2017</v>
      </c>
      <c r="BA721">
        <v>87</v>
      </c>
      <c r="BB721">
        <v>5</v>
      </c>
      <c r="BC721" t="s">
        <v>69</v>
      </c>
      <c r="BD721" t="s">
        <v>69</v>
      </c>
      <c r="BE721" t="s">
        <v>114</v>
      </c>
      <c r="BF721" t="s">
        <v>69</v>
      </c>
      <c r="BG721">
        <v>54</v>
      </c>
      <c r="BH721">
        <v>61</v>
      </c>
      <c r="BI721" t="s">
        <v>69</v>
      </c>
      <c r="BJ721" t="s">
        <v>20075</v>
      </c>
      <c r="BK721" t="str">
        <f>HYPERLINK("http://dx.doi.org/10.1002/ad.2216","http://dx.doi.org/10.1002/ad.2216")</f>
        <v>http://dx.doi.org/10.1002/ad.2216</v>
      </c>
      <c r="BL721" t="s">
        <v>69</v>
      </c>
      <c r="BM721" t="s">
        <v>69</v>
      </c>
      <c r="BN721">
        <v>8</v>
      </c>
      <c r="BO721" t="s">
        <v>8449</v>
      </c>
      <c r="BP721" t="s">
        <v>11207</v>
      </c>
      <c r="BQ721" t="s">
        <v>8449</v>
      </c>
      <c r="BR721" t="s">
        <v>20076</v>
      </c>
      <c r="BS721" t="s">
        <v>20077</v>
      </c>
      <c r="BT721" t="s">
        <v>69</v>
      </c>
      <c r="BU721" t="s">
        <v>69</v>
      </c>
      <c r="BV721" t="s">
        <v>69</v>
      </c>
      <c r="BW721" t="s">
        <v>69</v>
      </c>
      <c r="BX721" t="s">
        <v>8526</v>
      </c>
      <c r="BY721" t="str">
        <f>HYPERLINK("https%3A%2F%2Fwww.webofscience.com%2Fwos%2Fwoscc%2Ffull-record%2FWOS:000409460400008","View Full Record in Web of Science")</f>
        <v>View Full Record in Web of Science</v>
      </c>
    </row>
    <row r="722" spans="1:77" ht="12.5" x14ac:dyDescent="0.25">
      <c r="A722" t="s">
        <v>8495</v>
      </c>
      <c r="B722" s="22" t="s">
        <v>32931</v>
      </c>
      <c r="C722" s="7"/>
      <c r="D722" s="7"/>
      <c r="E722" s="7"/>
      <c r="F722" t="s">
        <v>67</v>
      </c>
      <c r="G722" t="s">
        <v>24272</v>
      </c>
      <c r="H722" t="s">
        <v>69</v>
      </c>
      <c r="I722" t="s">
        <v>69</v>
      </c>
      <c r="J722" t="s">
        <v>69</v>
      </c>
      <c r="K722" t="s">
        <v>24273</v>
      </c>
      <c r="L722" t="s">
        <v>69</v>
      </c>
      <c r="M722" t="s">
        <v>69</v>
      </c>
      <c r="N722" t="s">
        <v>24274</v>
      </c>
      <c r="O722" t="s">
        <v>3097</v>
      </c>
      <c r="P722" t="s">
        <v>69</v>
      </c>
      <c r="Q722" t="s">
        <v>69</v>
      </c>
      <c r="R722" t="s">
        <v>8505</v>
      </c>
      <c r="S722" t="s">
        <v>8442</v>
      </c>
      <c r="T722" t="s">
        <v>69</v>
      </c>
      <c r="U722" t="s">
        <v>69</v>
      </c>
      <c r="V722" t="s">
        <v>69</v>
      </c>
      <c r="W722" t="s">
        <v>69</v>
      </c>
      <c r="X722" t="s">
        <v>69</v>
      </c>
      <c r="Y722" t="s">
        <v>24275</v>
      </c>
      <c r="Z722" t="s">
        <v>69</v>
      </c>
      <c r="AA722" t="s">
        <v>24276</v>
      </c>
      <c r="AB722" t="s">
        <v>24277</v>
      </c>
      <c r="AC722" t="s">
        <v>69</v>
      </c>
      <c r="AD722" t="s">
        <v>24278</v>
      </c>
      <c r="AE722" t="s">
        <v>24279</v>
      </c>
      <c r="AF722" t="s">
        <v>69</v>
      </c>
      <c r="AG722" t="s">
        <v>69</v>
      </c>
      <c r="AH722" t="s">
        <v>69</v>
      </c>
      <c r="AI722" t="s">
        <v>69</v>
      </c>
      <c r="AJ722" t="s">
        <v>69</v>
      </c>
      <c r="AK722" t="s">
        <v>69</v>
      </c>
      <c r="AL722">
        <v>37</v>
      </c>
      <c r="AM722">
        <v>6</v>
      </c>
      <c r="AN722">
        <v>6</v>
      </c>
      <c r="AO722">
        <v>0</v>
      </c>
      <c r="AP722">
        <v>0</v>
      </c>
      <c r="AQ722" t="s">
        <v>8586</v>
      </c>
      <c r="AR722" t="s">
        <v>8587</v>
      </c>
      <c r="AS722" t="s">
        <v>8588</v>
      </c>
      <c r="AT722" t="s">
        <v>3099</v>
      </c>
      <c r="AU722" t="s">
        <v>3100</v>
      </c>
      <c r="AV722" t="s">
        <v>69</v>
      </c>
      <c r="AW722" t="s">
        <v>15267</v>
      </c>
      <c r="AX722" t="s">
        <v>15268</v>
      </c>
      <c r="AY722" t="s">
        <v>69</v>
      </c>
      <c r="AZ722">
        <v>2014</v>
      </c>
      <c r="BA722">
        <v>32</v>
      </c>
      <c r="BB722">
        <v>5</v>
      </c>
      <c r="BC722" t="s">
        <v>69</v>
      </c>
      <c r="BD722" t="s">
        <v>69</v>
      </c>
      <c r="BE722" t="s">
        <v>69</v>
      </c>
      <c r="BF722" t="s">
        <v>69</v>
      </c>
      <c r="BG722">
        <v>505</v>
      </c>
      <c r="BH722" t="s">
        <v>219</v>
      </c>
      <c r="BI722" t="s">
        <v>69</v>
      </c>
      <c r="BJ722" t="s">
        <v>24280</v>
      </c>
      <c r="BK722" t="str">
        <f>HYPERLINK("http://dx.doi.org/10.1108/JPIF-04-2014-0022","http://dx.doi.org/10.1108/JPIF-04-2014-0022")</f>
        <v>http://dx.doi.org/10.1108/JPIF-04-2014-0022</v>
      </c>
      <c r="BL722" t="s">
        <v>69</v>
      </c>
      <c r="BM722" t="s">
        <v>69</v>
      </c>
      <c r="BN722">
        <v>14</v>
      </c>
      <c r="BO722" t="s">
        <v>9749</v>
      </c>
      <c r="BP722" t="s">
        <v>8573</v>
      </c>
      <c r="BQ722" t="s">
        <v>8594</v>
      </c>
      <c r="BR722" t="s">
        <v>24281</v>
      </c>
      <c r="BS722" t="s">
        <v>24282</v>
      </c>
      <c r="BT722" t="s">
        <v>69</v>
      </c>
      <c r="BU722" t="s">
        <v>69</v>
      </c>
      <c r="BV722" t="s">
        <v>69</v>
      </c>
      <c r="BW722" t="s">
        <v>69</v>
      </c>
      <c r="BX722" t="s">
        <v>8526</v>
      </c>
      <c r="BY722" t="str">
        <f>HYPERLINK("https%3A%2F%2Fwww.webofscience.com%2Fwos%2Fwoscc%2Ffull-record%2FWOS:000212880300005","View Full Record in Web of Science")</f>
        <v>View Full Record in Web of Science</v>
      </c>
    </row>
    <row r="723" spans="1:77" ht="12.5" x14ac:dyDescent="0.25">
      <c r="A723" t="s">
        <v>8495</v>
      </c>
      <c r="B723" s="22" t="s">
        <v>32931</v>
      </c>
      <c r="C723" s="7"/>
      <c r="D723" s="7"/>
      <c r="E723" s="7"/>
      <c r="F723" t="s">
        <v>67</v>
      </c>
      <c r="G723" t="s">
        <v>20078</v>
      </c>
      <c r="H723" t="s">
        <v>69</v>
      </c>
      <c r="I723" t="s">
        <v>69</v>
      </c>
      <c r="J723" t="s">
        <v>69</v>
      </c>
      <c r="K723" t="s">
        <v>20079</v>
      </c>
      <c r="L723" t="s">
        <v>69</v>
      </c>
      <c r="M723" t="s">
        <v>69</v>
      </c>
      <c r="N723" t="s">
        <v>20080</v>
      </c>
      <c r="O723" t="s">
        <v>20081</v>
      </c>
      <c r="P723" t="s">
        <v>69</v>
      </c>
      <c r="Q723" t="s">
        <v>69</v>
      </c>
      <c r="R723" t="s">
        <v>8505</v>
      </c>
      <c r="S723" t="s">
        <v>10174</v>
      </c>
      <c r="T723" t="s">
        <v>69</v>
      </c>
      <c r="U723" t="s">
        <v>69</v>
      </c>
      <c r="V723" t="s">
        <v>69</v>
      </c>
      <c r="W723" t="s">
        <v>69</v>
      </c>
      <c r="X723" t="s">
        <v>69</v>
      </c>
      <c r="Y723" t="s">
        <v>20082</v>
      </c>
      <c r="Z723" t="s">
        <v>20083</v>
      </c>
      <c r="AA723" t="s">
        <v>20084</v>
      </c>
      <c r="AB723" t="s">
        <v>20085</v>
      </c>
      <c r="AC723" t="s">
        <v>69</v>
      </c>
      <c r="AD723" t="s">
        <v>20086</v>
      </c>
      <c r="AE723" t="s">
        <v>20087</v>
      </c>
      <c r="AF723" t="s">
        <v>69</v>
      </c>
      <c r="AG723" t="s">
        <v>69</v>
      </c>
      <c r="AH723" t="s">
        <v>69</v>
      </c>
      <c r="AI723" t="s">
        <v>69</v>
      </c>
      <c r="AJ723" t="s">
        <v>69</v>
      </c>
      <c r="AK723" t="s">
        <v>69</v>
      </c>
      <c r="AL723">
        <v>41</v>
      </c>
      <c r="AM723">
        <v>0</v>
      </c>
      <c r="AN723">
        <v>0</v>
      </c>
      <c r="AO723">
        <v>0</v>
      </c>
      <c r="AP723">
        <v>2</v>
      </c>
      <c r="AQ723" t="s">
        <v>10923</v>
      </c>
      <c r="AR723" t="s">
        <v>10924</v>
      </c>
      <c r="AS723" t="s">
        <v>10925</v>
      </c>
      <c r="AT723" t="s">
        <v>20088</v>
      </c>
      <c r="AU723" t="s">
        <v>20089</v>
      </c>
      <c r="AV723" t="s">
        <v>69</v>
      </c>
      <c r="AW723" t="s">
        <v>20090</v>
      </c>
      <c r="AX723" t="s">
        <v>20091</v>
      </c>
      <c r="AY723" t="s">
        <v>255</v>
      </c>
      <c r="AZ723">
        <v>2017</v>
      </c>
      <c r="BA723">
        <v>15</v>
      </c>
      <c r="BB723">
        <v>3</v>
      </c>
      <c r="BC723" t="s">
        <v>69</v>
      </c>
      <c r="BD723" t="s">
        <v>69</v>
      </c>
      <c r="BE723" t="s">
        <v>69</v>
      </c>
      <c r="BF723" t="s">
        <v>69</v>
      </c>
      <c r="BG723">
        <v>82</v>
      </c>
      <c r="BH723">
        <v>89</v>
      </c>
      <c r="BI723" t="s">
        <v>69</v>
      </c>
      <c r="BJ723" t="s">
        <v>20092</v>
      </c>
      <c r="BK723" t="str">
        <f>HYPERLINK("http://dx.doi.org/10.1097/XEB.0000000000000114","http://dx.doi.org/10.1097/XEB.0000000000000114")</f>
        <v>http://dx.doi.org/10.1097/XEB.0000000000000114</v>
      </c>
      <c r="BL723" t="s">
        <v>69</v>
      </c>
      <c r="BM723" t="s">
        <v>69</v>
      </c>
      <c r="BN723">
        <v>8</v>
      </c>
      <c r="BO723" t="s">
        <v>9186</v>
      </c>
      <c r="BP723" t="s">
        <v>8548</v>
      </c>
      <c r="BQ723" t="s">
        <v>9187</v>
      </c>
      <c r="BR723" t="s">
        <v>20093</v>
      </c>
      <c r="BS723" t="s">
        <v>20094</v>
      </c>
      <c r="BT723">
        <v>28863087</v>
      </c>
      <c r="BU723" t="s">
        <v>69</v>
      </c>
      <c r="BV723" t="s">
        <v>69</v>
      </c>
      <c r="BW723" t="s">
        <v>69</v>
      </c>
      <c r="BX723" t="s">
        <v>8526</v>
      </c>
      <c r="BY723" t="str">
        <f>HYPERLINK("https%3A%2F%2Fwww.webofscience.com%2Fwos%2Fwoscc%2Ffull-record%2FWOS:000418523400002","View Full Record in Web of Science")</f>
        <v>View Full Record in Web of Science</v>
      </c>
    </row>
    <row r="724" spans="1:77" ht="12.5" x14ac:dyDescent="0.25">
      <c r="A724" t="s">
        <v>8495</v>
      </c>
      <c r="B724" s="22" t="s">
        <v>32931</v>
      </c>
      <c r="C724" s="7"/>
      <c r="D724" s="7"/>
      <c r="E724" s="7"/>
      <c r="F724" t="s">
        <v>67</v>
      </c>
      <c r="G724" t="s">
        <v>28246</v>
      </c>
      <c r="H724" t="s">
        <v>69</v>
      </c>
      <c r="I724" t="s">
        <v>69</v>
      </c>
      <c r="J724" t="s">
        <v>69</v>
      </c>
      <c r="K724" t="s">
        <v>28247</v>
      </c>
      <c r="L724" t="s">
        <v>69</v>
      </c>
      <c r="M724" t="s">
        <v>69</v>
      </c>
      <c r="N724" t="s">
        <v>28248</v>
      </c>
      <c r="O724" t="s">
        <v>28249</v>
      </c>
      <c r="P724" t="s">
        <v>69</v>
      </c>
      <c r="Q724" t="s">
        <v>69</v>
      </c>
      <c r="R724" t="s">
        <v>8505</v>
      </c>
      <c r="S724" t="s">
        <v>8506</v>
      </c>
      <c r="T724" t="s">
        <v>69</v>
      </c>
      <c r="U724" t="s">
        <v>69</v>
      </c>
      <c r="V724" t="s">
        <v>69</v>
      </c>
      <c r="W724" t="s">
        <v>69</v>
      </c>
      <c r="X724" t="s">
        <v>69</v>
      </c>
      <c r="Y724" t="s">
        <v>28250</v>
      </c>
      <c r="Z724" t="s">
        <v>28251</v>
      </c>
      <c r="AA724" t="s">
        <v>28252</v>
      </c>
      <c r="AB724" t="s">
        <v>28253</v>
      </c>
      <c r="AC724" t="s">
        <v>69</v>
      </c>
      <c r="AD724" t="s">
        <v>28254</v>
      </c>
      <c r="AE724" t="s">
        <v>28255</v>
      </c>
      <c r="AF724" t="s">
        <v>28256</v>
      </c>
      <c r="AG724" t="s">
        <v>69</v>
      </c>
      <c r="AH724" t="s">
        <v>28257</v>
      </c>
      <c r="AI724" t="s">
        <v>28258</v>
      </c>
      <c r="AJ724" t="s">
        <v>28259</v>
      </c>
      <c r="AK724" t="s">
        <v>69</v>
      </c>
      <c r="AL724">
        <v>47</v>
      </c>
      <c r="AM724">
        <v>25</v>
      </c>
      <c r="AN724">
        <v>26</v>
      </c>
      <c r="AO724">
        <v>0</v>
      </c>
      <c r="AP724">
        <v>2</v>
      </c>
      <c r="AQ724" t="s">
        <v>28260</v>
      </c>
      <c r="AR724" t="s">
        <v>8925</v>
      </c>
      <c r="AS724" t="s">
        <v>28261</v>
      </c>
      <c r="AT724" t="s">
        <v>28262</v>
      </c>
      <c r="AU724" t="s">
        <v>28263</v>
      </c>
      <c r="AV724" t="s">
        <v>69</v>
      </c>
      <c r="AW724" t="s">
        <v>28264</v>
      </c>
      <c r="AX724" t="s">
        <v>28265</v>
      </c>
      <c r="AY724" t="s">
        <v>69</v>
      </c>
      <c r="AZ724">
        <v>2010</v>
      </c>
      <c r="BA724">
        <v>13</v>
      </c>
      <c r="BB724">
        <v>4</v>
      </c>
      <c r="BC724" t="s">
        <v>69</v>
      </c>
      <c r="BD724" t="s">
        <v>69</v>
      </c>
      <c r="BE724" t="s">
        <v>69</v>
      </c>
      <c r="BF724" t="s">
        <v>69</v>
      </c>
      <c r="BG724">
        <v>224</v>
      </c>
      <c r="BH724">
        <v>234</v>
      </c>
      <c r="BI724" t="s">
        <v>69</v>
      </c>
      <c r="BJ724" t="s">
        <v>28266</v>
      </c>
      <c r="BK724" t="str">
        <f>HYPERLINK("http://dx.doi.org/10.1159/000279624","http://dx.doi.org/10.1159/000279624")</f>
        <v>http://dx.doi.org/10.1159/000279624</v>
      </c>
      <c r="BL724" t="s">
        <v>69</v>
      </c>
      <c r="BM724" t="s">
        <v>69</v>
      </c>
      <c r="BN724">
        <v>11</v>
      </c>
      <c r="BO724" t="s">
        <v>28267</v>
      </c>
      <c r="BP724" t="s">
        <v>8523</v>
      </c>
      <c r="BQ724" t="s">
        <v>28267</v>
      </c>
      <c r="BR724" t="s">
        <v>28268</v>
      </c>
      <c r="BS724" t="s">
        <v>28269</v>
      </c>
      <c r="BT724">
        <v>20395691</v>
      </c>
      <c r="BU724" t="s">
        <v>9374</v>
      </c>
      <c r="BV724" t="s">
        <v>69</v>
      </c>
      <c r="BW724" t="s">
        <v>69</v>
      </c>
      <c r="BX724" t="s">
        <v>8526</v>
      </c>
      <c r="BY724" t="str">
        <f>HYPERLINK("https%3A%2F%2Fwww.webofscience.com%2Fwos%2Fwoscc%2Ffull-record%2FWOS:000276765500005","View Full Record in Web of Science")</f>
        <v>View Full Record in Web of Science</v>
      </c>
    </row>
    <row r="725" spans="1:77" ht="12.5" x14ac:dyDescent="0.25">
      <c r="A725" t="s">
        <v>8495</v>
      </c>
      <c r="B725" s="22" t="s">
        <v>32931</v>
      </c>
      <c r="C725" s="7"/>
      <c r="D725" s="7"/>
      <c r="E725" s="7"/>
      <c r="F725" t="s">
        <v>67</v>
      </c>
      <c r="G725" t="s">
        <v>28183</v>
      </c>
      <c r="H725" t="s">
        <v>69</v>
      </c>
      <c r="I725" t="s">
        <v>69</v>
      </c>
      <c r="J725" t="s">
        <v>69</v>
      </c>
      <c r="K725" t="s">
        <v>28184</v>
      </c>
      <c r="L725" t="s">
        <v>69</v>
      </c>
      <c r="M725" t="s">
        <v>69</v>
      </c>
      <c r="N725" t="s">
        <v>28185</v>
      </c>
      <c r="O725" t="s">
        <v>4526</v>
      </c>
      <c r="P725" t="s">
        <v>69</v>
      </c>
      <c r="Q725" t="s">
        <v>69</v>
      </c>
      <c r="R725" t="s">
        <v>8505</v>
      </c>
      <c r="S725" t="s">
        <v>8506</v>
      </c>
      <c r="T725" t="s">
        <v>69</v>
      </c>
      <c r="U725" t="s">
        <v>69</v>
      </c>
      <c r="V725" t="s">
        <v>69</v>
      </c>
      <c r="W725" t="s">
        <v>69</v>
      </c>
      <c r="X725" t="s">
        <v>69</v>
      </c>
      <c r="Y725" t="s">
        <v>28186</v>
      </c>
      <c r="Z725" t="s">
        <v>69</v>
      </c>
      <c r="AA725" t="s">
        <v>28187</v>
      </c>
      <c r="AB725" t="s">
        <v>28188</v>
      </c>
      <c r="AC725" t="s">
        <v>69</v>
      </c>
      <c r="AD725" t="s">
        <v>28189</v>
      </c>
      <c r="AE725" t="s">
        <v>28190</v>
      </c>
      <c r="AF725" t="s">
        <v>69</v>
      </c>
      <c r="AG725" t="s">
        <v>69</v>
      </c>
      <c r="AH725" t="s">
        <v>69</v>
      </c>
      <c r="AI725" t="s">
        <v>69</v>
      </c>
      <c r="AJ725" t="s">
        <v>69</v>
      </c>
      <c r="AK725" t="s">
        <v>69</v>
      </c>
      <c r="AL725">
        <v>1</v>
      </c>
      <c r="AM725">
        <v>1</v>
      </c>
      <c r="AN725">
        <v>1</v>
      </c>
      <c r="AO725">
        <v>0</v>
      </c>
      <c r="AP725">
        <v>0</v>
      </c>
      <c r="AQ725" t="s">
        <v>8865</v>
      </c>
      <c r="AR725" t="s">
        <v>8612</v>
      </c>
      <c r="AS725" t="s">
        <v>8866</v>
      </c>
      <c r="AT725" t="s">
        <v>4528</v>
      </c>
      <c r="AU725" t="s">
        <v>4529</v>
      </c>
      <c r="AV725" t="s">
        <v>69</v>
      </c>
      <c r="AW725" t="s">
        <v>17346</v>
      </c>
      <c r="AX725" t="s">
        <v>17347</v>
      </c>
      <c r="AY725" t="s">
        <v>69</v>
      </c>
      <c r="AZ725">
        <v>2010</v>
      </c>
      <c r="BA725">
        <v>15</v>
      </c>
      <c r="BB725">
        <v>5</v>
      </c>
      <c r="BC725" t="s">
        <v>69</v>
      </c>
      <c r="BD725" t="s">
        <v>69</v>
      </c>
      <c r="BE725" t="s">
        <v>69</v>
      </c>
      <c r="BF725" t="s">
        <v>69</v>
      </c>
      <c r="BG725">
        <v>493</v>
      </c>
      <c r="BH725">
        <v>507</v>
      </c>
      <c r="BI725" t="s">
        <v>69</v>
      </c>
      <c r="BJ725" t="s">
        <v>28191</v>
      </c>
      <c r="BK725" t="str">
        <f>HYPERLINK("http://dx.doi.org/10.1080/13549831003594198","http://dx.doi.org/10.1080/13549831003594198")</f>
        <v>http://dx.doi.org/10.1080/13549831003594198</v>
      </c>
      <c r="BL725" t="s">
        <v>69</v>
      </c>
      <c r="BM725" t="s">
        <v>69</v>
      </c>
      <c r="BN725">
        <v>15</v>
      </c>
      <c r="BO725" t="s">
        <v>17348</v>
      </c>
      <c r="BP725" t="s">
        <v>8573</v>
      </c>
      <c r="BQ725" t="s">
        <v>17349</v>
      </c>
      <c r="BR725" t="s">
        <v>28192</v>
      </c>
      <c r="BS725" t="s">
        <v>28193</v>
      </c>
      <c r="BT725" t="s">
        <v>69</v>
      </c>
      <c r="BU725" t="s">
        <v>69</v>
      </c>
      <c r="BV725" t="s">
        <v>69</v>
      </c>
      <c r="BW725" t="s">
        <v>69</v>
      </c>
      <c r="BX725" t="s">
        <v>8526</v>
      </c>
      <c r="BY725" t="str">
        <f>HYPERLINK("https%3A%2F%2Fwww.webofscience.com%2Fwos%2Fwoscc%2Ffull-record%2FWOS:000212062700007","View Full Record in Web of Science")</f>
        <v>View Full Record in Web of Science</v>
      </c>
    </row>
    <row r="726" spans="1:77" ht="12.5" x14ac:dyDescent="0.25">
      <c r="A726" t="s">
        <v>8495</v>
      </c>
      <c r="B726" s="7" t="s">
        <v>32933</v>
      </c>
      <c r="C726" s="7"/>
      <c r="D726" s="7"/>
      <c r="E726" s="7"/>
      <c r="F726" t="s">
        <v>67</v>
      </c>
      <c r="G726" t="s">
        <v>6748</v>
      </c>
      <c r="H726" t="s">
        <v>69</v>
      </c>
      <c r="I726" t="s">
        <v>69</v>
      </c>
      <c r="J726" t="s">
        <v>69</v>
      </c>
      <c r="K726" t="s">
        <v>6749</v>
      </c>
      <c r="L726" t="s">
        <v>69</v>
      </c>
      <c r="M726" t="s">
        <v>69</v>
      </c>
      <c r="N726" t="s">
        <v>6750</v>
      </c>
      <c r="O726" t="s">
        <v>6751</v>
      </c>
      <c r="P726" t="s">
        <v>69</v>
      </c>
      <c r="Q726" t="s">
        <v>69</v>
      </c>
      <c r="R726" t="s">
        <v>14800</v>
      </c>
      <c r="S726" t="s">
        <v>8506</v>
      </c>
      <c r="T726" t="s">
        <v>69</v>
      </c>
      <c r="U726" t="s">
        <v>69</v>
      </c>
      <c r="V726" t="s">
        <v>69</v>
      </c>
      <c r="W726" t="s">
        <v>69</v>
      </c>
      <c r="X726" t="s">
        <v>69</v>
      </c>
      <c r="Y726" t="s">
        <v>22947</v>
      </c>
      <c r="Z726" t="s">
        <v>69</v>
      </c>
      <c r="AA726" t="s">
        <v>6752</v>
      </c>
      <c r="AB726" t="s">
        <v>22948</v>
      </c>
      <c r="AC726" t="s">
        <v>69</v>
      </c>
      <c r="AD726" t="s">
        <v>22949</v>
      </c>
      <c r="AE726" t="s">
        <v>22950</v>
      </c>
      <c r="AF726" t="s">
        <v>69</v>
      </c>
      <c r="AG726" t="s">
        <v>69</v>
      </c>
      <c r="AH726" t="s">
        <v>69</v>
      </c>
      <c r="AI726" t="s">
        <v>69</v>
      </c>
      <c r="AJ726" t="s">
        <v>69</v>
      </c>
      <c r="AK726" t="s">
        <v>69</v>
      </c>
      <c r="AL726">
        <v>9</v>
      </c>
      <c r="AM726">
        <v>0</v>
      </c>
      <c r="AN726">
        <v>0</v>
      </c>
      <c r="AO726">
        <v>0</v>
      </c>
      <c r="AP726">
        <v>4</v>
      </c>
      <c r="AQ726" t="s">
        <v>22951</v>
      </c>
      <c r="AR726" t="s">
        <v>21341</v>
      </c>
      <c r="AS726" t="s">
        <v>22952</v>
      </c>
      <c r="AT726" t="s">
        <v>6753</v>
      </c>
      <c r="AU726" t="s">
        <v>69</v>
      </c>
      <c r="AV726" t="s">
        <v>69</v>
      </c>
      <c r="AW726" t="s">
        <v>22953</v>
      </c>
      <c r="AX726" t="s">
        <v>22954</v>
      </c>
      <c r="AY726" t="s">
        <v>69</v>
      </c>
      <c r="AZ726">
        <v>2015</v>
      </c>
      <c r="BA726">
        <v>62</v>
      </c>
      <c r="BB726">
        <v>4</v>
      </c>
      <c r="BC726" t="s">
        <v>69</v>
      </c>
      <c r="BD726" t="s">
        <v>627</v>
      </c>
      <c r="BE726" t="s">
        <v>69</v>
      </c>
      <c r="BF726" t="s">
        <v>69</v>
      </c>
      <c r="BG726">
        <v>71</v>
      </c>
      <c r="BH726">
        <v>82</v>
      </c>
      <c r="BI726" t="s">
        <v>69</v>
      </c>
      <c r="BJ726" t="s">
        <v>6754</v>
      </c>
      <c r="BK726" t="str">
        <f>HYPERLINK("http://dx.doi.org/10.3917/rhmc.625.0071","http://dx.doi.org/10.3917/rhmc.625.0071")</f>
        <v>http://dx.doi.org/10.3917/rhmc.625.0071</v>
      </c>
      <c r="BL726" t="s">
        <v>69</v>
      </c>
      <c r="BM726" t="s">
        <v>69</v>
      </c>
      <c r="BN726">
        <v>12</v>
      </c>
      <c r="BO726" t="s">
        <v>18520</v>
      </c>
      <c r="BP726" t="s">
        <v>11207</v>
      </c>
      <c r="BQ726" t="s">
        <v>18520</v>
      </c>
      <c r="BR726" t="s">
        <v>22955</v>
      </c>
      <c r="BS726" t="s">
        <v>6755</v>
      </c>
      <c r="BT726" t="s">
        <v>69</v>
      </c>
      <c r="BU726" t="s">
        <v>69</v>
      </c>
      <c r="BV726" t="s">
        <v>69</v>
      </c>
      <c r="BW726" t="s">
        <v>69</v>
      </c>
      <c r="BX726" t="s">
        <v>8526</v>
      </c>
      <c r="BY726" t="str">
        <f>HYPERLINK("https%3A%2F%2Fwww.webofscience.com%2Fwos%2Fwoscc%2Ffull-record%2FWOS:000380088000007","View Full Record in Web of Science")</f>
        <v>View Full Record in Web of Science</v>
      </c>
    </row>
    <row r="727" spans="1:77" ht="12.5" x14ac:dyDescent="0.25">
      <c r="A727" t="s">
        <v>8495</v>
      </c>
      <c r="B727" s="7" t="s">
        <v>32933</v>
      </c>
      <c r="C727" s="7"/>
      <c r="D727" s="7"/>
      <c r="E727" s="7"/>
      <c r="F727" t="s">
        <v>67</v>
      </c>
      <c r="G727" t="s">
        <v>6033</v>
      </c>
      <c r="H727" t="s">
        <v>69</v>
      </c>
      <c r="I727" t="s">
        <v>69</v>
      </c>
      <c r="J727" t="s">
        <v>69</v>
      </c>
      <c r="K727" t="s">
        <v>6034</v>
      </c>
      <c r="L727" t="s">
        <v>69</v>
      </c>
      <c r="M727" t="s">
        <v>69</v>
      </c>
      <c r="N727" t="s">
        <v>6035</v>
      </c>
      <c r="O727" t="s">
        <v>6036</v>
      </c>
      <c r="P727" t="s">
        <v>69</v>
      </c>
      <c r="Q727" t="s">
        <v>69</v>
      </c>
      <c r="R727" t="s">
        <v>10071</v>
      </c>
      <c r="S727" t="s">
        <v>8506</v>
      </c>
      <c r="T727" t="s">
        <v>69</v>
      </c>
      <c r="U727" t="s">
        <v>69</v>
      </c>
      <c r="V727" t="s">
        <v>69</v>
      </c>
      <c r="W727" t="s">
        <v>69</v>
      </c>
      <c r="X727" t="s">
        <v>69</v>
      </c>
      <c r="Y727" t="s">
        <v>16198</v>
      </c>
      <c r="Z727" t="s">
        <v>16199</v>
      </c>
      <c r="AA727" t="s">
        <v>6037</v>
      </c>
      <c r="AB727" t="s">
        <v>16200</v>
      </c>
      <c r="AC727" t="s">
        <v>69</v>
      </c>
      <c r="AD727" t="s">
        <v>16201</v>
      </c>
      <c r="AE727" t="s">
        <v>16202</v>
      </c>
      <c r="AF727" t="s">
        <v>69</v>
      </c>
      <c r="AG727" t="s">
        <v>69</v>
      </c>
      <c r="AH727" t="s">
        <v>69</v>
      </c>
      <c r="AI727" t="s">
        <v>69</v>
      </c>
      <c r="AJ727" t="s">
        <v>69</v>
      </c>
      <c r="AK727" t="s">
        <v>69</v>
      </c>
      <c r="AL727">
        <v>47</v>
      </c>
      <c r="AM727">
        <v>0</v>
      </c>
      <c r="AN727">
        <v>0</v>
      </c>
      <c r="AO727">
        <v>0</v>
      </c>
      <c r="AP727">
        <v>0</v>
      </c>
      <c r="AQ727" t="s">
        <v>16203</v>
      </c>
      <c r="AR727" t="s">
        <v>16204</v>
      </c>
      <c r="AS727" t="s">
        <v>16205</v>
      </c>
      <c r="AT727" t="s">
        <v>6038</v>
      </c>
      <c r="AU727" t="s">
        <v>6039</v>
      </c>
      <c r="AV727" t="s">
        <v>69</v>
      </c>
      <c r="AW727" t="s">
        <v>16206</v>
      </c>
      <c r="AX727" t="s">
        <v>16207</v>
      </c>
      <c r="AY727" t="s">
        <v>2654</v>
      </c>
      <c r="AZ727">
        <v>2020</v>
      </c>
      <c r="BA727">
        <v>50</v>
      </c>
      <c r="BB727">
        <v>1</v>
      </c>
      <c r="BC727" t="s">
        <v>69</v>
      </c>
      <c r="BD727" t="s">
        <v>69</v>
      </c>
      <c r="BE727" t="s">
        <v>69</v>
      </c>
      <c r="BF727" t="s">
        <v>69</v>
      </c>
      <c r="BG727">
        <v>505</v>
      </c>
      <c r="BH727">
        <v>532</v>
      </c>
      <c r="BI727" t="s">
        <v>69</v>
      </c>
      <c r="BJ727" t="s">
        <v>6040</v>
      </c>
      <c r="BK727" t="str">
        <f>HYPERLINK("http://dx.doi.org/10.3989/aem.2020.50.1.18","http://dx.doi.org/10.3989/aem.2020.50.1.18")</f>
        <v>http://dx.doi.org/10.3989/aem.2020.50.1.18</v>
      </c>
      <c r="BL727" t="s">
        <v>69</v>
      </c>
      <c r="BM727" t="s">
        <v>69</v>
      </c>
      <c r="BN727">
        <v>28</v>
      </c>
      <c r="BO727" t="s">
        <v>16208</v>
      </c>
      <c r="BP727" t="s">
        <v>11207</v>
      </c>
      <c r="BQ727" t="s">
        <v>16209</v>
      </c>
      <c r="BR727" t="s">
        <v>16210</v>
      </c>
      <c r="BS727" t="s">
        <v>6041</v>
      </c>
      <c r="BT727" t="s">
        <v>69</v>
      </c>
      <c r="BU727" t="s">
        <v>8812</v>
      </c>
      <c r="BV727" t="s">
        <v>69</v>
      </c>
      <c r="BW727" t="s">
        <v>69</v>
      </c>
      <c r="BX727" t="s">
        <v>8526</v>
      </c>
      <c r="BY727" t="str">
        <f>HYPERLINK("https%3A%2F%2Fwww.webofscience.com%2Fwos%2Fwoscc%2Ffull-record%2FWOS:000539162000018","View Full Record in Web of Science")</f>
        <v>View Full Record in Web of Science</v>
      </c>
    </row>
    <row r="728" spans="1:77" x14ac:dyDescent="0.3">
      <c r="A728" t="s">
        <v>8495</v>
      </c>
      <c r="B728" s="9" t="s">
        <v>32954</v>
      </c>
      <c r="C728" s="9" t="s">
        <v>33069</v>
      </c>
      <c r="E728" s="9" t="s">
        <v>8490</v>
      </c>
      <c r="F728" t="s">
        <v>67</v>
      </c>
      <c r="G728" t="s">
        <v>30379</v>
      </c>
      <c r="H728" t="s">
        <v>69</v>
      </c>
      <c r="I728" t="s">
        <v>69</v>
      </c>
      <c r="J728" t="s">
        <v>69</v>
      </c>
      <c r="K728" t="s">
        <v>30380</v>
      </c>
      <c r="L728" t="s">
        <v>69</v>
      </c>
      <c r="M728" t="s">
        <v>69</v>
      </c>
      <c r="N728" t="s">
        <v>30381</v>
      </c>
      <c r="O728" t="s">
        <v>30382</v>
      </c>
      <c r="P728" t="s">
        <v>69</v>
      </c>
      <c r="Q728" t="s">
        <v>69</v>
      </c>
      <c r="R728" t="s">
        <v>8505</v>
      </c>
      <c r="S728" t="s">
        <v>8506</v>
      </c>
      <c r="T728" t="s">
        <v>69</v>
      </c>
      <c r="U728" t="s">
        <v>69</v>
      </c>
      <c r="V728" t="s">
        <v>69</v>
      </c>
      <c r="W728" t="s">
        <v>69</v>
      </c>
      <c r="X728" t="s">
        <v>69</v>
      </c>
      <c r="Y728" t="s">
        <v>30383</v>
      </c>
      <c r="Z728" t="s">
        <v>69</v>
      </c>
      <c r="AA728" t="s">
        <v>30384</v>
      </c>
      <c r="AB728" t="s">
        <v>30385</v>
      </c>
      <c r="AC728" t="s">
        <v>69</v>
      </c>
      <c r="AD728" t="s">
        <v>30386</v>
      </c>
      <c r="AE728" t="s">
        <v>30387</v>
      </c>
      <c r="AF728" t="s">
        <v>69</v>
      </c>
      <c r="AG728" t="s">
        <v>69</v>
      </c>
      <c r="AH728" t="s">
        <v>69</v>
      </c>
      <c r="AI728" t="s">
        <v>69</v>
      </c>
      <c r="AJ728" t="s">
        <v>69</v>
      </c>
      <c r="AK728" t="s">
        <v>69</v>
      </c>
      <c r="AL728">
        <v>42</v>
      </c>
      <c r="AM728">
        <v>25</v>
      </c>
      <c r="AN728">
        <v>25</v>
      </c>
      <c r="AO728">
        <v>0</v>
      </c>
      <c r="AP728">
        <v>0</v>
      </c>
      <c r="AQ728" t="s">
        <v>8865</v>
      </c>
      <c r="AR728" t="s">
        <v>8612</v>
      </c>
      <c r="AS728" t="s">
        <v>8866</v>
      </c>
      <c r="AT728" t="s">
        <v>30388</v>
      </c>
      <c r="AU728" t="s">
        <v>30389</v>
      </c>
      <c r="AV728" t="s">
        <v>69</v>
      </c>
      <c r="AW728" t="s">
        <v>30390</v>
      </c>
      <c r="AX728" t="s">
        <v>30391</v>
      </c>
      <c r="AY728" t="s">
        <v>69</v>
      </c>
      <c r="AZ728">
        <v>2006</v>
      </c>
      <c r="BA728">
        <v>44</v>
      </c>
      <c r="BB728">
        <v>1</v>
      </c>
      <c r="BC728" t="s">
        <v>69</v>
      </c>
      <c r="BD728" t="s">
        <v>69</v>
      </c>
      <c r="BE728" t="s">
        <v>114</v>
      </c>
      <c r="BF728" t="s">
        <v>69</v>
      </c>
      <c r="BG728">
        <v>118</v>
      </c>
      <c r="BH728">
        <v>136</v>
      </c>
      <c r="BI728" t="s">
        <v>69</v>
      </c>
      <c r="BJ728" t="s">
        <v>30392</v>
      </c>
      <c r="BK728" t="str">
        <f>HYPERLINK("http://dx.doi.org/10.1080/14662040600624502","http://dx.doi.org/10.1080/14662040600624502")</f>
        <v>http://dx.doi.org/10.1080/14662040600624502</v>
      </c>
      <c r="BL728" t="s">
        <v>69</v>
      </c>
      <c r="BM728" t="s">
        <v>69</v>
      </c>
      <c r="BN728">
        <v>19</v>
      </c>
      <c r="BO728" t="s">
        <v>16728</v>
      </c>
      <c r="BP728" t="s">
        <v>8573</v>
      </c>
      <c r="BQ728" t="s">
        <v>16729</v>
      </c>
      <c r="BR728" t="s">
        <v>30393</v>
      </c>
      <c r="BS728" t="s">
        <v>30394</v>
      </c>
      <c r="BT728" t="s">
        <v>69</v>
      </c>
      <c r="BU728" t="s">
        <v>69</v>
      </c>
      <c r="BV728" t="s">
        <v>69</v>
      </c>
      <c r="BW728" t="s">
        <v>69</v>
      </c>
      <c r="BX728" t="s">
        <v>8526</v>
      </c>
      <c r="BY728" t="str">
        <f>HYPERLINK("https%3A%2F%2Fwww.webofscience.com%2Fwos%2Fwoscc%2Ffull-record%2FWOS:000212492700007","View Full Record in Web of Science")</f>
        <v>View Full Record in Web of Science</v>
      </c>
    </row>
    <row r="729" spans="1:77" ht="12.5" x14ac:dyDescent="0.25">
      <c r="A729" t="s">
        <v>8495</v>
      </c>
      <c r="B729" s="22" t="s">
        <v>32931</v>
      </c>
      <c r="C729" s="7"/>
      <c r="D729" s="7"/>
      <c r="E729" s="7"/>
      <c r="F729" t="s">
        <v>67</v>
      </c>
      <c r="G729" t="s">
        <v>25687</v>
      </c>
      <c r="H729" t="s">
        <v>69</v>
      </c>
      <c r="I729" t="s">
        <v>69</v>
      </c>
      <c r="J729" t="s">
        <v>69</v>
      </c>
      <c r="K729" t="s">
        <v>25688</v>
      </c>
      <c r="L729" t="s">
        <v>69</v>
      </c>
      <c r="M729" t="s">
        <v>69</v>
      </c>
      <c r="N729" t="s">
        <v>25689</v>
      </c>
      <c r="O729" t="s">
        <v>25690</v>
      </c>
      <c r="P729" t="s">
        <v>69</v>
      </c>
      <c r="Q729" t="s">
        <v>69</v>
      </c>
      <c r="R729" t="s">
        <v>8505</v>
      </c>
      <c r="S729" t="s">
        <v>8506</v>
      </c>
      <c r="T729" t="s">
        <v>69</v>
      </c>
      <c r="U729" t="s">
        <v>69</v>
      </c>
      <c r="V729" t="s">
        <v>69</v>
      </c>
      <c r="W729" t="s">
        <v>69</v>
      </c>
      <c r="X729" t="s">
        <v>69</v>
      </c>
      <c r="Y729" t="s">
        <v>69</v>
      </c>
      <c r="Z729" t="s">
        <v>69</v>
      </c>
      <c r="AA729" t="s">
        <v>25691</v>
      </c>
      <c r="AB729" t="s">
        <v>69</v>
      </c>
      <c r="AC729" t="s">
        <v>69</v>
      </c>
      <c r="AD729" t="s">
        <v>69</v>
      </c>
      <c r="AE729" t="s">
        <v>25692</v>
      </c>
      <c r="AF729" t="s">
        <v>69</v>
      </c>
      <c r="AG729" t="s">
        <v>69</v>
      </c>
      <c r="AH729" t="s">
        <v>69</v>
      </c>
      <c r="AI729" t="s">
        <v>69</v>
      </c>
      <c r="AJ729" t="s">
        <v>69</v>
      </c>
      <c r="AK729" t="s">
        <v>69</v>
      </c>
      <c r="AL729">
        <v>8</v>
      </c>
      <c r="AM729">
        <v>0</v>
      </c>
      <c r="AN729">
        <v>0</v>
      </c>
      <c r="AO729">
        <v>0</v>
      </c>
      <c r="AP729">
        <v>0</v>
      </c>
      <c r="AQ729" t="s">
        <v>8846</v>
      </c>
      <c r="AR729" t="s">
        <v>8847</v>
      </c>
      <c r="AS729" t="s">
        <v>8848</v>
      </c>
      <c r="AT729" t="s">
        <v>25693</v>
      </c>
      <c r="AU729" t="s">
        <v>25694</v>
      </c>
      <c r="AV729" t="s">
        <v>69</v>
      </c>
      <c r="AW729" t="s">
        <v>25690</v>
      </c>
      <c r="AX729" t="s">
        <v>25695</v>
      </c>
      <c r="AY729" t="s">
        <v>75</v>
      </c>
      <c r="AZ729">
        <v>2012</v>
      </c>
      <c r="BA729">
        <v>11</v>
      </c>
      <c r="BB729">
        <v>3</v>
      </c>
      <c r="BC729" t="s">
        <v>69</v>
      </c>
      <c r="BD729" t="s">
        <v>69</v>
      </c>
      <c r="BE729" t="s">
        <v>69</v>
      </c>
      <c r="BF729" t="s">
        <v>69</v>
      </c>
      <c r="BG729">
        <v>44</v>
      </c>
      <c r="BH729">
        <v>48</v>
      </c>
      <c r="BI729" t="s">
        <v>69</v>
      </c>
      <c r="BJ729" t="s">
        <v>25696</v>
      </c>
      <c r="BK729" t="str">
        <f>HYPERLINK("http://dx.doi.org/10.1111/1746-692X.12009","http://dx.doi.org/10.1111/1746-692X.12009")</f>
        <v>http://dx.doi.org/10.1111/1746-692X.12009</v>
      </c>
      <c r="BL729" t="s">
        <v>69</v>
      </c>
      <c r="BM729" t="s">
        <v>69</v>
      </c>
      <c r="BN729">
        <v>5</v>
      </c>
      <c r="BO729" t="s">
        <v>23323</v>
      </c>
      <c r="BP729" t="s">
        <v>8573</v>
      </c>
      <c r="BQ729" t="s">
        <v>8450</v>
      </c>
      <c r="BR729" t="s">
        <v>25697</v>
      </c>
      <c r="BS729" t="s">
        <v>25698</v>
      </c>
      <c r="BT729" t="s">
        <v>69</v>
      </c>
      <c r="BU729" t="s">
        <v>69</v>
      </c>
      <c r="BV729" t="s">
        <v>69</v>
      </c>
      <c r="BW729" t="s">
        <v>69</v>
      </c>
      <c r="BX729" t="s">
        <v>8526</v>
      </c>
      <c r="BY729" t="str">
        <f>HYPERLINK("https%3A%2F%2Fwww.webofscience.com%2Fwos%2Fwoscc%2Ffull-record%2FWOS:000214485500009","View Full Record in Web of Science")</f>
        <v>View Full Record in Web of Science</v>
      </c>
    </row>
    <row r="730" spans="1:77" x14ac:dyDescent="0.3">
      <c r="A730" t="s">
        <v>8495</v>
      </c>
      <c r="B730" s="9" t="s">
        <v>32958</v>
      </c>
      <c r="C730" s="9" t="s">
        <v>33068</v>
      </c>
      <c r="D730" s="27" t="s">
        <v>8490</v>
      </c>
      <c r="E730" s="9" t="s">
        <v>8490</v>
      </c>
      <c r="F730" t="s">
        <v>67</v>
      </c>
      <c r="G730" t="s">
        <v>19069</v>
      </c>
      <c r="H730" t="s">
        <v>69</v>
      </c>
      <c r="I730" t="s">
        <v>69</v>
      </c>
      <c r="J730" t="s">
        <v>69</v>
      </c>
      <c r="K730" t="s">
        <v>19070</v>
      </c>
      <c r="L730" t="s">
        <v>69</v>
      </c>
      <c r="M730" t="s">
        <v>69</v>
      </c>
      <c r="N730" t="s">
        <v>19071</v>
      </c>
      <c r="O730" t="s">
        <v>19072</v>
      </c>
      <c r="P730" t="s">
        <v>69</v>
      </c>
      <c r="Q730" t="s">
        <v>69</v>
      </c>
      <c r="R730" t="s">
        <v>8505</v>
      </c>
      <c r="S730" t="s">
        <v>8506</v>
      </c>
      <c r="T730" t="s">
        <v>69</v>
      </c>
      <c r="U730" t="s">
        <v>69</v>
      </c>
      <c r="V730" t="s">
        <v>69</v>
      </c>
      <c r="W730" t="s">
        <v>69</v>
      </c>
      <c r="X730" t="s">
        <v>69</v>
      </c>
      <c r="Y730" t="s">
        <v>19073</v>
      </c>
      <c r="Z730" t="s">
        <v>19074</v>
      </c>
      <c r="AA730" t="s">
        <v>19075</v>
      </c>
      <c r="AB730" t="s">
        <v>19076</v>
      </c>
      <c r="AC730" t="s">
        <v>69</v>
      </c>
      <c r="AD730" t="s">
        <v>19077</v>
      </c>
      <c r="AE730" t="s">
        <v>19078</v>
      </c>
      <c r="AF730" t="s">
        <v>19079</v>
      </c>
      <c r="AG730" t="s">
        <v>19080</v>
      </c>
      <c r="AH730" t="s">
        <v>19081</v>
      </c>
      <c r="AI730" t="s">
        <v>19082</v>
      </c>
      <c r="AJ730" t="s">
        <v>69</v>
      </c>
      <c r="AK730" t="s">
        <v>69</v>
      </c>
      <c r="AL730">
        <v>35</v>
      </c>
      <c r="AM730">
        <v>1</v>
      </c>
      <c r="AN730">
        <v>1</v>
      </c>
      <c r="AO730">
        <v>0</v>
      </c>
      <c r="AP730">
        <v>4</v>
      </c>
      <c r="AQ730" t="s">
        <v>15821</v>
      </c>
      <c r="AR730" t="s">
        <v>8735</v>
      </c>
      <c r="AS730" t="s">
        <v>15822</v>
      </c>
      <c r="AT730" t="s">
        <v>69</v>
      </c>
      <c r="AU730" t="s">
        <v>19083</v>
      </c>
      <c r="AV730" t="s">
        <v>69</v>
      </c>
      <c r="AW730" t="s">
        <v>19072</v>
      </c>
      <c r="AX730" t="s">
        <v>19084</v>
      </c>
      <c r="AY730" t="s">
        <v>94</v>
      </c>
      <c r="AZ730">
        <v>2018</v>
      </c>
      <c r="BA730">
        <v>6</v>
      </c>
      <c r="BB730">
        <v>3</v>
      </c>
      <c r="BC730" t="s">
        <v>69</v>
      </c>
      <c r="BD730" t="s">
        <v>69</v>
      </c>
      <c r="BE730" t="s">
        <v>69</v>
      </c>
      <c r="BF730" t="s">
        <v>69</v>
      </c>
      <c r="BG730">
        <v>299</v>
      </c>
      <c r="BH730">
        <v>304</v>
      </c>
      <c r="BI730" t="s">
        <v>69</v>
      </c>
      <c r="BJ730" t="s">
        <v>19085</v>
      </c>
      <c r="BK730" t="str">
        <f>HYPERLINK("http://dx.doi.org/10.1002/2018EF000827","http://dx.doi.org/10.1002/2018EF000827")</f>
        <v>http://dx.doi.org/10.1002/2018EF000827</v>
      </c>
      <c r="BL730" t="s">
        <v>69</v>
      </c>
      <c r="BM730" t="s">
        <v>69</v>
      </c>
      <c r="BN730">
        <v>6</v>
      </c>
      <c r="BO730" t="s">
        <v>19086</v>
      </c>
      <c r="BP730" t="s">
        <v>8523</v>
      </c>
      <c r="BQ730" t="s">
        <v>19087</v>
      </c>
      <c r="BR730" t="s">
        <v>19088</v>
      </c>
      <c r="BS730" t="s">
        <v>19089</v>
      </c>
      <c r="BT730" t="s">
        <v>69</v>
      </c>
      <c r="BU730" t="s">
        <v>9352</v>
      </c>
      <c r="BV730" t="s">
        <v>69</v>
      </c>
      <c r="BW730" t="s">
        <v>69</v>
      </c>
      <c r="BX730" t="s">
        <v>8526</v>
      </c>
      <c r="BY730" t="str">
        <f>HYPERLINK("https%3A%2F%2Fwww.webofscience.com%2Fwos%2Fwoscc%2Ffull-record%2FWOS:000430171600001","View Full Record in Web of Science")</f>
        <v>View Full Record in Web of Science</v>
      </c>
    </row>
    <row r="731" spans="1:77" ht="12.5" x14ac:dyDescent="0.25">
      <c r="A731" t="s">
        <v>8495</v>
      </c>
      <c r="B731" s="7" t="s">
        <v>32933</v>
      </c>
      <c r="C731" s="7"/>
      <c r="D731" s="7"/>
      <c r="E731" s="7"/>
      <c r="F731" t="s">
        <v>67</v>
      </c>
      <c r="G731" t="s">
        <v>423</v>
      </c>
      <c r="H731" t="s">
        <v>69</v>
      </c>
      <c r="I731" t="s">
        <v>69</v>
      </c>
      <c r="J731" t="s">
        <v>69</v>
      </c>
      <c r="K731" t="s">
        <v>424</v>
      </c>
      <c r="L731" t="s">
        <v>69</v>
      </c>
      <c r="M731" t="s">
        <v>69</v>
      </c>
      <c r="N731" t="s">
        <v>425</v>
      </c>
      <c r="O731" t="s">
        <v>426</v>
      </c>
      <c r="P731" t="s">
        <v>69</v>
      </c>
      <c r="Q731" t="s">
        <v>69</v>
      </c>
      <c r="R731" t="s">
        <v>8505</v>
      </c>
      <c r="S731" t="s">
        <v>8506</v>
      </c>
      <c r="T731" t="s">
        <v>69</v>
      </c>
      <c r="U731" t="s">
        <v>69</v>
      </c>
      <c r="V731" t="s">
        <v>69</v>
      </c>
      <c r="W731" t="s">
        <v>69</v>
      </c>
      <c r="X731" t="s">
        <v>69</v>
      </c>
      <c r="Y731" t="s">
        <v>20490</v>
      </c>
      <c r="Z731" t="s">
        <v>20491</v>
      </c>
      <c r="AA731" t="s">
        <v>427</v>
      </c>
      <c r="AB731" t="s">
        <v>20492</v>
      </c>
      <c r="AC731" t="s">
        <v>69</v>
      </c>
      <c r="AD731" t="s">
        <v>20493</v>
      </c>
      <c r="AE731" t="s">
        <v>20494</v>
      </c>
      <c r="AF731" t="s">
        <v>428</v>
      </c>
      <c r="AG731" t="s">
        <v>20495</v>
      </c>
      <c r="AH731" t="s">
        <v>20496</v>
      </c>
      <c r="AI731" t="s">
        <v>20497</v>
      </c>
      <c r="AJ731" t="s">
        <v>20498</v>
      </c>
      <c r="AK731" t="s">
        <v>69</v>
      </c>
      <c r="AL731">
        <v>94</v>
      </c>
      <c r="AM731">
        <v>4</v>
      </c>
      <c r="AN731">
        <v>4</v>
      </c>
      <c r="AO731">
        <v>3</v>
      </c>
      <c r="AP731">
        <v>8</v>
      </c>
      <c r="AQ731" t="s">
        <v>8762</v>
      </c>
      <c r="AR731" t="s">
        <v>8763</v>
      </c>
      <c r="AS731" t="s">
        <v>8764</v>
      </c>
      <c r="AT731" t="s">
        <v>429</v>
      </c>
      <c r="AU731" t="s">
        <v>430</v>
      </c>
      <c r="AV731" t="s">
        <v>69</v>
      </c>
      <c r="AW731" t="s">
        <v>15573</v>
      </c>
      <c r="AX731" t="s">
        <v>15574</v>
      </c>
      <c r="AY731" t="s">
        <v>94</v>
      </c>
      <c r="AZ731">
        <v>2017</v>
      </c>
      <c r="BA731">
        <v>35</v>
      </c>
      <c r="BB731">
        <v>2</v>
      </c>
      <c r="BC731" t="s">
        <v>69</v>
      </c>
      <c r="BD731" t="s">
        <v>69</v>
      </c>
      <c r="BE731" t="s">
        <v>69</v>
      </c>
      <c r="BF731" t="s">
        <v>69</v>
      </c>
      <c r="BG731">
        <v>197</v>
      </c>
      <c r="BH731">
        <v>220</v>
      </c>
      <c r="BI731" t="s">
        <v>69</v>
      </c>
      <c r="BJ731" t="s">
        <v>431</v>
      </c>
      <c r="BK731" t="str">
        <f>HYPERLINK("http://dx.doi.org/10.1177/0263774X16646772","http://dx.doi.org/10.1177/0263774X16646772")</f>
        <v>http://dx.doi.org/10.1177/0263774X16646772</v>
      </c>
      <c r="BL731" t="s">
        <v>69</v>
      </c>
      <c r="BM731" t="s">
        <v>69</v>
      </c>
      <c r="BN731">
        <v>24</v>
      </c>
      <c r="BO731" t="s">
        <v>15576</v>
      </c>
      <c r="BP731" t="s">
        <v>8661</v>
      </c>
      <c r="BQ731" t="s">
        <v>15577</v>
      </c>
      <c r="BR731" t="s">
        <v>20499</v>
      </c>
      <c r="BS731" t="s">
        <v>432</v>
      </c>
      <c r="BT731" t="s">
        <v>69</v>
      </c>
      <c r="BU731" t="s">
        <v>10995</v>
      </c>
      <c r="BV731" t="s">
        <v>69</v>
      </c>
      <c r="BW731" t="s">
        <v>69</v>
      </c>
      <c r="BX731" t="s">
        <v>8526</v>
      </c>
      <c r="BY731" t="str">
        <f>HYPERLINK("https%3A%2F%2Fwww.webofscience.com%2Fwos%2Fwoscc%2Ffull-record%2FWOS:000400015600001","View Full Record in Web of Science")</f>
        <v>View Full Record in Web of Science</v>
      </c>
    </row>
    <row r="732" spans="1:77" ht="12.5" x14ac:dyDescent="0.25">
      <c r="A732" t="s">
        <v>8495</v>
      </c>
      <c r="B732" s="7" t="s">
        <v>32933</v>
      </c>
      <c r="C732" s="7"/>
      <c r="D732" s="7"/>
      <c r="E732" s="7"/>
      <c r="F732" t="s">
        <v>67</v>
      </c>
      <c r="G732" t="s">
        <v>3471</v>
      </c>
      <c r="H732" t="s">
        <v>69</v>
      </c>
      <c r="I732" t="s">
        <v>69</v>
      </c>
      <c r="J732" t="s">
        <v>69</v>
      </c>
      <c r="K732" t="s">
        <v>3472</v>
      </c>
      <c r="L732" t="s">
        <v>69</v>
      </c>
      <c r="M732" t="s">
        <v>69</v>
      </c>
      <c r="N732" t="s">
        <v>3473</v>
      </c>
      <c r="O732" t="s">
        <v>3474</v>
      </c>
      <c r="P732" t="s">
        <v>69</v>
      </c>
      <c r="Q732" t="s">
        <v>69</v>
      </c>
      <c r="R732" t="s">
        <v>8505</v>
      </c>
      <c r="S732" t="s">
        <v>8506</v>
      </c>
      <c r="T732" t="s">
        <v>69</v>
      </c>
      <c r="U732" t="s">
        <v>69</v>
      </c>
      <c r="V732" t="s">
        <v>69</v>
      </c>
      <c r="W732" t="s">
        <v>69</v>
      </c>
      <c r="X732" t="s">
        <v>69</v>
      </c>
      <c r="Y732" t="s">
        <v>27211</v>
      </c>
      <c r="Z732" t="s">
        <v>27212</v>
      </c>
      <c r="AA732" t="s">
        <v>3475</v>
      </c>
      <c r="AB732" t="s">
        <v>27213</v>
      </c>
      <c r="AC732" t="s">
        <v>69</v>
      </c>
      <c r="AD732" t="s">
        <v>27214</v>
      </c>
      <c r="AE732" t="s">
        <v>27215</v>
      </c>
      <c r="AF732" t="s">
        <v>27216</v>
      </c>
      <c r="AG732" t="s">
        <v>3476</v>
      </c>
      <c r="AH732" t="s">
        <v>69</v>
      </c>
      <c r="AI732" t="s">
        <v>69</v>
      </c>
      <c r="AJ732" t="s">
        <v>69</v>
      </c>
      <c r="AK732" t="s">
        <v>69</v>
      </c>
      <c r="AL732">
        <v>65</v>
      </c>
      <c r="AM732">
        <v>21</v>
      </c>
      <c r="AN732">
        <v>21</v>
      </c>
      <c r="AO732">
        <v>2</v>
      </c>
      <c r="AP732">
        <v>39</v>
      </c>
      <c r="AQ732" t="s">
        <v>8865</v>
      </c>
      <c r="AR732" t="s">
        <v>8612</v>
      </c>
      <c r="AS732" t="s">
        <v>8866</v>
      </c>
      <c r="AT732" t="s">
        <v>3477</v>
      </c>
      <c r="AU732" t="s">
        <v>3478</v>
      </c>
      <c r="AV732" t="s">
        <v>69</v>
      </c>
      <c r="AW732" t="s">
        <v>27217</v>
      </c>
      <c r="AX732" t="s">
        <v>27218</v>
      </c>
      <c r="AY732" t="s">
        <v>69</v>
      </c>
      <c r="AZ732">
        <v>2011</v>
      </c>
      <c r="BA732">
        <v>101</v>
      </c>
      <c r="BB732">
        <v>3</v>
      </c>
      <c r="BC732" t="s">
        <v>69</v>
      </c>
      <c r="BD732" t="s">
        <v>69</v>
      </c>
      <c r="BE732" t="s">
        <v>69</v>
      </c>
      <c r="BF732" t="s">
        <v>69</v>
      </c>
      <c r="BG732">
        <v>609</v>
      </c>
      <c r="BH732">
        <v>624</v>
      </c>
      <c r="BI732" t="s">
        <v>3479</v>
      </c>
      <c r="BJ732" t="s">
        <v>3480</v>
      </c>
      <c r="BK732" t="str">
        <f>HYPERLINK("http://dx.doi.org/10.1080/00045608.2011.560062","http://dx.doi.org/10.1080/00045608.2011.560062")</f>
        <v>http://dx.doi.org/10.1080/00045608.2011.560062</v>
      </c>
      <c r="BL732" t="s">
        <v>69</v>
      </c>
      <c r="BM732" t="s">
        <v>69</v>
      </c>
      <c r="BN732">
        <v>16</v>
      </c>
      <c r="BO732" t="s">
        <v>8446</v>
      </c>
      <c r="BP732" t="s">
        <v>8661</v>
      </c>
      <c r="BQ732" t="s">
        <v>8446</v>
      </c>
      <c r="BR732" t="s">
        <v>27219</v>
      </c>
      <c r="BS732" t="s">
        <v>3481</v>
      </c>
      <c r="BT732" t="s">
        <v>69</v>
      </c>
      <c r="BU732" t="s">
        <v>69</v>
      </c>
      <c r="BV732" t="s">
        <v>69</v>
      </c>
      <c r="BW732" t="s">
        <v>69</v>
      </c>
      <c r="BX732" t="s">
        <v>8526</v>
      </c>
      <c r="BY732" t="str">
        <f>HYPERLINK("https%3A%2F%2Fwww.webofscience.com%2Fwos%2Fwoscc%2Ffull-record%2FWOS:000290034200008","View Full Record in Web of Science")</f>
        <v>View Full Record in Web of Science</v>
      </c>
    </row>
    <row r="733" spans="1:77" x14ac:dyDescent="0.3">
      <c r="A733" t="s">
        <v>8495</v>
      </c>
      <c r="B733" s="9" t="s">
        <v>32954</v>
      </c>
      <c r="C733" s="9" t="s">
        <v>33067</v>
      </c>
      <c r="E733" s="9" t="s">
        <v>8490</v>
      </c>
      <c r="F733" t="s">
        <v>67</v>
      </c>
      <c r="G733" t="s">
        <v>17972</v>
      </c>
      <c r="H733" t="s">
        <v>69</v>
      </c>
      <c r="I733" t="s">
        <v>69</v>
      </c>
      <c r="J733" t="s">
        <v>69</v>
      </c>
      <c r="K733" t="s">
        <v>17973</v>
      </c>
      <c r="L733" t="s">
        <v>69</v>
      </c>
      <c r="M733" t="s">
        <v>69</v>
      </c>
      <c r="N733" t="s">
        <v>17974</v>
      </c>
      <c r="O733" t="s">
        <v>8012</v>
      </c>
      <c r="P733" t="s">
        <v>69</v>
      </c>
      <c r="Q733" t="s">
        <v>69</v>
      </c>
      <c r="R733" t="s">
        <v>8505</v>
      </c>
      <c r="S733" t="s">
        <v>8506</v>
      </c>
      <c r="T733" t="s">
        <v>69</v>
      </c>
      <c r="U733" t="s">
        <v>69</v>
      </c>
      <c r="V733" t="s">
        <v>69</v>
      </c>
      <c r="W733" t="s">
        <v>69</v>
      </c>
      <c r="X733" t="s">
        <v>69</v>
      </c>
      <c r="Y733" t="s">
        <v>17975</v>
      </c>
      <c r="Z733" t="s">
        <v>69</v>
      </c>
      <c r="AA733" t="s">
        <v>17976</v>
      </c>
      <c r="AB733" t="s">
        <v>17977</v>
      </c>
      <c r="AC733" t="s">
        <v>69</v>
      </c>
      <c r="AD733" t="s">
        <v>17978</v>
      </c>
      <c r="AE733" t="s">
        <v>17979</v>
      </c>
      <c r="AF733" t="s">
        <v>69</v>
      </c>
      <c r="AG733" t="s">
        <v>17980</v>
      </c>
      <c r="AH733" t="s">
        <v>17981</v>
      </c>
      <c r="AI733" t="s">
        <v>17982</v>
      </c>
      <c r="AJ733" t="s">
        <v>17983</v>
      </c>
      <c r="AK733" t="s">
        <v>69</v>
      </c>
      <c r="AL733">
        <v>114</v>
      </c>
      <c r="AM733">
        <v>2</v>
      </c>
      <c r="AN733">
        <v>2</v>
      </c>
      <c r="AO733">
        <v>3</v>
      </c>
      <c r="AP733">
        <v>22</v>
      </c>
      <c r="AQ733" t="s">
        <v>9554</v>
      </c>
      <c r="AR733" t="s">
        <v>9555</v>
      </c>
      <c r="AS733" t="s">
        <v>9556</v>
      </c>
      <c r="AT733" t="s">
        <v>8014</v>
      </c>
      <c r="AU733" t="s">
        <v>8015</v>
      </c>
      <c r="AV733" t="s">
        <v>69</v>
      </c>
      <c r="AW733" t="s">
        <v>17984</v>
      </c>
      <c r="AX733" t="s">
        <v>17985</v>
      </c>
      <c r="AY733" t="s">
        <v>373</v>
      </c>
      <c r="AZ733">
        <v>2019</v>
      </c>
      <c r="BA733">
        <v>45</v>
      </c>
      <c r="BB733">
        <v>1</v>
      </c>
      <c r="BC733" t="s">
        <v>69</v>
      </c>
      <c r="BD733" t="s">
        <v>69</v>
      </c>
      <c r="BE733" t="s">
        <v>69</v>
      </c>
      <c r="BF733" t="s">
        <v>69</v>
      </c>
      <c r="BG733">
        <v>126</v>
      </c>
      <c r="BH733">
        <v>149</v>
      </c>
      <c r="BI733" t="s">
        <v>69</v>
      </c>
      <c r="BJ733" t="s">
        <v>17986</v>
      </c>
      <c r="BK733" t="str">
        <f>HYPERLINK("http://dx.doi.org/10.1177/0096144217737063","http://dx.doi.org/10.1177/0096144217737063")</f>
        <v>http://dx.doi.org/10.1177/0096144217737063</v>
      </c>
      <c r="BL733" t="s">
        <v>69</v>
      </c>
      <c r="BM733" t="s">
        <v>69</v>
      </c>
      <c r="BN733">
        <v>24</v>
      </c>
      <c r="BO733" t="s">
        <v>17987</v>
      </c>
      <c r="BP733" t="s">
        <v>12201</v>
      </c>
      <c r="BQ733" t="s">
        <v>17988</v>
      </c>
      <c r="BR733" t="s">
        <v>17989</v>
      </c>
      <c r="BS733" t="s">
        <v>17990</v>
      </c>
      <c r="BT733" t="s">
        <v>69</v>
      </c>
      <c r="BU733" t="s">
        <v>69</v>
      </c>
      <c r="BV733" t="s">
        <v>69</v>
      </c>
      <c r="BW733" t="s">
        <v>69</v>
      </c>
      <c r="BX733" t="s">
        <v>8526</v>
      </c>
      <c r="BY733" t="str">
        <f>HYPERLINK("https%3A%2F%2Fwww.webofscience.com%2Fwos%2Fwoscc%2Ffull-record%2FWOS:000454135500007","View Full Record in Web of Science")</f>
        <v>View Full Record in Web of Science</v>
      </c>
    </row>
    <row r="734" spans="1:77" ht="12.5" x14ac:dyDescent="0.25">
      <c r="A734" t="s">
        <v>8495</v>
      </c>
      <c r="B734" s="22" t="s">
        <v>32931</v>
      </c>
      <c r="C734" s="7"/>
      <c r="D734" s="7"/>
      <c r="E734" s="7"/>
      <c r="F734" t="s">
        <v>67</v>
      </c>
      <c r="G734" t="s">
        <v>29051</v>
      </c>
      <c r="H734" t="s">
        <v>69</v>
      </c>
      <c r="I734" t="s">
        <v>69</v>
      </c>
      <c r="J734" t="s">
        <v>69</v>
      </c>
      <c r="K734" t="s">
        <v>29052</v>
      </c>
      <c r="L734" t="s">
        <v>69</v>
      </c>
      <c r="M734" t="s">
        <v>69</v>
      </c>
      <c r="N734" t="s">
        <v>29053</v>
      </c>
      <c r="O734" t="s">
        <v>29054</v>
      </c>
      <c r="P734" t="s">
        <v>69</v>
      </c>
      <c r="Q734" t="s">
        <v>69</v>
      </c>
      <c r="R734" t="s">
        <v>8505</v>
      </c>
      <c r="S734" t="s">
        <v>8506</v>
      </c>
      <c r="T734" t="s">
        <v>69</v>
      </c>
      <c r="U734" t="s">
        <v>69</v>
      </c>
      <c r="V734" t="s">
        <v>69</v>
      </c>
      <c r="W734" t="s">
        <v>69</v>
      </c>
      <c r="X734" t="s">
        <v>69</v>
      </c>
      <c r="Y734" t="s">
        <v>69</v>
      </c>
      <c r="Z734" t="s">
        <v>69</v>
      </c>
      <c r="AA734" t="s">
        <v>29055</v>
      </c>
      <c r="AB734" t="s">
        <v>69</v>
      </c>
      <c r="AC734" t="s">
        <v>69</v>
      </c>
      <c r="AD734" t="s">
        <v>29056</v>
      </c>
      <c r="AE734" t="s">
        <v>29057</v>
      </c>
      <c r="AF734" t="s">
        <v>69</v>
      </c>
      <c r="AG734" t="s">
        <v>69</v>
      </c>
      <c r="AH734" t="s">
        <v>69</v>
      </c>
      <c r="AI734" t="s">
        <v>69</v>
      </c>
      <c r="AJ734" t="s">
        <v>69</v>
      </c>
      <c r="AK734" t="s">
        <v>69</v>
      </c>
      <c r="AL734">
        <v>16</v>
      </c>
      <c r="AM734">
        <v>4</v>
      </c>
      <c r="AN734">
        <v>4</v>
      </c>
      <c r="AO734">
        <v>0</v>
      </c>
      <c r="AP734">
        <v>0</v>
      </c>
      <c r="AQ734" t="s">
        <v>28353</v>
      </c>
      <c r="AR734" t="s">
        <v>28354</v>
      </c>
      <c r="AS734" t="s">
        <v>28355</v>
      </c>
      <c r="AT734" t="s">
        <v>29058</v>
      </c>
      <c r="AU734" t="s">
        <v>29059</v>
      </c>
      <c r="AV734" t="s">
        <v>69</v>
      </c>
      <c r="AW734" t="s">
        <v>29060</v>
      </c>
      <c r="AX734" t="s">
        <v>29061</v>
      </c>
      <c r="AY734" t="s">
        <v>274</v>
      </c>
      <c r="AZ734">
        <v>2008</v>
      </c>
      <c r="BA734">
        <v>17</v>
      </c>
      <c r="BB734" t="s">
        <v>3849</v>
      </c>
      <c r="BC734" t="s">
        <v>69</v>
      </c>
      <c r="BD734" t="s">
        <v>69</v>
      </c>
      <c r="BE734" t="s">
        <v>69</v>
      </c>
      <c r="BF734" t="s">
        <v>69</v>
      </c>
      <c r="BG734">
        <v>295</v>
      </c>
      <c r="BH734">
        <v>306</v>
      </c>
      <c r="BI734" t="s">
        <v>69</v>
      </c>
      <c r="BJ734" t="s">
        <v>29062</v>
      </c>
      <c r="BK734" t="str">
        <f>HYPERLINK("http://dx.doi.org/10.1002/jsc.834","http://dx.doi.org/10.1002/jsc.834")</f>
        <v>http://dx.doi.org/10.1002/jsc.834</v>
      </c>
      <c r="BL734" t="s">
        <v>69</v>
      </c>
      <c r="BM734" t="s">
        <v>69</v>
      </c>
      <c r="BN734">
        <v>12</v>
      </c>
      <c r="BO734" t="s">
        <v>9749</v>
      </c>
      <c r="BP734" t="s">
        <v>8573</v>
      </c>
      <c r="BQ734" t="s">
        <v>8594</v>
      </c>
      <c r="BR734" t="s">
        <v>29063</v>
      </c>
      <c r="BS734" t="s">
        <v>29064</v>
      </c>
      <c r="BT734" t="s">
        <v>69</v>
      </c>
      <c r="BU734" t="s">
        <v>69</v>
      </c>
      <c r="BV734" t="s">
        <v>69</v>
      </c>
      <c r="BW734" t="s">
        <v>69</v>
      </c>
      <c r="BX734" t="s">
        <v>8526</v>
      </c>
      <c r="BY734" t="str">
        <f>HYPERLINK("https%3A%2F%2Fwww.webofscience.com%2Fwos%2Fwoscc%2Ffull-record%2FWOS:000218120400006","View Full Record in Web of Science")</f>
        <v>View Full Record in Web of Science</v>
      </c>
    </row>
    <row r="735" spans="1:77" ht="12.5" x14ac:dyDescent="0.25">
      <c r="A735" t="s">
        <v>8495</v>
      </c>
      <c r="B735" s="7" t="s">
        <v>32933</v>
      </c>
      <c r="C735" s="7"/>
      <c r="D735" s="7"/>
      <c r="E735" s="7"/>
      <c r="F735" t="s">
        <v>67</v>
      </c>
      <c r="G735" t="s">
        <v>4253</v>
      </c>
      <c r="H735" t="s">
        <v>69</v>
      </c>
      <c r="I735" t="s">
        <v>69</v>
      </c>
      <c r="J735" t="s">
        <v>69</v>
      </c>
      <c r="K735" t="s">
        <v>4253</v>
      </c>
      <c r="L735" t="s">
        <v>69</v>
      </c>
      <c r="M735" t="s">
        <v>69</v>
      </c>
      <c r="N735" t="s">
        <v>4254</v>
      </c>
      <c r="O735" t="s">
        <v>4255</v>
      </c>
      <c r="P735" t="s">
        <v>69</v>
      </c>
      <c r="Q735" t="s">
        <v>69</v>
      </c>
      <c r="R735" t="s">
        <v>8505</v>
      </c>
      <c r="S735" t="s">
        <v>15797</v>
      </c>
      <c r="T735" t="s">
        <v>4256</v>
      </c>
      <c r="U735">
        <v>1996</v>
      </c>
      <c r="V735" t="s">
        <v>4257</v>
      </c>
      <c r="W735" t="s">
        <v>32492</v>
      </c>
      <c r="X735" t="s">
        <v>69</v>
      </c>
      <c r="Y735" t="s">
        <v>32493</v>
      </c>
      <c r="Z735" t="s">
        <v>69</v>
      </c>
      <c r="AA735" t="s">
        <v>4258</v>
      </c>
      <c r="AB735" t="s">
        <v>69</v>
      </c>
      <c r="AC735" t="s">
        <v>69</v>
      </c>
      <c r="AD735" t="s">
        <v>32494</v>
      </c>
      <c r="AE735" t="s">
        <v>69</v>
      </c>
      <c r="AF735" t="s">
        <v>69</v>
      </c>
      <c r="AG735" t="s">
        <v>69</v>
      </c>
      <c r="AH735" t="s">
        <v>69</v>
      </c>
      <c r="AI735" t="s">
        <v>69</v>
      </c>
      <c r="AJ735" t="s">
        <v>69</v>
      </c>
      <c r="AK735" t="s">
        <v>69</v>
      </c>
      <c r="AL735">
        <v>36</v>
      </c>
      <c r="AM735">
        <v>0</v>
      </c>
      <c r="AN735">
        <v>0</v>
      </c>
      <c r="AO735">
        <v>0</v>
      </c>
      <c r="AP735">
        <v>10</v>
      </c>
      <c r="AQ735" t="s">
        <v>32495</v>
      </c>
      <c r="AR735" t="s">
        <v>32496</v>
      </c>
      <c r="AS735" t="s">
        <v>32497</v>
      </c>
      <c r="AT735" t="s">
        <v>4259</v>
      </c>
      <c r="AU735" t="s">
        <v>69</v>
      </c>
      <c r="AV735" t="s">
        <v>69</v>
      </c>
      <c r="AW735" t="s">
        <v>4255</v>
      </c>
      <c r="AX735" t="s">
        <v>32498</v>
      </c>
      <c r="AY735" t="s">
        <v>69</v>
      </c>
      <c r="AZ735">
        <v>1996</v>
      </c>
      <c r="BA735">
        <v>41</v>
      </c>
      <c r="BB735" t="s">
        <v>145</v>
      </c>
      <c r="BC735" t="s">
        <v>69</v>
      </c>
      <c r="BD735" t="s">
        <v>69</v>
      </c>
      <c r="BE735" t="s">
        <v>69</v>
      </c>
      <c r="BF735" t="s">
        <v>69</v>
      </c>
      <c r="BG735">
        <v>387</v>
      </c>
      <c r="BH735">
        <v>404</v>
      </c>
      <c r="BI735" t="s">
        <v>69</v>
      </c>
      <c r="BJ735" t="s">
        <v>4260</v>
      </c>
      <c r="BK735" t="str">
        <f>HYPERLINK("http://dx.doi.org/10.1007/BF02765792","http://dx.doi.org/10.1007/BF02765792")</f>
        <v>http://dx.doi.org/10.1007/BF02765792</v>
      </c>
      <c r="BL735" t="s">
        <v>69</v>
      </c>
      <c r="BM735" t="s">
        <v>69</v>
      </c>
      <c r="BN735">
        <v>18</v>
      </c>
      <c r="BO735" t="s">
        <v>26862</v>
      </c>
      <c r="BP735" t="s">
        <v>29550</v>
      </c>
      <c r="BQ735" t="s">
        <v>26862</v>
      </c>
      <c r="BR735" t="s">
        <v>32499</v>
      </c>
      <c r="BS735" t="s">
        <v>4261</v>
      </c>
      <c r="BT735" t="s">
        <v>69</v>
      </c>
      <c r="BU735" t="s">
        <v>69</v>
      </c>
      <c r="BV735" t="s">
        <v>69</v>
      </c>
      <c r="BW735" t="s">
        <v>69</v>
      </c>
      <c r="BX735" t="s">
        <v>8526</v>
      </c>
      <c r="BY735" t="str">
        <f>HYPERLINK("https%3A%2F%2Fwww.webofscience.com%2Fwos%2Fwoscc%2Ffull-record%2FWOS:A1996XN47000007","View Full Record in Web of Science")</f>
        <v>View Full Record in Web of Science</v>
      </c>
    </row>
    <row r="736" spans="1:77" ht="12.5" x14ac:dyDescent="0.25">
      <c r="A736" t="s">
        <v>8495</v>
      </c>
      <c r="B736" s="7" t="s">
        <v>32933</v>
      </c>
      <c r="C736" s="7"/>
      <c r="D736" s="7"/>
      <c r="E736" s="7"/>
      <c r="F736" t="s">
        <v>67</v>
      </c>
      <c r="G736" t="s">
        <v>2041</v>
      </c>
      <c r="H736" t="s">
        <v>69</v>
      </c>
      <c r="I736" t="s">
        <v>69</v>
      </c>
      <c r="J736" t="s">
        <v>69</v>
      </c>
      <c r="K736" t="s">
        <v>2042</v>
      </c>
      <c r="L736" t="s">
        <v>69</v>
      </c>
      <c r="M736" t="s">
        <v>69</v>
      </c>
      <c r="N736" t="s">
        <v>2043</v>
      </c>
      <c r="O736" t="s">
        <v>2044</v>
      </c>
      <c r="P736" t="s">
        <v>69</v>
      </c>
      <c r="Q736" t="s">
        <v>69</v>
      </c>
      <c r="R736" t="s">
        <v>10153</v>
      </c>
      <c r="S736" t="s">
        <v>8506</v>
      </c>
      <c r="T736" t="s">
        <v>69</v>
      </c>
      <c r="U736" t="s">
        <v>69</v>
      </c>
      <c r="V736" t="s">
        <v>69</v>
      </c>
      <c r="W736" t="s">
        <v>69</v>
      </c>
      <c r="X736" t="s">
        <v>69</v>
      </c>
      <c r="Y736" t="s">
        <v>16086</v>
      </c>
      <c r="Z736" t="s">
        <v>69</v>
      </c>
      <c r="AA736" t="s">
        <v>2045</v>
      </c>
      <c r="AB736" t="s">
        <v>16087</v>
      </c>
      <c r="AC736" t="s">
        <v>69</v>
      </c>
      <c r="AD736" t="s">
        <v>16088</v>
      </c>
      <c r="AE736" t="s">
        <v>16089</v>
      </c>
      <c r="AF736" t="s">
        <v>69</v>
      </c>
      <c r="AG736" t="s">
        <v>69</v>
      </c>
      <c r="AH736" t="s">
        <v>69</v>
      </c>
      <c r="AI736" t="s">
        <v>69</v>
      </c>
      <c r="AJ736" t="s">
        <v>69</v>
      </c>
      <c r="AK736" t="s">
        <v>69</v>
      </c>
      <c r="AL736">
        <v>24</v>
      </c>
      <c r="AM736">
        <v>0</v>
      </c>
      <c r="AN736">
        <v>0</v>
      </c>
      <c r="AO736">
        <v>0</v>
      </c>
      <c r="AP736">
        <v>0</v>
      </c>
      <c r="AQ736" t="s">
        <v>16090</v>
      </c>
      <c r="AR736" t="s">
        <v>16091</v>
      </c>
      <c r="AS736" t="s">
        <v>16092</v>
      </c>
      <c r="AT736" t="s">
        <v>2046</v>
      </c>
      <c r="AU736" t="s">
        <v>2047</v>
      </c>
      <c r="AV736" t="s">
        <v>69</v>
      </c>
      <c r="AW736" t="s">
        <v>16093</v>
      </c>
      <c r="AX736" t="s">
        <v>16094</v>
      </c>
      <c r="AY736" t="s">
        <v>69</v>
      </c>
      <c r="AZ736">
        <v>2020</v>
      </c>
      <c r="BA736">
        <v>55</v>
      </c>
      <c r="BB736">
        <v>114</v>
      </c>
      <c r="BC736" t="s">
        <v>69</v>
      </c>
      <c r="BD736" t="s">
        <v>69</v>
      </c>
      <c r="BE736" t="s">
        <v>69</v>
      </c>
      <c r="BF736" t="s">
        <v>69</v>
      </c>
      <c r="BG736">
        <v>141</v>
      </c>
      <c r="BH736">
        <v>155</v>
      </c>
      <c r="BI736" t="s">
        <v>69</v>
      </c>
      <c r="BJ736" t="s">
        <v>2048</v>
      </c>
      <c r="BK736" t="str">
        <f>HYPERLINK("http://dx.doi.org/10.18055/Finis19631","http://dx.doi.org/10.18055/Finis19631")</f>
        <v>http://dx.doi.org/10.18055/Finis19631</v>
      </c>
      <c r="BL736" t="s">
        <v>69</v>
      </c>
      <c r="BM736" t="s">
        <v>69</v>
      </c>
      <c r="BN736">
        <v>15</v>
      </c>
      <c r="BO736" t="s">
        <v>8446</v>
      </c>
      <c r="BP736" t="s">
        <v>8573</v>
      </c>
      <c r="BQ736" t="s">
        <v>8446</v>
      </c>
      <c r="BR736" t="s">
        <v>16095</v>
      </c>
      <c r="BS736" t="s">
        <v>2049</v>
      </c>
      <c r="BT736" t="s">
        <v>69</v>
      </c>
      <c r="BU736" t="s">
        <v>69</v>
      </c>
      <c r="BV736" t="s">
        <v>69</v>
      </c>
      <c r="BW736" t="s">
        <v>69</v>
      </c>
      <c r="BX736" t="s">
        <v>8526</v>
      </c>
      <c r="BY736" t="str">
        <f>HYPERLINK("https%3A%2F%2Fwww.webofscience.com%2Fwos%2Fwoscc%2Ffull-record%2FWOS:000560790500009","View Full Record in Web of Science")</f>
        <v>View Full Record in Web of Science</v>
      </c>
    </row>
    <row r="737" spans="1:77" ht="12.5" x14ac:dyDescent="0.25">
      <c r="A737" t="s">
        <v>8495</v>
      </c>
      <c r="B737" s="7" t="s">
        <v>32933</v>
      </c>
      <c r="C737" s="7"/>
      <c r="D737" s="7"/>
      <c r="E737" s="7"/>
      <c r="F737" t="s">
        <v>67</v>
      </c>
      <c r="G737" t="s">
        <v>2067</v>
      </c>
      <c r="H737" t="s">
        <v>69</v>
      </c>
      <c r="I737" t="s">
        <v>69</v>
      </c>
      <c r="J737" t="s">
        <v>69</v>
      </c>
      <c r="K737" t="s">
        <v>2068</v>
      </c>
      <c r="L737" t="s">
        <v>69</v>
      </c>
      <c r="M737" t="s">
        <v>69</v>
      </c>
      <c r="N737" t="s">
        <v>2069</v>
      </c>
      <c r="O737" t="s">
        <v>2070</v>
      </c>
      <c r="P737" t="s">
        <v>69</v>
      </c>
      <c r="Q737" t="s">
        <v>69</v>
      </c>
      <c r="R737" t="s">
        <v>8505</v>
      </c>
      <c r="S737" t="s">
        <v>8506</v>
      </c>
      <c r="T737" t="s">
        <v>69</v>
      </c>
      <c r="U737" t="s">
        <v>69</v>
      </c>
      <c r="V737" t="s">
        <v>69</v>
      </c>
      <c r="W737" t="s">
        <v>69</v>
      </c>
      <c r="X737" t="s">
        <v>69</v>
      </c>
      <c r="Y737" t="s">
        <v>16030</v>
      </c>
      <c r="Z737" t="s">
        <v>16031</v>
      </c>
      <c r="AA737" t="s">
        <v>2071</v>
      </c>
      <c r="AB737" t="s">
        <v>16032</v>
      </c>
      <c r="AC737" t="s">
        <v>69</v>
      </c>
      <c r="AD737" t="s">
        <v>16033</v>
      </c>
      <c r="AE737" t="s">
        <v>16034</v>
      </c>
      <c r="AF737" t="s">
        <v>16035</v>
      </c>
      <c r="AG737" t="s">
        <v>16036</v>
      </c>
      <c r="AH737" t="s">
        <v>69</v>
      </c>
      <c r="AI737" t="s">
        <v>69</v>
      </c>
      <c r="AJ737" t="s">
        <v>69</v>
      </c>
      <c r="AK737" t="s">
        <v>69</v>
      </c>
      <c r="AL737">
        <v>16</v>
      </c>
      <c r="AM737">
        <v>0</v>
      </c>
      <c r="AN737">
        <v>0</v>
      </c>
      <c r="AO737">
        <v>1</v>
      </c>
      <c r="AP737">
        <v>2</v>
      </c>
      <c r="AQ737" t="s">
        <v>16037</v>
      </c>
      <c r="AR737" t="s">
        <v>16038</v>
      </c>
      <c r="AS737" t="s">
        <v>16039</v>
      </c>
      <c r="AT737" t="s">
        <v>2072</v>
      </c>
      <c r="AU737" t="s">
        <v>69</v>
      </c>
      <c r="AV737" t="s">
        <v>69</v>
      </c>
      <c r="AW737" t="s">
        <v>16040</v>
      </c>
      <c r="AX737" t="s">
        <v>16041</v>
      </c>
      <c r="AY737" t="s">
        <v>69</v>
      </c>
      <c r="AZ737">
        <v>2020</v>
      </c>
      <c r="BA737">
        <v>15</v>
      </c>
      <c r="BB737">
        <v>4</v>
      </c>
      <c r="BC737" t="s">
        <v>69</v>
      </c>
      <c r="BD737" t="s">
        <v>69</v>
      </c>
      <c r="BE737" t="s">
        <v>69</v>
      </c>
      <c r="BF737" t="s">
        <v>69</v>
      </c>
      <c r="BG737">
        <v>871</v>
      </c>
      <c r="BH737">
        <v>882</v>
      </c>
      <c r="BI737" t="s">
        <v>69</v>
      </c>
      <c r="BJ737" t="s">
        <v>2073</v>
      </c>
      <c r="BK737" t="str">
        <f>HYPERLINK("http://dx.doi.org/10.14198/jhse.2020.154.14","http://dx.doi.org/10.14198/jhse.2020.154.14")</f>
        <v>http://dx.doi.org/10.14198/jhse.2020.154.14</v>
      </c>
      <c r="BL737" t="s">
        <v>69</v>
      </c>
      <c r="BM737" t="s">
        <v>69</v>
      </c>
      <c r="BN737">
        <v>12</v>
      </c>
      <c r="BO737" t="s">
        <v>10024</v>
      </c>
      <c r="BP737" t="s">
        <v>8573</v>
      </c>
      <c r="BQ737" t="s">
        <v>10024</v>
      </c>
      <c r="BR737" t="s">
        <v>16042</v>
      </c>
      <c r="BS737" t="s">
        <v>2074</v>
      </c>
      <c r="BT737" t="s">
        <v>69</v>
      </c>
      <c r="BU737" t="s">
        <v>8931</v>
      </c>
      <c r="BV737" t="s">
        <v>69</v>
      </c>
      <c r="BW737" t="s">
        <v>69</v>
      </c>
      <c r="BX737" t="s">
        <v>8526</v>
      </c>
      <c r="BY737" t="str">
        <f>HYPERLINK("https%3A%2F%2Fwww.webofscience.com%2Fwos%2Fwoscc%2Ffull-record%2FWOS:000595736100014","View Full Record in Web of Science")</f>
        <v>View Full Record in Web of Science</v>
      </c>
    </row>
    <row r="738" spans="1:77" ht="12.5" x14ac:dyDescent="0.25">
      <c r="A738" t="s">
        <v>8495</v>
      </c>
      <c r="B738" s="22" t="s">
        <v>32931</v>
      </c>
      <c r="C738" s="7"/>
      <c r="D738" s="7"/>
      <c r="E738" s="7"/>
      <c r="F738" t="s">
        <v>67</v>
      </c>
      <c r="G738" t="s">
        <v>10149</v>
      </c>
      <c r="H738" t="s">
        <v>69</v>
      </c>
      <c r="I738" t="s">
        <v>69</v>
      </c>
      <c r="J738" t="s">
        <v>69</v>
      </c>
      <c r="K738" t="s">
        <v>10150</v>
      </c>
      <c r="L738" t="s">
        <v>69</v>
      </c>
      <c r="M738" t="s">
        <v>69</v>
      </c>
      <c r="N738" t="s">
        <v>10151</v>
      </c>
      <c r="O738" t="s">
        <v>10152</v>
      </c>
      <c r="P738" t="s">
        <v>69</v>
      </c>
      <c r="Q738" t="s">
        <v>69</v>
      </c>
      <c r="R738" t="s">
        <v>10153</v>
      </c>
      <c r="S738" t="s">
        <v>8506</v>
      </c>
      <c r="T738" t="s">
        <v>69</v>
      </c>
      <c r="U738" t="s">
        <v>69</v>
      </c>
      <c r="V738" t="s">
        <v>69</v>
      </c>
      <c r="W738" t="s">
        <v>69</v>
      </c>
      <c r="X738" t="s">
        <v>69</v>
      </c>
      <c r="Y738" t="s">
        <v>10154</v>
      </c>
      <c r="Z738" t="s">
        <v>10155</v>
      </c>
      <c r="AA738" t="s">
        <v>10156</v>
      </c>
      <c r="AB738" t="s">
        <v>10157</v>
      </c>
      <c r="AC738" t="s">
        <v>69</v>
      </c>
      <c r="AD738" t="s">
        <v>10158</v>
      </c>
      <c r="AE738" t="s">
        <v>10159</v>
      </c>
      <c r="AF738" t="s">
        <v>69</v>
      </c>
      <c r="AG738" t="s">
        <v>69</v>
      </c>
      <c r="AH738" t="s">
        <v>69</v>
      </c>
      <c r="AI738" t="s">
        <v>69</v>
      </c>
      <c r="AJ738" t="s">
        <v>69</v>
      </c>
      <c r="AK738" t="s">
        <v>69</v>
      </c>
      <c r="AL738">
        <v>60</v>
      </c>
      <c r="AM738">
        <v>0</v>
      </c>
      <c r="AN738">
        <v>0</v>
      </c>
      <c r="AO738">
        <v>1</v>
      </c>
      <c r="AP738">
        <v>1</v>
      </c>
      <c r="AQ738" t="s">
        <v>10160</v>
      </c>
      <c r="AR738" t="s">
        <v>10161</v>
      </c>
      <c r="AS738" t="s">
        <v>10162</v>
      </c>
      <c r="AT738" t="s">
        <v>10163</v>
      </c>
      <c r="AU738" t="s">
        <v>10164</v>
      </c>
      <c r="AV738" t="s">
        <v>69</v>
      </c>
      <c r="AW738" t="s">
        <v>10165</v>
      </c>
      <c r="AX738" t="s">
        <v>10166</v>
      </c>
      <c r="AY738" t="s">
        <v>2654</v>
      </c>
      <c r="AZ738">
        <v>2022</v>
      </c>
      <c r="BA738">
        <v>59</v>
      </c>
      <c r="BB738" t="s">
        <v>69</v>
      </c>
      <c r="BC738" t="s">
        <v>69</v>
      </c>
      <c r="BD738" t="s">
        <v>69</v>
      </c>
      <c r="BE738" t="s">
        <v>69</v>
      </c>
      <c r="BF738" t="s">
        <v>69</v>
      </c>
      <c r="BG738">
        <v>296</v>
      </c>
      <c r="BH738">
        <v>318</v>
      </c>
      <c r="BI738" t="s">
        <v>69</v>
      </c>
      <c r="BJ738" t="s">
        <v>10167</v>
      </c>
      <c r="BK738" t="str">
        <f>HYPERLINK("http://dx.doi.org/10.5380/dma.v59i0.74509","http://dx.doi.org/10.5380/dma.v59i0.74509")</f>
        <v>http://dx.doi.org/10.5380/dma.v59i0.74509</v>
      </c>
      <c r="BL738" t="s">
        <v>69</v>
      </c>
      <c r="BM738" t="s">
        <v>69</v>
      </c>
      <c r="BN738">
        <v>23</v>
      </c>
      <c r="BO738" t="s">
        <v>8660</v>
      </c>
      <c r="BP738" t="s">
        <v>8573</v>
      </c>
      <c r="BQ738" t="s">
        <v>8662</v>
      </c>
      <c r="BR738" t="s">
        <v>10168</v>
      </c>
      <c r="BS738" t="s">
        <v>10169</v>
      </c>
      <c r="BT738" t="s">
        <v>69</v>
      </c>
      <c r="BU738" t="s">
        <v>8931</v>
      </c>
      <c r="BV738" t="s">
        <v>69</v>
      </c>
      <c r="BW738" t="s">
        <v>69</v>
      </c>
      <c r="BX738" t="s">
        <v>8526</v>
      </c>
      <c r="BY738" t="str">
        <f>HYPERLINK("https%3A%2F%2Fwww.webofscience.com%2Fwos%2Fwoscc%2Ffull-record%2FWOS:000810564300001","View Full Record in Web of Science")</f>
        <v>View Full Record in Web of Science</v>
      </c>
    </row>
    <row r="739" spans="1:77" ht="12.5" x14ac:dyDescent="0.25">
      <c r="A739" t="s">
        <v>8495</v>
      </c>
      <c r="B739" s="22" t="s">
        <v>32931</v>
      </c>
      <c r="C739" s="7"/>
      <c r="D739" s="7"/>
      <c r="E739" s="7"/>
      <c r="F739" t="s">
        <v>67</v>
      </c>
      <c r="G739" t="s">
        <v>13116</v>
      </c>
      <c r="H739" t="s">
        <v>69</v>
      </c>
      <c r="I739" t="s">
        <v>69</v>
      </c>
      <c r="J739" t="s">
        <v>69</v>
      </c>
      <c r="K739" t="s">
        <v>13117</v>
      </c>
      <c r="L739" t="s">
        <v>69</v>
      </c>
      <c r="M739" t="s">
        <v>69</v>
      </c>
      <c r="N739" t="s">
        <v>13118</v>
      </c>
      <c r="O739" t="s">
        <v>859</v>
      </c>
      <c r="P739" t="s">
        <v>69</v>
      </c>
      <c r="Q739" t="s">
        <v>69</v>
      </c>
      <c r="R739" t="s">
        <v>8505</v>
      </c>
      <c r="S739" t="s">
        <v>8506</v>
      </c>
      <c r="T739" t="s">
        <v>69</v>
      </c>
      <c r="U739" t="s">
        <v>69</v>
      </c>
      <c r="V739" t="s">
        <v>69</v>
      </c>
      <c r="W739" t="s">
        <v>69</v>
      </c>
      <c r="X739" t="s">
        <v>69</v>
      </c>
      <c r="Y739" t="s">
        <v>69</v>
      </c>
      <c r="Z739" t="s">
        <v>13119</v>
      </c>
      <c r="AA739" t="s">
        <v>13120</v>
      </c>
      <c r="AB739" t="s">
        <v>13121</v>
      </c>
      <c r="AC739" t="s">
        <v>69</v>
      </c>
      <c r="AD739" t="s">
        <v>13122</v>
      </c>
      <c r="AE739" t="s">
        <v>13123</v>
      </c>
      <c r="AF739" t="s">
        <v>13124</v>
      </c>
      <c r="AG739" t="s">
        <v>13125</v>
      </c>
      <c r="AH739" t="s">
        <v>13126</v>
      </c>
      <c r="AI739" t="s">
        <v>13127</v>
      </c>
      <c r="AJ739" t="s">
        <v>13128</v>
      </c>
      <c r="AK739" t="s">
        <v>69</v>
      </c>
      <c r="AL739">
        <v>30</v>
      </c>
      <c r="AM739">
        <v>0</v>
      </c>
      <c r="AN739">
        <v>0</v>
      </c>
      <c r="AO739">
        <v>1</v>
      </c>
      <c r="AP739">
        <v>3</v>
      </c>
      <c r="AQ739" t="s">
        <v>11130</v>
      </c>
      <c r="AR739" t="s">
        <v>11131</v>
      </c>
      <c r="AS739" t="s">
        <v>11132</v>
      </c>
      <c r="AT739" t="s">
        <v>862</v>
      </c>
      <c r="AU739" t="s">
        <v>69</v>
      </c>
      <c r="AV739" t="s">
        <v>69</v>
      </c>
      <c r="AW739" t="s">
        <v>859</v>
      </c>
      <c r="AX739" t="s">
        <v>11133</v>
      </c>
      <c r="AY739" t="s">
        <v>4366</v>
      </c>
      <c r="AZ739">
        <v>2021</v>
      </c>
      <c r="BA739">
        <v>16</v>
      </c>
      <c r="BB739">
        <v>2</v>
      </c>
      <c r="BC739" t="s">
        <v>69</v>
      </c>
      <c r="BD739" t="s">
        <v>69</v>
      </c>
      <c r="BE739" t="s">
        <v>69</v>
      </c>
      <c r="BF739" t="s">
        <v>69</v>
      </c>
      <c r="BG739" t="s">
        <v>69</v>
      </c>
      <c r="BH739" t="s">
        <v>69</v>
      </c>
      <c r="BI739" t="s">
        <v>13129</v>
      </c>
      <c r="BJ739" t="s">
        <v>13130</v>
      </c>
      <c r="BK739" t="str">
        <f>HYPERLINK("http://dx.doi.org/10.1371/journal.pone.0244959","http://dx.doi.org/10.1371/journal.pone.0244959")</f>
        <v>http://dx.doi.org/10.1371/journal.pone.0244959</v>
      </c>
      <c r="BL739" t="s">
        <v>69</v>
      </c>
      <c r="BM739" t="s">
        <v>69</v>
      </c>
      <c r="BN739">
        <v>11</v>
      </c>
      <c r="BO739" t="s">
        <v>8619</v>
      </c>
      <c r="BP739" t="s">
        <v>8523</v>
      </c>
      <c r="BQ739" t="s">
        <v>8620</v>
      </c>
      <c r="BR739" t="s">
        <v>13131</v>
      </c>
      <c r="BS739" t="s">
        <v>13132</v>
      </c>
      <c r="BT739">
        <v>33571213</v>
      </c>
      <c r="BU739" t="s">
        <v>8812</v>
      </c>
      <c r="BV739" t="s">
        <v>69</v>
      </c>
      <c r="BW739" t="s">
        <v>69</v>
      </c>
      <c r="BX739" t="s">
        <v>8526</v>
      </c>
      <c r="BY739" t="str">
        <f>HYPERLINK("https%3A%2F%2Fwww.webofscience.com%2Fwos%2Fwoscc%2Ffull-record%2FWOS:000618274000084","View Full Record in Web of Science")</f>
        <v>View Full Record in Web of Science</v>
      </c>
    </row>
    <row r="740" spans="1:77" ht="12.5" x14ac:dyDescent="0.25">
      <c r="A740" t="s">
        <v>8495</v>
      </c>
      <c r="B740" s="7" t="s">
        <v>32933</v>
      </c>
      <c r="C740" s="7"/>
      <c r="D740" s="7"/>
      <c r="E740" s="7"/>
      <c r="F740" t="s">
        <v>67</v>
      </c>
      <c r="G740" t="s">
        <v>7995</v>
      </c>
      <c r="H740" t="s">
        <v>69</v>
      </c>
      <c r="I740" t="s">
        <v>69</v>
      </c>
      <c r="J740" t="s">
        <v>69</v>
      </c>
      <c r="K740" t="s">
        <v>7996</v>
      </c>
      <c r="L740" t="s">
        <v>69</v>
      </c>
      <c r="M740" t="s">
        <v>69</v>
      </c>
      <c r="N740" s="3" t="s">
        <v>7997</v>
      </c>
      <c r="O740" t="s">
        <v>4079</v>
      </c>
      <c r="P740" t="s">
        <v>69</v>
      </c>
      <c r="Q740" t="s">
        <v>69</v>
      </c>
      <c r="R740" t="s">
        <v>8505</v>
      </c>
      <c r="S740" t="s">
        <v>8506</v>
      </c>
      <c r="T740" t="s">
        <v>69</v>
      </c>
      <c r="U740" t="s">
        <v>69</v>
      </c>
      <c r="V740" t="s">
        <v>69</v>
      </c>
      <c r="W740" t="s">
        <v>69</v>
      </c>
      <c r="X740" t="s">
        <v>69</v>
      </c>
      <c r="Y740" t="s">
        <v>18770</v>
      </c>
      <c r="Z740" t="s">
        <v>18771</v>
      </c>
      <c r="AA740" t="s">
        <v>7998</v>
      </c>
      <c r="AB740" t="s">
        <v>18772</v>
      </c>
      <c r="AC740" t="s">
        <v>69</v>
      </c>
      <c r="AD740" t="s">
        <v>18773</v>
      </c>
      <c r="AE740" t="s">
        <v>18774</v>
      </c>
      <c r="AF740" t="s">
        <v>7999</v>
      </c>
      <c r="AG740" t="s">
        <v>18775</v>
      </c>
      <c r="AH740" t="s">
        <v>18776</v>
      </c>
      <c r="AI740" t="s">
        <v>18777</v>
      </c>
      <c r="AJ740" t="s">
        <v>18778</v>
      </c>
      <c r="AK740" t="s">
        <v>69</v>
      </c>
      <c r="AL740">
        <v>33</v>
      </c>
      <c r="AM740">
        <v>11</v>
      </c>
      <c r="AN740">
        <v>11</v>
      </c>
      <c r="AO740">
        <v>1</v>
      </c>
      <c r="AP740">
        <v>15</v>
      </c>
      <c r="AQ740" t="s">
        <v>18779</v>
      </c>
      <c r="AR740" t="s">
        <v>8993</v>
      </c>
      <c r="AS740" t="s">
        <v>18780</v>
      </c>
      <c r="AT740" t="s">
        <v>4084</v>
      </c>
      <c r="AU740" t="s">
        <v>8000</v>
      </c>
      <c r="AV740" t="s">
        <v>69</v>
      </c>
      <c r="AW740" t="s">
        <v>18781</v>
      </c>
      <c r="AX740" t="s">
        <v>18782</v>
      </c>
      <c r="AY740" t="s">
        <v>8001</v>
      </c>
      <c r="AZ740">
        <v>2018</v>
      </c>
      <c r="BA740">
        <v>167</v>
      </c>
      <c r="BB740" t="s">
        <v>69</v>
      </c>
      <c r="BC740" t="s">
        <v>69</v>
      </c>
      <c r="BD740" t="s">
        <v>69</v>
      </c>
      <c r="BE740" t="s">
        <v>69</v>
      </c>
      <c r="BF740" t="s">
        <v>69</v>
      </c>
      <c r="BG740">
        <v>177</v>
      </c>
      <c r="BH740">
        <v>186</v>
      </c>
      <c r="BI740" t="s">
        <v>69</v>
      </c>
      <c r="BJ740" t="s">
        <v>8002</v>
      </c>
      <c r="BK740" t="str">
        <f>HYPERLINK("http://dx.doi.org/10.1016/j.enbuild.2018.02.052","http://dx.doi.org/10.1016/j.enbuild.2018.02.052")</f>
        <v>http://dx.doi.org/10.1016/j.enbuild.2018.02.052</v>
      </c>
      <c r="BL740" t="s">
        <v>69</v>
      </c>
      <c r="BM740" t="s">
        <v>69</v>
      </c>
      <c r="BN740">
        <v>10</v>
      </c>
      <c r="BO740" t="s">
        <v>18783</v>
      </c>
      <c r="BP740" t="s">
        <v>8548</v>
      </c>
      <c r="BQ740" t="s">
        <v>18784</v>
      </c>
      <c r="BR740" t="s">
        <v>18785</v>
      </c>
      <c r="BS740" t="s">
        <v>8003</v>
      </c>
      <c r="BT740" t="s">
        <v>69</v>
      </c>
      <c r="BU740" t="s">
        <v>9292</v>
      </c>
      <c r="BV740" t="s">
        <v>69</v>
      </c>
      <c r="BW740" t="s">
        <v>69</v>
      </c>
      <c r="BX740" t="s">
        <v>8526</v>
      </c>
      <c r="BY740" t="str">
        <f>HYPERLINK("https%3A%2F%2Fwww.webofscience.com%2Fwos%2Fwoscc%2Ffull-record%2FWOS:000430630700016","View Full Record in Web of Science")</f>
        <v>View Full Record in Web of Science</v>
      </c>
    </row>
    <row r="741" spans="1:77" ht="12.5" x14ac:dyDescent="0.25">
      <c r="A741" t="s">
        <v>8495</v>
      </c>
      <c r="B741" s="7" t="s">
        <v>32933</v>
      </c>
      <c r="C741" s="7"/>
      <c r="D741" s="7"/>
      <c r="E741" s="7"/>
      <c r="F741" t="s">
        <v>67</v>
      </c>
      <c r="G741" t="s">
        <v>1540</v>
      </c>
      <c r="H741" t="s">
        <v>69</v>
      </c>
      <c r="I741" t="s">
        <v>69</v>
      </c>
      <c r="J741" t="s">
        <v>69</v>
      </c>
      <c r="K741" t="s">
        <v>1541</v>
      </c>
      <c r="L741" t="s">
        <v>69</v>
      </c>
      <c r="M741" t="s">
        <v>69</v>
      </c>
      <c r="N741" t="s">
        <v>1542</v>
      </c>
      <c r="O741" t="s">
        <v>151</v>
      </c>
      <c r="P741" t="s">
        <v>69</v>
      </c>
      <c r="Q741" t="s">
        <v>69</v>
      </c>
      <c r="R741" t="s">
        <v>8505</v>
      </c>
      <c r="S741" t="s">
        <v>8442</v>
      </c>
      <c r="T741" t="s">
        <v>69</v>
      </c>
      <c r="U741" t="s">
        <v>69</v>
      </c>
      <c r="V741" t="s">
        <v>69</v>
      </c>
      <c r="W741" t="s">
        <v>69</v>
      </c>
      <c r="X741" t="s">
        <v>69</v>
      </c>
      <c r="Y741" t="s">
        <v>28538</v>
      </c>
      <c r="Z741" t="s">
        <v>69</v>
      </c>
      <c r="AA741" t="s">
        <v>1543</v>
      </c>
      <c r="AB741" t="s">
        <v>28539</v>
      </c>
      <c r="AC741" t="s">
        <v>69</v>
      </c>
      <c r="AD741" t="s">
        <v>28540</v>
      </c>
      <c r="AE741" t="s">
        <v>28541</v>
      </c>
      <c r="AF741" t="s">
        <v>28542</v>
      </c>
      <c r="AG741" t="s">
        <v>28543</v>
      </c>
      <c r="AH741" t="s">
        <v>69</v>
      </c>
      <c r="AI741" t="s">
        <v>69</v>
      </c>
      <c r="AJ741" t="s">
        <v>69</v>
      </c>
      <c r="AK741" t="s">
        <v>69</v>
      </c>
      <c r="AL741">
        <v>9</v>
      </c>
      <c r="AM741">
        <v>98</v>
      </c>
      <c r="AN741">
        <v>99</v>
      </c>
      <c r="AO741">
        <v>1</v>
      </c>
      <c r="AP741">
        <v>16</v>
      </c>
      <c r="AQ741" t="s">
        <v>9145</v>
      </c>
      <c r="AR741" t="s">
        <v>8637</v>
      </c>
      <c r="AS741" t="s">
        <v>9146</v>
      </c>
      <c r="AT741" t="s">
        <v>154</v>
      </c>
      <c r="AU741" t="s">
        <v>69</v>
      </c>
      <c r="AV741" t="s">
        <v>69</v>
      </c>
      <c r="AW741" t="s">
        <v>12762</v>
      </c>
      <c r="AX741" t="s">
        <v>12763</v>
      </c>
      <c r="AY741" t="s">
        <v>246</v>
      </c>
      <c r="AZ741">
        <v>2009</v>
      </c>
      <c r="BA741">
        <v>13</v>
      </c>
      <c r="BB741">
        <v>3</v>
      </c>
      <c r="BC741" t="s">
        <v>69</v>
      </c>
      <c r="BD741" t="s">
        <v>69</v>
      </c>
      <c r="BE741" t="s">
        <v>69</v>
      </c>
      <c r="BF741" t="s">
        <v>69</v>
      </c>
      <c r="BG741">
        <v>689</v>
      </c>
      <c r="BH741">
        <v>695</v>
      </c>
      <c r="BI741" t="s">
        <v>69</v>
      </c>
      <c r="BJ741" t="s">
        <v>1544</v>
      </c>
      <c r="BK741" t="str">
        <f>HYPERLINK("http://dx.doi.org/10.1016/j.rser.2007.11.010","http://dx.doi.org/10.1016/j.rser.2007.11.010")</f>
        <v>http://dx.doi.org/10.1016/j.rser.2007.11.010</v>
      </c>
      <c r="BL741" t="s">
        <v>69</v>
      </c>
      <c r="BM741" t="s">
        <v>69</v>
      </c>
      <c r="BN741">
        <v>7</v>
      </c>
      <c r="BO741" t="s">
        <v>9931</v>
      </c>
      <c r="BP741" t="s">
        <v>8548</v>
      </c>
      <c r="BQ741" t="s">
        <v>9932</v>
      </c>
      <c r="BR741" t="s">
        <v>28544</v>
      </c>
      <c r="BS741" t="s">
        <v>1545</v>
      </c>
      <c r="BT741" t="s">
        <v>69</v>
      </c>
      <c r="BU741" t="s">
        <v>69</v>
      </c>
      <c r="BV741" t="s">
        <v>69</v>
      </c>
      <c r="BW741" t="s">
        <v>69</v>
      </c>
      <c r="BX741" t="s">
        <v>8526</v>
      </c>
      <c r="BY741" t="str">
        <f>HYPERLINK("https%3A%2F%2Fwww.webofscience.com%2Fwos%2Fwoscc%2Ffull-record%2FWOS:000263691900017","View Full Record in Web of Science")</f>
        <v>View Full Record in Web of Science</v>
      </c>
    </row>
    <row r="742" spans="1:77" ht="12.5" x14ac:dyDescent="0.25">
      <c r="A742" t="s">
        <v>8495</v>
      </c>
      <c r="B742" s="7" t="s">
        <v>32933</v>
      </c>
      <c r="C742" s="7"/>
      <c r="D742" s="7"/>
      <c r="E742" s="7"/>
      <c r="F742" t="s">
        <v>67</v>
      </c>
      <c r="G742" t="s">
        <v>3561</v>
      </c>
      <c r="H742" t="s">
        <v>69</v>
      </c>
      <c r="I742" t="s">
        <v>69</v>
      </c>
      <c r="J742" t="s">
        <v>69</v>
      </c>
      <c r="K742" t="s">
        <v>3562</v>
      </c>
      <c r="L742" t="s">
        <v>69</v>
      </c>
      <c r="M742" t="s">
        <v>69</v>
      </c>
      <c r="N742" t="s">
        <v>3563</v>
      </c>
      <c r="O742" t="s">
        <v>3564</v>
      </c>
      <c r="P742" t="s">
        <v>69</v>
      </c>
      <c r="Q742" t="s">
        <v>69</v>
      </c>
      <c r="R742" t="s">
        <v>8505</v>
      </c>
      <c r="S742" t="s">
        <v>8506</v>
      </c>
      <c r="T742" t="s">
        <v>69</v>
      </c>
      <c r="U742" t="s">
        <v>69</v>
      </c>
      <c r="V742" t="s">
        <v>69</v>
      </c>
      <c r="W742" t="s">
        <v>69</v>
      </c>
      <c r="X742" t="s">
        <v>69</v>
      </c>
      <c r="Y742" t="s">
        <v>27830</v>
      </c>
      <c r="Z742" t="s">
        <v>27831</v>
      </c>
      <c r="AA742" t="s">
        <v>3565</v>
      </c>
      <c r="AB742" t="s">
        <v>27832</v>
      </c>
      <c r="AC742" t="s">
        <v>69</v>
      </c>
      <c r="AD742" t="s">
        <v>27833</v>
      </c>
      <c r="AE742" t="s">
        <v>27834</v>
      </c>
      <c r="AF742" t="s">
        <v>69</v>
      </c>
      <c r="AG742" t="s">
        <v>69</v>
      </c>
      <c r="AH742" t="s">
        <v>27835</v>
      </c>
      <c r="AI742" t="s">
        <v>27835</v>
      </c>
      <c r="AJ742" t="s">
        <v>27836</v>
      </c>
      <c r="AK742" t="s">
        <v>69</v>
      </c>
      <c r="AL742">
        <v>44</v>
      </c>
      <c r="AM742">
        <v>9</v>
      </c>
      <c r="AN742">
        <v>9</v>
      </c>
      <c r="AO742">
        <v>0</v>
      </c>
      <c r="AP742">
        <v>1</v>
      </c>
      <c r="AQ742" t="s">
        <v>10923</v>
      </c>
      <c r="AR742" t="s">
        <v>10924</v>
      </c>
      <c r="AS742" t="s">
        <v>27837</v>
      </c>
      <c r="AT742" t="s">
        <v>3566</v>
      </c>
      <c r="AU742" t="s">
        <v>69</v>
      </c>
      <c r="AV742" t="s">
        <v>69</v>
      </c>
      <c r="AW742" t="s">
        <v>27838</v>
      </c>
      <c r="AX742" t="s">
        <v>27839</v>
      </c>
      <c r="AY742" t="s">
        <v>246</v>
      </c>
      <c r="AZ742">
        <v>2010</v>
      </c>
      <c r="BA742">
        <v>23</v>
      </c>
      <c r="BB742">
        <v>2</v>
      </c>
      <c r="BC742" t="s">
        <v>69</v>
      </c>
      <c r="BD742" t="s">
        <v>69</v>
      </c>
      <c r="BE742" t="s">
        <v>69</v>
      </c>
      <c r="BF742" t="s">
        <v>69</v>
      </c>
      <c r="BG742">
        <v>159</v>
      </c>
      <c r="BH742">
        <v>166</v>
      </c>
      <c r="BI742" t="s">
        <v>69</v>
      </c>
      <c r="BJ742" t="s">
        <v>3567</v>
      </c>
      <c r="BK742" t="str">
        <f>HYPERLINK("http://dx.doi.org/10.1097/ACO.0b013e328335db74","http://dx.doi.org/10.1097/ACO.0b013e328335db74")</f>
        <v>http://dx.doi.org/10.1097/ACO.0b013e328335db74</v>
      </c>
      <c r="BL742" t="s">
        <v>69</v>
      </c>
      <c r="BM742" t="s">
        <v>69</v>
      </c>
      <c r="BN742">
        <v>8</v>
      </c>
      <c r="BO742" t="s">
        <v>20540</v>
      </c>
      <c r="BP742" t="s">
        <v>8548</v>
      </c>
      <c r="BQ742" t="s">
        <v>20540</v>
      </c>
      <c r="BR742" t="s">
        <v>27840</v>
      </c>
      <c r="BS742" t="s">
        <v>3568</v>
      </c>
      <c r="BT742">
        <v>20019601</v>
      </c>
      <c r="BU742" t="s">
        <v>69</v>
      </c>
      <c r="BV742" t="s">
        <v>69</v>
      </c>
      <c r="BW742" t="s">
        <v>69</v>
      </c>
      <c r="BX742" t="s">
        <v>8526</v>
      </c>
      <c r="BY742" t="str">
        <f>HYPERLINK("https%3A%2F%2Fwww.webofscience.com%2Fwos%2Fwoscc%2Ffull-record%2FWOS:000275817300007","View Full Record in Web of Science")</f>
        <v>View Full Record in Web of Science</v>
      </c>
    </row>
    <row r="743" spans="1:77" ht="12.5" x14ac:dyDescent="0.25">
      <c r="A743" t="s">
        <v>8495</v>
      </c>
      <c r="B743" s="22" t="s">
        <v>32931</v>
      </c>
      <c r="C743" s="7"/>
      <c r="D743" s="7"/>
      <c r="E743" s="7"/>
      <c r="F743" t="s">
        <v>67</v>
      </c>
      <c r="G743" t="s">
        <v>10709</v>
      </c>
      <c r="H743" t="s">
        <v>69</v>
      </c>
      <c r="I743" t="s">
        <v>69</v>
      </c>
      <c r="J743" t="s">
        <v>69</v>
      </c>
      <c r="K743" t="s">
        <v>10710</v>
      </c>
      <c r="L743" t="s">
        <v>69</v>
      </c>
      <c r="M743" t="s">
        <v>69</v>
      </c>
      <c r="N743" t="s">
        <v>10711</v>
      </c>
      <c r="O743" t="s">
        <v>10712</v>
      </c>
      <c r="P743" t="s">
        <v>69</v>
      </c>
      <c r="Q743" t="s">
        <v>69</v>
      </c>
      <c r="R743" t="s">
        <v>8505</v>
      </c>
      <c r="S743" t="s">
        <v>8556</v>
      </c>
      <c r="T743" t="s">
        <v>69</v>
      </c>
      <c r="U743" t="s">
        <v>69</v>
      </c>
      <c r="V743" t="s">
        <v>69</v>
      </c>
      <c r="W743" t="s">
        <v>69</v>
      </c>
      <c r="X743" t="s">
        <v>69</v>
      </c>
      <c r="Y743" t="s">
        <v>69</v>
      </c>
      <c r="Z743" t="s">
        <v>10713</v>
      </c>
      <c r="AA743" t="s">
        <v>10714</v>
      </c>
      <c r="AB743" t="s">
        <v>10715</v>
      </c>
      <c r="AC743" t="s">
        <v>69</v>
      </c>
      <c r="AD743" t="s">
        <v>10716</v>
      </c>
      <c r="AE743" t="s">
        <v>10717</v>
      </c>
      <c r="AF743" t="s">
        <v>69</v>
      </c>
      <c r="AG743" t="s">
        <v>69</v>
      </c>
      <c r="AH743" t="s">
        <v>69</v>
      </c>
      <c r="AI743" t="s">
        <v>69</v>
      </c>
      <c r="AJ743" t="s">
        <v>69</v>
      </c>
      <c r="AK743" t="s">
        <v>69</v>
      </c>
      <c r="AL743">
        <v>61</v>
      </c>
      <c r="AM743">
        <v>2</v>
      </c>
      <c r="AN743">
        <v>2</v>
      </c>
      <c r="AO743">
        <v>2</v>
      </c>
      <c r="AP743">
        <v>2</v>
      </c>
      <c r="AQ743" t="s">
        <v>8846</v>
      </c>
      <c r="AR743" t="s">
        <v>8847</v>
      </c>
      <c r="AS743" t="s">
        <v>8848</v>
      </c>
      <c r="AT743" t="s">
        <v>10718</v>
      </c>
      <c r="AU743" t="s">
        <v>10719</v>
      </c>
      <c r="AV743" t="s">
        <v>69</v>
      </c>
      <c r="AW743" t="s">
        <v>10720</v>
      </c>
      <c r="AX743" t="s">
        <v>10721</v>
      </c>
      <c r="AY743" t="s">
        <v>69</v>
      </c>
      <c r="AZ743" t="s">
        <v>69</v>
      </c>
      <c r="BA743" t="s">
        <v>69</v>
      </c>
      <c r="BB743" t="s">
        <v>69</v>
      </c>
      <c r="BC743" t="s">
        <v>69</v>
      </c>
      <c r="BD743" t="s">
        <v>69</v>
      </c>
      <c r="BE743" t="s">
        <v>69</v>
      </c>
      <c r="BF743" t="s">
        <v>69</v>
      </c>
      <c r="BG743" t="s">
        <v>69</v>
      </c>
      <c r="BH743" t="s">
        <v>69</v>
      </c>
      <c r="BI743" t="s">
        <v>69</v>
      </c>
      <c r="BJ743" t="s">
        <v>10722</v>
      </c>
      <c r="BK743" t="str">
        <f>HYPERLINK("http://dx.doi.org/10.1111/padm.12809","http://dx.doi.org/10.1111/padm.12809")</f>
        <v>http://dx.doi.org/10.1111/padm.12809</v>
      </c>
      <c r="BL743" t="s">
        <v>69</v>
      </c>
      <c r="BM743" t="s">
        <v>10646</v>
      </c>
      <c r="BN743">
        <v>17</v>
      </c>
      <c r="BO743" t="s">
        <v>10439</v>
      </c>
      <c r="BP743" t="s">
        <v>8661</v>
      </c>
      <c r="BQ743" t="s">
        <v>10440</v>
      </c>
      <c r="BR743" t="s">
        <v>10723</v>
      </c>
      <c r="BS743" t="s">
        <v>10724</v>
      </c>
      <c r="BT743" t="s">
        <v>69</v>
      </c>
      <c r="BU743" t="s">
        <v>69</v>
      </c>
      <c r="BV743" t="s">
        <v>69</v>
      </c>
      <c r="BW743" t="s">
        <v>69</v>
      </c>
      <c r="BX743" t="s">
        <v>8526</v>
      </c>
      <c r="BY743" t="str">
        <f>HYPERLINK("https%3A%2F%2Fwww.webofscience.com%2Fwos%2Fwoscc%2Ffull-record%2FWOS:000722887500001","View Full Record in Web of Science")</f>
        <v>View Full Record in Web of Science</v>
      </c>
    </row>
    <row r="744" spans="1:77" ht="12.5" x14ac:dyDescent="0.25">
      <c r="A744" t="s">
        <v>8495</v>
      </c>
      <c r="B744" s="7" t="s">
        <v>32933</v>
      </c>
      <c r="C744" s="7"/>
      <c r="D744" s="7"/>
      <c r="E744" s="7"/>
      <c r="F744" t="s">
        <v>67</v>
      </c>
      <c r="G744" t="s">
        <v>1258</v>
      </c>
      <c r="H744" t="s">
        <v>69</v>
      </c>
      <c r="I744" t="s">
        <v>69</v>
      </c>
      <c r="J744" t="s">
        <v>69</v>
      </c>
      <c r="K744" t="s">
        <v>1259</v>
      </c>
      <c r="L744" t="s">
        <v>69</v>
      </c>
      <c r="M744" t="s">
        <v>69</v>
      </c>
      <c r="N744" t="s">
        <v>1260</v>
      </c>
      <c r="O744" t="s">
        <v>332</v>
      </c>
      <c r="P744" t="s">
        <v>69</v>
      </c>
      <c r="Q744" t="s">
        <v>69</v>
      </c>
      <c r="R744" t="s">
        <v>8505</v>
      </c>
      <c r="S744" t="s">
        <v>8506</v>
      </c>
      <c r="T744" t="s">
        <v>69</v>
      </c>
      <c r="U744" t="s">
        <v>69</v>
      </c>
      <c r="V744" t="s">
        <v>69</v>
      </c>
      <c r="W744" t="s">
        <v>69</v>
      </c>
      <c r="X744" t="s">
        <v>69</v>
      </c>
      <c r="Y744" t="s">
        <v>21898</v>
      </c>
      <c r="Z744" t="s">
        <v>21899</v>
      </c>
      <c r="AA744" t="s">
        <v>1261</v>
      </c>
      <c r="AB744" t="s">
        <v>21900</v>
      </c>
      <c r="AC744" t="s">
        <v>69</v>
      </c>
      <c r="AD744" t="s">
        <v>21901</v>
      </c>
      <c r="AE744" t="s">
        <v>21902</v>
      </c>
      <c r="AF744" t="s">
        <v>69</v>
      </c>
      <c r="AG744" t="s">
        <v>1262</v>
      </c>
      <c r="AH744" t="s">
        <v>69</v>
      </c>
      <c r="AI744" t="s">
        <v>69</v>
      </c>
      <c r="AJ744" t="s">
        <v>69</v>
      </c>
      <c r="AK744" t="s">
        <v>69</v>
      </c>
      <c r="AL744">
        <v>42</v>
      </c>
      <c r="AM744">
        <v>4</v>
      </c>
      <c r="AN744">
        <v>4</v>
      </c>
      <c r="AO744">
        <v>0</v>
      </c>
      <c r="AP744">
        <v>7</v>
      </c>
      <c r="AQ744" t="s">
        <v>8586</v>
      </c>
      <c r="AR744" t="s">
        <v>8587</v>
      </c>
      <c r="AS744" t="s">
        <v>8588</v>
      </c>
      <c r="AT744" t="s">
        <v>334</v>
      </c>
      <c r="AU744" t="s">
        <v>335</v>
      </c>
      <c r="AV744" t="s">
        <v>69</v>
      </c>
      <c r="AW744" t="s">
        <v>332</v>
      </c>
      <c r="AX744" t="s">
        <v>16285</v>
      </c>
      <c r="AY744" t="s">
        <v>69</v>
      </c>
      <c r="AZ744">
        <v>2016</v>
      </c>
      <c r="BA744">
        <v>34</v>
      </c>
      <c r="BB744" t="s">
        <v>1263</v>
      </c>
      <c r="BC744" t="s">
        <v>69</v>
      </c>
      <c r="BD744" t="s">
        <v>69</v>
      </c>
      <c r="BE744" t="s">
        <v>69</v>
      </c>
      <c r="BF744" t="s">
        <v>69</v>
      </c>
      <c r="BG744">
        <v>630</v>
      </c>
      <c r="BH744">
        <v>648</v>
      </c>
      <c r="BI744" t="s">
        <v>69</v>
      </c>
      <c r="BJ744" t="s">
        <v>1264</v>
      </c>
      <c r="BK744" t="str">
        <f>HYPERLINK("http://dx.doi.org/10.1108/F-02-2014-0012","http://dx.doi.org/10.1108/F-02-2014-0012")</f>
        <v>http://dx.doi.org/10.1108/F-02-2014-0012</v>
      </c>
      <c r="BL744" t="s">
        <v>69</v>
      </c>
      <c r="BM744" t="s">
        <v>69</v>
      </c>
      <c r="BN744">
        <v>19</v>
      </c>
      <c r="BO744" t="s">
        <v>9410</v>
      </c>
      <c r="BP744" t="s">
        <v>8573</v>
      </c>
      <c r="BQ744" t="s">
        <v>8594</v>
      </c>
      <c r="BR744" t="s">
        <v>21903</v>
      </c>
      <c r="BS744" t="s">
        <v>1265</v>
      </c>
      <c r="BT744" t="s">
        <v>69</v>
      </c>
      <c r="BU744" t="s">
        <v>69</v>
      </c>
      <c r="BV744" t="s">
        <v>69</v>
      </c>
      <c r="BW744" t="s">
        <v>69</v>
      </c>
      <c r="BX744" t="s">
        <v>8526</v>
      </c>
      <c r="BY744" t="str">
        <f>HYPERLINK("https%3A%2F%2Fwww.webofscience.com%2Fwos%2Fwoscc%2Ffull-record%2FWOS:000409184700002","View Full Record in Web of Science")</f>
        <v>View Full Record in Web of Science</v>
      </c>
    </row>
    <row r="745" spans="1:77" ht="12.5" x14ac:dyDescent="0.25">
      <c r="A745" t="s">
        <v>8495</v>
      </c>
      <c r="B745" s="7" t="s">
        <v>32933</v>
      </c>
      <c r="C745" s="7"/>
      <c r="D745" s="7"/>
      <c r="E745" s="7"/>
      <c r="F745" t="s">
        <v>67</v>
      </c>
      <c r="G745" t="s">
        <v>6665</v>
      </c>
      <c r="H745" t="s">
        <v>69</v>
      </c>
      <c r="I745" t="s">
        <v>69</v>
      </c>
      <c r="J745" t="s">
        <v>69</v>
      </c>
      <c r="K745" t="s">
        <v>6666</v>
      </c>
      <c r="L745" t="s">
        <v>69</v>
      </c>
      <c r="M745" t="s">
        <v>69</v>
      </c>
      <c r="N745" t="s">
        <v>6667</v>
      </c>
      <c r="O745" t="s">
        <v>6668</v>
      </c>
      <c r="P745" t="s">
        <v>69</v>
      </c>
      <c r="Q745" t="s">
        <v>69</v>
      </c>
      <c r="R745" t="s">
        <v>8505</v>
      </c>
      <c r="S745" t="s">
        <v>8506</v>
      </c>
      <c r="T745" t="s">
        <v>69</v>
      </c>
      <c r="U745" t="s">
        <v>69</v>
      </c>
      <c r="V745" t="s">
        <v>69</v>
      </c>
      <c r="W745" t="s">
        <v>69</v>
      </c>
      <c r="X745" t="s">
        <v>69</v>
      </c>
      <c r="Y745" t="s">
        <v>69</v>
      </c>
      <c r="Z745" t="s">
        <v>22412</v>
      </c>
      <c r="AA745" t="s">
        <v>6669</v>
      </c>
      <c r="AB745" t="s">
        <v>22413</v>
      </c>
      <c r="AC745" t="s">
        <v>69</v>
      </c>
      <c r="AD745" t="s">
        <v>22414</v>
      </c>
      <c r="AE745" t="s">
        <v>22415</v>
      </c>
      <c r="AF745" t="s">
        <v>69</v>
      </c>
      <c r="AG745" t="s">
        <v>69</v>
      </c>
      <c r="AH745" t="s">
        <v>22416</v>
      </c>
      <c r="AI745" t="s">
        <v>22416</v>
      </c>
      <c r="AJ745" t="s">
        <v>22417</v>
      </c>
      <c r="AK745" t="s">
        <v>69</v>
      </c>
      <c r="AL745">
        <v>77</v>
      </c>
      <c r="AM745">
        <v>27</v>
      </c>
      <c r="AN745">
        <v>27</v>
      </c>
      <c r="AO745">
        <v>2</v>
      </c>
      <c r="AP745">
        <v>56</v>
      </c>
      <c r="AQ745" t="s">
        <v>14489</v>
      </c>
      <c r="AR745" t="s">
        <v>14490</v>
      </c>
      <c r="AS745" t="s">
        <v>14491</v>
      </c>
      <c r="AT745" t="s">
        <v>6670</v>
      </c>
      <c r="AU745" t="s">
        <v>6671</v>
      </c>
      <c r="AV745" t="s">
        <v>69</v>
      </c>
      <c r="AW745" t="s">
        <v>22418</v>
      </c>
      <c r="AX745" t="s">
        <v>22419</v>
      </c>
      <c r="AY745" t="s">
        <v>904</v>
      </c>
      <c r="AZ745">
        <v>2015</v>
      </c>
      <c r="BA745">
        <v>8</v>
      </c>
      <c r="BB745">
        <v>5</v>
      </c>
      <c r="BC745" t="s">
        <v>69</v>
      </c>
      <c r="BD745" t="s">
        <v>69</v>
      </c>
      <c r="BE745" t="s">
        <v>69</v>
      </c>
      <c r="BF745" t="s">
        <v>69</v>
      </c>
      <c r="BG745">
        <v>165</v>
      </c>
      <c r="BH745">
        <v>180</v>
      </c>
      <c r="BI745" t="s">
        <v>69</v>
      </c>
      <c r="BJ745" t="s">
        <v>6672</v>
      </c>
      <c r="BK745" t="str">
        <f>HYPERLINK("http://dx.doi.org/10.1089/env.2015.0018","http://dx.doi.org/10.1089/env.2015.0018")</f>
        <v>http://dx.doi.org/10.1089/env.2015.0018</v>
      </c>
      <c r="BL745" t="s">
        <v>69</v>
      </c>
      <c r="BM745" t="s">
        <v>69</v>
      </c>
      <c r="BN745">
        <v>16</v>
      </c>
      <c r="BO745" t="s">
        <v>8660</v>
      </c>
      <c r="BP745" t="s">
        <v>8573</v>
      </c>
      <c r="BQ745" t="s">
        <v>8662</v>
      </c>
      <c r="BR745" t="s">
        <v>22420</v>
      </c>
      <c r="BS745" t="s">
        <v>6673</v>
      </c>
      <c r="BT745" t="s">
        <v>69</v>
      </c>
      <c r="BU745" t="s">
        <v>69</v>
      </c>
      <c r="BV745" t="s">
        <v>69</v>
      </c>
      <c r="BW745" t="s">
        <v>69</v>
      </c>
      <c r="BX745" t="s">
        <v>8526</v>
      </c>
      <c r="BY745" t="str">
        <f>HYPERLINK("https%3A%2F%2Fwww.webofscience.com%2Fwos%2Fwoscc%2Ffull-record%2FWOS:000363887700002","View Full Record in Web of Science")</f>
        <v>View Full Record in Web of Science</v>
      </c>
    </row>
    <row r="746" spans="1:77" ht="12.5" x14ac:dyDescent="0.25">
      <c r="A746" t="s">
        <v>8495</v>
      </c>
      <c r="B746" s="22" t="s">
        <v>32931</v>
      </c>
      <c r="C746" s="7"/>
      <c r="D746" s="7"/>
      <c r="E746" s="7"/>
      <c r="F746" t="s">
        <v>67</v>
      </c>
      <c r="G746" t="s">
        <v>23279</v>
      </c>
      <c r="H746" t="s">
        <v>69</v>
      </c>
      <c r="I746" t="s">
        <v>69</v>
      </c>
      <c r="J746" t="s">
        <v>69</v>
      </c>
      <c r="K746" t="s">
        <v>23280</v>
      </c>
      <c r="L746" t="s">
        <v>69</v>
      </c>
      <c r="M746" t="s">
        <v>69</v>
      </c>
      <c r="N746" t="s">
        <v>23281</v>
      </c>
      <c r="O746" t="s">
        <v>22273</v>
      </c>
      <c r="P746" t="s">
        <v>69</v>
      </c>
      <c r="Q746" t="s">
        <v>69</v>
      </c>
      <c r="R746" t="s">
        <v>8505</v>
      </c>
      <c r="S746" t="s">
        <v>8506</v>
      </c>
      <c r="T746" t="s">
        <v>69</v>
      </c>
      <c r="U746" t="s">
        <v>69</v>
      </c>
      <c r="V746" t="s">
        <v>69</v>
      </c>
      <c r="W746" t="s">
        <v>69</v>
      </c>
      <c r="X746" t="s">
        <v>69</v>
      </c>
      <c r="Y746" t="s">
        <v>23282</v>
      </c>
      <c r="Z746" t="s">
        <v>23283</v>
      </c>
      <c r="AA746" t="s">
        <v>23284</v>
      </c>
      <c r="AB746" t="s">
        <v>23285</v>
      </c>
      <c r="AC746" t="s">
        <v>69</v>
      </c>
      <c r="AD746" t="s">
        <v>23286</v>
      </c>
      <c r="AE746" t="s">
        <v>23287</v>
      </c>
      <c r="AF746" t="s">
        <v>69</v>
      </c>
      <c r="AG746" t="s">
        <v>69</v>
      </c>
      <c r="AH746" t="s">
        <v>69</v>
      </c>
      <c r="AI746" t="s">
        <v>69</v>
      </c>
      <c r="AJ746" t="s">
        <v>69</v>
      </c>
      <c r="AK746" t="s">
        <v>69</v>
      </c>
      <c r="AL746">
        <v>53</v>
      </c>
      <c r="AM746">
        <v>43</v>
      </c>
      <c r="AN746">
        <v>46</v>
      </c>
      <c r="AO746">
        <v>5</v>
      </c>
      <c r="AP746">
        <v>46</v>
      </c>
      <c r="AQ746" t="s">
        <v>22282</v>
      </c>
      <c r="AR746" t="s">
        <v>22283</v>
      </c>
      <c r="AS746" t="s">
        <v>22284</v>
      </c>
      <c r="AT746" t="s">
        <v>22285</v>
      </c>
      <c r="AU746" t="s">
        <v>22286</v>
      </c>
      <c r="AV746" t="s">
        <v>69</v>
      </c>
      <c r="AW746" t="s">
        <v>22287</v>
      </c>
      <c r="AX746" t="s">
        <v>22288</v>
      </c>
      <c r="AY746" t="s">
        <v>69</v>
      </c>
      <c r="AZ746">
        <v>2015</v>
      </c>
      <c r="BA746">
        <v>23</v>
      </c>
      <c r="BB746">
        <v>3</v>
      </c>
      <c r="BC746" t="s">
        <v>69</v>
      </c>
      <c r="BD746" t="s">
        <v>69</v>
      </c>
      <c r="BE746" t="s">
        <v>69</v>
      </c>
      <c r="BF746" t="s">
        <v>69</v>
      </c>
      <c r="BG746">
        <v>401</v>
      </c>
      <c r="BH746">
        <v>416</v>
      </c>
      <c r="BI746" t="s">
        <v>69</v>
      </c>
      <c r="BJ746" t="s">
        <v>23288</v>
      </c>
      <c r="BK746" t="str">
        <f>HYPERLINK("http://dx.doi.org/10.1080/09669582.2014.957208","http://dx.doi.org/10.1080/09669582.2014.957208")</f>
        <v>http://dx.doi.org/10.1080/09669582.2014.957208</v>
      </c>
      <c r="BL746" t="s">
        <v>69</v>
      </c>
      <c r="BM746" t="s">
        <v>69</v>
      </c>
      <c r="BN746">
        <v>16</v>
      </c>
      <c r="BO746" t="s">
        <v>22290</v>
      </c>
      <c r="BP746" t="s">
        <v>8661</v>
      </c>
      <c r="BQ746" t="s">
        <v>22291</v>
      </c>
      <c r="BR746" t="s">
        <v>23289</v>
      </c>
      <c r="BS746" t="s">
        <v>23290</v>
      </c>
      <c r="BT746" t="s">
        <v>69</v>
      </c>
      <c r="BU746" t="s">
        <v>69</v>
      </c>
      <c r="BV746" t="s">
        <v>69</v>
      </c>
      <c r="BW746" t="s">
        <v>69</v>
      </c>
      <c r="BX746" t="s">
        <v>8526</v>
      </c>
      <c r="BY746" t="str">
        <f>HYPERLINK("https%3A%2F%2Fwww.webofscience.com%2Fwos%2Fwoscc%2Ffull-record%2FWOS:000350175100004","View Full Record in Web of Science")</f>
        <v>View Full Record in Web of Science</v>
      </c>
    </row>
    <row r="747" spans="1:77" ht="12.5" x14ac:dyDescent="0.25">
      <c r="A747" t="s">
        <v>8495</v>
      </c>
      <c r="B747" s="7" t="s">
        <v>32933</v>
      </c>
      <c r="C747" s="7"/>
      <c r="D747" s="7"/>
      <c r="E747" s="7"/>
      <c r="F747" t="s">
        <v>67</v>
      </c>
      <c r="G747" t="s">
        <v>3673</v>
      </c>
      <c r="H747" t="s">
        <v>69</v>
      </c>
      <c r="I747" t="s">
        <v>69</v>
      </c>
      <c r="J747" t="s">
        <v>69</v>
      </c>
      <c r="K747" t="s">
        <v>3674</v>
      </c>
      <c r="L747" t="s">
        <v>69</v>
      </c>
      <c r="M747" t="s">
        <v>69</v>
      </c>
      <c r="N747" t="s">
        <v>3675</v>
      </c>
      <c r="O747" t="s">
        <v>1467</v>
      </c>
      <c r="P747" t="s">
        <v>69</v>
      </c>
      <c r="Q747" t="s">
        <v>69</v>
      </c>
      <c r="R747" t="s">
        <v>8505</v>
      </c>
      <c r="S747" t="s">
        <v>15797</v>
      </c>
      <c r="T747" t="s">
        <v>3676</v>
      </c>
      <c r="U747" t="s">
        <v>3677</v>
      </c>
      <c r="V747" t="s">
        <v>3678</v>
      </c>
      <c r="W747" t="s">
        <v>3679</v>
      </c>
      <c r="X747" t="s">
        <v>69</v>
      </c>
      <c r="Y747" t="s">
        <v>69</v>
      </c>
      <c r="Z747" t="s">
        <v>29252</v>
      </c>
      <c r="AA747" t="s">
        <v>3680</v>
      </c>
      <c r="AB747" t="s">
        <v>29253</v>
      </c>
      <c r="AC747" t="s">
        <v>69</v>
      </c>
      <c r="AD747" t="s">
        <v>29254</v>
      </c>
      <c r="AE747" t="s">
        <v>29255</v>
      </c>
      <c r="AF747" t="s">
        <v>29256</v>
      </c>
      <c r="AG747" t="s">
        <v>29257</v>
      </c>
      <c r="AH747" t="s">
        <v>69</v>
      </c>
      <c r="AI747" t="s">
        <v>69</v>
      </c>
      <c r="AJ747" t="s">
        <v>69</v>
      </c>
      <c r="AK747" t="s">
        <v>69</v>
      </c>
      <c r="AL747">
        <v>88</v>
      </c>
      <c r="AM747">
        <v>26</v>
      </c>
      <c r="AN747">
        <v>26</v>
      </c>
      <c r="AO747">
        <v>0</v>
      </c>
      <c r="AP747">
        <v>22</v>
      </c>
      <c r="AQ747" t="s">
        <v>8762</v>
      </c>
      <c r="AR747" t="s">
        <v>8763</v>
      </c>
      <c r="AS747" t="s">
        <v>8764</v>
      </c>
      <c r="AT747" t="s">
        <v>1469</v>
      </c>
      <c r="AU747" t="s">
        <v>1470</v>
      </c>
      <c r="AV747" t="s">
        <v>69</v>
      </c>
      <c r="AW747" t="s">
        <v>22443</v>
      </c>
      <c r="AX747" t="s">
        <v>22444</v>
      </c>
      <c r="AY747" t="s">
        <v>246</v>
      </c>
      <c r="AZ747">
        <v>2008</v>
      </c>
      <c r="BA747">
        <v>26</v>
      </c>
      <c r="BB747">
        <v>2</v>
      </c>
      <c r="BC747" t="s">
        <v>69</v>
      </c>
      <c r="BD747" t="s">
        <v>69</v>
      </c>
      <c r="BE747" t="s">
        <v>69</v>
      </c>
      <c r="BF747" t="s">
        <v>69</v>
      </c>
      <c r="BG747">
        <v>292</v>
      </c>
      <c r="BH747">
        <v>314</v>
      </c>
      <c r="BI747" t="s">
        <v>69</v>
      </c>
      <c r="BJ747" t="s">
        <v>3681</v>
      </c>
      <c r="BK747" t="str">
        <f>HYPERLINK("http://dx.doi.org/10.1068/c0663","http://dx.doi.org/10.1068/c0663")</f>
        <v>http://dx.doi.org/10.1068/c0663</v>
      </c>
      <c r="BL747" t="s">
        <v>69</v>
      </c>
      <c r="BM747" t="s">
        <v>69</v>
      </c>
      <c r="BN747">
        <v>23</v>
      </c>
      <c r="BO747" t="s">
        <v>22445</v>
      </c>
      <c r="BP747" t="s">
        <v>18588</v>
      </c>
      <c r="BQ747" t="s">
        <v>15243</v>
      </c>
      <c r="BR747" t="s">
        <v>29258</v>
      </c>
      <c r="BS747" t="s">
        <v>3682</v>
      </c>
      <c r="BT747" t="s">
        <v>69</v>
      </c>
      <c r="BU747" t="s">
        <v>69</v>
      </c>
      <c r="BV747" t="s">
        <v>69</v>
      </c>
      <c r="BW747" t="s">
        <v>69</v>
      </c>
      <c r="BX747" t="s">
        <v>8526</v>
      </c>
      <c r="BY747" t="str">
        <f>HYPERLINK("https%3A%2F%2Fwww.webofscience.com%2Fwos%2Fwoscc%2Ffull-record%2FWOS:000255731600002","View Full Record in Web of Science")</f>
        <v>View Full Record in Web of Science</v>
      </c>
    </row>
    <row r="748" spans="1:77" ht="12.5" x14ac:dyDescent="0.25">
      <c r="A748" t="s">
        <v>8495</v>
      </c>
      <c r="B748" s="7" t="s">
        <v>32933</v>
      </c>
      <c r="C748" s="7"/>
      <c r="D748" s="7"/>
      <c r="E748" s="7"/>
      <c r="F748" t="s">
        <v>67</v>
      </c>
      <c r="G748" t="s">
        <v>7781</v>
      </c>
      <c r="H748" t="s">
        <v>69</v>
      </c>
      <c r="I748" t="s">
        <v>69</v>
      </c>
      <c r="J748" t="s">
        <v>69</v>
      </c>
      <c r="K748" t="s">
        <v>7782</v>
      </c>
      <c r="L748" t="s">
        <v>69</v>
      </c>
      <c r="M748" t="s">
        <v>69</v>
      </c>
      <c r="N748" t="s">
        <v>7783</v>
      </c>
      <c r="O748" t="s">
        <v>7336</v>
      </c>
      <c r="P748" t="s">
        <v>69</v>
      </c>
      <c r="Q748" t="s">
        <v>69</v>
      </c>
      <c r="R748" t="s">
        <v>8505</v>
      </c>
      <c r="S748" t="s">
        <v>8506</v>
      </c>
      <c r="T748" t="s">
        <v>69</v>
      </c>
      <c r="U748" t="s">
        <v>69</v>
      </c>
      <c r="V748" t="s">
        <v>69</v>
      </c>
      <c r="W748" t="s">
        <v>69</v>
      </c>
      <c r="X748" t="s">
        <v>69</v>
      </c>
      <c r="Y748" t="s">
        <v>16556</v>
      </c>
      <c r="Z748" t="s">
        <v>16557</v>
      </c>
      <c r="AA748" t="s">
        <v>7784</v>
      </c>
      <c r="AB748" t="s">
        <v>16558</v>
      </c>
      <c r="AC748" t="s">
        <v>69</v>
      </c>
      <c r="AD748" t="s">
        <v>15705</v>
      </c>
      <c r="AE748" t="s">
        <v>16559</v>
      </c>
      <c r="AF748" t="s">
        <v>7785</v>
      </c>
      <c r="AG748" t="s">
        <v>7786</v>
      </c>
      <c r="AH748" t="s">
        <v>69</v>
      </c>
      <c r="AI748" t="s">
        <v>69</v>
      </c>
      <c r="AJ748" t="s">
        <v>69</v>
      </c>
      <c r="AK748" t="s">
        <v>69</v>
      </c>
      <c r="AL748">
        <v>57</v>
      </c>
      <c r="AM748">
        <v>2</v>
      </c>
      <c r="AN748">
        <v>2</v>
      </c>
      <c r="AO748">
        <v>0</v>
      </c>
      <c r="AP748">
        <v>9</v>
      </c>
      <c r="AQ748" t="s">
        <v>8586</v>
      </c>
      <c r="AR748" t="s">
        <v>8587</v>
      </c>
      <c r="AS748" t="s">
        <v>8588</v>
      </c>
      <c r="AT748" t="s">
        <v>7338</v>
      </c>
      <c r="AU748" t="s">
        <v>69</v>
      </c>
      <c r="AV748" t="s">
        <v>69</v>
      </c>
      <c r="AW748" t="s">
        <v>12700</v>
      </c>
      <c r="AX748" t="s">
        <v>12701</v>
      </c>
      <c r="AY748" t="s">
        <v>1973</v>
      </c>
      <c r="AZ748">
        <v>2019</v>
      </c>
      <c r="BA748">
        <v>37</v>
      </c>
      <c r="BB748">
        <v>5</v>
      </c>
      <c r="BC748" t="s">
        <v>69</v>
      </c>
      <c r="BD748" t="s">
        <v>69</v>
      </c>
      <c r="BE748" t="s">
        <v>69</v>
      </c>
      <c r="BF748" t="s">
        <v>69</v>
      </c>
      <c r="BG748">
        <v>718</v>
      </c>
      <c r="BH748">
        <v>732</v>
      </c>
      <c r="BI748" t="s">
        <v>69</v>
      </c>
      <c r="BJ748" t="s">
        <v>7787</v>
      </c>
      <c r="BK748" t="str">
        <f>HYPERLINK("http://dx.doi.org/10.1108/IJBPA-10-2018-0084","http://dx.doi.org/10.1108/IJBPA-10-2018-0084")</f>
        <v>http://dx.doi.org/10.1108/IJBPA-10-2018-0084</v>
      </c>
      <c r="BL748" t="s">
        <v>69</v>
      </c>
      <c r="BM748" t="s">
        <v>69</v>
      </c>
      <c r="BN748">
        <v>15</v>
      </c>
      <c r="BO748" t="s">
        <v>10105</v>
      </c>
      <c r="BP748" t="s">
        <v>8573</v>
      </c>
      <c r="BQ748" t="s">
        <v>10105</v>
      </c>
      <c r="BR748" t="s">
        <v>16560</v>
      </c>
      <c r="BS748" t="s">
        <v>7788</v>
      </c>
      <c r="BT748" t="s">
        <v>69</v>
      </c>
      <c r="BU748" t="s">
        <v>69</v>
      </c>
      <c r="BV748" t="s">
        <v>69</v>
      </c>
      <c r="BW748" t="s">
        <v>69</v>
      </c>
      <c r="BX748" t="s">
        <v>8526</v>
      </c>
      <c r="BY748" t="str">
        <f>HYPERLINK("https%3A%2F%2Fwww.webofscience.com%2Fwos%2Fwoscc%2Ffull-record%2FWOS:000484524400013","View Full Record in Web of Science")</f>
        <v>View Full Record in Web of Science</v>
      </c>
    </row>
    <row r="749" spans="1:77" ht="12.5" x14ac:dyDescent="0.25">
      <c r="A749" t="s">
        <v>8495</v>
      </c>
      <c r="B749" s="22" t="s">
        <v>32931</v>
      </c>
      <c r="C749" s="7"/>
      <c r="D749" s="7"/>
      <c r="E749" s="7"/>
      <c r="F749" t="s">
        <v>67</v>
      </c>
      <c r="G749" t="s">
        <v>12082</v>
      </c>
      <c r="H749" t="s">
        <v>69</v>
      </c>
      <c r="I749" t="s">
        <v>69</v>
      </c>
      <c r="J749" t="s">
        <v>69</v>
      </c>
      <c r="K749" t="s">
        <v>12083</v>
      </c>
      <c r="L749" t="s">
        <v>69</v>
      </c>
      <c r="M749" t="s">
        <v>69</v>
      </c>
      <c r="N749" t="s">
        <v>12084</v>
      </c>
      <c r="O749" t="s">
        <v>352</v>
      </c>
      <c r="P749" t="s">
        <v>69</v>
      </c>
      <c r="Q749" t="s">
        <v>69</v>
      </c>
      <c r="R749" t="s">
        <v>8505</v>
      </c>
      <c r="S749" t="s">
        <v>8506</v>
      </c>
      <c r="T749" t="s">
        <v>69</v>
      </c>
      <c r="U749" t="s">
        <v>69</v>
      </c>
      <c r="V749" t="s">
        <v>69</v>
      </c>
      <c r="W749" t="s">
        <v>69</v>
      </c>
      <c r="X749" t="s">
        <v>69</v>
      </c>
      <c r="Y749" t="s">
        <v>12085</v>
      </c>
      <c r="Z749" t="s">
        <v>12086</v>
      </c>
      <c r="AA749" t="s">
        <v>12087</v>
      </c>
      <c r="AB749" t="s">
        <v>12088</v>
      </c>
      <c r="AC749" t="s">
        <v>69</v>
      </c>
      <c r="AD749" t="s">
        <v>12089</v>
      </c>
      <c r="AE749" t="s">
        <v>12090</v>
      </c>
      <c r="AF749" t="s">
        <v>69</v>
      </c>
      <c r="AG749" t="s">
        <v>69</v>
      </c>
      <c r="AH749" t="s">
        <v>12091</v>
      </c>
      <c r="AI749" t="s">
        <v>12091</v>
      </c>
      <c r="AJ749" t="s">
        <v>12092</v>
      </c>
      <c r="AK749" t="s">
        <v>69</v>
      </c>
      <c r="AL749">
        <v>82</v>
      </c>
      <c r="AM749">
        <v>0</v>
      </c>
      <c r="AN749">
        <v>0</v>
      </c>
      <c r="AO749">
        <v>9</v>
      </c>
      <c r="AP749">
        <v>13</v>
      </c>
      <c r="AQ749" t="s">
        <v>8924</v>
      </c>
      <c r="AR749" t="s">
        <v>8925</v>
      </c>
      <c r="AS749" t="s">
        <v>8926</v>
      </c>
      <c r="AT749" t="s">
        <v>69</v>
      </c>
      <c r="AU749" t="s">
        <v>354</v>
      </c>
      <c r="AV749" t="s">
        <v>69</v>
      </c>
      <c r="AW749" t="s">
        <v>8958</v>
      </c>
      <c r="AX749" t="s">
        <v>8434</v>
      </c>
      <c r="AY749" t="s">
        <v>155</v>
      </c>
      <c r="AZ749">
        <v>2021</v>
      </c>
      <c r="BA749">
        <v>13</v>
      </c>
      <c r="BB749">
        <v>11</v>
      </c>
      <c r="BC749" t="s">
        <v>69</v>
      </c>
      <c r="BD749" t="s">
        <v>69</v>
      </c>
      <c r="BE749" t="s">
        <v>69</v>
      </c>
      <c r="BF749" t="s">
        <v>69</v>
      </c>
      <c r="BG749" t="s">
        <v>69</v>
      </c>
      <c r="BH749" t="s">
        <v>69</v>
      </c>
      <c r="BI749">
        <v>6209</v>
      </c>
      <c r="BJ749" t="s">
        <v>12093</v>
      </c>
      <c r="BK749" t="str">
        <f>HYPERLINK("http://dx.doi.org/10.3390/su13116209","http://dx.doi.org/10.3390/su13116209")</f>
        <v>http://dx.doi.org/10.3390/su13116209</v>
      </c>
      <c r="BL749" t="s">
        <v>69</v>
      </c>
      <c r="BM749" t="s">
        <v>69</v>
      </c>
      <c r="BN749">
        <v>29</v>
      </c>
      <c r="BO749" t="s">
        <v>8960</v>
      </c>
      <c r="BP749" t="s">
        <v>8523</v>
      </c>
      <c r="BQ749" t="s">
        <v>8961</v>
      </c>
      <c r="BR749" t="s">
        <v>12094</v>
      </c>
      <c r="BS749" t="s">
        <v>12095</v>
      </c>
      <c r="BT749" t="s">
        <v>69</v>
      </c>
      <c r="BU749" t="s">
        <v>8931</v>
      </c>
      <c r="BV749" t="s">
        <v>69</v>
      </c>
      <c r="BW749" t="s">
        <v>69</v>
      </c>
      <c r="BX749" t="s">
        <v>8526</v>
      </c>
      <c r="BY749" t="str">
        <f>HYPERLINK("https%3A%2F%2Fwww.webofscience.com%2Fwos%2Fwoscc%2Ffull-record%2FWOS:000660767500001","View Full Record in Web of Science")</f>
        <v>View Full Record in Web of Science</v>
      </c>
    </row>
    <row r="750" spans="1:77" x14ac:dyDescent="0.3">
      <c r="A750" t="s">
        <v>8495</v>
      </c>
      <c r="B750" s="12" t="s">
        <v>32989</v>
      </c>
      <c r="F750" t="s">
        <v>67</v>
      </c>
      <c r="G750" t="s">
        <v>3054</v>
      </c>
      <c r="H750" t="s">
        <v>69</v>
      </c>
      <c r="I750" t="s">
        <v>69</v>
      </c>
      <c r="J750" t="s">
        <v>69</v>
      </c>
      <c r="K750" t="s">
        <v>3055</v>
      </c>
      <c r="L750" t="s">
        <v>69</v>
      </c>
      <c r="M750" t="s">
        <v>69</v>
      </c>
      <c r="N750" s="2" t="s">
        <v>3056</v>
      </c>
      <c r="O750" t="s">
        <v>2668</v>
      </c>
      <c r="P750" t="s">
        <v>69</v>
      </c>
      <c r="Q750" t="s">
        <v>69</v>
      </c>
      <c r="R750" t="s">
        <v>8505</v>
      </c>
      <c r="S750" t="s">
        <v>8506</v>
      </c>
      <c r="T750" t="s">
        <v>69</v>
      </c>
      <c r="U750" t="s">
        <v>69</v>
      </c>
      <c r="V750" t="s">
        <v>69</v>
      </c>
      <c r="W750" t="s">
        <v>69</v>
      </c>
      <c r="X750" t="s">
        <v>69</v>
      </c>
      <c r="Y750" t="s">
        <v>22930</v>
      </c>
      <c r="Z750" t="s">
        <v>22931</v>
      </c>
      <c r="AA750" t="s">
        <v>3057</v>
      </c>
      <c r="AB750" t="s">
        <v>22932</v>
      </c>
      <c r="AC750" t="s">
        <v>69</v>
      </c>
      <c r="AD750" t="s">
        <v>22933</v>
      </c>
      <c r="AE750" t="s">
        <v>22934</v>
      </c>
      <c r="AF750" t="s">
        <v>69</v>
      </c>
      <c r="AG750" t="s">
        <v>69</v>
      </c>
      <c r="AH750" t="s">
        <v>69</v>
      </c>
      <c r="AI750" t="s">
        <v>69</v>
      </c>
      <c r="AJ750" t="s">
        <v>69</v>
      </c>
      <c r="AK750" t="s">
        <v>69</v>
      </c>
      <c r="AL750">
        <v>53</v>
      </c>
      <c r="AM750">
        <v>9</v>
      </c>
      <c r="AN750">
        <v>9</v>
      </c>
      <c r="AO750">
        <v>1</v>
      </c>
      <c r="AP750">
        <v>47</v>
      </c>
      <c r="AQ750" t="s">
        <v>8865</v>
      </c>
      <c r="AR750" t="s">
        <v>8612</v>
      </c>
      <c r="AS750" t="s">
        <v>8866</v>
      </c>
      <c r="AT750" t="s">
        <v>2670</v>
      </c>
      <c r="AU750" t="s">
        <v>2671</v>
      </c>
      <c r="AV750" t="s">
        <v>69</v>
      </c>
      <c r="AW750" t="s">
        <v>20911</v>
      </c>
      <c r="AX750" t="s">
        <v>20912</v>
      </c>
      <c r="AY750" t="s">
        <v>837</v>
      </c>
      <c r="AZ750">
        <v>2015</v>
      </c>
      <c r="BA750">
        <v>26</v>
      </c>
      <c r="BB750">
        <v>1</v>
      </c>
      <c r="BC750" t="s">
        <v>69</v>
      </c>
      <c r="BD750" t="s">
        <v>69</v>
      </c>
      <c r="BE750" t="s">
        <v>69</v>
      </c>
      <c r="BF750" t="s">
        <v>69</v>
      </c>
      <c r="BG750">
        <v>80</v>
      </c>
      <c r="BH750">
        <v>99</v>
      </c>
      <c r="BI750" t="s">
        <v>69</v>
      </c>
      <c r="BJ750" t="s">
        <v>3058</v>
      </c>
      <c r="BK750" t="str">
        <f>HYPERLINK("http://dx.doi.org/10.1080/09585192.2014.934889","http://dx.doi.org/10.1080/09585192.2014.934889")</f>
        <v>http://dx.doi.org/10.1080/09585192.2014.934889</v>
      </c>
      <c r="BL750" t="s">
        <v>69</v>
      </c>
      <c r="BM750" t="s">
        <v>69</v>
      </c>
      <c r="BN750">
        <v>20</v>
      </c>
      <c r="BO750" t="s">
        <v>9410</v>
      </c>
      <c r="BP750" t="s">
        <v>8661</v>
      </c>
      <c r="BQ750" t="s">
        <v>8594</v>
      </c>
      <c r="BR750" t="s">
        <v>22935</v>
      </c>
      <c r="BS750" t="s">
        <v>3059</v>
      </c>
      <c r="BT750" t="s">
        <v>69</v>
      </c>
      <c r="BU750" t="s">
        <v>10423</v>
      </c>
      <c r="BV750" t="s">
        <v>69</v>
      </c>
      <c r="BW750" t="s">
        <v>69</v>
      </c>
      <c r="BX750" t="s">
        <v>8526</v>
      </c>
      <c r="BY750" t="str">
        <f>HYPERLINK("https%3A%2F%2Fwww.webofscience.com%2Fwos%2Fwoscc%2Ffull-record%2FWOS:000345132700005","View Full Record in Web of Science")</f>
        <v>View Full Record in Web of Science</v>
      </c>
    </row>
    <row r="751" spans="1:77" ht="12.5" x14ac:dyDescent="0.25">
      <c r="A751" t="s">
        <v>8495</v>
      </c>
      <c r="B751" s="22" t="s">
        <v>32931</v>
      </c>
      <c r="C751" s="7"/>
      <c r="D751" s="7"/>
      <c r="E751" s="7"/>
      <c r="F751" t="s">
        <v>67</v>
      </c>
      <c r="G751" t="s">
        <v>10067</v>
      </c>
      <c r="H751" t="s">
        <v>69</v>
      </c>
      <c r="I751" t="s">
        <v>69</v>
      </c>
      <c r="J751" t="s">
        <v>69</v>
      </c>
      <c r="K751" t="s">
        <v>10068</v>
      </c>
      <c r="L751" t="s">
        <v>69</v>
      </c>
      <c r="M751" t="s">
        <v>69</v>
      </c>
      <c r="N751" t="s">
        <v>10069</v>
      </c>
      <c r="O751" t="s">
        <v>10070</v>
      </c>
      <c r="P751" t="s">
        <v>69</v>
      </c>
      <c r="Q751" t="s">
        <v>69</v>
      </c>
      <c r="R751" t="s">
        <v>10071</v>
      </c>
      <c r="S751" t="s">
        <v>8506</v>
      </c>
      <c r="T751" t="s">
        <v>69</v>
      </c>
      <c r="U751" t="s">
        <v>69</v>
      </c>
      <c r="V751" t="s">
        <v>69</v>
      </c>
      <c r="W751" t="s">
        <v>69</v>
      </c>
      <c r="X751" t="s">
        <v>69</v>
      </c>
      <c r="Y751" t="s">
        <v>10072</v>
      </c>
      <c r="Z751" t="s">
        <v>69</v>
      </c>
      <c r="AA751" t="s">
        <v>10073</v>
      </c>
      <c r="AB751" t="s">
        <v>10074</v>
      </c>
      <c r="AC751" t="s">
        <v>69</v>
      </c>
      <c r="AD751" t="s">
        <v>10075</v>
      </c>
      <c r="AE751" t="s">
        <v>10076</v>
      </c>
      <c r="AF751" t="s">
        <v>69</v>
      </c>
      <c r="AG751" t="s">
        <v>69</v>
      </c>
      <c r="AH751" t="s">
        <v>69</v>
      </c>
      <c r="AI751" t="s">
        <v>69</v>
      </c>
      <c r="AJ751" t="s">
        <v>69</v>
      </c>
      <c r="AK751" t="s">
        <v>69</v>
      </c>
      <c r="AL751">
        <v>20</v>
      </c>
      <c r="AM751">
        <v>0</v>
      </c>
      <c r="AN751">
        <v>0</v>
      </c>
      <c r="AO751">
        <v>0</v>
      </c>
      <c r="AP751">
        <v>0</v>
      </c>
      <c r="AQ751" t="s">
        <v>10077</v>
      </c>
      <c r="AR751" t="s">
        <v>10078</v>
      </c>
      <c r="AS751" t="s">
        <v>10079</v>
      </c>
      <c r="AT751" t="s">
        <v>10080</v>
      </c>
      <c r="AU751" t="s">
        <v>10081</v>
      </c>
      <c r="AV751" t="s">
        <v>69</v>
      </c>
      <c r="AW751" t="s">
        <v>10082</v>
      </c>
      <c r="AX751" t="s">
        <v>10083</v>
      </c>
      <c r="AY751" t="s">
        <v>69</v>
      </c>
      <c r="AZ751">
        <v>2022</v>
      </c>
      <c r="BA751" t="s">
        <v>69</v>
      </c>
      <c r="BB751">
        <v>18</v>
      </c>
      <c r="BC751" t="s">
        <v>69</v>
      </c>
      <c r="BD751" t="s">
        <v>69</v>
      </c>
      <c r="BE751" t="s">
        <v>69</v>
      </c>
      <c r="BF751" t="s">
        <v>69</v>
      </c>
      <c r="BG751">
        <v>367</v>
      </c>
      <c r="BH751">
        <v>386</v>
      </c>
      <c r="BI751" t="s">
        <v>69</v>
      </c>
      <c r="BJ751" t="s">
        <v>69</v>
      </c>
      <c r="BK751" t="s">
        <v>69</v>
      </c>
      <c r="BL751" t="s">
        <v>69</v>
      </c>
      <c r="BM751" t="s">
        <v>69</v>
      </c>
      <c r="BN751">
        <v>20</v>
      </c>
      <c r="BO751" t="s">
        <v>8452</v>
      </c>
      <c r="BP751" t="s">
        <v>8573</v>
      </c>
      <c r="BQ751" t="s">
        <v>10084</v>
      </c>
      <c r="BR751" t="s">
        <v>10085</v>
      </c>
      <c r="BS751" t="s">
        <v>10086</v>
      </c>
      <c r="BT751" t="s">
        <v>69</v>
      </c>
      <c r="BU751" t="s">
        <v>69</v>
      </c>
      <c r="BV751" t="s">
        <v>69</v>
      </c>
      <c r="BW751" t="s">
        <v>69</v>
      </c>
      <c r="BX751" t="s">
        <v>8526</v>
      </c>
      <c r="BY751" t="str">
        <f>HYPERLINK("https%3A%2F%2Fwww.webofscience.com%2Fwos%2Fwoscc%2Ffull-record%2FWOS:000823514700016","View Full Record in Web of Science")</f>
        <v>View Full Record in Web of Science</v>
      </c>
    </row>
    <row r="752" spans="1:77" ht="12.5" x14ac:dyDescent="0.25">
      <c r="A752" t="s">
        <v>8495</v>
      </c>
      <c r="B752" s="22" t="s">
        <v>32931</v>
      </c>
      <c r="C752" s="7"/>
      <c r="D752" s="7"/>
      <c r="E752" s="7"/>
      <c r="F752" t="s">
        <v>67</v>
      </c>
      <c r="G752" t="s">
        <v>29605</v>
      </c>
      <c r="H752" t="s">
        <v>69</v>
      </c>
      <c r="I752" t="s">
        <v>69</v>
      </c>
      <c r="J752" t="s">
        <v>69</v>
      </c>
      <c r="K752" t="s">
        <v>29606</v>
      </c>
      <c r="L752" t="s">
        <v>69</v>
      </c>
      <c r="M752" t="s">
        <v>69</v>
      </c>
      <c r="N752" t="s">
        <v>29607</v>
      </c>
      <c r="O752" t="s">
        <v>29608</v>
      </c>
      <c r="P752" t="s">
        <v>69</v>
      </c>
      <c r="Q752" t="s">
        <v>69</v>
      </c>
      <c r="R752" t="s">
        <v>8505</v>
      </c>
      <c r="S752" t="s">
        <v>8506</v>
      </c>
      <c r="T752" t="s">
        <v>69</v>
      </c>
      <c r="U752" t="s">
        <v>69</v>
      </c>
      <c r="V752" t="s">
        <v>69</v>
      </c>
      <c r="W752" t="s">
        <v>69</v>
      </c>
      <c r="X752" t="s">
        <v>69</v>
      </c>
      <c r="Y752" t="s">
        <v>69</v>
      </c>
      <c r="Z752" t="s">
        <v>29609</v>
      </c>
      <c r="AA752" t="s">
        <v>29610</v>
      </c>
      <c r="AB752" t="s">
        <v>29611</v>
      </c>
      <c r="AC752" t="s">
        <v>69</v>
      </c>
      <c r="AD752" t="s">
        <v>29612</v>
      </c>
      <c r="AE752" t="s">
        <v>29613</v>
      </c>
      <c r="AF752" t="s">
        <v>29614</v>
      </c>
      <c r="AG752" t="s">
        <v>29615</v>
      </c>
      <c r="AH752" t="s">
        <v>69</v>
      </c>
      <c r="AI752" t="s">
        <v>69</v>
      </c>
      <c r="AJ752" t="s">
        <v>69</v>
      </c>
      <c r="AK752" t="s">
        <v>69</v>
      </c>
      <c r="AL752">
        <v>22</v>
      </c>
      <c r="AM752">
        <v>9</v>
      </c>
      <c r="AN752">
        <v>9</v>
      </c>
      <c r="AO752">
        <v>0</v>
      </c>
      <c r="AP752">
        <v>7</v>
      </c>
      <c r="AQ752" t="s">
        <v>27579</v>
      </c>
      <c r="AR752" t="s">
        <v>8763</v>
      </c>
      <c r="AS752" t="s">
        <v>9179</v>
      </c>
      <c r="AT752" t="s">
        <v>29616</v>
      </c>
      <c r="AU752" t="s">
        <v>69</v>
      </c>
      <c r="AV752" t="s">
        <v>69</v>
      </c>
      <c r="AW752" t="s">
        <v>29617</v>
      </c>
      <c r="AX752" t="s">
        <v>29618</v>
      </c>
      <c r="AY752" t="s">
        <v>201</v>
      </c>
      <c r="AZ752">
        <v>2007</v>
      </c>
      <c r="BA752">
        <v>16</v>
      </c>
      <c r="BB752">
        <v>4</v>
      </c>
      <c r="BC752" t="s">
        <v>69</v>
      </c>
      <c r="BD752" t="s">
        <v>69</v>
      </c>
      <c r="BE752" t="s">
        <v>69</v>
      </c>
      <c r="BF752" t="s">
        <v>69</v>
      </c>
      <c r="BG752">
        <v>266</v>
      </c>
      <c r="BH752">
        <v>270</v>
      </c>
      <c r="BI752" t="s">
        <v>69</v>
      </c>
      <c r="BJ752" t="s">
        <v>29619</v>
      </c>
      <c r="BK752" t="str">
        <f>HYPERLINK("http://dx.doi.org/10.1136/qshc.2006.020164","http://dx.doi.org/10.1136/qshc.2006.020164")</f>
        <v>http://dx.doi.org/10.1136/qshc.2006.020164</v>
      </c>
      <c r="BL752" t="s">
        <v>69</v>
      </c>
      <c r="BM752" t="s">
        <v>69</v>
      </c>
      <c r="BN752">
        <v>5</v>
      </c>
      <c r="BO752" t="s">
        <v>9209</v>
      </c>
      <c r="BP752" t="s">
        <v>8548</v>
      </c>
      <c r="BQ752" t="s">
        <v>9209</v>
      </c>
      <c r="BR752" t="s">
        <v>29620</v>
      </c>
      <c r="BS752" t="s">
        <v>29621</v>
      </c>
      <c r="BT752">
        <v>17693673</v>
      </c>
      <c r="BU752" t="s">
        <v>26808</v>
      </c>
      <c r="BV752" t="s">
        <v>69</v>
      </c>
      <c r="BW752" t="s">
        <v>69</v>
      </c>
      <c r="BX752" t="s">
        <v>8526</v>
      </c>
      <c r="BY752" t="str">
        <f>HYPERLINK("https%3A%2F%2Fwww.webofscience.com%2Fwos%2Fwoscc%2Ffull-record%2FWOS:000248690300007","View Full Record in Web of Science")</f>
        <v>View Full Record in Web of Science</v>
      </c>
    </row>
    <row r="753" spans="1:77" ht="12.5" x14ac:dyDescent="0.25">
      <c r="A753" t="s">
        <v>8495</v>
      </c>
      <c r="B753" s="7" t="s">
        <v>32933</v>
      </c>
      <c r="C753" s="7"/>
      <c r="D753" s="7"/>
      <c r="E753" s="7"/>
      <c r="F753" t="s">
        <v>67</v>
      </c>
      <c r="G753" t="s">
        <v>4101</v>
      </c>
      <c r="H753" t="s">
        <v>69</v>
      </c>
      <c r="I753" t="s">
        <v>69</v>
      </c>
      <c r="J753" t="s">
        <v>69</v>
      </c>
      <c r="K753" t="s">
        <v>4101</v>
      </c>
      <c r="L753" t="s">
        <v>69</v>
      </c>
      <c r="M753" t="s">
        <v>69</v>
      </c>
      <c r="N753" t="s">
        <v>4102</v>
      </c>
      <c r="O753" t="s">
        <v>520</v>
      </c>
      <c r="P753" t="s">
        <v>69</v>
      </c>
      <c r="Q753" t="s">
        <v>69</v>
      </c>
      <c r="R753" t="s">
        <v>8505</v>
      </c>
      <c r="S753" t="s">
        <v>8506</v>
      </c>
      <c r="T753" t="s">
        <v>69</v>
      </c>
      <c r="U753" t="s">
        <v>69</v>
      </c>
      <c r="V753" t="s">
        <v>69</v>
      </c>
      <c r="W753" t="s">
        <v>69</v>
      </c>
      <c r="X753" t="s">
        <v>69</v>
      </c>
      <c r="Y753" t="s">
        <v>31661</v>
      </c>
      <c r="Z753" t="s">
        <v>23150</v>
      </c>
      <c r="AA753" t="s">
        <v>4103</v>
      </c>
      <c r="AB753" t="s">
        <v>31662</v>
      </c>
      <c r="AC753" t="s">
        <v>69</v>
      </c>
      <c r="AD753" t="s">
        <v>31663</v>
      </c>
      <c r="AE753" t="s">
        <v>69</v>
      </c>
      <c r="AF753" t="s">
        <v>4104</v>
      </c>
      <c r="AG753" t="s">
        <v>4105</v>
      </c>
      <c r="AH753" t="s">
        <v>69</v>
      </c>
      <c r="AI753" t="s">
        <v>69</v>
      </c>
      <c r="AJ753" t="s">
        <v>69</v>
      </c>
      <c r="AK753" t="s">
        <v>69</v>
      </c>
      <c r="AL753">
        <v>37</v>
      </c>
      <c r="AM753">
        <v>18</v>
      </c>
      <c r="AN753">
        <v>18</v>
      </c>
      <c r="AO753">
        <v>0</v>
      </c>
      <c r="AP753">
        <v>10</v>
      </c>
      <c r="AQ753" t="s">
        <v>31664</v>
      </c>
      <c r="AR753" t="s">
        <v>8763</v>
      </c>
      <c r="AS753" t="s">
        <v>31665</v>
      </c>
      <c r="AT753" t="s">
        <v>523</v>
      </c>
      <c r="AU753" t="s">
        <v>69</v>
      </c>
      <c r="AV753" t="s">
        <v>69</v>
      </c>
      <c r="AW753" t="s">
        <v>21727</v>
      </c>
      <c r="AX753" t="s">
        <v>21728</v>
      </c>
      <c r="AY753" t="s">
        <v>373</v>
      </c>
      <c r="AZ753">
        <v>2001</v>
      </c>
      <c r="BA753">
        <v>29</v>
      </c>
      <c r="BB753">
        <v>1</v>
      </c>
      <c r="BC753" t="s">
        <v>69</v>
      </c>
      <c r="BD753" t="s">
        <v>69</v>
      </c>
      <c r="BE753" t="s">
        <v>69</v>
      </c>
      <c r="BF753" t="s">
        <v>69</v>
      </c>
      <c r="BG753">
        <v>1</v>
      </c>
      <c r="BH753">
        <v>11</v>
      </c>
      <c r="BI753" t="s">
        <v>69</v>
      </c>
      <c r="BJ753" t="s">
        <v>4106</v>
      </c>
      <c r="BK753" t="str">
        <f>HYPERLINK("http://dx.doi.org/10.1080/09613210150208741","http://dx.doi.org/10.1080/09613210150208741")</f>
        <v>http://dx.doi.org/10.1080/09613210150208741</v>
      </c>
      <c r="BL753" t="s">
        <v>69</v>
      </c>
      <c r="BM753" t="s">
        <v>69</v>
      </c>
      <c r="BN753">
        <v>11</v>
      </c>
      <c r="BO753" t="s">
        <v>10105</v>
      </c>
      <c r="BP753" t="s">
        <v>8548</v>
      </c>
      <c r="BQ753" t="s">
        <v>10105</v>
      </c>
      <c r="BR753" t="s">
        <v>31666</v>
      </c>
      <c r="BS753" t="s">
        <v>4107</v>
      </c>
      <c r="BT753" t="s">
        <v>69</v>
      </c>
      <c r="BU753" t="s">
        <v>10423</v>
      </c>
      <c r="BV753" t="s">
        <v>69</v>
      </c>
      <c r="BW753" t="s">
        <v>69</v>
      </c>
      <c r="BX753" t="s">
        <v>8526</v>
      </c>
      <c r="BY753" t="str">
        <f>HYPERLINK("https%3A%2F%2Fwww.webofscience.com%2Fwos%2Fwoscc%2Ffull-record%2FWOS:000165965700001","View Full Record in Web of Science")</f>
        <v>View Full Record in Web of Science</v>
      </c>
    </row>
    <row r="754" spans="1:77" ht="12.5" x14ac:dyDescent="0.25">
      <c r="A754" t="s">
        <v>8495</v>
      </c>
      <c r="B754" s="22" t="s">
        <v>32931</v>
      </c>
      <c r="C754" s="7"/>
      <c r="D754" s="7"/>
      <c r="E754" s="7"/>
      <c r="F754" t="s">
        <v>67</v>
      </c>
      <c r="G754" t="s">
        <v>28750</v>
      </c>
      <c r="H754" t="s">
        <v>69</v>
      </c>
      <c r="I754" t="s">
        <v>69</v>
      </c>
      <c r="J754" t="s">
        <v>69</v>
      </c>
      <c r="K754" t="s">
        <v>28751</v>
      </c>
      <c r="L754" t="s">
        <v>69</v>
      </c>
      <c r="M754" t="s">
        <v>69</v>
      </c>
      <c r="N754" t="s">
        <v>28752</v>
      </c>
      <c r="O754" t="s">
        <v>28753</v>
      </c>
      <c r="P754" t="s">
        <v>69</v>
      </c>
      <c r="Q754" t="s">
        <v>69</v>
      </c>
      <c r="R754" t="s">
        <v>8505</v>
      </c>
      <c r="S754" t="s">
        <v>8506</v>
      </c>
      <c r="T754" t="s">
        <v>69</v>
      </c>
      <c r="U754" t="s">
        <v>69</v>
      </c>
      <c r="V754" t="s">
        <v>69</v>
      </c>
      <c r="W754" t="s">
        <v>69</v>
      </c>
      <c r="X754" t="s">
        <v>69</v>
      </c>
      <c r="Y754" t="s">
        <v>69</v>
      </c>
      <c r="Z754" t="s">
        <v>28754</v>
      </c>
      <c r="AA754" t="s">
        <v>28755</v>
      </c>
      <c r="AB754" t="s">
        <v>28756</v>
      </c>
      <c r="AC754" t="s">
        <v>69</v>
      </c>
      <c r="AD754" t="s">
        <v>28757</v>
      </c>
      <c r="AE754" t="s">
        <v>28758</v>
      </c>
      <c r="AF754" t="s">
        <v>69</v>
      </c>
      <c r="AG754" t="s">
        <v>69</v>
      </c>
      <c r="AH754" t="s">
        <v>69</v>
      </c>
      <c r="AI754" t="s">
        <v>69</v>
      </c>
      <c r="AJ754" t="s">
        <v>69</v>
      </c>
      <c r="AK754" t="s">
        <v>69</v>
      </c>
      <c r="AL754">
        <v>70</v>
      </c>
      <c r="AM754">
        <v>31</v>
      </c>
      <c r="AN754">
        <v>32</v>
      </c>
      <c r="AO754">
        <v>0</v>
      </c>
      <c r="AP754">
        <v>27</v>
      </c>
      <c r="AQ754" t="s">
        <v>9554</v>
      </c>
      <c r="AR754" t="s">
        <v>9555</v>
      </c>
      <c r="AS754" t="s">
        <v>9556</v>
      </c>
      <c r="AT754" t="s">
        <v>28759</v>
      </c>
      <c r="AU754" t="s">
        <v>28760</v>
      </c>
      <c r="AV754" t="s">
        <v>69</v>
      </c>
      <c r="AW754" t="s">
        <v>28761</v>
      </c>
      <c r="AX754" t="s">
        <v>28762</v>
      </c>
      <c r="AY754" t="s">
        <v>373</v>
      </c>
      <c r="AZ754">
        <v>2009</v>
      </c>
      <c r="BA754">
        <v>33</v>
      </c>
      <c r="BB754">
        <v>1</v>
      </c>
      <c r="BC754" t="s">
        <v>69</v>
      </c>
      <c r="BD754" t="s">
        <v>69</v>
      </c>
      <c r="BE754" t="s">
        <v>69</v>
      </c>
      <c r="BF754" t="s">
        <v>69</v>
      </c>
      <c r="BG754">
        <v>297</v>
      </c>
      <c r="BH754">
        <v>318</v>
      </c>
      <c r="BI754" t="s">
        <v>69</v>
      </c>
      <c r="BJ754" t="s">
        <v>28763</v>
      </c>
      <c r="BK754" t="str">
        <f>HYPERLINK("http://dx.doi.org/10.1111/j.1540-6520.2008.00290.x","http://dx.doi.org/10.1111/j.1540-6520.2008.00290.x")</f>
        <v>http://dx.doi.org/10.1111/j.1540-6520.2008.00290.x</v>
      </c>
      <c r="BL754" t="s">
        <v>69</v>
      </c>
      <c r="BM754" t="s">
        <v>69</v>
      </c>
      <c r="BN754">
        <v>22</v>
      </c>
      <c r="BO754" t="s">
        <v>8444</v>
      </c>
      <c r="BP754" t="s">
        <v>8661</v>
      </c>
      <c r="BQ754" t="s">
        <v>8594</v>
      </c>
      <c r="BR754" t="s">
        <v>28764</v>
      </c>
      <c r="BS754" t="s">
        <v>28765</v>
      </c>
      <c r="BT754" t="s">
        <v>69</v>
      </c>
      <c r="BU754" t="s">
        <v>69</v>
      </c>
      <c r="BV754" t="s">
        <v>69</v>
      </c>
      <c r="BW754" t="s">
        <v>69</v>
      </c>
      <c r="BX754" t="s">
        <v>8526</v>
      </c>
      <c r="BY754" t="str">
        <f>HYPERLINK("https%3A%2F%2Fwww.webofscience.com%2Fwos%2Fwoscc%2Ffull-record%2FWOS:000262048300013","View Full Record in Web of Science")</f>
        <v>View Full Record in Web of Science</v>
      </c>
    </row>
    <row r="755" spans="1:77" ht="12.5" x14ac:dyDescent="0.25">
      <c r="A755" t="s">
        <v>8495</v>
      </c>
      <c r="B755" s="7" t="s">
        <v>32933</v>
      </c>
      <c r="C755" s="7"/>
      <c r="D755" s="7"/>
      <c r="E755" s="7"/>
      <c r="F755" t="s">
        <v>67</v>
      </c>
      <c r="G755" t="s">
        <v>6366</v>
      </c>
      <c r="H755" t="s">
        <v>69</v>
      </c>
      <c r="I755" t="s">
        <v>69</v>
      </c>
      <c r="J755" t="s">
        <v>69</v>
      </c>
      <c r="K755" t="s">
        <v>6367</v>
      </c>
      <c r="L755" t="s">
        <v>69</v>
      </c>
      <c r="M755" t="s">
        <v>69</v>
      </c>
      <c r="N755" t="s">
        <v>6368</v>
      </c>
      <c r="O755" t="s">
        <v>6369</v>
      </c>
      <c r="P755" t="s">
        <v>69</v>
      </c>
      <c r="Q755" t="s">
        <v>69</v>
      </c>
      <c r="R755" t="s">
        <v>10153</v>
      </c>
      <c r="S755" t="s">
        <v>8506</v>
      </c>
      <c r="T755" t="s">
        <v>69</v>
      </c>
      <c r="U755" t="s">
        <v>69</v>
      </c>
      <c r="V755" t="s">
        <v>69</v>
      </c>
      <c r="W755" t="s">
        <v>69</v>
      </c>
      <c r="X755" t="s">
        <v>69</v>
      </c>
      <c r="Y755" t="s">
        <v>16179</v>
      </c>
      <c r="Z755" t="s">
        <v>69</v>
      </c>
      <c r="AA755" t="s">
        <v>6370</v>
      </c>
      <c r="AB755" t="s">
        <v>16180</v>
      </c>
      <c r="AC755" t="s">
        <v>69</v>
      </c>
      <c r="AD755" t="s">
        <v>16181</v>
      </c>
      <c r="AE755" t="s">
        <v>16182</v>
      </c>
      <c r="AF755" t="s">
        <v>69</v>
      </c>
      <c r="AG755" t="s">
        <v>69</v>
      </c>
      <c r="AH755" t="s">
        <v>69</v>
      </c>
      <c r="AI755" t="s">
        <v>69</v>
      </c>
      <c r="AJ755" t="s">
        <v>69</v>
      </c>
      <c r="AK755" t="s">
        <v>69</v>
      </c>
      <c r="AL755">
        <v>24</v>
      </c>
      <c r="AM755">
        <v>0</v>
      </c>
      <c r="AN755">
        <v>0</v>
      </c>
      <c r="AO755">
        <v>0</v>
      </c>
      <c r="AP755">
        <v>0</v>
      </c>
      <c r="AQ755" t="s">
        <v>16183</v>
      </c>
      <c r="AR755" t="s">
        <v>14096</v>
      </c>
      <c r="AS755" t="s">
        <v>16184</v>
      </c>
      <c r="AT755" t="s">
        <v>6371</v>
      </c>
      <c r="AU755" t="s">
        <v>69</v>
      </c>
      <c r="AV755" t="s">
        <v>69</v>
      </c>
      <c r="AW755" t="s">
        <v>16185</v>
      </c>
      <c r="AX755" t="s">
        <v>16186</v>
      </c>
      <c r="AY755" t="s">
        <v>69</v>
      </c>
      <c r="AZ755">
        <v>2020</v>
      </c>
      <c r="BA755">
        <v>12</v>
      </c>
      <c r="BB755">
        <v>1</v>
      </c>
      <c r="BC755" t="s">
        <v>69</v>
      </c>
      <c r="BD755" t="s">
        <v>69</v>
      </c>
      <c r="BE755" t="s">
        <v>69</v>
      </c>
      <c r="BF755" t="s">
        <v>69</v>
      </c>
      <c r="BG755">
        <v>679</v>
      </c>
      <c r="BH755">
        <v>699</v>
      </c>
      <c r="BI755" t="s">
        <v>69</v>
      </c>
      <c r="BJ755" t="s">
        <v>6372</v>
      </c>
      <c r="BK755" t="str">
        <f>HYPERLINK("http://dx.doi.org/10.12957/rdc.2020.43125","http://dx.doi.org/10.12957/rdc.2020.43125")</f>
        <v>http://dx.doi.org/10.12957/rdc.2020.43125</v>
      </c>
      <c r="BL755" t="s">
        <v>69</v>
      </c>
      <c r="BM755" t="s">
        <v>69</v>
      </c>
      <c r="BN755">
        <v>21</v>
      </c>
      <c r="BO755" t="s">
        <v>8475</v>
      </c>
      <c r="BP755" t="s">
        <v>8573</v>
      </c>
      <c r="BQ755" t="s">
        <v>8475</v>
      </c>
      <c r="BR755" t="s">
        <v>16187</v>
      </c>
      <c r="BS755" t="s">
        <v>6373</v>
      </c>
      <c r="BT755" t="s">
        <v>69</v>
      </c>
      <c r="BU755" t="s">
        <v>8931</v>
      </c>
      <c r="BV755" t="s">
        <v>69</v>
      </c>
      <c r="BW755" t="s">
        <v>69</v>
      </c>
      <c r="BX755" t="s">
        <v>8526</v>
      </c>
      <c r="BY755" t="str">
        <f>HYPERLINK("https%3A%2F%2Fwww.webofscience.com%2Fwos%2Fwoscc%2Ffull-record%2FWOS:000539991700024","View Full Record in Web of Science")</f>
        <v>View Full Record in Web of Science</v>
      </c>
    </row>
    <row r="756" spans="1:77" x14ac:dyDescent="0.3">
      <c r="A756" t="s">
        <v>8495</v>
      </c>
      <c r="B756" s="9" t="s">
        <v>32972</v>
      </c>
      <c r="C756" s="9" t="s">
        <v>33065</v>
      </c>
      <c r="E756" s="9" t="s">
        <v>8490</v>
      </c>
      <c r="F756" t="s">
        <v>67</v>
      </c>
      <c r="G756" t="s">
        <v>21158</v>
      </c>
      <c r="H756" t="s">
        <v>69</v>
      </c>
      <c r="I756" t="s">
        <v>69</v>
      </c>
      <c r="J756" t="s">
        <v>69</v>
      </c>
      <c r="K756" t="s">
        <v>21159</v>
      </c>
      <c r="L756" t="s">
        <v>69</v>
      </c>
      <c r="M756" t="s">
        <v>69</v>
      </c>
      <c r="N756" t="s">
        <v>21160</v>
      </c>
      <c r="O756" t="s">
        <v>5814</v>
      </c>
      <c r="P756" t="s">
        <v>69</v>
      </c>
      <c r="Q756" t="s">
        <v>69</v>
      </c>
      <c r="R756" t="s">
        <v>8505</v>
      </c>
      <c r="S756" t="s">
        <v>8506</v>
      </c>
      <c r="T756" t="s">
        <v>69</v>
      </c>
      <c r="U756" t="s">
        <v>69</v>
      </c>
      <c r="V756" t="s">
        <v>69</v>
      </c>
      <c r="W756" t="s">
        <v>69</v>
      </c>
      <c r="X756" t="s">
        <v>69</v>
      </c>
      <c r="Y756" t="s">
        <v>21161</v>
      </c>
      <c r="Z756" t="s">
        <v>21162</v>
      </c>
      <c r="AA756" t="s">
        <v>21163</v>
      </c>
      <c r="AB756" t="s">
        <v>21164</v>
      </c>
      <c r="AC756" t="s">
        <v>69</v>
      </c>
      <c r="AD756" t="s">
        <v>21165</v>
      </c>
      <c r="AE756" t="s">
        <v>21166</v>
      </c>
      <c r="AF756" t="s">
        <v>69</v>
      </c>
      <c r="AG756" t="s">
        <v>69</v>
      </c>
      <c r="AH756" t="s">
        <v>69</v>
      </c>
      <c r="AI756" t="s">
        <v>69</v>
      </c>
      <c r="AJ756" t="s">
        <v>69</v>
      </c>
      <c r="AK756" t="s">
        <v>69</v>
      </c>
      <c r="AL756">
        <v>60</v>
      </c>
      <c r="AM756">
        <v>9</v>
      </c>
      <c r="AN756">
        <v>9</v>
      </c>
      <c r="AO756">
        <v>0</v>
      </c>
      <c r="AP756">
        <v>6</v>
      </c>
      <c r="AQ756" t="s">
        <v>21167</v>
      </c>
      <c r="AR756" t="s">
        <v>21168</v>
      </c>
      <c r="AS756" t="s">
        <v>21169</v>
      </c>
      <c r="AT756" t="s">
        <v>5816</v>
      </c>
      <c r="AU756" t="s">
        <v>21170</v>
      </c>
      <c r="AV756" t="s">
        <v>69</v>
      </c>
      <c r="AW756" t="s">
        <v>21171</v>
      </c>
      <c r="AX756" t="s">
        <v>21172</v>
      </c>
      <c r="AY756" t="s">
        <v>75</v>
      </c>
      <c r="AZ756">
        <v>2016</v>
      </c>
      <c r="BA756">
        <v>25</v>
      </c>
      <c r="BB756">
        <v>6</v>
      </c>
      <c r="BC756" t="s">
        <v>69</v>
      </c>
      <c r="BD756" t="s">
        <v>69</v>
      </c>
      <c r="BE756" t="s">
        <v>69</v>
      </c>
      <c r="BF756" t="s">
        <v>69</v>
      </c>
      <c r="BG756">
        <v>687</v>
      </c>
      <c r="BH756">
        <v>705</v>
      </c>
      <c r="BI756" t="s">
        <v>69</v>
      </c>
      <c r="BJ756" t="s">
        <v>21173</v>
      </c>
      <c r="BK756" t="str">
        <f>HYPERLINK("http://dx.doi.org/10.3197/096327116X14736981715661","http://dx.doi.org/10.3197/096327116X14736981715661")</f>
        <v>http://dx.doi.org/10.3197/096327116X14736981715661</v>
      </c>
      <c r="BL756" t="s">
        <v>69</v>
      </c>
      <c r="BM756" t="s">
        <v>69</v>
      </c>
      <c r="BN756">
        <v>19</v>
      </c>
      <c r="BO756" t="s">
        <v>21174</v>
      </c>
      <c r="BP756" t="s">
        <v>8661</v>
      </c>
      <c r="BQ756" t="s">
        <v>21175</v>
      </c>
      <c r="BR756" t="s">
        <v>21176</v>
      </c>
      <c r="BS756" t="s">
        <v>21177</v>
      </c>
      <c r="BT756" t="s">
        <v>69</v>
      </c>
      <c r="BU756" t="s">
        <v>69</v>
      </c>
      <c r="BV756" t="s">
        <v>69</v>
      </c>
      <c r="BW756" t="s">
        <v>69</v>
      </c>
      <c r="BX756" t="s">
        <v>8526</v>
      </c>
      <c r="BY756" t="str">
        <f>HYPERLINK("https%3A%2F%2Fwww.webofscience.com%2Fwos%2Fwoscc%2Ffull-record%2FWOS:000387408500004","View Full Record in Web of Science")</f>
        <v>View Full Record in Web of Science</v>
      </c>
    </row>
    <row r="757" spans="1:77" ht="12.5" x14ac:dyDescent="0.25">
      <c r="A757" t="s">
        <v>8495</v>
      </c>
      <c r="B757" s="7" t="s">
        <v>32933</v>
      </c>
      <c r="C757" s="7"/>
      <c r="D757" s="7"/>
      <c r="E757" s="7"/>
      <c r="F757" t="s">
        <v>67</v>
      </c>
      <c r="G757" t="s">
        <v>614</v>
      </c>
      <c r="H757" t="s">
        <v>69</v>
      </c>
      <c r="I757" t="s">
        <v>69</v>
      </c>
      <c r="J757" t="s">
        <v>69</v>
      </c>
      <c r="K757" t="s">
        <v>614</v>
      </c>
      <c r="L757" t="s">
        <v>69</v>
      </c>
      <c r="M757" t="s">
        <v>69</v>
      </c>
      <c r="N757" t="s">
        <v>615</v>
      </c>
      <c r="O757" t="s">
        <v>616</v>
      </c>
      <c r="P757" t="s">
        <v>69</v>
      </c>
      <c r="Q757" t="s">
        <v>69</v>
      </c>
      <c r="R757" t="s">
        <v>8505</v>
      </c>
      <c r="S757" t="s">
        <v>8506</v>
      </c>
      <c r="T757" t="s">
        <v>69</v>
      </c>
      <c r="U757" t="s">
        <v>69</v>
      </c>
      <c r="V757" t="s">
        <v>69</v>
      </c>
      <c r="W757" t="s">
        <v>69</v>
      </c>
      <c r="X757" t="s">
        <v>69</v>
      </c>
      <c r="Y757" t="s">
        <v>32737</v>
      </c>
      <c r="Z757" t="s">
        <v>69</v>
      </c>
      <c r="AA757" t="s">
        <v>617</v>
      </c>
      <c r="AB757" t="s">
        <v>69</v>
      </c>
      <c r="AC757" t="s">
        <v>69</v>
      </c>
      <c r="AD757" t="s">
        <v>32738</v>
      </c>
      <c r="AE757" t="s">
        <v>69</v>
      </c>
      <c r="AF757" t="s">
        <v>69</v>
      </c>
      <c r="AG757" t="s">
        <v>69</v>
      </c>
      <c r="AH757" t="s">
        <v>69</v>
      </c>
      <c r="AI757" t="s">
        <v>69</v>
      </c>
      <c r="AJ757" t="s">
        <v>69</v>
      </c>
      <c r="AK757" t="s">
        <v>69</v>
      </c>
      <c r="AL757">
        <v>5</v>
      </c>
      <c r="AM757">
        <v>5</v>
      </c>
      <c r="AN757">
        <v>5</v>
      </c>
      <c r="AO757">
        <v>0</v>
      </c>
      <c r="AP757">
        <v>3</v>
      </c>
      <c r="AQ757" t="s">
        <v>32739</v>
      </c>
      <c r="AR757" t="s">
        <v>32740</v>
      </c>
      <c r="AS757" t="s">
        <v>32741</v>
      </c>
      <c r="AT757" t="s">
        <v>618</v>
      </c>
      <c r="AU757" t="s">
        <v>69</v>
      </c>
      <c r="AV757" t="s">
        <v>69</v>
      </c>
      <c r="AW757" t="s">
        <v>32742</v>
      </c>
      <c r="AX757" t="s">
        <v>32743</v>
      </c>
      <c r="AY757" t="s">
        <v>619</v>
      </c>
      <c r="AZ757">
        <v>1993</v>
      </c>
      <c r="BA757">
        <v>29</v>
      </c>
      <c r="BB757">
        <v>6</v>
      </c>
      <c r="BC757" t="s">
        <v>69</v>
      </c>
      <c r="BD757" t="s">
        <v>69</v>
      </c>
      <c r="BE757" t="s">
        <v>69</v>
      </c>
      <c r="BF757" t="s">
        <v>69</v>
      </c>
      <c r="BG757">
        <v>1003</v>
      </c>
      <c r="BH757">
        <v>1008</v>
      </c>
      <c r="BI757" t="s">
        <v>69</v>
      </c>
      <c r="BJ757" t="s">
        <v>69</v>
      </c>
      <c r="BK757" t="s">
        <v>69</v>
      </c>
      <c r="BL757" t="s">
        <v>69</v>
      </c>
      <c r="BM757" t="s">
        <v>69</v>
      </c>
      <c r="BN757">
        <v>6</v>
      </c>
      <c r="BO757" t="s">
        <v>18034</v>
      </c>
      <c r="BP757" t="s">
        <v>8548</v>
      </c>
      <c r="BQ757" t="s">
        <v>8853</v>
      </c>
      <c r="BR757" t="s">
        <v>32744</v>
      </c>
      <c r="BS757" t="s">
        <v>620</v>
      </c>
      <c r="BT757" t="s">
        <v>69</v>
      </c>
      <c r="BU757" t="s">
        <v>69</v>
      </c>
      <c r="BV757" t="s">
        <v>69</v>
      </c>
      <c r="BW757" t="s">
        <v>69</v>
      </c>
      <c r="BX757" t="s">
        <v>8526</v>
      </c>
      <c r="BY757" t="str">
        <f>HYPERLINK("https%3A%2F%2Fwww.webofscience.com%2Fwos%2Fwoscc%2Ffull-record%2FWOS:A1993MW60300017","View Full Record in Web of Science")</f>
        <v>View Full Record in Web of Science</v>
      </c>
    </row>
    <row r="758" spans="1:77" ht="12.5" x14ac:dyDescent="0.25">
      <c r="A758" t="s">
        <v>8495</v>
      </c>
      <c r="B758" s="7" t="s">
        <v>32933</v>
      </c>
      <c r="C758" s="7"/>
      <c r="D758" s="7"/>
      <c r="E758" s="7"/>
      <c r="F758" t="s">
        <v>67</v>
      </c>
      <c r="G758" t="s">
        <v>6812</v>
      </c>
      <c r="H758" t="s">
        <v>69</v>
      </c>
      <c r="I758" t="s">
        <v>69</v>
      </c>
      <c r="J758" t="s">
        <v>69</v>
      </c>
      <c r="K758" t="s">
        <v>6813</v>
      </c>
      <c r="L758" t="s">
        <v>69</v>
      </c>
      <c r="M758" t="s">
        <v>69</v>
      </c>
      <c r="N758" t="s">
        <v>6814</v>
      </c>
      <c r="O758" t="s">
        <v>6815</v>
      </c>
      <c r="P758" t="s">
        <v>69</v>
      </c>
      <c r="Q758" t="s">
        <v>69</v>
      </c>
      <c r="R758" t="s">
        <v>12534</v>
      </c>
      <c r="S758" t="s">
        <v>8506</v>
      </c>
      <c r="T758" t="s">
        <v>69</v>
      </c>
      <c r="U758" t="s">
        <v>69</v>
      </c>
      <c r="V758" t="s">
        <v>69</v>
      </c>
      <c r="W758" t="s">
        <v>69</v>
      </c>
      <c r="X758" t="s">
        <v>69</v>
      </c>
      <c r="Y758" t="s">
        <v>69</v>
      </c>
      <c r="Z758" t="s">
        <v>18515</v>
      </c>
      <c r="AA758" t="s">
        <v>6816</v>
      </c>
      <c r="AB758" t="s">
        <v>18516</v>
      </c>
      <c r="AC758" t="s">
        <v>69</v>
      </c>
      <c r="AD758" t="s">
        <v>18517</v>
      </c>
      <c r="AE758" t="s">
        <v>69</v>
      </c>
      <c r="AF758" t="s">
        <v>69</v>
      </c>
      <c r="AG758" t="s">
        <v>69</v>
      </c>
      <c r="AH758" t="s">
        <v>69</v>
      </c>
      <c r="AI758" t="s">
        <v>69</v>
      </c>
      <c r="AJ758" t="s">
        <v>69</v>
      </c>
      <c r="AK758" t="s">
        <v>69</v>
      </c>
      <c r="AL758">
        <v>119</v>
      </c>
      <c r="AM758">
        <v>0</v>
      </c>
      <c r="AN758">
        <v>0</v>
      </c>
      <c r="AO758">
        <v>0</v>
      </c>
      <c r="AP758">
        <v>0</v>
      </c>
      <c r="AQ758" t="s">
        <v>11360</v>
      </c>
      <c r="AR758" t="s">
        <v>11361</v>
      </c>
      <c r="AS758" t="s">
        <v>11362</v>
      </c>
      <c r="AT758" t="s">
        <v>6817</v>
      </c>
      <c r="AU758" t="s">
        <v>69</v>
      </c>
      <c r="AV758" t="s">
        <v>69</v>
      </c>
      <c r="AW758" t="s">
        <v>18518</v>
      </c>
      <c r="AX758" t="s">
        <v>18519</v>
      </c>
      <c r="AY758" t="s">
        <v>201</v>
      </c>
      <c r="AZ758">
        <v>2018</v>
      </c>
      <c r="BA758">
        <v>66</v>
      </c>
      <c r="BB758">
        <v>4</v>
      </c>
      <c r="BC758" t="s">
        <v>69</v>
      </c>
      <c r="BD758" t="s">
        <v>69</v>
      </c>
      <c r="BE758" t="s">
        <v>69</v>
      </c>
      <c r="BF758" t="s">
        <v>69</v>
      </c>
      <c r="BG758">
        <v>617</v>
      </c>
      <c r="BH758" t="s">
        <v>219</v>
      </c>
      <c r="BI758" t="s">
        <v>69</v>
      </c>
      <c r="BJ758" t="s">
        <v>6818</v>
      </c>
      <c r="BK758" t="str">
        <f>HYPERLINK("http://dx.doi.org/10.1515/vfzg-2018-0035","http://dx.doi.org/10.1515/vfzg-2018-0035")</f>
        <v>http://dx.doi.org/10.1515/vfzg-2018-0035</v>
      </c>
      <c r="BL758" t="s">
        <v>69</v>
      </c>
      <c r="BM758" t="s">
        <v>69</v>
      </c>
      <c r="BN758">
        <v>29</v>
      </c>
      <c r="BO758" t="s">
        <v>18520</v>
      </c>
      <c r="BP758" t="s">
        <v>11207</v>
      </c>
      <c r="BQ758" t="s">
        <v>18520</v>
      </c>
      <c r="BR758" t="s">
        <v>18521</v>
      </c>
      <c r="BS758" t="s">
        <v>6819</v>
      </c>
      <c r="BT758" t="s">
        <v>69</v>
      </c>
      <c r="BU758" t="s">
        <v>69</v>
      </c>
      <c r="BV758" t="s">
        <v>69</v>
      </c>
      <c r="BW758" t="s">
        <v>69</v>
      </c>
      <c r="BX758" t="s">
        <v>8526</v>
      </c>
      <c r="BY758" t="str">
        <f>HYPERLINK("https%3A%2F%2Fwww.webofscience.com%2Fwos%2Fwoscc%2Ffull-record%2FWOS:000445751900003","View Full Record in Web of Science")</f>
        <v>View Full Record in Web of Science</v>
      </c>
    </row>
    <row r="759" spans="1:77" ht="12.5" x14ac:dyDescent="0.25">
      <c r="A759" t="s">
        <v>8495</v>
      </c>
      <c r="B759" s="7" t="s">
        <v>32933</v>
      </c>
      <c r="C759" s="7"/>
      <c r="D759" s="7"/>
      <c r="E759" s="7"/>
      <c r="F759" t="s">
        <v>67</v>
      </c>
      <c r="G759" t="s">
        <v>8018</v>
      </c>
      <c r="H759" t="s">
        <v>69</v>
      </c>
      <c r="I759" t="s">
        <v>69</v>
      </c>
      <c r="J759" t="s">
        <v>69</v>
      </c>
      <c r="K759" t="s">
        <v>8019</v>
      </c>
      <c r="L759" t="s">
        <v>69</v>
      </c>
      <c r="M759" t="s">
        <v>69</v>
      </c>
      <c r="N759" s="4" t="s">
        <v>8020</v>
      </c>
      <c r="O759" t="s">
        <v>8021</v>
      </c>
      <c r="P759" t="s">
        <v>69</v>
      </c>
      <c r="Q759" t="s">
        <v>69</v>
      </c>
      <c r="R759" t="s">
        <v>8505</v>
      </c>
      <c r="S759" t="s">
        <v>8506</v>
      </c>
      <c r="T759" t="s">
        <v>69</v>
      </c>
      <c r="U759" t="s">
        <v>69</v>
      </c>
      <c r="V759" t="s">
        <v>69</v>
      </c>
      <c r="W759" t="s">
        <v>69</v>
      </c>
      <c r="X759" t="s">
        <v>69</v>
      </c>
      <c r="Y759" t="s">
        <v>69</v>
      </c>
      <c r="Z759" t="s">
        <v>16096</v>
      </c>
      <c r="AA759" t="s">
        <v>8022</v>
      </c>
      <c r="AB759" t="s">
        <v>69</v>
      </c>
      <c r="AC759" t="s">
        <v>69</v>
      </c>
      <c r="AD759" t="s">
        <v>69</v>
      </c>
      <c r="AE759" t="s">
        <v>16097</v>
      </c>
      <c r="AF759" t="s">
        <v>69</v>
      </c>
      <c r="AG759" t="s">
        <v>69</v>
      </c>
      <c r="AH759" t="s">
        <v>69</v>
      </c>
      <c r="AI759" t="s">
        <v>69</v>
      </c>
      <c r="AJ759" t="s">
        <v>69</v>
      </c>
      <c r="AK759" t="s">
        <v>69</v>
      </c>
      <c r="AL759">
        <v>47</v>
      </c>
      <c r="AM759">
        <v>1</v>
      </c>
      <c r="AN759">
        <v>1</v>
      </c>
      <c r="AO759">
        <v>0</v>
      </c>
      <c r="AP759">
        <v>2</v>
      </c>
      <c r="AQ759" t="s">
        <v>8611</v>
      </c>
      <c r="AR759" t="s">
        <v>8612</v>
      </c>
      <c r="AS759" t="s">
        <v>8613</v>
      </c>
      <c r="AT759" t="s">
        <v>8023</v>
      </c>
      <c r="AU759" t="s">
        <v>8024</v>
      </c>
      <c r="AV759" t="s">
        <v>69</v>
      </c>
      <c r="AW759" t="s">
        <v>8021</v>
      </c>
      <c r="AX759" t="s">
        <v>16098</v>
      </c>
      <c r="AY759" t="s">
        <v>69</v>
      </c>
      <c r="AZ759">
        <v>2020</v>
      </c>
      <c r="BA759">
        <v>67</v>
      </c>
      <c r="BB759">
        <v>3</v>
      </c>
      <c r="BC759" t="s">
        <v>69</v>
      </c>
      <c r="BD759" t="s">
        <v>69</v>
      </c>
      <c r="BE759" t="s">
        <v>114</v>
      </c>
      <c r="BF759" t="s">
        <v>69</v>
      </c>
      <c r="BG759">
        <v>252</v>
      </c>
      <c r="BH759">
        <v>270</v>
      </c>
      <c r="BI759" t="s">
        <v>69</v>
      </c>
      <c r="BJ759" t="s">
        <v>8025</v>
      </c>
      <c r="BK759" t="str">
        <f>HYPERLINK("http://dx.doi.org/10.1080/00026980.2020.1794674","http://dx.doi.org/10.1080/00026980.2020.1794674")</f>
        <v>http://dx.doi.org/10.1080/00026980.2020.1794674</v>
      </c>
      <c r="BL759" t="s">
        <v>69</v>
      </c>
      <c r="BM759" t="s">
        <v>69</v>
      </c>
      <c r="BN759">
        <v>19</v>
      </c>
      <c r="BO759" t="s">
        <v>16099</v>
      </c>
      <c r="BP759" t="s">
        <v>16100</v>
      </c>
      <c r="BQ759" t="s">
        <v>16101</v>
      </c>
      <c r="BR759" t="s">
        <v>16102</v>
      </c>
      <c r="BS759" t="s">
        <v>8026</v>
      </c>
      <c r="BT759">
        <v>32684146</v>
      </c>
      <c r="BU759" t="s">
        <v>69</v>
      </c>
      <c r="BV759" t="s">
        <v>69</v>
      </c>
      <c r="BW759" t="s">
        <v>69</v>
      </c>
      <c r="BX759" t="s">
        <v>8526</v>
      </c>
      <c r="BY759" t="str">
        <f>HYPERLINK("https%3A%2F%2Fwww.webofscience.com%2Fwos%2Fwoscc%2Ffull-record%2FWOS:000557445800004","View Full Record in Web of Science")</f>
        <v>View Full Record in Web of Science</v>
      </c>
    </row>
    <row r="760" spans="1:77" ht="12.5" x14ac:dyDescent="0.25">
      <c r="A760" t="s">
        <v>8495</v>
      </c>
      <c r="B760" s="22" t="s">
        <v>32931</v>
      </c>
      <c r="C760" s="7"/>
      <c r="D760" s="7"/>
      <c r="E760" s="7"/>
      <c r="F760" t="s">
        <v>67</v>
      </c>
      <c r="G760" t="s">
        <v>18786</v>
      </c>
      <c r="H760" t="s">
        <v>69</v>
      </c>
      <c r="I760" t="s">
        <v>69</v>
      </c>
      <c r="J760" t="s">
        <v>69</v>
      </c>
      <c r="K760" t="s">
        <v>18787</v>
      </c>
      <c r="L760" t="s">
        <v>69</v>
      </c>
      <c r="M760" t="s">
        <v>69</v>
      </c>
      <c r="N760" t="s">
        <v>18788</v>
      </c>
      <c r="O760" t="s">
        <v>18789</v>
      </c>
      <c r="P760" t="s">
        <v>69</v>
      </c>
      <c r="Q760" t="s">
        <v>69</v>
      </c>
      <c r="R760" t="s">
        <v>8505</v>
      </c>
      <c r="S760" t="s">
        <v>8506</v>
      </c>
      <c r="T760" t="s">
        <v>69</v>
      </c>
      <c r="U760" t="s">
        <v>69</v>
      </c>
      <c r="V760" t="s">
        <v>69</v>
      </c>
      <c r="W760" t="s">
        <v>69</v>
      </c>
      <c r="X760" t="s">
        <v>69</v>
      </c>
      <c r="Y760" t="s">
        <v>18790</v>
      </c>
      <c r="Z760" t="s">
        <v>18791</v>
      </c>
      <c r="AA760" t="s">
        <v>18792</v>
      </c>
      <c r="AB760" t="s">
        <v>18793</v>
      </c>
      <c r="AC760" t="s">
        <v>69</v>
      </c>
      <c r="AD760" t="s">
        <v>18794</v>
      </c>
      <c r="AE760" t="s">
        <v>18795</v>
      </c>
      <c r="AF760" t="s">
        <v>69</v>
      </c>
      <c r="AG760" t="s">
        <v>69</v>
      </c>
      <c r="AH760" t="s">
        <v>69</v>
      </c>
      <c r="AI760" t="s">
        <v>69</v>
      </c>
      <c r="AJ760" t="s">
        <v>69</v>
      </c>
      <c r="AK760" t="s">
        <v>69</v>
      </c>
      <c r="AL760">
        <v>53</v>
      </c>
      <c r="AM760">
        <v>11</v>
      </c>
      <c r="AN760">
        <v>11</v>
      </c>
      <c r="AO760">
        <v>2</v>
      </c>
      <c r="AP760">
        <v>3</v>
      </c>
      <c r="AQ760" t="s">
        <v>18796</v>
      </c>
      <c r="AR760" t="s">
        <v>13739</v>
      </c>
      <c r="AS760" t="s">
        <v>18797</v>
      </c>
      <c r="AT760" t="s">
        <v>18798</v>
      </c>
      <c r="AU760" t="s">
        <v>69</v>
      </c>
      <c r="AV760" t="s">
        <v>69</v>
      </c>
      <c r="AW760" t="s">
        <v>18799</v>
      </c>
      <c r="AX760" t="s">
        <v>18800</v>
      </c>
      <c r="AY760" t="s">
        <v>18801</v>
      </c>
      <c r="AZ760">
        <v>2018</v>
      </c>
      <c r="BA760">
        <v>41</v>
      </c>
      <c r="BB760">
        <v>2</v>
      </c>
      <c r="BC760" t="s">
        <v>69</v>
      </c>
      <c r="BD760" t="s">
        <v>69</v>
      </c>
      <c r="BE760" t="s">
        <v>69</v>
      </c>
      <c r="BF760" t="s">
        <v>69</v>
      </c>
      <c r="BG760">
        <v>107</v>
      </c>
      <c r="BH760">
        <v>129</v>
      </c>
      <c r="BI760" t="s">
        <v>69</v>
      </c>
      <c r="BJ760" t="s">
        <v>18802</v>
      </c>
      <c r="BK760" t="str">
        <f>HYPERLINK("http://dx.doi.org/10.28927/SR.412107","http://dx.doi.org/10.28927/SR.412107")</f>
        <v>http://dx.doi.org/10.28927/SR.412107</v>
      </c>
      <c r="BL760" t="s">
        <v>69</v>
      </c>
      <c r="BM760" t="s">
        <v>69</v>
      </c>
      <c r="BN760">
        <v>23</v>
      </c>
      <c r="BO760" t="s">
        <v>12079</v>
      </c>
      <c r="BP760" t="s">
        <v>8573</v>
      </c>
      <c r="BQ760" t="s">
        <v>8445</v>
      </c>
      <c r="BR760" t="s">
        <v>18803</v>
      </c>
      <c r="BS760" t="s">
        <v>18804</v>
      </c>
      <c r="BT760" t="s">
        <v>69</v>
      </c>
      <c r="BU760" t="s">
        <v>8931</v>
      </c>
      <c r="BV760" t="s">
        <v>69</v>
      </c>
      <c r="BW760" t="s">
        <v>69</v>
      </c>
      <c r="BX760" t="s">
        <v>8526</v>
      </c>
      <c r="BY760" t="str">
        <f>HYPERLINK("https%3A%2F%2Fwww.webofscience.com%2Fwos%2Fwoscc%2Ffull-record%2FWOS:000454200400001","View Full Record in Web of Science")</f>
        <v>View Full Record in Web of Science</v>
      </c>
    </row>
    <row r="761" spans="1:77" ht="12.5" x14ac:dyDescent="0.25">
      <c r="A761" t="s">
        <v>8495</v>
      </c>
      <c r="B761" s="22" t="s">
        <v>32931</v>
      </c>
      <c r="C761" s="7"/>
      <c r="D761" s="7"/>
      <c r="E761" s="7"/>
      <c r="F761" t="s">
        <v>67</v>
      </c>
      <c r="G761" t="s">
        <v>21497</v>
      </c>
      <c r="H761" t="s">
        <v>69</v>
      </c>
      <c r="I761" t="s">
        <v>69</v>
      </c>
      <c r="J761" t="s">
        <v>69</v>
      </c>
      <c r="K761" t="s">
        <v>21498</v>
      </c>
      <c r="L761" t="s">
        <v>69</v>
      </c>
      <c r="M761" t="s">
        <v>69</v>
      </c>
      <c r="N761" t="s">
        <v>21499</v>
      </c>
      <c r="O761" t="s">
        <v>21500</v>
      </c>
      <c r="P761" t="s">
        <v>69</v>
      </c>
      <c r="Q761" t="s">
        <v>69</v>
      </c>
      <c r="R761" t="s">
        <v>8505</v>
      </c>
      <c r="S761" t="s">
        <v>8506</v>
      </c>
      <c r="T761" t="s">
        <v>69</v>
      </c>
      <c r="U761" t="s">
        <v>69</v>
      </c>
      <c r="V761" t="s">
        <v>69</v>
      </c>
      <c r="W761" t="s">
        <v>69</v>
      </c>
      <c r="X761" t="s">
        <v>69</v>
      </c>
      <c r="Y761" t="s">
        <v>21501</v>
      </c>
      <c r="Z761" t="s">
        <v>69</v>
      </c>
      <c r="AA761" t="s">
        <v>21502</v>
      </c>
      <c r="AB761" t="s">
        <v>21503</v>
      </c>
      <c r="AC761" t="s">
        <v>69</v>
      </c>
      <c r="AD761" t="s">
        <v>21504</v>
      </c>
      <c r="AE761" t="s">
        <v>21505</v>
      </c>
      <c r="AF761" t="s">
        <v>69</v>
      </c>
      <c r="AG761" t="s">
        <v>69</v>
      </c>
      <c r="AH761" t="s">
        <v>69</v>
      </c>
      <c r="AI761" t="s">
        <v>69</v>
      </c>
      <c r="AJ761" t="s">
        <v>69</v>
      </c>
      <c r="AK761" t="s">
        <v>69</v>
      </c>
      <c r="AL761">
        <v>30</v>
      </c>
      <c r="AM761">
        <v>1</v>
      </c>
      <c r="AN761">
        <v>1</v>
      </c>
      <c r="AO761">
        <v>0</v>
      </c>
      <c r="AP761">
        <v>8</v>
      </c>
      <c r="AQ761" t="s">
        <v>21506</v>
      </c>
      <c r="AR761" t="s">
        <v>21507</v>
      </c>
      <c r="AS761" t="s">
        <v>21508</v>
      </c>
      <c r="AT761" t="s">
        <v>21509</v>
      </c>
      <c r="AU761" t="s">
        <v>69</v>
      </c>
      <c r="AV761" t="s">
        <v>69</v>
      </c>
      <c r="AW761" t="s">
        <v>21510</v>
      </c>
      <c r="AX761" t="s">
        <v>21511</v>
      </c>
      <c r="AY761" t="s">
        <v>1226</v>
      </c>
      <c r="AZ761">
        <v>2016</v>
      </c>
      <c r="BA761">
        <v>36</v>
      </c>
      <c r="BB761">
        <v>4</v>
      </c>
      <c r="BC761" t="s">
        <v>69</v>
      </c>
      <c r="BD761" t="s">
        <v>69</v>
      </c>
      <c r="BE761" t="s">
        <v>69</v>
      </c>
      <c r="BF761" t="s">
        <v>69</v>
      </c>
      <c r="BG761">
        <v>684</v>
      </c>
      <c r="BH761">
        <v>695</v>
      </c>
      <c r="BI761" t="s">
        <v>69</v>
      </c>
      <c r="BJ761" t="s">
        <v>21512</v>
      </c>
      <c r="BK761" t="str">
        <f>HYPERLINK("http://dx.doi.org/10.1590/1809-4430-Eng.Agric.v36n4p684-695/2016","http://dx.doi.org/10.1590/1809-4430-Eng.Agric.v36n4p684-695/2016")</f>
        <v>http://dx.doi.org/10.1590/1809-4430-Eng.Agric.v36n4p684-695/2016</v>
      </c>
      <c r="BL761" t="s">
        <v>69</v>
      </c>
      <c r="BM761" t="s">
        <v>69</v>
      </c>
      <c r="BN761">
        <v>12</v>
      </c>
      <c r="BO761" t="s">
        <v>21513</v>
      </c>
      <c r="BP761" t="s">
        <v>8548</v>
      </c>
      <c r="BQ761" t="s">
        <v>8450</v>
      </c>
      <c r="BR761" t="s">
        <v>21514</v>
      </c>
      <c r="BS761" t="s">
        <v>21515</v>
      </c>
      <c r="BT761" t="s">
        <v>69</v>
      </c>
      <c r="BU761" t="s">
        <v>19008</v>
      </c>
      <c r="BV761" t="s">
        <v>69</v>
      </c>
      <c r="BW761" t="s">
        <v>69</v>
      </c>
      <c r="BX761" t="s">
        <v>8526</v>
      </c>
      <c r="BY761" t="str">
        <f>HYPERLINK("https%3A%2F%2Fwww.webofscience.com%2Fwos%2Fwoscc%2Ffull-record%2FWOS:000382718300012","View Full Record in Web of Science")</f>
        <v>View Full Record in Web of Science</v>
      </c>
    </row>
    <row r="762" spans="1:77" ht="12.5" x14ac:dyDescent="0.25">
      <c r="A762" t="s">
        <v>8495</v>
      </c>
      <c r="B762" s="7" t="s">
        <v>32933</v>
      </c>
      <c r="C762" s="7"/>
      <c r="D762" s="7"/>
      <c r="E762" s="7"/>
      <c r="F762" t="s">
        <v>67</v>
      </c>
      <c r="G762" t="s">
        <v>4540</v>
      </c>
      <c r="H762" t="s">
        <v>69</v>
      </c>
      <c r="I762" t="s">
        <v>69</v>
      </c>
      <c r="J762" t="s">
        <v>69</v>
      </c>
      <c r="K762" t="s">
        <v>4541</v>
      </c>
      <c r="L762" t="s">
        <v>69</v>
      </c>
      <c r="M762" t="s">
        <v>69</v>
      </c>
      <c r="N762" t="s">
        <v>4542</v>
      </c>
      <c r="O762" t="s">
        <v>4543</v>
      </c>
      <c r="P762" t="s">
        <v>69</v>
      </c>
      <c r="Q762" t="s">
        <v>69</v>
      </c>
      <c r="R762" t="s">
        <v>8505</v>
      </c>
      <c r="S762" t="s">
        <v>8506</v>
      </c>
      <c r="T762" t="s">
        <v>69</v>
      </c>
      <c r="U762" t="s">
        <v>69</v>
      </c>
      <c r="V762" t="s">
        <v>69</v>
      </c>
      <c r="W762" t="s">
        <v>69</v>
      </c>
      <c r="X762" t="s">
        <v>69</v>
      </c>
      <c r="Y762" t="s">
        <v>25132</v>
      </c>
      <c r="Z762" t="s">
        <v>25133</v>
      </c>
      <c r="AA762" t="s">
        <v>4544</v>
      </c>
      <c r="AB762" t="s">
        <v>25134</v>
      </c>
      <c r="AC762" t="s">
        <v>69</v>
      </c>
      <c r="AD762" t="s">
        <v>25135</v>
      </c>
      <c r="AE762" t="s">
        <v>25136</v>
      </c>
      <c r="AF762" t="s">
        <v>25137</v>
      </c>
      <c r="AG762" t="s">
        <v>25138</v>
      </c>
      <c r="AH762" t="s">
        <v>69</v>
      </c>
      <c r="AI762" t="s">
        <v>69</v>
      </c>
      <c r="AJ762" t="s">
        <v>69</v>
      </c>
      <c r="AK762" t="s">
        <v>69</v>
      </c>
      <c r="AL762">
        <v>48</v>
      </c>
      <c r="AM762">
        <v>24</v>
      </c>
      <c r="AN762">
        <v>24</v>
      </c>
      <c r="AO762">
        <v>2</v>
      </c>
      <c r="AP762">
        <v>37</v>
      </c>
      <c r="AQ762" t="s">
        <v>14856</v>
      </c>
      <c r="AR762" t="s">
        <v>11131</v>
      </c>
      <c r="AS762" t="s">
        <v>14857</v>
      </c>
      <c r="AT762" t="s">
        <v>4545</v>
      </c>
      <c r="AU762" t="s">
        <v>4546</v>
      </c>
      <c r="AV762" t="s">
        <v>69</v>
      </c>
      <c r="AW762" t="s">
        <v>22470</v>
      </c>
      <c r="AX762" t="s">
        <v>22471</v>
      </c>
      <c r="AY762" t="s">
        <v>1425</v>
      </c>
      <c r="AZ762">
        <v>2013</v>
      </c>
      <c r="BA762">
        <v>23</v>
      </c>
      <c r="BB762">
        <v>2</v>
      </c>
      <c r="BC762" t="s">
        <v>69</v>
      </c>
      <c r="BD762" t="s">
        <v>69</v>
      </c>
      <c r="BE762" t="s">
        <v>69</v>
      </c>
      <c r="BF762" t="s">
        <v>69</v>
      </c>
      <c r="BG762">
        <v>130</v>
      </c>
      <c r="BH762">
        <v>144</v>
      </c>
      <c r="BI762" t="s">
        <v>69</v>
      </c>
      <c r="BJ762" t="s">
        <v>4547</v>
      </c>
      <c r="BK762" t="str">
        <f>HYPERLINK("http://dx.doi.org/10.1002/eet.1602","http://dx.doi.org/10.1002/eet.1602")</f>
        <v>http://dx.doi.org/10.1002/eet.1602</v>
      </c>
      <c r="BL762" t="s">
        <v>69</v>
      </c>
      <c r="BM762" t="s">
        <v>69</v>
      </c>
      <c r="BN762">
        <v>15</v>
      </c>
      <c r="BO762" t="s">
        <v>8660</v>
      </c>
      <c r="BP762" t="s">
        <v>8661</v>
      </c>
      <c r="BQ762" t="s">
        <v>8662</v>
      </c>
      <c r="BR762" t="s">
        <v>25139</v>
      </c>
      <c r="BS762" t="s">
        <v>4548</v>
      </c>
      <c r="BT762" t="s">
        <v>69</v>
      </c>
      <c r="BU762" t="s">
        <v>69</v>
      </c>
      <c r="BV762" t="s">
        <v>69</v>
      </c>
      <c r="BW762" t="s">
        <v>69</v>
      </c>
      <c r="BX762" t="s">
        <v>8526</v>
      </c>
      <c r="BY762" t="str">
        <f>HYPERLINK("https%3A%2F%2Fwww.webofscience.com%2Fwos%2Fwoscc%2Ffull-record%2FWOS:000318041300004","View Full Record in Web of Science")</f>
        <v>View Full Record in Web of Science</v>
      </c>
    </row>
    <row r="763" spans="1:77" ht="12.5" x14ac:dyDescent="0.25">
      <c r="A763" t="s">
        <v>8495</v>
      </c>
      <c r="B763" s="22" t="s">
        <v>32931</v>
      </c>
      <c r="C763" s="7"/>
      <c r="D763" s="7"/>
      <c r="E763" s="7"/>
      <c r="F763" t="s">
        <v>67</v>
      </c>
      <c r="G763" t="s">
        <v>12609</v>
      </c>
      <c r="H763" t="s">
        <v>69</v>
      </c>
      <c r="I763" t="s">
        <v>69</v>
      </c>
      <c r="J763" t="s">
        <v>69</v>
      </c>
      <c r="K763" t="s">
        <v>12610</v>
      </c>
      <c r="L763" t="s">
        <v>69</v>
      </c>
      <c r="M763" t="s">
        <v>69</v>
      </c>
      <c r="N763" t="s">
        <v>12611</v>
      </c>
      <c r="O763" t="s">
        <v>352</v>
      </c>
      <c r="P763" t="s">
        <v>69</v>
      </c>
      <c r="Q763" t="s">
        <v>69</v>
      </c>
      <c r="R763" t="s">
        <v>8505</v>
      </c>
      <c r="S763" t="s">
        <v>8506</v>
      </c>
      <c r="T763" t="s">
        <v>69</v>
      </c>
      <c r="U763" t="s">
        <v>69</v>
      </c>
      <c r="V763" t="s">
        <v>69</v>
      </c>
      <c r="W763" t="s">
        <v>69</v>
      </c>
      <c r="X763" t="s">
        <v>69</v>
      </c>
      <c r="Y763" t="s">
        <v>12612</v>
      </c>
      <c r="Z763" t="s">
        <v>69</v>
      </c>
      <c r="AA763" t="s">
        <v>12613</v>
      </c>
      <c r="AB763" t="s">
        <v>12614</v>
      </c>
      <c r="AC763" t="s">
        <v>69</v>
      </c>
      <c r="AD763" t="s">
        <v>12615</v>
      </c>
      <c r="AE763" t="s">
        <v>12616</v>
      </c>
      <c r="AF763" t="s">
        <v>69</v>
      </c>
      <c r="AG763" t="s">
        <v>12617</v>
      </c>
      <c r="AH763" t="s">
        <v>12618</v>
      </c>
      <c r="AI763" t="s">
        <v>12619</v>
      </c>
      <c r="AJ763" t="s">
        <v>12620</v>
      </c>
      <c r="AK763" t="s">
        <v>69</v>
      </c>
      <c r="AL763">
        <v>32</v>
      </c>
      <c r="AM763">
        <v>1</v>
      </c>
      <c r="AN763">
        <v>1</v>
      </c>
      <c r="AO763">
        <v>3</v>
      </c>
      <c r="AP763">
        <v>7</v>
      </c>
      <c r="AQ763" t="s">
        <v>8924</v>
      </c>
      <c r="AR763" t="s">
        <v>8925</v>
      </c>
      <c r="AS763" t="s">
        <v>8926</v>
      </c>
      <c r="AT763" t="s">
        <v>69</v>
      </c>
      <c r="AU763" t="s">
        <v>354</v>
      </c>
      <c r="AV763" t="s">
        <v>69</v>
      </c>
      <c r="AW763" t="s">
        <v>8958</v>
      </c>
      <c r="AX763" t="s">
        <v>8434</v>
      </c>
      <c r="AY763" t="s">
        <v>246</v>
      </c>
      <c r="AZ763">
        <v>2021</v>
      </c>
      <c r="BA763">
        <v>13</v>
      </c>
      <c r="BB763">
        <v>7</v>
      </c>
      <c r="BC763" t="s">
        <v>69</v>
      </c>
      <c r="BD763" t="s">
        <v>69</v>
      </c>
      <c r="BE763" t="s">
        <v>69</v>
      </c>
      <c r="BF763" t="s">
        <v>69</v>
      </c>
      <c r="BG763" t="s">
        <v>69</v>
      </c>
      <c r="BH763" t="s">
        <v>69</v>
      </c>
      <c r="BI763">
        <v>3638</v>
      </c>
      <c r="BJ763" t="s">
        <v>12621</v>
      </c>
      <c r="BK763" t="str">
        <f>HYPERLINK("http://dx.doi.org/10.3390/su13073638","http://dx.doi.org/10.3390/su13073638")</f>
        <v>http://dx.doi.org/10.3390/su13073638</v>
      </c>
      <c r="BL763" t="s">
        <v>69</v>
      </c>
      <c r="BM763" t="s">
        <v>69</v>
      </c>
      <c r="BN763">
        <v>17</v>
      </c>
      <c r="BO763" t="s">
        <v>8960</v>
      </c>
      <c r="BP763" t="s">
        <v>8523</v>
      </c>
      <c r="BQ763" t="s">
        <v>8961</v>
      </c>
      <c r="BR763" t="s">
        <v>12622</v>
      </c>
      <c r="BS763" t="s">
        <v>12623</v>
      </c>
      <c r="BT763" t="s">
        <v>69</v>
      </c>
      <c r="BU763" t="s">
        <v>8812</v>
      </c>
      <c r="BV763" t="s">
        <v>69</v>
      </c>
      <c r="BW763" t="s">
        <v>69</v>
      </c>
      <c r="BX763" t="s">
        <v>8526</v>
      </c>
      <c r="BY763" t="str">
        <f>HYPERLINK("https%3A%2F%2Fwww.webofscience.com%2Fwos%2Fwoscc%2Ffull-record%2FWOS:000638920100001","View Full Record in Web of Science")</f>
        <v>View Full Record in Web of Science</v>
      </c>
    </row>
    <row r="764" spans="1:77" ht="12.5" x14ac:dyDescent="0.25">
      <c r="A764" t="s">
        <v>8495</v>
      </c>
      <c r="B764" s="22" t="s">
        <v>32931</v>
      </c>
      <c r="C764" s="7"/>
      <c r="D764" s="7"/>
      <c r="E764" s="7"/>
      <c r="F764" t="s">
        <v>67</v>
      </c>
      <c r="G764" t="s">
        <v>30552</v>
      </c>
      <c r="H764" t="s">
        <v>69</v>
      </c>
      <c r="I764" t="s">
        <v>69</v>
      </c>
      <c r="J764" t="s">
        <v>69</v>
      </c>
      <c r="K764" t="s">
        <v>30552</v>
      </c>
      <c r="L764" t="s">
        <v>69</v>
      </c>
      <c r="M764" t="s">
        <v>69</v>
      </c>
      <c r="N764" t="s">
        <v>30553</v>
      </c>
      <c r="O764" t="s">
        <v>30554</v>
      </c>
      <c r="P764" t="s">
        <v>69</v>
      </c>
      <c r="Q764" t="s">
        <v>69</v>
      </c>
      <c r="R764" t="s">
        <v>8505</v>
      </c>
      <c r="S764" t="s">
        <v>15797</v>
      </c>
      <c r="T764" t="s">
        <v>30555</v>
      </c>
      <c r="U764">
        <v>2003</v>
      </c>
      <c r="V764" t="s">
        <v>30556</v>
      </c>
      <c r="W764" t="s">
        <v>69</v>
      </c>
      <c r="X764" t="s">
        <v>69</v>
      </c>
      <c r="Y764" t="s">
        <v>30557</v>
      </c>
      <c r="Z764" t="s">
        <v>30558</v>
      </c>
      <c r="AA764" t="s">
        <v>30559</v>
      </c>
      <c r="AB764" t="s">
        <v>30560</v>
      </c>
      <c r="AC764" t="s">
        <v>69</v>
      </c>
      <c r="AD764" t="s">
        <v>30561</v>
      </c>
      <c r="AE764" t="s">
        <v>30562</v>
      </c>
      <c r="AF764" t="s">
        <v>69</v>
      </c>
      <c r="AG764" t="s">
        <v>69</v>
      </c>
      <c r="AH764" t="s">
        <v>69</v>
      </c>
      <c r="AI764" t="s">
        <v>69</v>
      </c>
      <c r="AJ764" t="s">
        <v>69</v>
      </c>
      <c r="AK764" t="s">
        <v>69</v>
      </c>
      <c r="AL764">
        <v>3</v>
      </c>
      <c r="AM764">
        <v>7</v>
      </c>
      <c r="AN764">
        <v>8</v>
      </c>
      <c r="AO764">
        <v>0</v>
      </c>
      <c r="AP764">
        <v>3</v>
      </c>
      <c r="AQ764" t="s">
        <v>8636</v>
      </c>
      <c r="AR764" t="s">
        <v>8637</v>
      </c>
      <c r="AS764" t="s">
        <v>8638</v>
      </c>
      <c r="AT764" t="s">
        <v>30563</v>
      </c>
      <c r="AU764" t="s">
        <v>69</v>
      </c>
      <c r="AV764" t="s">
        <v>69</v>
      </c>
      <c r="AW764" t="s">
        <v>30564</v>
      </c>
      <c r="AX764" t="s">
        <v>30565</v>
      </c>
      <c r="AY764" t="s">
        <v>75</v>
      </c>
      <c r="AZ764">
        <v>2005</v>
      </c>
      <c r="BA764">
        <v>20</v>
      </c>
      <c r="BB764">
        <v>12</v>
      </c>
      <c r="BC764" t="s">
        <v>69</v>
      </c>
      <c r="BD764" t="s">
        <v>69</v>
      </c>
      <c r="BE764" t="s">
        <v>69</v>
      </c>
      <c r="BF764" t="s">
        <v>69</v>
      </c>
      <c r="BG764">
        <v>1478</v>
      </c>
      <c r="BH764">
        <v>1485</v>
      </c>
      <c r="BI764" t="s">
        <v>69</v>
      </c>
      <c r="BJ764" t="s">
        <v>30566</v>
      </c>
      <c r="BK764" t="str">
        <f>HYPERLINK("http://dx.doi.org/10.1016/j.envsoft.2004.07.018","http://dx.doi.org/10.1016/j.envsoft.2004.07.018")</f>
        <v>http://dx.doi.org/10.1016/j.envsoft.2004.07.018</v>
      </c>
      <c r="BL764" t="s">
        <v>69</v>
      </c>
      <c r="BM764" t="s">
        <v>69</v>
      </c>
      <c r="BN764">
        <v>8</v>
      </c>
      <c r="BO764" t="s">
        <v>30567</v>
      </c>
      <c r="BP764" t="s">
        <v>29550</v>
      </c>
      <c r="BQ764" t="s">
        <v>30568</v>
      </c>
      <c r="BR764" t="s">
        <v>30569</v>
      </c>
      <c r="BS764" t="s">
        <v>30570</v>
      </c>
      <c r="BT764" t="s">
        <v>69</v>
      </c>
      <c r="BU764" t="s">
        <v>69</v>
      </c>
      <c r="BV764" t="s">
        <v>69</v>
      </c>
      <c r="BW764" t="s">
        <v>69</v>
      </c>
      <c r="BX764" t="s">
        <v>8526</v>
      </c>
      <c r="BY764" t="str">
        <f>HYPERLINK("https%3A%2F%2Fwww.webofscience.com%2Fwos%2Fwoscc%2Ffull-record%2FWOS:000232256300004","View Full Record in Web of Science")</f>
        <v>View Full Record in Web of Science</v>
      </c>
    </row>
    <row r="765" spans="1:77" ht="12.5" x14ac:dyDescent="0.25">
      <c r="A765" t="s">
        <v>8495</v>
      </c>
      <c r="B765" s="22" t="s">
        <v>32931</v>
      </c>
      <c r="C765" s="7"/>
      <c r="D765" s="7"/>
      <c r="E765" s="7"/>
      <c r="F765" t="s">
        <v>67</v>
      </c>
      <c r="G765" t="s">
        <v>28641</v>
      </c>
      <c r="H765" t="s">
        <v>69</v>
      </c>
      <c r="I765" t="s">
        <v>69</v>
      </c>
      <c r="J765" t="s">
        <v>69</v>
      </c>
      <c r="K765" t="s">
        <v>28642</v>
      </c>
      <c r="L765" t="s">
        <v>69</v>
      </c>
      <c r="M765" t="s">
        <v>69</v>
      </c>
      <c r="N765" t="s">
        <v>28643</v>
      </c>
      <c r="O765" t="s">
        <v>28644</v>
      </c>
      <c r="P765" t="s">
        <v>69</v>
      </c>
      <c r="Q765" t="s">
        <v>69</v>
      </c>
      <c r="R765" t="s">
        <v>8505</v>
      </c>
      <c r="S765" t="s">
        <v>8506</v>
      </c>
      <c r="T765" t="s">
        <v>69</v>
      </c>
      <c r="U765" t="s">
        <v>69</v>
      </c>
      <c r="V765" t="s">
        <v>69</v>
      </c>
      <c r="W765" t="s">
        <v>69</v>
      </c>
      <c r="X765" t="s">
        <v>69</v>
      </c>
      <c r="Y765" t="s">
        <v>28645</v>
      </c>
      <c r="Z765" t="s">
        <v>69</v>
      </c>
      <c r="AA765" t="s">
        <v>28646</v>
      </c>
      <c r="AB765" t="s">
        <v>28647</v>
      </c>
      <c r="AC765" t="s">
        <v>69</v>
      </c>
      <c r="AD765" t="s">
        <v>28648</v>
      </c>
      <c r="AE765" t="s">
        <v>28649</v>
      </c>
      <c r="AF765" t="s">
        <v>69</v>
      </c>
      <c r="AG765" t="s">
        <v>69</v>
      </c>
      <c r="AH765" t="s">
        <v>69</v>
      </c>
      <c r="AI765" t="s">
        <v>69</v>
      </c>
      <c r="AJ765" t="s">
        <v>69</v>
      </c>
      <c r="AK765" t="s">
        <v>69</v>
      </c>
      <c r="AL765">
        <v>39</v>
      </c>
      <c r="AM765">
        <v>1</v>
      </c>
      <c r="AN765">
        <v>1</v>
      </c>
      <c r="AO765">
        <v>0</v>
      </c>
      <c r="AP765">
        <v>0</v>
      </c>
      <c r="AQ765" t="s">
        <v>8865</v>
      </c>
      <c r="AR765" t="s">
        <v>8612</v>
      </c>
      <c r="AS765" t="s">
        <v>8866</v>
      </c>
      <c r="AT765" t="s">
        <v>28650</v>
      </c>
      <c r="AU765" t="s">
        <v>28651</v>
      </c>
      <c r="AV765" t="s">
        <v>69</v>
      </c>
      <c r="AW765" t="s">
        <v>28652</v>
      </c>
      <c r="AX765" t="s">
        <v>28653</v>
      </c>
      <c r="AY765" t="s">
        <v>69</v>
      </c>
      <c r="AZ765">
        <v>2009</v>
      </c>
      <c r="BA765">
        <v>23</v>
      </c>
      <c r="BB765">
        <v>79</v>
      </c>
      <c r="BC765" t="s">
        <v>69</v>
      </c>
      <c r="BD765" t="s">
        <v>69</v>
      </c>
      <c r="BE765" t="s">
        <v>69</v>
      </c>
      <c r="BF765" t="s">
        <v>69</v>
      </c>
      <c r="BG765">
        <v>13</v>
      </c>
      <c r="BH765">
        <v>23</v>
      </c>
      <c r="BI765" t="s">
        <v>69</v>
      </c>
      <c r="BJ765" t="s">
        <v>28654</v>
      </c>
      <c r="BK765" t="str">
        <f>HYPERLINK("http://dx.doi.org/10.1080/10130950.2009.9676219","http://dx.doi.org/10.1080/10130950.2009.9676219")</f>
        <v>http://dx.doi.org/10.1080/10130950.2009.9676219</v>
      </c>
      <c r="BL765" t="s">
        <v>69</v>
      </c>
      <c r="BM765" t="s">
        <v>69</v>
      </c>
      <c r="BN765">
        <v>11</v>
      </c>
      <c r="BO765" t="s">
        <v>28655</v>
      </c>
      <c r="BP765" t="s">
        <v>8573</v>
      </c>
      <c r="BQ765" t="s">
        <v>28655</v>
      </c>
      <c r="BR765" t="s">
        <v>28656</v>
      </c>
      <c r="BS765" t="s">
        <v>28657</v>
      </c>
      <c r="BT765" t="s">
        <v>69</v>
      </c>
      <c r="BU765" t="s">
        <v>69</v>
      </c>
      <c r="BV765" t="s">
        <v>69</v>
      </c>
      <c r="BW765" t="s">
        <v>69</v>
      </c>
      <c r="BX765" t="s">
        <v>8526</v>
      </c>
      <c r="BY765" t="str">
        <f>HYPERLINK("https%3A%2F%2Fwww.webofscience.com%2Fwos%2Fwoscc%2Ffull-record%2FWOS:000420272200004","View Full Record in Web of Science")</f>
        <v>View Full Record in Web of Science</v>
      </c>
    </row>
    <row r="766" spans="1:77" ht="12.5" x14ac:dyDescent="0.25">
      <c r="A766" t="s">
        <v>8495</v>
      </c>
      <c r="B766" s="7" t="s">
        <v>32933</v>
      </c>
      <c r="C766" s="7"/>
      <c r="D766" s="7"/>
      <c r="E766" s="7"/>
      <c r="F766" t="s">
        <v>67</v>
      </c>
      <c r="G766" t="s">
        <v>5779</v>
      </c>
      <c r="H766" t="s">
        <v>69</v>
      </c>
      <c r="I766" t="s">
        <v>69</v>
      </c>
      <c r="J766" t="s">
        <v>69</v>
      </c>
      <c r="K766" t="s">
        <v>5780</v>
      </c>
      <c r="L766" t="s">
        <v>69</v>
      </c>
      <c r="M766" t="s">
        <v>69</v>
      </c>
      <c r="N766" t="s">
        <v>5781</v>
      </c>
      <c r="O766" t="s">
        <v>436</v>
      </c>
      <c r="P766" t="s">
        <v>69</v>
      </c>
      <c r="Q766" t="s">
        <v>69</v>
      </c>
      <c r="R766" t="s">
        <v>8505</v>
      </c>
      <c r="S766" t="s">
        <v>8506</v>
      </c>
      <c r="T766" t="s">
        <v>69</v>
      </c>
      <c r="U766" t="s">
        <v>69</v>
      </c>
      <c r="V766" t="s">
        <v>69</v>
      </c>
      <c r="W766" t="s">
        <v>69</v>
      </c>
      <c r="X766" t="s">
        <v>69</v>
      </c>
      <c r="Y766" t="s">
        <v>30506</v>
      </c>
      <c r="Z766" t="s">
        <v>17171</v>
      </c>
      <c r="AA766" t="s">
        <v>5782</v>
      </c>
      <c r="AB766" t="s">
        <v>30507</v>
      </c>
      <c r="AC766" t="s">
        <v>69</v>
      </c>
      <c r="AD766" t="s">
        <v>30508</v>
      </c>
      <c r="AE766" t="s">
        <v>30509</v>
      </c>
      <c r="AF766" t="s">
        <v>69</v>
      </c>
      <c r="AG766" t="s">
        <v>30510</v>
      </c>
      <c r="AH766" t="s">
        <v>69</v>
      </c>
      <c r="AI766" t="s">
        <v>69</v>
      </c>
      <c r="AJ766" t="s">
        <v>69</v>
      </c>
      <c r="AK766" t="s">
        <v>69</v>
      </c>
      <c r="AL766">
        <v>33</v>
      </c>
      <c r="AM766">
        <v>31</v>
      </c>
      <c r="AN766">
        <v>33</v>
      </c>
      <c r="AO766">
        <v>0</v>
      </c>
      <c r="AP766">
        <v>8</v>
      </c>
      <c r="AQ766" t="s">
        <v>8636</v>
      </c>
      <c r="AR766" t="s">
        <v>8637</v>
      </c>
      <c r="AS766" t="s">
        <v>8638</v>
      </c>
      <c r="AT766" t="s">
        <v>440</v>
      </c>
      <c r="AU766" t="s">
        <v>441</v>
      </c>
      <c r="AV766" t="s">
        <v>69</v>
      </c>
      <c r="AW766" t="s">
        <v>8639</v>
      </c>
      <c r="AX766" t="s">
        <v>8640</v>
      </c>
      <c r="AY766" t="s">
        <v>69</v>
      </c>
      <c r="AZ766">
        <v>2006</v>
      </c>
      <c r="BA766">
        <v>14</v>
      </c>
      <c r="BB766" t="s">
        <v>5783</v>
      </c>
      <c r="BC766" t="s">
        <v>69</v>
      </c>
      <c r="BD766" t="s">
        <v>69</v>
      </c>
      <c r="BE766" t="s">
        <v>114</v>
      </c>
      <c r="BF766" t="s">
        <v>69</v>
      </c>
      <c r="BG766">
        <v>761</v>
      </c>
      <c r="BH766">
        <v>768</v>
      </c>
      <c r="BI766" t="s">
        <v>69</v>
      </c>
      <c r="BJ766" t="s">
        <v>5784</v>
      </c>
      <c r="BK766" t="str">
        <f>HYPERLINK("http://dx.doi.org/10.1016/j.jclepro.2005.12.007","http://dx.doi.org/10.1016/j.jclepro.2005.12.007")</f>
        <v>http://dx.doi.org/10.1016/j.jclepro.2005.12.007</v>
      </c>
      <c r="BL766" t="s">
        <v>69</v>
      </c>
      <c r="BM766" t="s">
        <v>69</v>
      </c>
      <c r="BN766">
        <v>8</v>
      </c>
      <c r="BO766" t="s">
        <v>8643</v>
      </c>
      <c r="BP766" t="s">
        <v>8548</v>
      </c>
      <c r="BQ766" t="s">
        <v>8644</v>
      </c>
      <c r="BR766" t="s">
        <v>30511</v>
      </c>
      <c r="BS766" t="s">
        <v>5785</v>
      </c>
      <c r="BT766" t="s">
        <v>69</v>
      </c>
      <c r="BU766" t="s">
        <v>69</v>
      </c>
      <c r="BV766" t="s">
        <v>69</v>
      </c>
      <c r="BW766" t="s">
        <v>69</v>
      </c>
      <c r="BX766" t="s">
        <v>8526</v>
      </c>
      <c r="BY766" t="str">
        <f>HYPERLINK("https%3A%2F%2Fwww.webofscience.com%2Fwos%2Fwoscc%2Ffull-record%2FWOS:000237756800002","View Full Record in Web of Science")</f>
        <v>View Full Record in Web of Science</v>
      </c>
    </row>
    <row r="767" spans="1:77" ht="12.5" x14ac:dyDescent="0.25">
      <c r="A767" t="s">
        <v>8495</v>
      </c>
      <c r="B767" s="7" t="s">
        <v>32933</v>
      </c>
      <c r="C767" s="7"/>
      <c r="D767" s="7"/>
      <c r="E767" s="7"/>
      <c r="F767" t="s">
        <v>67</v>
      </c>
      <c r="G767" t="s">
        <v>545</v>
      </c>
      <c r="H767" t="s">
        <v>69</v>
      </c>
      <c r="I767" t="s">
        <v>69</v>
      </c>
      <c r="J767" t="s">
        <v>69</v>
      </c>
      <c r="K767" t="s">
        <v>546</v>
      </c>
      <c r="L767" t="s">
        <v>69</v>
      </c>
      <c r="M767" t="s">
        <v>69</v>
      </c>
      <c r="N767" t="s">
        <v>547</v>
      </c>
      <c r="O767" t="s">
        <v>548</v>
      </c>
      <c r="P767" t="s">
        <v>69</v>
      </c>
      <c r="Q767" t="s">
        <v>69</v>
      </c>
      <c r="R767" t="s">
        <v>8505</v>
      </c>
      <c r="S767" t="s">
        <v>8506</v>
      </c>
      <c r="T767" t="s">
        <v>69</v>
      </c>
      <c r="U767" t="s">
        <v>69</v>
      </c>
      <c r="V767" t="s">
        <v>69</v>
      </c>
      <c r="W767" t="s">
        <v>69</v>
      </c>
      <c r="X767" t="s">
        <v>69</v>
      </c>
      <c r="Y767" t="s">
        <v>69</v>
      </c>
      <c r="Z767" t="s">
        <v>26745</v>
      </c>
      <c r="AA767" t="s">
        <v>549</v>
      </c>
      <c r="AB767" t="s">
        <v>26746</v>
      </c>
      <c r="AC767" t="s">
        <v>69</v>
      </c>
      <c r="AD767" t="s">
        <v>26747</v>
      </c>
      <c r="AE767" t="s">
        <v>26748</v>
      </c>
      <c r="AF767" t="s">
        <v>69</v>
      </c>
      <c r="AG767" t="s">
        <v>69</v>
      </c>
      <c r="AH767" t="s">
        <v>69</v>
      </c>
      <c r="AI767" t="s">
        <v>69</v>
      </c>
      <c r="AJ767" t="s">
        <v>69</v>
      </c>
      <c r="AK767" t="s">
        <v>69</v>
      </c>
      <c r="AL767">
        <v>68</v>
      </c>
      <c r="AM767">
        <v>51</v>
      </c>
      <c r="AN767">
        <v>52</v>
      </c>
      <c r="AO767">
        <v>1</v>
      </c>
      <c r="AP767">
        <v>44</v>
      </c>
      <c r="AQ767" t="s">
        <v>8846</v>
      </c>
      <c r="AR767" t="s">
        <v>8847</v>
      </c>
      <c r="AS767" t="s">
        <v>8848</v>
      </c>
      <c r="AT767" t="s">
        <v>550</v>
      </c>
      <c r="AU767" t="s">
        <v>551</v>
      </c>
      <c r="AV767" t="s">
        <v>69</v>
      </c>
      <c r="AW767" t="s">
        <v>26749</v>
      </c>
      <c r="AX767" t="s">
        <v>26750</v>
      </c>
      <c r="AY767" t="s">
        <v>381</v>
      </c>
      <c r="AZ767">
        <v>2011</v>
      </c>
      <c r="BA767">
        <v>33</v>
      </c>
      <c r="BB767">
        <v>4</v>
      </c>
      <c r="BC767" t="s">
        <v>69</v>
      </c>
      <c r="BD767" t="s">
        <v>69</v>
      </c>
      <c r="BE767" t="s">
        <v>69</v>
      </c>
      <c r="BF767" t="s">
        <v>69</v>
      </c>
      <c r="BG767">
        <v>542</v>
      </c>
      <c r="BH767">
        <v>575</v>
      </c>
      <c r="BI767" t="s">
        <v>69</v>
      </c>
      <c r="BJ767" t="s">
        <v>552</v>
      </c>
      <c r="BK767" t="str">
        <f>HYPERLINK("http://dx.doi.org/10.1111/j.1467-9930.2011.00348.x","http://dx.doi.org/10.1111/j.1467-9930.2011.00348.x")</f>
        <v>http://dx.doi.org/10.1111/j.1467-9930.2011.00348.x</v>
      </c>
      <c r="BL767" t="s">
        <v>69</v>
      </c>
      <c r="BM767" t="s">
        <v>69</v>
      </c>
      <c r="BN767">
        <v>34</v>
      </c>
      <c r="BO767" t="s">
        <v>8452</v>
      </c>
      <c r="BP767" t="s">
        <v>8661</v>
      </c>
      <c r="BQ767" t="s">
        <v>10084</v>
      </c>
      <c r="BR767" t="s">
        <v>26751</v>
      </c>
      <c r="BS767" t="s">
        <v>553</v>
      </c>
      <c r="BT767" t="s">
        <v>69</v>
      </c>
      <c r="BU767" t="s">
        <v>69</v>
      </c>
      <c r="BV767" t="s">
        <v>69</v>
      </c>
      <c r="BW767" t="s">
        <v>69</v>
      </c>
      <c r="BX767" t="s">
        <v>8526</v>
      </c>
      <c r="BY767" t="str">
        <f>HYPERLINK("https%3A%2F%2Fwww.webofscience.com%2Fwos%2Fwoscc%2Ffull-record%2FWOS:000295057300005","View Full Record in Web of Science")</f>
        <v>View Full Record in Web of Science</v>
      </c>
    </row>
    <row r="768" spans="1:77" ht="12.5" x14ac:dyDescent="0.25">
      <c r="A768" t="s">
        <v>8495</v>
      </c>
      <c r="B768" s="7" t="s">
        <v>32933</v>
      </c>
      <c r="C768" s="7"/>
      <c r="D768" s="7"/>
      <c r="E768" s="7"/>
      <c r="F768" t="s">
        <v>67</v>
      </c>
      <c r="G768" t="s">
        <v>7731</v>
      </c>
      <c r="H768" t="s">
        <v>69</v>
      </c>
      <c r="I768" t="s">
        <v>69</v>
      </c>
      <c r="J768" t="s">
        <v>69</v>
      </c>
      <c r="K768" t="s">
        <v>7732</v>
      </c>
      <c r="L768" t="s">
        <v>69</v>
      </c>
      <c r="M768" t="s">
        <v>69</v>
      </c>
      <c r="N768" t="s">
        <v>7733</v>
      </c>
      <c r="O768" t="s">
        <v>7734</v>
      </c>
      <c r="P768" t="s">
        <v>69</v>
      </c>
      <c r="Q768" t="s">
        <v>69</v>
      </c>
      <c r="R768" t="s">
        <v>8505</v>
      </c>
      <c r="S768" t="s">
        <v>8506</v>
      </c>
      <c r="T768" t="s">
        <v>69</v>
      </c>
      <c r="U768" t="s">
        <v>69</v>
      </c>
      <c r="V768" t="s">
        <v>69</v>
      </c>
      <c r="W768" t="s">
        <v>69</v>
      </c>
      <c r="X768" t="s">
        <v>69</v>
      </c>
      <c r="Y768" t="s">
        <v>20893</v>
      </c>
      <c r="Z768" t="s">
        <v>20894</v>
      </c>
      <c r="AA768" t="s">
        <v>7735</v>
      </c>
      <c r="AB768" t="s">
        <v>20895</v>
      </c>
      <c r="AC768" t="s">
        <v>69</v>
      </c>
      <c r="AD768" t="s">
        <v>20896</v>
      </c>
      <c r="AE768" t="s">
        <v>20897</v>
      </c>
      <c r="AF768" t="s">
        <v>7736</v>
      </c>
      <c r="AG768" t="s">
        <v>7737</v>
      </c>
      <c r="AH768" t="s">
        <v>20898</v>
      </c>
      <c r="AI768" t="s">
        <v>20899</v>
      </c>
      <c r="AJ768" t="s">
        <v>20900</v>
      </c>
      <c r="AK768" t="s">
        <v>69</v>
      </c>
      <c r="AL768">
        <v>49</v>
      </c>
      <c r="AM768">
        <v>9</v>
      </c>
      <c r="AN768">
        <v>9</v>
      </c>
      <c r="AO768">
        <v>2</v>
      </c>
      <c r="AP768">
        <v>15</v>
      </c>
      <c r="AQ768" t="s">
        <v>8586</v>
      </c>
      <c r="AR768" t="s">
        <v>8587</v>
      </c>
      <c r="AS768" t="s">
        <v>8588</v>
      </c>
      <c r="AT768" t="s">
        <v>7738</v>
      </c>
      <c r="AU768" t="s">
        <v>7739</v>
      </c>
      <c r="AV768" t="s">
        <v>69</v>
      </c>
      <c r="AW768" t="s">
        <v>7734</v>
      </c>
      <c r="AX768" t="s">
        <v>20901</v>
      </c>
      <c r="AY768" t="s">
        <v>69</v>
      </c>
      <c r="AZ768">
        <v>2017</v>
      </c>
      <c r="BA768">
        <v>19</v>
      </c>
      <c r="BB768">
        <v>2</v>
      </c>
      <c r="BC768" t="s">
        <v>69</v>
      </c>
      <c r="BD768" t="s">
        <v>69</v>
      </c>
      <c r="BE768" t="s">
        <v>114</v>
      </c>
      <c r="BF768" t="s">
        <v>69</v>
      </c>
      <c r="BG768">
        <v>174</v>
      </c>
      <c r="BH768">
        <v>197</v>
      </c>
      <c r="BI768" t="s">
        <v>69</v>
      </c>
      <c r="BJ768" t="s">
        <v>7740</v>
      </c>
      <c r="BK768" t="str">
        <f>HYPERLINK("http://dx.doi.org/10.1108/FS-06-2016-0026","http://dx.doi.org/10.1108/FS-06-2016-0026")</f>
        <v>http://dx.doi.org/10.1108/FS-06-2016-0026</v>
      </c>
      <c r="BL768" t="s">
        <v>69</v>
      </c>
      <c r="BM768" t="s">
        <v>69</v>
      </c>
      <c r="BN768">
        <v>24</v>
      </c>
      <c r="BO768" t="s">
        <v>14187</v>
      </c>
      <c r="BP768" t="s">
        <v>8573</v>
      </c>
      <c r="BQ768" t="s">
        <v>12182</v>
      </c>
      <c r="BR768" t="s">
        <v>20902</v>
      </c>
      <c r="BS768" t="s">
        <v>7741</v>
      </c>
      <c r="BT768" t="s">
        <v>69</v>
      </c>
      <c r="BU768" t="s">
        <v>69</v>
      </c>
      <c r="BV768" t="s">
        <v>69</v>
      </c>
      <c r="BW768" t="s">
        <v>69</v>
      </c>
      <c r="BX768" t="s">
        <v>8526</v>
      </c>
      <c r="BY768" t="str">
        <f>HYPERLINK("https%3A%2F%2Fwww.webofscience.com%2Fwos%2Fwoscc%2Ffull-record%2FWOS:000402886000006","View Full Record in Web of Science")</f>
        <v>View Full Record in Web of Science</v>
      </c>
    </row>
    <row r="769" spans="1:77" ht="12.5" x14ac:dyDescent="0.25">
      <c r="A769" t="s">
        <v>8495</v>
      </c>
      <c r="B769" s="7" t="s">
        <v>32933</v>
      </c>
      <c r="C769" s="7"/>
      <c r="D769" s="7"/>
      <c r="E769" s="7"/>
      <c r="F769" t="s">
        <v>67</v>
      </c>
      <c r="G769" t="s">
        <v>5042</v>
      </c>
      <c r="H769" t="s">
        <v>69</v>
      </c>
      <c r="I769" t="s">
        <v>69</v>
      </c>
      <c r="J769" t="s">
        <v>69</v>
      </c>
      <c r="K769" t="s">
        <v>5043</v>
      </c>
      <c r="L769" t="s">
        <v>69</v>
      </c>
      <c r="M769" t="s">
        <v>69</v>
      </c>
      <c r="N769" t="s">
        <v>5044</v>
      </c>
      <c r="O769" t="s">
        <v>5045</v>
      </c>
      <c r="P769" t="s">
        <v>69</v>
      </c>
      <c r="Q769" t="s">
        <v>69</v>
      </c>
      <c r="R769" t="s">
        <v>8505</v>
      </c>
      <c r="S769" t="s">
        <v>8506</v>
      </c>
      <c r="T769" t="s">
        <v>69</v>
      </c>
      <c r="U769" t="s">
        <v>69</v>
      </c>
      <c r="V769" t="s">
        <v>69</v>
      </c>
      <c r="W769" t="s">
        <v>69</v>
      </c>
      <c r="X769" t="s">
        <v>69</v>
      </c>
      <c r="Y769" t="s">
        <v>19464</v>
      </c>
      <c r="Z769" t="s">
        <v>69</v>
      </c>
      <c r="AA769" t="s">
        <v>5046</v>
      </c>
      <c r="AB769" t="s">
        <v>19465</v>
      </c>
      <c r="AC769" t="s">
        <v>69</v>
      </c>
      <c r="AD769" t="s">
        <v>19466</v>
      </c>
      <c r="AE769" t="s">
        <v>19467</v>
      </c>
      <c r="AF769" t="s">
        <v>5047</v>
      </c>
      <c r="AG769" t="s">
        <v>19468</v>
      </c>
      <c r="AH769" t="s">
        <v>69</v>
      </c>
      <c r="AI769" t="s">
        <v>69</v>
      </c>
      <c r="AJ769" t="s">
        <v>69</v>
      </c>
      <c r="AK769" t="s">
        <v>69</v>
      </c>
      <c r="AL769">
        <v>19</v>
      </c>
      <c r="AM769">
        <v>4</v>
      </c>
      <c r="AN769">
        <v>4</v>
      </c>
      <c r="AO769">
        <v>1</v>
      </c>
      <c r="AP769">
        <v>14</v>
      </c>
      <c r="AQ769" t="s">
        <v>19469</v>
      </c>
      <c r="AR769" t="s">
        <v>19470</v>
      </c>
      <c r="AS769" t="s">
        <v>19471</v>
      </c>
      <c r="AT769" t="s">
        <v>5048</v>
      </c>
      <c r="AU769" t="s">
        <v>5049</v>
      </c>
      <c r="AV769" t="s">
        <v>69</v>
      </c>
      <c r="AW769" t="s">
        <v>19472</v>
      </c>
      <c r="AX769" t="s">
        <v>19473</v>
      </c>
      <c r="AY769" t="s">
        <v>69</v>
      </c>
      <c r="AZ769">
        <v>2018</v>
      </c>
      <c r="BA769">
        <v>4</v>
      </c>
      <c r="BB769">
        <v>1</v>
      </c>
      <c r="BC769" t="s">
        <v>69</v>
      </c>
      <c r="BD769" t="s">
        <v>69</v>
      </c>
      <c r="BE769" t="s">
        <v>69</v>
      </c>
      <c r="BF769" t="s">
        <v>69</v>
      </c>
      <c r="BG769">
        <v>62</v>
      </c>
      <c r="BH769">
        <v>67</v>
      </c>
      <c r="BI769" t="s">
        <v>69</v>
      </c>
      <c r="BJ769" t="s">
        <v>5050</v>
      </c>
      <c r="BK769" t="str">
        <f>HYPERLINK("http://dx.doi.org/10.30525/2256-0742/2018-4-1-62-67","http://dx.doi.org/10.30525/2256-0742/2018-4-1-62-67")</f>
        <v>http://dx.doi.org/10.30525/2256-0742/2018-4-1-62-67</v>
      </c>
      <c r="BL769" t="s">
        <v>69</v>
      </c>
      <c r="BM769" t="s">
        <v>69</v>
      </c>
      <c r="BN769">
        <v>6</v>
      </c>
      <c r="BO769" t="s">
        <v>9726</v>
      </c>
      <c r="BP769" t="s">
        <v>8573</v>
      </c>
      <c r="BQ769" t="s">
        <v>8594</v>
      </c>
      <c r="BR769" t="s">
        <v>19474</v>
      </c>
      <c r="BS769" t="s">
        <v>5051</v>
      </c>
      <c r="BT769" t="s">
        <v>69</v>
      </c>
      <c r="BU769" t="s">
        <v>8931</v>
      </c>
      <c r="BV769" t="s">
        <v>69</v>
      </c>
      <c r="BW769" t="s">
        <v>69</v>
      </c>
      <c r="BX769" t="s">
        <v>8526</v>
      </c>
      <c r="BY769" t="str">
        <f>HYPERLINK("https%3A%2F%2Fwww.webofscience.com%2Fwos%2Fwoscc%2Ffull-record%2FWOS:000437701000008","View Full Record in Web of Science")</f>
        <v>View Full Record in Web of Science</v>
      </c>
    </row>
    <row r="770" spans="1:77" ht="12.5" x14ac:dyDescent="0.25">
      <c r="A770" t="s">
        <v>8495</v>
      </c>
      <c r="B770" s="7" t="s">
        <v>32933</v>
      </c>
      <c r="C770" s="7"/>
      <c r="D770" s="7"/>
      <c r="E770" s="7"/>
      <c r="F770" t="s">
        <v>67</v>
      </c>
      <c r="G770" t="s">
        <v>1485</v>
      </c>
      <c r="H770" t="s">
        <v>69</v>
      </c>
      <c r="I770" t="s">
        <v>69</v>
      </c>
      <c r="J770" t="s">
        <v>69</v>
      </c>
      <c r="K770" t="s">
        <v>1486</v>
      </c>
      <c r="L770" t="s">
        <v>69</v>
      </c>
      <c r="M770" t="s">
        <v>69</v>
      </c>
      <c r="N770" t="s">
        <v>1487</v>
      </c>
      <c r="O770" t="s">
        <v>790</v>
      </c>
      <c r="P770" t="s">
        <v>69</v>
      </c>
      <c r="Q770" t="s">
        <v>69</v>
      </c>
      <c r="R770" t="s">
        <v>8505</v>
      </c>
      <c r="S770" t="s">
        <v>8506</v>
      </c>
      <c r="T770" t="s">
        <v>69</v>
      </c>
      <c r="U770" t="s">
        <v>69</v>
      </c>
      <c r="V770" t="s">
        <v>69</v>
      </c>
      <c r="W770" t="s">
        <v>69</v>
      </c>
      <c r="X770" t="s">
        <v>69</v>
      </c>
      <c r="Y770" t="s">
        <v>26948</v>
      </c>
      <c r="Z770" t="s">
        <v>26949</v>
      </c>
      <c r="AA770" t="s">
        <v>1488</v>
      </c>
      <c r="AB770" t="s">
        <v>26950</v>
      </c>
      <c r="AC770" t="s">
        <v>69</v>
      </c>
      <c r="AD770" t="s">
        <v>26951</v>
      </c>
      <c r="AE770" t="s">
        <v>26952</v>
      </c>
      <c r="AF770" t="s">
        <v>69</v>
      </c>
      <c r="AG770" t="s">
        <v>1489</v>
      </c>
      <c r="AH770" t="s">
        <v>69</v>
      </c>
      <c r="AI770" t="s">
        <v>69</v>
      </c>
      <c r="AJ770" t="s">
        <v>69</v>
      </c>
      <c r="AK770" t="s">
        <v>69</v>
      </c>
      <c r="AL770">
        <v>90</v>
      </c>
      <c r="AM770">
        <v>12</v>
      </c>
      <c r="AN770">
        <v>12</v>
      </c>
      <c r="AO770">
        <v>1</v>
      </c>
      <c r="AP770">
        <v>29</v>
      </c>
      <c r="AQ770" t="s">
        <v>8846</v>
      </c>
      <c r="AR770" t="s">
        <v>8847</v>
      </c>
      <c r="AS770" t="s">
        <v>8848</v>
      </c>
      <c r="AT770" t="s">
        <v>792</v>
      </c>
      <c r="AU770" t="s">
        <v>793</v>
      </c>
      <c r="AV770" t="s">
        <v>69</v>
      </c>
      <c r="AW770" t="s">
        <v>15534</v>
      </c>
      <c r="AX770" t="s">
        <v>15535</v>
      </c>
      <c r="AY770" t="s">
        <v>84</v>
      </c>
      <c r="AZ770">
        <v>2011</v>
      </c>
      <c r="BA770">
        <v>11</v>
      </c>
      <c r="BB770">
        <v>3</v>
      </c>
      <c r="BC770" t="s">
        <v>69</v>
      </c>
      <c r="BD770" t="s">
        <v>69</v>
      </c>
      <c r="BE770" t="s">
        <v>114</v>
      </c>
      <c r="BF770" t="s">
        <v>69</v>
      </c>
      <c r="BG770">
        <v>315</v>
      </c>
      <c r="BH770">
        <v>333</v>
      </c>
      <c r="BI770" t="s">
        <v>69</v>
      </c>
      <c r="BJ770" t="s">
        <v>1490</v>
      </c>
      <c r="BK770" t="str">
        <f>HYPERLINK("http://dx.doi.org/10.1111/j.1471-0374.2011.00328.x","http://dx.doi.org/10.1111/j.1471-0374.2011.00328.x")</f>
        <v>http://dx.doi.org/10.1111/j.1471-0374.2011.00328.x</v>
      </c>
      <c r="BL770" t="s">
        <v>69</v>
      </c>
      <c r="BM770" t="s">
        <v>69</v>
      </c>
      <c r="BN770">
        <v>19</v>
      </c>
      <c r="BO770" t="s">
        <v>15536</v>
      </c>
      <c r="BP770" t="s">
        <v>8661</v>
      </c>
      <c r="BQ770" t="s">
        <v>15536</v>
      </c>
      <c r="BR770" t="s">
        <v>26953</v>
      </c>
      <c r="BS770" t="s">
        <v>1491</v>
      </c>
      <c r="BT770" t="s">
        <v>69</v>
      </c>
      <c r="BU770" t="s">
        <v>69</v>
      </c>
      <c r="BV770" t="s">
        <v>69</v>
      </c>
      <c r="BW770" t="s">
        <v>69</v>
      </c>
      <c r="BX770" t="s">
        <v>8526</v>
      </c>
      <c r="BY770" t="str">
        <f>HYPERLINK("https%3A%2F%2Fwww.webofscience.com%2Fwos%2Fwoscc%2Ffull-record%2FWOS:000291221400003","View Full Record in Web of Science")</f>
        <v>View Full Record in Web of Science</v>
      </c>
    </row>
    <row r="771" spans="1:77" x14ac:dyDescent="0.3">
      <c r="A771" t="s">
        <v>8495</v>
      </c>
      <c r="B771" s="10" t="s">
        <v>32990</v>
      </c>
      <c r="F771" t="s">
        <v>67</v>
      </c>
      <c r="G771" s="2" t="s">
        <v>5057</v>
      </c>
      <c r="H771" t="s">
        <v>69</v>
      </c>
      <c r="I771" t="s">
        <v>69</v>
      </c>
      <c r="J771" t="s">
        <v>69</v>
      </c>
      <c r="K771" s="2" t="s">
        <v>5058</v>
      </c>
      <c r="L771" t="s">
        <v>69</v>
      </c>
      <c r="M771" t="s">
        <v>69</v>
      </c>
      <c r="N771" s="2" t="s">
        <v>5059</v>
      </c>
      <c r="O771" t="s">
        <v>5060</v>
      </c>
      <c r="P771" t="s">
        <v>69</v>
      </c>
      <c r="Q771" t="s">
        <v>69</v>
      </c>
      <c r="R771" t="s">
        <v>8505</v>
      </c>
      <c r="S771" t="s">
        <v>10174</v>
      </c>
      <c r="T771" t="s">
        <v>69</v>
      </c>
      <c r="U771" t="s">
        <v>69</v>
      </c>
      <c r="V771" t="s">
        <v>69</v>
      </c>
      <c r="W771" t="s">
        <v>69</v>
      </c>
      <c r="X771" t="s">
        <v>69</v>
      </c>
      <c r="Y771" t="s">
        <v>19657</v>
      </c>
      <c r="Z771" t="s">
        <v>69</v>
      </c>
      <c r="AA771" t="s">
        <v>5061</v>
      </c>
      <c r="AB771" t="s">
        <v>19658</v>
      </c>
      <c r="AC771" t="s">
        <v>69</v>
      </c>
      <c r="AD771" t="s">
        <v>19659</v>
      </c>
      <c r="AE771" t="s">
        <v>19660</v>
      </c>
      <c r="AF771" t="s">
        <v>19661</v>
      </c>
      <c r="AG771" t="s">
        <v>19662</v>
      </c>
      <c r="AH771" t="s">
        <v>19663</v>
      </c>
      <c r="AI771" t="s">
        <v>19664</v>
      </c>
      <c r="AJ771" t="s">
        <v>19665</v>
      </c>
      <c r="AK771" t="s">
        <v>69</v>
      </c>
      <c r="AL771">
        <v>21</v>
      </c>
      <c r="AM771">
        <v>68</v>
      </c>
      <c r="AN771">
        <v>68</v>
      </c>
      <c r="AO771">
        <v>52</v>
      </c>
      <c r="AP771">
        <v>131</v>
      </c>
      <c r="AQ771" t="s">
        <v>8865</v>
      </c>
      <c r="AR771" t="s">
        <v>8612</v>
      </c>
      <c r="AS771" t="s">
        <v>8866</v>
      </c>
      <c r="AT771" t="s">
        <v>5062</v>
      </c>
      <c r="AU771" t="s">
        <v>5063</v>
      </c>
      <c r="AV771" t="s">
        <v>69</v>
      </c>
      <c r="AW771" t="s">
        <v>19666</v>
      </c>
      <c r="AX771" t="s">
        <v>19667</v>
      </c>
      <c r="AY771" t="s">
        <v>69</v>
      </c>
      <c r="AZ771">
        <v>2018</v>
      </c>
      <c r="BA771">
        <v>39</v>
      </c>
      <c r="BB771">
        <v>8</v>
      </c>
      <c r="BC771" t="s">
        <v>69</v>
      </c>
      <c r="BD771" t="s">
        <v>69</v>
      </c>
      <c r="BE771" t="s">
        <v>69</v>
      </c>
      <c r="BF771" t="s">
        <v>69</v>
      </c>
      <c r="BG771">
        <v>1276</v>
      </c>
      <c r="BH771">
        <v>1284</v>
      </c>
      <c r="BI771" t="s">
        <v>69</v>
      </c>
      <c r="BJ771" t="s">
        <v>5064</v>
      </c>
      <c r="BK771" t="str">
        <f>HYPERLINK("http://dx.doi.org/10.1080/02723638.2018.1446870","http://dx.doi.org/10.1080/02723638.2018.1446870")</f>
        <v>http://dx.doi.org/10.1080/02723638.2018.1446870</v>
      </c>
      <c r="BL771" t="s">
        <v>69</v>
      </c>
      <c r="BM771" t="s">
        <v>69</v>
      </c>
      <c r="BN771">
        <v>9</v>
      </c>
      <c r="BO771" t="s">
        <v>19668</v>
      </c>
      <c r="BP771" t="s">
        <v>8661</v>
      </c>
      <c r="BQ771" t="s">
        <v>19668</v>
      </c>
      <c r="BR771" t="s">
        <v>19669</v>
      </c>
      <c r="BS771" t="s">
        <v>5065</v>
      </c>
      <c r="BT771" t="s">
        <v>69</v>
      </c>
      <c r="BU771" t="s">
        <v>10423</v>
      </c>
      <c r="BV771" t="s">
        <v>69</v>
      </c>
      <c r="BW771" t="s">
        <v>69</v>
      </c>
      <c r="BX771" t="s">
        <v>8526</v>
      </c>
      <c r="BY771" t="str">
        <f>HYPERLINK("https%3A%2F%2Fwww.webofscience.com%2Fwos%2Fwoscc%2Ffull-record%2FWOS:000445004400009","View Full Record in Web of Science")</f>
        <v>View Full Record in Web of Science</v>
      </c>
    </row>
    <row r="772" spans="1:77" ht="12.5" x14ac:dyDescent="0.25">
      <c r="A772" t="s">
        <v>8495</v>
      </c>
      <c r="B772" s="22" t="s">
        <v>32931</v>
      </c>
      <c r="C772" s="7"/>
      <c r="D772" s="7"/>
      <c r="E772" s="7"/>
      <c r="F772" t="s">
        <v>67</v>
      </c>
      <c r="G772" t="s">
        <v>29085</v>
      </c>
      <c r="H772" t="s">
        <v>69</v>
      </c>
      <c r="I772" t="s">
        <v>69</v>
      </c>
      <c r="J772" t="s">
        <v>69</v>
      </c>
      <c r="K772" t="s">
        <v>29086</v>
      </c>
      <c r="L772" t="s">
        <v>69</v>
      </c>
      <c r="M772" t="s">
        <v>69</v>
      </c>
      <c r="N772" t="s">
        <v>29087</v>
      </c>
      <c r="O772" t="s">
        <v>29088</v>
      </c>
      <c r="P772" t="s">
        <v>69</v>
      </c>
      <c r="Q772" t="s">
        <v>69</v>
      </c>
      <c r="R772" t="s">
        <v>8505</v>
      </c>
      <c r="S772" t="s">
        <v>8506</v>
      </c>
      <c r="T772" t="s">
        <v>69</v>
      </c>
      <c r="U772" t="s">
        <v>69</v>
      </c>
      <c r="V772" t="s">
        <v>69</v>
      </c>
      <c r="W772" t="s">
        <v>69</v>
      </c>
      <c r="X772" t="s">
        <v>69</v>
      </c>
      <c r="Y772" t="s">
        <v>29089</v>
      </c>
      <c r="Z772" t="s">
        <v>69</v>
      </c>
      <c r="AA772" t="s">
        <v>29090</v>
      </c>
      <c r="AB772" t="s">
        <v>29091</v>
      </c>
      <c r="AC772" t="s">
        <v>69</v>
      </c>
      <c r="AD772" t="s">
        <v>29092</v>
      </c>
      <c r="AE772" t="s">
        <v>29093</v>
      </c>
      <c r="AF772" t="s">
        <v>69</v>
      </c>
      <c r="AG772" t="s">
        <v>69</v>
      </c>
      <c r="AH772" t="s">
        <v>69</v>
      </c>
      <c r="AI772" t="s">
        <v>69</v>
      </c>
      <c r="AJ772" t="s">
        <v>69</v>
      </c>
      <c r="AK772" t="s">
        <v>69</v>
      </c>
      <c r="AL772">
        <v>14</v>
      </c>
      <c r="AM772">
        <v>1</v>
      </c>
      <c r="AN772">
        <v>1</v>
      </c>
      <c r="AO772">
        <v>0</v>
      </c>
      <c r="AP772">
        <v>1</v>
      </c>
      <c r="AQ772" t="s">
        <v>8846</v>
      </c>
      <c r="AR772" t="s">
        <v>8847</v>
      </c>
      <c r="AS772" t="s">
        <v>8848</v>
      </c>
      <c r="AT772" t="s">
        <v>29094</v>
      </c>
      <c r="AU772" t="s">
        <v>29095</v>
      </c>
      <c r="AV772" t="s">
        <v>69</v>
      </c>
      <c r="AW772" t="s">
        <v>29096</v>
      </c>
      <c r="AX772" t="s">
        <v>29097</v>
      </c>
      <c r="AY772" t="s">
        <v>381</v>
      </c>
      <c r="AZ772">
        <v>2008</v>
      </c>
      <c r="BA772">
        <v>43</v>
      </c>
      <c r="BB772">
        <v>4</v>
      </c>
      <c r="BC772" t="s">
        <v>69</v>
      </c>
      <c r="BD772" t="s">
        <v>69</v>
      </c>
      <c r="BE772" t="s">
        <v>69</v>
      </c>
      <c r="BF772" t="s">
        <v>69</v>
      </c>
      <c r="BG772">
        <v>171</v>
      </c>
      <c r="BH772">
        <v>176</v>
      </c>
      <c r="BI772" t="s">
        <v>69</v>
      </c>
      <c r="BJ772" t="s">
        <v>29098</v>
      </c>
      <c r="BK772" t="str">
        <f>HYPERLINK("http://dx.doi.org/10.1111/j.1744-6198.2008.00111.x","http://dx.doi.org/10.1111/j.1744-6198.2008.00111.x")</f>
        <v>http://dx.doi.org/10.1111/j.1744-6198.2008.00111.x</v>
      </c>
      <c r="BL772" t="s">
        <v>69</v>
      </c>
      <c r="BM772" t="s">
        <v>69</v>
      </c>
      <c r="BN772">
        <v>6</v>
      </c>
      <c r="BO772" t="s">
        <v>16902</v>
      </c>
      <c r="BP772" t="s">
        <v>8573</v>
      </c>
      <c r="BQ772" t="s">
        <v>16902</v>
      </c>
      <c r="BR772" t="s">
        <v>29099</v>
      </c>
      <c r="BS772" t="s">
        <v>29100</v>
      </c>
      <c r="BT772">
        <v>19076461</v>
      </c>
      <c r="BU772" t="s">
        <v>69</v>
      </c>
      <c r="BV772" t="s">
        <v>69</v>
      </c>
      <c r="BW772" t="s">
        <v>69</v>
      </c>
      <c r="BX772" t="s">
        <v>8526</v>
      </c>
      <c r="BY772" t="str">
        <f>HYPERLINK("https%3A%2F%2Fwww.webofscience.com%2Fwos%2Fwoscc%2Ffull-record%2FWOS:000212123600002","View Full Record in Web of Science")</f>
        <v>View Full Record in Web of Science</v>
      </c>
    </row>
    <row r="773" spans="1:77" ht="12.5" x14ac:dyDescent="0.25">
      <c r="A773" t="s">
        <v>8495</v>
      </c>
      <c r="B773" s="7" t="s">
        <v>32933</v>
      </c>
      <c r="C773" s="7"/>
      <c r="D773" s="7"/>
      <c r="E773" s="7"/>
      <c r="F773" t="s">
        <v>67</v>
      </c>
      <c r="G773" t="s">
        <v>349</v>
      </c>
      <c r="H773" t="s">
        <v>69</v>
      </c>
      <c r="I773" t="s">
        <v>69</v>
      </c>
      <c r="J773" t="s">
        <v>69</v>
      </c>
      <c r="K773" t="s">
        <v>350</v>
      </c>
      <c r="L773" t="s">
        <v>69</v>
      </c>
      <c r="M773" t="s">
        <v>69</v>
      </c>
      <c r="N773" t="s">
        <v>351</v>
      </c>
      <c r="O773" t="s">
        <v>352</v>
      </c>
      <c r="P773" t="s">
        <v>69</v>
      </c>
      <c r="Q773" t="s">
        <v>69</v>
      </c>
      <c r="R773" t="s">
        <v>8505</v>
      </c>
      <c r="S773" t="s">
        <v>8506</v>
      </c>
      <c r="T773" t="s">
        <v>69</v>
      </c>
      <c r="U773" t="s">
        <v>69</v>
      </c>
      <c r="V773" t="s">
        <v>69</v>
      </c>
      <c r="W773" t="s">
        <v>69</v>
      </c>
      <c r="X773" t="s">
        <v>69</v>
      </c>
      <c r="Y773" t="s">
        <v>16967</v>
      </c>
      <c r="Z773" t="s">
        <v>16968</v>
      </c>
      <c r="AA773" t="s">
        <v>353</v>
      </c>
      <c r="AB773" t="s">
        <v>16969</v>
      </c>
      <c r="AC773" t="s">
        <v>69</v>
      </c>
      <c r="AD773" t="s">
        <v>16970</v>
      </c>
      <c r="AE773" t="s">
        <v>16971</v>
      </c>
      <c r="AF773" t="s">
        <v>69</v>
      </c>
      <c r="AG773" t="s">
        <v>16972</v>
      </c>
      <c r="AH773" t="s">
        <v>16973</v>
      </c>
      <c r="AI773" t="s">
        <v>16974</v>
      </c>
      <c r="AJ773" t="s">
        <v>16975</v>
      </c>
      <c r="AK773" t="s">
        <v>69</v>
      </c>
      <c r="AL773">
        <v>74</v>
      </c>
      <c r="AM773">
        <v>1</v>
      </c>
      <c r="AN773">
        <v>1</v>
      </c>
      <c r="AO773">
        <v>2</v>
      </c>
      <c r="AP773">
        <v>13</v>
      </c>
      <c r="AQ773" t="s">
        <v>8924</v>
      </c>
      <c r="AR773" t="s">
        <v>8925</v>
      </c>
      <c r="AS773" t="s">
        <v>8926</v>
      </c>
      <c r="AT773" t="s">
        <v>69</v>
      </c>
      <c r="AU773" t="s">
        <v>354</v>
      </c>
      <c r="AV773" t="s">
        <v>69</v>
      </c>
      <c r="AW773" t="s">
        <v>8958</v>
      </c>
      <c r="AX773" t="s">
        <v>8434</v>
      </c>
      <c r="AY773" t="s">
        <v>201</v>
      </c>
      <c r="AZ773">
        <v>2019</v>
      </c>
      <c r="BA773">
        <v>11</v>
      </c>
      <c r="BB773">
        <v>16</v>
      </c>
      <c r="BC773" t="s">
        <v>69</v>
      </c>
      <c r="BD773" t="s">
        <v>69</v>
      </c>
      <c r="BE773" t="s">
        <v>69</v>
      </c>
      <c r="BF773" t="s">
        <v>69</v>
      </c>
      <c r="BG773" t="s">
        <v>69</v>
      </c>
      <c r="BH773" t="s">
        <v>69</v>
      </c>
      <c r="BI773">
        <v>4303</v>
      </c>
      <c r="BJ773" t="s">
        <v>355</v>
      </c>
      <c r="BK773" t="str">
        <f>HYPERLINK("http://dx.doi.org/10.3390/su11164303","http://dx.doi.org/10.3390/su11164303")</f>
        <v>http://dx.doi.org/10.3390/su11164303</v>
      </c>
      <c r="BL773" t="s">
        <v>69</v>
      </c>
      <c r="BM773" t="s">
        <v>69</v>
      </c>
      <c r="BN773">
        <v>20</v>
      </c>
      <c r="BO773" t="s">
        <v>8960</v>
      </c>
      <c r="BP773" t="s">
        <v>8523</v>
      </c>
      <c r="BQ773" t="s">
        <v>8961</v>
      </c>
      <c r="BR773" t="s">
        <v>16976</v>
      </c>
      <c r="BS773" t="s">
        <v>356</v>
      </c>
      <c r="BT773" t="s">
        <v>69</v>
      </c>
      <c r="BU773" t="s">
        <v>10482</v>
      </c>
      <c r="BV773" t="s">
        <v>69</v>
      </c>
      <c r="BW773" t="s">
        <v>69</v>
      </c>
      <c r="BX773" t="s">
        <v>8526</v>
      </c>
      <c r="BY773" t="str">
        <f>HYPERLINK("https%3A%2F%2Fwww.webofscience.com%2Fwos%2Fwoscc%2Ffull-record%2FWOS:000484472500048","View Full Record in Web of Science")</f>
        <v>View Full Record in Web of Science</v>
      </c>
    </row>
    <row r="774" spans="1:77" ht="12.5" x14ac:dyDescent="0.25">
      <c r="A774" t="s">
        <v>8495</v>
      </c>
      <c r="B774" s="22" t="s">
        <v>32931</v>
      </c>
      <c r="C774" s="7"/>
      <c r="D774" s="7"/>
      <c r="E774" s="7"/>
      <c r="F774" t="s">
        <v>67</v>
      </c>
      <c r="G774" t="s">
        <v>25804</v>
      </c>
      <c r="H774" t="s">
        <v>69</v>
      </c>
      <c r="I774" t="s">
        <v>69</v>
      </c>
      <c r="J774" t="s">
        <v>69</v>
      </c>
      <c r="K774" t="s">
        <v>25805</v>
      </c>
      <c r="L774" t="s">
        <v>69</v>
      </c>
      <c r="M774" t="s">
        <v>69</v>
      </c>
      <c r="N774" t="s">
        <v>25806</v>
      </c>
      <c r="O774" t="s">
        <v>25807</v>
      </c>
      <c r="P774" t="s">
        <v>69</v>
      </c>
      <c r="Q774" t="s">
        <v>69</v>
      </c>
      <c r="R774" t="s">
        <v>8505</v>
      </c>
      <c r="S774" t="s">
        <v>8506</v>
      </c>
      <c r="T774" t="s">
        <v>69</v>
      </c>
      <c r="U774" t="s">
        <v>69</v>
      </c>
      <c r="V774" t="s">
        <v>69</v>
      </c>
      <c r="W774" t="s">
        <v>69</v>
      </c>
      <c r="X774" t="s">
        <v>69</v>
      </c>
      <c r="Y774" t="s">
        <v>25808</v>
      </c>
      <c r="Z774" t="s">
        <v>69</v>
      </c>
      <c r="AA774" t="s">
        <v>25809</v>
      </c>
      <c r="AB774" t="s">
        <v>25810</v>
      </c>
      <c r="AC774" t="s">
        <v>69</v>
      </c>
      <c r="AD774" t="s">
        <v>25811</v>
      </c>
      <c r="AE774" t="s">
        <v>25812</v>
      </c>
      <c r="AF774" t="s">
        <v>69</v>
      </c>
      <c r="AG774" t="s">
        <v>69</v>
      </c>
      <c r="AH774" t="s">
        <v>69</v>
      </c>
      <c r="AI774" t="s">
        <v>69</v>
      </c>
      <c r="AJ774" t="s">
        <v>69</v>
      </c>
      <c r="AK774" t="s">
        <v>69</v>
      </c>
      <c r="AL774">
        <v>24</v>
      </c>
      <c r="AM774">
        <v>8</v>
      </c>
      <c r="AN774">
        <v>8</v>
      </c>
      <c r="AO774">
        <v>1</v>
      </c>
      <c r="AP774">
        <v>37</v>
      </c>
      <c r="AQ774" t="s">
        <v>8762</v>
      </c>
      <c r="AR774" t="s">
        <v>8763</v>
      </c>
      <c r="AS774" t="s">
        <v>8764</v>
      </c>
      <c r="AT774" t="s">
        <v>25813</v>
      </c>
      <c r="AU774" t="s">
        <v>69</v>
      </c>
      <c r="AV774" t="s">
        <v>69</v>
      </c>
      <c r="AW774" t="s">
        <v>25814</v>
      </c>
      <c r="AX774" t="s">
        <v>25815</v>
      </c>
      <c r="AY774" t="s">
        <v>255</v>
      </c>
      <c r="AZ774">
        <v>2012</v>
      </c>
      <c r="BA774">
        <v>12</v>
      </c>
      <c r="BB774">
        <v>4</v>
      </c>
      <c r="BC774" t="s">
        <v>69</v>
      </c>
      <c r="BD774" t="s">
        <v>69</v>
      </c>
      <c r="BE774" t="s">
        <v>114</v>
      </c>
      <c r="BF774" t="s">
        <v>69</v>
      </c>
      <c r="BG774">
        <v>377</v>
      </c>
      <c r="BH774">
        <v>396</v>
      </c>
      <c r="BI774" t="s">
        <v>69</v>
      </c>
      <c r="BJ774" t="s">
        <v>25816</v>
      </c>
      <c r="BK774" t="str">
        <f>HYPERLINK("http://dx.doi.org/10.1177/1748895812452280","http://dx.doi.org/10.1177/1748895812452280")</f>
        <v>http://dx.doi.org/10.1177/1748895812452280</v>
      </c>
      <c r="BL774" t="s">
        <v>69</v>
      </c>
      <c r="BM774" t="s">
        <v>69</v>
      </c>
      <c r="BN774">
        <v>20</v>
      </c>
      <c r="BO774" t="s">
        <v>19122</v>
      </c>
      <c r="BP774" t="s">
        <v>8661</v>
      </c>
      <c r="BQ774" t="s">
        <v>19122</v>
      </c>
      <c r="BR774" t="s">
        <v>25817</v>
      </c>
      <c r="BS774" t="s">
        <v>25818</v>
      </c>
      <c r="BT774" t="s">
        <v>69</v>
      </c>
      <c r="BU774" t="s">
        <v>69</v>
      </c>
      <c r="BV774" t="s">
        <v>69</v>
      </c>
      <c r="BW774" t="s">
        <v>69</v>
      </c>
      <c r="BX774" t="s">
        <v>8526</v>
      </c>
      <c r="BY774" t="str">
        <f>HYPERLINK("https%3A%2F%2Fwww.webofscience.com%2Fwos%2Fwoscc%2Ffull-record%2FWOS:000308410800003","View Full Record in Web of Science")</f>
        <v>View Full Record in Web of Science</v>
      </c>
    </row>
    <row r="775" spans="1:77" x14ac:dyDescent="0.3">
      <c r="A775" t="s">
        <v>8495</v>
      </c>
      <c r="B775" s="9" t="s">
        <v>32972</v>
      </c>
      <c r="E775" s="9" t="s">
        <v>33056</v>
      </c>
      <c r="F775" t="s">
        <v>67</v>
      </c>
      <c r="G775" t="s">
        <v>32912</v>
      </c>
      <c r="H775" t="s">
        <v>69</v>
      </c>
      <c r="I775" t="s">
        <v>69</v>
      </c>
      <c r="J775" t="s">
        <v>69</v>
      </c>
      <c r="K775" t="s">
        <v>32912</v>
      </c>
      <c r="L775" t="s">
        <v>69</v>
      </c>
      <c r="M775" t="s">
        <v>69</v>
      </c>
      <c r="N775" t="s">
        <v>32913</v>
      </c>
      <c r="O775" t="s">
        <v>32914</v>
      </c>
      <c r="P775" t="s">
        <v>69</v>
      </c>
      <c r="Q775" t="s">
        <v>69</v>
      </c>
      <c r="R775" t="s">
        <v>8505</v>
      </c>
      <c r="S775" t="s">
        <v>50</v>
      </c>
      <c r="T775" t="s">
        <v>69</v>
      </c>
      <c r="U775" t="s">
        <v>69</v>
      </c>
      <c r="V775" t="s">
        <v>69</v>
      </c>
      <c r="W775" t="s">
        <v>69</v>
      </c>
      <c r="X775" t="s">
        <v>69</v>
      </c>
      <c r="Y775" t="s">
        <v>69</v>
      </c>
      <c r="Z775" t="s">
        <v>69</v>
      </c>
      <c r="AA775" t="s">
        <v>69</v>
      </c>
      <c r="AB775" t="s">
        <v>32915</v>
      </c>
      <c r="AC775" t="s">
        <v>69</v>
      </c>
      <c r="AD775" t="s">
        <v>69</v>
      </c>
      <c r="AE775" t="s">
        <v>69</v>
      </c>
      <c r="AF775" t="s">
        <v>69</v>
      </c>
      <c r="AG775" t="s">
        <v>69</v>
      </c>
      <c r="AH775" t="s">
        <v>69</v>
      </c>
      <c r="AI775" t="s">
        <v>69</v>
      </c>
      <c r="AJ775" t="s">
        <v>69</v>
      </c>
      <c r="AK775" t="s">
        <v>69</v>
      </c>
      <c r="AL775">
        <v>0</v>
      </c>
      <c r="AM775">
        <v>0</v>
      </c>
      <c r="AN775">
        <v>0</v>
      </c>
      <c r="AO775">
        <v>0</v>
      </c>
      <c r="AP775">
        <v>0</v>
      </c>
      <c r="AQ775" t="s">
        <v>8734</v>
      </c>
      <c r="AR775" t="s">
        <v>8735</v>
      </c>
      <c r="AS775" t="s">
        <v>32916</v>
      </c>
      <c r="AT775" t="s">
        <v>32917</v>
      </c>
      <c r="AU775" t="s">
        <v>69</v>
      </c>
      <c r="AV775" t="s">
        <v>69</v>
      </c>
      <c r="AW775" t="s">
        <v>32918</v>
      </c>
      <c r="AX775" t="s">
        <v>32919</v>
      </c>
      <c r="AY775" t="s">
        <v>32920</v>
      </c>
      <c r="AZ775">
        <v>1988</v>
      </c>
      <c r="BA775">
        <v>196</v>
      </c>
      <c r="BB775" t="s">
        <v>69</v>
      </c>
      <c r="BC775" t="s">
        <v>69</v>
      </c>
      <c r="BD775" t="s">
        <v>69</v>
      </c>
      <c r="BE775" t="s">
        <v>69</v>
      </c>
      <c r="BF775" t="s">
        <v>69</v>
      </c>
      <c r="BG775">
        <v>14</v>
      </c>
      <c r="BH775" t="s">
        <v>32921</v>
      </c>
      <c r="BI775" t="s">
        <v>69</v>
      </c>
      <c r="BJ775" t="s">
        <v>69</v>
      </c>
      <c r="BK775" t="s">
        <v>69</v>
      </c>
      <c r="BL775" t="s">
        <v>69</v>
      </c>
      <c r="BM775" t="s">
        <v>69</v>
      </c>
      <c r="BN775">
        <v>0</v>
      </c>
      <c r="BO775" t="s">
        <v>29452</v>
      </c>
      <c r="BP775" t="s">
        <v>8523</v>
      </c>
      <c r="BQ775" t="s">
        <v>29453</v>
      </c>
      <c r="BR775" t="s">
        <v>32922</v>
      </c>
      <c r="BS775" t="s">
        <v>32923</v>
      </c>
      <c r="BT775" t="s">
        <v>69</v>
      </c>
      <c r="BU775" t="s">
        <v>69</v>
      </c>
      <c r="BV775" t="s">
        <v>69</v>
      </c>
      <c r="BW775" t="s">
        <v>69</v>
      </c>
      <c r="BX775" t="s">
        <v>8526</v>
      </c>
      <c r="BY775" t="str">
        <f>HYPERLINK("https%3A%2F%2Fwww.webofscience.com%2Fwos%2Fwoscc%2Ffull-record%2FWOS:A1988P814201745","View Full Record in Web of Science")</f>
        <v>View Full Record in Web of Science</v>
      </c>
    </row>
    <row r="776" spans="1:77" x14ac:dyDescent="0.3">
      <c r="A776" t="s">
        <v>8495</v>
      </c>
      <c r="B776" s="9" t="s">
        <v>32948</v>
      </c>
      <c r="C776" s="9" t="s">
        <v>33064</v>
      </c>
      <c r="E776" s="9" t="s">
        <v>8490</v>
      </c>
      <c r="F776" t="s">
        <v>67</v>
      </c>
      <c r="G776" t="s">
        <v>15752</v>
      </c>
      <c r="H776" t="s">
        <v>69</v>
      </c>
      <c r="I776" t="s">
        <v>69</v>
      </c>
      <c r="J776" t="s">
        <v>69</v>
      </c>
      <c r="K776" t="s">
        <v>15753</v>
      </c>
      <c r="L776" t="s">
        <v>69</v>
      </c>
      <c r="M776" t="s">
        <v>69</v>
      </c>
      <c r="N776" t="s">
        <v>15754</v>
      </c>
      <c r="O776" t="s">
        <v>2475</v>
      </c>
      <c r="P776" t="s">
        <v>69</v>
      </c>
      <c r="Q776" t="s">
        <v>69</v>
      </c>
      <c r="R776" t="s">
        <v>8505</v>
      </c>
      <c r="S776" t="s">
        <v>8506</v>
      </c>
      <c r="T776" t="s">
        <v>69</v>
      </c>
      <c r="U776" t="s">
        <v>69</v>
      </c>
      <c r="V776" t="s">
        <v>69</v>
      </c>
      <c r="W776" t="s">
        <v>69</v>
      </c>
      <c r="X776" t="s">
        <v>69</v>
      </c>
      <c r="Y776" t="s">
        <v>15755</v>
      </c>
      <c r="Z776" t="s">
        <v>15756</v>
      </c>
      <c r="AA776" t="s">
        <v>15757</v>
      </c>
      <c r="AB776" t="s">
        <v>15758</v>
      </c>
      <c r="AC776" t="s">
        <v>69</v>
      </c>
      <c r="AD776" t="s">
        <v>15759</v>
      </c>
      <c r="AE776" t="s">
        <v>15760</v>
      </c>
      <c r="AF776" t="s">
        <v>15761</v>
      </c>
      <c r="AG776" t="s">
        <v>15762</v>
      </c>
      <c r="AH776" t="s">
        <v>69</v>
      </c>
      <c r="AI776" t="s">
        <v>69</v>
      </c>
      <c r="AJ776" t="s">
        <v>69</v>
      </c>
      <c r="AK776" t="s">
        <v>69</v>
      </c>
      <c r="AL776">
        <v>67</v>
      </c>
      <c r="AM776">
        <v>7</v>
      </c>
      <c r="AN776">
        <v>7</v>
      </c>
      <c r="AO776">
        <v>5</v>
      </c>
      <c r="AP776">
        <v>19</v>
      </c>
      <c r="AQ776" t="s">
        <v>8586</v>
      </c>
      <c r="AR776" t="s">
        <v>8587</v>
      </c>
      <c r="AS776" t="s">
        <v>8588</v>
      </c>
      <c r="AT776" t="s">
        <v>2479</v>
      </c>
      <c r="AU776" t="s">
        <v>69</v>
      </c>
      <c r="AV776" t="s">
        <v>69</v>
      </c>
      <c r="AW776" t="s">
        <v>9888</v>
      </c>
      <c r="AX776" t="s">
        <v>9889</v>
      </c>
      <c r="AY776" t="s">
        <v>10973</v>
      </c>
      <c r="AZ776">
        <v>2020</v>
      </c>
      <c r="BA776">
        <v>18</v>
      </c>
      <c r="BB776">
        <v>6</v>
      </c>
      <c r="BC776" t="s">
        <v>69</v>
      </c>
      <c r="BD776" t="s">
        <v>69</v>
      </c>
      <c r="BE776" t="s">
        <v>69</v>
      </c>
      <c r="BF776" t="s">
        <v>69</v>
      </c>
      <c r="BG776">
        <v>1543</v>
      </c>
      <c r="BH776">
        <v>1569</v>
      </c>
      <c r="BI776" t="s">
        <v>69</v>
      </c>
      <c r="BJ776" t="s">
        <v>15763</v>
      </c>
      <c r="BK776" t="str">
        <f>HYPERLINK("http://dx.doi.org/10.1108/JEDT-08-2019-0192","http://dx.doi.org/10.1108/JEDT-08-2019-0192")</f>
        <v>http://dx.doi.org/10.1108/JEDT-08-2019-0192</v>
      </c>
      <c r="BL776" t="s">
        <v>69</v>
      </c>
      <c r="BM776" t="s">
        <v>7867</v>
      </c>
      <c r="BN776">
        <v>27</v>
      </c>
      <c r="BO776" t="s">
        <v>9891</v>
      </c>
      <c r="BP776" t="s">
        <v>8573</v>
      </c>
      <c r="BQ776" t="s">
        <v>8445</v>
      </c>
      <c r="BR776" t="s">
        <v>15764</v>
      </c>
      <c r="BS776" t="s">
        <v>15765</v>
      </c>
      <c r="BT776" t="s">
        <v>69</v>
      </c>
      <c r="BU776" t="s">
        <v>69</v>
      </c>
      <c r="BV776" t="s">
        <v>69</v>
      </c>
      <c r="BW776" t="s">
        <v>69</v>
      </c>
      <c r="BX776" t="s">
        <v>8526</v>
      </c>
      <c r="BY776" t="str">
        <f>HYPERLINK("https%3A%2F%2Fwww.webofscience.com%2Fwos%2Fwoscc%2Ffull-record%2FWOS:000513582500001","View Full Record in Web of Science")</f>
        <v>View Full Record in Web of Science</v>
      </c>
    </row>
    <row r="777" spans="1:77" ht="12.5" x14ac:dyDescent="0.25">
      <c r="A777" t="s">
        <v>8495</v>
      </c>
      <c r="B777" s="7" t="s">
        <v>32933</v>
      </c>
      <c r="C777" s="7"/>
      <c r="D777" s="7"/>
      <c r="E777" s="7"/>
      <c r="F777" t="s">
        <v>67</v>
      </c>
      <c r="G777" t="s">
        <v>6843</v>
      </c>
      <c r="H777" t="s">
        <v>69</v>
      </c>
      <c r="I777" t="s">
        <v>69</v>
      </c>
      <c r="J777" t="s">
        <v>69</v>
      </c>
      <c r="K777" t="s">
        <v>6843</v>
      </c>
      <c r="L777" t="s">
        <v>69</v>
      </c>
      <c r="M777" t="s">
        <v>69</v>
      </c>
      <c r="N777" t="s">
        <v>6844</v>
      </c>
      <c r="O777" t="s">
        <v>6845</v>
      </c>
      <c r="P777" t="s">
        <v>69</v>
      </c>
      <c r="Q777" t="s">
        <v>69</v>
      </c>
      <c r="R777" t="s">
        <v>8505</v>
      </c>
      <c r="S777" t="s">
        <v>15797</v>
      </c>
      <c r="T777" t="s">
        <v>6846</v>
      </c>
      <c r="U777" t="s">
        <v>6847</v>
      </c>
      <c r="V777" t="s">
        <v>6848</v>
      </c>
      <c r="W777" t="s">
        <v>69</v>
      </c>
      <c r="X777" t="s">
        <v>69</v>
      </c>
      <c r="Y777" t="s">
        <v>31131</v>
      </c>
      <c r="Z777" t="s">
        <v>69</v>
      </c>
      <c r="AA777" t="s">
        <v>6849</v>
      </c>
      <c r="AB777" t="s">
        <v>31132</v>
      </c>
      <c r="AC777" t="s">
        <v>69</v>
      </c>
      <c r="AD777" t="s">
        <v>31133</v>
      </c>
      <c r="AE777" t="s">
        <v>69</v>
      </c>
      <c r="AF777" t="s">
        <v>6850</v>
      </c>
      <c r="AG777" t="s">
        <v>6851</v>
      </c>
      <c r="AH777" t="s">
        <v>69</v>
      </c>
      <c r="AI777" t="s">
        <v>69</v>
      </c>
      <c r="AJ777" t="s">
        <v>69</v>
      </c>
      <c r="AK777" t="s">
        <v>69</v>
      </c>
      <c r="AL777">
        <v>0</v>
      </c>
      <c r="AM777">
        <v>3</v>
      </c>
      <c r="AN777">
        <v>3</v>
      </c>
      <c r="AO777">
        <v>0</v>
      </c>
      <c r="AP777">
        <v>3</v>
      </c>
      <c r="AQ777" t="s">
        <v>31134</v>
      </c>
      <c r="AR777" t="s">
        <v>8847</v>
      </c>
      <c r="AS777" t="s">
        <v>31135</v>
      </c>
      <c r="AT777" t="s">
        <v>6852</v>
      </c>
      <c r="AU777" t="s">
        <v>69</v>
      </c>
      <c r="AV777" t="s">
        <v>69</v>
      </c>
      <c r="AW777" t="s">
        <v>6845</v>
      </c>
      <c r="AX777" t="s">
        <v>31136</v>
      </c>
      <c r="AY777" t="s">
        <v>1206</v>
      </c>
      <c r="AZ777">
        <v>2003</v>
      </c>
      <c r="BA777">
        <v>98</v>
      </c>
      <c r="BB777">
        <v>9</v>
      </c>
      <c r="BC777" t="s">
        <v>69</v>
      </c>
      <c r="BD777" t="s">
        <v>627</v>
      </c>
      <c r="BE777" t="s">
        <v>69</v>
      </c>
      <c r="BF777" t="s">
        <v>69</v>
      </c>
      <c r="BG777">
        <v>2075</v>
      </c>
      <c r="BH777">
        <v>2081</v>
      </c>
      <c r="BI777" t="s">
        <v>69</v>
      </c>
      <c r="BJ777" t="s">
        <v>6853</v>
      </c>
      <c r="BK777" t="str">
        <f>HYPERLINK("http://dx.doi.org/10.1002/cncr.11683","http://dx.doi.org/10.1002/cncr.11683")</f>
        <v>http://dx.doi.org/10.1002/cncr.11683</v>
      </c>
      <c r="BL777" t="s">
        <v>69</v>
      </c>
      <c r="BM777" t="s">
        <v>69</v>
      </c>
      <c r="BN777">
        <v>7</v>
      </c>
      <c r="BO777" t="s">
        <v>17844</v>
      </c>
      <c r="BP777" t="s">
        <v>29550</v>
      </c>
      <c r="BQ777" t="s">
        <v>17844</v>
      </c>
      <c r="BR777" t="s">
        <v>31137</v>
      </c>
      <c r="BS777" t="s">
        <v>6854</v>
      </c>
      <c r="BT777">
        <v>14603545</v>
      </c>
      <c r="BU777" t="s">
        <v>69</v>
      </c>
      <c r="BV777" t="s">
        <v>69</v>
      </c>
      <c r="BW777" t="s">
        <v>69</v>
      </c>
      <c r="BX777" t="s">
        <v>8526</v>
      </c>
      <c r="BY777" t="str">
        <f>HYPERLINK("https%3A%2F%2Fwww.webofscience.com%2Fwos%2Fwoscc%2Ffull-record%2FWOS:000186236300011","View Full Record in Web of Science")</f>
        <v>View Full Record in Web of Science</v>
      </c>
    </row>
    <row r="778" spans="1:77" ht="12.5" x14ac:dyDescent="0.25">
      <c r="A778" t="s">
        <v>8495</v>
      </c>
      <c r="B778" s="7" t="s">
        <v>32933</v>
      </c>
      <c r="C778" s="7"/>
      <c r="D778" s="7"/>
      <c r="E778" s="7"/>
      <c r="F778" t="s">
        <v>67</v>
      </c>
      <c r="G778" t="s">
        <v>2137</v>
      </c>
      <c r="H778" t="s">
        <v>69</v>
      </c>
      <c r="I778" t="s">
        <v>69</v>
      </c>
      <c r="J778" t="s">
        <v>69</v>
      </c>
      <c r="K778" t="s">
        <v>2138</v>
      </c>
      <c r="L778" t="s">
        <v>69</v>
      </c>
      <c r="M778" t="s">
        <v>69</v>
      </c>
      <c r="N778" t="s">
        <v>2139</v>
      </c>
      <c r="O778" t="s">
        <v>2140</v>
      </c>
      <c r="P778" t="s">
        <v>69</v>
      </c>
      <c r="Q778" t="s">
        <v>69</v>
      </c>
      <c r="R778" t="s">
        <v>8505</v>
      </c>
      <c r="S778" t="s">
        <v>8506</v>
      </c>
      <c r="T778" t="s">
        <v>69</v>
      </c>
      <c r="U778" t="s">
        <v>69</v>
      </c>
      <c r="V778" t="s">
        <v>69</v>
      </c>
      <c r="W778" t="s">
        <v>69</v>
      </c>
      <c r="X778" t="s">
        <v>69</v>
      </c>
      <c r="Y778" t="s">
        <v>16707</v>
      </c>
      <c r="Z778" t="s">
        <v>16708</v>
      </c>
      <c r="AA778" t="s">
        <v>2141</v>
      </c>
      <c r="AB778" t="s">
        <v>16709</v>
      </c>
      <c r="AC778" t="s">
        <v>69</v>
      </c>
      <c r="AD778" t="s">
        <v>16710</v>
      </c>
      <c r="AE778" t="s">
        <v>16711</v>
      </c>
      <c r="AF778" t="s">
        <v>69</v>
      </c>
      <c r="AG778" t="s">
        <v>69</v>
      </c>
      <c r="AH778" t="s">
        <v>69</v>
      </c>
      <c r="AI778" t="s">
        <v>69</v>
      </c>
      <c r="AJ778" t="s">
        <v>69</v>
      </c>
      <c r="AK778" t="s">
        <v>69</v>
      </c>
      <c r="AL778">
        <v>65</v>
      </c>
      <c r="AM778">
        <v>9</v>
      </c>
      <c r="AN778">
        <v>9</v>
      </c>
      <c r="AO778">
        <v>0</v>
      </c>
      <c r="AP778">
        <v>1</v>
      </c>
      <c r="AQ778" t="s">
        <v>8865</v>
      </c>
      <c r="AR778" t="s">
        <v>8612</v>
      </c>
      <c r="AS778" t="s">
        <v>8866</v>
      </c>
      <c r="AT778" t="s">
        <v>2142</v>
      </c>
      <c r="AU778" t="s">
        <v>2143</v>
      </c>
      <c r="AV778" t="s">
        <v>69</v>
      </c>
      <c r="AW778" t="s">
        <v>16712</v>
      </c>
      <c r="AX778" t="s">
        <v>16713</v>
      </c>
      <c r="AY778" t="s">
        <v>891</v>
      </c>
      <c r="AZ778">
        <v>2019</v>
      </c>
      <c r="BA778">
        <v>24</v>
      </c>
      <c r="BB778" t="s">
        <v>145</v>
      </c>
      <c r="BC778" t="s">
        <v>69</v>
      </c>
      <c r="BD778" t="s">
        <v>69</v>
      </c>
      <c r="BE778" t="s">
        <v>114</v>
      </c>
      <c r="BF778" t="s">
        <v>69</v>
      </c>
      <c r="BG778">
        <v>325</v>
      </c>
      <c r="BH778">
        <v>340</v>
      </c>
      <c r="BI778" t="s">
        <v>69</v>
      </c>
      <c r="BJ778" t="s">
        <v>2144</v>
      </c>
      <c r="BK778" t="str">
        <f>HYPERLINK("http://dx.doi.org/10.1080/13563475.2019.1664896","http://dx.doi.org/10.1080/13563475.2019.1664896")</f>
        <v>http://dx.doi.org/10.1080/13563475.2019.1664896</v>
      </c>
      <c r="BL778" t="s">
        <v>69</v>
      </c>
      <c r="BM778" t="s">
        <v>2145</v>
      </c>
      <c r="BN778">
        <v>16</v>
      </c>
      <c r="BO778" t="s">
        <v>14187</v>
      </c>
      <c r="BP778" t="s">
        <v>8573</v>
      </c>
      <c r="BQ778" t="s">
        <v>12182</v>
      </c>
      <c r="BR778" t="s">
        <v>16714</v>
      </c>
      <c r="BS778" t="s">
        <v>2146</v>
      </c>
      <c r="BT778" t="s">
        <v>69</v>
      </c>
      <c r="BU778" t="s">
        <v>69</v>
      </c>
      <c r="BV778" t="s">
        <v>69</v>
      </c>
      <c r="BW778" t="s">
        <v>69</v>
      </c>
      <c r="BX778" t="s">
        <v>8526</v>
      </c>
      <c r="BY778" t="str">
        <f>HYPERLINK("https%3A%2F%2Fwww.webofscience.com%2Fwos%2Fwoscc%2Ffull-record%2FWOS:000490554600001","View Full Record in Web of Science")</f>
        <v>View Full Record in Web of Science</v>
      </c>
    </row>
    <row r="779" spans="1:77" ht="12.5" x14ac:dyDescent="0.25">
      <c r="A779" t="s">
        <v>8495</v>
      </c>
      <c r="B779" s="7" t="s">
        <v>32933</v>
      </c>
      <c r="C779" s="7"/>
      <c r="D779" s="7"/>
      <c r="E779" s="7"/>
      <c r="F779" t="s">
        <v>67</v>
      </c>
      <c r="G779" t="s">
        <v>1035</v>
      </c>
      <c r="H779" t="s">
        <v>69</v>
      </c>
      <c r="I779" t="s">
        <v>69</v>
      </c>
      <c r="J779" t="s">
        <v>69</v>
      </c>
      <c r="K779" t="s">
        <v>1036</v>
      </c>
      <c r="L779" t="s">
        <v>69</v>
      </c>
      <c r="M779" t="s">
        <v>69</v>
      </c>
      <c r="N779" t="s">
        <v>1037</v>
      </c>
      <c r="O779" t="s">
        <v>582</v>
      </c>
      <c r="P779" t="s">
        <v>69</v>
      </c>
      <c r="Q779" t="s">
        <v>69</v>
      </c>
      <c r="R779" t="s">
        <v>8505</v>
      </c>
      <c r="S779" t="s">
        <v>8506</v>
      </c>
      <c r="T779" t="s">
        <v>69</v>
      </c>
      <c r="U779" t="s">
        <v>69</v>
      </c>
      <c r="V779" t="s">
        <v>69</v>
      </c>
      <c r="W779" t="s">
        <v>69</v>
      </c>
      <c r="X779" t="s">
        <v>69</v>
      </c>
      <c r="Y779" t="s">
        <v>18132</v>
      </c>
      <c r="Z779" t="s">
        <v>18133</v>
      </c>
      <c r="AA779" t="s">
        <v>1038</v>
      </c>
      <c r="AB779" t="s">
        <v>18134</v>
      </c>
      <c r="AC779" t="s">
        <v>69</v>
      </c>
      <c r="AD779" t="s">
        <v>18135</v>
      </c>
      <c r="AE779" t="s">
        <v>18136</v>
      </c>
      <c r="AF779" t="s">
        <v>18137</v>
      </c>
      <c r="AG779" t="s">
        <v>18138</v>
      </c>
      <c r="AH779" t="s">
        <v>69</v>
      </c>
      <c r="AI779" t="s">
        <v>69</v>
      </c>
      <c r="AJ779" t="s">
        <v>69</v>
      </c>
      <c r="AK779" t="s">
        <v>69</v>
      </c>
      <c r="AL779">
        <v>44</v>
      </c>
      <c r="AM779">
        <v>6</v>
      </c>
      <c r="AN779">
        <v>6</v>
      </c>
      <c r="AO779">
        <v>0</v>
      </c>
      <c r="AP779">
        <v>12</v>
      </c>
      <c r="AQ779" t="s">
        <v>8692</v>
      </c>
      <c r="AR779" t="s">
        <v>8693</v>
      </c>
      <c r="AS779" t="s">
        <v>18139</v>
      </c>
      <c r="AT779" t="s">
        <v>584</v>
      </c>
      <c r="AU779" t="s">
        <v>585</v>
      </c>
      <c r="AV779" t="s">
        <v>69</v>
      </c>
      <c r="AW779" t="s">
        <v>8695</v>
      </c>
      <c r="AX779" t="s">
        <v>8696</v>
      </c>
      <c r="AY779" t="s">
        <v>274</v>
      </c>
      <c r="AZ779">
        <v>2018</v>
      </c>
      <c r="BA779">
        <v>73</v>
      </c>
      <c r="BB779" t="s">
        <v>69</v>
      </c>
      <c r="BC779" t="s">
        <v>69</v>
      </c>
      <c r="BD779" t="s">
        <v>69</v>
      </c>
      <c r="BE779" t="s">
        <v>69</v>
      </c>
      <c r="BF779" t="s">
        <v>69</v>
      </c>
      <c r="BG779">
        <v>90</v>
      </c>
      <c r="BH779">
        <v>103</v>
      </c>
      <c r="BI779" t="s">
        <v>69</v>
      </c>
      <c r="BJ779" t="s">
        <v>1039</v>
      </c>
      <c r="BK779" t="str">
        <f>HYPERLINK("http://dx.doi.org/10.1016/j.eiar.2018.07.007","http://dx.doi.org/10.1016/j.eiar.2018.07.007")</f>
        <v>http://dx.doi.org/10.1016/j.eiar.2018.07.007</v>
      </c>
      <c r="BL779" t="s">
        <v>69</v>
      </c>
      <c r="BM779" t="s">
        <v>69</v>
      </c>
      <c r="BN779">
        <v>14</v>
      </c>
      <c r="BO779" t="s">
        <v>8660</v>
      </c>
      <c r="BP779" t="s">
        <v>8661</v>
      </c>
      <c r="BQ779" t="s">
        <v>8662</v>
      </c>
      <c r="BR779" t="s">
        <v>18140</v>
      </c>
      <c r="BS779" t="s">
        <v>1040</v>
      </c>
      <c r="BT779" t="s">
        <v>69</v>
      </c>
      <c r="BU779" t="s">
        <v>69</v>
      </c>
      <c r="BV779" t="s">
        <v>69</v>
      </c>
      <c r="BW779" t="s">
        <v>69</v>
      </c>
      <c r="BX779" t="s">
        <v>8526</v>
      </c>
      <c r="BY779" t="str">
        <f>HYPERLINK("https%3A%2F%2Fwww.webofscience.com%2Fwos%2Fwoscc%2Ffull-record%2FWOS:000447480100009","View Full Record in Web of Science")</f>
        <v>View Full Record in Web of Science</v>
      </c>
    </row>
    <row r="780" spans="1:77" ht="12.5" x14ac:dyDescent="0.25">
      <c r="A780" t="s">
        <v>8495</v>
      </c>
      <c r="B780" s="7" t="s">
        <v>32933</v>
      </c>
      <c r="C780" s="7"/>
      <c r="D780" s="7"/>
      <c r="E780" s="7"/>
      <c r="F780" t="s">
        <v>67</v>
      </c>
      <c r="G780" t="s">
        <v>6144</v>
      </c>
      <c r="H780" t="s">
        <v>69</v>
      </c>
      <c r="I780" t="s">
        <v>69</v>
      </c>
      <c r="J780" t="s">
        <v>69</v>
      </c>
      <c r="K780" t="s">
        <v>6145</v>
      </c>
      <c r="L780" t="s">
        <v>69</v>
      </c>
      <c r="M780" t="s">
        <v>69</v>
      </c>
      <c r="N780" t="s">
        <v>6146</v>
      </c>
      <c r="O780" t="s">
        <v>1495</v>
      </c>
      <c r="P780" t="s">
        <v>69</v>
      </c>
      <c r="Q780" t="s">
        <v>69</v>
      </c>
      <c r="R780" t="s">
        <v>8505</v>
      </c>
      <c r="S780" t="s">
        <v>8506</v>
      </c>
      <c r="T780" t="s">
        <v>69</v>
      </c>
      <c r="U780" t="s">
        <v>69</v>
      </c>
      <c r="V780" t="s">
        <v>69</v>
      </c>
      <c r="W780" t="s">
        <v>69</v>
      </c>
      <c r="X780" t="s">
        <v>69</v>
      </c>
      <c r="Y780" t="s">
        <v>13945</v>
      </c>
      <c r="Z780" t="s">
        <v>13946</v>
      </c>
      <c r="AA780" t="s">
        <v>6147</v>
      </c>
      <c r="AB780" t="s">
        <v>13947</v>
      </c>
      <c r="AC780" t="s">
        <v>69</v>
      </c>
      <c r="AD780" t="s">
        <v>13948</v>
      </c>
      <c r="AE780" t="s">
        <v>13949</v>
      </c>
      <c r="AF780" t="s">
        <v>69</v>
      </c>
      <c r="AG780" t="s">
        <v>13950</v>
      </c>
      <c r="AH780" t="s">
        <v>13951</v>
      </c>
      <c r="AI780" t="s">
        <v>13952</v>
      </c>
      <c r="AJ780" t="s">
        <v>13953</v>
      </c>
      <c r="AK780" t="s">
        <v>69</v>
      </c>
      <c r="AL780">
        <v>82</v>
      </c>
      <c r="AM780">
        <v>1</v>
      </c>
      <c r="AN780">
        <v>1</v>
      </c>
      <c r="AO780">
        <v>1</v>
      </c>
      <c r="AP780">
        <v>12</v>
      </c>
      <c r="AQ780" t="s">
        <v>9554</v>
      </c>
      <c r="AR780" t="s">
        <v>9555</v>
      </c>
      <c r="AS780" t="s">
        <v>9556</v>
      </c>
      <c r="AT780" t="s">
        <v>1499</v>
      </c>
      <c r="AU780" t="s">
        <v>1500</v>
      </c>
      <c r="AV780" t="s">
        <v>69</v>
      </c>
      <c r="AW780" t="s">
        <v>13954</v>
      </c>
      <c r="AX780" t="s">
        <v>13955</v>
      </c>
      <c r="AY780" t="s">
        <v>274</v>
      </c>
      <c r="AZ780">
        <v>2021</v>
      </c>
      <c r="BA780">
        <v>46</v>
      </c>
      <c r="BB780">
        <v>6</v>
      </c>
      <c r="BC780" t="s">
        <v>69</v>
      </c>
      <c r="BD780" t="s">
        <v>69</v>
      </c>
      <c r="BE780" t="s">
        <v>69</v>
      </c>
      <c r="BF780" t="s">
        <v>69</v>
      </c>
      <c r="BG780">
        <v>1139</v>
      </c>
      <c r="BH780">
        <v>1171</v>
      </c>
      <c r="BI780">
        <v>162243920976840</v>
      </c>
      <c r="BJ780" t="s">
        <v>6148</v>
      </c>
      <c r="BK780" t="str">
        <f>HYPERLINK("http://dx.doi.org/10.1177/0162243920976840","http://dx.doi.org/10.1177/0162243920976840")</f>
        <v>http://dx.doi.org/10.1177/0162243920976840</v>
      </c>
      <c r="BL780" t="s">
        <v>69</v>
      </c>
      <c r="BM780" t="s">
        <v>1852</v>
      </c>
      <c r="BN780">
        <v>33</v>
      </c>
      <c r="BO780" t="s">
        <v>13650</v>
      </c>
      <c r="BP780" t="s">
        <v>8661</v>
      </c>
      <c r="BQ780" t="s">
        <v>13650</v>
      </c>
      <c r="BR780" t="s">
        <v>13956</v>
      </c>
      <c r="BS780" t="s">
        <v>6149</v>
      </c>
      <c r="BT780" t="s">
        <v>69</v>
      </c>
      <c r="BU780" t="s">
        <v>69</v>
      </c>
      <c r="BV780" t="s">
        <v>69</v>
      </c>
      <c r="BW780" t="s">
        <v>69</v>
      </c>
      <c r="BX780" t="s">
        <v>8526</v>
      </c>
      <c r="BY780" t="str">
        <f>HYPERLINK("https%3A%2F%2Fwww.webofscience.com%2Fwos%2Fwoscc%2Ffull-record%2FWOS:000599569400001","View Full Record in Web of Science")</f>
        <v>View Full Record in Web of Science</v>
      </c>
    </row>
    <row r="781" spans="1:77" ht="12.5" x14ac:dyDescent="0.25">
      <c r="A781" t="s">
        <v>8495</v>
      </c>
      <c r="B781" s="7" t="s">
        <v>32933</v>
      </c>
      <c r="C781" s="7"/>
      <c r="D781" s="7"/>
      <c r="E781" s="7"/>
      <c r="F781" t="s">
        <v>67</v>
      </c>
      <c r="G781" t="s">
        <v>3399</v>
      </c>
      <c r="H781" t="s">
        <v>69</v>
      </c>
      <c r="I781" t="s">
        <v>69</v>
      </c>
      <c r="J781" t="s">
        <v>69</v>
      </c>
      <c r="K781" t="s">
        <v>3400</v>
      </c>
      <c r="L781" t="s">
        <v>69</v>
      </c>
      <c r="M781" t="s">
        <v>69</v>
      </c>
      <c r="N781" t="s">
        <v>3401</v>
      </c>
      <c r="O781" t="s">
        <v>3402</v>
      </c>
      <c r="P781" t="s">
        <v>69</v>
      </c>
      <c r="Q781" t="s">
        <v>69</v>
      </c>
      <c r="R781" t="s">
        <v>8505</v>
      </c>
      <c r="S781" t="s">
        <v>8506</v>
      </c>
      <c r="T781" t="s">
        <v>69</v>
      </c>
      <c r="U781" t="s">
        <v>69</v>
      </c>
      <c r="V781" t="s">
        <v>69</v>
      </c>
      <c r="W781" t="s">
        <v>69</v>
      </c>
      <c r="X781" t="s">
        <v>69</v>
      </c>
      <c r="Y781" t="s">
        <v>26531</v>
      </c>
      <c r="Z781" t="s">
        <v>26532</v>
      </c>
      <c r="AA781" t="s">
        <v>3403</v>
      </c>
      <c r="AB781" t="s">
        <v>26533</v>
      </c>
      <c r="AC781" t="s">
        <v>69</v>
      </c>
      <c r="AD781" t="s">
        <v>26534</v>
      </c>
      <c r="AE781" t="s">
        <v>26535</v>
      </c>
      <c r="AF781" t="s">
        <v>69</v>
      </c>
      <c r="AG781" t="s">
        <v>69</v>
      </c>
      <c r="AH781" t="s">
        <v>26536</v>
      </c>
      <c r="AI781" t="s">
        <v>23997</v>
      </c>
      <c r="AJ781" t="s">
        <v>69</v>
      </c>
      <c r="AK781" t="s">
        <v>69</v>
      </c>
      <c r="AL781">
        <v>144</v>
      </c>
      <c r="AM781">
        <v>714</v>
      </c>
      <c r="AN781">
        <v>720</v>
      </c>
      <c r="AO781">
        <v>21</v>
      </c>
      <c r="AP781">
        <v>556</v>
      </c>
      <c r="AQ781" t="s">
        <v>8865</v>
      </c>
      <c r="AR781" t="s">
        <v>8612</v>
      </c>
      <c r="AS781" t="s">
        <v>8866</v>
      </c>
      <c r="AT781" t="s">
        <v>3404</v>
      </c>
      <c r="AU781" t="s">
        <v>3405</v>
      </c>
      <c r="AV781" t="s">
        <v>69</v>
      </c>
      <c r="AW781" t="s">
        <v>26537</v>
      </c>
      <c r="AX781" t="s">
        <v>26538</v>
      </c>
      <c r="AY781" t="s">
        <v>69</v>
      </c>
      <c r="AZ781">
        <v>2012</v>
      </c>
      <c r="BA781">
        <v>39</v>
      </c>
      <c r="BB781">
        <v>2</v>
      </c>
      <c r="BC781" t="s">
        <v>69</v>
      </c>
      <c r="BD781" t="s">
        <v>69</v>
      </c>
      <c r="BE781" t="s">
        <v>69</v>
      </c>
      <c r="BF781" t="s">
        <v>69</v>
      </c>
      <c r="BG781">
        <v>237</v>
      </c>
      <c r="BH781">
        <v>261</v>
      </c>
      <c r="BI781" t="s">
        <v>69</v>
      </c>
      <c r="BJ781" t="s">
        <v>3406</v>
      </c>
      <c r="BK781" t="str">
        <f>HYPERLINK("http://dx.doi.org/10.1080/03066150.2012.671770","http://dx.doi.org/10.1080/03066150.2012.671770")</f>
        <v>http://dx.doi.org/10.1080/03066150.2012.671770</v>
      </c>
      <c r="BL781" t="s">
        <v>69</v>
      </c>
      <c r="BM781" t="s">
        <v>69</v>
      </c>
      <c r="BN781">
        <v>25</v>
      </c>
      <c r="BO781" t="s">
        <v>26539</v>
      </c>
      <c r="BP781" t="s">
        <v>8661</v>
      </c>
      <c r="BQ781" t="s">
        <v>26539</v>
      </c>
      <c r="BR781" t="s">
        <v>26540</v>
      </c>
      <c r="BS781" t="s">
        <v>3407</v>
      </c>
      <c r="BT781" t="s">
        <v>69</v>
      </c>
      <c r="BU781" t="s">
        <v>20264</v>
      </c>
      <c r="BV781" t="s">
        <v>15211</v>
      </c>
      <c r="BW781" t="s">
        <v>15212</v>
      </c>
      <c r="BX781" t="s">
        <v>8526</v>
      </c>
      <c r="BY781" t="str">
        <f>HYPERLINK("https%3A%2F%2Fwww.webofscience.com%2Fwos%2Fwoscc%2Ffull-record%2FWOS:000303232300001","View Full Record in Web of Science")</f>
        <v>View Full Record in Web of Science</v>
      </c>
    </row>
    <row r="782" spans="1:77" ht="12.5" x14ac:dyDescent="0.25">
      <c r="A782" t="s">
        <v>8495</v>
      </c>
      <c r="B782" s="7" t="s">
        <v>32933</v>
      </c>
      <c r="C782" s="7"/>
      <c r="D782" s="7"/>
      <c r="E782" s="7"/>
      <c r="F782" t="s">
        <v>67</v>
      </c>
      <c r="G782" t="s">
        <v>5134</v>
      </c>
      <c r="H782" t="s">
        <v>69</v>
      </c>
      <c r="I782" t="s">
        <v>69</v>
      </c>
      <c r="J782" t="s">
        <v>69</v>
      </c>
      <c r="K782" t="s">
        <v>5135</v>
      </c>
      <c r="L782" t="s">
        <v>69</v>
      </c>
      <c r="M782" t="s">
        <v>69</v>
      </c>
      <c r="N782" t="s">
        <v>5136</v>
      </c>
      <c r="O782" t="s">
        <v>4970</v>
      </c>
      <c r="P782" t="s">
        <v>69</v>
      </c>
      <c r="Q782" t="s">
        <v>69</v>
      </c>
      <c r="R782" t="s">
        <v>8505</v>
      </c>
      <c r="S782" t="s">
        <v>8506</v>
      </c>
      <c r="T782" t="s">
        <v>69</v>
      </c>
      <c r="U782" t="s">
        <v>69</v>
      </c>
      <c r="V782" t="s">
        <v>69</v>
      </c>
      <c r="W782" t="s">
        <v>69</v>
      </c>
      <c r="X782" t="s">
        <v>69</v>
      </c>
      <c r="Y782" t="s">
        <v>69</v>
      </c>
      <c r="Z782" t="s">
        <v>26694</v>
      </c>
      <c r="AA782" t="s">
        <v>5137</v>
      </c>
      <c r="AB782" t="s">
        <v>26695</v>
      </c>
      <c r="AC782" t="s">
        <v>69</v>
      </c>
      <c r="AD782" t="s">
        <v>26696</v>
      </c>
      <c r="AE782" t="s">
        <v>69</v>
      </c>
      <c r="AF782" t="s">
        <v>69</v>
      </c>
      <c r="AG782" t="s">
        <v>69</v>
      </c>
      <c r="AH782" t="s">
        <v>69</v>
      </c>
      <c r="AI782" t="s">
        <v>69</v>
      </c>
      <c r="AJ782" t="s">
        <v>69</v>
      </c>
      <c r="AK782" t="s">
        <v>69</v>
      </c>
      <c r="AL782">
        <v>54</v>
      </c>
      <c r="AM782">
        <v>34</v>
      </c>
      <c r="AN782">
        <v>34</v>
      </c>
      <c r="AO782">
        <v>1</v>
      </c>
      <c r="AP782">
        <v>30</v>
      </c>
      <c r="AQ782" t="s">
        <v>9978</v>
      </c>
      <c r="AR782" t="s">
        <v>8693</v>
      </c>
      <c r="AS782" t="s">
        <v>17938</v>
      </c>
      <c r="AT782" t="s">
        <v>4976</v>
      </c>
      <c r="AU782" t="s">
        <v>5138</v>
      </c>
      <c r="AV782" t="s">
        <v>69</v>
      </c>
      <c r="AW782" t="s">
        <v>26697</v>
      </c>
      <c r="AX782" t="s">
        <v>26698</v>
      </c>
      <c r="AY782" t="s">
        <v>1710</v>
      </c>
      <c r="AZ782">
        <v>2011</v>
      </c>
      <c r="BA782">
        <v>85</v>
      </c>
      <c r="BB782">
        <v>4</v>
      </c>
      <c r="BC782" t="s">
        <v>69</v>
      </c>
      <c r="BD782" t="s">
        <v>69</v>
      </c>
      <c r="BE782" t="s">
        <v>69</v>
      </c>
      <c r="BF782" t="s">
        <v>69</v>
      </c>
      <c r="BG782">
        <v>677</v>
      </c>
      <c r="BH782">
        <v>698</v>
      </c>
      <c r="BI782" t="s">
        <v>69</v>
      </c>
      <c r="BJ782" t="s">
        <v>5139</v>
      </c>
      <c r="BK782" t="str">
        <f>HYPERLINK("http://dx.doi.org/10.1017/S0007680511001152","http://dx.doi.org/10.1017/S0007680511001152")</f>
        <v>http://dx.doi.org/10.1017/S0007680511001152</v>
      </c>
      <c r="BL782" t="s">
        <v>69</v>
      </c>
      <c r="BM782" t="s">
        <v>69</v>
      </c>
      <c r="BN782">
        <v>22</v>
      </c>
      <c r="BO782" t="s">
        <v>26699</v>
      </c>
      <c r="BP782" t="s">
        <v>8661</v>
      </c>
      <c r="BQ782" t="s">
        <v>15524</v>
      </c>
      <c r="BR782" t="s">
        <v>26700</v>
      </c>
      <c r="BS782" t="s">
        <v>5140</v>
      </c>
      <c r="BT782" t="s">
        <v>69</v>
      </c>
      <c r="BU782" t="s">
        <v>69</v>
      </c>
      <c r="BV782" t="s">
        <v>69</v>
      </c>
      <c r="BW782" t="s">
        <v>69</v>
      </c>
      <c r="BX782" t="s">
        <v>8526</v>
      </c>
      <c r="BY782" t="str">
        <f>HYPERLINK("https%3A%2F%2Fwww.webofscience.com%2Fwos%2Fwoscc%2Ffull-record%2FWOS:000299666700002","View Full Record in Web of Science")</f>
        <v>View Full Record in Web of Science</v>
      </c>
    </row>
    <row r="783" spans="1:77" x14ac:dyDescent="0.3">
      <c r="A783" t="s">
        <v>8495</v>
      </c>
      <c r="B783" s="9" t="s">
        <v>32972</v>
      </c>
      <c r="C783" s="9" t="s">
        <v>33063</v>
      </c>
      <c r="E783" s="9" t="s">
        <v>8490</v>
      </c>
      <c r="F783" t="s">
        <v>67</v>
      </c>
      <c r="G783" t="s">
        <v>25857</v>
      </c>
      <c r="H783" t="s">
        <v>69</v>
      </c>
      <c r="I783" t="s">
        <v>69</v>
      </c>
      <c r="J783" t="s">
        <v>69</v>
      </c>
      <c r="K783" t="s">
        <v>25858</v>
      </c>
      <c r="L783" t="s">
        <v>69</v>
      </c>
      <c r="M783" t="s">
        <v>69</v>
      </c>
      <c r="N783" t="s">
        <v>25859</v>
      </c>
      <c r="O783" t="s">
        <v>2868</v>
      </c>
      <c r="P783" t="s">
        <v>69</v>
      </c>
      <c r="Q783" t="s">
        <v>69</v>
      </c>
      <c r="R783" t="s">
        <v>8505</v>
      </c>
      <c r="S783" t="s">
        <v>8506</v>
      </c>
      <c r="T783" t="s">
        <v>69</v>
      </c>
      <c r="U783" t="s">
        <v>69</v>
      </c>
      <c r="V783" t="s">
        <v>69</v>
      </c>
      <c r="W783" t="s">
        <v>69</v>
      </c>
      <c r="X783" t="s">
        <v>69</v>
      </c>
      <c r="Y783" t="s">
        <v>69</v>
      </c>
      <c r="Z783" t="s">
        <v>69</v>
      </c>
      <c r="AA783" t="s">
        <v>25860</v>
      </c>
      <c r="AB783" t="s">
        <v>25861</v>
      </c>
      <c r="AC783" t="s">
        <v>69</v>
      </c>
      <c r="AD783" t="s">
        <v>25862</v>
      </c>
      <c r="AE783" t="s">
        <v>25863</v>
      </c>
      <c r="AF783" t="s">
        <v>69</v>
      </c>
      <c r="AG783" t="s">
        <v>69</v>
      </c>
      <c r="AH783" t="s">
        <v>69</v>
      </c>
      <c r="AI783" t="s">
        <v>69</v>
      </c>
      <c r="AJ783" t="s">
        <v>69</v>
      </c>
      <c r="AK783" t="s">
        <v>69</v>
      </c>
      <c r="AL783">
        <v>0</v>
      </c>
      <c r="AM783">
        <v>1</v>
      </c>
      <c r="AN783">
        <v>1</v>
      </c>
      <c r="AO783">
        <v>0</v>
      </c>
      <c r="AP783">
        <v>0</v>
      </c>
      <c r="AQ783" t="s">
        <v>8846</v>
      </c>
      <c r="AR783" t="s">
        <v>8847</v>
      </c>
      <c r="AS783" t="s">
        <v>8848</v>
      </c>
      <c r="AT783" t="s">
        <v>2870</v>
      </c>
      <c r="AU783" t="s">
        <v>2871</v>
      </c>
      <c r="AV783" t="s">
        <v>69</v>
      </c>
      <c r="AW783" t="s">
        <v>21705</v>
      </c>
      <c r="AX783" t="s">
        <v>21706</v>
      </c>
      <c r="AY783" t="s">
        <v>201</v>
      </c>
      <c r="AZ783">
        <v>2012</v>
      </c>
      <c r="BA783">
        <v>12</v>
      </c>
      <c r="BB783">
        <v>3</v>
      </c>
      <c r="BC783" t="s">
        <v>69</v>
      </c>
      <c r="BD783" t="s">
        <v>69</v>
      </c>
      <c r="BE783" t="s">
        <v>114</v>
      </c>
      <c r="BF783" t="s">
        <v>69</v>
      </c>
      <c r="BG783">
        <v>177</v>
      </c>
      <c r="BH783">
        <v>180</v>
      </c>
      <c r="BI783" t="s">
        <v>69</v>
      </c>
      <c r="BJ783" t="s">
        <v>25864</v>
      </c>
      <c r="BK783" t="str">
        <f>HYPERLINK("http://dx.doi.org/10.1002/pa.1431","http://dx.doi.org/10.1002/pa.1431")</f>
        <v>http://dx.doi.org/10.1002/pa.1431</v>
      </c>
      <c r="BL783" t="s">
        <v>69</v>
      </c>
      <c r="BM783" t="s">
        <v>69</v>
      </c>
      <c r="BN783">
        <v>4</v>
      </c>
      <c r="BO783" t="s">
        <v>12182</v>
      </c>
      <c r="BP783" t="s">
        <v>8573</v>
      </c>
      <c r="BQ783" t="s">
        <v>12182</v>
      </c>
      <c r="BR783" t="s">
        <v>25865</v>
      </c>
      <c r="BS783" t="s">
        <v>25866</v>
      </c>
      <c r="BT783" t="s">
        <v>69</v>
      </c>
      <c r="BU783" t="s">
        <v>69</v>
      </c>
      <c r="BV783" t="s">
        <v>69</v>
      </c>
      <c r="BW783" t="s">
        <v>69</v>
      </c>
      <c r="BX783" t="s">
        <v>8526</v>
      </c>
      <c r="BY783" t="str">
        <f>HYPERLINK("https%3A%2F%2Fwww.webofscience.com%2Fwos%2Fwoscc%2Ffull-record%2FWOS:000212268500002","View Full Record in Web of Science")</f>
        <v>View Full Record in Web of Science</v>
      </c>
    </row>
    <row r="784" spans="1:77" ht="12.5" x14ac:dyDescent="0.25">
      <c r="A784" t="s">
        <v>8495</v>
      </c>
      <c r="B784" s="7" t="s">
        <v>32933</v>
      </c>
      <c r="C784" s="7"/>
      <c r="D784" s="7"/>
      <c r="E784" s="7"/>
      <c r="F784" t="s">
        <v>67</v>
      </c>
      <c r="G784" t="s">
        <v>8389</v>
      </c>
      <c r="H784" t="s">
        <v>69</v>
      </c>
      <c r="I784" t="s">
        <v>69</v>
      </c>
      <c r="J784" t="s">
        <v>69</v>
      </c>
      <c r="K784" t="s">
        <v>8389</v>
      </c>
      <c r="L784" t="s">
        <v>69</v>
      </c>
      <c r="M784" t="s">
        <v>69</v>
      </c>
      <c r="N784" t="s">
        <v>8390</v>
      </c>
      <c r="O784" t="s">
        <v>100</v>
      </c>
      <c r="P784" t="s">
        <v>69</v>
      </c>
      <c r="Q784" t="s">
        <v>69</v>
      </c>
      <c r="R784" t="s">
        <v>8505</v>
      </c>
      <c r="S784" t="s">
        <v>15797</v>
      </c>
      <c r="T784" t="s">
        <v>8391</v>
      </c>
      <c r="U784" t="s">
        <v>8392</v>
      </c>
      <c r="V784" t="s">
        <v>8393</v>
      </c>
      <c r="W784" t="s">
        <v>8394</v>
      </c>
      <c r="X784" t="s">
        <v>69</v>
      </c>
      <c r="Y784" t="s">
        <v>32894</v>
      </c>
      <c r="Z784" t="s">
        <v>69</v>
      </c>
      <c r="AA784" t="s">
        <v>8395</v>
      </c>
      <c r="AB784" t="s">
        <v>32895</v>
      </c>
      <c r="AC784" t="s">
        <v>69</v>
      </c>
      <c r="AD784" t="s">
        <v>32896</v>
      </c>
      <c r="AE784" t="s">
        <v>69</v>
      </c>
      <c r="AF784" t="s">
        <v>69</v>
      </c>
      <c r="AG784" t="s">
        <v>69</v>
      </c>
      <c r="AH784" t="s">
        <v>69</v>
      </c>
      <c r="AI784" t="s">
        <v>69</v>
      </c>
      <c r="AJ784" t="s">
        <v>69</v>
      </c>
      <c r="AK784" t="s">
        <v>69</v>
      </c>
      <c r="AL784">
        <v>0</v>
      </c>
      <c r="AM784">
        <v>4</v>
      </c>
      <c r="AN784">
        <v>4</v>
      </c>
      <c r="AO784">
        <v>0</v>
      </c>
      <c r="AP784">
        <v>0</v>
      </c>
      <c r="AQ784" t="s">
        <v>9145</v>
      </c>
      <c r="AR784" t="s">
        <v>8637</v>
      </c>
      <c r="AS784" t="s">
        <v>32470</v>
      </c>
      <c r="AT784" t="s">
        <v>102</v>
      </c>
      <c r="AU784" t="s">
        <v>69</v>
      </c>
      <c r="AV784" t="s">
        <v>69</v>
      </c>
      <c r="AW784" t="s">
        <v>15469</v>
      </c>
      <c r="AX784" t="s">
        <v>15470</v>
      </c>
      <c r="AY784" t="s">
        <v>69</v>
      </c>
      <c r="AZ784">
        <v>1992</v>
      </c>
      <c r="BA784">
        <v>25</v>
      </c>
      <c r="BB784">
        <v>9</v>
      </c>
      <c r="BC784" t="s">
        <v>69</v>
      </c>
      <c r="BD784" t="s">
        <v>69</v>
      </c>
      <c r="BE784" t="s">
        <v>69</v>
      </c>
      <c r="BF784" t="s">
        <v>69</v>
      </c>
      <c r="BG784">
        <v>133</v>
      </c>
      <c r="BH784">
        <v>142</v>
      </c>
      <c r="BI784" t="s">
        <v>69</v>
      </c>
      <c r="BJ784" t="s">
        <v>69</v>
      </c>
      <c r="BK784" t="s">
        <v>69</v>
      </c>
      <c r="BL784" t="s">
        <v>69</v>
      </c>
      <c r="BM784" t="s">
        <v>69</v>
      </c>
      <c r="BN784">
        <v>10</v>
      </c>
      <c r="BO784" t="s">
        <v>10687</v>
      </c>
      <c r="BP784" t="s">
        <v>29550</v>
      </c>
      <c r="BQ784" t="s">
        <v>10688</v>
      </c>
      <c r="BR784" t="s">
        <v>32897</v>
      </c>
      <c r="BS784" t="s">
        <v>8396</v>
      </c>
      <c r="BT784" t="s">
        <v>69</v>
      </c>
      <c r="BU784" t="s">
        <v>69</v>
      </c>
      <c r="BV784" t="s">
        <v>69</v>
      </c>
      <c r="BW784" t="s">
        <v>69</v>
      </c>
      <c r="BX784" t="s">
        <v>8526</v>
      </c>
      <c r="BY784" t="str">
        <f>HYPERLINK("https%3A%2F%2Fwww.webofscience.com%2Fwos%2Fwoscc%2Ffull-record%2FWOS:A1992KA78900015","View Full Record in Web of Science")</f>
        <v>View Full Record in Web of Science</v>
      </c>
    </row>
    <row r="785" spans="1:77" ht="12.5" x14ac:dyDescent="0.25">
      <c r="A785" t="s">
        <v>8495</v>
      </c>
      <c r="B785" s="22" t="s">
        <v>32931</v>
      </c>
      <c r="C785" s="7"/>
      <c r="D785" s="7"/>
      <c r="E785" s="7"/>
      <c r="F785" t="s">
        <v>67</v>
      </c>
      <c r="G785" t="s">
        <v>13707</v>
      </c>
      <c r="H785" t="s">
        <v>69</v>
      </c>
      <c r="I785" t="s">
        <v>69</v>
      </c>
      <c r="J785" t="s">
        <v>69</v>
      </c>
      <c r="K785" t="s">
        <v>13708</v>
      </c>
      <c r="L785" t="s">
        <v>69</v>
      </c>
      <c r="M785" t="s">
        <v>69</v>
      </c>
      <c r="N785" t="s">
        <v>13709</v>
      </c>
      <c r="O785" t="s">
        <v>13710</v>
      </c>
      <c r="P785" t="s">
        <v>69</v>
      </c>
      <c r="Q785" t="s">
        <v>69</v>
      </c>
      <c r="R785" t="s">
        <v>8505</v>
      </c>
      <c r="S785" t="s">
        <v>8506</v>
      </c>
      <c r="T785" t="s">
        <v>69</v>
      </c>
      <c r="U785" t="s">
        <v>69</v>
      </c>
      <c r="V785" t="s">
        <v>69</v>
      </c>
      <c r="W785" t="s">
        <v>69</v>
      </c>
      <c r="X785" t="s">
        <v>69</v>
      </c>
      <c r="Y785" t="s">
        <v>13711</v>
      </c>
      <c r="Z785" t="s">
        <v>13712</v>
      </c>
      <c r="AA785" t="s">
        <v>13713</v>
      </c>
      <c r="AB785" t="s">
        <v>13714</v>
      </c>
      <c r="AC785" t="s">
        <v>69</v>
      </c>
      <c r="AD785" t="s">
        <v>13715</v>
      </c>
      <c r="AE785" t="s">
        <v>13716</v>
      </c>
      <c r="AF785" t="s">
        <v>69</v>
      </c>
      <c r="AG785" t="s">
        <v>69</v>
      </c>
      <c r="AH785" t="s">
        <v>69</v>
      </c>
      <c r="AI785" t="s">
        <v>69</v>
      </c>
      <c r="AJ785" t="s">
        <v>69</v>
      </c>
      <c r="AK785" t="s">
        <v>69</v>
      </c>
      <c r="AL785">
        <v>35</v>
      </c>
      <c r="AM785">
        <v>1</v>
      </c>
      <c r="AN785">
        <v>1</v>
      </c>
      <c r="AO785">
        <v>0</v>
      </c>
      <c r="AP785">
        <v>2</v>
      </c>
      <c r="AQ785" t="s">
        <v>13717</v>
      </c>
      <c r="AR785" t="s">
        <v>13718</v>
      </c>
      <c r="AS785" t="s">
        <v>13719</v>
      </c>
      <c r="AT785" t="s">
        <v>13720</v>
      </c>
      <c r="AU785" t="s">
        <v>69</v>
      </c>
      <c r="AV785" t="s">
        <v>69</v>
      </c>
      <c r="AW785" t="s">
        <v>13721</v>
      </c>
      <c r="AX785" t="s">
        <v>13722</v>
      </c>
      <c r="AY785" t="s">
        <v>69</v>
      </c>
      <c r="AZ785">
        <v>2021</v>
      </c>
      <c r="BA785">
        <v>12</v>
      </c>
      <c r="BB785">
        <v>1</v>
      </c>
      <c r="BC785" t="s">
        <v>69</v>
      </c>
      <c r="BD785" t="s">
        <v>69</v>
      </c>
      <c r="BE785" t="s">
        <v>69</v>
      </c>
      <c r="BF785" t="s">
        <v>69</v>
      </c>
      <c r="BG785">
        <v>1</v>
      </c>
      <c r="BH785">
        <v>11</v>
      </c>
      <c r="BI785" t="s">
        <v>69</v>
      </c>
      <c r="BJ785" t="s">
        <v>13723</v>
      </c>
      <c r="BK785" t="str">
        <f>HYPERLINK("http://dx.doi.org/10.30880/ijscet.2021.12.01.001","http://dx.doi.org/10.30880/ijscet.2021.12.01.001")</f>
        <v>http://dx.doi.org/10.30880/ijscet.2021.12.01.001</v>
      </c>
      <c r="BL785" t="s">
        <v>69</v>
      </c>
      <c r="BM785" t="s">
        <v>69</v>
      </c>
      <c r="BN785">
        <v>11</v>
      </c>
      <c r="BO785" t="s">
        <v>10105</v>
      </c>
      <c r="BP785" t="s">
        <v>8573</v>
      </c>
      <c r="BQ785" t="s">
        <v>10105</v>
      </c>
      <c r="BR785" t="s">
        <v>13724</v>
      </c>
      <c r="BS785" t="s">
        <v>13725</v>
      </c>
      <c r="BT785" t="s">
        <v>69</v>
      </c>
      <c r="BU785" t="s">
        <v>10423</v>
      </c>
      <c r="BV785" t="s">
        <v>69</v>
      </c>
      <c r="BW785" t="s">
        <v>69</v>
      </c>
      <c r="BX785" t="s">
        <v>8526</v>
      </c>
      <c r="BY785" t="str">
        <f>HYPERLINK("https%3A%2F%2Fwww.webofscience.com%2Fwos%2Fwoscc%2Ffull-record%2FWOS:000658861900001","View Full Record in Web of Science")</f>
        <v>View Full Record in Web of Science</v>
      </c>
    </row>
    <row r="786" spans="1:77" ht="12.5" x14ac:dyDescent="0.25">
      <c r="A786" t="s">
        <v>8495</v>
      </c>
      <c r="B786" s="7" t="s">
        <v>32933</v>
      </c>
      <c r="C786" s="7"/>
      <c r="D786" s="7"/>
      <c r="E786" s="7"/>
      <c r="F786" t="s">
        <v>67</v>
      </c>
      <c r="G786" t="s">
        <v>6374</v>
      </c>
      <c r="H786" t="s">
        <v>69</v>
      </c>
      <c r="I786" t="s">
        <v>69</v>
      </c>
      <c r="J786" t="s">
        <v>69</v>
      </c>
      <c r="K786" t="s">
        <v>6375</v>
      </c>
      <c r="L786" t="s">
        <v>69</v>
      </c>
      <c r="M786" t="s">
        <v>69</v>
      </c>
      <c r="N786" t="s">
        <v>6376</v>
      </c>
      <c r="O786" t="s">
        <v>436</v>
      </c>
      <c r="P786" t="s">
        <v>69</v>
      </c>
      <c r="Q786" t="s">
        <v>69</v>
      </c>
      <c r="R786" t="s">
        <v>8505</v>
      </c>
      <c r="S786" t="s">
        <v>8442</v>
      </c>
      <c r="T786" t="s">
        <v>69</v>
      </c>
      <c r="U786" t="s">
        <v>69</v>
      </c>
      <c r="V786" t="s">
        <v>69</v>
      </c>
      <c r="W786" t="s">
        <v>69</v>
      </c>
      <c r="X786" t="s">
        <v>69</v>
      </c>
      <c r="Y786" t="s">
        <v>20603</v>
      </c>
      <c r="Z786" t="s">
        <v>69</v>
      </c>
      <c r="AA786" t="s">
        <v>6377</v>
      </c>
      <c r="AB786" t="s">
        <v>20604</v>
      </c>
      <c r="AC786" t="s">
        <v>69</v>
      </c>
      <c r="AD786" t="s">
        <v>20605</v>
      </c>
      <c r="AE786" t="s">
        <v>20606</v>
      </c>
      <c r="AF786" t="s">
        <v>20607</v>
      </c>
      <c r="AG786" t="s">
        <v>6378</v>
      </c>
      <c r="AH786" t="s">
        <v>69</v>
      </c>
      <c r="AI786" t="s">
        <v>69</v>
      </c>
      <c r="AJ786" t="s">
        <v>69</v>
      </c>
      <c r="AK786" t="s">
        <v>69</v>
      </c>
      <c r="AL786">
        <v>26</v>
      </c>
      <c r="AM786">
        <v>119</v>
      </c>
      <c r="AN786">
        <v>119</v>
      </c>
      <c r="AO786">
        <v>7</v>
      </c>
      <c r="AP786">
        <v>178</v>
      </c>
      <c r="AQ786" t="s">
        <v>8636</v>
      </c>
      <c r="AR786" t="s">
        <v>8637</v>
      </c>
      <c r="AS786" t="s">
        <v>8638</v>
      </c>
      <c r="AT786" t="s">
        <v>440</v>
      </c>
      <c r="AU786" t="s">
        <v>441</v>
      </c>
      <c r="AV786" t="s">
        <v>69</v>
      </c>
      <c r="AW786" t="s">
        <v>8639</v>
      </c>
      <c r="AX786" t="s">
        <v>8640</v>
      </c>
      <c r="AY786" t="s">
        <v>6297</v>
      </c>
      <c r="AZ786">
        <v>2017</v>
      </c>
      <c r="BA786">
        <v>141</v>
      </c>
      <c r="BB786" t="s">
        <v>69</v>
      </c>
      <c r="BC786" t="s">
        <v>69</v>
      </c>
      <c r="BD786" t="s">
        <v>69</v>
      </c>
      <c r="BE786" t="s">
        <v>69</v>
      </c>
      <c r="BF786" t="s">
        <v>69</v>
      </c>
      <c r="BG786">
        <v>1194</v>
      </c>
      <c r="BH786">
        <v>1208</v>
      </c>
      <c r="BI786" t="s">
        <v>69</v>
      </c>
      <c r="BJ786" t="s">
        <v>6379</v>
      </c>
      <c r="BK786" t="str">
        <f>HYPERLINK("http://dx.doi.org/10.1016/j.jclepro.2016.09.103","http://dx.doi.org/10.1016/j.jclepro.2016.09.103")</f>
        <v>http://dx.doi.org/10.1016/j.jclepro.2016.09.103</v>
      </c>
      <c r="BL786" t="s">
        <v>69</v>
      </c>
      <c r="BM786" t="s">
        <v>69</v>
      </c>
      <c r="BN786">
        <v>15</v>
      </c>
      <c r="BO786" t="s">
        <v>8643</v>
      </c>
      <c r="BP786" t="s">
        <v>8548</v>
      </c>
      <c r="BQ786" t="s">
        <v>8644</v>
      </c>
      <c r="BR786" t="s">
        <v>20608</v>
      </c>
      <c r="BS786" t="s">
        <v>6380</v>
      </c>
      <c r="BT786" t="s">
        <v>69</v>
      </c>
      <c r="BU786" t="s">
        <v>69</v>
      </c>
      <c r="BV786" t="s">
        <v>69</v>
      </c>
      <c r="BW786" t="s">
        <v>69</v>
      </c>
      <c r="BX786" t="s">
        <v>8526</v>
      </c>
      <c r="BY786" t="str">
        <f>HYPERLINK("https%3A%2F%2Fwww.webofscience.com%2Fwos%2Fwoscc%2Ffull-record%2FWOS:000389090300109","View Full Record in Web of Science")</f>
        <v>View Full Record in Web of Science</v>
      </c>
    </row>
    <row r="787" spans="1:77" ht="12.5" x14ac:dyDescent="0.25">
      <c r="A787" t="s">
        <v>8495</v>
      </c>
      <c r="B787" s="7" t="s">
        <v>32933</v>
      </c>
      <c r="C787" s="7"/>
      <c r="D787" s="7"/>
      <c r="E787" s="7"/>
      <c r="F787" t="s">
        <v>67</v>
      </c>
      <c r="G787" t="s">
        <v>1713</v>
      </c>
      <c r="H787" t="s">
        <v>69</v>
      </c>
      <c r="I787" t="s">
        <v>69</v>
      </c>
      <c r="J787" t="s">
        <v>69</v>
      </c>
      <c r="K787" t="s">
        <v>1713</v>
      </c>
      <c r="L787" t="s">
        <v>69</v>
      </c>
      <c r="M787" t="s">
        <v>69</v>
      </c>
      <c r="N787" t="s">
        <v>1714</v>
      </c>
      <c r="O787" t="s">
        <v>1715</v>
      </c>
      <c r="P787" t="s">
        <v>69</v>
      </c>
      <c r="Q787" t="s">
        <v>69</v>
      </c>
      <c r="R787" t="s">
        <v>8505</v>
      </c>
      <c r="S787" t="s">
        <v>8506</v>
      </c>
      <c r="T787" t="s">
        <v>69</v>
      </c>
      <c r="U787" t="s">
        <v>69</v>
      </c>
      <c r="V787" t="s">
        <v>69</v>
      </c>
      <c r="W787" t="s">
        <v>69</v>
      </c>
      <c r="X787" t="s">
        <v>69</v>
      </c>
      <c r="Y787" t="s">
        <v>69</v>
      </c>
      <c r="Z787" t="s">
        <v>69</v>
      </c>
      <c r="AA787" t="s">
        <v>1716</v>
      </c>
      <c r="AB787" t="s">
        <v>31623</v>
      </c>
      <c r="AC787" t="s">
        <v>69</v>
      </c>
      <c r="AD787" t="s">
        <v>31624</v>
      </c>
      <c r="AE787" t="s">
        <v>69</v>
      </c>
      <c r="AF787" t="s">
        <v>69</v>
      </c>
      <c r="AG787" t="s">
        <v>69</v>
      </c>
      <c r="AH787" t="s">
        <v>69</v>
      </c>
      <c r="AI787" t="s">
        <v>69</v>
      </c>
      <c r="AJ787" t="s">
        <v>69</v>
      </c>
      <c r="AK787" t="s">
        <v>69</v>
      </c>
      <c r="AL787">
        <v>26</v>
      </c>
      <c r="AM787">
        <v>23</v>
      </c>
      <c r="AN787">
        <v>23</v>
      </c>
      <c r="AO787">
        <v>0</v>
      </c>
      <c r="AP787">
        <v>5</v>
      </c>
      <c r="AQ787" t="s">
        <v>31568</v>
      </c>
      <c r="AR787" t="s">
        <v>16417</v>
      </c>
      <c r="AS787" t="s">
        <v>31569</v>
      </c>
      <c r="AT787" t="s">
        <v>1717</v>
      </c>
      <c r="AU787" t="s">
        <v>69</v>
      </c>
      <c r="AV787" t="s">
        <v>69</v>
      </c>
      <c r="AW787" t="s">
        <v>31625</v>
      </c>
      <c r="AX787" t="s">
        <v>31626</v>
      </c>
      <c r="AY787" t="s">
        <v>94</v>
      </c>
      <c r="AZ787">
        <v>2001</v>
      </c>
      <c r="BA787">
        <v>13</v>
      </c>
      <c r="BB787">
        <v>1</v>
      </c>
      <c r="BC787" t="s">
        <v>69</v>
      </c>
      <c r="BD787" t="s">
        <v>69</v>
      </c>
      <c r="BE787" t="s">
        <v>69</v>
      </c>
      <c r="BF787" t="s">
        <v>69</v>
      </c>
      <c r="BG787">
        <v>53</v>
      </c>
      <c r="BH787">
        <v>69</v>
      </c>
      <c r="BI787" t="s">
        <v>69</v>
      </c>
      <c r="BJ787" t="s">
        <v>1718</v>
      </c>
      <c r="BK787" t="str">
        <f>HYPERLINK("http://dx.doi.org/10.1080/09537320120040446","http://dx.doi.org/10.1080/09537320120040446")</f>
        <v>http://dx.doi.org/10.1080/09537320120040446</v>
      </c>
      <c r="BL787" t="s">
        <v>69</v>
      </c>
      <c r="BM787" t="s">
        <v>69</v>
      </c>
      <c r="BN787">
        <v>17</v>
      </c>
      <c r="BO787" t="s">
        <v>31627</v>
      </c>
      <c r="BP787" t="s">
        <v>8523</v>
      </c>
      <c r="BQ787" t="s">
        <v>31628</v>
      </c>
      <c r="BR787" t="s">
        <v>31629</v>
      </c>
      <c r="BS787" t="s">
        <v>1719</v>
      </c>
      <c r="BT787" t="s">
        <v>69</v>
      </c>
      <c r="BU787" t="s">
        <v>69</v>
      </c>
      <c r="BV787" t="s">
        <v>69</v>
      </c>
      <c r="BW787" t="s">
        <v>69</v>
      </c>
      <c r="BX787" t="s">
        <v>8526</v>
      </c>
      <c r="BY787" t="str">
        <f>HYPERLINK("https%3A%2F%2Fwww.webofscience.com%2Fwos%2Fwoscc%2Ffull-record%2FWOS:000167708600005","View Full Record in Web of Science")</f>
        <v>View Full Record in Web of Science</v>
      </c>
    </row>
    <row r="788" spans="1:77" x14ac:dyDescent="0.3">
      <c r="A788" t="s">
        <v>8495</v>
      </c>
      <c r="B788" s="9" t="s">
        <v>32972</v>
      </c>
      <c r="C788" s="9" t="s">
        <v>33062</v>
      </c>
      <c r="E788" s="9" t="s">
        <v>8490</v>
      </c>
      <c r="F788" t="s">
        <v>67</v>
      </c>
      <c r="G788" t="s">
        <v>11904</v>
      </c>
      <c r="H788" t="s">
        <v>69</v>
      </c>
      <c r="I788" t="s">
        <v>69</v>
      </c>
      <c r="J788" t="s">
        <v>69</v>
      </c>
      <c r="K788" t="s">
        <v>11905</v>
      </c>
      <c r="L788" t="s">
        <v>69</v>
      </c>
      <c r="M788" t="s">
        <v>69</v>
      </c>
      <c r="N788" t="s">
        <v>11906</v>
      </c>
      <c r="O788" t="s">
        <v>11907</v>
      </c>
      <c r="P788" t="s">
        <v>69</v>
      </c>
      <c r="Q788" t="s">
        <v>69</v>
      </c>
      <c r="R788" t="s">
        <v>8505</v>
      </c>
      <c r="S788" t="s">
        <v>8506</v>
      </c>
      <c r="T788" t="s">
        <v>69</v>
      </c>
      <c r="U788" t="s">
        <v>69</v>
      </c>
      <c r="V788" t="s">
        <v>69</v>
      </c>
      <c r="W788" t="s">
        <v>69</v>
      </c>
      <c r="X788" t="s">
        <v>69</v>
      </c>
      <c r="Y788" t="s">
        <v>11908</v>
      </c>
      <c r="Z788" t="s">
        <v>11909</v>
      </c>
      <c r="AA788" t="s">
        <v>11910</v>
      </c>
      <c r="AB788" t="s">
        <v>11911</v>
      </c>
      <c r="AC788" t="s">
        <v>69</v>
      </c>
      <c r="AD788" t="s">
        <v>11912</v>
      </c>
      <c r="AE788" t="s">
        <v>11913</v>
      </c>
      <c r="AF788" t="s">
        <v>11914</v>
      </c>
      <c r="AG788" t="s">
        <v>11915</v>
      </c>
      <c r="AH788" t="s">
        <v>69</v>
      </c>
      <c r="AI788" t="s">
        <v>69</v>
      </c>
      <c r="AJ788" t="s">
        <v>69</v>
      </c>
      <c r="AK788" t="s">
        <v>69</v>
      </c>
      <c r="AL788">
        <v>71</v>
      </c>
      <c r="AM788">
        <v>14</v>
      </c>
      <c r="AN788">
        <v>14</v>
      </c>
      <c r="AO788">
        <v>4</v>
      </c>
      <c r="AP788">
        <v>7</v>
      </c>
      <c r="AQ788" t="s">
        <v>8516</v>
      </c>
      <c r="AR788" t="s">
        <v>8517</v>
      </c>
      <c r="AS788" t="s">
        <v>8518</v>
      </c>
      <c r="AT788" t="s">
        <v>11916</v>
      </c>
      <c r="AU788" t="s">
        <v>69</v>
      </c>
      <c r="AV788" t="s">
        <v>69</v>
      </c>
      <c r="AW788" t="s">
        <v>11917</v>
      </c>
      <c r="AX788" t="s">
        <v>11918</v>
      </c>
      <c r="AY788" t="s">
        <v>201</v>
      </c>
      <c r="AZ788">
        <v>2021</v>
      </c>
      <c r="BA788">
        <v>23</v>
      </c>
      <c r="BB788" t="s">
        <v>69</v>
      </c>
      <c r="BC788" t="s">
        <v>69</v>
      </c>
      <c r="BD788" t="s">
        <v>69</v>
      </c>
      <c r="BE788" t="s">
        <v>69</v>
      </c>
      <c r="BF788" t="s">
        <v>69</v>
      </c>
      <c r="BG788" t="s">
        <v>69</v>
      </c>
      <c r="BH788" t="s">
        <v>69</v>
      </c>
      <c r="BI788">
        <v>101716</v>
      </c>
      <c r="BJ788" t="s">
        <v>11919</v>
      </c>
      <c r="BK788" t="str">
        <f>HYPERLINK("http://dx.doi.org/10.1016/j.eti.2021.101716","http://dx.doi.org/10.1016/j.eti.2021.101716")</f>
        <v>http://dx.doi.org/10.1016/j.eti.2021.101716</v>
      </c>
      <c r="BL788" t="s">
        <v>69</v>
      </c>
      <c r="BM788" t="s">
        <v>11920</v>
      </c>
      <c r="BN788">
        <v>14</v>
      </c>
      <c r="BO788" t="s">
        <v>11921</v>
      </c>
      <c r="BP788" t="s">
        <v>8523</v>
      </c>
      <c r="BQ788" t="s">
        <v>11922</v>
      </c>
      <c r="BR788" t="s">
        <v>11923</v>
      </c>
      <c r="BS788" t="s">
        <v>11924</v>
      </c>
      <c r="BT788" t="s">
        <v>69</v>
      </c>
      <c r="BU788" t="s">
        <v>69</v>
      </c>
      <c r="BV788" t="s">
        <v>69</v>
      </c>
      <c r="BW788" t="s">
        <v>69</v>
      </c>
      <c r="BX788" t="s">
        <v>8526</v>
      </c>
      <c r="BY788" t="str">
        <f>HYPERLINK("https%3A%2F%2Fwww.webofscience.com%2Fwos%2Fwoscc%2Ffull-record%2FWOS:000685019500017","View Full Record in Web of Science")</f>
        <v>View Full Record in Web of Science</v>
      </c>
    </row>
    <row r="789" spans="1:77" ht="12.5" x14ac:dyDescent="0.25">
      <c r="A789" t="s">
        <v>8495</v>
      </c>
      <c r="B789" s="7" t="s">
        <v>32933</v>
      </c>
      <c r="C789" s="7"/>
      <c r="D789" s="7"/>
      <c r="E789" s="7"/>
      <c r="F789" t="s">
        <v>67</v>
      </c>
      <c r="G789" t="s">
        <v>2894</v>
      </c>
      <c r="H789" t="s">
        <v>69</v>
      </c>
      <c r="I789" t="s">
        <v>69</v>
      </c>
      <c r="J789" t="s">
        <v>69</v>
      </c>
      <c r="K789" t="s">
        <v>2895</v>
      </c>
      <c r="L789" t="s">
        <v>69</v>
      </c>
      <c r="M789" t="s">
        <v>69</v>
      </c>
      <c r="N789" t="s">
        <v>2896</v>
      </c>
      <c r="O789" t="s">
        <v>1023</v>
      </c>
      <c r="P789" t="s">
        <v>69</v>
      </c>
      <c r="Q789" t="s">
        <v>69</v>
      </c>
      <c r="R789" t="s">
        <v>8505</v>
      </c>
      <c r="S789" t="s">
        <v>8506</v>
      </c>
      <c r="T789" t="s">
        <v>69</v>
      </c>
      <c r="U789" t="s">
        <v>69</v>
      </c>
      <c r="V789" t="s">
        <v>69</v>
      </c>
      <c r="W789" t="s">
        <v>69</v>
      </c>
      <c r="X789" t="s">
        <v>69</v>
      </c>
      <c r="Y789" t="s">
        <v>21761</v>
      </c>
      <c r="Z789" t="s">
        <v>21762</v>
      </c>
      <c r="AA789" t="s">
        <v>2897</v>
      </c>
      <c r="AB789" t="s">
        <v>21763</v>
      </c>
      <c r="AC789" t="s">
        <v>69</v>
      </c>
      <c r="AD789" t="s">
        <v>21764</v>
      </c>
      <c r="AE789" t="s">
        <v>21765</v>
      </c>
      <c r="AF789" t="s">
        <v>69</v>
      </c>
      <c r="AG789" t="s">
        <v>69</v>
      </c>
      <c r="AH789" t="s">
        <v>21766</v>
      </c>
      <c r="AI789" t="s">
        <v>21767</v>
      </c>
      <c r="AJ789" t="s">
        <v>21768</v>
      </c>
      <c r="AK789" t="s">
        <v>69</v>
      </c>
      <c r="AL789">
        <v>65</v>
      </c>
      <c r="AM789">
        <v>13</v>
      </c>
      <c r="AN789">
        <v>13</v>
      </c>
      <c r="AO789">
        <v>0</v>
      </c>
      <c r="AP789">
        <v>29</v>
      </c>
      <c r="AQ789" t="s">
        <v>9145</v>
      </c>
      <c r="AR789" t="s">
        <v>8637</v>
      </c>
      <c r="AS789" t="s">
        <v>9146</v>
      </c>
      <c r="AT789" t="s">
        <v>1026</v>
      </c>
      <c r="AU789" t="s">
        <v>69</v>
      </c>
      <c r="AV789" t="s">
        <v>69</v>
      </c>
      <c r="AW789" t="s">
        <v>18074</v>
      </c>
      <c r="AX789" t="s">
        <v>18075</v>
      </c>
      <c r="AY789" t="s">
        <v>94</v>
      </c>
      <c r="AZ789">
        <v>2016</v>
      </c>
      <c r="BA789">
        <v>85</v>
      </c>
      <c r="BB789" t="s">
        <v>69</v>
      </c>
      <c r="BC789" t="s">
        <v>69</v>
      </c>
      <c r="BD789" t="s">
        <v>69</v>
      </c>
      <c r="BE789" t="s">
        <v>69</v>
      </c>
      <c r="BF789" t="s">
        <v>69</v>
      </c>
      <c r="BG789">
        <v>76</v>
      </c>
      <c r="BH789">
        <v>88</v>
      </c>
      <c r="BI789" t="s">
        <v>69</v>
      </c>
      <c r="BJ789" t="s">
        <v>2898</v>
      </c>
      <c r="BK789" t="str">
        <f>HYPERLINK("http://dx.doi.org/10.1016/j.tra.2016.01.004","http://dx.doi.org/10.1016/j.tra.2016.01.004")</f>
        <v>http://dx.doi.org/10.1016/j.tra.2016.01.004</v>
      </c>
      <c r="BL789" t="s">
        <v>69</v>
      </c>
      <c r="BM789" t="s">
        <v>69</v>
      </c>
      <c r="BN789">
        <v>13</v>
      </c>
      <c r="BO789" t="s">
        <v>18076</v>
      </c>
      <c r="BP789" t="s">
        <v>8523</v>
      </c>
      <c r="BQ789" t="s">
        <v>15301</v>
      </c>
      <c r="BR789" t="s">
        <v>21769</v>
      </c>
      <c r="BS789" t="s">
        <v>2899</v>
      </c>
      <c r="BT789" t="s">
        <v>69</v>
      </c>
      <c r="BU789" t="s">
        <v>69</v>
      </c>
      <c r="BV789" t="s">
        <v>69</v>
      </c>
      <c r="BW789" t="s">
        <v>69</v>
      </c>
      <c r="BX789" t="s">
        <v>8526</v>
      </c>
      <c r="BY789" t="str">
        <f>HYPERLINK("https%3A%2F%2Fwww.webofscience.com%2Fwos%2Fwoscc%2Ffull-record%2FWOS:000372942100006","View Full Record in Web of Science")</f>
        <v>View Full Record in Web of Science</v>
      </c>
    </row>
    <row r="790" spans="1:77" ht="12.5" x14ac:dyDescent="0.25">
      <c r="A790" t="s">
        <v>8495</v>
      </c>
      <c r="B790" s="22" t="s">
        <v>32931</v>
      </c>
      <c r="C790" s="7"/>
      <c r="D790" s="7"/>
      <c r="E790" s="7"/>
      <c r="F790" t="s">
        <v>67</v>
      </c>
      <c r="G790" t="s">
        <v>23974</v>
      </c>
      <c r="H790" t="s">
        <v>69</v>
      </c>
      <c r="I790" t="s">
        <v>69</v>
      </c>
      <c r="J790" t="s">
        <v>69</v>
      </c>
      <c r="K790" t="s">
        <v>23975</v>
      </c>
      <c r="L790" t="s">
        <v>69</v>
      </c>
      <c r="M790" t="s">
        <v>69</v>
      </c>
      <c r="N790" t="s">
        <v>23976</v>
      </c>
      <c r="O790" t="s">
        <v>5503</v>
      </c>
      <c r="P790" t="s">
        <v>69</v>
      </c>
      <c r="Q790" t="s">
        <v>69</v>
      </c>
      <c r="R790" t="s">
        <v>8505</v>
      </c>
      <c r="S790" t="s">
        <v>8506</v>
      </c>
      <c r="T790" t="s">
        <v>69</v>
      </c>
      <c r="U790" t="s">
        <v>69</v>
      </c>
      <c r="V790" t="s">
        <v>69</v>
      </c>
      <c r="W790" t="s">
        <v>69</v>
      </c>
      <c r="X790" t="s">
        <v>69</v>
      </c>
      <c r="Y790" t="s">
        <v>23977</v>
      </c>
      <c r="Z790" t="s">
        <v>23978</v>
      </c>
      <c r="AA790" t="s">
        <v>23979</v>
      </c>
      <c r="AB790" t="s">
        <v>23980</v>
      </c>
      <c r="AC790" t="s">
        <v>69</v>
      </c>
      <c r="AD790" t="s">
        <v>23981</v>
      </c>
      <c r="AE790" t="s">
        <v>23982</v>
      </c>
      <c r="AF790" t="s">
        <v>69</v>
      </c>
      <c r="AG790" t="s">
        <v>69</v>
      </c>
      <c r="AH790" t="s">
        <v>23983</v>
      </c>
      <c r="AI790" t="s">
        <v>23983</v>
      </c>
      <c r="AJ790" t="s">
        <v>23984</v>
      </c>
      <c r="AK790" t="s">
        <v>69</v>
      </c>
      <c r="AL790">
        <v>57</v>
      </c>
      <c r="AM790">
        <v>19</v>
      </c>
      <c r="AN790">
        <v>19</v>
      </c>
      <c r="AO790">
        <v>1</v>
      </c>
      <c r="AP790">
        <v>79</v>
      </c>
      <c r="AQ790" t="s">
        <v>8846</v>
      </c>
      <c r="AR790" t="s">
        <v>8847</v>
      </c>
      <c r="AS790" t="s">
        <v>8848</v>
      </c>
      <c r="AT790" t="s">
        <v>5505</v>
      </c>
      <c r="AU790" t="s">
        <v>23985</v>
      </c>
      <c r="AV790" t="s">
        <v>69</v>
      </c>
      <c r="AW790" t="s">
        <v>23986</v>
      </c>
      <c r="AX790" t="s">
        <v>23987</v>
      </c>
      <c r="AY790" t="s">
        <v>191</v>
      </c>
      <c r="AZ790">
        <v>2014</v>
      </c>
      <c r="BA790">
        <v>28</v>
      </c>
      <c r="BB790">
        <v>1</v>
      </c>
      <c r="BC790" t="s">
        <v>69</v>
      </c>
      <c r="BD790" t="s">
        <v>69</v>
      </c>
      <c r="BE790" t="s">
        <v>69</v>
      </c>
      <c r="BF790" t="s">
        <v>69</v>
      </c>
      <c r="BG790">
        <v>258</v>
      </c>
      <c r="BH790">
        <v>268</v>
      </c>
      <c r="BI790" t="s">
        <v>69</v>
      </c>
      <c r="BJ790" t="s">
        <v>23988</v>
      </c>
      <c r="BK790" t="str">
        <f>HYPERLINK("http://dx.doi.org/10.1111/cobi.12136","http://dx.doi.org/10.1111/cobi.12136")</f>
        <v>http://dx.doi.org/10.1111/cobi.12136</v>
      </c>
      <c r="BL790" t="s">
        <v>69</v>
      </c>
      <c r="BM790" t="s">
        <v>69</v>
      </c>
      <c r="BN790">
        <v>11</v>
      </c>
      <c r="BO790" t="s">
        <v>16747</v>
      </c>
      <c r="BP790" t="s">
        <v>8523</v>
      </c>
      <c r="BQ790" t="s">
        <v>15452</v>
      </c>
      <c r="BR790" t="s">
        <v>23989</v>
      </c>
      <c r="BS790" t="s">
        <v>23990</v>
      </c>
      <c r="BT790">
        <v>24001140</v>
      </c>
      <c r="BU790" t="s">
        <v>69</v>
      </c>
      <c r="BV790" t="s">
        <v>69</v>
      </c>
      <c r="BW790" t="s">
        <v>69</v>
      </c>
      <c r="BX790" t="s">
        <v>8526</v>
      </c>
      <c r="BY790" t="str">
        <f>HYPERLINK("https%3A%2F%2Fwww.webofscience.com%2Fwos%2Fwoscc%2Ffull-record%2FWOS:000330265900026","View Full Record in Web of Science")</f>
        <v>View Full Record in Web of Science</v>
      </c>
    </row>
    <row r="791" spans="1:77" ht="12.5" x14ac:dyDescent="0.25">
      <c r="A791" t="s">
        <v>8495</v>
      </c>
      <c r="B791" s="22" t="s">
        <v>32931</v>
      </c>
      <c r="C791" s="7"/>
      <c r="D791" s="7"/>
      <c r="E791" s="7"/>
      <c r="F791" t="s">
        <v>67</v>
      </c>
      <c r="G791" t="s">
        <v>12987</v>
      </c>
      <c r="H791" t="s">
        <v>69</v>
      </c>
      <c r="I791" t="s">
        <v>69</v>
      </c>
      <c r="J791" t="s">
        <v>69</v>
      </c>
      <c r="K791" t="s">
        <v>12988</v>
      </c>
      <c r="L791" t="s">
        <v>69</v>
      </c>
      <c r="M791" t="s">
        <v>69</v>
      </c>
      <c r="N791" t="s">
        <v>12989</v>
      </c>
      <c r="O791" t="s">
        <v>582</v>
      </c>
      <c r="P791" t="s">
        <v>69</v>
      </c>
      <c r="Q791" t="s">
        <v>69</v>
      </c>
      <c r="R791" t="s">
        <v>8505</v>
      </c>
      <c r="S791" t="s">
        <v>8506</v>
      </c>
      <c r="T791" t="s">
        <v>69</v>
      </c>
      <c r="U791" t="s">
        <v>69</v>
      </c>
      <c r="V791" t="s">
        <v>69</v>
      </c>
      <c r="W791" t="s">
        <v>69</v>
      </c>
      <c r="X791" t="s">
        <v>69</v>
      </c>
      <c r="Y791" t="s">
        <v>12990</v>
      </c>
      <c r="Z791" t="s">
        <v>69</v>
      </c>
      <c r="AA791" t="s">
        <v>12991</v>
      </c>
      <c r="AB791" t="s">
        <v>12992</v>
      </c>
      <c r="AC791" t="s">
        <v>69</v>
      </c>
      <c r="AD791" t="s">
        <v>12993</v>
      </c>
      <c r="AE791" t="s">
        <v>12994</v>
      </c>
      <c r="AF791" t="s">
        <v>12995</v>
      </c>
      <c r="AG791" t="s">
        <v>12996</v>
      </c>
      <c r="AH791" t="s">
        <v>12997</v>
      </c>
      <c r="AI791" t="s">
        <v>12998</v>
      </c>
      <c r="AJ791" t="s">
        <v>12999</v>
      </c>
      <c r="AK791" t="s">
        <v>69</v>
      </c>
      <c r="AL791">
        <v>50</v>
      </c>
      <c r="AM791">
        <v>1</v>
      </c>
      <c r="AN791">
        <v>1</v>
      </c>
      <c r="AO791">
        <v>4</v>
      </c>
      <c r="AP791">
        <v>17</v>
      </c>
      <c r="AQ791" t="s">
        <v>8692</v>
      </c>
      <c r="AR791" t="s">
        <v>8693</v>
      </c>
      <c r="AS791" t="s">
        <v>8694</v>
      </c>
      <c r="AT791" t="s">
        <v>584</v>
      </c>
      <c r="AU791" t="s">
        <v>585</v>
      </c>
      <c r="AV791" t="s">
        <v>69</v>
      </c>
      <c r="AW791" t="s">
        <v>8695</v>
      </c>
      <c r="AX791" t="s">
        <v>8696</v>
      </c>
      <c r="AY791" t="s">
        <v>94</v>
      </c>
      <c r="AZ791">
        <v>2021</v>
      </c>
      <c r="BA791">
        <v>87</v>
      </c>
      <c r="BB791" t="s">
        <v>69</v>
      </c>
      <c r="BC791" t="s">
        <v>69</v>
      </c>
      <c r="BD791" t="s">
        <v>69</v>
      </c>
      <c r="BE791" t="s">
        <v>69</v>
      </c>
      <c r="BF791" t="s">
        <v>69</v>
      </c>
      <c r="BG791" t="s">
        <v>69</v>
      </c>
      <c r="BH791" t="s">
        <v>69</v>
      </c>
      <c r="BI791">
        <v>106523</v>
      </c>
      <c r="BJ791" t="s">
        <v>13000</v>
      </c>
      <c r="BK791" t="str">
        <f>HYPERLINK("http://dx.doi.org/10.1016/j.eiar.2020.106523","http://dx.doi.org/10.1016/j.eiar.2020.106523")</f>
        <v>http://dx.doi.org/10.1016/j.eiar.2020.106523</v>
      </c>
      <c r="BL791" t="s">
        <v>69</v>
      </c>
      <c r="BM791" t="s">
        <v>69</v>
      </c>
      <c r="BN791">
        <v>17</v>
      </c>
      <c r="BO791" t="s">
        <v>8660</v>
      </c>
      <c r="BP791" t="s">
        <v>8661</v>
      </c>
      <c r="BQ791" t="s">
        <v>8662</v>
      </c>
      <c r="BR791" t="s">
        <v>13001</v>
      </c>
      <c r="BS791" t="s">
        <v>13002</v>
      </c>
      <c r="BT791" t="s">
        <v>69</v>
      </c>
      <c r="BU791" t="s">
        <v>69</v>
      </c>
      <c r="BV791" t="s">
        <v>69</v>
      </c>
      <c r="BW791" t="s">
        <v>69</v>
      </c>
      <c r="BX791" t="s">
        <v>8526</v>
      </c>
      <c r="BY791" t="str">
        <f>HYPERLINK("https%3A%2F%2Fwww.webofscience.com%2Fwos%2Fwoscc%2Ffull-record%2FWOS:000614713900007","View Full Record in Web of Science")</f>
        <v>View Full Record in Web of Science</v>
      </c>
    </row>
    <row r="792" spans="1:77" ht="12.5" x14ac:dyDescent="0.25">
      <c r="A792" t="s">
        <v>8495</v>
      </c>
      <c r="B792" s="7" t="s">
        <v>32933</v>
      </c>
      <c r="C792" s="7"/>
      <c r="D792" s="7"/>
      <c r="E792" s="7"/>
      <c r="F792" t="s">
        <v>67</v>
      </c>
      <c r="G792" t="s">
        <v>3631</v>
      </c>
      <c r="H792" t="s">
        <v>69</v>
      </c>
      <c r="I792" t="s">
        <v>69</v>
      </c>
      <c r="J792" t="s">
        <v>69</v>
      </c>
      <c r="K792" t="s">
        <v>3632</v>
      </c>
      <c r="L792" t="s">
        <v>69</v>
      </c>
      <c r="M792" t="s">
        <v>69</v>
      </c>
      <c r="N792" t="s">
        <v>3633</v>
      </c>
      <c r="O792" t="s">
        <v>3634</v>
      </c>
      <c r="P792" t="s">
        <v>69</v>
      </c>
      <c r="Q792" t="s">
        <v>69</v>
      </c>
      <c r="R792" t="s">
        <v>8505</v>
      </c>
      <c r="S792" t="s">
        <v>8506</v>
      </c>
      <c r="T792" t="s">
        <v>69</v>
      </c>
      <c r="U792" t="s">
        <v>69</v>
      </c>
      <c r="V792" t="s">
        <v>69</v>
      </c>
      <c r="W792" t="s">
        <v>69</v>
      </c>
      <c r="X792" t="s">
        <v>69</v>
      </c>
      <c r="Y792" t="s">
        <v>28835</v>
      </c>
      <c r="Z792" t="s">
        <v>28836</v>
      </c>
      <c r="AA792" t="s">
        <v>3635</v>
      </c>
      <c r="AB792" t="s">
        <v>28837</v>
      </c>
      <c r="AC792" t="s">
        <v>69</v>
      </c>
      <c r="AD792" t="s">
        <v>28838</v>
      </c>
      <c r="AE792" t="s">
        <v>28839</v>
      </c>
      <c r="AF792" t="s">
        <v>69</v>
      </c>
      <c r="AG792" t="s">
        <v>69</v>
      </c>
      <c r="AH792" t="s">
        <v>69</v>
      </c>
      <c r="AI792" t="s">
        <v>69</v>
      </c>
      <c r="AJ792" t="s">
        <v>69</v>
      </c>
      <c r="AK792" t="s">
        <v>69</v>
      </c>
      <c r="AL792">
        <v>63</v>
      </c>
      <c r="AM792">
        <v>20</v>
      </c>
      <c r="AN792">
        <v>20</v>
      </c>
      <c r="AO792">
        <v>1</v>
      </c>
      <c r="AP792">
        <v>69</v>
      </c>
      <c r="AQ792" t="s">
        <v>28840</v>
      </c>
      <c r="AR792" t="s">
        <v>28841</v>
      </c>
      <c r="AS792" t="s">
        <v>28842</v>
      </c>
      <c r="AT792" t="s">
        <v>3636</v>
      </c>
      <c r="AU792" t="s">
        <v>69</v>
      </c>
      <c r="AV792" t="s">
        <v>69</v>
      </c>
      <c r="AW792" t="s">
        <v>28843</v>
      </c>
      <c r="AX792" t="s">
        <v>28844</v>
      </c>
      <c r="AY792" t="s">
        <v>69</v>
      </c>
      <c r="AZ792">
        <v>2009</v>
      </c>
      <c r="BA792">
        <v>17</v>
      </c>
      <c r="BB792">
        <v>2</v>
      </c>
      <c r="BC792" t="s">
        <v>69</v>
      </c>
      <c r="BD792" t="s">
        <v>69</v>
      </c>
      <c r="BE792" t="s">
        <v>69</v>
      </c>
      <c r="BF792" t="s">
        <v>69</v>
      </c>
      <c r="BG792">
        <v>112</v>
      </c>
      <c r="BH792">
        <v>122</v>
      </c>
      <c r="BI792" t="s">
        <v>69</v>
      </c>
      <c r="BJ792" t="s">
        <v>3637</v>
      </c>
      <c r="BK792" t="str">
        <f>HYPERLINK("http://dx.doi.org/10.1016/j.jnc.2008.12.006","http://dx.doi.org/10.1016/j.jnc.2008.12.006")</f>
        <v>http://dx.doi.org/10.1016/j.jnc.2008.12.006</v>
      </c>
      <c r="BL792" t="s">
        <v>69</v>
      </c>
      <c r="BM792" t="s">
        <v>69</v>
      </c>
      <c r="BN792">
        <v>11</v>
      </c>
      <c r="BO792" t="s">
        <v>15451</v>
      </c>
      <c r="BP792" t="s">
        <v>8548</v>
      </c>
      <c r="BQ792" t="s">
        <v>15452</v>
      </c>
      <c r="BR792" t="s">
        <v>28845</v>
      </c>
      <c r="BS792" t="s">
        <v>3638</v>
      </c>
      <c r="BT792" t="s">
        <v>69</v>
      </c>
      <c r="BU792" t="s">
        <v>69</v>
      </c>
      <c r="BV792" t="s">
        <v>69</v>
      </c>
      <c r="BW792" t="s">
        <v>69</v>
      </c>
      <c r="BX792" t="s">
        <v>8526</v>
      </c>
      <c r="BY792" t="str">
        <f>HYPERLINK("https%3A%2F%2Fwww.webofscience.com%2Fwos%2Fwoscc%2Ffull-record%2FWOS:000266683900005","View Full Record in Web of Science")</f>
        <v>View Full Record in Web of Science</v>
      </c>
    </row>
    <row r="793" spans="1:77" ht="12.5" x14ac:dyDescent="0.25">
      <c r="A793" t="s">
        <v>8495</v>
      </c>
      <c r="B793" s="7" t="s">
        <v>32933</v>
      </c>
      <c r="C793" s="7"/>
      <c r="D793" s="7"/>
      <c r="E793" s="7"/>
      <c r="F793" t="s">
        <v>67</v>
      </c>
      <c r="G793" t="s">
        <v>664</v>
      </c>
      <c r="H793" t="s">
        <v>69</v>
      </c>
      <c r="I793" t="s">
        <v>69</v>
      </c>
      <c r="J793" t="s">
        <v>69</v>
      </c>
      <c r="K793" t="s">
        <v>664</v>
      </c>
      <c r="L793" t="s">
        <v>69</v>
      </c>
      <c r="M793" t="s">
        <v>69</v>
      </c>
      <c r="N793" t="s">
        <v>665</v>
      </c>
      <c r="O793" t="s">
        <v>666</v>
      </c>
      <c r="P793" t="s">
        <v>69</v>
      </c>
      <c r="Q793" t="s">
        <v>69</v>
      </c>
      <c r="R793" t="s">
        <v>8505</v>
      </c>
      <c r="S793" t="s">
        <v>15797</v>
      </c>
      <c r="T793" t="s">
        <v>667</v>
      </c>
      <c r="U793" t="s">
        <v>668</v>
      </c>
      <c r="V793" t="s">
        <v>669</v>
      </c>
      <c r="W793" t="s">
        <v>670</v>
      </c>
      <c r="X793" t="s">
        <v>69</v>
      </c>
      <c r="Y793" t="s">
        <v>32886</v>
      </c>
      <c r="Z793" t="s">
        <v>69</v>
      </c>
      <c r="AA793" t="s">
        <v>671</v>
      </c>
      <c r="AB793" t="s">
        <v>69</v>
      </c>
      <c r="AC793" t="s">
        <v>69</v>
      </c>
      <c r="AD793" t="s">
        <v>32887</v>
      </c>
      <c r="AE793" t="s">
        <v>69</v>
      </c>
      <c r="AF793" t="s">
        <v>69</v>
      </c>
      <c r="AG793" t="s">
        <v>69</v>
      </c>
      <c r="AH793" t="s">
        <v>69</v>
      </c>
      <c r="AI793" t="s">
        <v>69</v>
      </c>
      <c r="AJ793" t="s">
        <v>69</v>
      </c>
      <c r="AK793" t="s">
        <v>69</v>
      </c>
      <c r="AL793">
        <v>0</v>
      </c>
      <c r="AM793">
        <v>2</v>
      </c>
      <c r="AN793">
        <v>2</v>
      </c>
      <c r="AO793">
        <v>0</v>
      </c>
      <c r="AP793">
        <v>0</v>
      </c>
      <c r="AQ793" t="s">
        <v>32888</v>
      </c>
      <c r="AR793" t="s">
        <v>19947</v>
      </c>
      <c r="AS793" t="s">
        <v>32889</v>
      </c>
      <c r="AT793" t="s">
        <v>672</v>
      </c>
      <c r="AU793" t="s">
        <v>69</v>
      </c>
      <c r="AV793" t="s">
        <v>69</v>
      </c>
      <c r="AW793" t="s">
        <v>32890</v>
      </c>
      <c r="AX793" t="s">
        <v>32891</v>
      </c>
      <c r="AY793" t="s">
        <v>69</v>
      </c>
      <c r="AZ793">
        <v>1992</v>
      </c>
      <c r="BA793">
        <v>87</v>
      </c>
      <c r="BB793" t="s">
        <v>69</v>
      </c>
      <c r="BC793" t="s">
        <v>69</v>
      </c>
      <c r="BD793">
        <v>4</v>
      </c>
      <c r="BE793" t="s">
        <v>69</v>
      </c>
      <c r="BF793" t="s">
        <v>69</v>
      </c>
      <c r="BG793">
        <v>45</v>
      </c>
      <c r="BH793">
        <v>53</v>
      </c>
      <c r="BI793" t="s">
        <v>69</v>
      </c>
      <c r="BJ793" t="s">
        <v>673</v>
      </c>
      <c r="BK793" t="str">
        <f>HYPERLINK("http://dx.doi.org/10.1590/S0074-02761992000800006","http://dx.doi.org/10.1590/S0074-02761992000800006")</f>
        <v>http://dx.doi.org/10.1590/S0074-02761992000800006</v>
      </c>
      <c r="BL793" t="s">
        <v>69</v>
      </c>
      <c r="BM793" t="s">
        <v>69</v>
      </c>
      <c r="BN793">
        <v>9</v>
      </c>
      <c r="BO793" t="s">
        <v>32892</v>
      </c>
      <c r="BP793" t="s">
        <v>29550</v>
      </c>
      <c r="BQ793" t="s">
        <v>32892</v>
      </c>
      <c r="BR793" t="s">
        <v>32893</v>
      </c>
      <c r="BS793" t="s">
        <v>674</v>
      </c>
      <c r="BT793">
        <v>1343925</v>
      </c>
      <c r="BU793" t="s">
        <v>10301</v>
      </c>
      <c r="BV793" t="s">
        <v>69</v>
      </c>
      <c r="BW793" t="s">
        <v>69</v>
      </c>
      <c r="BX793" t="s">
        <v>8526</v>
      </c>
      <c r="BY793" t="str">
        <f>HYPERLINK("https%3A%2F%2Fwww.webofscience.com%2Fwos%2Fwoscc%2Ffull-record%2FWOS:A1992LB15000007","View Full Record in Web of Science")</f>
        <v>View Full Record in Web of Science</v>
      </c>
    </row>
    <row r="794" spans="1:77" ht="12.5" x14ac:dyDescent="0.25">
      <c r="A794" t="s">
        <v>8495</v>
      </c>
      <c r="B794" s="7" t="s">
        <v>32933</v>
      </c>
      <c r="C794" s="7"/>
      <c r="D794" s="7"/>
      <c r="E794" s="7"/>
      <c r="F794" t="s">
        <v>67</v>
      </c>
      <c r="G794" t="s">
        <v>7843</v>
      </c>
      <c r="H794" t="s">
        <v>69</v>
      </c>
      <c r="I794" t="s">
        <v>69</v>
      </c>
      <c r="J794" t="s">
        <v>69</v>
      </c>
      <c r="K794" t="s">
        <v>7844</v>
      </c>
      <c r="L794" t="s">
        <v>69</v>
      </c>
      <c r="M794" t="s">
        <v>69</v>
      </c>
      <c r="N794" t="s">
        <v>7845</v>
      </c>
      <c r="O794" t="s">
        <v>7846</v>
      </c>
      <c r="P794" t="s">
        <v>69</v>
      </c>
      <c r="Q794" t="s">
        <v>69</v>
      </c>
      <c r="R794" t="s">
        <v>8505</v>
      </c>
      <c r="S794" t="s">
        <v>8506</v>
      </c>
      <c r="T794" t="s">
        <v>69</v>
      </c>
      <c r="U794" t="s">
        <v>69</v>
      </c>
      <c r="V794" t="s">
        <v>69</v>
      </c>
      <c r="W794" t="s">
        <v>69</v>
      </c>
      <c r="X794" t="s">
        <v>69</v>
      </c>
      <c r="Y794" t="s">
        <v>29022</v>
      </c>
      <c r="Z794" t="s">
        <v>29023</v>
      </c>
      <c r="AA794" t="s">
        <v>7847</v>
      </c>
      <c r="AB794" t="s">
        <v>29024</v>
      </c>
      <c r="AC794" t="s">
        <v>69</v>
      </c>
      <c r="AD794" t="s">
        <v>29025</v>
      </c>
      <c r="AE794" t="s">
        <v>29026</v>
      </c>
      <c r="AF794" t="s">
        <v>7848</v>
      </c>
      <c r="AG794" t="s">
        <v>7849</v>
      </c>
      <c r="AH794" t="s">
        <v>69</v>
      </c>
      <c r="AI794" t="s">
        <v>69</v>
      </c>
      <c r="AJ794" t="s">
        <v>69</v>
      </c>
      <c r="AK794" t="s">
        <v>69</v>
      </c>
      <c r="AL794">
        <v>70</v>
      </c>
      <c r="AM794">
        <v>20</v>
      </c>
      <c r="AN794">
        <v>22</v>
      </c>
      <c r="AO794">
        <v>0</v>
      </c>
      <c r="AP794">
        <v>40</v>
      </c>
      <c r="AQ794" t="s">
        <v>8516</v>
      </c>
      <c r="AR794" t="s">
        <v>8517</v>
      </c>
      <c r="AS794" t="s">
        <v>8518</v>
      </c>
      <c r="AT794" t="s">
        <v>7850</v>
      </c>
      <c r="AU794" t="s">
        <v>7851</v>
      </c>
      <c r="AV794" t="s">
        <v>69</v>
      </c>
      <c r="AW794" t="s">
        <v>17536</v>
      </c>
      <c r="AX794" t="s">
        <v>17537</v>
      </c>
      <c r="AY794" t="s">
        <v>6976</v>
      </c>
      <c r="AZ794">
        <v>2008</v>
      </c>
      <c r="BA794">
        <v>256</v>
      </c>
      <c r="BB794">
        <v>10</v>
      </c>
      <c r="BC794" t="s">
        <v>69</v>
      </c>
      <c r="BD794" t="s">
        <v>69</v>
      </c>
      <c r="BE794" t="s">
        <v>114</v>
      </c>
      <c r="BF794" t="s">
        <v>69</v>
      </c>
      <c r="BG794">
        <v>1636</v>
      </c>
      <c r="BH794">
        <v>1645</v>
      </c>
      <c r="BI794" t="s">
        <v>69</v>
      </c>
      <c r="BJ794" t="s">
        <v>7852</v>
      </c>
      <c r="BK794" t="str">
        <f>HYPERLINK("http://dx.doi.org/10.1016/j.foreco.2008.07.024","http://dx.doi.org/10.1016/j.foreco.2008.07.024")</f>
        <v>http://dx.doi.org/10.1016/j.foreco.2008.07.024</v>
      </c>
      <c r="BL794" t="s">
        <v>69</v>
      </c>
      <c r="BM794" t="s">
        <v>69</v>
      </c>
      <c r="BN794">
        <v>10</v>
      </c>
      <c r="BO794" t="s">
        <v>8453</v>
      </c>
      <c r="BP794" t="s">
        <v>8548</v>
      </c>
      <c r="BQ794" t="s">
        <v>8453</v>
      </c>
      <c r="BR794" t="s">
        <v>29027</v>
      </c>
      <c r="BS794" t="s">
        <v>7853</v>
      </c>
      <c r="BT794" t="s">
        <v>69</v>
      </c>
      <c r="BU794" t="s">
        <v>69</v>
      </c>
      <c r="BV794" t="s">
        <v>69</v>
      </c>
      <c r="BW794" t="s">
        <v>69</v>
      </c>
      <c r="BX794" t="s">
        <v>8526</v>
      </c>
      <c r="BY794" t="str">
        <f>HYPERLINK("https%3A%2F%2Fwww.webofscience.com%2Fwos%2Fwoscc%2Ffull-record%2FWOS:000261118900002","View Full Record in Web of Science")</f>
        <v>View Full Record in Web of Science</v>
      </c>
    </row>
    <row r="795" spans="1:77" x14ac:dyDescent="0.3">
      <c r="A795" t="s">
        <v>8495</v>
      </c>
      <c r="B795" s="9" t="s">
        <v>32972</v>
      </c>
      <c r="C795" s="9" t="s">
        <v>33061</v>
      </c>
      <c r="E795" s="9" t="s">
        <v>8490</v>
      </c>
      <c r="F795" t="s">
        <v>67</v>
      </c>
      <c r="G795" t="s">
        <v>32357</v>
      </c>
      <c r="H795" t="s">
        <v>69</v>
      </c>
      <c r="I795" t="s">
        <v>69</v>
      </c>
      <c r="J795" t="s">
        <v>69</v>
      </c>
      <c r="K795" t="s">
        <v>32357</v>
      </c>
      <c r="L795" t="s">
        <v>69</v>
      </c>
      <c r="M795" t="s">
        <v>69</v>
      </c>
      <c r="N795" t="s">
        <v>32358</v>
      </c>
      <c r="O795" t="s">
        <v>31165</v>
      </c>
      <c r="P795" t="s">
        <v>69</v>
      </c>
      <c r="Q795" t="s">
        <v>69</v>
      </c>
      <c r="R795" t="s">
        <v>8505</v>
      </c>
      <c r="S795" t="s">
        <v>15797</v>
      </c>
      <c r="T795" t="s">
        <v>32359</v>
      </c>
      <c r="U795" t="s">
        <v>32360</v>
      </c>
      <c r="V795" t="s">
        <v>32361</v>
      </c>
      <c r="W795" t="s">
        <v>69</v>
      </c>
      <c r="X795" t="s">
        <v>69</v>
      </c>
      <c r="Y795" t="s">
        <v>69</v>
      </c>
      <c r="Z795" t="s">
        <v>69</v>
      </c>
      <c r="AA795" t="s">
        <v>32362</v>
      </c>
      <c r="AB795" t="s">
        <v>69</v>
      </c>
      <c r="AC795" t="s">
        <v>69</v>
      </c>
      <c r="AD795" t="s">
        <v>32363</v>
      </c>
      <c r="AE795" t="s">
        <v>69</v>
      </c>
      <c r="AF795" t="s">
        <v>69</v>
      </c>
      <c r="AG795" t="s">
        <v>69</v>
      </c>
      <c r="AH795" t="s">
        <v>69</v>
      </c>
      <c r="AI795" t="s">
        <v>69</v>
      </c>
      <c r="AJ795" t="s">
        <v>69</v>
      </c>
      <c r="AK795" t="s">
        <v>69</v>
      </c>
      <c r="AL795">
        <v>17</v>
      </c>
      <c r="AM795">
        <v>2</v>
      </c>
      <c r="AN795">
        <v>2</v>
      </c>
      <c r="AO795">
        <v>0</v>
      </c>
      <c r="AP795">
        <v>4</v>
      </c>
      <c r="AQ795" t="s">
        <v>17140</v>
      </c>
      <c r="AR795" t="s">
        <v>8517</v>
      </c>
      <c r="AS795" t="s">
        <v>17141</v>
      </c>
      <c r="AT795" t="s">
        <v>31169</v>
      </c>
      <c r="AU795" t="s">
        <v>69</v>
      </c>
      <c r="AV795" t="s">
        <v>69</v>
      </c>
      <c r="AW795" t="s">
        <v>31170</v>
      </c>
      <c r="AX795" t="s">
        <v>31171</v>
      </c>
      <c r="AY795" t="s">
        <v>32364</v>
      </c>
      <c r="AZ795">
        <v>1996</v>
      </c>
      <c r="BA795">
        <v>45</v>
      </c>
      <c r="BB795" t="s">
        <v>1812</v>
      </c>
      <c r="BC795" t="s">
        <v>69</v>
      </c>
      <c r="BD795" t="s">
        <v>69</v>
      </c>
      <c r="BE795" t="s">
        <v>69</v>
      </c>
      <c r="BF795" t="s">
        <v>69</v>
      </c>
      <c r="BG795">
        <v>15</v>
      </c>
      <c r="BH795">
        <v>36</v>
      </c>
      <c r="BI795" t="s">
        <v>69</v>
      </c>
      <c r="BJ795" t="s">
        <v>32365</v>
      </c>
      <c r="BK795" t="str">
        <f>HYPERLINK("http://dx.doi.org/10.1016/S0013-7952(97)81955-2","http://dx.doi.org/10.1016/S0013-7952(97)81955-2")</f>
        <v>http://dx.doi.org/10.1016/S0013-7952(97)81955-2</v>
      </c>
      <c r="BL795" t="s">
        <v>69</v>
      </c>
      <c r="BM795" t="s">
        <v>69</v>
      </c>
      <c r="BN795">
        <v>22</v>
      </c>
      <c r="BO795" t="s">
        <v>31173</v>
      </c>
      <c r="BP795" t="s">
        <v>29550</v>
      </c>
      <c r="BQ795" t="s">
        <v>29172</v>
      </c>
      <c r="BR795" t="s">
        <v>32366</v>
      </c>
      <c r="BS795" t="s">
        <v>32367</v>
      </c>
      <c r="BT795" t="s">
        <v>69</v>
      </c>
      <c r="BU795" t="s">
        <v>69</v>
      </c>
      <c r="BV795" t="s">
        <v>69</v>
      </c>
      <c r="BW795" t="s">
        <v>69</v>
      </c>
      <c r="BX795" t="s">
        <v>8526</v>
      </c>
      <c r="BY795" t="str">
        <f>HYPERLINK("https%3A%2F%2Fwww.webofscience.com%2Fwos%2Fwoscc%2Ffull-record%2FWOS:A1996WE89100002","View Full Record in Web of Science")</f>
        <v>View Full Record in Web of Science</v>
      </c>
    </row>
    <row r="796" spans="1:77" x14ac:dyDescent="0.3">
      <c r="A796" t="s">
        <v>8495</v>
      </c>
      <c r="B796" s="9" t="s">
        <v>32954</v>
      </c>
      <c r="C796" s="9" t="s">
        <v>33060</v>
      </c>
      <c r="E796" s="9" t="s">
        <v>8490</v>
      </c>
      <c r="F796" t="s">
        <v>67</v>
      </c>
      <c r="G796" t="s">
        <v>6491</v>
      </c>
      <c r="H796" t="s">
        <v>69</v>
      </c>
      <c r="I796" t="s">
        <v>69</v>
      </c>
      <c r="J796" t="s">
        <v>69</v>
      </c>
      <c r="K796" t="s">
        <v>6492</v>
      </c>
      <c r="L796" t="s">
        <v>69</v>
      </c>
      <c r="M796" t="s">
        <v>69</v>
      </c>
      <c r="N796" t="s">
        <v>22908</v>
      </c>
      <c r="O796" t="s">
        <v>22909</v>
      </c>
      <c r="P796" t="s">
        <v>69</v>
      </c>
      <c r="Q796" t="s">
        <v>69</v>
      </c>
      <c r="R796" t="s">
        <v>8505</v>
      </c>
      <c r="S796" t="s">
        <v>8506</v>
      </c>
      <c r="T796" t="s">
        <v>69</v>
      </c>
      <c r="U796" t="s">
        <v>69</v>
      </c>
      <c r="V796" t="s">
        <v>69</v>
      </c>
      <c r="W796" t="s">
        <v>69</v>
      </c>
      <c r="X796" t="s">
        <v>69</v>
      </c>
      <c r="Y796" t="s">
        <v>22910</v>
      </c>
      <c r="Z796" t="s">
        <v>22911</v>
      </c>
      <c r="AA796" t="s">
        <v>22912</v>
      </c>
      <c r="AB796" t="s">
        <v>22913</v>
      </c>
      <c r="AC796" t="s">
        <v>69</v>
      </c>
      <c r="AD796" t="s">
        <v>22914</v>
      </c>
      <c r="AE796" t="s">
        <v>22915</v>
      </c>
      <c r="AF796" t="s">
        <v>69</v>
      </c>
      <c r="AG796" t="s">
        <v>69</v>
      </c>
      <c r="AH796" t="s">
        <v>69</v>
      </c>
      <c r="AI796" t="s">
        <v>69</v>
      </c>
      <c r="AJ796" t="s">
        <v>69</v>
      </c>
      <c r="AK796" t="s">
        <v>69</v>
      </c>
      <c r="AL796">
        <v>94</v>
      </c>
      <c r="AM796">
        <v>11</v>
      </c>
      <c r="AN796">
        <v>11</v>
      </c>
      <c r="AO796">
        <v>0</v>
      </c>
      <c r="AP796">
        <v>5</v>
      </c>
      <c r="AQ796" t="s">
        <v>9554</v>
      </c>
      <c r="AR796" t="s">
        <v>9555</v>
      </c>
      <c r="AS796" t="s">
        <v>9556</v>
      </c>
      <c r="AT796" t="s">
        <v>22916</v>
      </c>
      <c r="AU796" t="s">
        <v>22917</v>
      </c>
      <c r="AV796" t="s">
        <v>69</v>
      </c>
      <c r="AW796" t="s">
        <v>22918</v>
      </c>
      <c r="AX796" t="s">
        <v>22919</v>
      </c>
      <c r="AY796" t="s">
        <v>191</v>
      </c>
      <c r="AZ796">
        <v>2015</v>
      </c>
      <c r="BA796">
        <v>25</v>
      </c>
      <c r="BB796">
        <v>4</v>
      </c>
      <c r="BC796" t="s">
        <v>69</v>
      </c>
      <c r="BD796" t="s">
        <v>69</v>
      </c>
      <c r="BE796" t="s">
        <v>114</v>
      </c>
      <c r="BF796" t="s">
        <v>69</v>
      </c>
      <c r="BG796">
        <v>480</v>
      </c>
      <c r="BH796">
        <v>512</v>
      </c>
      <c r="BI796" t="s">
        <v>69</v>
      </c>
      <c r="BJ796" t="s">
        <v>22920</v>
      </c>
      <c r="BK796" t="str">
        <f>HYPERLINK("http://dx.doi.org/10.1177/1048291115615074","http://dx.doi.org/10.1177/1048291115615074")</f>
        <v>http://dx.doi.org/10.1177/1048291115615074</v>
      </c>
      <c r="BL796" t="s">
        <v>69</v>
      </c>
      <c r="BM796" t="s">
        <v>69</v>
      </c>
      <c r="BN796">
        <v>33</v>
      </c>
      <c r="BO796" t="s">
        <v>8810</v>
      </c>
      <c r="BP796" t="s">
        <v>8573</v>
      </c>
      <c r="BQ796" t="s">
        <v>8810</v>
      </c>
      <c r="BR796" t="s">
        <v>22921</v>
      </c>
      <c r="BS796" t="s">
        <v>22922</v>
      </c>
      <c r="BT796">
        <v>26531123</v>
      </c>
      <c r="BU796" t="s">
        <v>10648</v>
      </c>
      <c r="BV796" t="s">
        <v>69</v>
      </c>
      <c r="BW796" t="s">
        <v>69</v>
      </c>
      <c r="BX796" t="s">
        <v>8526</v>
      </c>
      <c r="BY796" t="str">
        <f>HYPERLINK("https%3A%2F%2Fwww.webofscience.com%2Fwos%2Fwoscc%2Ffull-record%2FWOS:000439921100007","View Full Record in Web of Science")</f>
        <v>View Full Record in Web of Science</v>
      </c>
    </row>
    <row r="797" spans="1:77" ht="12.5" x14ac:dyDescent="0.25">
      <c r="A797" t="s">
        <v>8495</v>
      </c>
      <c r="B797" s="22" t="s">
        <v>32931</v>
      </c>
      <c r="C797" s="7"/>
      <c r="D797" s="7"/>
      <c r="E797" s="7"/>
      <c r="F797" t="s">
        <v>67</v>
      </c>
      <c r="G797" t="s">
        <v>12933</v>
      </c>
      <c r="H797" t="s">
        <v>69</v>
      </c>
      <c r="I797" t="s">
        <v>69</v>
      </c>
      <c r="J797" t="s">
        <v>69</v>
      </c>
      <c r="K797" t="s">
        <v>12934</v>
      </c>
      <c r="L797" t="s">
        <v>69</v>
      </c>
      <c r="M797" t="s">
        <v>69</v>
      </c>
      <c r="N797" t="s">
        <v>12935</v>
      </c>
      <c r="O797" t="s">
        <v>12936</v>
      </c>
      <c r="P797" t="s">
        <v>69</v>
      </c>
      <c r="Q797" t="s">
        <v>69</v>
      </c>
      <c r="R797" t="s">
        <v>12937</v>
      </c>
      <c r="S797" t="s">
        <v>8506</v>
      </c>
      <c r="T797" t="s">
        <v>69</v>
      </c>
      <c r="U797" t="s">
        <v>69</v>
      </c>
      <c r="V797" t="s">
        <v>69</v>
      </c>
      <c r="W797" t="s">
        <v>69</v>
      </c>
      <c r="X797" t="s">
        <v>69</v>
      </c>
      <c r="Y797" t="s">
        <v>12938</v>
      </c>
      <c r="Z797" t="s">
        <v>69</v>
      </c>
      <c r="AA797" t="s">
        <v>12939</v>
      </c>
      <c r="AB797" t="s">
        <v>12940</v>
      </c>
      <c r="AC797" t="s">
        <v>69</v>
      </c>
      <c r="AD797" t="s">
        <v>12941</v>
      </c>
      <c r="AE797" t="s">
        <v>12942</v>
      </c>
      <c r="AF797" t="s">
        <v>69</v>
      </c>
      <c r="AG797" t="s">
        <v>69</v>
      </c>
      <c r="AH797" t="s">
        <v>69</v>
      </c>
      <c r="AI797" t="s">
        <v>69</v>
      </c>
      <c r="AJ797" t="s">
        <v>69</v>
      </c>
      <c r="AK797" t="s">
        <v>69</v>
      </c>
      <c r="AL797">
        <v>20</v>
      </c>
      <c r="AM797">
        <v>1</v>
      </c>
      <c r="AN797">
        <v>1</v>
      </c>
      <c r="AO797">
        <v>0</v>
      </c>
      <c r="AP797">
        <v>2</v>
      </c>
      <c r="AQ797" t="s">
        <v>12943</v>
      </c>
      <c r="AR797" t="s">
        <v>10968</v>
      </c>
      <c r="AS797" t="s">
        <v>12944</v>
      </c>
      <c r="AT797" t="s">
        <v>12945</v>
      </c>
      <c r="AU797" t="s">
        <v>12946</v>
      </c>
      <c r="AV797" t="s">
        <v>69</v>
      </c>
      <c r="AW797" t="s">
        <v>12947</v>
      </c>
      <c r="AX797" t="s">
        <v>12948</v>
      </c>
      <c r="AY797" t="s">
        <v>94</v>
      </c>
      <c r="AZ797">
        <v>2021</v>
      </c>
      <c r="BA797">
        <v>64</v>
      </c>
      <c r="BB797">
        <v>3</v>
      </c>
      <c r="BC797" t="s">
        <v>69</v>
      </c>
      <c r="BD797" t="s">
        <v>69</v>
      </c>
      <c r="BE797" t="s">
        <v>69</v>
      </c>
      <c r="BF797" t="s">
        <v>69</v>
      </c>
      <c r="BG797">
        <v>172</v>
      </c>
      <c r="BH797">
        <v>176</v>
      </c>
      <c r="BI797" t="s">
        <v>69</v>
      </c>
      <c r="BJ797" t="s">
        <v>12949</v>
      </c>
      <c r="BK797" t="str">
        <f>HYPERLINK("http://dx.doi.org/10.5124/jkma.2021.64.3.172","http://dx.doi.org/10.5124/jkma.2021.64.3.172")</f>
        <v>http://dx.doi.org/10.5124/jkma.2021.64.3.172</v>
      </c>
      <c r="BL797" t="s">
        <v>69</v>
      </c>
      <c r="BM797" t="s">
        <v>69</v>
      </c>
      <c r="BN797">
        <v>5</v>
      </c>
      <c r="BO797" t="s">
        <v>9450</v>
      </c>
      <c r="BP797" t="s">
        <v>8573</v>
      </c>
      <c r="BQ797" t="s">
        <v>9451</v>
      </c>
      <c r="BR797" t="s">
        <v>12950</v>
      </c>
      <c r="BS797" t="s">
        <v>12951</v>
      </c>
      <c r="BT797" t="s">
        <v>69</v>
      </c>
      <c r="BU797" t="s">
        <v>8931</v>
      </c>
      <c r="BV797" t="s">
        <v>69</v>
      </c>
      <c r="BW797" t="s">
        <v>69</v>
      </c>
      <c r="BX797" t="s">
        <v>8526</v>
      </c>
      <c r="BY797" t="str">
        <f>HYPERLINK("https%3A%2F%2Fwww.webofscience.com%2Fwos%2Fwoscc%2Ffull-record%2FWOS:000631379100001","View Full Record in Web of Science")</f>
        <v>View Full Record in Web of Science</v>
      </c>
    </row>
    <row r="798" spans="1:77" ht="12.5" x14ac:dyDescent="0.25">
      <c r="A798" t="s">
        <v>8495</v>
      </c>
      <c r="B798" s="22" t="s">
        <v>32931</v>
      </c>
      <c r="C798" s="7"/>
      <c r="D798" s="7"/>
      <c r="E798" s="7"/>
      <c r="F798" t="s">
        <v>67</v>
      </c>
      <c r="G798" t="s">
        <v>23543</v>
      </c>
      <c r="H798" t="s">
        <v>69</v>
      </c>
      <c r="I798" t="s">
        <v>69</v>
      </c>
      <c r="J798" t="s">
        <v>69</v>
      </c>
      <c r="K798" t="s">
        <v>23544</v>
      </c>
      <c r="L798" t="s">
        <v>69</v>
      </c>
      <c r="M798" t="s">
        <v>23545</v>
      </c>
      <c r="N798" t="s">
        <v>23546</v>
      </c>
      <c r="O798" t="s">
        <v>23547</v>
      </c>
      <c r="P798" t="s">
        <v>69</v>
      </c>
      <c r="Q798" t="s">
        <v>69</v>
      </c>
      <c r="R798" t="s">
        <v>8505</v>
      </c>
      <c r="S798" t="s">
        <v>8506</v>
      </c>
      <c r="T798" t="s">
        <v>69</v>
      </c>
      <c r="U798" t="s">
        <v>69</v>
      </c>
      <c r="V798" t="s">
        <v>69</v>
      </c>
      <c r="W798" t="s">
        <v>69</v>
      </c>
      <c r="X798" t="s">
        <v>69</v>
      </c>
      <c r="Y798" t="s">
        <v>23548</v>
      </c>
      <c r="Z798" t="s">
        <v>23549</v>
      </c>
      <c r="AA798" t="s">
        <v>23550</v>
      </c>
      <c r="AB798" t="s">
        <v>23551</v>
      </c>
      <c r="AC798" t="s">
        <v>69</v>
      </c>
      <c r="AD798" t="s">
        <v>23552</v>
      </c>
      <c r="AE798" t="s">
        <v>23553</v>
      </c>
      <c r="AF798" t="s">
        <v>69</v>
      </c>
      <c r="AG798" t="s">
        <v>69</v>
      </c>
      <c r="AH798" t="s">
        <v>69</v>
      </c>
      <c r="AI798" t="s">
        <v>69</v>
      </c>
      <c r="AJ798" t="s">
        <v>69</v>
      </c>
      <c r="AK798" t="s">
        <v>69</v>
      </c>
      <c r="AL798">
        <v>73</v>
      </c>
      <c r="AM798">
        <v>59</v>
      </c>
      <c r="AN798">
        <v>59</v>
      </c>
      <c r="AO798">
        <v>0</v>
      </c>
      <c r="AP798">
        <v>13</v>
      </c>
      <c r="AQ798" t="s">
        <v>23554</v>
      </c>
      <c r="AR798" t="s">
        <v>23555</v>
      </c>
      <c r="AS798" t="s">
        <v>23556</v>
      </c>
      <c r="AT798" t="s">
        <v>23557</v>
      </c>
      <c r="AU798" t="s">
        <v>23558</v>
      </c>
      <c r="AV798" t="s">
        <v>69</v>
      </c>
      <c r="AW798" t="s">
        <v>23559</v>
      </c>
      <c r="AX798" t="s">
        <v>23560</v>
      </c>
      <c r="AY798" t="s">
        <v>381</v>
      </c>
      <c r="AZ798">
        <v>2014</v>
      </c>
      <c r="BA798">
        <v>12</v>
      </c>
      <c r="BB798" t="s">
        <v>69</v>
      </c>
      <c r="BC798" t="s">
        <v>69</v>
      </c>
      <c r="BD798">
        <v>1</v>
      </c>
      <c r="BE798" t="s">
        <v>69</v>
      </c>
      <c r="BF798" t="s">
        <v>69</v>
      </c>
      <c r="BG798" t="s">
        <v>23561</v>
      </c>
      <c r="BH798" t="s">
        <v>23562</v>
      </c>
      <c r="BI798" t="s">
        <v>69</v>
      </c>
      <c r="BJ798" t="s">
        <v>23563</v>
      </c>
      <c r="BK798" t="str">
        <f>HYPERLINK("http://dx.doi.org/10.1370/afm.1699","http://dx.doi.org/10.1370/afm.1699")</f>
        <v>http://dx.doi.org/10.1370/afm.1699</v>
      </c>
      <c r="BL798" t="s">
        <v>69</v>
      </c>
      <c r="BM798" t="s">
        <v>69</v>
      </c>
      <c r="BN798">
        <v>12</v>
      </c>
      <c r="BO798" t="s">
        <v>14051</v>
      </c>
      <c r="BP798" t="s">
        <v>8523</v>
      </c>
      <c r="BQ798" t="s">
        <v>9451</v>
      </c>
      <c r="BR798" t="s">
        <v>23564</v>
      </c>
      <c r="BS798" t="s">
        <v>23565</v>
      </c>
      <c r="BT798">
        <v>25352575</v>
      </c>
      <c r="BU798" t="s">
        <v>8812</v>
      </c>
      <c r="BV798" t="s">
        <v>69</v>
      </c>
      <c r="BW798" t="s">
        <v>69</v>
      </c>
      <c r="BX798" t="s">
        <v>8526</v>
      </c>
      <c r="BY798" t="str">
        <f>HYPERLINK("https%3A%2F%2Fwww.webofscience.com%2Fwos%2Fwoscc%2Ffull-record%2FWOS:000364832600001","View Full Record in Web of Science")</f>
        <v>View Full Record in Web of Science</v>
      </c>
    </row>
    <row r="799" spans="1:77" ht="12.5" x14ac:dyDescent="0.25">
      <c r="A799" t="s">
        <v>8495</v>
      </c>
      <c r="B799" s="7" t="s">
        <v>32933</v>
      </c>
      <c r="C799" s="7"/>
      <c r="D799" s="7"/>
      <c r="E799" s="7"/>
      <c r="F799" t="s">
        <v>67</v>
      </c>
      <c r="G799" t="s">
        <v>6498</v>
      </c>
      <c r="H799" t="s">
        <v>69</v>
      </c>
      <c r="I799" t="s">
        <v>69</v>
      </c>
      <c r="J799" t="s">
        <v>69</v>
      </c>
      <c r="K799" t="s">
        <v>6499</v>
      </c>
      <c r="L799" t="s">
        <v>69</v>
      </c>
      <c r="M799" t="s">
        <v>69</v>
      </c>
      <c r="N799" t="s">
        <v>6500</v>
      </c>
      <c r="O799" t="s">
        <v>6501</v>
      </c>
      <c r="P799" t="s">
        <v>69</v>
      </c>
      <c r="Q799" t="s">
        <v>69</v>
      </c>
      <c r="R799" t="s">
        <v>8505</v>
      </c>
      <c r="S799" t="s">
        <v>8506</v>
      </c>
      <c r="T799" t="s">
        <v>69</v>
      </c>
      <c r="U799" t="s">
        <v>69</v>
      </c>
      <c r="V799" t="s">
        <v>69</v>
      </c>
      <c r="W799" t="s">
        <v>69</v>
      </c>
      <c r="X799" t="s">
        <v>69</v>
      </c>
      <c r="Y799" t="s">
        <v>25880</v>
      </c>
      <c r="Z799" t="s">
        <v>25881</v>
      </c>
      <c r="AA799" t="s">
        <v>6502</v>
      </c>
      <c r="AB799" t="s">
        <v>25882</v>
      </c>
      <c r="AC799" t="s">
        <v>69</v>
      </c>
      <c r="AD799" t="s">
        <v>25883</v>
      </c>
      <c r="AE799" t="s">
        <v>25884</v>
      </c>
      <c r="AF799" t="s">
        <v>25885</v>
      </c>
      <c r="AG799" t="s">
        <v>25886</v>
      </c>
      <c r="AH799" t="s">
        <v>69</v>
      </c>
      <c r="AI799" t="s">
        <v>69</v>
      </c>
      <c r="AJ799" t="s">
        <v>69</v>
      </c>
      <c r="AK799" t="s">
        <v>69</v>
      </c>
      <c r="AL799">
        <v>31</v>
      </c>
      <c r="AM799">
        <v>25</v>
      </c>
      <c r="AN799">
        <v>26</v>
      </c>
      <c r="AO799">
        <v>2</v>
      </c>
      <c r="AP799">
        <v>61</v>
      </c>
      <c r="AQ799" t="s">
        <v>18749</v>
      </c>
      <c r="AR799" t="s">
        <v>8763</v>
      </c>
      <c r="AS799" t="s">
        <v>18750</v>
      </c>
      <c r="AT799" t="s">
        <v>6503</v>
      </c>
      <c r="AU799" t="s">
        <v>69</v>
      </c>
      <c r="AV799" t="s">
        <v>69</v>
      </c>
      <c r="AW799" t="s">
        <v>25887</v>
      </c>
      <c r="AX799" t="s">
        <v>25888</v>
      </c>
      <c r="AY799" t="s">
        <v>6504</v>
      </c>
      <c r="AZ799">
        <v>2012</v>
      </c>
      <c r="BA799">
        <v>12</v>
      </c>
      <c r="BB799" t="s">
        <v>69</v>
      </c>
      <c r="BC799" t="s">
        <v>69</v>
      </c>
      <c r="BD799" t="s">
        <v>69</v>
      </c>
      <c r="BE799" t="s">
        <v>69</v>
      </c>
      <c r="BF799" t="s">
        <v>69</v>
      </c>
      <c r="BG799" t="s">
        <v>69</v>
      </c>
      <c r="BH799" t="s">
        <v>69</v>
      </c>
      <c r="BI799">
        <v>102</v>
      </c>
      <c r="BJ799" t="s">
        <v>6505</v>
      </c>
      <c r="BK799" t="str">
        <f>HYPERLINK("http://dx.doi.org/10.1186/1471-2431-12-102","http://dx.doi.org/10.1186/1471-2431-12-102")</f>
        <v>http://dx.doi.org/10.1186/1471-2431-12-102</v>
      </c>
      <c r="BL799" t="s">
        <v>69</v>
      </c>
      <c r="BM799" t="s">
        <v>69</v>
      </c>
      <c r="BN799">
        <v>10</v>
      </c>
      <c r="BO799" t="s">
        <v>12687</v>
      </c>
      <c r="BP799" t="s">
        <v>8523</v>
      </c>
      <c r="BQ799" t="s">
        <v>12687</v>
      </c>
      <c r="BR799" t="s">
        <v>25889</v>
      </c>
      <c r="BS799" t="s">
        <v>6506</v>
      </c>
      <c r="BT799">
        <v>22809332</v>
      </c>
      <c r="BU799" t="s">
        <v>8812</v>
      </c>
      <c r="BV799" t="s">
        <v>69</v>
      </c>
      <c r="BW799" t="s">
        <v>69</v>
      </c>
      <c r="BX799" t="s">
        <v>8526</v>
      </c>
      <c r="BY799" t="str">
        <f>HYPERLINK("https%3A%2F%2Fwww.webofscience.com%2Fwos%2Fwoscc%2Ffull-record%2FWOS:000308253600001","View Full Record in Web of Science")</f>
        <v>View Full Record in Web of Science</v>
      </c>
    </row>
    <row r="800" spans="1:77" ht="12.5" x14ac:dyDescent="0.25">
      <c r="A800" t="s">
        <v>8495</v>
      </c>
      <c r="B800" s="7" t="s">
        <v>32933</v>
      </c>
      <c r="C800" s="7"/>
      <c r="D800" s="7"/>
      <c r="E800" s="7"/>
      <c r="F800" t="s">
        <v>67</v>
      </c>
      <c r="G800" t="s">
        <v>2382</v>
      </c>
      <c r="H800" t="s">
        <v>69</v>
      </c>
      <c r="I800" t="s">
        <v>69</v>
      </c>
      <c r="J800" t="s">
        <v>69</v>
      </c>
      <c r="K800" t="s">
        <v>2383</v>
      </c>
      <c r="L800" t="s">
        <v>69</v>
      </c>
      <c r="M800" t="s">
        <v>69</v>
      </c>
      <c r="N800" t="s">
        <v>2384</v>
      </c>
      <c r="O800" t="s">
        <v>1405</v>
      </c>
      <c r="P800" t="s">
        <v>69</v>
      </c>
      <c r="Q800" t="s">
        <v>69</v>
      </c>
      <c r="R800" t="s">
        <v>8505</v>
      </c>
      <c r="S800" t="s">
        <v>8506</v>
      </c>
      <c r="T800" t="s">
        <v>69</v>
      </c>
      <c r="U800" t="s">
        <v>69</v>
      </c>
      <c r="V800" t="s">
        <v>69</v>
      </c>
      <c r="W800" t="s">
        <v>69</v>
      </c>
      <c r="X800" t="s">
        <v>69</v>
      </c>
      <c r="Y800" t="s">
        <v>18433</v>
      </c>
      <c r="Z800" t="s">
        <v>18434</v>
      </c>
      <c r="AA800" t="s">
        <v>2385</v>
      </c>
      <c r="AB800" t="s">
        <v>18435</v>
      </c>
      <c r="AC800" t="s">
        <v>69</v>
      </c>
      <c r="AD800" t="s">
        <v>18436</v>
      </c>
      <c r="AE800" t="s">
        <v>18437</v>
      </c>
      <c r="AF800" t="s">
        <v>2386</v>
      </c>
      <c r="AG800" t="s">
        <v>2387</v>
      </c>
      <c r="AH800" t="s">
        <v>18438</v>
      </c>
      <c r="AI800" t="s">
        <v>18439</v>
      </c>
      <c r="AJ800" t="s">
        <v>18440</v>
      </c>
      <c r="AK800" t="s">
        <v>69</v>
      </c>
      <c r="AL800">
        <v>62</v>
      </c>
      <c r="AM800">
        <v>12</v>
      </c>
      <c r="AN800">
        <v>12</v>
      </c>
      <c r="AO800">
        <v>4</v>
      </c>
      <c r="AP800">
        <v>15</v>
      </c>
      <c r="AQ800" t="s">
        <v>8636</v>
      </c>
      <c r="AR800" t="s">
        <v>8637</v>
      </c>
      <c r="AS800" t="s">
        <v>8638</v>
      </c>
      <c r="AT800" t="s">
        <v>1407</v>
      </c>
      <c r="AU800" t="s">
        <v>1408</v>
      </c>
      <c r="AV800" t="s">
        <v>69</v>
      </c>
      <c r="AW800" t="s">
        <v>14240</v>
      </c>
      <c r="AX800" t="s">
        <v>8486</v>
      </c>
      <c r="AY800" t="s">
        <v>255</v>
      </c>
      <c r="AZ800">
        <v>2018</v>
      </c>
      <c r="BA800">
        <v>120</v>
      </c>
      <c r="BB800" t="s">
        <v>69</v>
      </c>
      <c r="BC800" t="s">
        <v>69</v>
      </c>
      <c r="BD800" t="s">
        <v>69</v>
      </c>
      <c r="BE800" t="s">
        <v>69</v>
      </c>
      <c r="BF800" t="s">
        <v>69</v>
      </c>
      <c r="BG800">
        <v>183</v>
      </c>
      <c r="BH800">
        <v>196</v>
      </c>
      <c r="BI800" t="s">
        <v>69</v>
      </c>
      <c r="BJ800" t="s">
        <v>2388</v>
      </c>
      <c r="BK800" t="str">
        <f>HYPERLINK("http://dx.doi.org/10.1016/j.enpol.2018.05.036","http://dx.doi.org/10.1016/j.enpol.2018.05.036")</f>
        <v>http://dx.doi.org/10.1016/j.enpol.2018.05.036</v>
      </c>
      <c r="BL800" t="s">
        <v>69</v>
      </c>
      <c r="BM800" t="s">
        <v>69</v>
      </c>
      <c r="BN800">
        <v>14</v>
      </c>
      <c r="BO800" t="s">
        <v>14242</v>
      </c>
      <c r="BP800" t="s">
        <v>8523</v>
      </c>
      <c r="BQ800" t="s">
        <v>14243</v>
      </c>
      <c r="BR800" t="s">
        <v>18441</v>
      </c>
      <c r="BS800" t="s">
        <v>2389</v>
      </c>
      <c r="BT800" t="s">
        <v>69</v>
      </c>
      <c r="BU800" t="s">
        <v>18442</v>
      </c>
      <c r="BV800" t="s">
        <v>69</v>
      </c>
      <c r="BW800" t="s">
        <v>69</v>
      </c>
      <c r="BX800" t="s">
        <v>8526</v>
      </c>
      <c r="BY800" t="str">
        <f>HYPERLINK("https%3A%2F%2Fwww.webofscience.com%2Fwos%2Fwoscc%2Ffull-record%2FWOS:000440123300018","View Full Record in Web of Science")</f>
        <v>View Full Record in Web of Science</v>
      </c>
    </row>
    <row r="801" spans="1:77" ht="12.5" x14ac:dyDescent="0.25">
      <c r="A801" t="s">
        <v>8495</v>
      </c>
      <c r="B801" s="22" t="s">
        <v>32931</v>
      </c>
      <c r="C801" s="7"/>
      <c r="D801" s="7"/>
      <c r="E801" s="7"/>
      <c r="F801" t="s">
        <v>67</v>
      </c>
      <c r="G801" t="s">
        <v>11547</v>
      </c>
      <c r="H801" t="s">
        <v>69</v>
      </c>
      <c r="I801" t="s">
        <v>69</v>
      </c>
      <c r="J801" t="s">
        <v>69</v>
      </c>
      <c r="K801" t="s">
        <v>11548</v>
      </c>
      <c r="L801" t="s">
        <v>69</v>
      </c>
      <c r="M801" t="s">
        <v>69</v>
      </c>
      <c r="N801" t="s">
        <v>11549</v>
      </c>
      <c r="O801" t="s">
        <v>11550</v>
      </c>
      <c r="P801" t="s">
        <v>69</v>
      </c>
      <c r="Q801" t="s">
        <v>69</v>
      </c>
      <c r="R801" t="s">
        <v>10071</v>
      </c>
      <c r="S801" t="s">
        <v>8506</v>
      </c>
      <c r="T801" t="s">
        <v>69</v>
      </c>
      <c r="U801" t="s">
        <v>69</v>
      </c>
      <c r="V801" t="s">
        <v>69</v>
      </c>
      <c r="W801" t="s">
        <v>69</v>
      </c>
      <c r="X801" t="s">
        <v>69</v>
      </c>
      <c r="Y801" t="s">
        <v>11551</v>
      </c>
      <c r="Z801" t="s">
        <v>69</v>
      </c>
      <c r="AA801" t="s">
        <v>11552</v>
      </c>
      <c r="AB801" t="s">
        <v>11553</v>
      </c>
      <c r="AC801" t="s">
        <v>69</v>
      </c>
      <c r="AD801" t="s">
        <v>11554</v>
      </c>
      <c r="AE801" t="s">
        <v>11555</v>
      </c>
      <c r="AF801" t="s">
        <v>69</v>
      </c>
      <c r="AG801" t="s">
        <v>11556</v>
      </c>
      <c r="AH801" t="s">
        <v>69</v>
      </c>
      <c r="AI801" t="s">
        <v>69</v>
      </c>
      <c r="AJ801" t="s">
        <v>69</v>
      </c>
      <c r="AK801" t="s">
        <v>69</v>
      </c>
      <c r="AL801">
        <v>17</v>
      </c>
      <c r="AM801">
        <v>0</v>
      </c>
      <c r="AN801">
        <v>0</v>
      </c>
      <c r="AO801">
        <v>0</v>
      </c>
      <c r="AP801">
        <v>0</v>
      </c>
      <c r="AQ801" t="s">
        <v>8516</v>
      </c>
      <c r="AR801" t="s">
        <v>11557</v>
      </c>
      <c r="AS801" t="s">
        <v>11558</v>
      </c>
      <c r="AT801" t="s">
        <v>11559</v>
      </c>
      <c r="AU801" t="s">
        <v>11560</v>
      </c>
      <c r="AV801" t="s">
        <v>69</v>
      </c>
      <c r="AW801" t="s">
        <v>11561</v>
      </c>
      <c r="AX801" t="s">
        <v>11562</v>
      </c>
      <c r="AY801" t="s">
        <v>1774</v>
      </c>
      <c r="AZ801">
        <v>2021</v>
      </c>
      <c r="BA801">
        <v>35</v>
      </c>
      <c r="BB801">
        <v>5</v>
      </c>
      <c r="BC801" t="s">
        <v>69</v>
      </c>
      <c r="BD801" t="s">
        <v>69</v>
      </c>
      <c r="BE801" t="s">
        <v>69</v>
      </c>
      <c r="BF801" t="s">
        <v>69</v>
      </c>
      <c r="BG801">
        <v>495</v>
      </c>
      <c r="BH801">
        <v>498</v>
      </c>
      <c r="BI801" t="s">
        <v>69</v>
      </c>
      <c r="BJ801" t="s">
        <v>11563</v>
      </c>
      <c r="BK801" t="str">
        <f>HYPERLINK("http://dx.doi.org/10.1016/j.gaceta.2020.02.003","http://dx.doi.org/10.1016/j.gaceta.2020.02.003")</f>
        <v>http://dx.doi.org/10.1016/j.gaceta.2020.02.003</v>
      </c>
      <c r="BL801" t="s">
        <v>69</v>
      </c>
      <c r="BM801" t="s">
        <v>11486</v>
      </c>
      <c r="BN801">
        <v>4</v>
      </c>
      <c r="BO801" t="s">
        <v>11564</v>
      </c>
      <c r="BP801" t="s">
        <v>8523</v>
      </c>
      <c r="BQ801" t="s">
        <v>11565</v>
      </c>
      <c r="BR801" t="s">
        <v>11566</v>
      </c>
      <c r="BS801" t="s">
        <v>11567</v>
      </c>
      <c r="BT801">
        <v>32349913</v>
      </c>
      <c r="BU801" t="s">
        <v>8931</v>
      </c>
      <c r="BV801" t="s">
        <v>69</v>
      </c>
      <c r="BW801" t="s">
        <v>69</v>
      </c>
      <c r="BX801" t="s">
        <v>8526</v>
      </c>
      <c r="BY801" t="str">
        <f>HYPERLINK("https%3A%2F%2Fwww.webofscience.com%2Fwos%2Fwoscc%2Ffull-record%2FWOS:000700785000014","View Full Record in Web of Science")</f>
        <v>View Full Record in Web of Science</v>
      </c>
    </row>
    <row r="802" spans="1:77" ht="12.5" x14ac:dyDescent="0.25">
      <c r="A802" t="s">
        <v>8495</v>
      </c>
      <c r="B802" s="7" t="s">
        <v>32933</v>
      </c>
      <c r="C802" s="7"/>
      <c r="D802" s="7"/>
      <c r="E802" s="7"/>
      <c r="F802" t="s">
        <v>67</v>
      </c>
      <c r="G802" t="s">
        <v>2532</v>
      </c>
      <c r="H802" t="s">
        <v>69</v>
      </c>
      <c r="I802" t="s">
        <v>69</v>
      </c>
      <c r="J802" t="s">
        <v>69</v>
      </c>
      <c r="K802" t="s">
        <v>2533</v>
      </c>
      <c r="L802" t="s">
        <v>69</v>
      </c>
      <c r="M802" t="s">
        <v>69</v>
      </c>
      <c r="N802" t="s">
        <v>2534</v>
      </c>
      <c r="O802" t="s">
        <v>2535</v>
      </c>
      <c r="P802" t="s">
        <v>69</v>
      </c>
      <c r="Q802" t="s">
        <v>69</v>
      </c>
      <c r="R802" t="s">
        <v>8505</v>
      </c>
      <c r="S802" t="s">
        <v>8506</v>
      </c>
      <c r="T802" t="s">
        <v>69</v>
      </c>
      <c r="U802" t="s">
        <v>69</v>
      </c>
      <c r="V802" t="s">
        <v>69</v>
      </c>
      <c r="W802" t="s">
        <v>69</v>
      </c>
      <c r="X802" t="s">
        <v>69</v>
      </c>
      <c r="Y802" t="s">
        <v>19686</v>
      </c>
      <c r="Z802" t="s">
        <v>19687</v>
      </c>
      <c r="AA802" t="s">
        <v>2536</v>
      </c>
      <c r="AB802" t="s">
        <v>19688</v>
      </c>
      <c r="AC802" t="s">
        <v>69</v>
      </c>
      <c r="AD802" t="s">
        <v>19689</v>
      </c>
      <c r="AE802" t="s">
        <v>19690</v>
      </c>
      <c r="AF802" t="s">
        <v>69</v>
      </c>
      <c r="AG802" t="s">
        <v>19691</v>
      </c>
      <c r="AH802" t="s">
        <v>19692</v>
      </c>
      <c r="AI802" t="s">
        <v>19693</v>
      </c>
      <c r="AJ802" t="s">
        <v>19694</v>
      </c>
      <c r="AK802" t="s">
        <v>69</v>
      </c>
      <c r="AL802">
        <v>36</v>
      </c>
      <c r="AM802">
        <v>6</v>
      </c>
      <c r="AN802">
        <v>6</v>
      </c>
      <c r="AO802">
        <v>0</v>
      </c>
      <c r="AP802">
        <v>5</v>
      </c>
      <c r="AQ802" t="s">
        <v>19695</v>
      </c>
      <c r="AR802" t="s">
        <v>19696</v>
      </c>
      <c r="AS802" t="s">
        <v>19697</v>
      </c>
      <c r="AT802" t="s">
        <v>2537</v>
      </c>
      <c r="AU802" t="s">
        <v>2538</v>
      </c>
      <c r="AV802" t="s">
        <v>69</v>
      </c>
      <c r="AW802" t="s">
        <v>19698</v>
      </c>
      <c r="AX802" t="s">
        <v>19699</v>
      </c>
      <c r="AY802" t="s">
        <v>75</v>
      </c>
      <c r="AZ802">
        <v>2017</v>
      </c>
      <c r="BA802">
        <v>83</v>
      </c>
      <c r="BB802" t="s">
        <v>69</v>
      </c>
      <c r="BC802" t="s">
        <v>69</v>
      </c>
      <c r="BD802" t="s">
        <v>69</v>
      </c>
      <c r="BE802" t="s">
        <v>69</v>
      </c>
      <c r="BF802" t="s">
        <v>69</v>
      </c>
      <c r="BG802">
        <v>1</v>
      </c>
      <c r="BH802">
        <v>11</v>
      </c>
      <c r="BI802" t="s">
        <v>69</v>
      </c>
      <c r="BJ802" t="s">
        <v>2539</v>
      </c>
      <c r="BK802" t="str">
        <f>HYPERLINK("http://dx.doi.org/10.1016/j.njas.2017.11.001","http://dx.doi.org/10.1016/j.njas.2017.11.001")</f>
        <v>http://dx.doi.org/10.1016/j.njas.2017.11.001</v>
      </c>
      <c r="BL802" t="s">
        <v>69</v>
      </c>
      <c r="BM802" t="s">
        <v>69</v>
      </c>
      <c r="BN802">
        <v>11</v>
      </c>
      <c r="BO802" t="s">
        <v>17664</v>
      </c>
      <c r="BP802" t="s">
        <v>8523</v>
      </c>
      <c r="BQ802" t="s">
        <v>8450</v>
      </c>
      <c r="BR802" t="s">
        <v>19700</v>
      </c>
      <c r="BS802" t="s">
        <v>2540</v>
      </c>
      <c r="BT802" t="s">
        <v>69</v>
      </c>
      <c r="BU802" t="s">
        <v>9374</v>
      </c>
      <c r="BV802" t="s">
        <v>69</v>
      </c>
      <c r="BW802" t="s">
        <v>69</v>
      </c>
      <c r="BX802" t="s">
        <v>8526</v>
      </c>
      <c r="BY802" t="str">
        <f>HYPERLINK("https%3A%2F%2Fwww.webofscience.com%2Fwos%2Fwoscc%2Ffull-record%2FWOS:000440877400001","View Full Record in Web of Science")</f>
        <v>View Full Record in Web of Science</v>
      </c>
    </row>
    <row r="803" spans="1:77" ht="12.5" x14ac:dyDescent="0.25">
      <c r="A803" t="s">
        <v>8495</v>
      </c>
      <c r="B803" s="22" t="s">
        <v>32931</v>
      </c>
      <c r="C803" s="7"/>
      <c r="D803" s="7"/>
      <c r="E803" s="7"/>
      <c r="F803" t="s">
        <v>67</v>
      </c>
      <c r="G803" t="s">
        <v>24834</v>
      </c>
      <c r="H803" t="s">
        <v>69</v>
      </c>
      <c r="I803" t="s">
        <v>69</v>
      </c>
      <c r="J803" t="s">
        <v>69</v>
      </c>
      <c r="K803" t="s">
        <v>24835</v>
      </c>
      <c r="L803" t="s">
        <v>69</v>
      </c>
      <c r="M803" t="s">
        <v>69</v>
      </c>
      <c r="N803" t="s">
        <v>24836</v>
      </c>
      <c r="O803" t="s">
        <v>24837</v>
      </c>
      <c r="P803" t="s">
        <v>69</v>
      </c>
      <c r="Q803" t="s">
        <v>69</v>
      </c>
      <c r="R803" t="s">
        <v>8505</v>
      </c>
      <c r="S803" t="s">
        <v>8506</v>
      </c>
      <c r="T803" t="s">
        <v>69</v>
      </c>
      <c r="U803" t="s">
        <v>69</v>
      </c>
      <c r="V803" t="s">
        <v>69</v>
      </c>
      <c r="W803" t="s">
        <v>69</v>
      </c>
      <c r="X803" t="s">
        <v>69</v>
      </c>
      <c r="Y803" t="s">
        <v>24838</v>
      </c>
      <c r="Z803" t="s">
        <v>24839</v>
      </c>
      <c r="AA803" t="s">
        <v>24840</v>
      </c>
      <c r="AB803" t="s">
        <v>24841</v>
      </c>
      <c r="AC803" t="s">
        <v>69</v>
      </c>
      <c r="AD803" t="s">
        <v>24842</v>
      </c>
      <c r="AE803" t="s">
        <v>24843</v>
      </c>
      <c r="AF803" t="s">
        <v>69</v>
      </c>
      <c r="AG803" t="s">
        <v>69</v>
      </c>
      <c r="AH803" t="s">
        <v>69</v>
      </c>
      <c r="AI803" t="s">
        <v>69</v>
      </c>
      <c r="AJ803" t="s">
        <v>69</v>
      </c>
      <c r="AK803" t="s">
        <v>69</v>
      </c>
      <c r="AL803">
        <v>14</v>
      </c>
      <c r="AM803">
        <v>21</v>
      </c>
      <c r="AN803">
        <v>21</v>
      </c>
      <c r="AO803">
        <v>0</v>
      </c>
      <c r="AP803">
        <v>19</v>
      </c>
      <c r="AQ803" t="s">
        <v>9047</v>
      </c>
      <c r="AR803" t="s">
        <v>8693</v>
      </c>
      <c r="AS803" t="s">
        <v>16643</v>
      </c>
      <c r="AT803" t="s">
        <v>24844</v>
      </c>
      <c r="AU803" t="s">
        <v>69</v>
      </c>
      <c r="AV803" t="s">
        <v>69</v>
      </c>
      <c r="AW803" t="s">
        <v>24845</v>
      </c>
      <c r="AX803" t="s">
        <v>24846</v>
      </c>
      <c r="AY803" t="s">
        <v>84</v>
      </c>
      <c r="AZ803">
        <v>2013</v>
      </c>
      <c r="BA803">
        <v>55</v>
      </c>
      <c r="BB803">
        <v>3</v>
      </c>
      <c r="BC803" t="s">
        <v>69</v>
      </c>
      <c r="BD803" t="s">
        <v>69</v>
      </c>
      <c r="BE803" t="s">
        <v>69</v>
      </c>
      <c r="BF803" t="s">
        <v>69</v>
      </c>
      <c r="BG803">
        <v>407</v>
      </c>
      <c r="BH803">
        <v>418</v>
      </c>
      <c r="BI803" t="s">
        <v>69</v>
      </c>
      <c r="BJ803" t="s">
        <v>24847</v>
      </c>
      <c r="BK803" t="str">
        <f>HYPERLINK("http://dx.doi.org/10.1007/s10640-013-9632-4","http://dx.doi.org/10.1007/s10640-013-9632-4")</f>
        <v>http://dx.doi.org/10.1007/s10640-013-9632-4</v>
      </c>
      <c r="BL803" t="s">
        <v>69</v>
      </c>
      <c r="BM803" t="s">
        <v>69</v>
      </c>
      <c r="BN803">
        <v>12</v>
      </c>
      <c r="BO803" t="s">
        <v>24848</v>
      </c>
      <c r="BP803" t="s">
        <v>8661</v>
      </c>
      <c r="BQ803" t="s">
        <v>9114</v>
      </c>
      <c r="BR803" t="s">
        <v>24849</v>
      </c>
      <c r="BS803" t="s">
        <v>24850</v>
      </c>
      <c r="BT803" t="s">
        <v>69</v>
      </c>
      <c r="BU803" t="s">
        <v>19717</v>
      </c>
      <c r="BV803" t="s">
        <v>69</v>
      </c>
      <c r="BW803" t="s">
        <v>69</v>
      </c>
      <c r="BX803" t="s">
        <v>8526</v>
      </c>
      <c r="BY803" t="str">
        <f>HYPERLINK("https%3A%2F%2Fwww.webofscience.com%2Fwos%2Fwoscc%2Ffull-record%2FWOS:000320042400005","View Full Record in Web of Science")</f>
        <v>View Full Record in Web of Science</v>
      </c>
    </row>
    <row r="804" spans="1:77" ht="12.5" x14ac:dyDescent="0.25">
      <c r="A804" t="s">
        <v>8495</v>
      </c>
      <c r="B804" s="22" t="s">
        <v>32931</v>
      </c>
      <c r="C804" s="7"/>
      <c r="D804" s="7"/>
      <c r="E804" s="7"/>
      <c r="F804" t="s">
        <v>67</v>
      </c>
      <c r="G804" t="s">
        <v>16299</v>
      </c>
      <c r="H804" t="s">
        <v>69</v>
      </c>
      <c r="I804" t="s">
        <v>69</v>
      </c>
      <c r="J804" t="s">
        <v>69</v>
      </c>
      <c r="K804" t="s">
        <v>16300</v>
      </c>
      <c r="L804" t="s">
        <v>69</v>
      </c>
      <c r="M804" t="s">
        <v>69</v>
      </c>
      <c r="N804" t="s">
        <v>16301</v>
      </c>
      <c r="O804" t="s">
        <v>16302</v>
      </c>
      <c r="P804" t="s">
        <v>69</v>
      </c>
      <c r="Q804" t="s">
        <v>69</v>
      </c>
      <c r="R804" t="s">
        <v>13609</v>
      </c>
      <c r="S804" t="s">
        <v>8506</v>
      </c>
      <c r="T804" t="s">
        <v>69</v>
      </c>
      <c r="U804" t="s">
        <v>69</v>
      </c>
      <c r="V804" t="s">
        <v>69</v>
      </c>
      <c r="W804" t="s">
        <v>69</v>
      </c>
      <c r="X804" t="s">
        <v>69</v>
      </c>
      <c r="Y804" t="s">
        <v>16303</v>
      </c>
      <c r="Z804" t="s">
        <v>69</v>
      </c>
      <c r="AA804" t="s">
        <v>16304</v>
      </c>
      <c r="AB804" t="s">
        <v>16305</v>
      </c>
      <c r="AC804" t="s">
        <v>69</v>
      </c>
      <c r="AD804" t="s">
        <v>16306</v>
      </c>
      <c r="AE804" t="s">
        <v>16307</v>
      </c>
      <c r="AF804" t="s">
        <v>69</v>
      </c>
      <c r="AG804" t="s">
        <v>69</v>
      </c>
      <c r="AH804" t="s">
        <v>69</v>
      </c>
      <c r="AI804" t="s">
        <v>69</v>
      </c>
      <c r="AJ804" t="s">
        <v>69</v>
      </c>
      <c r="AK804" t="s">
        <v>69</v>
      </c>
      <c r="AL804">
        <v>18</v>
      </c>
      <c r="AM804">
        <v>0</v>
      </c>
      <c r="AN804">
        <v>0</v>
      </c>
      <c r="AO804">
        <v>0</v>
      </c>
      <c r="AP804">
        <v>0</v>
      </c>
      <c r="AQ804" t="s">
        <v>16308</v>
      </c>
      <c r="AR804" t="s">
        <v>16309</v>
      </c>
      <c r="AS804" t="s">
        <v>16310</v>
      </c>
      <c r="AT804" t="s">
        <v>16311</v>
      </c>
      <c r="AU804" t="s">
        <v>16312</v>
      </c>
      <c r="AV804" t="s">
        <v>69</v>
      </c>
      <c r="AW804" t="s">
        <v>16313</v>
      </c>
      <c r="AX804" t="s">
        <v>16314</v>
      </c>
      <c r="AY804" t="s">
        <v>69</v>
      </c>
      <c r="AZ804">
        <v>2020</v>
      </c>
      <c r="BA804" t="s">
        <v>69</v>
      </c>
      <c r="BB804">
        <v>1</v>
      </c>
      <c r="BC804" t="s">
        <v>69</v>
      </c>
      <c r="BD804" t="s">
        <v>69</v>
      </c>
      <c r="BE804" t="s">
        <v>69</v>
      </c>
      <c r="BF804" t="s">
        <v>69</v>
      </c>
      <c r="BG804">
        <v>60</v>
      </c>
      <c r="BH804">
        <v>72</v>
      </c>
      <c r="BI804" t="s">
        <v>69</v>
      </c>
      <c r="BJ804" t="s">
        <v>16315</v>
      </c>
      <c r="BK804" t="str">
        <f>HYPERLINK("http://dx.doi.org/10.32342/2074-5354-2020-1-52-6","http://dx.doi.org/10.32342/2074-5354-2020-1-52-6")</f>
        <v>http://dx.doi.org/10.32342/2074-5354-2020-1-52-6</v>
      </c>
      <c r="BL804" t="s">
        <v>69</v>
      </c>
      <c r="BM804" t="s">
        <v>69</v>
      </c>
      <c r="BN804">
        <v>13</v>
      </c>
      <c r="BO804" t="s">
        <v>16316</v>
      </c>
      <c r="BP804" t="s">
        <v>8573</v>
      </c>
      <c r="BQ804" t="s">
        <v>8594</v>
      </c>
      <c r="BR804" t="s">
        <v>16317</v>
      </c>
      <c r="BS804" t="s">
        <v>16318</v>
      </c>
      <c r="BT804" t="s">
        <v>69</v>
      </c>
      <c r="BU804" t="s">
        <v>8931</v>
      </c>
      <c r="BV804" t="s">
        <v>69</v>
      </c>
      <c r="BW804" t="s">
        <v>69</v>
      </c>
      <c r="BX804" t="s">
        <v>8526</v>
      </c>
      <c r="BY804" t="str">
        <f>HYPERLINK("https%3A%2F%2Fwww.webofscience.com%2Fwos%2Fwoscc%2Ffull-record%2FWOS:000823345800006","View Full Record in Web of Science")</f>
        <v>View Full Record in Web of Science</v>
      </c>
    </row>
    <row r="805" spans="1:77" ht="12.5" x14ac:dyDescent="0.25">
      <c r="A805" t="s">
        <v>8495</v>
      </c>
      <c r="B805" s="7" t="s">
        <v>32933</v>
      </c>
      <c r="C805" s="7"/>
      <c r="D805" s="7"/>
      <c r="E805" s="7"/>
      <c r="F805" t="s">
        <v>67</v>
      </c>
      <c r="G805" t="s">
        <v>3071</v>
      </c>
      <c r="H805" t="s">
        <v>69</v>
      </c>
      <c r="I805" t="s">
        <v>69</v>
      </c>
      <c r="J805" t="s">
        <v>69</v>
      </c>
      <c r="K805" t="s">
        <v>3072</v>
      </c>
      <c r="L805" t="s">
        <v>69</v>
      </c>
      <c r="M805" t="s">
        <v>69</v>
      </c>
      <c r="N805" t="s">
        <v>3073</v>
      </c>
      <c r="O805" t="s">
        <v>1457</v>
      </c>
      <c r="P805" t="s">
        <v>69</v>
      </c>
      <c r="Q805" t="s">
        <v>69</v>
      </c>
      <c r="R805" t="s">
        <v>8505</v>
      </c>
      <c r="S805" t="s">
        <v>8506</v>
      </c>
      <c r="T805" t="s">
        <v>69</v>
      </c>
      <c r="U805" t="s">
        <v>69</v>
      </c>
      <c r="V805" t="s">
        <v>69</v>
      </c>
      <c r="W805" t="s">
        <v>69</v>
      </c>
      <c r="X805" t="s">
        <v>69</v>
      </c>
      <c r="Y805" t="s">
        <v>69</v>
      </c>
      <c r="Z805" t="s">
        <v>23011</v>
      </c>
      <c r="AA805" t="s">
        <v>3074</v>
      </c>
      <c r="AB805" t="s">
        <v>23012</v>
      </c>
      <c r="AC805" t="s">
        <v>69</v>
      </c>
      <c r="AD805" t="s">
        <v>23013</v>
      </c>
      <c r="AE805" t="s">
        <v>23014</v>
      </c>
      <c r="AF805" t="s">
        <v>69</v>
      </c>
      <c r="AG805" t="s">
        <v>69</v>
      </c>
      <c r="AH805" t="s">
        <v>69</v>
      </c>
      <c r="AI805" t="s">
        <v>69</v>
      </c>
      <c r="AJ805" t="s">
        <v>69</v>
      </c>
      <c r="AK805" t="s">
        <v>69</v>
      </c>
      <c r="AL805">
        <v>74</v>
      </c>
      <c r="AM805">
        <v>3</v>
      </c>
      <c r="AN805">
        <v>3</v>
      </c>
      <c r="AO805">
        <v>1</v>
      </c>
      <c r="AP805">
        <v>8</v>
      </c>
      <c r="AQ805" t="s">
        <v>9554</v>
      </c>
      <c r="AR805" t="s">
        <v>9555</v>
      </c>
      <c r="AS805" t="s">
        <v>9556</v>
      </c>
      <c r="AT805" t="s">
        <v>1460</v>
      </c>
      <c r="AU805" t="s">
        <v>1461</v>
      </c>
      <c r="AV805" t="s">
        <v>69</v>
      </c>
      <c r="AW805" t="s">
        <v>9557</v>
      </c>
      <c r="AX805" t="s">
        <v>9558</v>
      </c>
      <c r="AY805" t="s">
        <v>69</v>
      </c>
      <c r="AZ805">
        <v>2015</v>
      </c>
      <c r="BA805" t="s">
        <v>69</v>
      </c>
      <c r="BB805">
        <v>2499</v>
      </c>
      <c r="BC805" t="s">
        <v>69</v>
      </c>
      <c r="BD805" t="s">
        <v>69</v>
      </c>
      <c r="BE805" t="s">
        <v>69</v>
      </c>
      <c r="BF805" t="s">
        <v>69</v>
      </c>
      <c r="BG805">
        <v>45</v>
      </c>
      <c r="BH805">
        <v>53</v>
      </c>
      <c r="BI805" t="s">
        <v>69</v>
      </c>
      <c r="BJ805" t="s">
        <v>3075</v>
      </c>
      <c r="BK805" t="str">
        <f>HYPERLINK("http://dx.doi.org/10.3141/2499-07","http://dx.doi.org/10.3141/2499-07")</f>
        <v>http://dx.doi.org/10.3141/2499-07</v>
      </c>
      <c r="BL805" t="s">
        <v>69</v>
      </c>
      <c r="BM805" t="s">
        <v>69</v>
      </c>
      <c r="BN805">
        <v>9</v>
      </c>
      <c r="BO805" t="s">
        <v>9560</v>
      </c>
      <c r="BP805" t="s">
        <v>8523</v>
      </c>
      <c r="BQ805" t="s">
        <v>9561</v>
      </c>
      <c r="BR805" t="s">
        <v>23015</v>
      </c>
      <c r="BS805" t="s">
        <v>3076</v>
      </c>
      <c r="BT805" t="s">
        <v>69</v>
      </c>
      <c r="BU805" t="s">
        <v>69</v>
      </c>
      <c r="BV805" t="s">
        <v>69</v>
      </c>
      <c r="BW805" t="s">
        <v>69</v>
      </c>
      <c r="BX805" t="s">
        <v>8526</v>
      </c>
      <c r="BY805" t="str">
        <f>HYPERLINK("https%3A%2F%2Fwww.webofscience.com%2Fwos%2Fwoscc%2Ffull-record%2FWOS:000365144400008","View Full Record in Web of Science")</f>
        <v>View Full Record in Web of Science</v>
      </c>
    </row>
    <row r="806" spans="1:77" ht="12.5" x14ac:dyDescent="0.25">
      <c r="A806" t="s">
        <v>8495</v>
      </c>
      <c r="B806" s="7" t="s">
        <v>32933</v>
      </c>
      <c r="C806" s="7"/>
      <c r="D806" s="7"/>
      <c r="E806" s="7"/>
      <c r="F806" t="s">
        <v>67</v>
      </c>
      <c r="G806" t="s">
        <v>6900</v>
      </c>
      <c r="H806" t="s">
        <v>69</v>
      </c>
      <c r="I806" t="s">
        <v>69</v>
      </c>
      <c r="J806" t="s">
        <v>69</v>
      </c>
      <c r="K806" t="s">
        <v>6901</v>
      </c>
      <c r="L806" t="s">
        <v>69</v>
      </c>
      <c r="M806" t="s">
        <v>69</v>
      </c>
      <c r="N806" t="s">
        <v>6902</v>
      </c>
      <c r="O806" t="s">
        <v>4174</v>
      </c>
      <c r="P806" t="s">
        <v>69</v>
      </c>
      <c r="Q806" t="s">
        <v>69</v>
      </c>
      <c r="R806" t="s">
        <v>14800</v>
      </c>
      <c r="S806" t="s">
        <v>8506</v>
      </c>
      <c r="T806" t="s">
        <v>69</v>
      </c>
      <c r="U806" t="s">
        <v>69</v>
      </c>
      <c r="V806" t="s">
        <v>69</v>
      </c>
      <c r="W806" t="s">
        <v>69</v>
      </c>
      <c r="X806" t="s">
        <v>69</v>
      </c>
      <c r="Y806" t="s">
        <v>20258</v>
      </c>
      <c r="Z806" t="s">
        <v>69</v>
      </c>
      <c r="AA806" t="s">
        <v>6903</v>
      </c>
      <c r="AB806" t="s">
        <v>20259</v>
      </c>
      <c r="AC806" t="s">
        <v>69</v>
      </c>
      <c r="AD806" t="s">
        <v>20260</v>
      </c>
      <c r="AE806" t="s">
        <v>69</v>
      </c>
      <c r="AF806" t="s">
        <v>69</v>
      </c>
      <c r="AG806" t="s">
        <v>69</v>
      </c>
      <c r="AH806" t="s">
        <v>69</v>
      </c>
      <c r="AI806" t="s">
        <v>69</v>
      </c>
      <c r="AJ806" t="s">
        <v>69</v>
      </c>
      <c r="AK806" t="s">
        <v>69</v>
      </c>
      <c r="AL806">
        <v>1</v>
      </c>
      <c r="AM806">
        <v>0</v>
      </c>
      <c r="AN806">
        <v>0</v>
      </c>
      <c r="AO806">
        <v>0</v>
      </c>
      <c r="AP806">
        <v>9</v>
      </c>
      <c r="AQ806" t="s">
        <v>17244</v>
      </c>
      <c r="AR806" t="s">
        <v>17245</v>
      </c>
      <c r="AS806" t="s">
        <v>17246</v>
      </c>
      <c r="AT806" t="s">
        <v>4176</v>
      </c>
      <c r="AU806" t="s">
        <v>6904</v>
      </c>
      <c r="AV806" t="s">
        <v>69</v>
      </c>
      <c r="AW806" t="s">
        <v>20261</v>
      </c>
      <c r="AX806" t="s">
        <v>20262</v>
      </c>
      <c r="AY806" t="s">
        <v>155</v>
      </c>
      <c r="AZ806">
        <v>2017</v>
      </c>
      <c r="BA806" t="s">
        <v>69</v>
      </c>
      <c r="BB806">
        <v>3</v>
      </c>
      <c r="BC806" t="s">
        <v>69</v>
      </c>
      <c r="BD806" t="s">
        <v>69</v>
      </c>
      <c r="BE806" t="s">
        <v>69</v>
      </c>
      <c r="BF806" t="s">
        <v>69</v>
      </c>
      <c r="BG806">
        <v>64</v>
      </c>
      <c r="BH806">
        <v>69</v>
      </c>
      <c r="BI806" t="s">
        <v>69</v>
      </c>
      <c r="BJ806" t="s">
        <v>6905</v>
      </c>
      <c r="BK806" t="str">
        <f>HYPERLINK("http://dx.doi.org/10.1051/lhb/2017022","http://dx.doi.org/10.1051/lhb/2017022")</f>
        <v>http://dx.doi.org/10.1051/lhb/2017022</v>
      </c>
      <c r="BL806" t="s">
        <v>69</v>
      </c>
      <c r="BM806" t="s">
        <v>69</v>
      </c>
      <c r="BN806">
        <v>6</v>
      </c>
      <c r="BO806" t="s">
        <v>9096</v>
      </c>
      <c r="BP806" t="s">
        <v>8548</v>
      </c>
      <c r="BQ806" t="s">
        <v>9096</v>
      </c>
      <c r="BR806" t="s">
        <v>20263</v>
      </c>
      <c r="BS806" t="s">
        <v>6906</v>
      </c>
      <c r="BT806" t="s">
        <v>69</v>
      </c>
      <c r="BU806" t="s">
        <v>20264</v>
      </c>
      <c r="BV806" t="s">
        <v>69</v>
      </c>
      <c r="BW806" t="s">
        <v>69</v>
      </c>
      <c r="BX806" t="s">
        <v>8526</v>
      </c>
      <c r="BY806" t="str">
        <f>HYPERLINK("https%3A%2F%2Fwww.webofscience.com%2Fwos%2Fwoscc%2Ffull-record%2FWOS:000408084900007","View Full Record in Web of Science")</f>
        <v>View Full Record in Web of Science</v>
      </c>
    </row>
    <row r="807" spans="1:77" x14ac:dyDescent="0.3">
      <c r="A807" t="s">
        <v>8495</v>
      </c>
      <c r="B807" s="10" t="s">
        <v>32991</v>
      </c>
      <c r="F807" t="s">
        <v>67</v>
      </c>
      <c r="G807" t="s">
        <v>5804</v>
      </c>
      <c r="H807" t="s">
        <v>69</v>
      </c>
      <c r="I807" t="s">
        <v>69</v>
      </c>
      <c r="J807" t="s">
        <v>69</v>
      </c>
      <c r="K807" s="2" t="s">
        <v>5805</v>
      </c>
      <c r="L807" t="s">
        <v>69</v>
      </c>
      <c r="M807" t="s">
        <v>69</v>
      </c>
      <c r="N807" s="2" t="s">
        <v>5806</v>
      </c>
      <c r="O807" t="s">
        <v>5807</v>
      </c>
      <c r="P807" t="s">
        <v>69</v>
      </c>
      <c r="Q807" t="s">
        <v>69</v>
      </c>
      <c r="R807" t="s">
        <v>8505</v>
      </c>
      <c r="S807" t="s">
        <v>8506</v>
      </c>
      <c r="T807" t="s">
        <v>69</v>
      </c>
      <c r="U807" t="s">
        <v>69</v>
      </c>
      <c r="V807" t="s">
        <v>69</v>
      </c>
      <c r="W807" t="s">
        <v>69</v>
      </c>
      <c r="X807" t="s">
        <v>69</v>
      </c>
      <c r="Y807" t="s">
        <v>25775</v>
      </c>
      <c r="Z807" t="s">
        <v>25776</v>
      </c>
      <c r="AA807" t="s">
        <v>5808</v>
      </c>
      <c r="AB807" t="s">
        <v>25777</v>
      </c>
      <c r="AC807" t="s">
        <v>69</v>
      </c>
      <c r="AD807" t="s">
        <v>25778</v>
      </c>
      <c r="AE807" t="s">
        <v>25779</v>
      </c>
      <c r="AF807" t="s">
        <v>25780</v>
      </c>
      <c r="AG807" t="s">
        <v>25781</v>
      </c>
      <c r="AH807" t="s">
        <v>69</v>
      </c>
      <c r="AI807" t="s">
        <v>69</v>
      </c>
      <c r="AJ807" t="s">
        <v>69</v>
      </c>
      <c r="AK807" t="s">
        <v>69</v>
      </c>
      <c r="AL807">
        <v>62</v>
      </c>
      <c r="AM807">
        <v>114</v>
      </c>
      <c r="AN807">
        <v>114</v>
      </c>
      <c r="AO807">
        <v>3</v>
      </c>
      <c r="AP807">
        <v>74</v>
      </c>
      <c r="AQ807" t="s">
        <v>8762</v>
      </c>
      <c r="AR807" t="s">
        <v>8763</v>
      </c>
      <c r="AS807" t="s">
        <v>8764</v>
      </c>
      <c r="AT807" t="s">
        <v>5809</v>
      </c>
      <c r="AU807" t="s">
        <v>69</v>
      </c>
      <c r="AV807" t="s">
        <v>69</v>
      </c>
      <c r="AW807" t="s">
        <v>25782</v>
      </c>
      <c r="AX807" t="s">
        <v>25783</v>
      </c>
      <c r="AY807" t="s">
        <v>274</v>
      </c>
      <c r="AZ807">
        <v>2012</v>
      </c>
      <c r="BA807">
        <v>33</v>
      </c>
      <c r="BB807">
        <v>11</v>
      </c>
      <c r="BC807" t="s">
        <v>69</v>
      </c>
      <c r="BD807" t="s">
        <v>69</v>
      </c>
      <c r="BE807" t="s">
        <v>114</v>
      </c>
      <c r="BF807" t="s">
        <v>69</v>
      </c>
      <c r="BG807">
        <v>1451</v>
      </c>
      <c r="BH807">
        <v>1475</v>
      </c>
      <c r="BI807" t="s">
        <v>69</v>
      </c>
      <c r="BJ807" t="s">
        <v>5810</v>
      </c>
      <c r="BK807" t="str">
        <f>HYPERLINK("http://dx.doi.org/10.1177/0170840612463316","http://dx.doi.org/10.1177/0170840612463316")</f>
        <v>http://dx.doi.org/10.1177/0170840612463316</v>
      </c>
      <c r="BL807" t="s">
        <v>69</v>
      </c>
      <c r="BM807" t="s">
        <v>69</v>
      </c>
      <c r="BN807">
        <v>25</v>
      </c>
      <c r="BO807" t="s">
        <v>9410</v>
      </c>
      <c r="BP807" t="s">
        <v>8661</v>
      </c>
      <c r="BQ807" t="s">
        <v>8594</v>
      </c>
      <c r="BR807" t="s">
        <v>25784</v>
      </c>
      <c r="BS807" t="s">
        <v>5811</v>
      </c>
      <c r="BT807" t="s">
        <v>69</v>
      </c>
      <c r="BU807" t="s">
        <v>10423</v>
      </c>
      <c r="BV807" t="s">
        <v>69</v>
      </c>
      <c r="BW807" t="s">
        <v>69</v>
      </c>
      <c r="BX807" t="s">
        <v>8526</v>
      </c>
      <c r="BY807" t="str">
        <f>HYPERLINK("https%3A%2F%2Fwww.webofscience.com%2Fwos%2Fwoscc%2Ffull-record%2FWOS:000311334100002","View Full Record in Web of Science")</f>
        <v>View Full Record in Web of Science</v>
      </c>
    </row>
    <row r="808" spans="1:77" ht="12.5" x14ac:dyDescent="0.25">
      <c r="A808" t="s">
        <v>8495</v>
      </c>
      <c r="B808" s="7" t="s">
        <v>32933</v>
      </c>
      <c r="C808" s="7"/>
      <c r="D808" s="7"/>
      <c r="E808" s="7"/>
      <c r="F808" t="s">
        <v>67</v>
      </c>
      <c r="G808" t="s">
        <v>3598</v>
      </c>
      <c r="H808" t="s">
        <v>69</v>
      </c>
      <c r="I808" t="s">
        <v>69</v>
      </c>
      <c r="J808" t="s">
        <v>69</v>
      </c>
      <c r="K808" t="s">
        <v>3599</v>
      </c>
      <c r="L808" t="s">
        <v>69</v>
      </c>
      <c r="M808" t="s">
        <v>69</v>
      </c>
      <c r="N808" t="s">
        <v>3600</v>
      </c>
      <c r="O808" t="s">
        <v>3601</v>
      </c>
      <c r="P808" t="s">
        <v>69</v>
      </c>
      <c r="Q808" t="s">
        <v>69</v>
      </c>
      <c r="R808" t="s">
        <v>8505</v>
      </c>
      <c r="S808" t="s">
        <v>8442</v>
      </c>
      <c r="T808" t="s">
        <v>69</v>
      </c>
      <c r="U808" t="s">
        <v>69</v>
      </c>
      <c r="V808" t="s">
        <v>69</v>
      </c>
      <c r="W808" t="s">
        <v>69</v>
      </c>
      <c r="X808" t="s">
        <v>69</v>
      </c>
      <c r="Y808" t="s">
        <v>28348</v>
      </c>
      <c r="Z808" t="s">
        <v>28349</v>
      </c>
      <c r="AA808" t="s">
        <v>3602</v>
      </c>
      <c r="AB808" t="s">
        <v>28350</v>
      </c>
      <c r="AC808" t="s">
        <v>69</v>
      </c>
      <c r="AD808" t="s">
        <v>28351</v>
      </c>
      <c r="AE808" t="s">
        <v>28352</v>
      </c>
      <c r="AF808" t="s">
        <v>69</v>
      </c>
      <c r="AG808" t="s">
        <v>69</v>
      </c>
      <c r="AH808" t="s">
        <v>69</v>
      </c>
      <c r="AI808" t="s">
        <v>69</v>
      </c>
      <c r="AJ808" t="s">
        <v>69</v>
      </c>
      <c r="AK808" t="s">
        <v>69</v>
      </c>
      <c r="AL808">
        <v>17</v>
      </c>
      <c r="AM808">
        <v>42</v>
      </c>
      <c r="AN808">
        <v>42</v>
      </c>
      <c r="AO808">
        <v>1</v>
      </c>
      <c r="AP808">
        <v>52</v>
      </c>
      <c r="AQ808" t="s">
        <v>28353</v>
      </c>
      <c r="AR808" t="s">
        <v>28354</v>
      </c>
      <c r="AS808" t="s">
        <v>28355</v>
      </c>
      <c r="AT808" t="s">
        <v>3603</v>
      </c>
      <c r="AU808" t="s">
        <v>69</v>
      </c>
      <c r="AV808" t="s">
        <v>69</v>
      </c>
      <c r="AW808" t="s">
        <v>28356</v>
      </c>
      <c r="AX808" t="s">
        <v>28357</v>
      </c>
      <c r="AY808" t="s">
        <v>75</v>
      </c>
      <c r="AZ808">
        <v>2009</v>
      </c>
      <c r="BA808">
        <v>65</v>
      </c>
      <c r="BB808">
        <v>12</v>
      </c>
      <c r="BC808" t="s">
        <v>69</v>
      </c>
      <c r="BD808" t="s">
        <v>69</v>
      </c>
      <c r="BE808" t="s">
        <v>69</v>
      </c>
      <c r="BF808" t="s">
        <v>69</v>
      </c>
      <c r="BG808">
        <v>1287</v>
      </c>
      <c r="BH808">
        <v>1292</v>
      </c>
      <c r="BI808" t="s">
        <v>69</v>
      </c>
      <c r="BJ808" t="s">
        <v>3604</v>
      </c>
      <c r="BK808" t="str">
        <f>HYPERLINK("http://dx.doi.org/10.1002/ps.1865","http://dx.doi.org/10.1002/ps.1865")</f>
        <v>http://dx.doi.org/10.1002/ps.1865</v>
      </c>
      <c r="BL808" t="s">
        <v>69</v>
      </c>
      <c r="BM808" t="s">
        <v>69</v>
      </c>
      <c r="BN808">
        <v>6</v>
      </c>
      <c r="BO808" t="s">
        <v>28358</v>
      </c>
      <c r="BP808" t="s">
        <v>8548</v>
      </c>
      <c r="BQ808" t="s">
        <v>28359</v>
      </c>
      <c r="BR808" t="s">
        <v>28360</v>
      </c>
      <c r="BS808" t="s">
        <v>3605</v>
      </c>
      <c r="BT808">
        <v>19856383</v>
      </c>
      <c r="BU808" t="s">
        <v>69</v>
      </c>
      <c r="BV808" t="s">
        <v>69</v>
      </c>
      <c r="BW808" t="s">
        <v>69</v>
      </c>
      <c r="BX808" t="s">
        <v>8526</v>
      </c>
      <c r="BY808" t="str">
        <f>HYPERLINK("https%3A%2F%2Fwww.webofscience.com%2Fwos%2Fwoscc%2Ffull-record%2FWOS:000271991200004","View Full Record in Web of Science")</f>
        <v>View Full Record in Web of Science</v>
      </c>
    </row>
    <row r="809" spans="1:77" ht="12.5" x14ac:dyDescent="0.25">
      <c r="A809" t="s">
        <v>8495</v>
      </c>
      <c r="B809" s="22" t="s">
        <v>32931</v>
      </c>
      <c r="C809" s="7"/>
      <c r="D809" s="7"/>
      <c r="E809" s="7"/>
      <c r="F809" t="s">
        <v>67</v>
      </c>
      <c r="G809" t="s">
        <v>32500</v>
      </c>
      <c r="H809" t="s">
        <v>69</v>
      </c>
      <c r="I809" t="s">
        <v>69</v>
      </c>
      <c r="J809" t="s">
        <v>69</v>
      </c>
      <c r="K809" t="s">
        <v>32500</v>
      </c>
      <c r="L809" t="s">
        <v>69</v>
      </c>
      <c r="M809" t="s">
        <v>69</v>
      </c>
      <c r="N809" t="s">
        <v>32501</v>
      </c>
      <c r="O809" t="s">
        <v>32502</v>
      </c>
      <c r="P809" t="s">
        <v>69</v>
      </c>
      <c r="Q809" t="s">
        <v>69</v>
      </c>
      <c r="R809" t="s">
        <v>8505</v>
      </c>
      <c r="S809" t="s">
        <v>8506</v>
      </c>
      <c r="T809" t="s">
        <v>69</v>
      </c>
      <c r="U809" t="s">
        <v>69</v>
      </c>
      <c r="V809" t="s">
        <v>69</v>
      </c>
      <c r="W809" t="s">
        <v>69</v>
      </c>
      <c r="X809" t="s">
        <v>69</v>
      </c>
      <c r="Y809" t="s">
        <v>32503</v>
      </c>
      <c r="Z809" t="s">
        <v>32504</v>
      </c>
      <c r="AA809" t="s">
        <v>32505</v>
      </c>
      <c r="AB809" t="s">
        <v>32506</v>
      </c>
      <c r="AC809" t="s">
        <v>69</v>
      </c>
      <c r="AD809" t="s">
        <v>32507</v>
      </c>
      <c r="AE809" t="s">
        <v>69</v>
      </c>
      <c r="AF809" t="s">
        <v>32508</v>
      </c>
      <c r="AG809" t="s">
        <v>69</v>
      </c>
      <c r="AH809" t="s">
        <v>69</v>
      </c>
      <c r="AI809" t="s">
        <v>69</v>
      </c>
      <c r="AJ809" t="s">
        <v>69</v>
      </c>
      <c r="AK809" t="s">
        <v>69</v>
      </c>
      <c r="AL809">
        <v>27</v>
      </c>
      <c r="AM809">
        <v>20</v>
      </c>
      <c r="AN809">
        <v>20</v>
      </c>
      <c r="AO809">
        <v>0</v>
      </c>
      <c r="AP809">
        <v>3</v>
      </c>
      <c r="AQ809" t="s">
        <v>32509</v>
      </c>
      <c r="AR809" t="s">
        <v>8735</v>
      </c>
      <c r="AS809" t="s">
        <v>32510</v>
      </c>
      <c r="AT809" t="s">
        <v>32511</v>
      </c>
      <c r="AU809" t="s">
        <v>69</v>
      </c>
      <c r="AV809" t="s">
        <v>69</v>
      </c>
      <c r="AW809" t="s">
        <v>32512</v>
      </c>
      <c r="AX809" t="s">
        <v>32513</v>
      </c>
      <c r="AY809" t="s">
        <v>69</v>
      </c>
      <c r="AZ809">
        <v>1996</v>
      </c>
      <c r="BA809">
        <v>7</v>
      </c>
      <c r="BB809">
        <v>1</v>
      </c>
      <c r="BC809" t="s">
        <v>69</v>
      </c>
      <c r="BD809" t="s">
        <v>69</v>
      </c>
      <c r="BE809" t="s">
        <v>69</v>
      </c>
      <c r="BF809" t="s">
        <v>69</v>
      </c>
      <c r="BG809">
        <v>175</v>
      </c>
      <c r="BH809">
        <v>200</v>
      </c>
      <c r="BI809" t="s">
        <v>69</v>
      </c>
      <c r="BJ809" t="s">
        <v>32514</v>
      </c>
      <c r="BK809" t="str">
        <f>HYPERLINK("http://dx.doi.org/10.1080/10511482.1996.9521217","http://dx.doi.org/10.1080/10511482.1996.9521217")</f>
        <v>http://dx.doi.org/10.1080/10511482.1996.9521217</v>
      </c>
      <c r="BL809" t="s">
        <v>69</v>
      </c>
      <c r="BM809" t="s">
        <v>69</v>
      </c>
      <c r="BN809">
        <v>26</v>
      </c>
      <c r="BO809" t="s">
        <v>32515</v>
      </c>
      <c r="BP809" t="s">
        <v>8661</v>
      </c>
      <c r="BQ809" t="s">
        <v>32515</v>
      </c>
      <c r="BR809" t="s">
        <v>32516</v>
      </c>
      <c r="BS809" t="s">
        <v>32517</v>
      </c>
      <c r="BT809" t="s">
        <v>69</v>
      </c>
      <c r="BU809" t="s">
        <v>69</v>
      </c>
      <c r="BV809" t="s">
        <v>69</v>
      </c>
      <c r="BW809" t="s">
        <v>69</v>
      </c>
      <c r="BX809" t="s">
        <v>8526</v>
      </c>
      <c r="BY809" t="str">
        <f>HYPERLINK("https%3A%2F%2Fwww.webofscience.com%2Fwos%2Fwoscc%2Ffull-record%2FWOS:A1996UW01200006","View Full Record in Web of Science")</f>
        <v>View Full Record in Web of Science</v>
      </c>
    </row>
    <row r="810" spans="1:77" ht="12.5" x14ac:dyDescent="0.25">
      <c r="A810" t="s">
        <v>8495</v>
      </c>
      <c r="B810" s="22" t="s">
        <v>32931</v>
      </c>
      <c r="C810" s="7"/>
      <c r="D810" s="7"/>
      <c r="E810" s="7"/>
      <c r="F810" t="s">
        <v>67</v>
      </c>
      <c r="G810" t="s">
        <v>13777</v>
      </c>
      <c r="H810" t="s">
        <v>69</v>
      </c>
      <c r="I810" t="s">
        <v>69</v>
      </c>
      <c r="J810" t="s">
        <v>69</v>
      </c>
      <c r="K810" t="s">
        <v>13778</v>
      </c>
      <c r="L810" t="s">
        <v>69</v>
      </c>
      <c r="M810" t="s">
        <v>69</v>
      </c>
      <c r="N810" t="s">
        <v>13779</v>
      </c>
      <c r="O810" t="s">
        <v>9437</v>
      </c>
      <c r="P810" t="s">
        <v>69</v>
      </c>
      <c r="Q810" t="s">
        <v>69</v>
      </c>
      <c r="R810" t="s">
        <v>8505</v>
      </c>
      <c r="S810" t="s">
        <v>8506</v>
      </c>
      <c r="T810" t="s">
        <v>69</v>
      </c>
      <c r="U810" t="s">
        <v>69</v>
      </c>
      <c r="V810" t="s">
        <v>69</v>
      </c>
      <c r="W810" t="s">
        <v>69</v>
      </c>
      <c r="X810" t="s">
        <v>69</v>
      </c>
      <c r="Y810" t="s">
        <v>13780</v>
      </c>
      <c r="Z810" t="s">
        <v>69</v>
      </c>
      <c r="AA810" t="s">
        <v>13781</v>
      </c>
      <c r="AB810" t="s">
        <v>13782</v>
      </c>
      <c r="AC810" t="s">
        <v>69</v>
      </c>
      <c r="AD810" t="s">
        <v>13783</v>
      </c>
      <c r="AE810" t="s">
        <v>13784</v>
      </c>
      <c r="AF810" t="s">
        <v>13785</v>
      </c>
      <c r="AG810" t="s">
        <v>13786</v>
      </c>
      <c r="AH810" t="s">
        <v>13787</v>
      </c>
      <c r="AI810" t="s">
        <v>13788</v>
      </c>
      <c r="AJ810" t="s">
        <v>13789</v>
      </c>
      <c r="AK810" t="s">
        <v>69</v>
      </c>
      <c r="AL810">
        <v>14</v>
      </c>
      <c r="AM810">
        <v>11</v>
      </c>
      <c r="AN810">
        <v>11</v>
      </c>
      <c r="AO810">
        <v>1</v>
      </c>
      <c r="AP810">
        <v>4</v>
      </c>
      <c r="AQ810" t="s">
        <v>9178</v>
      </c>
      <c r="AR810" t="s">
        <v>8763</v>
      </c>
      <c r="AS810" t="s">
        <v>9179</v>
      </c>
      <c r="AT810" t="s">
        <v>9446</v>
      </c>
      <c r="AU810" t="s">
        <v>69</v>
      </c>
      <c r="AV810" t="s">
        <v>69</v>
      </c>
      <c r="AW810" t="s">
        <v>9437</v>
      </c>
      <c r="AX810" t="s">
        <v>9447</v>
      </c>
      <c r="AY810" t="s">
        <v>69</v>
      </c>
      <c r="AZ810">
        <v>2021</v>
      </c>
      <c r="BA810">
        <v>11</v>
      </c>
      <c r="BB810">
        <v>1</v>
      </c>
      <c r="BC810" t="s">
        <v>69</v>
      </c>
      <c r="BD810" t="s">
        <v>69</v>
      </c>
      <c r="BE810" t="s">
        <v>69</v>
      </c>
      <c r="BF810" t="s">
        <v>69</v>
      </c>
      <c r="BG810" t="s">
        <v>69</v>
      </c>
      <c r="BH810" t="s">
        <v>69</v>
      </c>
      <c r="BI810" t="s">
        <v>13790</v>
      </c>
      <c r="BJ810" t="s">
        <v>13791</v>
      </c>
      <c r="BK810" t="str">
        <f>HYPERLINK("http://dx.doi.org/10.1136/bmjopen-2020-042945","http://dx.doi.org/10.1136/bmjopen-2020-042945")</f>
        <v>http://dx.doi.org/10.1136/bmjopen-2020-042945</v>
      </c>
      <c r="BL810" t="s">
        <v>69</v>
      </c>
      <c r="BM810" t="s">
        <v>69</v>
      </c>
      <c r="BN810">
        <v>9</v>
      </c>
      <c r="BO810" t="s">
        <v>9450</v>
      </c>
      <c r="BP810" t="s">
        <v>8548</v>
      </c>
      <c r="BQ810" t="s">
        <v>9451</v>
      </c>
      <c r="BR810" t="s">
        <v>13792</v>
      </c>
      <c r="BS810" t="s">
        <v>13793</v>
      </c>
      <c r="BT810">
        <v>33500288</v>
      </c>
      <c r="BU810" t="s">
        <v>9352</v>
      </c>
      <c r="BV810" t="s">
        <v>69</v>
      </c>
      <c r="BW810" t="s">
        <v>69</v>
      </c>
      <c r="BX810" t="s">
        <v>8526</v>
      </c>
      <c r="BY810" t="str">
        <f>HYPERLINK("https%3A%2F%2Fwww.webofscience.com%2Fwos%2Fwoscc%2Ffull-record%2FWOS:000614461300002","View Full Record in Web of Science")</f>
        <v>View Full Record in Web of Science</v>
      </c>
    </row>
    <row r="811" spans="1:77" ht="12.5" x14ac:dyDescent="0.25">
      <c r="A811" t="s">
        <v>8495</v>
      </c>
      <c r="B811" s="22" t="s">
        <v>32931</v>
      </c>
      <c r="C811" s="7"/>
      <c r="D811" s="7"/>
      <c r="E811" s="7"/>
      <c r="F811" t="s">
        <v>67</v>
      </c>
      <c r="G811" t="s">
        <v>30250</v>
      </c>
      <c r="H811" t="s">
        <v>69</v>
      </c>
      <c r="I811" t="s">
        <v>69</v>
      </c>
      <c r="J811" t="s">
        <v>69</v>
      </c>
      <c r="K811" t="s">
        <v>30251</v>
      </c>
      <c r="L811" t="s">
        <v>69</v>
      </c>
      <c r="M811" t="s">
        <v>69</v>
      </c>
      <c r="N811" t="s">
        <v>30252</v>
      </c>
      <c r="O811" t="s">
        <v>30253</v>
      </c>
      <c r="P811" t="s">
        <v>69</v>
      </c>
      <c r="Q811" t="s">
        <v>69</v>
      </c>
      <c r="R811" t="s">
        <v>8505</v>
      </c>
      <c r="S811" t="s">
        <v>8506</v>
      </c>
      <c r="T811" t="s">
        <v>69</v>
      </c>
      <c r="U811" t="s">
        <v>69</v>
      </c>
      <c r="V811" t="s">
        <v>69</v>
      </c>
      <c r="W811" t="s">
        <v>69</v>
      </c>
      <c r="X811" t="s">
        <v>69</v>
      </c>
      <c r="Y811" t="s">
        <v>69</v>
      </c>
      <c r="Z811" t="s">
        <v>30254</v>
      </c>
      <c r="AA811" t="s">
        <v>30255</v>
      </c>
      <c r="AB811" t="s">
        <v>30256</v>
      </c>
      <c r="AC811" t="s">
        <v>69</v>
      </c>
      <c r="AD811" t="s">
        <v>30257</v>
      </c>
      <c r="AE811" t="s">
        <v>30258</v>
      </c>
      <c r="AF811" t="s">
        <v>30259</v>
      </c>
      <c r="AG811" t="s">
        <v>69</v>
      </c>
      <c r="AH811" t="s">
        <v>69</v>
      </c>
      <c r="AI811" t="s">
        <v>69</v>
      </c>
      <c r="AJ811" t="s">
        <v>69</v>
      </c>
      <c r="AK811" t="s">
        <v>69</v>
      </c>
      <c r="AL811">
        <v>20</v>
      </c>
      <c r="AM811">
        <v>6</v>
      </c>
      <c r="AN811">
        <v>6</v>
      </c>
      <c r="AO811">
        <v>0</v>
      </c>
      <c r="AP811">
        <v>7</v>
      </c>
      <c r="AQ811" t="s">
        <v>8611</v>
      </c>
      <c r="AR811" t="s">
        <v>8612</v>
      </c>
      <c r="AS811" t="s">
        <v>21726</v>
      </c>
      <c r="AT811" t="s">
        <v>30260</v>
      </c>
      <c r="AU811" t="s">
        <v>69</v>
      </c>
      <c r="AV811" t="s">
        <v>69</v>
      </c>
      <c r="AW811" t="s">
        <v>30261</v>
      </c>
      <c r="AX811" t="s">
        <v>30262</v>
      </c>
      <c r="AY811" t="s">
        <v>155</v>
      </c>
      <c r="AZ811">
        <v>2006</v>
      </c>
      <c r="BA811">
        <v>28</v>
      </c>
      <c r="BB811">
        <v>4</v>
      </c>
      <c r="BC811" t="s">
        <v>69</v>
      </c>
      <c r="BD811" t="s">
        <v>69</v>
      </c>
      <c r="BE811" t="s">
        <v>69</v>
      </c>
      <c r="BF811" t="s">
        <v>69</v>
      </c>
      <c r="BG811">
        <v>379</v>
      </c>
      <c r="BH811">
        <v>381</v>
      </c>
      <c r="BI811" t="s">
        <v>69</v>
      </c>
      <c r="BJ811" t="s">
        <v>30263</v>
      </c>
      <c r="BK811" t="str">
        <f>HYPERLINK("http://dx.doi.org/10.1080/01421590600603335","http://dx.doi.org/10.1080/01421590600603335")</f>
        <v>http://dx.doi.org/10.1080/01421590600603335</v>
      </c>
      <c r="BL811" t="s">
        <v>69</v>
      </c>
      <c r="BM811" t="s">
        <v>69</v>
      </c>
      <c r="BN811">
        <v>4</v>
      </c>
      <c r="BO811" t="s">
        <v>13905</v>
      </c>
      <c r="BP811" t="s">
        <v>8548</v>
      </c>
      <c r="BQ811" t="s">
        <v>13906</v>
      </c>
      <c r="BR811" t="s">
        <v>30264</v>
      </c>
      <c r="BS811" t="s">
        <v>30265</v>
      </c>
      <c r="BT811">
        <v>16807182</v>
      </c>
      <c r="BU811" t="s">
        <v>69</v>
      </c>
      <c r="BV811" t="s">
        <v>69</v>
      </c>
      <c r="BW811" t="s">
        <v>69</v>
      </c>
      <c r="BX811" t="s">
        <v>8526</v>
      </c>
      <c r="BY811" t="str">
        <f>HYPERLINK("https%3A%2F%2Fwww.webofscience.com%2Fwos%2Fwoscc%2Ffull-record%2FWOS:000239119500018","View Full Record in Web of Science")</f>
        <v>View Full Record in Web of Science</v>
      </c>
    </row>
    <row r="812" spans="1:77" ht="12.5" x14ac:dyDescent="0.25">
      <c r="A812" t="s">
        <v>8495</v>
      </c>
      <c r="B812" s="22" t="s">
        <v>32931</v>
      </c>
      <c r="C812" s="7"/>
      <c r="D812" s="7"/>
      <c r="E812" s="7"/>
      <c r="F812" t="s">
        <v>67</v>
      </c>
      <c r="G812" t="s">
        <v>25423</v>
      </c>
      <c r="H812" t="s">
        <v>69</v>
      </c>
      <c r="I812" t="s">
        <v>69</v>
      </c>
      <c r="J812" t="s">
        <v>69</v>
      </c>
      <c r="K812" t="s">
        <v>25424</v>
      </c>
      <c r="L812" t="s">
        <v>69</v>
      </c>
      <c r="M812" t="s">
        <v>69</v>
      </c>
      <c r="N812" t="s">
        <v>25425</v>
      </c>
      <c r="O812" t="s">
        <v>25426</v>
      </c>
      <c r="P812" t="s">
        <v>69</v>
      </c>
      <c r="Q812" t="s">
        <v>69</v>
      </c>
      <c r="R812" t="s">
        <v>10071</v>
      </c>
      <c r="S812" t="s">
        <v>8506</v>
      </c>
      <c r="T812" t="s">
        <v>69</v>
      </c>
      <c r="U812" t="s">
        <v>69</v>
      </c>
      <c r="V812" t="s">
        <v>69</v>
      </c>
      <c r="W812" t="s">
        <v>69</v>
      </c>
      <c r="X812" t="s">
        <v>69</v>
      </c>
      <c r="Y812" t="s">
        <v>25427</v>
      </c>
      <c r="Z812" t="s">
        <v>25428</v>
      </c>
      <c r="AA812" t="s">
        <v>25429</v>
      </c>
      <c r="AB812" t="s">
        <v>25430</v>
      </c>
      <c r="AC812" t="s">
        <v>69</v>
      </c>
      <c r="AD812" t="s">
        <v>25431</v>
      </c>
      <c r="AE812" t="s">
        <v>25432</v>
      </c>
      <c r="AF812" t="s">
        <v>69</v>
      </c>
      <c r="AG812" t="s">
        <v>69</v>
      </c>
      <c r="AH812" t="s">
        <v>69</v>
      </c>
      <c r="AI812" t="s">
        <v>69</v>
      </c>
      <c r="AJ812" t="s">
        <v>69</v>
      </c>
      <c r="AK812" t="s">
        <v>69</v>
      </c>
      <c r="AL812">
        <v>69</v>
      </c>
      <c r="AM812">
        <v>0</v>
      </c>
      <c r="AN812">
        <v>0</v>
      </c>
      <c r="AO812">
        <v>1</v>
      </c>
      <c r="AP812">
        <v>3</v>
      </c>
      <c r="AQ812" t="s">
        <v>16037</v>
      </c>
      <c r="AR812" t="s">
        <v>16038</v>
      </c>
      <c r="AS812" t="s">
        <v>16039</v>
      </c>
      <c r="AT812" t="s">
        <v>25433</v>
      </c>
      <c r="AU812" t="s">
        <v>69</v>
      </c>
      <c r="AV812" t="s">
        <v>69</v>
      </c>
      <c r="AW812" t="s">
        <v>25434</v>
      </c>
      <c r="AX812" t="s">
        <v>25435</v>
      </c>
      <c r="AY812" t="s">
        <v>2654</v>
      </c>
      <c r="AZ812">
        <v>2013</v>
      </c>
      <c r="BA812" t="s">
        <v>69</v>
      </c>
      <c r="BB812">
        <v>5</v>
      </c>
      <c r="BC812" t="s">
        <v>69</v>
      </c>
      <c r="BD812" t="s">
        <v>69</v>
      </c>
      <c r="BE812" t="s">
        <v>69</v>
      </c>
      <c r="BF812" t="s">
        <v>69</v>
      </c>
      <c r="BG812">
        <v>172</v>
      </c>
      <c r="BH812">
        <v>187</v>
      </c>
      <c r="BI812" t="s">
        <v>69</v>
      </c>
      <c r="BJ812" t="s">
        <v>69</v>
      </c>
      <c r="BK812" t="s">
        <v>69</v>
      </c>
      <c r="BL812" t="s">
        <v>69</v>
      </c>
      <c r="BM812" t="s">
        <v>69</v>
      </c>
      <c r="BN812">
        <v>16</v>
      </c>
      <c r="BO812" t="s">
        <v>10278</v>
      </c>
      <c r="BP812" t="s">
        <v>8573</v>
      </c>
      <c r="BQ812" t="s">
        <v>10279</v>
      </c>
      <c r="BR812" t="s">
        <v>25436</v>
      </c>
      <c r="BS812" t="s">
        <v>25437</v>
      </c>
      <c r="BT812" t="s">
        <v>69</v>
      </c>
      <c r="BU812" t="s">
        <v>69</v>
      </c>
      <c r="BV812" t="s">
        <v>69</v>
      </c>
      <c r="BW812" t="s">
        <v>69</v>
      </c>
      <c r="BX812" t="s">
        <v>8526</v>
      </c>
      <c r="BY812" t="str">
        <f>HYPERLINK("https%3A%2F%2Fwww.webofscience.com%2Fwos%2Fwoscc%2Ffull-record%2FWOS:000215809200008","View Full Record in Web of Science")</f>
        <v>View Full Record in Web of Science</v>
      </c>
    </row>
    <row r="813" spans="1:77" ht="12.5" x14ac:dyDescent="0.25">
      <c r="A813" t="s">
        <v>8495</v>
      </c>
      <c r="B813" s="22" t="s">
        <v>32931</v>
      </c>
      <c r="C813" s="7"/>
      <c r="D813" s="7"/>
      <c r="E813" s="7"/>
      <c r="F813" t="s">
        <v>67</v>
      </c>
      <c r="G813" t="s">
        <v>23173</v>
      </c>
      <c r="H813" t="s">
        <v>69</v>
      </c>
      <c r="I813" t="s">
        <v>69</v>
      </c>
      <c r="J813" t="s">
        <v>69</v>
      </c>
      <c r="K813" t="s">
        <v>23174</v>
      </c>
      <c r="L813" t="s">
        <v>69</v>
      </c>
      <c r="M813" t="s">
        <v>69</v>
      </c>
      <c r="N813" t="s">
        <v>23175</v>
      </c>
      <c r="O813" t="s">
        <v>23176</v>
      </c>
      <c r="P813" t="s">
        <v>69</v>
      </c>
      <c r="Q813" t="s">
        <v>69</v>
      </c>
      <c r="R813" t="s">
        <v>8505</v>
      </c>
      <c r="S813" t="s">
        <v>8506</v>
      </c>
      <c r="T813" t="s">
        <v>69</v>
      </c>
      <c r="U813" t="s">
        <v>69</v>
      </c>
      <c r="V813" t="s">
        <v>69</v>
      </c>
      <c r="W813" t="s">
        <v>69</v>
      </c>
      <c r="X813" t="s">
        <v>69</v>
      </c>
      <c r="Y813" t="s">
        <v>23177</v>
      </c>
      <c r="Z813" t="s">
        <v>23178</v>
      </c>
      <c r="AA813" t="s">
        <v>23179</v>
      </c>
      <c r="AB813" t="s">
        <v>23180</v>
      </c>
      <c r="AC813" t="s">
        <v>69</v>
      </c>
      <c r="AD813" t="s">
        <v>23181</v>
      </c>
      <c r="AE813" t="s">
        <v>23182</v>
      </c>
      <c r="AF813" t="s">
        <v>23183</v>
      </c>
      <c r="AG813" t="s">
        <v>23184</v>
      </c>
      <c r="AH813" t="s">
        <v>69</v>
      </c>
      <c r="AI813" t="s">
        <v>69</v>
      </c>
      <c r="AJ813" t="s">
        <v>69</v>
      </c>
      <c r="AK813" t="s">
        <v>69</v>
      </c>
      <c r="AL813">
        <v>48</v>
      </c>
      <c r="AM813">
        <v>8</v>
      </c>
      <c r="AN813">
        <v>8</v>
      </c>
      <c r="AO813">
        <v>1</v>
      </c>
      <c r="AP813">
        <v>5</v>
      </c>
      <c r="AQ813" t="s">
        <v>8865</v>
      </c>
      <c r="AR813" t="s">
        <v>8612</v>
      </c>
      <c r="AS813" t="s">
        <v>8866</v>
      </c>
      <c r="AT813" t="s">
        <v>23185</v>
      </c>
      <c r="AU813" t="s">
        <v>23186</v>
      </c>
      <c r="AV813" t="s">
        <v>69</v>
      </c>
      <c r="AW813" t="s">
        <v>23187</v>
      </c>
      <c r="AX813" t="s">
        <v>23188</v>
      </c>
      <c r="AY813" t="s">
        <v>69</v>
      </c>
      <c r="AZ813">
        <v>2015</v>
      </c>
      <c r="BA813">
        <v>16</v>
      </c>
      <c r="BB813">
        <v>1</v>
      </c>
      <c r="BC813" t="s">
        <v>69</v>
      </c>
      <c r="BD813" t="s">
        <v>69</v>
      </c>
      <c r="BE813" t="s">
        <v>69</v>
      </c>
      <c r="BF813" t="s">
        <v>69</v>
      </c>
      <c r="BG813">
        <v>78</v>
      </c>
      <c r="BH813">
        <v>98</v>
      </c>
      <c r="BI813" t="s">
        <v>69</v>
      </c>
      <c r="BJ813" t="s">
        <v>23189</v>
      </c>
      <c r="BK813" t="str">
        <f>HYPERLINK("http://dx.doi.org/10.1080/15256480.2015.991991","http://dx.doi.org/10.1080/15256480.2015.991991")</f>
        <v>http://dx.doi.org/10.1080/15256480.2015.991991</v>
      </c>
      <c r="BL813" t="s">
        <v>69</v>
      </c>
      <c r="BM813" t="s">
        <v>69</v>
      </c>
      <c r="BN813">
        <v>21</v>
      </c>
      <c r="BO813" t="s">
        <v>10278</v>
      </c>
      <c r="BP813" t="s">
        <v>8573</v>
      </c>
      <c r="BQ813" t="s">
        <v>10279</v>
      </c>
      <c r="BR813" t="s">
        <v>23190</v>
      </c>
      <c r="BS813" t="s">
        <v>23191</v>
      </c>
      <c r="BT813" t="s">
        <v>69</v>
      </c>
      <c r="BU813" t="s">
        <v>69</v>
      </c>
      <c r="BV813" t="s">
        <v>69</v>
      </c>
      <c r="BW813" t="s">
        <v>69</v>
      </c>
      <c r="BX813" t="s">
        <v>8526</v>
      </c>
      <c r="BY813" t="str">
        <f>HYPERLINK("https%3A%2F%2Fwww.webofscience.com%2Fwos%2Fwoscc%2Ffull-record%2FWOS:000212745900005","View Full Record in Web of Science")</f>
        <v>View Full Record in Web of Science</v>
      </c>
    </row>
    <row r="814" spans="1:77" ht="12.5" x14ac:dyDescent="0.25">
      <c r="A814" t="s">
        <v>8495</v>
      </c>
      <c r="B814" s="22" t="s">
        <v>32931</v>
      </c>
      <c r="C814" s="7"/>
      <c r="D814" s="7"/>
      <c r="E814" s="7"/>
      <c r="F814" t="s">
        <v>67</v>
      </c>
      <c r="G814" t="s">
        <v>11834</v>
      </c>
      <c r="H814" t="s">
        <v>69</v>
      </c>
      <c r="I814" t="s">
        <v>69</v>
      </c>
      <c r="J814" t="s">
        <v>69</v>
      </c>
      <c r="K814" t="s">
        <v>11835</v>
      </c>
      <c r="L814" t="s">
        <v>69</v>
      </c>
      <c r="M814" t="s">
        <v>69</v>
      </c>
      <c r="N814" t="s">
        <v>11836</v>
      </c>
      <c r="O814" t="s">
        <v>11837</v>
      </c>
      <c r="P814" t="s">
        <v>69</v>
      </c>
      <c r="Q814" t="s">
        <v>69</v>
      </c>
      <c r="R814" t="s">
        <v>10071</v>
      </c>
      <c r="S814" t="s">
        <v>8506</v>
      </c>
      <c r="T814" t="s">
        <v>69</v>
      </c>
      <c r="U814" t="s">
        <v>69</v>
      </c>
      <c r="V814" t="s">
        <v>69</v>
      </c>
      <c r="W814" t="s">
        <v>69</v>
      </c>
      <c r="X814" t="s">
        <v>69</v>
      </c>
      <c r="Y814" t="s">
        <v>11838</v>
      </c>
      <c r="Z814" t="s">
        <v>11839</v>
      </c>
      <c r="AA814" t="s">
        <v>11840</v>
      </c>
      <c r="AB814" t="s">
        <v>11841</v>
      </c>
      <c r="AC814" t="s">
        <v>69</v>
      </c>
      <c r="AD814" t="s">
        <v>11842</v>
      </c>
      <c r="AE814" t="s">
        <v>11843</v>
      </c>
      <c r="AF814" t="s">
        <v>69</v>
      </c>
      <c r="AG814" t="s">
        <v>69</v>
      </c>
      <c r="AH814" t="s">
        <v>69</v>
      </c>
      <c r="AI814" t="s">
        <v>69</v>
      </c>
      <c r="AJ814" t="s">
        <v>69</v>
      </c>
      <c r="AK814" t="s">
        <v>69</v>
      </c>
      <c r="AL814">
        <v>47</v>
      </c>
      <c r="AM814">
        <v>0</v>
      </c>
      <c r="AN814">
        <v>0</v>
      </c>
      <c r="AO814">
        <v>2</v>
      </c>
      <c r="AP814">
        <v>2</v>
      </c>
      <c r="AQ814" t="s">
        <v>11844</v>
      </c>
      <c r="AR814" t="s">
        <v>11845</v>
      </c>
      <c r="AS814" t="s">
        <v>11846</v>
      </c>
      <c r="AT814" t="s">
        <v>11847</v>
      </c>
      <c r="AU814" t="s">
        <v>11848</v>
      </c>
      <c r="AV814" t="s">
        <v>69</v>
      </c>
      <c r="AW814" t="s">
        <v>11849</v>
      </c>
      <c r="AX814" t="s">
        <v>11850</v>
      </c>
      <c r="AY814" t="s">
        <v>6479</v>
      </c>
      <c r="AZ814">
        <v>2021</v>
      </c>
      <c r="BA814">
        <v>30</v>
      </c>
      <c r="BB814">
        <v>60</v>
      </c>
      <c r="BC814" t="s">
        <v>69</v>
      </c>
      <c r="BD814" t="s">
        <v>69</v>
      </c>
      <c r="BE814" t="s">
        <v>69</v>
      </c>
      <c r="BF814" t="s">
        <v>69</v>
      </c>
      <c r="BG814">
        <v>251</v>
      </c>
      <c r="BH814">
        <v>269</v>
      </c>
      <c r="BI814" t="s">
        <v>69</v>
      </c>
      <c r="BJ814" t="s">
        <v>11851</v>
      </c>
      <c r="BK814" t="str">
        <f>HYPERLINK("http://dx.doi.org/10.20983/noesis.2021.2.12","http://dx.doi.org/10.20983/noesis.2021.2.12")</f>
        <v>http://dx.doi.org/10.20983/noesis.2021.2.12</v>
      </c>
      <c r="BL814" t="s">
        <v>69</v>
      </c>
      <c r="BM814" t="s">
        <v>69</v>
      </c>
      <c r="BN814">
        <v>19</v>
      </c>
      <c r="BO814" t="s">
        <v>10299</v>
      </c>
      <c r="BP814" t="s">
        <v>8573</v>
      </c>
      <c r="BQ814" t="s">
        <v>10279</v>
      </c>
      <c r="BR814" t="s">
        <v>11852</v>
      </c>
      <c r="BS814" t="s">
        <v>11854</v>
      </c>
      <c r="BT814" t="s">
        <v>69</v>
      </c>
      <c r="BU814" t="s">
        <v>11853</v>
      </c>
      <c r="BV814" t="s">
        <v>69</v>
      </c>
      <c r="BW814" t="s">
        <v>69</v>
      </c>
      <c r="BX814" t="s">
        <v>8526</v>
      </c>
      <c r="BY814" t="str">
        <f>HYPERLINK("https%3A%2F%2Fwww.webofscience.com%2Fwos%2Fwoscc%2Ffull-record%2FWOS:000768955400012","View Full Record in Web of Science")</f>
        <v>View Full Record in Web of Science</v>
      </c>
    </row>
    <row r="815" spans="1:77" ht="12.5" x14ac:dyDescent="0.25">
      <c r="A815" t="s">
        <v>8495</v>
      </c>
      <c r="B815" s="22" t="s">
        <v>32931</v>
      </c>
      <c r="C815" s="7"/>
      <c r="D815" s="7"/>
      <c r="E815" s="7"/>
      <c r="F815" t="s">
        <v>67</v>
      </c>
      <c r="G815" t="s">
        <v>30275</v>
      </c>
      <c r="H815" t="s">
        <v>69</v>
      </c>
      <c r="I815" t="s">
        <v>69</v>
      </c>
      <c r="J815" t="s">
        <v>69</v>
      </c>
      <c r="K815" t="s">
        <v>30276</v>
      </c>
      <c r="L815" t="s">
        <v>69</v>
      </c>
      <c r="M815" t="s">
        <v>69</v>
      </c>
      <c r="N815" t="s">
        <v>30277</v>
      </c>
      <c r="O815" t="s">
        <v>30278</v>
      </c>
      <c r="P815" t="s">
        <v>69</v>
      </c>
      <c r="Q815" t="s">
        <v>69</v>
      </c>
      <c r="R815" t="s">
        <v>8505</v>
      </c>
      <c r="S815" t="s">
        <v>8506</v>
      </c>
      <c r="T815" t="s">
        <v>69</v>
      </c>
      <c r="U815" t="s">
        <v>69</v>
      </c>
      <c r="V815" t="s">
        <v>69</v>
      </c>
      <c r="W815" t="s">
        <v>69</v>
      </c>
      <c r="X815" t="s">
        <v>69</v>
      </c>
      <c r="Y815" t="s">
        <v>30279</v>
      </c>
      <c r="Z815" t="s">
        <v>69</v>
      </c>
      <c r="AA815" t="s">
        <v>30280</v>
      </c>
      <c r="AB815" t="s">
        <v>30281</v>
      </c>
      <c r="AC815" t="s">
        <v>69</v>
      </c>
      <c r="AD815" t="s">
        <v>30282</v>
      </c>
      <c r="AE815" t="s">
        <v>69</v>
      </c>
      <c r="AF815" t="s">
        <v>30283</v>
      </c>
      <c r="AG815" t="s">
        <v>30284</v>
      </c>
      <c r="AH815" t="s">
        <v>69</v>
      </c>
      <c r="AI815" t="s">
        <v>69</v>
      </c>
      <c r="AJ815" t="s">
        <v>69</v>
      </c>
      <c r="AK815" t="s">
        <v>69</v>
      </c>
      <c r="AL815">
        <v>14</v>
      </c>
      <c r="AM815">
        <v>2</v>
      </c>
      <c r="AN815">
        <v>2</v>
      </c>
      <c r="AO815">
        <v>0</v>
      </c>
      <c r="AP815">
        <v>0</v>
      </c>
      <c r="AQ815" t="s">
        <v>11360</v>
      </c>
      <c r="AR815" t="s">
        <v>11361</v>
      </c>
      <c r="AS815" t="s">
        <v>11362</v>
      </c>
      <c r="AT815" t="s">
        <v>30285</v>
      </c>
      <c r="AU815" t="s">
        <v>69</v>
      </c>
      <c r="AV815" t="s">
        <v>69</v>
      </c>
      <c r="AW815" t="s">
        <v>30286</v>
      </c>
      <c r="AX815" t="s">
        <v>30287</v>
      </c>
      <c r="AY815" t="s">
        <v>586</v>
      </c>
      <c r="AZ815">
        <v>2006</v>
      </c>
      <c r="BA815">
        <v>6</v>
      </c>
      <c r="BB815">
        <v>1</v>
      </c>
      <c r="BC815" t="s">
        <v>69</v>
      </c>
      <c r="BD815" t="s">
        <v>69</v>
      </c>
      <c r="BE815" t="s">
        <v>69</v>
      </c>
      <c r="BF815" t="s">
        <v>69</v>
      </c>
      <c r="BG815" t="s">
        <v>69</v>
      </c>
      <c r="BH815" t="s">
        <v>69</v>
      </c>
      <c r="BI815">
        <v>4</v>
      </c>
      <c r="BJ815" t="s">
        <v>30288</v>
      </c>
      <c r="BK815" t="str">
        <f>HYPERLINK("http://dx.doi.org/10.2202/1553-779X.1134","http://dx.doi.org/10.2202/1553-779X.1134")</f>
        <v>http://dx.doi.org/10.2202/1553-779X.1134</v>
      </c>
      <c r="BL815" t="s">
        <v>69</v>
      </c>
      <c r="BM815" t="s">
        <v>69</v>
      </c>
      <c r="BN815">
        <v>14</v>
      </c>
      <c r="BO815" t="s">
        <v>22702</v>
      </c>
      <c r="BP815" t="s">
        <v>8573</v>
      </c>
      <c r="BQ815" t="s">
        <v>8445</v>
      </c>
      <c r="BR815" t="s">
        <v>30289</v>
      </c>
      <c r="BS815" t="s">
        <v>30290</v>
      </c>
      <c r="BT815" t="s">
        <v>69</v>
      </c>
      <c r="BU815" t="s">
        <v>69</v>
      </c>
      <c r="BV815" t="s">
        <v>69</v>
      </c>
      <c r="BW815" t="s">
        <v>69</v>
      </c>
      <c r="BX815" t="s">
        <v>8526</v>
      </c>
      <c r="BY815" t="str">
        <f>HYPERLINK("https%3A%2F%2Fwww.webofscience.com%2Fwos%2Fwoscc%2Ffull-record%2FWOS:000212961800004","View Full Record in Web of Science")</f>
        <v>View Full Record in Web of Science</v>
      </c>
    </row>
    <row r="816" spans="1:77" ht="12.5" x14ac:dyDescent="0.25">
      <c r="A816" t="s">
        <v>8495</v>
      </c>
      <c r="B816" s="7" t="s">
        <v>32933</v>
      </c>
      <c r="C816" s="7"/>
      <c r="D816" s="7"/>
      <c r="E816" s="7"/>
      <c r="F816" t="s">
        <v>67</v>
      </c>
      <c r="G816" t="s">
        <v>867</v>
      </c>
      <c r="H816" t="s">
        <v>69</v>
      </c>
      <c r="I816" t="s">
        <v>69</v>
      </c>
      <c r="J816" t="s">
        <v>69</v>
      </c>
      <c r="K816" t="s">
        <v>868</v>
      </c>
      <c r="L816" t="s">
        <v>69</v>
      </c>
      <c r="M816" t="s">
        <v>69</v>
      </c>
      <c r="N816" t="s">
        <v>869</v>
      </c>
      <c r="O816" t="s">
        <v>870</v>
      </c>
      <c r="P816" t="s">
        <v>69</v>
      </c>
      <c r="Q816" t="s">
        <v>69</v>
      </c>
      <c r="R816" t="s">
        <v>8505</v>
      </c>
      <c r="S816" t="s">
        <v>8506</v>
      </c>
      <c r="T816" t="s">
        <v>69</v>
      </c>
      <c r="U816" t="s">
        <v>69</v>
      </c>
      <c r="V816" t="s">
        <v>69</v>
      </c>
      <c r="W816" t="s">
        <v>69</v>
      </c>
      <c r="X816" t="s">
        <v>69</v>
      </c>
      <c r="Y816" t="s">
        <v>16461</v>
      </c>
      <c r="Z816" t="s">
        <v>16462</v>
      </c>
      <c r="AA816" t="s">
        <v>871</v>
      </c>
      <c r="AB816" t="s">
        <v>16463</v>
      </c>
      <c r="AC816" t="s">
        <v>69</v>
      </c>
      <c r="AD816" t="s">
        <v>16464</v>
      </c>
      <c r="AE816" t="s">
        <v>16465</v>
      </c>
      <c r="AF816" t="s">
        <v>69</v>
      </c>
      <c r="AG816" t="s">
        <v>69</v>
      </c>
      <c r="AH816" t="s">
        <v>69</v>
      </c>
      <c r="AI816" t="s">
        <v>69</v>
      </c>
      <c r="AJ816" t="s">
        <v>69</v>
      </c>
      <c r="AK816" t="s">
        <v>69</v>
      </c>
      <c r="AL816">
        <v>48</v>
      </c>
      <c r="AM816">
        <v>2</v>
      </c>
      <c r="AN816">
        <v>2</v>
      </c>
      <c r="AO816">
        <v>0</v>
      </c>
      <c r="AP816">
        <v>6</v>
      </c>
      <c r="AQ816" t="s">
        <v>8586</v>
      </c>
      <c r="AR816" t="s">
        <v>8587</v>
      </c>
      <c r="AS816" t="s">
        <v>8588</v>
      </c>
      <c r="AT816" t="s">
        <v>872</v>
      </c>
      <c r="AU816" t="s">
        <v>873</v>
      </c>
      <c r="AV816" t="s">
        <v>69</v>
      </c>
      <c r="AW816" t="s">
        <v>16466</v>
      </c>
      <c r="AX816" t="s">
        <v>16467</v>
      </c>
      <c r="AY816" t="s">
        <v>874</v>
      </c>
      <c r="AZ816">
        <v>2019</v>
      </c>
      <c r="BA816">
        <v>13</v>
      </c>
      <c r="BB816">
        <v>4</v>
      </c>
      <c r="BC816" t="s">
        <v>69</v>
      </c>
      <c r="BD816" t="s">
        <v>69</v>
      </c>
      <c r="BE816" t="s">
        <v>69</v>
      </c>
      <c r="BF816" t="s">
        <v>69</v>
      </c>
      <c r="BG816">
        <v>533</v>
      </c>
      <c r="BH816">
        <v>552</v>
      </c>
      <c r="BI816" t="s">
        <v>69</v>
      </c>
      <c r="BJ816" t="s">
        <v>875</v>
      </c>
      <c r="BK816" t="str">
        <f>HYPERLINK("http://dx.doi.org/10.1108/IJHMA-08-2019-0081","http://dx.doi.org/10.1108/IJHMA-08-2019-0081")</f>
        <v>http://dx.doi.org/10.1108/IJHMA-08-2019-0081</v>
      </c>
      <c r="BL816" t="s">
        <v>69</v>
      </c>
      <c r="BM816" t="s">
        <v>876</v>
      </c>
      <c r="BN816">
        <v>20</v>
      </c>
      <c r="BO816" t="s">
        <v>8475</v>
      </c>
      <c r="BP816" t="s">
        <v>8573</v>
      </c>
      <c r="BQ816" t="s">
        <v>8475</v>
      </c>
      <c r="BR816" t="s">
        <v>16468</v>
      </c>
      <c r="BS816" t="s">
        <v>877</v>
      </c>
      <c r="BT816" t="s">
        <v>69</v>
      </c>
      <c r="BU816" t="s">
        <v>69</v>
      </c>
      <c r="BV816" t="s">
        <v>69</v>
      </c>
      <c r="BW816" t="s">
        <v>69</v>
      </c>
      <c r="BX816" t="s">
        <v>8526</v>
      </c>
      <c r="BY816" t="str">
        <f>HYPERLINK("https%3A%2F%2Fwww.webofscience.com%2Fwos%2Fwoscc%2Ffull-record%2FWOS:000511978800001","View Full Record in Web of Science")</f>
        <v>View Full Record in Web of Science</v>
      </c>
    </row>
    <row r="817" spans="1:77" ht="12.5" x14ac:dyDescent="0.25">
      <c r="A817" t="s">
        <v>8495</v>
      </c>
      <c r="B817" s="7" t="s">
        <v>32933</v>
      </c>
      <c r="C817" s="7"/>
      <c r="D817" s="7"/>
      <c r="E817" s="7"/>
      <c r="F817" t="s">
        <v>67</v>
      </c>
      <c r="G817" t="s">
        <v>2657</v>
      </c>
      <c r="H817" t="s">
        <v>69</v>
      </c>
      <c r="I817" t="s">
        <v>69</v>
      </c>
      <c r="J817" t="s">
        <v>69</v>
      </c>
      <c r="K817" t="s">
        <v>2658</v>
      </c>
      <c r="L817" t="s">
        <v>69</v>
      </c>
      <c r="M817" t="s">
        <v>69</v>
      </c>
      <c r="N817" t="s">
        <v>2659</v>
      </c>
      <c r="O817" t="s">
        <v>2660</v>
      </c>
      <c r="P817" t="s">
        <v>69</v>
      </c>
      <c r="Q817" t="s">
        <v>69</v>
      </c>
      <c r="R817" t="s">
        <v>8505</v>
      </c>
      <c r="S817" t="s">
        <v>8506</v>
      </c>
      <c r="T817" t="s">
        <v>69</v>
      </c>
      <c r="U817" t="s">
        <v>69</v>
      </c>
      <c r="V817" t="s">
        <v>69</v>
      </c>
      <c r="W817" t="s">
        <v>69</v>
      </c>
      <c r="X817" t="s">
        <v>69</v>
      </c>
      <c r="Y817" t="s">
        <v>20628</v>
      </c>
      <c r="Z817" t="s">
        <v>20629</v>
      </c>
      <c r="AA817" t="s">
        <v>2661</v>
      </c>
      <c r="AB817" t="s">
        <v>20630</v>
      </c>
      <c r="AC817" t="s">
        <v>69</v>
      </c>
      <c r="AD817" t="s">
        <v>20631</v>
      </c>
      <c r="AE817" t="s">
        <v>20632</v>
      </c>
      <c r="AF817" t="s">
        <v>20633</v>
      </c>
      <c r="AG817" t="s">
        <v>20634</v>
      </c>
      <c r="AH817" t="s">
        <v>20635</v>
      </c>
      <c r="AI817" t="s">
        <v>20636</v>
      </c>
      <c r="AJ817" t="s">
        <v>20637</v>
      </c>
      <c r="AK817" t="s">
        <v>69</v>
      </c>
      <c r="AL817">
        <v>56</v>
      </c>
      <c r="AM817">
        <v>15</v>
      </c>
      <c r="AN817">
        <v>15</v>
      </c>
      <c r="AO817">
        <v>8</v>
      </c>
      <c r="AP817">
        <v>28</v>
      </c>
      <c r="AQ817" t="s">
        <v>9203</v>
      </c>
      <c r="AR817" t="s">
        <v>8763</v>
      </c>
      <c r="AS817" t="s">
        <v>9204</v>
      </c>
      <c r="AT817" t="s">
        <v>69</v>
      </c>
      <c r="AU817" t="s">
        <v>2662</v>
      </c>
      <c r="AV817" t="s">
        <v>69</v>
      </c>
      <c r="AW817" t="s">
        <v>20638</v>
      </c>
      <c r="AX817" t="s">
        <v>20639</v>
      </c>
      <c r="AY817" t="s">
        <v>69</v>
      </c>
      <c r="AZ817">
        <v>2017</v>
      </c>
      <c r="BA817">
        <v>6</v>
      </c>
      <c r="BB817">
        <v>1</v>
      </c>
      <c r="BC817" t="s">
        <v>69</v>
      </c>
      <c r="BD817" t="s">
        <v>69</v>
      </c>
      <c r="BE817" t="s">
        <v>69</v>
      </c>
      <c r="BF817" t="s">
        <v>69</v>
      </c>
      <c r="BG817" t="s">
        <v>69</v>
      </c>
      <c r="BH817" t="s">
        <v>69</v>
      </c>
      <c r="BI817">
        <v>24</v>
      </c>
      <c r="BJ817" t="s">
        <v>2663</v>
      </c>
      <c r="BK817" t="str">
        <f>HYPERLINK("http://dx.doi.org/10.1186/s13750-017-0103-1","http://dx.doi.org/10.1186/s13750-017-0103-1")</f>
        <v>http://dx.doi.org/10.1186/s13750-017-0103-1</v>
      </c>
      <c r="BL817" t="s">
        <v>69</v>
      </c>
      <c r="BM817" t="s">
        <v>69</v>
      </c>
      <c r="BN817">
        <v>16</v>
      </c>
      <c r="BO817" t="s">
        <v>8717</v>
      </c>
      <c r="BP817" t="s">
        <v>8548</v>
      </c>
      <c r="BQ817" t="s">
        <v>8662</v>
      </c>
      <c r="BR817" t="s">
        <v>20640</v>
      </c>
      <c r="BS817" t="s">
        <v>2664</v>
      </c>
      <c r="BT817" t="s">
        <v>69</v>
      </c>
      <c r="BU817" t="s">
        <v>14771</v>
      </c>
      <c r="BV817" t="s">
        <v>69</v>
      </c>
      <c r="BW817" t="s">
        <v>69</v>
      </c>
      <c r="BX817" t="s">
        <v>8526</v>
      </c>
      <c r="BY817" t="str">
        <f>HYPERLINK("https%3A%2F%2Fwww.webofscience.com%2Fwos%2Fwoscc%2Ffull-record%2FWOS:000449407900024","View Full Record in Web of Science")</f>
        <v>View Full Record in Web of Science</v>
      </c>
    </row>
    <row r="818" spans="1:77" ht="12.5" x14ac:dyDescent="0.25">
      <c r="A818" t="s">
        <v>8495</v>
      </c>
      <c r="B818" s="22" t="s">
        <v>32931</v>
      </c>
      <c r="C818" s="7"/>
      <c r="D818" s="7"/>
      <c r="E818" s="7"/>
      <c r="F818" t="s">
        <v>67</v>
      </c>
      <c r="G818" t="s">
        <v>12420</v>
      </c>
      <c r="H818" t="s">
        <v>69</v>
      </c>
      <c r="I818" t="s">
        <v>69</v>
      </c>
      <c r="J818" t="s">
        <v>69</v>
      </c>
      <c r="K818" t="s">
        <v>12421</v>
      </c>
      <c r="L818" t="s">
        <v>69</v>
      </c>
      <c r="M818" t="s">
        <v>69</v>
      </c>
      <c r="N818" t="s">
        <v>12422</v>
      </c>
      <c r="O818" t="s">
        <v>12423</v>
      </c>
      <c r="P818" t="s">
        <v>69</v>
      </c>
      <c r="Q818" t="s">
        <v>69</v>
      </c>
      <c r="R818" t="s">
        <v>8505</v>
      </c>
      <c r="S818" t="s">
        <v>8506</v>
      </c>
      <c r="T818" t="s">
        <v>69</v>
      </c>
      <c r="U818" t="s">
        <v>69</v>
      </c>
      <c r="V818" t="s">
        <v>69</v>
      </c>
      <c r="W818" t="s">
        <v>69</v>
      </c>
      <c r="X818" t="s">
        <v>69</v>
      </c>
      <c r="Y818" t="s">
        <v>12424</v>
      </c>
      <c r="Z818" t="s">
        <v>69</v>
      </c>
      <c r="AA818" t="s">
        <v>12425</v>
      </c>
      <c r="AB818" t="s">
        <v>12426</v>
      </c>
      <c r="AC818" t="s">
        <v>69</v>
      </c>
      <c r="AD818" t="s">
        <v>12427</v>
      </c>
      <c r="AE818" t="s">
        <v>12428</v>
      </c>
      <c r="AF818" t="s">
        <v>69</v>
      </c>
      <c r="AG818" t="s">
        <v>12429</v>
      </c>
      <c r="AH818" t="s">
        <v>12430</v>
      </c>
      <c r="AI818" t="s">
        <v>12431</v>
      </c>
      <c r="AJ818" t="s">
        <v>12432</v>
      </c>
      <c r="AK818" t="s">
        <v>69</v>
      </c>
      <c r="AL818">
        <v>48</v>
      </c>
      <c r="AM818">
        <v>3</v>
      </c>
      <c r="AN818">
        <v>3</v>
      </c>
      <c r="AO818">
        <v>5</v>
      </c>
      <c r="AP818">
        <v>7</v>
      </c>
      <c r="AQ818" t="s">
        <v>8586</v>
      </c>
      <c r="AR818" t="s">
        <v>8587</v>
      </c>
      <c r="AS818" t="s">
        <v>8588</v>
      </c>
      <c r="AT818" t="s">
        <v>12433</v>
      </c>
      <c r="AU818" t="s">
        <v>12434</v>
      </c>
      <c r="AV818" t="s">
        <v>69</v>
      </c>
      <c r="AW818" t="s">
        <v>12435</v>
      </c>
      <c r="AX818" t="s">
        <v>12436</v>
      </c>
      <c r="AY818" t="s">
        <v>12437</v>
      </c>
      <c r="AZ818">
        <v>2021</v>
      </c>
      <c r="BA818">
        <v>15</v>
      </c>
      <c r="BB818">
        <v>3</v>
      </c>
      <c r="BC818" t="s">
        <v>69</v>
      </c>
      <c r="BD818" t="s">
        <v>69</v>
      </c>
      <c r="BE818" t="s">
        <v>69</v>
      </c>
      <c r="BF818" t="s">
        <v>69</v>
      </c>
      <c r="BG818">
        <v>800</v>
      </c>
      <c r="BH818">
        <v>822</v>
      </c>
      <c r="BI818" t="s">
        <v>69</v>
      </c>
      <c r="BJ818" t="s">
        <v>12438</v>
      </c>
      <c r="BK818" t="str">
        <f>HYPERLINK("http://dx.doi.org/10.1108/ARCH-11-2020-0276","http://dx.doi.org/10.1108/ARCH-11-2020-0276")</f>
        <v>http://dx.doi.org/10.1108/ARCH-11-2020-0276</v>
      </c>
      <c r="BL818" t="s">
        <v>69</v>
      </c>
      <c r="BM818" t="s">
        <v>12312</v>
      </c>
      <c r="BN818">
        <v>23</v>
      </c>
      <c r="BO818" t="s">
        <v>8449</v>
      </c>
      <c r="BP818" t="s">
        <v>11207</v>
      </c>
      <c r="BQ818" t="s">
        <v>8449</v>
      </c>
      <c r="BR818" t="s">
        <v>12439</v>
      </c>
      <c r="BS818" t="s">
        <v>12440</v>
      </c>
      <c r="BT818" t="s">
        <v>69</v>
      </c>
      <c r="BU818" t="s">
        <v>9292</v>
      </c>
      <c r="BV818" t="s">
        <v>69</v>
      </c>
      <c r="BW818" t="s">
        <v>69</v>
      </c>
      <c r="BX818" t="s">
        <v>8526</v>
      </c>
      <c r="BY818" t="str">
        <f>HYPERLINK("https%3A%2F%2Fwww.webofscience.com%2Fwos%2Fwoscc%2Ffull-record%2FWOS:000637673000001","View Full Record in Web of Science")</f>
        <v>View Full Record in Web of Science</v>
      </c>
    </row>
    <row r="819" spans="1:77" ht="12.5" x14ac:dyDescent="0.25">
      <c r="A819" t="s">
        <v>8495</v>
      </c>
      <c r="B819" s="7" t="s">
        <v>32933</v>
      </c>
      <c r="C819" s="7"/>
      <c r="D819" s="7"/>
      <c r="E819" s="7"/>
      <c r="F819" t="s">
        <v>67</v>
      </c>
      <c r="G819" t="s">
        <v>3343</v>
      </c>
      <c r="H819" t="s">
        <v>69</v>
      </c>
      <c r="I819" t="s">
        <v>69</v>
      </c>
      <c r="J819" t="s">
        <v>69</v>
      </c>
      <c r="K819" t="s">
        <v>3344</v>
      </c>
      <c r="L819" t="s">
        <v>69</v>
      </c>
      <c r="M819" t="s">
        <v>69</v>
      </c>
      <c r="N819" t="s">
        <v>3345</v>
      </c>
      <c r="O819" t="s">
        <v>3346</v>
      </c>
      <c r="P819" t="s">
        <v>69</v>
      </c>
      <c r="Q819" t="s">
        <v>69</v>
      </c>
      <c r="R819" t="s">
        <v>8505</v>
      </c>
      <c r="S819" t="s">
        <v>8506</v>
      </c>
      <c r="T819" t="s">
        <v>69</v>
      </c>
      <c r="U819" t="s">
        <v>69</v>
      </c>
      <c r="V819" t="s">
        <v>69</v>
      </c>
      <c r="W819" t="s">
        <v>69</v>
      </c>
      <c r="X819" t="s">
        <v>69</v>
      </c>
      <c r="Y819" t="s">
        <v>25237</v>
      </c>
      <c r="Z819" t="s">
        <v>25238</v>
      </c>
      <c r="AA819" t="s">
        <v>3347</v>
      </c>
      <c r="AB819" t="s">
        <v>25239</v>
      </c>
      <c r="AC819" t="s">
        <v>69</v>
      </c>
      <c r="AD819" t="s">
        <v>25240</v>
      </c>
      <c r="AE819" t="s">
        <v>25241</v>
      </c>
      <c r="AF819" t="s">
        <v>3348</v>
      </c>
      <c r="AG819" t="s">
        <v>25242</v>
      </c>
      <c r="AH819" t="s">
        <v>25243</v>
      </c>
      <c r="AI819" t="s">
        <v>25244</v>
      </c>
      <c r="AJ819" t="s">
        <v>25245</v>
      </c>
      <c r="AK819" t="s">
        <v>69</v>
      </c>
      <c r="AL819">
        <v>29</v>
      </c>
      <c r="AM819">
        <v>20</v>
      </c>
      <c r="AN819">
        <v>20</v>
      </c>
      <c r="AO819">
        <v>4</v>
      </c>
      <c r="AP819">
        <v>25</v>
      </c>
      <c r="AQ819" t="s">
        <v>9145</v>
      </c>
      <c r="AR819" t="s">
        <v>8637</v>
      </c>
      <c r="AS819" t="s">
        <v>9146</v>
      </c>
      <c r="AT819" t="s">
        <v>3349</v>
      </c>
      <c r="AU819" t="s">
        <v>69</v>
      </c>
      <c r="AV819" t="s">
        <v>69</v>
      </c>
      <c r="AW819" t="s">
        <v>25246</v>
      </c>
      <c r="AX819" t="s">
        <v>25247</v>
      </c>
      <c r="AY819" t="s">
        <v>3350</v>
      </c>
      <c r="AZ819">
        <v>2013</v>
      </c>
      <c r="BA819">
        <v>38</v>
      </c>
      <c r="BB819">
        <v>1</v>
      </c>
      <c r="BC819" t="s">
        <v>69</v>
      </c>
      <c r="BD819" t="s">
        <v>69</v>
      </c>
      <c r="BE819" t="s">
        <v>69</v>
      </c>
      <c r="BF819" t="s">
        <v>69</v>
      </c>
      <c r="BG819">
        <v>453</v>
      </c>
      <c r="BH819">
        <v>468</v>
      </c>
      <c r="BI819" t="s">
        <v>69</v>
      </c>
      <c r="BJ819" t="s">
        <v>3351</v>
      </c>
      <c r="BK819" t="str">
        <f>HYPERLINK("http://dx.doi.org/10.1016/j.ijhydene.2012.09.066","http://dx.doi.org/10.1016/j.ijhydene.2012.09.066")</f>
        <v>http://dx.doi.org/10.1016/j.ijhydene.2012.09.066</v>
      </c>
      <c r="BL819" t="s">
        <v>69</v>
      </c>
      <c r="BM819" t="s">
        <v>69</v>
      </c>
      <c r="BN819">
        <v>16</v>
      </c>
      <c r="BO819" t="s">
        <v>25248</v>
      </c>
      <c r="BP819" t="s">
        <v>8548</v>
      </c>
      <c r="BQ819" t="s">
        <v>25249</v>
      </c>
      <c r="BR819" t="s">
        <v>25250</v>
      </c>
      <c r="BS819" t="s">
        <v>3352</v>
      </c>
      <c r="BT819" t="s">
        <v>69</v>
      </c>
      <c r="BU819" t="s">
        <v>69</v>
      </c>
      <c r="BV819" t="s">
        <v>69</v>
      </c>
      <c r="BW819" t="s">
        <v>69</v>
      </c>
      <c r="BX819" t="s">
        <v>8526</v>
      </c>
      <c r="BY819" t="str">
        <f>HYPERLINK("https%3A%2F%2Fwww.webofscience.com%2Fwos%2Fwoscc%2Ffull-record%2FWOS:000315001500052","View Full Record in Web of Science")</f>
        <v>View Full Record in Web of Science</v>
      </c>
    </row>
    <row r="820" spans="1:77" ht="12.5" x14ac:dyDescent="0.25">
      <c r="A820" t="s">
        <v>8495</v>
      </c>
      <c r="B820" s="22" t="s">
        <v>32931</v>
      </c>
      <c r="C820" s="7"/>
      <c r="D820" s="7"/>
      <c r="E820" s="7"/>
      <c r="F820" t="s">
        <v>67</v>
      </c>
      <c r="G820" t="s">
        <v>9233</v>
      </c>
      <c r="H820" t="s">
        <v>69</v>
      </c>
      <c r="I820" t="s">
        <v>69</v>
      </c>
      <c r="J820" t="s">
        <v>69</v>
      </c>
      <c r="K820" t="s">
        <v>9234</v>
      </c>
      <c r="L820" t="s">
        <v>69</v>
      </c>
      <c r="M820" t="s">
        <v>69</v>
      </c>
      <c r="N820" t="s">
        <v>9235</v>
      </c>
      <c r="O820" t="s">
        <v>436</v>
      </c>
      <c r="P820" t="s">
        <v>69</v>
      </c>
      <c r="Q820" t="s">
        <v>69</v>
      </c>
      <c r="R820" t="s">
        <v>8505</v>
      </c>
      <c r="S820" t="s">
        <v>8506</v>
      </c>
      <c r="T820" t="s">
        <v>69</v>
      </c>
      <c r="U820" t="s">
        <v>69</v>
      </c>
      <c r="V820" t="s">
        <v>69</v>
      </c>
      <c r="W820" t="s">
        <v>69</v>
      </c>
      <c r="X820" t="s">
        <v>69</v>
      </c>
      <c r="Y820" t="s">
        <v>9236</v>
      </c>
      <c r="Z820" t="s">
        <v>9237</v>
      </c>
      <c r="AA820" t="s">
        <v>9238</v>
      </c>
      <c r="AB820" t="s">
        <v>9239</v>
      </c>
      <c r="AC820" t="s">
        <v>69</v>
      </c>
      <c r="AD820" t="s">
        <v>9240</v>
      </c>
      <c r="AE820" t="s">
        <v>9241</v>
      </c>
      <c r="AF820" t="s">
        <v>69</v>
      </c>
      <c r="AG820" t="s">
        <v>69</v>
      </c>
      <c r="AH820" t="s">
        <v>9242</v>
      </c>
      <c r="AI820" t="s">
        <v>9243</v>
      </c>
      <c r="AJ820" t="s">
        <v>9244</v>
      </c>
      <c r="AK820" t="s">
        <v>69</v>
      </c>
      <c r="AL820">
        <v>36</v>
      </c>
      <c r="AM820">
        <v>0</v>
      </c>
      <c r="AN820">
        <v>0</v>
      </c>
      <c r="AO820">
        <v>2</v>
      </c>
      <c r="AP820">
        <v>2</v>
      </c>
      <c r="AQ820" t="s">
        <v>8636</v>
      </c>
      <c r="AR820" t="s">
        <v>8637</v>
      </c>
      <c r="AS820" t="s">
        <v>8638</v>
      </c>
      <c r="AT820" t="s">
        <v>440</v>
      </c>
      <c r="AU820" t="s">
        <v>441</v>
      </c>
      <c r="AV820" t="s">
        <v>69</v>
      </c>
      <c r="AW820" t="s">
        <v>8639</v>
      </c>
      <c r="AX820" t="s">
        <v>8640</v>
      </c>
      <c r="AY820" t="s">
        <v>9245</v>
      </c>
      <c r="AZ820">
        <v>2022</v>
      </c>
      <c r="BA820">
        <v>346</v>
      </c>
      <c r="BB820" t="s">
        <v>69</v>
      </c>
      <c r="BC820" t="s">
        <v>69</v>
      </c>
      <c r="BD820" t="s">
        <v>69</v>
      </c>
      <c r="BE820" t="s">
        <v>69</v>
      </c>
      <c r="BF820" t="s">
        <v>69</v>
      </c>
      <c r="BG820" t="s">
        <v>69</v>
      </c>
      <c r="BH820" t="s">
        <v>69</v>
      </c>
      <c r="BI820">
        <v>131014</v>
      </c>
      <c r="BJ820" t="s">
        <v>9246</v>
      </c>
      <c r="BK820" t="str">
        <f>HYPERLINK("http://dx.doi.org/10.1016/j.jclepro.2022.131014","http://dx.doi.org/10.1016/j.jclepro.2022.131014")</f>
        <v>http://dx.doi.org/10.1016/j.jclepro.2022.131014</v>
      </c>
      <c r="BL820" t="s">
        <v>69</v>
      </c>
      <c r="BM820" t="s">
        <v>69</v>
      </c>
      <c r="BN820">
        <v>22</v>
      </c>
      <c r="BO820" t="s">
        <v>8643</v>
      </c>
      <c r="BP820" t="s">
        <v>8523</v>
      </c>
      <c r="BQ820" t="s">
        <v>8644</v>
      </c>
      <c r="BR820" t="s">
        <v>9247</v>
      </c>
      <c r="BS820" t="s">
        <v>9248</v>
      </c>
      <c r="BT820" t="s">
        <v>69</v>
      </c>
      <c r="BU820" t="s">
        <v>8746</v>
      </c>
      <c r="BV820" t="s">
        <v>69</v>
      </c>
      <c r="BW820" t="s">
        <v>69</v>
      </c>
      <c r="BX820" t="s">
        <v>8526</v>
      </c>
      <c r="BY820" t="str">
        <f>HYPERLINK("https%3A%2F%2Fwww.webofscience.com%2Fwos%2Fwoscc%2Ffull-record%2FWOS:000789482500003","View Full Record in Web of Science")</f>
        <v>View Full Record in Web of Science</v>
      </c>
    </row>
    <row r="821" spans="1:77" ht="12.5" x14ac:dyDescent="0.25">
      <c r="A821" t="s">
        <v>8495</v>
      </c>
      <c r="B821" s="22" t="s">
        <v>32931</v>
      </c>
      <c r="C821" s="7"/>
      <c r="D821" s="7"/>
      <c r="E821" s="7"/>
      <c r="F821" t="s">
        <v>67</v>
      </c>
      <c r="G821" t="s">
        <v>23155</v>
      </c>
      <c r="H821" t="s">
        <v>69</v>
      </c>
      <c r="I821" t="s">
        <v>69</v>
      </c>
      <c r="J821" t="s">
        <v>69</v>
      </c>
      <c r="K821" t="s">
        <v>23156</v>
      </c>
      <c r="L821" t="s">
        <v>69</v>
      </c>
      <c r="M821" t="s">
        <v>69</v>
      </c>
      <c r="N821" t="s">
        <v>23157</v>
      </c>
      <c r="O821" t="s">
        <v>23158</v>
      </c>
      <c r="P821" t="s">
        <v>69</v>
      </c>
      <c r="Q821" t="s">
        <v>69</v>
      </c>
      <c r="R821" t="s">
        <v>8505</v>
      </c>
      <c r="S821" t="s">
        <v>8506</v>
      </c>
      <c r="T821" t="s">
        <v>69</v>
      </c>
      <c r="U821" t="s">
        <v>69</v>
      </c>
      <c r="V821" t="s">
        <v>69</v>
      </c>
      <c r="W821" t="s">
        <v>69</v>
      </c>
      <c r="X821" t="s">
        <v>69</v>
      </c>
      <c r="Y821" t="s">
        <v>23159</v>
      </c>
      <c r="Z821" t="s">
        <v>69</v>
      </c>
      <c r="AA821" t="s">
        <v>23160</v>
      </c>
      <c r="AB821" t="s">
        <v>23161</v>
      </c>
      <c r="AC821" t="s">
        <v>69</v>
      </c>
      <c r="AD821" t="s">
        <v>23162</v>
      </c>
      <c r="AE821" t="s">
        <v>23163</v>
      </c>
      <c r="AF821" t="s">
        <v>23164</v>
      </c>
      <c r="AG821" t="s">
        <v>23165</v>
      </c>
      <c r="AH821" t="s">
        <v>69</v>
      </c>
      <c r="AI821" t="s">
        <v>69</v>
      </c>
      <c r="AJ821" t="s">
        <v>69</v>
      </c>
      <c r="AK821" t="s">
        <v>69</v>
      </c>
      <c r="AL821">
        <v>30</v>
      </c>
      <c r="AM821">
        <v>8</v>
      </c>
      <c r="AN821">
        <v>8</v>
      </c>
      <c r="AO821">
        <v>0</v>
      </c>
      <c r="AP821">
        <v>0</v>
      </c>
      <c r="AQ821" t="s">
        <v>15611</v>
      </c>
      <c r="AR821" t="s">
        <v>10924</v>
      </c>
      <c r="AS821" t="s">
        <v>15612</v>
      </c>
      <c r="AT821" t="s">
        <v>23166</v>
      </c>
      <c r="AU821" t="s">
        <v>23167</v>
      </c>
      <c r="AV821" t="s">
        <v>69</v>
      </c>
      <c r="AW821" t="s">
        <v>23168</v>
      </c>
      <c r="AX821" t="s">
        <v>23169</v>
      </c>
      <c r="AY821" t="s">
        <v>69</v>
      </c>
      <c r="AZ821">
        <v>2015</v>
      </c>
      <c r="BA821">
        <v>26</v>
      </c>
      <c r="BB821">
        <v>3</v>
      </c>
      <c r="BC821" t="s">
        <v>69</v>
      </c>
      <c r="BD821" t="s">
        <v>69</v>
      </c>
      <c r="BE821" t="s">
        <v>69</v>
      </c>
      <c r="BF821" t="s">
        <v>69</v>
      </c>
      <c r="BG821">
        <v>166</v>
      </c>
      <c r="BH821">
        <v>175</v>
      </c>
      <c r="BI821" t="s">
        <v>69</v>
      </c>
      <c r="BJ821" t="s">
        <v>23170</v>
      </c>
      <c r="BK821" t="str">
        <f>HYPERLINK("http://dx.doi.org/10.1080/14739879.2015.11494336","http://dx.doi.org/10.1080/14739879.2015.11494336")</f>
        <v>http://dx.doi.org/10.1080/14739879.2015.11494336</v>
      </c>
      <c r="BL821" t="s">
        <v>69</v>
      </c>
      <c r="BM821" t="s">
        <v>69</v>
      </c>
      <c r="BN821">
        <v>10</v>
      </c>
      <c r="BO821" t="s">
        <v>10546</v>
      </c>
      <c r="BP821" t="s">
        <v>8573</v>
      </c>
      <c r="BQ821" t="s">
        <v>9451</v>
      </c>
      <c r="BR821" t="s">
        <v>23171</v>
      </c>
      <c r="BS821" t="s">
        <v>23172</v>
      </c>
      <c r="BT821">
        <v>26092145</v>
      </c>
      <c r="BU821" t="s">
        <v>69</v>
      </c>
      <c r="BV821" t="s">
        <v>69</v>
      </c>
      <c r="BW821" t="s">
        <v>69</v>
      </c>
      <c r="BX821" t="s">
        <v>8526</v>
      </c>
      <c r="BY821" t="str">
        <f>HYPERLINK("https%3A%2F%2Fwww.webofscience.com%2Fwos%2Fwoscc%2Ffull-record%2FWOS:000442607500008","View Full Record in Web of Science")</f>
        <v>View Full Record in Web of Science</v>
      </c>
    </row>
    <row r="822" spans="1:77" ht="12.5" x14ac:dyDescent="0.25">
      <c r="A822" t="s">
        <v>8495</v>
      </c>
      <c r="B822" s="7" t="s">
        <v>32933</v>
      </c>
      <c r="C822" s="7"/>
      <c r="D822" s="7"/>
      <c r="E822" s="7"/>
      <c r="F822" t="s">
        <v>67</v>
      </c>
      <c r="G822" t="s">
        <v>6331</v>
      </c>
      <c r="H822" t="s">
        <v>69</v>
      </c>
      <c r="I822" t="s">
        <v>69</v>
      </c>
      <c r="J822" t="s">
        <v>69</v>
      </c>
      <c r="K822" t="s">
        <v>6332</v>
      </c>
      <c r="L822" t="s">
        <v>69</v>
      </c>
      <c r="M822" t="s">
        <v>69</v>
      </c>
      <c r="N822" t="s">
        <v>6333</v>
      </c>
      <c r="O822" t="s">
        <v>436</v>
      </c>
      <c r="P822" t="s">
        <v>69</v>
      </c>
      <c r="Q822" t="s">
        <v>69</v>
      </c>
      <c r="R822" t="s">
        <v>8505</v>
      </c>
      <c r="S822" t="s">
        <v>8506</v>
      </c>
      <c r="T822" t="s">
        <v>69</v>
      </c>
      <c r="U822" t="s">
        <v>69</v>
      </c>
      <c r="V822" t="s">
        <v>69</v>
      </c>
      <c r="W822" t="s">
        <v>69</v>
      </c>
      <c r="X822" t="s">
        <v>69</v>
      </c>
      <c r="Y822" t="s">
        <v>21865</v>
      </c>
      <c r="Z822" t="s">
        <v>21866</v>
      </c>
      <c r="AA822" t="s">
        <v>6334</v>
      </c>
      <c r="AB822" t="s">
        <v>21867</v>
      </c>
      <c r="AC822" t="s">
        <v>69</v>
      </c>
      <c r="AD822" t="s">
        <v>21868</v>
      </c>
      <c r="AE822" t="s">
        <v>21869</v>
      </c>
      <c r="AF822" t="s">
        <v>6335</v>
      </c>
      <c r="AG822" t="s">
        <v>6336</v>
      </c>
      <c r="AH822" t="s">
        <v>69</v>
      </c>
      <c r="AI822" t="s">
        <v>69</v>
      </c>
      <c r="AJ822" t="s">
        <v>69</v>
      </c>
      <c r="AK822" t="s">
        <v>69</v>
      </c>
      <c r="AL822">
        <v>86</v>
      </c>
      <c r="AM822">
        <v>45</v>
      </c>
      <c r="AN822">
        <v>48</v>
      </c>
      <c r="AO822">
        <v>3</v>
      </c>
      <c r="AP822">
        <v>80</v>
      </c>
      <c r="AQ822" t="s">
        <v>8636</v>
      </c>
      <c r="AR822" t="s">
        <v>8637</v>
      </c>
      <c r="AS822" t="s">
        <v>8638</v>
      </c>
      <c r="AT822" t="s">
        <v>440</v>
      </c>
      <c r="AU822" t="s">
        <v>441</v>
      </c>
      <c r="AV822" t="s">
        <v>69</v>
      </c>
      <c r="AW822" t="s">
        <v>8639</v>
      </c>
      <c r="AX822" t="s">
        <v>8640</v>
      </c>
      <c r="AY822" t="s">
        <v>6337</v>
      </c>
      <c r="AZ822">
        <v>2016</v>
      </c>
      <c r="BA822">
        <v>111</v>
      </c>
      <c r="BB822" t="s">
        <v>69</v>
      </c>
      <c r="BC822" t="s">
        <v>514</v>
      </c>
      <c r="BD822" t="s">
        <v>69</v>
      </c>
      <c r="BE822" t="s">
        <v>69</v>
      </c>
      <c r="BF822" t="s">
        <v>69</v>
      </c>
      <c r="BG822">
        <v>409</v>
      </c>
      <c r="BH822">
        <v>420</v>
      </c>
      <c r="BI822" t="s">
        <v>69</v>
      </c>
      <c r="BJ822" t="s">
        <v>6338</v>
      </c>
      <c r="BK822" t="str">
        <f>HYPERLINK("http://dx.doi.org/10.1016/j.jclepro.2015.01.095","http://dx.doi.org/10.1016/j.jclepro.2015.01.095")</f>
        <v>http://dx.doi.org/10.1016/j.jclepro.2015.01.095</v>
      </c>
      <c r="BL822" t="s">
        <v>69</v>
      </c>
      <c r="BM822" t="s">
        <v>69</v>
      </c>
      <c r="BN822">
        <v>12</v>
      </c>
      <c r="BO822" t="s">
        <v>8643</v>
      </c>
      <c r="BP822" t="s">
        <v>8523</v>
      </c>
      <c r="BQ822" t="s">
        <v>8644</v>
      </c>
      <c r="BR822" t="s">
        <v>21870</v>
      </c>
      <c r="BS822" t="s">
        <v>6339</v>
      </c>
      <c r="BT822" t="s">
        <v>69</v>
      </c>
      <c r="BU822" t="s">
        <v>69</v>
      </c>
      <c r="BV822" t="s">
        <v>69</v>
      </c>
      <c r="BW822" t="s">
        <v>69</v>
      </c>
      <c r="BX822" t="s">
        <v>8526</v>
      </c>
      <c r="BY822" t="str">
        <f>HYPERLINK("https%3A%2F%2Fwww.webofscience.com%2Fwos%2Fwoscc%2Ffull-record%2FWOS:000367862100012","View Full Record in Web of Science")</f>
        <v>View Full Record in Web of Science</v>
      </c>
    </row>
    <row r="823" spans="1:77" ht="12.5" x14ac:dyDescent="0.25">
      <c r="A823" t="s">
        <v>8495</v>
      </c>
      <c r="B823" s="22" t="s">
        <v>32931</v>
      </c>
      <c r="C823" s="7"/>
      <c r="D823" s="7"/>
      <c r="E823" s="7"/>
      <c r="F823" t="s">
        <v>67</v>
      </c>
      <c r="G823" t="s">
        <v>23845</v>
      </c>
      <c r="H823" t="s">
        <v>69</v>
      </c>
      <c r="I823" t="s">
        <v>69</v>
      </c>
      <c r="J823" t="s">
        <v>69</v>
      </c>
      <c r="K823" t="s">
        <v>23846</v>
      </c>
      <c r="L823" t="s">
        <v>69</v>
      </c>
      <c r="M823" t="s">
        <v>69</v>
      </c>
      <c r="N823" t="s">
        <v>23847</v>
      </c>
      <c r="O823" t="s">
        <v>23848</v>
      </c>
      <c r="P823" t="s">
        <v>69</v>
      </c>
      <c r="Q823" t="s">
        <v>69</v>
      </c>
      <c r="R823" t="s">
        <v>8505</v>
      </c>
      <c r="S823" t="s">
        <v>8506</v>
      </c>
      <c r="T823" t="s">
        <v>69</v>
      </c>
      <c r="U823" t="s">
        <v>69</v>
      </c>
      <c r="V823" t="s">
        <v>69</v>
      </c>
      <c r="W823" t="s">
        <v>69</v>
      </c>
      <c r="X823" t="s">
        <v>69</v>
      </c>
      <c r="Y823" t="s">
        <v>23849</v>
      </c>
      <c r="Z823" t="s">
        <v>17171</v>
      </c>
      <c r="AA823" t="s">
        <v>23850</v>
      </c>
      <c r="AB823" t="s">
        <v>23851</v>
      </c>
      <c r="AC823" t="s">
        <v>69</v>
      </c>
      <c r="AD823" t="s">
        <v>23852</v>
      </c>
      <c r="AE823" t="s">
        <v>23853</v>
      </c>
      <c r="AF823" t="s">
        <v>69</v>
      </c>
      <c r="AG823" t="s">
        <v>69</v>
      </c>
      <c r="AH823" t="s">
        <v>69</v>
      </c>
      <c r="AI823" t="s">
        <v>69</v>
      </c>
      <c r="AJ823" t="s">
        <v>69</v>
      </c>
      <c r="AK823" t="s">
        <v>69</v>
      </c>
      <c r="AL823">
        <v>70</v>
      </c>
      <c r="AM823">
        <v>4</v>
      </c>
      <c r="AN823">
        <v>4</v>
      </c>
      <c r="AO823">
        <v>0</v>
      </c>
      <c r="AP823">
        <v>13</v>
      </c>
      <c r="AQ823" t="s">
        <v>8865</v>
      </c>
      <c r="AR823" t="s">
        <v>8612</v>
      </c>
      <c r="AS823" t="s">
        <v>22341</v>
      </c>
      <c r="AT823" t="s">
        <v>23854</v>
      </c>
      <c r="AU823" t="s">
        <v>23855</v>
      </c>
      <c r="AV823" t="s">
        <v>69</v>
      </c>
      <c r="AW823" t="s">
        <v>23856</v>
      </c>
      <c r="AX823" t="s">
        <v>23857</v>
      </c>
      <c r="AY823" t="s">
        <v>4530</v>
      </c>
      <c r="AZ823">
        <v>2014</v>
      </c>
      <c r="BA823">
        <v>56</v>
      </c>
      <c r="BB823">
        <v>2</v>
      </c>
      <c r="BC823" t="s">
        <v>69</v>
      </c>
      <c r="BD823" t="s">
        <v>69</v>
      </c>
      <c r="BE823" t="s">
        <v>114</v>
      </c>
      <c r="BF823" t="s">
        <v>69</v>
      </c>
      <c r="BG823">
        <v>155</v>
      </c>
      <c r="BH823">
        <v>170</v>
      </c>
      <c r="BI823" t="s">
        <v>69</v>
      </c>
      <c r="BJ823" t="s">
        <v>23858</v>
      </c>
      <c r="BK823" t="str">
        <f>HYPERLINK("http://dx.doi.org/10.1080/00131881.2014.898912","http://dx.doi.org/10.1080/00131881.2014.898912")</f>
        <v>http://dx.doi.org/10.1080/00131881.2014.898912</v>
      </c>
      <c r="BL823" t="s">
        <v>69</v>
      </c>
      <c r="BM823" t="s">
        <v>69</v>
      </c>
      <c r="BN823">
        <v>16</v>
      </c>
      <c r="BO823" t="s">
        <v>9290</v>
      </c>
      <c r="BP823" t="s">
        <v>8661</v>
      </c>
      <c r="BQ823" t="s">
        <v>9290</v>
      </c>
      <c r="BR823" t="s">
        <v>23859</v>
      </c>
      <c r="BS823" t="s">
        <v>23860</v>
      </c>
      <c r="BT823" t="s">
        <v>69</v>
      </c>
      <c r="BU823" t="s">
        <v>9374</v>
      </c>
      <c r="BV823" t="s">
        <v>69</v>
      </c>
      <c r="BW823" t="s">
        <v>69</v>
      </c>
      <c r="BX823" t="s">
        <v>8526</v>
      </c>
      <c r="BY823" t="str">
        <f>HYPERLINK("https%3A%2F%2Fwww.webofscience.com%2Fwos%2Fwoscc%2Ffull-record%2FWOS:000335088800004","View Full Record in Web of Science")</f>
        <v>View Full Record in Web of Science</v>
      </c>
    </row>
    <row r="824" spans="1:77" ht="12.5" x14ac:dyDescent="0.25">
      <c r="A824" t="s">
        <v>8495</v>
      </c>
      <c r="B824" s="22" t="s">
        <v>32931</v>
      </c>
      <c r="C824" s="7"/>
      <c r="D824" s="7"/>
      <c r="E824" s="7"/>
      <c r="F824" t="s">
        <v>67</v>
      </c>
      <c r="G824" t="s">
        <v>26557</v>
      </c>
      <c r="H824" t="s">
        <v>69</v>
      </c>
      <c r="I824" t="s">
        <v>69</v>
      </c>
      <c r="J824" t="s">
        <v>69</v>
      </c>
      <c r="K824" t="s">
        <v>26558</v>
      </c>
      <c r="L824" t="s">
        <v>69</v>
      </c>
      <c r="M824" t="s">
        <v>69</v>
      </c>
      <c r="N824" t="s">
        <v>26559</v>
      </c>
      <c r="O824" t="s">
        <v>26560</v>
      </c>
      <c r="P824" t="s">
        <v>69</v>
      </c>
      <c r="Q824" t="s">
        <v>69</v>
      </c>
      <c r="R824" t="s">
        <v>8505</v>
      </c>
      <c r="S824" t="s">
        <v>8506</v>
      </c>
      <c r="T824" t="s">
        <v>69</v>
      </c>
      <c r="U824" t="s">
        <v>69</v>
      </c>
      <c r="V824" t="s">
        <v>69</v>
      </c>
      <c r="W824" t="s">
        <v>69</v>
      </c>
      <c r="X824" t="s">
        <v>69</v>
      </c>
      <c r="Y824" t="s">
        <v>26561</v>
      </c>
      <c r="Z824" t="s">
        <v>69</v>
      </c>
      <c r="AA824" t="s">
        <v>26562</v>
      </c>
      <c r="AB824" t="s">
        <v>26563</v>
      </c>
      <c r="AC824" t="s">
        <v>69</v>
      </c>
      <c r="AD824" t="s">
        <v>26564</v>
      </c>
      <c r="AE824" t="s">
        <v>26565</v>
      </c>
      <c r="AF824" t="s">
        <v>69</v>
      </c>
      <c r="AG824" t="s">
        <v>69</v>
      </c>
      <c r="AH824" t="s">
        <v>69</v>
      </c>
      <c r="AI824" t="s">
        <v>69</v>
      </c>
      <c r="AJ824" t="s">
        <v>69</v>
      </c>
      <c r="AK824" t="s">
        <v>69</v>
      </c>
      <c r="AL824">
        <v>72</v>
      </c>
      <c r="AM824">
        <v>4</v>
      </c>
      <c r="AN824">
        <v>4</v>
      </c>
      <c r="AO824">
        <v>0</v>
      </c>
      <c r="AP824">
        <v>4</v>
      </c>
      <c r="AQ824" t="s">
        <v>8586</v>
      </c>
      <c r="AR824" t="s">
        <v>8587</v>
      </c>
      <c r="AS824" t="s">
        <v>8588</v>
      </c>
      <c r="AT824" t="s">
        <v>26566</v>
      </c>
      <c r="AU824" t="s">
        <v>26567</v>
      </c>
      <c r="AV824" t="s">
        <v>69</v>
      </c>
      <c r="AW824" t="s">
        <v>26568</v>
      </c>
      <c r="AX824" t="s">
        <v>26569</v>
      </c>
      <c r="AY824" t="s">
        <v>69</v>
      </c>
      <c r="AZ824">
        <v>2012</v>
      </c>
      <c r="BA824">
        <v>19</v>
      </c>
      <c r="BB824">
        <v>3</v>
      </c>
      <c r="BC824" t="s">
        <v>69</v>
      </c>
      <c r="BD824" t="s">
        <v>69</v>
      </c>
      <c r="BE824" t="s">
        <v>114</v>
      </c>
      <c r="BF824" t="s">
        <v>69</v>
      </c>
      <c r="BG824">
        <v>183</v>
      </c>
      <c r="BH824" t="s">
        <v>219</v>
      </c>
      <c r="BI824" t="s">
        <v>69</v>
      </c>
      <c r="BJ824" t="s">
        <v>26570</v>
      </c>
      <c r="BK824" t="str">
        <f>HYPERLINK("http://dx.doi.org/10.1108/09696471211219877","http://dx.doi.org/10.1108/09696471211219877")</f>
        <v>http://dx.doi.org/10.1108/09696471211219877</v>
      </c>
      <c r="BL824" t="s">
        <v>69</v>
      </c>
      <c r="BM824" t="s">
        <v>69</v>
      </c>
      <c r="BN824">
        <v>25</v>
      </c>
      <c r="BO824" t="s">
        <v>9410</v>
      </c>
      <c r="BP824" t="s">
        <v>8573</v>
      </c>
      <c r="BQ824" t="s">
        <v>8594</v>
      </c>
      <c r="BR824" t="s">
        <v>26571</v>
      </c>
      <c r="BS824" t="s">
        <v>26572</v>
      </c>
      <c r="BT824" t="s">
        <v>69</v>
      </c>
      <c r="BU824" t="s">
        <v>69</v>
      </c>
      <c r="BV824" t="s">
        <v>69</v>
      </c>
      <c r="BW824" t="s">
        <v>69</v>
      </c>
      <c r="BX824" t="s">
        <v>8526</v>
      </c>
      <c r="BY824" t="str">
        <f>HYPERLINK("https%3A%2F%2Fwww.webofscience.com%2Fwos%2Fwoscc%2Ffull-record%2FWOS:000211583200002","View Full Record in Web of Science")</f>
        <v>View Full Record in Web of Science</v>
      </c>
    </row>
    <row r="825" spans="1:77" x14ac:dyDescent="0.3">
      <c r="A825" t="s">
        <v>8495</v>
      </c>
      <c r="B825" s="9" t="s">
        <v>32992</v>
      </c>
      <c r="C825" s="12" t="s">
        <v>33059</v>
      </c>
      <c r="E825" s="9" t="s">
        <v>8490</v>
      </c>
      <c r="F825" t="s">
        <v>67</v>
      </c>
      <c r="G825" t="s">
        <v>30300</v>
      </c>
      <c r="H825" t="s">
        <v>69</v>
      </c>
      <c r="I825" t="s">
        <v>69</v>
      </c>
      <c r="J825" t="s">
        <v>69</v>
      </c>
      <c r="K825" t="s">
        <v>30301</v>
      </c>
      <c r="L825" t="s">
        <v>69</v>
      </c>
      <c r="M825" t="s">
        <v>69</v>
      </c>
      <c r="N825" t="s">
        <v>30302</v>
      </c>
      <c r="O825" t="s">
        <v>30303</v>
      </c>
      <c r="P825" t="s">
        <v>69</v>
      </c>
      <c r="Q825" t="s">
        <v>69</v>
      </c>
      <c r="R825" t="s">
        <v>8505</v>
      </c>
      <c r="S825" t="s">
        <v>8506</v>
      </c>
      <c r="T825" t="s">
        <v>69</v>
      </c>
      <c r="U825" t="s">
        <v>69</v>
      </c>
      <c r="V825" t="s">
        <v>69</v>
      </c>
      <c r="W825" t="s">
        <v>69</v>
      </c>
      <c r="X825" t="s">
        <v>69</v>
      </c>
      <c r="Y825" t="s">
        <v>69</v>
      </c>
      <c r="Z825" t="s">
        <v>69</v>
      </c>
      <c r="AA825" t="s">
        <v>30304</v>
      </c>
      <c r="AB825" t="s">
        <v>30305</v>
      </c>
      <c r="AC825" t="s">
        <v>69</v>
      </c>
      <c r="AD825" t="s">
        <v>30306</v>
      </c>
      <c r="AE825" t="s">
        <v>30307</v>
      </c>
      <c r="AF825" t="s">
        <v>69</v>
      </c>
      <c r="AG825" t="s">
        <v>69</v>
      </c>
      <c r="AH825" t="s">
        <v>69</v>
      </c>
      <c r="AI825" t="s">
        <v>69</v>
      </c>
      <c r="AJ825" t="s">
        <v>69</v>
      </c>
      <c r="AK825" t="s">
        <v>69</v>
      </c>
      <c r="AL825">
        <v>1</v>
      </c>
      <c r="AM825">
        <v>7</v>
      </c>
      <c r="AN825">
        <v>7</v>
      </c>
      <c r="AO825">
        <v>0</v>
      </c>
      <c r="AP825">
        <v>0</v>
      </c>
      <c r="AQ825" t="s">
        <v>8865</v>
      </c>
      <c r="AR825" t="s">
        <v>8612</v>
      </c>
      <c r="AS825" t="s">
        <v>8866</v>
      </c>
      <c r="AT825" t="s">
        <v>30308</v>
      </c>
      <c r="AU825" t="s">
        <v>30309</v>
      </c>
      <c r="AV825" t="s">
        <v>69</v>
      </c>
      <c r="AW825" t="s">
        <v>30310</v>
      </c>
      <c r="AX825" t="s">
        <v>30311</v>
      </c>
      <c r="AY825" t="s">
        <v>246</v>
      </c>
      <c r="AZ825">
        <v>2006</v>
      </c>
      <c r="BA825">
        <v>55</v>
      </c>
      <c r="BB825">
        <v>2</v>
      </c>
      <c r="BC825" t="s">
        <v>69</v>
      </c>
      <c r="BD825" t="s">
        <v>69</v>
      </c>
      <c r="BE825" t="s">
        <v>69</v>
      </c>
      <c r="BF825" t="s">
        <v>69</v>
      </c>
      <c r="BG825">
        <v>242</v>
      </c>
      <c r="BH825">
        <v>246</v>
      </c>
      <c r="BI825" t="s">
        <v>69</v>
      </c>
      <c r="BJ825" t="s">
        <v>30312</v>
      </c>
      <c r="BK825" t="str">
        <f>HYPERLINK("http://dx.doi.org/10.1080/03634520600566256","http://dx.doi.org/10.1080/03634520600566256")</f>
        <v>http://dx.doi.org/10.1080/03634520600566256</v>
      </c>
      <c r="BL825" t="s">
        <v>69</v>
      </c>
      <c r="BM825" t="s">
        <v>69</v>
      </c>
      <c r="BN825">
        <v>5</v>
      </c>
      <c r="BO825" t="s">
        <v>30313</v>
      </c>
      <c r="BP825" t="s">
        <v>8573</v>
      </c>
      <c r="BQ825" t="s">
        <v>30313</v>
      </c>
      <c r="BR825" t="s">
        <v>30314</v>
      </c>
      <c r="BS825" t="s">
        <v>30315</v>
      </c>
      <c r="BT825" t="s">
        <v>69</v>
      </c>
      <c r="BU825" t="s">
        <v>69</v>
      </c>
      <c r="BV825" t="s">
        <v>69</v>
      </c>
      <c r="BW825" t="s">
        <v>69</v>
      </c>
      <c r="BX825" t="s">
        <v>8526</v>
      </c>
      <c r="BY825" t="str">
        <f>HYPERLINK("https%3A%2F%2Fwww.webofscience.com%2Fwos%2Fwoscc%2Ffull-record%2FWOS:000210685600008","View Full Record in Web of Science")</f>
        <v>View Full Record in Web of Science</v>
      </c>
    </row>
    <row r="826" spans="1:77" ht="12.5" x14ac:dyDescent="0.25">
      <c r="A826" t="s">
        <v>8495</v>
      </c>
      <c r="B826" s="22" t="s">
        <v>32931</v>
      </c>
      <c r="C826" s="7"/>
      <c r="D826" s="7"/>
      <c r="E826" s="7"/>
      <c r="F826" t="s">
        <v>67</v>
      </c>
      <c r="G826" t="s">
        <v>15070</v>
      </c>
      <c r="H826" t="s">
        <v>69</v>
      </c>
      <c r="I826" t="s">
        <v>69</v>
      </c>
      <c r="J826" t="s">
        <v>69</v>
      </c>
      <c r="K826" t="s">
        <v>15071</v>
      </c>
      <c r="L826" t="s">
        <v>69</v>
      </c>
      <c r="M826" t="s">
        <v>69</v>
      </c>
      <c r="N826" t="s">
        <v>15072</v>
      </c>
      <c r="O826" t="s">
        <v>15073</v>
      </c>
      <c r="P826" t="s">
        <v>69</v>
      </c>
      <c r="Q826" t="s">
        <v>69</v>
      </c>
      <c r="R826" t="s">
        <v>8505</v>
      </c>
      <c r="S826" t="s">
        <v>8506</v>
      </c>
      <c r="T826" t="s">
        <v>69</v>
      </c>
      <c r="U826" t="s">
        <v>69</v>
      </c>
      <c r="V826" t="s">
        <v>69</v>
      </c>
      <c r="W826" t="s">
        <v>69</v>
      </c>
      <c r="X826" t="s">
        <v>69</v>
      </c>
      <c r="Y826" t="s">
        <v>69</v>
      </c>
      <c r="Z826" t="s">
        <v>15074</v>
      </c>
      <c r="AA826" t="s">
        <v>15075</v>
      </c>
      <c r="AB826" t="s">
        <v>15076</v>
      </c>
      <c r="AC826" t="s">
        <v>69</v>
      </c>
      <c r="AD826" t="s">
        <v>15077</v>
      </c>
      <c r="AE826" t="s">
        <v>15078</v>
      </c>
      <c r="AF826" t="s">
        <v>69</v>
      </c>
      <c r="AG826" t="s">
        <v>69</v>
      </c>
      <c r="AH826" t="s">
        <v>69</v>
      </c>
      <c r="AI826" t="s">
        <v>69</v>
      </c>
      <c r="AJ826" t="s">
        <v>69</v>
      </c>
      <c r="AK826" t="s">
        <v>69</v>
      </c>
      <c r="AL826">
        <v>19</v>
      </c>
      <c r="AM826">
        <v>14</v>
      </c>
      <c r="AN826">
        <v>16</v>
      </c>
      <c r="AO826">
        <v>1</v>
      </c>
      <c r="AP826">
        <v>13</v>
      </c>
      <c r="AQ826" t="s">
        <v>9978</v>
      </c>
      <c r="AR826" t="s">
        <v>9979</v>
      </c>
      <c r="AS826" t="s">
        <v>9980</v>
      </c>
      <c r="AT826" t="s">
        <v>15079</v>
      </c>
      <c r="AU826" t="s">
        <v>15080</v>
      </c>
      <c r="AV826" t="s">
        <v>69</v>
      </c>
      <c r="AW826" t="s">
        <v>15081</v>
      </c>
      <c r="AX826" t="s">
        <v>15082</v>
      </c>
      <c r="AY826" t="s">
        <v>155</v>
      </c>
      <c r="AZ826">
        <v>2020</v>
      </c>
      <c r="BA826">
        <v>11</v>
      </c>
      <c r="BB826">
        <v>2</v>
      </c>
      <c r="BC826" t="s">
        <v>69</v>
      </c>
      <c r="BD826" t="s">
        <v>69</v>
      </c>
      <c r="BE826" t="s">
        <v>114</v>
      </c>
      <c r="BF826" t="s">
        <v>69</v>
      </c>
      <c r="BG826">
        <v>236</v>
      </c>
      <c r="BH826">
        <v>239</v>
      </c>
      <c r="BI826" t="s">
        <v>69</v>
      </c>
      <c r="BJ826" t="s">
        <v>15083</v>
      </c>
      <c r="BK826" t="str">
        <f>HYPERLINK("http://dx.doi.org/10.1017/err.2020.37","http://dx.doi.org/10.1017/err.2020.37")</f>
        <v>http://dx.doi.org/10.1017/err.2020.37</v>
      </c>
      <c r="BL826" t="s">
        <v>69</v>
      </c>
      <c r="BM826" t="s">
        <v>69</v>
      </c>
      <c r="BN826">
        <v>4</v>
      </c>
      <c r="BO826" t="s">
        <v>8452</v>
      </c>
      <c r="BP826" t="s">
        <v>8573</v>
      </c>
      <c r="BQ826" t="s">
        <v>10084</v>
      </c>
      <c r="BR826" t="s">
        <v>15084</v>
      </c>
      <c r="BS826" t="s">
        <v>15085</v>
      </c>
      <c r="BT826" t="s">
        <v>69</v>
      </c>
      <c r="BU826" t="s">
        <v>8746</v>
      </c>
      <c r="BV826" t="s">
        <v>69</v>
      </c>
      <c r="BW826" t="s">
        <v>69</v>
      </c>
      <c r="BX826" t="s">
        <v>8526</v>
      </c>
      <c r="BY826" t="str">
        <f>HYPERLINK("https%3A%2F%2Fwww.webofscience.com%2Fwos%2Fwoscc%2Ffull-record%2FWOS:000535933100006","View Full Record in Web of Science")</f>
        <v>View Full Record in Web of Science</v>
      </c>
    </row>
    <row r="827" spans="1:77" ht="12.5" x14ac:dyDescent="0.25">
      <c r="A827" t="s">
        <v>8495</v>
      </c>
      <c r="B827" s="7" t="s">
        <v>32933</v>
      </c>
      <c r="C827" s="7"/>
      <c r="D827" s="7"/>
      <c r="E827" s="7"/>
      <c r="F827" t="s">
        <v>67</v>
      </c>
      <c r="G827" t="s">
        <v>1927</v>
      </c>
      <c r="H827" t="s">
        <v>69</v>
      </c>
      <c r="I827" t="s">
        <v>69</v>
      </c>
      <c r="J827" t="s">
        <v>69</v>
      </c>
      <c r="K827" t="s">
        <v>1928</v>
      </c>
      <c r="L827" t="s">
        <v>69</v>
      </c>
      <c r="M827" t="s">
        <v>69</v>
      </c>
      <c r="N827" t="s">
        <v>1929</v>
      </c>
      <c r="O827" t="s">
        <v>1930</v>
      </c>
      <c r="P827" t="s">
        <v>69</v>
      </c>
      <c r="Q827" t="s">
        <v>69</v>
      </c>
      <c r="R827" t="s">
        <v>8505</v>
      </c>
      <c r="S827" t="s">
        <v>8506</v>
      </c>
      <c r="T827" t="s">
        <v>69</v>
      </c>
      <c r="U827" t="s">
        <v>69</v>
      </c>
      <c r="V827" t="s">
        <v>69</v>
      </c>
      <c r="W827" t="s">
        <v>69</v>
      </c>
      <c r="X827" t="s">
        <v>69</v>
      </c>
      <c r="Y827" t="s">
        <v>14631</v>
      </c>
      <c r="Z827" t="s">
        <v>14632</v>
      </c>
      <c r="AA827" t="s">
        <v>1931</v>
      </c>
      <c r="AB827" t="s">
        <v>14633</v>
      </c>
      <c r="AC827" t="s">
        <v>69</v>
      </c>
      <c r="AD827" t="s">
        <v>14634</v>
      </c>
      <c r="AE827" t="s">
        <v>14635</v>
      </c>
      <c r="AF827" t="s">
        <v>69</v>
      </c>
      <c r="AG827" t="s">
        <v>1932</v>
      </c>
      <c r="AH827" t="s">
        <v>14636</v>
      </c>
      <c r="AI827" t="s">
        <v>14637</v>
      </c>
      <c r="AJ827" t="s">
        <v>14638</v>
      </c>
      <c r="AK827" t="s">
        <v>69</v>
      </c>
      <c r="AL827">
        <v>70</v>
      </c>
      <c r="AM827">
        <v>7</v>
      </c>
      <c r="AN827">
        <v>7</v>
      </c>
      <c r="AO827">
        <v>1</v>
      </c>
      <c r="AP827">
        <v>7</v>
      </c>
      <c r="AQ827" t="s">
        <v>8636</v>
      </c>
      <c r="AR827" t="s">
        <v>8637</v>
      </c>
      <c r="AS827" t="s">
        <v>8638</v>
      </c>
      <c r="AT827" t="s">
        <v>1933</v>
      </c>
      <c r="AU827" t="s">
        <v>1934</v>
      </c>
      <c r="AV827" t="s">
        <v>69</v>
      </c>
      <c r="AW827" t="s">
        <v>1930</v>
      </c>
      <c r="AX827" t="s">
        <v>14639</v>
      </c>
      <c r="AY827" t="s">
        <v>201</v>
      </c>
      <c r="AZ827">
        <v>2020</v>
      </c>
      <c r="BA827">
        <v>95</v>
      </c>
      <c r="BB827" t="s">
        <v>69</v>
      </c>
      <c r="BC827" t="s">
        <v>69</v>
      </c>
      <c r="BD827" t="s">
        <v>69</v>
      </c>
      <c r="BE827" t="s">
        <v>69</v>
      </c>
      <c r="BF827" t="s">
        <v>69</v>
      </c>
      <c r="BG827" t="s">
        <v>69</v>
      </c>
      <c r="BH827" t="s">
        <v>69</v>
      </c>
      <c r="BI827">
        <v>101914</v>
      </c>
      <c r="BJ827" t="s">
        <v>1935</v>
      </c>
      <c r="BK827" t="str">
        <f>HYPERLINK("http://dx.doi.org/10.1016/j.foodpol.2020.101914","http://dx.doi.org/10.1016/j.foodpol.2020.101914")</f>
        <v>http://dx.doi.org/10.1016/j.foodpol.2020.101914</v>
      </c>
      <c r="BL827" t="s">
        <v>69</v>
      </c>
      <c r="BM827" t="s">
        <v>69</v>
      </c>
      <c r="BN827">
        <v>12</v>
      </c>
      <c r="BO827" t="s">
        <v>14640</v>
      </c>
      <c r="BP827" t="s">
        <v>8523</v>
      </c>
      <c r="BQ827" t="s">
        <v>14641</v>
      </c>
      <c r="BR827" t="s">
        <v>14642</v>
      </c>
      <c r="BS827" t="s">
        <v>1936</v>
      </c>
      <c r="BT827" t="s">
        <v>69</v>
      </c>
      <c r="BU827" t="s">
        <v>9374</v>
      </c>
      <c r="BV827" t="s">
        <v>69</v>
      </c>
      <c r="BW827" t="s">
        <v>69</v>
      </c>
      <c r="BX827" t="s">
        <v>8526</v>
      </c>
      <c r="BY827" t="str">
        <f>HYPERLINK("https%3A%2F%2Fwww.webofscience.com%2Fwos%2Fwoscc%2Ffull-record%2FWOS:000568776900007","View Full Record in Web of Science")</f>
        <v>View Full Record in Web of Science</v>
      </c>
    </row>
    <row r="828" spans="1:77" ht="12.5" x14ac:dyDescent="0.25">
      <c r="A828" t="s">
        <v>8495</v>
      </c>
      <c r="B828" s="7" t="s">
        <v>32933</v>
      </c>
      <c r="C828" s="7"/>
      <c r="D828" s="7"/>
      <c r="E828" s="7"/>
      <c r="F828" t="s">
        <v>67</v>
      </c>
      <c r="G828" t="s">
        <v>4222</v>
      </c>
      <c r="H828" t="s">
        <v>69</v>
      </c>
      <c r="I828" t="s">
        <v>69</v>
      </c>
      <c r="J828" t="s">
        <v>69</v>
      </c>
      <c r="K828" t="s">
        <v>4222</v>
      </c>
      <c r="L828" t="s">
        <v>69</v>
      </c>
      <c r="M828" t="s">
        <v>69</v>
      </c>
      <c r="N828" t="s">
        <v>4223</v>
      </c>
      <c r="O828" t="s">
        <v>1823</v>
      </c>
      <c r="P828" t="s">
        <v>69</v>
      </c>
      <c r="Q828" t="s">
        <v>69</v>
      </c>
      <c r="R828" t="s">
        <v>8505</v>
      </c>
      <c r="S828" t="s">
        <v>8506</v>
      </c>
      <c r="T828" t="s">
        <v>69</v>
      </c>
      <c r="U828" t="s">
        <v>69</v>
      </c>
      <c r="V828" t="s">
        <v>69</v>
      </c>
      <c r="W828" t="s">
        <v>69</v>
      </c>
      <c r="X828" t="s">
        <v>69</v>
      </c>
      <c r="Y828" t="s">
        <v>69</v>
      </c>
      <c r="Z828" t="s">
        <v>69</v>
      </c>
      <c r="AA828" t="s">
        <v>4224</v>
      </c>
      <c r="AB828" t="s">
        <v>69</v>
      </c>
      <c r="AC828" t="s">
        <v>69</v>
      </c>
      <c r="AD828" t="s">
        <v>32437</v>
      </c>
      <c r="AE828" t="s">
        <v>69</v>
      </c>
      <c r="AF828" t="s">
        <v>69</v>
      </c>
      <c r="AG828" t="s">
        <v>69</v>
      </c>
      <c r="AH828" t="s">
        <v>69</v>
      </c>
      <c r="AI828" t="s">
        <v>69</v>
      </c>
      <c r="AJ828" t="s">
        <v>69</v>
      </c>
      <c r="AK828" t="s">
        <v>69</v>
      </c>
      <c r="AL828">
        <v>34</v>
      </c>
      <c r="AM828">
        <v>2</v>
      </c>
      <c r="AN828">
        <v>3</v>
      </c>
      <c r="AO828">
        <v>0</v>
      </c>
      <c r="AP828">
        <v>4</v>
      </c>
      <c r="AQ828" t="s">
        <v>28353</v>
      </c>
      <c r="AR828" t="s">
        <v>31922</v>
      </c>
      <c r="AS828" t="s">
        <v>32438</v>
      </c>
      <c r="AT828" t="s">
        <v>1825</v>
      </c>
      <c r="AU828" t="s">
        <v>69</v>
      </c>
      <c r="AV828" t="s">
        <v>69</v>
      </c>
      <c r="AW828" t="s">
        <v>30296</v>
      </c>
      <c r="AX828" t="s">
        <v>30297</v>
      </c>
      <c r="AY828" t="s">
        <v>201</v>
      </c>
      <c r="AZ828">
        <v>1996</v>
      </c>
      <c r="BA828">
        <v>16</v>
      </c>
      <c r="BB828">
        <v>3</v>
      </c>
      <c r="BC828" t="s">
        <v>69</v>
      </c>
      <c r="BD828" t="s">
        <v>69</v>
      </c>
      <c r="BE828" t="s">
        <v>69</v>
      </c>
      <c r="BF828" t="s">
        <v>69</v>
      </c>
      <c r="BG828">
        <v>215</v>
      </c>
      <c r="BH828">
        <v>232</v>
      </c>
      <c r="BI828" t="s">
        <v>69</v>
      </c>
      <c r="BJ828" t="s">
        <v>4225</v>
      </c>
      <c r="BK828" t="str">
        <f>HYPERLINK("http://dx.doi.org/10.1002/(SICI)1099-162X(199608)16:3&lt;215::AID-PAD877&gt;3.0.CO;2-D","http://dx.doi.org/10.1002/(SICI)1099-162X(199608)16:3&lt;215::AID-PAD877&gt;3.0.CO;2-D")</f>
        <v>http://dx.doi.org/10.1002/(SICI)1099-162X(199608)16:3&lt;215::AID-PAD877&gt;3.0.CO;2-D</v>
      </c>
      <c r="BL828" t="s">
        <v>69</v>
      </c>
      <c r="BM828" t="s">
        <v>69</v>
      </c>
      <c r="BN828">
        <v>18</v>
      </c>
      <c r="BO828" t="s">
        <v>14687</v>
      </c>
      <c r="BP828" t="s">
        <v>8661</v>
      </c>
      <c r="BQ828" t="s">
        <v>14687</v>
      </c>
      <c r="BR828" t="s">
        <v>32439</v>
      </c>
      <c r="BS828" t="s">
        <v>4226</v>
      </c>
      <c r="BT828" t="s">
        <v>69</v>
      </c>
      <c r="BU828" t="s">
        <v>69</v>
      </c>
      <c r="BV828" t="s">
        <v>69</v>
      </c>
      <c r="BW828" t="s">
        <v>69</v>
      </c>
      <c r="BX828" t="s">
        <v>8526</v>
      </c>
      <c r="BY828" t="str">
        <f>HYPERLINK("https%3A%2F%2Fwww.webofscience.com%2Fwos%2Fwoscc%2Ffull-record%2FWOS:A1996VH17200002","View Full Record in Web of Science")</f>
        <v>View Full Record in Web of Science</v>
      </c>
    </row>
    <row r="829" spans="1:77" ht="12.5" x14ac:dyDescent="0.25">
      <c r="A829" t="s">
        <v>8495</v>
      </c>
      <c r="B829" s="22" t="s">
        <v>32931</v>
      </c>
      <c r="C829" s="7"/>
      <c r="D829" s="7"/>
      <c r="E829" s="7"/>
      <c r="F829" t="s">
        <v>67</v>
      </c>
      <c r="G829" t="s">
        <v>12402</v>
      </c>
      <c r="H829" t="s">
        <v>69</v>
      </c>
      <c r="I829" t="s">
        <v>69</v>
      </c>
      <c r="J829" t="s">
        <v>69</v>
      </c>
      <c r="K829" t="s">
        <v>12403</v>
      </c>
      <c r="L829" t="s">
        <v>69</v>
      </c>
      <c r="M829" t="s">
        <v>69</v>
      </c>
      <c r="N829" t="s">
        <v>12404</v>
      </c>
      <c r="O829" t="s">
        <v>881</v>
      </c>
      <c r="P829" t="s">
        <v>69</v>
      </c>
      <c r="Q829" t="s">
        <v>69</v>
      </c>
      <c r="R829" t="s">
        <v>8505</v>
      </c>
      <c r="S829" t="s">
        <v>8506</v>
      </c>
      <c r="T829" t="s">
        <v>69</v>
      </c>
      <c r="U829" t="s">
        <v>69</v>
      </c>
      <c r="V829" t="s">
        <v>69</v>
      </c>
      <c r="W829" t="s">
        <v>69</v>
      </c>
      <c r="X829" t="s">
        <v>69</v>
      </c>
      <c r="Y829" t="s">
        <v>12405</v>
      </c>
      <c r="Z829" t="s">
        <v>12406</v>
      </c>
      <c r="AA829" t="s">
        <v>12407</v>
      </c>
      <c r="AB829" t="s">
        <v>12408</v>
      </c>
      <c r="AC829" t="s">
        <v>69</v>
      </c>
      <c r="AD829" t="s">
        <v>12409</v>
      </c>
      <c r="AE829" t="s">
        <v>12410</v>
      </c>
      <c r="AF829" t="s">
        <v>69</v>
      </c>
      <c r="AG829" t="s">
        <v>12411</v>
      </c>
      <c r="AH829" t="s">
        <v>12412</v>
      </c>
      <c r="AI829" t="s">
        <v>12413</v>
      </c>
      <c r="AJ829" t="s">
        <v>12414</v>
      </c>
      <c r="AK829" t="s">
        <v>69</v>
      </c>
      <c r="AL829">
        <v>86</v>
      </c>
      <c r="AM829">
        <v>9</v>
      </c>
      <c r="AN829">
        <v>9</v>
      </c>
      <c r="AO829">
        <v>23</v>
      </c>
      <c r="AP829">
        <v>38</v>
      </c>
      <c r="AQ829" t="s">
        <v>8516</v>
      </c>
      <c r="AR829" t="s">
        <v>8517</v>
      </c>
      <c r="AS829" t="s">
        <v>8518</v>
      </c>
      <c r="AT829" t="s">
        <v>883</v>
      </c>
      <c r="AU829" t="s">
        <v>884</v>
      </c>
      <c r="AV829" t="s">
        <v>69</v>
      </c>
      <c r="AW829" t="s">
        <v>12415</v>
      </c>
      <c r="AX829" t="s">
        <v>12416</v>
      </c>
      <c r="AY829" t="s">
        <v>84</v>
      </c>
      <c r="AZ829">
        <v>2021</v>
      </c>
      <c r="BA829">
        <v>170</v>
      </c>
      <c r="BB829" t="s">
        <v>69</v>
      </c>
      <c r="BC829" t="s">
        <v>69</v>
      </c>
      <c r="BD829" t="s">
        <v>69</v>
      </c>
      <c r="BE829" t="s">
        <v>69</v>
      </c>
      <c r="BF829" t="s">
        <v>69</v>
      </c>
      <c r="BG829" t="s">
        <v>69</v>
      </c>
      <c r="BH829" t="s">
        <v>69</v>
      </c>
      <c r="BI829">
        <v>105616</v>
      </c>
      <c r="BJ829" t="s">
        <v>12417</v>
      </c>
      <c r="BK829" t="str">
        <f>HYPERLINK("http://dx.doi.org/10.1016/j.resconrec.2021.105616","http://dx.doi.org/10.1016/j.resconrec.2021.105616")</f>
        <v>http://dx.doi.org/10.1016/j.resconrec.2021.105616</v>
      </c>
      <c r="BL829" t="s">
        <v>69</v>
      </c>
      <c r="BM829" t="s">
        <v>12312</v>
      </c>
      <c r="BN829">
        <v>11</v>
      </c>
      <c r="BO829" t="s">
        <v>8743</v>
      </c>
      <c r="BP829" t="s">
        <v>8523</v>
      </c>
      <c r="BQ829" t="s">
        <v>8744</v>
      </c>
      <c r="BR829" t="s">
        <v>12418</v>
      </c>
      <c r="BS829" t="s">
        <v>12419</v>
      </c>
      <c r="BT829" t="s">
        <v>69</v>
      </c>
      <c r="BU829" t="s">
        <v>69</v>
      </c>
      <c r="BV829" t="s">
        <v>69</v>
      </c>
      <c r="BW829" t="s">
        <v>69</v>
      </c>
      <c r="BX829" t="s">
        <v>8526</v>
      </c>
      <c r="BY829" t="str">
        <f>HYPERLINK("https%3A%2F%2Fwww.webofscience.com%2Fwos%2Fwoscc%2Ffull-record%2FWOS:000667309200049","View Full Record in Web of Science")</f>
        <v>View Full Record in Web of Science</v>
      </c>
    </row>
    <row r="830" spans="1:77" x14ac:dyDescent="0.3">
      <c r="A830" t="s">
        <v>8495</v>
      </c>
      <c r="B830" s="26" t="s">
        <v>32993</v>
      </c>
      <c r="F830" t="s">
        <v>67</v>
      </c>
      <c r="G830" t="s">
        <v>11994</v>
      </c>
      <c r="H830" t="s">
        <v>69</v>
      </c>
      <c r="I830" t="s">
        <v>69</v>
      </c>
      <c r="J830" t="s">
        <v>69</v>
      </c>
      <c r="K830" t="s">
        <v>11995</v>
      </c>
      <c r="L830" t="s">
        <v>69</v>
      </c>
      <c r="M830" t="s">
        <v>69</v>
      </c>
      <c r="N830" t="s">
        <v>11996</v>
      </c>
      <c r="O830" t="s">
        <v>11997</v>
      </c>
      <c r="P830" t="s">
        <v>69</v>
      </c>
      <c r="Q830" t="s">
        <v>69</v>
      </c>
      <c r="R830" t="s">
        <v>8505</v>
      </c>
      <c r="S830" t="s">
        <v>8506</v>
      </c>
      <c r="T830" t="s">
        <v>69</v>
      </c>
      <c r="U830" t="s">
        <v>69</v>
      </c>
      <c r="V830" t="s">
        <v>69</v>
      </c>
      <c r="W830" t="s">
        <v>69</v>
      </c>
      <c r="X830" t="s">
        <v>69</v>
      </c>
      <c r="Y830" t="s">
        <v>11998</v>
      </c>
      <c r="Z830" t="s">
        <v>11999</v>
      </c>
      <c r="AA830" t="s">
        <v>12000</v>
      </c>
      <c r="AB830" t="s">
        <v>12001</v>
      </c>
      <c r="AC830" t="s">
        <v>69</v>
      </c>
      <c r="AD830" t="s">
        <v>12002</v>
      </c>
      <c r="AE830" t="s">
        <v>12003</v>
      </c>
      <c r="AF830" t="s">
        <v>69</v>
      </c>
      <c r="AG830" t="s">
        <v>12004</v>
      </c>
      <c r="AH830" t="s">
        <v>12005</v>
      </c>
      <c r="AI830" t="s">
        <v>12006</v>
      </c>
      <c r="AJ830" t="s">
        <v>12007</v>
      </c>
      <c r="AK830" t="s">
        <v>69</v>
      </c>
      <c r="AL830">
        <v>42</v>
      </c>
      <c r="AM830">
        <v>1</v>
      </c>
      <c r="AN830">
        <v>1</v>
      </c>
      <c r="AO830">
        <v>7</v>
      </c>
      <c r="AP830">
        <v>12</v>
      </c>
      <c r="AQ830" t="s">
        <v>12008</v>
      </c>
      <c r="AR830" t="s">
        <v>12009</v>
      </c>
      <c r="AS830" t="s">
        <v>12010</v>
      </c>
      <c r="AT830" t="s">
        <v>12011</v>
      </c>
      <c r="AU830" t="s">
        <v>69</v>
      </c>
      <c r="AV830" t="s">
        <v>69</v>
      </c>
      <c r="AW830" t="s">
        <v>12012</v>
      </c>
      <c r="AX830" t="s">
        <v>12013</v>
      </c>
      <c r="AY830" t="s">
        <v>155</v>
      </c>
      <c r="AZ830">
        <v>2021</v>
      </c>
      <c r="BA830">
        <v>8</v>
      </c>
      <c r="BB830">
        <v>4</v>
      </c>
      <c r="BC830" t="s">
        <v>69</v>
      </c>
      <c r="BD830" t="s">
        <v>69</v>
      </c>
      <c r="BE830" t="s">
        <v>69</v>
      </c>
      <c r="BF830" t="s">
        <v>69</v>
      </c>
      <c r="BG830">
        <v>103</v>
      </c>
      <c r="BH830">
        <v>121</v>
      </c>
      <c r="BI830" t="s">
        <v>69</v>
      </c>
      <c r="BJ830" t="s">
        <v>12014</v>
      </c>
      <c r="BK830" t="str">
        <f>HYPERLINK("http://dx.doi.org/10.9770/jesi.2021.8.4(6)","http://dx.doi.org/10.9770/jesi.2021.8.4(6)")</f>
        <v>http://dx.doi.org/10.9770/jesi.2021.8.4(6)</v>
      </c>
      <c r="BL830" t="s">
        <v>69</v>
      </c>
      <c r="BM830" t="s">
        <v>69</v>
      </c>
      <c r="BN830">
        <v>19</v>
      </c>
      <c r="BO830" t="s">
        <v>8444</v>
      </c>
      <c r="BP830" t="s">
        <v>8573</v>
      </c>
      <c r="BQ830" t="s">
        <v>8594</v>
      </c>
      <c r="BR830" t="s">
        <v>12015</v>
      </c>
      <c r="BS830" t="s">
        <v>12016</v>
      </c>
      <c r="BT830" t="s">
        <v>69</v>
      </c>
      <c r="BU830" t="s">
        <v>8931</v>
      </c>
      <c r="BV830" t="s">
        <v>69</v>
      </c>
      <c r="BW830" t="s">
        <v>69</v>
      </c>
      <c r="BX830" t="s">
        <v>8526</v>
      </c>
      <c r="BY830" t="str">
        <f>HYPERLINK("https%3A%2F%2Fwww.webofscience.com%2Fwos%2Fwoscc%2Ffull-record%2FWOS:000652476900006","View Full Record in Web of Science")</f>
        <v>View Full Record in Web of Science</v>
      </c>
    </row>
    <row r="831" spans="1:77" ht="12.5" x14ac:dyDescent="0.25">
      <c r="A831" t="s">
        <v>8495</v>
      </c>
      <c r="B831" s="22" t="s">
        <v>32931</v>
      </c>
      <c r="C831" s="7"/>
      <c r="D831" s="7"/>
      <c r="E831" s="7"/>
      <c r="F831" t="s">
        <v>67</v>
      </c>
      <c r="G831" t="s">
        <v>11994</v>
      </c>
      <c r="H831" t="s">
        <v>69</v>
      </c>
      <c r="I831" t="s">
        <v>69</v>
      </c>
      <c r="J831" t="s">
        <v>69</v>
      </c>
      <c r="K831" t="s">
        <v>11995</v>
      </c>
      <c r="L831" t="s">
        <v>69</v>
      </c>
      <c r="M831" t="s">
        <v>69</v>
      </c>
      <c r="N831" t="s">
        <v>11996</v>
      </c>
      <c r="O831" t="s">
        <v>11997</v>
      </c>
      <c r="P831" t="s">
        <v>69</v>
      </c>
      <c r="Q831" t="s">
        <v>69</v>
      </c>
      <c r="R831" t="s">
        <v>8505</v>
      </c>
      <c r="S831" t="s">
        <v>8506</v>
      </c>
      <c r="T831" t="s">
        <v>69</v>
      </c>
      <c r="U831" t="s">
        <v>69</v>
      </c>
      <c r="V831" t="s">
        <v>69</v>
      </c>
      <c r="W831" t="s">
        <v>69</v>
      </c>
      <c r="X831" t="s">
        <v>69</v>
      </c>
      <c r="Y831" t="s">
        <v>11998</v>
      </c>
      <c r="Z831" t="s">
        <v>11999</v>
      </c>
      <c r="AA831" t="s">
        <v>12000</v>
      </c>
      <c r="AB831" t="s">
        <v>12981</v>
      </c>
      <c r="AC831" t="s">
        <v>69</v>
      </c>
      <c r="AD831" t="s">
        <v>12982</v>
      </c>
      <c r="AE831" t="s">
        <v>12003</v>
      </c>
      <c r="AF831" t="s">
        <v>12983</v>
      </c>
      <c r="AG831" t="s">
        <v>12004</v>
      </c>
      <c r="AH831" t="s">
        <v>12005</v>
      </c>
      <c r="AI831" t="s">
        <v>12006</v>
      </c>
      <c r="AJ831" t="s">
        <v>12007</v>
      </c>
      <c r="AK831" t="s">
        <v>69</v>
      </c>
      <c r="AL831">
        <v>41</v>
      </c>
      <c r="AM831">
        <v>1</v>
      </c>
      <c r="AN831">
        <v>1</v>
      </c>
      <c r="AO831">
        <v>4</v>
      </c>
      <c r="AP831">
        <v>11</v>
      </c>
      <c r="AQ831" t="s">
        <v>12008</v>
      </c>
      <c r="AR831" t="s">
        <v>12009</v>
      </c>
      <c r="AS831" t="s">
        <v>12010</v>
      </c>
      <c r="AT831" t="s">
        <v>12011</v>
      </c>
      <c r="AU831" t="s">
        <v>69</v>
      </c>
      <c r="AV831" t="s">
        <v>69</v>
      </c>
      <c r="AW831" t="s">
        <v>12012</v>
      </c>
      <c r="AX831" t="s">
        <v>12013</v>
      </c>
      <c r="AY831" t="s">
        <v>94</v>
      </c>
      <c r="AZ831">
        <v>2021</v>
      </c>
      <c r="BA831">
        <v>8</v>
      </c>
      <c r="BB831">
        <v>3</v>
      </c>
      <c r="BC831" t="s">
        <v>69</v>
      </c>
      <c r="BD831" t="s">
        <v>69</v>
      </c>
      <c r="BE831" t="s">
        <v>69</v>
      </c>
      <c r="BF831" t="s">
        <v>69</v>
      </c>
      <c r="BG831">
        <v>681</v>
      </c>
      <c r="BH831">
        <v>699</v>
      </c>
      <c r="BI831" t="s">
        <v>69</v>
      </c>
      <c r="BJ831" t="s">
        <v>12984</v>
      </c>
      <c r="BK831" t="str">
        <f>HYPERLINK("http://dx.doi.org/10.9770/jesi.2021.8.3(42)","http://dx.doi.org/10.9770/jesi.2021.8.3(42)")</f>
        <v>http://dx.doi.org/10.9770/jesi.2021.8.3(42)</v>
      </c>
      <c r="BL831" t="s">
        <v>69</v>
      </c>
      <c r="BM831" t="s">
        <v>69</v>
      </c>
      <c r="BN831">
        <v>19</v>
      </c>
      <c r="BO831" t="s">
        <v>8444</v>
      </c>
      <c r="BP831" t="s">
        <v>8573</v>
      </c>
      <c r="BQ831" t="s">
        <v>8594</v>
      </c>
      <c r="BR831" t="s">
        <v>12985</v>
      </c>
      <c r="BS831" t="s">
        <v>12986</v>
      </c>
      <c r="BT831" t="s">
        <v>69</v>
      </c>
      <c r="BU831" t="s">
        <v>8931</v>
      </c>
      <c r="BV831" t="s">
        <v>69</v>
      </c>
      <c r="BW831" t="s">
        <v>69</v>
      </c>
      <c r="BX831" t="s">
        <v>8526</v>
      </c>
      <c r="BY831" t="str">
        <f>HYPERLINK("https%3A%2F%2Fwww.webofscience.com%2Fwos%2Fwoscc%2Ffull-record%2FWOS:000620140400041","View Full Record in Web of Science")</f>
        <v>View Full Record in Web of Science</v>
      </c>
    </row>
    <row r="832" spans="1:77" ht="12.5" x14ac:dyDescent="0.25">
      <c r="A832" t="s">
        <v>8495</v>
      </c>
      <c r="B832" s="22" t="s">
        <v>32931</v>
      </c>
      <c r="C832" s="7"/>
      <c r="D832" s="7"/>
      <c r="E832" s="7"/>
      <c r="F832" t="s">
        <v>67</v>
      </c>
      <c r="G832" t="s">
        <v>13187</v>
      </c>
      <c r="H832" t="s">
        <v>69</v>
      </c>
      <c r="I832" t="s">
        <v>69</v>
      </c>
      <c r="J832" t="s">
        <v>69</v>
      </c>
      <c r="K832" t="s">
        <v>13188</v>
      </c>
      <c r="L832" t="s">
        <v>69</v>
      </c>
      <c r="M832" t="s">
        <v>69</v>
      </c>
      <c r="N832" t="s">
        <v>13189</v>
      </c>
      <c r="O832" t="s">
        <v>4023</v>
      </c>
      <c r="P832" t="s">
        <v>69</v>
      </c>
      <c r="Q832" t="s">
        <v>69</v>
      </c>
      <c r="R832" t="s">
        <v>8505</v>
      </c>
      <c r="S832" t="s">
        <v>8506</v>
      </c>
      <c r="T832" t="s">
        <v>69</v>
      </c>
      <c r="U832" t="s">
        <v>69</v>
      </c>
      <c r="V832" t="s">
        <v>69</v>
      </c>
      <c r="W832" t="s">
        <v>69</v>
      </c>
      <c r="X832" t="s">
        <v>69</v>
      </c>
      <c r="Y832" t="s">
        <v>13190</v>
      </c>
      <c r="Z832" t="s">
        <v>69</v>
      </c>
      <c r="AA832" t="s">
        <v>13191</v>
      </c>
      <c r="AB832" t="s">
        <v>13192</v>
      </c>
      <c r="AC832" t="s">
        <v>69</v>
      </c>
      <c r="AD832" t="s">
        <v>13193</v>
      </c>
      <c r="AE832" t="s">
        <v>13194</v>
      </c>
      <c r="AF832" t="s">
        <v>69</v>
      </c>
      <c r="AG832" t="s">
        <v>69</v>
      </c>
      <c r="AH832" t="s">
        <v>69</v>
      </c>
      <c r="AI832" t="s">
        <v>69</v>
      </c>
      <c r="AJ832" t="s">
        <v>69</v>
      </c>
      <c r="AK832" t="s">
        <v>69</v>
      </c>
      <c r="AL832">
        <v>16</v>
      </c>
      <c r="AM832">
        <v>2</v>
      </c>
      <c r="AN832">
        <v>2</v>
      </c>
      <c r="AO832">
        <v>0</v>
      </c>
      <c r="AP832">
        <v>3</v>
      </c>
      <c r="AQ832" t="s">
        <v>13195</v>
      </c>
      <c r="AR832" t="s">
        <v>13196</v>
      </c>
      <c r="AS832" t="s">
        <v>13197</v>
      </c>
      <c r="AT832" t="s">
        <v>4025</v>
      </c>
      <c r="AU832" t="s">
        <v>13198</v>
      </c>
      <c r="AV832" t="s">
        <v>69</v>
      </c>
      <c r="AW832" t="s">
        <v>13199</v>
      </c>
      <c r="AX832" t="s">
        <v>13200</v>
      </c>
      <c r="AY832" t="s">
        <v>191</v>
      </c>
      <c r="AZ832">
        <v>2021</v>
      </c>
      <c r="BA832">
        <v>174</v>
      </c>
      <c r="BB832">
        <v>1</v>
      </c>
      <c r="BC832" t="s">
        <v>69</v>
      </c>
      <c r="BD832" t="s">
        <v>69</v>
      </c>
      <c r="BE832" t="s">
        <v>69</v>
      </c>
      <c r="BF832" t="s">
        <v>69</v>
      </c>
      <c r="BG832">
        <v>42</v>
      </c>
      <c r="BH832">
        <v>51</v>
      </c>
      <c r="BI832" t="s">
        <v>69</v>
      </c>
      <c r="BJ832" t="s">
        <v>13201</v>
      </c>
      <c r="BK832" t="str">
        <f>HYPERLINK("http://dx.doi.org/10.1680/jtran.18.00011","http://dx.doi.org/10.1680/jtran.18.00011")</f>
        <v>http://dx.doi.org/10.1680/jtran.18.00011</v>
      </c>
      <c r="BL832" t="s">
        <v>69</v>
      </c>
      <c r="BM832" t="s">
        <v>69</v>
      </c>
      <c r="BN832">
        <v>10</v>
      </c>
      <c r="BO832" t="s">
        <v>13202</v>
      </c>
      <c r="BP832" t="s">
        <v>8548</v>
      </c>
      <c r="BQ832" t="s">
        <v>9561</v>
      </c>
      <c r="BR832" t="s">
        <v>13203</v>
      </c>
      <c r="BS832" t="s">
        <v>13204</v>
      </c>
      <c r="BT832" t="s">
        <v>69</v>
      </c>
      <c r="BU832" t="s">
        <v>69</v>
      </c>
      <c r="BV832" t="s">
        <v>69</v>
      </c>
      <c r="BW832" t="s">
        <v>69</v>
      </c>
      <c r="BX832" t="s">
        <v>8526</v>
      </c>
      <c r="BY832" t="str">
        <f>HYPERLINK("https%3A%2F%2Fwww.webofscience.com%2Fwos%2Fwoscc%2Ffull-record%2FWOS:000619602400006","View Full Record in Web of Science")</f>
        <v>View Full Record in Web of Science</v>
      </c>
    </row>
    <row r="833" spans="1:77" ht="12.5" x14ac:dyDescent="0.25">
      <c r="A833" t="s">
        <v>8495</v>
      </c>
      <c r="B833" s="22" t="s">
        <v>32931</v>
      </c>
      <c r="C833" s="7"/>
      <c r="D833" s="7"/>
      <c r="E833" s="7"/>
      <c r="F833" t="s">
        <v>67</v>
      </c>
      <c r="G833" t="s">
        <v>14349</v>
      </c>
      <c r="H833" t="s">
        <v>69</v>
      </c>
      <c r="I833" t="s">
        <v>69</v>
      </c>
      <c r="J833" t="s">
        <v>69</v>
      </c>
      <c r="K833" t="s">
        <v>14350</v>
      </c>
      <c r="L833" t="s">
        <v>69</v>
      </c>
      <c r="M833" t="s">
        <v>69</v>
      </c>
      <c r="N833" t="s">
        <v>14351</v>
      </c>
      <c r="O833" t="s">
        <v>14352</v>
      </c>
      <c r="P833" t="s">
        <v>69</v>
      </c>
      <c r="Q833" t="s">
        <v>69</v>
      </c>
      <c r="R833" t="s">
        <v>8505</v>
      </c>
      <c r="S833" t="s">
        <v>8506</v>
      </c>
      <c r="T833" t="s">
        <v>69</v>
      </c>
      <c r="U833" t="s">
        <v>69</v>
      </c>
      <c r="V833" t="s">
        <v>69</v>
      </c>
      <c r="W833" t="s">
        <v>69</v>
      </c>
      <c r="X833" t="s">
        <v>69</v>
      </c>
      <c r="Y833" t="s">
        <v>14353</v>
      </c>
      <c r="Z833" t="s">
        <v>14354</v>
      </c>
      <c r="AA833" t="s">
        <v>14355</v>
      </c>
      <c r="AB833" t="s">
        <v>14356</v>
      </c>
      <c r="AC833" t="s">
        <v>69</v>
      </c>
      <c r="AD833" t="s">
        <v>14357</v>
      </c>
      <c r="AE833" t="s">
        <v>14358</v>
      </c>
      <c r="AF833" t="s">
        <v>69</v>
      </c>
      <c r="AG833" t="s">
        <v>14359</v>
      </c>
      <c r="AH833" t="s">
        <v>14360</v>
      </c>
      <c r="AI833" t="s">
        <v>11825</v>
      </c>
      <c r="AJ833" t="s">
        <v>14361</v>
      </c>
      <c r="AK833" t="s">
        <v>69</v>
      </c>
      <c r="AL833">
        <v>48</v>
      </c>
      <c r="AM833">
        <v>28</v>
      </c>
      <c r="AN833">
        <v>28</v>
      </c>
      <c r="AO833">
        <v>0</v>
      </c>
      <c r="AP833">
        <v>6</v>
      </c>
      <c r="AQ833" t="s">
        <v>12736</v>
      </c>
      <c r="AR833" t="s">
        <v>12737</v>
      </c>
      <c r="AS833" t="s">
        <v>12738</v>
      </c>
      <c r="AT833" t="s">
        <v>14362</v>
      </c>
      <c r="AU833" t="s">
        <v>14363</v>
      </c>
      <c r="AV833" t="s">
        <v>69</v>
      </c>
      <c r="AW833" t="s">
        <v>14364</v>
      </c>
      <c r="AX833" t="s">
        <v>14365</v>
      </c>
      <c r="AY833" t="s">
        <v>255</v>
      </c>
      <c r="AZ833">
        <v>2020</v>
      </c>
      <c r="BA833">
        <v>230</v>
      </c>
      <c r="BB833" t="s">
        <v>69</v>
      </c>
      <c r="BC833" t="s">
        <v>69</v>
      </c>
      <c r="BD833" t="s">
        <v>69</v>
      </c>
      <c r="BE833" t="s">
        <v>69</v>
      </c>
      <c r="BF833" t="s">
        <v>69</v>
      </c>
      <c r="BG833" t="s">
        <v>69</v>
      </c>
      <c r="BH833" t="s">
        <v>69</v>
      </c>
      <c r="BI833">
        <v>113622</v>
      </c>
      <c r="BJ833" t="s">
        <v>14366</v>
      </c>
      <c r="BK833" t="str">
        <f>HYPERLINK("http://dx.doi.org/10.1016/j.ijheh.2020.113622","http://dx.doi.org/10.1016/j.ijheh.2020.113622")</f>
        <v>http://dx.doi.org/10.1016/j.ijheh.2020.113622</v>
      </c>
      <c r="BL833" t="s">
        <v>69</v>
      </c>
      <c r="BM833" t="s">
        <v>69</v>
      </c>
      <c r="BN833">
        <v>11</v>
      </c>
      <c r="BO833" t="s">
        <v>14367</v>
      </c>
      <c r="BP833" t="s">
        <v>8548</v>
      </c>
      <c r="BQ833" t="s">
        <v>14367</v>
      </c>
      <c r="BR833" t="s">
        <v>14368</v>
      </c>
      <c r="BS833" t="s">
        <v>14369</v>
      </c>
      <c r="BT833">
        <v>33045523</v>
      </c>
      <c r="BU833" t="s">
        <v>8622</v>
      </c>
      <c r="BV833" t="s">
        <v>69</v>
      </c>
      <c r="BW833" t="s">
        <v>69</v>
      </c>
      <c r="BX833" t="s">
        <v>8526</v>
      </c>
      <c r="BY833" t="str">
        <f>HYPERLINK("https%3A%2F%2Fwww.webofscience.com%2Fwos%2Fwoscc%2Ffull-record%2FWOS:000584390300022","View Full Record in Web of Science")</f>
        <v>View Full Record in Web of Science</v>
      </c>
    </row>
    <row r="834" spans="1:77" ht="12.5" x14ac:dyDescent="0.25">
      <c r="A834" t="s">
        <v>8495</v>
      </c>
      <c r="B834" s="7" t="s">
        <v>32933</v>
      </c>
      <c r="C834" s="7"/>
      <c r="D834" s="7"/>
      <c r="E834" s="7"/>
      <c r="F834" t="s">
        <v>67</v>
      </c>
      <c r="G834" t="s">
        <v>1306</v>
      </c>
      <c r="H834" t="s">
        <v>69</v>
      </c>
      <c r="I834" t="s">
        <v>69</v>
      </c>
      <c r="J834" t="s">
        <v>69</v>
      </c>
      <c r="K834" t="s">
        <v>1307</v>
      </c>
      <c r="L834" t="s">
        <v>69</v>
      </c>
      <c r="M834" t="s">
        <v>69</v>
      </c>
      <c r="N834" t="s">
        <v>1308</v>
      </c>
      <c r="O834" t="s">
        <v>1309</v>
      </c>
      <c r="P834" t="s">
        <v>69</v>
      </c>
      <c r="Q834" t="s">
        <v>69</v>
      </c>
      <c r="R834" t="s">
        <v>8505</v>
      </c>
      <c r="S834" t="s">
        <v>8506</v>
      </c>
      <c r="T834" t="s">
        <v>69</v>
      </c>
      <c r="U834" t="s">
        <v>69</v>
      </c>
      <c r="V834" t="s">
        <v>69</v>
      </c>
      <c r="W834" t="s">
        <v>69</v>
      </c>
      <c r="X834" t="s">
        <v>69</v>
      </c>
      <c r="Y834" t="s">
        <v>23064</v>
      </c>
      <c r="Z834" t="s">
        <v>69</v>
      </c>
      <c r="AA834" t="s">
        <v>1310</v>
      </c>
      <c r="AB834" t="s">
        <v>23065</v>
      </c>
      <c r="AC834" t="s">
        <v>69</v>
      </c>
      <c r="AD834" t="s">
        <v>23066</v>
      </c>
      <c r="AE834" t="s">
        <v>69</v>
      </c>
      <c r="AF834" t="s">
        <v>69</v>
      </c>
      <c r="AG834" t="s">
        <v>69</v>
      </c>
      <c r="AH834" t="s">
        <v>69</v>
      </c>
      <c r="AI834" t="s">
        <v>69</v>
      </c>
      <c r="AJ834" t="s">
        <v>69</v>
      </c>
      <c r="AK834" t="s">
        <v>69</v>
      </c>
      <c r="AL834">
        <v>22</v>
      </c>
      <c r="AM834">
        <v>2</v>
      </c>
      <c r="AN834">
        <v>2</v>
      </c>
      <c r="AO834">
        <v>0</v>
      </c>
      <c r="AP834">
        <v>9</v>
      </c>
      <c r="AQ834" t="s">
        <v>23067</v>
      </c>
      <c r="AR834" t="s">
        <v>16384</v>
      </c>
      <c r="AS834" t="s">
        <v>23068</v>
      </c>
      <c r="AT834" t="s">
        <v>1311</v>
      </c>
      <c r="AU834" t="s">
        <v>69</v>
      </c>
      <c r="AV834" t="s">
        <v>69</v>
      </c>
      <c r="AW834" t="s">
        <v>23069</v>
      </c>
      <c r="AX834" t="s">
        <v>23070</v>
      </c>
      <c r="AY834" t="s">
        <v>69</v>
      </c>
      <c r="AZ834">
        <v>2015</v>
      </c>
      <c r="BA834">
        <v>18</v>
      </c>
      <c r="BB834">
        <v>2</v>
      </c>
      <c r="BC834" t="s">
        <v>69</v>
      </c>
      <c r="BD834" t="s">
        <v>69</v>
      </c>
      <c r="BE834" t="s">
        <v>69</v>
      </c>
      <c r="BF834" t="s">
        <v>69</v>
      </c>
      <c r="BG834">
        <v>206</v>
      </c>
      <c r="BH834">
        <v>217</v>
      </c>
      <c r="BI834" t="s">
        <v>69</v>
      </c>
      <c r="BJ834" t="s">
        <v>69</v>
      </c>
      <c r="BK834" t="s">
        <v>69</v>
      </c>
      <c r="BL834" t="s">
        <v>69</v>
      </c>
      <c r="BM834" t="s">
        <v>69</v>
      </c>
      <c r="BN834">
        <v>12</v>
      </c>
      <c r="BO834" t="s">
        <v>15461</v>
      </c>
      <c r="BP834" t="s">
        <v>8661</v>
      </c>
      <c r="BQ834" t="s">
        <v>8594</v>
      </c>
      <c r="BR834" t="s">
        <v>23071</v>
      </c>
      <c r="BS834" t="s">
        <v>1312</v>
      </c>
      <c r="BT834" t="s">
        <v>69</v>
      </c>
      <c r="BU834" t="s">
        <v>11853</v>
      </c>
      <c r="BV834" t="s">
        <v>69</v>
      </c>
      <c r="BW834" t="s">
        <v>69</v>
      </c>
      <c r="BX834" t="s">
        <v>8526</v>
      </c>
      <c r="BY834" t="str">
        <f>HYPERLINK("https%3A%2F%2Fwww.webofscience.com%2Fwos%2Fwoscc%2Ffull-record%2FWOS:000356041500005","View Full Record in Web of Science")</f>
        <v>View Full Record in Web of Science</v>
      </c>
    </row>
    <row r="835" spans="1:77" ht="12.5" x14ac:dyDescent="0.25">
      <c r="A835" t="s">
        <v>8495</v>
      </c>
      <c r="B835" s="22" t="s">
        <v>32931</v>
      </c>
      <c r="C835" s="7"/>
      <c r="D835" s="7"/>
      <c r="E835" s="7"/>
      <c r="F835" t="s">
        <v>67</v>
      </c>
      <c r="G835" t="s">
        <v>27364</v>
      </c>
      <c r="H835" t="s">
        <v>69</v>
      </c>
      <c r="I835" t="s">
        <v>69</v>
      </c>
      <c r="J835" t="s">
        <v>69</v>
      </c>
      <c r="K835" t="s">
        <v>27365</v>
      </c>
      <c r="L835" t="s">
        <v>69</v>
      </c>
      <c r="M835" t="s">
        <v>69</v>
      </c>
      <c r="N835" t="s">
        <v>27366</v>
      </c>
      <c r="O835" t="s">
        <v>24194</v>
      </c>
      <c r="P835" t="s">
        <v>69</v>
      </c>
      <c r="Q835" t="s">
        <v>69</v>
      </c>
      <c r="R835" t="s">
        <v>8505</v>
      </c>
      <c r="S835" t="s">
        <v>8506</v>
      </c>
      <c r="T835" t="s">
        <v>69</v>
      </c>
      <c r="U835" t="s">
        <v>69</v>
      </c>
      <c r="V835" t="s">
        <v>69</v>
      </c>
      <c r="W835" t="s">
        <v>69</v>
      </c>
      <c r="X835" t="s">
        <v>69</v>
      </c>
      <c r="Y835" t="s">
        <v>27367</v>
      </c>
      <c r="Z835" t="s">
        <v>69</v>
      </c>
      <c r="AA835" t="s">
        <v>27368</v>
      </c>
      <c r="AB835" t="s">
        <v>27369</v>
      </c>
      <c r="AC835" t="s">
        <v>69</v>
      </c>
      <c r="AD835" t="s">
        <v>27370</v>
      </c>
      <c r="AE835" t="s">
        <v>27371</v>
      </c>
      <c r="AF835" t="s">
        <v>27372</v>
      </c>
      <c r="AG835" t="s">
        <v>27373</v>
      </c>
      <c r="AH835" t="s">
        <v>69</v>
      </c>
      <c r="AI835" t="s">
        <v>69</v>
      </c>
      <c r="AJ835" t="s">
        <v>69</v>
      </c>
      <c r="AK835" t="s">
        <v>69</v>
      </c>
      <c r="AL835">
        <v>22</v>
      </c>
      <c r="AM835">
        <v>7</v>
      </c>
      <c r="AN835">
        <v>7</v>
      </c>
      <c r="AO835">
        <v>0</v>
      </c>
      <c r="AP835">
        <v>1</v>
      </c>
      <c r="AQ835" t="s">
        <v>13509</v>
      </c>
      <c r="AR835" t="s">
        <v>13510</v>
      </c>
      <c r="AS835" t="s">
        <v>13511</v>
      </c>
      <c r="AT835" t="s">
        <v>24202</v>
      </c>
      <c r="AU835" t="s">
        <v>24203</v>
      </c>
      <c r="AV835" t="s">
        <v>69</v>
      </c>
      <c r="AW835" t="s">
        <v>24204</v>
      </c>
      <c r="AX835" t="s">
        <v>24205</v>
      </c>
      <c r="AY835" t="s">
        <v>69</v>
      </c>
      <c r="AZ835">
        <v>2011</v>
      </c>
      <c r="BA835">
        <v>9</v>
      </c>
      <c r="BB835">
        <v>4</v>
      </c>
      <c r="BC835" t="s">
        <v>69</v>
      </c>
      <c r="BD835" t="s">
        <v>69</v>
      </c>
      <c r="BE835" t="s">
        <v>69</v>
      </c>
      <c r="BF835" t="s">
        <v>69</v>
      </c>
      <c r="BG835">
        <v>352</v>
      </c>
      <c r="BH835">
        <v>371</v>
      </c>
      <c r="BI835" t="s">
        <v>69</v>
      </c>
      <c r="BJ835" t="s">
        <v>27374</v>
      </c>
      <c r="BK835" t="str">
        <f>HYPERLINK("http://dx.doi.org/10.1504/IJIL.2011.040535","http://dx.doi.org/10.1504/IJIL.2011.040535")</f>
        <v>http://dx.doi.org/10.1504/IJIL.2011.040535</v>
      </c>
      <c r="BL835" t="s">
        <v>69</v>
      </c>
      <c r="BM835" t="s">
        <v>69</v>
      </c>
      <c r="BN835">
        <v>20</v>
      </c>
      <c r="BO835" t="s">
        <v>9410</v>
      </c>
      <c r="BP835" t="s">
        <v>8573</v>
      </c>
      <c r="BQ835" t="s">
        <v>8594</v>
      </c>
      <c r="BR835" t="s">
        <v>27375</v>
      </c>
      <c r="BS835" t="s">
        <v>27376</v>
      </c>
      <c r="BT835" t="s">
        <v>69</v>
      </c>
      <c r="BU835" t="s">
        <v>69</v>
      </c>
      <c r="BV835" t="s">
        <v>69</v>
      </c>
      <c r="BW835" t="s">
        <v>69</v>
      </c>
      <c r="BX835" t="s">
        <v>8526</v>
      </c>
      <c r="BY835" t="str">
        <f>HYPERLINK("https%3A%2F%2Fwww.webofscience.com%2Fwos%2Fwoscc%2Ffull-record%2FWOS:000436814000002","View Full Record in Web of Science")</f>
        <v>View Full Record in Web of Science</v>
      </c>
    </row>
    <row r="836" spans="1:77" ht="12.5" x14ac:dyDescent="0.25">
      <c r="A836" t="s">
        <v>8495</v>
      </c>
      <c r="B836" s="22" t="s">
        <v>32931</v>
      </c>
      <c r="C836" s="7"/>
      <c r="D836" s="7"/>
      <c r="E836" s="7"/>
      <c r="F836" t="s">
        <v>67</v>
      </c>
      <c r="G836" t="s">
        <v>11046</v>
      </c>
      <c r="H836" t="s">
        <v>69</v>
      </c>
      <c r="I836" t="s">
        <v>69</v>
      </c>
      <c r="J836" t="s">
        <v>69</v>
      </c>
      <c r="K836" t="s">
        <v>11047</v>
      </c>
      <c r="L836" t="s">
        <v>69</v>
      </c>
      <c r="M836" t="s">
        <v>69</v>
      </c>
      <c r="N836" t="s">
        <v>11048</v>
      </c>
      <c r="O836" t="s">
        <v>11049</v>
      </c>
      <c r="P836" t="s">
        <v>69</v>
      </c>
      <c r="Q836" t="s">
        <v>69</v>
      </c>
      <c r="R836" t="s">
        <v>8505</v>
      </c>
      <c r="S836" t="s">
        <v>8556</v>
      </c>
      <c r="T836" t="s">
        <v>69</v>
      </c>
      <c r="U836" t="s">
        <v>69</v>
      </c>
      <c r="V836" t="s">
        <v>69</v>
      </c>
      <c r="W836" t="s">
        <v>69</v>
      </c>
      <c r="X836" t="s">
        <v>69</v>
      </c>
      <c r="Y836" t="s">
        <v>11050</v>
      </c>
      <c r="Z836" t="s">
        <v>11051</v>
      </c>
      <c r="AA836" t="s">
        <v>11052</v>
      </c>
      <c r="AB836" t="s">
        <v>11053</v>
      </c>
      <c r="AC836" t="s">
        <v>69</v>
      </c>
      <c r="AD836" t="s">
        <v>11054</v>
      </c>
      <c r="AE836" t="s">
        <v>11055</v>
      </c>
      <c r="AF836" t="s">
        <v>11056</v>
      </c>
      <c r="AG836" t="s">
        <v>11057</v>
      </c>
      <c r="AH836" t="s">
        <v>69</v>
      </c>
      <c r="AI836" t="s">
        <v>69</v>
      </c>
      <c r="AJ836" t="s">
        <v>69</v>
      </c>
      <c r="AK836" t="s">
        <v>69</v>
      </c>
      <c r="AL836">
        <v>78</v>
      </c>
      <c r="AM836">
        <v>0</v>
      </c>
      <c r="AN836">
        <v>0</v>
      </c>
      <c r="AO836">
        <v>30</v>
      </c>
      <c r="AP836">
        <v>57</v>
      </c>
      <c r="AQ836" t="s">
        <v>8586</v>
      </c>
      <c r="AR836" t="s">
        <v>8587</v>
      </c>
      <c r="AS836" t="s">
        <v>8588</v>
      </c>
      <c r="AT836" t="s">
        <v>11058</v>
      </c>
      <c r="AU836" t="s">
        <v>11059</v>
      </c>
      <c r="AV836" t="s">
        <v>69</v>
      </c>
      <c r="AW836" t="s">
        <v>11060</v>
      </c>
      <c r="AX836" t="s">
        <v>11061</v>
      </c>
      <c r="AY836" t="s">
        <v>69</v>
      </c>
      <c r="AZ836" t="s">
        <v>69</v>
      </c>
      <c r="BA836" t="s">
        <v>69</v>
      </c>
      <c r="BB836" t="s">
        <v>69</v>
      </c>
      <c r="BC836" t="s">
        <v>69</v>
      </c>
      <c r="BD836" t="s">
        <v>69</v>
      </c>
      <c r="BE836" t="s">
        <v>69</v>
      </c>
      <c r="BF836" t="s">
        <v>69</v>
      </c>
      <c r="BG836" t="s">
        <v>69</v>
      </c>
      <c r="BH836" t="s">
        <v>69</v>
      </c>
      <c r="BI836" t="s">
        <v>69</v>
      </c>
      <c r="BJ836" t="s">
        <v>11062</v>
      </c>
      <c r="BK836" t="str">
        <f>HYPERLINK("http://dx.doi.org/10.1108/JEIM-03-2021-0126","http://dx.doi.org/10.1108/JEIM-03-2021-0126")</f>
        <v>http://dx.doi.org/10.1108/JEIM-03-2021-0126</v>
      </c>
      <c r="BL836" t="s">
        <v>69</v>
      </c>
      <c r="BM836" t="s">
        <v>10991</v>
      </c>
      <c r="BN836">
        <v>22</v>
      </c>
      <c r="BO836" t="s">
        <v>11063</v>
      </c>
      <c r="BP836" t="s">
        <v>8661</v>
      </c>
      <c r="BQ836" t="s">
        <v>11064</v>
      </c>
      <c r="BR836" t="s">
        <v>11065</v>
      </c>
      <c r="BS836" t="s">
        <v>11066</v>
      </c>
      <c r="BT836" t="s">
        <v>69</v>
      </c>
      <c r="BU836" t="s">
        <v>10423</v>
      </c>
      <c r="BV836" t="s">
        <v>69</v>
      </c>
      <c r="BW836" t="s">
        <v>69</v>
      </c>
      <c r="BX836" t="s">
        <v>8526</v>
      </c>
      <c r="BY836" t="str">
        <f>HYPERLINK("https%3A%2F%2Fwww.webofscience.com%2Fwos%2Fwoscc%2Ffull-record%2FWOS:000709868000001","View Full Record in Web of Science")</f>
        <v>View Full Record in Web of Science</v>
      </c>
    </row>
    <row r="837" spans="1:77" x14ac:dyDescent="0.3">
      <c r="A837" t="s">
        <v>8495</v>
      </c>
      <c r="B837" s="9" t="s">
        <v>32950</v>
      </c>
      <c r="C837" s="12" t="s">
        <v>33058</v>
      </c>
      <c r="E837" s="9" t="s">
        <v>8490</v>
      </c>
      <c r="F837" t="s">
        <v>67</v>
      </c>
      <c r="G837" t="s">
        <v>12495</v>
      </c>
      <c r="H837" t="s">
        <v>69</v>
      </c>
      <c r="I837" t="s">
        <v>69</v>
      </c>
      <c r="J837" t="s">
        <v>69</v>
      </c>
      <c r="K837" t="s">
        <v>12496</v>
      </c>
      <c r="L837" t="s">
        <v>69</v>
      </c>
      <c r="M837" t="s">
        <v>69</v>
      </c>
      <c r="N837" t="s">
        <v>12497</v>
      </c>
      <c r="O837" t="s">
        <v>12498</v>
      </c>
      <c r="P837" t="s">
        <v>69</v>
      </c>
      <c r="Q837" t="s">
        <v>69</v>
      </c>
      <c r="R837" t="s">
        <v>8505</v>
      </c>
      <c r="S837" t="s">
        <v>8506</v>
      </c>
      <c r="T837" t="s">
        <v>69</v>
      </c>
      <c r="U837" t="s">
        <v>69</v>
      </c>
      <c r="V837" t="s">
        <v>69</v>
      </c>
      <c r="W837" t="s">
        <v>69</v>
      </c>
      <c r="X837" t="s">
        <v>69</v>
      </c>
      <c r="Y837" t="s">
        <v>69</v>
      </c>
      <c r="Z837" t="s">
        <v>69</v>
      </c>
      <c r="AA837" t="s">
        <v>12499</v>
      </c>
      <c r="AB837" t="s">
        <v>12500</v>
      </c>
      <c r="AC837" t="s">
        <v>69</v>
      </c>
      <c r="AD837" t="s">
        <v>12501</v>
      </c>
      <c r="AE837" t="s">
        <v>12502</v>
      </c>
      <c r="AF837" t="s">
        <v>69</v>
      </c>
      <c r="AG837" t="s">
        <v>69</v>
      </c>
      <c r="AH837" t="s">
        <v>69</v>
      </c>
      <c r="AI837" t="s">
        <v>69</v>
      </c>
      <c r="AJ837" t="s">
        <v>69</v>
      </c>
      <c r="AK837" t="s">
        <v>69</v>
      </c>
      <c r="AL837">
        <v>25</v>
      </c>
      <c r="AM837">
        <v>0</v>
      </c>
      <c r="AN837">
        <v>0</v>
      </c>
      <c r="AO837">
        <v>2</v>
      </c>
      <c r="AP837">
        <v>3</v>
      </c>
      <c r="AQ837" t="s">
        <v>12503</v>
      </c>
      <c r="AR837" t="s">
        <v>11361</v>
      </c>
      <c r="AS837" t="s">
        <v>12504</v>
      </c>
      <c r="AT837" t="s">
        <v>12505</v>
      </c>
      <c r="AU837" t="s">
        <v>69</v>
      </c>
      <c r="AV837" t="s">
        <v>69</v>
      </c>
      <c r="AW837" t="s">
        <v>12506</v>
      </c>
      <c r="AX837" t="s">
        <v>12507</v>
      </c>
      <c r="AY837" t="s">
        <v>246</v>
      </c>
      <c r="AZ837">
        <v>2021</v>
      </c>
      <c r="BA837">
        <v>66</v>
      </c>
      <c r="BB837">
        <v>4</v>
      </c>
      <c r="BC837" t="s">
        <v>69</v>
      </c>
      <c r="BD837" t="s">
        <v>69</v>
      </c>
      <c r="BE837" t="s">
        <v>69</v>
      </c>
      <c r="BF837" t="s">
        <v>69</v>
      </c>
      <c r="BG837">
        <v>19</v>
      </c>
      <c r="BH837">
        <v>29</v>
      </c>
      <c r="BI837" t="s">
        <v>69</v>
      </c>
      <c r="BJ837" t="s">
        <v>69</v>
      </c>
      <c r="BK837" t="s">
        <v>69</v>
      </c>
      <c r="BL837" t="s">
        <v>69</v>
      </c>
      <c r="BM837" t="s">
        <v>69</v>
      </c>
      <c r="BN837">
        <v>11</v>
      </c>
      <c r="BO837" t="s">
        <v>12508</v>
      </c>
      <c r="BP837" t="s">
        <v>8548</v>
      </c>
      <c r="BQ837" t="s">
        <v>12508</v>
      </c>
      <c r="BR837" t="s">
        <v>12509</v>
      </c>
      <c r="BS837" t="s">
        <v>12510</v>
      </c>
      <c r="BT837" t="s">
        <v>69</v>
      </c>
      <c r="BU837" t="s">
        <v>69</v>
      </c>
      <c r="BV837" t="s">
        <v>69</v>
      </c>
      <c r="BW837" t="s">
        <v>69</v>
      </c>
      <c r="BX837" t="s">
        <v>8526</v>
      </c>
      <c r="BY837" t="str">
        <f>HYPERLINK("https%3A%2F%2Fwww.webofscience.com%2Fwos%2Fwoscc%2Ffull-record%2FWOS:000683728800006","View Full Record in Web of Science")</f>
        <v>View Full Record in Web of Science</v>
      </c>
    </row>
    <row r="838" spans="1:77" x14ac:dyDescent="0.3">
      <c r="A838" t="s">
        <v>8495</v>
      </c>
      <c r="B838" s="10" t="s">
        <v>32994</v>
      </c>
      <c r="F838" t="s">
        <v>67</v>
      </c>
      <c r="G838" t="s">
        <v>277</v>
      </c>
      <c r="H838" t="s">
        <v>69</v>
      </c>
      <c r="I838" t="s">
        <v>69</v>
      </c>
      <c r="J838" t="s">
        <v>69</v>
      </c>
      <c r="K838" s="2" t="s">
        <v>278</v>
      </c>
      <c r="L838" t="s">
        <v>69</v>
      </c>
      <c r="M838" t="s">
        <v>69</v>
      </c>
      <c r="N838" s="11" t="s">
        <v>279</v>
      </c>
      <c r="O838" t="s">
        <v>280</v>
      </c>
      <c r="P838" t="s">
        <v>69</v>
      </c>
      <c r="Q838" t="s">
        <v>69</v>
      </c>
      <c r="R838" t="s">
        <v>8505</v>
      </c>
      <c r="S838" t="s">
        <v>15797</v>
      </c>
      <c r="T838" t="s">
        <v>281</v>
      </c>
      <c r="U838" t="s">
        <v>282</v>
      </c>
      <c r="V838" t="s">
        <v>283</v>
      </c>
      <c r="W838" t="s">
        <v>284</v>
      </c>
      <c r="X838" t="s">
        <v>285</v>
      </c>
      <c r="Y838" t="s">
        <v>21632</v>
      </c>
      <c r="Z838" t="s">
        <v>21633</v>
      </c>
      <c r="AA838" t="s">
        <v>286</v>
      </c>
      <c r="AB838" t="s">
        <v>21634</v>
      </c>
      <c r="AC838" t="s">
        <v>69</v>
      </c>
      <c r="AD838" t="s">
        <v>21635</v>
      </c>
      <c r="AE838" t="s">
        <v>21636</v>
      </c>
      <c r="AF838" t="s">
        <v>69</v>
      </c>
      <c r="AG838" t="s">
        <v>69</v>
      </c>
      <c r="AH838" t="s">
        <v>69</v>
      </c>
      <c r="AI838" t="s">
        <v>69</v>
      </c>
      <c r="AJ838" t="s">
        <v>69</v>
      </c>
      <c r="AK838" t="s">
        <v>69</v>
      </c>
      <c r="AL838">
        <v>32</v>
      </c>
      <c r="AM838">
        <v>1</v>
      </c>
      <c r="AN838">
        <v>1</v>
      </c>
      <c r="AO838">
        <v>1</v>
      </c>
      <c r="AP838">
        <v>23</v>
      </c>
      <c r="AQ838" t="s">
        <v>9091</v>
      </c>
      <c r="AR838" t="s">
        <v>8763</v>
      </c>
      <c r="AS838" t="s">
        <v>15468</v>
      </c>
      <c r="AT838" t="s">
        <v>287</v>
      </c>
      <c r="AU838" t="s">
        <v>288</v>
      </c>
      <c r="AV838" t="s">
        <v>69</v>
      </c>
      <c r="AW838" t="s">
        <v>21637</v>
      </c>
      <c r="AX838" t="s">
        <v>21638</v>
      </c>
      <c r="AY838" t="s">
        <v>155</v>
      </c>
      <c r="AZ838">
        <v>2016</v>
      </c>
      <c r="BA838">
        <v>47</v>
      </c>
      <c r="BB838">
        <v>3</v>
      </c>
      <c r="BC838" t="s">
        <v>69</v>
      </c>
      <c r="BD838" t="s">
        <v>69</v>
      </c>
      <c r="BE838" t="s">
        <v>69</v>
      </c>
      <c r="BF838" t="s">
        <v>69</v>
      </c>
      <c r="BG838">
        <v>545</v>
      </c>
      <c r="BH838">
        <v>551</v>
      </c>
      <c r="BI838" t="s">
        <v>69</v>
      </c>
      <c r="BJ838" t="s">
        <v>289</v>
      </c>
      <c r="BK838" t="str">
        <f>HYPERLINK("http://dx.doi.org/10.2166/nh.2015.044","http://dx.doi.org/10.2166/nh.2015.044")</f>
        <v>http://dx.doi.org/10.2166/nh.2015.044</v>
      </c>
      <c r="BL838" t="s">
        <v>69</v>
      </c>
      <c r="BM838" t="s">
        <v>69</v>
      </c>
      <c r="BN838">
        <v>7</v>
      </c>
      <c r="BO838" t="s">
        <v>9096</v>
      </c>
      <c r="BP838" t="s">
        <v>15808</v>
      </c>
      <c r="BQ838" t="s">
        <v>9096</v>
      </c>
      <c r="BR838" t="s">
        <v>21639</v>
      </c>
      <c r="BS838" t="s">
        <v>290</v>
      </c>
      <c r="BT838" t="s">
        <v>69</v>
      </c>
      <c r="BU838" t="s">
        <v>9374</v>
      </c>
      <c r="BV838" t="s">
        <v>69</v>
      </c>
      <c r="BW838" t="s">
        <v>69</v>
      </c>
      <c r="BX838" t="s">
        <v>8526</v>
      </c>
      <c r="BY838" t="str">
        <f>HYPERLINK("https%3A%2F%2Fwww.webofscience.com%2Fwos%2Fwoscc%2Ffull-record%2FWOS:000378540900002","View Full Record in Web of Science")</f>
        <v>View Full Record in Web of Science</v>
      </c>
    </row>
    <row r="839" spans="1:77" ht="12.5" x14ac:dyDescent="0.25">
      <c r="A839" t="s">
        <v>8495</v>
      </c>
      <c r="B839" s="22" t="s">
        <v>32931</v>
      </c>
      <c r="C839" s="7"/>
      <c r="D839" s="7"/>
      <c r="E839" s="7"/>
      <c r="F839" t="s">
        <v>67</v>
      </c>
      <c r="G839" t="s">
        <v>22093</v>
      </c>
      <c r="H839" t="s">
        <v>69</v>
      </c>
      <c r="I839" t="s">
        <v>69</v>
      </c>
      <c r="J839" t="s">
        <v>69</v>
      </c>
      <c r="K839" t="s">
        <v>22094</v>
      </c>
      <c r="L839" t="s">
        <v>69</v>
      </c>
      <c r="M839" t="s">
        <v>69</v>
      </c>
      <c r="N839" t="s">
        <v>22095</v>
      </c>
      <c r="O839" t="s">
        <v>22096</v>
      </c>
      <c r="P839" t="s">
        <v>69</v>
      </c>
      <c r="Q839" t="s">
        <v>69</v>
      </c>
      <c r="R839" t="s">
        <v>10071</v>
      </c>
      <c r="S839" t="s">
        <v>8506</v>
      </c>
      <c r="T839" t="s">
        <v>69</v>
      </c>
      <c r="U839" t="s">
        <v>69</v>
      </c>
      <c r="V839" t="s">
        <v>69</v>
      </c>
      <c r="W839" t="s">
        <v>69</v>
      </c>
      <c r="X839" t="s">
        <v>69</v>
      </c>
      <c r="Y839" t="s">
        <v>22097</v>
      </c>
      <c r="Z839" t="s">
        <v>69</v>
      </c>
      <c r="AA839" t="s">
        <v>22098</v>
      </c>
      <c r="AB839" t="s">
        <v>22099</v>
      </c>
      <c r="AC839" t="s">
        <v>69</v>
      </c>
      <c r="AD839" t="s">
        <v>22100</v>
      </c>
      <c r="AE839" t="s">
        <v>22101</v>
      </c>
      <c r="AF839" t="s">
        <v>69</v>
      </c>
      <c r="AG839" t="s">
        <v>69</v>
      </c>
      <c r="AH839" t="s">
        <v>69</v>
      </c>
      <c r="AI839" t="s">
        <v>69</v>
      </c>
      <c r="AJ839" t="s">
        <v>69</v>
      </c>
      <c r="AK839" t="s">
        <v>69</v>
      </c>
      <c r="AL839">
        <v>21</v>
      </c>
      <c r="AM839">
        <v>9</v>
      </c>
      <c r="AN839">
        <v>11</v>
      </c>
      <c r="AO839">
        <v>0</v>
      </c>
      <c r="AP839">
        <v>5</v>
      </c>
      <c r="AQ839" t="s">
        <v>22102</v>
      </c>
      <c r="AR839" t="s">
        <v>22103</v>
      </c>
      <c r="AS839" t="s">
        <v>22104</v>
      </c>
      <c r="AT839" t="s">
        <v>22105</v>
      </c>
      <c r="AU839" t="s">
        <v>22106</v>
      </c>
      <c r="AV839" t="s">
        <v>69</v>
      </c>
      <c r="AW839" t="s">
        <v>22107</v>
      </c>
      <c r="AX839" t="s">
        <v>22108</v>
      </c>
      <c r="AY839" t="s">
        <v>373</v>
      </c>
      <c r="AZ839">
        <v>2016</v>
      </c>
      <c r="BA839">
        <v>144</v>
      </c>
      <c r="BB839">
        <v>1</v>
      </c>
      <c r="BC839" t="s">
        <v>69</v>
      </c>
      <c r="BD839" t="s">
        <v>69</v>
      </c>
      <c r="BE839" t="s">
        <v>69</v>
      </c>
      <c r="BF839" t="s">
        <v>69</v>
      </c>
      <c r="BG839">
        <v>116</v>
      </c>
      <c r="BH839">
        <v>123</v>
      </c>
      <c r="BI839" t="s">
        <v>69</v>
      </c>
      <c r="BJ839" t="s">
        <v>69</v>
      </c>
      <c r="BK839" t="s">
        <v>69</v>
      </c>
      <c r="BL839" t="s">
        <v>69</v>
      </c>
      <c r="BM839" t="s">
        <v>69</v>
      </c>
      <c r="BN839">
        <v>8</v>
      </c>
      <c r="BO839" t="s">
        <v>9450</v>
      </c>
      <c r="BP839" t="s">
        <v>8548</v>
      </c>
      <c r="BQ839" t="s">
        <v>9451</v>
      </c>
      <c r="BR839" t="s">
        <v>22109</v>
      </c>
      <c r="BS839" t="s">
        <v>22110</v>
      </c>
      <c r="BT839">
        <v>26998990</v>
      </c>
      <c r="BU839" t="s">
        <v>9352</v>
      </c>
      <c r="BV839" t="s">
        <v>69</v>
      </c>
      <c r="BW839" t="s">
        <v>69</v>
      </c>
      <c r="BX839" t="s">
        <v>8526</v>
      </c>
      <c r="BY839" t="str">
        <f>HYPERLINK("https%3A%2F%2Fwww.webofscience.com%2Fwos%2Fwoscc%2Ffull-record%2FWOS:000371280000015","View Full Record in Web of Science")</f>
        <v>View Full Record in Web of Science</v>
      </c>
    </row>
    <row r="840" spans="1:77" ht="12.5" x14ac:dyDescent="0.25">
      <c r="A840" t="s">
        <v>8495</v>
      </c>
      <c r="B840" s="7" t="s">
        <v>32933</v>
      </c>
      <c r="C840" s="7"/>
      <c r="D840" s="7"/>
      <c r="E840" s="7"/>
      <c r="F840" t="s">
        <v>67</v>
      </c>
      <c r="G840" t="s">
        <v>5881</v>
      </c>
      <c r="H840" t="s">
        <v>69</v>
      </c>
      <c r="I840" t="s">
        <v>69</v>
      </c>
      <c r="J840" t="s">
        <v>69</v>
      </c>
      <c r="K840" t="s">
        <v>5882</v>
      </c>
      <c r="L840" t="s">
        <v>69</v>
      </c>
      <c r="M840" t="s">
        <v>69</v>
      </c>
      <c r="N840" t="s">
        <v>5883</v>
      </c>
      <c r="O840" t="s">
        <v>5884</v>
      </c>
      <c r="P840" t="s">
        <v>69</v>
      </c>
      <c r="Q840" t="s">
        <v>69</v>
      </c>
      <c r="R840" t="s">
        <v>8505</v>
      </c>
      <c r="S840" t="s">
        <v>8506</v>
      </c>
      <c r="T840" t="s">
        <v>69</v>
      </c>
      <c r="U840" t="s">
        <v>69</v>
      </c>
      <c r="V840" t="s">
        <v>69</v>
      </c>
      <c r="W840" t="s">
        <v>69</v>
      </c>
      <c r="X840" t="s">
        <v>69</v>
      </c>
      <c r="Y840" t="s">
        <v>69</v>
      </c>
      <c r="Z840" t="s">
        <v>29664</v>
      </c>
      <c r="AA840" t="s">
        <v>5885</v>
      </c>
      <c r="AB840" t="s">
        <v>69</v>
      </c>
      <c r="AC840" t="s">
        <v>69</v>
      </c>
      <c r="AD840" t="s">
        <v>69</v>
      </c>
      <c r="AE840" t="s">
        <v>29665</v>
      </c>
      <c r="AF840" t="s">
        <v>69</v>
      </c>
      <c r="AG840" t="s">
        <v>69</v>
      </c>
      <c r="AH840" t="s">
        <v>69</v>
      </c>
      <c r="AI840" t="s">
        <v>69</v>
      </c>
      <c r="AJ840" t="s">
        <v>69</v>
      </c>
      <c r="AK840" t="s">
        <v>69</v>
      </c>
      <c r="AL840">
        <v>41</v>
      </c>
      <c r="AM840">
        <v>3</v>
      </c>
      <c r="AN840">
        <v>3</v>
      </c>
      <c r="AO840">
        <v>0</v>
      </c>
      <c r="AP840">
        <v>10</v>
      </c>
      <c r="AQ840" t="s">
        <v>8611</v>
      </c>
      <c r="AR840" t="s">
        <v>8612</v>
      </c>
      <c r="AS840" t="s">
        <v>8613</v>
      </c>
      <c r="AT840" t="s">
        <v>5886</v>
      </c>
      <c r="AU840" t="s">
        <v>5887</v>
      </c>
      <c r="AV840" t="s">
        <v>69</v>
      </c>
      <c r="AW840" t="s">
        <v>29666</v>
      </c>
      <c r="AX840" t="s">
        <v>29667</v>
      </c>
      <c r="AY840" t="s">
        <v>5888</v>
      </c>
      <c r="AZ840">
        <v>2007</v>
      </c>
      <c r="BA840">
        <v>13</v>
      </c>
      <c r="BB840">
        <v>3</v>
      </c>
      <c r="BC840" t="s">
        <v>69</v>
      </c>
      <c r="BD840" t="s">
        <v>69</v>
      </c>
      <c r="BE840" t="s">
        <v>69</v>
      </c>
      <c r="BF840" t="s">
        <v>69</v>
      </c>
      <c r="BG840">
        <v>312</v>
      </c>
      <c r="BH840">
        <v>317</v>
      </c>
      <c r="BI840" t="s">
        <v>69</v>
      </c>
      <c r="BJ840" t="s">
        <v>5889</v>
      </c>
      <c r="BK840" t="str">
        <f>HYPERLINK("http://dx.doi.org/10.1179/oeh.2007.13.3.312","http://dx.doi.org/10.1179/oeh.2007.13.3.312")</f>
        <v>http://dx.doi.org/10.1179/oeh.2007.13.3.312</v>
      </c>
      <c r="BL840" t="s">
        <v>69</v>
      </c>
      <c r="BM840" t="s">
        <v>69</v>
      </c>
      <c r="BN840">
        <v>6</v>
      </c>
      <c r="BO840" t="s">
        <v>8810</v>
      </c>
      <c r="BP840" t="s">
        <v>8523</v>
      </c>
      <c r="BQ840" t="s">
        <v>8810</v>
      </c>
      <c r="BR840" t="s">
        <v>29668</v>
      </c>
      <c r="BS840" t="s">
        <v>5890</v>
      </c>
      <c r="BT840">
        <v>17915545</v>
      </c>
      <c r="BU840" t="s">
        <v>10995</v>
      </c>
      <c r="BV840" t="s">
        <v>69</v>
      </c>
      <c r="BW840" t="s">
        <v>69</v>
      </c>
      <c r="BX840" t="s">
        <v>8526</v>
      </c>
      <c r="BY840" t="str">
        <f>HYPERLINK("https%3A%2F%2Fwww.webofscience.com%2Fwos%2Fwoscc%2Ffull-record%2FWOS:000249403200007","View Full Record in Web of Science")</f>
        <v>View Full Record in Web of Science</v>
      </c>
    </row>
    <row r="841" spans="1:77" ht="12.5" x14ac:dyDescent="0.25">
      <c r="A841" t="s">
        <v>8495</v>
      </c>
      <c r="B841" s="7" t="s">
        <v>32933</v>
      </c>
      <c r="C841" s="7"/>
      <c r="D841" s="7"/>
      <c r="E841" s="7"/>
      <c r="F841" t="s">
        <v>67</v>
      </c>
      <c r="G841" t="s">
        <v>2335</v>
      </c>
      <c r="H841" t="s">
        <v>69</v>
      </c>
      <c r="I841" t="s">
        <v>69</v>
      </c>
      <c r="J841" t="s">
        <v>69</v>
      </c>
      <c r="K841" t="s">
        <v>2336</v>
      </c>
      <c r="L841" t="s">
        <v>69</v>
      </c>
      <c r="M841" t="s">
        <v>69</v>
      </c>
      <c r="N841" t="s">
        <v>2337</v>
      </c>
      <c r="O841" t="s">
        <v>2009</v>
      </c>
      <c r="P841" t="s">
        <v>69</v>
      </c>
      <c r="Q841" t="s">
        <v>69</v>
      </c>
      <c r="R841" t="s">
        <v>8505</v>
      </c>
      <c r="S841" t="s">
        <v>8506</v>
      </c>
      <c r="T841" t="s">
        <v>69</v>
      </c>
      <c r="U841" t="s">
        <v>69</v>
      </c>
      <c r="V841" t="s">
        <v>69</v>
      </c>
      <c r="W841" t="s">
        <v>69</v>
      </c>
      <c r="X841" t="s">
        <v>69</v>
      </c>
      <c r="Y841" t="s">
        <v>18201</v>
      </c>
      <c r="Z841" t="s">
        <v>18202</v>
      </c>
      <c r="AA841" t="s">
        <v>2338</v>
      </c>
      <c r="AB841" t="s">
        <v>18203</v>
      </c>
      <c r="AC841" t="s">
        <v>69</v>
      </c>
      <c r="AD841" t="s">
        <v>18204</v>
      </c>
      <c r="AE841" t="s">
        <v>18205</v>
      </c>
      <c r="AF841" t="s">
        <v>69</v>
      </c>
      <c r="AG841" t="s">
        <v>69</v>
      </c>
      <c r="AH841" t="s">
        <v>18206</v>
      </c>
      <c r="AI841" t="s">
        <v>9925</v>
      </c>
      <c r="AJ841" t="s">
        <v>18207</v>
      </c>
      <c r="AK841" t="s">
        <v>69</v>
      </c>
      <c r="AL841">
        <v>82</v>
      </c>
      <c r="AM841">
        <v>6</v>
      </c>
      <c r="AN841">
        <v>6</v>
      </c>
      <c r="AO841">
        <v>13</v>
      </c>
      <c r="AP841">
        <v>18</v>
      </c>
      <c r="AQ841" t="s">
        <v>8924</v>
      </c>
      <c r="AR841" t="s">
        <v>8925</v>
      </c>
      <c r="AS841" t="s">
        <v>8926</v>
      </c>
      <c r="AT841" t="s">
        <v>69</v>
      </c>
      <c r="AU841" t="s">
        <v>2011</v>
      </c>
      <c r="AV841" t="s">
        <v>69</v>
      </c>
      <c r="AW841" t="s">
        <v>11240</v>
      </c>
      <c r="AX841" t="s">
        <v>11240</v>
      </c>
      <c r="AY841" t="s">
        <v>274</v>
      </c>
      <c r="AZ841">
        <v>2018</v>
      </c>
      <c r="BA841">
        <v>8</v>
      </c>
      <c r="BB841">
        <v>11</v>
      </c>
      <c r="BC841" t="s">
        <v>69</v>
      </c>
      <c r="BD841" t="s">
        <v>69</v>
      </c>
      <c r="BE841" t="s">
        <v>69</v>
      </c>
      <c r="BF841" t="s">
        <v>69</v>
      </c>
      <c r="BG841" t="s">
        <v>69</v>
      </c>
      <c r="BH841" t="s">
        <v>69</v>
      </c>
      <c r="BI841">
        <v>157</v>
      </c>
      <c r="BJ841" t="s">
        <v>2339</v>
      </c>
      <c r="BK841" t="str">
        <f>HYPERLINK("http://dx.doi.org/10.3390/buildings8110157","http://dx.doi.org/10.3390/buildings8110157")</f>
        <v>http://dx.doi.org/10.3390/buildings8110157</v>
      </c>
      <c r="BL841" t="s">
        <v>69</v>
      </c>
      <c r="BM841" t="s">
        <v>69</v>
      </c>
      <c r="BN841">
        <v>18</v>
      </c>
      <c r="BO841" t="s">
        <v>11242</v>
      </c>
      <c r="BP841" t="s">
        <v>8548</v>
      </c>
      <c r="BQ841" t="s">
        <v>8549</v>
      </c>
      <c r="BR841" t="s">
        <v>18208</v>
      </c>
      <c r="BS841" t="s">
        <v>2340</v>
      </c>
      <c r="BT841" t="s">
        <v>69</v>
      </c>
      <c r="BU841" t="s">
        <v>17361</v>
      </c>
      <c r="BV841" t="s">
        <v>69</v>
      </c>
      <c r="BW841" t="s">
        <v>69</v>
      </c>
      <c r="BX841" t="s">
        <v>8526</v>
      </c>
      <c r="BY841" t="str">
        <f>HYPERLINK("https%3A%2F%2Fwww.webofscience.com%2Fwos%2Fwoscc%2Ffull-record%2FWOS:000451306700011","View Full Record in Web of Science")</f>
        <v>View Full Record in Web of Science</v>
      </c>
    </row>
    <row r="842" spans="1:77" ht="12.5" x14ac:dyDescent="0.25">
      <c r="A842" t="s">
        <v>8495</v>
      </c>
      <c r="B842" s="7" t="s">
        <v>32933</v>
      </c>
      <c r="C842" s="7"/>
      <c r="D842" s="7"/>
      <c r="E842" s="7"/>
      <c r="F842" t="s">
        <v>67</v>
      </c>
      <c r="G842" t="s">
        <v>7819</v>
      </c>
      <c r="H842" t="s">
        <v>69</v>
      </c>
      <c r="I842" t="s">
        <v>69</v>
      </c>
      <c r="J842" t="s">
        <v>69</v>
      </c>
      <c r="K842" t="s">
        <v>7820</v>
      </c>
      <c r="L842" t="s">
        <v>69</v>
      </c>
      <c r="M842" t="s">
        <v>69</v>
      </c>
      <c r="N842" t="s">
        <v>7821</v>
      </c>
      <c r="O842" t="s">
        <v>7822</v>
      </c>
      <c r="P842" t="s">
        <v>69</v>
      </c>
      <c r="Q842" t="s">
        <v>69</v>
      </c>
      <c r="R842" t="s">
        <v>8505</v>
      </c>
      <c r="S842" t="s">
        <v>8506</v>
      </c>
      <c r="T842" t="s">
        <v>69</v>
      </c>
      <c r="U842" t="s">
        <v>69</v>
      </c>
      <c r="V842" t="s">
        <v>69</v>
      </c>
      <c r="W842" t="s">
        <v>69</v>
      </c>
      <c r="X842" t="s">
        <v>69</v>
      </c>
      <c r="Y842" t="s">
        <v>20835</v>
      </c>
      <c r="Z842" t="s">
        <v>69</v>
      </c>
      <c r="AA842" t="s">
        <v>7823</v>
      </c>
      <c r="AB842" t="s">
        <v>20836</v>
      </c>
      <c r="AC842" t="s">
        <v>69</v>
      </c>
      <c r="AD842" t="s">
        <v>20837</v>
      </c>
      <c r="AE842" t="s">
        <v>20838</v>
      </c>
      <c r="AF842" t="s">
        <v>69</v>
      </c>
      <c r="AG842" t="s">
        <v>69</v>
      </c>
      <c r="AH842" t="s">
        <v>69</v>
      </c>
      <c r="AI842" t="s">
        <v>69</v>
      </c>
      <c r="AJ842" t="s">
        <v>69</v>
      </c>
      <c r="AK842" t="s">
        <v>69</v>
      </c>
      <c r="AL842">
        <v>7</v>
      </c>
      <c r="AM842">
        <v>0</v>
      </c>
      <c r="AN842">
        <v>0</v>
      </c>
      <c r="AO842">
        <v>0</v>
      </c>
      <c r="AP842">
        <v>3</v>
      </c>
      <c r="AQ842" t="s">
        <v>20839</v>
      </c>
      <c r="AR842" t="s">
        <v>20840</v>
      </c>
      <c r="AS842" t="s">
        <v>20841</v>
      </c>
      <c r="AT842" t="s">
        <v>7824</v>
      </c>
      <c r="AU842" t="s">
        <v>7825</v>
      </c>
      <c r="AV842" t="s">
        <v>69</v>
      </c>
      <c r="AW842" t="s">
        <v>20842</v>
      </c>
      <c r="AX842" t="s">
        <v>20843</v>
      </c>
      <c r="AY842" t="s">
        <v>69</v>
      </c>
      <c r="AZ842">
        <v>2017</v>
      </c>
      <c r="BA842" t="s">
        <v>69</v>
      </c>
      <c r="BB842">
        <v>1</v>
      </c>
      <c r="BC842" t="s">
        <v>69</v>
      </c>
      <c r="BD842" t="s">
        <v>69</v>
      </c>
      <c r="BE842" t="s">
        <v>69</v>
      </c>
      <c r="BF842" t="s">
        <v>69</v>
      </c>
      <c r="BG842">
        <v>179</v>
      </c>
      <c r="BH842">
        <v>184</v>
      </c>
      <c r="BI842" t="s">
        <v>69</v>
      </c>
      <c r="BJ842" t="s">
        <v>69</v>
      </c>
      <c r="BK842" t="s">
        <v>69</v>
      </c>
      <c r="BL842" t="s">
        <v>69</v>
      </c>
      <c r="BM842" t="s">
        <v>69</v>
      </c>
      <c r="BN842">
        <v>6</v>
      </c>
      <c r="BO842" t="s">
        <v>9726</v>
      </c>
      <c r="BP842" t="s">
        <v>8573</v>
      </c>
      <c r="BQ842" t="s">
        <v>8594</v>
      </c>
      <c r="BR842" t="s">
        <v>20844</v>
      </c>
      <c r="BS842" t="s">
        <v>7826</v>
      </c>
      <c r="BT842" t="s">
        <v>69</v>
      </c>
      <c r="BU842" t="s">
        <v>69</v>
      </c>
      <c r="BV842" t="s">
        <v>69</v>
      </c>
      <c r="BW842" t="s">
        <v>69</v>
      </c>
      <c r="BX842" t="s">
        <v>8526</v>
      </c>
      <c r="BY842" t="str">
        <f>HYPERLINK("https%3A%2F%2Fwww.webofscience.com%2Fwos%2Fwoscc%2Ffull-record%2FWOS:000409465200028","View Full Record in Web of Science")</f>
        <v>View Full Record in Web of Science</v>
      </c>
    </row>
    <row r="843" spans="1:77" ht="12.5" x14ac:dyDescent="0.25">
      <c r="A843" t="s">
        <v>8495</v>
      </c>
      <c r="B843" s="7" t="s">
        <v>32933</v>
      </c>
      <c r="C843" s="7"/>
      <c r="D843" s="7"/>
      <c r="E843" s="7"/>
      <c r="F843" t="s">
        <v>67</v>
      </c>
      <c r="G843" t="s">
        <v>6692</v>
      </c>
      <c r="H843" t="s">
        <v>69</v>
      </c>
      <c r="I843" t="s">
        <v>69</v>
      </c>
      <c r="J843" t="s">
        <v>69</v>
      </c>
      <c r="K843" t="s">
        <v>6693</v>
      </c>
      <c r="L843" t="s">
        <v>69</v>
      </c>
      <c r="M843" t="s">
        <v>69</v>
      </c>
      <c r="N843" t="s">
        <v>6694</v>
      </c>
      <c r="O843" t="s">
        <v>436</v>
      </c>
      <c r="P843" t="s">
        <v>69</v>
      </c>
      <c r="Q843" t="s">
        <v>69</v>
      </c>
      <c r="R843" t="s">
        <v>8505</v>
      </c>
      <c r="S843" t="s">
        <v>8506</v>
      </c>
      <c r="T843" t="s">
        <v>69</v>
      </c>
      <c r="U843" t="s">
        <v>69</v>
      </c>
      <c r="V843" t="s">
        <v>69</v>
      </c>
      <c r="W843" t="s">
        <v>69</v>
      </c>
      <c r="X843" t="s">
        <v>69</v>
      </c>
      <c r="Y843" t="s">
        <v>14990</v>
      </c>
      <c r="Z843" t="s">
        <v>14991</v>
      </c>
      <c r="AA843" t="s">
        <v>6695</v>
      </c>
      <c r="AB843" t="s">
        <v>14992</v>
      </c>
      <c r="AC843" t="s">
        <v>69</v>
      </c>
      <c r="AD843" t="s">
        <v>14993</v>
      </c>
      <c r="AE843" t="s">
        <v>14994</v>
      </c>
      <c r="AF843" t="s">
        <v>6696</v>
      </c>
      <c r="AG843" t="s">
        <v>6697</v>
      </c>
      <c r="AH843" t="s">
        <v>69</v>
      </c>
      <c r="AI843" t="s">
        <v>69</v>
      </c>
      <c r="AJ843" t="s">
        <v>69</v>
      </c>
      <c r="AK843" t="s">
        <v>69</v>
      </c>
      <c r="AL843">
        <v>37</v>
      </c>
      <c r="AM843">
        <v>5</v>
      </c>
      <c r="AN843">
        <v>5</v>
      </c>
      <c r="AO843">
        <v>0</v>
      </c>
      <c r="AP843">
        <v>18</v>
      </c>
      <c r="AQ843" t="s">
        <v>8636</v>
      </c>
      <c r="AR843" t="s">
        <v>8637</v>
      </c>
      <c r="AS843" t="s">
        <v>8638</v>
      </c>
      <c r="AT843" t="s">
        <v>440</v>
      </c>
      <c r="AU843" t="s">
        <v>441</v>
      </c>
      <c r="AV843" t="s">
        <v>69</v>
      </c>
      <c r="AW843" t="s">
        <v>8639</v>
      </c>
      <c r="AX843" t="s">
        <v>8640</v>
      </c>
      <c r="AY843" t="s">
        <v>6073</v>
      </c>
      <c r="AZ843">
        <v>2020</v>
      </c>
      <c r="BA843">
        <v>258</v>
      </c>
      <c r="BB843" t="s">
        <v>69</v>
      </c>
      <c r="BC843" t="s">
        <v>69</v>
      </c>
      <c r="BD843" t="s">
        <v>69</v>
      </c>
      <c r="BE843" t="s">
        <v>69</v>
      </c>
      <c r="BF843" t="s">
        <v>69</v>
      </c>
      <c r="BG843" t="s">
        <v>69</v>
      </c>
      <c r="BH843" t="s">
        <v>69</v>
      </c>
      <c r="BI843">
        <v>120677</v>
      </c>
      <c r="BJ843" t="s">
        <v>6698</v>
      </c>
      <c r="BK843" t="str">
        <f>HYPERLINK("http://dx.doi.org/10.1016/j.jclepro.2020.120677","http://dx.doi.org/10.1016/j.jclepro.2020.120677")</f>
        <v>http://dx.doi.org/10.1016/j.jclepro.2020.120677</v>
      </c>
      <c r="BL843" t="s">
        <v>69</v>
      </c>
      <c r="BM843" t="s">
        <v>69</v>
      </c>
      <c r="BN843">
        <v>11</v>
      </c>
      <c r="BO843" t="s">
        <v>8643</v>
      </c>
      <c r="BP843" t="s">
        <v>8523</v>
      </c>
      <c r="BQ843" t="s">
        <v>8644</v>
      </c>
      <c r="BR843" t="s">
        <v>14995</v>
      </c>
      <c r="BS843" t="s">
        <v>6699</v>
      </c>
      <c r="BT843" t="s">
        <v>69</v>
      </c>
      <c r="BU843" t="s">
        <v>69</v>
      </c>
      <c r="BV843" t="s">
        <v>69</v>
      </c>
      <c r="BW843" t="s">
        <v>69</v>
      </c>
      <c r="BX843" t="s">
        <v>8526</v>
      </c>
      <c r="BY843" t="str">
        <f>HYPERLINK("https%3A%2F%2Fwww.webofscience.com%2Fwos%2Fwoscc%2Ffull-record%2FWOS:000525323600101","View Full Record in Web of Science")</f>
        <v>View Full Record in Web of Science</v>
      </c>
    </row>
    <row r="844" spans="1:77" ht="12.5" x14ac:dyDescent="0.25">
      <c r="A844" t="s">
        <v>8495</v>
      </c>
      <c r="B844" s="7" t="s">
        <v>32933</v>
      </c>
      <c r="C844" s="7"/>
      <c r="D844" s="7"/>
      <c r="E844" s="7"/>
      <c r="F844" t="s">
        <v>67</v>
      </c>
      <c r="G844" t="s">
        <v>1844</v>
      </c>
      <c r="H844" t="s">
        <v>69</v>
      </c>
      <c r="I844" t="s">
        <v>69</v>
      </c>
      <c r="J844" t="s">
        <v>69</v>
      </c>
      <c r="K844" t="s">
        <v>1845</v>
      </c>
      <c r="L844" t="s">
        <v>69</v>
      </c>
      <c r="M844" t="s">
        <v>69</v>
      </c>
      <c r="N844" t="s">
        <v>1846</v>
      </c>
      <c r="O844" t="s">
        <v>1847</v>
      </c>
      <c r="P844" t="s">
        <v>69</v>
      </c>
      <c r="Q844" t="s">
        <v>69</v>
      </c>
      <c r="R844" t="s">
        <v>8505</v>
      </c>
      <c r="S844" t="s">
        <v>8506</v>
      </c>
      <c r="T844" t="s">
        <v>69</v>
      </c>
      <c r="U844" t="s">
        <v>69</v>
      </c>
      <c r="V844" t="s">
        <v>69</v>
      </c>
      <c r="W844" t="s">
        <v>69</v>
      </c>
      <c r="X844" t="s">
        <v>69</v>
      </c>
      <c r="Y844" t="s">
        <v>13927</v>
      </c>
      <c r="Z844" t="s">
        <v>69</v>
      </c>
      <c r="AA844" t="s">
        <v>1848</v>
      </c>
      <c r="AB844" t="s">
        <v>13928</v>
      </c>
      <c r="AC844" t="s">
        <v>69</v>
      </c>
      <c r="AD844" t="s">
        <v>13929</v>
      </c>
      <c r="AE844" t="s">
        <v>13930</v>
      </c>
      <c r="AF844" t="s">
        <v>69</v>
      </c>
      <c r="AG844" t="s">
        <v>69</v>
      </c>
      <c r="AH844" t="s">
        <v>13931</v>
      </c>
      <c r="AI844" t="s">
        <v>13931</v>
      </c>
      <c r="AJ844" t="s">
        <v>13932</v>
      </c>
      <c r="AK844" t="s">
        <v>69</v>
      </c>
      <c r="AL844">
        <v>60</v>
      </c>
      <c r="AM844">
        <v>2</v>
      </c>
      <c r="AN844">
        <v>2</v>
      </c>
      <c r="AO844">
        <v>4</v>
      </c>
      <c r="AP844">
        <v>10</v>
      </c>
      <c r="AQ844" t="s">
        <v>8586</v>
      </c>
      <c r="AR844" t="s">
        <v>8587</v>
      </c>
      <c r="AS844" t="s">
        <v>8588</v>
      </c>
      <c r="AT844" t="s">
        <v>1849</v>
      </c>
      <c r="AU844" t="s">
        <v>1850</v>
      </c>
      <c r="AV844" t="s">
        <v>69</v>
      </c>
      <c r="AW844" t="s">
        <v>13933</v>
      </c>
      <c r="AX844" t="s">
        <v>13934</v>
      </c>
      <c r="AY844" t="s">
        <v>13885</v>
      </c>
      <c r="AZ844">
        <v>2021</v>
      </c>
      <c r="BA844">
        <v>15</v>
      </c>
      <c r="BB844">
        <v>3</v>
      </c>
      <c r="BC844" t="s">
        <v>69</v>
      </c>
      <c r="BD844" t="s">
        <v>69</v>
      </c>
      <c r="BE844" t="s">
        <v>69</v>
      </c>
      <c r="BF844" t="s">
        <v>69</v>
      </c>
      <c r="BG844">
        <v>476</v>
      </c>
      <c r="BH844">
        <v>495</v>
      </c>
      <c r="BI844" t="s">
        <v>69</v>
      </c>
      <c r="BJ844" t="s">
        <v>1851</v>
      </c>
      <c r="BK844" t="str">
        <f>HYPERLINK("http://dx.doi.org/10.1108/IJESM-04-2020-0006","http://dx.doi.org/10.1108/IJESM-04-2020-0006")</f>
        <v>http://dx.doi.org/10.1108/IJESM-04-2020-0006</v>
      </c>
      <c r="BL844" t="s">
        <v>69</v>
      </c>
      <c r="BM844" t="s">
        <v>1852</v>
      </c>
      <c r="BN844">
        <v>20</v>
      </c>
      <c r="BO844" t="s">
        <v>9410</v>
      </c>
      <c r="BP844" t="s">
        <v>8573</v>
      </c>
      <c r="BQ844" t="s">
        <v>8594</v>
      </c>
      <c r="BR844" t="s">
        <v>13935</v>
      </c>
      <c r="BS844" t="s">
        <v>1853</v>
      </c>
      <c r="BT844" t="s">
        <v>69</v>
      </c>
      <c r="BU844" t="s">
        <v>10995</v>
      </c>
      <c r="BV844" t="s">
        <v>69</v>
      </c>
      <c r="BW844" t="s">
        <v>69</v>
      </c>
      <c r="BX844" t="s">
        <v>8526</v>
      </c>
      <c r="BY844" t="str">
        <f>HYPERLINK("https%3A%2F%2Fwww.webofscience.com%2Fwos%2Fwoscc%2Ffull-record%2FWOS:000596614700001","View Full Record in Web of Science")</f>
        <v>View Full Record in Web of Science</v>
      </c>
    </row>
    <row r="845" spans="1:77" ht="12.5" x14ac:dyDescent="0.25">
      <c r="A845" t="s">
        <v>8495</v>
      </c>
      <c r="B845" s="7" t="s">
        <v>32933</v>
      </c>
      <c r="C845" s="7"/>
      <c r="D845" s="7"/>
      <c r="E845" s="7"/>
      <c r="F845" t="s">
        <v>67</v>
      </c>
      <c r="G845" t="s">
        <v>2569</v>
      </c>
      <c r="H845" t="s">
        <v>69</v>
      </c>
      <c r="I845" t="s">
        <v>69</v>
      </c>
      <c r="J845" t="s">
        <v>69</v>
      </c>
      <c r="K845" t="s">
        <v>2570</v>
      </c>
      <c r="L845" t="s">
        <v>69</v>
      </c>
      <c r="M845" t="s">
        <v>69</v>
      </c>
      <c r="N845" t="s">
        <v>2571</v>
      </c>
      <c r="O845" t="s">
        <v>2572</v>
      </c>
      <c r="P845" t="s">
        <v>69</v>
      </c>
      <c r="Q845" t="s">
        <v>69</v>
      </c>
      <c r="R845" t="s">
        <v>8505</v>
      </c>
      <c r="S845" t="s">
        <v>8506</v>
      </c>
      <c r="T845" t="s">
        <v>69</v>
      </c>
      <c r="U845" t="s">
        <v>69</v>
      </c>
      <c r="V845" t="s">
        <v>69</v>
      </c>
      <c r="W845" t="s">
        <v>69</v>
      </c>
      <c r="X845" t="s">
        <v>69</v>
      </c>
      <c r="Y845" t="s">
        <v>20031</v>
      </c>
      <c r="Z845" t="s">
        <v>20032</v>
      </c>
      <c r="AA845" t="s">
        <v>2573</v>
      </c>
      <c r="AB845" t="s">
        <v>20033</v>
      </c>
      <c r="AC845" t="s">
        <v>69</v>
      </c>
      <c r="AD845" t="s">
        <v>20034</v>
      </c>
      <c r="AE845" t="s">
        <v>20035</v>
      </c>
      <c r="AF845" t="s">
        <v>69</v>
      </c>
      <c r="AG845" t="s">
        <v>69</v>
      </c>
      <c r="AH845" t="s">
        <v>69</v>
      </c>
      <c r="AI845" t="s">
        <v>69</v>
      </c>
      <c r="AJ845" t="s">
        <v>69</v>
      </c>
      <c r="AK845" t="s">
        <v>69</v>
      </c>
      <c r="AL845">
        <v>23</v>
      </c>
      <c r="AM845">
        <v>0</v>
      </c>
      <c r="AN845">
        <v>0</v>
      </c>
      <c r="AO845">
        <v>0</v>
      </c>
      <c r="AP845">
        <v>10</v>
      </c>
      <c r="AQ845" t="s">
        <v>20036</v>
      </c>
      <c r="AR845" t="s">
        <v>20037</v>
      </c>
      <c r="AS845" t="s">
        <v>20038</v>
      </c>
      <c r="AT845" t="s">
        <v>2574</v>
      </c>
      <c r="AU845" t="s">
        <v>69</v>
      </c>
      <c r="AV845" t="s">
        <v>69</v>
      </c>
      <c r="AW845" t="s">
        <v>20039</v>
      </c>
      <c r="AX845" t="s">
        <v>20040</v>
      </c>
      <c r="AY845" t="s">
        <v>255</v>
      </c>
      <c r="AZ845">
        <v>2017</v>
      </c>
      <c r="BA845">
        <v>22</v>
      </c>
      <c r="BB845">
        <v>1</v>
      </c>
      <c r="BC845" t="s">
        <v>69</v>
      </c>
      <c r="BD845" t="s">
        <v>69</v>
      </c>
      <c r="BE845" t="s">
        <v>69</v>
      </c>
      <c r="BF845" t="s">
        <v>69</v>
      </c>
      <c r="BG845">
        <v>57</v>
      </c>
      <c r="BH845">
        <v>71</v>
      </c>
      <c r="BI845" t="s">
        <v>69</v>
      </c>
      <c r="BJ845" t="s">
        <v>2575</v>
      </c>
      <c r="BK845" t="str">
        <f>HYPERLINK("http://dx.doi.org/10.6531/JFS.2017.22(1).A57","http://dx.doi.org/10.6531/JFS.2017.22(1).A57")</f>
        <v>http://dx.doi.org/10.6531/JFS.2017.22(1).A57</v>
      </c>
      <c r="BL845" t="s">
        <v>69</v>
      </c>
      <c r="BM845" t="s">
        <v>69</v>
      </c>
      <c r="BN845">
        <v>15</v>
      </c>
      <c r="BO845" t="s">
        <v>14187</v>
      </c>
      <c r="BP845" t="s">
        <v>8573</v>
      </c>
      <c r="BQ845" t="s">
        <v>12182</v>
      </c>
      <c r="BR845" t="s">
        <v>20041</v>
      </c>
      <c r="BS845" t="s">
        <v>2576</v>
      </c>
      <c r="BT845" t="s">
        <v>69</v>
      </c>
      <c r="BU845" t="s">
        <v>69</v>
      </c>
      <c r="BV845" t="s">
        <v>69</v>
      </c>
      <c r="BW845" t="s">
        <v>69</v>
      </c>
      <c r="BX845" t="s">
        <v>8526</v>
      </c>
      <c r="BY845" t="str">
        <f>HYPERLINK("https%3A%2F%2Fwww.webofscience.com%2Fwos%2Fwoscc%2Ffull-record%2FWOS:000419143900004","View Full Record in Web of Science")</f>
        <v>View Full Record in Web of Science</v>
      </c>
    </row>
    <row r="846" spans="1:77" ht="12.5" x14ac:dyDescent="0.25">
      <c r="A846" t="s">
        <v>8495</v>
      </c>
      <c r="B846" s="7" t="s">
        <v>32933</v>
      </c>
      <c r="C846" s="7"/>
      <c r="D846" s="7"/>
      <c r="E846" s="7"/>
      <c r="F846" t="s">
        <v>67</v>
      </c>
      <c r="G846" t="s">
        <v>3009</v>
      </c>
      <c r="H846" t="s">
        <v>69</v>
      </c>
      <c r="I846" t="s">
        <v>69</v>
      </c>
      <c r="J846" t="s">
        <v>69</v>
      </c>
      <c r="K846" t="s">
        <v>3010</v>
      </c>
      <c r="L846" t="s">
        <v>69</v>
      </c>
      <c r="M846" t="s">
        <v>69</v>
      </c>
      <c r="N846" t="s">
        <v>3011</v>
      </c>
      <c r="O846" t="s">
        <v>3012</v>
      </c>
      <c r="P846" t="s">
        <v>69</v>
      </c>
      <c r="Q846" t="s">
        <v>69</v>
      </c>
      <c r="R846" t="s">
        <v>8505</v>
      </c>
      <c r="S846" t="s">
        <v>8506</v>
      </c>
      <c r="T846" t="s">
        <v>69</v>
      </c>
      <c r="U846" t="s">
        <v>69</v>
      </c>
      <c r="V846" t="s">
        <v>69</v>
      </c>
      <c r="W846" t="s">
        <v>69</v>
      </c>
      <c r="X846" t="s">
        <v>69</v>
      </c>
      <c r="Y846" t="s">
        <v>22574</v>
      </c>
      <c r="Z846" t="s">
        <v>22575</v>
      </c>
      <c r="AA846" t="s">
        <v>3013</v>
      </c>
      <c r="AB846" t="s">
        <v>22576</v>
      </c>
      <c r="AC846" t="s">
        <v>69</v>
      </c>
      <c r="AD846" t="s">
        <v>22577</v>
      </c>
      <c r="AE846" t="s">
        <v>22578</v>
      </c>
      <c r="AF846" t="s">
        <v>3014</v>
      </c>
      <c r="AG846" t="s">
        <v>3015</v>
      </c>
      <c r="AH846" t="s">
        <v>22579</v>
      </c>
      <c r="AI846" t="s">
        <v>22579</v>
      </c>
      <c r="AJ846" t="s">
        <v>22580</v>
      </c>
      <c r="AK846" t="s">
        <v>69</v>
      </c>
      <c r="AL846">
        <v>107</v>
      </c>
      <c r="AM846">
        <v>49</v>
      </c>
      <c r="AN846">
        <v>50</v>
      </c>
      <c r="AO846">
        <v>8</v>
      </c>
      <c r="AP846">
        <v>83</v>
      </c>
      <c r="AQ846" t="s">
        <v>9145</v>
      </c>
      <c r="AR846" t="s">
        <v>8637</v>
      </c>
      <c r="AS846" t="s">
        <v>9146</v>
      </c>
      <c r="AT846" t="s">
        <v>3016</v>
      </c>
      <c r="AU846" t="s">
        <v>3017</v>
      </c>
      <c r="AV846" t="s">
        <v>69</v>
      </c>
      <c r="AW846" t="s">
        <v>22581</v>
      </c>
      <c r="AX846" t="s">
        <v>22582</v>
      </c>
      <c r="AY846" t="s">
        <v>84</v>
      </c>
      <c r="AZ846">
        <v>2015</v>
      </c>
      <c r="BA846">
        <v>80</v>
      </c>
      <c r="BB846" t="s">
        <v>69</v>
      </c>
      <c r="BC846" t="s">
        <v>69</v>
      </c>
      <c r="BD846" t="s">
        <v>69</v>
      </c>
      <c r="BE846" t="s">
        <v>69</v>
      </c>
      <c r="BF846" t="s">
        <v>69</v>
      </c>
      <c r="BG846">
        <v>125</v>
      </c>
      <c r="BH846">
        <v>141</v>
      </c>
      <c r="BI846" t="s">
        <v>69</v>
      </c>
      <c r="BJ846" t="s">
        <v>3018</v>
      </c>
      <c r="BK846" t="str">
        <f>HYPERLINK("http://dx.doi.org/10.1016/j.aap.2015.04.008","http://dx.doi.org/10.1016/j.aap.2015.04.008")</f>
        <v>http://dx.doi.org/10.1016/j.aap.2015.04.008</v>
      </c>
      <c r="BL846" t="s">
        <v>69</v>
      </c>
      <c r="BM846" t="s">
        <v>69</v>
      </c>
      <c r="BN846">
        <v>17</v>
      </c>
      <c r="BO846" t="s">
        <v>22583</v>
      </c>
      <c r="BP846" t="s">
        <v>8661</v>
      </c>
      <c r="BQ846" t="s">
        <v>22584</v>
      </c>
      <c r="BR846" t="s">
        <v>22585</v>
      </c>
      <c r="BS846" t="s">
        <v>3019</v>
      </c>
      <c r="BT846">
        <v>25909389</v>
      </c>
      <c r="BU846" t="s">
        <v>69</v>
      </c>
      <c r="BV846" t="s">
        <v>69</v>
      </c>
      <c r="BW846" t="s">
        <v>69</v>
      </c>
      <c r="BX846" t="s">
        <v>8526</v>
      </c>
      <c r="BY846" t="str">
        <f>HYPERLINK("https%3A%2F%2Fwww.webofscience.com%2Fwos%2Fwoscc%2Ffull-record%2FWOS:000356116200014","View Full Record in Web of Science")</f>
        <v>View Full Record in Web of Science</v>
      </c>
    </row>
    <row r="847" spans="1:77" x14ac:dyDescent="0.3">
      <c r="A847" t="s">
        <v>8495</v>
      </c>
      <c r="B847" s="13" t="s">
        <v>32995</v>
      </c>
      <c r="F847" t="s">
        <v>67</v>
      </c>
      <c r="G847" t="s">
        <v>6231</v>
      </c>
      <c r="H847" t="s">
        <v>69</v>
      </c>
      <c r="I847" t="s">
        <v>69</v>
      </c>
      <c r="J847" t="s">
        <v>69</v>
      </c>
      <c r="K847" s="4" t="s">
        <v>6231</v>
      </c>
      <c r="L847" t="s">
        <v>69</v>
      </c>
      <c r="M847" t="s">
        <v>69</v>
      </c>
      <c r="N847" s="2" t="s">
        <v>6232</v>
      </c>
      <c r="O847" t="s">
        <v>1351</v>
      </c>
      <c r="P847" t="s">
        <v>69</v>
      </c>
      <c r="Q847" t="s">
        <v>69</v>
      </c>
      <c r="R847" t="s">
        <v>8505</v>
      </c>
      <c r="S847" t="s">
        <v>8506</v>
      </c>
      <c r="T847" t="s">
        <v>69</v>
      </c>
      <c r="U847" t="s">
        <v>69</v>
      </c>
      <c r="V847" t="s">
        <v>69</v>
      </c>
      <c r="W847" t="s">
        <v>69</v>
      </c>
      <c r="X847" t="s">
        <v>69</v>
      </c>
      <c r="Y847" t="s">
        <v>69</v>
      </c>
      <c r="Z847" t="s">
        <v>69</v>
      </c>
      <c r="AA847" t="s">
        <v>6233</v>
      </c>
      <c r="AB847" t="s">
        <v>69</v>
      </c>
      <c r="AC847" t="s">
        <v>69</v>
      </c>
      <c r="AD847" t="s">
        <v>32679</v>
      </c>
      <c r="AE847" t="s">
        <v>69</v>
      </c>
      <c r="AF847" t="s">
        <v>69</v>
      </c>
      <c r="AG847" t="s">
        <v>69</v>
      </c>
      <c r="AH847" t="s">
        <v>69</v>
      </c>
      <c r="AI847" t="s">
        <v>69</v>
      </c>
      <c r="AJ847" t="s">
        <v>69</v>
      </c>
      <c r="AK847" t="s">
        <v>69</v>
      </c>
      <c r="AL847">
        <v>2</v>
      </c>
      <c r="AM847">
        <v>6</v>
      </c>
      <c r="AN847">
        <v>6</v>
      </c>
      <c r="AO847">
        <v>0</v>
      </c>
      <c r="AP847">
        <v>3</v>
      </c>
      <c r="AQ847" t="s">
        <v>32680</v>
      </c>
      <c r="AR847" t="s">
        <v>8693</v>
      </c>
      <c r="AS847" t="s">
        <v>32681</v>
      </c>
      <c r="AT847" t="s">
        <v>1353</v>
      </c>
      <c r="AU847" t="s">
        <v>69</v>
      </c>
      <c r="AV847" t="s">
        <v>69</v>
      </c>
      <c r="AW847" t="s">
        <v>8677</v>
      </c>
      <c r="AX847" t="s">
        <v>8678</v>
      </c>
      <c r="AY847" t="s">
        <v>1375</v>
      </c>
      <c r="AZ847">
        <v>1994</v>
      </c>
      <c r="BA847">
        <v>10</v>
      </c>
      <c r="BB847">
        <v>3</v>
      </c>
      <c r="BC847" t="s">
        <v>69</v>
      </c>
      <c r="BD847" t="s">
        <v>69</v>
      </c>
      <c r="BE847" t="s">
        <v>69</v>
      </c>
      <c r="BF847" t="s">
        <v>69</v>
      </c>
      <c r="BG847">
        <v>56</v>
      </c>
      <c r="BH847">
        <v>64</v>
      </c>
      <c r="BI847" t="s">
        <v>69</v>
      </c>
      <c r="BJ847" t="s">
        <v>6234</v>
      </c>
      <c r="BK847" t="str">
        <f>HYPERLINK("http://dx.doi.org/10.1061/(ASCE)9742-597X(1994)10:3(56)","http://dx.doi.org/10.1061/(ASCE)9742-597X(1994)10:3(56)")</f>
        <v>http://dx.doi.org/10.1061/(ASCE)9742-597X(1994)10:3(56)</v>
      </c>
      <c r="BL847" t="s">
        <v>69</v>
      </c>
      <c r="BM847" t="s">
        <v>69</v>
      </c>
      <c r="BN847">
        <v>9</v>
      </c>
      <c r="BO847" t="s">
        <v>8680</v>
      </c>
      <c r="BP847" t="s">
        <v>8548</v>
      </c>
      <c r="BQ847" t="s">
        <v>8445</v>
      </c>
      <c r="BR847" t="s">
        <v>32682</v>
      </c>
      <c r="BS847" t="s">
        <v>6235</v>
      </c>
      <c r="BT847" t="s">
        <v>69</v>
      </c>
      <c r="BU847" t="s">
        <v>69</v>
      </c>
      <c r="BV847" t="s">
        <v>69</v>
      </c>
      <c r="BW847" t="s">
        <v>69</v>
      </c>
      <c r="BX847" t="s">
        <v>8526</v>
      </c>
      <c r="BY847" t="str">
        <f>HYPERLINK("https%3A%2F%2Fwww.webofscience.com%2Fwos%2Fwoscc%2Ffull-record%2FWOS:A1994QB01400017","View Full Record in Web of Science")</f>
        <v>View Full Record in Web of Science</v>
      </c>
    </row>
    <row r="848" spans="1:77" ht="12.5" x14ac:dyDescent="0.25">
      <c r="A848" t="s">
        <v>8495</v>
      </c>
      <c r="B848" s="7" t="s">
        <v>32933</v>
      </c>
      <c r="C848" s="7"/>
      <c r="D848" s="7"/>
      <c r="E848" s="7"/>
      <c r="F848" t="s">
        <v>67</v>
      </c>
      <c r="G848" t="s">
        <v>6683</v>
      </c>
      <c r="H848" t="s">
        <v>69</v>
      </c>
      <c r="I848" t="s">
        <v>69</v>
      </c>
      <c r="J848" t="s">
        <v>69</v>
      </c>
      <c r="K848" t="s">
        <v>6684</v>
      </c>
      <c r="L848" t="s">
        <v>69</v>
      </c>
      <c r="M848" t="s">
        <v>69</v>
      </c>
      <c r="N848" t="s">
        <v>6685</v>
      </c>
      <c r="O848" t="s">
        <v>6686</v>
      </c>
      <c r="P848" t="s">
        <v>69</v>
      </c>
      <c r="Q848" t="s">
        <v>69</v>
      </c>
      <c r="R848" t="s">
        <v>8505</v>
      </c>
      <c r="S848" t="s">
        <v>8506</v>
      </c>
      <c r="T848" t="s">
        <v>69</v>
      </c>
      <c r="U848" t="s">
        <v>69</v>
      </c>
      <c r="V848" t="s">
        <v>69</v>
      </c>
      <c r="W848" t="s">
        <v>69</v>
      </c>
      <c r="X848" t="s">
        <v>69</v>
      </c>
      <c r="Y848" t="s">
        <v>21871</v>
      </c>
      <c r="Z848" t="s">
        <v>21872</v>
      </c>
      <c r="AA848" t="s">
        <v>6687</v>
      </c>
      <c r="AB848" t="s">
        <v>21873</v>
      </c>
      <c r="AC848" t="s">
        <v>69</v>
      </c>
      <c r="AD848" t="s">
        <v>21874</v>
      </c>
      <c r="AE848" t="s">
        <v>21875</v>
      </c>
      <c r="AF848" t="s">
        <v>21876</v>
      </c>
      <c r="AG848" t="s">
        <v>21877</v>
      </c>
      <c r="AH848" t="s">
        <v>69</v>
      </c>
      <c r="AI848" t="s">
        <v>69</v>
      </c>
      <c r="AJ848" t="s">
        <v>69</v>
      </c>
      <c r="AK848" t="s">
        <v>69</v>
      </c>
      <c r="AL848">
        <v>46</v>
      </c>
      <c r="AM848">
        <v>18</v>
      </c>
      <c r="AN848">
        <v>19</v>
      </c>
      <c r="AO848">
        <v>0</v>
      </c>
      <c r="AP848">
        <v>9</v>
      </c>
      <c r="AQ848" t="s">
        <v>8586</v>
      </c>
      <c r="AR848" t="s">
        <v>8587</v>
      </c>
      <c r="AS848" t="s">
        <v>8588</v>
      </c>
      <c r="AT848" t="s">
        <v>6688</v>
      </c>
      <c r="AU848" t="s">
        <v>6689</v>
      </c>
      <c r="AV848" t="s">
        <v>69</v>
      </c>
      <c r="AW848" t="s">
        <v>21878</v>
      </c>
      <c r="AX848" t="s">
        <v>21879</v>
      </c>
      <c r="AY848" t="s">
        <v>69</v>
      </c>
      <c r="AZ848">
        <v>2016</v>
      </c>
      <c r="BA848">
        <v>1</v>
      </c>
      <c r="BB848">
        <v>2</v>
      </c>
      <c r="BC848" t="s">
        <v>69</v>
      </c>
      <c r="BD848" t="s">
        <v>69</v>
      </c>
      <c r="BE848" t="s">
        <v>69</v>
      </c>
      <c r="BF848" t="s">
        <v>69</v>
      </c>
      <c r="BG848">
        <v>90</v>
      </c>
      <c r="BH848">
        <v>106</v>
      </c>
      <c r="BI848" t="s">
        <v>69</v>
      </c>
      <c r="BJ848" t="s">
        <v>6690</v>
      </c>
      <c r="BK848" t="str">
        <f>HYPERLINK("http://dx.doi.org/10.1108/MABR-05-2016-0009","http://dx.doi.org/10.1108/MABR-05-2016-0009")</f>
        <v>http://dx.doi.org/10.1108/MABR-05-2016-0009</v>
      </c>
      <c r="BL848" t="s">
        <v>69</v>
      </c>
      <c r="BM848" t="s">
        <v>69</v>
      </c>
      <c r="BN848">
        <v>17</v>
      </c>
      <c r="BO848" t="s">
        <v>8444</v>
      </c>
      <c r="BP848" t="s">
        <v>8573</v>
      </c>
      <c r="BQ848" t="s">
        <v>8594</v>
      </c>
      <c r="BR848" t="s">
        <v>21880</v>
      </c>
      <c r="BS848" t="s">
        <v>6691</v>
      </c>
      <c r="BT848" t="s">
        <v>69</v>
      </c>
      <c r="BU848" t="s">
        <v>9374</v>
      </c>
      <c r="BV848" t="s">
        <v>69</v>
      </c>
      <c r="BW848" t="s">
        <v>69</v>
      </c>
      <c r="BX848" t="s">
        <v>8526</v>
      </c>
      <c r="BY848" t="str">
        <f>HYPERLINK("https%3A%2F%2Fwww.webofscience.com%2Fwos%2Fwoscc%2Ffull-record%2FWOS:000413205500001","View Full Record in Web of Science")</f>
        <v>View Full Record in Web of Science</v>
      </c>
    </row>
    <row r="849" spans="1:77" ht="12.5" x14ac:dyDescent="0.25">
      <c r="A849" t="s">
        <v>8495</v>
      </c>
      <c r="B849" s="22" t="s">
        <v>32931</v>
      </c>
      <c r="C849" s="7"/>
      <c r="D849" s="7"/>
      <c r="E849" s="7"/>
      <c r="F849" t="s">
        <v>67</v>
      </c>
      <c r="G849" t="s">
        <v>22333</v>
      </c>
      <c r="H849" t="s">
        <v>69</v>
      </c>
      <c r="I849" t="s">
        <v>69</v>
      </c>
      <c r="J849" t="s">
        <v>69</v>
      </c>
      <c r="K849" t="s">
        <v>22334</v>
      </c>
      <c r="L849" t="s">
        <v>69</v>
      </c>
      <c r="M849" t="s">
        <v>69</v>
      </c>
      <c r="N849" t="s">
        <v>22335</v>
      </c>
      <c r="O849" t="s">
        <v>14711</v>
      </c>
      <c r="P849" t="s">
        <v>69</v>
      </c>
      <c r="Q849" t="s">
        <v>69</v>
      </c>
      <c r="R849" t="s">
        <v>8505</v>
      </c>
      <c r="S849" t="s">
        <v>8506</v>
      </c>
      <c r="T849" t="s">
        <v>69</v>
      </c>
      <c r="U849" t="s">
        <v>69</v>
      </c>
      <c r="V849" t="s">
        <v>69</v>
      </c>
      <c r="W849" t="s">
        <v>69</v>
      </c>
      <c r="X849" t="s">
        <v>69</v>
      </c>
      <c r="Y849" t="s">
        <v>69</v>
      </c>
      <c r="Z849" t="s">
        <v>22336</v>
      </c>
      <c r="AA849" t="s">
        <v>22337</v>
      </c>
      <c r="AB849" t="s">
        <v>22338</v>
      </c>
      <c r="AC849" t="s">
        <v>69</v>
      </c>
      <c r="AD849" t="s">
        <v>22339</v>
      </c>
      <c r="AE849" t="s">
        <v>22340</v>
      </c>
      <c r="AF849" t="s">
        <v>69</v>
      </c>
      <c r="AG849" t="s">
        <v>69</v>
      </c>
      <c r="AH849" t="s">
        <v>69</v>
      </c>
      <c r="AI849" t="s">
        <v>69</v>
      </c>
      <c r="AJ849" t="s">
        <v>69</v>
      </c>
      <c r="AK849" t="s">
        <v>69</v>
      </c>
      <c r="AL849">
        <v>56</v>
      </c>
      <c r="AM849">
        <v>21</v>
      </c>
      <c r="AN849">
        <v>21</v>
      </c>
      <c r="AO849">
        <v>0</v>
      </c>
      <c r="AP849">
        <v>43</v>
      </c>
      <c r="AQ849" t="s">
        <v>8865</v>
      </c>
      <c r="AR849" t="s">
        <v>8612</v>
      </c>
      <c r="AS849" t="s">
        <v>22341</v>
      </c>
      <c r="AT849" t="s">
        <v>14720</v>
      </c>
      <c r="AU849" t="s">
        <v>14721</v>
      </c>
      <c r="AV849" t="s">
        <v>69</v>
      </c>
      <c r="AW849" t="s">
        <v>14722</v>
      </c>
      <c r="AX849" t="s">
        <v>14723</v>
      </c>
      <c r="AY849" t="s">
        <v>874</v>
      </c>
      <c r="AZ849">
        <v>2015</v>
      </c>
      <c r="BA849">
        <v>26</v>
      </c>
      <c r="BB849">
        <v>8</v>
      </c>
      <c r="BC849" t="s">
        <v>69</v>
      </c>
      <c r="BD849" t="s">
        <v>69</v>
      </c>
      <c r="BE849" t="s">
        <v>69</v>
      </c>
      <c r="BF849" t="s">
        <v>69</v>
      </c>
      <c r="BG849">
        <v>1086</v>
      </c>
      <c r="BH849">
        <v>1110</v>
      </c>
      <c r="BI849" t="s">
        <v>69</v>
      </c>
      <c r="BJ849" t="s">
        <v>22342</v>
      </c>
      <c r="BK849" t="str">
        <f>HYPERLINK("http://dx.doi.org/10.1080/10409289.2015.1036348","http://dx.doi.org/10.1080/10409289.2015.1036348")</f>
        <v>http://dx.doi.org/10.1080/10409289.2015.1036348</v>
      </c>
      <c r="BL849" t="s">
        <v>69</v>
      </c>
      <c r="BM849" t="s">
        <v>69</v>
      </c>
      <c r="BN849">
        <v>25</v>
      </c>
      <c r="BO849" t="s">
        <v>14725</v>
      </c>
      <c r="BP849" t="s">
        <v>8661</v>
      </c>
      <c r="BQ849" t="s">
        <v>14726</v>
      </c>
      <c r="BR849" t="s">
        <v>22343</v>
      </c>
      <c r="BS849" t="s">
        <v>22344</v>
      </c>
      <c r="BT849" t="s">
        <v>69</v>
      </c>
      <c r="BU849" t="s">
        <v>69</v>
      </c>
      <c r="BV849" t="s">
        <v>69</v>
      </c>
      <c r="BW849" t="s">
        <v>69</v>
      </c>
      <c r="BX849" t="s">
        <v>8526</v>
      </c>
      <c r="BY849" t="str">
        <f>HYPERLINK("https%3A%2F%2Fwww.webofscience.com%2Fwos%2Fwoscc%2Ffull-record%2FWOS:000360455500002","View Full Record in Web of Science")</f>
        <v>View Full Record in Web of Science</v>
      </c>
    </row>
    <row r="850" spans="1:77" ht="12.5" x14ac:dyDescent="0.25">
      <c r="A850" t="s">
        <v>8495</v>
      </c>
      <c r="B850" s="7" t="s">
        <v>32933</v>
      </c>
      <c r="C850" s="7"/>
      <c r="D850" s="7"/>
      <c r="E850" s="7"/>
      <c r="F850" t="s">
        <v>67</v>
      </c>
      <c r="G850" t="s">
        <v>7827</v>
      </c>
      <c r="H850" t="s">
        <v>69</v>
      </c>
      <c r="I850" t="s">
        <v>69</v>
      </c>
      <c r="J850" t="s">
        <v>69</v>
      </c>
      <c r="K850" t="s">
        <v>7828</v>
      </c>
      <c r="L850" t="s">
        <v>69</v>
      </c>
      <c r="M850" t="s">
        <v>69</v>
      </c>
      <c r="N850" t="s">
        <v>7829</v>
      </c>
      <c r="O850" t="s">
        <v>7830</v>
      </c>
      <c r="P850" t="s">
        <v>69</v>
      </c>
      <c r="Q850" t="s">
        <v>69</v>
      </c>
      <c r="R850" t="s">
        <v>8505</v>
      </c>
      <c r="S850" t="s">
        <v>8506</v>
      </c>
      <c r="T850" t="s">
        <v>69</v>
      </c>
      <c r="U850" t="s">
        <v>69</v>
      </c>
      <c r="V850" t="s">
        <v>69</v>
      </c>
      <c r="W850" t="s">
        <v>69</v>
      </c>
      <c r="X850" t="s">
        <v>69</v>
      </c>
      <c r="Y850" t="s">
        <v>21904</v>
      </c>
      <c r="Z850" t="s">
        <v>21905</v>
      </c>
      <c r="AA850" t="s">
        <v>7831</v>
      </c>
      <c r="AB850" t="s">
        <v>21906</v>
      </c>
      <c r="AC850" t="s">
        <v>69</v>
      </c>
      <c r="AD850" t="s">
        <v>21907</v>
      </c>
      <c r="AE850" t="s">
        <v>21908</v>
      </c>
      <c r="AF850" t="s">
        <v>69</v>
      </c>
      <c r="AG850" t="s">
        <v>69</v>
      </c>
      <c r="AH850" t="s">
        <v>69</v>
      </c>
      <c r="AI850" t="s">
        <v>69</v>
      </c>
      <c r="AJ850" t="s">
        <v>69</v>
      </c>
      <c r="AK850" t="s">
        <v>69</v>
      </c>
      <c r="AL850">
        <v>16</v>
      </c>
      <c r="AM850">
        <v>3</v>
      </c>
      <c r="AN850">
        <v>3</v>
      </c>
      <c r="AO850">
        <v>0</v>
      </c>
      <c r="AP850">
        <v>8</v>
      </c>
      <c r="AQ850" t="s">
        <v>21909</v>
      </c>
      <c r="AR850" t="s">
        <v>21910</v>
      </c>
      <c r="AS850" t="s">
        <v>21911</v>
      </c>
      <c r="AT850" t="s">
        <v>7832</v>
      </c>
      <c r="AU850" t="s">
        <v>7833</v>
      </c>
      <c r="AV850" t="s">
        <v>69</v>
      </c>
      <c r="AW850" t="s">
        <v>21912</v>
      </c>
      <c r="AX850" t="s">
        <v>21913</v>
      </c>
      <c r="AY850" t="s">
        <v>69</v>
      </c>
      <c r="AZ850">
        <v>2016</v>
      </c>
      <c r="BA850">
        <v>10</v>
      </c>
      <c r="BB850">
        <v>1</v>
      </c>
      <c r="BC850" t="s">
        <v>69</v>
      </c>
      <c r="BD850" t="s">
        <v>69</v>
      </c>
      <c r="BE850" t="s">
        <v>69</v>
      </c>
      <c r="BF850" t="s">
        <v>69</v>
      </c>
      <c r="BG850">
        <v>67</v>
      </c>
      <c r="BH850">
        <v>81</v>
      </c>
      <c r="BI850" t="s">
        <v>69</v>
      </c>
      <c r="BJ850" t="s">
        <v>7834</v>
      </c>
      <c r="BK850" t="str">
        <f>HYPERLINK("http://dx.doi.org/10.14525/JJCE.10.1.3406","http://dx.doi.org/10.14525/JJCE.10.1.3406")</f>
        <v>http://dx.doi.org/10.14525/JJCE.10.1.3406</v>
      </c>
      <c r="BL850" t="s">
        <v>69</v>
      </c>
      <c r="BM850" t="s">
        <v>69</v>
      </c>
      <c r="BN850">
        <v>15</v>
      </c>
      <c r="BO850" t="s">
        <v>13537</v>
      </c>
      <c r="BP850" t="s">
        <v>8573</v>
      </c>
      <c r="BQ850" t="s">
        <v>8445</v>
      </c>
      <c r="BR850" t="s">
        <v>21914</v>
      </c>
      <c r="BS850" t="s">
        <v>7835</v>
      </c>
      <c r="BT850" t="s">
        <v>69</v>
      </c>
      <c r="BU850" t="s">
        <v>69</v>
      </c>
      <c r="BV850" t="s">
        <v>69</v>
      </c>
      <c r="BW850" t="s">
        <v>69</v>
      </c>
      <c r="BX850" t="s">
        <v>8526</v>
      </c>
      <c r="BY850" t="str">
        <f>HYPERLINK("https%3A%2F%2Fwww.webofscience.com%2Fwos%2Fwoscc%2Ffull-record%2FWOS:000407931500006","View Full Record in Web of Science")</f>
        <v>View Full Record in Web of Science</v>
      </c>
    </row>
    <row r="851" spans="1:77" ht="12.5" x14ac:dyDescent="0.25">
      <c r="A851" t="s">
        <v>8495</v>
      </c>
      <c r="B851" s="7" t="s">
        <v>32933</v>
      </c>
      <c r="C851" s="7"/>
      <c r="D851" s="7"/>
      <c r="E851" s="7"/>
      <c r="F851" t="s">
        <v>67</v>
      </c>
      <c r="G851" t="s">
        <v>194</v>
      </c>
      <c r="H851" t="s">
        <v>69</v>
      </c>
      <c r="I851" t="s">
        <v>69</v>
      </c>
      <c r="J851" t="s">
        <v>69</v>
      </c>
      <c r="K851" t="s">
        <v>195</v>
      </c>
      <c r="L851" t="s">
        <v>69</v>
      </c>
      <c r="M851" t="s">
        <v>69</v>
      </c>
      <c r="N851" t="s">
        <v>196</v>
      </c>
      <c r="O851" t="s">
        <v>197</v>
      </c>
      <c r="P851" t="s">
        <v>69</v>
      </c>
      <c r="Q851" t="s">
        <v>69</v>
      </c>
      <c r="R851" t="s">
        <v>8505</v>
      </c>
      <c r="S851" t="s">
        <v>8506</v>
      </c>
      <c r="T851" t="s">
        <v>69</v>
      </c>
      <c r="U851" t="s">
        <v>69</v>
      </c>
      <c r="V851" t="s">
        <v>69</v>
      </c>
      <c r="W851" t="s">
        <v>69</v>
      </c>
      <c r="X851" t="s">
        <v>69</v>
      </c>
      <c r="Y851" t="s">
        <v>21434</v>
      </c>
      <c r="Z851" t="s">
        <v>69</v>
      </c>
      <c r="AA851" t="s">
        <v>198</v>
      </c>
      <c r="AB851" t="s">
        <v>21435</v>
      </c>
      <c r="AC851" t="s">
        <v>69</v>
      </c>
      <c r="AD851" t="s">
        <v>21436</v>
      </c>
      <c r="AE851" t="s">
        <v>21437</v>
      </c>
      <c r="AF851" t="s">
        <v>69</v>
      </c>
      <c r="AG851" t="s">
        <v>69</v>
      </c>
      <c r="AH851" t="s">
        <v>69</v>
      </c>
      <c r="AI851" t="s">
        <v>69</v>
      </c>
      <c r="AJ851" t="s">
        <v>69</v>
      </c>
      <c r="AK851" t="s">
        <v>69</v>
      </c>
      <c r="AL851">
        <v>11</v>
      </c>
      <c r="AM851">
        <v>6</v>
      </c>
      <c r="AN851">
        <v>6</v>
      </c>
      <c r="AO851">
        <v>0</v>
      </c>
      <c r="AP851">
        <v>2</v>
      </c>
      <c r="AQ851" t="s">
        <v>21438</v>
      </c>
      <c r="AR851" t="s">
        <v>21439</v>
      </c>
      <c r="AS851" t="s">
        <v>21440</v>
      </c>
      <c r="AT851" t="s">
        <v>199</v>
      </c>
      <c r="AU851" t="s">
        <v>200</v>
      </c>
      <c r="AV851" t="s">
        <v>69</v>
      </c>
      <c r="AW851" t="s">
        <v>21441</v>
      </c>
      <c r="AX851" t="s">
        <v>21442</v>
      </c>
      <c r="AY851" t="s">
        <v>201</v>
      </c>
      <c r="AZ851">
        <v>2016</v>
      </c>
      <c r="BA851">
        <v>6</v>
      </c>
      <c r="BB851">
        <v>4</v>
      </c>
      <c r="BC851" t="s">
        <v>69</v>
      </c>
      <c r="BD851" t="s">
        <v>69</v>
      </c>
      <c r="BE851" t="s">
        <v>69</v>
      </c>
      <c r="BF851" t="s">
        <v>69</v>
      </c>
      <c r="BG851">
        <v>1062</v>
      </c>
      <c r="BH851">
        <v>1066</v>
      </c>
      <c r="BI851" t="s">
        <v>69</v>
      </c>
      <c r="BJ851" t="s">
        <v>69</v>
      </c>
      <c r="BK851" t="s">
        <v>69</v>
      </c>
      <c r="BL851" t="s">
        <v>69</v>
      </c>
      <c r="BM851" t="s">
        <v>69</v>
      </c>
      <c r="BN851">
        <v>5</v>
      </c>
      <c r="BO851" t="s">
        <v>9891</v>
      </c>
      <c r="BP851" t="s">
        <v>8573</v>
      </c>
      <c r="BQ851" t="s">
        <v>8445</v>
      </c>
      <c r="BR851" t="s">
        <v>21443</v>
      </c>
      <c r="BS851" t="s">
        <v>202</v>
      </c>
      <c r="BT851" t="s">
        <v>69</v>
      </c>
      <c r="BU851" t="s">
        <v>69</v>
      </c>
      <c r="BV851" t="s">
        <v>69</v>
      </c>
      <c r="BW851" t="s">
        <v>69</v>
      </c>
      <c r="BX851" t="s">
        <v>8526</v>
      </c>
      <c r="BY851" t="str">
        <f>HYPERLINK("https%3A%2F%2Fwww.webofscience.com%2Fwos%2Fwoscc%2Ffull-record%2FWOS:000384881200005","View Full Record in Web of Science")</f>
        <v>View Full Record in Web of Science</v>
      </c>
    </row>
    <row r="852" spans="1:77" ht="12.5" x14ac:dyDescent="0.25">
      <c r="A852" t="s">
        <v>8495</v>
      </c>
      <c r="B852" s="7" t="s">
        <v>32933</v>
      </c>
      <c r="C852" s="7"/>
      <c r="D852" s="7"/>
      <c r="E852" s="7"/>
      <c r="F852" t="s">
        <v>67</v>
      </c>
      <c r="G852" t="s">
        <v>1492</v>
      </c>
      <c r="H852" t="s">
        <v>69</v>
      </c>
      <c r="I852" t="s">
        <v>69</v>
      </c>
      <c r="J852" t="s">
        <v>69</v>
      </c>
      <c r="K852" t="s">
        <v>1493</v>
      </c>
      <c r="L852" t="s">
        <v>69</v>
      </c>
      <c r="M852" t="s">
        <v>69</v>
      </c>
      <c r="N852" t="s">
        <v>1494</v>
      </c>
      <c r="O852" t="s">
        <v>1495</v>
      </c>
      <c r="P852" t="s">
        <v>69</v>
      </c>
      <c r="Q852" t="s">
        <v>69</v>
      </c>
      <c r="R852" t="s">
        <v>8505</v>
      </c>
      <c r="S852" t="s">
        <v>8506</v>
      </c>
      <c r="T852" t="s">
        <v>69</v>
      </c>
      <c r="U852" t="s">
        <v>69</v>
      </c>
      <c r="V852" t="s">
        <v>69</v>
      </c>
      <c r="W852" t="s">
        <v>69</v>
      </c>
      <c r="X852" t="s">
        <v>69</v>
      </c>
      <c r="Y852" t="s">
        <v>27009</v>
      </c>
      <c r="Z852" t="s">
        <v>27010</v>
      </c>
      <c r="AA852" t="s">
        <v>1496</v>
      </c>
      <c r="AB852" t="s">
        <v>27011</v>
      </c>
      <c r="AC852" t="s">
        <v>69</v>
      </c>
      <c r="AD852" t="s">
        <v>27012</v>
      </c>
      <c r="AE852" t="s">
        <v>27013</v>
      </c>
      <c r="AF852" t="s">
        <v>1497</v>
      </c>
      <c r="AG852" t="s">
        <v>1498</v>
      </c>
      <c r="AH852" t="s">
        <v>69</v>
      </c>
      <c r="AI852" t="s">
        <v>69</v>
      </c>
      <c r="AJ852" t="s">
        <v>69</v>
      </c>
      <c r="AK852" t="s">
        <v>69</v>
      </c>
      <c r="AL852">
        <v>61</v>
      </c>
      <c r="AM852">
        <v>51</v>
      </c>
      <c r="AN852">
        <v>52</v>
      </c>
      <c r="AO852">
        <v>1</v>
      </c>
      <c r="AP852">
        <v>28</v>
      </c>
      <c r="AQ852" t="s">
        <v>9554</v>
      </c>
      <c r="AR852" t="s">
        <v>9555</v>
      </c>
      <c r="AS852" t="s">
        <v>9556</v>
      </c>
      <c r="AT852" t="s">
        <v>1499</v>
      </c>
      <c r="AU852" t="s">
        <v>1500</v>
      </c>
      <c r="AV852" t="s">
        <v>69</v>
      </c>
      <c r="AW852" t="s">
        <v>13954</v>
      </c>
      <c r="AX852" t="s">
        <v>13955</v>
      </c>
      <c r="AY852" t="s">
        <v>586</v>
      </c>
      <c r="AZ852">
        <v>2011</v>
      </c>
      <c r="BA852">
        <v>36</v>
      </c>
      <c r="BB852">
        <v>3</v>
      </c>
      <c r="BC852" t="s">
        <v>69</v>
      </c>
      <c r="BD852" t="s">
        <v>69</v>
      </c>
      <c r="BE852" t="s">
        <v>69</v>
      </c>
      <c r="BF852" t="s">
        <v>69</v>
      </c>
      <c r="BG852">
        <v>389</v>
      </c>
      <c r="BH852">
        <v>412</v>
      </c>
      <c r="BI852" t="s">
        <v>69</v>
      </c>
      <c r="BJ852" t="s">
        <v>1501</v>
      </c>
      <c r="BK852" t="str">
        <f>HYPERLINK("http://dx.doi.org/10.1177/0162243910385786","http://dx.doi.org/10.1177/0162243910385786")</f>
        <v>http://dx.doi.org/10.1177/0162243910385786</v>
      </c>
      <c r="BL852" t="s">
        <v>69</v>
      </c>
      <c r="BM852" t="s">
        <v>69</v>
      </c>
      <c r="BN852">
        <v>24</v>
      </c>
      <c r="BO852" t="s">
        <v>13650</v>
      </c>
      <c r="BP852" t="s">
        <v>8661</v>
      </c>
      <c r="BQ852" t="s">
        <v>13650</v>
      </c>
      <c r="BR852" t="s">
        <v>27014</v>
      </c>
      <c r="BS852" t="s">
        <v>1502</v>
      </c>
      <c r="BT852" t="s">
        <v>69</v>
      </c>
      <c r="BU852" t="s">
        <v>69</v>
      </c>
      <c r="BV852" t="s">
        <v>69</v>
      </c>
      <c r="BW852" t="s">
        <v>69</v>
      </c>
      <c r="BX852" t="s">
        <v>8526</v>
      </c>
      <c r="BY852" t="str">
        <f>HYPERLINK("https%3A%2F%2Fwww.webofscience.com%2Fwos%2Fwoscc%2Ffull-record%2FWOS:000289206600005","View Full Record in Web of Science")</f>
        <v>View Full Record in Web of Science</v>
      </c>
    </row>
    <row r="853" spans="1:77" ht="12.5" x14ac:dyDescent="0.25">
      <c r="A853" t="s">
        <v>8495</v>
      </c>
      <c r="B853" s="7" t="s">
        <v>32933</v>
      </c>
      <c r="C853" s="7"/>
      <c r="D853" s="7"/>
      <c r="E853" s="7"/>
      <c r="F853" t="s">
        <v>67</v>
      </c>
      <c r="G853" t="s">
        <v>1519</v>
      </c>
      <c r="H853" t="s">
        <v>69</v>
      </c>
      <c r="I853" t="s">
        <v>69</v>
      </c>
      <c r="J853" t="s">
        <v>69</v>
      </c>
      <c r="K853" t="s">
        <v>1520</v>
      </c>
      <c r="L853" t="s">
        <v>69</v>
      </c>
      <c r="M853" t="s">
        <v>69</v>
      </c>
      <c r="N853" t="s">
        <v>1521</v>
      </c>
      <c r="O853" t="s">
        <v>1522</v>
      </c>
      <c r="P853" t="s">
        <v>69</v>
      </c>
      <c r="Q853" t="s">
        <v>69</v>
      </c>
      <c r="R853" t="s">
        <v>8505</v>
      </c>
      <c r="S853" t="s">
        <v>10174</v>
      </c>
      <c r="T853" t="s">
        <v>69</v>
      </c>
      <c r="U853" t="s">
        <v>69</v>
      </c>
      <c r="V853" t="s">
        <v>69</v>
      </c>
      <c r="W853" t="s">
        <v>69</v>
      </c>
      <c r="X853" t="s">
        <v>69</v>
      </c>
      <c r="Y853" t="s">
        <v>27882</v>
      </c>
      <c r="Z853" t="s">
        <v>69</v>
      </c>
      <c r="AA853" t="s">
        <v>1523</v>
      </c>
      <c r="AB853" t="s">
        <v>27883</v>
      </c>
      <c r="AC853" t="s">
        <v>69</v>
      </c>
      <c r="AD853" t="s">
        <v>27884</v>
      </c>
      <c r="AE853" t="s">
        <v>27885</v>
      </c>
      <c r="AF853" t="s">
        <v>27886</v>
      </c>
      <c r="AG853" t="s">
        <v>1524</v>
      </c>
      <c r="AH853" t="s">
        <v>69</v>
      </c>
      <c r="AI853" t="s">
        <v>69</v>
      </c>
      <c r="AJ853" t="s">
        <v>69</v>
      </c>
      <c r="AK853" t="s">
        <v>69</v>
      </c>
      <c r="AL853">
        <v>0</v>
      </c>
      <c r="AM853">
        <v>8</v>
      </c>
      <c r="AN853">
        <v>8</v>
      </c>
      <c r="AO853">
        <v>3</v>
      </c>
      <c r="AP853">
        <v>16</v>
      </c>
      <c r="AQ853" t="s">
        <v>8563</v>
      </c>
      <c r="AR853" t="s">
        <v>8564</v>
      </c>
      <c r="AS853" t="s">
        <v>8565</v>
      </c>
      <c r="AT853" t="s">
        <v>1525</v>
      </c>
      <c r="AU853" t="s">
        <v>1526</v>
      </c>
      <c r="AV853" t="s">
        <v>69</v>
      </c>
      <c r="AW853" t="s">
        <v>14032</v>
      </c>
      <c r="AX853" t="s">
        <v>14033</v>
      </c>
      <c r="AY853" t="s">
        <v>94</v>
      </c>
      <c r="AZ853">
        <v>2010</v>
      </c>
      <c r="BA853">
        <v>15</v>
      </c>
      <c r="BB853">
        <v>3</v>
      </c>
      <c r="BC853" t="s">
        <v>69</v>
      </c>
      <c r="BD853" t="s">
        <v>69</v>
      </c>
      <c r="BE853" t="s">
        <v>69</v>
      </c>
      <c r="BF853" t="s">
        <v>69</v>
      </c>
      <c r="BG853">
        <v>231</v>
      </c>
      <c r="BH853">
        <v>237</v>
      </c>
      <c r="BI853" t="s">
        <v>69</v>
      </c>
      <c r="BJ853" t="s">
        <v>1527</v>
      </c>
      <c r="BK853" t="str">
        <f>HYPERLINK("http://dx.doi.org/10.1007/s11367-009-0149-6","http://dx.doi.org/10.1007/s11367-009-0149-6")</f>
        <v>http://dx.doi.org/10.1007/s11367-009-0149-6</v>
      </c>
      <c r="BL853" t="s">
        <v>69</v>
      </c>
      <c r="BM853" t="s">
        <v>69</v>
      </c>
      <c r="BN853">
        <v>7</v>
      </c>
      <c r="BO853" t="s">
        <v>8743</v>
      </c>
      <c r="BP853" t="s">
        <v>8548</v>
      </c>
      <c r="BQ853" t="s">
        <v>8744</v>
      </c>
      <c r="BR853" t="s">
        <v>27887</v>
      </c>
      <c r="BS853" t="s">
        <v>1528</v>
      </c>
      <c r="BT853" t="s">
        <v>69</v>
      </c>
      <c r="BU853" t="s">
        <v>69</v>
      </c>
      <c r="BV853" t="s">
        <v>69</v>
      </c>
      <c r="BW853" t="s">
        <v>69</v>
      </c>
      <c r="BX853" t="s">
        <v>8526</v>
      </c>
      <c r="BY853" t="str">
        <f>HYPERLINK("https%3A%2F%2Fwww.webofscience.com%2Fwos%2Fwoscc%2Ffull-record%2FWOS:000275161900001","View Full Record in Web of Science")</f>
        <v>View Full Record in Web of Science</v>
      </c>
    </row>
    <row r="854" spans="1:77" ht="12.5" x14ac:dyDescent="0.25">
      <c r="A854" t="s">
        <v>8495</v>
      </c>
      <c r="B854" s="7" t="s">
        <v>32933</v>
      </c>
      <c r="C854" s="7"/>
      <c r="D854" s="7"/>
      <c r="E854" s="7"/>
      <c r="F854" t="s">
        <v>67</v>
      </c>
      <c r="G854" t="s">
        <v>4227</v>
      </c>
      <c r="H854" t="s">
        <v>69</v>
      </c>
      <c r="I854" t="s">
        <v>69</v>
      </c>
      <c r="J854" t="s">
        <v>69</v>
      </c>
      <c r="K854" t="s">
        <v>4227</v>
      </c>
      <c r="L854" t="s">
        <v>69</v>
      </c>
      <c r="M854" t="s">
        <v>69</v>
      </c>
      <c r="N854" t="s">
        <v>4228</v>
      </c>
      <c r="O854" t="s">
        <v>4229</v>
      </c>
      <c r="P854" t="s">
        <v>69</v>
      </c>
      <c r="Q854" t="s">
        <v>69</v>
      </c>
      <c r="R854" t="s">
        <v>8505</v>
      </c>
      <c r="S854" t="s">
        <v>15797</v>
      </c>
      <c r="T854" t="s">
        <v>4230</v>
      </c>
      <c r="U854">
        <v>1992</v>
      </c>
      <c r="V854" t="s">
        <v>4231</v>
      </c>
      <c r="W854" t="s">
        <v>69</v>
      </c>
      <c r="X854" t="s">
        <v>4232</v>
      </c>
      <c r="Y854" t="s">
        <v>69</v>
      </c>
      <c r="Z854" t="s">
        <v>32440</v>
      </c>
      <c r="AA854" t="s">
        <v>4233</v>
      </c>
      <c r="AB854" t="s">
        <v>69</v>
      </c>
      <c r="AC854" t="s">
        <v>69</v>
      </c>
      <c r="AD854" t="s">
        <v>32441</v>
      </c>
      <c r="AE854" t="s">
        <v>69</v>
      </c>
      <c r="AF854" t="s">
        <v>4234</v>
      </c>
      <c r="AG854" t="s">
        <v>4235</v>
      </c>
      <c r="AH854" t="s">
        <v>69</v>
      </c>
      <c r="AI854" t="s">
        <v>69</v>
      </c>
      <c r="AJ854" t="s">
        <v>69</v>
      </c>
      <c r="AK854" t="s">
        <v>69</v>
      </c>
      <c r="AL854">
        <v>98</v>
      </c>
      <c r="AM854">
        <v>186</v>
      </c>
      <c r="AN854">
        <v>190</v>
      </c>
      <c r="AO854">
        <v>0</v>
      </c>
      <c r="AP854">
        <v>17</v>
      </c>
      <c r="AQ854" t="s">
        <v>8846</v>
      </c>
      <c r="AR854" t="s">
        <v>8847</v>
      </c>
      <c r="AS854" t="s">
        <v>8848</v>
      </c>
      <c r="AT854" t="s">
        <v>4236</v>
      </c>
      <c r="AU854" t="s">
        <v>32442</v>
      </c>
      <c r="AV854" t="s">
        <v>69</v>
      </c>
      <c r="AW854" t="s">
        <v>32443</v>
      </c>
      <c r="AX854" t="s">
        <v>32444</v>
      </c>
      <c r="AY854" t="s">
        <v>84</v>
      </c>
      <c r="AZ854">
        <v>1996</v>
      </c>
      <c r="BA854">
        <v>27</v>
      </c>
      <c r="BB854">
        <v>3</v>
      </c>
      <c r="BC854" t="s">
        <v>69</v>
      </c>
      <c r="BD854" t="s">
        <v>69</v>
      </c>
      <c r="BE854" t="s">
        <v>69</v>
      </c>
      <c r="BF854" t="s">
        <v>69</v>
      </c>
      <c r="BG854">
        <v>501</v>
      </c>
      <c r="BH854">
        <v>527</v>
      </c>
      <c r="BI854" t="s">
        <v>69</v>
      </c>
      <c r="BJ854" t="s">
        <v>4237</v>
      </c>
      <c r="BK854" t="str">
        <f>HYPERLINK("http://dx.doi.org/10.1111/j.1467-7660.1996.tb00601.x","http://dx.doi.org/10.1111/j.1467-7660.1996.tb00601.x")</f>
        <v>http://dx.doi.org/10.1111/j.1467-7660.1996.tb00601.x</v>
      </c>
      <c r="BL854" t="s">
        <v>69</v>
      </c>
      <c r="BM854" t="s">
        <v>69</v>
      </c>
      <c r="BN854">
        <v>27</v>
      </c>
      <c r="BO854" t="s">
        <v>17018</v>
      </c>
      <c r="BP854" t="s">
        <v>18588</v>
      </c>
      <c r="BQ854" t="s">
        <v>17018</v>
      </c>
      <c r="BR854" t="s">
        <v>32445</v>
      </c>
      <c r="BS854" t="s">
        <v>4238</v>
      </c>
      <c r="BT854" t="s">
        <v>69</v>
      </c>
      <c r="BU854" t="s">
        <v>9292</v>
      </c>
      <c r="BV854" t="s">
        <v>69</v>
      </c>
      <c r="BW854" t="s">
        <v>69</v>
      </c>
      <c r="BX854" t="s">
        <v>8526</v>
      </c>
      <c r="BY854" t="str">
        <f>HYPERLINK("https%3A%2F%2Fwww.webofscience.com%2Fwos%2Fwoscc%2Ffull-record%2FWOS:A1996VA07200005","View Full Record in Web of Science")</f>
        <v>View Full Record in Web of Science</v>
      </c>
    </row>
    <row r="855" spans="1:77" ht="12.5" x14ac:dyDescent="0.25">
      <c r="A855" t="s">
        <v>8495</v>
      </c>
      <c r="B855" s="7" t="s">
        <v>32933</v>
      </c>
      <c r="C855" s="7"/>
      <c r="D855" s="7"/>
      <c r="E855" s="7"/>
      <c r="F855" t="s">
        <v>67</v>
      </c>
      <c r="G855" t="s">
        <v>7176</v>
      </c>
      <c r="H855" t="s">
        <v>69</v>
      </c>
      <c r="I855" t="s">
        <v>69</v>
      </c>
      <c r="J855" t="s">
        <v>69</v>
      </c>
      <c r="K855" t="s">
        <v>7177</v>
      </c>
      <c r="L855" t="s">
        <v>69</v>
      </c>
      <c r="M855" t="s">
        <v>69</v>
      </c>
      <c r="N855" t="s">
        <v>7178</v>
      </c>
      <c r="O855" t="s">
        <v>7179</v>
      </c>
      <c r="P855" t="s">
        <v>69</v>
      </c>
      <c r="Q855" t="s">
        <v>69</v>
      </c>
      <c r="R855" t="s">
        <v>8505</v>
      </c>
      <c r="S855" t="s">
        <v>8506</v>
      </c>
      <c r="T855" t="s">
        <v>69</v>
      </c>
      <c r="U855" t="s">
        <v>69</v>
      </c>
      <c r="V855" t="s">
        <v>69</v>
      </c>
      <c r="W855" t="s">
        <v>69</v>
      </c>
      <c r="X855" t="s">
        <v>69</v>
      </c>
      <c r="Y855" t="s">
        <v>26989</v>
      </c>
      <c r="Z855" t="s">
        <v>26990</v>
      </c>
      <c r="AA855" t="s">
        <v>7180</v>
      </c>
      <c r="AB855" t="s">
        <v>26991</v>
      </c>
      <c r="AC855" t="s">
        <v>69</v>
      </c>
      <c r="AD855" t="s">
        <v>26992</v>
      </c>
      <c r="AE855" t="s">
        <v>26993</v>
      </c>
      <c r="AF855" t="s">
        <v>7181</v>
      </c>
      <c r="AG855" t="s">
        <v>7182</v>
      </c>
      <c r="AH855" t="s">
        <v>26994</v>
      </c>
      <c r="AI855" t="s">
        <v>26995</v>
      </c>
      <c r="AJ855" t="s">
        <v>26996</v>
      </c>
      <c r="AK855" t="s">
        <v>69</v>
      </c>
      <c r="AL855">
        <v>35</v>
      </c>
      <c r="AM855">
        <v>64</v>
      </c>
      <c r="AN855">
        <v>66</v>
      </c>
      <c r="AO855">
        <v>4</v>
      </c>
      <c r="AP855">
        <v>30</v>
      </c>
      <c r="AQ855" t="s">
        <v>25198</v>
      </c>
      <c r="AR855" t="s">
        <v>8763</v>
      </c>
      <c r="AS855" t="s">
        <v>25199</v>
      </c>
      <c r="AT855" t="s">
        <v>7183</v>
      </c>
      <c r="AU855" t="s">
        <v>69</v>
      </c>
      <c r="AV855" t="s">
        <v>69</v>
      </c>
      <c r="AW855" t="s">
        <v>26997</v>
      </c>
      <c r="AX855" t="s">
        <v>26998</v>
      </c>
      <c r="AY855" t="s">
        <v>2862</v>
      </c>
      <c r="AZ855">
        <v>2011</v>
      </c>
      <c r="BA855">
        <v>369</v>
      </c>
      <c r="BB855">
        <v>1942</v>
      </c>
      <c r="BC855" t="s">
        <v>69</v>
      </c>
      <c r="BD855" t="s">
        <v>69</v>
      </c>
      <c r="BE855" t="s">
        <v>69</v>
      </c>
      <c r="BF855" t="s">
        <v>69</v>
      </c>
      <c r="BG855">
        <v>1784</v>
      </c>
      <c r="BH855">
        <v>1806</v>
      </c>
      <c r="BI855" t="s">
        <v>69</v>
      </c>
      <c r="BJ855" t="s">
        <v>7184</v>
      </c>
      <c r="BK855" t="str">
        <f>HYPERLINK("http://dx.doi.org/10.1098/rsta.2010.0346","http://dx.doi.org/10.1098/rsta.2010.0346")</f>
        <v>http://dx.doi.org/10.1098/rsta.2010.0346</v>
      </c>
      <c r="BL855" t="s">
        <v>69</v>
      </c>
      <c r="BM855" t="s">
        <v>69</v>
      </c>
      <c r="BN855">
        <v>23</v>
      </c>
      <c r="BO855" t="s">
        <v>8619</v>
      </c>
      <c r="BP855" t="s">
        <v>8523</v>
      </c>
      <c r="BQ855" t="s">
        <v>8620</v>
      </c>
      <c r="BR855" t="s">
        <v>26999</v>
      </c>
      <c r="BS855" t="s">
        <v>7185</v>
      </c>
      <c r="BT855">
        <v>21464071</v>
      </c>
      <c r="BU855" t="s">
        <v>69</v>
      </c>
      <c r="BV855" t="s">
        <v>69</v>
      </c>
      <c r="BW855" t="s">
        <v>69</v>
      </c>
      <c r="BX855" t="s">
        <v>8526</v>
      </c>
      <c r="BY855" t="str">
        <f>HYPERLINK("https%3A%2F%2Fwww.webofscience.com%2Fwos%2Fwoscc%2Ffull-record%2FWOS:000289072700006","View Full Record in Web of Science")</f>
        <v>View Full Record in Web of Science</v>
      </c>
    </row>
    <row r="856" spans="1:77" ht="12.5" x14ac:dyDescent="0.25">
      <c r="A856" t="s">
        <v>8495</v>
      </c>
      <c r="B856" s="22" t="s">
        <v>32931</v>
      </c>
      <c r="C856" s="7"/>
      <c r="D856" s="7"/>
      <c r="E856" s="7"/>
      <c r="F856" t="s">
        <v>67</v>
      </c>
      <c r="G856" t="s">
        <v>30613</v>
      </c>
      <c r="H856" t="s">
        <v>69</v>
      </c>
      <c r="I856" t="s">
        <v>69</v>
      </c>
      <c r="J856" t="s">
        <v>69</v>
      </c>
      <c r="K856" t="s">
        <v>30613</v>
      </c>
      <c r="L856" t="s">
        <v>69</v>
      </c>
      <c r="M856" t="s">
        <v>69</v>
      </c>
      <c r="N856" t="s">
        <v>30614</v>
      </c>
      <c r="O856" t="s">
        <v>30615</v>
      </c>
      <c r="P856" t="s">
        <v>69</v>
      </c>
      <c r="Q856" t="s">
        <v>69</v>
      </c>
      <c r="R856" t="s">
        <v>8505</v>
      </c>
      <c r="S856" t="s">
        <v>8506</v>
      </c>
      <c r="T856" t="s">
        <v>69</v>
      </c>
      <c r="U856" t="s">
        <v>69</v>
      </c>
      <c r="V856" t="s">
        <v>69</v>
      </c>
      <c r="W856" t="s">
        <v>69</v>
      </c>
      <c r="X856" t="s">
        <v>69</v>
      </c>
      <c r="Y856" t="s">
        <v>30616</v>
      </c>
      <c r="Z856" t="s">
        <v>30617</v>
      </c>
      <c r="AA856" t="s">
        <v>30618</v>
      </c>
      <c r="AB856" t="s">
        <v>30619</v>
      </c>
      <c r="AC856" t="s">
        <v>69</v>
      </c>
      <c r="AD856" t="s">
        <v>30620</v>
      </c>
      <c r="AE856" t="s">
        <v>30621</v>
      </c>
      <c r="AF856" t="s">
        <v>30622</v>
      </c>
      <c r="AG856" t="s">
        <v>30623</v>
      </c>
      <c r="AH856" t="s">
        <v>69</v>
      </c>
      <c r="AI856" t="s">
        <v>69</v>
      </c>
      <c r="AJ856" t="s">
        <v>69</v>
      </c>
      <c r="AK856" t="s">
        <v>69</v>
      </c>
      <c r="AL856">
        <v>18</v>
      </c>
      <c r="AM856">
        <v>3</v>
      </c>
      <c r="AN856">
        <v>3</v>
      </c>
      <c r="AO856">
        <v>1</v>
      </c>
      <c r="AP856">
        <v>1</v>
      </c>
      <c r="AQ856" t="s">
        <v>30615</v>
      </c>
      <c r="AR856" t="s">
        <v>13701</v>
      </c>
      <c r="AS856" t="s">
        <v>30624</v>
      </c>
      <c r="AT856" t="s">
        <v>30625</v>
      </c>
      <c r="AU856" t="s">
        <v>69</v>
      </c>
      <c r="AV856" t="s">
        <v>69</v>
      </c>
      <c r="AW856" t="s">
        <v>30626</v>
      </c>
      <c r="AX856" t="s">
        <v>30627</v>
      </c>
      <c r="AY856" t="s">
        <v>155</v>
      </c>
      <c r="AZ856">
        <v>2005</v>
      </c>
      <c r="BA856">
        <v>29</v>
      </c>
      <c r="BB856">
        <v>1</v>
      </c>
      <c r="BC856" t="s">
        <v>69</v>
      </c>
      <c r="BD856" t="s">
        <v>69</v>
      </c>
      <c r="BE856" t="s">
        <v>69</v>
      </c>
      <c r="BF856" t="s">
        <v>69</v>
      </c>
      <c r="BG856">
        <v>1</v>
      </c>
      <c r="BH856">
        <v>7</v>
      </c>
      <c r="BI856" t="s">
        <v>69</v>
      </c>
      <c r="BJ856" t="s">
        <v>69</v>
      </c>
      <c r="BK856" t="s">
        <v>69</v>
      </c>
      <c r="BL856" t="s">
        <v>69</v>
      </c>
      <c r="BM856" t="s">
        <v>69</v>
      </c>
      <c r="BN856">
        <v>7</v>
      </c>
      <c r="BO856" t="s">
        <v>8463</v>
      </c>
      <c r="BP856" t="s">
        <v>8661</v>
      </c>
      <c r="BQ856" t="s">
        <v>8463</v>
      </c>
      <c r="BR856" t="s">
        <v>30628</v>
      </c>
      <c r="BS856" t="s">
        <v>30629</v>
      </c>
      <c r="BT856">
        <v>16117292</v>
      </c>
      <c r="BU856" t="s">
        <v>69</v>
      </c>
      <c r="BV856" t="s">
        <v>69</v>
      </c>
      <c r="BW856" t="s">
        <v>69</v>
      </c>
      <c r="BX856" t="s">
        <v>8526</v>
      </c>
      <c r="BY856" t="str">
        <f>HYPERLINK("https%3A%2F%2Fwww.webofscience.com%2Fwos%2Fwoscc%2Ffull-record%2FWOS:000230673800001","View Full Record in Web of Science")</f>
        <v>View Full Record in Web of Science</v>
      </c>
    </row>
    <row r="857" spans="1:77" ht="12.5" x14ac:dyDescent="0.25">
      <c r="A857" t="s">
        <v>8495</v>
      </c>
      <c r="B857" s="22" t="s">
        <v>32931</v>
      </c>
      <c r="C857" s="7"/>
      <c r="D857" s="7"/>
      <c r="E857" s="7"/>
      <c r="F857" t="s">
        <v>67</v>
      </c>
      <c r="G857" t="s">
        <v>20914</v>
      </c>
      <c r="H857" t="s">
        <v>69</v>
      </c>
      <c r="I857" t="s">
        <v>69</v>
      </c>
      <c r="J857" t="s">
        <v>69</v>
      </c>
      <c r="K857" t="s">
        <v>20915</v>
      </c>
      <c r="L857" t="s">
        <v>69</v>
      </c>
      <c r="M857" t="s">
        <v>69</v>
      </c>
      <c r="N857" t="s">
        <v>20916</v>
      </c>
      <c r="O857" t="s">
        <v>5470</v>
      </c>
      <c r="P857" t="s">
        <v>69</v>
      </c>
      <c r="Q857" t="s">
        <v>69</v>
      </c>
      <c r="R857" t="s">
        <v>8505</v>
      </c>
      <c r="S857" t="s">
        <v>8506</v>
      </c>
      <c r="T857" t="s">
        <v>69</v>
      </c>
      <c r="U857" t="s">
        <v>69</v>
      </c>
      <c r="V857" t="s">
        <v>69</v>
      </c>
      <c r="W857" t="s">
        <v>69</v>
      </c>
      <c r="X857" t="s">
        <v>69</v>
      </c>
      <c r="Y857" t="s">
        <v>20917</v>
      </c>
      <c r="Z857" t="s">
        <v>20918</v>
      </c>
      <c r="AA857" t="s">
        <v>20919</v>
      </c>
      <c r="AB857" t="s">
        <v>20920</v>
      </c>
      <c r="AC857" t="s">
        <v>69</v>
      </c>
      <c r="AD857" t="s">
        <v>20921</v>
      </c>
      <c r="AE857" t="s">
        <v>20922</v>
      </c>
      <c r="AF857" t="s">
        <v>69</v>
      </c>
      <c r="AG857" t="s">
        <v>69</v>
      </c>
      <c r="AH857" t="s">
        <v>69</v>
      </c>
      <c r="AI857" t="s">
        <v>69</v>
      </c>
      <c r="AJ857" t="s">
        <v>69</v>
      </c>
      <c r="AK857" t="s">
        <v>69</v>
      </c>
      <c r="AL857">
        <v>53</v>
      </c>
      <c r="AM857">
        <v>0</v>
      </c>
      <c r="AN857">
        <v>0</v>
      </c>
      <c r="AO857">
        <v>0</v>
      </c>
      <c r="AP857">
        <v>5</v>
      </c>
      <c r="AQ857" t="s">
        <v>8865</v>
      </c>
      <c r="AR857" t="s">
        <v>8612</v>
      </c>
      <c r="AS857" t="s">
        <v>8866</v>
      </c>
      <c r="AT857" t="s">
        <v>5472</v>
      </c>
      <c r="AU857" t="s">
        <v>5473</v>
      </c>
      <c r="AV857" t="s">
        <v>69</v>
      </c>
      <c r="AW857" t="s">
        <v>20923</v>
      </c>
      <c r="AX857" t="s">
        <v>20924</v>
      </c>
      <c r="AY857" t="s">
        <v>69</v>
      </c>
      <c r="AZ857">
        <v>2017</v>
      </c>
      <c r="BA857">
        <v>16</v>
      </c>
      <c r="BB857">
        <v>1</v>
      </c>
      <c r="BC857" t="s">
        <v>69</v>
      </c>
      <c r="BD857" t="s">
        <v>69</v>
      </c>
      <c r="BE857" t="s">
        <v>69</v>
      </c>
      <c r="BF857" t="s">
        <v>69</v>
      </c>
      <c r="BG857">
        <v>23</v>
      </c>
      <c r="BH857">
        <v>49</v>
      </c>
      <c r="BI857" t="s">
        <v>69</v>
      </c>
      <c r="BJ857" t="s">
        <v>20925</v>
      </c>
      <c r="BK857" t="str">
        <f>HYPERLINK("http://dx.doi.org/10.1080/15377857.2016.1262223","http://dx.doi.org/10.1080/15377857.2016.1262223")</f>
        <v>http://dx.doi.org/10.1080/15377857.2016.1262223</v>
      </c>
      <c r="BL857" t="s">
        <v>69</v>
      </c>
      <c r="BM857" t="s">
        <v>69</v>
      </c>
      <c r="BN857">
        <v>27</v>
      </c>
      <c r="BO857" t="s">
        <v>13241</v>
      </c>
      <c r="BP857" t="s">
        <v>8573</v>
      </c>
      <c r="BQ857" t="s">
        <v>10084</v>
      </c>
      <c r="BR857" t="s">
        <v>20926</v>
      </c>
      <c r="BS857" t="s">
        <v>20927</v>
      </c>
      <c r="BT857" t="s">
        <v>69</v>
      </c>
      <c r="BU857" t="s">
        <v>69</v>
      </c>
      <c r="BV857" t="s">
        <v>69</v>
      </c>
      <c r="BW857" t="s">
        <v>69</v>
      </c>
      <c r="BX857" t="s">
        <v>8526</v>
      </c>
      <c r="BY857" t="str">
        <f>HYPERLINK("https%3A%2F%2Fwww.webofscience.com%2Fwos%2Fwoscc%2Ffull-record%2FWOS:000399120700004","View Full Record in Web of Science")</f>
        <v>View Full Record in Web of Science</v>
      </c>
    </row>
    <row r="858" spans="1:77" ht="12.5" x14ac:dyDescent="0.25">
      <c r="A858" t="s">
        <v>8495</v>
      </c>
      <c r="B858" s="22" t="s">
        <v>32931</v>
      </c>
      <c r="C858" s="7"/>
      <c r="D858" s="7"/>
      <c r="E858" s="7"/>
      <c r="F858" t="s">
        <v>67</v>
      </c>
      <c r="G858" t="s">
        <v>10325</v>
      </c>
      <c r="H858" t="s">
        <v>69</v>
      </c>
      <c r="I858" t="s">
        <v>69</v>
      </c>
      <c r="J858" t="s">
        <v>69</v>
      </c>
      <c r="K858" t="s">
        <v>10326</v>
      </c>
      <c r="L858" t="s">
        <v>69</v>
      </c>
      <c r="M858" t="s">
        <v>69</v>
      </c>
      <c r="N858" t="s">
        <v>10327</v>
      </c>
      <c r="O858" t="s">
        <v>352</v>
      </c>
      <c r="P858" t="s">
        <v>69</v>
      </c>
      <c r="Q858" t="s">
        <v>69</v>
      </c>
      <c r="R858" t="s">
        <v>8505</v>
      </c>
      <c r="S858" t="s">
        <v>8506</v>
      </c>
      <c r="T858" t="s">
        <v>69</v>
      </c>
      <c r="U858" t="s">
        <v>69</v>
      </c>
      <c r="V858" t="s">
        <v>69</v>
      </c>
      <c r="W858" t="s">
        <v>69</v>
      </c>
      <c r="X858" t="s">
        <v>69</v>
      </c>
      <c r="Y858" t="s">
        <v>10328</v>
      </c>
      <c r="Z858" t="s">
        <v>10329</v>
      </c>
      <c r="AA858" t="s">
        <v>10330</v>
      </c>
      <c r="AB858" t="s">
        <v>10331</v>
      </c>
      <c r="AC858" t="s">
        <v>69</v>
      </c>
      <c r="AD858" t="s">
        <v>10332</v>
      </c>
      <c r="AE858" t="s">
        <v>10333</v>
      </c>
      <c r="AF858" t="s">
        <v>10334</v>
      </c>
      <c r="AG858" t="s">
        <v>10335</v>
      </c>
      <c r="AH858" t="s">
        <v>69</v>
      </c>
      <c r="AI858" t="s">
        <v>69</v>
      </c>
      <c r="AJ858" t="s">
        <v>69</v>
      </c>
      <c r="AK858" t="s">
        <v>69</v>
      </c>
      <c r="AL858">
        <v>111</v>
      </c>
      <c r="AM858">
        <v>0</v>
      </c>
      <c r="AN858">
        <v>0</v>
      </c>
      <c r="AO858">
        <v>15</v>
      </c>
      <c r="AP858">
        <v>15</v>
      </c>
      <c r="AQ858" t="s">
        <v>8924</v>
      </c>
      <c r="AR858" t="s">
        <v>8925</v>
      </c>
      <c r="AS858" t="s">
        <v>8926</v>
      </c>
      <c r="AT858" t="s">
        <v>69</v>
      </c>
      <c r="AU858" t="s">
        <v>354</v>
      </c>
      <c r="AV858" t="s">
        <v>69</v>
      </c>
      <c r="AW858" t="s">
        <v>8958</v>
      </c>
      <c r="AX858" t="s">
        <v>8434</v>
      </c>
      <c r="AY858" t="s">
        <v>373</v>
      </c>
      <c r="AZ858">
        <v>2022</v>
      </c>
      <c r="BA858">
        <v>14</v>
      </c>
      <c r="BB858">
        <v>1</v>
      </c>
      <c r="BC858" t="s">
        <v>69</v>
      </c>
      <c r="BD858" t="s">
        <v>69</v>
      </c>
      <c r="BE858" t="s">
        <v>69</v>
      </c>
      <c r="BF858" t="s">
        <v>69</v>
      </c>
      <c r="BG858" t="s">
        <v>69</v>
      </c>
      <c r="BH858" t="s">
        <v>69</v>
      </c>
      <c r="BI858">
        <v>420</v>
      </c>
      <c r="BJ858" t="s">
        <v>10336</v>
      </c>
      <c r="BK858" t="str">
        <f>HYPERLINK("http://dx.doi.org/10.3390/su14010420","http://dx.doi.org/10.3390/su14010420")</f>
        <v>http://dx.doi.org/10.3390/su14010420</v>
      </c>
      <c r="BL858" t="s">
        <v>69</v>
      </c>
      <c r="BM858" t="s">
        <v>69</v>
      </c>
      <c r="BN858">
        <v>22</v>
      </c>
      <c r="BO858" t="s">
        <v>8960</v>
      </c>
      <c r="BP858" t="s">
        <v>8523</v>
      </c>
      <c r="BQ858" t="s">
        <v>8961</v>
      </c>
      <c r="BR858" t="s">
        <v>10337</v>
      </c>
      <c r="BS858" t="s">
        <v>10338</v>
      </c>
      <c r="BT858" t="s">
        <v>69</v>
      </c>
      <c r="BU858" t="s">
        <v>8812</v>
      </c>
      <c r="BV858" t="s">
        <v>69</v>
      </c>
      <c r="BW858" t="s">
        <v>69</v>
      </c>
      <c r="BX858" t="s">
        <v>8526</v>
      </c>
      <c r="BY858" t="str">
        <f>HYPERLINK("https%3A%2F%2Fwww.webofscience.com%2Fwos%2Fwoscc%2Ffull-record%2FWOS:000758545600001","View Full Record in Web of Science")</f>
        <v>View Full Record in Web of Science</v>
      </c>
    </row>
    <row r="859" spans="1:77" ht="12.5" x14ac:dyDescent="0.25">
      <c r="A859" t="s">
        <v>8495</v>
      </c>
      <c r="B859" s="7" t="s">
        <v>32933</v>
      </c>
      <c r="C859" s="7"/>
      <c r="D859" s="7"/>
      <c r="E859" s="7"/>
      <c r="F859" t="s">
        <v>67</v>
      </c>
      <c r="G859" t="s">
        <v>1272</v>
      </c>
      <c r="H859" t="s">
        <v>69</v>
      </c>
      <c r="I859" t="s">
        <v>69</v>
      </c>
      <c r="J859" t="s">
        <v>69</v>
      </c>
      <c r="K859" t="s">
        <v>1273</v>
      </c>
      <c r="L859" t="s">
        <v>69</v>
      </c>
      <c r="M859" t="s">
        <v>69</v>
      </c>
      <c r="N859" t="s">
        <v>1274</v>
      </c>
      <c r="O859" t="s">
        <v>1275</v>
      </c>
      <c r="P859" t="s">
        <v>69</v>
      </c>
      <c r="Q859" t="s">
        <v>69</v>
      </c>
      <c r="R859" t="s">
        <v>8505</v>
      </c>
      <c r="S859" t="s">
        <v>8506</v>
      </c>
      <c r="T859" t="s">
        <v>69</v>
      </c>
      <c r="U859" t="s">
        <v>69</v>
      </c>
      <c r="V859" t="s">
        <v>69</v>
      </c>
      <c r="W859" t="s">
        <v>69</v>
      </c>
      <c r="X859" t="s">
        <v>69</v>
      </c>
      <c r="Y859" t="s">
        <v>69</v>
      </c>
      <c r="Z859" t="s">
        <v>22653</v>
      </c>
      <c r="AA859" t="s">
        <v>1276</v>
      </c>
      <c r="AB859" t="s">
        <v>22654</v>
      </c>
      <c r="AC859" t="s">
        <v>69</v>
      </c>
      <c r="AD859" t="s">
        <v>22655</v>
      </c>
      <c r="AE859" t="s">
        <v>22656</v>
      </c>
      <c r="AF859" t="s">
        <v>69</v>
      </c>
      <c r="AG859" t="s">
        <v>69</v>
      </c>
      <c r="AH859" t="s">
        <v>69</v>
      </c>
      <c r="AI859" t="s">
        <v>69</v>
      </c>
      <c r="AJ859" t="s">
        <v>69</v>
      </c>
      <c r="AK859" t="s">
        <v>69</v>
      </c>
      <c r="AL859">
        <v>36</v>
      </c>
      <c r="AM859">
        <v>15</v>
      </c>
      <c r="AN859">
        <v>15</v>
      </c>
      <c r="AO859">
        <v>2</v>
      </c>
      <c r="AP859">
        <v>26</v>
      </c>
      <c r="AQ859" t="s">
        <v>22657</v>
      </c>
      <c r="AR859" t="s">
        <v>9424</v>
      </c>
      <c r="AS859" t="s">
        <v>22658</v>
      </c>
      <c r="AT859" t="s">
        <v>1277</v>
      </c>
      <c r="AU859" t="s">
        <v>1278</v>
      </c>
      <c r="AV859" t="s">
        <v>69</v>
      </c>
      <c r="AW859" t="s">
        <v>22659</v>
      </c>
      <c r="AX859" t="s">
        <v>22660</v>
      </c>
      <c r="AY859" t="s">
        <v>155</v>
      </c>
      <c r="AZ859">
        <v>2015</v>
      </c>
      <c r="BA859">
        <v>5</v>
      </c>
      <c r="BB859">
        <v>1</v>
      </c>
      <c r="BC859" t="s">
        <v>69</v>
      </c>
      <c r="BD859" t="s">
        <v>69</v>
      </c>
      <c r="BE859" t="s">
        <v>69</v>
      </c>
      <c r="BF859" t="s">
        <v>69</v>
      </c>
      <c r="BG859">
        <v>109</v>
      </c>
      <c r="BH859">
        <v>121</v>
      </c>
      <c r="BI859">
        <v>10407</v>
      </c>
      <c r="BJ859" t="s">
        <v>1279</v>
      </c>
      <c r="BK859" t="str">
        <f>HYPERLINK("http://dx.doi.org/10.7189/jogh.05.010407","http://dx.doi.org/10.7189/jogh.05.010407")</f>
        <v>http://dx.doi.org/10.7189/jogh.05.010407</v>
      </c>
      <c r="BL859" t="s">
        <v>69</v>
      </c>
      <c r="BM859" t="s">
        <v>69</v>
      </c>
      <c r="BN859">
        <v>13</v>
      </c>
      <c r="BO859" t="s">
        <v>8810</v>
      </c>
      <c r="BP859" t="s">
        <v>8523</v>
      </c>
      <c r="BQ859" t="s">
        <v>8810</v>
      </c>
      <c r="BR859" t="s">
        <v>22661</v>
      </c>
      <c r="BS859" t="s">
        <v>1280</v>
      </c>
      <c r="BT859">
        <v>25969731</v>
      </c>
      <c r="BU859" t="s">
        <v>69</v>
      </c>
      <c r="BV859" t="s">
        <v>69</v>
      </c>
      <c r="BW859" t="s">
        <v>69</v>
      </c>
      <c r="BX859" t="s">
        <v>8526</v>
      </c>
      <c r="BY859" t="str">
        <f>HYPERLINK("https%3A%2F%2Fwww.webofscience.com%2Fwos%2Fwoscc%2Ffull-record%2FWOS:000370619100012","View Full Record in Web of Science")</f>
        <v>View Full Record in Web of Science</v>
      </c>
    </row>
    <row r="860" spans="1:77" ht="12.5" x14ac:dyDescent="0.25">
      <c r="A860" t="s">
        <v>8495</v>
      </c>
      <c r="B860" s="7" t="s">
        <v>32933</v>
      </c>
      <c r="C860" s="7"/>
      <c r="D860" s="7"/>
      <c r="E860" s="7"/>
      <c r="F860" t="s">
        <v>67</v>
      </c>
      <c r="G860" t="s">
        <v>2122</v>
      </c>
      <c r="H860" t="s">
        <v>69</v>
      </c>
      <c r="I860" t="s">
        <v>69</v>
      </c>
      <c r="J860" t="s">
        <v>69</v>
      </c>
      <c r="K860" t="s">
        <v>2123</v>
      </c>
      <c r="L860" t="s">
        <v>69</v>
      </c>
      <c r="M860" t="s">
        <v>69</v>
      </c>
      <c r="N860" t="s">
        <v>2124</v>
      </c>
      <c r="O860" t="s">
        <v>352</v>
      </c>
      <c r="P860" t="s">
        <v>69</v>
      </c>
      <c r="Q860" t="s">
        <v>69</v>
      </c>
      <c r="R860" t="s">
        <v>8505</v>
      </c>
      <c r="S860" t="s">
        <v>8506</v>
      </c>
      <c r="T860" t="s">
        <v>69</v>
      </c>
      <c r="U860" t="s">
        <v>69</v>
      </c>
      <c r="V860" t="s">
        <v>69</v>
      </c>
      <c r="W860" t="s">
        <v>69</v>
      </c>
      <c r="X860" t="s">
        <v>69</v>
      </c>
      <c r="Y860" t="s">
        <v>16619</v>
      </c>
      <c r="Z860" t="s">
        <v>16620</v>
      </c>
      <c r="AA860" t="s">
        <v>2125</v>
      </c>
      <c r="AB860" t="s">
        <v>16621</v>
      </c>
      <c r="AC860" t="s">
        <v>69</v>
      </c>
      <c r="AD860" t="s">
        <v>16622</v>
      </c>
      <c r="AE860" t="s">
        <v>16623</v>
      </c>
      <c r="AF860" t="s">
        <v>16624</v>
      </c>
      <c r="AG860" t="s">
        <v>2126</v>
      </c>
      <c r="AH860" t="s">
        <v>16625</v>
      </c>
      <c r="AI860" t="s">
        <v>16626</v>
      </c>
      <c r="AJ860" t="s">
        <v>16627</v>
      </c>
      <c r="AK860" t="s">
        <v>69</v>
      </c>
      <c r="AL860">
        <v>69</v>
      </c>
      <c r="AM860">
        <v>4</v>
      </c>
      <c r="AN860">
        <v>4</v>
      </c>
      <c r="AO860">
        <v>8</v>
      </c>
      <c r="AP860">
        <v>20</v>
      </c>
      <c r="AQ860" t="s">
        <v>8924</v>
      </c>
      <c r="AR860" t="s">
        <v>8925</v>
      </c>
      <c r="AS860" t="s">
        <v>8926</v>
      </c>
      <c r="AT860" t="s">
        <v>69</v>
      </c>
      <c r="AU860" t="s">
        <v>354</v>
      </c>
      <c r="AV860" t="s">
        <v>69</v>
      </c>
      <c r="AW860" t="s">
        <v>8958</v>
      </c>
      <c r="AX860" t="s">
        <v>8434</v>
      </c>
      <c r="AY860" t="s">
        <v>891</v>
      </c>
      <c r="AZ860">
        <v>2019</v>
      </c>
      <c r="BA860">
        <v>11</v>
      </c>
      <c r="BB860">
        <v>20</v>
      </c>
      <c r="BC860" t="s">
        <v>69</v>
      </c>
      <c r="BD860" t="s">
        <v>69</v>
      </c>
      <c r="BE860" t="s">
        <v>69</v>
      </c>
      <c r="BF860" t="s">
        <v>69</v>
      </c>
      <c r="BG860" t="s">
        <v>69</v>
      </c>
      <c r="BH860" t="s">
        <v>69</v>
      </c>
      <c r="BI860">
        <v>5551</v>
      </c>
      <c r="BJ860" t="s">
        <v>2127</v>
      </c>
      <c r="BK860" t="str">
        <f>HYPERLINK("http://dx.doi.org/10.3390/su11205551","http://dx.doi.org/10.3390/su11205551")</f>
        <v>http://dx.doi.org/10.3390/su11205551</v>
      </c>
      <c r="BL860" t="s">
        <v>69</v>
      </c>
      <c r="BM860" t="s">
        <v>69</v>
      </c>
      <c r="BN860">
        <v>21</v>
      </c>
      <c r="BO860" t="s">
        <v>8960</v>
      </c>
      <c r="BP860" t="s">
        <v>8523</v>
      </c>
      <c r="BQ860" t="s">
        <v>8961</v>
      </c>
      <c r="BR860" t="s">
        <v>16608</v>
      </c>
      <c r="BS860" t="s">
        <v>2128</v>
      </c>
      <c r="BT860" t="s">
        <v>69</v>
      </c>
      <c r="BU860" t="s">
        <v>9352</v>
      </c>
      <c r="BV860" t="s">
        <v>69</v>
      </c>
      <c r="BW860" t="s">
        <v>69</v>
      </c>
      <c r="BX860" t="s">
        <v>8526</v>
      </c>
      <c r="BY860" t="str">
        <f>HYPERLINK("https%3A%2F%2Fwww.webofscience.com%2Fwos%2Fwoscc%2Ffull-record%2FWOS:000498398900008","View Full Record in Web of Science")</f>
        <v>View Full Record in Web of Science</v>
      </c>
    </row>
    <row r="861" spans="1:77" ht="12.5" x14ac:dyDescent="0.25">
      <c r="A861" t="s">
        <v>8495</v>
      </c>
      <c r="B861" s="22" t="s">
        <v>32931</v>
      </c>
      <c r="C861" s="7"/>
      <c r="D861" s="7"/>
      <c r="E861" s="7"/>
      <c r="F861" t="s">
        <v>67</v>
      </c>
      <c r="G861" t="s">
        <v>14954</v>
      </c>
      <c r="H861" t="s">
        <v>69</v>
      </c>
      <c r="I861" t="s">
        <v>69</v>
      </c>
      <c r="J861" t="s">
        <v>69</v>
      </c>
      <c r="K861" t="s">
        <v>14955</v>
      </c>
      <c r="L861" t="s">
        <v>69</v>
      </c>
      <c r="M861" t="s">
        <v>69</v>
      </c>
      <c r="N861" t="s">
        <v>14956</v>
      </c>
      <c r="O861" t="s">
        <v>14957</v>
      </c>
      <c r="P861" t="s">
        <v>69</v>
      </c>
      <c r="Q861" t="s">
        <v>69</v>
      </c>
      <c r="R861" t="s">
        <v>8505</v>
      </c>
      <c r="S861" t="s">
        <v>8506</v>
      </c>
      <c r="T861" t="s">
        <v>69</v>
      </c>
      <c r="U861" t="s">
        <v>69</v>
      </c>
      <c r="V861" t="s">
        <v>69</v>
      </c>
      <c r="W861" t="s">
        <v>69</v>
      </c>
      <c r="X861" t="s">
        <v>69</v>
      </c>
      <c r="Y861" t="s">
        <v>14958</v>
      </c>
      <c r="Z861" t="s">
        <v>14959</v>
      </c>
      <c r="AA861" t="s">
        <v>14960</v>
      </c>
      <c r="AB861" t="s">
        <v>14961</v>
      </c>
      <c r="AC861" t="s">
        <v>69</v>
      </c>
      <c r="AD861" t="s">
        <v>14962</v>
      </c>
      <c r="AE861" t="s">
        <v>14963</v>
      </c>
      <c r="AF861" t="s">
        <v>69</v>
      </c>
      <c r="AG861" t="s">
        <v>14964</v>
      </c>
      <c r="AH861" t="s">
        <v>69</v>
      </c>
      <c r="AI861" t="s">
        <v>69</v>
      </c>
      <c r="AJ861" t="s">
        <v>69</v>
      </c>
      <c r="AK861" t="s">
        <v>69</v>
      </c>
      <c r="AL861">
        <v>71</v>
      </c>
      <c r="AM861">
        <v>2</v>
      </c>
      <c r="AN861">
        <v>2</v>
      </c>
      <c r="AO861">
        <v>2</v>
      </c>
      <c r="AP861">
        <v>13</v>
      </c>
      <c r="AQ861" t="s">
        <v>8586</v>
      </c>
      <c r="AR861" t="s">
        <v>8587</v>
      </c>
      <c r="AS861" t="s">
        <v>8588</v>
      </c>
      <c r="AT861" t="s">
        <v>14965</v>
      </c>
      <c r="AU861" t="s">
        <v>14966</v>
      </c>
      <c r="AV861" t="s">
        <v>69</v>
      </c>
      <c r="AW861" t="s">
        <v>14967</v>
      </c>
      <c r="AX861" t="s">
        <v>14968</v>
      </c>
      <c r="AY861" t="s">
        <v>12835</v>
      </c>
      <c r="AZ861">
        <v>2022</v>
      </c>
      <c r="BA861">
        <v>16</v>
      </c>
      <c r="BB861">
        <v>2</v>
      </c>
      <c r="BC861" t="s">
        <v>69</v>
      </c>
      <c r="BD861" t="s">
        <v>69</v>
      </c>
      <c r="BE861" t="s">
        <v>69</v>
      </c>
      <c r="BF861" t="s">
        <v>69</v>
      </c>
      <c r="BG861">
        <v>218</v>
      </c>
      <c r="BH861">
        <v>237</v>
      </c>
      <c r="BI861" t="s">
        <v>69</v>
      </c>
      <c r="BJ861" t="s">
        <v>14969</v>
      </c>
      <c r="BK861" t="str">
        <f>HYPERLINK("http://dx.doi.org/10.1108/JEC-10-2019-0111","http://dx.doi.org/10.1108/JEC-10-2019-0111")</f>
        <v>http://dx.doi.org/10.1108/JEC-10-2019-0111</v>
      </c>
      <c r="BL861" t="s">
        <v>69</v>
      </c>
      <c r="BM861" t="s">
        <v>4582</v>
      </c>
      <c r="BN861">
        <v>20</v>
      </c>
      <c r="BO861" t="s">
        <v>8444</v>
      </c>
      <c r="BP861" t="s">
        <v>8573</v>
      </c>
      <c r="BQ861" t="s">
        <v>8594</v>
      </c>
      <c r="BR861" t="s">
        <v>14970</v>
      </c>
      <c r="BS861" t="s">
        <v>14971</v>
      </c>
      <c r="BT861" t="s">
        <v>69</v>
      </c>
      <c r="BU861" t="s">
        <v>69</v>
      </c>
      <c r="BV861" t="s">
        <v>69</v>
      </c>
      <c r="BW861" t="s">
        <v>69</v>
      </c>
      <c r="BX861" t="s">
        <v>8526</v>
      </c>
      <c r="BY861" t="str">
        <f>HYPERLINK("https%3A%2F%2Fwww.webofscience.com%2Fwos%2Fwoscc%2Ffull-record%2FWOS:000541895900001","View Full Record in Web of Science")</f>
        <v>View Full Record in Web of Science</v>
      </c>
    </row>
    <row r="862" spans="1:77" ht="12.5" x14ac:dyDescent="0.25">
      <c r="A862" t="s">
        <v>8495</v>
      </c>
      <c r="B862" s="22" t="s">
        <v>32931</v>
      </c>
      <c r="C862" s="7"/>
      <c r="D862" s="7"/>
      <c r="E862" s="7"/>
      <c r="F862" t="s">
        <v>67</v>
      </c>
      <c r="G862" t="s">
        <v>13034</v>
      </c>
      <c r="H862" t="s">
        <v>69</v>
      </c>
      <c r="I862" t="s">
        <v>69</v>
      </c>
      <c r="J862" t="s">
        <v>69</v>
      </c>
      <c r="K862" t="s">
        <v>13035</v>
      </c>
      <c r="L862" t="s">
        <v>69</v>
      </c>
      <c r="M862" t="s">
        <v>69</v>
      </c>
      <c r="N862" t="s">
        <v>13036</v>
      </c>
      <c r="O862" t="s">
        <v>10506</v>
      </c>
      <c r="P862" t="s">
        <v>69</v>
      </c>
      <c r="Q862" t="s">
        <v>69</v>
      </c>
      <c r="R862" t="s">
        <v>8505</v>
      </c>
      <c r="S862" t="s">
        <v>8506</v>
      </c>
      <c r="T862" t="s">
        <v>69</v>
      </c>
      <c r="U862" t="s">
        <v>69</v>
      </c>
      <c r="V862" t="s">
        <v>69</v>
      </c>
      <c r="W862" t="s">
        <v>69</v>
      </c>
      <c r="X862" t="s">
        <v>69</v>
      </c>
      <c r="Y862" t="s">
        <v>13037</v>
      </c>
      <c r="Z862" t="s">
        <v>69</v>
      </c>
      <c r="AA862" t="s">
        <v>13038</v>
      </c>
      <c r="AB862" t="s">
        <v>13039</v>
      </c>
      <c r="AC862" t="s">
        <v>69</v>
      </c>
      <c r="AD862" t="s">
        <v>13040</v>
      </c>
      <c r="AE862" t="s">
        <v>13041</v>
      </c>
      <c r="AF862" t="s">
        <v>69</v>
      </c>
      <c r="AG862" t="s">
        <v>13042</v>
      </c>
      <c r="AH862" t="s">
        <v>69</v>
      </c>
      <c r="AI862" t="s">
        <v>69</v>
      </c>
      <c r="AJ862" t="s">
        <v>69</v>
      </c>
      <c r="AK862" t="s">
        <v>69</v>
      </c>
      <c r="AL862">
        <v>16</v>
      </c>
      <c r="AM862">
        <v>0</v>
      </c>
      <c r="AN862">
        <v>0</v>
      </c>
      <c r="AO862">
        <v>0</v>
      </c>
      <c r="AP862">
        <v>4</v>
      </c>
      <c r="AQ862" t="s">
        <v>10517</v>
      </c>
      <c r="AR862" t="s">
        <v>10518</v>
      </c>
      <c r="AS862" t="s">
        <v>10519</v>
      </c>
      <c r="AT862" t="s">
        <v>10520</v>
      </c>
      <c r="AU862" t="s">
        <v>69</v>
      </c>
      <c r="AV862" t="s">
        <v>69</v>
      </c>
      <c r="AW862" t="s">
        <v>10521</v>
      </c>
      <c r="AX862" t="s">
        <v>10522</v>
      </c>
      <c r="AY862" t="s">
        <v>13043</v>
      </c>
      <c r="AZ862">
        <v>2021</v>
      </c>
      <c r="BA862">
        <v>23</v>
      </c>
      <c r="BB862">
        <v>2</v>
      </c>
      <c r="BC862" t="s">
        <v>69</v>
      </c>
      <c r="BD862" t="s">
        <v>69</v>
      </c>
      <c r="BE862" t="s">
        <v>69</v>
      </c>
      <c r="BF862" t="s">
        <v>69</v>
      </c>
      <c r="BG862" t="s">
        <v>69</v>
      </c>
      <c r="BH862" t="s">
        <v>69</v>
      </c>
      <c r="BI862" t="s">
        <v>13044</v>
      </c>
      <c r="BJ862" t="s">
        <v>13045</v>
      </c>
      <c r="BK862" t="str">
        <f>HYPERLINK("http://dx.doi.org/10.2196/23658","http://dx.doi.org/10.2196/23658")</f>
        <v>http://dx.doi.org/10.2196/23658</v>
      </c>
      <c r="BL862" t="s">
        <v>69</v>
      </c>
      <c r="BM862" t="s">
        <v>69</v>
      </c>
      <c r="BN862">
        <v>9</v>
      </c>
      <c r="BO862" t="s">
        <v>10525</v>
      </c>
      <c r="BP862" t="s">
        <v>8548</v>
      </c>
      <c r="BQ862" t="s">
        <v>10525</v>
      </c>
      <c r="BR862" t="s">
        <v>13046</v>
      </c>
      <c r="BS862" t="s">
        <v>13047</v>
      </c>
      <c r="BT862">
        <v>33539306</v>
      </c>
      <c r="BU862" t="s">
        <v>8812</v>
      </c>
      <c r="BV862" t="s">
        <v>69</v>
      </c>
      <c r="BW862" t="s">
        <v>69</v>
      </c>
      <c r="BX862" t="s">
        <v>8526</v>
      </c>
      <c r="BY862" t="str">
        <f>HYPERLINK("https%3A%2F%2Fwww.webofscience.com%2Fwos%2Fwoscc%2Ffull-record%2FWOS:000621590700012","View Full Record in Web of Science")</f>
        <v>View Full Record in Web of Science</v>
      </c>
    </row>
    <row r="863" spans="1:77" x14ac:dyDescent="0.3">
      <c r="A863" t="s">
        <v>8495</v>
      </c>
      <c r="B863" s="9" t="s">
        <v>32996</v>
      </c>
      <c r="C863" s="9" t="s">
        <v>33057</v>
      </c>
      <c r="D863" s="9" t="s">
        <v>8491</v>
      </c>
      <c r="E863" s="9" t="s">
        <v>8490</v>
      </c>
      <c r="F863" t="s">
        <v>67</v>
      </c>
      <c r="G863" t="s">
        <v>31123</v>
      </c>
      <c r="H863" t="s">
        <v>69</v>
      </c>
      <c r="I863" t="s">
        <v>69</v>
      </c>
      <c r="J863" t="s">
        <v>69</v>
      </c>
      <c r="K863" t="s">
        <v>31123</v>
      </c>
      <c r="L863" t="s">
        <v>69</v>
      </c>
      <c r="M863" t="s">
        <v>69</v>
      </c>
      <c r="N863" t="s">
        <v>31124</v>
      </c>
      <c r="O863" t="s">
        <v>436</v>
      </c>
      <c r="P863" t="s">
        <v>69</v>
      </c>
      <c r="Q863" t="s">
        <v>69</v>
      </c>
      <c r="R863" t="s">
        <v>8505</v>
      </c>
      <c r="S863" t="s">
        <v>8506</v>
      </c>
      <c r="T863" t="s">
        <v>69</v>
      </c>
      <c r="U863" t="s">
        <v>69</v>
      </c>
      <c r="V863" t="s">
        <v>69</v>
      </c>
      <c r="W863" t="s">
        <v>69</v>
      </c>
      <c r="X863" t="s">
        <v>69</v>
      </c>
      <c r="Y863" t="s">
        <v>31125</v>
      </c>
      <c r="Z863" t="s">
        <v>69</v>
      </c>
      <c r="AA863" t="s">
        <v>31126</v>
      </c>
      <c r="AB863" t="s">
        <v>31127</v>
      </c>
      <c r="AC863" t="s">
        <v>69</v>
      </c>
      <c r="AD863" t="s">
        <v>31128</v>
      </c>
      <c r="AE863" t="s">
        <v>69</v>
      </c>
      <c r="AF863" t="s">
        <v>69</v>
      </c>
      <c r="AG863" t="s">
        <v>69</v>
      </c>
      <c r="AH863" t="s">
        <v>69</v>
      </c>
      <c r="AI863" t="s">
        <v>69</v>
      </c>
      <c r="AJ863" t="s">
        <v>69</v>
      </c>
      <c r="AK863" t="s">
        <v>69</v>
      </c>
      <c r="AL863">
        <v>0</v>
      </c>
      <c r="AM863">
        <v>4</v>
      </c>
      <c r="AN863">
        <v>4</v>
      </c>
      <c r="AO863">
        <v>0</v>
      </c>
      <c r="AP863">
        <v>4</v>
      </c>
      <c r="AQ863" t="s">
        <v>8636</v>
      </c>
      <c r="AR863" t="s">
        <v>8637</v>
      </c>
      <c r="AS863" t="s">
        <v>8638</v>
      </c>
      <c r="AT863" t="s">
        <v>440</v>
      </c>
      <c r="AU863" t="s">
        <v>69</v>
      </c>
      <c r="AV863" t="s">
        <v>69</v>
      </c>
      <c r="AW863" t="s">
        <v>8639</v>
      </c>
      <c r="AX863" t="s">
        <v>8640</v>
      </c>
      <c r="AY863" t="s">
        <v>69</v>
      </c>
      <c r="AZ863">
        <v>2004</v>
      </c>
      <c r="BA863">
        <v>12</v>
      </c>
      <c r="BB863">
        <v>3</v>
      </c>
      <c r="BC863" t="s">
        <v>69</v>
      </c>
      <c r="BD863" t="s">
        <v>69</v>
      </c>
      <c r="BE863" t="s">
        <v>69</v>
      </c>
      <c r="BF863" t="s">
        <v>69</v>
      </c>
      <c r="BG863">
        <v>297</v>
      </c>
      <c r="BH863">
        <v>303</v>
      </c>
      <c r="BI863" t="s">
        <v>69</v>
      </c>
      <c r="BJ863" t="s">
        <v>31129</v>
      </c>
      <c r="BK863" t="str">
        <f>HYPERLINK("http://dx.doi.org/10.1016/S0959-6526(03)00100-8","http://dx.doi.org/10.1016/S0959-6526(03)00100-8")</f>
        <v>http://dx.doi.org/10.1016/S0959-6526(03)00100-8</v>
      </c>
      <c r="BL863" t="s">
        <v>69</v>
      </c>
      <c r="BM863" t="s">
        <v>69</v>
      </c>
      <c r="BN863">
        <v>7</v>
      </c>
      <c r="BO863" t="s">
        <v>8643</v>
      </c>
      <c r="BP863" t="s">
        <v>8548</v>
      </c>
      <c r="BQ863" t="s">
        <v>8644</v>
      </c>
      <c r="BR863" t="s">
        <v>31122</v>
      </c>
      <c r="BS863" t="s">
        <v>31130</v>
      </c>
      <c r="BT863" t="s">
        <v>69</v>
      </c>
      <c r="BU863" t="s">
        <v>69</v>
      </c>
      <c r="BV863" t="s">
        <v>69</v>
      </c>
      <c r="BW863" t="s">
        <v>69</v>
      </c>
      <c r="BX863" t="s">
        <v>8526</v>
      </c>
      <c r="BY863" t="str">
        <f>HYPERLINK("https%3A%2F%2Fwww.webofscience.com%2Fwos%2Fwoscc%2Ffull-record%2FWOS:000186789700012","View Full Record in Web of Science")</f>
        <v>View Full Record in Web of Science</v>
      </c>
    </row>
    <row r="864" spans="1:77" ht="12.5" x14ac:dyDescent="0.25">
      <c r="A864" t="s">
        <v>8495</v>
      </c>
      <c r="B864" s="7" t="s">
        <v>32933</v>
      </c>
      <c r="C864" s="7"/>
      <c r="D864" s="7"/>
      <c r="E864" s="7"/>
      <c r="F864" t="s">
        <v>67</v>
      </c>
      <c r="G864" t="s">
        <v>1047</v>
      </c>
      <c r="H864" t="s">
        <v>69</v>
      </c>
      <c r="I864" t="s">
        <v>69</v>
      </c>
      <c r="J864" t="s">
        <v>69</v>
      </c>
      <c r="K864" t="s">
        <v>1048</v>
      </c>
      <c r="L864" t="s">
        <v>69</v>
      </c>
      <c r="M864" t="s">
        <v>69</v>
      </c>
      <c r="N864" t="s">
        <v>1049</v>
      </c>
      <c r="O864" t="s">
        <v>1050</v>
      </c>
      <c r="P864" t="s">
        <v>69</v>
      </c>
      <c r="Q864" t="s">
        <v>69</v>
      </c>
      <c r="R864" t="s">
        <v>10071</v>
      </c>
      <c r="S864" t="s">
        <v>8506</v>
      </c>
      <c r="T864" t="s">
        <v>69</v>
      </c>
      <c r="U864" t="s">
        <v>69</v>
      </c>
      <c r="V864" t="s">
        <v>69</v>
      </c>
      <c r="W864" t="s">
        <v>69</v>
      </c>
      <c r="X864" t="s">
        <v>69</v>
      </c>
      <c r="Y864" t="s">
        <v>18423</v>
      </c>
      <c r="Z864" t="s">
        <v>18424</v>
      </c>
      <c r="AA864" t="s">
        <v>1051</v>
      </c>
      <c r="AB864" t="s">
        <v>18425</v>
      </c>
      <c r="AC864" t="s">
        <v>69</v>
      </c>
      <c r="AD864" t="s">
        <v>18426</v>
      </c>
      <c r="AE864" t="s">
        <v>69</v>
      </c>
      <c r="AF864" t="s">
        <v>69</v>
      </c>
      <c r="AG864" t="s">
        <v>69</v>
      </c>
      <c r="AH864" t="s">
        <v>69</v>
      </c>
      <c r="AI864" t="s">
        <v>69</v>
      </c>
      <c r="AJ864" t="s">
        <v>69</v>
      </c>
      <c r="AK864" t="s">
        <v>69</v>
      </c>
      <c r="AL864">
        <v>73</v>
      </c>
      <c r="AM864">
        <v>1</v>
      </c>
      <c r="AN864">
        <v>1</v>
      </c>
      <c r="AO864">
        <v>2</v>
      </c>
      <c r="AP864">
        <v>11</v>
      </c>
      <c r="AQ864" t="s">
        <v>18427</v>
      </c>
      <c r="AR864" t="s">
        <v>18428</v>
      </c>
      <c r="AS864" t="s">
        <v>18429</v>
      </c>
      <c r="AT864" t="s">
        <v>1052</v>
      </c>
      <c r="AU864" t="s">
        <v>69</v>
      </c>
      <c r="AV864" t="s">
        <v>69</v>
      </c>
      <c r="AW864" t="s">
        <v>18430</v>
      </c>
      <c r="AX864" t="s">
        <v>18431</v>
      </c>
      <c r="AY864" t="s">
        <v>1053</v>
      </c>
      <c r="AZ864">
        <v>2018</v>
      </c>
      <c r="BA864" t="s">
        <v>69</v>
      </c>
      <c r="BB864">
        <v>113</v>
      </c>
      <c r="BC864" t="s">
        <v>69</v>
      </c>
      <c r="BD864" t="s">
        <v>69</v>
      </c>
      <c r="BE864" t="s">
        <v>69</v>
      </c>
      <c r="BF864" t="s">
        <v>69</v>
      </c>
      <c r="BG864">
        <v>165</v>
      </c>
      <c r="BH864">
        <v>192</v>
      </c>
      <c r="BI864" t="s">
        <v>69</v>
      </c>
      <c r="BJ864" t="s">
        <v>69</v>
      </c>
      <c r="BK864" t="s">
        <v>69</v>
      </c>
      <c r="BL864" t="s">
        <v>69</v>
      </c>
      <c r="BM864" t="s">
        <v>69</v>
      </c>
      <c r="BN864">
        <v>28</v>
      </c>
      <c r="BO864" t="s">
        <v>8660</v>
      </c>
      <c r="BP864" t="s">
        <v>8573</v>
      </c>
      <c r="BQ864" t="s">
        <v>8662</v>
      </c>
      <c r="BR864" t="s">
        <v>18432</v>
      </c>
      <c r="BS864" t="s">
        <v>1054</v>
      </c>
      <c r="BT864" t="s">
        <v>69</v>
      </c>
      <c r="BU864" t="s">
        <v>69</v>
      </c>
      <c r="BV864" t="s">
        <v>69</v>
      </c>
      <c r="BW864" t="s">
        <v>69</v>
      </c>
      <c r="BX864" t="s">
        <v>8526</v>
      </c>
      <c r="BY864" t="str">
        <f>HYPERLINK("https%3A%2F%2Fwww.webofscience.com%2Fwos%2Fwoscc%2Ffull-record%2FWOS:000483175100008","View Full Record in Web of Science")</f>
        <v>View Full Record in Web of Science</v>
      </c>
    </row>
    <row r="865" spans="1:77" ht="12.5" x14ac:dyDescent="0.25">
      <c r="A865" t="s">
        <v>8495</v>
      </c>
      <c r="B865" s="7" t="s">
        <v>32933</v>
      </c>
      <c r="C865" s="7"/>
      <c r="D865" s="7"/>
      <c r="E865" s="7"/>
      <c r="F865" t="s">
        <v>67</v>
      </c>
      <c r="G865" t="s">
        <v>8083</v>
      </c>
      <c r="H865" t="s">
        <v>69</v>
      </c>
      <c r="I865" t="s">
        <v>69</v>
      </c>
      <c r="J865" t="s">
        <v>69</v>
      </c>
      <c r="K865" t="s">
        <v>8084</v>
      </c>
      <c r="L865" t="s">
        <v>69</v>
      </c>
      <c r="M865" t="s">
        <v>69</v>
      </c>
      <c r="N865" t="s">
        <v>8085</v>
      </c>
      <c r="O865" t="s">
        <v>473</v>
      </c>
      <c r="P865" t="s">
        <v>69</v>
      </c>
      <c r="Q865" t="s">
        <v>69</v>
      </c>
      <c r="R865" t="s">
        <v>8505</v>
      </c>
      <c r="S865" t="s">
        <v>8506</v>
      </c>
      <c r="T865" t="s">
        <v>69</v>
      </c>
      <c r="U865" t="s">
        <v>69</v>
      </c>
      <c r="V865" t="s">
        <v>69</v>
      </c>
      <c r="W865" t="s">
        <v>69</v>
      </c>
      <c r="X865" t="s">
        <v>69</v>
      </c>
      <c r="Y865" t="s">
        <v>18277</v>
      </c>
      <c r="Z865" t="s">
        <v>18278</v>
      </c>
      <c r="AA865" t="s">
        <v>8086</v>
      </c>
      <c r="AB865" t="s">
        <v>18279</v>
      </c>
      <c r="AC865" t="s">
        <v>69</v>
      </c>
      <c r="AD865" t="s">
        <v>18280</v>
      </c>
      <c r="AE865" t="s">
        <v>18281</v>
      </c>
      <c r="AF865" t="s">
        <v>18282</v>
      </c>
      <c r="AG865" t="s">
        <v>18283</v>
      </c>
      <c r="AH865" t="s">
        <v>18284</v>
      </c>
      <c r="AI865" t="s">
        <v>18285</v>
      </c>
      <c r="AJ865" t="s">
        <v>18286</v>
      </c>
      <c r="AK865" t="s">
        <v>69</v>
      </c>
      <c r="AL865">
        <v>94</v>
      </c>
      <c r="AM865">
        <v>7</v>
      </c>
      <c r="AN865">
        <v>7</v>
      </c>
      <c r="AO865">
        <v>1</v>
      </c>
      <c r="AP865">
        <v>13</v>
      </c>
      <c r="AQ865" t="s">
        <v>18272</v>
      </c>
      <c r="AR865" t="s">
        <v>8763</v>
      </c>
      <c r="AS865" t="s">
        <v>18273</v>
      </c>
      <c r="AT865" t="s">
        <v>475</v>
      </c>
      <c r="AU865" t="s">
        <v>476</v>
      </c>
      <c r="AV865" t="s">
        <v>69</v>
      </c>
      <c r="AW865" t="s">
        <v>18274</v>
      </c>
      <c r="AX865" t="s">
        <v>18275</v>
      </c>
      <c r="AY865" t="s">
        <v>904</v>
      </c>
      <c r="AZ865">
        <v>2018</v>
      </c>
      <c r="BA865">
        <v>223</v>
      </c>
      <c r="BB865" t="s">
        <v>69</v>
      </c>
      <c r="BC865" t="s">
        <v>69</v>
      </c>
      <c r="BD865" t="s">
        <v>69</v>
      </c>
      <c r="BE865" t="s">
        <v>69</v>
      </c>
      <c r="BF865" t="s">
        <v>69</v>
      </c>
      <c r="BG865">
        <v>731</v>
      </c>
      <c r="BH865">
        <v>742</v>
      </c>
      <c r="BI865" t="s">
        <v>69</v>
      </c>
      <c r="BJ865" t="s">
        <v>8087</v>
      </c>
      <c r="BK865" t="str">
        <f>HYPERLINK("http://dx.doi.org/10.1016/j.jenvman.2018.06.054","http://dx.doi.org/10.1016/j.jenvman.2018.06.054")</f>
        <v>http://dx.doi.org/10.1016/j.jenvman.2018.06.054</v>
      </c>
      <c r="BL865" t="s">
        <v>69</v>
      </c>
      <c r="BM865" t="s">
        <v>69</v>
      </c>
      <c r="BN865">
        <v>12</v>
      </c>
      <c r="BO865" t="s">
        <v>8717</v>
      </c>
      <c r="BP865" t="s">
        <v>8523</v>
      </c>
      <c r="BQ865" t="s">
        <v>8662</v>
      </c>
      <c r="BR865" t="s">
        <v>18276</v>
      </c>
      <c r="BS865" t="s">
        <v>8088</v>
      </c>
      <c r="BT865">
        <v>29986320</v>
      </c>
      <c r="BU865" t="s">
        <v>69</v>
      </c>
      <c r="BV865" t="s">
        <v>69</v>
      </c>
      <c r="BW865" t="s">
        <v>69</v>
      </c>
      <c r="BX865" t="s">
        <v>8526</v>
      </c>
      <c r="BY865" t="str">
        <f>HYPERLINK("https%3A%2F%2Fwww.webofscience.com%2Fwos%2Fwoscc%2Ffull-record%2FWOS:000442057500073","View Full Record in Web of Science")</f>
        <v>View Full Record in Web of Science</v>
      </c>
    </row>
    <row r="866" spans="1:77" ht="12.5" x14ac:dyDescent="0.25">
      <c r="A866" t="s">
        <v>8495</v>
      </c>
      <c r="B866" s="7" t="s">
        <v>32933</v>
      </c>
      <c r="C866" s="7"/>
      <c r="D866" s="7"/>
      <c r="E866" s="7"/>
      <c r="F866" t="s">
        <v>67</v>
      </c>
      <c r="G866" t="s">
        <v>758</v>
      </c>
      <c r="H866" t="s">
        <v>69</v>
      </c>
      <c r="I866" t="s">
        <v>69</v>
      </c>
      <c r="J866" t="s">
        <v>69</v>
      </c>
      <c r="K866" t="s">
        <v>759</v>
      </c>
      <c r="L866" t="s">
        <v>69</v>
      </c>
      <c r="M866" t="s">
        <v>69</v>
      </c>
      <c r="N866" t="s">
        <v>760</v>
      </c>
      <c r="O866" t="s">
        <v>761</v>
      </c>
      <c r="P866" t="s">
        <v>69</v>
      </c>
      <c r="Q866" t="s">
        <v>69</v>
      </c>
      <c r="R866" t="s">
        <v>8505</v>
      </c>
      <c r="S866" t="s">
        <v>8506</v>
      </c>
      <c r="T866" t="s">
        <v>69</v>
      </c>
      <c r="U866" t="s">
        <v>69</v>
      </c>
      <c r="V866" t="s">
        <v>69</v>
      </c>
      <c r="W866" t="s">
        <v>69</v>
      </c>
      <c r="X866" t="s">
        <v>69</v>
      </c>
      <c r="Y866" t="s">
        <v>15356</v>
      </c>
      <c r="Z866" t="s">
        <v>15357</v>
      </c>
      <c r="AA866" t="s">
        <v>762</v>
      </c>
      <c r="AB866" t="s">
        <v>15358</v>
      </c>
      <c r="AC866" t="s">
        <v>69</v>
      </c>
      <c r="AD866" t="s">
        <v>15359</v>
      </c>
      <c r="AE866" t="s">
        <v>15360</v>
      </c>
      <c r="AF866" t="s">
        <v>15361</v>
      </c>
      <c r="AG866" t="s">
        <v>763</v>
      </c>
      <c r="AH866" t="s">
        <v>69</v>
      </c>
      <c r="AI866" t="s">
        <v>69</v>
      </c>
      <c r="AJ866" t="s">
        <v>69</v>
      </c>
      <c r="AK866" t="s">
        <v>69</v>
      </c>
      <c r="AL866">
        <v>72</v>
      </c>
      <c r="AM866">
        <v>11</v>
      </c>
      <c r="AN866">
        <v>11</v>
      </c>
      <c r="AO866">
        <v>0</v>
      </c>
      <c r="AP866">
        <v>5</v>
      </c>
      <c r="AQ866" t="s">
        <v>8586</v>
      </c>
      <c r="AR866" t="s">
        <v>8587</v>
      </c>
      <c r="AS866" t="s">
        <v>8588</v>
      </c>
      <c r="AT866" t="s">
        <v>764</v>
      </c>
      <c r="AU866" t="s">
        <v>765</v>
      </c>
      <c r="AV866" t="s">
        <v>69</v>
      </c>
      <c r="AW866" t="s">
        <v>15362</v>
      </c>
      <c r="AX866" t="s">
        <v>15363</v>
      </c>
      <c r="AY866" t="s">
        <v>4402</v>
      </c>
      <c r="AZ866">
        <v>2021</v>
      </c>
      <c r="BA866">
        <v>10</v>
      </c>
      <c r="BB866">
        <v>2</v>
      </c>
      <c r="BC866" t="s">
        <v>69</v>
      </c>
      <c r="BD866" t="s">
        <v>69</v>
      </c>
      <c r="BE866" t="s">
        <v>69</v>
      </c>
      <c r="BF866" t="s">
        <v>69</v>
      </c>
      <c r="BG866">
        <v>193</v>
      </c>
      <c r="BH866">
        <v>207</v>
      </c>
      <c r="BI866" t="s">
        <v>69</v>
      </c>
      <c r="BJ866" t="s">
        <v>766</v>
      </c>
      <c r="BK866" t="str">
        <f>HYPERLINK("http://dx.doi.org/10.1108/SASBE-12-2019-0170","http://dx.doi.org/10.1108/SASBE-12-2019-0170")</f>
        <v>http://dx.doi.org/10.1108/SASBE-12-2019-0170</v>
      </c>
      <c r="BL866" t="s">
        <v>69</v>
      </c>
      <c r="BM866" t="s">
        <v>767</v>
      </c>
      <c r="BN866">
        <v>15</v>
      </c>
      <c r="BO866" t="s">
        <v>10126</v>
      </c>
      <c r="BP866" t="s">
        <v>8573</v>
      </c>
      <c r="BQ866" t="s">
        <v>8620</v>
      </c>
      <c r="BR866" t="s">
        <v>15364</v>
      </c>
      <c r="BS866" t="s">
        <v>768</v>
      </c>
      <c r="BT866" t="s">
        <v>69</v>
      </c>
      <c r="BU866" t="s">
        <v>69</v>
      </c>
      <c r="BV866" t="s">
        <v>69</v>
      </c>
      <c r="BW866" t="s">
        <v>69</v>
      </c>
      <c r="BX866" t="s">
        <v>8526</v>
      </c>
      <c r="BY866" t="str">
        <f>HYPERLINK("https%3A%2F%2Fwww.webofscience.com%2Fwos%2Fwoscc%2Ffull-record%2FWOS:000529551500001","View Full Record in Web of Science")</f>
        <v>View Full Record in Web of Science</v>
      </c>
    </row>
    <row r="867" spans="1:77" ht="12.5" x14ac:dyDescent="0.25">
      <c r="A867" t="s">
        <v>8495</v>
      </c>
      <c r="B867" s="7" t="s">
        <v>32933</v>
      </c>
      <c r="C867" s="7"/>
      <c r="D867" s="7"/>
      <c r="E867" s="7"/>
      <c r="F867" t="s">
        <v>67</v>
      </c>
      <c r="G867" t="s">
        <v>6797</v>
      </c>
      <c r="H867" t="s">
        <v>69</v>
      </c>
      <c r="I867" t="s">
        <v>69</v>
      </c>
      <c r="J867" t="s">
        <v>69</v>
      </c>
      <c r="K867" t="s">
        <v>6798</v>
      </c>
      <c r="L867" t="s">
        <v>69</v>
      </c>
      <c r="M867" t="s">
        <v>69</v>
      </c>
      <c r="N867" t="s">
        <v>6799</v>
      </c>
      <c r="O867" t="s">
        <v>6800</v>
      </c>
      <c r="P867" t="s">
        <v>69</v>
      </c>
      <c r="Q867" t="s">
        <v>69</v>
      </c>
      <c r="R867" t="s">
        <v>8505</v>
      </c>
      <c r="S867" t="s">
        <v>8506</v>
      </c>
      <c r="T867" t="s">
        <v>69</v>
      </c>
      <c r="U867" t="s">
        <v>69</v>
      </c>
      <c r="V867" t="s">
        <v>69</v>
      </c>
      <c r="W867" t="s">
        <v>69</v>
      </c>
      <c r="X867" t="s">
        <v>69</v>
      </c>
      <c r="Y867" t="s">
        <v>19407</v>
      </c>
      <c r="Z867" t="s">
        <v>19408</v>
      </c>
      <c r="AA867" t="s">
        <v>6801</v>
      </c>
      <c r="AB867" t="s">
        <v>19409</v>
      </c>
      <c r="AC867" t="s">
        <v>69</v>
      </c>
      <c r="AD867" t="s">
        <v>19410</v>
      </c>
      <c r="AE867" t="s">
        <v>19411</v>
      </c>
      <c r="AF867" t="s">
        <v>19412</v>
      </c>
      <c r="AG867" t="s">
        <v>19413</v>
      </c>
      <c r="AH867" t="s">
        <v>19414</v>
      </c>
      <c r="AI867" t="s">
        <v>19415</v>
      </c>
      <c r="AJ867" t="s">
        <v>19416</v>
      </c>
      <c r="AK867" t="s">
        <v>69</v>
      </c>
      <c r="AL867">
        <v>12</v>
      </c>
      <c r="AM867">
        <v>0</v>
      </c>
      <c r="AN867">
        <v>0</v>
      </c>
      <c r="AO867">
        <v>0</v>
      </c>
      <c r="AP867">
        <v>3</v>
      </c>
      <c r="AQ867" t="s">
        <v>8865</v>
      </c>
      <c r="AR867" t="s">
        <v>8612</v>
      </c>
      <c r="AS867" t="s">
        <v>8866</v>
      </c>
      <c r="AT867" t="s">
        <v>6802</v>
      </c>
      <c r="AU867" t="s">
        <v>6803</v>
      </c>
      <c r="AV867" t="s">
        <v>69</v>
      </c>
      <c r="AW867" t="s">
        <v>19417</v>
      </c>
      <c r="AX867" t="s">
        <v>19418</v>
      </c>
      <c r="AY867" t="s">
        <v>69</v>
      </c>
      <c r="AZ867">
        <v>2018</v>
      </c>
      <c r="BA867">
        <v>39</v>
      </c>
      <c r="BB867">
        <v>2</v>
      </c>
      <c r="BC867" t="s">
        <v>69</v>
      </c>
      <c r="BD867" t="s">
        <v>69</v>
      </c>
      <c r="BE867" t="s">
        <v>114</v>
      </c>
      <c r="BF867" t="s">
        <v>69</v>
      </c>
      <c r="BG867">
        <v>185</v>
      </c>
      <c r="BH867">
        <v>189</v>
      </c>
      <c r="BI867" t="s">
        <v>69</v>
      </c>
      <c r="BJ867" t="s">
        <v>6804</v>
      </c>
      <c r="BK867" t="str">
        <f>HYPERLINK("http://dx.doi.org/10.1080/08897077.2018.1449173","http://dx.doi.org/10.1080/08897077.2018.1449173")</f>
        <v>http://dx.doi.org/10.1080/08897077.2018.1449173</v>
      </c>
      <c r="BL867" t="s">
        <v>69</v>
      </c>
      <c r="BM867" t="s">
        <v>69</v>
      </c>
      <c r="BN867">
        <v>5</v>
      </c>
      <c r="BO867" t="s">
        <v>19419</v>
      </c>
      <c r="BP867" t="s">
        <v>8523</v>
      </c>
      <c r="BQ867" t="s">
        <v>19419</v>
      </c>
      <c r="BR867" t="s">
        <v>19420</v>
      </c>
      <c r="BS867" t="s">
        <v>6805</v>
      </c>
      <c r="BT867">
        <v>29558284</v>
      </c>
      <c r="BU867" t="s">
        <v>19421</v>
      </c>
      <c r="BV867" t="s">
        <v>69</v>
      </c>
      <c r="BW867" t="s">
        <v>69</v>
      </c>
      <c r="BX867" t="s">
        <v>8526</v>
      </c>
      <c r="BY867" t="str">
        <f>HYPERLINK("https%3A%2F%2Fwww.webofscience.com%2Fwos%2Fwoscc%2Ffull-record%2FWOS:000452287000011","View Full Record in Web of Science")</f>
        <v>View Full Record in Web of Science</v>
      </c>
    </row>
    <row r="868" spans="1:77" x14ac:dyDescent="0.3">
      <c r="A868" t="s">
        <v>8495</v>
      </c>
      <c r="B868" s="26" t="s">
        <v>32993</v>
      </c>
      <c r="F868" t="s">
        <v>67</v>
      </c>
      <c r="G868" t="s">
        <v>25982</v>
      </c>
      <c r="H868" t="s">
        <v>69</v>
      </c>
      <c r="I868" t="s">
        <v>69</v>
      </c>
      <c r="J868" t="s">
        <v>69</v>
      </c>
      <c r="K868" t="s">
        <v>25983</v>
      </c>
      <c r="L868" t="s">
        <v>69</v>
      </c>
      <c r="M868" t="s">
        <v>69</v>
      </c>
      <c r="N868" t="s">
        <v>25984</v>
      </c>
      <c r="O868" t="s">
        <v>25985</v>
      </c>
      <c r="P868" t="s">
        <v>69</v>
      </c>
      <c r="Q868" t="s">
        <v>69</v>
      </c>
      <c r="R868" t="s">
        <v>8505</v>
      </c>
      <c r="S868" t="s">
        <v>8506</v>
      </c>
      <c r="T868" t="s">
        <v>69</v>
      </c>
      <c r="U868" t="s">
        <v>69</v>
      </c>
      <c r="V868" t="s">
        <v>69</v>
      </c>
      <c r="W868" t="s">
        <v>69</v>
      </c>
      <c r="X868" t="s">
        <v>69</v>
      </c>
      <c r="Y868" t="s">
        <v>69</v>
      </c>
      <c r="Z868" t="s">
        <v>69</v>
      </c>
      <c r="AA868" t="s">
        <v>25986</v>
      </c>
      <c r="AB868" t="s">
        <v>25987</v>
      </c>
      <c r="AC868" t="s">
        <v>69</v>
      </c>
      <c r="AD868" t="s">
        <v>25988</v>
      </c>
      <c r="AE868" t="s">
        <v>25989</v>
      </c>
      <c r="AF868" t="s">
        <v>25990</v>
      </c>
      <c r="AG868" t="s">
        <v>25991</v>
      </c>
      <c r="AH868" t="s">
        <v>69</v>
      </c>
      <c r="AI868" t="s">
        <v>69</v>
      </c>
      <c r="AJ868" t="s">
        <v>69</v>
      </c>
      <c r="AK868" t="s">
        <v>69</v>
      </c>
      <c r="AL868">
        <v>19</v>
      </c>
      <c r="AM868">
        <v>9</v>
      </c>
      <c r="AN868">
        <v>9</v>
      </c>
      <c r="AO868">
        <v>0</v>
      </c>
      <c r="AP868">
        <v>9</v>
      </c>
      <c r="AQ868" t="s">
        <v>25992</v>
      </c>
      <c r="AR868" t="s">
        <v>25993</v>
      </c>
      <c r="AS868" t="s">
        <v>25994</v>
      </c>
      <c r="AT868" t="s">
        <v>25995</v>
      </c>
      <c r="AU868" t="s">
        <v>69</v>
      </c>
      <c r="AV868" t="s">
        <v>69</v>
      </c>
      <c r="AW868" t="s">
        <v>25996</v>
      </c>
      <c r="AX868" t="s">
        <v>25997</v>
      </c>
      <c r="AY868" t="s">
        <v>586</v>
      </c>
      <c r="AZ868">
        <v>2012</v>
      </c>
      <c r="BA868">
        <v>18</v>
      </c>
      <c r="BB868">
        <v>5</v>
      </c>
      <c r="BC868" t="s">
        <v>69</v>
      </c>
      <c r="BD868" t="s">
        <v>69</v>
      </c>
      <c r="BE868" t="s">
        <v>69</v>
      </c>
      <c r="BF868" t="s">
        <v>69</v>
      </c>
      <c r="BG868" t="s">
        <v>25998</v>
      </c>
      <c r="BH868" t="s">
        <v>25999</v>
      </c>
      <c r="BI868" t="s">
        <v>69</v>
      </c>
      <c r="BJ868" t="s">
        <v>69</v>
      </c>
      <c r="BK868" t="s">
        <v>69</v>
      </c>
      <c r="BL868" t="s">
        <v>69</v>
      </c>
      <c r="BM868" t="s">
        <v>69</v>
      </c>
      <c r="BN868">
        <v>6</v>
      </c>
      <c r="BO868" t="s">
        <v>26000</v>
      </c>
      <c r="BP868" t="s">
        <v>8523</v>
      </c>
      <c r="BQ868" t="s">
        <v>9187</v>
      </c>
      <c r="BR868" t="s">
        <v>26001</v>
      </c>
      <c r="BS868" t="s">
        <v>26002</v>
      </c>
      <c r="BT868">
        <v>22694114</v>
      </c>
      <c r="BU868" t="s">
        <v>69</v>
      </c>
      <c r="BV868" t="s">
        <v>69</v>
      </c>
      <c r="BW868" t="s">
        <v>69</v>
      </c>
      <c r="BX868" t="s">
        <v>8526</v>
      </c>
      <c r="BY868" t="str">
        <f>HYPERLINK("https%3A%2F%2Fwww.webofscience.com%2Fwos%2Fwoscc%2Ffull-record%2FWOS:000308443400010","View Full Record in Web of Science")</f>
        <v>View Full Record in Web of Science</v>
      </c>
    </row>
    <row r="869" spans="1:77" ht="12.5" x14ac:dyDescent="0.25">
      <c r="A869" t="s">
        <v>8495</v>
      </c>
      <c r="B869" s="22" t="s">
        <v>32931</v>
      </c>
      <c r="C869" s="7"/>
      <c r="D869" s="7"/>
      <c r="E869" s="7"/>
      <c r="F869" t="s">
        <v>67</v>
      </c>
      <c r="G869" t="s">
        <v>25982</v>
      </c>
      <c r="H869" t="s">
        <v>69</v>
      </c>
      <c r="I869" t="s">
        <v>69</v>
      </c>
      <c r="J869" t="s">
        <v>69</v>
      </c>
      <c r="K869" t="s">
        <v>25983</v>
      </c>
      <c r="L869" t="s">
        <v>69</v>
      </c>
      <c r="M869" t="s">
        <v>69</v>
      </c>
      <c r="N869" t="s">
        <v>25984</v>
      </c>
      <c r="O869" t="s">
        <v>26035</v>
      </c>
      <c r="P869" t="s">
        <v>69</v>
      </c>
      <c r="Q869" t="s">
        <v>69</v>
      </c>
      <c r="R869" t="s">
        <v>8505</v>
      </c>
      <c r="S869" t="s">
        <v>8506</v>
      </c>
      <c r="T869" t="s">
        <v>69</v>
      </c>
      <c r="U869" t="s">
        <v>69</v>
      </c>
      <c r="V869" t="s">
        <v>69</v>
      </c>
      <c r="W869" t="s">
        <v>69</v>
      </c>
      <c r="X869" t="s">
        <v>69</v>
      </c>
      <c r="Y869" t="s">
        <v>69</v>
      </c>
      <c r="Z869" t="s">
        <v>69</v>
      </c>
      <c r="AA869" t="s">
        <v>26036</v>
      </c>
      <c r="AB869" t="s">
        <v>26037</v>
      </c>
      <c r="AC869" t="s">
        <v>69</v>
      </c>
      <c r="AD869" t="s">
        <v>25988</v>
      </c>
      <c r="AE869" t="s">
        <v>25989</v>
      </c>
      <c r="AF869" t="s">
        <v>25990</v>
      </c>
      <c r="AG869" t="s">
        <v>25991</v>
      </c>
      <c r="AH869" t="s">
        <v>69</v>
      </c>
      <c r="AI869" t="s">
        <v>69</v>
      </c>
      <c r="AJ869" t="s">
        <v>69</v>
      </c>
      <c r="AK869" t="s">
        <v>69</v>
      </c>
      <c r="AL869">
        <v>18</v>
      </c>
      <c r="AM869">
        <v>14</v>
      </c>
      <c r="AN869">
        <v>14</v>
      </c>
      <c r="AO869">
        <v>0</v>
      </c>
      <c r="AP869">
        <v>1</v>
      </c>
      <c r="AQ869" t="s">
        <v>26038</v>
      </c>
      <c r="AR869" t="s">
        <v>26039</v>
      </c>
      <c r="AS869" t="s">
        <v>26040</v>
      </c>
      <c r="AT869" t="s">
        <v>26041</v>
      </c>
      <c r="AU869" t="s">
        <v>26042</v>
      </c>
      <c r="AV869" t="s">
        <v>69</v>
      </c>
      <c r="AW869" t="s">
        <v>26043</v>
      </c>
      <c r="AX869" t="s">
        <v>26044</v>
      </c>
      <c r="AY869" t="s">
        <v>636</v>
      </c>
      <c r="AZ869">
        <v>2012</v>
      </c>
      <c r="BA869">
        <v>8</v>
      </c>
      <c r="BB869">
        <v>3</v>
      </c>
      <c r="BC869" t="s">
        <v>69</v>
      </c>
      <c r="BD869" t="s">
        <v>627</v>
      </c>
      <c r="BE869" t="s">
        <v>69</v>
      </c>
      <c r="BF869" t="s">
        <v>69</v>
      </c>
      <c r="BG869" t="s">
        <v>69</v>
      </c>
      <c r="BH869" t="s">
        <v>69</v>
      </c>
      <c r="BI869" t="s">
        <v>69</v>
      </c>
      <c r="BJ869" t="s">
        <v>26045</v>
      </c>
      <c r="BK869" t="str">
        <f>HYPERLINK("http://dx.doi.org/10.1200/JOP.2012.000564","http://dx.doi.org/10.1200/JOP.2012.000564")</f>
        <v>http://dx.doi.org/10.1200/JOP.2012.000564</v>
      </c>
      <c r="BL869" t="s">
        <v>69</v>
      </c>
      <c r="BM869" t="s">
        <v>69</v>
      </c>
      <c r="BN869">
        <v>6</v>
      </c>
      <c r="BO869" t="s">
        <v>17844</v>
      </c>
      <c r="BP869" t="s">
        <v>8573</v>
      </c>
      <c r="BQ869" t="s">
        <v>17844</v>
      </c>
      <c r="BR869" t="s">
        <v>26046</v>
      </c>
      <c r="BS869" t="s">
        <v>26047</v>
      </c>
      <c r="BT869">
        <v>22942833</v>
      </c>
      <c r="BU869" t="s">
        <v>10423</v>
      </c>
      <c r="BV869" t="s">
        <v>69</v>
      </c>
      <c r="BW869" t="s">
        <v>69</v>
      </c>
      <c r="BX869" t="s">
        <v>8526</v>
      </c>
      <c r="BY869" t="str">
        <f>HYPERLINK("https%3A%2F%2Fwww.webofscience.com%2Fwos%2Fwoscc%2Ffull-record%2FWOS:000214541300007","View Full Record in Web of Science")</f>
        <v>View Full Record in Web of Science</v>
      </c>
    </row>
    <row r="870" spans="1:77" ht="12.5" x14ac:dyDescent="0.25">
      <c r="A870" t="s">
        <v>8495</v>
      </c>
      <c r="B870" s="7" t="s">
        <v>32933</v>
      </c>
      <c r="C870" s="7"/>
      <c r="D870" s="7"/>
      <c r="E870" s="7"/>
      <c r="F870" t="s">
        <v>67</v>
      </c>
      <c r="G870" t="s">
        <v>3489</v>
      </c>
      <c r="H870" t="s">
        <v>69</v>
      </c>
      <c r="I870" t="s">
        <v>69</v>
      </c>
      <c r="J870" t="s">
        <v>69</v>
      </c>
      <c r="K870" t="s">
        <v>3490</v>
      </c>
      <c r="L870" t="s">
        <v>69</v>
      </c>
      <c r="M870" t="s">
        <v>69</v>
      </c>
      <c r="N870" t="s">
        <v>3491</v>
      </c>
      <c r="O870" t="s">
        <v>3492</v>
      </c>
      <c r="P870" t="s">
        <v>69</v>
      </c>
      <c r="Q870" t="s">
        <v>69</v>
      </c>
      <c r="R870" t="s">
        <v>8505</v>
      </c>
      <c r="S870" t="s">
        <v>8506</v>
      </c>
      <c r="T870" t="s">
        <v>69</v>
      </c>
      <c r="U870" t="s">
        <v>69</v>
      </c>
      <c r="V870" t="s">
        <v>69</v>
      </c>
      <c r="W870" t="s">
        <v>69</v>
      </c>
      <c r="X870" t="s">
        <v>69</v>
      </c>
      <c r="Y870" t="s">
        <v>27247</v>
      </c>
      <c r="Z870" t="s">
        <v>27248</v>
      </c>
      <c r="AA870" t="s">
        <v>3493</v>
      </c>
      <c r="AB870" t="s">
        <v>27249</v>
      </c>
      <c r="AC870" t="s">
        <v>69</v>
      </c>
      <c r="AD870" t="s">
        <v>27250</v>
      </c>
      <c r="AE870" t="s">
        <v>27251</v>
      </c>
      <c r="AF870" t="s">
        <v>3494</v>
      </c>
      <c r="AG870" t="s">
        <v>3495</v>
      </c>
      <c r="AH870" t="s">
        <v>27252</v>
      </c>
      <c r="AI870" t="s">
        <v>27253</v>
      </c>
      <c r="AJ870" t="s">
        <v>27254</v>
      </c>
      <c r="AK870" t="s">
        <v>69</v>
      </c>
      <c r="AL870">
        <v>37</v>
      </c>
      <c r="AM870">
        <v>27</v>
      </c>
      <c r="AN870">
        <v>28</v>
      </c>
      <c r="AO870">
        <v>0</v>
      </c>
      <c r="AP870">
        <v>31</v>
      </c>
      <c r="AQ870" t="s">
        <v>8586</v>
      </c>
      <c r="AR870" t="s">
        <v>8587</v>
      </c>
      <c r="AS870" t="s">
        <v>8588</v>
      </c>
      <c r="AT870" t="s">
        <v>3496</v>
      </c>
      <c r="AU870" t="s">
        <v>3497</v>
      </c>
      <c r="AV870" t="s">
        <v>69</v>
      </c>
      <c r="AW870" t="s">
        <v>27255</v>
      </c>
      <c r="AX870" t="s">
        <v>27256</v>
      </c>
      <c r="AY870" t="s">
        <v>69</v>
      </c>
      <c r="AZ870">
        <v>2011</v>
      </c>
      <c r="BA870">
        <v>113</v>
      </c>
      <c r="BB870">
        <v>1</v>
      </c>
      <c r="BC870" t="s">
        <v>69</v>
      </c>
      <c r="BD870" t="s">
        <v>69</v>
      </c>
      <c r="BE870" t="s">
        <v>69</v>
      </c>
      <c r="BF870" t="s">
        <v>69</v>
      </c>
      <c r="BG870">
        <v>50</v>
      </c>
      <c r="BH870">
        <v>65</v>
      </c>
      <c r="BI870" t="s">
        <v>69</v>
      </c>
      <c r="BJ870" t="s">
        <v>3498</v>
      </c>
      <c r="BK870" t="str">
        <f>HYPERLINK("http://dx.doi.org/10.1108/00070701111097330","http://dx.doi.org/10.1108/00070701111097330")</f>
        <v>http://dx.doi.org/10.1108/00070701111097330</v>
      </c>
      <c r="BL870" t="s">
        <v>69</v>
      </c>
      <c r="BM870" t="s">
        <v>69</v>
      </c>
      <c r="BN870">
        <v>16</v>
      </c>
      <c r="BO870" t="s">
        <v>27257</v>
      </c>
      <c r="BP870" t="s">
        <v>8548</v>
      </c>
      <c r="BQ870" t="s">
        <v>27258</v>
      </c>
      <c r="BR870" t="s">
        <v>27259</v>
      </c>
      <c r="BS870" t="s">
        <v>3499</v>
      </c>
      <c r="BT870" t="s">
        <v>69</v>
      </c>
      <c r="BU870" t="s">
        <v>69</v>
      </c>
      <c r="BV870" t="s">
        <v>69</v>
      </c>
      <c r="BW870" t="s">
        <v>69</v>
      </c>
      <c r="BX870" t="s">
        <v>8526</v>
      </c>
      <c r="BY870" t="str">
        <f>HYPERLINK("https%3A%2F%2Fwww.webofscience.com%2Fwos%2Fwoscc%2Ffull-record%2FWOS:000288614900004","View Full Record in Web of Science")</f>
        <v>View Full Record in Web of Science</v>
      </c>
    </row>
    <row r="871" spans="1:77" ht="12.5" x14ac:dyDescent="0.25">
      <c r="A871" t="s">
        <v>8495</v>
      </c>
      <c r="B871" s="7" t="s">
        <v>32933</v>
      </c>
      <c r="C871" s="7"/>
      <c r="D871" s="7"/>
      <c r="E871" s="7"/>
      <c r="F871" t="s">
        <v>67</v>
      </c>
      <c r="G871" t="s">
        <v>4677</v>
      </c>
      <c r="H871" t="s">
        <v>69</v>
      </c>
      <c r="I871" t="s">
        <v>69</v>
      </c>
      <c r="J871" t="s">
        <v>69</v>
      </c>
      <c r="K871" t="s">
        <v>4677</v>
      </c>
      <c r="L871" t="s">
        <v>69</v>
      </c>
      <c r="M871" t="s">
        <v>69</v>
      </c>
      <c r="N871" t="s">
        <v>4678</v>
      </c>
      <c r="O871" t="s">
        <v>4679</v>
      </c>
      <c r="P871" t="s">
        <v>69</v>
      </c>
      <c r="Q871" t="s">
        <v>69</v>
      </c>
      <c r="R871" t="s">
        <v>8505</v>
      </c>
      <c r="S871" t="s">
        <v>8506</v>
      </c>
      <c r="T871" t="s">
        <v>69</v>
      </c>
      <c r="U871" t="s">
        <v>69</v>
      </c>
      <c r="V871" t="s">
        <v>69</v>
      </c>
      <c r="W871" t="s">
        <v>69</v>
      </c>
      <c r="X871" t="s">
        <v>69</v>
      </c>
      <c r="Y871" t="s">
        <v>32060</v>
      </c>
      <c r="Z871" t="s">
        <v>69</v>
      </c>
      <c r="AA871" t="s">
        <v>4680</v>
      </c>
      <c r="AB871" t="s">
        <v>32061</v>
      </c>
      <c r="AC871" t="s">
        <v>69</v>
      </c>
      <c r="AD871" t="s">
        <v>32062</v>
      </c>
      <c r="AE871" t="s">
        <v>69</v>
      </c>
      <c r="AF871" t="s">
        <v>69</v>
      </c>
      <c r="AG871" t="s">
        <v>69</v>
      </c>
      <c r="AH871" t="s">
        <v>69</v>
      </c>
      <c r="AI871" t="s">
        <v>69</v>
      </c>
      <c r="AJ871" t="s">
        <v>69</v>
      </c>
      <c r="AK871" t="s">
        <v>69</v>
      </c>
      <c r="AL871">
        <v>3</v>
      </c>
      <c r="AM871">
        <v>36</v>
      </c>
      <c r="AN871">
        <v>36</v>
      </c>
      <c r="AO871">
        <v>0</v>
      </c>
      <c r="AP871">
        <v>9</v>
      </c>
      <c r="AQ871" t="s">
        <v>31265</v>
      </c>
      <c r="AR871" t="s">
        <v>31266</v>
      </c>
      <c r="AS871" t="s">
        <v>31267</v>
      </c>
      <c r="AT871" t="s">
        <v>4681</v>
      </c>
      <c r="AU871" t="s">
        <v>69</v>
      </c>
      <c r="AV871" t="s">
        <v>69</v>
      </c>
      <c r="AW871" t="s">
        <v>31268</v>
      </c>
      <c r="AX871" t="s">
        <v>31269</v>
      </c>
      <c r="AY871" t="s">
        <v>255</v>
      </c>
      <c r="AZ871">
        <v>1998</v>
      </c>
      <c r="BA871">
        <v>23</v>
      </c>
      <c r="BB871">
        <v>3</v>
      </c>
      <c r="BC871" t="s">
        <v>69</v>
      </c>
      <c r="BD871" t="s">
        <v>69</v>
      </c>
      <c r="BE871" t="s">
        <v>69</v>
      </c>
      <c r="BF871" t="s">
        <v>69</v>
      </c>
      <c r="BG871">
        <v>134</v>
      </c>
      <c r="BH871">
        <v>145</v>
      </c>
      <c r="BI871" t="s">
        <v>69</v>
      </c>
      <c r="BJ871" t="s">
        <v>4682</v>
      </c>
      <c r="BK871" t="str">
        <f>HYPERLINK("http://dx.doi.org/10.1080/02508069808686760","http://dx.doi.org/10.1080/02508069808686760")</f>
        <v>http://dx.doi.org/10.1080/02508069808686760</v>
      </c>
      <c r="BL871" t="s">
        <v>69</v>
      </c>
      <c r="BM871" t="s">
        <v>69</v>
      </c>
      <c r="BN871">
        <v>12</v>
      </c>
      <c r="BO871" t="s">
        <v>9229</v>
      </c>
      <c r="BP871" t="s">
        <v>8523</v>
      </c>
      <c r="BQ871" t="s">
        <v>9230</v>
      </c>
      <c r="BR871" t="s">
        <v>32063</v>
      </c>
      <c r="BS871" t="s">
        <v>4683</v>
      </c>
      <c r="BT871" t="s">
        <v>69</v>
      </c>
      <c r="BU871" t="s">
        <v>69</v>
      </c>
      <c r="BV871" t="s">
        <v>69</v>
      </c>
      <c r="BW871" t="s">
        <v>69</v>
      </c>
      <c r="BX871" t="s">
        <v>8526</v>
      </c>
      <c r="BY871" t="str">
        <f>HYPERLINK("https%3A%2F%2Fwww.webofscience.com%2Fwos%2Fwoscc%2Ffull-record%2FWOS:000081523800004","View Full Record in Web of Science")</f>
        <v>View Full Record in Web of Science</v>
      </c>
    </row>
    <row r="872" spans="1:77" ht="12.5" x14ac:dyDescent="0.25">
      <c r="A872" t="s">
        <v>8495</v>
      </c>
      <c r="B872" s="22" t="s">
        <v>32931</v>
      </c>
      <c r="C872" s="7"/>
      <c r="D872" s="7"/>
      <c r="E872" s="7"/>
      <c r="F872" t="s">
        <v>67</v>
      </c>
      <c r="G872" t="s">
        <v>12562</v>
      </c>
      <c r="H872" t="s">
        <v>69</v>
      </c>
      <c r="I872" t="s">
        <v>69</v>
      </c>
      <c r="J872" t="s">
        <v>69</v>
      </c>
      <c r="K872" t="s">
        <v>12563</v>
      </c>
      <c r="L872" t="s">
        <v>69</v>
      </c>
      <c r="M872" t="s">
        <v>69</v>
      </c>
      <c r="N872" t="s">
        <v>27152</v>
      </c>
      <c r="O872" t="s">
        <v>27153</v>
      </c>
      <c r="P872" t="s">
        <v>69</v>
      </c>
      <c r="Q872" t="s">
        <v>69</v>
      </c>
      <c r="R872" t="s">
        <v>8505</v>
      </c>
      <c r="S872" t="s">
        <v>8506</v>
      </c>
      <c r="T872" t="s">
        <v>69</v>
      </c>
      <c r="U872" t="s">
        <v>69</v>
      </c>
      <c r="V872" t="s">
        <v>69</v>
      </c>
      <c r="W872" t="s">
        <v>69</v>
      </c>
      <c r="X872" t="s">
        <v>69</v>
      </c>
      <c r="Y872" t="s">
        <v>27154</v>
      </c>
      <c r="Z872" t="s">
        <v>27155</v>
      </c>
      <c r="AA872" t="s">
        <v>27156</v>
      </c>
      <c r="AB872" t="s">
        <v>27157</v>
      </c>
      <c r="AC872" t="s">
        <v>69</v>
      </c>
      <c r="AD872" t="s">
        <v>27158</v>
      </c>
      <c r="AE872" t="s">
        <v>25978</v>
      </c>
      <c r="AF872" t="s">
        <v>12571</v>
      </c>
      <c r="AG872" t="s">
        <v>12572</v>
      </c>
      <c r="AH872" t="s">
        <v>69</v>
      </c>
      <c r="AI872" t="s">
        <v>69</v>
      </c>
      <c r="AJ872" t="s">
        <v>69</v>
      </c>
      <c r="AK872" t="s">
        <v>69</v>
      </c>
      <c r="AL872">
        <v>79</v>
      </c>
      <c r="AM872">
        <v>123</v>
      </c>
      <c r="AN872">
        <v>125</v>
      </c>
      <c r="AO872">
        <v>0</v>
      </c>
      <c r="AP872">
        <v>46</v>
      </c>
      <c r="AQ872" t="s">
        <v>9554</v>
      </c>
      <c r="AR872" t="s">
        <v>9555</v>
      </c>
      <c r="AS872" t="s">
        <v>9556</v>
      </c>
      <c r="AT872" t="s">
        <v>27159</v>
      </c>
      <c r="AU872" t="s">
        <v>27160</v>
      </c>
      <c r="AV872" t="s">
        <v>69</v>
      </c>
      <c r="AW872" t="s">
        <v>27161</v>
      </c>
      <c r="AX872" t="s">
        <v>27162</v>
      </c>
      <c r="AY872" t="s">
        <v>191</v>
      </c>
      <c r="AZ872">
        <v>2011</v>
      </c>
      <c r="BA872">
        <v>35</v>
      </c>
      <c r="BB872">
        <v>1</v>
      </c>
      <c r="BC872" t="s">
        <v>69</v>
      </c>
      <c r="BD872" t="s">
        <v>69</v>
      </c>
      <c r="BE872" t="s">
        <v>69</v>
      </c>
      <c r="BF872" t="s">
        <v>69</v>
      </c>
      <c r="BG872">
        <v>3</v>
      </c>
      <c r="BH872">
        <v>23</v>
      </c>
      <c r="BI872" t="s">
        <v>69</v>
      </c>
      <c r="BJ872" t="s">
        <v>27163</v>
      </c>
      <c r="BK872" t="str">
        <f>HYPERLINK("http://dx.doi.org/10.1177/1096348010370857","http://dx.doi.org/10.1177/1096348010370857")</f>
        <v>http://dx.doi.org/10.1177/1096348010370857</v>
      </c>
      <c r="BL872" t="s">
        <v>69</v>
      </c>
      <c r="BM872" t="s">
        <v>69</v>
      </c>
      <c r="BN872">
        <v>21</v>
      </c>
      <c r="BO872" t="s">
        <v>10278</v>
      </c>
      <c r="BP872" t="s">
        <v>8661</v>
      </c>
      <c r="BQ872" t="s">
        <v>10279</v>
      </c>
      <c r="BR872" t="s">
        <v>27164</v>
      </c>
      <c r="BS872" t="s">
        <v>27165</v>
      </c>
      <c r="BT872" t="s">
        <v>69</v>
      </c>
      <c r="BU872" t="s">
        <v>69</v>
      </c>
      <c r="BV872" t="s">
        <v>69</v>
      </c>
      <c r="BW872" t="s">
        <v>69</v>
      </c>
      <c r="BX872" t="s">
        <v>8526</v>
      </c>
      <c r="BY872" t="str">
        <f>HYPERLINK("https%3A%2F%2Fwww.webofscience.com%2Fwos%2Fwoscc%2Ffull-record%2FWOS:000286205300001","View Full Record in Web of Science")</f>
        <v>View Full Record in Web of Science</v>
      </c>
    </row>
    <row r="873" spans="1:77" ht="12.5" x14ac:dyDescent="0.25">
      <c r="A873" t="s">
        <v>8495</v>
      </c>
      <c r="B873" s="7" t="s">
        <v>32933</v>
      </c>
      <c r="C873" s="7"/>
      <c r="D873" s="7"/>
      <c r="E873" s="7"/>
      <c r="F873" t="s">
        <v>67</v>
      </c>
      <c r="G873" t="s">
        <v>1141</v>
      </c>
      <c r="H873" t="s">
        <v>69</v>
      </c>
      <c r="I873" t="s">
        <v>69</v>
      </c>
      <c r="J873" t="s">
        <v>69</v>
      </c>
      <c r="K873" t="s">
        <v>1142</v>
      </c>
      <c r="L873" t="s">
        <v>69</v>
      </c>
      <c r="M873" t="s">
        <v>69</v>
      </c>
      <c r="N873" t="s">
        <v>1143</v>
      </c>
      <c r="O873" t="s">
        <v>1144</v>
      </c>
      <c r="P873" t="s">
        <v>69</v>
      </c>
      <c r="Q873" t="s">
        <v>69</v>
      </c>
      <c r="R873" t="s">
        <v>8505</v>
      </c>
      <c r="S873" t="s">
        <v>8506</v>
      </c>
      <c r="T873" t="s">
        <v>69</v>
      </c>
      <c r="U873" t="s">
        <v>69</v>
      </c>
      <c r="V873" t="s">
        <v>69</v>
      </c>
      <c r="W873" t="s">
        <v>69</v>
      </c>
      <c r="X873" t="s">
        <v>69</v>
      </c>
      <c r="Y873" t="s">
        <v>69</v>
      </c>
      <c r="Z873" t="s">
        <v>69</v>
      </c>
      <c r="AA873" t="s">
        <v>1145</v>
      </c>
      <c r="AB873" t="s">
        <v>20042</v>
      </c>
      <c r="AC873" t="s">
        <v>69</v>
      </c>
      <c r="AD873" t="s">
        <v>20043</v>
      </c>
      <c r="AE873" t="s">
        <v>69</v>
      </c>
      <c r="AF873" t="s">
        <v>69</v>
      </c>
      <c r="AG873" t="s">
        <v>69</v>
      </c>
      <c r="AH873" t="s">
        <v>69</v>
      </c>
      <c r="AI873" t="s">
        <v>69</v>
      </c>
      <c r="AJ873" t="s">
        <v>69</v>
      </c>
      <c r="AK873" t="s">
        <v>69</v>
      </c>
      <c r="AL873">
        <v>3</v>
      </c>
      <c r="AM873">
        <v>1</v>
      </c>
      <c r="AN873">
        <v>1</v>
      </c>
      <c r="AO873">
        <v>0</v>
      </c>
      <c r="AP873">
        <v>1</v>
      </c>
      <c r="AQ873" t="s">
        <v>20044</v>
      </c>
      <c r="AR873" t="s">
        <v>20045</v>
      </c>
      <c r="AS873" t="s">
        <v>20046</v>
      </c>
      <c r="AT873" t="s">
        <v>1146</v>
      </c>
      <c r="AU873" t="s">
        <v>69</v>
      </c>
      <c r="AV873" t="s">
        <v>69</v>
      </c>
      <c r="AW873" t="s">
        <v>20047</v>
      </c>
      <c r="AX873" t="s">
        <v>20048</v>
      </c>
      <c r="AY873" t="s">
        <v>255</v>
      </c>
      <c r="AZ873">
        <v>2017</v>
      </c>
      <c r="BA873">
        <v>31</v>
      </c>
      <c r="BB873">
        <v>9</v>
      </c>
      <c r="BC873" t="s">
        <v>69</v>
      </c>
      <c r="BD873" t="s">
        <v>69</v>
      </c>
      <c r="BE873" t="s">
        <v>69</v>
      </c>
      <c r="BF873" t="s">
        <v>69</v>
      </c>
      <c r="BG873">
        <v>22</v>
      </c>
      <c r="BH873">
        <v>25</v>
      </c>
      <c r="BI873" t="s">
        <v>69</v>
      </c>
      <c r="BJ873" t="s">
        <v>69</v>
      </c>
      <c r="BK873" t="s">
        <v>69</v>
      </c>
      <c r="BL873" t="s">
        <v>69</v>
      </c>
      <c r="BM873" t="s">
        <v>69</v>
      </c>
      <c r="BN873">
        <v>4</v>
      </c>
      <c r="BO873" t="s">
        <v>15615</v>
      </c>
      <c r="BP873" t="s">
        <v>8573</v>
      </c>
      <c r="BQ873" t="s">
        <v>15615</v>
      </c>
      <c r="BR873" t="s">
        <v>20049</v>
      </c>
      <c r="BS873" t="s">
        <v>1147</v>
      </c>
      <c r="BT873" t="s">
        <v>69</v>
      </c>
      <c r="BU873" t="s">
        <v>69</v>
      </c>
      <c r="BV873" t="s">
        <v>69</v>
      </c>
      <c r="BW873" t="s">
        <v>69</v>
      </c>
      <c r="BX873" t="s">
        <v>8526</v>
      </c>
      <c r="BY873" t="str">
        <f>HYPERLINK("https%3A%2F%2Fwww.webofscience.com%2Fwos%2Fwoscc%2Ffull-record%2FWOS:000416483400006","View Full Record in Web of Science")</f>
        <v>View Full Record in Web of Science</v>
      </c>
    </row>
    <row r="874" spans="1:77" ht="12.5" x14ac:dyDescent="0.25">
      <c r="A874" t="s">
        <v>8495</v>
      </c>
      <c r="B874" s="7" t="s">
        <v>32933</v>
      </c>
      <c r="C874" s="7"/>
      <c r="D874" s="7"/>
      <c r="E874" s="7"/>
      <c r="F874" t="s">
        <v>67</v>
      </c>
      <c r="G874" t="s">
        <v>4070</v>
      </c>
      <c r="H874" t="s">
        <v>69</v>
      </c>
      <c r="I874" t="s">
        <v>69</v>
      </c>
      <c r="J874" t="s">
        <v>69</v>
      </c>
      <c r="K874" t="s">
        <v>4070</v>
      </c>
      <c r="L874" t="s">
        <v>69</v>
      </c>
      <c r="M874" t="s">
        <v>69</v>
      </c>
      <c r="N874" t="s">
        <v>4071</v>
      </c>
      <c r="O874" t="s">
        <v>4072</v>
      </c>
      <c r="P874" t="s">
        <v>69</v>
      </c>
      <c r="Q874" t="s">
        <v>69</v>
      </c>
      <c r="R874" t="s">
        <v>8505</v>
      </c>
      <c r="S874" t="s">
        <v>8506</v>
      </c>
      <c r="T874" t="s">
        <v>69</v>
      </c>
      <c r="U874" t="s">
        <v>69</v>
      </c>
      <c r="V874" t="s">
        <v>69</v>
      </c>
      <c r="W874" t="s">
        <v>69</v>
      </c>
      <c r="X874" t="s">
        <v>69</v>
      </c>
      <c r="Y874" t="s">
        <v>69</v>
      </c>
      <c r="Z874" t="s">
        <v>31594</v>
      </c>
      <c r="AA874" t="s">
        <v>4073</v>
      </c>
      <c r="AB874" t="s">
        <v>31595</v>
      </c>
      <c r="AC874" t="s">
        <v>69</v>
      </c>
      <c r="AD874" t="s">
        <v>31596</v>
      </c>
      <c r="AE874" t="s">
        <v>69</v>
      </c>
      <c r="AF874" t="s">
        <v>69</v>
      </c>
      <c r="AG874" t="s">
        <v>69</v>
      </c>
      <c r="AH874" t="s">
        <v>69</v>
      </c>
      <c r="AI874" t="s">
        <v>69</v>
      </c>
      <c r="AJ874" t="s">
        <v>69</v>
      </c>
      <c r="AK874" t="s">
        <v>69</v>
      </c>
      <c r="AL874">
        <v>34</v>
      </c>
      <c r="AM874">
        <v>26</v>
      </c>
      <c r="AN874">
        <v>26</v>
      </c>
      <c r="AO874">
        <v>0</v>
      </c>
      <c r="AP874">
        <v>6</v>
      </c>
      <c r="AQ874" t="s">
        <v>31597</v>
      </c>
      <c r="AR874" t="s">
        <v>31598</v>
      </c>
      <c r="AS874" t="s">
        <v>31599</v>
      </c>
      <c r="AT874" t="s">
        <v>4074</v>
      </c>
      <c r="AU874" t="s">
        <v>69</v>
      </c>
      <c r="AV874" t="s">
        <v>69</v>
      </c>
      <c r="AW874" t="s">
        <v>31600</v>
      </c>
      <c r="AX874" t="s">
        <v>31601</v>
      </c>
      <c r="AY874" t="s">
        <v>1375</v>
      </c>
      <c r="AZ874">
        <v>2001</v>
      </c>
      <c r="BA874">
        <v>22</v>
      </c>
      <c r="BB874">
        <v>3</v>
      </c>
      <c r="BC874" t="s">
        <v>69</v>
      </c>
      <c r="BD874" t="s">
        <v>69</v>
      </c>
      <c r="BE874" t="s">
        <v>69</v>
      </c>
      <c r="BF874" t="s">
        <v>69</v>
      </c>
      <c r="BG874">
        <v>138</v>
      </c>
      <c r="BH874">
        <v>147</v>
      </c>
      <c r="BI874" t="s">
        <v>69</v>
      </c>
      <c r="BJ874" t="s">
        <v>4075</v>
      </c>
      <c r="BK874" t="str">
        <f>HYPERLINK("http://dx.doi.org/10.1177/074193250102200302","http://dx.doi.org/10.1177/074193250102200302")</f>
        <v>http://dx.doi.org/10.1177/074193250102200302</v>
      </c>
      <c r="BL874" t="s">
        <v>69</v>
      </c>
      <c r="BM874" t="s">
        <v>69</v>
      </c>
      <c r="BN874">
        <v>10</v>
      </c>
      <c r="BO874" t="s">
        <v>13837</v>
      </c>
      <c r="BP874" t="s">
        <v>8661</v>
      </c>
      <c r="BQ874" t="s">
        <v>9290</v>
      </c>
      <c r="BR874" t="s">
        <v>31602</v>
      </c>
      <c r="BS874" t="s">
        <v>4076</v>
      </c>
      <c r="BT874" t="s">
        <v>69</v>
      </c>
      <c r="BU874" t="s">
        <v>69</v>
      </c>
      <c r="BV874" t="s">
        <v>69</v>
      </c>
      <c r="BW874" t="s">
        <v>69</v>
      </c>
      <c r="BX874" t="s">
        <v>8526</v>
      </c>
      <c r="BY874" t="str">
        <f>HYPERLINK("https%3A%2F%2Fwww.webofscience.com%2Fwos%2Fwoscc%2Ffull-record%2FWOS:000168870000002","View Full Record in Web of Science")</f>
        <v>View Full Record in Web of Science</v>
      </c>
    </row>
    <row r="875" spans="1:77" ht="12.5" x14ac:dyDescent="0.25">
      <c r="A875" t="s">
        <v>8495</v>
      </c>
      <c r="B875" s="7" t="s">
        <v>32933</v>
      </c>
      <c r="C875" s="7"/>
      <c r="D875" s="7"/>
      <c r="E875" s="7"/>
      <c r="F875" t="s">
        <v>67</v>
      </c>
      <c r="G875" t="s">
        <v>2212</v>
      </c>
      <c r="H875" t="s">
        <v>69</v>
      </c>
      <c r="I875" t="s">
        <v>69</v>
      </c>
      <c r="J875" t="s">
        <v>69</v>
      </c>
      <c r="K875" t="s">
        <v>2213</v>
      </c>
      <c r="L875" t="s">
        <v>69</v>
      </c>
      <c r="M875" t="s">
        <v>69</v>
      </c>
      <c r="N875" t="s">
        <v>2214</v>
      </c>
      <c r="O875" t="s">
        <v>332</v>
      </c>
      <c r="P875" t="s">
        <v>69</v>
      </c>
      <c r="Q875" t="s">
        <v>69</v>
      </c>
      <c r="R875" t="s">
        <v>8505</v>
      </c>
      <c r="S875" t="s">
        <v>8506</v>
      </c>
      <c r="T875" t="s">
        <v>69</v>
      </c>
      <c r="U875" t="s">
        <v>69</v>
      </c>
      <c r="V875" t="s">
        <v>69</v>
      </c>
      <c r="W875" t="s">
        <v>69</v>
      </c>
      <c r="X875" t="s">
        <v>69</v>
      </c>
      <c r="Y875" t="s">
        <v>17081</v>
      </c>
      <c r="Z875" t="s">
        <v>17082</v>
      </c>
      <c r="AA875" t="s">
        <v>2215</v>
      </c>
      <c r="AB875" t="s">
        <v>17083</v>
      </c>
      <c r="AC875" t="s">
        <v>69</v>
      </c>
      <c r="AD875" t="s">
        <v>17084</v>
      </c>
      <c r="AE875" t="s">
        <v>17085</v>
      </c>
      <c r="AF875" t="s">
        <v>69</v>
      </c>
      <c r="AG875" t="s">
        <v>69</v>
      </c>
      <c r="AH875" t="s">
        <v>69</v>
      </c>
      <c r="AI875" t="s">
        <v>69</v>
      </c>
      <c r="AJ875" t="s">
        <v>69</v>
      </c>
      <c r="AK875" t="s">
        <v>69</v>
      </c>
      <c r="AL875">
        <v>68</v>
      </c>
      <c r="AM875">
        <v>8</v>
      </c>
      <c r="AN875">
        <v>8</v>
      </c>
      <c r="AO875">
        <v>6</v>
      </c>
      <c r="AP875">
        <v>17</v>
      </c>
      <c r="AQ875" t="s">
        <v>8586</v>
      </c>
      <c r="AR875" t="s">
        <v>8587</v>
      </c>
      <c r="AS875" t="s">
        <v>8588</v>
      </c>
      <c r="AT875" t="s">
        <v>334</v>
      </c>
      <c r="AU875" t="s">
        <v>335</v>
      </c>
      <c r="AV875" t="s">
        <v>69</v>
      </c>
      <c r="AW875" t="s">
        <v>332</v>
      </c>
      <c r="AX875" t="s">
        <v>16285</v>
      </c>
      <c r="AY875" t="s">
        <v>2216</v>
      </c>
      <c r="AZ875">
        <v>2019</v>
      </c>
      <c r="BA875">
        <v>37</v>
      </c>
      <c r="BB875" t="s">
        <v>2217</v>
      </c>
      <c r="BC875" t="s">
        <v>69</v>
      </c>
      <c r="BD875" t="s">
        <v>69</v>
      </c>
      <c r="BE875" t="s">
        <v>114</v>
      </c>
      <c r="BF875" t="s">
        <v>69</v>
      </c>
      <c r="BG875">
        <v>550</v>
      </c>
      <c r="BH875">
        <v>570</v>
      </c>
      <c r="BI875" t="s">
        <v>69</v>
      </c>
      <c r="BJ875" t="s">
        <v>2218</v>
      </c>
      <c r="BK875" t="str">
        <f>HYPERLINK("http://dx.doi.org/10.1108/F-01-2018-0013","http://dx.doi.org/10.1108/F-01-2018-0013")</f>
        <v>http://dx.doi.org/10.1108/F-01-2018-0013</v>
      </c>
      <c r="BL875" t="s">
        <v>69</v>
      </c>
      <c r="BM875" t="s">
        <v>69</v>
      </c>
      <c r="BN875">
        <v>21</v>
      </c>
      <c r="BO875" t="s">
        <v>9410</v>
      </c>
      <c r="BP875" t="s">
        <v>8573</v>
      </c>
      <c r="BQ875" t="s">
        <v>8594</v>
      </c>
      <c r="BR875" t="s">
        <v>17086</v>
      </c>
      <c r="BS875" t="s">
        <v>2219</v>
      </c>
      <c r="BT875" t="s">
        <v>69</v>
      </c>
      <c r="BU875" t="s">
        <v>69</v>
      </c>
      <c r="BV875" t="s">
        <v>69</v>
      </c>
      <c r="BW875" t="s">
        <v>69</v>
      </c>
      <c r="BX875" t="s">
        <v>8526</v>
      </c>
      <c r="BY875" t="str">
        <f>HYPERLINK("https%3A%2F%2Fwww.webofscience.com%2Fwos%2Fwoscc%2Ffull-record%2FWOS:000479217200003","View Full Record in Web of Science")</f>
        <v>View Full Record in Web of Science</v>
      </c>
    </row>
    <row r="876" spans="1:77" x14ac:dyDescent="0.3">
      <c r="A876" t="s">
        <v>8495</v>
      </c>
      <c r="B876" s="10" t="s">
        <v>32997</v>
      </c>
      <c r="F876" t="s">
        <v>67</v>
      </c>
      <c r="G876" t="s">
        <v>6168</v>
      </c>
      <c r="H876" t="s">
        <v>69</v>
      </c>
      <c r="I876" t="s">
        <v>69</v>
      </c>
      <c r="J876" t="s">
        <v>69</v>
      </c>
      <c r="K876" s="2" t="s">
        <v>6169</v>
      </c>
      <c r="L876" t="s">
        <v>69</v>
      </c>
      <c r="M876" t="s">
        <v>69</v>
      </c>
      <c r="N876" s="2" t="s">
        <v>6170</v>
      </c>
      <c r="O876" t="s">
        <v>6171</v>
      </c>
      <c r="P876" t="s">
        <v>69</v>
      </c>
      <c r="Q876" t="s">
        <v>69</v>
      </c>
      <c r="R876" t="s">
        <v>8505</v>
      </c>
      <c r="S876" t="s">
        <v>8506</v>
      </c>
      <c r="T876" t="s">
        <v>69</v>
      </c>
      <c r="U876" t="s">
        <v>69</v>
      </c>
      <c r="V876" t="s">
        <v>69</v>
      </c>
      <c r="W876" t="s">
        <v>69</v>
      </c>
      <c r="X876" t="s">
        <v>69</v>
      </c>
      <c r="Y876" t="s">
        <v>27871</v>
      </c>
      <c r="Z876" t="s">
        <v>10653</v>
      </c>
      <c r="AA876" t="s">
        <v>6172</v>
      </c>
      <c r="AB876" t="s">
        <v>27872</v>
      </c>
      <c r="AC876" t="s">
        <v>69</v>
      </c>
      <c r="AD876" t="s">
        <v>27873</v>
      </c>
      <c r="AE876" t="s">
        <v>27874</v>
      </c>
      <c r="AF876" t="s">
        <v>6173</v>
      </c>
      <c r="AG876" t="s">
        <v>27875</v>
      </c>
      <c r="AH876" t="s">
        <v>27876</v>
      </c>
      <c r="AI876" t="s">
        <v>27877</v>
      </c>
      <c r="AJ876" t="s">
        <v>27878</v>
      </c>
      <c r="AK876" t="s">
        <v>69</v>
      </c>
      <c r="AL876">
        <v>40</v>
      </c>
      <c r="AM876">
        <v>18</v>
      </c>
      <c r="AN876">
        <v>21</v>
      </c>
      <c r="AO876">
        <v>0</v>
      </c>
      <c r="AP876">
        <v>27</v>
      </c>
      <c r="AQ876" t="s">
        <v>9978</v>
      </c>
      <c r="AR876" t="s">
        <v>8693</v>
      </c>
      <c r="AS876" t="s">
        <v>17938</v>
      </c>
      <c r="AT876" t="s">
        <v>6174</v>
      </c>
      <c r="AU876" t="s">
        <v>6175</v>
      </c>
      <c r="AV876" t="s">
        <v>69</v>
      </c>
      <c r="AW876" t="s">
        <v>27879</v>
      </c>
      <c r="AX876" t="s">
        <v>27880</v>
      </c>
      <c r="AY876" t="s">
        <v>94</v>
      </c>
      <c r="AZ876">
        <v>2010</v>
      </c>
      <c r="BA876">
        <v>37</v>
      </c>
      <c r="BB876">
        <v>1</v>
      </c>
      <c r="BC876" t="s">
        <v>69</v>
      </c>
      <c r="BD876" t="s">
        <v>69</v>
      </c>
      <c r="BE876" t="s">
        <v>69</v>
      </c>
      <c r="BF876" t="s">
        <v>69</v>
      </c>
      <c r="BG876">
        <v>64</v>
      </c>
      <c r="BH876">
        <v>72</v>
      </c>
      <c r="BI876" t="s">
        <v>69</v>
      </c>
      <c r="BJ876" t="s">
        <v>6176</v>
      </c>
      <c r="BK876" t="str">
        <f>HYPERLINK("http://dx.doi.org/10.1017/S037689291000024X","http://dx.doi.org/10.1017/S037689291000024X")</f>
        <v>http://dx.doi.org/10.1017/S037689291000024X</v>
      </c>
      <c r="BL876" t="s">
        <v>69</v>
      </c>
      <c r="BM876" t="s">
        <v>69</v>
      </c>
      <c r="BN876">
        <v>9</v>
      </c>
      <c r="BO876" t="s">
        <v>24534</v>
      </c>
      <c r="BP876" t="s">
        <v>8523</v>
      </c>
      <c r="BQ876" t="s">
        <v>15452</v>
      </c>
      <c r="BR876" t="s">
        <v>27881</v>
      </c>
      <c r="BS876" t="s">
        <v>6177</v>
      </c>
      <c r="BT876" t="s">
        <v>69</v>
      </c>
      <c r="BU876" t="s">
        <v>69</v>
      </c>
      <c r="BV876" t="s">
        <v>69</v>
      </c>
      <c r="BW876" t="s">
        <v>69</v>
      </c>
      <c r="BX876" t="s">
        <v>8526</v>
      </c>
      <c r="BY876" t="str">
        <f>HYPERLINK("https%3A%2F%2Fwww.webofscience.com%2Fwos%2Fwoscc%2Ffull-record%2FWOS:000280427600008","View Full Record in Web of Science")</f>
        <v>View Full Record in Web of Science</v>
      </c>
    </row>
    <row r="877" spans="1:77" ht="12.5" x14ac:dyDescent="0.25">
      <c r="A877" t="s">
        <v>8495</v>
      </c>
      <c r="B877" s="7" t="s">
        <v>32933</v>
      </c>
      <c r="C877" s="7"/>
      <c r="D877" s="7"/>
      <c r="E877" s="7"/>
      <c r="F877" t="s">
        <v>67</v>
      </c>
      <c r="G877" t="s">
        <v>7026</v>
      </c>
      <c r="H877" t="s">
        <v>69</v>
      </c>
      <c r="I877" t="s">
        <v>69</v>
      </c>
      <c r="J877" t="s">
        <v>69</v>
      </c>
      <c r="K877" t="s">
        <v>7027</v>
      </c>
      <c r="L877" t="s">
        <v>69</v>
      </c>
      <c r="M877" t="s">
        <v>69</v>
      </c>
      <c r="N877" t="s">
        <v>7028</v>
      </c>
      <c r="O877" t="s">
        <v>7029</v>
      </c>
      <c r="P877" t="s">
        <v>69</v>
      </c>
      <c r="Q877" t="s">
        <v>69</v>
      </c>
      <c r="R877" t="s">
        <v>8505</v>
      </c>
      <c r="S877" t="s">
        <v>8506</v>
      </c>
      <c r="T877" t="s">
        <v>69</v>
      </c>
      <c r="U877" t="s">
        <v>69</v>
      </c>
      <c r="V877" t="s">
        <v>69</v>
      </c>
      <c r="W877" t="s">
        <v>69</v>
      </c>
      <c r="X877" t="s">
        <v>69</v>
      </c>
      <c r="Y877" t="s">
        <v>16905</v>
      </c>
      <c r="Z877" t="s">
        <v>69</v>
      </c>
      <c r="AA877" t="s">
        <v>7030</v>
      </c>
      <c r="AB877" t="s">
        <v>16906</v>
      </c>
      <c r="AC877" t="s">
        <v>69</v>
      </c>
      <c r="AD877" t="s">
        <v>16907</v>
      </c>
      <c r="AE877" t="s">
        <v>16908</v>
      </c>
      <c r="AF877" t="s">
        <v>69</v>
      </c>
      <c r="AG877" t="s">
        <v>16909</v>
      </c>
      <c r="AH877" t="s">
        <v>16910</v>
      </c>
      <c r="AI877" t="s">
        <v>16911</v>
      </c>
      <c r="AJ877" t="s">
        <v>16912</v>
      </c>
      <c r="AK877" t="s">
        <v>69</v>
      </c>
      <c r="AL877">
        <v>21</v>
      </c>
      <c r="AM877">
        <v>4</v>
      </c>
      <c r="AN877">
        <v>4</v>
      </c>
      <c r="AO877">
        <v>1</v>
      </c>
      <c r="AP877">
        <v>10</v>
      </c>
      <c r="AQ877" t="s">
        <v>8992</v>
      </c>
      <c r="AR877" t="s">
        <v>8993</v>
      </c>
      <c r="AS877" t="s">
        <v>8994</v>
      </c>
      <c r="AT877" t="s">
        <v>69</v>
      </c>
      <c r="AU877" t="s">
        <v>7031</v>
      </c>
      <c r="AV877" t="s">
        <v>69</v>
      </c>
      <c r="AW877" t="s">
        <v>16913</v>
      </c>
      <c r="AX877" t="s">
        <v>16914</v>
      </c>
      <c r="AY877" t="s">
        <v>7032</v>
      </c>
      <c r="AZ877">
        <v>2019</v>
      </c>
      <c r="BA877">
        <v>2</v>
      </c>
      <c r="BB877" t="s">
        <v>69</v>
      </c>
      <c r="BC877" t="s">
        <v>69</v>
      </c>
      <c r="BD877" t="s">
        <v>69</v>
      </c>
      <c r="BE877" t="s">
        <v>69</v>
      </c>
      <c r="BF877" t="s">
        <v>69</v>
      </c>
      <c r="BG877" t="s">
        <v>69</v>
      </c>
      <c r="BH877" t="s">
        <v>69</v>
      </c>
      <c r="BI877">
        <v>46</v>
      </c>
      <c r="BJ877" t="s">
        <v>7033</v>
      </c>
      <c r="BK877" t="str">
        <f>HYPERLINK("http://dx.doi.org/10.3389/ffgc.2019.00046","http://dx.doi.org/10.3389/ffgc.2019.00046")</f>
        <v>http://dx.doi.org/10.3389/ffgc.2019.00046</v>
      </c>
      <c r="BL877" t="s">
        <v>69</v>
      </c>
      <c r="BM877" t="s">
        <v>69</v>
      </c>
      <c r="BN877">
        <v>7</v>
      </c>
      <c r="BO877" t="s">
        <v>16915</v>
      </c>
      <c r="BP877" t="s">
        <v>8548</v>
      </c>
      <c r="BQ877" t="s">
        <v>16916</v>
      </c>
      <c r="BR877" t="s">
        <v>16917</v>
      </c>
      <c r="BS877" t="s">
        <v>7034</v>
      </c>
      <c r="BT877" t="s">
        <v>69</v>
      </c>
      <c r="BU877" t="s">
        <v>8931</v>
      </c>
      <c r="BV877" t="s">
        <v>69</v>
      </c>
      <c r="BW877" t="s">
        <v>69</v>
      </c>
      <c r="BX877" t="s">
        <v>8526</v>
      </c>
      <c r="BY877" t="str">
        <f>HYPERLINK("https%3A%2F%2Fwww.webofscience.com%2Fwos%2Fwoscc%2Ffull-record%2FWOS:000516824800001","View Full Record in Web of Science")</f>
        <v>View Full Record in Web of Science</v>
      </c>
    </row>
    <row r="878" spans="1:77" ht="12.5" x14ac:dyDescent="0.25">
      <c r="A878" t="s">
        <v>8495</v>
      </c>
      <c r="B878" s="22" t="s">
        <v>32931</v>
      </c>
      <c r="C878" s="7"/>
      <c r="D878" s="7"/>
      <c r="E878" s="7"/>
      <c r="F878" t="s">
        <v>67</v>
      </c>
      <c r="G878" t="s">
        <v>22252</v>
      </c>
      <c r="H878" t="s">
        <v>69</v>
      </c>
      <c r="I878" t="s">
        <v>69</v>
      </c>
      <c r="J878" t="s">
        <v>69</v>
      </c>
      <c r="K878" t="s">
        <v>22253</v>
      </c>
      <c r="L878" t="s">
        <v>69</v>
      </c>
      <c r="M878" t="s">
        <v>69</v>
      </c>
      <c r="N878" t="s">
        <v>22254</v>
      </c>
      <c r="O878" t="s">
        <v>15276</v>
      </c>
      <c r="P878" t="s">
        <v>69</v>
      </c>
      <c r="Q878" t="s">
        <v>69</v>
      </c>
      <c r="R878" t="s">
        <v>8505</v>
      </c>
      <c r="S878" t="s">
        <v>8506</v>
      </c>
      <c r="T878" t="s">
        <v>69</v>
      </c>
      <c r="U878" t="s">
        <v>69</v>
      </c>
      <c r="V878" t="s">
        <v>69</v>
      </c>
      <c r="W878" t="s">
        <v>69</v>
      </c>
      <c r="X878" t="s">
        <v>69</v>
      </c>
      <c r="Y878" t="s">
        <v>22255</v>
      </c>
      <c r="Z878" t="s">
        <v>22256</v>
      </c>
      <c r="AA878" t="s">
        <v>22257</v>
      </c>
      <c r="AB878" t="s">
        <v>22258</v>
      </c>
      <c r="AC878" t="s">
        <v>69</v>
      </c>
      <c r="AD878" t="s">
        <v>22259</v>
      </c>
      <c r="AE878" t="s">
        <v>22260</v>
      </c>
      <c r="AF878" t="s">
        <v>22261</v>
      </c>
      <c r="AG878" t="s">
        <v>22262</v>
      </c>
      <c r="AH878" t="s">
        <v>22263</v>
      </c>
      <c r="AI878" t="s">
        <v>22264</v>
      </c>
      <c r="AJ878" t="s">
        <v>22265</v>
      </c>
      <c r="AK878" t="s">
        <v>69</v>
      </c>
      <c r="AL878">
        <v>31</v>
      </c>
      <c r="AM878">
        <v>2</v>
      </c>
      <c r="AN878">
        <v>2</v>
      </c>
      <c r="AO878">
        <v>0</v>
      </c>
      <c r="AP878">
        <v>6</v>
      </c>
      <c r="AQ878" t="s">
        <v>8692</v>
      </c>
      <c r="AR878" t="s">
        <v>8693</v>
      </c>
      <c r="AS878" t="s">
        <v>18139</v>
      </c>
      <c r="AT878" t="s">
        <v>15286</v>
      </c>
      <c r="AU878" t="s">
        <v>15287</v>
      </c>
      <c r="AV878" t="s">
        <v>69</v>
      </c>
      <c r="AW878" t="s">
        <v>15288</v>
      </c>
      <c r="AX878" t="s">
        <v>15289</v>
      </c>
      <c r="AY878" t="s">
        <v>22266</v>
      </c>
      <c r="AZ878">
        <v>2016</v>
      </c>
      <c r="BA878">
        <v>12</v>
      </c>
      <c r="BB878">
        <v>1</v>
      </c>
      <c r="BC878" t="s">
        <v>69</v>
      </c>
      <c r="BD878" t="s">
        <v>69</v>
      </c>
      <c r="BE878" t="s">
        <v>69</v>
      </c>
      <c r="BF878" t="s">
        <v>69</v>
      </c>
      <c r="BG878">
        <v>91</v>
      </c>
      <c r="BH878">
        <v>103</v>
      </c>
      <c r="BI878" t="s">
        <v>69</v>
      </c>
      <c r="BJ878" t="s">
        <v>22267</v>
      </c>
      <c r="BK878" t="str">
        <f>HYPERLINK("http://dx.doi.org/10.1016/j.sapharm.2015.04.006","http://dx.doi.org/10.1016/j.sapharm.2015.04.006")</f>
        <v>http://dx.doi.org/10.1016/j.sapharm.2015.04.006</v>
      </c>
      <c r="BL878" t="s">
        <v>69</v>
      </c>
      <c r="BM878" t="s">
        <v>69</v>
      </c>
      <c r="BN878">
        <v>13</v>
      </c>
      <c r="BO878" t="s">
        <v>15291</v>
      </c>
      <c r="BP878" t="s">
        <v>8661</v>
      </c>
      <c r="BQ878" t="s">
        <v>15291</v>
      </c>
      <c r="BR878" t="s">
        <v>22268</v>
      </c>
      <c r="BS878" t="s">
        <v>22269</v>
      </c>
      <c r="BT878">
        <v>25990258</v>
      </c>
      <c r="BU878" t="s">
        <v>69</v>
      </c>
      <c r="BV878" t="s">
        <v>69</v>
      </c>
      <c r="BW878" t="s">
        <v>69</v>
      </c>
      <c r="BX878" t="s">
        <v>8526</v>
      </c>
      <c r="BY878" t="str">
        <f>HYPERLINK("https%3A%2F%2Fwww.webofscience.com%2Fwos%2Fwoscc%2Ffull-record%2FWOS:000366299500008","View Full Record in Web of Science")</f>
        <v>View Full Record in Web of Science</v>
      </c>
    </row>
    <row r="879" spans="1:77" ht="12.5" x14ac:dyDescent="0.25">
      <c r="A879" t="s">
        <v>8495</v>
      </c>
      <c r="B879" s="22" t="s">
        <v>32931</v>
      </c>
      <c r="C879" s="7"/>
      <c r="D879" s="7"/>
      <c r="E879" s="7"/>
      <c r="F879" t="s">
        <v>67</v>
      </c>
      <c r="G879" t="s">
        <v>16469</v>
      </c>
      <c r="H879" t="s">
        <v>69</v>
      </c>
      <c r="I879" t="s">
        <v>69</v>
      </c>
      <c r="J879" t="s">
        <v>69</v>
      </c>
      <c r="K879" t="s">
        <v>16470</v>
      </c>
      <c r="L879" t="s">
        <v>69</v>
      </c>
      <c r="M879" t="s">
        <v>69</v>
      </c>
      <c r="N879" t="s">
        <v>16471</v>
      </c>
      <c r="O879" t="s">
        <v>16472</v>
      </c>
      <c r="P879" t="s">
        <v>69</v>
      </c>
      <c r="Q879" t="s">
        <v>69</v>
      </c>
      <c r="R879" t="s">
        <v>8505</v>
      </c>
      <c r="S879" t="s">
        <v>8506</v>
      </c>
      <c r="T879" t="s">
        <v>69</v>
      </c>
      <c r="U879" t="s">
        <v>69</v>
      </c>
      <c r="V879" t="s">
        <v>69</v>
      </c>
      <c r="W879" t="s">
        <v>69</v>
      </c>
      <c r="X879" t="s">
        <v>69</v>
      </c>
      <c r="Y879" t="s">
        <v>16473</v>
      </c>
      <c r="Z879" t="s">
        <v>16474</v>
      </c>
      <c r="AA879" t="s">
        <v>16475</v>
      </c>
      <c r="AB879" t="s">
        <v>16476</v>
      </c>
      <c r="AC879" t="s">
        <v>69</v>
      </c>
      <c r="AD879" t="s">
        <v>16477</v>
      </c>
      <c r="AE879" t="s">
        <v>16478</v>
      </c>
      <c r="AF879" t="s">
        <v>16479</v>
      </c>
      <c r="AG879" t="s">
        <v>16480</v>
      </c>
      <c r="AH879" t="s">
        <v>69</v>
      </c>
      <c r="AI879" t="s">
        <v>69</v>
      </c>
      <c r="AJ879" t="s">
        <v>69</v>
      </c>
      <c r="AK879" t="s">
        <v>69</v>
      </c>
      <c r="AL879">
        <v>70</v>
      </c>
      <c r="AM879">
        <v>4</v>
      </c>
      <c r="AN879">
        <v>4</v>
      </c>
      <c r="AO879">
        <v>17</v>
      </c>
      <c r="AP879">
        <v>59</v>
      </c>
      <c r="AQ879" t="s">
        <v>8865</v>
      </c>
      <c r="AR879" t="s">
        <v>8612</v>
      </c>
      <c r="AS879" t="s">
        <v>8866</v>
      </c>
      <c r="AT879" t="s">
        <v>16481</v>
      </c>
      <c r="AU879" t="s">
        <v>16482</v>
      </c>
      <c r="AV879" t="s">
        <v>69</v>
      </c>
      <c r="AW879" t="s">
        <v>16483</v>
      </c>
      <c r="AX879" t="s">
        <v>16484</v>
      </c>
      <c r="AY879" t="s">
        <v>8033</v>
      </c>
      <c r="AZ879">
        <v>2020</v>
      </c>
      <c r="BA879">
        <v>47</v>
      </c>
      <c r="BB879">
        <v>2</v>
      </c>
      <c r="BC879" t="s">
        <v>69</v>
      </c>
      <c r="BD879" t="s">
        <v>69</v>
      </c>
      <c r="BE879" t="s">
        <v>69</v>
      </c>
      <c r="BF879" t="s">
        <v>69</v>
      </c>
      <c r="BG879">
        <v>203</v>
      </c>
      <c r="BH879">
        <v>220</v>
      </c>
      <c r="BI879" t="s">
        <v>69</v>
      </c>
      <c r="BJ879" t="s">
        <v>16485</v>
      </c>
      <c r="BK879" t="str">
        <f>HYPERLINK("http://dx.doi.org/10.1080/03088839.2019.1688876","http://dx.doi.org/10.1080/03088839.2019.1688876")</f>
        <v>http://dx.doi.org/10.1080/03088839.2019.1688876</v>
      </c>
      <c r="BL879" t="s">
        <v>69</v>
      </c>
      <c r="BM879" t="s">
        <v>876</v>
      </c>
      <c r="BN879">
        <v>18</v>
      </c>
      <c r="BO879" t="s">
        <v>16486</v>
      </c>
      <c r="BP879" t="s">
        <v>8661</v>
      </c>
      <c r="BQ879" t="s">
        <v>16486</v>
      </c>
      <c r="BR879" t="s">
        <v>16487</v>
      </c>
      <c r="BS879" t="s">
        <v>16488</v>
      </c>
      <c r="BT879" t="s">
        <v>69</v>
      </c>
      <c r="BU879" t="s">
        <v>69</v>
      </c>
      <c r="BV879" t="s">
        <v>69</v>
      </c>
      <c r="BW879" t="s">
        <v>69</v>
      </c>
      <c r="BX879" t="s">
        <v>8526</v>
      </c>
      <c r="BY879" t="str">
        <f>HYPERLINK("https%3A%2F%2Fwww.webofscience.com%2Fwos%2Fwoscc%2Ffull-record%2FWOS:000495813400001","View Full Record in Web of Science")</f>
        <v>View Full Record in Web of Science</v>
      </c>
    </row>
    <row r="880" spans="1:77" ht="12.5" x14ac:dyDescent="0.25">
      <c r="A880" t="s">
        <v>8495</v>
      </c>
      <c r="B880" s="7" t="s">
        <v>32933</v>
      </c>
      <c r="C880" s="7"/>
      <c r="D880" s="7"/>
      <c r="E880" s="7"/>
      <c r="F880" t="s">
        <v>67</v>
      </c>
      <c r="G880" t="s">
        <v>6979</v>
      </c>
      <c r="H880" t="s">
        <v>69</v>
      </c>
      <c r="I880" t="s">
        <v>69</v>
      </c>
      <c r="J880" t="s">
        <v>69</v>
      </c>
      <c r="K880" t="s">
        <v>6980</v>
      </c>
      <c r="L880" t="s">
        <v>69</v>
      </c>
      <c r="M880" t="s">
        <v>69</v>
      </c>
      <c r="N880" t="s">
        <v>6981</v>
      </c>
      <c r="O880" t="s">
        <v>4552</v>
      </c>
      <c r="P880" t="s">
        <v>69</v>
      </c>
      <c r="Q880" t="s">
        <v>69</v>
      </c>
      <c r="R880" t="s">
        <v>8505</v>
      </c>
      <c r="S880" t="s">
        <v>8506</v>
      </c>
      <c r="T880" t="s">
        <v>69</v>
      </c>
      <c r="U880" t="s">
        <v>69</v>
      </c>
      <c r="V880" t="s">
        <v>69</v>
      </c>
      <c r="W880" t="s">
        <v>69</v>
      </c>
      <c r="X880" t="s">
        <v>69</v>
      </c>
      <c r="Y880" t="s">
        <v>28291</v>
      </c>
      <c r="Z880" t="s">
        <v>28292</v>
      </c>
      <c r="AA880" t="s">
        <v>6982</v>
      </c>
      <c r="AB880" t="s">
        <v>28293</v>
      </c>
      <c r="AC880" t="s">
        <v>69</v>
      </c>
      <c r="AD880" t="s">
        <v>28294</v>
      </c>
      <c r="AE880" t="s">
        <v>28295</v>
      </c>
      <c r="AF880" t="s">
        <v>6983</v>
      </c>
      <c r="AG880" t="s">
        <v>28296</v>
      </c>
      <c r="AH880" t="s">
        <v>69</v>
      </c>
      <c r="AI880" t="s">
        <v>69</v>
      </c>
      <c r="AJ880" t="s">
        <v>69</v>
      </c>
      <c r="AK880" t="s">
        <v>69</v>
      </c>
      <c r="AL880">
        <v>14</v>
      </c>
      <c r="AM880">
        <v>10</v>
      </c>
      <c r="AN880">
        <v>11</v>
      </c>
      <c r="AO880">
        <v>0</v>
      </c>
      <c r="AP880">
        <v>20</v>
      </c>
      <c r="AQ880" t="s">
        <v>9091</v>
      </c>
      <c r="AR880" t="s">
        <v>8763</v>
      </c>
      <c r="AS880" t="s">
        <v>15468</v>
      </c>
      <c r="AT880" t="s">
        <v>4556</v>
      </c>
      <c r="AU880" t="s">
        <v>69</v>
      </c>
      <c r="AV880" t="s">
        <v>69</v>
      </c>
      <c r="AW880" t="s">
        <v>4552</v>
      </c>
      <c r="AX880" t="s">
        <v>9094</v>
      </c>
      <c r="AY880" t="s">
        <v>69</v>
      </c>
      <c r="AZ880">
        <v>2010</v>
      </c>
      <c r="BA880">
        <v>12</v>
      </c>
      <c r="BB880" t="s">
        <v>69</v>
      </c>
      <c r="BC880" t="s">
        <v>69</v>
      </c>
      <c r="BD880">
        <v>1</v>
      </c>
      <c r="BE880" t="s">
        <v>69</v>
      </c>
      <c r="BF880" t="s">
        <v>69</v>
      </c>
      <c r="BG880">
        <v>1</v>
      </c>
      <c r="BH880">
        <v>7</v>
      </c>
      <c r="BI880" t="s">
        <v>69</v>
      </c>
      <c r="BJ880" t="s">
        <v>6984</v>
      </c>
      <c r="BK880" t="str">
        <f>HYPERLINK("http://dx.doi.org/10.2166/wp.2010.010","http://dx.doi.org/10.2166/wp.2010.010")</f>
        <v>http://dx.doi.org/10.2166/wp.2010.010</v>
      </c>
      <c r="BL880" t="s">
        <v>69</v>
      </c>
      <c r="BM880" t="s">
        <v>69</v>
      </c>
      <c r="BN880">
        <v>7</v>
      </c>
      <c r="BO880" t="s">
        <v>9096</v>
      </c>
      <c r="BP880" t="s">
        <v>8548</v>
      </c>
      <c r="BQ880" t="s">
        <v>9096</v>
      </c>
      <c r="BR880" t="s">
        <v>28297</v>
      </c>
      <c r="BS880" t="s">
        <v>6985</v>
      </c>
      <c r="BT880" t="s">
        <v>69</v>
      </c>
      <c r="BU880" t="s">
        <v>69</v>
      </c>
      <c r="BV880" t="s">
        <v>69</v>
      </c>
      <c r="BW880" t="s">
        <v>69</v>
      </c>
      <c r="BX880" t="s">
        <v>8526</v>
      </c>
      <c r="BY880" t="str">
        <f>HYPERLINK("https%3A%2F%2Fwww.webofscience.com%2Fwos%2Fwoscc%2Ffull-record%2FWOS:000276019500001","View Full Record in Web of Science")</f>
        <v>View Full Record in Web of Science</v>
      </c>
    </row>
    <row r="881" spans="1:77" ht="12.5" x14ac:dyDescent="0.25">
      <c r="A881" t="s">
        <v>8495</v>
      </c>
      <c r="B881" s="7" t="s">
        <v>32933</v>
      </c>
      <c r="C881" s="7"/>
      <c r="D881" s="7"/>
      <c r="E881" s="7"/>
      <c r="F881" t="s">
        <v>67</v>
      </c>
      <c r="G881" t="s">
        <v>3427</v>
      </c>
      <c r="H881" t="s">
        <v>69</v>
      </c>
      <c r="I881" t="s">
        <v>69</v>
      </c>
      <c r="J881" t="s">
        <v>69</v>
      </c>
      <c r="K881" t="s">
        <v>3428</v>
      </c>
      <c r="L881" t="s">
        <v>69</v>
      </c>
      <c r="M881" t="s">
        <v>69</v>
      </c>
      <c r="N881" t="s">
        <v>3429</v>
      </c>
      <c r="O881" t="s">
        <v>537</v>
      </c>
      <c r="P881" t="s">
        <v>69</v>
      </c>
      <c r="Q881" t="s">
        <v>69</v>
      </c>
      <c r="R881" t="s">
        <v>8505</v>
      </c>
      <c r="S881" t="s">
        <v>8442</v>
      </c>
      <c r="T881" t="s">
        <v>69</v>
      </c>
      <c r="U881" t="s">
        <v>69</v>
      </c>
      <c r="V881" t="s">
        <v>69</v>
      </c>
      <c r="W881" t="s">
        <v>69</v>
      </c>
      <c r="X881" t="s">
        <v>69</v>
      </c>
      <c r="Y881" t="s">
        <v>26701</v>
      </c>
      <c r="Z881" t="s">
        <v>26702</v>
      </c>
      <c r="AA881" t="s">
        <v>3430</v>
      </c>
      <c r="AB881" t="s">
        <v>26703</v>
      </c>
      <c r="AC881" t="s">
        <v>69</v>
      </c>
      <c r="AD881" t="s">
        <v>26704</v>
      </c>
      <c r="AE881" t="s">
        <v>26705</v>
      </c>
      <c r="AF881" t="s">
        <v>26706</v>
      </c>
      <c r="AG881" t="s">
        <v>26707</v>
      </c>
      <c r="AH881" t="s">
        <v>69</v>
      </c>
      <c r="AI881" t="s">
        <v>69</v>
      </c>
      <c r="AJ881" t="s">
        <v>69</v>
      </c>
      <c r="AK881" t="s">
        <v>69</v>
      </c>
      <c r="AL881">
        <v>41</v>
      </c>
      <c r="AM881">
        <v>54</v>
      </c>
      <c r="AN881">
        <v>58</v>
      </c>
      <c r="AO881">
        <v>1</v>
      </c>
      <c r="AP881">
        <v>24</v>
      </c>
      <c r="AQ881" t="s">
        <v>8516</v>
      </c>
      <c r="AR881" t="s">
        <v>8517</v>
      </c>
      <c r="AS881" t="s">
        <v>8518</v>
      </c>
      <c r="AT881" t="s">
        <v>541</v>
      </c>
      <c r="AU881" t="s">
        <v>542</v>
      </c>
      <c r="AV881" t="s">
        <v>69</v>
      </c>
      <c r="AW881" t="s">
        <v>25707</v>
      </c>
      <c r="AX881" t="s">
        <v>25708</v>
      </c>
      <c r="AY881" t="s">
        <v>75</v>
      </c>
      <c r="AZ881">
        <v>2011</v>
      </c>
      <c r="BA881">
        <v>1</v>
      </c>
      <c r="BB881">
        <v>4</v>
      </c>
      <c r="BC881" t="s">
        <v>69</v>
      </c>
      <c r="BD881" t="s">
        <v>69</v>
      </c>
      <c r="BE881" t="s">
        <v>69</v>
      </c>
      <c r="BF881" t="s">
        <v>69</v>
      </c>
      <c r="BG881">
        <v>211</v>
      </c>
      <c r="BH881">
        <v>218</v>
      </c>
      <c r="BI881" t="s">
        <v>69</v>
      </c>
      <c r="BJ881" t="s">
        <v>3431</v>
      </c>
      <c r="BK881" t="str">
        <f>HYPERLINK("http://dx.doi.org/10.1016/j.scs.2011.07.007","http://dx.doi.org/10.1016/j.scs.2011.07.007")</f>
        <v>http://dx.doi.org/10.1016/j.scs.2011.07.007</v>
      </c>
      <c r="BL881" t="s">
        <v>69</v>
      </c>
      <c r="BM881" t="s">
        <v>69</v>
      </c>
      <c r="BN881">
        <v>8</v>
      </c>
      <c r="BO881" t="s">
        <v>25709</v>
      </c>
      <c r="BP881" t="s">
        <v>8548</v>
      </c>
      <c r="BQ881" t="s">
        <v>25710</v>
      </c>
      <c r="BR881" t="s">
        <v>26708</v>
      </c>
      <c r="BS881" t="s">
        <v>3432</v>
      </c>
      <c r="BT881" t="s">
        <v>69</v>
      </c>
      <c r="BU881" t="s">
        <v>69</v>
      </c>
      <c r="BV881" t="s">
        <v>69</v>
      </c>
      <c r="BW881" t="s">
        <v>69</v>
      </c>
      <c r="BX881" t="s">
        <v>8526</v>
      </c>
      <c r="BY881" t="str">
        <f>HYPERLINK("https%3A%2F%2Fwww.webofscience.com%2Fwos%2Fwoscc%2Ffull-record%2FWOS:000209553500003","View Full Record in Web of Science")</f>
        <v>View Full Record in Web of Science</v>
      </c>
    </row>
    <row r="882" spans="1:77" ht="12.5" x14ac:dyDescent="0.25">
      <c r="A882" t="s">
        <v>8495</v>
      </c>
      <c r="B882" s="22" t="s">
        <v>32931</v>
      </c>
      <c r="C882" s="7"/>
      <c r="D882" s="7"/>
      <c r="E882" s="7"/>
      <c r="F882" t="s">
        <v>67</v>
      </c>
      <c r="G882" t="s">
        <v>30985</v>
      </c>
      <c r="H882" t="s">
        <v>69</v>
      </c>
      <c r="I882" t="s">
        <v>69</v>
      </c>
      <c r="J882" t="s">
        <v>69</v>
      </c>
      <c r="K882" t="s">
        <v>30985</v>
      </c>
      <c r="L882" t="s">
        <v>69</v>
      </c>
      <c r="M882" t="s">
        <v>30986</v>
      </c>
      <c r="N882" t="s">
        <v>30987</v>
      </c>
      <c r="O882" t="s">
        <v>30988</v>
      </c>
      <c r="P882" t="s">
        <v>69</v>
      </c>
      <c r="Q882" t="s">
        <v>69</v>
      </c>
      <c r="R882" t="s">
        <v>8505</v>
      </c>
      <c r="S882" t="s">
        <v>8506</v>
      </c>
      <c r="T882" t="s">
        <v>69</v>
      </c>
      <c r="U882" t="s">
        <v>69</v>
      </c>
      <c r="V882" t="s">
        <v>69</v>
      </c>
      <c r="W882" t="s">
        <v>69</v>
      </c>
      <c r="X882" t="s">
        <v>69</v>
      </c>
      <c r="Y882" t="s">
        <v>69</v>
      </c>
      <c r="Z882" t="s">
        <v>69</v>
      </c>
      <c r="AA882" t="s">
        <v>30989</v>
      </c>
      <c r="AB882" t="s">
        <v>30990</v>
      </c>
      <c r="AC882" t="s">
        <v>69</v>
      </c>
      <c r="AD882" t="s">
        <v>30991</v>
      </c>
      <c r="AE882" t="s">
        <v>30992</v>
      </c>
      <c r="AF882" t="s">
        <v>69</v>
      </c>
      <c r="AG882" t="s">
        <v>69</v>
      </c>
      <c r="AH882" t="s">
        <v>69</v>
      </c>
      <c r="AI882" t="s">
        <v>69</v>
      </c>
      <c r="AJ882" t="s">
        <v>69</v>
      </c>
      <c r="AK882" t="s">
        <v>69</v>
      </c>
      <c r="AL882">
        <v>17</v>
      </c>
      <c r="AM882">
        <v>10</v>
      </c>
      <c r="AN882">
        <v>10</v>
      </c>
      <c r="AO882">
        <v>0</v>
      </c>
      <c r="AP882">
        <v>2</v>
      </c>
      <c r="AQ882" t="s">
        <v>9178</v>
      </c>
      <c r="AR882" t="s">
        <v>8763</v>
      </c>
      <c r="AS882" t="s">
        <v>9179</v>
      </c>
      <c r="AT882" t="s">
        <v>30993</v>
      </c>
      <c r="AU882" t="s">
        <v>30994</v>
      </c>
      <c r="AV882" t="s">
        <v>69</v>
      </c>
      <c r="AW882" t="s">
        <v>30995</v>
      </c>
      <c r="AX882" t="s">
        <v>30996</v>
      </c>
      <c r="AY882" t="s">
        <v>373</v>
      </c>
      <c r="AZ882">
        <v>2005</v>
      </c>
      <c r="BA882">
        <v>81</v>
      </c>
      <c r="BB882">
        <v>951</v>
      </c>
      <c r="BC882" t="s">
        <v>69</v>
      </c>
      <c r="BD882" t="s">
        <v>69</v>
      </c>
      <c r="BE882" t="s">
        <v>69</v>
      </c>
      <c r="BF882" t="s">
        <v>69</v>
      </c>
      <c r="BG882">
        <v>49</v>
      </c>
      <c r="BH882">
        <v>54</v>
      </c>
      <c r="BI882" t="s">
        <v>69</v>
      </c>
      <c r="BJ882" t="s">
        <v>30997</v>
      </c>
      <c r="BK882" t="str">
        <f>HYPERLINK("http://dx.doi.org/10.1136/pgmj.2004.029512","http://dx.doi.org/10.1136/pgmj.2004.029512")</f>
        <v>http://dx.doi.org/10.1136/pgmj.2004.029512</v>
      </c>
      <c r="BL882" t="s">
        <v>69</v>
      </c>
      <c r="BM882" t="s">
        <v>69</v>
      </c>
      <c r="BN882">
        <v>6</v>
      </c>
      <c r="BO882" t="s">
        <v>9450</v>
      </c>
      <c r="BP882" t="s">
        <v>8548</v>
      </c>
      <c r="BQ882" t="s">
        <v>9451</v>
      </c>
      <c r="BR882" t="s">
        <v>30998</v>
      </c>
      <c r="BS882" t="s">
        <v>30999</v>
      </c>
      <c r="BT882">
        <v>15640429</v>
      </c>
      <c r="BU882" t="s">
        <v>9029</v>
      </c>
      <c r="BV882" t="s">
        <v>69</v>
      </c>
      <c r="BW882" t="s">
        <v>69</v>
      </c>
      <c r="BX882" t="s">
        <v>8526</v>
      </c>
      <c r="BY882" t="str">
        <f>HYPERLINK("https%3A%2F%2Fwww.webofscience.com%2Fwos%2Fwoscc%2Ffull-record%2FWOS:000226185800008","View Full Record in Web of Science")</f>
        <v>View Full Record in Web of Science</v>
      </c>
    </row>
    <row r="883" spans="1:77" ht="12.5" x14ac:dyDescent="0.25">
      <c r="A883" t="s">
        <v>8495</v>
      </c>
      <c r="B883" s="7" t="s">
        <v>32933</v>
      </c>
      <c r="C883" s="7"/>
      <c r="D883" s="7"/>
      <c r="E883" s="7"/>
      <c r="F883" t="s">
        <v>67</v>
      </c>
      <c r="G883" t="s">
        <v>7394</v>
      </c>
      <c r="H883" t="s">
        <v>69</v>
      </c>
      <c r="I883" t="s">
        <v>69</v>
      </c>
      <c r="J883" t="s">
        <v>69</v>
      </c>
      <c r="K883" t="s">
        <v>7395</v>
      </c>
      <c r="L883" t="s">
        <v>69</v>
      </c>
      <c r="M883" t="s">
        <v>69</v>
      </c>
      <c r="N883" t="s">
        <v>7396</v>
      </c>
      <c r="O883" t="s">
        <v>7397</v>
      </c>
      <c r="P883" t="s">
        <v>69</v>
      </c>
      <c r="Q883" t="s">
        <v>69</v>
      </c>
      <c r="R883" t="s">
        <v>8505</v>
      </c>
      <c r="S883" t="s">
        <v>8506</v>
      </c>
      <c r="T883" t="s">
        <v>69</v>
      </c>
      <c r="U883" t="s">
        <v>69</v>
      </c>
      <c r="V883" t="s">
        <v>69</v>
      </c>
      <c r="W883" t="s">
        <v>69</v>
      </c>
      <c r="X883" t="s">
        <v>69</v>
      </c>
      <c r="Y883" t="s">
        <v>69</v>
      </c>
      <c r="Z883" t="s">
        <v>16270</v>
      </c>
      <c r="AA883" t="s">
        <v>7398</v>
      </c>
      <c r="AB883" t="s">
        <v>16271</v>
      </c>
      <c r="AC883" t="s">
        <v>69</v>
      </c>
      <c r="AD883" t="s">
        <v>16272</v>
      </c>
      <c r="AE883" t="s">
        <v>69</v>
      </c>
      <c r="AF883" t="s">
        <v>69</v>
      </c>
      <c r="AG883" t="s">
        <v>69</v>
      </c>
      <c r="AH883" t="s">
        <v>69</v>
      </c>
      <c r="AI883" t="s">
        <v>69</v>
      </c>
      <c r="AJ883" t="s">
        <v>69</v>
      </c>
      <c r="AK883" t="s">
        <v>69</v>
      </c>
      <c r="AL883">
        <v>192</v>
      </c>
      <c r="AM883">
        <v>5</v>
      </c>
      <c r="AN883">
        <v>5</v>
      </c>
      <c r="AO883">
        <v>1</v>
      </c>
      <c r="AP883">
        <v>7</v>
      </c>
      <c r="AQ883" t="s">
        <v>16273</v>
      </c>
      <c r="AR883" t="s">
        <v>16274</v>
      </c>
      <c r="AS883" t="s">
        <v>16275</v>
      </c>
      <c r="AT883" t="s">
        <v>7399</v>
      </c>
      <c r="AU883" t="s">
        <v>69</v>
      </c>
      <c r="AV883" t="s">
        <v>69</v>
      </c>
      <c r="AW883" t="s">
        <v>16276</v>
      </c>
      <c r="AX883" t="s">
        <v>16277</v>
      </c>
      <c r="AY883" t="s">
        <v>69</v>
      </c>
      <c r="AZ883">
        <v>2020</v>
      </c>
      <c r="BA883">
        <v>95</v>
      </c>
      <c r="BB883">
        <v>2</v>
      </c>
      <c r="BC883" t="s">
        <v>69</v>
      </c>
      <c r="BD883" t="s">
        <v>69</v>
      </c>
      <c r="BE883" t="s">
        <v>69</v>
      </c>
      <c r="BF883" t="s">
        <v>69</v>
      </c>
      <c r="BG883">
        <v>727</v>
      </c>
      <c r="BH883">
        <v>793</v>
      </c>
      <c r="BI883" t="s">
        <v>69</v>
      </c>
      <c r="BJ883" t="s">
        <v>69</v>
      </c>
      <c r="BK883" t="s">
        <v>69</v>
      </c>
      <c r="BL883" t="s">
        <v>69</v>
      </c>
      <c r="BM883" t="s">
        <v>69</v>
      </c>
      <c r="BN883">
        <v>67</v>
      </c>
      <c r="BO883" t="s">
        <v>8452</v>
      </c>
      <c r="BP883" t="s">
        <v>8661</v>
      </c>
      <c r="BQ883" t="s">
        <v>10084</v>
      </c>
      <c r="BR883" t="s">
        <v>16278</v>
      </c>
      <c r="BS883" t="s">
        <v>7400</v>
      </c>
      <c r="BT883" t="s">
        <v>69</v>
      </c>
      <c r="BU883" t="s">
        <v>69</v>
      </c>
      <c r="BV883" t="s">
        <v>69</v>
      </c>
      <c r="BW883" t="s">
        <v>69</v>
      </c>
      <c r="BX883" t="s">
        <v>8526</v>
      </c>
      <c r="BY883" t="str">
        <f>HYPERLINK("https%3A%2F%2Fwww.webofscience.com%2Fwos%2Fwoscc%2Ffull-record%2FWOS:000509749400005","View Full Record in Web of Science")</f>
        <v>View Full Record in Web of Science</v>
      </c>
    </row>
    <row r="884" spans="1:77" ht="12.5" x14ac:dyDescent="0.25">
      <c r="A884" t="s">
        <v>8495</v>
      </c>
      <c r="B884" s="7" t="s">
        <v>32933</v>
      </c>
      <c r="C884" s="7"/>
      <c r="D884" s="7"/>
      <c r="E884" s="7"/>
      <c r="F884" t="s">
        <v>67</v>
      </c>
      <c r="G884" t="s">
        <v>3384</v>
      </c>
      <c r="H884" t="s">
        <v>69</v>
      </c>
      <c r="I884" t="s">
        <v>69</v>
      </c>
      <c r="J884" t="s">
        <v>69</v>
      </c>
      <c r="K884" t="s">
        <v>3385</v>
      </c>
      <c r="L884" t="s">
        <v>69</v>
      </c>
      <c r="M884" t="s">
        <v>69</v>
      </c>
      <c r="N884" t="s">
        <v>3386</v>
      </c>
      <c r="O884" t="s">
        <v>3387</v>
      </c>
      <c r="P884" t="s">
        <v>69</v>
      </c>
      <c r="Q884" t="s">
        <v>69</v>
      </c>
      <c r="R884" t="s">
        <v>8505</v>
      </c>
      <c r="S884" t="s">
        <v>8506</v>
      </c>
      <c r="T884" t="s">
        <v>69</v>
      </c>
      <c r="U884" t="s">
        <v>69</v>
      </c>
      <c r="V884" t="s">
        <v>69</v>
      </c>
      <c r="W884" t="s">
        <v>69</v>
      </c>
      <c r="X884" t="s">
        <v>69</v>
      </c>
      <c r="Y884" t="s">
        <v>69</v>
      </c>
      <c r="Z884" t="s">
        <v>26072</v>
      </c>
      <c r="AA884" t="s">
        <v>3388</v>
      </c>
      <c r="AB884" t="s">
        <v>26073</v>
      </c>
      <c r="AC884" t="s">
        <v>69</v>
      </c>
      <c r="AD884" t="s">
        <v>26074</v>
      </c>
      <c r="AE884" t="s">
        <v>26075</v>
      </c>
      <c r="AF884" t="s">
        <v>69</v>
      </c>
      <c r="AG884" t="s">
        <v>26076</v>
      </c>
      <c r="AH884" t="s">
        <v>26077</v>
      </c>
      <c r="AI884" t="s">
        <v>26078</v>
      </c>
      <c r="AJ884" t="s">
        <v>26079</v>
      </c>
      <c r="AK884" t="s">
        <v>69</v>
      </c>
      <c r="AL884">
        <v>8</v>
      </c>
      <c r="AM884">
        <v>22</v>
      </c>
      <c r="AN884">
        <v>22</v>
      </c>
      <c r="AO884">
        <v>0</v>
      </c>
      <c r="AP884">
        <v>2</v>
      </c>
      <c r="AQ884" t="s">
        <v>26080</v>
      </c>
      <c r="AR884" t="s">
        <v>26081</v>
      </c>
      <c r="AS884" t="s">
        <v>26082</v>
      </c>
      <c r="AT884" t="s">
        <v>3389</v>
      </c>
      <c r="AU884" t="s">
        <v>3390</v>
      </c>
      <c r="AV884" t="s">
        <v>69</v>
      </c>
      <c r="AW884" t="s">
        <v>26083</v>
      </c>
      <c r="AX884" t="s">
        <v>26084</v>
      </c>
      <c r="AY884" t="s">
        <v>246</v>
      </c>
      <c r="AZ884">
        <v>2012</v>
      </c>
      <c r="BA884">
        <v>90</v>
      </c>
      <c r="BB884">
        <v>4</v>
      </c>
      <c r="BC884" t="s">
        <v>69</v>
      </c>
      <c r="BD884" t="s">
        <v>69</v>
      </c>
      <c r="BE884" t="s">
        <v>69</v>
      </c>
      <c r="BF884" t="s">
        <v>69</v>
      </c>
      <c r="BG884">
        <v>301</v>
      </c>
      <c r="BH884">
        <v>305</v>
      </c>
      <c r="BI884" t="s">
        <v>69</v>
      </c>
      <c r="BJ884" t="s">
        <v>3391</v>
      </c>
      <c r="BK884" t="str">
        <f>HYPERLINK("http://dx.doi.org/10.2471/BLT.11.098244","http://dx.doi.org/10.2471/BLT.11.098244")</f>
        <v>http://dx.doi.org/10.2471/BLT.11.098244</v>
      </c>
      <c r="BL884" t="s">
        <v>69</v>
      </c>
      <c r="BM884" t="s">
        <v>69</v>
      </c>
      <c r="BN884">
        <v>5</v>
      </c>
      <c r="BO884" t="s">
        <v>8810</v>
      </c>
      <c r="BP884" t="s">
        <v>8548</v>
      </c>
      <c r="BQ884" t="s">
        <v>8810</v>
      </c>
      <c r="BR884" t="s">
        <v>26085</v>
      </c>
      <c r="BS884" t="s">
        <v>3392</v>
      </c>
      <c r="BT884">
        <v>22511827</v>
      </c>
      <c r="BU884" t="s">
        <v>10423</v>
      </c>
      <c r="BV884" t="s">
        <v>69</v>
      </c>
      <c r="BW884" t="s">
        <v>69</v>
      </c>
      <c r="BX884" t="s">
        <v>8526</v>
      </c>
      <c r="BY884" t="str">
        <f>HYPERLINK("https%3A%2F%2Fwww.webofscience.com%2Fwos%2Fwoscc%2Ffull-record%2FWOS:000303273100021","View Full Record in Web of Science")</f>
        <v>View Full Record in Web of Science</v>
      </c>
    </row>
    <row r="885" spans="1:77" ht="12.5" x14ac:dyDescent="0.25">
      <c r="A885" t="s">
        <v>8495</v>
      </c>
      <c r="B885" s="22" t="s">
        <v>32931</v>
      </c>
      <c r="C885" s="7"/>
      <c r="D885" s="7"/>
      <c r="E885" s="7"/>
      <c r="F885" t="s">
        <v>67</v>
      </c>
      <c r="G885" t="s">
        <v>16835</v>
      </c>
      <c r="H885" t="s">
        <v>69</v>
      </c>
      <c r="I885" t="s">
        <v>69</v>
      </c>
      <c r="J885" t="s">
        <v>69</v>
      </c>
      <c r="K885" t="s">
        <v>16836</v>
      </c>
      <c r="L885" t="s">
        <v>69</v>
      </c>
      <c r="M885" t="s">
        <v>69</v>
      </c>
      <c r="N885" t="s">
        <v>16837</v>
      </c>
      <c r="O885" t="s">
        <v>9170</v>
      </c>
      <c r="P885" t="s">
        <v>69</v>
      </c>
      <c r="Q885" t="s">
        <v>69</v>
      </c>
      <c r="R885" t="s">
        <v>8505</v>
      </c>
      <c r="S885" t="s">
        <v>8506</v>
      </c>
      <c r="T885" t="s">
        <v>69</v>
      </c>
      <c r="U885" t="s">
        <v>69</v>
      </c>
      <c r="V885" t="s">
        <v>69</v>
      </c>
      <c r="W885" t="s">
        <v>69</v>
      </c>
      <c r="X885" t="s">
        <v>69</v>
      </c>
      <c r="Y885" t="s">
        <v>16838</v>
      </c>
      <c r="Z885" t="s">
        <v>69</v>
      </c>
      <c r="AA885" t="s">
        <v>16839</v>
      </c>
      <c r="AB885" t="s">
        <v>16840</v>
      </c>
      <c r="AC885" t="s">
        <v>69</v>
      </c>
      <c r="AD885" t="s">
        <v>16841</v>
      </c>
      <c r="AE885" t="s">
        <v>16842</v>
      </c>
      <c r="AF885" t="s">
        <v>69</v>
      </c>
      <c r="AG885" t="s">
        <v>69</v>
      </c>
      <c r="AH885" t="s">
        <v>16843</v>
      </c>
      <c r="AI885" t="s">
        <v>16843</v>
      </c>
      <c r="AJ885" t="s">
        <v>16844</v>
      </c>
      <c r="AK885" t="s">
        <v>69</v>
      </c>
      <c r="AL885">
        <v>39</v>
      </c>
      <c r="AM885">
        <v>7</v>
      </c>
      <c r="AN885">
        <v>7</v>
      </c>
      <c r="AO885">
        <v>0</v>
      </c>
      <c r="AP885">
        <v>1</v>
      </c>
      <c r="AQ885" t="s">
        <v>9178</v>
      </c>
      <c r="AR885" t="s">
        <v>8763</v>
      </c>
      <c r="AS885" t="s">
        <v>9179</v>
      </c>
      <c r="AT885" t="s">
        <v>69</v>
      </c>
      <c r="AU885" t="s">
        <v>9180</v>
      </c>
      <c r="AV885" t="s">
        <v>69</v>
      </c>
      <c r="AW885" t="s">
        <v>9181</v>
      </c>
      <c r="AX885" t="s">
        <v>9182</v>
      </c>
      <c r="AY885" t="s">
        <v>255</v>
      </c>
      <c r="AZ885">
        <v>2019</v>
      </c>
      <c r="BA885">
        <v>8</v>
      </c>
      <c r="BB885">
        <v>3</v>
      </c>
      <c r="BC885" t="s">
        <v>69</v>
      </c>
      <c r="BD885" t="s">
        <v>69</v>
      </c>
      <c r="BE885" t="s">
        <v>69</v>
      </c>
      <c r="BF885" t="s">
        <v>69</v>
      </c>
      <c r="BG885" t="s">
        <v>69</v>
      </c>
      <c r="BH885" t="s">
        <v>69</v>
      </c>
      <c r="BI885" t="s">
        <v>16845</v>
      </c>
      <c r="BJ885" t="s">
        <v>16846</v>
      </c>
      <c r="BK885" t="str">
        <f>HYPERLINK("http://dx.doi.org/10.1136/bmjoq-2019-000676","http://dx.doi.org/10.1136/bmjoq-2019-000676")</f>
        <v>http://dx.doi.org/10.1136/bmjoq-2019-000676</v>
      </c>
      <c r="BL885" t="s">
        <v>69</v>
      </c>
      <c r="BM885" t="s">
        <v>69</v>
      </c>
      <c r="BN885">
        <v>10</v>
      </c>
      <c r="BO885" t="s">
        <v>9186</v>
      </c>
      <c r="BP885" t="s">
        <v>8573</v>
      </c>
      <c r="BQ885" t="s">
        <v>9187</v>
      </c>
      <c r="BR885" t="s">
        <v>16847</v>
      </c>
      <c r="BS885" t="s">
        <v>16848</v>
      </c>
      <c r="BT885">
        <v>31544164</v>
      </c>
      <c r="BU885" t="s">
        <v>9352</v>
      </c>
      <c r="BV885" t="s">
        <v>69</v>
      </c>
      <c r="BW885" t="s">
        <v>69</v>
      </c>
      <c r="BX885" t="s">
        <v>8526</v>
      </c>
      <c r="BY885" t="str">
        <f>HYPERLINK("https%3A%2F%2Fwww.webofscience.com%2Fwos%2Fwoscc%2Ffull-record%2FWOS:000672549200045","View Full Record in Web of Science")</f>
        <v>View Full Record in Web of Science</v>
      </c>
    </row>
    <row r="886" spans="1:77" ht="12.5" x14ac:dyDescent="0.25">
      <c r="A886" t="s">
        <v>8495</v>
      </c>
      <c r="B886" s="22" t="s">
        <v>32931</v>
      </c>
      <c r="C886" s="7"/>
      <c r="D886" s="7"/>
      <c r="E886" s="7"/>
      <c r="F886" t="s">
        <v>67</v>
      </c>
      <c r="G886" t="s">
        <v>29333</v>
      </c>
      <c r="H886" t="s">
        <v>69</v>
      </c>
      <c r="I886" t="s">
        <v>69</v>
      </c>
      <c r="J886" t="s">
        <v>69</v>
      </c>
      <c r="K886" t="s">
        <v>29334</v>
      </c>
      <c r="L886" t="s">
        <v>69</v>
      </c>
      <c r="M886" t="s">
        <v>69</v>
      </c>
      <c r="N886" t="s">
        <v>29335</v>
      </c>
      <c r="O886" t="s">
        <v>29336</v>
      </c>
      <c r="P886" t="s">
        <v>69</v>
      </c>
      <c r="Q886" t="s">
        <v>69</v>
      </c>
      <c r="R886" t="s">
        <v>8505</v>
      </c>
      <c r="S886" t="s">
        <v>8506</v>
      </c>
      <c r="T886" t="s">
        <v>69</v>
      </c>
      <c r="U886" t="s">
        <v>69</v>
      </c>
      <c r="V886" t="s">
        <v>69</v>
      </c>
      <c r="W886" t="s">
        <v>69</v>
      </c>
      <c r="X886" t="s">
        <v>69</v>
      </c>
      <c r="Y886" t="s">
        <v>29337</v>
      </c>
      <c r="Z886" t="s">
        <v>29338</v>
      </c>
      <c r="AA886" t="s">
        <v>29339</v>
      </c>
      <c r="AB886" t="s">
        <v>29340</v>
      </c>
      <c r="AC886" t="s">
        <v>69</v>
      </c>
      <c r="AD886" t="s">
        <v>29341</v>
      </c>
      <c r="AE886" t="s">
        <v>29342</v>
      </c>
      <c r="AF886" t="s">
        <v>69</v>
      </c>
      <c r="AG886" t="s">
        <v>69</v>
      </c>
      <c r="AH886" t="s">
        <v>29343</v>
      </c>
      <c r="AI886" t="s">
        <v>29344</v>
      </c>
      <c r="AJ886" t="s">
        <v>69</v>
      </c>
      <c r="AK886" t="s">
        <v>69</v>
      </c>
      <c r="AL886">
        <v>71</v>
      </c>
      <c r="AM886">
        <v>261</v>
      </c>
      <c r="AN886">
        <v>262</v>
      </c>
      <c r="AO886">
        <v>0</v>
      </c>
      <c r="AP886">
        <v>65</v>
      </c>
      <c r="AQ886" t="s">
        <v>8692</v>
      </c>
      <c r="AR886" t="s">
        <v>8693</v>
      </c>
      <c r="AS886" t="s">
        <v>8694</v>
      </c>
      <c r="AT886" t="s">
        <v>29345</v>
      </c>
      <c r="AU886" t="s">
        <v>29346</v>
      </c>
      <c r="AV886" t="s">
        <v>69</v>
      </c>
      <c r="AW886" t="s">
        <v>29347</v>
      </c>
      <c r="AX886" t="s">
        <v>29348</v>
      </c>
      <c r="AY886" t="s">
        <v>69</v>
      </c>
      <c r="AZ886">
        <v>2008</v>
      </c>
      <c r="BA886">
        <v>23</v>
      </c>
      <c r="BB886">
        <v>1</v>
      </c>
      <c r="BC886" t="s">
        <v>69</v>
      </c>
      <c r="BD886" t="s">
        <v>69</v>
      </c>
      <c r="BE886" t="s">
        <v>69</v>
      </c>
      <c r="BF886" t="s">
        <v>69</v>
      </c>
      <c r="BG886">
        <v>10</v>
      </c>
      <c r="BH886">
        <v>26</v>
      </c>
      <c r="BI886" t="s">
        <v>69</v>
      </c>
      <c r="BJ886" t="s">
        <v>29349</v>
      </c>
      <c r="BK886" t="str">
        <f>HYPERLINK("http://dx.doi.org/10.1016/j.ecresq.2007.09.001","http://dx.doi.org/10.1016/j.ecresq.2007.09.001")</f>
        <v>http://dx.doi.org/10.1016/j.ecresq.2007.09.001</v>
      </c>
      <c r="BL886" t="s">
        <v>69</v>
      </c>
      <c r="BM886" t="s">
        <v>69</v>
      </c>
      <c r="BN886">
        <v>17</v>
      </c>
      <c r="BO886" t="s">
        <v>29350</v>
      </c>
      <c r="BP886" t="s">
        <v>8661</v>
      </c>
      <c r="BQ886" t="s">
        <v>14726</v>
      </c>
      <c r="BR886" t="s">
        <v>29351</v>
      </c>
      <c r="BS886" t="s">
        <v>29352</v>
      </c>
      <c r="BT886">
        <v>18364994</v>
      </c>
      <c r="BU886" t="s">
        <v>9292</v>
      </c>
      <c r="BV886" t="s">
        <v>69</v>
      </c>
      <c r="BW886" t="s">
        <v>69</v>
      </c>
      <c r="BX886" t="s">
        <v>8526</v>
      </c>
      <c r="BY886" t="str">
        <f>HYPERLINK("https%3A%2F%2Fwww.webofscience.com%2Fwos%2Fwoscc%2Ffull-record%2FWOS:000253182900003","View Full Record in Web of Science")</f>
        <v>View Full Record in Web of Science</v>
      </c>
    </row>
    <row r="887" spans="1:77" ht="12.5" x14ac:dyDescent="0.25">
      <c r="A887" t="s">
        <v>8495</v>
      </c>
      <c r="B887" s="22" t="s">
        <v>32931</v>
      </c>
      <c r="C887" s="7"/>
      <c r="D887" s="7"/>
      <c r="E887" s="7"/>
      <c r="F887" t="s">
        <v>67</v>
      </c>
      <c r="G887" t="s">
        <v>9335</v>
      </c>
      <c r="H887" t="s">
        <v>69</v>
      </c>
      <c r="I887" t="s">
        <v>69</v>
      </c>
      <c r="J887" t="s">
        <v>69</v>
      </c>
      <c r="K887" t="s">
        <v>9336</v>
      </c>
      <c r="L887" t="s">
        <v>69</v>
      </c>
      <c r="M887" t="s">
        <v>69</v>
      </c>
      <c r="N887" t="s">
        <v>9337</v>
      </c>
      <c r="O887" t="s">
        <v>7200</v>
      </c>
      <c r="P887" t="s">
        <v>69</v>
      </c>
      <c r="Q887" t="s">
        <v>69</v>
      </c>
      <c r="R887" t="s">
        <v>8505</v>
      </c>
      <c r="S887" t="s">
        <v>8506</v>
      </c>
      <c r="T887" t="s">
        <v>69</v>
      </c>
      <c r="U887" t="s">
        <v>69</v>
      </c>
      <c r="V887" t="s">
        <v>69</v>
      </c>
      <c r="W887" t="s">
        <v>69</v>
      </c>
      <c r="X887" t="s">
        <v>69</v>
      </c>
      <c r="Y887" t="s">
        <v>9338</v>
      </c>
      <c r="Z887" t="s">
        <v>9339</v>
      </c>
      <c r="AA887" t="s">
        <v>9340</v>
      </c>
      <c r="AB887" t="s">
        <v>9341</v>
      </c>
      <c r="AC887" t="s">
        <v>69</v>
      </c>
      <c r="AD887" t="s">
        <v>9342</v>
      </c>
      <c r="AE887" t="s">
        <v>9343</v>
      </c>
      <c r="AF887" t="s">
        <v>69</v>
      </c>
      <c r="AG887" t="s">
        <v>9344</v>
      </c>
      <c r="AH887" t="s">
        <v>9345</v>
      </c>
      <c r="AI887" t="s">
        <v>9346</v>
      </c>
      <c r="AJ887" t="s">
        <v>9347</v>
      </c>
      <c r="AK887" t="s">
        <v>69</v>
      </c>
      <c r="AL887">
        <v>42</v>
      </c>
      <c r="AM887">
        <v>0</v>
      </c>
      <c r="AN887">
        <v>0</v>
      </c>
      <c r="AO887">
        <v>2</v>
      </c>
      <c r="AP887">
        <v>2</v>
      </c>
      <c r="AQ887" t="s">
        <v>9203</v>
      </c>
      <c r="AR887" t="s">
        <v>8763</v>
      </c>
      <c r="AS887" t="s">
        <v>9204</v>
      </c>
      <c r="AT887" t="s">
        <v>7202</v>
      </c>
      <c r="AU887" t="s">
        <v>7203</v>
      </c>
      <c r="AV887" t="s">
        <v>69</v>
      </c>
      <c r="AW887" t="s">
        <v>9348</v>
      </c>
      <c r="AX887" t="s">
        <v>9349</v>
      </c>
      <c r="AY887" t="s">
        <v>9330</v>
      </c>
      <c r="AZ887">
        <v>2022</v>
      </c>
      <c r="BA887">
        <v>80</v>
      </c>
      <c r="BB887">
        <v>1</v>
      </c>
      <c r="BC887" t="s">
        <v>69</v>
      </c>
      <c r="BD887" t="s">
        <v>69</v>
      </c>
      <c r="BE887" t="s">
        <v>69</v>
      </c>
      <c r="BF887" t="s">
        <v>69</v>
      </c>
      <c r="BG887" t="s">
        <v>69</v>
      </c>
      <c r="BH887" t="s">
        <v>69</v>
      </c>
      <c r="BI887">
        <v>112</v>
      </c>
      <c r="BJ887" t="s">
        <v>9350</v>
      </c>
      <c r="BK887" t="str">
        <f>HYPERLINK("http://dx.doi.org/10.1186/s13690-022-00872-9","http://dx.doi.org/10.1186/s13690-022-00872-9")</f>
        <v>http://dx.doi.org/10.1186/s13690-022-00872-9</v>
      </c>
      <c r="BL887" t="s">
        <v>69</v>
      </c>
      <c r="BM887" t="s">
        <v>69</v>
      </c>
      <c r="BN887">
        <v>10</v>
      </c>
      <c r="BO887" t="s">
        <v>8810</v>
      </c>
      <c r="BP887" t="s">
        <v>8523</v>
      </c>
      <c r="BQ887" t="s">
        <v>8810</v>
      </c>
      <c r="BR887" t="s">
        <v>9351</v>
      </c>
      <c r="BS887" t="s">
        <v>9353</v>
      </c>
      <c r="BT887">
        <v>35392975</v>
      </c>
      <c r="BU887" t="s">
        <v>9352</v>
      </c>
      <c r="BV887" t="s">
        <v>69</v>
      </c>
      <c r="BW887" t="s">
        <v>69</v>
      </c>
      <c r="BX887" t="s">
        <v>8526</v>
      </c>
      <c r="BY887" t="str">
        <f>HYPERLINK("https%3A%2F%2Fwww.webofscience.com%2Fwos%2Fwoscc%2Ffull-record%2FWOS:000781358200001","View Full Record in Web of Science")</f>
        <v>View Full Record in Web of Science</v>
      </c>
    </row>
    <row r="888" spans="1:77" ht="12.5" x14ac:dyDescent="0.25">
      <c r="A888" t="s">
        <v>8495</v>
      </c>
      <c r="B888" s="7" t="s">
        <v>32933</v>
      </c>
      <c r="C888" s="7"/>
      <c r="D888" s="7"/>
      <c r="E888" s="7"/>
      <c r="F888" t="s">
        <v>67</v>
      </c>
      <c r="G888" t="s">
        <v>5755</v>
      </c>
      <c r="H888" t="s">
        <v>69</v>
      </c>
      <c r="I888" t="s">
        <v>69</v>
      </c>
      <c r="J888" t="s">
        <v>69</v>
      </c>
      <c r="K888" t="s">
        <v>5755</v>
      </c>
      <c r="L888" t="s">
        <v>69</v>
      </c>
      <c r="M888" t="s">
        <v>69</v>
      </c>
      <c r="N888" t="s">
        <v>5756</v>
      </c>
      <c r="O888" t="s">
        <v>881</v>
      </c>
      <c r="P888" t="s">
        <v>69</v>
      </c>
      <c r="Q888" t="s">
        <v>69</v>
      </c>
      <c r="R888" t="s">
        <v>8505</v>
      </c>
      <c r="S888" t="s">
        <v>8506</v>
      </c>
      <c r="T888" t="s">
        <v>69</v>
      </c>
      <c r="U888" t="s">
        <v>69</v>
      </c>
      <c r="V888" t="s">
        <v>69</v>
      </c>
      <c r="W888" t="s">
        <v>69</v>
      </c>
      <c r="X888" t="s">
        <v>69</v>
      </c>
      <c r="Y888" t="s">
        <v>31864</v>
      </c>
      <c r="Z888" t="s">
        <v>69</v>
      </c>
      <c r="AA888" t="s">
        <v>5757</v>
      </c>
      <c r="AB888" t="s">
        <v>31865</v>
      </c>
      <c r="AC888" t="s">
        <v>69</v>
      </c>
      <c r="AD888" t="s">
        <v>31866</v>
      </c>
      <c r="AE888" t="s">
        <v>69</v>
      </c>
      <c r="AF888" t="s">
        <v>5758</v>
      </c>
      <c r="AG888" t="s">
        <v>5759</v>
      </c>
      <c r="AH888" t="s">
        <v>69</v>
      </c>
      <c r="AI888" t="s">
        <v>69</v>
      </c>
      <c r="AJ888" t="s">
        <v>69</v>
      </c>
      <c r="AK888" t="s">
        <v>69</v>
      </c>
      <c r="AL888">
        <v>12</v>
      </c>
      <c r="AM888">
        <v>13</v>
      </c>
      <c r="AN888">
        <v>15</v>
      </c>
      <c r="AO888">
        <v>1</v>
      </c>
      <c r="AP888">
        <v>27</v>
      </c>
      <c r="AQ888" t="s">
        <v>17140</v>
      </c>
      <c r="AR888" t="s">
        <v>8517</v>
      </c>
      <c r="AS888" t="s">
        <v>17141</v>
      </c>
      <c r="AT888" t="s">
        <v>883</v>
      </c>
      <c r="AU888" t="s">
        <v>69</v>
      </c>
      <c r="AV888" t="s">
        <v>69</v>
      </c>
      <c r="AW888" t="s">
        <v>12415</v>
      </c>
      <c r="AX888" t="s">
        <v>12416</v>
      </c>
      <c r="AY888" t="s">
        <v>246</v>
      </c>
      <c r="AZ888">
        <v>2000</v>
      </c>
      <c r="BA888">
        <v>29</v>
      </c>
      <c r="BB888" t="s">
        <v>336</v>
      </c>
      <c r="BC888" t="s">
        <v>69</v>
      </c>
      <c r="BD888" t="s">
        <v>69</v>
      </c>
      <c r="BE888" t="s">
        <v>69</v>
      </c>
      <c r="BF888" t="s">
        <v>69</v>
      </c>
      <c r="BG888">
        <v>19</v>
      </c>
      <c r="BH888">
        <v>31</v>
      </c>
      <c r="BI888" t="s">
        <v>69</v>
      </c>
      <c r="BJ888" t="s">
        <v>5760</v>
      </c>
      <c r="BK888" t="str">
        <f>HYPERLINK("http://dx.doi.org/10.1016/S0921-3449(99)00051-8","http://dx.doi.org/10.1016/S0921-3449(99)00051-8")</f>
        <v>http://dx.doi.org/10.1016/S0921-3449(99)00051-8</v>
      </c>
      <c r="BL888" t="s">
        <v>69</v>
      </c>
      <c r="BM888" t="s">
        <v>69</v>
      </c>
      <c r="BN888">
        <v>13</v>
      </c>
      <c r="BO888" t="s">
        <v>8743</v>
      </c>
      <c r="BP888" t="s">
        <v>8548</v>
      </c>
      <c r="BQ888" t="s">
        <v>8744</v>
      </c>
      <c r="BR888" t="s">
        <v>31867</v>
      </c>
      <c r="BS888" t="s">
        <v>5761</v>
      </c>
      <c r="BT888" t="s">
        <v>69</v>
      </c>
      <c r="BU888" t="s">
        <v>69</v>
      </c>
      <c r="BV888" t="s">
        <v>69</v>
      </c>
      <c r="BW888" t="s">
        <v>69</v>
      </c>
      <c r="BX888" t="s">
        <v>8526</v>
      </c>
      <c r="BY888" t="str">
        <f>HYPERLINK("https%3A%2F%2Fwww.webofscience.com%2Fwos%2Fwoscc%2Ffull-record%2FWOS:000087525800002","View Full Record in Web of Science")</f>
        <v>View Full Record in Web of Science</v>
      </c>
    </row>
    <row r="889" spans="1:77" ht="12.5" x14ac:dyDescent="0.25">
      <c r="A889" t="s">
        <v>8495</v>
      </c>
      <c r="B889" s="7" t="s">
        <v>32933</v>
      </c>
      <c r="C889" s="7"/>
      <c r="D889" s="7"/>
      <c r="E889" s="7"/>
      <c r="F889" t="s">
        <v>67</v>
      </c>
      <c r="G889" t="s">
        <v>6259</v>
      </c>
      <c r="H889" t="s">
        <v>69</v>
      </c>
      <c r="I889" t="s">
        <v>69</v>
      </c>
      <c r="J889" t="s">
        <v>69</v>
      </c>
      <c r="K889" t="s">
        <v>6260</v>
      </c>
      <c r="L889" t="s">
        <v>69</v>
      </c>
      <c r="M889" t="s">
        <v>69</v>
      </c>
      <c r="N889" t="s">
        <v>6261</v>
      </c>
      <c r="O889" t="s">
        <v>6262</v>
      </c>
      <c r="P889" t="s">
        <v>69</v>
      </c>
      <c r="Q889" t="s">
        <v>69</v>
      </c>
      <c r="R889" t="s">
        <v>8505</v>
      </c>
      <c r="S889" t="s">
        <v>10174</v>
      </c>
      <c r="T889" t="s">
        <v>69</v>
      </c>
      <c r="U889" t="s">
        <v>69</v>
      </c>
      <c r="V889" t="s">
        <v>69</v>
      </c>
      <c r="W889" t="s">
        <v>69</v>
      </c>
      <c r="X889" t="s">
        <v>69</v>
      </c>
      <c r="Y889" t="s">
        <v>22193</v>
      </c>
      <c r="Z889" t="s">
        <v>69</v>
      </c>
      <c r="AA889" t="s">
        <v>6263</v>
      </c>
      <c r="AB889" t="s">
        <v>22194</v>
      </c>
      <c r="AC889" t="s">
        <v>69</v>
      </c>
      <c r="AD889" t="s">
        <v>22195</v>
      </c>
      <c r="AE889" t="s">
        <v>22196</v>
      </c>
      <c r="AF889" t="s">
        <v>69</v>
      </c>
      <c r="AG889" t="s">
        <v>69</v>
      </c>
      <c r="AH889" t="s">
        <v>69</v>
      </c>
      <c r="AI889" t="s">
        <v>69</v>
      </c>
      <c r="AJ889" t="s">
        <v>69</v>
      </c>
      <c r="AK889" t="s">
        <v>69</v>
      </c>
      <c r="AL889">
        <v>10</v>
      </c>
      <c r="AM889">
        <v>0</v>
      </c>
      <c r="AN889">
        <v>0</v>
      </c>
      <c r="AO889">
        <v>1</v>
      </c>
      <c r="AP889">
        <v>22</v>
      </c>
      <c r="AQ889" t="s">
        <v>8586</v>
      </c>
      <c r="AR889" t="s">
        <v>8587</v>
      </c>
      <c r="AS889" t="s">
        <v>8588</v>
      </c>
      <c r="AT889" t="s">
        <v>6264</v>
      </c>
      <c r="AU889" t="s">
        <v>6265</v>
      </c>
      <c r="AV889" t="s">
        <v>69</v>
      </c>
      <c r="AW889" t="s">
        <v>22197</v>
      </c>
      <c r="AX889" t="s">
        <v>22198</v>
      </c>
      <c r="AY889" t="s">
        <v>69</v>
      </c>
      <c r="AZ889">
        <v>2016</v>
      </c>
      <c r="BA889">
        <v>10</v>
      </c>
      <c r="BB889">
        <v>2</v>
      </c>
      <c r="BC889" t="s">
        <v>69</v>
      </c>
      <c r="BD889" t="s">
        <v>69</v>
      </c>
      <c r="BE889" t="s">
        <v>69</v>
      </c>
      <c r="BF889" t="s">
        <v>69</v>
      </c>
      <c r="BG889">
        <v>206</v>
      </c>
      <c r="BH889">
        <v>216</v>
      </c>
      <c r="BI889" t="s">
        <v>69</v>
      </c>
      <c r="BJ889" t="s">
        <v>6266</v>
      </c>
      <c r="BK889" t="str">
        <f>HYPERLINK("http://dx.doi.org/10.1108/CMS-03-2016-0046","http://dx.doi.org/10.1108/CMS-03-2016-0046")</f>
        <v>http://dx.doi.org/10.1108/CMS-03-2016-0046</v>
      </c>
      <c r="BL889" t="s">
        <v>69</v>
      </c>
      <c r="BM889" t="s">
        <v>69</v>
      </c>
      <c r="BN889">
        <v>11</v>
      </c>
      <c r="BO889" t="s">
        <v>9410</v>
      </c>
      <c r="BP889" t="s">
        <v>8661</v>
      </c>
      <c r="BQ889" t="s">
        <v>8594</v>
      </c>
      <c r="BR889" t="s">
        <v>22199</v>
      </c>
      <c r="BS889" t="s">
        <v>6267</v>
      </c>
      <c r="BT889" t="s">
        <v>69</v>
      </c>
      <c r="BU889" t="s">
        <v>69</v>
      </c>
      <c r="BV889" t="s">
        <v>69</v>
      </c>
      <c r="BW889" t="s">
        <v>69</v>
      </c>
      <c r="BX889" t="s">
        <v>8526</v>
      </c>
      <c r="BY889" t="str">
        <f>HYPERLINK("https%3A%2F%2Fwww.webofscience.com%2Fwos%2Fwoscc%2Ffull-record%2FWOS:000379770900001","View Full Record in Web of Science")</f>
        <v>View Full Record in Web of Science</v>
      </c>
    </row>
    <row r="890" spans="1:77" x14ac:dyDescent="0.3">
      <c r="A890" t="s">
        <v>8495</v>
      </c>
      <c r="B890" s="9" t="s">
        <v>32973</v>
      </c>
      <c r="C890" s="10" t="s">
        <v>33066</v>
      </c>
      <c r="D890" s="10" t="s">
        <v>8490</v>
      </c>
      <c r="E890" s="9" t="s">
        <v>8490</v>
      </c>
      <c r="F890" t="s">
        <v>67</v>
      </c>
      <c r="G890" t="s">
        <v>22595</v>
      </c>
      <c r="H890" t="s">
        <v>69</v>
      </c>
      <c r="I890" t="s">
        <v>69</v>
      </c>
      <c r="J890" t="s">
        <v>69</v>
      </c>
      <c r="K890" t="s">
        <v>22596</v>
      </c>
      <c r="L890" t="s">
        <v>69</v>
      </c>
      <c r="M890" t="s">
        <v>69</v>
      </c>
      <c r="N890" t="s">
        <v>22597</v>
      </c>
      <c r="O890" t="s">
        <v>22598</v>
      </c>
      <c r="P890" t="s">
        <v>69</v>
      </c>
      <c r="Q890" t="s">
        <v>69</v>
      </c>
      <c r="R890" t="s">
        <v>8505</v>
      </c>
      <c r="S890" t="s">
        <v>8506</v>
      </c>
      <c r="T890" t="s">
        <v>69</v>
      </c>
      <c r="U890" t="s">
        <v>69</v>
      </c>
      <c r="V890" t="s">
        <v>69</v>
      </c>
      <c r="W890" t="s">
        <v>69</v>
      </c>
      <c r="X890" t="s">
        <v>69</v>
      </c>
      <c r="Y890" t="s">
        <v>22599</v>
      </c>
      <c r="Z890" t="s">
        <v>22600</v>
      </c>
      <c r="AA890" t="s">
        <v>22601</v>
      </c>
      <c r="AB890" t="s">
        <v>22602</v>
      </c>
      <c r="AC890" t="s">
        <v>69</v>
      </c>
      <c r="AD890" t="s">
        <v>22603</v>
      </c>
      <c r="AE890" t="s">
        <v>22604</v>
      </c>
      <c r="AF890" t="s">
        <v>22605</v>
      </c>
      <c r="AG890" t="s">
        <v>22606</v>
      </c>
      <c r="AH890" t="s">
        <v>22607</v>
      </c>
      <c r="AI890" t="s">
        <v>22608</v>
      </c>
      <c r="AJ890" t="s">
        <v>22609</v>
      </c>
      <c r="AK890" t="s">
        <v>69</v>
      </c>
      <c r="AL890">
        <v>43</v>
      </c>
      <c r="AM890">
        <v>29</v>
      </c>
      <c r="AN890">
        <v>29</v>
      </c>
      <c r="AO890">
        <v>1</v>
      </c>
      <c r="AP890">
        <v>31</v>
      </c>
      <c r="AQ890" t="s">
        <v>8846</v>
      </c>
      <c r="AR890" t="s">
        <v>8847</v>
      </c>
      <c r="AS890" t="s">
        <v>8848</v>
      </c>
      <c r="AT890" t="s">
        <v>22610</v>
      </c>
      <c r="AU890" t="s">
        <v>22611</v>
      </c>
      <c r="AV890" t="s">
        <v>69</v>
      </c>
      <c r="AW890" t="s">
        <v>22612</v>
      </c>
      <c r="AX890" t="s">
        <v>22613</v>
      </c>
      <c r="AY890" t="s">
        <v>84</v>
      </c>
      <c r="AZ890">
        <v>2015</v>
      </c>
      <c r="BA890">
        <v>40</v>
      </c>
      <c r="BB890">
        <v>3</v>
      </c>
      <c r="BC890" t="s">
        <v>69</v>
      </c>
      <c r="BD890" t="s">
        <v>69</v>
      </c>
      <c r="BE890" t="s">
        <v>69</v>
      </c>
      <c r="BF890" t="s">
        <v>69</v>
      </c>
      <c r="BG890">
        <v>375</v>
      </c>
      <c r="BH890">
        <v>386</v>
      </c>
      <c r="BI890" t="s">
        <v>69</v>
      </c>
      <c r="BJ890" t="s">
        <v>22614</v>
      </c>
      <c r="BK890" t="str">
        <f>HYPERLINK("http://dx.doi.org/10.1111/tran.12082","http://dx.doi.org/10.1111/tran.12082")</f>
        <v>http://dx.doi.org/10.1111/tran.12082</v>
      </c>
      <c r="BL890" t="s">
        <v>69</v>
      </c>
      <c r="BM890" t="s">
        <v>69</v>
      </c>
      <c r="BN890">
        <v>12</v>
      </c>
      <c r="BO890" t="s">
        <v>8446</v>
      </c>
      <c r="BP890" t="s">
        <v>8661</v>
      </c>
      <c r="BQ890" t="s">
        <v>8446</v>
      </c>
      <c r="BR890" t="s">
        <v>22615</v>
      </c>
      <c r="BS890" t="s">
        <v>22616</v>
      </c>
      <c r="BT890" t="s">
        <v>69</v>
      </c>
      <c r="BU890" t="s">
        <v>10363</v>
      </c>
      <c r="BV890" t="s">
        <v>69</v>
      </c>
      <c r="BW890" t="s">
        <v>69</v>
      </c>
      <c r="BX890" t="s">
        <v>8526</v>
      </c>
      <c r="BY890" t="str">
        <f>HYPERLINK("https%3A%2F%2Fwww.webofscience.com%2Fwos%2Fwoscc%2Ffull-record%2FWOS:000356880700006","View Full Record in Web of Science")</f>
        <v>View Full Record in Web of Science</v>
      </c>
    </row>
    <row r="891" spans="1:77" x14ac:dyDescent="0.3">
      <c r="A891" t="s">
        <v>8495</v>
      </c>
      <c r="B891" s="9" t="s">
        <v>32948</v>
      </c>
      <c r="C891" s="9" t="s">
        <v>33137</v>
      </c>
      <c r="D891" s="9" t="s">
        <v>8491</v>
      </c>
      <c r="E891" s="9" t="s">
        <v>8490</v>
      </c>
      <c r="F891" t="s">
        <v>67</v>
      </c>
      <c r="G891" t="s">
        <v>30809</v>
      </c>
      <c r="H891" t="s">
        <v>69</v>
      </c>
      <c r="I891" t="s">
        <v>69</v>
      </c>
      <c r="J891" t="s">
        <v>69</v>
      </c>
      <c r="K891" t="s">
        <v>30810</v>
      </c>
      <c r="L891" t="s">
        <v>69</v>
      </c>
      <c r="M891" t="s">
        <v>69</v>
      </c>
      <c r="N891" t="s">
        <v>30811</v>
      </c>
      <c r="O891" t="s">
        <v>30812</v>
      </c>
      <c r="P891" t="s">
        <v>69</v>
      </c>
      <c r="Q891" t="s">
        <v>69</v>
      </c>
      <c r="R891" t="s">
        <v>8505</v>
      </c>
      <c r="S891" t="s">
        <v>8506</v>
      </c>
      <c r="T891" t="s">
        <v>69</v>
      </c>
      <c r="U891" t="s">
        <v>69</v>
      </c>
      <c r="V891" t="s">
        <v>69</v>
      </c>
      <c r="W891" t="s">
        <v>69</v>
      </c>
      <c r="X891" t="s">
        <v>69</v>
      </c>
      <c r="Y891" t="s">
        <v>69</v>
      </c>
      <c r="Z891" t="s">
        <v>69</v>
      </c>
      <c r="AA891" t="s">
        <v>30813</v>
      </c>
      <c r="AB891" t="s">
        <v>30814</v>
      </c>
      <c r="AC891" t="s">
        <v>69</v>
      </c>
      <c r="AD891" t="s">
        <v>30815</v>
      </c>
      <c r="AE891" t="s">
        <v>30816</v>
      </c>
      <c r="AF891" t="s">
        <v>69</v>
      </c>
      <c r="AG891" t="s">
        <v>69</v>
      </c>
      <c r="AH891" t="s">
        <v>30817</v>
      </c>
      <c r="AI891" t="s">
        <v>30817</v>
      </c>
      <c r="AJ891" t="s">
        <v>30818</v>
      </c>
      <c r="AK891" t="s">
        <v>69</v>
      </c>
      <c r="AL891">
        <v>27</v>
      </c>
      <c r="AM891">
        <v>69</v>
      </c>
      <c r="AN891">
        <v>69</v>
      </c>
      <c r="AO891">
        <v>0</v>
      </c>
      <c r="AP891">
        <v>2</v>
      </c>
      <c r="AQ891" t="s">
        <v>8865</v>
      </c>
      <c r="AR891" t="s">
        <v>8612</v>
      </c>
      <c r="AS891" t="s">
        <v>8866</v>
      </c>
      <c r="AT891" t="s">
        <v>30819</v>
      </c>
      <c r="AU891" t="s">
        <v>30820</v>
      </c>
      <c r="AV891" t="s">
        <v>69</v>
      </c>
      <c r="AW891" t="s">
        <v>30821</v>
      </c>
      <c r="AX891" t="s">
        <v>30822</v>
      </c>
      <c r="AY891" t="s">
        <v>69</v>
      </c>
      <c r="AZ891">
        <v>2005</v>
      </c>
      <c r="BA891">
        <v>15</v>
      </c>
      <c r="BB891" t="s">
        <v>145</v>
      </c>
      <c r="BC891" t="s">
        <v>69</v>
      </c>
      <c r="BD891" t="s">
        <v>69</v>
      </c>
      <c r="BE891" t="s">
        <v>69</v>
      </c>
      <c r="BF891" t="s">
        <v>69</v>
      </c>
      <c r="BG891">
        <v>362</v>
      </c>
      <c r="BH891">
        <v>374</v>
      </c>
      <c r="BI891" t="s">
        <v>69</v>
      </c>
      <c r="BJ891" t="s">
        <v>30823</v>
      </c>
      <c r="BK891" t="str">
        <f>HYPERLINK("http://dx.doi.org/10.1080/09614520500075813","http://dx.doi.org/10.1080/09614520500075813")</f>
        <v>http://dx.doi.org/10.1080/09614520500075813</v>
      </c>
      <c r="BL891" t="s">
        <v>69</v>
      </c>
      <c r="BM891" t="s">
        <v>69</v>
      </c>
      <c r="BN891">
        <v>13</v>
      </c>
      <c r="BO891" t="s">
        <v>17018</v>
      </c>
      <c r="BP891" t="s">
        <v>8573</v>
      </c>
      <c r="BQ891" t="s">
        <v>17018</v>
      </c>
      <c r="BR891" t="s">
        <v>30824</v>
      </c>
      <c r="BS891" t="s">
        <v>30825</v>
      </c>
      <c r="BT891" t="s">
        <v>69</v>
      </c>
      <c r="BU891" t="s">
        <v>69</v>
      </c>
      <c r="BV891" t="s">
        <v>69</v>
      </c>
      <c r="BW891" t="s">
        <v>69</v>
      </c>
      <c r="BX891" t="s">
        <v>8526</v>
      </c>
      <c r="BY891" t="str">
        <f>HYPERLINK("https%3A%2F%2Fwww.webofscience.com%2Fwos%2Fwoscc%2Ffull-record%2FWOS:000211031500010","View Full Record in Web of Science")</f>
        <v>View Full Record in Web of Science</v>
      </c>
    </row>
    <row r="892" spans="1:77" ht="12.5" x14ac:dyDescent="0.25">
      <c r="A892" t="s">
        <v>8495</v>
      </c>
      <c r="B892" s="7" t="s">
        <v>32933</v>
      </c>
      <c r="C892" s="7"/>
      <c r="D892" s="7"/>
      <c r="E892" s="7"/>
      <c r="F892" t="s">
        <v>67</v>
      </c>
      <c r="G892" t="s">
        <v>4856</v>
      </c>
      <c r="H892" t="s">
        <v>69</v>
      </c>
      <c r="I892" t="s">
        <v>69</v>
      </c>
      <c r="J892" t="s">
        <v>69</v>
      </c>
      <c r="K892" t="s">
        <v>4857</v>
      </c>
      <c r="L892" t="s">
        <v>69</v>
      </c>
      <c r="M892" t="s">
        <v>69</v>
      </c>
      <c r="N892" t="s">
        <v>4858</v>
      </c>
      <c r="O892" t="s">
        <v>436</v>
      </c>
      <c r="P892" t="s">
        <v>69</v>
      </c>
      <c r="Q892" t="s">
        <v>69</v>
      </c>
      <c r="R892" t="s">
        <v>8505</v>
      </c>
      <c r="S892" t="s">
        <v>8442</v>
      </c>
      <c r="T892" t="s">
        <v>69</v>
      </c>
      <c r="U892" t="s">
        <v>69</v>
      </c>
      <c r="V892" t="s">
        <v>69</v>
      </c>
      <c r="W892" t="s">
        <v>69</v>
      </c>
      <c r="X892" t="s">
        <v>69</v>
      </c>
      <c r="Y892" t="s">
        <v>16451</v>
      </c>
      <c r="Z892" t="s">
        <v>16452</v>
      </c>
      <c r="AA892" t="s">
        <v>4859</v>
      </c>
      <c r="AB892" t="s">
        <v>16453</v>
      </c>
      <c r="AC892" t="s">
        <v>69</v>
      </c>
      <c r="AD892" t="s">
        <v>16454</v>
      </c>
      <c r="AE892" t="s">
        <v>16455</v>
      </c>
      <c r="AF892" t="s">
        <v>4860</v>
      </c>
      <c r="AG892" t="s">
        <v>16456</v>
      </c>
      <c r="AH892" t="s">
        <v>16457</v>
      </c>
      <c r="AI892" t="s">
        <v>16458</v>
      </c>
      <c r="AJ892" t="s">
        <v>16459</v>
      </c>
      <c r="AK892" t="s">
        <v>69</v>
      </c>
      <c r="AL892">
        <v>58</v>
      </c>
      <c r="AM892">
        <v>13</v>
      </c>
      <c r="AN892">
        <v>14</v>
      </c>
      <c r="AO892">
        <v>4</v>
      </c>
      <c r="AP892">
        <v>31</v>
      </c>
      <c r="AQ892" t="s">
        <v>8636</v>
      </c>
      <c r="AR892" t="s">
        <v>8637</v>
      </c>
      <c r="AS892" t="s">
        <v>8638</v>
      </c>
      <c r="AT892" t="s">
        <v>440</v>
      </c>
      <c r="AU892" t="s">
        <v>441</v>
      </c>
      <c r="AV892" t="s">
        <v>69</v>
      </c>
      <c r="AW892" t="s">
        <v>8639</v>
      </c>
      <c r="AX892" t="s">
        <v>8640</v>
      </c>
      <c r="AY892" t="s">
        <v>4861</v>
      </c>
      <c r="AZ892">
        <v>2019</v>
      </c>
      <c r="BA892">
        <v>238</v>
      </c>
      <c r="BB892" t="s">
        <v>69</v>
      </c>
      <c r="BC892" t="s">
        <v>69</v>
      </c>
      <c r="BD892" t="s">
        <v>69</v>
      </c>
      <c r="BE892" t="s">
        <v>69</v>
      </c>
      <c r="BF892" t="s">
        <v>69</v>
      </c>
      <c r="BG892" t="s">
        <v>69</v>
      </c>
      <c r="BH892" t="s">
        <v>69</v>
      </c>
      <c r="BI892">
        <v>117954</v>
      </c>
      <c r="BJ892" t="s">
        <v>4862</v>
      </c>
      <c r="BK892" t="str">
        <f>HYPERLINK("http://dx.doi.org/10.1016/j.jclepro.2019.117954","http://dx.doi.org/10.1016/j.jclepro.2019.117954")</f>
        <v>http://dx.doi.org/10.1016/j.jclepro.2019.117954</v>
      </c>
      <c r="BL892" t="s">
        <v>69</v>
      </c>
      <c r="BM892" t="s">
        <v>69</v>
      </c>
      <c r="BN892">
        <v>8</v>
      </c>
      <c r="BO892" t="s">
        <v>8643</v>
      </c>
      <c r="BP892" t="s">
        <v>8523</v>
      </c>
      <c r="BQ892" t="s">
        <v>8644</v>
      </c>
      <c r="BR892" t="s">
        <v>16460</v>
      </c>
      <c r="BS892" t="s">
        <v>4863</v>
      </c>
      <c r="BT892" t="s">
        <v>69</v>
      </c>
      <c r="BU892" t="s">
        <v>69</v>
      </c>
      <c r="BV892" t="s">
        <v>69</v>
      </c>
      <c r="BW892" t="s">
        <v>69</v>
      </c>
      <c r="BX892" t="s">
        <v>8526</v>
      </c>
      <c r="BY892" t="str">
        <f>HYPERLINK("https%3A%2F%2Fwww.webofscience.com%2Fwos%2Fwoscc%2Ffull-record%2FWOS:000487231200068","View Full Record in Web of Science")</f>
        <v>View Full Record in Web of Science</v>
      </c>
    </row>
    <row r="893" spans="1:77" ht="12.5" x14ac:dyDescent="0.25">
      <c r="A893" t="s">
        <v>8495</v>
      </c>
      <c r="B893" s="22" t="s">
        <v>32931</v>
      </c>
      <c r="C893" s="7"/>
      <c r="D893" s="7"/>
      <c r="E893" s="7"/>
      <c r="F893" t="s">
        <v>67</v>
      </c>
      <c r="G893" t="s">
        <v>15673</v>
      </c>
      <c r="H893" t="s">
        <v>69</v>
      </c>
      <c r="I893" t="s">
        <v>69</v>
      </c>
      <c r="J893" t="s">
        <v>69</v>
      </c>
      <c r="K893" t="s">
        <v>15674</v>
      </c>
      <c r="L893" t="s">
        <v>69</v>
      </c>
      <c r="M893" t="s">
        <v>69</v>
      </c>
      <c r="N893" t="s">
        <v>15675</v>
      </c>
      <c r="O893" t="s">
        <v>15676</v>
      </c>
      <c r="P893" t="s">
        <v>69</v>
      </c>
      <c r="Q893" t="s">
        <v>69</v>
      </c>
      <c r="R893" t="s">
        <v>8505</v>
      </c>
      <c r="S893" t="s">
        <v>8506</v>
      </c>
      <c r="T893" t="s">
        <v>69</v>
      </c>
      <c r="U893" t="s">
        <v>69</v>
      </c>
      <c r="V893" t="s">
        <v>69</v>
      </c>
      <c r="W893" t="s">
        <v>69</v>
      </c>
      <c r="X893" t="s">
        <v>69</v>
      </c>
      <c r="Y893" t="s">
        <v>15677</v>
      </c>
      <c r="Z893" t="s">
        <v>15678</v>
      </c>
      <c r="AA893" t="s">
        <v>15679</v>
      </c>
      <c r="AB893" t="s">
        <v>15680</v>
      </c>
      <c r="AC893" t="s">
        <v>69</v>
      </c>
      <c r="AD893" t="s">
        <v>15681</v>
      </c>
      <c r="AE893" t="s">
        <v>15682</v>
      </c>
      <c r="AF893" t="s">
        <v>69</v>
      </c>
      <c r="AG893" t="s">
        <v>15683</v>
      </c>
      <c r="AH893" t="s">
        <v>15684</v>
      </c>
      <c r="AI893" t="s">
        <v>15684</v>
      </c>
      <c r="AJ893" t="s">
        <v>15685</v>
      </c>
      <c r="AK893" t="s">
        <v>69</v>
      </c>
      <c r="AL893">
        <v>43</v>
      </c>
      <c r="AM893">
        <v>3</v>
      </c>
      <c r="AN893">
        <v>3</v>
      </c>
      <c r="AO893">
        <v>1</v>
      </c>
      <c r="AP893">
        <v>4</v>
      </c>
      <c r="AQ893" t="s">
        <v>8924</v>
      </c>
      <c r="AR893" t="s">
        <v>8925</v>
      </c>
      <c r="AS893" t="s">
        <v>8926</v>
      </c>
      <c r="AT893" t="s">
        <v>69</v>
      </c>
      <c r="AU893" t="s">
        <v>15686</v>
      </c>
      <c r="AV893" t="s">
        <v>69</v>
      </c>
      <c r="AW893" t="s">
        <v>15687</v>
      </c>
      <c r="AX893" t="s">
        <v>15688</v>
      </c>
      <c r="AY893" t="s">
        <v>94</v>
      </c>
      <c r="AZ893">
        <v>2020</v>
      </c>
      <c r="BA893">
        <v>4</v>
      </c>
      <c r="BB893">
        <v>1</v>
      </c>
      <c r="BC893" t="s">
        <v>69</v>
      </c>
      <c r="BD893" t="s">
        <v>69</v>
      </c>
      <c r="BE893" t="s">
        <v>69</v>
      </c>
      <c r="BF893" t="s">
        <v>69</v>
      </c>
      <c r="BG893" t="s">
        <v>69</v>
      </c>
      <c r="BH893" t="s">
        <v>69</v>
      </c>
      <c r="BI893">
        <v>13</v>
      </c>
      <c r="BJ893" t="s">
        <v>15689</v>
      </c>
      <c r="BK893" t="str">
        <f>HYPERLINK("http://dx.doi.org/10.3390/urbansci4010013","http://dx.doi.org/10.3390/urbansci4010013")</f>
        <v>http://dx.doi.org/10.3390/urbansci4010013</v>
      </c>
      <c r="BL893" t="s">
        <v>69</v>
      </c>
      <c r="BM893" t="s">
        <v>69</v>
      </c>
      <c r="BN893">
        <v>19</v>
      </c>
      <c r="BO893" t="s">
        <v>15690</v>
      </c>
      <c r="BP893" t="s">
        <v>8573</v>
      </c>
      <c r="BQ893" t="s">
        <v>9607</v>
      </c>
      <c r="BR893" t="s">
        <v>15691</v>
      </c>
      <c r="BS893" t="s">
        <v>15692</v>
      </c>
      <c r="BT893" t="s">
        <v>69</v>
      </c>
      <c r="BU893" t="s">
        <v>11853</v>
      </c>
      <c r="BV893" t="s">
        <v>69</v>
      </c>
      <c r="BW893" t="s">
        <v>69</v>
      </c>
      <c r="BX893" t="s">
        <v>8526</v>
      </c>
      <c r="BY893" t="str">
        <f>HYPERLINK("https%3A%2F%2Fwww.webofscience.com%2Fwos%2Fwoscc%2Ffull-record%2FWOS:000620927300012","View Full Record in Web of Science")</f>
        <v>View Full Record in Web of Science</v>
      </c>
    </row>
    <row r="894" spans="1:77" ht="12.5" x14ac:dyDescent="0.25">
      <c r="A894" t="s">
        <v>8495</v>
      </c>
      <c r="B894" s="7" t="s">
        <v>32933</v>
      </c>
      <c r="C894" s="7"/>
      <c r="D894" s="7"/>
      <c r="E894" s="7"/>
      <c r="F894" t="s">
        <v>67</v>
      </c>
      <c r="G894" t="s">
        <v>6206</v>
      </c>
      <c r="H894" t="s">
        <v>69</v>
      </c>
      <c r="I894" t="s">
        <v>69</v>
      </c>
      <c r="J894" t="s">
        <v>69</v>
      </c>
      <c r="K894" t="s">
        <v>6207</v>
      </c>
      <c r="L894" t="s">
        <v>69</v>
      </c>
      <c r="M894" t="s">
        <v>69</v>
      </c>
      <c r="N894" t="s">
        <v>6208</v>
      </c>
      <c r="O894" t="s">
        <v>6209</v>
      </c>
      <c r="P894" t="s">
        <v>69</v>
      </c>
      <c r="Q894" t="s">
        <v>69</v>
      </c>
      <c r="R894" t="s">
        <v>9357</v>
      </c>
      <c r="S894" t="s">
        <v>8506</v>
      </c>
      <c r="T894" t="s">
        <v>69</v>
      </c>
      <c r="U894" t="s">
        <v>69</v>
      </c>
      <c r="V894" t="s">
        <v>69</v>
      </c>
      <c r="W894" t="s">
        <v>69</v>
      </c>
      <c r="X894" t="s">
        <v>69</v>
      </c>
      <c r="Y894" t="s">
        <v>20845</v>
      </c>
      <c r="Z894" t="s">
        <v>69</v>
      </c>
      <c r="AA894" t="s">
        <v>6210</v>
      </c>
      <c r="AB894" t="s">
        <v>20846</v>
      </c>
      <c r="AC894" t="s">
        <v>69</v>
      </c>
      <c r="AD894" t="s">
        <v>20847</v>
      </c>
      <c r="AE894" t="s">
        <v>20848</v>
      </c>
      <c r="AF894" t="s">
        <v>69</v>
      </c>
      <c r="AG894" t="s">
        <v>69</v>
      </c>
      <c r="AH894" t="s">
        <v>69</v>
      </c>
      <c r="AI894" t="s">
        <v>69</v>
      </c>
      <c r="AJ894" t="s">
        <v>69</v>
      </c>
      <c r="AK894" t="s">
        <v>69</v>
      </c>
      <c r="AL894">
        <v>11</v>
      </c>
      <c r="AM894">
        <v>1</v>
      </c>
      <c r="AN894">
        <v>2</v>
      </c>
      <c r="AO894">
        <v>1</v>
      </c>
      <c r="AP894">
        <v>5</v>
      </c>
      <c r="AQ894" t="s">
        <v>20849</v>
      </c>
      <c r="AR894" t="s">
        <v>9367</v>
      </c>
      <c r="AS894" t="s">
        <v>20850</v>
      </c>
      <c r="AT894" t="s">
        <v>6211</v>
      </c>
      <c r="AU894" t="s">
        <v>6212</v>
      </c>
      <c r="AV894" t="s">
        <v>69</v>
      </c>
      <c r="AW894" t="s">
        <v>20851</v>
      </c>
      <c r="AX894" t="s">
        <v>20852</v>
      </c>
      <c r="AY894" t="s">
        <v>69</v>
      </c>
      <c r="AZ894">
        <v>2017</v>
      </c>
      <c r="BA894">
        <v>22</v>
      </c>
      <c r="BB894">
        <v>1</v>
      </c>
      <c r="BC894" t="s">
        <v>69</v>
      </c>
      <c r="BD894" t="s">
        <v>69</v>
      </c>
      <c r="BE894" t="s">
        <v>69</v>
      </c>
      <c r="BF894" t="s">
        <v>69</v>
      </c>
      <c r="BG894">
        <v>119</v>
      </c>
      <c r="BH894">
        <v>129</v>
      </c>
      <c r="BI894" t="s">
        <v>69</v>
      </c>
      <c r="BJ894" t="s">
        <v>6213</v>
      </c>
      <c r="BK894" t="str">
        <f>HYPERLINK("http://dx.doi.org/10.17759/pse.2017220114","http://dx.doi.org/10.17759/pse.2017220114")</f>
        <v>http://dx.doi.org/10.17759/pse.2017220114</v>
      </c>
      <c r="BL894" t="s">
        <v>69</v>
      </c>
      <c r="BM894" t="s">
        <v>69</v>
      </c>
      <c r="BN894">
        <v>11</v>
      </c>
      <c r="BO894" t="s">
        <v>20853</v>
      </c>
      <c r="BP894" t="s">
        <v>8573</v>
      </c>
      <c r="BQ894" t="s">
        <v>14726</v>
      </c>
      <c r="BR894" t="s">
        <v>20854</v>
      </c>
      <c r="BS894" t="s">
        <v>6214</v>
      </c>
      <c r="BT894" t="s">
        <v>69</v>
      </c>
      <c r="BU894" t="s">
        <v>8931</v>
      </c>
      <c r="BV894" t="s">
        <v>69</v>
      </c>
      <c r="BW894" t="s">
        <v>69</v>
      </c>
      <c r="BX894" t="s">
        <v>8526</v>
      </c>
      <c r="BY894" t="str">
        <f>HYPERLINK("https%3A%2F%2Fwww.webofscience.com%2Fwos%2Fwoscc%2Ffull-record%2FWOS:000408438300014","View Full Record in Web of Science")</f>
        <v>View Full Record in Web of Science</v>
      </c>
    </row>
    <row r="895" spans="1:77" ht="12.5" x14ac:dyDescent="0.25">
      <c r="A895" t="s">
        <v>8495</v>
      </c>
      <c r="B895" s="22" t="s">
        <v>32931</v>
      </c>
      <c r="C895" s="7"/>
      <c r="D895" s="7"/>
      <c r="E895" s="7"/>
      <c r="F895" t="s">
        <v>67</v>
      </c>
      <c r="G895" t="s">
        <v>28070</v>
      </c>
      <c r="H895" t="s">
        <v>69</v>
      </c>
      <c r="I895" t="s">
        <v>69</v>
      </c>
      <c r="J895" t="s">
        <v>69</v>
      </c>
      <c r="K895" t="s">
        <v>28071</v>
      </c>
      <c r="L895" t="s">
        <v>69</v>
      </c>
      <c r="M895" t="s">
        <v>69</v>
      </c>
      <c r="N895" t="s">
        <v>28072</v>
      </c>
      <c r="O895" t="s">
        <v>28073</v>
      </c>
      <c r="P895" t="s">
        <v>69</v>
      </c>
      <c r="Q895" t="s">
        <v>69</v>
      </c>
      <c r="R895" t="s">
        <v>8505</v>
      </c>
      <c r="S895" t="s">
        <v>8506</v>
      </c>
      <c r="T895" t="s">
        <v>69</v>
      </c>
      <c r="U895" t="s">
        <v>69</v>
      </c>
      <c r="V895" t="s">
        <v>69</v>
      </c>
      <c r="W895" t="s">
        <v>69</v>
      </c>
      <c r="X895" t="s">
        <v>69</v>
      </c>
      <c r="Y895" t="s">
        <v>69</v>
      </c>
      <c r="Z895" t="s">
        <v>69</v>
      </c>
      <c r="AA895" t="s">
        <v>28074</v>
      </c>
      <c r="AB895" t="s">
        <v>28075</v>
      </c>
      <c r="AC895" t="s">
        <v>69</v>
      </c>
      <c r="AD895" t="s">
        <v>28076</v>
      </c>
      <c r="AE895" t="s">
        <v>69</v>
      </c>
      <c r="AF895" t="s">
        <v>69</v>
      </c>
      <c r="AG895" t="s">
        <v>28077</v>
      </c>
      <c r="AH895" t="s">
        <v>69</v>
      </c>
      <c r="AI895" t="s">
        <v>69</v>
      </c>
      <c r="AJ895" t="s">
        <v>69</v>
      </c>
      <c r="AK895" t="s">
        <v>69</v>
      </c>
      <c r="AL895">
        <v>38</v>
      </c>
      <c r="AM895">
        <v>3</v>
      </c>
      <c r="AN895">
        <v>3</v>
      </c>
      <c r="AO895">
        <v>0</v>
      </c>
      <c r="AP895">
        <v>0</v>
      </c>
      <c r="AQ895" t="s">
        <v>28078</v>
      </c>
      <c r="AR895" t="s">
        <v>28079</v>
      </c>
      <c r="AS895" t="s">
        <v>28080</v>
      </c>
      <c r="AT895" t="s">
        <v>28081</v>
      </c>
      <c r="AU895" t="s">
        <v>69</v>
      </c>
      <c r="AV895" t="s">
        <v>69</v>
      </c>
      <c r="AW895" t="s">
        <v>28082</v>
      </c>
      <c r="AX895" t="s">
        <v>28083</v>
      </c>
      <c r="AY895" t="s">
        <v>69</v>
      </c>
      <c r="AZ895">
        <v>2010</v>
      </c>
      <c r="BA895">
        <v>25</v>
      </c>
      <c r="BB895">
        <v>3</v>
      </c>
      <c r="BC895" t="s">
        <v>69</v>
      </c>
      <c r="BD895" t="s">
        <v>69</v>
      </c>
      <c r="BE895" t="s">
        <v>69</v>
      </c>
      <c r="BF895" t="s">
        <v>69</v>
      </c>
      <c r="BG895">
        <v>33</v>
      </c>
      <c r="BH895">
        <v>42</v>
      </c>
      <c r="BI895" t="s">
        <v>69</v>
      </c>
      <c r="BJ895" t="s">
        <v>69</v>
      </c>
      <c r="BK895" t="s">
        <v>69</v>
      </c>
      <c r="BL895" t="s">
        <v>69</v>
      </c>
      <c r="BM895" t="s">
        <v>69</v>
      </c>
      <c r="BN895">
        <v>10</v>
      </c>
      <c r="BO895" t="s">
        <v>13837</v>
      </c>
      <c r="BP895" t="s">
        <v>8573</v>
      </c>
      <c r="BQ895" t="s">
        <v>9290</v>
      </c>
      <c r="BR895" t="s">
        <v>28084</v>
      </c>
      <c r="BS895" t="s">
        <v>28085</v>
      </c>
      <c r="BT895" t="s">
        <v>69</v>
      </c>
      <c r="BU895" t="s">
        <v>69</v>
      </c>
      <c r="BV895" t="s">
        <v>69</v>
      </c>
      <c r="BW895" t="s">
        <v>69</v>
      </c>
      <c r="BX895" t="s">
        <v>8526</v>
      </c>
      <c r="BY895" t="str">
        <f>HYPERLINK("https%3A%2F%2Fwww.webofscience.com%2Fwos%2Fwoscc%2Ffull-record%2FWOS:000215054300005","View Full Record in Web of Science")</f>
        <v>View Full Record in Web of Science</v>
      </c>
    </row>
    <row r="896" spans="1:77" ht="12.5" x14ac:dyDescent="0.25">
      <c r="A896" t="s">
        <v>8495</v>
      </c>
      <c r="B896" s="7" t="s">
        <v>32933</v>
      </c>
      <c r="C896" s="7"/>
      <c r="D896" s="7"/>
      <c r="E896" s="7"/>
      <c r="F896" t="s">
        <v>67</v>
      </c>
      <c r="G896" t="s">
        <v>2977</v>
      </c>
      <c r="H896" t="s">
        <v>69</v>
      </c>
      <c r="I896" t="s">
        <v>69</v>
      </c>
      <c r="J896" t="s">
        <v>69</v>
      </c>
      <c r="K896" t="s">
        <v>2978</v>
      </c>
      <c r="L896" t="s">
        <v>69</v>
      </c>
      <c r="M896" t="s">
        <v>69</v>
      </c>
      <c r="N896" t="s">
        <v>2979</v>
      </c>
      <c r="O896" t="s">
        <v>436</v>
      </c>
      <c r="P896" t="s">
        <v>69</v>
      </c>
      <c r="Q896" t="s">
        <v>69</v>
      </c>
      <c r="R896" t="s">
        <v>8505</v>
      </c>
      <c r="S896" t="s">
        <v>8506</v>
      </c>
      <c r="T896" t="s">
        <v>69</v>
      </c>
      <c r="U896" t="s">
        <v>69</v>
      </c>
      <c r="V896" t="s">
        <v>69</v>
      </c>
      <c r="W896" t="s">
        <v>69</v>
      </c>
      <c r="X896" t="s">
        <v>69</v>
      </c>
      <c r="Y896" t="s">
        <v>22400</v>
      </c>
      <c r="Z896" t="s">
        <v>22401</v>
      </c>
      <c r="AA896" t="s">
        <v>2980</v>
      </c>
      <c r="AB896" t="s">
        <v>22402</v>
      </c>
      <c r="AC896" t="s">
        <v>69</v>
      </c>
      <c r="AD896" t="s">
        <v>22403</v>
      </c>
      <c r="AE896" t="s">
        <v>22404</v>
      </c>
      <c r="AF896" t="s">
        <v>69</v>
      </c>
      <c r="AG896" t="s">
        <v>2981</v>
      </c>
      <c r="AH896" t="s">
        <v>69</v>
      </c>
      <c r="AI896" t="s">
        <v>69</v>
      </c>
      <c r="AJ896" t="s">
        <v>69</v>
      </c>
      <c r="AK896" t="s">
        <v>69</v>
      </c>
      <c r="AL896">
        <v>70</v>
      </c>
      <c r="AM896">
        <v>24</v>
      </c>
      <c r="AN896">
        <v>25</v>
      </c>
      <c r="AO896">
        <v>1</v>
      </c>
      <c r="AP896">
        <v>45</v>
      </c>
      <c r="AQ896" t="s">
        <v>8636</v>
      </c>
      <c r="AR896" t="s">
        <v>8637</v>
      </c>
      <c r="AS896" t="s">
        <v>8638</v>
      </c>
      <c r="AT896" t="s">
        <v>440</v>
      </c>
      <c r="AU896" t="s">
        <v>441</v>
      </c>
      <c r="AV896" t="s">
        <v>69</v>
      </c>
      <c r="AW896" t="s">
        <v>8639</v>
      </c>
      <c r="AX896" t="s">
        <v>8640</v>
      </c>
      <c r="AY896" t="s">
        <v>2982</v>
      </c>
      <c r="AZ896">
        <v>2015</v>
      </c>
      <c r="BA896">
        <v>105</v>
      </c>
      <c r="BB896" t="s">
        <v>69</v>
      </c>
      <c r="BC896" t="s">
        <v>69</v>
      </c>
      <c r="BD896" t="s">
        <v>69</v>
      </c>
      <c r="BE896" t="s">
        <v>69</v>
      </c>
      <c r="BF896" t="s">
        <v>69</v>
      </c>
      <c r="BG896">
        <v>146</v>
      </c>
      <c r="BH896">
        <v>156</v>
      </c>
      <c r="BI896" t="s">
        <v>69</v>
      </c>
      <c r="BJ896" t="s">
        <v>2983</v>
      </c>
      <c r="BK896" t="str">
        <f>HYPERLINK("http://dx.doi.org/10.1016/j.jclepro.2015.04.014","http://dx.doi.org/10.1016/j.jclepro.2015.04.014")</f>
        <v>http://dx.doi.org/10.1016/j.jclepro.2015.04.014</v>
      </c>
      <c r="BL896" t="s">
        <v>69</v>
      </c>
      <c r="BM896" t="s">
        <v>69</v>
      </c>
      <c r="BN896">
        <v>11</v>
      </c>
      <c r="BO896" t="s">
        <v>8643</v>
      </c>
      <c r="BP896" t="s">
        <v>8523</v>
      </c>
      <c r="BQ896" t="s">
        <v>8644</v>
      </c>
      <c r="BR896" t="s">
        <v>22405</v>
      </c>
      <c r="BS896" t="s">
        <v>2984</v>
      </c>
      <c r="BT896" t="s">
        <v>69</v>
      </c>
      <c r="BU896" t="s">
        <v>69</v>
      </c>
      <c r="BV896" t="s">
        <v>69</v>
      </c>
      <c r="BW896" t="s">
        <v>69</v>
      </c>
      <c r="BX896" t="s">
        <v>8526</v>
      </c>
      <c r="BY896" t="str">
        <f>HYPERLINK("https%3A%2F%2Fwww.webofscience.com%2Fwos%2Fwoscc%2Ffull-record%2FWOS:000359959200012","View Full Record in Web of Science")</f>
        <v>View Full Record in Web of Science</v>
      </c>
    </row>
    <row r="897" spans="1:77" ht="12.5" x14ac:dyDescent="0.25">
      <c r="A897" t="s">
        <v>8495</v>
      </c>
      <c r="B897" s="22" t="s">
        <v>32931</v>
      </c>
      <c r="C897" s="7"/>
      <c r="D897" s="7"/>
      <c r="E897" s="7"/>
      <c r="F897" t="s">
        <v>67</v>
      </c>
      <c r="G897" t="s">
        <v>32300</v>
      </c>
      <c r="H897" t="s">
        <v>69</v>
      </c>
      <c r="I897" t="s">
        <v>69</v>
      </c>
      <c r="J897" t="s">
        <v>69</v>
      </c>
      <c r="K897" t="s">
        <v>32300</v>
      </c>
      <c r="L897" t="s">
        <v>69</v>
      </c>
      <c r="M897" t="s">
        <v>69</v>
      </c>
      <c r="N897" t="s">
        <v>32301</v>
      </c>
      <c r="O897" t="s">
        <v>32302</v>
      </c>
      <c r="P897" t="s">
        <v>69</v>
      </c>
      <c r="Q897" t="s">
        <v>69</v>
      </c>
      <c r="R897" t="s">
        <v>8505</v>
      </c>
      <c r="S897" t="s">
        <v>8506</v>
      </c>
      <c r="T897" t="s">
        <v>69</v>
      </c>
      <c r="U897" t="s">
        <v>69</v>
      </c>
      <c r="V897" t="s">
        <v>69</v>
      </c>
      <c r="W897" t="s">
        <v>69</v>
      </c>
      <c r="X897" t="s">
        <v>69</v>
      </c>
      <c r="Y897" t="s">
        <v>32303</v>
      </c>
      <c r="Z897" t="s">
        <v>32304</v>
      </c>
      <c r="AA897" t="s">
        <v>32305</v>
      </c>
      <c r="AB897" t="s">
        <v>32306</v>
      </c>
      <c r="AC897" t="s">
        <v>69</v>
      </c>
      <c r="AD897" t="s">
        <v>32307</v>
      </c>
      <c r="AE897" t="s">
        <v>69</v>
      </c>
      <c r="AF897" t="s">
        <v>69</v>
      </c>
      <c r="AG897" t="s">
        <v>32308</v>
      </c>
      <c r="AH897" t="s">
        <v>69</v>
      </c>
      <c r="AI897" t="s">
        <v>69</v>
      </c>
      <c r="AJ897" t="s">
        <v>69</v>
      </c>
      <c r="AK897" t="s">
        <v>69</v>
      </c>
      <c r="AL897">
        <v>63</v>
      </c>
      <c r="AM897">
        <v>9</v>
      </c>
      <c r="AN897">
        <v>9</v>
      </c>
      <c r="AO897">
        <v>0</v>
      </c>
      <c r="AP897">
        <v>1</v>
      </c>
      <c r="AQ897" t="s">
        <v>32309</v>
      </c>
      <c r="AR897" t="s">
        <v>26039</v>
      </c>
      <c r="AS897" t="s">
        <v>32310</v>
      </c>
      <c r="AT897" t="s">
        <v>32311</v>
      </c>
      <c r="AU897" t="s">
        <v>69</v>
      </c>
      <c r="AV897" t="s">
        <v>69</v>
      </c>
      <c r="AW897" t="s">
        <v>32312</v>
      </c>
      <c r="AX897" t="s">
        <v>32313</v>
      </c>
      <c r="AY897" t="s">
        <v>1425</v>
      </c>
      <c r="AZ897">
        <v>1997</v>
      </c>
      <c r="BA897">
        <v>69</v>
      </c>
      <c r="BB897">
        <v>2</v>
      </c>
      <c r="BC897" t="s">
        <v>69</v>
      </c>
      <c r="BD897" t="s">
        <v>69</v>
      </c>
      <c r="BE897" t="s">
        <v>69</v>
      </c>
      <c r="BF897" t="s">
        <v>69</v>
      </c>
      <c r="BG897">
        <v>196</v>
      </c>
      <c r="BH897">
        <v>205</v>
      </c>
      <c r="BI897" t="s">
        <v>69</v>
      </c>
      <c r="BJ897" t="s">
        <v>32314</v>
      </c>
      <c r="BK897" t="str">
        <f>HYPERLINK("http://dx.doi.org/10.2175/106143097X125353","http://dx.doi.org/10.2175/106143097X125353")</f>
        <v>http://dx.doi.org/10.2175/106143097X125353</v>
      </c>
      <c r="BL897" t="s">
        <v>69</v>
      </c>
      <c r="BM897" t="s">
        <v>69</v>
      </c>
      <c r="BN897">
        <v>10</v>
      </c>
      <c r="BO897" t="s">
        <v>32315</v>
      </c>
      <c r="BP897" t="s">
        <v>8548</v>
      </c>
      <c r="BQ897" t="s">
        <v>32316</v>
      </c>
      <c r="BR897" t="s">
        <v>32317</v>
      </c>
      <c r="BS897" t="s">
        <v>32318</v>
      </c>
      <c r="BT897" t="s">
        <v>69</v>
      </c>
      <c r="BU897" t="s">
        <v>69</v>
      </c>
      <c r="BV897" t="s">
        <v>69</v>
      </c>
      <c r="BW897" t="s">
        <v>69</v>
      </c>
      <c r="BX897" t="s">
        <v>8526</v>
      </c>
      <c r="BY897" t="str">
        <f>HYPERLINK("https%3A%2F%2Fwww.webofscience.com%2Fwos%2Fwoscc%2Ffull-record%2FWOS:A1997WL72500011","View Full Record in Web of Science")</f>
        <v>View Full Record in Web of Science</v>
      </c>
    </row>
    <row r="898" spans="1:77" ht="12.5" x14ac:dyDescent="0.25">
      <c r="A898" t="s">
        <v>8495</v>
      </c>
      <c r="B898" s="7" t="s">
        <v>32933</v>
      </c>
      <c r="C898" s="7"/>
      <c r="D898" s="7"/>
      <c r="E898" s="7"/>
      <c r="F898" t="s">
        <v>67</v>
      </c>
      <c r="G898" t="s">
        <v>5508</v>
      </c>
      <c r="H898" t="s">
        <v>69</v>
      </c>
      <c r="I898" t="s">
        <v>69</v>
      </c>
      <c r="J898" t="s">
        <v>69</v>
      </c>
      <c r="K898" t="s">
        <v>5508</v>
      </c>
      <c r="L898" t="s">
        <v>69</v>
      </c>
      <c r="M898" t="s">
        <v>69</v>
      </c>
      <c r="N898" t="s">
        <v>5509</v>
      </c>
      <c r="O898" t="s">
        <v>5510</v>
      </c>
      <c r="P898" t="s">
        <v>69</v>
      </c>
      <c r="Q898" t="s">
        <v>69</v>
      </c>
      <c r="R898" t="s">
        <v>8505</v>
      </c>
      <c r="S898" t="s">
        <v>8442</v>
      </c>
      <c r="T898" t="s">
        <v>69</v>
      </c>
      <c r="U898" t="s">
        <v>69</v>
      </c>
      <c r="V898" t="s">
        <v>69</v>
      </c>
      <c r="W898" t="s">
        <v>69</v>
      </c>
      <c r="X898" t="s">
        <v>69</v>
      </c>
      <c r="Y898" t="s">
        <v>32905</v>
      </c>
      <c r="Z898" t="s">
        <v>32906</v>
      </c>
      <c r="AA898" t="s">
        <v>5511</v>
      </c>
      <c r="AB898" t="s">
        <v>69</v>
      </c>
      <c r="AC898" t="s">
        <v>69</v>
      </c>
      <c r="AD898" t="s">
        <v>32907</v>
      </c>
      <c r="AE898" t="s">
        <v>69</v>
      </c>
      <c r="AF898" t="s">
        <v>69</v>
      </c>
      <c r="AG898" t="s">
        <v>69</v>
      </c>
      <c r="AH898" t="s">
        <v>69</v>
      </c>
      <c r="AI898" t="s">
        <v>69</v>
      </c>
      <c r="AJ898" t="s">
        <v>69</v>
      </c>
      <c r="AK898" t="s">
        <v>69</v>
      </c>
      <c r="AL898">
        <v>233</v>
      </c>
      <c r="AM898">
        <v>31</v>
      </c>
      <c r="AN898">
        <v>33</v>
      </c>
      <c r="AO898">
        <v>0</v>
      </c>
      <c r="AP898">
        <v>15</v>
      </c>
      <c r="AQ898" t="s">
        <v>32882</v>
      </c>
      <c r="AR898" t="s">
        <v>8693</v>
      </c>
      <c r="AS898" t="s">
        <v>32908</v>
      </c>
      <c r="AT898" t="s">
        <v>5512</v>
      </c>
      <c r="AU898" t="s">
        <v>69</v>
      </c>
      <c r="AV898" t="s">
        <v>69</v>
      </c>
      <c r="AW898" t="s">
        <v>32909</v>
      </c>
      <c r="AX898" t="s">
        <v>32910</v>
      </c>
      <c r="AY898" t="s">
        <v>69</v>
      </c>
      <c r="AZ898">
        <v>1991</v>
      </c>
      <c r="BA898">
        <v>29</v>
      </c>
      <c r="BB898">
        <v>3</v>
      </c>
      <c r="BC898" t="s">
        <v>69</v>
      </c>
      <c r="BD898" t="s">
        <v>69</v>
      </c>
      <c r="BE898" t="s">
        <v>69</v>
      </c>
      <c r="BF898" t="s">
        <v>69</v>
      </c>
      <c r="BG898">
        <v>315</v>
      </c>
      <c r="BH898">
        <v>374</v>
      </c>
      <c r="BI898" t="s">
        <v>69</v>
      </c>
      <c r="BJ898" t="s">
        <v>5513</v>
      </c>
      <c r="BK898" t="str">
        <f>HYPERLINK("http://dx.doi.org/10.3109/15563659109000363","http://dx.doi.org/10.3109/15563659109000363")</f>
        <v>http://dx.doi.org/10.3109/15563659109000363</v>
      </c>
      <c r="BL898" t="s">
        <v>69</v>
      </c>
      <c r="BM898" t="s">
        <v>69</v>
      </c>
      <c r="BN898">
        <v>60</v>
      </c>
      <c r="BO898" t="s">
        <v>31242</v>
      </c>
      <c r="BP898" t="s">
        <v>8548</v>
      </c>
      <c r="BQ898" t="s">
        <v>31242</v>
      </c>
      <c r="BR898" t="s">
        <v>32911</v>
      </c>
      <c r="BS898" t="s">
        <v>5514</v>
      </c>
      <c r="BT898">
        <v>1920571</v>
      </c>
      <c r="BU898" t="s">
        <v>69</v>
      </c>
      <c r="BV898" t="s">
        <v>69</v>
      </c>
      <c r="BW898" t="s">
        <v>69</v>
      </c>
      <c r="BX898" t="s">
        <v>8526</v>
      </c>
      <c r="BY898" t="str">
        <f>HYPERLINK("https%3A%2F%2Fwww.webofscience.com%2Fwos%2Fwoscc%2Ffull-record%2FWOS:A1991GH53900002","View Full Record in Web of Science")</f>
        <v>View Full Record in Web of Science</v>
      </c>
    </row>
    <row r="899" spans="1:77" ht="12.5" x14ac:dyDescent="0.25">
      <c r="A899" t="s">
        <v>8495</v>
      </c>
      <c r="B899" s="7" t="s">
        <v>32933</v>
      </c>
      <c r="C899" s="7"/>
      <c r="D899" s="7"/>
      <c r="E899" s="7"/>
      <c r="F899" t="s">
        <v>67</v>
      </c>
      <c r="G899" t="s">
        <v>4262</v>
      </c>
      <c r="H899" t="s">
        <v>69</v>
      </c>
      <c r="I899" t="s">
        <v>69</v>
      </c>
      <c r="J899" t="s">
        <v>69</v>
      </c>
      <c r="K899" t="s">
        <v>4262</v>
      </c>
      <c r="L899" t="s">
        <v>69</v>
      </c>
      <c r="M899" t="s">
        <v>69</v>
      </c>
      <c r="N899" t="s">
        <v>4263</v>
      </c>
      <c r="O899" t="s">
        <v>4264</v>
      </c>
      <c r="P899" t="s">
        <v>69</v>
      </c>
      <c r="Q899" t="s">
        <v>69</v>
      </c>
      <c r="R899" t="s">
        <v>8505</v>
      </c>
      <c r="S899" t="s">
        <v>8442</v>
      </c>
      <c r="T899" t="s">
        <v>69</v>
      </c>
      <c r="U899" t="s">
        <v>69</v>
      </c>
      <c r="V899" t="s">
        <v>69</v>
      </c>
      <c r="W899" t="s">
        <v>69</v>
      </c>
      <c r="X899" t="s">
        <v>69</v>
      </c>
      <c r="Y899" t="s">
        <v>32527</v>
      </c>
      <c r="Z899" t="s">
        <v>69</v>
      </c>
      <c r="AA899" t="s">
        <v>4265</v>
      </c>
      <c r="AB899" t="s">
        <v>32528</v>
      </c>
      <c r="AC899" t="s">
        <v>69</v>
      </c>
      <c r="AD899" t="s">
        <v>32529</v>
      </c>
      <c r="AE899" t="s">
        <v>69</v>
      </c>
      <c r="AF899" t="s">
        <v>69</v>
      </c>
      <c r="AG899" t="s">
        <v>69</v>
      </c>
      <c r="AH899" t="s">
        <v>69</v>
      </c>
      <c r="AI899" t="s">
        <v>69</v>
      </c>
      <c r="AJ899" t="s">
        <v>69</v>
      </c>
      <c r="AK899" t="s">
        <v>69</v>
      </c>
      <c r="AL899">
        <v>54</v>
      </c>
      <c r="AM899">
        <v>91</v>
      </c>
      <c r="AN899">
        <v>91</v>
      </c>
      <c r="AO899">
        <v>1</v>
      </c>
      <c r="AP899">
        <v>19</v>
      </c>
      <c r="AQ899" t="s">
        <v>13509</v>
      </c>
      <c r="AR899" t="s">
        <v>31871</v>
      </c>
      <c r="AS899" t="s">
        <v>32530</v>
      </c>
      <c r="AT899" t="s">
        <v>4266</v>
      </c>
      <c r="AU899" t="s">
        <v>69</v>
      </c>
      <c r="AV899" t="s">
        <v>69</v>
      </c>
      <c r="AW899" t="s">
        <v>32531</v>
      </c>
      <c r="AX899" t="s">
        <v>32532</v>
      </c>
      <c r="AY899" t="s">
        <v>69</v>
      </c>
      <c r="AZ899">
        <v>1996</v>
      </c>
      <c r="BA899">
        <v>6</v>
      </c>
      <c r="BB899" t="s">
        <v>4267</v>
      </c>
      <c r="BC899" t="s">
        <v>69</v>
      </c>
      <c r="BD899" t="s">
        <v>69</v>
      </c>
      <c r="BE899" t="s">
        <v>69</v>
      </c>
      <c r="BF899" t="s">
        <v>69</v>
      </c>
      <c r="BG899">
        <v>89</v>
      </c>
      <c r="BH899">
        <v>112</v>
      </c>
      <c r="BI899" t="s">
        <v>69</v>
      </c>
      <c r="BJ899" t="s">
        <v>69</v>
      </c>
      <c r="BK899" t="s">
        <v>69</v>
      </c>
      <c r="BL899" t="s">
        <v>69</v>
      </c>
      <c r="BM899" t="s">
        <v>69</v>
      </c>
      <c r="BN899">
        <v>24</v>
      </c>
      <c r="BO899" t="s">
        <v>8717</v>
      </c>
      <c r="BP899" t="s">
        <v>8548</v>
      </c>
      <c r="BQ899" t="s">
        <v>8662</v>
      </c>
      <c r="BR899" t="s">
        <v>32533</v>
      </c>
      <c r="BS899" t="s">
        <v>4268</v>
      </c>
      <c r="BT899" t="s">
        <v>69</v>
      </c>
      <c r="BU899" t="s">
        <v>69</v>
      </c>
      <c r="BV899" t="s">
        <v>69</v>
      </c>
      <c r="BW899" t="s">
        <v>69</v>
      </c>
      <c r="BX899" t="s">
        <v>8526</v>
      </c>
      <c r="BY899" t="str">
        <f>HYPERLINK("https%3A%2F%2Fwww.webofscience.com%2Fwos%2Fwoscc%2Ffull-record%2FWOS:A1996UR96000001","View Full Record in Web of Science")</f>
        <v>View Full Record in Web of Science</v>
      </c>
    </row>
    <row r="900" spans="1:77" ht="12.5" x14ac:dyDescent="0.25">
      <c r="A900" t="s">
        <v>8495</v>
      </c>
      <c r="B900" s="22" t="s">
        <v>32931</v>
      </c>
      <c r="C900" s="7"/>
      <c r="D900" s="7"/>
      <c r="E900" s="7"/>
      <c r="F900" t="s">
        <v>67</v>
      </c>
      <c r="G900" t="s">
        <v>14411</v>
      </c>
      <c r="H900" t="s">
        <v>69</v>
      </c>
      <c r="I900" t="s">
        <v>69</v>
      </c>
      <c r="J900" t="s">
        <v>69</v>
      </c>
      <c r="K900" t="s">
        <v>14412</v>
      </c>
      <c r="L900" t="s">
        <v>69</v>
      </c>
      <c r="M900" t="s">
        <v>69</v>
      </c>
      <c r="N900" t="s">
        <v>14413</v>
      </c>
      <c r="O900" t="s">
        <v>8071</v>
      </c>
      <c r="P900" t="s">
        <v>69</v>
      </c>
      <c r="Q900" t="s">
        <v>69</v>
      </c>
      <c r="R900" t="s">
        <v>8505</v>
      </c>
      <c r="S900" t="s">
        <v>8506</v>
      </c>
      <c r="T900" t="s">
        <v>69</v>
      </c>
      <c r="U900" t="s">
        <v>69</v>
      </c>
      <c r="V900" t="s">
        <v>69</v>
      </c>
      <c r="W900" t="s">
        <v>69</v>
      </c>
      <c r="X900" t="s">
        <v>69</v>
      </c>
      <c r="Y900" t="s">
        <v>14414</v>
      </c>
      <c r="Z900" t="s">
        <v>14415</v>
      </c>
      <c r="AA900" t="s">
        <v>14416</v>
      </c>
      <c r="AB900" t="s">
        <v>14417</v>
      </c>
      <c r="AC900" t="s">
        <v>69</v>
      </c>
      <c r="AD900" t="s">
        <v>14418</v>
      </c>
      <c r="AE900" t="s">
        <v>14419</v>
      </c>
      <c r="AF900" t="s">
        <v>69</v>
      </c>
      <c r="AG900" t="s">
        <v>14420</v>
      </c>
      <c r="AH900" t="s">
        <v>14421</v>
      </c>
      <c r="AI900" t="s">
        <v>14422</v>
      </c>
      <c r="AJ900" t="s">
        <v>14423</v>
      </c>
      <c r="AK900" t="s">
        <v>69</v>
      </c>
      <c r="AL900">
        <v>114</v>
      </c>
      <c r="AM900">
        <v>1</v>
      </c>
      <c r="AN900">
        <v>1</v>
      </c>
      <c r="AO900">
        <v>1</v>
      </c>
      <c r="AP900">
        <v>5</v>
      </c>
      <c r="AQ900" t="s">
        <v>8924</v>
      </c>
      <c r="AR900" t="s">
        <v>8925</v>
      </c>
      <c r="AS900" t="s">
        <v>8926</v>
      </c>
      <c r="AT900" t="s">
        <v>69</v>
      </c>
      <c r="AU900" t="s">
        <v>8073</v>
      </c>
      <c r="AV900" t="s">
        <v>69</v>
      </c>
      <c r="AW900" t="s">
        <v>8071</v>
      </c>
      <c r="AX900" t="s">
        <v>13979</v>
      </c>
      <c r="AY900" t="s">
        <v>255</v>
      </c>
      <c r="AZ900">
        <v>2020</v>
      </c>
      <c r="BA900">
        <v>7</v>
      </c>
      <c r="BB900">
        <v>9</v>
      </c>
      <c r="BC900" t="s">
        <v>69</v>
      </c>
      <c r="BD900" t="s">
        <v>69</v>
      </c>
      <c r="BE900" t="s">
        <v>69</v>
      </c>
      <c r="BF900" t="s">
        <v>69</v>
      </c>
      <c r="BG900" t="s">
        <v>69</v>
      </c>
      <c r="BH900" t="s">
        <v>69</v>
      </c>
      <c r="BI900">
        <v>70</v>
      </c>
      <c r="BJ900" t="s">
        <v>14424</v>
      </c>
      <c r="BK900" t="str">
        <f>HYPERLINK("http://dx.doi.org/10.3390/environments7090070","http://dx.doi.org/10.3390/environments7090070")</f>
        <v>http://dx.doi.org/10.3390/environments7090070</v>
      </c>
      <c r="BL900" t="s">
        <v>69</v>
      </c>
      <c r="BM900" t="s">
        <v>69</v>
      </c>
      <c r="BN900">
        <v>18</v>
      </c>
      <c r="BO900" t="s">
        <v>8717</v>
      </c>
      <c r="BP900" t="s">
        <v>8573</v>
      </c>
      <c r="BQ900" t="s">
        <v>8662</v>
      </c>
      <c r="BR900" t="s">
        <v>14425</v>
      </c>
      <c r="BS900" t="s">
        <v>14426</v>
      </c>
      <c r="BT900" t="s">
        <v>69</v>
      </c>
      <c r="BU900" t="s">
        <v>9352</v>
      </c>
      <c r="BV900" t="s">
        <v>69</v>
      </c>
      <c r="BW900" t="s">
        <v>69</v>
      </c>
      <c r="BX900" t="s">
        <v>8526</v>
      </c>
      <c r="BY900" t="str">
        <f>HYPERLINK("https%3A%2F%2Fwww.webofscience.com%2Fwos%2Fwoscc%2Ffull-record%2FWOS:000578128100001","View Full Record in Web of Science")</f>
        <v>View Full Record in Web of Science</v>
      </c>
    </row>
    <row r="901" spans="1:77" ht="12.5" x14ac:dyDescent="0.25">
      <c r="A901" t="s">
        <v>8495</v>
      </c>
      <c r="B901" s="22" t="s">
        <v>32931</v>
      </c>
      <c r="C901" s="7"/>
      <c r="D901" s="7"/>
      <c r="E901" s="7"/>
      <c r="F901" t="s">
        <v>67</v>
      </c>
      <c r="G901" t="s">
        <v>19985</v>
      </c>
      <c r="H901" t="s">
        <v>69</v>
      </c>
      <c r="I901" t="s">
        <v>69</v>
      </c>
      <c r="J901" t="s">
        <v>69</v>
      </c>
      <c r="K901" t="s">
        <v>19986</v>
      </c>
      <c r="L901" t="s">
        <v>69</v>
      </c>
      <c r="M901" t="s">
        <v>69</v>
      </c>
      <c r="N901" t="s">
        <v>19987</v>
      </c>
      <c r="O901" t="s">
        <v>473</v>
      </c>
      <c r="P901" t="s">
        <v>69</v>
      </c>
      <c r="Q901" t="s">
        <v>69</v>
      </c>
      <c r="R901" t="s">
        <v>8505</v>
      </c>
      <c r="S901" t="s">
        <v>8506</v>
      </c>
      <c r="T901" t="s">
        <v>69</v>
      </c>
      <c r="U901" t="s">
        <v>69</v>
      </c>
      <c r="V901" t="s">
        <v>69</v>
      </c>
      <c r="W901" t="s">
        <v>69</v>
      </c>
      <c r="X901" t="s">
        <v>69</v>
      </c>
      <c r="Y901" t="s">
        <v>19988</v>
      </c>
      <c r="Z901" t="s">
        <v>19989</v>
      </c>
      <c r="AA901" t="s">
        <v>19990</v>
      </c>
      <c r="AB901" t="s">
        <v>19991</v>
      </c>
      <c r="AC901" t="s">
        <v>69</v>
      </c>
      <c r="AD901" t="s">
        <v>19992</v>
      </c>
      <c r="AE901" t="s">
        <v>19993</v>
      </c>
      <c r="AF901" t="s">
        <v>19994</v>
      </c>
      <c r="AG901" t="s">
        <v>19995</v>
      </c>
      <c r="AH901" t="s">
        <v>69</v>
      </c>
      <c r="AI901" t="s">
        <v>69</v>
      </c>
      <c r="AJ901" t="s">
        <v>69</v>
      </c>
      <c r="AK901" t="s">
        <v>69</v>
      </c>
      <c r="AL901">
        <v>44</v>
      </c>
      <c r="AM901">
        <v>6</v>
      </c>
      <c r="AN901">
        <v>7</v>
      </c>
      <c r="AO901">
        <v>0</v>
      </c>
      <c r="AP901">
        <v>81</v>
      </c>
      <c r="AQ901" t="s">
        <v>18272</v>
      </c>
      <c r="AR901" t="s">
        <v>8763</v>
      </c>
      <c r="AS901" t="s">
        <v>18273</v>
      </c>
      <c r="AT901" t="s">
        <v>475</v>
      </c>
      <c r="AU901" t="s">
        <v>476</v>
      </c>
      <c r="AV901" t="s">
        <v>69</v>
      </c>
      <c r="AW901" t="s">
        <v>18274</v>
      </c>
      <c r="AX901" t="s">
        <v>18275</v>
      </c>
      <c r="AY901" t="s">
        <v>904</v>
      </c>
      <c r="AZ901">
        <v>2017</v>
      </c>
      <c r="BA901">
        <v>201</v>
      </c>
      <c r="BB901" t="s">
        <v>69</v>
      </c>
      <c r="BC901" t="s">
        <v>69</v>
      </c>
      <c r="BD901" t="s">
        <v>69</v>
      </c>
      <c r="BE901" t="s">
        <v>69</v>
      </c>
      <c r="BF901" t="s">
        <v>69</v>
      </c>
      <c r="BG901">
        <v>252</v>
      </c>
      <c r="BH901">
        <v>259</v>
      </c>
      <c r="BI901" t="s">
        <v>69</v>
      </c>
      <c r="BJ901" t="s">
        <v>19996</v>
      </c>
      <c r="BK901" t="str">
        <f>HYPERLINK("http://dx.doi.org/10.1016/j.jenvman.2017.06.052","http://dx.doi.org/10.1016/j.jenvman.2017.06.052")</f>
        <v>http://dx.doi.org/10.1016/j.jenvman.2017.06.052</v>
      </c>
      <c r="BL901" t="s">
        <v>69</v>
      </c>
      <c r="BM901" t="s">
        <v>69</v>
      </c>
      <c r="BN901">
        <v>8</v>
      </c>
      <c r="BO901" t="s">
        <v>8717</v>
      </c>
      <c r="BP901" t="s">
        <v>8548</v>
      </c>
      <c r="BQ901" t="s">
        <v>8662</v>
      </c>
      <c r="BR901" t="s">
        <v>19997</v>
      </c>
      <c r="BS901" t="s">
        <v>19998</v>
      </c>
      <c r="BT901">
        <v>28672197</v>
      </c>
      <c r="BU901" t="s">
        <v>69</v>
      </c>
      <c r="BV901" t="s">
        <v>69</v>
      </c>
      <c r="BW901" t="s">
        <v>69</v>
      </c>
      <c r="BX901" t="s">
        <v>8526</v>
      </c>
      <c r="BY901" t="str">
        <f>HYPERLINK("https%3A%2F%2Fwww.webofscience.com%2Fwos%2Fwoscc%2Ffull-record%2FWOS:000407662000027","View Full Record in Web of Science")</f>
        <v>View Full Record in Web of Science</v>
      </c>
    </row>
    <row r="902" spans="1:77" ht="12.5" x14ac:dyDescent="0.25">
      <c r="A902" t="s">
        <v>8495</v>
      </c>
      <c r="B902" s="7" t="s">
        <v>32933</v>
      </c>
      <c r="C902" s="7"/>
      <c r="D902" s="7"/>
      <c r="E902" s="7"/>
      <c r="F902" t="s">
        <v>67</v>
      </c>
      <c r="G902" t="s">
        <v>5960</v>
      </c>
      <c r="H902" t="s">
        <v>69</v>
      </c>
      <c r="I902" t="s">
        <v>69</v>
      </c>
      <c r="J902" t="s">
        <v>69</v>
      </c>
      <c r="K902" t="s">
        <v>5961</v>
      </c>
      <c r="L902" t="s">
        <v>69</v>
      </c>
      <c r="M902" t="s">
        <v>69</v>
      </c>
      <c r="N902" t="s">
        <v>5962</v>
      </c>
      <c r="O902" t="s">
        <v>582</v>
      </c>
      <c r="P902" t="s">
        <v>69</v>
      </c>
      <c r="Q902" t="s">
        <v>69</v>
      </c>
      <c r="R902" t="s">
        <v>8505</v>
      </c>
      <c r="S902" t="s">
        <v>8506</v>
      </c>
      <c r="T902" t="s">
        <v>69</v>
      </c>
      <c r="U902" t="s">
        <v>69</v>
      </c>
      <c r="V902" t="s">
        <v>69</v>
      </c>
      <c r="W902" t="s">
        <v>69</v>
      </c>
      <c r="X902" t="s">
        <v>69</v>
      </c>
      <c r="Y902" t="s">
        <v>27030</v>
      </c>
      <c r="Z902" t="s">
        <v>19521</v>
      </c>
      <c r="AA902" t="s">
        <v>5963</v>
      </c>
      <c r="AB902" t="s">
        <v>27031</v>
      </c>
      <c r="AC902" t="s">
        <v>69</v>
      </c>
      <c r="AD902" t="s">
        <v>27032</v>
      </c>
      <c r="AE902" t="s">
        <v>27033</v>
      </c>
      <c r="AF902" t="s">
        <v>69</v>
      </c>
      <c r="AG902" t="s">
        <v>69</v>
      </c>
      <c r="AH902" t="s">
        <v>69</v>
      </c>
      <c r="AI902" t="s">
        <v>69</v>
      </c>
      <c r="AJ902" t="s">
        <v>69</v>
      </c>
      <c r="AK902" t="s">
        <v>69</v>
      </c>
      <c r="AL902">
        <v>29</v>
      </c>
      <c r="AM902">
        <v>16</v>
      </c>
      <c r="AN902">
        <v>19</v>
      </c>
      <c r="AO902">
        <v>0</v>
      </c>
      <c r="AP902">
        <v>18</v>
      </c>
      <c r="AQ902" t="s">
        <v>8692</v>
      </c>
      <c r="AR902" t="s">
        <v>8693</v>
      </c>
      <c r="AS902" t="s">
        <v>8694</v>
      </c>
      <c r="AT902" t="s">
        <v>584</v>
      </c>
      <c r="AU902" t="s">
        <v>585</v>
      </c>
      <c r="AV902" t="s">
        <v>69</v>
      </c>
      <c r="AW902" t="s">
        <v>8695</v>
      </c>
      <c r="AX902" t="s">
        <v>8696</v>
      </c>
      <c r="AY902" t="s">
        <v>246</v>
      </c>
      <c r="AZ902">
        <v>2011</v>
      </c>
      <c r="BA902">
        <v>31</v>
      </c>
      <c r="BB902">
        <v>3</v>
      </c>
      <c r="BC902" t="s">
        <v>69</v>
      </c>
      <c r="BD902" t="s">
        <v>69</v>
      </c>
      <c r="BE902" t="s">
        <v>69</v>
      </c>
      <c r="BF902" t="s">
        <v>69</v>
      </c>
      <c r="BG902">
        <v>216</v>
      </c>
      <c r="BH902">
        <v>225</v>
      </c>
      <c r="BI902" t="s">
        <v>69</v>
      </c>
      <c r="BJ902" t="s">
        <v>5964</v>
      </c>
      <c r="BK902" t="str">
        <f>HYPERLINK("http://dx.doi.org/10.1016/j.eiar.2010.11.002","http://dx.doi.org/10.1016/j.eiar.2010.11.002")</f>
        <v>http://dx.doi.org/10.1016/j.eiar.2010.11.002</v>
      </c>
      <c r="BL902" t="s">
        <v>69</v>
      </c>
      <c r="BM902" t="s">
        <v>69</v>
      </c>
      <c r="BN902">
        <v>10</v>
      </c>
      <c r="BO902" t="s">
        <v>8660</v>
      </c>
      <c r="BP902" t="s">
        <v>8661</v>
      </c>
      <c r="BQ902" t="s">
        <v>8662</v>
      </c>
      <c r="BR902" t="s">
        <v>27034</v>
      </c>
      <c r="BS902" t="s">
        <v>5965</v>
      </c>
      <c r="BT902" t="s">
        <v>69</v>
      </c>
      <c r="BU902" t="s">
        <v>69</v>
      </c>
      <c r="BV902" t="s">
        <v>69</v>
      </c>
      <c r="BW902" t="s">
        <v>69</v>
      </c>
      <c r="BX902" t="s">
        <v>8526</v>
      </c>
      <c r="BY902" t="str">
        <f>HYPERLINK("https%3A%2F%2Fwww.webofscience.com%2Fwos%2Fwoscc%2Ffull-record%2FWOS:000290056400007","View Full Record in Web of Science")</f>
        <v>View Full Record in Web of Science</v>
      </c>
    </row>
    <row r="903" spans="1:77" ht="12.5" x14ac:dyDescent="0.25">
      <c r="A903" t="s">
        <v>8495</v>
      </c>
      <c r="B903" s="22" t="s">
        <v>32931</v>
      </c>
      <c r="C903" s="7"/>
      <c r="D903" s="7"/>
      <c r="E903" s="7"/>
      <c r="F903" t="s">
        <v>67</v>
      </c>
      <c r="G903" t="s">
        <v>10282</v>
      </c>
      <c r="H903" t="s">
        <v>69</v>
      </c>
      <c r="I903" t="s">
        <v>69</v>
      </c>
      <c r="J903" t="s">
        <v>69</v>
      </c>
      <c r="K903" t="s">
        <v>10283</v>
      </c>
      <c r="L903" t="s">
        <v>69</v>
      </c>
      <c r="M903" t="s">
        <v>69</v>
      </c>
      <c r="N903" t="s">
        <v>10284</v>
      </c>
      <c r="O903" t="s">
        <v>10285</v>
      </c>
      <c r="P903" t="s">
        <v>69</v>
      </c>
      <c r="Q903" t="s">
        <v>69</v>
      </c>
      <c r="R903" t="s">
        <v>8505</v>
      </c>
      <c r="S903" t="s">
        <v>8506</v>
      </c>
      <c r="T903" t="s">
        <v>69</v>
      </c>
      <c r="U903" t="s">
        <v>69</v>
      </c>
      <c r="V903" t="s">
        <v>69</v>
      </c>
      <c r="W903" t="s">
        <v>69</v>
      </c>
      <c r="X903" t="s">
        <v>69</v>
      </c>
      <c r="Y903" t="s">
        <v>10286</v>
      </c>
      <c r="Z903" t="s">
        <v>10287</v>
      </c>
      <c r="AA903" t="s">
        <v>10288</v>
      </c>
      <c r="AB903" t="s">
        <v>10289</v>
      </c>
      <c r="AC903" t="s">
        <v>69</v>
      </c>
      <c r="AD903" t="s">
        <v>10290</v>
      </c>
      <c r="AE903" t="s">
        <v>10291</v>
      </c>
      <c r="AF903" t="s">
        <v>69</v>
      </c>
      <c r="AG903" t="s">
        <v>10292</v>
      </c>
      <c r="AH903" t="s">
        <v>10293</v>
      </c>
      <c r="AI903" t="s">
        <v>10293</v>
      </c>
      <c r="AJ903" t="s">
        <v>10294</v>
      </c>
      <c r="AK903" t="s">
        <v>69</v>
      </c>
      <c r="AL903">
        <v>49</v>
      </c>
      <c r="AM903">
        <v>1</v>
      </c>
      <c r="AN903">
        <v>1</v>
      </c>
      <c r="AO903">
        <v>2</v>
      </c>
      <c r="AP903">
        <v>2</v>
      </c>
      <c r="AQ903" t="s">
        <v>9554</v>
      </c>
      <c r="AR903" t="s">
        <v>9555</v>
      </c>
      <c r="AS903" t="s">
        <v>9556</v>
      </c>
      <c r="AT903" t="s">
        <v>10295</v>
      </c>
      <c r="AU903" t="s">
        <v>69</v>
      </c>
      <c r="AV903" t="s">
        <v>69</v>
      </c>
      <c r="AW903" t="s">
        <v>10296</v>
      </c>
      <c r="AX903" t="s">
        <v>10297</v>
      </c>
      <c r="AY903" t="s">
        <v>373</v>
      </c>
      <c r="AZ903">
        <v>2022</v>
      </c>
      <c r="BA903">
        <v>9</v>
      </c>
      <c r="BB903">
        <v>1</v>
      </c>
      <c r="BC903" t="s">
        <v>69</v>
      </c>
      <c r="BD903" t="s">
        <v>69</v>
      </c>
      <c r="BE903" t="s">
        <v>69</v>
      </c>
      <c r="BF903" t="s">
        <v>69</v>
      </c>
      <c r="BG903" t="s">
        <v>69</v>
      </c>
      <c r="BH903" t="s">
        <v>69</v>
      </c>
      <c r="BI903">
        <v>2.0539517221078756E+16</v>
      </c>
      <c r="BJ903" t="s">
        <v>10298</v>
      </c>
      <c r="BK903" t="str">
        <f>HYPERLINK("http://dx.doi.org/10.1177/20539517221078756","http://dx.doi.org/10.1177/20539517221078756")</f>
        <v>http://dx.doi.org/10.1177/20539517221078756</v>
      </c>
      <c r="BL903" t="s">
        <v>69</v>
      </c>
      <c r="BM903" t="s">
        <v>69</v>
      </c>
      <c r="BN903">
        <v>13</v>
      </c>
      <c r="BO903" t="s">
        <v>10299</v>
      </c>
      <c r="BP903" t="s">
        <v>8661</v>
      </c>
      <c r="BQ903" t="s">
        <v>10279</v>
      </c>
      <c r="BR903" t="s">
        <v>10300</v>
      </c>
      <c r="BS903" t="s">
        <v>10302</v>
      </c>
      <c r="BT903" t="s">
        <v>69</v>
      </c>
      <c r="BU903" t="s">
        <v>10301</v>
      </c>
      <c r="BV903" t="s">
        <v>69</v>
      </c>
      <c r="BW903" t="s">
        <v>69</v>
      </c>
      <c r="BX903" t="s">
        <v>8526</v>
      </c>
      <c r="BY903" t="str">
        <f>HYPERLINK("https%3A%2F%2Fwww.webofscience.com%2Fwos%2Fwoscc%2Ffull-record%2FWOS:000772268000001","View Full Record in Web of Science")</f>
        <v>View Full Record in Web of Science</v>
      </c>
    </row>
    <row r="904" spans="1:77" ht="12.5" x14ac:dyDescent="0.25">
      <c r="A904" t="s">
        <v>8495</v>
      </c>
      <c r="B904" s="7" t="s">
        <v>32933</v>
      </c>
      <c r="C904" s="7"/>
      <c r="D904" s="7"/>
      <c r="E904" s="7"/>
      <c r="F904" t="s">
        <v>67</v>
      </c>
      <c r="G904" t="s">
        <v>3112</v>
      </c>
      <c r="H904" t="s">
        <v>69</v>
      </c>
      <c r="I904" t="s">
        <v>69</v>
      </c>
      <c r="J904" t="s">
        <v>69</v>
      </c>
      <c r="K904" t="s">
        <v>3113</v>
      </c>
      <c r="L904" t="s">
        <v>69</v>
      </c>
      <c r="M904" t="s">
        <v>69</v>
      </c>
      <c r="N904" t="s">
        <v>3114</v>
      </c>
      <c r="O904" t="s">
        <v>688</v>
      </c>
      <c r="P904" t="s">
        <v>69</v>
      </c>
      <c r="Q904" t="s">
        <v>69</v>
      </c>
      <c r="R904" t="s">
        <v>8505</v>
      </c>
      <c r="S904" t="s">
        <v>8506</v>
      </c>
      <c r="T904" t="s">
        <v>69</v>
      </c>
      <c r="U904" t="s">
        <v>69</v>
      </c>
      <c r="V904" t="s">
        <v>69</v>
      </c>
      <c r="W904" t="s">
        <v>69</v>
      </c>
      <c r="X904" t="s">
        <v>69</v>
      </c>
      <c r="Y904" t="s">
        <v>23149</v>
      </c>
      <c r="Z904" t="s">
        <v>23150</v>
      </c>
      <c r="AA904" t="s">
        <v>3115</v>
      </c>
      <c r="AB904" t="s">
        <v>23151</v>
      </c>
      <c r="AC904" t="s">
        <v>69</v>
      </c>
      <c r="AD904" t="s">
        <v>23152</v>
      </c>
      <c r="AE904" t="s">
        <v>23153</v>
      </c>
      <c r="AF904" t="s">
        <v>69</v>
      </c>
      <c r="AG904" t="s">
        <v>69</v>
      </c>
      <c r="AH904" t="s">
        <v>69</v>
      </c>
      <c r="AI904" t="s">
        <v>69</v>
      </c>
      <c r="AJ904" t="s">
        <v>69</v>
      </c>
      <c r="AK904" t="s">
        <v>69</v>
      </c>
      <c r="AL904">
        <v>46</v>
      </c>
      <c r="AM904">
        <v>16</v>
      </c>
      <c r="AN904">
        <v>16</v>
      </c>
      <c r="AO904">
        <v>1</v>
      </c>
      <c r="AP904">
        <v>9</v>
      </c>
      <c r="AQ904" t="s">
        <v>14471</v>
      </c>
      <c r="AR904" t="s">
        <v>14472</v>
      </c>
      <c r="AS904" t="s">
        <v>14473</v>
      </c>
      <c r="AT904" t="s">
        <v>690</v>
      </c>
      <c r="AU904" t="s">
        <v>691</v>
      </c>
      <c r="AV904" t="s">
        <v>69</v>
      </c>
      <c r="AW904" t="s">
        <v>14474</v>
      </c>
      <c r="AX904" t="s">
        <v>14475</v>
      </c>
      <c r="AY904" t="s">
        <v>69</v>
      </c>
      <c r="AZ904">
        <v>2015</v>
      </c>
      <c r="BA904">
        <v>15</v>
      </c>
      <c r="BB904">
        <v>4</v>
      </c>
      <c r="BC904" t="s">
        <v>69</v>
      </c>
      <c r="BD904" t="s">
        <v>69</v>
      </c>
      <c r="BE904" t="s">
        <v>69</v>
      </c>
      <c r="BF904" t="s">
        <v>69</v>
      </c>
      <c r="BG904">
        <v>30</v>
      </c>
      <c r="BH904">
        <v>44</v>
      </c>
      <c r="BI904" t="s">
        <v>69</v>
      </c>
      <c r="BJ904" t="s">
        <v>3116</v>
      </c>
      <c r="BK904" t="str">
        <f>HYPERLINK("http://dx.doi.org/10.5130/AJCEB.v15i4.4514","http://dx.doi.org/10.5130/AJCEB.v15i4.4514")</f>
        <v>http://dx.doi.org/10.5130/AJCEB.v15i4.4514</v>
      </c>
      <c r="BL904" t="s">
        <v>69</v>
      </c>
      <c r="BM904" t="s">
        <v>69</v>
      </c>
      <c r="BN904">
        <v>15</v>
      </c>
      <c r="BO904" t="s">
        <v>9410</v>
      </c>
      <c r="BP904" t="s">
        <v>8573</v>
      </c>
      <c r="BQ904" t="s">
        <v>8594</v>
      </c>
      <c r="BR904" t="s">
        <v>23154</v>
      </c>
      <c r="BS904" t="s">
        <v>3117</v>
      </c>
      <c r="BT904" t="s">
        <v>69</v>
      </c>
      <c r="BU904" t="s">
        <v>8931</v>
      </c>
      <c r="BV904" t="s">
        <v>69</v>
      </c>
      <c r="BW904" t="s">
        <v>69</v>
      </c>
      <c r="BX904" t="s">
        <v>8526</v>
      </c>
      <c r="BY904" t="str">
        <f>HYPERLINK("https%3A%2F%2Fwww.webofscience.com%2Fwos%2Fwoscc%2Ffull-record%2FWOS:000369176800003","View Full Record in Web of Science")</f>
        <v>View Full Record in Web of Science</v>
      </c>
    </row>
    <row r="905" spans="1:77" ht="12.5" x14ac:dyDescent="0.25">
      <c r="A905" t="s">
        <v>8495</v>
      </c>
      <c r="B905" s="22" t="s">
        <v>32931</v>
      </c>
      <c r="C905" s="7"/>
      <c r="D905" s="7"/>
      <c r="E905" s="7"/>
      <c r="F905" t="s">
        <v>67</v>
      </c>
      <c r="G905" t="s">
        <v>9729</v>
      </c>
      <c r="H905" t="s">
        <v>69</v>
      </c>
      <c r="I905" t="s">
        <v>69</v>
      </c>
      <c r="J905" t="s">
        <v>69</v>
      </c>
      <c r="K905" t="s">
        <v>9730</v>
      </c>
      <c r="L905" t="s">
        <v>69</v>
      </c>
      <c r="M905" t="s">
        <v>69</v>
      </c>
      <c r="N905" t="s">
        <v>9731</v>
      </c>
      <c r="O905" t="s">
        <v>9732</v>
      </c>
      <c r="P905" t="s">
        <v>69</v>
      </c>
      <c r="Q905" t="s">
        <v>69</v>
      </c>
      <c r="R905" t="s">
        <v>8505</v>
      </c>
      <c r="S905" t="s">
        <v>8506</v>
      </c>
      <c r="T905" t="s">
        <v>69</v>
      </c>
      <c r="U905" t="s">
        <v>69</v>
      </c>
      <c r="V905" t="s">
        <v>69</v>
      </c>
      <c r="W905" t="s">
        <v>69</v>
      </c>
      <c r="X905" t="s">
        <v>69</v>
      </c>
      <c r="Y905" t="s">
        <v>9733</v>
      </c>
      <c r="Z905" t="s">
        <v>9734</v>
      </c>
      <c r="AA905" t="s">
        <v>9735</v>
      </c>
      <c r="AB905" t="s">
        <v>9736</v>
      </c>
      <c r="AC905" t="s">
        <v>69</v>
      </c>
      <c r="AD905" t="s">
        <v>9737</v>
      </c>
      <c r="AE905" t="s">
        <v>9738</v>
      </c>
      <c r="AF905" t="s">
        <v>9739</v>
      </c>
      <c r="AG905" t="s">
        <v>9740</v>
      </c>
      <c r="AH905" t="s">
        <v>9741</v>
      </c>
      <c r="AI905" t="s">
        <v>9742</v>
      </c>
      <c r="AJ905" t="s">
        <v>9743</v>
      </c>
      <c r="AK905" t="s">
        <v>69</v>
      </c>
      <c r="AL905">
        <v>100</v>
      </c>
      <c r="AM905">
        <v>0</v>
      </c>
      <c r="AN905">
        <v>0</v>
      </c>
      <c r="AO905">
        <v>9</v>
      </c>
      <c r="AP905">
        <v>9</v>
      </c>
      <c r="AQ905" t="s">
        <v>8924</v>
      </c>
      <c r="AR905" t="s">
        <v>8925</v>
      </c>
      <c r="AS905" t="s">
        <v>8926</v>
      </c>
      <c r="AT905" t="s">
        <v>9744</v>
      </c>
      <c r="AU905" t="s">
        <v>9745</v>
      </c>
      <c r="AV905" t="s">
        <v>69</v>
      </c>
      <c r="AW905" t="s">
        <v>9746</v>
      </c>
      <c r="AX905" t="s">
        <v>9747</v>
      </c>
      <c r="AY905" t="s">
        <v>94</v>
      </c>
      <c r="AZ905">
        <v>2022</v>
      </c>
      <c r="BA905">
        <v>15</v>
      </c>
      <c r="BB905">
        <v>3</v>
      </c>
      <c r="BC905" t="s">
        <v>69</v>
      </c>
      <c r="BD905" t="s">
        <v>69</v>
      </c>
      <c r="BE905" t="s">
        <v>69</v>
      </c>
      <c r="BF905" t="s">
        <v>69</v>
      </c>
      <c r="BG905" t="s">
        <v>69</v>
      </c>
      <c r="BH905" t="s">
        <v>69</v>
      </c>
      <c r="BI905">
        <v>136</v>
      </c>
      <c r="BJ905" t="s">
        <v>9748</v>
      </c>
      <c r="BK905" t="str">
        <f>HYPERLINK("http://dx.doi.org/10.3390/jrfm15030136","http://dx.doi.org/10.3390/jrfm15030136")</f>
        <v>http://dx.doi.org/10.3390/jrfm15030136</v>
      </c>
      <c r="BL905" t="s">
        <v>69</v>
      </c>
      <c r="BM905" t="s">
        <v>69</v>
      </c>
      <c r="BN905">
        <v>21</v>
      </c>
      <c r="BO905" t="s">
        <v>9749</v>
      </c>
      <c r="BP905" t="s">
        <v>8573</v>
      </c>
      <c r="BQ905" t="s">
        <v>8594</v>
      </c>
      <c r="BR905" t="s">
        <v>9750</v>
      </c>
      <c r="BS905" t="s">
        <v>9751</v>
      </c>
      <c r="BT905" t="s">
        <v>69</v>
      </c>
      <c r="BU905" t="s">
        <v>8812</v>
      </c>
      <c r="BV905" t="s">
        <v>69</v>
      </c>
      <c r="BW905" t="s">
        <v>69</v>
      </c>
      <c r="BX905" t="s">
        <v>8526</v>
      </c>
      <c r="BY905" t="str">
        <f>HYPERLINK("https%3A%2F%2Fwww.webofscience.com%2Fwos%2Fwoscc%2Ffull-record%2FWOS:000776400900001","View Full Record in Web of Science")</f>
        <v>View Full Record in Web of Science</v>
      </c>
    </row>
    <row r="906" spans="1:77" ht="12.5" x14ac:dyDescent="0.25">
      <c r="A906" t="s">
        <v>8495</v>
      </c>
      <c r="B906" s="7" t="s">
        <v>32933</v>
      </c>
      <c r="C906" s="7"/>
      <c r="D906" s="7"/>
      <c r="E906" s="7"/>
      <c r="F906" t="s">
        <v>67</v>
      </c>
      <c r="G906" t="s">
        <v>2347</v>
      </c>
      <c r="H906" t="s">
        <v>69</v>
      </c>
      <c r="I906" t="s">
        <v>69</v>
      </c>
      <c r="J906" t="s">
        <v>69</v>
      </c>
      <c r="K906" t="s">
        <v>2348</v>
      </c>
      <c r="L906" t="s">
        <v>69</v>
      </c>
      <c r="M906" t="s">
        <v>69</v>
      </c>
      <c r="N906" t="s">
        <v>2349</v>
      </c>
      <c r="O906" t="s">
        <v>1351</v>
      </c>
      <c r="P906" t="s">
        <v>69</v>
      </c>
      <c r="Q906" t="s">
        <v>69</v>
      </c>
      <c r="R906" t="s">
        <v>8505</v>
      </c>
      <c r="S906" t="s">
        <v>8506</v>
      </c>
      <c r="T906" t="s">
        <v>69</v>
      </c>
      <c r="U906" t="s">
        <v>69</v>
      </c>
      <c r="V906" t="s">
        <v>69</v>
      </c>
      <c r="W906" t="s">
        <v>69</v>
      </c>
      <c r="X906" t="s">
        <v>69</v>
      </c>
      <c r="Y906" t="s">
        <v>18246</v>
      </c>
      <c r="Z906" t="s">
        <v>18247</v>
      </c>
      <c r="AA906" t="s">
        <v>2350</v>
      </c>
      <c r="AB906" t="s">
        <v>18248</v>
      </c>
      <c r="AC906" t="s">
        <v>69</v>
      </c>
      <c r="AD906" t="s">
        <v>18249</v>
      </c>
      <c r="AE906" t="s">
        <v>18250</v>
      </c>
      <c r="AF906" t="s">
        <v>2351</v>
      </c>
      <c r="AG906" t="s">
        <v>2352</v>
      </c>
      <c r="AH906" t="s">
        <v>18251</v>
      </c>
      <c r="AI906" t="s">
        <v>18252</v>
      </c>
      <c r="AJ906" t="s">
        <v>18253</v>
      </c>
      <c r="AK906" t="s">
        <v>69</v>
      </c>
      <c r="AL906">
        <v>36</v>
      </c>
      <c r="AM906">
        <v>13</v>
      </c>
      <c r="AN906">
        <v>13</v>
      </c>
      <c r="AO906">
        <v>4</v>
      </c>
      <c r="AP906">
        <v>24</v>
      </c>
      <c r="AQ906" t="s">
        <v>8539</v>
      </c>
      <c r="AR906" t="s">
        <v>8540</v>
      </c>
      <c r="AS906" t="s">
        <v>8541</v>
      </c>
      <c r="AT906" t="s">
        <v>1353</v>
      </c>
      <c r="AU906" t="s">
        <v>1354</v>
      </c>
      <c r="AV906" t="s">
        <v>69</v>
      </c>
      <c r="AW906" t="s">
        <v>8677</v>
      </c>
      <c r="AX906" t="s">
        <v>8678</v>
      </c>
      <c r="AY906" t="s">
        <v>274</v>
      </c>
      <c r="AZ906">
        <v>2018</v>
      </c>
      <c r="BA906">
        <v>34</v>
      </c>
      <c r="BB906">
        <v>6</v>
      </c>
      <c r="BC906" t="s">
        <v>69</v>
      </c>
      <c r="BD906" t="s">
        <v>69</v>
      </c>
      <c r="BE906" t="s">
        <v>69</v>
      </c>
      <c r="BF906" t="s">
        <v>69</v>
      </c>
      <c r="BG906" t="s">
        <v>69</v>
      </c>
      <c r="BH906" t="s">
        <v>69</v>
      </c>
      <c r="BI906">
        <v>4018043</v>
      </c>
      <c r="BJ906" t="s">
        <v>2353</v>
      </c>
      <c r="BK906" t="str">
        <f>HYPERLINK("http://dx.doi.org/10.1061/(ASCE)ME.1943-5479.0000649","http://dx.doi.org/10.1061/(ASCE)ME.1943-5479.0000649")</f>
        <v>http://dx.doi.org/10.1061/(ASCE)ME.1943-5479.0000649</v>
      </c>
      <c r="BL906" t="s">
        <v>69</v>
      </c>
      <c r="BM906" t="s">
        <v>69</v>
      </c>
      <c r="BN906">
        <v>13</v>
      </c>
      <c r="BO906" t="s">
        <v>8680</v>
      </c>
      <c r="BP906" t="s">
        <v>8523</v>
      </c>
      <c r="BQ906" t="s">
        <v>8445</v>
      </c>
      <c r="BR906" t="s">
        <v>18254</v>
      </c>
      <c r="BS906" t="s">
        <v>2354</v>
      </c>
      <c r="BT906" t="s">
        <v>69</v>
      </c>
      <c r="BU906" t="s">
        <v>69</v>
      </c>
      <c r="BV906" t="s">
        <v>69</v>
      </c>
      <c r="BW906" t="s">
        <v>69</v>
      </c>
      <c r="BX906" t="s">
        <v>8526</v>
      </c>
      <c r="BY906" t="str">
        <f>HYPERLINK("https%3A%2F%2Fwww.webofscience.com%2Fwos%2Fwoscc%2Ffull-record%2FWOS:000444385500016","View Full Record in Web of Science")</f>
        <v>View Full Record in Web of Science</v>
      </c>
    </row>
    <row r="907" spans="1:77" ht="12.5" x14ac:dyDescent="0.25">
      <c r="A907" t="s">
        <v>8495</v>
      </c>
      <c r="B907" s="22" t="s">
        <v>32931</v>
      </c>
      <c r="C907" s="7"/>
      <c r="D907" s="7"/>
      <c r="E907" s="7"/>
      <c r="F907" t="s">
        <v>67</v>
      </c>
      <c r="G907" t="s">
        <v>12562</v>
      </c>
      <c r="H907" t="s">
        <v>69</v>
      </c>
      <c r="I907" t="s">
        <v>69</v>
      </c>
      <c r="J907" t="s">
        <v>69</v>
      </c>
      <c r="K907" t="s">
        <v>12563</v>
      </c>
      <c r="L907" t="s">
        <v>69</v>
      </c>
      <c r="M907" t="s">
        <v>69</v>
      </c>
      <c r="N907" t="s">
        <v>12564</v>
      </c>
      <c r="O907" t="s">
        <v>12565</v>
      </c>
      <c r="P907" t="s">
        <v>69</v>
      </c>
      <c r="Q907" t="s">
        <v>69</v>
      </c>
      <c r="R907" t="s">
        <v>8505</v>
      </c>
      <c r="S907" t="s">
        <v>8506</v>
      </c>
      <c r="T907" t="s">
        <v>69</v>
      </c>
      <c r="U907" t="s">
        <v>69</v>
      </c>
      <c r="V907" t="s">
        <v>69</v>
      </c>
      <c r="W907" t="s">
        <v>69</v>
      </c>
      <c r="X907" t="s">
        <v>69</v>
      </c>
      <c r="Y907" t="s">
        <v>12566</v>
      </c>
      <c r="Z907" t="s">
        <v>69</v>
      </c>
      <c r="AA907" t="s">
        <v>12567</v>
      </c>
      <c r="AB907" t="s">
        <v>12568</v>
      </c>
      <c r="AC907" t="s">
        <v>69</v>
      </c>
      <c r="AD907" t="s">
        <v>12569</v>
      </c>
      <c r="AE907" t="s">
        <v>12570</v>
      </c>
      <c r="AF907" t="s">
        <v>12571</v>
      </c>
      <c r="AG907" t="s">
        <v>12572</v>
      </c>
      <c r="AH907" t="s">
        <v>12573</v>
      </c>
      <c r="AI907" t="s">
        <v>12574</v>
      </c>
      <c r="AJ907" t="s">
        <v>12575</v>
      </c>
      <c r="AK907" t="s">
        <v>69</v>
      </c>
      <c r="AL907">
        <v>84</v>
      </c>
      <c r="AM907">
        <v>4</v>
      </c>
      <c r="AN907">
        <v>4</v>
      </c>
      <c r="AO907">
        <v>7</v>
      </c>
      <c r="AP907">
        <v>14</v>
      </c>
      <c r="AQ907" t="s">
        <v>8636</v>
      </c>
      <c r="AR907" t="s">
        <v>8637</v>
      </c>
      <c r="AS907" t="s">
        <v>8638</v>
      </c>
      <c r="AT907" t="s">
        <v>12576</v>
      </c>
      <c r="AU907" t="s">
        <v>12577</v>
      </c>
      <c r="AV907" t="s">
        <v>69</v>
      </c>
      <c r="AW907" t="s">
        <v>12578</v>
      </c>
      <c r="AX907" t="s">
        <v>12579</v>
      </c>
      <c r="AY907" t="s">
        <v>246</v>
      </c>
      <c r="AZ907">
        <v>2021</v>
      </c>
      <c r="BA907">
        <v>94</v>
      </c>
      <c r="BB907" t="s">
        <v>69</v>
      </c>
      <c r="BC907" t="s">
        <v>69</v>
      </c>
      <c r="BD907" t="s">
        <v>69</v>
      </c>
      <c r="BE907" t="s">
        <v>69</v>
      </c>
      <c r="BF907" t="s">
        <v>69</v>
      </c>
      <c r="BG907" t="s">
        <v>69</v>
      </c>
      <c r="BH907" t="s">
        <v>69</v>
      </c>
      <c r="BI907">
        <v>102807</v>
      </c>
      <c r="BJ907" t="s">
        <v>12580</v>
      </c>
      <c r="BK907" t="str">
        <f>HYPERLINK("http://dx.doi.org/10.1016/j.ijhm.2020.102807","http://dx.doi.org/10.1016/j.ijhm.2020.102807")</f>
        <v>http://dx.doi.org/10.1016/j.ijhm.2020.102807</v>
      </c>
      <c r="BL907" t="s">
        <v>69</v>
      </c>
      <c r="BM907" t="s">
        <v>69</v>
      </c>
      <c r="BN907">
        <v>11</v>
      </c>
      <c r="BO907" t="s">
        <v>10278</v>
      </c>
      <c r="BP907" t="s">
        <v>8661</v>
      </c>
      <c r="BQ907" t="s">
        <v>10279</v>
      </c>
      <c r="BR907" t="s">
        <v>12581</v>
      </c>
      <c r="BS907" t="s">
        <v>12582</v>
      </c>
      <c r="BT907" t="s">
        <v>69</v>
      </c>
      <c r="BU907" t="s">
        <v>69</v>
      </c>
      <c r="BV907" t="s">
        <v>69</v>
      </c>
      <c r="BW907" t="s">
        <v>69</v>
      </c>
      <c r="BX907" t="s">
        <v>8526</v>
      </c>
      <c r="BY907" t="str">
        <f>HYPERLINK("https%3A%2F%2Fwww.webofscience.com%2Fwos%2Fwoscc%2Ffull-record%2FWOS:000631257900011","View Full Record in Web of Science")</f>
        <v>View Full Record in Web of Science</v>
      </c>
    </row>
    <row r="908" spans="1:77" x14ac:dyDescent="0.3">
      <c r="A908" t="s">
        <v>8495</v>
      </c>
      <c r="B908" s="10" t="s">
        <v>32998</v>
      </c>
      <c r="F908" t="s">
        <v>67</v>
      </c>
      <c r="G908" t="s">
        <v>7608</v>
      </c>
      <c r="H908" t="s">
        <v>69</v>
      </c>
      <c r="I908" t="s">
        <v>69</v>
      </c>
      <c r="J908" t="s">
        <v>69</v>
      </c>
      <c r="K908" s="2" t="s">
        <v>7609</v>
      </c>
      <c r="L908" t="s">
        <v>69</v>
      </c>
      <c r="M908" t="s">
        <v>69</v>
      </c>
      <c r="N908" s="2" t="s">
        <v>7610</v>
      </c>
      <c r="O908" t="s">
        <v>7611</v>
      </c>
      <c r="P908" t="s">
        <v>69</v>
      </c>
      <c r="Q908" t="s">
        <v>69</v>
      </c>
      <c r="R908" t="s">
        <v>8505</v>
      </c>
      <c r="S908" t="s">
        <v>8506</v>
      </c>
      <c r="T908" t="s">
        <v>69</v>
      </c>
      <c r="U908" t="s">
        <v>69</v>
      </c>
      <c r="V908" t="s">
        <v>69</v>
      </c>
      <c r="W908" t="s">
        <v>69</v>
      </c>
      <c r="X908" t="s">
        <v>69</v>
      </c>
      <c r="Y908" t="s">
        <v>28012</v>
      </c>
      <c r="Z908" t="s">
        <v>28013</v>
      </c>
      <c r="AA908" t="s">
        <v>7612</v>
      </c>
      <c r="AB908" t="s">
        <v>28014</v>
      </c>
      <c r="AC908" t="s">
        <v>69</v>
      </c>
      <c r="AD908" t="s">
        <v>28015</v>
      </c>
      <c r="AE908" t="s">
        <v>69</v>
      </c>
      <c r="AF908" t="s">
        <v>69</v>
      </c>
      <c r="AG908" t="s">
        <v>7613</v>
      </c>
      <c r="AH908" t="s">
        <v>28016</v>
      </c>
      <c r="AI908" t="s">
        <v>28017</v>
      </c>
      <c r="AJ908" t="s">
        <v>28018</v>
      </c>
      <c r="AK908" t="s">
        <v>69</v>
      </c>
      <c r="AL908">
        <v>92</v>
      </c>
      <c r="AM908">
        <v>25</v>
      </c>
      <c r="AN908">
        <v>28</v>
      </c>
      <c r="AO908">
        <v>1</v>
      </c>
      <c r="AP908">
        <v>26</v>
      </c>
      <c r="AQ908" t="s">
        <v>28019</v>
      </c>
      <c r="AR908" t="s">
        <v>28020</v>
      </c>
      <c r="AS908" t="s">
        <v>28021</v>
      </c>
      <c r="AT908" t="s">
        <v>7614</v>
      </c>
      <c r="AU908" t="s">
        <v>69</v>
      </c>
      <c r="AV908" t="s">
        <v>69</v>
      </c>
      <c r="AW908" t="s">
        <v>28022</v>
      </c>
      <c r="AX908" t="s">
        <v>28023</v>
      </c>
      <c r="AY908" t="s">
        <v>69</v>
      </c>
      <c r="AZ908">
        <v>2010</v>
      </c>
      <c r="BA908">
        <v>15</v>
      </c>
      <c r="BB908">
        <v>4</v>
      </c>
      <c r="BC908" t="s">
        <v>69</v>
      </c>
      <c r="BD908" t="s">
        <v>69</v>
      </c>
      <c r="BE908" t="s">
        <v>69</v>
      </c>
      <c r="BF908" t="s">
        <v>69</v>
      </c>
      <c r="BG908" t="s">
        <v>69</v>
      </c>
      <c r="BH908" t="s">
        <v>69</v>
      </c>
      <c r="BI908">
        <v>41</v>
      </c>
      <c r="BJ908" t="s">
        <v>69</v>
      </c>
      <c r="BK908" t="s">
        <v>69</v>
      </c>
      <c r="BL908" t="s">
        <v>69</v>
      </c>
      <c r="BM908" t="s">
        <v>69</v>
      </c>
      <c r="BN908">
        <v>23</v>
      </c>
      <c r="BO908" t="s">
        <v>28024</v>
      </c>
      <c r="BP908" t="s">
        <v>8523</v>
      </c>
      <c r="BQ908" t="s">
        <v>8662</v>
      </c>
      <c r="BR908" t="s">
        <v>28025</v>
      </c>
      <c r="BS908" t="s">
        <v>7615</v>
      </c>
      <c r="BT908" t="s">
        <v>69</v>
      </c>
      <c r="BU908" t="s">
        <v>69</v>
      </c>
      <c r="BV908" t="s">
        <v>69</v>
      </c>
      <c r="BW908" t="s">
        <v>69</v>
      </c>
      <c r="BX908" t="s">
        <v>8526</v>
      </c>
      <c r="BY908" t="str">
        <f>HYPERLINK("https%3A%2F%2Fwww.webofscience.com%2Fwos%2Fwoscc%2Ffull-record%2FWOS:000285917100042","View Full Record in Web of Science")</f>
        <v>View Full Record in Web of Science</v>
      </c>
    </row>
    <row r="909" spans="1:77" ht="12.5" x14ac:dyDescent="0.25">
      <c r="A909" t="s">
        <v>8495</v>
      </c>
      <c r="B909" s="22" t="s">
        <v>32931</v>
      </c>
      <c r="C909" s="7"/>
      <c r="D909" s="7"/>
      <c r="E909" s="7"/>
      <c r="F909" t="s">
        <v>67</v>
      </c>
      <c r="G909" t="s">
        <v>27509</v>
      </c>
      <c r="H909" t="s">
        <v>69</v>
      </c>
      <c r="I909" t="s">
        <v>69</v>
      </c>
      <c r="J909" t="s">
        <v>69</v>
      </c>
      <c r="K909" t="s">
        <v>27510</v>
      </c>
      <c r="L909" t="s">
        <v>69</v>
      </c>
      <c r="M909" t="s">
        <v>69</v>
      </c>
      <c r="N909" t="s">
        <v>27511</v>
      </c>
      <c r="O909" t="s">
        <v>27512</v>
      </c>
      <c r="P909" t="s">
        <v>69</v>
      </c>
      <c r="Q909" t="s">
        <v>69</v>
      </c>
      <c r="R909" t="s">
        <v>8505</v>
      </c>
      <c r="S909" t="s">
        <v>8506</v>
      </c>
      <c r="T909" t="s">
        <v>69</v>
      </c>
      <c r="U909" t="s">
        <v>69</v>
      </c>
      <c r="V909" t="s">
        <v>69</v>
      </c>
      <c r="W909" t="s">
        <v>69</v>
      </c>
      <c r="X909" t="s">
        <v>69</v>
      </c>
      <c r="Y909" t="s">
        <v>69</v>
      </c>
      <c r="Z909" t="s">
        <v>69</v>
      </c>
      <c r="AA909" t="s">
        <v>27513</v>
      </c>
      <c r="AB909" t="s">
        <v>27514</v>
      </c>
      <c r="AC909" t="s">
        <v>69</v>
      </c>
      <c r="AD909" t="s">
        <v>27515</v>
      </c>
      <c r="AE909" t="s">
        <v>27516</v>
      </c>
      <c r="AF909" t="s">
        <v>69</v>
      </c>
      <c r="AG909" t="s">
        <v>69</v>
      </c>
      <c r="AH909" t="s">
        <v>69</v>
      </c>
      <c r="AI909" t="s">
        <v>69</v>
      </c>
      <c r="AJ909" t="s">
        <v>69</v>
      </c>
      <c r="AK909" t="s">
        <v>69</v>
      </c>
      <c r="AL909">
        <v>18</v>
      </c>
      <c r="AM909">
        <v>3</v>
      </c>
      <c r="AN909">
        <v>3</v>
      </c>
      <c r="AO909">
        <v>0</v>
      </c>
      <c r="AP909">
        <v>0</v>
      </c>
      <c r="AQ909" t="s">
        <v>18730</v>
      </c>
      <c r="AR909" t="s">
        <v>18731</v>
      </c>
      <c r="AS909" t="s">
        <v>18732</v>
      </c>
      <c r="AT909" t="s">
        <v>27517</v>
      </c>
      <c r="AU909" t="s">
        <v>27518</v>
      </c>
      <c r="AV909" t="s">
        <v>69</v>
      </c>
      <c r="AW909" t="s">
        <v>27519</v>
      </c>
      <c r="AX909" t="s">
        <v>27520</v>
      </c>
      <c r="AY909" t="s">
        <v>69</v>
      </c>
      <c r="AZ909">
        <v>2011</v>
      </c>
      <c r="BA909">
        <v>13</v>
      </c>
      <c r="BB909">
        <v>1</v>
      </c>
      <c r="BC909" t="s">
        <v>69</v>
      </c>
      <c r="BD909" t="s">
        <v>69</v>
      </c>
      <c r="BE909" t="s">
        <v>69</v>
      </c>
      <c r="BF909" t="s">
        <v>69</v>
      </c>
      <c r="BG909" t="s">
        <v>69</v>
      </c>
      <c r="BH909" t="s">
        <v>69</v>
      </c>
      <c r="BI909">
        <v>462</v>
      </c>
      <c r="BJ909" t="s">
        <v>27521</v>
      </c>
      <c r="BK909" t="str">
        <f>HYPERLINK("http://dx.doi.org/10.4102/sajim.v13i1.462","http://dx.doi.org/10.4102/sajim.v13i1.462")</f>
        <v>http://dx.doi.org/10.4102/sajim.v13i1.462</v>
      </c>
      <c r="BL909" t="s">
        <v>69</v>
      </c>
      <c r="BM909" t="s">
        <v>69</v>
      </c>
      <c r="BN909">
        <v>10</v>
      </c>
      <c r="BO909" t="s">
        <v>11010</v>
      </c>
      <c r="BP909" t="s">
        <v>8573</v>
      </c>
      <c r="BQ909" t="s">
        <v>11010</v>
      </c>
      <c r="BR909" t="s">
        <v>27522</v>
      </c>
      <c r="BS909" t="s">
        <v>27523</v>
      </c>
      <c r="BT909" t="s">
        <v>69</v>
      </c>
      <c r="BU909" t="s">
        <v>12220</v>
      </c>
      <c r="BV909" t="s">
        <v>69</v>
      </c>
      <c r="BW909" t="s">
        <v>69</v>
      </c>
      <c r="BX909" t="s">
        <v>8526</v>
      </c>
      <c r="BY909" t="str">
        <f>HYPERLINK("https%3A%2F%2Fwww.webofscience.com%2Fwos%2Fwoscc%2Ffull-record%2FWOS:000217239300015","View Full Record in Web of Science")</f>
        <v>View Full Record in Web of Science</v>
      </c>
    </row>
    <row r="910" spans="1:77" ht="12.5" x14ac:dyDescent="0.25">
      <c r="A910" t="s">
        <v>8495</v>
      </c>
      <c r="B910" s="22" t="s">
        <v>32931</v>
      </c>
      <c r="C910" s="7"/>
      <c r="D910" s="7"/>
      <c r="E910" s="7"/>
      <c r="F910" t="s">
        <v>67</v>
      </c>
      <c r="G910" t="s">
        <v>9004</v>
      </c>
      <c r="H910" t="s">
        <v>69</v>
      </c>
      <c r="I910" t="s">
        <v>69</v>
      </c>
      <c r="J910" t="s">
        <v>69</v>
      </c>
      <c r="K910" t="s">
        <v>9005</v>
      </c>
      <c r="L910" t="s">
        <v>69</v>
      </c>
      <c r="M910" t="s">
        <v>9006</v>
      </c>
      <c r="N910" t="s">
        <v>9007</v>
      </c>
      <c r="O910" t="s">
        <v>9008</v>
      </c>
      <c r="P910" t="s">
        <v>69</v>
      </c>
      <c r="Q910" t="s">
        <v>69</v>
      </c>
      <c r="R910" t="s">
        <v>8505</v>
      </c>
      <c r="S910" t="s">
        <v>8556</v>
      </c>
      <c r="T910" t="s">
        <v>69</v>
      </c>
      <c r="U910" t="s">
        <v>69</v>
      </c>
      <c r="V910" t="s">
        <v>69</v>
      </c>
      <c r="W910" t="s">
        <v>69</v>
      </c>
      <c r="X910" t="s">
        <v>69</v>
      </c>
      <c r="Y910" t="s">
        <v>69</v>
      </c>
      <c r="Z910" t="s">
        <v>9009</v>
      </c>
      <c r="AA910" t="s">
        <v>9010</v>
      </c>
      <c r="AB910" t="s">
        <v>9011</v>
      </c>
      <c r="AC910" t="s">
        <v>69</v>
      </c>
      <c r="AD910" t="s">
        <v>9012</v>
      </c>
      <c r="AE910" t="s">
        <v>9013</v>
      </c>
      <c r="AF910" t="s">
        <v>69</v>
      </c>
      <c r="AG910" t="s">
        <v>9014</v>
      </c>
      <c r="AH910" t="s">
        <v>9015</v>
      </c>
      <c r="AI910" t="s">
        <v>9015</v>
      </c>
      <c r="AJ910" t="s">
        <v>9016</v>
      </c>
      <c r="AK910" t="s">
        <v>69</v>
      </c>
      <c r="AL910">
        <v>32</v>
      </c>
      <c r="AM910">
        <v>0</v>
      </c>
      <c r="AN910">
        <v>0</v>
      </c>
      <c r="AO910">
        <v>0</v>
      </c>
      <c r="AP910">
        <v>0</v>
      </c>
      <c r="AQ910" t="s">
        <v>9017</v>
      </c>
      <c r="AR910" t="s">
        <v>9018</v>
      </c>
      <c r="AS910" t="s">
        <v>9019</v>
      </c>
      <c r="AT910" t="s">
        <v>9020</v>
      </c>
      <c r="AU910" t="s">
        <v>9021</v>
      </c>
      <c r="AV910" t="s">
        <v>69</v>
      </c>
      <c r="AW910" t="s">
        <v>9022</v>
      </c>
      <c r="AX910" t="s">
        <v>9023</v>
      </c>
      <c r="AY910" t="s">
        <v>69</v>
      </c>
      <c r="AZ910" t="s">
        <v>69</v>
      </c>
      <c r="BA910" t="s">
        <v>69</v>
      </c>
      <c r="BB910" t="s">
        <v>69</v>
      </c>
      <c r="BC910" t="s">
        <v>69</v>
      </c>
      <c r="BD910" t="s">
        <v>69</v>
      </c>
      <c r="BE910" t="s">
        <v>69</v>
      </c>
      <c r="BF910" t="s">
        <v>69</v>
      </c>
      <c r="BG910" t="s">
        <v>69</v>
      </c>
      <c r="BH910" t="s">
        <v>69</v>
      </c>
      <c r="BI910" t="s">
        <v>69</v>
      </c>
      <c r="BJ910" t="s">
        <v>9024</v>
      </c>
      <c r="BK910" t="str">
        <f>HYPERLINK("http://dx.doi.org/10.1007/s40258-022-00736-x","http://dx.doi.org/10.1007/s40258-022-00736-x")</f>
        <v>http://dx.doi.org/10.1007/s40258-022-00736-x</v>
      </c>
      <c r="BL910" t="s">
        <v>69</v>
      </c>
      <c r="BM910" t="s">
        <v>9025</v>
      </c>
      <c r="BN910">
        <v>14</v>
      </c>
      <c r="BO910" t="s">
        <v>9026</v>
      </c>
      <c r="BP910" t="s">
        <v>8523</v>
      </c>
      <c r="BQ910" t="s">
        <v>9027</v>
      </c>
      <c r="BR910" t="s">
        <v>9028</v>
      </c>
      <c r="BS910" t="s">
        <v>9030</v>
      </c>
      <c r="BT910">
        <v>35606636</v>
      </c>
      <c r="BU910" t="s">
        <v>9029</v>
      </c>
      <c r="BV910" t="s">
        <v>69</v>
      </c>
      <c r="BW910" t="s">
        <v>69</v>
      </c>
      <c r="BX910" t="s">
        <v>8526</v>
      </c>
      <c r="BY910" t="str">
        <f>HYPERLINK("https%3A%2F%2Fwww.webofscience.com%2Fwos%2Fwoscc%2Ffull-record%2FWOS:000800960800001","View Full Record in Web of Science")</f>
        <v>View Full Record in Web of Science</v>
      </c>
    </row>
    <row r="911" spans="1:77" ht="12.5" x14ac:dyDescent="0.25">
      <c r="A911" t="s">
        <v>8495</v>
      </c>
      <c r="B911" s="22" t="s">
        <v>32931</v>
      </c>
      <c r="C911" s="7"/>
      <c r="D911" s="7"/>
      <c r="E911" s="7"/>
      <c r="F911" t="s">
        <v>67</v>
      </c>
      <c r="G911" t="s">
        <v>32142</v>
      </c>
      <c r="H911" t="s">
        <v>69</v>
      </c>
      <c r="I911" t="s">
        <v>69</v>
      </c>
      <c r="J911" t="s">
        <v>69</v>
      </c>
      <c r="K911" t="s">
        <v>32142</v>
      </c>
      <c r="L911" t="s">
        <v>69</v>
      </c>
      <c r="M911" t="s">
        <v>69</v>
      </c>
      <c r="N911" t="s">
        <v>32143</v>
      </c>
      <c r="O911" t="s">
        <v>32144</v>
      </c>
      <c r="P911" t="s">
        <v>69</v>
      </c>
      <c r="Q911" t="s">
        <v>69</v>
      </c>
      <c r="R911" t="s">
        <v>8505</v>
      </c>
      <c r="S911" t="s">
        <v>8506</v>
      </c>
      <c r="T911" t="s">
        <v>69</v>
      </c>
      <c r="U911" t="s">
        <v>69</v>
      </c>
      <c r="V911" t="s">
        <v>69</v>
      </c>
      <c r="W911" t="s">
        <v>69</v>
      </c>
      <c r="X911" t="s">
        <v>69</v>
      </c>
      <c r="Y911" t="s">
        <v>69</v>
      </c>
      <c r="Z911" t="s">
        <v>69</v>
      </c>
      <c r="AA911" t="s">
        <v>32145</v>
      </c>
      <c r="AB911" t="s">
        <v>32146</v>
      </c>
      <c r="AC911" t="s">
        <v>69</v>
      </c>
      <c r="AD911" t="s">
        <v>32147</v>
      </c>
      <c r="AE911" t="s">
        <v>69</v>
      </c>
      <c r="AF911" t="s">
        <v>69</v>
      </c>
      <c r="AG911" t="s">
        <v>32148</v>
      </c>
      <c r="AH911" t="s">
        <v>69</v>
      </c>
      <c r="AI911" t="s">
        <v>69</v>
      </c>
      <c r="AJ911" t="s">
        <v>69</v>
      </c>
      <c r="AK911" t="s">
        <v>69</v>
      </c>
      <c r="AL911">
        <v>14</v>
      </c>
      <c r="AM911">
        <v>5</v>
      </c>
      <c r="AN911">
        <v>5</v>
      </c>
      <c r="AO911">
        <v>0</v>
      </c>
      <c r="AP911">
        <v>5</v>
      </c>
      <c r="AQ911" t="s">
        <v>32149</v>
      </c>
      <c r="AR911" t="s">
        <v>32150</v>
      </c>
      <c r="AS911" t="s">
        <v>32151</v>
      </c>
      <c r="AT911" t="s">
        <v>32152</v>
      </c>
      <c r="AU911" t="s">
        <v>69</v>
      </c>
      <c r="AV911" t="s">
        <v>69</v>
      </c>
      <c r="AW911" t="s">
        <v>32153</v>
      </c>
      <c r="AX911" t="s">
        <v>32154</v>
      </c>
      <c r="AY911" t="s">
        <v>69</v>
      </c>
      <c r="AZ911">
        <v>1998</v>
      </c>
      <c r="BA911">
        <v>24</v>
      </c>
      <c r="BB911">
        <v>2</v>
      </c>
      <c r="BC911" t="s">
        <v>69</v>
      </c>
      <c r="BD911" t="s">
        <v>69</v>
      </c>
      <c r="BE911" t="s">
        <v>69</v>
      </c>
      <c r="BF911" t="s">
        <v>69</v>
      </c>
      <c r="BG911">
        <v>83</v>
      </c>
      <c r="BH911">
        <v>95</v>
      </c>
      <c r="BI911" t="s">
        <v>69</v>
      </c>
      <c r="BJ911" t="s">
        <v>32155</v>
      </c>
      <c r="BK911" t="str">
        <f>HYPERLINK("http://dx.doi.org/10.1177/016555159802400203","http://dx.doi.org/10.1177/016555159802400203")</f>
        <v>http://dx.doi.org/10.1177/016555159802400203</v>
      </c>
      <c r="BL911" t="s">
        <v>69</v>
      </c>
      <c r="BM911" t="s">
        <v>69</v>
      </c>
      <c r="BN911">
        <v>13</v>
      </c>
      <c r="BO911" t="s">
        <v>13389</v>
      </c>
      <c r="BP911" t="s">
        <v>8523</v>
      </c>
      <c r="BQ911" t="s">
        <v>10632</v>
      </c>
      <c r="BR911" t="s">
        <v>32156</v>
      </c>
      <c r="BS911" t="s">
        <v>32157</v>
      </c>
      <c r="BT911" t="s">
        <v>69</v>
      </c>
      <c r="BU911" t="s">
        <v>69</v>
      </c>
      <c r="BV911" t="s">
        <v>69</v>
      </c>
      <c r="BW911" t="s">
        <v>69</v>
      </c>
      <c r="BX911" t="s">
        <v>8526</v>
      </c>
      <c r="BY911" t="str">
        <f>HYPERLINK("https%3A%2F%2Fwww.webofscience.com%2Fwos%2Fwoscc%2Ffull-record%2FWOS:000072747800003","View Full Record in Web of Science")</f>
        <v>View Full Record in Web of Science</v>
      </c>
    </row>
    <row r="912" spans="1:77" ht="12.5" x14ac:dyDescent="0.25">
      <c r="A912" t="s">
        <v>8495</v>
      </c>
      <c r="B912" s="7" t="s">
        <v>32933</v>
      </c>
      <c r="C912" s="7"/>
      <c r="D912" s="7"/>
      <c r="E912" s="7"/>
      <c r="F912" t="s">
        <v>67</v>
      </c>
      <c r="G912" t="s">
        <v>5226</v>
      </c>
      <c r="H912" t="s">
        <v>69</v>
      </c>
      <c r="I912" t="s">
        <v>69</v>
      </c>
      <c r="J912" t="s">
        <v>69</v>
      </c>
      <c r="K912" t="s">
        <v>5227</v>
      </c>
      <c r="L912" t="s">
        <v>69</v>
      </c>
      <c r="M912" t="s">
        <v>69</v>
      </c>
      <c r="N912" t="s">
        <v>5228</v>
      </c>
      <c r="O912" t="s">
        <v>5229</v>
      </c>
      <c r="P912" t="s">
        <v>69</v>
      </c>
      <c r="Q912" t="s">
        <v>69</v>
      </c>
      <c r="R912" t="s">
        <v>10071</v>
      </c>
      <c r="S912" t="s">
        <v>8506</v>
      </c>
      <c r="T912" t="s">
        <v>69</v>
      </c>
      <c r="U912" t="s">
        <v>69</v>
      </c>
      <c r="V912" t="s">
        <v>69</v>
      </c>
      <c r="W912" t="s">
        <v>69</v>
      </c>
      <c r="X912" t="s">
        <v>69</v>
      </c>
      <c r="Y912" t="s">
        <v>19482</v>
      </c>
      <c r="Z912" t="s">
        <v>69</v>
      </c>
      <c r="AA912" t="s">
        <v>5230</v>
      </c>
      <c r="AB912" t="s">
        <v>19483</v>
      </c>
      <c r="AC912" t="s">
        <v>69</v>
      </c>
      <c r="AD912" t="s">
        <v>19484</v>
      </c>
      <c r="AE912" t="s">
        <v>19485</v>
      </c>
      <c r="AF912" t="s">
        <v>69</v>
      </c>
      <c r="AG912" t="s">
        <v>69</v>
      </c>
      <c r="AH912" t="s">
        <v>69</v>
      </c>
      <c r="AI912" t="s">
        <v>69</v>
      </c>
      <c r="AJ912" t="s">
        <v>69</v>
      </c>
      <c r="AK912" t="s">
        <v>69</v>
      </c>
      <c r="AL912">
        <v>32</v>
      </c>
      <c r="AM912">
        <v>1</v>
      </c>
      <c r="AN912">
        <v>1</v>
      </c>
      <c r="AO912">
        <v>0</v>
      </c>
      <c r="AP912">
        <v>9</v>
      </c>
      <c r="AQ912" t="s">
        <v>19486</v>
      </c>
      <c r="AR912" t="s">
        <v>19487</v>
      </c>
      <c r="AS912" t="s">
        <v>19488</v>
      </c>
      <c r="AT912" t="s">
        <v>5231</v>
      </c>
      <c r="AU912" t="s">
        <v>5232</v>
      </c>
      <c r="AV912" t="s">
        <v>69</v>
      </c>
      <c r="AW912" t="s">
        <v>19489</v>
      </c>
      <c r="AX912" t="s">
        <v>19490</v>
      </c>
      <c r="AY912" t="s">
        <v>602</v>
      </c>
      <c r="AZ912">
        <v>2018</v>
      </c>
      <c r="BA912">
        <v>31</v>
      </c>
      <c r="BB912">
        <v>1</v>
      </c>
      <c r="BC912" t="s">
        <v>69</v>
      </c>
      <c r="BD912" t="s">
        <v>69</v>
      </c>
      <c r="BE912" t="s">
        <v>69</v>
      </c>
      <c r="BF912" t="s">
        <v>69</v>
      </c>
      <c r="BG912">
        <v>178</v>
      </c>
      <c r="BH912">
        <v>189</v>
      </c>
      <c r="BI912" t="s">
        <v>69</v>
      </c>
      <c r="BJ912" t="s">
        <v>5233</v>
      </c>
      <c r="BK912" t="str">
        <f>HYPERLINK("http://dx.doi.org/10.18845/tm.v31i1.3507","http://dx.doi.org/10.18845/tm.v31i1.3507")</f>
        <v>http://dx.doi.org/10.18845/tm.v31i1.3507</v>
      </c>
      <c r="BL912" t="s">
        <v>69</v>
      </c>
      <c r="BM912" t="s">
        <v>69</v>
      </c>
      <c r="BN912">
        <v>12</v>
      </c>
      <c r="BO912" t="s">
        <v>8619</v>
      </c>
      <c r="BP912" t="s">
        <v>8573</v>
      </c>
      <c r="BQ912" t="s">
        <v>8620</v>
      </c>
      <c r="BR912" t="s">
        <v>19491</v>
      </c>
      <c r="BS912" t="s">
        <v>5234</v>
      </c>
      <c r="BT912" t="s">
        <v>69</v>
      </c>
      <c r="BU912" t="s">
        <v>17361</v>
      </c>
      <c r="BV912" t="s">
        <v>69</v>
      </c>
      <c r="BW912" t="s">
        <v>69</v>
      </c>
      <c r="BX912" t="s">
        <v>8526</v>
      </c>
      <c r="BY912" t="str">
        <f>HYPERLINK("https%3A%2F%2Fwww.webofscience.com%2Fwos%2Fwoscc%2Ffull-record%2FWOS:000437041100015","View Full Record in Web of Science")</f>
        <v>View Full Record in Web of Science</v>
      </c>
    </row>
    <row r="913" spans="1:77" x14ac:dyDescent="0.3">
      <c r="A913" t="s">
        <v>8495</v>
      </c>
      <c r="B913" s="9" t="s">
        <v>32948</v>
      </c>
      <c r="C913" s="9" t="s">
        <v>33144</v>
      </c>
      <c r="D913" s="10" t="s">
        <v>8490</v>
      </c>
      <c r="E913" s="9" t="s">
        <v>8490</v>
      </c>
      <c r="F913" t="s">
        <v>67</v>
      </c>
      <c r="G913" t="s">
        <v>13244</v>
      </c>
      <c r="H913" t="s">
        <v>69</v>
      </c>
      <c r="I913" t="s">
        <v>69</v>
      </c>
      <c r="J913" t="s">
        <v>69</v>
      </c>
      <c r="K913" t="s">
        <v>13245</v>
      </c>
      <c r="L913" t="s">
        <v>69</v>
      </c>
      <c r="M913" t="s">
        <v>69</v>
      </c>
      <c r="N913" t="s">
        <v>13246</v>
      </c>
      <c r="O913" t="s">
        <v>4739</v>
      </c>
      <c r="P913" t="s">
        <v>69</v>
      </c>
      <c r="Q913" t="s">
        <v>69</v>
      </c>
      <c r="R913" t="s">
        <v>8505</v>
      </c>
      <c r="S913" t="s">
        <v>8506</v>
      </c>
      <c r="T913" t="s">
        <v>69</v>
      </c>
      <c r="U913" t="s">
        <v>69</v>
      </c>
      <c r="V913" t="s">
        <v>69</v>
      </c>
      <c r="W913" t="s">
        <v>69</v>
      </c>
      <c r="X913" t="s">
        <v>69</v>
      </c>
      <c r="Y913" t="s">
        <v>13247</v>
      </c>
      <c r="Z913" t="s">
        <v>69</v>
      </c>
      <c r="AA913" t="s">
        <v>13248</v>
      </c>
      <c r="AB913" t="s">
        <v>13249</v>
      </c>
      <c r="AC913" t="s">
        <v>69</v>
      </c>
      <c r="AD913" t="s">
        <v>13250</v>
      </c>
      <c r="AE913" t="s">
        <v>13251</v>
      </c>
      <c r="AF913" t="s">
        <v>69</v>
      </c>
      <c r="AG913" t="s">
        <v>13252</v>
      </c>
      <c r="AH913" t="s">
        <v>13253</v>
      </c>
      <c r="AI913" t="s">
        <v>13254</v>
      </c>
      <c r="AJ913" t="s">
        <v>13255</v>
      </c>
      <c r="AK913" t="s">
        <v>69</v>
      </c>
      <c r="AL913">
        <v>44</v>
      </c>
      <c r="AM913">
        <v>0</v>
      </c>
      <c r="AN913">
        <v>0</v>
      </c>
      <c r="AO913">
        <v>4</v>
      </c>
      <c r="AP913">
        <v>13</v>
      </c>
      <c r="AQ913" t="s">
        <v>8924</v>
      </c>
      <c r="AR913" t="s">
        <v>8925</v>
      </c>
      <c r="AS913" t="s">
        <v>8926</v>
      </c>
      <c r="AT913" t="s">
        <v>69</v>
      </c>
      <c r="AU913" t="s">
        <v>4741</v>
      </c>
      <c r="AV913" t="s">
        <v>69</v>
      </c>
      <c r="AW913" t="s">
        <v>11435</v>
      </c>
      <c r="AX913" t="s">
        <v>8426</v>
      </c>
      <c r="AY913" t="s">
        <v>191</v>
      </c>
      <c r="AZ913">
        <v>2021</v>
      </c>
      <c r="BA913">
        <v>13</v>
      </c>
      <c r="BB913">
        <v>3</v>
      </c>
      <c r="BC913" t="s">
        <v>69</v>
      </c>
      <c r="BD913" t="s">
        <v>69</v>
      </c>
      <c r="BE913" t="s">
        <v>69</v>
      </c>
      <c r="BF913" t="s">
        <v>69</v>
      </c>
      <c r="BG913" t="s">
        <v>69</v>
      </c>
      <c r="BH913" t="s">
        <v>69</v>
      </c>
      <c r="BI913">
        <v>267</v>
      </c>
      <c r="BJ913" t="s">
        <v>13256</v>
      </c>
      <c r="BK913" t="str">
        <f>HYPERLINK("http://dx.doi.org/10.3390/w13030267","http://dx.doi.org/10.3390/w13030267")</f>
        <v>http://dx.doi.org/10.3390/w13030267</v>
      </c>
      <c r="BL913" t="s">
        <v>69</v>
      </c>
      <c r="BM913" t="s">
        <v>69</v>
      </c>
      <c r="BN913">
        <v>18</v>
      </c>
      <c r="BO913" t="s">
        <v>11437</v>
      </c>
      <c r="BP913" t="s">
        <v>8548</v>
      </c>
      <c r="BQ913" t="s">
        <v>11438</v>
      </c>
      <c r="BR913" t="s">
        <v>13257</v>
      </c>
      <c r="BS913" t="s">
        <v>13258</v>
      </c>
      <c r="BT913" t="s">
        <v>69</v>
      </c>
      <c r="BU913" t="s">
        <v>9352</v>
      </c>
      <c r="BV913" t="s">
        <v>69</v>
      </c>
      <c r="BW913" t="s">
        <v>69</v>
      </c>
      <c r="BX913" t="s">
        <v>8526</v>
      </c>
      <c r="BY913" t="str">
        <f>HYPERLINK("https%3A%2F%2Fwww.webofscience.com%2Fwos%2Fwoscc%2Ffull-record%2FWOS:000615602200001","View Full Record in Web of Science")</f>
        <v>View Full Record in Web of Science</v>
      </c>
    </row>
    <row r="914" spans="1:77" x14ac:dyDescent="0.3">
      <c r="A914" t="s">
        <v>8495</v>
      </c>
      <c r="B914" s="9" t="s">
        <v>32996</v>
      </c>
      <c r="C914" s="9" t="s">
        <v>33145</v>
      </c>
      <c r="D914" s="9" t="s">
        <v>8491</v>
      </c>
      <c r="E914" s="9" t="s">
        <v>8490</v>
      </c>
      <c r="F914" t="s">
        <v>67</v>
      </c>
      <c r="G914" t="s">
        <v>19552</v>
      </c>
      <c r="H914" t="s">
        <v>69</v>
      </c>
      <c r="I914" t="s">
        <v>69</v>
      </c>
      <c r="J914" t="s">
        <v>69</v>
      </c>
      <c r="K914" t="s">
        <v>19553</v>
      </c>
      <c r="L914" t="s">
        <v>69</v>
      </c>
      <c r="M914" t="s">
        <v>69</v>
      </c>
      <c r="N914" t="s">
        <v>19554</v>
      </c>
      <c r="O914" t="s">
        <v>19555</v>
      </c>
      <c r="P914" t="s">
        <v>69</v>
      </c>
      <c r="Q914" t="s">
        <v>69</v>
      </c>
      <c r="R914" t="s">
        <v>8505</v>
      </c>
      <c r="S914" t="s">
        <v>8506</v>
      </c>
      <c r="T914" t="s">
        <v>69</v>
      </c>
      <c r="U914" t="s">
        <v>69</v>
      </c>
      <c r="V914" t="s">
        <v>69</v>
      </c>
      <c r="W914" t="s">
        <v>69</v>
      </c>
      <c r="X914" t="s">
        <v>69</v>
      </c>
      <c r="Y914" t="s">
        <v>19556</v>
      </c>
      <c r="Z914" t="s">
        <v>19557</v>
      </c>
      <c r="AA914" t="s">
        <v>19558</v>
      </c>
      <c r="AB914" t="s">
        <v>19559</v>
      </c>
      <c r="AC914" t="s">
        <v>69</v>
      </c>
      <c r="AD914" t="s">
        <v>19560</v>
      </c>
      <c r="AE914" t="s">
        <v>19561</v>
      </c>
      <c r="AF914" t="s">
        <v>19562</v>
      </c>
      <c r="AG914" t="s">
        <v>19563</v>
      </c>
      <c r="AH914" t="s">
        <v>69</v>
      </c>
      <c r="AI914" t="s">
        <v>69</v>
      </c>
      <c r="AJ914" t="s">
        <v>69</v>
      </c>
      <c r="AK914" t="s">
        <v>69</v>
      </c>
      <c r="AL914">
        <v>102</v>
      </c>
      <c r="AM914">
        <v>3</v>
      </c>
      <c r="AN914">
        <v>3</v>
      </c>
      <c r="AO914">
        <v>0</v>
      </c>
      <c r="AP914">
        <v>13</v>
      </c>
      <c r="AQ914" t="s">
        <v>8586</v>
      </c>
      <c r="AR914" t="s">
        <v>8587</v>
      </c>
      <c r="AS914" t="s">
        <v>8588</v>
      </c>
      <c r="AT914" t="s">
        <v>19564</v>
      </c>
      <c r="AU914" t="s">
        <v>19565</v>
      </c>
      <c r="AV914" t="s">
        <v>69</v>
      </c>
      <c r="AW914" t="s">
        <v>19566</v>
      </c>
      <c r="AX914" t="s">
        <v>19567</v>
      </c>
      <c r="AY914" t="s">
        <v>69</v>
      </c>
      <c r="AZ914">
        <v>2018</v>
      </c>
      <c r="BA914">
        <v>41</v>
      </c>
      <c r="BB914">
        <v>3</v>
      </c>
      <c r="BC914" t="s">
        <v>69</v>
      </c>
      <c r="BD914" t="s">
        <v>69</v>
      </c>
      <c r="BE914" t="s">
        <v>69</v>
      </c>
      <c r="BF914" t="s">
        <v>69</v>
      </c>
      <c r="BG914">
        <v>278</v>
      </c>
      <c r="BH914">
        <v>295</v>
      </c>
      <c r="BI914" t="s">
        <v>69</v>
      </c>
      <c r="BJ914" t="s">
        <v>19568</v>
      </c>
      <c r="BK914" t="str">
        <f>HYPERLINK("http://dx.doi.org/10.1108/MRR-02-2017-0028","http://dx.doi.org/10.1108/MRR-02-2017-0028")</f>
        <v>http://dx.doi.org/10.1108/MRR-02-2017-0028</v>
      </c>
      <c r="BL914" t="s">
        <v>69</v>
      </c>
      <c r="BM914" t="s">
        <v>69</v>
      </c>
      <c r="BN914">
        <v>18</v>
      </c>
      <c r="BO914" t="s">
        <v>9410</v>
      </c>
      <c r="BP914" t="s">
        <v>8573</v>
      </c>
      <c r="BQ914" t="s">
        <v>8594</v>
      </c>
      <c r="BR914" t="s">
        <v>19569</v>
      </c>
      <c r="BS914" t="s">
        <v>19570</v>
      </c>
      <c r="BT914" t="s">
        <v>69</v>
      </c>
      <c r="BU914" t="s">
        <v>69</v>
      </c>
      <c r="BV914" t="s">
        <v>69</v>
      </c>
      <c r="BW914" t="s">
        <v>69</v>
      </c>
      <c r="BX914" t="s">
        <v>8526</v>
      </c>
      <c r="BY914" t="str">
        <f>HYPERLINK("https%3A%2F%2Fwww.webofscience.com%2Fwos%2Fwoscc%2Ffull-record%2FWOS:000430014800001","View Full Record in Web of Science")</f>
        <v>View Full Record in Web of Science</v>
      </c>
    </row>
    <row r="915" spans="1:77" ht="12.5" x14ac:dyDescent="0.25">
      <c r="A915" t="s">
        <v>8495</v>
      </c>
      <c r="B915" s="7" t="s">
        <v>32933</v>
      </c>
      <c r="C915" s="7"/>
      <c r="D915" s="7"/>
      <c r="E915" s="7"/>
      <c r="F915" t="s">
        <v>67</v>
      </c>
      <c r="G915" t="s">
        <v>2795</v>
      </c>
      <c r="H915" t="s">
        <v>69</v>
      </c>
      <c r="I915" t="s">
        <v>69</v>
      </c>
      <c r="J915" t="s">
        <v>69</v>
      </c>
      <c r="K915" t="s">
        <v>2796</v>
      </c>
      <c r="L915" t="s">
        <v>69</v>
      </c>
      <c r="M915" t="s">
        <v>69</v>
      </c>
      <c r="N915" t="s">
        <v>2797</v>
      </c>
      <c r="O915" t="s">
        <v>2798</v>
      </c>
      <c r="P915" t="s">
        <v>69</v>
      </c>
      <c r="Q915" t="s">
        <v>69</v>
      </c>
      <c r="R915" t="s">
        <v>8505</v>
      </c>
      <c r="S915" t="s">
        <v>8506</v>
      </c>
      <c r="T915" t="s">
        <v>69</v>
      </c>
      <c r="U915" t="s">
        <v>69</v>
      </c>
      <c r="V915" t="s">
        <v>69</v>
      </c>
      <c r="W915" t="s">
        <v>69</v>
      </c>
      <c r="X915" t="s">
        <v>69</v>
      </c>
      <c r="Y915" t="s">
        <v>69</v>
      </c>
      <c r="Z915" t="s">
        <v>69</v>
      </c>
      <c r="AA915" t="s">
        <v>2799</v>
      </c>
      <c r="AB915" t="s">
        <v>21391</v>
      </c>
      <c r="AC915" t="s">
        <v>69</v>
      </c>
      <c r="AD915" t="s">
        <v>21392</v>
      </c>
      <c r="AE915" t="s">
        <v>21393</v>
      </c>
      <c r="AF915" t="s">
        <v>2800</v>
      </c>
      <c r="AG915" t="s">
        <v>2801</v>
      </c>
      <c r="AH915" t="s">
        <v>69</v>
      </c>
      <c r="AI915" t="s">
        <v>69</v>
      </c>
      <c r="AJ915" t="s">
        <v>69</v>
      </c>
      <c r="AK915" t="s">
        <v>69</v>
      </c>
      <c r="AL915">
        <v>11</v>
      </c>
      <c r="AM915">
        <v>18</v>
      </c>
      <c r="AN915">
        <v>18</v>
      </c>
      <c r="AO915">
        <v>1</v>
      </c>
      <c r="AP915">
        <v>30</v>
      </c>
      <c r="AQ915" t="s">
        <v>9047</v>
      </c>
      <c r="AR915" t="s">
        <v>9048</v>
      </c>
      <c r="AS915" t="s">
        <v>9049</v>
      </c>
      <c r="AT915" t="s">
        <v>2802</v>
      </c>
      <c r="AU915" t="s">
        <v>2803</v>
      </c>
      <c r="AV915" t="s">
        <v>69</v>
      </c>
      <c r="AW915" t="s">
        <v>21394</v>
      </c>
      <c r="AX915" t="s">
        <v>21395</v>
      </c>
      <c r="AY915" t="s">
        <v>255</v>
      </c>
      <c r="AZ915">
        <v>2016</v>
      </c>
      <c r="BA915">
        <v>27</v>
      </c>
      <c r="BB915">
        <v>9</v>
      </c>
      <c r="BC915" t="s">
        <v>69</v>
      </c>
      <c r="BD915" t="s">
        <v>69</v>
      </c>
      <c r="BE915" t="s">
        <v>69</v>
      </c>
      <c r="BF915" t="s">
        <v>69</v>
      </c>
      <c r="BG915" t="s">
        <v>69</v>
      </c>
      <c r="BH915" t="s">
        <v>69</v>
      </c>
      <c r="BI915">
        <v>144</v>
      </c>
      <c r="BJ915" t="s">
        <v>2804</v>
      </c>
      <c r="BK915" t="str">
        <f>HYPERLINK("http://dx.doi.org/10.1007/s10856-016-5759-5","http://dx.doi.org/10.1007/s10856-016-5759-5")</f>
        <v>http://dx.doi.org/10.1007/s10856-016-5759-5</v>
      </c>
      <c r="BL915" t="s">
        <v>69</v>
      </c>
      <c r="BM915" t="s">
        <v>69</v>
      </c>
      <c r="BN915">
        <v>7</v>
      </c>
      <c r="BO915" t="s">
        <v>21396</v>
      </c>
      <c r="BP915" t="s">
        <v>8548</v>
      </c>
      <c r="BQ915" t="s">
        <v>21397</v>
      </c>
      <c r="BR915" t="s">
        <v>21398</v>
      </c>
      <c r="BS915" t="s">
        <v>2805</v>
      </c>
      <c r="BT915">
        <v>27552808</v>
      </c>
      <c r="BU915" t="s">
        <v>9374</v>
      </c>
      <c r="BV915" t="s">
        <v>69</v>
      </c>
      <c r="BW915" t="s">
        <v>69</v>
      </c>
      <c r="BX915" t="s">
        <v>8526</v>
      </c>
      <c r="BY915" t="str">
        <f>HYPERLINK("https%3A%2F%2Fwww.webofscience.com%2Fwos%2Fwoscc%2Ffull-record%2FWOS:000382694800009","View Full Record in Web of Science")</f>
        <v>View Full Record in Web of Science</v>
      </c>
    </row>
    <row r="916" spans="1:77" ht="12.5" x14ac:dyDescent="0.25">
      <c r="A916" t="s">
        <v>8495</v>
      </c>
      <c r="B916" s="22" t="s">
        <v>32931</v>
      </c>
      <c r="C916" s="7"/>
      <c r="D916" s="7"/>
      <c r="E916" s="7"/>
      <c r="F916" t="s">
        <v>67</v>
      </c>
      <c r="G916" t="s">
        <v>9031</v>
      </c>
      <c r="H916" t="s">
        <v>69</v>
      </c>
      <c r="I916" t="s">
        <v>69</v>
      </c>
      <c r="J916" t="s">
        <v>69</v>
      </c>
      <c r="K916" t="s">
        <v>9032</v>
      </c>
      <c r="L916" t="s">
        <v>69</v>
      </c>
      <c r="M916" t="s">
        <v>69</v>
      </c>
      <c r="N916" t="s">
        <v>9033</v>
      </c>
      <c r="O916" t="s">
        <v>9034</v>
      </c>
      <c r="P916" t="s">
        <v>69</v>
      </c>
      <c r="Q916" t="s">
        <v>69</v>
      </c>
      <c r="R916" t="s">
        <v>8505</v>
      </c>
      <c r="S916" t="s">
        <v>9035</v>
      </c>
      <c r="T916" t="s">
        <v>69</v>
      </c>
      <c r="U916" t="s">
        <v>69</v>
      </c>
      <c r="V916" t="s">
        <v>69</v>
      </c>
      <c r="W916" t="s">
        <v>69</v>
      </c>
      <c r="X916" t="s">
        <v>69</v>
      </c>
      <c r="Y916" t="s">
        <v>9036</v>
      </c>
      <c r="Z916" t="s">
        <v>9037</v>
      </c>
      <c r="AA916" t="s">
        <v>9038</v>
      </c>
      <c r="AB916" t="s">
        <v>9039</v>
      </c>
      <c r="AC916" t="s">
        <v>69</v>
      </c>
      <c r="AD916" t="s">
        <v>9040</v>
      </c>
      <c r="AE916" t="s">
        <v>9041</v>
      </c>
      <c r="AF916" t="s">
        <v>9042</v>
      </c>
      <c r="AG916" t="s">
        <v>9043</v>
      </c>
      <c r="AH916" t="s">
        <v>9044</v>
      </c>
      <c r="AI916" t="s">
        <v>9045</v>
      </c>
      <c r="AJ916" t="s">
        <v>9046</v>
      </c>
      <c r="AK916" t="s">
        <v>69</v>
      </c>
      <c r="AL916">
        <v>128</v>
      </c>
      <c r="AM916">
        <v>0</v>
      </c>
      <c r="AN916">
        <v>0</v>
      </c>
      <c r="AO916">
        <v>3</v>
      </c>
      <c r="AP916">
        <v>3</v>
      </c>
      <c r="AQ916" t="s">
        <v>9047</v>
      </c>
      <c r="AR916" t="s">
        <v>9048</v>
      </c>
      <c r="AS916" t="s">
        <v>9049</v>
      </c>
      <c r="AT916" t="s">
        <v>9050</v>
      </c>
      <c r="AU916" t="s">
        <v>9051</v>
      </c>
      <c r="AV916" t="s">
        <v>69</v>
      </c>
      <c r="AW916" t="s">
        <v>9052</v>
      </c>
      <c r="AX916" t="s">
        <v>9053</v>
      </c>
      <c r="AY916" t="s">
        <v>69</v>
      </c>
      <c r="AZ916" t="s">
        <v>69</v>
      </c>
      <c r="BA916" t="s">
        <v>69</v>
      </c>
      <c r="BB916" t="s">
        <v>69</v>
      </c>
      <c r="BC916" t="s">
        <v>69</v>
      </c>
      <c r="BD916" t="s">
        <v>69</v>
      </c>
      <c r="BE916" t="s">
        <v>69</v>
      </c>
      <c r="BF916" t="s">
        <v>69</v>
      </c>
      <c r="BG916" t="s">
        <v>69</v>
      </c>
      <c r="BH916" t="s">
        <v>69</v>
      </c>
      <c r="BI916" t="s">
        <v>69</v>
      </c>
      <c r="BJ916" t="s">
        <v>9054</v>
      </c>
      <c r="BK916" t="str">
        <f>HYPERLINK("http://dx.doi.org/10.1007/s11160-022-09715-w","http://dx.doi.org/10.1007/s11160-022-09715-w")</f>
        <v>http://dx.doi.org/10.1007/s11160-022-09715-w</v>
      </c>
      <c r="BL916" t="s">
        <v>69</v>
      </c>
      <c r="BM916" t="s">
        <v>9025</v>
      </c>
      <c r="BN916">
        <v>19</v>
      </c>
      <c r="BO916" t="s">
        <v>9055</v>
      </c>
      <c r="BP916" t="s">
        <v>8548</v>
      </c>
      <c r="BQ916" t="s">
        <v>9055</v>
      </c>
      <c r="BR916" t="s">
        <v>9056</v>
      </c>
      <c r="BS916" t="s">
        <v>9057</v>
      </c>
      <c r="BT916" t="s">
        <v>69</v>
      </c>
      <c r="BU916" t="s">
        <v>69</v>
      </c>
      <c r="BV916" t="s">
        <v>69</v>
      </c>
      <c r="BW916" t="s">
        <v>69</v>
      </c>
      <c r="BX916" t="s">
        <v>8526</v>
      </c>
      <c r="BY916" t="str">
        <f>HYPERLINK("https%3A%2F%2Fwww.webofscience.com%2Fwos%2Fwoscc%2Ffull-record%2FWOS:000795511700001","View Full Record in Web of Science")</f>
        <v>View Full Record in Web of Science</v>
      </c>
    </row>
    <row r="917" spans="1:77" ht="12.5" x14ac:dyDescent="0.25">
      <c r="A917" t="s">
        <v>8495</v>
      </c>
      <c r="B917" s="22" t="s">
        <v>32931</v>
      </c>
      <c r="C917" s="7"/>
      <c r="D917" s="7"/>
      <c r="E917" s="7"/>
      <c r="F917" t="s">
        <v>67</v>
      </c>
      <c r="G917" t="s">
        <v>12624</v>
      </c>
      <c r="H917" t="s">
        <v>69</v>
      </c>
      <c r="I917" t="s">
        <v>69</v>
      </c>
      <c r="J917" t="s">
        <v>69</v>
      </c>
      <c r="K917" t="s">
        <v>12625</v>
      </c>
      <c r="L917" t="s">
        <v>69</v>
      </c>
      <c r="M917" t="s">
        <v>69</v>
      </c>
      <c r="N917" t="s">
        <v>12626</v>
      </c>
      <c r="O917" t="s">
        <v>352</v>
      </c>
      <c r="P917" t="s">
        <v>69</v>
      </c>
      <c r="Q917" t="s">
        <v>69</v>
      </c>
      <c r="R917" t="s">
        <v>8505</v>
      </c>
      <c r="S917" t="s">
        <v>8506</v>
      </c>
      <c r="T917" t="s">
        <v>69</v>
      </c>
      <c r="U917" t="s">
        <v>69</v>
      </c>
      <c r="V917" t="s">
        <v>69</v>
      </c>
      <c r="W917" t="s">
        <v>69</v>
      </c>
      <c r="X917" t="s">
        <v>69</v>
      </c>
      <c r="Y917" t="s">
        <v>12627</v>
      </c>
      <c r="Z917" t="s">
        <v>69</v>
      </c>
      <c r="AA917" t="s">
        <v>12628</v>
      </c>
      <c r="AB917" t="s">
        <v>12629</v>
      </c>
      <c r="AC917" t="s">
        <v>69</v>
      </c>
      <c r="AD917" t="s">
        <v>12630</v>
      </c>
      <c r="AE917" t="s">
        <v>12631</v>
      </c>
      <c r="AF917" t="s">
        <v>12632</v>
      </c>
      <c r="AG917" t="s">
        <v>12633</v>
      </c>
      <c r="AH917" t="s">
        <v>12634</v>
      </c>
      <c r="AI917" t="s">
        <v>12634</v>
      </c>
      <c r="AJ917" t="s">
        <v>12635</v>
      </c>
      <c r="AK917" t="s">
        <v>69</v>
      </c>
      <c r="AL917">
        <v>47</v>
      </c>
      <c r="AM917">
        <v>0</v>
      </c>
      <c r="AN917">
        <v>0</v>
      </c>
      <c r="AO917">
        <v>7</v>
      </c>
      <c r="AP917">
        <v>17</v>
      </c>
      <c r="AQ917" t="s">
        <v>8924</v>
      </c>
      <c r="AR917" t="s">
        <v>8925</v>
      </c>
      <c r="AS917" t="s">
        <v>8926</v>
      </c>
      <c r="AT917" t="s">
        <v>69</v>
      </c>
      <c r="AU917" t="s">
        <v>354</v>
      </c>
      <c r="AV917" t="s">
        <v>69</v>
      </c>
      <c r="AW917" t="s">
        <v>8958</v>
      </c>
      <c r="AX917" t="s">
        <v>8434</v>
      </c>
      <c r="AY917" t="s">
        <v>246</v>
      </c>
      <c r="AZ917">
        <v>2021</v>
      </c>
      <c r="BA917">
        <v>13</v>
      </c>
      <c r="BB917">
        <v>7</v>
      </c>
      <c r="BC917" t="s">
        <v>69</v>
      </c>
      <c r="BD917" t="s">
        <v>69</v>
      </c>
      <c r="BE917" t="s">
        <v>69</v>
      </c>
      <c r="BF917" t="s">
        <v>69</v>
      </c>
      <c r="BG917" t="s">
        <v>69</v>
      </c>
      <c r="BH917" t="s">
        <v>69</v>
      </c>
      <c r="BI917">
        <v>3976</v>
      </c>
      <c r="BJ917" t="s">
        <v>12636</v>
      </c>
      <c r="BK917" t="str">
        <f>HYPERLINK("http://dx.doi.org/10.3390/su13073976","http://dx.doi.org/10.3390/su13073976")</f>
        <v>http://dx.doi.org/10.3390/su13073976</v>
      </c>
      <c r="BL917" t="s">
        <v>69</v>
      </c>
      <c r="BM917" t="s">
        <v>69</v>
      </c>
      <c r="BN917">
        <v>12</v>
      </c>
      <c r="BO917" t="s">
        <v>8960</v>
      </c>
      <c r="BP917" t="s">
        <v>8523</v>
      </c>
      <c r="BQ917" t="s">
        <v>8961</v>
      </c>
      <c r="BR917" t="s">
        <v>12637</v>
      </c>
      <c r="BS917" t="s">
        <v>12638</v>
      </c>
      <c r="BT917" t="s">
        <v>69</v>
      </c>
      <c r="BU917" t="s">
        <v>8812</v>
      </c>
      <c r="BV917" t="s">
        <v>69</v>
      </c>
      <c r="BW917" t="s">
        <v>69</v>
      </c>
      <c r="BX917" t="s">
        <v>8526</v>
      </c>
      <c r="BY917" t="str">
        <f>HYPERLINK("https%3A%2F%2Fwww.webofscience.com%2Fwos%2Fwoscc%2Ffull-record%2FWOS:000638908500001","View Full Record in Web of Science")</f>
        <v>View Full Record in Web of Science</v>
      </c>
    </row>
    <row r="918" spans="1:77" ht="12.5" x14ac:dyDescent="0.25">
      <c r="A918" t="s">
        <v>8495</v>
      </c>
      <c r="B918" s="22" t="s">
        <v>32931</v>
      </c>
      <c r="C918" s="7"/>
      <c r="D918" s="7"/>
      <c r="E918" s="7"/>
      <c r="F918" t="s">
        <v>67</v>
      </c>
      <c r="G918" t="s">
        <v>20732</v>
      </c>
      <c r="H918" t="s">
        <v>69</v>
      </c>
      <c r="I918" t="s">
        <v>69</v>
      </c>
      <c r="J918" t="s">
        <v>69</v>
      </c>
      <c r="K918" t="s">
        <v>20733</v>
      </c>
      <c r="L918" t="s">
        <v>69</v>
      </c>
      <c r="M918" t="s">
        <v>69</v>
      </c>
      <c r="N918" t="s">
        <v>20734</v>
      </c>
      <c r="O918" t="s">
        <v>316</v>
      </c>
      <c r="P918" t="s">
        <v>69</v>
      </c>
      <c r="Q918" t="s">
        <v>69</v>
      </c>
      <c r="R918" t="s">
        <v>8505</v>
      </c>
      <c r="S918" t="s">
        <v>8506</v>
      </c>
      <c r="T918" t="s">
        <v>69</v>
      </c>
      <c r="U918" t="s">
        <v>69</v>
      </c>
      <c r="V918" t="s">
        <v>69</v>
      </c>
      <c r="W918" t="s">
        <v>69</v>
      </c>
      <c r="X918" t="s">
        <v>69</v>
      </c>
      <c r="Y918" t="s">
        <v>20735</v>
      </c>
      <c r="Z918" t="s">
        <v>20736</v>
      </c>
      <c r="AA918" t="s">
        <v>20737</v>
      </c>
      <c r="AB918" t="s">
        <v>20738</v>
      </c>
      <c r="AC918" t="s">
        <v>69</v>
      </c>
      <c r="AD918" t="s">
        <v>20739</v>
      </c>
      <c r="AE918" t="s">
        <v>20740</v>
      </c>
      <c r="AF918" t="s">
        <v>20741</v>
      </c>
      <c r="AG918" t="s">
        <v>20742</v>
      </c>
      <c r="AH918" t="s">
        <v>69</v>
      </c>
      <c r="AI918" t="s">
        <v>69</v>
      </c>
      <c r="AJ918" t="s">
        <v>69</v>
      </c>
      <c r="AK918" t="s">
        <v>69</v>
      </c>
      <c r="AL918">
        <v>94</v>
      </c>
      <c r="AM918">
        <v>12</v>
      </c>
      <c r="AN918">
        <v>12</v>
      </c>
      <c r="AO918">
        <v>0</v>
      </c>
      <c r="AP918">
        <v>9</v>
      </c>
      <c r="AQ918" t="s">
        <v>8586</v>
      </c>
      <c r="AR918" t="s">
        <v>8587</v>
      </c>
      <c r="AS918" t="s">
        <v>8588</v>
      </c>
      <c r="AT918" t="s">
        <v>318</v>
      </c>
      <c r="AU918" t="s">
        <v>319</v>
      </c>
      <c r="AV918" t="s">
        <v>69</v>
      </c>
      <c r="AW918" t="s">
        <v>11313</v>
      </c>
      <c r="AX918" t="s">
        <v>11314</v>
      </c>
      <c r="AY918" t="s">
        <v>69</v>
      </c>
      <c r="AZ918">
        <v>2017</v>
      </c>
      <c r="BA918">
        <v>17</v>
      </c>
      <c r="BB918">
        <v>4</v>
      </c>
      <c r="BC918" t="s">
        <v>69</v>
      </c>
      <c r="BD918" t="s">
        <v>69</v>
      </c>
      <c r="BE918" t="s">
        <v>69</v>
      </c>
      <c r="BF918" t="s">
        <v>69</v>
      </c>
      <c r="BG918">
        <v>511</v>
      </c>
      <c r="BH918">
        <v>535</v>
      </c>
      <c r="BI918" t="s">
        <v>69</v>
      </c>
      <c r="BJ918" t="s">
        <v>20743</v>
      </c>
      <c r="BK918" t="str">
        <f>HYPERLINK("http://dx.doi.org/10.1108/CI-07-2016-0040","http://dx.doi.org/10.1108/CI-07-2016-0040")</f>
        <v>http://dx.doi.org/10.1108/CI-07-2016-0040</v>
      </c>
      <c r="BL918" t="s">
        <v>69</v>
      </c>
      <c r="BM918" t="s">
        <v>69</v>
      </c>
      <c r="BN918">
        <v>25</v>
      </c>
      <c r="BO918" t="s">
        <v>10105</v>
      </c>
      <c r="BP918" t="s">
        <v>8573</v>
      </c>
      <c r="BQ918" t="s">
        <v>10105</v>
      </c>
      <c r="BR918" t="s">
        <v>20744</v>
      </c>
      <c r="BS918" t="s">
        <v>20745</v>
      </c>
      <c r="BT918" t="s">
        <v>69</v>
      </c>
      <c r="BU918" t="s">
        <v>69</v>
      </c>
      <c r="BV918" t="s">
        <v>69</v>
      </c>
      <c r="BW918" t="s">
        <v>69</v>
      </c>
      <c r="BX918" t="s">
        <v>8526</v>
      </c>
      <c r="BY918" t="str">
        <f>HYPERLINK("https%3A%2F%2Fwww.webofscience.com%2Fwos%2Fwoscc%2Ffull-record%2FWOS:000415630600006","View Full Record in Web of Science")</f>
        <v>View Full Record in Web of Science</v>
      </c>
    </row>
    <row r="919" spans="1:77" x14ac:dyDescent="0.3">
      <c r="A919" t="s">
        <v>8495</v>
      </c>
      <c r="B919" s="9" t="s">
        <v>32999</v>
      </c>
      <c r="C919" s="9" t="s">
        <v>33074</v>
      </c>
      <c r="D919" s="9" t="s">
        <v>8491</v>
      </c>
      <c r="E919" s="9" t="s">
        <v>8490</v>
      </c>
      <c r="F919" t="s">
        <v>67</v>
      </c>
      <c r="G919" t="s">
        <v>23410</v>
      </c>
      <c r="H919" t="s">
        <v>69</v>
      </c>
      <c r="I919" t="s">
        <v>69</v>
      </c>
      <c r="J919" t="s">
        <v>69</v>
      </c>
      <c r="K919" t="s">
        <v>23411</v>
      </c>
      <c r="L919" t="s">
        <v>69</v>
      </c>
      <c r="M919" t="s">
        <v>69</v>
      </c>
      <c r="N919" t="s">
        <v>23412</v>
      </c>
      <c r="O919" t="s">
        <v>23413</v>
      </c>
      <c r="P919" t="s">
        <v>69</v>
      </c>
      <c r="Q919" t="s">
        <v>69</v>
      </c>
      <c r="R919" t="s">
        <v>8505</v>
      </c>
      <c r="S919" t="s">
        <v>8506</v>
      </c>
      <c r="T919" t="s">
        <v>69</v>
      </c>
      <c r="U919" t="s">
        <v>69</v>
      </c>
      <c r="V919" t="s">
        <v>69</v>
      </c>
      <c r="W919" t="s">
        <v>69</v>
      </c>
      <c r="X919" t="s">
        <v>69</v>
      </c>
      <c r="Y919" t="s">
        <v>23414</v>
      </c>
      <c r="Z919" t="s">
        <v>23415</v>
      </c>
      <c r="AA919" t="s">
        <v>23416</v>
      </c>
      <c r="AB919" t="s">
        <v>23417</v>
      </c>
      <c r="AC919" t="s">
        <v>69</v>
      </c>
      <c r="AD919" t="s">
        <v>23418</v>
      </c>
      <c r="AE919" t="s">
        <v>23419</v>
      </c>
      <c r="AF919" t="s">
        <v>23420</v>
      </c>
      <c r="AG919" t="s">
        <v>69</v>
      </c>
      <c r="AH919" t="s">
        <v>69</v>
      </c>
      <c r="AI919" t="s">
        <v>69</v>
      </c>
      <c r="AJ919" t="s">
        <v>69</v>
      </c>
      <c r="AK919" t="s">
        <v>69</v>
      </c>
      <c r="AL919">
        <v>135</v>
      </c>
      <c r="AM919">
        <v>36</v>
      </c>
      <c r="AN919">
        <v>39</v>
      </c>
      <c r="AO919">
        <v>4</v>
      </c>
      <c r="AP919">
        <v>112</v>
      </c>
      <c r="AQ919" t="s">
        <v>8516</v>
      </c>
      <c r="AR919" t="s">
        <v>8517</v>
      </c>
      <c r="AS919" t="s">
        <v>8518</v>
      </c>
      <c r="AT919" t="s">
        <v>23421</v>
      </c>
      <c r="AU919" t="s">
        <v>23422</v>
      </c>
      <c r="AV919" t="s">
        <v>69</v>
      </c>
      <c r="AW919" t="s">
        <v>23423</v>
      </c>
      <c r="AX919" t="s">
        <v>23424</v>
      </c>
      <c r="AY919" t="s">
        <v>75</v>
      </c>
      <c r="AZ919">
        <v>2014</v>
      </c>
      <c r="BA919">
        <v>20</v>
      </c>
      <c r="BB919">
        <v>4</v>
      </c>
      <c r="BC919" t="s">
        <v>69</v>
      </c>
      <c r="BD919" t="s">
        <v>69</v>
      </c>
      <c r="BE919" t="s">
        <v>69</v>
      </c>
      <c r="BF919" t="s">
        <v>69</v>
      </c>
      <c r="BG919">
        <v>390</v>
      </c>
      <c r="BH919">
        <v>405</v>
      </c>
      <c r="BI919" t="s">
        <v>69</v>
      </c>
      <c r="BJ919" t="s">
        <v>23425</v>
      </c>
      <c r="BK919" t="str">
        <f>HYPERLINK("http://dx.doi.org/10.1016/j.intman.2014.07.001","http://dx.doi.org/10.1016/j.intman.2014.07.001")</f>
        <v>http://dx.doi.org/10.1016/j.intman.2014.07.001</v>
      </c>
      <c r="BL919" t="s">
        <v>69</v>
      </c>
      <c r="BM919" t="s">
        <v>69</v>
      </c>
      <c r="BN919">
        <v>16</v>
      </c>
      <c r="BO919" t="s">
        <v>9410</v>
      </c>
      <c r="BP919" t="s">
        <v>8661</v>
      </c>
      <c r="BQ919" t="s">
        <v>8594</v>
      </c>
      <c r="BR919" t="s">
        <v>23426</v>
      </c>
      <c r="BS919" t="s">
        <v>23427</v>
      </c>
      <c r="BT919" t="s">
        <v>69</v>
      </c>
      <c r="BU919" t="s">
        <v>69</v>
      </c>
      <c r="BV919" t="s">
        <v>69</v>
      </c>
      <c r="BW919" t="s">
        <v>69</v>
      </c>
      <c r="BX919" t="s">
        <v>8526</v>
      </c>
      <c r="BY919" t="str">
        <f>HYPERLINK("https%3A%2F%2Fwww.webofscience.com%2Fwos%2Fwoscc%2Ffull-record%2FWOS:000345506500002","View Full Record in Web of Science")</f>
        <v>View Full Record in Web of Science</v>
      </c>
    </row>
    <row r="920" spans="1:77" ht="12.5" x14ac:dyDescent="0.25">
      <c r="A920" t="s">
        <v>8495</v>
      </c>
      <c r="B920" s="7" t="s">
        <v>32933</v>
      </c>
      <c r="C920" s="7"/>
      <c r="D920" s="7"/>
      <c r="E920" s="7"/>
      <c r="F920" t="s">
        <v>67</v>
      </c>
      <c r="G920" t="s">
        <v>6756</v>
      </c>
      <c r="H920" t="s">
        <v>69</v>
      </c>
      <c r="I920" t="s">
        <v>69</v>
      </c>
      <c r="J920" t="s">
        <v>69</v>
      </c>
      <c r="K920" t="s">
        <v>6757</v>
      </c>
      <c r="L920" t="s">
        <v>69</v>
      </c>
      <c r="M920" t="s">
        <v>69</v>
      </c>
      <c r="N920" t="s">
        <v>6758</v>
      </c>
      <c r="O920" t="s">
        <v>6759</v>
      </c>
      <c r="P920" t="s">
        <v>69</v>
      </c>
      <c r="Q920" t="s">
        <v>69</v>
      </c>
      <c r="R920" t="s">
        <v>9357</v>
      </c>
      <c r="S920" t="s">
        <v>8506</v>
      </c>
      <c r="T920" t="s">
        <v>69</v>
      </c>
      <c r="U920" t="s">
        <v>69</v>
      </c>
      <c r="V920" t="s">
        <v>69</v>
      </c>
      <c r="W920" t="s">
        <v>69</v>
      </c>
      <c r="X920" t="s">
        <v>69</v>
      </c>
      <c r="Y920" t="s">
        <v>17041</v>
      </c>
      <c r="Z920" t="s">
        <v>69</v>
      </c>
      <c r="AA920" t="s">
        <v>6760</v>
      </c>
      <c r="AB920" t="s">
        <v>17042</v>
      </c>
      <c r="AC920" t="s">
        <v>69</v>
      </c>
      <c r="AD920" t="s">
        <v>17043</v>
      </c>
      <c r="AE920" t="s">
        <v>17044</v>
      </c>
      <c r="AF920" t="s">
        <v>6761</v>
      </c>
      <c r="AG920" t="s">
        <v>6762</v>
      </c>
      <c r="AH920" t="s">
        <v>69</v>
      </c>
      <c r="AI920" t="s">
        <v>69</v>
      </c>
      <c r="AJ920" t="s">
        <v>69</v>
      </c>
      <c r="AK920" t="s">
        <v>69</v>
      </c>
      <c r="AL920">
        <v>15</v>
      </c>
      <c r="AM920">
        <v>1</v>
      </c>
      <c r="AN920">
        <v>1</v>
      </c>
      <c r="AO920">
        <v>3</v>
      </c>
      <c r="AP920">
        <v>4</v>
      </c>
      <c r="AQ920" t="s">
        <v>17045</v>
      </c>
      <c r="AR920" t="s">
        <v>9367</v>
      </c>
      <c r="AS920" t="s">
        <v>17046</v>
      </c>
      <c r="AT920" t="s">
        <v>6763</v>
      </c>
      <c r="AU920" t="s">
        <v>69</v>
      </c>
      <c r="AV920" t="s">
        <v>69</v>
      </c>
      <c r="AW920" t="s">
        <v>17047</v>
      </c>
      <c r="AX920" t="s">
        <v>17048</v>
      </c>
      <c r="AY920" t="s">
        <v>1226</v>
      </c>
      <c r="AZ920">
        <v>2019</v>
      </c>
      <c r="BA920" t="s">
        <v>69</v>
      </c>
      <c r="BB920">
        <v>4</v>
      </c>
      <c r="BC920" t="s">
        <v>69</v>
      </c>
      <c r="BD920" t="s">
        <v>69</v>
      </c>
      <c r="BE920" t="s">
        <v>69</v>
      </c>
      <c r="BF920" t="s">
        <v>69</v>
      </c>
      <c r="BG920">
        <v>60</v>
      </c>
      <c r="BH920">
        <v>72</v>
      </c>
      <c r="BI920" t="s">
        <v>69</v>
      </c>
      <c r="BJ920" t="s">
        <v>6764</v>
      </c>
      <c r="BK920" t="str">
        <f>HYPERLINK("http://dx.doi.org/10.15211/soveurope420196072","http://dx.doi.org/10.15211/soveurope420196072")</f>
        <v>http://dx.doi.org/10.15211/soveurope420196072</v>
      </c>
      <c r="BL920" t="s">
        <v>69</v>
      </c>
      <c r="BM920" t="s">
        <v>69</v>
      </c>
      <c r="BN920">
        <v>13</v>
      </c>
      <c r="BO920" t="s">
        <v>17049</v>
      </c>
      <c r="BP920" t="s">
        <v>8573</v>
      </c>
      <c r="BQ920" t="s">
        <v>17049</v>
      </c>
      <c r="BR920" t="s">
        <v>17050</v>
      </c>
      <c r="BS920" t="s">
        <v>6765</v>
      </c>
      <c r="BT920" t="s">
        <v>69</v>
      </c>
      <c r="BU920" t="s">
        <v>8931</v>
      </c>
      <c r="BV920" t="s">
        <v>69</v>
      </c>
      <c r="BW920" t="s">
        <v>69</v>
      </c>
      <c r="BX920" t="s">
        <v>8526</v>
      </c>
      <c r="BY920" t="str">
        <f>HYPERLINK("https%3A%2F%2Fwww.webofscience.com%2Fwos%2Fwoscc%2Ffull-record%2FWOS:000496446200006","View Full Record in Web of Science")</f>
        <v>View Full Record in Web of Science</v>
      </c>
    </row>
    <row r="921" spans="1:77" ht="12.5" x14ac:dyDescent="0.25">
      <c r="A921" t="s">
        <v>8495</v>
      </c>
      <c r="B921" s="22" t="s">
        <v>32931</v>
      </c>
      <c r="C921" s="7"/>
      <c r="D921" s="7"/>
      <c r="E921" s="7"/>
      <c r="F921" t="s">
        <v>67</v>
      </c>
      <c r="G921" t="s">
        <v>23610</v>
      </c>
      <c r="H921" t="s">
        <v>69</v>
      </c>
      <c r="I921" t="s">
        <v>69</v>
      </c>
      <c r="J921" t="s">
        <v>69</v>
      </c>
      <c r="K921" t="s">
        <v>23611</v>
      </c>
      <c r="L921" t="s">
        <v>69</v>
      </c>
      <c r="M921" t="s">
        <v>69</v>
      </c>
      <c r="N921" t="s">
        <v>23612</v>
      </c>
      <c r="O921" t="s">
        <v>23613</v>
      </c>
      <c r="P921" t="s">
        <v>69</v>
      </c>
      <c r="Q921" t="s">
        <v>69</v>
      </c>
      <c r="R921" t="s">
        <v>8505</v>
      </c>
      <c r="S921" t="s">
        <v>10174</v>
      </c>
      <c r="T921" t="s">
        <v>69</v>
      </c>
      <c r="U921" t="s">
        <v>69</v>
      </c>
      <c r="V921" t="s">
        <v>69</v>
      </c>
      <c r="W921" t="s">
        <v>69</v>
      </c>
      <c r="X921" t="s">
        <v>69</v>
      </c>
      <c r="Y921" t="s">
        <v>69</v>
      </c>
      <c r="Z921" t="s">
        <v>69</v>
      </c>
      <c r="AA921" t="s">
        <v>23614</v>
      </c>
      <c r="AB921" t="s">
        <v>23615</v>
      </c>
      <c r="AC921" t="s">
        <v>69</v>
      </c>
      <c r="AD921" t="s">
        <v>23616</v>
      </c>
      <c r="AE921" t="s">
        <v>23617</v>
      </c>
      <c r="AF921" t="s">
        <v>69</v>
      </c>
      <c r="AG921" t="s">
        <v>69</v>
      </c>
      <c r="AH921" t="s">
        <v>69</v>
      </c>
      <c r="AI921" t="s">
        <v>69</v>
      </c>
      <c r="AJ921" t="s">
        <v>69</v>
      </c>
      <c r="AK921" t="s">
        <v>69</v>
      </c>
      <c r="AL921">
        <v>0</v>
      </c>
      <c r="AM921">
        <v>1</v>
      </c>
      <c r="AN921">
        <v>1</v>
      </c>
      <c r="AO921">
        <v>0</v>
      </c>
      <c r="AP921">
        <v>0</v>
      </c>
      <c r="AQ921" t="s">
        <v>8762</v>
      </c>
      <c r="AR921" t="s">
        <v>8763</v>
      </c>
      <c r="AS921" t="s">
        <v>8764</v>
      </c>
      <c r="AT921" t="s">
        <v>23618</v>
      </c>
      <c r="AU921" t="s">
        <v>23619</v>
      </c>
      <c r="AV921" t="s">
        <v>69</v>
      </c>
      <c r="AW921" t="s">
        <v>23620</v>
      </c>
      <c r="AX921" t="s">
        <v>23621</v>
      </c>
      <c r="AY921" t="s">
        <v>255</v>
      </c>
      <c r="AZ921">
        <v>2014</v>
      </c>
      <c r="BA921">
        <v>40</v>
      </c>
      <c r="BB921">
        <v>1</v>
      </c>
      <c r="BC921" t="s">
        <v>69</v>
      </c>
      <c r="BD921" t="s">
        <v>69</v>
      </c>
      <c r="BE921" t="s">
        <v>69</v>
      </c>
      <c r="BF921" t="s">
        <v>69</v>
      </c>
      <c r="BG921">
        <v>107</v>
      </c>
      <c r="BH921">
        <v>111</v>
      </c>
      <c r="BI921" t="s">
        <v>69</v>
      </c>
      <c r="BJ921" t="s">
        <v>23622</v>
      </c>
      <c r="BK921" t="str">
        <f>HYPERLINK("http://dx.doi.org/10.1177/030630701404000107","http://dx.doi.org/10.1177/030630701404000107")</f>
        <v>http://dx.doi.org/10.1177/030630701404000107</v>
      </c>
      <c r="BL921" t="s">
        <v>69</v>
      </c>
      <c r="BM921" t="s">
        <v>69</v>
      </c>
      <c r="BN921">
        <v>5</v>
      </c>
      <c r="BO921" t="s">
        <v>9410</v>
      </c>
      <c r="BP921" t="s">
        <v>8573</v>
      </c>
      <c r="BQ921" t="s">
        <v>8594</v>
      </c>
      <c r="BR921" t="s">
        <v>23623</v>
      </c>
      <c r="BS921" t="s">
        <v>23624</v>
      </c>
      <c r="BT921" t="s">
        <v>69</v>
      </c>
      <c r="BU921" t="s">
        <v>69</v>
      </c>
      <c r="BV921" t="s">
        <v>69</v>
      </c>
      <c r="BW921" t="s">
        <v>69</v>
      </c>
      <c r="BX921" t="s">
        <v>8526</v>
      </c>
      <c r="BY921" t="str">
        <f>HYPERLINK("https%3A%2F%2Fwww.webofscience.com%2Fwos%2Fwoscc%2Ffull-record%2FWOS:000447250000007","View Full Record in Web of Science")</f>
        <v>View Full Record in Web of Science</v>
      </c>
    </row>
    <row r="922" spans="1:77" ht="12.5" x14ac:dyDescent="0.25">
      <c r="A922" t="s">
        <v>8495</v>
      </c>
      <c r="B922" s="7" t="s">
        <v>32933</v>
      </c>
      <c r="C922" s="7"/>
      <c r="D922" s="7"/>
      <c r="E922" s="7"/>
      <c r="F922" t="s">
        <v>67</v>
      </c>
      <c r="G922" t="s">
        <v>4160</v>
      </c>
      <c r="H922" t="s">
        <v>69</v>
      </c>
      <c r="I922" t="s">
        <v>69</v>
      </c>
      <c r="J922" t="s">
        <v>69</v>
      </c>
      <c r="K922" t="s">
        <v>4160</v>
      </c>
      <c r="L922" t="s">
        <v>69</v>
      </c>
      <c r="M922" t="s">
        <v>69</v>
      </c>
      <c r="N922" t="s">
        <v>4161</v>
      </c>
      <c r="O922" t="s">
        <v>260</v>
      </c>
      <c r="P922" t="s">
        <v>69</v>
      </c>
      <c r="Q922" t="s">
        <v>69</v>
      </c>
      <c r="R922" t="s">
        <v>8505</v>
      </c>
      <c r="S922" t="s">
        <v>8506</v>
      </c>
      <c r="T922" t="s">
        <v>69</v>
      </c>
      <c r="U922" t="s">
        <v>69</v>
      </c>
      <c r="V922" t="s">
        <v>69</v>
      </c>
      <c r="W922" t="s">
        <v>69</v>
      </c>
      <c r="X922" t="s">
        <v>69</v>
      </c>
      <c r="Y922" t="s">
        <v>69</v>
      </c>
      <c r="Z922" t="s">
        <v>69</v>
      </c>
      <c r="AA922" t="s">
        <v>4162</v>
      </c>
      <c r="AB922" t="s">
        <v>32039</v>
      </c>
      <c r="AC922" t="s">
        <v>69</v>
      </c>
      <c r="AD922" t="s">
        <v>32040</v>
      </c>
      <c r="AE922" t="s">
        <v>69</v>
      </c>
      <c r="AF922" t="s">
        <v>69</v>
      </c>
      <c r="AG922" t="s">
        <v>69</v>
      </c>
      <c r="AH922" t="s">
        <v>69</v>
      </c>
      <c r="AI922" t="s">
        <v>69</v>
      </c>
      <c r="AJ922" t="s">
        <v>69</v>
      </c>
      <c r="AK922" t="s">
        <v>69</v>
      </c>
      <c r="AL922">
        <v>39</v>
      </c>
      <c r="AM922">
        <v>48</v>
      </c>
      <c r="AN922">
        <v>48</v>
      </c>
      <c r="AO922">
        <v>0</v>
      </c>
      <c r="AP922">
        <v>14</v>
      </c>
      <c r="AQ922" t="s">
        <v>32041</v>
      </c>
      <c r="AR922" t="s">
        <v>9979</v>
      </c>
      <c r="AS922" t="s">
        <v>32042</v>
      </c>
      <c r="AT922" t="s">
        <v>262</v>
      </c>
      <c r="AU922" t="s">
        <v>69</v>
      </c>
      <c r="AV922" t="s">
        <v>69</v>
      </c>
      <c r="AW922" t="s">
        <v>31916</v>
      </c>
      <c r="AX922" t="s">
        <v>31917</v>
      </c>
      <c r="AY922" t="s">
        <v>1710</v>
      </c>
      <c r="AZ922">
        <v>1998</v>
      </c>
      <c r="BA922">
        <v>39</v>
      </c>
      <c r="BB922">
        <v>2</v>
      </c>
      <c r="BC922" t="s">
        <v>69</v>
      </c>
      <c r="BD922" t="s">
        <v>69</v>
      </c>
      <c r="BE922" t="s">
        <v>69</v>
      </c>
      <c r="BF922" t="s">
        <v>69</v>
      </c>
      <c r="BG922">
        <v>73</v>
      </c>
      <c r="BH922" t="s">
        <v>219</v>
      </c>
      <c r="BI922" t="s">
        <v>69</v>
      </c>
      <c r="BJ922" t="s">
        <v>69</v>
      </c>
      <c r="BK922" t="s">
        <v>69</v>
      </c>
      <c r="BL922" t="s">
        <v>69</v>
      </c>
      <c r="BM922" t="s">
        <v>69</v>
      </c>
      <c r="BN922">
        <v>11</v>
      </c>
      <c r="BO922" t="s">
        <v>8791</v>
      </c>
      <c r="BP922" t="s">
        <v>8661</v>
      </c>
      <c r="BQ922" t="s">
        <v>8594</v>
      </c>
      <c r="BR922" t="s">
        <v>32043</v>
      </c>
      <c r="BS922" t="s">
        <v>4163</v>
      </c>
      <c r="BT922" t="s">
        <v>69</v>
      </c>
      <c r="BU922" t="s">
        <v>69</v>
      </c>
      <c r="BV922" t="s">
        <v>69</v>
      </c>
      <c r="BW922" t="s">
        <v>69</v>
      </c>
      <c r="BX922" t="s">
        <v>8526</v>
      </c>
      <c r="BY922" t="str">
        <f>HYPERLINK("https%3A%2F%2Fwww.webofscience.com%2Fwos%2Fwoscc%2Ffull-record%2FWOS:000071510000010","View Full Record in Web of Science")</f>
        <v>View Full Record in Web of Science</v>
      </c>
    </row>
    <row r="923" spans="1:77" ht="12.5" x14ac:dyDescent="0.25">
      <c r="A923" t="s">
        <v>8495</v>
      </c>
      <c r="B923" s="7" t="s">
        <v>32933</v>
      </c>
      <c r="C923" s="7"/>
      <c r="D923" s="7"/>
      <c r="E923" s="7"/>
      <c r="F923" t="s">
        <v>67</v>
      </c>
      <c r="G923" t="s">
        <v>1148</v>
      </c>
      <c r="H923" t="s">
        <v>69</v>
      </c>
      <c r="I923" t="s">
        <v>69</v>
      </c>
      <c r="J923" t="s">
        <v>69</v>
      </c>
      <c r="K923" t="s">
        <v>1149</v>
      </c>
      <c r="L923" t="s">
        <v>69</v>
      </c>
      <c r="M923" t="s">
        <v>69</v>
      </c>
      <c r="N923" t="s">
        <v>1150</v>
      </c>
      <c r="O923" t="s">
        <v>1151</v>
      </c>
      <c r="P923" t="s">
        <v>69</v>
      </c>
      <c r="Q923" t="s">
        <v>69</v>
      </c>
      <c r="R923" t="s">
        <v>8505</v>
      </c>
      <c r="S923" t="s">
        <v>8506</v>
      </c>
      <c r="T923" t="s">
        <v>69</v>
      </c>
      <c r="U923" t="s">
        <v>69</v>
      </c>
      <c r="V923" t="s">
        <v>69</v>
      </c>
      <c r="W923" t="s">
        <v>69</v>
      </c>
      <c r="X923" t="s">
        <v>69</v>
      </c>
      <c r="Y923" t="s">
        <v>20191</v>
      </c>
      <c r="Z923" t="s">
        <v>20192</v>
      </c>
      <c r="AA923" t="s">
        <v>1152</v>
      </c>
      <c r="AB923" t="s">
        <v>20193</v>
      </c>
      <c r="AC923" t="s">
        <v>69</v>
      </c>
      <c r="AD923" t="s">
        <v>20194</v>
      </c>
      <c r="AE923" t="s">
        <v>20195</v>
      </c>
      <c r="AF923" t="s">
        <v>1153</v>
      </c>
      <c r="AG923" t="s">
        <v>1154</v>
      </c>
      <c r="AH923" t="s">
        <v>69</v>
      </c>
      <c r="AI923" t="s">
        <v>69</v>
      </c>
      <c r="AJ923" t="s">
        <v>69</v>
      </c>
      <c r="AK923" t="s">
        <v>69</v>
      </c>
      <c r="AL923">
        <v>71</v>
      </c>
      <c r="AM923">
        <v>3</v>
      </c>
      <c r="AN923">
        <v>3</v>
      </c>
      <c r="AO923">
        <v>1</v>
      </c>
      <c r="AP923">
        <v>8</v>
      </c>
      <c r="AQ923" t="s">
        <v>20196</v>
      </c>
      <c r="AR923" t="s">
        <v>9018</v>
      </c>
      <c r="AS923" t="s">
        <v>9019</v>
      </c>
      <c r="AT923" t="s">
        <v>1155</v>
      </c>
      <c r="AU923" t="s">
        <v>1156</v>
      </c>
      <c r="AV923" t="s">
        <v>69</v>
      </c>
      <c r="AW923" t="s">
        <v>20197</v>
      </c>
      <c r="AX923" t="s">
        <v>20198</v>
      </c>
      <c r="AY923" t="s">
        <v>84</v>
      </c>
      <c r="AZ923">
        <v>2017</v>
      </c>
      <c r="BA923">
        <v>15</v>
      </c>
      <c r="BB923" t="s">
        <v>1157</v>
      </c>
      <c r="BC923" t="s">
        <v>69</v>
      </c>
      <c r="BD923" t="s">
        <v>69</v>
      </c>
      <c r="BE923" t="s">
        <v>69</v>
      </c>
      <c r="BF923" t="s">
        <v>69</v>
      </c>
      <c r="BG923">
        <v>747</v>
      </c>
      <c r="BH923">
        <v>761</v>
      </c>
      <c r="BI923" t="s">
        <v>69</v>
      </c>
      <c r="BJ923" t="s">
        <v>1158</v>
      </c>
      <c r="BK923" t="str">
        <f>HYPERLINK("http://dx.doi.org/10.1007/s40999-017-0172-0","http://dx.doi.org/10.1007/s40999-017-0172-0")</f>
        <v>http://dx.doi.org/10.1007/s40999-017-0172-0</v>
      </c>
      <c r="BL923" t="s">
        <v>69</v>
      </c>
      <c r="BM923" t="s">
        <v>69</v>
      </c>
      <c r="BN923">
        <v>15</v>
      </c>
      <c r="BO923" t="s">
        <v>13537</v>
      </c>
      <c r="BP923" t="s">
        <v>8548</v>
      </c>
      <c r="BQ923" t="s">
        <v>8445</v>
      </c>
      <c r="BR923" t="s">
        <v>20199</v>
      </c>
      <c r="BS923" t="s">
        <v>1159</v>
      </c>
      <c r="BT923" t="s">
        <v>69</v>
      </c>
      <c r="BU923" t="s">
        <v>69</v>
      </c>
      <c r="BV923" t="s">
        <v>69</v>
      </c>
      <c r="BW923" t="s">
        <v>69</v>
      </c>
      <c r="BX923" t="s">
        <v>8526</v>
      </c>
      <c r="BY923" t="str">
        <f>HYPERLINK("https%3A%2F%2Fwww.webofscience.com%2Fwos%2Fwoscc%2Ffull-record%2FWOS:000405549800004","View Full Record in Web of Science")</f>
        <v>View Full Record in Web of Science</v>
      </c>
    </row>
    <row r="924" spans="1:77" ht="12.5" x14ac:dyDescent="0.25">
      <c r="A924" t="s">
        <v>8495</v>
      </c>
      <c r="B924" s="7" t="s">
        <v>32933</v>
      </c>
      <c r="C924" s="7"/>
      <c r="D924" s="7"/>
      <c r="E924" s="7"/>
      <c r="F924" t="s">
        <v>67</v>
      </c>
      <c r="G924" t="s">
        <v>3606</v>
      </c>
      <c r="H924" t="s">
        <v>69</v>
      </c>
      <c r="I924" t="s">
        <v>69</v>
      </c>
      <c r="J924" t="s">
        <v>69</v>
      </c>
      <c r="K924" t="s">
        <v>3607</v>
      </c>
      <c r="L924" t="s">
        <v>69</v>
      </c>
      <c r="M924" t="s">
        <v>69</v>
      </c>
      <c r="N924" t="s">
        <v>3608</v>
      </c>
      <c r="O924" t="s">
        <v>3609</v>
      </c>
      <c r="P924" t="s">
        <v>69</v>
      </c>
      <c r="Q924" t="s">
        <v>69</v>
      </c>
      <c r="R924" t="s">
        <v>12534</v>
      </c>
      <c r="S924" t="s">
        <v>8506</v>
      </c>
      <c r="T924" t="s">
        <v>69</v>
      </c>
      <c r="U924" t="s">
        <v>69</v>
      </c>
      <c r="V924" t="s">
        <v>69</v>
      </c>
      <c r="W924" t="s">
        <v>69</v>
      </c>
      <c r="X924" t="s">
        <v>69</v>
      </c>
      <c r="Y924" t="s">
        <v>28585</v>
      </c>
      <c r="Z924" t="s">
        <v>69</v>
      </c>
      <c r="AA924" t="s">
        <v>3610</v>
      </c>
      <c r="AB924" t="s">
        <v>28586</v>
      </c>
      <c r="AC924" t="s">
        <v>69</v>
      </c>
      <c r="AD924" t="s">
        <v>28587</v>
      </c>
      <c r="AE924" t="s">
        <v>28588</v>
      </c>
      <c r="AF924" t="s">
        <v>69</v>
      </c>
      <c r="AG924" t="s">
        <v>69</v>
      </c>
      <c r="AH924" t="s">
        <v>69</v>
      </c>
      <c r="AI924" t="s">
        <v>69</v>
      </c>
      <c r="AJ924" t="s">
        <v>69</v>
      </c>
      <c r="AK924" t="s">
        <v>69</v>
      </c>
      <c r="AL924">
        <v>66</v>
      </c>
      <c r="AM924">
        <v>8</v>
      </c>
      <c r="AN924">
        <v>8</v>
      </c>
      <c r="AO924">
        <v>1</v>
      </c>
      <c r="AP924">
        <v>15</v>
      </c>
      <c r="AQ924" t="s">
        <v>28589</v>
      </c>
      <c r="AR924" t="s">
        <v>28287</v>
      </c>
      <c r="AS924" t="s">
        <v>28590</v>
      </c>
      <c r="AT924" t="s">
        <v>3611</v>
      </c>
      <c r="AU924" t="s">
        <v>3612</v>
      </c>
      <c r="AV924" t="s">
        <v>69</v>
      </c>
      <c r="AW924" t="s">
        <v>28591</v>
      </c>
      <c r="AX924" t="s">
        <v>28592</v>
      </c>
      <c r="AY924" t="s">
        <v>94</v>
      </c>
      <c r="AZ924">
        <v>2009</v>
      </c>
      <c r="BA924">
        <v>61</v>
      </c>
      <c r="BB924">
        <v>1</v>
      </c>
      <c r="BC924" t="s">
        <v>69</v>
      </c>
      <c r="BD924" t="s">
        <v>69</v>
      </c>
      <c r="BE924" t="s">
        <v>69</v>
      </c>
      <c r="BF924" t="s">
        <v>69</v>
      </c>
      <c r="BG924">
        <v>56</v>
      </c>
      <c r="BH924">
        <v>89</v>
      </c>
      <c r="BI924" t="s">
        <v>69</v>
      </c>
      <c r="BJ924" t="s">
        <v>3613</v>
      </c>
      <c r="BK924" t="str">
        <f>HYPERLINK("http://dx.doi.org/10.1007/s11577-009-0042-0","http://dx.doi.org/10.1007/s11577-009-0042-0")</f>
        <v>http://dx.doi.org/10.1007/s11577-009-0042-0</v>
      </c>
      <c r="BL924" t="s">
        <v>69</v>
      </c>
      <c r="BM924" t="s">
        <v>69</v>
      </c>
      <c r="BN924">
        <v>34</v>
      </c>
      <c r="BO924" t="s">
        <v>28593</v>
      </c>
      <c r="BP924" t="s">
        <v>8661</v>
      </c>
      <c r="BQ924" t="s">
        <v>28594</v>
      </c>
      <c r="BR924" t="s">
        <v>28595</v>
      </c>
      <c r="BS924" t="s">
        <v>3614</v>
      </c>
      <c r="BT924" t="s">
        <v>69</v>
      </c>
      <c r="BU924" t="s">
        <v>69</v>
      </c>
      <c r="BV924" t="s">
        <v>69</v>
      </c>
      <c r="BW924" t="s">
        <v>69</v>
      </c>
      <c r="BX924" t="s">
        <v>8526</v>
      </c>
      <c r="BY924" t="str">
        <f>HYPERLINK("https%3A%2F%2Fwww.webofscience.com%2Fwos%2Fwoscc%2Ffull-record%2FWOS:000265834300003","View Full Record in Web of Science")</f>
        <v>View Full Record in Web of Science</v>
      </c>
    </row>
    <row r="925" spans="1:77" x14ac:dyDescent="0.3">
      <c r="A925" t="s">
        <v>8495</v>
      </c>
      <c r="B925" s="9" t="s">
        <v>32954</v>
      </c>
      <c r="C925" s="9" t="s">
        <v>33146</v>
      </c>
      <c r="D925" s="10" t="s">
        <v>8490</v>
      </c>
      <c r="E925" s="9" t="s">
        <v>8490</v>
      </c>
      <c r="F925" t="s">
        <v>67</v>
      </c>
      <c r="G925" t="s">
        <v>12239</v>
      </c>
      <c r="H925" t="s">
        <v>69</v>
      </c>
      <c r="I925" t="s">
        <v>69</v>
      </c>
      <c r="J925" t="s">
        <v>69</v>
      </c>
      <c r="K925" t="s">
        <v>12240</v>
      </c>
      <c r="L925" t="s">
        <v>69</v>
      </c>
      <c r="M925" t="s">
        <v>69</v>
      </c>
      <c r="N925" t="s">
        <v>12241</v>
      </c>
      <c r="O925" t="s">
        <v>252</v>
      </c>
      <c r="P925" t="s">
        <v>69</v>
      </c>
      <c r="Q925" t="s">
        <v>69</v>
      </c>
      <c r="R925" t="s">
        <v>8505</v>
      </c>
      <c r="S925" t="s">
        <v>8506</v>
      </c>
      <c r="T925" t="s">
        <v>69</v>
      </c>
      <c r="U925" t="s">
        <v>69</v>
      </c>
      <c r="V925" t="s">
        <v>69</v>
      </c>
      <c r="W925" t="s">
        <v>69</v>
      </c>
      <c r="X925" t="s">
        <v>69</v>
      </c>
      <c r="Y925" t="s">
        <v>12242</v>
      </c>
      <c r="Z925" t="s">
        <v>12243</v>
      </c>
      <c r="AA925" t="s">
        <v>12244</v>
      </c>
      <c r="AB925" t="s">
        <v>12245</v>
      </c>
      <c r="AC925" t="s">
        <v>69</v>
      </c>
      <c r="AD925" t="s">
        <v>12246</v>
      </c>
      <c r="AE925" t="s">
        <v>12247</v>
      </c>
      <c r="AF925" t="s">
        <v>69</v>
      </c>
      <c r="AG925" t="s">
        <v>69</v>
      </c>
      <c r="AH925" t="s">
        <v>12248</v>
      </c>
      <c r="AI925" t="s">
        <v>12249</v>
      </c>
      <c r="AJ925" t="s">
        <v>12250</v>
      </c>
      <c r="AK925" t="s">
        <v>69</v>
      </c>
      <c r="AL925">
        <v>50</v>
      </c>
      <c r="AM925">
        <v>3</v>
      </c>
      <c r="AN925">
        <v>3</v>
      </c>
      <c r="AO925">
        <v>1</v>
      </c>
      <c r="AP925">
        <v>7</v>
      </c>
      <c r="AQ925" t="s">
        <v>8924</v>
      </c>
      <c r="AR925" t="s">
        <v>8925</v>
      </c>
      <c r="AS925" t="s">
        <v>8926</v>
      </c>
      <c r="AT925" t="s">
        <v>69</v>
      </c>
      <c r="AU925" t="s">
        <v>254</v>
      </c>
      <c r="AV925" t="s">
        <v>69</v>
      </c>
      <c r="AW925" t="s">
        <v>252</v>
      </c>
      <c r="AX925" t="s">
        <v>12251</v>
      </c>
      <c r="AY925" t="s">
        <v>586</v>
      </c>
      <c r="AZ925">
        <v>2021</v>
      </c>
      <c r="BA925">
        <v>12</v>
      </c>
      <c r="BB925">
        <v>5</v>
      </c>
      <c r="BC925" t="s">
        <v>69</v>
      </c>
      <c r="BD925" t="s">
        <v>69</v>
      </c>
      <c r="BE925" t="s">
        <v>69</v>
      </c>
      <c r="BF925" t="s">
        <v>69</v>
      </c>
      <c r="BG925" t="s">
        <v>69</v>
      </c>
      <c r="BH925" t="s">
        <v>69</v>
      </c>
      <c r="BI925">
        <v>525</v>
      </c>
      <c r="BJ925" t="s">
        <v>12252</v>
      </c>
      <c r="BK925" t="str">
        <f>HYPERLINK("http://dx.doi.org/10.3390/f12050525","http://dx.doi.org/10.3390/f12050525")</f>
        <v>http://dx.doi.org/10.3390/f12050525</v>
      </c>
      <c r="BL925" t="s">
        <v>69</v>
      </c>
      <c r="BM925" t="s">
        <v>69</v>
      </c>
      <c r="BN925">
        <v>15</v>
      </c>
      <c r="BO925" t="s">
        <v>8453</v>
      </c>
      <c r="BP925" t="s">
        <v>8523</v>
      </c>
      <c r="BQ925" t="s">
        <v>8453</v>
      </c>
      <c r="BR925" t="s">
        <v>12253</v>
      </c>
      <c r="BS925" t="s">
        <v>12254</v>
      </c>
      <c r="BT925" t="s">
        <v>69</v>
      </c>
      <c r="BU925" t="s">
        <v>8812</v>
      </c>
      <c r="BV925" t="s">
        <v>69</v>
      </c>
      <c r="BW925" t="s">
        <v>69</v>
      </c>
      <c r="BX925" t="s">
        <v>8526</v>
      </c>
      <c r="BY925" t="str">
        <f>HYPERLINK("https%3A%2F%2Fwww.webofscience.com%2Fwos%2Fwoscc%2Ffull-record%2FWOS:000653937900001","View Full Record in Web of Science")</f>
        <v>View Full Record in Web of Science</v>
      </c>
    </row>
    <row r="926" spans="1:77" ht="12.5" x14ac:dyDescent="0.25">
      <c r="A926" t="s">
        <v>8495</v>
      </c>
      <c r="B926" s="22" t="s">
        <v>32931</v>
      </c>
      <c r="C926" s="7"/>
      <c r="D926" s="7"/>
      <c r="E926" s="7"/>
      <c r="F926" t="s">
        <v>67</v>
      </c>
      <c r="G926" t="s">
        <v>9787</v>
      </c>
      <c r="H926" t="s">
        <v>69</v>
      </c>
      <c r="I926" t="s">
        <v>69</v>
      </c>
      <c r="J926" t="s">
        <v>69</v>
      </c>
      <c r="K926" t="s">
        <v>9788</v>
      </c>
      <c r="L926" t="s">
        <v>69</v>
      </c>
      <c r="M926" t="s">
        <v>69</v>
      </c>
      <c r="N926" t="s">
        <v>9789</v>
      </c>
      <c r="O926" t="s">
        <v>9790</v>
      </c>
      <c r="P926" t="s">
        <v>69</v>
      </c>
      <c r="Q926" t="s">
        <v>69</v>
      </c>
      <c r="R926" t="s">
        <v>8505</v>
      </c>
      <c r="S926" t="s">
        <v>8556</v>
      </c>
      <c r="T926" t="s">
        <v>69</v>
      </c>
      <c r="U926" t="s">
        <v>69</v>
      </c>
      <c r="V926" t="s">
        <v>69</v>
      </c>
      <c r="W926" t="s">
        <v>69</v>
      </c>
      <c r="X926" t="s">
        <v>69</v>
      </c>
      <c r="Y926" t="s">
        <v>9791</v>
      </c>
      <c r="Z926" t="s">
        <v>9792</v>
      </c>
      <c r="AA926" t="s">
        <v>9793</v>
      </c>
      <c r="AB926" t="s">
        <v>9794</v>
      </c>
      <c r="AC926" t="s">
        <v>69</v>
      </c>
      <c r="AD926" t="s">
        <v>9795</v>
      </c>
      <c r="AE926" t="s">
        <v>9796</v>
      </c>
      <c r="AF926" t="s">
        <v>69</v>
      </c>
      <c r="AG926" t="s">
        <v>9797</v>
      </c>
      <c r="AH926" t="s">
        <v>9798</v>
      </c>
      <c r="AI926" t="s">
        <v>9799</v>
      </c>
      <c r="AJ926" t="s">
        <v>9800</v>
      </c>
      <c r="AK926" t="s">
        <v>69</v>
      </c>
      <c r="AL926">
        <v>49</v>
      </c>
      <c r="AM926">
        <v>0</v>
      </c>
      <c r="AN926">
        <v>0</v>
      </c>
      <c r="AO926">
        <v>10</v>
      </c>
      <c r="AP926">
        <v>10</v>
      </c>
      <c r="AQ926" t="s">
        <v>9801</v>
      </c>
      <c r="AR926" t="s">
        <v>9802</v>
      </c>
      <c r="AS926" t="s">
        <v>9803</v>
      </c>
      <c r="AT926" t="s">
        <v>69</v>
      </c>
      <c r="AU926" t="s">
        <v>9804</v>
      </c>
      <c r="AV926" t="s">
        <v>69</v>
      </c>
      <c r="AW926" t="s">
        <v>9805</v>
      </c>
      <c r="AX926" t="s">
        <v>9806</v>
      </c>
      <c r="AY926" t="s">
        <v>69</v>
      </c>
      <c r="AZ926" t="s">
        <v>69</v>
      </c>
      <c r="BA926" t="s">
        <v>69</v>
      </c>
      <c r="BB926" t="s">
        <v>69</v>
      </c>
      <c r="BC926" t="s">
        <v>69</v>
      </c>
      <c r="BD926" t="s">
        <v>69</v>
      </c>
      <c r="BE926" t="s">
        <v>69</v>
      </c>
      <c r="BF926" t="s">
        <v>69</v>
      </c>
      <c r="BG926" t="s">
        <v>69</v>
      </c>
      <c r="BH926" t="s">
        <v>69</v>
      </c>
      <c r="BI926" t="s">
        <v>69</v>
      </c>
      <c r="BJ926" t="s">
        <v>9807</v>
      </c>
      <c r="BK926" t="str">
        <f>HYPERLINK("http://dx.doi.org/10.34172/ijhpm.2022.5693","http://dx.doi.org/10.34172/ijhpm.2022.5693")</f>
        <v>http://dx.doi.org/10.34172/ijhpm.2022.5693</v>
      </c>
      <c r="BL926" t="s">
        <v>69</v>
      </c>
      <c r="BM926" t="s">
        <v>9808</v>
      </c>
      <c r="BN926">
        <v>12</v>
      </c>
      <c r="BO926" t="s">
        <v>9809</v>
      </c>
      <c r="BP926" t="s">
        <v>8523</v>
      </c>
      <c r="BQ926" t="s">
        <v>9209</v>
      </c>
      <c r="BR926" t="s">
        <v>9810</v>
      </c>
      <c r="BS926" t="s">
        <v>9811</v>
      </c>
      <c r="BT926">
        <v>35247937</v>
      </c>
      <c r="BU926" t="s">
        <v>8931</v>
      </c>
      <c r="BV926" t="s">
        <v>69</v>
      </c>
      <c r="BW926" t="s">
        <v>69</v>
      </c>
      <c r="BX926" t="s">
        <v>8526</v>
      </c>
      <c r="BY926" t="str">
        <f>HYPERLINK("https%3A%2F%2Fwww.webofscience.com%2Fwos%2Fwoscc%2Ffull-record%2FWOS:000778082600001","View Full Record in Web of Science")</f>
        <v>View Full Record in Web of Science</v>
      </c>
    </row>
    <row r="927" spans="1:77" ht="12.5" x14ac:dyDescent="0.25">
      <c r="A927" t="s">
        <v>8495</v>
      </c>
      <c r="B927" s="7" t="s">
        <v>32933</v>
      </c>
      <c r="C927" s="7"/>
      <c r="D927" s="7"/>
      <c r="E927" s="7"/>
      <c r="F927" t="s">
        <v>67</v>
      </c>
      <c r="G927" t="s">
        <v>5974</v>
      </c>
      <c r="H927" t="s">
        <v>69</v>
      </c>
      <c r="I927" t="s">
        <v>69</v>
      </c>
      <c r="J927" t="s">
        <v>69</v>
      </c>
      <c r="K927" t="s">
        <v>5975</v>
      </c>
      <c r="L927" t="s">
        <v>69</v>
      </c>
      <c r="M927" t="s">
        <v>69</v>
      </c>
      <c r="N927" t="s">
        <v>5976</v>
      </c>
      <c r="O927" t="s">
        <v>5977</v>
      </c>
      <c r="P927" t="s">
        <v>69</v>
      </c>
      <c r="Q927" t="s">
        <v>69</v>
      </c>
      <c r="R927" t="s">
        <v>8505</v>
      </c>
      <c r="S927" t="s">
        <v>8506</v>
      </c>
      <c r="T927" t="s">
        <v>69</v>
      </c>
      <c r="U927" t="s">
        <v>69</v>
      </c>
      <c r="V927" t="s">
        <v>69</v>
      </c>
      <c r="W927" t="s">
        <v>69</v>
      </c>
      <c r="X927" t="s">
        <v>69</v>
      </c>
      <c r="Y927" t="s">
        <v>69</v>
      </c>
      <c r="Z927" t="s">
        <v>20808</v>
      </c>
      <c r="AA927" t="s">
        <v>5978</v>
      </c>
      <c r="AB927" t="s">
        <v>20809</v>
      </c>
      <c r="AC927" t="s">
        <v>69</v>
      </c>
      <c r="AD927" t="s">
        <v>20810</v>
      </c>
      <c r="AE927" t="s">
        <v>20811</v>
      </c>
      <c r="AF927" t="s">
        <v>69</v>
      </c>
      <c r="AG927" t="s">
        <v>69</v>
      </c>
      <c r="AH927" t="s">
        <v>20812</v>
      </c>
      <c r="AI927" t="s">
        <v>20813</v>
      </c>
      <c r="AJ927" t="s">
        <v>20814</v>
      </c>
      <c r="AK927" t="s">
        <v>69</v>
      </c>
      <c r="AL927">
        <v>69</v>
      </c>
      <c r="AM927">
        <v>10</v>
      </c>
      <c r="AN927">
        <v>10</v>
      </c>
      <c r="AO927">
        <v>0</v>
      </c>
      <c r="AP927">
        <v>9</v>
      </c>
      <c r="AQ927" t="s">
        <v>15611</v>
      </c>
      <c r="AR927" t="s">
        <v>10924</v>
      </c>
      <c r="AS927" t="s">
        <v>15612</v>
      </c>
      <c r="AT927" t="s">
        <v>5979</v>
      </c>
      <c r="AU927" t="s">
        <v>5980</v>
      </c>
      <c r="AV927" t="s">
        <v>69</v>
      </c>
      <c r="AW927" t="s">
        <v>20815</v>
      </c>
      <c r="AX927" t="s">
        <v>20816</v>
      </c>
      <c r="AY927" t="s">
        <v>69</v>
      </c>
      <c r="AZ927">
        <v>2017</v>
      </c>
      <c r="BA927">
        <v>42</v>
      </c>
      <c r="BB927">
        <v>3</v>
      </c>
      <c r="BC927" t="s">
        <v>69</v>
      </c>
      <c r="BD927" t="s">
        <v>69</v>
      </c>
      <c r="BE927" t="s">
        <v>69</v>
      </c>
      <c r="BF927" t="s">
        <v>69</v>
      </c>
      <c r="BG927">
        <v>223</v>
      </c>
      <c r="BH927">
        <v>236</v>
      </c>
      <c r="BI927" t="s">
        <v>69</v>
      </c>
      <c r="BJ927" t="s">
        <v>5981</v>
      </c>
      <c r="BK927" t="str">
        <f>HYPERLINK("http://dx.doi.org/10.1080/07011784.2017.1292151","http://dx.doi.org/10.1080/07011784.2017.1292151")</f>
        <v>http://dx.doi.org/10.1080/07011784.2017.1292151</v>
      </c>
      <c r="BL927" t="s">
        <v>69</v>
      </c>
      <c r="BM927" t="s">
        <v>69</v>
      </c>
      <c r="BN927">
        <v>14</v>
      </c>
      <c r="BO927" t="s">
        <v>9096</v>
      </c>
      <c r="BP927" t="s">
        <v>8548</v>
      </c>
      <c r="BQ927" t="s">
        <v>9096</v>
      </c>
      <c r="BR927" t="s">
        <v>20817</v>
      </c>
      <c r="BS927" t="s">
        <v>5982</v>
      </c>
      <c r="BT927" t="s">
        <v>69</v>
      </c>
      <c r="BU927" t="s">
        <v>69</v>
      </c>
      <c r="BV927" t="s">
        <v>69</v>
      </c>
      <c r="BW927" t="s">
        <v>69</v>
      </c>
      <c r="BX927" t="s">
        <v>8526</v>
      </c>
      <c r="BY927" t="str">
        <f>HYPERLINK("https%3A%2F%2Fwww.webofscience.com%2Fwos%2Fwoscc%2Ffull-record%2FWOS:000410917200002","View Full Record in Web of Science")</f>
        <v>View Full Record in Web of Science</v>
      </c>
    </row>
    <row r="928" spans="1:77" ht="12.5" x14ac:dyDescent="0.25">
      <c r="A928" t="s">
        <v>8495</v>
      </c>
      <c r="B928" s="7" t="s">
        <v>32933</v>
      </c>
      <c r="C928" s="7"/>
      <c r="D928" s="7"/>
      <c r="E928" s="7"/>
      <c r="F928" t="s">
        <v>67</v>
      </c>
      <c r="G928" t="s">
        <v>1209</v>
      </c>
      <c r="H928" t="s">
        <v>69</v>
      </c>
      <c r="I928" t="s">
        <v>69</v>
      </c>
      <c r="J928" t="s">
        <v>69</v>
      </c>
      <c r="K928" t="s">
        <v>1210</v>
      </c>
      <c r="L928" t="s">
        <v>69</v>
      </c>
      <c r="M928" t="s">
        <v>69</v>
      </c>
      <c r="N928" t="s">
        <v>1211</v>
      </c>
      <c r="O928" t="s">
        <v>1212</v>
      </c>
      <c r="P928" t="s">
        <v>69</v>
      </c>
      <c r="Q928" t="s">
        <v>69</v>
      </c>
      <c r="R928" t="s">
        <v>8505</v>
      </c>
      <c r="S928" t="s">
        <v>8506</v>
      </c>
      <c r="T928" t="s">
        <v>69</v>
      </c>
      <c r="U928" t="s">
        <v>69</v>
      </c>
      <c r="V928" t="s">
        <v>69</v>
      </c>
      <c r="W928" t="s">
        <v>69</v>
      </c>
      <c r="X928" t="s">
        <v>69</v>
      </c>
      <c r="Y928" t="s">
        <v>21304</v>
      </c>
      <c r="Z928" t="s">
        <v>21305</v>
      </c>
      <c r="AA928" t="s">
        <v>1213</v>
      </c>
      <c r="AB928" t="s">
        <v>21306</v>
      </c>
      <c r="AC928" t="s">
        <v>69</v>
      </c>
      <c r="AD928" t="s">
        <v>21307</v>
      </c>
      <c r="AE928" t="s">
        <v>21308</v>
      </c>
      <c r="AF928" t="s">
        <v>1214</v>
      </c>
      <c r="AG928" t="s">
        <v>21309</v>
      </c>
      <c r="AH928" t="s">
        <v>69</v>
      </c>
      <c r="AI928" t="s">
        <v>69</v>
      </c>
      <c r="AJ928" t="s">
        <v>69</v>
      </c>
      <c r="AK928" t="s">
        <v>69</v>
      </c>
      <c r="AL928">
        <v>136</v>
      </c>
      <c r="AM928">
        <v>18</v>
      </c>
      <c r="AN928">
        <v>18</v>
      </c>
      <c r="AO928">
        <v>5</v>
      </c>
      <c r="AP928">
        <v>30</v>
      </c>
      <c r="AQ928" t="s">
        <v>8846</v>
      </c>
      <c r="AR928" t="s">
        <v>8847</v>
      </c>
      <c r="AS928" t="s">
        <v>8848</v>
      </c>
      <c r="AT928" t="s">
        <v>1215</v>
      </c>
      <c r="AU928" t="s">
        <v>1216</v>
      </c>
      <c r="AV928" t="s">
        <v>69</v>
      </c>
      <c r="AW928" t="s">
        <v>21310</v>
      </c>
      <c r="AX928" t="s">
        <v>21311</v>
      </c>
      <c r="AY928" t="s">
        <v>255</v>
      </c>
      <c r="AZ928">
        <v>2016</v>
      </c>
      <c r="BA928">
        <v>24</v>
      </c>
      <c r="BB928">
        <v>5</v>
      </c>
      <c r="BC928" t="s">
        <v>69</v>
      </c>
      <c r="BD928" t="s">
        <v>69</v>
      </c>
      <c r="BE928" t="s">
        <v>69</v>
      </c>
      <c r="BF928" t="s">
        <v>69</v>
      </c>
      <c r="BG928">
        <v>509</v>
      </c>
      <c r="BH928">
        <v>527</v>
      </c>
      <c r="BI928" t="s">
        <v>69</v>
      </c>
      <c r="BJ928" t="s">
        <v>1217</v>
      </c>
      <c r="BK928" t="str">
        <f>HYPERLINK("http://dx.doi.org/10.1111/corg.12166","http://dx.doi.org/10.1111/corg.12166")</f>
        <v>http://dx.doi.org/10.1111/corg.12166</v>
      </c>
      <c r="BL928" t="s">
        <v>69</v>
      </c>
      <c r="BM928" t="s">
        <v>69</v>
      </c>
      <c r="BN928">
        <v>19</v>
      </c>
      <c r="BO928" t="s">
        <v>21312</v>
      </c>
      <c r="BP928" t="s">
        <v>8661</v>
      </c>
      <c r="BQ928" t="s">
        <v>8594</v>
      </c>
      <c r="BR928" t="s">
        <v>21313</v>
      </c>
      <c r="BS928" t="s">
        <v>1218</v>
      </c>
      <c r="BT928" t="s">
        <v>69</v>
      </c>
      <c r="BU928" t="s">
        <v>10363</v>
      </c>
      <c r="BV928" t="s">
        <v>69</v>
      </c>
      <c r="BW928" t="s">
        <v>69</v>
      </c>
      <c r="BX928" t="s">
        <v>8526</v>
      </c>
      <c r="BY928" t="str">
        <f>HYPERLINK("https%3A%2F%2Fwww.webofscience.com%2Fwos%2Fwoscc%2Ffull-record%2FWOS:000388441700004","View Full Record in Web of Science")</f>
        <v>View Full Record in Web of Science</v>
      </c>
    </row>
    <row r="929" spans="1:77" ht="12.5" x14ac:dyDescent="0.25">
      <c r="A929" t="s">
        <v>8495</v>
      </c>
      <c r="B929" s="22" t="s">
        <v>32931</v>
      </c>
      <c r="C929" s="7"/>
      <c r="D929" s="7"/>
      <c r="E929" s="7"/>
      <c r="F929" t="s">
        <v>67</v>
      </c>
      <c r="G929" t="s">
        <v>14085</v>
      </c>
      <c r="H929" t="s">
        <v>69</v>
      </c>
      <c r="I929" t="s">
        <v>69</v>
      </c>
      <c r="J929" t="s">
        <v>69</v>
      </c>
      <c r="K929" t="s">
        <v>14086</v>
      </c>
      <c r="L929" t="s">
        <v>69</v>
      </c>
      <c r="M929" t="s">
        <v>69</v>
      </c>
      <c r="N929" t="s">
        <v>14087</v>
      </c>
      <c r="O929" t="s">
        <v>14088</v>
      </c>
      <c r="P929" t="s">
        <v>69</v>
      </c>
      <c r="Q929" t="s">
        <v>69</v>
      </c>
      <c r="R929" t="s">
        <v>10153</v>
      </c>
      <c r="S929" t="s">
        <v>8506</v>
      </c>
      <c r="T929" t="s">
        <v>69</v>
      </c>
      <c r="U929" t="s">
        <v>69</v>
      </c>
      <c r="V929" t="s">
        <v>69</v>
      </c>
      <c r="W929" t="s">
        <v>69</v>
      </c>
      <c r="X929" t="s">
        <v>69</v>
      </c>
      <c r="Y929" t="s">
        <v>14089</v>
      </c>
      <c r="Z929" t="s">
        <v>14090</v>
      </c>
      <c r="AA929" t="s">
        <v>14091</v>
      </c>
      <c r="AB929" t="s">
        <v>14092</v>
      </c>
      <c r="AC929" t="s">
        <v>69</v>
      </c>
      <c r="AD929" t="s">
        <v>14093</v>
      </c>
      <c r="AE929" t="s">
        <v>14094</v>
      </c>
      <c r="AF929" t="s">
        <v>69</v>
      </c>
      <c r="AG929" t="s">
        <v>69</v>
      </c>
      <c r="AH929" t="s">
        <v>69</v>
      </c>
      <c r="AI929" t="s">
        <v>69</v>
      </c>
      <c r="AJ929" t="s">
        <v>69</v>
      </c>
      <c r="AK929" t="s">
        <v>69</v>
      </c>
      <c r="AL929">
        <v>36</v>
      </c>
      <c r="AM929">
        <v>1</v>
      </c>
      <c r="AN929">
        <v>1</v>
      </c>
      <c r="AO929">
        <v>0</v>
      </c>
      <c r="AP929">
        <v>0</v>
      </c>
      <c r="AQ929" t="s">
        <v>14095</v>
      </c>
      <c r="AR929" t="s">
        <v>14096</v>
      </c>
      <c r="AS929" t="s">
        <v>14097</v>
      </c>
      <c r="AT929" t="s">
        <v>14098</v>
      </c>
      <c r="AU929" t="s">
        <v>69</v>
      </c>
      <c r="AV929" t="s">
        <v>69</v>
      </c>
      <c r="AW929" t="s">
        <v>14099</v>
      </c>
      <c r="AX929" t="s">
        <v>14100</v>
      </c>
      <c r="AY929" t="s">
        <v>274</v>
      </c>
      <c r="AZ929">
        <v>2020</v>
      </c>
      <c r="BA929">
        <v>8</v>
      </c>
      <c r="BB929">
        <v>4</v>
      </c>
      <c r="BC929" t="s">
        <v>69</v>
      </c>
      <c r="BD929" t="s">
        <v>69</v>
      </c>
      <c r="BE929" t="s">
        <v>69</v>
      </c>
      <c r="BF929" t="s">
        <v>69</v>
      </c>
      <c r="BG929">
        <v>27</v>
      </c>
      <c r="BH929">
        <v>36</v>
      </c>
      <c r="BI929" t="s">
        <v>69</v>
      </c>
      <c r="BJ929" t="s">
        <v>14101</v>
      </c>
      <c r="BK929" t="str">
        <f>HYPERLINK("http://dx.doi.org/10.22239/2317-269x.01698","http://dx.doi.org/10.22239/2317-269x.01698")</f>
        <v>http://dx.doi.org/10.22239/2317-269x.01698</v>
      </c>
      <c r="BL929" t="s">
        <v>69</v>
      </c>
      <c r="BM929" t="s">
        <v>69</v>
      </c>
      <c r="BN929">
        <v>10</v>
      </c>
      <c r="BO929" t="s">
        <v>9209</v>
      </c>
      <c r="BP929" t="s">
        <v>8573</v>
      </c>
      <c r="BQ929" t="s">
        <v>9209</v>
      </c>
      <c r="BR929" t="s">
        <v>14102</v>
      </c>
      <c r="BS929" t="s">
        <v>14103</v>
      </c>
      <c r="BT929" t="s">
        <v>69</v>
      </c>
      <c r="BU929" t="s">
        <v>8931</v>
      </c>
      <c r="BV929" t="s">
        <v>69</v>
      </c>
      <c r="BW929" t="s">
        <v>69</v>
      </c>
      <c r="BX929" t="s">
        <v>8526</v>
      </c>
      <c r="BY929" t="str">
        <f>HYPERLINK("https%3A%2F%2Fwww.webofscience.com%2Fwos%2Fwoscc%2Ffull-record%2FWOS:000595548700004","View Full Record in Web of Science")</f>
        <v>View Full Record in Web of Science</v>
      </c>
    </row>
    <row r="930" spans="1:77" x14ac:dyDescent="0.3">
      <c r="A930" t="s">
        <v>8495</v>
      </c>
      <c r="B930" s="9" t="s">
        <v>32954</v>
      </c>
      <c r="C930" s="9" t="s">
        <v>33147</v>
      </c>
      <c r="D930" s="9" t="s">
        <v>8491</v>
      </c>
      <c r="E930" s="9" t="s">
        <v>8490</v>
      </c>
      <c r="F930" t="s">
        <v>67</v>
      </c>
      <c r="G930" t="s">
        <v>15506</v>
      </c>
      <c r="H930" t="s">
        <v>69</v>
      </c>
      <c r="I930" t="s">
        <v>69</v>
      </c>
      <c r="J930" t="s">
        <v>69</v>
      </c>
      <c r="K930" t="s">
        <v>15507</v>
      </c>
      <c r="L930" t="s">
        <v>69</v>
      </c>
      <c r="M930" t="s">
        <v>69</v>
      </c>
      <c r="N930" t="s">
        <v>15508</v>
      </c>
      <c r="O930" t="s">
        <v>1506</v>
      </c>
      <c r="P930" t="s">
        <v>69</v>
      </c>
      <c r="Q930" t="s">
        <v>69</v>
      </c>
      <c r="R930" t="s">
        <v>8505</v>
      </c>
      <c r="S930" t="s">
        <v>8506</v>
      </c>
      <c r="T930" t="s">
        <v>69</v>
      </c>
      <c r="U930" t="s">
        <v>69</v>
      </c>
      <c r="V930" t="s">
        <v>69</v>
      </c>
      <c r="W930" t="s">
        <v>69</v>
      </c>
      <c r="X930" t="s">
        <v>69</v>
      </c>
      <c r="Y930" t="s">
        <v>15509</v>
      </c>
      <c r="Z930" t="s">
        <v>15510</v>
      </c>
      <c r="AA930" t="s">
        <v>15511</v>
      </c>
      <c r="AB930" t="s">
        <v>15512</v>
      </c>
      <c r="AC930" t="s">
        <v>69</v>
      </c>
      <c r="AD930" t="s">
        <v>15513</v>
      </c>
      <c r="AE930" t="s">
        <v>15514</v>
      </c>
      <c r="AF930" t="s">
        <v>15515</v>
      </c>
      <c r="AG930" t="s">
        <v>15516</v>
      </c>
      <c r="AH930" t="s">
        <v>15517</v>
      </c>
      <c r="AI930" t="s">
        <v>15518</v>
      </c>
      <c r="AJ930" t="s">
        <v>15519</v>
      </c>
      <c r="AK930" t="s">
        <v>69</v>
      </c>
      <c r="AL930">
        <v>74</v>
      </c>
      <c r="AM930">
        <v>20</v>
      </c>
      <c r="AN930">
        <v>20</v>
      </c>
      <c r="AO930">
        <v>1</v>
      </c>
      <c r="AP930">
        <v>8</v>
      </c>
      <c r="AQ930" t="s">
        <v>9047</v>
      </c>
      <c r="AR930" t="s">
        <v>9048</v>
      </c>
      <c r="AS930" t="s">
        <v>9049</v>
      </c>
      <c r="AT930" t="s">
        <v>1508</v>
      </c>
      <c r="AU930" t="s">
        <v>1509</v>
      </c>
      <c r="AV930" t="s">
        <v>69</v>
      </c>
      <c r="AW930" t="s">
        <v>15520</v>
      </c>
      <c r="AX930" t="s">
        <v>15521</v>
      </c>
      <c r="AY930" t="s">
        <v>246</v>
      </c>
      <c r="AZ930">
        <v>2020</v>
      </c>
      <c r="BA930">
        <v>163</v>
      </c>
      <c r="BB930">
        <v>1</v>
      </c>
      <c r="BC930" t="s">
        <v>69</v>
      </c>
      <c r="BD930" t="s">
        <v>69</v>
      </c>
      <c r="BE930" t="s">
        <v>69</v>
      </c>
      <c r="BF930" t="s">
        <v>69</v>
      </c>
      <c r="BG930">
        <v>67</v>
      </c>
      <c r="BH930">
        <v>83</v>
      </c>
      <c r="BI930" t="s">
        <v>69</v>
      </c>
      <c r="BJ930" t="s">
        <v>15522</v>
      </c>
      <c r="BK930" t="str">
        <f>HYPERLINK("http://dx.doi.org/10.1007/s10551-018-4014-z","http://dx.doi.org/10.1007/s10551-018-4014-z")</f>
        <v>http://dx.doi.org/10.1007/s10551-018-4014-z</v>
      </c>
      <c r="BL930" t="s">
        <v>69</v>
      </c>
      <c r="BM930" t="s">
        <v>69</v>
      </c>
      <c r="BN930">
        <v>17</v>
      </c>
      <c r="BO930" t="s">
        <v>15523</v>
      </c>
      <c r="BP930" t="s">
        <v>8661</v>
      </c>
      <c r="BQ930" t="s">
        <v>15524</v>
      </c>
      <c r="BR930" t="s">
        <v>15525</v>
      </c>
      <c r="BS930" t="s">
        <v>15526</v>
      </c>
      <c r="BT930" t="s">
        <v>69</v>
      </c>
      <c r="BU930" t="s">
        <v>8622</v>
      </c>
      <c r="BV930" t="s">
        <v>69</v>
      </c>
      <c r="BW930" t="s">
        <v>69</v>
      </c>
      <c r="BX930" t="s">
        <v>8526</v>
      </c>
      <c r="BY930" t="str">
        <f>HYPERLINK("https%3A%2F%2Fwww.webofscience.com%2Fwos%2Fwoscc%2Ffull-record%2FWOS:000521547000007","View Full Record in Web of Science")</f>
        <v>View Full Record in Web of Science</v>
      </c>
    </row>
    <row r="931" spans="1:77" ht="12.5" x14ac:dyDescent="0.25">
      <c r="A931" t="s">
        <v>8495</v>
      </c>
      <c r="B931" s="7" t="s">
        <v>32933</v>
      </c>
      <c r="C931" s="7"/>
      <c r="D931" s="7"/>
      <c r="E931" s="7"/>
      <c r="F931" t="s">
        <v>67</v>
      </c>
      <c r="G931" t="s">
        <v>3702</v>
      </c>
      <c r="H931" t="s">
        <v>69</v>
      </c>
      <c r="I931" t="s">
        <v>69</v>
      </c>
      <c r="J931" t="s">
        <v>69</v>
      </c>
      <c r="K931" t="s">
        <v>3703</v>
      </c>
      <c r="L931" t="s">
        <v>69</v>
      </c>
      <c r="M931" t="s">
        <v>69</v>
      </c>
      <c r="N931" t="s">
        <v>3704</v>
      </c>
      <c r="O931" t="s">
        <v>3705</v>
      </c>
      <c r="P931" t="s">
        <v>69</v>
      </c>
      <c r="Q931" t="s">
        <v>69</v>
      </c>
      <c r="R931" t="s">
        <v>8505</v>
      </c>
      <c r="S931" t="s">
        <v>15797</v>
      </c>
      <c r="T931" t="s">
        <v>3706</v>
      </c>
      <c r="U931" t="s">
        <v>3707</v>
      </c>
      <c r="V931" t="s">
        <v>3708</v>
      </c>
      <c r="W931" t="s">
        <v>69</v>
      </c>
      <c r="X931" t="s">
        <v>69</v>
      </c>
      <c r="Y931" t="s">
        <v>29558</v>
      </c>
      <c r="Z931" t="s">
        <v>69</v>
      </c>
      <c r="AA931" t="s">
        <v>3709</v>
      </c>
      <c r="AB931" t="s">
        <v>29559</v>
      </c>
      <c r="AC931" t="s">
        <v>69</v>
      </c>
      <c r="AD931" t="s">
        <v>29560</v>
      </c>
      <c r="AE931" t="s">
        <v>29561</v>
      </c>
      <c r="AF931" t="s">
        <v>69</v>
      </c>
      <c r="AG931" t="s">
        <v>69</v>
      </c>
      <c r="AH931" t="s">
        <v>69</v>
      </c>
      <c r="AI931" t="s">
        <v>69</v>
      </c>
      <c r="AJ931" t="s">
        <v>69</v>
      </c>
      <c r="AK931" t="s">
        <v>69</v>
      </c>
      <c r="AL931">
        <v>9</v>
      </c>
      <c r="AM931">
        <v>14</v>
      </c>
      <c r="AN931">
        <v>14</v>
      </c>
      <c r="AO931">
        <v>0</v>
      </c>
      <c r="AP931">
        <v>9</v>
      </c>
      <c r="AQ931" t="s">
        <v>9145</v>
      </c>
      <c r="AR931" t="s">
        <v>8637</v>
      </c>
      <c r="AS931" t="s">
        <v>9146</v>
      </c>
      <c r="AT931" t="s">
        <v>3710</v>
      </c>
      <c r="AU931" t="s">
        <v>69</v>
      </c>
      <c r="AV931" t="s">
        <v>69</v>
      </c>
      <c r="AW931" t="s">
        <v>29562</v>
      </c>
      <c r="AX931" t="s">
        <v>29563</v>
      </c>
      <c r="AY931" t="s">
        <v>255</v>
      </c>
      <c r="AZ931">
        <v>2007</v>
      </c>
      <c r="BA931">
        <v>27</v>
      </c>
      <c r="BB931">
        <v>13</v>
      </c>
      <c r="BC931" t="s">
        <v>69</v>
      </c>
      <c r="BD931" t="s">
        <v>69</v>
      </c>
      <c r="BE931" t="s">
        <v>69</v>
      </c>
      <c r="BF931" t="s">
        <v>69</v>
      </c>
      <c r="BG931">
        <v>2161</v>
      </c>
      <c r="BH931">
        <v>2165</v>
      </c>
      <c r="BI931" t="s">
        <v>69</v>
      </c>
      <c r="BJ931" t="s">
        <v>3711</v>
      </c>
      <c r="BK931" t="str">
        <f>HYPERLINK("http://dx.doi.org/10.1016/j.applthermaleng.2005.07.019","http://dx.doi.org/10.1016/j.applthermaleng.2005.07.019")</f>
        <v>http://dx.doi.org/10.1016/j.applthermaleng.2005.07.019</v>
      </c>
      <c r="BL931" t="s">
        <v>69</v>
      </c>
      <c r="BM931" t="s">
        <v>69</v>
      </c>
      <c r="BN931">
        <v>5</v>
      </c>
      <c r="BO931" t="s">
        <v>29564</v>
      </c>
      <c r="BP931" t="s">
        <v>29550</v>
      </c>
      <c r="BQ931" t="s">
        <v>29565</v>
      </c>
      <c r="BR931" t="s">
        <v>29566</v>
      </c>
      <c r="BS931" t="s">
        <v>3712</v>
      </c>
      <c r="BT931" t="s">
        <v>69</v>
      </c>
      <c r="BU931" t="s">
        <v>69</v>
      </c>
      <c r="BV931" t="s">
        <v>69</v>
      </c>
      <c r="BW931" t="s">
        <v>69</v>
      </c>
      <c r="BX931" t="s">
        <v>8526</v>
      </c>
      <c r="BY931" t="str">
        <f>HYPERLINK("https%3A%2F%2Fwww.webofscience.com%2Fwos%2Fwoscc%2Ffull-record%2FWOS:000247862800002","View Full Record in Web of Science")</f>
        <v>View Full Record in Web of Science</v>
      </c>
    </row>
    <row r="932" spans="1:77" ht="12.5" x14ac:dyDescent="0.25">
      <c r="A932" t="s">
        <v>8495</v>
      </c>
      <c r="B932" s="22" t="s">
        <v>32931</v>
      </c>
      <c r="C932" s="7"/>
      <c r="D932" s="7"/>
      <c r="E932" s="7"/>
      <c r="F932" t="s">
        <v>67</v>
      </c>
      <c r="G932" t="s">
        <v>13519</v>
      </c>
      <c r="H932" t="s">
        <v>69</v>
      </c>
      <c r="I932" t="s">
        <v>69</v>
      </c>
      <c r="J932" t="s">
        <v>69</v>
      </c>
      <c r="K932" t="s">
        <v>13520</v>
      </c>
      <c r="L932" t="s">
        <v>69</v>
      </c>
      <c r="M932" t="s">
        <v>69</v>
      </c>
      <c r="N932" t="s">
        <v>13521</v>
      </c>
      <c r="O932" t="s">
        <v>13522</v>
      </c>
      <c r="P932" t="s">
        <v>69</v>
      </c>
      <c r="Q932" t="s">
        <v>69</v>
      </c>
      <c r="R932" t="s">
        <v>8505</v>
      </c>
      <c r="S932" t="s">
        <v>8506</v>
      </c>
      <c r="T932" t="s">
        <v>69</v>
      </c>
      <c r="U932" t="s">
        <v>69</v>
      </c>
      <c r="V932" t="s">
        <v>69</v>
      </c>
      <c r="W932" t="s">
        <v>69</v>
      </c>
      <c r="X932" t="s">
        <v>69</v>
      </c>
      <c r="Y932" t="s">
        <v>13523</v>
      </c>
      <c r="Z932" t="s">
        <v>13524</v>
      </c>
      <c r="AA932" t="s">
        <v>13525</v>
      </c>
      <c r="AB932" t="s">
        <v>13526</v>
      </c>
      <c r="AC932" t="s">
        <v>69</v>
      </c>
      <c r="AD932" t="s">
        <v>13527</v>
      </c>
      <c r="AE932" t="s">
        <v>13528</v>
      </c>
      <c r="AF932" t="s">
        <v>69</v>
      </c>
      <c r="AG932" t="s">
        <v>13529</v>
      </c>
      <c r="AH932" t="s">
        <v>69</v>
      </c>
      <c r="AI932" t="s">
        <v>69</v>
      </c>
      <c r="AJ932" t="s">
        <v>69</v>
      </c>
      <c r="AK932" t="s">
        <v>69</v>
      </c>
      <c r="AL932">
        <v>48</v>
      </c>
      <c r="AM932">
        <v>1</v>
      </c>
      <c r="AN932">
        <v>1</v>
      </c>
      <c r="AO932">
        <v>5</v>
      </c>
      <c r="AP932">
        <v>5</v>
      </c>
      <c r="AQ932" t="s">
        <v>13530</v>
      </c>
      <c r="AR932" t="s">
        <v>13531</v>
      </c>
      <c r="AS932" t="s">
        <v>13532</v>
      </c>
      <c r="AT932" t="s">
        <v>13533</v>
      </c>
      <c r="AU932" t="s">
        <v>69</v>
      </c>
      <c r="AV932" t="s">
        <v>69</v>
      </c>
      <c r="AW932" t="s">
        <v>13534</v>
      </c>
      <c r="AX932" t="s">
        <v>13535</v>
      </c>
      <c r="AY932" t="s">
        <v>69</v>
      </c>
      <c r="AZ932">
        <v>2021</v>
      </c>
      <c r="BA932">
        <v>26</v>
      </c>
      <c r="BB932" t="s">
        <v>69</v>
      </c>
      <c r="BC932" t="s">
        <v>69</v>
      </c>
      <c r="BD932" t="s">
        <v>69</v>
      </c>
      <c r="BE932" t="s">
        <v>69</v>
      </c>
      <c r="BF932" t="s">
        <v>69</v>
      </c>
      <c r="BG932">
        <v>922</v>
      </c>
      <c r="BH932">
        <v>935</v>
      </c>
      <c r="BI932" t="s">
        <v>69</v>
      </c>
      <c r="BJ932" t="s">
        <v>13536</v>
      </c>
      <c r="BK932" t="str">
        <f>HYPERLINK("http://dx.doi.org/10.36680/j.itcon.2021.049","http://dx.doi.org/10.36680/j.itcon.2021.049")</f>
        <v>http://dx.doi.org/10.36680/j.itcon.2021.049</v>
      </c>
      <c r="BL932" t="s">
        <v>69</v>
      </c>
      <c r="BM932" t="s">
        <v>69</v>
      </c>
      <c r="BN932">
        <v>14</v>
      </c>
      <c r="BO932" t="s">
        <v>13537</v>
      </c>
      <c r="BP932" t="s">
        <v>8573</v>
      </c>
      <c r="BQ932" t="s">
        <v>8445</v>
      </c>
      <c r="BR932" t="s">
        <v>13538</v>
      </c>
      <c r="BS932" t="s">
        <v>13539</v>
      </c>
      <c r="BT932" t="s">
        <v>69</v>
      </c>
      <c r="BU932" t="s">
        <v>9352</v>
      </c>
      <c r="BV932" t="s">
        <v>69</v>
      </c>
      <c r="BW932" t="s">
        <v>69</v>
      </c>
      <c r="BX932" t="s">
        <v>8526</v>
      </c>
      <c r="BY932" t="str">
        <f>HYPERLINK("https%3A%2F%2Fwww.webofscience.com%2Fwos%2Fwoscc%2Ffull-record%2FWOS:000717039000001","View Full Record in Web of Science")</f>
        <v>View Full Record in Web of Science</v>
      </c>
    </row>
    <row r="933" spans="1:77" ht="12.5" x14ac:dyDescent="0.25">
      <c r="A933" t="s">
        <v>8495</v>
      </c>
      <c r="B933" s="22" t="s">
        <v>32931</v>
      </c>
      <c r="C933" s="7"/>
      <c r="D933" s="7"/>
      <c r="E933" s="7"/>
      <c r="F933" t="s">
        <v>67</v>
      </c>
      <c r="G933" t="s">
        <v>9894</v>
      </c>
      <c r="H933" t="s">
        <v>69</v>
      </c>
      <c r="I933" t="s">
        <v>69</v>
      </c>
      <c r="J933" t="s">
        <v>69</v>
      </c>
      <c r="K933" t="s">
        <v>9895</v>
      </c>
      <c r="L933" t="s">
        <v>69</v>
      </c>
      <c r="M933" t="s">
        <v>69</v>
      </c>
      <c r="N933" t="s">
        <v>9896</v>
      </c>
      <c r="O933" t="s">
        <v>9897</v>
      </c>
      <c r="P933" t="s">
        <v>69</v>
      </c>
      <c r="Q933" t="s">
        <v>69</v>
      </c>
      <c r="R933" t="s">
        <v>8505</v>
      </c>
      <c r="S933" t="s">
        <v>8506</v>
      </c>
      <c r="T933" t="s">
        <v>69</v>
      </c>
      <c r="U933" t="s">
        <v>69</v>
      </c>
      <c r="V933" t="s">
        <v>69</v>
      </c>
      <c r="W933" t="s">
        <v>69</v>
      </c>
      <c r="X933" t="s">
        <v>69</v>
      </c>
      <c r="Y933" t="s">
        <v>9898</v>
      </c>
      <c r="Z933" t="s">
        <v>9899</v>
      </c>
      <c r="AA933" t="s">
        <v>9900</v>
      </c>
      <c r="AB933" t="s">
        <v>9901</v>
      </c>
      <c r="AC933" t="s">
        <v>69</v>
      </c>
      <c r="AD933" t="s">
        <v>9902</v>
      </c>
      <c r="AE933" t="s">
        <v>9903</v>
      </c>
      <c r="AF933" t="s">
        <v>69</v>
      </c>
      <c r="AG933" t="s">
        <v>69</v>
      </c>
      <c r="AH933" t="s">
        <v>69</v>
      </c>
      <c r="AI933" t="s">
        <v>69</v>
      </c>
      <c r="AJ933" t="s">
        <v>69</v>
      </c>
      <c r="AK933" t="s">
        <v>69</v>
      </c>
      <c r="AL933">
        <v>78</v>
      </c>
      <c r="AM933">
        <v>0</v>
      </c>
      <c r="AN933">
        <v>0</v>
      </c>
      <c r="AO933">
        <v>3</v>
      </c>
      <c r="AP933">
        <v>3</v>
      </c>
      <c r="AQ933" t="s">
        <v>8636</v>
      </c>
      <c r="AR933" t="s">
        <v>8637</v>
      </c>
      <c r="AS933" t="s">
        <v>8638</v>
      </c>
      <c r="AT933" t="s">
        <v>9904</v>
      </c>
      <c r="AU933" t="s">
        <v>9905</v>
      </c>
      <c r="AV933" t="s">
        <v>69</v>
      </c>
      <c r="AW933" t="s">
        <v>9906</v>
      </c>
      <c r="AX933" t="s">
        <v>9907</v>
      </c>
      <c r="AY933" t="s">
        <v>191</v>
      </c>
      <c r="AZ933">
        <v>2022</v>
      </c>
      <c r="BA933">
        <v>99</v>
      </c>
      <c r="BB933" t="s">
        <v>69</v>
      </c>
      <c r="BC933" t="s">
        <v>69</v>
      </c>
      <c r="BD933" t="s">
        <v>69</v>
      </c>
      <c r="BE933" t="s">
        <v>69</v>
      </c>
      <c r="BF933" t="s">
        <v>69</v>
      </c>
      <c r="BG933" t="s">
        <v>69</v>
      </c>
      <c r="BH933" t="s">
        <v>69</v>
      </c>
      <c r="BI933">
        <v>103280</v>
      </c>
      <c r="BJ933" t="s">
        <v>9908</v>
      </c>
      <c r="BK933" t="str">
        <f>HYPERLINK("http://dx.doi.org/10.1016/j.jtrangeo.2022.103280","http://dx.doi.org/10.1016/j.jtrangeo.2022.103280")</f>
        <v>http://dx.doi.org/10.1016/j.jtrangeo.2022.103280</v>
      </c>
      <c r="BL933" t="s">
        <v>69</v>
      </c>
      <c r="BM933" t="s">
        <v>69</v>
      </c>
      <c r="BN933">
        <v>9</v>
      </c>
      <c r="BO933" t="s">
        <v>9909</v>
      </c>
      <c r="BP933" t="s">
        <v>8661</v>
      </c>
      <c r="BQ933" t="s">
        <v>9910</v>
      </c>
      <c r="BR933" t="s">
        <v>9911</v>
      </c>
      <c r="BS933" t="s">
        <v>9912</v>
      </c>
      <c r="BT933" t="s">
        <v>69</v>
      </c>
      <c r="BU933" t="s">
        <v>69</v>
      </c>
      <c r="BV933" t="s">
        <v>69</v>
      </c>
      <c r="BW933" t="s">
        <v>69</v>
      </c>
      <c r="BX933" t="s">
        <v>8526</v>
      </c>
      <c r="BY933" t="str">
        <f>HYPERLINK("https%3A%2F%2Fwww.webofscience.com%2Fwos%2Fwoscc%2Ffull-record%2FWOS:000787886500008","View Full Record in Web of Science")</f>
        <v>View Full Record in Web of Science</v>
      </c>
    </row>
    <row r="934" spans="1:77" ht="12.5" x14ac:dyDescent="0.25">
      <c r="A934" t="s">
        <v>8495</v>
      </c>
      <c r="B934" s="7" t="s">
        <v>32933</v>
      </c>
      <c r="C934" s="7"/>
      <c r="D934" s="7"/>
      <c r="E934" s="7"/>
      <c r="F934" t="s">
        <v>67</v>
      </c>
      <c r="G934" t="s">
        <v>4486</v>
      </c>
      <c r="H934" t="s">
        <v>69</v>
      </c>
      <c r="I934" t="s">
        <v>69</v>
      </c>
      <c r="J934" t="s">
        <v>69</v>
      </c>
      <c r="K934" t="s">
        <v>4487</v>
      </c>
      <c r="L934" t="s">
        <v>69</v>
      </c>
      <c r="M934" t="s">
        <v>69</v>
      </c>
      <c r="N934" t="s">
        <v>4488</v>
      </c>
      <c r="O934" t="s">
        <v>3162</v>
      </c>
      <c r="P934" t="s">
        <v>69</v>
      </c>
      <c r="Q934" t="s">
        <v>69</v>
      </c>
      <c r="R934" t="s">
        <v>8505</v>
      </c>
      <c r="S934" t="s">
        <v>8506</v>
      </c>
      <c r="T934" t="s">
        <v>69</v>
      </c>
      <c r="U934" t="s">
        <v>69</v>
      </c>
      <c r="V934" t="s">
        <v>69</v>
      </c>
      <c r="W934" t="s">
        <v>69</v>
      </c>
      <c r="X934" t="s">
        <v>69</v>
      </c>
      <c r="Y934" t="s">
        <v>23372</v>
      </c>
      <c r="Z934" t="s">
        <v>23373</v>
      </c>
      <c r="AA934" t="s">
        <v>4489</v>
      </c>
      <c r="AB934" t="s">
        <v>23374</v>
      </c>
      <c r="AC934" t="s">
        <v>69</v>
      </c>
      <c r="AD934" t="s">
        <v>23375</v>
      </c>
      <c r="AE934" t="s">
        <v>23376</v>
      </c>
      <c r="AF934" t="s">
        <v>23377</v>
      </c>
      <c r="AG934" t="s">
        <v>23378</v>
      </c>
      <c r="AH934" t="s">
        <v>23379</v>
      </c>
      <c r="AI934" t="s">
        <v>23380</v>
      </c>
      <c r="AJ934" t="s">
        <v>23381</v>
      </c>
      <c r="AK934" t="s">
        <v>69</v>
      </c>
      <c r="AL934">
        <v>67</v>
      </c>
      <c r="AM934">
        <v>7</v>
      </c>
      <c r="AN934">
        <v>8</v>
      </c>
      <c r="AO934">
        <v>1</v>
      </c>
      <c r="AP934">
        <v>102</v>
      </c>
      <c r="AQ934" t="s">
        <v>9047</v>
      </c>
      <c r="AR934" t="s">
        <v>8693</v>
      </c>
      <c r="AS934" t="s">
        <v>16643</v>
      </c>
      <c r="AT934" t="s">
        <v>3164</v>
      </c>
      <c r="AU934" t="s">
        <v>3165</v>
      </c>
      <c r="AV934" t="s">
        <v>69</v>
      </c>
      <c r="AW934" t="s">
        <v>23382</v>
      </c>
      <c r="AX934" t="s">
        <v>23383</v>
      </c>
      <c r="AY934" t="s">
        <v>75</v>
      </c>
      <c r="AZ934">
        <v>2014</v>
      </c>
      <c r="BA934">
        <v>72</v>
      </c>
      <c r="BB934">
        <v>12</v>
      </c>
      <c r="BC934" t="s">
        <v>69</v>
      </c>
      <c r="BD934" t="s">
        <v>69</v>
      </c>
      <c r="BE934" t="s">
        <v>114</v>
      </c>
      <c r="BF934" t="s">
        <v>69</v>
      </c>
      <c r="BG934">
        <v>4677</v>
      </c>
      <c r="BH934">
        <v>4687</v>
      </c>
      <c r="BI934" t="s">
        <v>69</v>
      </c>
      <c r="BJ934" t="s">
        <v>4490</v>
      </c>
      <c r="BK934" t="str">
        <f>HYPERLINK("http://dx.doi.org/10.1007/s12665-014-3877-2","http://dx.doi.org/10.1007/s12665-014-3877-2")</f>
        <v>http://dx.doi.org/10.1007/s12665-014-3877-2</v>
      </c>
      <c r="BL934" t="s">
        <v>69</v>
      </c>
      <c r="BM934" t="s">
        <v>69</v>
      </c>
      <c r="BN934">
        <v>11</v>
      </c>
      <c r="BO934" t="s">
        <v>23384</v>
      </c>
      <c r="BP934" t="s">
        <v>8548</v>
      </c>
      <c r="BQ934" t="s">
        <v>23385</v>
      </c>
      <c r="BR934" t="s">
        <v>23386</v>
      </c>
      <c r="BS934" t="s">
        <v>4491</v>
      </c>
      <c r="BT934" t="s">
        <v>69</v>
      </c>
      <c r="BU934" t="s">
        <v>69</v>
      </c>
      <c r="BV934" t="s">
        <v>69</v>
      </c>
      <c r="BW934" t="s">
        <v>69</v>
      </c>
      <c r="BX934" t="s">
        <v>8526</v>
      </c>
      <c r="BY934" t="str">
        <f>HYPERLINK("https%3A%2F%2Fwww.webofscience.com%2Fwos%2Fwoscc%2Ffull-record%2FWOS:000345407000002","View Full Record in Web of Science")</f>
        <v>View Full Record in Web of Science</v>
      </c>
    </row>
    <row r="935" spans="1:77" x14ac:dyDescent="0.3">
      <c r="A935" t="s">
        <v>8495</v>
      </c>
      <c r="B935" s="13" t="s">
        <v>32933</v>
      </c>
      <c r="F935" t="s">
        <v>67</v>
      </c>
      <c r="G935" t="s">
        <v>7541</v>
      </c>
      <c r="H935" t="s">
        <v>69</v>
      </c>
      <c r="I935" t="s">
        <v>69</v>
      </c>
      <c r="J935" t="s">
        <v>69</v>
      </c>
      <c r="K935" s="4" t="s">
        <v>7542</v>
      </c>
      <c r="L935" t="s">
        <v>69</v>
      </c>
      <c r="M935" t="s">
        <v>69</v>
      </c>
      <c r="N935" s="4" t="s">
        <v>7543</v>
      </c>
      <c r="O935" t="s">
        <v>7544</v>
      </c>
      <c r="P935" t="s">
        <v>69</v>
      </c>
      <c r="Q935" t="s">
        <v>69</v>
      </c>
      <c r="R935" t="s">
        <v>8505</v>
      </c>
      <c r="S935" t="s">
        <v>8506</v>
      </c>
      <c r="T935" t="s">
        <v>69</v>
      </c>
      <c r="U935" t="s">
        <v>69</v>
      </c>
      <c r="V935" t="s">
        <v>69</v>
      </c>
      <c r="W935" t="s">
        <v>69</v>
      </c>
      <c r="X935" t="s">
        <v>69</v>
      </c>
      <c r="Y935" t="s">
        <v>18555</v>
      </c>
      <c r="Z935" t="s">
        <v>18556</v>
      </c>
      <c r="AA935" t="s">
        <v>7545</v>
      </c>
      <c r="AB935" t="s">
        <v>18557</v>
      </c>
      <c r="AC935" t="s">
        <v>69</v>
      </c>
      <c r="AD935" t="s">
        <v>18558</v>
      </c>
      <c r="AE935" t="s">
        <v>18559</v>
      </c>
      <c r="AF935" t="s">
        <v>18560</v>
      </c>
      <c r="AG935" t="s">
        <v>18561</v>
      </c>
      <c r="AH935" t="s">
        <v>18562</v>
      </c>
      <c r="AI935" t="s">
        <v>18563</v>
      </c>
      <c r="AJ935" t="s">
        <v>18564</v>
      </c>
      <c r="AK935" t="s">
        <v>69</v>
      </c>
      <c r="AL935">
        <v>55</v>
      </c>
      <c r="AM935">
        <v>12</v>
      </c>
      <c r="AN935">
        <v>12</v>
      </c>
      <c r="AO935">
        <v>3</v>
      </c>
      <c r="AP935">
        <v>45</v>
      </c>
      <c r="AQ935" t="s">
        <v>8516</v>
      </c>
      <c r="AR935" t="s">
        <v>8517</v>
      </c>
      <c r="AS935" t="s">
        <v>8518</v>
      </c>
      <c r="AT935" t="s">
        <v>7546</v>
      </c>
      <c r="AU935" t="s">
        <v>69</v>
      </c>
      <c r="AV935" t="s">
        <v>69</v>
      </c>
      <c r="AW935" t="s">
        <v>18565</v>
      </c>
      <c r="AX935" t="s">
        <v>18566</v>
      </c>
      <c r="AY935" t="s">
        <v>84</v>
      </c>
      <c r="AZ935">
        <v>2018</v>
      </c>
      <c r="BA935">
        <v>35</v>
      </c>
      <c r="BB935">
        <v>4</v>
      </c>
      <c r="BC935" t="s">
        <v>69</v>
      </c>
      <c r="BD935" t="s">
        <v>69</v>
      </c>
      <c r="BE935" t="s">
        <v>69</v>
      </c>
      <c r="BF935" t="s">
        <v>69</v>
      </c>
      <c r="BG935">
        <v>815</v>
      </c>
      <c r="BH935">
        <v>825</v>
      </c>
      <c r="BI935" t="s">
        <v>69</v>
      </c>
      <c r="BJ935" t="s">
        <v>7547</v>
      </c>
      <c r="BK935" t="str">
        <f>HYPERLINK("http://dx.doi.org/10.1016/j.tele.2017.12.011","http://dx.doi.org/10.1016/j.tele.2017.12.011")</f>
        <v>http://dx.doi.org/10.1016/j.tele.2017.12.011</v>
      </c>
      <c r="BL935" t="s">
        <v>69</v>
      </c>
      <c r="BM935" t="s">
        <v>69</v>
      </c>
      <c r="BN935">
        <v>11</v>
      </c>
      <c r="BO935" t="s">
        <v>11010</v>
      </c>
      <c r="BP935" t="s">
        <v>8661</v>
      </c>
      <c r="BQ935" t="s">
        <v>11010</v>
      </c>
      <c r="BR935" t="s">
        <v>18567</v>
      </c>
      <c r="BS935" t="s">
        <v>7548</v>
      </c>
      <c r="BT935" t="s">
        <v>69</v>
      </c>
      <c r="BU935" t="s">
        <v>69</v>
      </c>
      <c r="BV935" t="s">
        <v>69</v>
      </c>
      <c r="BW935" t="s">
        <v>69</v>
      </c>
      <c r="BX935" t="s">
        <v>8526</v>
      </c>
      <c r="BY935" t="str">
        <f>HYPERLINK("https%3A%2F%2Fwww.webofscience.com%2Fwos%2Fwoscc%2Ffull-record%2FWOS:000434744100013","View Full Record in Web of Science")</f>
        <v>View Full Record in Web of Science</v>
      </c>
    </row>
    <row r="936" spans="1:77" ht="12.5" x14ac:dyDescent="0.25">
      <c r="A936" t="s">
        <v>8495</v>
      </c>
      <c r="B936" s="22" t="s">
        <v>32931</v>
      </c>
      <c r="C936" s="7"/>
      <c r="D936" s="7"/>
      <c r="E936" s="7"/>
      <c r="F936" t="s">
        <v>67</v>
      </c>
      <c r="G936" t="s">
        <v>28461</v>
      </c>
      <c r="H936" t="s">
        <v>69</v>
      </c>
      <c r="I936" t="s">
        <v>69</v>
      </c>
      <c r="J936" t="s">
        <v>69</v>
      </c>
      <c r="K936" t="s">
        <v>28462</v>
      </c>
      <c r="L936" t="s">
        <v>69</v>
      </c>
      <c r="M936" t="s">
        <v>69</v>
      </c>
      <c r="N936" t="s">
        <v>28463</v>
      </c>
      <c r="O936" t="s">
        <v>28464</v>
      </c>
      <c r="P936" t="s">
        <v>69</v>
      </c>
      <c r="Q936" t="s">
        <v>69</v>
      </c>
      <c r="R936" t="s">
        <v>8505</v>
      </c>
      <c r="S936" t="s">
        <v>8506</v>
      </c>
      <c r="T936" t="s">
        <v>69</v>
      </c>
      <c r="U936" t="s">
        <v>69</v>
      </c>
      <c r="V936" t="s">
        <v>69</v>
      </c>
      <c r="W936" t="s">
        <v>69</v>
      </c>
      <c r="X936" t="s">
        <v>69</v>
      </c>
      <c r="Y936" t="s">
        <v>28465</v>
      </c>
      <c r="Z936" t="s">
        <v>28466</v>
      </c>
      <c r="AA936" t="s">
        <v>28467</v>
      </c>
      <c r="AB936" t="s">
        <v>28468</v>
      </c>
      <c r="AC936" t="s">
        <v>69</v>
      </c>
      <c r="AD936" t="s">
        <v>28469</v>
      </c>
      <c r="AE936" t="s">
        <v>28470</v>
      </c>
      <c r="AF936" t="s">
        <v>69</v>
      </c>
      <c r="AG936" t="s">
        <v>28471</v>
      </c>
      <c r="AH936" t="s">
        <v>28472</v>
      </c>
      <c r="AI936" t="s">
        <v>28473</v>
      </c>
      <c r="AJ936" t="s">
        <v>28474</v>
      </c>
      <c r="AK936" t="s">
        <v>69</v>
      </c>
      <c r="AL936">
        <v>100</v>
      </c>
      <c r="AM936">
        <v>35</v>
      </c>
      <c r="AN936">
        <v>36</v>
      </c>
      <c r="AO936">
        <v>1</v>
      </c>
      <c r="AP936">
        <v>35</v>
      </c>
      <c r="AQ936" t="s">
        <v>8636</v>
      </c>
      <c r="AR936" t="s">
        <v>8637</v>
      </c>
      <c r="AS936" t="s">
        <v>8638</v>
      </c>
      <c r="AT936" t="s">
        <v>28475</v>
      </c>
      <c r="AU936" t="s">
        <v>28476</v>
      </c>
      <c r="AV936" t="s">
        <v>69</v>
      </c>
      <c r="AW936" t="s">
        <v>28477</v>
      </c>
      <c r="AX936" t="s">
        <v>28478</v>
      </c>
      <c r="AY936" t="s">
        <v>586</v>
      </c>
      <c r="AZ936">
        <v>2009</v>
      </c>
      <c r="BA936">
        <v>40</v>
      </c>
      <c r="BB936">
        <v>3</v>
      </c>
      <c r="BC936" t="s">
        <v>69</v>
      </c>
      <c r="BD936" t="s">
        <v>69</v>
      </c>
      <c r="BE936" t="s">
        <v>69</v>
      </c>
      <c r="BF936" t="s">
        <v>69</v>
      </c>
      <c r="BG936">
        <v>527</v>
      </c>
      <c r="BH936">
        <v>537</v>
      </c>
      <c r="BI936" t="s">
        <v>69</v>
      </c>
      <c r="BJ936" t="s">
        <v>28479</v>
      </c>
      <c r="BK936" t="str">
        <f>HYPERLINK("http://dx.doi.org/10.1016/j.apergo.2008.09.010","http://dx.doi.org/10.1016/j.apergo.2008.09.010")</f>
        <v>http://dx.doi.org/10.1016/j.apergo.2008.09.010</v>
      </c>
      <c r="BL936" t="s">
        <v>69</v>
      </c>
      <c r="BM936" t="s">
        <v>69</v>
      </c>
      <c r="BN936">
        <v>11</v>
      </c>
      <c r="BO936" t="s">
        <v>28480</v>
      </c>
      <c r="BP936" t="s">
        <v>8523</v>
      </c>
      <c r="BQ936" t="s">
        <v>28481</v>
      </c>
      <c r="BR936" t="s">
        <v>28482</v>
      </c>
      <c r="BS936" t="s">
        <v>28483</v>
      </c>
      <c r="BT936">
        <v>19019347</v>
      </c>
      <c r="BU936" t="s">
        <v>69</v>
      </c>
      <c r="BV936" t="s">
        <v>69</v>
      </c>
      <c r="BW936" t="s">
        <v>69</v>
      </c>
      <c r="BX936" t="s">
        <v>8526</v>
      </c>
      <c r="BY936" t="str">
        <f>HYPERLINK("https%3A%2F%2Fwww.webofscience.com%2Fwos%2Fwoscc%2Ffull-record%2FWOS:000264453900028","View Full Record in Web of Science")</f>
        <v>View Full Record in Web of Science</v>
      </c>
    </row>
    <row r="937" spans="1:77" ht="12.5" x14ac:dyDescent="0.25">
      <c r="A937" t="s">
        <v>8495</v>
      </c>
      <c r="B937" s="22" t="s">
        <v>32931</v>
      </c>
      <c r="C937" s="7"/>
      <c r="D937" s="7"/>
      <c r="E937" s="7"/>
      <c r="F937" t="s">
        <v>67</v>
      </c>
      <c r="G937" t="s">
        <v>8837</v>
      </c>
      <c r="H937" t="s">
        <v>69</v>
      </c>
      <c r="I937" t="s">
        <v>69</v>
      </c>
      <c r="J937" t="s">
        <v>69</v>
      </c>
      <c r="K937" t="s">
        <v>8838</v>
      </c>
      <c r="L937" t="s">
        <v>69</v>
      </c>
      <c r="M937" t="s">
        <v>69</v>
      </c>
      <c r="N937" t="s">
        <v>8839</v>
      </c>
      <c r="O937" t="s">
        <v>4599</v>
      </c>
      <c r="P937" t="s">
        <v>69</v>
      </c>
      <c r="Q937" t="s">
        <v>69</v>
      </c>
      <c r="R937" t="s">
        <v>8505</v>
      </c>
      <c r="S937" t="s">
        <v>8442</v>
      </c>
      <c r="T937" t="s">
        <v>69</v>
      </c>
      <c r="U937" t="s">
        <v>69</v>
      </c>
      <c r="V937" t="s">
        <v>69</v>
      </c>
      <c r="W937" t="s">
        <v>69</v>
      </c>
      <c r="X937" t="s">
        <v>69</v>
      </c>
      <c r="Y937" t="s">
        <v>8840</v>
      </c>
      <c r="Z937" t="s">
        <v>8841</v>
      </c>
      <c r="AA937" t="s">
        <v>8842</v>
      </c>
      <c r="AB937" t="s">
        <v>8843</v>
      </c>
      <c r="AC937" t="s">
        <v>69</v>
      </c>
      <c r="AD937" t="s">
        <v>8844</v>
      </c>
      <c r="AE937" t="s">
        <v>8845</v>
      </c>
      <c r="AF937" t="s">
        <v>69</v>
      </c>
      <c r="AG937" t="s">
        <v>69</v>
      </c>
      <c r="AH937" t="s">
        <v>69</v>
      </c>
      <c r="AI937" t="s">
        <v>69</v>
      </c>
      <c r="AJ937" t="s">
        <v>69</v>
      </c>
      <c r="AK937" t="s">
        <v>69</v>
      </c>
      <c r="AL937">
        <v>103</v>
      </c>
      <c r="AM937">
        <v>1</v>
      </c>
      <c r="AN937">
        <v>1</v>
      </c>
      <c r="AO937">
        <v>2</v>
      </c>
      <c r="AP937">
        <v>2</v>
      </c>
      <c r="AQ937" t="s">
        <v>8846</v>
      </c>
      <c r="AR937" t="s">
        <v>8847</v>
      </c>
      <c r="AS937" t="s">
        <v>8848</v>
      </c>
      <c r="AT937" t="s">
        <v>4601</v>
      </c>
      <c r="AU937" t="s">
        <v>4602</v>
      </c>
      <c r="AV937" t="s">
        <v>69</v>
      </c>
      <c r="AW937" t="s">
        <v>8849</v>
      </c>
      <c r="AX937" t="s">
        <v>8850</v>
      </c>
      <c r="AY937" t="s">
        <v>155</v>
      </c>
      <c r="AZ937">
        <v>2022</v>
      </c>
      <c r="BA937">
        <v>58</v>
      </c>
      <c r="BB937">
        <v>3</v>
      </c>
      <c r="BC937" t="s">
        <v>69</v>
      </c>
      <c r="BD937" t="s">
        <v>69</v>
      </c>
      <c r="BE937" t="s">
        <v>69</v>
      </c>
      <c r="BF937" t="s">
        <v>69</v>
      </c>
      <c r="BG937">
        <v>321</v>
      </c>
      <c r="BH937">
        <v>335</v>
      </c>
      <c r="BI937" t="s">
        <v>69</v>
      </c>
      <c r="BJ937" t="s">
        <v>8851</v>
      </c>
      <c r="BK937" t="str">
        <f>HYPERLINK("http://dx.doi.org/10.1111/1752-1688.13022","http://dx.doi.org/10.1111/1752-1688.13022")</f>
        <v>http://dx.doi.org/10.1111/1752-1688.13022</v>
      </c>
      <c r="BL937" t="s">
        <v>69</v>
      </c>
      <c r="BM937" t="s">
        <v>8742</v>
      </c>
      <c r="BN937">
        <v>15</v>
      </c>
      <c r="BO937" t="s">
        <v>8852</v>
      </c>
      <c r="BP937" t="s">
        <v>8548</v>
      </c>
      <c r="BQ937" t="s">
        <v>8853</v>
      </c>
      <c r="BR937" t="s">
        <v>8854</v>
      </c>
      <c r="BS937" t="s">
        <v>8855</v>
      </c>
      <c r="BT937" t="s">
        <v>69</v>
      </c>
      <c r="BU937" t="s">
        <v>69</v>
      </c>
      <c r="BV937" t="s">
        <v>69</v>
      </c>
      <c r="BW937" t="s">
        <v>69</v>
      </c>
      <c r="BX937" t="s">
        <v>8526</v>
      </c>
      <c r="BY937" t="str">
        <f>HYPERLINK("https%3A%2F%2Fwww.webofscience.com%2Fwos%2Fwoscc%2Ffull-record%2FWOS:000807251600001","View Full Record in Web of Science")</f>
        <v>View Full Record in Web of Science</v>
      </c>
    </row>
    <row r="938" spans="1:77" ht="12.5" x14ac:dyDescent="0.25">
      <c r="A938" t="s">
        <v>8495</v>
      </c>
      <c r="B938" s="7" t="s">
        <v>32933</v>
      </c>
      <c r="C938" s="7"/>
      <c r="D938" s="7"/>
      <c r="E938" s="7"/>
      <c r="F938" t="s">
        <v>67</v>
      </c>
      <c r="G938" t="s">
        <v>3834</v>
      </c>
      <c r="H938" t="s">
        <v>69</v>
      </c>
      <c r="I938" t="s">
        <v>69</v>
      </c>
      <c r="J938" t="s">
        <v>69</v>
      </c>
      <c r="K938" t="s">
        <v>3834</v>
      </c>
      <c r="L938" t="s">
        <v>69</v>
      </c>
      <c r="M938" t="s">
        <v>69</v>
      </c>
      <c r="N938" t="s">
        <v>3835</v>
      </c>
      <c r="O938" t="s">
        <v>3836</v>
      </c>
      <c r="P938" t="s">
        <v>69</v>
      </c>
      <c r="Q938" t="s">
        <v>69</v>
      </c>
      <c r="R938" t="s">
        <v>8505</v>
      </c>
      <c r="S938" t="s">
        <v>8442</v>
      </c>
      <c r="T938" t="s">
        <v>69</v>
      </c>
      <c r="U938" t="s">
        <v>69</v>
      </c>
      <c r="V938" t="s">
        <v>69</v>
      </c>
      <c r="W938" t="s">
        <v>69</v>
      </c>
      <c r="X938" t="s">
        <v>69</v>
      </c>
      <c r="Y938" t="s">
        <v>30337</v>
      </c>
      <c r="Z938" t="s">
        <v>30338</v>
      </c>
      <c r="AA938" t="s">
        <v>3837</v>
      </c>
      <c r="AB938" t="s">
        <v>30339</v>
      </c>
      <c r="AC938" t="s">
        <v>69</v>
      </c>
      <c r="AD938" t="s">
        <v>30340</v>
      </c>
      <c r="AE938" t="s">
        <v>30341</v>
      </c>
      <c r="AF938" t="s">
        <v>69</v>
      </c>
      <c r="AG938" t="s">
        <v>69</v>
      </c>
      <c r="AH938" t="s">
        <v>69</v>
      </c>
      <c r="AI938" t="s">
        <v>69</v>
      </c>
      <c r="AJ938" t="s">
        <v>69</v>
      </c>
      <c r="AK938" t="s">
        <v>69</v>
      </c>
      <c r="AL938">
        <v>104</v>
      </c>
      <c r="AM938">
        <v>77</v>
      </c>
      <c r="AN938">
        <v>80</v>
      </c>
      <c r="AO938">
        <v>3</v>
      </c>
      <c r="AP938">
        <v>39</v>
      </c>
      <c r="AQ938" t="s">
        <v>8762</v>
      </c>
      <c r="AR938" t="s">
        <v>8763</v>
      </c>
      <c r="AS938" t="s">
        <v>8764</v>
      </c>
      <c r="AT938" t="s">
        <v>3838</v>
      </c>
      <c r="AU938" t="s">
        <v>3839</v>
      </c>
      <c r="AV938" t="s">
        <v>69</v>
      </c>
      <c r="AW938" t="s">
        <v>25600</v>
      </c>
      <c r="AX938" t="s">
        <v>25601</v>
      </c>
      <c r="AY938" t="s">
        <v>246</v>
      </c>
      <c r="AZ938">
        <v>2006</v>
      </c>
      <c r="BA938">
        <v>24</v>
      </c>
      <c r="BB938">
        <v>2</v>
      </c>
      <c r="BC938" t="s">
        <v>69</v>
      </c>
      <c r="BD938" t="s">
        <v>69</v>
      </c>
      <c r="BE938" t="s">
        <v>69</v>
      </c>
      <c r="BF938" t="s">
        <v>69</v>
      </c>
      <c r="BG938">
        <v>105</v>
      </c>
      <c r="BH938">
        <v>117</v>
      </c>
      <c r="BI938" t="s">
        <v>69</v>
      </c>
      <c r="BJ938" t="s">
        <v>3840</v>
      </c>
      <c r="BK938" t="str">
        <f>HYPERLINK("http://dx.doi.org/10.1177/0734242X06063817","http://dx.doi.org/10.1177/0734242X06063817")</f>
        <v>http://dx.doi.org/10.1177/0734242X06063817</v>
      </c>
      <c r="BL938" t="s">
        <v>69</v>
      </c>
      <c r="BM938" t="s">
        <v>69</v>
      </c>
      <c r="BN938">
        <v>13</v>
      </c>
      <c r="BO938" t="s">
        <v>8743</v>
      </c>
      <c r="BP938" t="s">
        <v>8523</v>
      </c>
      <c r="BQ938" t="s">
        <v>8744</v>
      </c>
      <c r="BR938" t="s">
        <v>30342</v>
      </c>
      <c r="BS938" t="s">
        <v>3841</v>
      </c>
      <c r="BT938">
        <v>16634225</v>
      </c>
      <c r="BU938" t="s">
        <v>69</v>
      </c>
      <c r="BV938" t="s">
        <v>69</v>
      </c>
      <c r="BW938" t="s">
        <v>69</v>
      </c>
      <c r="BX938" t="s">
        <v>8526</v>
      </c>
      <c r="BY938" t="str">
        <f>HYPERLINK("https%3A%2F%2Fwww.webofscience.com%2Fwos%2Fwoscc%2Ffull-record%2FWOS:000237023000002","View Full Record in Web of Science")</f>
        <v>View Full Record in Web of Science</v>
      </c>
    </row>
    <row r="939" spans="1:77" ht="12.5" x14ac:dyDescent="0.25">
      <c r="A939" t="s">
        <v>8495</v>
      </c>
      <c r="B939" s="7" t="s">
        <v>32933</v>
      </c>
      <c r="C939" s="7"/>
      <c r="D939" s="7"/>
      <c r="E939" s="7"/>
      <c r="F939" t="s">
        <v>67</v>
      </c>
      <c r="G939" t="s">
        <v>8329</v>
      </c>
      <c r="H939" t="s">
        <v>69</v>
      </c>
      <c r="I939" t="s">
        <v>69</v>
      </c>
      <c r="J939" t="s">
        <v>69</v>
      </c>
      <c r="K939" t="s">
        <v>8329</v>
      </c>
      <c r="L939" t="s">
        <v>69</v>
      </c>
      <c r="M939" t="s">
        <v>69</v>
      </c>
      <c r="N939" t="s">
        <v>8330</v>
      </c>
      <c r="O939" t="s">
        <v>8331</v>
      </c>
      <c r="P939" t="s">
        <v>69</v>
      </c>
      <c r="Q939" t="s">
        <v>69</v>
      </c>
      <c r="R939" t="s">
        <v>8505</v>
      </c>
      <c r="S939" t="s">
        <v>32688</v>
      </c>
      <c r="T939" t="s">
        <v>69</v>
      </c>
      <c r="U939" t="s">
        <v>69</v>
      </c>
      <c r="V939" t="s">
        <v>69</v>
      </c>
      <c r="W939" t="s">
        <v>69</v>
      </c>
      <c r="X939" t="s">
        <v>69</v>
      </c>
      <c r="Y939" t="s">
        <v>69</v>
      </c>
      <c r="Z939" t="s">
        <v>69</v>
      </c>
      <c r="AA939" t="s">
        <v>8332</v>
      </c>
      <c r="AB939" t="s">
        <v>32689</v>
      </c>
      <c r="AC939" t="s">
        <v>69</v>
      </c>
      <c r="AD939" t="s">
        <v>32690</v>
      </c>
      <c r="AE939" t="s">
        <v>69</v>
      </c>
      <c r="AF939" t="s">
        <v>8333</v>
      </c>
      <c r="AG939" t="s">
        <v>8334</v>
      </c>
      <c r="AH939" t="s">
        <v>69</v>
      </c>
      <c r="AI939" t="s">
        <v>69</v>
      </c>
      <c r="AJ939" t="s">
        <v>69</v>
      </c>
      <c r="AK939" t="s">
        <v>69</v>
      </c>
      <c r="AL939">
        <v>9</v>
      </c>
      <c r="AM939">
        <v>27</v>
      </c>
      <c r="AN939">
        <v>28</v>
      </c>
      <c r="AO939">
        <v>0</v>
      </c>
      <c r="AP939">
        <v>6</v>
      </c>
      <c r="AQ939" t="s">
        <v>31134</v>
      </c>
      <c r="AR939" t="s">
        <v>8693</v>
      </c>
      <c r="AS939" t="s">
        <v>32691</v>
      </c>
      <c r="AT939" t="s">
        <v>8335</v>
      </c>
      <c r="AU939" t="s">
        <v>69</v>
      </c>
      <c r="AV939" t="s">
        <v>69</v>
      </c>
      <c r="AW939" t="s">
        <v>32692</v>
      </c>
      <c r="AX939" t="s">
        <v>32693</v>
      </c>
      <c r="AY939" t="s">
        <v>373</v>
      </c>
      <c r="AZ939">
        <v>1994</v>
      </c>
      <c r="BA939">
        <v>4</v>
      </c>
      <c r="BB939">
        <v>1</v>
      </c>
      <c r="BC939" t="s">
        <v>69</v>
      </c>
      <c r="BD939" t="s">
        <v>69</v>
      </c>
      <c r="BE939" t="s">
        <v>69</v>
      </c>
      <c r="BF939" t="s">
        <v>69</v>
      </c>
      <c r="BG939">
        <v>1</v>
      </c>
      <c r="BH939">
        <v>19</v>
      </c>
      <c r="BI939" t="s">
        <v>69</v>
      </c>
      <c r="BJ939" t="s">
        <v>8336</v>
      </c>
      <c r="BK939" t="str">
        <f>HYPERLINK("http://dx.doi.org/10.1002/hfm.4530040102","http://dx.doi.org/10.1002/hfm.4530040102")</f>
        <v>http://dx.doi.org/10.1002/hfm.4530040102</v>
      </c>
      <c r="BL939" t="s">
        <v>69</v>
      </c>
      <c r="BM939" t="s">
        <v>69</v>
      </c>
      <c r="BN939">
        <v>19</v>
      </c>
      <c r="BO939" t="s">
        <v>32694</v>
      </c>
      <c r="BP939" t="s">
        <v>8548</v>
      </c>
      <c r="BQ939" t="s">
        <v>8445</v>
      </c>
      <c r="BR939" t="s">
        <v>32695</v>
      </c>
      <c r="BS939" t="s">
        <v>8337</v>
      </c>
      <c r="BT939" t="s">
        <v>69</v>
      </c>
      <c r="BU939" t="s">
        <v>69</v>
      </c>
      <c r="BV939" t="s">
        <v>69</v>
      </c>
      <c r="BW939" t="s">
        <v>69</v>
      </c>
      <c r="BX939" t="s">
        <v>8526</v>
      </c>
      <c r="BY939" t="str">
        <f>HYPERLINK("https%3A%2F%2Fwww.webofscience.com%2Fwos%2Fwoscc%2Ffull-record%2FWOS:A1994MZ77800001","View Full Record in Web of Science")</f>
        <v>View Full Record in Web of Science</v>
      </c>
    </row>
    <row r="940" spans="1:77" ht="12.5" x14ac:dyDescent="0.25">
      <c r="A940" t="s">
        <v>8495</v>
      </c>
      <c r="B940" s="22" t="s">
        <v>32931</v>
      </c>
      <c r="C940" s="7"/>
      <c r="D940" s="7"/>
      <c r="E940" s="7"/>
      <c r="F940" t="s">
        <v>67</v>
      </c>
      <c r="G940" t="s">
        <v>26162</v>
      </c>
      <c r="H940" t="s">
        <v>69</v>
      </c>
      <c r="I940" t="s">
        <v>69</v>
      </c>
      <c r="J940" t="s">
        <v>69</v>
      </c>
      <c r="K940" t="s">
        <v>26163</v>
      </c>
      <c r="L940" t="s">
        <v>69</v>
      </c>
      <c r="M940" t="s">
        <v>69</v>
      </c>
      <c r="N940" t="s">
        <v>26164</v>
      </c>
      <c r="O940" t="s">
        <v>26165</v>
      </c>
      <c r="P940" t="s">
        <v>69</v>
      </c>
      <c r="Q940" t="s">
        <v>69</v>
      </c>
      <c r="R940" t="s">
        <v>8505</v>
      </c>
      <c r="S940" t="s">
        <v>8506</v>
      </c>
      <c r="T940" t="s">
        <v>69</v>
      </c>
      <c r="U940" t="s">
        <v>69</v>
      </c>
      <c r="V940" t="s">
        <v>69</v>
      </c>
      <c r="W940" t="s">
        <v>69</v>
      </c>
      <c r="X940" t="s">
        <v>69</v>
      </c>
      <c r="Y940" t="s">
        <v>69</v>
      </c>
      <c r="Z940" t="s">
        <v>26166</v>
      </c>
      <c r="AA940" t="s">
        <v>26167</v>
      </c>
      <c r="AB940" t="s">
        <v>26168</v>
      </c>
      <c r="AC940" t="s">
        <v>69</v>
      </c>
      <c r="AD940" t="s">
        <v>26169</v>
      </c>
      <c r="AE940" t="s">
        <v>26170</v>
      </c>
      <c r="AF940" t="s">
        <v>69</v>
      </c>
      <c r="AG940" t="s">
        <v>69</v>
      </c>
      <c r="AH940" t="s">
        <v>26171</v>
      </c>
      <c r="AI940" t="s">
        <v>26172</v>
      </c>
      <c r="AJ940" t="s">
        <v>26173</v>
      </c>
      <c r="AK940" t="s">
        <v>69</v>
      </c>
      <c r="AL940">
        <v>23</v>
      </c>
      <c r="AM940">
        <v>32</v>
      </c>
      <c r="AN940">
        <v>33</v>
      </c>
      <c r="AO940">
        <v>0</v>
      </c>
      <c r="AP940">
        <v>7</v>
      </c>
      <c r="AQ940" t="s">
        <v>14489</v>
      </c>
      <c r="AR940" t="s">
        <v>14490</v>
      </c>
      <c r="AS940" t="s">
        <v>14491</v>
      </c>
      <c r="AT940" t="s">
        <v>26174</v>
      </c>
      <c r="AU940" t="s">
        <v>26175</v>
      </c>
      <c r="AV940" t="s">
        <v>69</v>
      </c>
      <c r="AW940" t="s">
        <v>26176</v>
      </c>
      <c r="AX940" t="s">
        <v>26177</v>
      </c>
      <c r="AY940" t="s">
        <v>191</v>
      </c>
      <c r="AZ940">
        <v>2012</v>
      </c>
      <c r="BA940">
        <v>7</v>
      </c>
      <c r="BB940">
        <v>1</v>
      </c>
      <c r="BC940" t="s">
        <v>69</v>
      </c>
      <c r="BD940" t="s">
        <v>69</v>
      </c>
      <c r="BE940" t="s">
        <v>69</v>
      </c>
      <c r="BF940" t="s">
        <v>69</v>
      </c>
      <c r="BG940">
        <v>38</v>
      </c>
      <c r="BH940">
        <v>42</v>
      </c>
      <c r="BI940" t="s">
        <v>69</v>
      </c>
      <c r="BJ940" t="s">
        <v>26178</v>
      </c>
      <c r="BK940" t="str">
        <f>HYPERLINK("http://dx.doi.org/10.1089/bfm.2011.0003","http://dx.doi.org/10.1089/bfm.2011.0003")</f>
        <v>http://dx.doi.org/10.1089/bfm.2011.0003</v>
      </c>
      <c r="BL940" t="s">
        <v>69</v>
      </c>
      <c r="BM940" t="s">
        <v>69</v>
      </c>
      <c r="BN940">
        <v>5</v>
      </c>
      <c r="BO940" t="s">
        <v>26179</v>
      </c>
      <c r="BP940" t="s">
        <v>8548</v>
      </c>
      <c r="BQ940" t="s">
        <v>26179</v>
      </c>
      <c r="BR940" t="s">
        <v>26180</v>
      </c>
      <c r="BS940" t="s">
        <v>26181</v>
      </c>
      <c r="BT940">
        <v>21657890</v>
      </c>
      <c r="BU940" t="s">
        <v>10423</v>
      </c>
      <c r="BV940" t="s">
        <v>69</v>
      </c>
      <c r="BW940" t="s">
        <v>69</v>
      </c>
      <c r="BX940" t="s">
        <v>8526</v>
      </c>
      <c r="BY940" t="str">
        <f>HYPERLINK("https%3A%2F%2Fwww.webofscience.com%2Fwos%2Fwoscc%2Ffull-record%2FWOS:000300391800007","View Full Record in Web of Science")</f>
        <v>View Full Record in Web of Science</v>
      </c>
    </row>
    <row r="941" spans="1:77" ht="12.5" x14ac:dyDescent="0.25">
      <c r="A941" t="s">
        <v>8495</v>
      </c>
      <c r="B941" s="7" t="s">
        <v>32933</v>
      </c>
      <c r="C941" s="7"/>
      <c r="D941" s="7"/>
      <c r="E941" s="7"/>
      <c r="F941" t="s">
        <v>67</v>
      </c>
      <c r="G941" t="s">
        <v>4308</v>
      </c>
      <c r="H941" t="s">
        <v>69</v>
      </c>
      <c r="I941" t="s">
        <v>69</v>
      </c>
      <c r="J941" t="s">
        <v>69</v>
      </c>
      <c r="K941" t="s">
        <v>4308</v>
      </c>
      <c r="L941" t="s">
        <v>69</v>
      </c>
      <c r="M941" t="s">
        <v>69</v>
      </c>
      <c r="N941" t="s">
        <v>4309</v>
      </c>
      <c r="O941" t="s">
        <v>1806</v>
      </c>
      <c r="P941" t="s">
        <v>69</v>
      </c>
      <c r="Q941" t="s">
        <v>69</v>
      </c>
      <c r="R941" t="s">
        <v>8505</v>
      </c>
      <c r="S941" t="s">
        <v>15797</v>
      </c>
      <c r="T941" t="s">
        <v>4310</v>
      </c>
      <c r="U941" t="s">
        <v>4311</v>
      </c>
      <c r="V941" t="s">
        <v>4312</v>
      </c>
      <c r="W941" t="s">
        <v>69</v>
      </c>
      <c r="X941" t="s">
        <v>69</v>
      </c>
      <c r="Y941" t="s">
        <v>69</v>
      </c>
      <c r="Z941" t="s">
        <v>32661</v>
      </c>
      <c r="AA941" t="s">
        <v>4313</v>
      </c>
      <c r="AB941" t="s">
        <v>69</v>
      </c>
      <c r="AC941" t="s">
        <v>69</v>
      </c>
      <c r="AD941" t="s">
        <v>32662</v>
      </c>
      <c r="AE941" t="s">
        <v>69</v>
      </c>
      <c r="AF941" t="s">
        <v>69</v>
      </c>
      <c r="AG941" t="s">
        <v>69</v>
      </c>
      <c r="AH941" t="s">
        <v>69</v>
      </c>
      <c r="AI941" t="s">
        <v>69</v>
      </c>
      <c r="AJ941" t="s">
        <v>69</v>
      </c>
      <c r="AK941" t="s">
        <v>69</v>
      </c>
      <c r="AL941">
        <v>61</v>
      </c>
      <c r="AM941">
        <v>36</v>
      </c>
      <c r="AN941">
        <v>38</v>
      </c>
      <c r="AO941">
        <v>0</v>
      </c>
      <c r="AP941">
        <v>18</v>
      </c>
      <c r="AQ941" t="s">
        <v>17140</v>
      </c>
      <c r="AR941" t="s">
        <v>8517</v>
      </c>
      <c r="AS941" t="s">
        <v>17141</v>
      </c>
      <c r="AT941" t="s">
        <v>1811</v>
      </c>
      <c r="AU941" t="s">
        <v>69</v>
      </c>
      <c r="AV941" t="s">
        <v>69</v>
      </c>
      <c r="AW941" t="s">
        <v>32663</v>
      </c>
      <c r="AX941" t="s">
        <v>32664</v>
      </c>
      <c r="AY941" t="s">
        <v>201</v>
      </c>
      <c r="AZ941">
        <v>1994</v>
      </c>
      <c r="BA941">
        <v>50</v>
      </c>
      <c r="BB941">
        <v>1</v>
      </c>
      <c r="BC941" t="s">
        <v>69</v>
      </c>
      <c r="BD941" t="s">
        <v>69</v>
      </c>
      <c r="BE941" t="s">
        <v>69</v>
      </c>
      <c r="BF941" t="s">
        <v>69</v>
      </c>
      <c r="BG941">
        <v>1</v>
      </c>
      <c r="BH941">
        <v>10</v>
      </c>
      <c r="BI941" t="s">
        <v>69</v>
      </c>
      <c r="BJ941" t="s">
        <v>4314</v>
      </c>
      <c r="BK941" t="str">
        <f>HYPERLINK("http://dx.doi.org/10.1016/0167-8809(94)90120-1","http://dx.doi.org/10.1016/0167-8809(94)90120-1")</f>
        <v>http://dx.doi.org/10.1016/0167-8809(94)90120-1</v>
      </c>
      <c r="BL941" t="s">
        <v>69</v>
      </c>
      <c r="BM941" t="s">
        <v>69</v>
      </c>
      <c r="BN941">
        <v>10</v>
      </c>
      <c r="BO941" t="s">
        <v>32665</v>
      </c>
      <c r="BP941" t="s">
        <v>29550</v>
      </c>
      <c r="BQ941" t="s">
        <v>32666</v>
      </c>
      <c r="BR941" t="s">
        <v>32667</v>
      </c>
      <c r="BS941" t="s">
        <v>4315</v>
      </c>
      <c r="BT941" t="s">
        <v>69</v>
      </c>
      <c r="BU941" t="s">
        <v>69</v>
      </c>
      <c r="BV941" t="s">
        <v>69</v>
      </c>
      <c r="BW941" t="s">
        <v>69</v>
      </c>
      <c r="BX941" t="s">
        <v>8526</v>
      </c>
      <c r="BY941" t="str">
        <f>HYPERLINK("https%3A%2F%2Fwww.webofscience.com%2Fwos%2Fwoscc%2Ffull-record%2FWOS:A1994PE88300002","View Full Record in Web of Science")</f>
        <v>View Full Record in Web of Science</v>
      </c>
    </row>
    <row r="942" spans="1:77" ht="12.5" x14ac:dyDescent="0.25">
      <c r="A942" t="s">
        <v>8495</v>
      </c>
      <c r="B942" s="22" t="s">
        <v>32931</v>
      </c>
      <c r="C942" s="7"/>
      <c r="D942" s="7"/>
      <c r="E942" s="7"/>
      <c r="F942" t="s">
        <v>67</v>
      </c>
      <c r="G942" t="s">
        <v>11190</v>
      </c>
      <c r="H942" t="s">
        <v>69</v>
      </c>
      <c r="I942" t="s">
        <v>69</v>
      </c>
      <c r="J942" t="s">
        <v>69</v>
      </c>
      <c r="K942" t="s">
        <v>11191</v>
      </c>
      <c r="L942" t="s">
        <v>69</v>
      </c>
      <c r="M942" t="s">
        <v>69</v>
      </c>
      <c r="N942" t="s">
        <v>11192</v>
      </c>
      <c r="O942" t="s">
        <v>11193</v>
      </c>
      <c r="P942" t="s">
        <v>69</v>
      </c>
      <c r="Q942" t="s">
        <v>69</v>
      </c>
      <c r="R942" t="s">
        <v>8505</v>
      </c>
      <c r="S942" t="s">
        <v>8506</v>
      </c>
      <c r="T942" t="s">
        <v>69</v>
      </c>
      <c r="U942" t="s">
        <v>69</v>
      </c>
      <c r="V942" t="s">
        <v>69</v>
      </c>
      <c r="W942" t="s">
        <v>69</v>
      </c>
      <c r="X942" t="s">
        <v>69</v>
      </c>
      <c r="Y942" t="s">
        <v>11194</v>
      </c>
      <c r="Z942" t="s">
        <v>11195</v>
      </c>
      <c r="AA942" t="s">
        <v>11196</v>
      </c>
      <c r="AB942" t="s">
        <v>11197</v>
      </c>
      <c r="AC942" t="s">
        <v>69</v>
      </c>
      <c r="AD942" t="s">
        <v>11198</v>
      </c>
      <c r="AE942" t="s">
        <v>11199</v>
      </c>
      <c r="AF942" t="s">
        <v>69</v>
      </c>
      <c r="AG942" t="s">
        <v>11200</v>
      </c>
      <c r="AH942" t="s">
        <v>69</v>
      </c>
      <c r="AI942" t="s">
        <v>69</v>
      </c>
      <c r="AJ942" t="s">
        <v>69</v>
      </c>
      <c r="AK942" t="s">
        <v>69</v>
      </c>
      <c r="AL942">
        <v>52</v>
      </c>
      <c r="AM942">
        <v>1</v>
      </c>
      <c r="AN942">
        <v>1</v>
      </c>
      <c r="AO942">
        <v>4</v>
      </c>
      <c r="AP942">
        <v>4</v>
      </c>
      <c r="AQ942" t="s">
        <v>8865</v>
      </c>
      <c r="AR942" t="s">
        <v>8612</v>
      </c>
      <c r="AS942" t="s">
        <v>8866</v>
      </c>
      <c r="AT942" t="s">
        <v>11201</v>
      </c>
      <c r="AU942" t="s">
        <v>11202</v>
      </c>
      <c r="AV942" t="s">
        <v>69</v>
      </c>
      <c r="AW942" t="s">
        <v>11203</v>
      </c>
      <c r="AX942" t="s">
        <v>11204</v>
      </c>
      <c r="AY942" t="s">
        <v>837</v>
      </c>
      <c r="AZ942">
        <v>2022</v>
      </c>
      <c r="BA942">
        <v>13</v>
      </c>
      <c r="BB942">
        <v>1</v>
      </c>
      <c r="BC942" t="s">
        <v>69</v>
      </c>
      <c r="BD942" t="s">
        <v>69</v>
      </c>
      <c r="BE942" t="s">
        <v>69</v>
      </c>
      <c r="BF942" t="s">
        <v>69</v>
      </c>
      <c r="BG942">
        <v>5</v>
      </c>
      <c r="BH942">
        <v>27</v>
      </c>
      <c r="BI942" t="s">
        <v>69</v>
      </c>
      <c r="BJ942" t="s">
        <v>11205</v>
      </c>
      <c r="BK942" t="str">
        <f>HYPERLINK("http://dx.doi.org/10.1080/17567505.2021.1981670","http://dx.doi.org/10.1080/17567505.2021.1981670")</f>
        <v>http://dx.doi.org/10.1080/17567505.2021.1981670</v>
      </c>
      <c r="BL942" t="s">
        <v>69</v>
      </c>
      <c r="BM942" t="s">
        <v>10991</v>
      </c>
      <c r="BN942">
        <v>23</v>
      </c>
      <c r="BO942" t="s">
        <v>11206</v>
      </c>
      <c r="BP942" t="s">
        <v>11207</v>
      </c>
      <c r="BQ942" t="s">
        <v>11208</v>
      </c>
      <c r="BR942" t="s">
        <v>11209</v>
      </c>
      <c r="BS942" t="s">
        <v>11210</v>
      </c>
      <c r="BT942" t="s">
        <v>69</v>
      </c>
      <c r="BU942" t="s">
        <v>69</v>
      </c>
      <c r="BV942" t="s">
        <v>69</v>
      </c>
      <c r="BW942" t="s">
        <v>69</v>
      </c>
      <c r="BX942" t="s">
        <v>8526</v>
      </c>
      <c r="BY942" t="str">
        <f>HYPERLINK("https%3A%2F%2Fwww.webofscience.com%2Fwos%2Fwoscc%2Ffull-record%2FWOS:000706656000001","View Full Record in Web of Science")</f>
        <v>View Full Record in Web of Science</v>
      </c>
    </row>
    <row r="943" spans="1:77" ht="12.5" x14ac:dyDescent="0.25">
      <c r="A943" t="s">
        <v>8495</v>
      </c>
      <c r="B943" s="22" t="s">
        <v>32931</v>
      </c>
      <c r="C943" s="7"/>
      <c r="D943" s="7"/>
      <c r="E943" s="7"/>
      <c r="F943" t="s">
        <v>67</v>
      </c>
      <c r="G943" t="s">
        <v>31147</v>
      </c>
      <c r="H943" t="s">
        <v>69</v>
      </c>
      <c r="I943" t="s">
        <v>69</v>
      </c>
      <c r="J943" t="s">
        <v>69</v>
      </c>
      <c r="K943" t="s">
        <v>31147</v>
      </c>
      <c r="L943" t="s">
        <v>69</v>
      </c>
      <c r="M943" t="s">
        <v>69</v>
      </c>
      <c r="N943" t="s">
        <v>31148</v>
      </c>
      <c r="O943" t="s">
        <v>31149</v>
      </c>
      <c r="P943" t="s">
        <v>69</v>
      </c>
      <c r="Q943" t="s">
        <v>69</v>
      </c>
      <c r="R943" t="s">
        <v>12534</v>
      </c>
      <c r="S943" t="s">
        <v>15797</v>
      </c>
      <c r="T943" t="s">
        <v>31150</v>
      </c>
      <c r="U943" t="s">
        <v>31151</v>
      </c>
      <c r="V943" t="s">
        <v>31152</v>
      </c>
      <c r="W943" t="s">
        <v>31153</v>
      </c>
      <c r="X943" t="s">
        <v>69</v>
      </c>
      <c r="Y943" t="s">
        <v>69</v>
      </c>
      <c r="Z943" t="s">
        <v>69</v>
      </c>
      <c r="AA943" t="s">
        <v>31154</v>
      </c>
      <c r="AB943" t="s">
        <v>31155</v>
      </c>
      <c r="AC943" t="s">
        <v>69</v>
      </c>
      <c r="AD943" t="s">
        <v>31156</v>
      </c>
      <c r="AE943" t="s">
        <v>69</v>
      </c>
      <c r="AF943" t="s">
        <v>69</v>
      </c>
      <c r="AG943" t="s">
        <v>69</v>
      </c>
      <c r="AH943" t="s">
        <v>69</v>
      </c>
      <c r="AI943" t="s">
        <v>69</v>
      </c>
      <c r="AJ943" t="s">
        <v>69</v>
      </c>
      <c r="AK943" t="s">
        <v>69</v>
      </c>
      <c r="AL943">
        <v>8</v>
      </c>
      <c r="AM943">
        <v>0</v>
      </c>
      <c r="AN943">
        <v>0</v>
      </c>
      <c r="AO943">
        <v>1</v>
      </c>
      <c r="AP943">
        <v>8</v>
      </c>
      <c r="AQ943" t="s">
        <v>31157</v>
      </c>
      <c r="AR943" t="s">
        <v>19533</v>
      </c>
      <c r="AS943" t="s">
        <v>31158</v>
      </c>
      <c r="AT943" t="s">
        <v>31159</v>
      </c>
      <c r="AU943" t="s">
        <v>69</v>
      </c>
      <c r="AV943" t="s">
        <v>69</v>
      </c>
      <c r="AW943" t="s">
        <v>31149</v>
      </c>
      <c r="AX943" t="s">
        <v>31160</v>
      </c>
      <c r="AY943" t="s">
        <v>619</v>
      </c>
      <c r="AZ943">
        <v>2003</v>
      </c>
      <c r="BA943">
        <v>75</v>
      </c>
      <c r="BB943">
        <v>6</v>
      </c>
      <c r="BC943" t="s">
        <v>69</v>
      </c>
      <c r="BD943" t="s">
        <v>69</v>
      </c>
      <c r="BE943" t="s">
        <v>69</v>
      </c>
      <c r="BF943" t="s">
        <v>69</v>
      </c>
      <c r="BG943">
        <v>452</v>
      </c>
      <c r="BH943">
        <v>458</v>
      </c>
      <c r="BI943" t="s">
        <v>69</v>
      </c>
      <c r="BJ943" t="s">
        <v>69</v>
      </c>
      <c r="BK943" t="s">
        <v>69</v>
      </c>
      <c r="BL943" t="s">
        <v>69</v>
      </c>
      <c r="BM943" t="s">
        <v>69</v>
      </c>
      <c r="BN943">
        <v>7</v>
      </c>
      <c r="BO943" t="s">
        <v>9683</v>
      </c>
      <c r="BP943" t="s">
        <v>29550</v>
      </c>
      <c r="BQ943" t="s">
        <v>8450</v>
      </c>
      <c r="BR943" t="s">
        <v>31161</v>
      </c>
      <c r="BS943" t="s">
        <v>31162</v>
      </c>
      <c r="BT943" t="s">
        <v>69</v>
      </c>
      <c r="BU943" t="s">
        <v>69</v>
      </c>
      <c r="BV943" t="s">
        <v>69</v>
      </c>
      <c r="BW943" t="s">
        <v>69</v>
      </c>
      <c r="BX943" t="s">
        <v>8526</v>
      </c>
      <c r="BY943" t="str">
        <f>HYPERLINK("https%3A%2F%2Fwww.webofscience.com%2Fwos%2Fwoscc%2Ffull-record%2FWOS:000220159000004","View Full Record in Web of Science")</f>
        <v>View Full Record in Web of Science</v>
      </c>
    </row>
    <row r="944" spans="1:77" ht="12.5" x14ac:dyDescent="0.25">
      <c r="A944" t="s">
        <v>8495</v>
      </c>
      <c r="B944" s="22" t="s">
        <v>32931</v>
      </c>
      <c r="C944" s="7"/>
      <c r="D944" s="7"/>
      <c r="E944" s="7"/>
      <c r="F944" t="s">
        <v>67</v>
      </c>
      <c r="G944" t="s">
        <v>9610</v>
      </c>
      <c r="H944" t="s">
        <v>69</v>
      </c>
      <c r="I944" t="s">
        <v>69</v>
      </c>
      <c r="J944" t="s">
        <v>69</v>
      </c>
      <c r="K944" t="s">
        <v>9611</v>
      </c>
      <c r="L944" t="s">
        <v>69</v>
      </c>
      <c r="M944" t="s">
        <v>69</v>
      </c>
      <c r="N944" t="s">
        <v>9612</v>
      </c>
      <c r="O944" t="s">
        <v>9613</v>
      </c>
      <c r="P944" t="s">
        <v>69</v>
      </c>
      <c r="Q944" t="s">
        <v>69</v>
      </c>
      <c r="R944" t="s">
        <v>8505</v>
      </c>
      <c r="S944" t="s">
        <v>8556</v>
      </c>
      <c r="T944" t="s">
        <v>69</v>
      </c>
      <c r="U944" t="s">
        <v>69</v>
      </c>
      <c r="V944" t="s">
        <v>69</v>
      </c>
      <c r="W944" t="s">
        <v>69</v>
      </c>
      <c r="X944" t="s">
        <v>69</v>
      </c>
      <c r="Y944" t="s">
        <v>9614</v>
      </c>
      <c r="Z944" t="s">
        <v>9615</v>
      </c>
      <c r="AA944" t="s">
        <v>9616</v>
      </c>
      <c r="AB944" t="s">
        <v>9617</v>
      </c>
      <c r="AC944" t="s">
        <v>69</v>
      </c>
      <c r="AD944" t="s">
        <v>9618</v>
      </c>
      <c r="AE944" t="s">
        <v>9619</v>
      </c>
      <c r="AF944" t="s">
        <v>9620</v>
      </c>
      <c r="AG944" t="s">
        <v>69</v>
      </c>
      <c r="AH944" t="s">
        <v>69</v>
      </c>
      <c r="AI944" t="s">
        <v>69</v>
      </c>
      <c r="AJ944" t="s">
        <v>69</v>
      </c>
      <c r="AK944" t="s">
        <v>69</v>
      </c>
      <c r="AL944">
        <v>65</v>
      </c>
      <c r="AM944">
        <v>5</v>
      </c>
      <c r="AN944">
        <v>5</v>
      </c>
      <c r="AO944">
        <v>9</v>
      </c>
      <c r="AP944">
        <v>9</v>
      </c>
      <c r="AQ944" t="s">
        <v>8762</v>
      </c>
      <c r="AR944" t="s">
        <v>8763</v>
      </c>
      <c r="AS944" t="s">
        <v>8764</v>
      </c>
      <c r="AT944" t="s">
        <v>9621</v>
      </c>
      <c r="AU944" t="s">
        <v>9622</v>
      </c>
      <c r="AV944" t="s">
        <v>69</v>
      </c>
      <c r="AW944" t="s">
        <v>9623</v>
      </c>
      <c r="AX944" t="s">
        <v>9624</v>
      </c>
      <c r="AY944" t="s">
        <v>69</v>
      </c>
      <c r="AZ944" t="s">
        <v>69</v>
      </c>
      <c r="BA944" t="s">
        <v>69</v>
      </c>
      <c r="BB944" t="s">
        <v>69</v>
      </c>
      <c r="BC944" t="s">
        <v>69</v>
      </c>
      <c r="BD944" t="s">
        <v>69</v>
      </c>
      <c r="BE944" t="s">
        <v>69</v>
      </c>
      <c r="BF944" t="s">
        <v>69</v>
      </c>
      <c r="BG944" t="s">
        <v>69</v>
      </c>
      <c r="BH944" t="s">
        <v>69</v>
      </c>
      <c r="BI944" t="s">
        <v>9625</v>
      </c>
      <c r="BJ944" t="s">
        <v>9626</v>
      </c>
      <c r="BK944" t="str">
        <f>HYPERLINK("http://dx.doi.org/10.1177/0958305X221083236","http://dx.doi.org/10.1177/0958305X221083236")</f>
        <v>http://dx.doi.org/10.1177/0958305X221083236</v>
      </c>
      <c r="BL944" t="s">
        <v>69</v>
      </c>
      <c r="BM944" t="s">
        <v>9485</v>
      </c>
      <c r="BN944">
        <v>22</v>
      </c>
      <c r="BO944" t="s">
        <v>8660</v>
      </c>
      <c r="BP944" t="s">
        <v>8661</v>
      </c>
      <c r="BQ944" t="s">
        <v>8662</v>
      </c>
      <c r="BR944" t="s">
        <v>9627</v>
      </c>
      <c r="BS944" t="s">
        <v>9628</v>
      </c>
      <c r="BT944" t="s">
        <v>69</v>
      </c>
      <c r="BU944" t="s">
        <v>69</v>
      </c>
      <c r="BV944" t="s">
        <v>69</v>
      </c>
      <c r="BW944" t="s">
        <v>69</v>
      </c>
      <c r="BX944" t="s">
        <v>8526</v>
      </c>
      <c r="BY944" t="str">
        <f>HYPERLINK("https%3A%2F%2Fwww.webofscience.com%2Fwos%2Fwoscc%2Ffull-record%2FWOS:000769396300001","View Full Record in Web of Science")</f>
        <v>View Full Record in Web of Science</v>
      </c>
    </row>
    <row r="945" spans="1:77" ht="12.5" x14ac:dyDescent="0.25">
      <c r="A945" t="s">
        <v>8495</v>
      </c>
      <c r="B945" s="7" t="s">
        <v>32933</v>
      </c>
      <c r="C945" s="7"/>
      <c r="D945" s="7"/>
      <c r="E945" s="7"/>
      <c r="F945" t="s">
        <v>67</v>
      </c>
      <c r="G945" t="s">
        <v>1411</v>
      </c>
      <c r="H945" t="s">
        <v>69</v>
      </c>
      <c r="I945" t="s">
        <v>69</v>
      </c>
      <c r="J945" t="s">
        <v>69</v>
      </c>
      <c r="K945" t="s">
        <v>1412</v>
      </c>
      <c r="L945" t="s">
        <v>69</v>
      </c>
      <c r="M945" t="s">
        <v>69</v>
      </c>
      <c r="N945" t="s">
        <v>1413</v>
      </c>
      <c r="O945" t="s">
        <v>1414</v>
      </c>
      <c r="P945" t="s">
        <v>69</v>
      </c>
      <c r="Q945" t="s">
        <v>69</v>
      </c>
      <c r="R945" t="s">
        <v>10071</v>
      </c>
      <c r="S945" t="s">
        <v>8506</v>
      </c>
      <c r="T945" t="s">
        <v>69</v>
      </c>
      <c r="U945" t="s">
        <v>69</v>
      </c>
      <c r="V945" t="s">
        <v>69</v>
      </c>
      <c r="W945" t="s">
        <v>69</v>
      </c>
      <c r="X945" t="s">
        <v>69</v>
      </c>
      <c r="Y945" t="s">
        <v>24664</v>
      </c>
      <c r="Z945" t="s">
        <v>69</v>
      </c>
      <c r="AA945" t="s">
        <v>1415</v>
      </c>
      <c r="AB945" t="s">
        <v>24665</v>
      </c>
      <c r="AC945" t="s">
        <v>69</v>
      </c>
      <c r="AD945" t="s">
        <v>24666</v>
      </c>
      <c r="AE945" t="s">
        <v>24667</v>
      </c>
      <c r="AF945" t="s">
        <v>69</v>
      </c>
      <c r="AG945" t="s">
        <v>69</v>
      </c>
      <c r="AH945" t="s">
        <v>69</v>
      </c>
      <c r="AI945" t="s">
        <v>69</v>
      </c>
      <c r="AJ945" t="s">
        <v>69</v>
      </c>
      <c r="AK945" t="s">
        <v>69</v>
      </c>
      <c r="AL945">
        <v>23</v>
      </c>
      <c r="AM945">
        <v>0</v>
      </c>
      <c r="AN945">
        <v>0</v>
      </c>
      <c r="AO945">
        <v>1</v>
      </c>
      <c r="AP945">
        <v>16</v>
      </c>
      <c r="AQ945" t="s">
        <v>19151</v>
      </c>
      <c r="AR945" t="s">
        <v>19152</v>
      </c>
      <c r="AS945" t="s">
        <v>19153</v>
      </c>
      <c r="AT945" t="s">
        <v>1416</v>
      </c>
      <c r="AU945" t="s">
        <v>69</v>
      </c>
      <c r="AV945" t="s">
        <v>69</v>
      </c>
      <c r="AW945" t="s">
        <v>19154</v>
      </c>
      <c r="AX945" t="s">
        <v>19155</v>
      </c>
      <c r="AY945" t="s">
        <v>381</v>
      </c>
      <c r="AZ945">
        <v>2013</v>
      </c>
      <c r="BA945" t="s">
        <v>69</v>
      </c>
      <c r="BB945">
        <v>57</v>
      </c>
      <c r="BC945" t="s">
        <v>69</v>
      </c>
      <c r="BD945" t="s">
        <v>69</v>
      </c>
      <c r="BE945" t="s">
        <v>69</v>
      </c>
      <c r="BF945" t="s">
        <v>69</v>
      </c>
      <c r="BG945">
        <v>123</v>
      </c>
      <c r="BH945" t="s">
        <v>219</v>
      </c>
      <c r="BI945" t="s">
        <v>69</v>
      </c>
      <c r="BJ945" t="s">
        <v>69</v>
      </c>
      <c r="BK945" t="s">
        <v>69</v>
      </c>
      <c r="BL945" t="s">
        <v>69</v>
      </c>
      <c r="BM945" t="s">
        <v>69</v>
      </c>
      <c r="BN945">
        <v>35</v>
      </c>
      <c r="BO945" t="s">
        <v>10439</v>
      </c>
      <c r="BP945" t="s">
        <v>8661</v>
      </c>
      <c r="BQ945" t="s">
        <v>10440</v>
      </c>
      <c r="BR945" t="s">
        <v>24668</v>
      </c>
      <c r="BS945" t="s">
        <v>1417</v>
      </c>
      <c r="BT945" t="s">
        <v>69</v>
      </c>
      <c r="BU945" t="s">
        <v>69</v>
      </c>
      <c r="BV945" t="s">
        <v>69</v>
      </c>
      <c r="BW945" t="s">
        <v>69</v>
      </c>
      <c r="BX945" t="s">
        <v>8526</v>
      </c>
      <c r="BY945" t="str">
        <f>HYPERLINK("https%3A%2F%2Fwww.webofscience.com%2Fwos%2Fwoscc%2Ffull-record%2FWOS:000331339400005","View Full Record in Web of Science")</f>
        <v>View Full Record in Web of Science</v>
      </c>
    </row>
    <row r="946" spans="1:77" ht="12.5" x14ac:dyDescent="0.25">
      <c r="A946" t="s">
        <v>8495</v>
      </c>
      <c r="B946" s="7" t="s">
        <v>32933</v>
      </c>
      <c r="C946" s="7"/>
      <c r="D946" s="7"/>
      <c r="E946" s="7"/>
      <c r="F946" t="s">
        <v>67</v>
      </c>
      <c r="G946" t="s">
        <v>7290</v>
      </c>
      <c r="H946" t="s">
        <v>69</v>
      </c>
      <c r="I946" t="s">
        <v>69</v>
      </c>
      <c r="J946" t="s">
        <v>69</v>
      </c>
      <c r="K946" t="s">
        <v>7291</v>
      </c>
      <c r="L946" t="s">
        <v>69</v>
      </c>
      <c r="M946" t="s">
        <v>69</v>
      </c>
      <c r="N946" s="3" t="s">
        <v>7292</v>
      </c>
      <c r="O946" t="s">
        <v>7293</v>
      </c>
      <c r="P946" t="s">
        <v>69</v>
      </c>
      <c r="Q946" t="s">
        <v>69</v>
      </c>
      <c r="R946" t="s">
        <v>8505</v>
      </c>
      <c r="S946" t="s">
        <v>8506</v>
      </c>
      <c r="T946" t="s">
        <v>69</v>
      </c>
      <c r="U946" t="s">
        <v>69</v>
      </c>
      <c r="V946" t="s">
        <v>69</v>
      </c>
      <c r="W946" t="s">
        <v>69</v>
      </c>
      <c r="X946" t="s">
        <v>69</v>
      </c>
      <c r="Y946" t="s">
        <v>17156</v>
      </c>
      <c r="Z946" t="s">
        <v>69</v>
      </c>
      <c r="AA946" t="s">
        <v>7294</v>
      </c>
      <c r="AB946" t="s">
        <v>17157</v>
      </c>
      <c r="AC946" t="s">
        <v>69</v>
      </c>
      <c r="AD946" t="s">
        <v>17158</v>
      </c>
      <c r="AE946" t="s">
        <v>17159</v>
      </c>
      <c r="AF946" t="s">
        <v>17160</v>
      </c>
      <c r="AG946" t="s">
        <v>17161</v>
      </c>
      <c r="AH946" t="s">
        <v>10209</v>
      </c>
      <c r="AI946" t="s">
        <v>10210</v>
      </c>
      <c r="AJ946" t="s">
        <v>10211</v>
      </c>
      <c r="AK946" t="s">
        <v>69</v>
      </c>
      <c r="AL946">
        <v>20</v>
      </c>
      <c r="AM946">
        <v>3</v>
      </c>
      <c r="AN946">
        <v>3</v>
      </c>
      <c r="AO946">
        <v>0</v>
      </c>
      <c r="AP946">
        <v>8</v>
      </c>
      <c r="AQ946" t="s">
        <v>17162</v>
      </c>
      <c r="AR946" t="s">
        <v>13739</v>
      </c>
      <c r="AS946" t="s">
        <v>17163</v>
      </c>
      <c r="AT946" t="s">
        <v>7295</v>
      </c>
      <c r="AU946" t="s">
        <v>69</v>
      </c>
      <c r="AV946" t="s">
        <v>69</v>
      </c>
      <c r="AW946" t="s">
        <v>17164</v>
      </c>
      <c r="AX946" t="s">
        <v>17164</v>
      </c>
      <c r="AY946" t="s">
        <v>7296</v>
      </c>
      <c r="AZ946">
        <v>2019</v>
      </c>
      <c r="BA946">
        <v>10</v>
      </c>
      <c r="BB946">
        <v>2</v>
      </c>
      <c r="BC946" t="s">
        <v>69</v>
      </c>
      <c r="BD946" t="s">
        <v>69</v>
      </c>
      <c r="BE946" t="s">
        <v>69</v>
      </c>
      <c r="BF946" t="s">
        <v>69</v>
      </c>
      <c r="BG946">
        <v>86</v>
      </c>
      <c r="BH946">
        <v>97</v>
      </c>
      <c r="BI946" t="s">
        <v>69</v>
      </c>
      <c r="BJ946" t="s">
        <v>7297</v>
      </c>
      <c r="BK946" t="str">
        <f>HYPERLINK("http://dx.doi.org/10.23925/2179-3565.2019v10i2p86-97","http://dx.doi.org/10.23925/2179-3565.2019v10i2p86-97")</f>
        <v>http://dx.doi.org/10.23925/2179-3565.2019v10i2p86-97</v>
      </c>
      <c r="BL946" t="s">
        <v>69</v>
      </c>
      <c r="BM946" t="s">
        <v>69</v>
      </c>
      <c r="BN946">
        <v>12</v>
      </c>
      <c r="BO946" t="s">
        <v>9410</v>
      </c>
      <c r="BP946" t="s">
        <v>8573</v>
      </c>
      <c r="BQ946" t="s">
        <v>8594</v>
      </c>
      <c r="BR946" t="s">
        <v>17165</v>
      </c>
      <c r="BS946" t="s">
        <v>7298</v>
      </c>
      <c r="BT946" t="s">
        <v>69</v>
      </c>
      <c r="BU946" t="s">
        <v>8931</v>
      </c>
      <c r="BV946" t="s">
        <v>69</v>
      </c>
      <c r="BW946" t="s">
        <v>69</v>
      </c>
      <c r="BX946" t="s">
        <v>8526</v>
      </c>
      <c r="BY946" t="str">
        <f>HYPERLINK("https%3A%2F%2Fwww.webofscience.com%2Fwos%2Fwoscc%2Ffull-record%2FWOS:000486592800008","View Full Record in Web of Science")</f>
        <v>View Full Record in Web of Science</v>
      </c>
    </row>
    <row r="947" spans="1:77" ht="12.5" x14ac:dyDescent="0.25">
      <c r="A947" t="s">
        <v>8495</v>
      </c>
      <c r="B947" s="7" t="s">
        <v>32933</v>
      </c>
      <c r="C947" s="7"/>
      <c r="D947" s="7"/>
      <c r="E947" s="7"/>
      <c r="F947" t="s">
        <v>67</v>
      </c>
      <c r="G947" t="s">
        <v>5873</v>
      </c>
      <c r="H947" t="s">
        <v>69</v>
      </c>
      <c r="I947" t="s">
        <v>69</v>
      </c>
      <c r="J947" t="s">
        <v>69</v>
      </c>
      <c r="K947" t="s">
        <v>5873</v>
      </c>
      <c r="L947" t="s">
        <v>69</v>
      </c>
      <c r="M947" t="s">
        <v>69</v>
      </c>
      <c r="N947" t="s">
        <v>5874</v>
      </c>
      <c r="O947" t="s">
        <v>5875</v>
      </c>
      <c r="P947" t="s">
        <v>69</v>
      </c>
      <c r="Q947" t="s">
        <v>69</v>
      </c>
      <c r="R947" t="s">
        <v>8505</v>
      </c>
      <c r="S947" t="s">
        <v>8506</v>
      </c>
      <c r="T947" t="s">
        <v>69</v>
      </c>
      <c r="U947" t="s">
        <v>69</v>
      </c>
      <c r="V947" t="s">
        <v>69</v>
      </c>
      <c r="W947" t="s">
        <v>69</v>
      </c>
      <c r="X947" t="s">
        <v>69</v>
      </c>
      <c r="Y947" t="s">
        <v>32430</v>
      </c>
      <c r="Z947" t="s">
        <v>32431</v>
      </c>
      <c r="AA947" t="s">
        <v>5876</v>
      </c>
      <c r="AB947" t="s">
        <v>32432</v>
      </c>
      <c r="AC947" t="s">
        <v>69</v>
      </c>
      <c r="AD947" t="s">
        <v>32433</v>
      </c>
      <c r="AE947" t="s">
        <v>69</v>
      </c>
      <c r="AF947" t="s">
        <v>32434</v>
      </c>
      <c r="AG947" t="s">
        <v>32435</v>
      </c>
      <c r="AH947" t="s">
        <v>69</v>
      </c>
      <c r="AI947" t="s">
        <v>69</v>
      </c>
      <c r="AJ947" t="s">
        <v>69</v>
      </c>
      <c r="AK947" t="s">
        <v>69</v>
      </c>
      <c r="AL947">
        <v>14</v>
      </c>
      <c r="AM947">
        <v>41</v>
      </c>
      <c r="AN947">
        <v>42</v>
      </c>
      <c r="AO947">
        <v>0</v>
      </c>
      <c r="AP947">
        <v>15</v>
      </c>
      <c r="AQ947" t="s">
        <v>8846</v>
      </c>
      <c r="AR947" t="s">
        <v>8847</v>
      </c>
      <c r="AS947" t="s">
        <v>8848</v>
      </c>
      <c r="AT947" t="s">
        <v>5877</v>
      </c>
      <c r="AU947" t="s">
        <v>5878</v>
      </c>
      <c r="AV947" t="s">
        <v>69</v>
      </c>
      <c r="AW947" t="s">
        <v>12794</v>
      </c>
      <c r="AX947" t="s">
        <v>12795</v>
      </c>
      <c r="AY947" t="s">
        <v>201</v>
      </c>
      <c r="AZ947">
        <v>1996</v>
      </c>
      <c r="BA947">
        <v>15</v>
      </c>
      <c r="BB947">
        <v>8</v>
      </c>
      <c r="BC947" t="s">
        <v>69</v>
      </c>
      <c r="BD947" t="s">
        <v>69</v>
      </c>
      <c r="BE947" t="s">
        <v>69</v>
      </c>
      <c r="BF947" t="s">
        <v>69</v>
      </c>
      <c r="BG947">
        <v>1335</v>
      </c>
      <c r="BH947">
        <v>1343</v>
      </c>
      <c r="BI947" t="s">
        <v>69</v>
      </c>
      <c r="BJ947" t="s">
        <v>5879</v>
      </c>
      <c r="BK947" t="str">
        <f>HYPERLINK("http://dx.doi.org/10.1002/etc.5620150812","http://dx.doi.org/10.1002/etc.5620150812")</f>
        <v>http://dx.doi.org/10.1002/etc.5620150812</v>
      </c>
      <c r="BL947" t="s">
        <v>69</v>
      </c>
      <c r="BM947" t="s">
        <v>69</v>
      </c>
      <c r="BN947">
        <v>9</v>
      </c>
      <c r="BO947" t="s">
        <v>12797</v>
      </c>
      <c r="BP947" t="s">
        <v>8548</v>
      </c>
      <c r="BQ947" t="s">
        <v>12798</v>
      </c>
      <c r="BR947" t="s">
        <v>32436</v>
      </c>
      <c r="BS947" t="s">
        <v>5880</v>
      </c>
      <c r="BT947" t="s">
        <v>69</v>
      </c>
      <c r="BU947" t="s">
        <v>69</v>
      </c>
      <c r="BV947" t="s">
        <v>69</v>
      </c>
      <c r="BW947" t="s">
        <v>69</v>
      </c>
      <c r="BX947" t="s">
        <v>8526</v>
      </c>
      <c r="BY947" t="str">
        <f>HYPERLINK("https%3A%2F%2Fwww.webofscience.com%2Fwos%2Fwoscc%2Ffull-record%2FWOS:A1996VF37100012","View Full Record in Web of Science")</f>
        <v>View Full Record in Web of Science</v>
      </c>
    </row>
    <row r="948" spans="1:77" ht="12.5" x14ac:dyDescent="0.25">
      <c r="A948" t="s">
        <v>8495</v>
      </c>
      <c r="B948" s="22" t="s">
        <v>32931</v>
      </c>
      <c r="C948" s="7"/>
      <c r="D948" s="7"/>
      <c r="E948" s="7"/>
      <c r="F948" t="s">
        <v>67</v>
      </c>
      <c r="G948" t="s">
        <v>28981</v>
      </c>
      <c r="H948" t="s">
        <v>69</v>
      </c>
      <c r="I948" t="s">
        <v>69</v>
      </c>
      <c r="J948" t="s">
        <v>69</v>
      </c>
      <c r="K948" t="s">
        <v>28982</v>
      </c>
      <c r="L948" t="s">
        <v>69</v>
      </c>
      <c r="M948" t="s">
        <v>69</v>
      </c>
      <c r="N948" t="s">
        <v>28983</v>
      </c>
      <c r="O948" t="s">
        <v>28984</v>
      </c>
      <c r="P948" t="s">
        <v>69</v>
      </c>
      <c r="Q948" t="s">
        <v>69</v>
      </c>
      <c r="R948" t="s">
        <v>12534</v>
      </c>
      <c r="S948" t="s">
        <v>8506</v>
      </c>
      <c r="T948" t="s">
        <v>69</v>
      </c>
      <c r="U948" t="s">
        <v>69</v>
      </c>
      <c r="V948" t="s">
        <v>69</v>
      </c>
      <c r="W948" t="s">
        <v>69</v>
      </c>
      <c r="X948" t="s">
        <v>69</v>
      </c>
      <c r="Y948" t="s">
        <v>69</v>
      </c>
      <c r="Z948" t="s">
        <v>28985</v>
      </c>
      <c r="AA948" t="s">
        <v>28986</v>
      </c>
      <c r="AB948" t="s">
        <v>28987</v>
      </c>
      <c r="AC948" t="s">
        <v>69</v>
      </c>
      <c r="AD948" t="s">
        <v>28988</v>
      </c>
      <c r="AE948" t="s">
        <v>28989</v>
      </c>
      <c r="AF948" t="s">
        <v>69</v>
      </c>
      <c r="AG948" t="s">
        <v>69</v>
      </c>
      <c r="AH948" t="s">
        <v>69</v>
      </c>
      <c r="AI948" t="s">
        <v>69</v>
      </c>
      <c r="AJ948" t="s">
        <v>69</v>
      </c>
      <c r="AK948" t="s">
        <v>69</v>
      </c>
      <c r="AL948">
        <v>73</v>
      </c>
      <c r="AM948">
        <v>5</v>
      </c>
      <c r="AN948">
        <v>5</v>
      </c>
      <c r="AO948">
        <v>0</v>
      </c>
      <c r="AP948">
        <v>8</v>
      </c>
      <c r="AQ948" t="s">
        <v>28589</v>
      </c>
      <c r="AR948" t="s">
        <v>28287</v>
      </c>
      <c r="AS948" t="s">
        <v>28590</v>
      </c>
      <c r="AT948" t="s">
        <v>28990</v>
      </c>
      <c r="AU948" t="s">
        <v>69</v>
      </c>
      <c r="AV948" t="s">
        <v>69</v>
      </c>
      <c r="AW948" t="s">
        <v>28991</v>
      </c>
      <c r="AX948" t="s">
        <v>28992</v>
      </c>
      <c r="AY948" t="s">
        <v>69</v>
      </c>
      <c r="AZ948">
        <v>2009</v>
      </c>
      <c r="BA948" t="s">
        <v>69</v>
      </c>
      <c r="BB948" t="s">
        <v>69</v>
      </c>
      <c r="BC948" t="s">
        <v>69</v>
      </c>
      <c r="BD948" t="s">
        <v>69</v>
      </c>
      <c r="BE948" t="s">
        <v>69</v>
      </c>
      <c r="BF948" t="s">
        <v>69</v>
      </c>
      <c r="BG948">
        <v>251</v>
      </c>
      <c r="BH948" t="s">
        <v>219</v>
      </c>
      <c r="BI948" t="s">
        <v>69</v>
      </c>
      <c r="BJ948" t="s">
        <v>28993</v>
      </c>
      <c r="BK948" t="str">
        <f>HYPERLINK("http://dx.doi.org/10.1007/978-3-531-91728-3_11","http://dx.doi.org/10.1007/978-3-531-91728-3_11")</f>
        <v>http://dx.doi.org/10.1007/978-3-531-91728-3_11</v>
      </c>
      <c r="BL948" t="s">
        <v>69</v>
      </c>
      <c r="BM948" t="s">
        <v>69</v>
      </c>
      <c r="BN948">
        <v>20</v>
      </c>
      <c r="BO948" t="s">
        <v>13241</v>
      </c>
      <c r="BP948" t="s">
        <v>8661</v>
      </c>
      <c r="BQ948" t="s">
        <v>10084</v>
      </c>
      <c r="BR948" t="s">
        <v>28994</v>
      </c>
      <c r="BS948" t="s">
        <v>28995</v>
      </c>
      <c r="BT948" t="s">
        <v>69</v>
      </c>
      <c r="BU948" t="s">
        <v>69</v>
      </c>
      <c r="BV948" t="s">
        <v>69</v>
      </c>
      <c r="BW948" t="s">
        <v>69</v>
      </c>
      <c r="BX948" t="s">
        <v>8526</v>
      </c>
      <c r="BY948" t="str">
        <f>HYPERLINK("https%3A%2F%2Fwww.webofscience.com%2Fwos%2Fwoscc%2Ffull-record%2FWOS:000268582900011","View Full Record in Web of Science")</f>
        <v>View Full Record in Web of Science</v>
      </c>
    </row>
    <row r="949" spans="1:77" ht="12.5" x14ac:dyDescent="0.25">
      <c r="A949" t="s">
        <v>8495</v>
      </c>
      <c r="B949" s="7" t="s">
        <v>32933</v>
      </c>
      <c r="C949" s="7"/>
      <c r="D949" s="7"/>
      <c r="E949" s="7"/>
      <c r="F949" t="s">
        <v>67</v>
      </c>
      <c r="G949" t="s">
        <v>8045</v>
      </c>
      <c r="H949" t="s">
        <v>69</v>
      </c>
      <c r="I949" t="s">
        <v>69</v>
      </c>
      <c r="J949" t="s">
        <v>69</v>
      </c>
      <c r="K949" t="s">
        <v>8046</v>
      </c>
      <c r="L949" t="s">
        <v>69</v>
      </c>
      <c r="M949" t="s">
        <v>69</v>
      </c>
      <c r="N949" t="s">
        <v>8047</v>
      </c>
      <c r="O949" t="s">
        <v>8048</v>
      </c>
      <c r="P949" t="s">
        <v>69</v>
      </c>
      <c r="Q949" t="s">
        <v>69</v>
      </c>
      <c r="R949" t="s">
        <v>8505</v>
      </c>
      <c r="S949" t="s">
        <v>8506</v>
      </c>
      <c r="T949" t="s">
        <v>69</v>
      </c>
      <c r="U949" t="s">
        <v>69</v>
      </c>
      <c r="V949" t="s">
        <v>69</v>
      </c>
      <c r="W949" t="s">
        <v>69</v>
      </c>
      <c r="X949" t="s">
        <v>69</v>
      </c>
      <c r="Y949" t="s">
        <v>29962</v>
      </c>
      <c r="Z949" t="s">
        <v>69</v>
      </c>
      <c r="AA949" t="s">
        <v>8049</v>
      </c>
      <c r="AB949" t="s">
        <v>27189</v>
      </c>
      <c r="AC949" t="s">
        <v>69</v>
      </c>
      <c r="AD949" t="s">
        <v>29963</v>
      </c>
      <c r="AE949" t="s">
        <v>29964</v>
      </c>
      <c r="AF949" t="s">
        <v>69</v>
      </c>
      <c r="AG949" t="s">
        <v>69</v>
      </c>
      <c r="AH949" t="s">
        <v>69</v>
      </c>
      <c r="AI949" t="s">
        <v>69</v>
      </c>
      <c r="AJ949" t="s">
        <v>69</v>
      </c>
      <c r="AK949" t="s">
        <v>69</v>
      </c>
      <c r="AL949">
        <v>12</v>
      </c>
      <c r="AM949">
        <v>15</v>
      </c>
      <c r="AN949">
        <v>15</v>
      </c>
      <c r="AO949">
        <v>3</v>
      </c>
      <c r="AP949">
        <v>55</v>
      </c>
      <c r="AQ949" t="s">
        <v>16220</v>
      </c>
      <c r="AR949" t="s">
        <v>16221</v>
      </c>
      <c r="AS949" t="s">
        <v>16222</v>
      </c>
      <c r="AT949" t="s">
        <v>8050</v>
      </c>
      <c r="AU949" t="s">
        <v>69</v>
      </c>
      <c r="AV949" t="s">
        <v>69</v>
      </c>
      <c r="AW949" t="s">
        <v>29965</v>
      </c>
      <c r="AX949" t="s">
        <v>29966</v>
      </c>
      <c r="AY949" t="s">
        <v>69</v>
      </c>
      <c r="AZ949">
        <v>2007</v>
      </c>
      <c r="BA949">
        <v>7</v>
      </c>
      <c r="BB949">
        <v>4</v>
      </c>
      <c r="BC949" t="s">
        <v>69</v>
      </c>
      <c r="BD949" t="s">
        <v>69</v>
      </c>
      <c r="BE949" t="s">
        <v>69</v>
      </c>
      <c r="BF949" t="s">
        <v>69</v>
      </c>
      <c r="BG949">
        <v>275</v>
      </c>
      <c r="BH949">
        <v>284</v>
      </c>
      <c r="BI949" t="s">
        <v>69</v>
      </c>
      <c r="BJ949" t="s">
        <v>8051</v>
      </c>
      <c r="BK949" t="str">
        <f>HYPERLINK("http://dx.doi.org/10.3846/16111699.2007.9636180","http://dx.doi.org/10.3846/16111699.2007.9636180")</f>
        <v>http://dx.doi.org/10.3846/16111699.2007.9636180</v>
      </c>
      <c r="BL949" t="s">
        <v>69</v>
      </c>
      <c r="BM949" t="s">
        <v>69</v>
      </c>
      <c r="BN949">
        <v>10</v>
      </c>
      <c r="BO949" t="s">
        <v>26730</v>
      </c>
      <c r="BP949" t="s">
        <v>8661</v>
      </c>
      <c r="BQ949" t="s">
        <v>8594</v>
      </c>
      <c r="BR949" t="s">
        <v>29967</v>
      </c>
      <c r="BS949" t="s">
        <v>8052</v>
      </c>
      <c r="BT949" t="s">
        <v>69</v>
      </c>
      <c r="BU949" t="s">
        <v>8622</v>
      </c>
      <c r="BV949" t="s">
        <v>69</v>
      </c>
      <c r="BW949" t="s">
        <v>69</v>
      </c>
      <c r="BX949" t="s">
        <v>8526</v>
      </c>
      <c r="BY949" t="str">
        <f>HYPERLINK("https%3A%2F%2Fwww.webofscience.com%2Fwos%2Fwoscc%2Ffull-record%2FWOS:000257537300006","View Full Record in Web of Science")</f>
        <v>View Full Record in Web of Science</v>
      </c>
    </row>
    <row r="950" spans="1:77" ht="12.5" x14ac:dyDescent="0.25">
      <c r="A950" t="s">
        <v>8495</v>
      </c>
      <c r="B950" s="22" t="s">
        <v>32931</v>
      </c>
      <c r="C950" s="7"/>
      <c r="D950" s="7"/>
      <c r="E950" s="7"/>
      <c r="F950" t="s">
        <v>67</v>
      </c>
      <c r="G950" t="s">
        <v>17102</v>
      </c>
      <c r="H950" t="s">
        <v>69</v>
      </c>
      <c r="I950" t="s">
        <v>69</v>
      </c>
      <c r="J950" t="s">
        <v>69</v>
      </c>
      <c r="K950" t="s">
        <v>17103</v>
      </c>
      <c r="L950" t="s">
        <v>69</v>
      </c>
      <c r="M950" t="s">
        <v>69</v>
      </c>
      <c r="N950" t="s">
        <v>17104</v>
      </c>
      <c r="O950" t="s">
        <v>4880</v>
      </c>
      <c r="P950" t="s">
        <v>69</v>
      </c>
      <c r="Q950" t="s">
        <v>69</v>
      </c>
      <c r="R950" t="s">
        <v>8505</v>
      </c>
      <c r="S950" t="s">
        <v>8506</v>
      </c>
      <c r="T950" t="s">
        <v>69</v>
      </c>
      <c r="U950" t="s">
        <v>69</v>
      </c>
      <c r="V950" t="s">
        <v>69</v>
      </c>
      <c r="W950" t="s">
        <v>69</v>
      </c>
      <c r="X950" t="s">
        <v>69</v>
      </c>
      <c r="Y950" t="s">
        <v>17105</v>
      </c>
      <c r="Z950" t="s">
        <v>17106</v>
      </c>
      <c r="AA950" t="s">
        <v>17107</v>
      </c>
      <c r="AB950" t="s">
        <v>17108</v>
      </c>
      <c r="AC950" t="s">
        <v>69</v>
      </c>
      <c r="AD950" t="s">
        <v>17109</v>
      </c>
      <c r="AE950" t="s">
        <v>17110</v>
      </c>
      <c r="AF950" t="s">
        <v>17111</v>
      </c>
      <c r="AG950" t="s">
        <v>17112</v>
      </c>
      <c r="AH950" t="s">
        <v>69</v>
      </c>
      <c r="AI950" t="s">
        <v>69</v>
      </c>
      <c r="AJ950" t="s">
        <v>69</v>
      </c>
      <c r="AK950" t="s">
        <v>69</v>
      </c>
      <c r="AL950">
        <v>51</v>
      </c>
      <c r="AM950">
        <v>3</v>
      </c>
      <c r="AN950">
        <v>5</v>
      </c>
      <c r="AO950">
        <v>2</v>
      </c>
      <c r="AP950">
        <v>10</v>
      </c>
      <c r="AQ950" t="s">
        <v>8846</v>
      </c>
      <c r="AR950" t="s">
        <v>8847</v>
      </c>
      <c r="AS950" t="s">
        <v>8848</v>
      </c>
      <c r="AT950" t="s">
        <v>4882</v>
      </c>
      <c r="AU950" t="s">
        <v>4883</v>
      </c>
      <c r="AV950" t="s">
        <v>69</v>
      </c>
      <c r="AW950" t="s">
        <v>15931</v>
      </c>
      <c r="AX950" t="s">
        <v>15932</v>
      </c>
      <c r="AY950" t="s">
        <v>84</v>
      </c>
      <c r="AZ950">
        <v>2019</v>
      </c>
      <c r="BA950">
        <v>23</v>
      </c>
      <c r="BB950">
        <v>2</v>
      </c>
      <c r="BC950" t="s">
        <v>69</v>
      </c>
      <c r="BD950" t="s">
        <v>69</v>
      </c>
      <c r="BE950" t="s">
        <v>69</v>
      </c>
      <c r="BF950" t="s">
        <v>69</v>
      </c>
      <c r="BG950">
        <v>292</v>
      </c>
      <c r="BH950">
        <v>307</v>
      </c>
      <c r="BI950" t="s">
        <v>69</v>
      </c>
      <c r="BJ950" t="s">
        <v>17113</v>
      </c>
      <c r="BK950" t="str">
        <f>HYPERLINK("http://dx.doi.org/10.1111/ijau.12162","http://dx.doi.org/10.1111/ijau.12162")</f>
        <v>http://dx.doi.org/10.1111/ijau.12162</v>
      </c>
      <c r="BL950" t="s">
        <v>69</v>
      </c>
      <c r="BM950" t="s">
        <v>69</v>
      </c>
      <c r="BN950">
        <v>16</v>
      </c>
      <c r="BO950" t="s">
        <v>9749</v>
      </c>
      <c r="BP950" t="s">
        <v>8661</v>
      </c>
      <c r="BQ950" t="s">
        <v>8594</v>
      </c>
      <c r="BR950" t="s">
        <v>17114</v>
      </c>
      <c r="BS950" t="s">
        <v>17115</v>
      </c>
      <c r="BT950" t="s">
        <v>69</v>
      </c>
      <c r="BU950" t="s">
        <v>9292</v>
      </c>
      <c r="BV950" t="s">
        <v>69</v>
      </c>
      <c r="BW950" t="s">
        <v>69</v>
      </c>
      <c r="BX950" t="s">
        <v>8526</v>
      </c>
      <c r="BY950" t="str">
        <f>HYPERLINK("https%3A%2F%2Fwww.webofscience.com%2Fwos%2Fwoscc%2Ffull-record%2FWOS:000476551300009","View Full Record in Web of Science")</f>
        <v>View Full Record in Web of Science</v>
      </c>
    </row>
    <row r="951" spans="1:77" ht="12.5" x14ac:dyDescent="0.25">
      <c r="A951" t="s">
        <v>8495</v>
      </c>
      <c r="B951" s="7" t="s">
        <v>32933</v>
      </c>
      <c r="C951" s="7"/>
      <c r="D951" s="7"/>
      <c r="E951" s="7"/>
      <c r="F951" t="s">
        <v>67</v>
      </c>
      <c r="G951" t="s">
        <v>7990</v>
      </c>
      <c r="H951" t="s">
        <v>69</v>
      </c>
      <c r="I951" t="s">
        <v>69</v>
      </c>
      <c r="J951" t="s">
        <v>69</v>
      </c>
      <c r="K951" t="s">
        <v>7991</v>
      </c>
      <c r="L951" t="s">
        <v>69</v>
      </c>
      <c r="M951" t="s">
        <v>69</v>
      </c>
      <c r="N951" t="s">
        <v>7992</v>
      </c>
      <c r="O951" t="s">
        <v>3088</v>
      </c>
      <c r="P951" t="s">
        <v>69</v>
      </c>
      <c r="Q951" t="s">
        <v>69</v>
      </c>
      <c r="R951" t="s">
        <v>8505</v>
      </c>
      <c r="S951" t="s">
        <v>8506</v>
      </c>
      <c r="T951" t="s">
        <v>69</v>
      </c>
      <c r="U951" t="s">
        <v>69</v>
      </c>
      <c r="V951" t="s">
        <v>69</v>
      </c>
      <c r="W951" t="s">
        <v>69</v>
      </c>
      <c r="X951" t="s">
        <v>69</v>
      </c>
      <c r="Y951" t="s">
        <v>29958</v>
      </c>
      <c r="Z951" t="s">
        <v>69</v>
      </c>
      <c r="AA951" t="s">
        <v>7993</v>
      </c>
      <c r="AB951" t="s">
        <v>29959</v>
      </c>
      <c r="AC951" t="s">
        <v>69</v>
      </c>
      <c r="AD951" t="s">
        <v>29960</v>
      </c>
      <c r="AE951" t="s">
        <v>69</v>
      </c>
      <c r="AF951" t="s">
        <v>69</v>
      </c>
      <c r="AG951" t="s">
        <v>69</v>
      </c>
      <c r="AH951" t="s">
        <v>69</v>
      </c>
      <c r="AI951" t="s">
        <v>69</v>
      </c>
      <c r="AJ951" t="s">
        <v>69</v>
      </c>
      <c r="AK951" t="s">
        <v>69</v>
      </c>
      <c r="AL951">
        <v>23</v>
      </c>
      <c r="AM951">
        <v>1</v>
      </c>
      <c r="AN951">
        <v>1</v>
      </c>
      <c r="AO951">
        <v>0</v>
      </c>
      <c r="AP951">
        <v>15</v>
      </c>
      <c r="AQ951" t="s">
        <v>22996</v>
      </c>
      <c r="AR951" t="s">
        <v>22997</v>
      </c>
      <c r="AS951" t="s">
        <v>22998</v>
      </c>
      <c r="AT951" t="s">
        <v>3090</v>
      </c>
      <c r="AU951" t="s">
        <v>69</v>
      </c>
      <c r="AV951" t="s">
        <v>69</v>
      </c>
      <c r="AW951" t="s">
        <v>22999</v>
      </c>
      <c r="AX951" t="s">
        <v>23000</v>
      </c>
      <c r="AY951" t="s">
        <v>69</v>
      </c>
      <c r="AZ951">
        <v>2007</v>
      </c>
      <c r="BA951" t="s">
        <v>69</v>
      </c>
      <c r="BB951">
        <v>5</v>
      </c>
      <c r="BC951" t="s">
        <v>69</v>
      </c>
      <c r="BD951" t="s">
        <v>69</v>
      </c>
      <c r="BE951" t="s">
        <v>69</v>
      </c>
      <c r="BF951" t="s">
        <v>69</v>
      </c>
      <c r="BG951">
        <v>37</v>
      </c>
      <c r="BH951">
        <v>43</v>
      </c>
      <c r="BI951" t="s">
        <v>69</v>
      </c>
      <c r="BJ951" t="s">
        <v>69</v>
      </c>
      <c r="BK951" t="s">
        <v>69</v>
      </c>
      <c r="BL951" t="s">
        <v>69</v>
      </c>
      <c r="BM951" t="s">
        <v>69</v>
      </c>
      <c r="BN951">
        <v>7</v>
      </c>
      <c r="BO951" t="s">
        <v>9726</v>
      </c>
      <c r="BP951" t="s">
        <v>8661</v>
      </c>
      <c r="BQ951" t="s">
        <v>8594</v>
      </c>
      <c r="BR951" t="s">
        <v>29961</v>
      </c>
      <c r="BS951" t="s">
        <v>7994</v>
      </c>
      <c r="BT951" t="s">
        <v>69</v>
      </c>
      <c r="BU951" t="s">
        <v>69</v>
      </c>
      <c r="BV951" t="s">
        <v>69</v>
      </c>
      <c r="BW951" t="s">
        <v>69</v>
      </c>
      <c r="BX951" t="s">
        <v>8526</v>
      </c>
      <c r="BY951" t="str">
        <f>HYPERLINK("https%3A%2F%2Fwww.webofscience.com%2Fwos%2Fwoscc%2Ffull-record%2FWOS:000207550500006","View Full Record in Web of Science")</f>
        <v>View Full Record in Web of Science</v>
      </c>
    </row>
    <row r="952" spans="1:77" ht="12.5" x14ac:dyDescent="0.25">
      <c r="A952" t="s">
        <v>8495</v>
      </c>
      <c r="B952" s="22" t="s">
        <v>32931</v>
      </c>
      <c r="C952" s="7"/>
      <c r="D952" s="7"/>
      <c r="E952" s="7"/>
      <c r="F952" t="s">
        <v>67</v>
      </c>
      <c r="G952" t="s">
        <v>23923</v>
      </c>
      <c r="H952" t="s">
        <v>69</v>
      </c>
      <c r="I952" t="s">
        <v>69</v>
      </c>
      <c r="J952" t="s">
        <v>69</v>
      </c>
      <c r="K952" t="s">
        <v>23924</v>
      </c>
      <c r="L952" t="s">
        <v>69</v>
      </c>
      <c r="M952" t="s">
        <v>69</v>
      </c>
      <c r="N952" t="s">
        <v>23925</v>
      </c>
      <c r="O952" t="s">
        <v>23926</v>
      </c>
      <c r="P952" t="s">
        <v>69</v>
      </c>
      <c r="Q952" t="s">
        <v>69</v>
      </c>
      <c r="R952" t="s">
        <v>8505</v>
      </c>
      <c r="S952" t="s">
        <v>8506</v>
      </c>
      <c r="T952" t="s">
        <v>69</v>
      </c>
      <c r="U952" t="s">
        <v>69</v>
      </c>
      <c r="V952" t="s">
        <v>69</v>
      </c>
      <c r="W952" t="s">
        <v>69</v>
      </c>
      <c r="X952" t="s">
        <v>69</v>
      </c>
      <c r="Y952" t="s">
        <v>23927</v>
      </c>
      <c r="Z952" t="s">
        <v>23928</v>
      </c>
      <c r="AA952" t="s">
        <v>23929</v>
      </c>
      <c r="AB952" t="s">
        <v>23930</v>
      </c>
      <c r="AC952" t="s">
        <v>69</v>
      </c>
      <c r="AD952" t="s">
        <v>23931</v>
      </c>
      <c r="AE952" t="s">
        <v>69</v>
      </c>
      <c r="AF952" t="s">
        <v>69</v>
      </c>
      <c r="AG952" t="s">
        <v>69</v>
      </c>
      <c r="AH952" t="s">
        <v>23932</v>
      </c>
      <c r="AI952" t="s">
        <v>23932</v>
      </c>
      <c r="AJ952" t="s">
        <v>23933</v>
      </c>
      <c r="AK952" t="s">
        <v>69</v>
      </c>
      <c r="AL952">
        <v>45</v>
      </c>
      <c r="AM952">
        <v>10</v>
      </c>
      <c r="AN952">
        <v>11</v>
      </c>
      <c r="AO952">
        <v>0</v>
      </c>
      <c r="AP952">
        <v>1</v>
      </c>
      <c r="AQ952" t="s">
        <v>22887</v>
      </c>
      <c r="AR952" t="s">
        <v>22888</v>
      </c>
      <c r="AS952" t="s">
        <v>22889</v>
      </c>
      <c r="AT952" t="s">
        <v>23934</v>
      </c>
      <c r="AU952" t="s">
        <v>23935</v>
      </c>
      <c r="AV952" t="s">
        <v>69</v>
      </c>
      <c r="AW952" t="s">
        <v>23936</v>
      </c>
      <c r="AX952" t="s">
        <v>23937</v>
      </c>
      <c r="AY952" t="s">
        <v>4092</v>
      </c>
      <c r="AZ952">
        <v>2014</v>
      </c>
      <c r="BA952">
        <v>28</v>
      </c>
      <c r="BB952">
        <v>1</v>
      </c>
      <c r="BC952" t="s">
        <v>69</v>
      </c>
      <c r="BD952" t="s">
        <v>69</v>
      </c>
      <c r="BE952" t="s">
        <v>69</v>
      </c>
      <c r="BF952" t="s">
        <v>69</v>
      </c>
      <c r="BG952">
        <v>75</v>
      </c>
      <c r="BH952">
        <v>109</v>
      </c>
      <c r="BI952" t="s">
        <v>69</v>
      </c>
      <c r="BJ952" t="s">
        <v>23938</v>
      </c>
      <c r="BK952" t="str">
        <f>HYPERLINK("http://dx.doi.org/10.2308/isys-50694","http://dx.doi.org/10.2308/isys-50694")</f>
        <v>http://dx.doi.org/10.2308/isys-50694</v>
      </c>
      <c r="BL952" t="s">
        <v>69</v>
      </c>
      <c r="BM952" t="s">
        <v>69</v>
      </c>
      <c r="BN952">
        <v>35</v>
      </c>
      <c r="BO952" t="s">
        <v>9749</v>
      </c>
      <c r="BP952" t="s">
        <v>8573</v>
      </c>
      <c r="BQ952" t="s">
        <v>8594</v>
      </c>
      <c r="BR952" t="s">
        <v>23939</v>
      </c>
      <c r="BS952" t="s">
        <v>23940</v>
      </c>
      <c r="BT952" t="s">
        <v>69</v>
      </c>
      <c r="BU952" t="s">
        <v>69</v>
      </c>
      <c r="BV952" t="s">
        <v>69</v>
      </c>
      <c r="BW952" t="s">
        <v>69</v>
      </c>
      <c r="BX952" t="s">
        <v>8526</v>
      </c>
      <c r="BY952" t="str">
        <f>HYPERLINK("https%3A%2F%2Fwww.webofscience.com%2Fwos%2Fwoscc%2Ffull-record%2FWOS:000213752500004","View Full Record in Web of Science")</f>
        <v>View Full Record in Web of Science</v>
      </c>
    </row>
    <row r="953" spans="1:77" x14ac:dyDescent="0.3">
      <c r="A953" t="s">
        <v>8495</v>
      </c>
      <c r="B953" s="12" t="s">
        <v>33000</v>
      </c>
      <c r="F953" t="s">
        <v>67</v>
      </c>
      <c r="G953" t="s">
        <v>4404</v>
      </c>
      <c r="H953" t="s">
        <v>69</v>
      </c>
      <c r="I953" t="s">
        <v>69</v>
      </c>
      <c r="J953" t="s">
        <v>69</v>
      </c>
      <c r="K953" s="3" t="s">
        <v>4405</v>
      </c>
      <c r="L953" t="s">
        <v>69</v>
      </c>
      <c r="M953" t="s">
        <v>69</v>
      </c>
      <c r="N953" s="2" t="s">
        <v>4406</v>
      </c>
      <c r="O953" t="s">
        <v>4407</v>
      </c>
      <c r="P953" t="s">
        <v>69</v>
      </c>
      <c r="Q953" t="s">
        <v>69</v>
      </c>
      <c r="R953" t="s">
        <v>8505</v>
      </c>
      <c r="S953" t="s">
        <v>8506</v>
      </c>
      <c r="T953" t="s">
        <v>69</v>
      </c>
      <c r="U953" t="s">
        <v>69</v>
      </c>
      <c r="V953" t="s">
        <v>69</v>
      </c>
      <c r="W953" t="s">
        <v>69</v>
      </c>
      <c r="X953" t="s">
        <v>69</v>
      </c>
      <c r="Y953" t="s">
        <v>23056</v>
      </c>
      <c r="Z953" t="s">
        <v>23057</v>
      </c>
      <c r="AA953" t="s">
        <v>4408</v>
      </c>
      <c r="AB953" t="s">
        <v>23058</v>
      </c>
      <c r="AC953" t="s">
        <v>69</v>
      </c>
      <c r="AD953" t="s">
        <v>23059</v>
      </c>
      <c r="AE953" t="s">
        <v>18225</v>
      </c>
      <c r="AF953" t="s">
        <v>4409</v>
      </c>
      <c r="AG953" t="s">
        <v>4410</v>
      </c>
      <c r="AH953" t="s">
        <v>69</v>
      </c>
      <c r="AI953" t="s">
        <v>69</v>
      </c>
      <c r="AJ953" t="s">
        <v>69</v>
      </c>
      <c r="AK953" t="s">
        <v>69</v>
      </c>
      <c r="AL953">
        <v>113</v>
      </c>
      <c r="AM953">
        <v>27</v>
      </c>
      <c r="AN953">
        <v>30</v>
      </c>
      <c r="AO953">
        <v>6</v>
      </c>
      <c r="AP953">
        <v>36</v>
      </c>
      <c r="AQ953" t="s">
        <v>8586</v>
      </c>
      <c r="AR953" t="s">
        <v>8587</v>
      </c>
      <c r="AS953" t="s">
        <v>8588</v>
      </c>
      <c r="AT953" t="s">
        <v>4411</v>
      </c>
      <c r="AU953" t="s">
        <v>4412</v>
      </c>
      <c r="AV953" t="s">
        <v>69</v>
      </c>
      <c r="AW953" t="s">
        <v>23060</v>
      </c>
      <c r="AX953" t="s">
        <v>23061</v>
      </c>
      <c r="AY953" t="s">
        <v>69</v>
      </c>
      <c r="AZ953">
        <v>2015</v>
      </c>
      <c r="BA953">
        <v>30</v>
      </c>
      <c r="BB953">
        <v>1</v>
      </c>
      <c r="BC953" t="s">
        <v>69</v>
      </c>
      <c r="BD953" t="s">
        <v>69</v>
      </c>
      <c r="BE953" t="s">
        <v>69</v>
      </c>
      <c r="BF953" t="s">
        <v>69</v>
      </c>
      <c r="BG953">
        <v>80</v>
      </c>
      <c r="BH953">
        <v>111</v>
      </c>
      <c r="BI953" t="s">
        <v>69</v>
      </c>
      <c r="BJ953" t="s">
        <v>4413</v>
      </c>
      <c r="BK953" t="str">
        <f>HYPERLINK("http://dx.doi.org/10.1108/MAJ-08-2014-1075","http://dx.doi.org/10.1108/MAJ-08-2014-1075")</f>
        <v>http://dx.doi.org/10.1108/MAJ-08-2014-1075</v>
      </c>
      <c r="BL953" t="s">
        <v>69</v>
      </c>
      <c r="BM953" t="s">
        <v>69</v>
      </c>
      <c r="BN953">
        <v>32</v>
      </c>
      <c r="BO953" t="s">
        <v>23062</v>
      </c>
      <c r="BP953" t="s">
        <v>8661</v>
      </c>
      <c r="BQ953" t="s">
        <v>8594</v>
      </c>
      <c r="BR953" t="s">
        <v>23063</v>
      </c>
      <c r="BS953" t="s">
        <v>4414</v>
      </c>
      <c r="BT953" t="s">
        <v>69</v>
      </c>
      <c r="BU953" t="s">
        <v>69</v>
      </c>
      <c r="BV953" t="s">
        <v>69</v>
      </c>
      <c r="BW953" t="s">
        <v>69</v>
      </c>
      <c r="BX953" t="s">
        <v>8526</v>
      </c>
      <c r="BY953" t="str">
        <f>HYPERLINK("https%3A%2F%2Fwww.webofscience.com%2Fwos%2Fwoscc%2Ffull-record%2FWOS:000355702100005","View Full Record in Web of Science")</f>
        <v>View Full Record in Web of Science</v>
      </c>
    </row>
    <row r="954" spans="1:77" ht="12.5" x14ac:dyDescent="0.25">
      <c r="A954" t="s">
        <v>8495</v>
      </c>
      <c r="B954" s="7" t="s">
        <v>32933</v>
      </c>
      <c r="C954" s="7"/>
      <c r="D954" s="7"/>
      <c r="E954" s="7"/>
      <c r="F954" t="s">
        <v>67</v>
      </c>
      <c r="G954" t="s">
        <v>8004</v>
      </c>
      <c r="H954" t="s">
        <v>69</v>
      </c>
      <c r="I954" t="s">
        <v>69</v>
      </c>
      <c r="J954" t="s">
        <v>69</v>
      </c>
      <c r="K954" t="s">
        <v>8004</v>
      </c>
      <c r="L954" t="s">
        <v>69</v>
      </c>
      <c r="M954" t="s">
        <v>69</v>
      </c>
      <c r="N954" t="s">
        <v>8005</v>
      </c>
      <c r="O954" t="s">
        <v>2720</v>
      </c>
      <c r="P954" t="s">
        <v>69</v>
      </c>
      <c r="Q954" t="s">
        <v>69</v>
      </c>
      <c r="R954" t="s">
        <v>8505</v>
      </c>
      <c r="S954" t="s">
        <v>8506</v>
      </c>
      <c r="T954" t="s">
        <v>69</v>
      </c>
      <c r="U954" t="s">
        <v>69</v>
      </c>
      <c r="V954" t="s">
        <v>69</v>
      </c>
      <c r="W954" t="s">
        <v>69</v>
      </c>
      <c r="X954" t="s">
        <v>69</v>
      </c>
      <c r="Y954" t="s">
        <v>31290</v>
      </c>
      <c r="Z954" t="s">
        <v>69</v>
      </c>
      <c r="AA954" t="s">
        <v>8006</v>
      </c>
      <c r="AB954" t="s">
        <v>31291</v>
      </c>
      <c r="AC954" t="s">
        <v>69</v>
      </c>
      <c r="AD954" t="s">
        <v>31292</v>
      </c>
      <c r="AE954" t="s">
        <v>69</v>
      </c>
      <c r="AF954" t="s">
        <v>69</v>
      </c>
      <c r="AG954" t="s">
        <v>69</v>
      </c>
      <c r="AH954" t="s">
        <v>69</v>
      </c>
      <c r="AI954" t="s">
        <v>69</v>
      </c>
      <c r="AJ954" t="s">
        <v>69</v>
      </c>
      <c r="AK954" t="s">
        <v>69</v>
      </c>
      <c r="AL954">
        <v>39</v>
      </c>
      <c r="AM954">
        <v>33</v>
      </c>
      <c r="AN954">
        <v>33</v>
      </c>
      <c r="AO954">
        <v>4</v>
      </c>
      <c r="AP954">
        <v>24</v>
      </c>
      <c r="AQ954" t="s">
        <v>8586</v>
      </c>
      <c r="AR954" t="s">
        <v>31293</v>
      </c>
      <c r="AS954" t="s">
        <v>31294</v>
      </c>
      <c r="AT954" t="s">
        <v>2724</v>
      </c>
      <c r="AU954" t="s">
        <v>69</v>
      </c>
      <c r="AV954" t="s">
        <v>69</v>
      </c>
      <c r="AW954" t="s">
        <v>20625</v>
      </c>
      <c r="AX954" t="s">
        <v>20626</v>
      </c>
      <c r="AY954" t="s">
        <v>69</v>
      </c>
      <c r="AZ954">
        <v>2003</v>
      </c>
      <c r="BA954">
        <v>16</v>
      </c>
      <c r="BB954">
        <v>5</v>
      </c>
      <c r="BC954" t="s">
        <v>69</v>
      </c>
      <c r="BD954" t="s">
        <v>69</v>
      </c>
      <c r="BE954" t="s">
        <v>69</v>
      </c>
      <c r="BF954" t="s">
        <v>69</v>
      </c>
      <c r="BG954">
        <v>480</v>
      </c>
      <c r="BH954">
        <v>496</v>
      </c>
      <c r="BI954" t="s">
        <v>69</v>
      </c>
      <c r="BJ954" t="s">
        <v>8007</v>
      </c>
      <c r="BK954" t="str">
        <f>HYPERLINK("http://dx.doi.org/10.1108/09534810310494892","http://dx.doi.org/10.1108/09534810310494892")</f>
        <v>http://dx.doi.org/10.1108/09534810310494892</v>
      </c>
      <c r="BL954" t="s">
        <v>69</v>
      </c>
      <c r="BM954" t="s">
        <v>69</v>
      </c>
      <c r="BN954">
        <v>17</v>
      </c>
      <c r="BO954" t="s">
        <v>9410</v>
      </c>
      <c r="BP954" t="s">
        <v>8661</v>
      </c>
      <c r="BQ954" t="s">
        <v>8594</v>
      </c>
      <c r="BR954" t="s">
        <v>31295</v>
      </c>
      <c r="BS954" t="s">
        <v>8008</v>
      </c>
      <c r="BT954" t="s">
        <v>69</v>
      </c>
      <c r="BU954" t="s">
        <v>10995</v>
      </c>
      <c r="BV954" t="s">
        <v>69</v>
      </c>
      <c r="BW954" t="s">
        <v>69</v>
      </c>
      <c r="BX954" t="s">
        <v>8526</v>
      </c>
      <c r="BY954" t="str">
        <f>HYPERLINK("https%3A%2F%2Fwww.webofscience.com%2Fwos%2Fwoscc%2Ffull-record%2FWOS:000186291600001","View Full Record in Web of Science")</f>
        <v>View Full Record in Web of Science</v>
      </c>
    </row>
    <row r="955" spans="1:77" ht="12.5" x14ac:dyDescent="0.25">
      <c r="A955" t="s">
        <v>8495</v>
      </c>
      <c r="B955" s="22" t="s">
        <v>32931</v>
      </c>
      <c r="C955" s="7"/>
      <c r="D955" s="7"/>
      <c r="E955" s="7"/>
      <c r="F955" t="s">
        <v>67</v>
      </c>
      <c r="G955" t="s">
        <v>22111</v>
      </c>
      <c r="H955" t="s">
        <v>69</v>
      </c>
      <c r="I955" t="s">
        <v>69</v>
      </c>
      <c r="J955" t="s">
        <v>69</v>
      </c>
      <c r="K955" t="s">
        <v>22112</v>
      </c>
      <c r="L955" t="s">
        <v>69</v>
      </c>
      <c r="M955" t="s">
        <v>69</v>
      </c>
      <c r="N955" t="s">
        <v>22113</v>
      </c>
      <c r="O955" t="s">
        <v>13858</v>
      </c>
      <c r="P955" t="s">
        <v>69</v>
      </c>
      <c r="Q955" t="s">
        <v>69</v>
      </c>
      <c r="R955" t="s">
        <v>8505</v>
      </c>
      <c r="S955" t="s">
        <v>8506</v>
      </c>
      <c r="T955" t="s">
        <v>69</v>
      </c>
      <c r="U955" t="s">
        <v>69</v>
      </c>
      <c r="V955" t="s">
        <v>69</v>
      </c>
      <c r="W955" t="s">
        <v>69</v>
      </c>
      <c r="X955" t="s">
        <v>69</v>
      </c>
      <c r="Y955" t="s">
        <v>22114</v>
      </c>
      <c r="Z955" t="s">
        <v>22115</v>
      </c>
      <c r="AA955" t="s">
        <v>22116</v>
      </c>
      <c r="AB955" t="s">
        <v>22117</v>
      </c>
      <c r="AC955" t="s">
        <v>69</v>
      </c>
      <c r="AD955" t="s">
        <v>22118</v>
      </c>
      <c r="AE955" t="s">
        <v>22119</v>
      </c>
      <c r="AF955" t="s">
        <v>69</v>
      </c>
      <c r="AG955" t="s">
        <v>69</v>
      </c>
      <c r="AH955" t="s">
        <v>69</v>
      </c>
      <c r="AI955" t="s">
        <v>69</v>
      </c>
      <c r="AJ955" t="s">
        <v>69</v>
      </c>
      <c r="AK955" t="s">
        <v>69</v>
      </c>
      <c r="AL955">
        <v>43</v>
      </c>
      <c r="AM955">
        <v>17</v>
      </c>
      <c r="AN955">
        <v>17</v>
      </c>
      <c r="AO955">
        <v>0</v>
      </c>
      <c r="AP955">
        <v>18</v>
      </c>
      <c r="AQ955" t="s">
        <v>8586</v>
      </c>
      <c r="AR955" t="s">
        <v>8587</v>
      </c>
      <c r="AS955" t="s">
        <v>8588</v>
      </c>
      <c r="AT955" t="s">
        <v>13869</v>
      </c>
      <c r="AU955" t="s">
        <v>13870</v>
      </c>
      <c r="AV955" t="s">
        <v>69</v>
      </c>
      <c r="AW955" t="s">
        <v>13871</v>
      </c>
      <c r="AX955" t="s">
        <v>13872</v>
      </c>
      <c r="AY955" t="s">
        <v>69</v>
      </c>
      <c r="AZ955">
        <v>2016</v>
      </c>
      <c r="BA955">
        <v>17</v>
      </c>
      <c r="BB955">
        <v>1</v>
      </c>
      <c r="BC955" t="s">
        <v>69</v>
      </c>
      <c r="BD955" t="s">
        <v>69</v>
      </c>
      <c r="BE955" t="s">
        <v>69</v>
      </c>
      <c r="BF955" t="s">
        <v>69</v>
      </c>
      <c r="BG955">
        <v>86</v>
      </c>
      <c r="BH955">
        <v>104</v>
      </c>
      <c r="BI955" t="s">
        <v>69</v>
      </c>
      <c r="BJ955" t="s">
        <v>22120</v>
      </c>
      <c r="BK955" t="str">
        <f>HYPERLINK("http://dx.doi.org/10.1108/IJSHE-07-2014-0105","http://dx.doi.org/10.1108/IJSHE-07-2014-0105")</f>
        <v>http://dx.doi.org/10.1108/IJSHE-07-2014-0105</v>
      </c>
      <c r="BL955" t="s">
        <v>69</v>
      </c>
      <c r="BM955" t="s">
        <v>69</v>
      </c>
      <c r="BN955">
        <v>19</v>
      </c>
      <c r="BO955" t="s">
        <v>13875</v>
      </c>
      <c r="BP955" t="s">
        <v>8661</v>
      </c>
      <c r="BQ955" t="s">
        <v>13876</v>
      </c>
      <c r="BR955" t="s">
        <v>22121</v>
      </c>
      <c r="BS955" t="s">
        <v>22122</v>
      </c>
      <c r="BT955" t="s">
        <v>69</v>
      </c>
      <c r="BU955" t="s">
        <v>69</v>
      </c>
      <c r="BV955" t="s">
        <v>69</v>
      </c>
      <c r="BW955" t="s">
        <v>69</v>
      </c>
      <c r="BX955" t="s">
        <v>8526</v>
      </c>
      <c r="BY955" t="str">
        <f>HYPERLINK("https%3A%2F%2Fwww.webofscience.com%2Fwos%2Fwoscc%2Ffull-record%2FWOS:000369999000006","View Full Record in Web of Science")</f>
        <v>View Full Record in Web of Science</v>
      </c>
    </row>
    <row r="956" spans="1:77" x14ac:dyDescent="0.3">
      <c r="A956" t="s">
        <v>8495</v>
      </c>
      <c r="B956" s="9" t="s">
        <v>32954</v>
      </c>
      <c r="C956" s="9" t="s">
        <v>33148</v>
      </c>
      <c r="D956" s="9" t="s">
        <v>8491</v>
      </c>
      <c r="E956" s="9" t="s">
        <v>8490</v>
      </c>
      <c r="F956" t="s">
        <v>67</v>
      </c>
      <c r="G956" t="s">
        <v>18853</v>
      </c>
      <c r="H956" t="s">
        <v>69</v>
      </c>
      <c r="I956" t="s">
        <v>69</v>
      </c>
      <c r="J956" t="s">
        <v>69</v>
      </c>
      <c r="K956" t="s">
        <v>18854</v>
      </c>
      <c r="L956" t="s">
        <v>69</v>
      </c>
      <c r="M956" t="s">
        <v>69</v>
      </c>
      <c r="N956" t="s">
        <v>18855</v>
      </c>
      <c r="O956" t="s">
        <v>18856</v>
      </c>
      <c r="P956" t="s">
        <v>69</v>
      </c>
      <c r="Q956" t="s">
        <v>69</v>
      </c>
      <c r="R956" t="s">
        <v>8505</v>
      </c>
      <c r="S956" t="s">
        <v>8506</v>
      </c>
      <c r="T956" t="s">
        <v>69</v>
      </c>
      <c r="U956" t="s">
        <v>69</v>
      </c>
      <c r="V956" t="s">
        <v>69</v>
      </c>
      <c r="W956" t="s">
        <v>69</v>
      </c>
      <c r="X956" t="s">
        <v>69</v>
      </c>
      <c r="Y956" t="s">
        <v>69</v>
      </c>
      <c r="Z956" t="s">
        <v>18857</v>
      </c>
      <c r="AA956" t="s">
        <v>18858</v>
      </c>
      <c r="AB956" t="s">
        <v>18859</v>
      </c>
      <c r="AC956" t="s">
        <v>69</v>
      </c>
      <c r="AD956" t="s">
        <v>18860</v>
      </c>
      <c r="AE956" t="s">
        <v>69</v>
      </c>
      <c r="AF956" t="s">
        <v>69</v>
      </c>
      <c r="AG956" t="s">
        <v>69</v>
      </c>
      <c r="AH956" t="s">
        <v>69</v>
      </c>
      <c r="AI956" t="s">
        <v>69</v>
      </c>
      <c r="AJ956" t="s">
        <v>69</v>
      </c>
      <c r="AK956" t="s">
        <v>69</v>
      </c>
      <c r="AL956">
        <v>159</v>
      </c>
      <c r="AM956">
        <v>7</v>
      </c>
      <c r="AN956">
        <v>7</v>
      </c>
      <c r="AO956">
        <v>1</v>
      </c>
      <c r="AP956">
        <v>5</v>
      </c>
      <c r="AQ956" t="s">
        <v>18861</v>
      </c>
      <c r="AR956" t="s">
        <v>18862</v>
      </c>
      <c r="AS956" t="s">
        <v>18863</v>
      </c>
      <c r="AT956" t="s">
        <v>18864</v>
      </c>
      <c r="AU956" t="s">
        <v>18865</v>
      </c>
      <c r="AV956" t="s">
        <v>69</v>
      </c>
      <c r="AW956" t="s">
        <v>18866</v>
      </c>
      <c r="AX956" t="s">
        <v>18867</v>
      </c>
      <c r="AY956" t="s">
        <v>586</v>
      </c>
      <c r="AZ956">
        <v>2018</v>
      </c>
      <c r="BA956">
        <v>127</v>
      </c>
      <c r="BB956">
        <v>7</v>
      </c>
      <c r="BC956" t="s">
        <v>69</v>
      </c>
      <c r="BD956" t="s">
        <v>69</v>
      </c>
      <c r="BE956" t="s">
        <v>69</v>
      </c>
      <c r="BF956" t="s">
        <v>69</v>
      </c>
      <c r="BG956">
        <v>1742</v>
      </c>
      <c r="BH956">
        <v>1826</v>
      </c>
      <c r="BI956" t="s">
        <v>69</v>
      </c>
      <c r="BJ956" t="s">
        <v>69</v>
      </c>
      <c r="BK956" t="s">
        <v>69</v>
      </c>
      <c r="BL956" t="s">
        <v>69</v>
      </c>
      <c r="BM956" t="s">
        <v>69</v>
      </c>
      <c r="BN956">
        <v>85</v>
      </c>
      <c r="BO956" t="s">
        <v>8452</v>
      </c>
      <c r="BP956" t="s">
        <v>8661</v>
      </c>
      <c r="BQ956" t="s">
        <v>10084</v>
      </c>
      <c r="BR956" t="s">
        <v>18868</v>
      </c>
      <c r="BS956" t="s">
        <v>18869</v>
      </c>
      <c r="BT956" t="s">
        <v>69</v>
      </c>
      <c r="BU956" t="s">
        <v>69</v>
      </c>
      <c r="BV956" t="s">
        <v>69</v>
      </c>
      <c r="BW956" t="s">
        <v>69</v>
      </c>
      <c r="BX956" t="s">
        <v>8526</v>
      </c>
      <c r="BY956" t="str">
        <f>HYPERLINK("https%3A%2F%2Fwww.webofscience.com%2Fwos%2Fwoscc%2Ffull-record%2FWOS:000438068500001","View Full Record in Web of Science")</f>
        <v>View Full Record in Web of Science</v>
      </c>
    </row>
    <row r="957" spans="1:77" ht="12.5" x14ac:dyDescent="0.25">
      <c r="A957" t="s">
        <v>8495</v>
      </c>
      <c r="B957" s="7" t="s">
        <v>32933</v>
      </c>
      <c r="C957" s="7"/>
      <c r="D957" s="7"/>
      <c r="E957" s="7"/>
      <c r="F957" t="s">
        <v>67</v>
      </c>
      <c r="G957" t="s">
        <v>5819</v>
      </c>
      <c r="H957" t="s">
        <v>69</v>
      </c>
      <c r="I957" t="s">
        <v>69</v>
      </c>
      <c r="J957" t="s">
        <v>69</v>
      </c>
      <c r="K957" t="s">
        <v>5820</v>
      </c>
      <c r="L957" t="s">
        <v>69</v>
      </c>
      <c r="M957" t="s">
        <v>69</v>
      </c>
      <c r="N957" t="s">
        <v>5821</v>
      </c>
      <c r="O957" t="s">
        <v>5822</v>
      </c>
      <c r="P957" t="s">
        <v>69</v>
      </c>
      <c r="Q957" t="s">
        <v>69</v>
      </c>
      <c r="R957" t="s">
        <v>8505</v>
      </c>
      <c r="S957" t="s">
        <v>8506</v>
      </c>
      <c r="T957" t="s">
        <v>69</v>
      </c>
      <c r="U957" t="s">
        <v>69</v>
      </c>
      <c r="V957" t="s">
        <v>69</v>
      </c>
      <c r="W957" t="s">
        <v>69</v>
      </c>
      <c r="X957" t="s">
        <v>69</v>
      </c>
      <c r="Y957" t="s">
        <v>14013</v>
      </c>
      <c r="Z957" t="s">
        <v>14014</v>
      </c>
      <c r="AA957" t="s">
        <v>5823</v>
      </c>
      <c r="AB957" t="s">
        <v>14015</v>
      </c>
      <c r="AC957" t="s">
        <v>69</v>
      </c>
      <c r="AD957" t="s">
        <v>14016</v>
      </c>
      <c r="AE957" t="s">
        <v>14017</v>
      </c>
      <c r="AF957" t="s">
        <v>69</v>
      </c>
      <c r="AG957" t="s">
        <v>14018</v>
      </c>
      <c r="AH957" t="s">
        <v>14019</v>
      </c>
      <c r="AI957" t="s">
        <v>14020</v>
      </c>
      <c r="AJ957" t="s">
        <v>14021</v>
      </c>
      <c r="AK957" t="s">
        <v>69</v>
      </c>
      <c r="AL957">
        <v>60</v>
      </c>
      <c r="AM957">
        <v>1</v>
      </c>
      <c r="AN957">
        <v>1</v>
      </c>
      <c r="AO957">
        <v>3</v>
      </c>
      <c r="AP957">
        <v>9</v>
      </c>
      <c r="AQ957" t="s">
        <v>8762</v>
      </c>
      <c r="AR957" t="s">
        <v>8763</v>
      </c>
      <c r="AS957" t="s">
        <v>8764</v>
      </c>
      <c r="AT957" t="s">
        <v>5824</v>
      </c>
      <c r="AU957" t="s">
        <v>5825</v>
      </c>
      <c r="AV957" t="s">
        <v>69</v>
      </c>
      <c r="AW957" t="s">
        <v>14022</v>
      </c>
      <c r="AX957" t="s">
        <v>14023</v>
      </c>
      <c r="AY957" t="s">
        <v>373</v>
      </c>
      <c r="AZ957">
        <v>2021</v>
      </c>
      <c r="BA957">
        <v>36</v>
      </c>
      <c r="BB957">
        <v>1</v>
      </c>
      <c r="BC957" t="s">
        <v>69</v>
      </c>
      <c r="BD957" t="s">
        <v>69</v>
      </c>
      <c r="BE957" t="s">
        <v>69</v>
      </c>
      <c r="BF957" t="s">
        <v>69</v>
      </c>
      <c r="BG957">
        <v>3</v>
      </c>
      <c r="BH957">
        <v>24</v>
      </c>
      <c r="BI957">
        <v>268580920947871</v>
      </c>
      <c r="BJ957" t="s">
        <v>5826</v>
      </c>
      <c r="BK957" t="str">
        <f>HYPERLINK("http://dx.doi.org/10.1177/0268580920947871","http://dx.doi.org/10.1177/0268580920947871")</f>
        <v>http://dx.doi.org/10.1177/0268580920947871</v>
      </c>
      <c r="BL957" t="s">
        <v>69</v>
      </c>
      <c r="BM957" t="s">
        <v>1867</v>
      </c>
      <c r="BN957">
        <v>22</v>
      </c>
      <c r="BO957" t="s">
        <v>12930</v>
      </c>
      <c r="BP957" t="s">
        <v>8661</v>
      </c>
      <c r="BQ957" t="s">
        <v>12930</v>
      </c>
      <c r="BR957" t="s">
        <v>14024</v>
      </c>
      <c r="BS957" t="s">
        <v>5827</v>
      </c>
      <c r="BT957" t="s">
        <v>69</v>
      </c>
      <c r="BU957" t="s">
        <v>8622</v>
      </c>
      <c r="BV957" t="s">
        <v>69</v>
      </c>
      <c r="BW957" t="s">
        <v>69</v>
      </c>
      <c r="BX957" t="s">
        <v>8526</v>
      </c>
      <c r="BY957" t="str">
        <f>HYPERLINK("https%3A%2F%2Fwww.webofscience.com%2Fwos%2Fwoscc%2Ffull-record%2FWOS:000599625300001","View Full Record in Web of Science")</f>
        <v>View Full Record in Web of Science</v>
      </c>
    </row>
    <row r="958" spans="1:77" ht="12.5" x14ac:dyDescent="0.25">
      <c r="A958" t="s">
        <v>8495</v>
      </c>
      <c r="B958" s="7" t="s">
        <v>32933</v>
      </c>
      <c r="C958" s="7"/>
      <c r="D958" s="7"/>
      <c r="E958" s="7"/>
      <c r="F958" t="s">
        <v>67</v>
      </c>
      <c r="G958" t="s">
        <v>3537</v>
      </c>
      <c r="H958" t="s">
        <v>69</v>
      </c>
      <c r="I958" t="s">
        <v>69</v>
      </c>
      <c r="J958" t="s">
        <v>69</v>
      </c>
      <c r="K958" t="s">
        <v>3538</v>
      </c>
      <c r="L958" t="s">
        <v>69</v>
      </c>
      <c r="M958" t="s">
        <v>69</v>
      </c>
      <c r="N958" t="s">
        <v>3539</v>
      </c>
      <c r="O958" t="s">
        <v>1522</v>
      </c>
      <c r="P958" t="s">
        <v>69</v>
      </c>
      <c r="Q958" t="s">
        <v>69</v>
      </c>
      <c r="R958" t="s">
        <v>8505</v>
      </c>
      <c r="S958" t="s">
        <v>8506</v>
      </c>
      <c r="T958" t="s">
        <v>69</v>
      </c>
      <c r="U958" t="s">
        <v>69</v>
      </c>
      <c r="V958" t="s">
        <v>69</v>
      </c>
      <c r="W958" t="s">
        <v>69</v>
      </c>
      <c r="X958" t="s">
        <v>69</v>
      </c>
      <c r="Y958" t="s">
        <v>27763</v>
      </c>
      <c r="Z958" t="s">
        <v>69</v>
      </c>
      <c r="AA958" t="s">
        <v>3540</v>
      </c>
      <c r="AB958" t="s">
        <v>69</v>
      </c>
      <c r="AC958" t="s">
        <v>69</v>
      </c>
      <c r="AD958" t="s">
        <v>27764</v>
      </c>
      <c r="AE958" t="s">
        <v>27765</v>
      </c>
      <c r="AF958" t="s">
        <v>69</v>
      </c>
      <c r="AG958" t="s">
        <v>69</v>
      </c>
      <c r="AH958" t="s">
        <v>69</v>
      </c>
      <c r="AI958" t="s">
        <v>69</v>
      </c>
      <c r="AJ958" t="s">
        <v>69</v>
      </c>
      <c r="AK958" t="s">
        <v>69</v>
      </c>
      <c r="AL958">
        <v>1</v>
      </c>
      <c r="AM958">
        <v>8</v>
      </c>
      <c r="AN958">
        <v>8</v>
      </c>
      <c r="AO958">
        <v>2</v>
      </c>
      <c r="AP958">
        <v>15</v>
      </c>
      <c r="AQ958" t="s">
        <v>8563</v>
      </c>
      <c r="AR958" t="s">
        <v>8564</v>
      </c>
      <c r="AS958" t="s">
        <v>8565</v>
      </c>
      <c r="AT958" t="s">
        <v>1525</v>
      </c>
      <c r="AU958" t="s">
        <v>69</v>
      </c>
      <c r="AV958" t="s">
        <v>69</v>
      </c>
      <c r="AW958" t="s">
        <v>14032</v>
      </c>
      <c r="AX958" t="s">
        <v>14033</v>
      </c>
      <c r="AY958" t="s">
        <v>155</v>
      </c>
      <c r="AZ958">
        <v>2010</v>
      </c>
      <c r="BA958">
        <v>15</v>
      </c>
      <c r="BB958">
        <v>5</v>
      </c>
      <c r="BC958" t="s">
        <v>69</v>
      </c>
      <c r="BD958" t="s">
        <v>69</v>
      </c>
      <c r="BE958" t="s">
        <v>69</v>
      </c>
      <c r="BF958" t="s">
        <v>69</v>
      </c>
      <c r="BG958">
        <v>524</v>
      </c>
      <c r="BH958">
        <v>525</v>
      </c>
      <c r="BI958" t="s">
        <v>69</v>
      </c>
      <c r="BJ958" t="s">
        <v>3541</v>
      </c>
      <c r="BK958" t="str">
        <f>HYPERLINK("http://dx.doi.org/10.1007/s11367-010-0183-4","http://dx.doi.org/10.1007/s11367-010-0183-4")</f>
        <v>http://dx.doi.org/10.1007/s11367-010-0183-4</v>
      </c>
      <c r="BL958" t="s">
        <v>69</v>
      </c>
      <c r="BM958" t="s">
        <v>69</v>
      </c>
      <c r="BN958">
        <v>2</v>
      </c>
      <c r="BO958" t="s">
        <v>8743</v>
      </c>
      <c r="BP958" t="s">
        <v>8548</v>
      </c>
      <c r="BQ958" t="s">
        <v>8744</v>
      </c>
      <c r="BR958" t="s">
        <v>27766</v>
      </c>
      <c r="BS958" t="s">
        <v>3542</v>
      </c>
      <c r="BT958" t="s">
        <v>69</v>
      </c>
      <c r="BU958" t="s">
        <v>69</v>
      </c>
      <c r="BV958" t="s">
        <v>69</v>
      </c>
      <c r="BW958" t="s">
        <v>69</v>
      </c>
      <c r="BX958" t="s">
        <v>8526</v>
      </c>
      <c r="BY958" t="str">
        <f>HYPERLINK("https%3A%2F%2Fwww.webofscience.com%2Fwos%2Fwoscc%2Ffull-record%2FWOS:000278898800010","View Full Record in Web of Science")</f>
        <v>View Full Record in Web of Science</v>
      </c>
    </row>
    <row r="959" spans="1:77" ht="12.5" x14ac:dyDescent="0.25">
      <c r="A959" t="s">
        <v>8495</v>
      </c>
      <c r="B959" s="22" t="s">
        <v>32931</v>
      </c>
      <c r="C959" s="7"/>
      <c r="D959" s="7"/>
      <c r="E959" s="7"/>
      <c r="F959" t="s">
        <v>67</v>
      </c>
      <c r="G959" t="s">
        <v>15849</v>
      </c>
      <c r="H959" t="s">
        <v>69</v>
      </c>
      <c r="I959" t="s">
        <v>69</v>
      </c>
      <c r="J959" t="s">
        <v>69</v>
      </c>
      <c r="K959" t="s">
        <v>15850</v>
      </c>
      <c r="L959" t="s">
        <v>69</v>
      </c>
      <c r="M959" t="s">
        <v>69</v>
      </c>
      <c r="N959" t="s">
        <v>15851</v>
      </c>
      <c r="O959" t="s">
        <v>15852</v>
      </c>
      <c r="P959" t="s">
        <v>69</v>
      </c>
      <c r="Q959" t="s">
        <v>69</v>
      </c>
      <c r="R959" t="s">
        <v>8505</v>
      </c>
      <c r="S959" t="s">
        <v>8506</v>
      </c>
      <c r="T959" t="s">
        <v>69</v>
      </c>
      <c r="U959" t="s">
        <v>69</v>
      </c>
      <c r="V959" t="s">
        <v>69</v>
      </c>
      <c r="W959" t="s">
        <v>69</v>
      </c>
      <c r="X959" t="s">
        <v>69</v>
      </c>
      <c r="Y959" t="s">
        <v>15853</v>
      </c>
      <c r="Z959" t="s">
        <v>15854</v>
      </c>
      <c r="AA959" t="s">
        <v>15855</v>
      </c>
      <c r="AB959" t="s">
        <v>69</v>
      </c>
      <c r="AC959" t="s">
        <v>69</v>
      </c>
      <c r="AD959" t="s">
        <v>69</v>
      </c>
      <c r="AE959" t="s">
        <v>15856</v>
      </c>
      <c r="AF959" t="s">
        <v>15857</v>
      </c>
      <c r="AG959" t="s">
        <v>15858</v>
      </c>
      <c r="AH959" t="s">
        <v>15859</v>
      </c>
      <c r="AI959" t="s">
        <v>15860</v>
      </c>
      <c r="AJ959" t="s">
        <v>15861</v>
      </c>
      <c r="AK959" t="s">
        <v>69</v>
      </c>
      <c r="AL959">
        <v>123</v>
      </c>
      <c r="AM959">
        <v>14</v>
      </c>
      <c r="AN959">
        <v>14</v>
      </c>
      <c r="AO959">
        <v>2</v>
      </c>
      <c r="AP959">
        <v>9</v>
      </c>
      <c r="AQ959" t="s">
        <v>8924</v>
      </c>
      <c r="AR959" t="s">
        <v>8925</v>
      </c>
      <c r="AS959" t="s">
        <v>8926</v>
      </c>
      <c r="AT959" t="s">
        <v>69</v>
      </c>
      <c r="AU959" t="s">
        <v>15862</v>
      </c>
      <c r="AV959" t="s">
        <v>69</v>
      </c>
      <c r="AW959" t="s">
        <v>15863</v>
      </c>
      <c r="AX959" t="s">
        <v>15864</v>
      </c>
      <c r="AY959" t="s">
        <v>191</v>
      </c>
      <c r="AZ959">
        <v>2020</v>
      </c>
      <c r="BA959">
        <v>20</v>
      </c>
      <c r="BB959">
        <v>3</v>
      </c>
      <c r="BC959" t="s">
        <v>69</v>
      </c>
      <c r="BD959" t="s">
        <v>69</v>
      </c>
      <c r="BE959" t="s">
        <v>69</v>
      </c>
      <c r="BF959" t="s">
        <v>69</v>
      </c>
      <c r="BG959" t="s">
        <v>69</v>
      </c>
      <c r="BH959" t="s">
        <v>69</v>
      </c>
      <c r="BI959">
        <v>720</v>
      </c>
      <c r="BJ959" t="s">
        <v>15865</v>
      </c>
      <c r="BK959" t="str">
        <f>HYPERLINK("http://dx.doi.org/10.3390/s20030720","http://dx.doi.org/10.3390/s20030720")</f>
        <v>http://dx.doi.org/10.3390/s20030720</v>
      </c>
      <c r="BL959" t="s">
        <v>69</v>
      </c>
      <c r="BM959" t="s">
        <v>69</v>
      </c>
      <c r="BN959">
        <v>20</v>
      </c>
      <c r="BO959" t="s">
        <v>15866</v>
      </c>
      <c r="BP959" t="s">
        <v>8523</v>
      </c>
      <c r="BQ959" t="s">
        <v>15867</v>
      </c>
      <c r="BR959" t="s">
        <v>15868</v>
      </c>
      <c r="BS959" t="s">
        <v>15869</v>
      </c>
      <c r="BT959">
        <v>32012932</v>
      </c>
      <c r="BU959" t="s">
        <v>8812</v>
      </c>
      <c r="BV959" t="s">
        <v>69</v>
      </c>
      <c r="BW959" t="s">
        <v>69</v>
      </c>
      <c r="BX959" t="s">
        <v>8526</v>
      </c>
      <c r="BY959" t="str">
        <f>HYPERLINK("https%3A%2F%2Fwww.webofscience.com%2Fwos%2Fwoscc%2Ffull-record%2FWOS:000517786200144","View Full Record in Web of Science")</f>
        <v>View Full Record in Web of Science</v>
      </c>
    </row>
    <row r="960" spans="1:77" ht="12.5" x14ac:dyDescent="0.25">
      <c r="A960" t="s">
        <v>8495</v>
      </c>
      <c r="B960" s="22" t="s">
        <v>32931</v>
      </c>
      <c r="C960" s="7"/>
      <c r="D960" s="7"/>
      <c r="E960" s="7"/>
      <c r="F960" t="s">
        <v>67</v>
      </c>
      <c r="G960" t="s">
        <v>24669</v>
      </c>
      <c r="H960" t="s">
        <v>69</v>
      </c>
      <c r="I960" t="s">
        <v>69</v>
      </c>
      <c r="J960" t="s">
        <v>69</v>
      </c>
      <c r="K960" t="s">
        <v>24670</v>
      </c>
      <c r="L960" t="s">
        <v>69</v>
      </c>
      <c r="M960" t="s">
        <v>69</v>
      </c>
      <c r="N960" t="s">
        <v>24671</v>
      </c>
      <c r="O960" t="s">
        <v>10506</v>
      </c>
      <c r="P960" t="s">
        <v>69</v>
      </c>
      <c r="Q960" t="s">
        <v>69</v>
      </c>
      <c r="R960" t="s">
        <v>8505</v>
      </c>
      <c r="S960" t="s">
        <v>8506</v>
      </c>
      <c r="T960" t="s">
        <v>69</v>
      </c>
      <c r="U960" t="s">
        <v>69</v>
      </c>
      <c r="V960" t="s">
        <v>69</v>
      </c>
      <c r="W960" t="s">
        <v>69</v>
      </c>
      <c r="X960" t="s">
        <v>69</v>
      </c>
      <c r="Y960" t="s">
        <v>24672</v>
      </c>
      <c r="Z960" t="s">
        <v>24673</v>
      </c>
      <c r="AA960" t="s">
        <v>24674</v>
      </c>
      <c r="AB960" t="s">
        <v>24675</v>
      </c>
      <c r="AC960" t="s">
        <v>69</v>
      </c>
      <c r="AD960" t="s">
        <v>24676</v>
      </c>
      <c r="AE960" t="s">
        <v>24677</v>
      </c>
      <c r="AF960" t="s">
        <v>24678</v>
      </c>
      <c r="AG960" t="s">
        <v>24679</v>
      </c>
      <c r="AH960" t="s">
        <v>69</v>
      </c>
      <c r="AI960" t="s">
        <v>69</v>
      </c>
      <c r="AJ960" t="s">
        <v>69</v>
      </c>
      <c r="AK960" t="s">
        <v>69</v>
      </c>
      <c r="AL960">
        <v>66</v>
      </c>
      <c r="AM960">
        <v>9</v>
      </c>
      <c r="AN960">
        <v>9</v>
      </c>
      <c r="AO960">
        <v>0</v>
      </c>
      <c r="AP960">
        <v>33</v>
      </c>
      <c r="AQ960" t="s">
        <v>10517</v>
      </c>
      <c r="AR960" t="s">
        <v>10518</v>
      </c>
      <c r="AS960" t="s">
        <v>10519</v>
      </c>
      <c r="AT960" t="s">
        <v>10520</v>
      </c>
      <c r="AU960" t="s">
        <v>69</v>
      </c>
      <c r="AV960" t="s">
        <v>69</v>
      </c>
      <c r="AW960" t="s">
        <v>10521</v>
      </c>
      <c r="AX960" t="s">
        <v>10522</v>
      </c>
      <c r="AY960" t="s">
        <v>381</v>
      </c>
      <c r="AZ960">
        <v>2013</v>
      </c>
      <c r="BA960">
        <v>15</v>
      </c>
      <c r="BB960">
        <v>10</v>
      </c>
      <c r="BC960" t="s">
        <v>69</v>
      </c>
      <c r="BD960" t="s">
        <v>69</v>
      </c>
      <c r="BE960" t="s">
        <v>69</v>
      </c>
      <c r="BF960" t="s">
        <v>69</v>
      </c>
      <c r="BG960">
        <v>120</v>
      </c>
      <c r="BH960">
        <v>130</v>
      </c>
      <c r="BI960" t="s">
        <v>24680</v>
      </c>
      <c r="BJ960" t="s">
        <v>24681</v>
      </c>
      <c r="BK960" t="str">
        <f>HYPERLINK("http://dx.doi.org/10.2196/jmir.2816","http://dx.doi.org/10.2196/jmir.2816")</f>
        <v>http://dx.doi.org/10.2196/jmir.2816</v>
      </c>
      <c r="BL960" t="s">
        <v>69</v>
      </c>
      <c r="BM960" t="s">
        <v>69</v>
      </c>
      <c r="BN960">
        <v>11</v>
      </c>
      <c r="BO960" t="s">
        <v>10525</v>
      </c>
      <c r="BP960" t="s">
        <v>8523</v>
      </c>
      <c r="BQ960" t="s">
        <v>10525</v>
      </c>
      <c r="BR960" t="s">
        <v>24682</v>
      </c>
      <c r="BS960" t="s">
        <v>24683</v>
      </c>
      <c r="BT960">
        <v>24172852</v>
      </c>
      <c r="BU960" t="s">
        <v>10765</v>
      </c>
      <c r="BV960" t="s">
        <v>69</v>
      </c>
      <c r="BW960" t="s">
        <v>69</v>
      </c>
      <c r="BX960" t="s">
        <v>8526</v>
      </c>
      <c r="BY960" t="str">
        <f>HYPERLINK("https%3A%2F%2Fwww.webofscience.com%2Fwos%2Fwoscc%2Ffull-record%2FWOS:000326501500008","View Full Record in Web of Science")</f>
        <v>View Full Record in Web of Science</v>
      </c>
    </row>
    <row r="961" spans="1:77" ht="12.5" x14ac:dyDescent="0.25">
      <c r="A961" t="s">
        <v>8495</v>
      </c>
      <c r="B961" s="7" t="s">
        <v>32933</v>
      </c>
      <c r="C961" s="7"/>
      <c r="D961" s="7"/>
      <c r="E961" s="7"/>
      <c r="F961" t="s">
        <v>67</v>
      </c>
      <c r="G961" t="s">
        <v>7535</v>
      </c>
      <c r="H961" t="s">
        <v>69</v>
      </c>
      <c r="I961" t="s">
        <v>69</v>
      </c>
      <c r="J961" t="s">
        <v>69</v>
      </c>
      <c r="K961" t="s">
        <v>7535</v>
      </c>
      <c r="L961" t="s">
        <v>69</v>
      </c>
      <c r="M961" t="s">
        <v>69</v>
      </c>
      <c r="N961" t="s">
        <v>7536</v>
      </c>
      <c r="O961" t="s">
        <v>7537</v>
      </c>
      <c r="P961" t="s">
        <v>69</v>
      </c>
      <c r="Q961" t="s">
        <v>69</v>
      </c>
      <c r="R961" t="s">
        <v>32873</v>
      </c>
      <c r="S961" t="s">
        <v>8506</v>
      </c>
      <c r="T961" t="s">
        <v>69</v>
      </c>
      <c r="U961" t="s">
        <v>69</v>
      </c>
      <c r="V961" t="s">
        <v>69</v>
      </c>
      <c r="W961" t="s">
        <v>69</v>
      </c>
      <c r="X961" t="s">
        <v>69</v>
      </c>
      <c r="Y961" t="s">
        <v>69</v>
      </c>
      <c r="Z961" t="s">
        <v>69</v>
      </c>
      <c r="AA961" t="s">
        <v>7538</v>
      </c>
      <c r="AB961" t="s">
        <v>32874</v>
      </c>
      <c r="AC961" t="s">
        <v>69</v>
      </c>
      <c r="AD961" t="s">
        <v>32875</v>
      </c>
      <c r="AE961" t="s">
        <v>69</v>
      </c>
      <c r="AF961" t="s">
        <v>69</v>
      </c>
      <c r="AG961" t="s">
        <v>69</v>
      </c>
      <c r="AH961" t="s">
        <v>69</v>
      </c>
      <c r="AI961" t="s">
        <v>69</v>
      </c>
      <c r="AJ961" t="s">
        <v>69</v>
      </c>
      <c r="AK961" t="s">
        <v>69</v>
      </c>
      <c r="AL961">
        <v>12</v>
      </c>
      <c r="AM961">
        <v>2</v>
      </c>
      <c r="AN961">
        <v>2</v>
      </c>
      <c r="AO961">
        <v>0</v>
      </c>
      <c r="AP961">
        <v>5</v>
      </c>
      <c r="AQ961" t="s">
        <v>32876</v>
      </c>
      <c r="AR961" t="s">
        <v>32877</v>
      </c>
      <c r="AS961" t="s">
        <v>32878</v>
      </c>
      <c r="AT961" t="s">
        <v>7539</v>
      </c>
      <c r="AU961" t="s">
        <v>69</v>
      </c>
      <c r="AV961" t="s">
        <v>69</v>
      </c>
      <c r="AW961" t="s">
        <v>32879</v>
      </c>
      <c r="AX961" t="s">
        <v>32880</v>
      </c>
      <c r="AY961" t="s">
        <v>69</v>
      </c>
      <c r="AZ961">
        <v>1992</v>
      </c>
      <c r="BA961">
        <v>40</v>
      </c>
      <c r="BB961">
        <v>11</v>
      </c>
      <c r="BC961" t="s">
        <v>69</v>
      </c>
      <c r="BD961" t="s">
        <v>69</v>
      </c>
      <c r="BE961" t="s">
        <v>69</v>
      </c>
      <c r="BF961" t="s">
        <v>69</v>
      </c>
      <c r="BG961">
        <v>818</v>
      </c>
      <c r="BH961">
        <v>830</v>
      </c>
      <c r="BI961" t="s">
        <v>69</v>
      </c>
      <c r="BJ961" t="s">
        <v>69</v>
      </c>
      <c r="BK961" t="s">
        <v>69</v>
      </c>
      <c r="BL961" t="s">
        <v>69</v>
      </c>
      <c r="BM961" t="s">
        <v>69</v>
      </c>
      <c r="BN961">
        <v>13</v>
      </c>
      <c r="BO961" t="s">
        <v>9726</v>
      </c>
      <c r="BP961" t="s">
        <v>8661</v>
      </c>
      <c r="BQ961" t="s">
        <v>8594</v>
      </c>
      <c r="BR961" t="s">
        <v>32881</v>
      </c>
      <c r="BS961" t="s">
        <v>7540</v>
      </c>
      <c r="BT961" t="s">
        <v>69</v>
      </c>
      <c r="BU961" t="s">
        <v>69</v>
      </c>
      <c r="BV961" t="s">
        <v>69</v>
      </c>
      <c r="BW961" t="s">
        <v>69</v>
      </c>
      <c r="BX961" t="s">
        <v>8526</v>
      </c>
      <c r="BY961" t="str">
        <f>HYPERLINK("https%3A%2F%2Fwww.webofscience.com%2Fwos%2Fwoscc%2Ffull-record%2FWOS:A1992KN10200002","View Full Record in Web of Science")</f>
        <v>View Full Record in Web of Science</v>
      </c>
    </row>
    <row r="962" spans="1:77" ht="12.5" x14ac:dyDescent="0.25">
      <c r="A962" t="s">
        <v>8495</v>
      </c>
      <c r="B962" s="22" t="s">
        <v>32931</v>
      </c>
      <c r="C962" s="7"/>
      <c r="D962" s="7"/>
      <c r="E962" s="7"/>
      <c r="F962" t="s">
        <v>67</v>
      </c>
      <c r="G962" t="s">
        <v>26902</v>
      </c>
      <c r="H962" t="s">
        <v>69</v>
      </c>
      <c r="I962" t="s">
        <v>69</v>
      </c>
      <c r="J962" t="s">
        <v>69</v>
      </c>
      <c r="K962" t="s">
        <v>26903</v>
      </c>
      <c r="L962" t="s">
        <v>69</v>
      </c>
      <c r="M962" t="s">
        <v>69</v>
      </c>
      <c r="N962" t="s">
        <v>26904</v>
      </c>
      <c r="O962" t="s">
        <v>26905</v>
      </c>
      <c r="P962" t="s">
        <v>69</v>
      </c>
      <c r="Q962" t="s">
        <v>69</v>
      </c>
      <c r="R962" t="s">
        <v>8505</v>
      </c>
      <c r="S962" t="s">
        <v>8506</v>
      </c>
      <c r="T962" t="s">
        <v>69</v>
      </c>
      <c r="U962" t="s">
        <v>69</v>
      </c>
      <c r="V962" t="s">
        <v>69</v>
      </c>
      <c r="W962" t="s">
        <v>69</v>
      </c>
      <c r="X962" t="s">
        <v>69</v>
      </c>
      <c r="Y962" t="s">
        <v>26906</v>
      </c>
      <c r="Z962" t="s">
        <v>69</v>
      </c>
      <c r="AA962" t="s">
        <v>26907</v>
      </c>
      <c r="AB962" t="s">
        <v>26908</v>
      </c>
      <c r="AC962" t="s">
        <v>69</v>
      </c>
      <c r="AD962" t="s">
        <v>26909</v>
      </c>
      <c r="AE962" t="s">
        <v>69</v>
      </c>
      <c r="AF962" t="s">
        <v>26910</v>
      </c>
      <c r="AG962" t="s">
        <v>26911</v>
      </c>
      <c r="AH962" t="s">
        <v>69</v>
      </c>
      <c r="AI962" t="s">
        <v>69</v>
      </c>
      <c r="AJ962" t="s">
        <v>69</v>
      </c>
      <c r="AK962" t="s">
        <v>69</v>
      </c>
      <c r="AL962">
        <v>61</v>
      </c>
      <c r="AM962">
        <v>4</v>
      </c>
      <c r="AN962">
        <v>4</v>
      </c>
      <c r="AO962">
        <v>0</v>
      </c>
      <c r="AP962">
        <v>12</v>
      </c>
      <c r="AQ962" t="s">
        <v>8586</v>
      </c>
      <c r="AR962" t="s">
        <v>8587</v>
      </c>
      <c r="AS962" t="s">
        <v>8588</v>
      </c>
      <c r="AT962" t="s">
        <v>26912</v>
      </c>
      <c r="AU962" t="s">
        <v>69</v>
      </c>
      <c r="AV962" t="s">
        <v>69</v>
      </c>
      <c r="AW962" t="s">
        <v>26913</v>
      </c>
      <c r="AX962" t="s">
        <v>26914</v>
      </c>
      <c r="AY962" t="s">
        <v>84</v>
      </c>
      <c r="AZ962">
        <v>2011</v>
      </c>
      <c r="BA962">
        <v>10</v>
      </c>
      <c r="BB962">
        <v>2</v>
      </c>
      <c r="BC962" t="s">
        <v>69</v>
      </c>
      <c r="BD962" t="s">
        <v>69</v>
      </c>
      <c r="BE962" t="s">
        <v>69</v>
      </c>
      <c r="BF962" t="s">
        <v>69</v>
      </c>
      <c r="BG962">
        <v>24</v>
      </c>
      <c r="BH962">
        <v>38</v>
      </c>
      <c r="BI962" t="s">
        <v>69</v>
      </c>
      <c r="BJ962" t="s">
        <v>69</v>
      </c>
      <c r="BK962" t="s">
        <v>69</v>
      </c>
      <c r="BL962" t="s">
        <v>69</v>
      </c>
      <c r="BM962" t="s">
        <v>69</v>
      </c>
      <c r="BN962">
        <v>15</v>
      </c>
      <c r="BO962" t="s">
        <v>12200</v>
      </c>
      <c r="BP962" t="s">
        <v>12201</v>
      </c>
      <c r="BQ962" t="s">
        <v>12202</v>
      </c>
      <c r="BR962" t="s">
        <v>26915</v>
      </c>
      <c r="BS962" t="s">
        <v>26916</v>
      </c>
      <c r="BT962" t="s">
        <v>69</v>
      </c>
      <c r="BU962" t="s">
        <v>69</v>
      </c>
      <c r="BV962" t="s">
        <v>69</v>
      </c>
      <c r="BW962" t="s">
        <v>69</v>
      </c>
      <c r="BX962" t="s">
        <v>8526</v>
      </c>
      <c r="BY962" t="str">
        <f>HYPERLINK("https%3A%2F%2Fwww.webofscience.com%2Fwos%2Fwoscc%2Ffull-record%2FWOS:000295869800003","View Full Record in Web of Science")</f>
        <v>View Full Record in Web of Science</v>
      </c>
    </row>
    <row r="963" spans="1:77" ht="12.5" x14ac:dyDescent="0.25">
      <c r="A963" t="s">
        <v>8495</v>
      </c>
      <c r="B963" s="7" t="s">
        <v>32933</v>
      </c>
      <c r="C963" s="7"/>
      <c r="D963" s="7"/>
      <c r="E963" s="7"/>
      <c r="F963" t="s">
        <v>67</v>
      </c>
      <c r="G963" t="s">
        <v>7207</v>
      </c>
      <c r="H963" t="s">
        <v>69</v>
      </c>
      <c r="I963" t="s">
        <v>69</v>
      </c>
      <c r="J963" t="s">
        <v>69</v>
      </c>
      <c r="K963" t="s">
        <v>7208</v>
      </c>
      <c r="L963" t="s">
        <v>69</v>
      </c>
      <c r="M963" t="s">
        <v>69</v>
      </c>
      <c r="N963" t="s">
        <v>7209</v>
      </c>
      <c r="O963" t="s">
        <v>7210</v>
      </c>
      <c r="P963" t="s">
        <v>69</v>
      </c>
      <c r="Q963" t="s">
        <v>69</v>
      </c>
      <c r="R963" t="s">
        <v>8505</v>
      </c>
      <c r="S963" t="s">
        <v>8506</v>
      </c>
      <c r="T963" t="s">
        <v>69</v>
      </c>
      <c r="U963" t="s">
        <v>69</v>
      </c>
      <c r="V963" t="s">
        <v>69</v>
      </c>
      <c r="W963" t="s">
        <v>69</v>
      </c>
      <c r="X963" t="s">
        <v>69</v>
      </c>
      <c r="Y963" t="s">
        <v>21770</v>
      </c>
      <c r="Z963" t="s">
        <v>69</v>
      </c>
      <c r="AA963" t="s">
        <v>7211</v>
      </c>
      <c r="AB963" t="s">
        <v>21771</v>
      </c>
      <c r="AC963" t="s">
        <v>69</v>
      </c>
      <c r="AD963" t="s">
        <v>21772</v>
      </c>
      <c r="AE963" t="s">
        <v>21773</v>
      </c>
      <c r="AF963" t="s">
        <v>69</v>
      </c>
      <c r="AG963" t="s">
        <v>69</v>
      </c>
      <c r="AH963" t="s">
        <v>69</v>
      </c>
      <c r="AI963" t="s">
        <v>69</v>
      </c>
      <c r="AJ963" t="s">
        <v>69</v>
      </c>
      <c r="AK963" t="s">
        <v>69</v>
      </c>
      <c r="AL963">
        <v>15</v>
      </c>
      <c r="AM963">
        <v>3</v>
      </c>
      <c r="AN963">
        <v>3</v>
      </c>
      <c r="AO963">
        <v>1</v>
      </c>
      <c r="AP963">
        <v>5</v>
      </c>
      <c r="AQ963" t="s">
        <v>21774</v>
      </c>
      <c r="AR963" t="s">
        <v>12851</v>
      </c>
      <c r="AS963" t="s">
        <v>21775</v>
      </c>
      <c r="AT963" t="s">
        <v>7212</v>
      </c>
      <c r="AU963" t="s">
        <v>7213</v>
      </c>
      <c r="AV963" t="s">
        <v>69</v>
      </c>
      <c r="AW963" t="s">
        <v>21776</v>
      </c>
      <c r="AX963" t="s">
        <v>21777</v>
      </c>
      <c r="AY963" t="s">
        <v>94</v>
      </c>
      <c r="AZ963">
        <v>2016</v>
      </c>
      <c r="BA963">
        <v>75</v>
      </c>
      <c r="BB963">
        <v>3</v>
      </c>
      <c r="BC963" t="s">
        <v>69</v>
      </c>
      <c r="BD963" t="s">
        <v>69</v>
      </c>
      <c r="BE963" t="s">
        <v>69</v>
      </c>
      <c r="BF963" t="s">
        <v>69</v>
      </c>
      <c r="BG963">
        <v>150</v>
      </c>
      <c r="BH963">
        <v>155</v>
      </c>
      <c r="BI963" t="s">
        <v>69</v>
      </c>
      <c r="BJ963" t="s">
        <v>69</v>
      </c>
      <c r="BK963" t="s">
        <v>69</v>
      </c>
      <c r="BL963" t="s">
        <v>69</v>
      </c>
      <c r="BM963" t="s">
        <v>69</v>
      </c>
      <c r="BN963">
        <v>6</v>
      </c>
      <c r="BO963" t="s">
        <v>9891</v>
      </c>
      <c r="BP963" t="s">
        <v>8548</v>
      </c>
      <c r="BQ963" t="s">
        <v>8445</v>
      </c>
      <c r="BR963" t="s">
        <v>21778</v>
      </c>
      <c r="BS963" t="s">
        <v>7214</v>
      </c>
      <c r="BT963" t="s">
        <v>69</v>
      </c>
      <c r="BU963" t="s">
        <v>69</v>
      </c>
      <c r="BV963" t="s">
        <v>69</v>
      </c>
      <c r="BW963" t="s">
        <v>69</v>
      </c>
      <c r="BX963" t="s">
        <v>8526</v>
      </c>
      <c r="BY963" t="str">
        <f>HYPERLINK("https%3A%2F%2Fwww.webofscience.com%2Fwos%2Fwoscc%2Ffull-record%2FWOS:000371952300002","View Full Record in Web of Science")</f>
        <v>View Full Record in Web of Science</v>
      </c>
    </row>
    <row r="964" spans="1:77" x14ac:dyDescent="0.3">
      <c r="A964" t="s">
        <v>8495</v>
      </c>
      <c r="B964" s="9" t="s">
        <v>32954</v>
      </c>
      <c r="C964" s="9" t="s">
        <v>33133</v>
      </c>
      <c r="D964" s="9" t="s">
        <v>8491</v>
      </c>
      <c r="E964" s="9" t="s">
        <v>8490</v>
      </c>
      <c r="F964" t="s">
        <v>67</v>
      </c>
      <c r="G964" t="s">
        <v>31891</v>
      </c>
      <c r="H964" t="s">
        <v>69</v>
      </c>
      <c r="I964" t="s">
        <v>69</v>
      </c>
      <c r="J964" t="s">
        <v>69</v>
      </c>
      <c r="K964" t="s">
        <v>31891</v>
      </c>
      <c r="L964" t="s">
        <v>69</v>
      </c>
      <c r="M964" t="s">
        <v>69</v>
      </c>
      <c r="N964" t="s">
        <v>31892</v>
      </c>
      <c r="O964" t="s">
        <v>23637</v>
      </c>
      <c r="P964" t="s">
        <v>69</v>
      </c>
      <c r="Q964" t="s">
        <v>69</v>
      </c>
      <c r="R964" t="s">
        <v>8505</v>
      </c>
      <c r="S964" t="s">
        <v>15797</v>
      </c>
      <c r="T964" t="s">
        <v>31893</v>
      </c>
      <c r="U964" t="s">
        <v>31894</v>
      </c>
      <c r="V964" t="s">
        <v>31895</v>
      </c>
      <c r="W964" t="s">
        <v>69</v>
      </c>
      <c r="X964" t="s">
        <v>69</v>
      </c>
      <c r="Y964" t="s">
        <v>31896</v>
      </c>
      <c r="Z964" t="s">
        <v>69</v>
      </c>
      <c r="AA964" t="s">
        <v>31897</v>
      </c>
      <c r="AB964" t="s">
        <v>31898</v>
      </c>
      <c r="AC964" t="s">
        <v>69</v>
      </c>
      <c r="AD964" t="s">
        <v>31899</v>
      </c>
      <c r="AE964" t="s">
        <v>69</v>
      </c>
      <c r="AF964" t="s">
        <v>69</v>
      </c>
      <c r="AG964" t="s">
        <v>69</v>
      </c>
      <c r="AH964" t="s">
        <v>69</v>
      </c>
      <c r="AI964" t="s">
        <v>69</v>
      </c>
      <c r="AJ964" t="s">
        <v>69</v>
      </c>
      <c r="AK964" t="s">
        <v>69</v>
      </c>
      <c r="AL964">
        <v>0</v>
      </c>
      <c r="AM964">
        <v>4</v>
      </c>
      <c r="AN964">
        <v>4</v>
      </c>
      <c r="AO964">
        <v>0</v>
      </c>
      <c r="AP964">
        <v>7</v>
      </c>
      <c r="AQ964" t="s">
        <v>17140</v>
      </c>
      <c r="AR964" t="s">
        <v>8517</v>
      </c>
      <c r="AS964" t="s">
        <v>17141</v>
      </c>
      <c r="AT964" t="s">
        <v>23645</v>
      </c>
      <c r="AU964" t="s">
        <v>69</v>
      </c>
      <c r="AV964" t="s">
        <v>69</v>
      </c>
      <c r="AW964" t="s">
        <v>23637</v>
      </c>
      <c r="AX964" t="s">
        <v>23647</v>
      </c>
      <c r="AY964" t="s">
        <v>7048</v>
      </c>
      <c r="AZ964">
        <v>1999</v>
      </c>
      <c r="BA964">
        <v>123</v>
      </c>
      <c r="BB964" t="s">
        <v>4267</v>
      </c>
      <c r="BC964" t="s">
        <v>69</v>
      </c>
      <c r="BD964" t="s">
        <v>69</v>
      </c>
      <c r="BE964" t="s">
        <v>69</v>
      </c>
      <c r="BF964" t="s">
        <v>69</v>
      </c>
      <c r="BG964">
        <v>109</v>
      </c>
      <c r="BH964">
        <v>114</v>
      </c>
      <c r="BI964" t="s">
        <v>69</v>
      </c>
      <c r="BJ964" t="s">
        <v>31900</v>
      </c>
      <c r="BK964" t="str">
        <f>HYPERLINK("http://dx.doi.org/10.1016/S0011-9164(99)00064-8","http://dx.doi.org/10.1016/S0011-9164(99)00064-8")</f>
        <v>http://dx.doi.org/10.1016/S0011-9164(99)00064-8</v>
      </c>
      <c r="BL964" t="s">
        <v>69</v>
      </c>
      <c r="BM964" t="s">
        <v>69</v>
      </c>
      <c r="BN964">
        <v>6</v>
      </c>
      <c r="BO964" t="s">
        <v>10870</v>
      </c>
      <c r="BP964" t="s">
        <v>29550</v>
      </c>
      <c r="BQ964" t="s">
        <v>9230</v>
      </c>
      <c r="BR964" t="s">
        <v>31901</v>
      </c>
      <c r="BS964" t="s">
        <v>31902</v>
      </c>
      <c r="BT964" t="s">
        <v>69</v>
      </c>
      <c r="BU964" t="s">
        <v>69</v>
      </c>
      <c r="BV964" t="s">
        <v>69</v>
      </c>
      <c r="BW964" t="s">
        <v>69</v>
      </c>
      <c r="BX964" t="s">
        <v>8526</v>
      </c>
      <c r="BY964" t="str">
        <f>HYPERLINK("https%3A%2F%2Fwww.webofscience.com%2Fwos%2Fwoscc%2Ffull-record%2FWOS:000083081600002","View Full Record in Web of Science")</f>
        <v>View Full Record in Web of Science</v>
      </c>
    </row>
    <row r="965" spans="1:77" ht="12.5" x14ac:dyDescent="0.25">
      <c r="A965" t="s">
        <v>8495</v>
      </c>
      <c r="B965" s="7" t="s">
        <v>32933</v>
      </c>
      <c r="C965" s="7"/>
      <c r="D965" s="7"/>
      <c r="E965" s="7"/>
      <c r="F965" t="s">
        <v>67</v>
      </c>
      <c r="G965" t="s">
        <v>7557</v>
      </c>
      <c r="H965" t="s">
        <v>69</v>
      </c>
      <c r="I965" t="s">
        <v>69</v>
      </c>
      <c r="J965" t="s">
        <v>69</v>
      </c>
      <c r="K965" t="s">
        <v>7558</v>
      </c>
      <c r="L965" t="s">
        <v>69</v>
      </c>
      <c r="M965" t="s">
        <v>69</v>
      </c>
      <c r="N965" t="s">
        <v>7559</v>
      </c>
      <c r="O965" t="s">
        <v>7560</v>
      </c>
      <c r="P965" t="s">
        <v>69</v>
      </c>
      <c r="Q965" t="s">
        <v>69</v>
      </c>
      <c r="R965" t="s">
        <v>14610</v>
      </c>
      <c r="S965" t="s">
        <v>8506</v>
      </c>
      <c r="T965" t="s">
        <v>69</v>
      </c>
      <c r="U965" t="s">
        <v>69</v>
      </c>
      <c r="V965" t="s">
        <v>69</v>
      </c>
      <c r="W965" t="s">
        <v>69</v>
      </c>
      <c r="X965" t="s">
        <v>69</v>
      </c>
      <c r="Y965" t="s">
        <v>14611</v>
      </c>
      <c r="Z965" t="s">
        <v>69</v>
      </c>
      <c r="AA965" t="s">
        <v>7561</v>
      </c>
      <c r="AB965" t="s">
        <v>14612</v>
      </c>
      <c r="AC965" t="s">
        <v>69</v>
      </c>
      <c r="AD965" t="s">
        <v>14613</v>
      </c>
      <c r="AE965" t="s">
        <v>14614</v>
      </c>
      <c r="AF965" t="s">
        <v>69</v>
      </c>
      <c r="AG965" t="s">
        <v>69</v>
      </c>
      <c r="AH965" t="s">
        <v>69</v>
      </c>
      <c r="AI965" t="s">
        <v>69</v>
      </c>
      <c r="AJ965" t="s">
        <v>69</v>
      </c>
      <c r="AK965" t="s">
        <v>69</v>
      </c>
      <c r="AL965">
        <v>18</v>
      </c>
      <c r="AM965">
        <v>1</v>
      </c>
      <c r="AN965">
        <v>1</v>
      </c>
      <c r="AO965">
        <v>2</v>
      </c>
      <c r="AP965">
        <v>2</v>
      </c>
      <c r="AQ965" t="s">
        <v>14615</v>
      </c>
      <c r="AR965" t="s">
        <v>14616</v>
      </c>
      <c r="AS965" t="s">
        <v>14617</v>
      </c>
      <c r="AT965" t="s">
        <v>7562</v>
      </c>
      <c r="AU965" t="s">
        <v>69</v>
      </c>
      <c r="AV965" t="s">
        <v>69</v>
      </c>
      <c r="AW965" t="s">
        <v>14618</v>
      </c>
      <c r="AX965" t="s">
        <v>14619</v>
      </c>
      <c r="AY965" t="s">
        <v>201</v>
      </c>
      <c r="AZ965">
        <v>2020</v>
      </c>
      <c r="BA965" t="s">
        <v>69</v>
      </c>
      <c r="BB965">
        <v>8</v>
      </c>
      <c r="BC965" t="s">
        <v>69</v>
      </c>
      <c r="BD965" t="s">
        <v>69</v>
      </c>
      <c r="BE965" t="s">
        <v>69</v>
      </c>
      <c r="BF965" t="s">
        <v>69</v>
      </c>
      <c r="BG965">
        <v>527</v>
      </c>
      <c r="BH965">
        <v>532</v>
      </c>
      <c r="BI965" t="s">
        <v>69</v>
      </c>
      <c r="BJ965" t="s">
        <v>7563</v>
      </c>
      <c r="BK965" t="str">
        <f>HYPERLINK("http://dx.doi.org/10.18668/NG.2020.08.05","http://dx.doi.org/10.18668/NG.2020.08.05")</f>
        <v>http://dx.doi.org/10.18668/NG.2020.08.05</v>
      </c>
      <c r="BL965" t="s">
        <v>69</v>
      </c>
      <c r="BM965" t="s">
        <v>69</v>
      </c>
      <c r="BN965">
        <v>6</v>
      </c>
      <c r="BO965" t="s">
        <v>14620</v>
      </c>
      <c r="BP965" t="s">
        <v>8573</v>
      </c>
      <c r="BQ965" t="s">
        <v>8445</v>
      </c>
      <c r="BR965" t="s">
        <v>14621</v>
      </c>
      <c r="BS965" t="s">
        <v>7564</v>
      </c>
      <c r="BT965" t="s">
        <v>69</v>
      </c>
      <c r="BU965" t="s">
        <v>9374</v>
      </c>
      <c r="BV965" t="s">
        <v>69</v>
      </c>
      <c r="BW965" t="s">
        <v>69</v>
      </c>
      <c r="BX965" t="s">
        <v>8526</v>
      </c>
      <c r="BY965" t="str">
        <f>HYPERLINK("https%3A%2F%2Fwww.webofscience.com%2Fwos%2Fwoscc%2Ffull-record%2FWOS:000596734000005","View Full Record in Web of Science")</f>
        <v>View Full Record in Web of Science</v>
      </c>
    </row>
    <row r="966" spans="1:77" ht="12.5" x14ac:dyDescent="0.25">
      <c r="A966" t="s">
        <v>8495</v>
      </c>
      <c r="B966" s="7" t="s">
        <v>32933</v>
      </c>
      <c r="C966" s="7"/>
      <c r="D966" s="7"/>
      <c r="E966" s="7"/>
      <c r="F966" t="s">
        <v>67</v>
      </c>
      <c r="G966" t="s">
        <v>4369</v>
      </c>
      <c r="H966" t="s">
        <v>69</v>
      </c>
      <c r="I966" t="s">
        <v>69</v>
      </c>
      <c r="J966" t="s">
        <v>69</v>
      </c>
      <c r="K966" t="s">
        <v>4370</v>
      </c>
      <c r="L966" t="s">
        <v>69</v>
      </c>
      <c r="M966" t="s">
        <v>69</v>
      </c>
      <c r="N966" t="s">
        <v>4371</v>
      </c>
      <c r="O966" t="s">
        <v>4372</v>
      </c>
      <c r="P966" t="s">
        <v>69</v>
      </c>
      <c r="Q966" t="s">
        <v>69</v>
      </c>
      <c r="R966" t="s">
        <v>8505</v>
      </c>
      <c r="S966" t="s">
        <v>10174</v>
      </c>
      <c r="T966" t="s">
        <v>69</v>
      </c>
      <c r="U966" t="s">
        <v>69</v>
      </c>
      <c r="V966" t="s">
        <v>69</v>
      </c>
      <c r="W966" t="s">
        <v>69</v>
      </c>
      <c r="X966" t="s">
        <v>69</v>
      </c>
      <c r="Y966" t="s">
        <v>15055</v>
      </c>
      <c r="Z966" t="s">
        <v>15056</v>
      </c>
      <c r="AA966" t="s">
        <v>4373</v>
      </c>
      <c r="AB966" t="s">
        <v>15057</v>
      </c>
      <c r="AC966" t="s">
        <v>69</v>
      </c>
      <c r="AD966" t="s">
        <v>15058</v>
      </c>
      <c r="AE966" t="s">
        <v>15059</v>
      </c>
      <c r="AF966" t="s">
        <v>69</v>
      </c>
      <c r="AG966" t="s">
        <v>69</v>
      </c>
      <c r="AH966" t="s">
        <v>69</v>
      </c>
      <c r="AI966" t="s">
        <v>69</v>
      </c>
      <c r="AJ966" t="s">
        <v>69</v>
      </c>
      <c r="AK966" t="s">
        <v>69</v>
      </c>
      <c r="AL966">
        <v>20</v>
      </c>
      <c r="AM966">
        <v>3</v>
      </c>
      <c r="AN966">
        <v>3</v>
      </c>
      <c r="AO966">
        <v>0</v>
      </c>
      <c r="AP966">
        <v>3</v>
      </c>
      <c r="AQ966" t="s">
        <v>9047</v>
      </c>
      <c r="AR966" t="s">
        <v>8693</v>
      </c>
      <c r="AS966" t="s">
        <v>11784</v>
      </c>
      <c r="AT966" t="s">
        <v>4374</v>
      </c>
      <c r="AU966" t="s">
        <v>4375</v>
      </c>
      <c r="AV966" t="s">
        <v>69</v>
      </c>
      <c r="AW966" t="s">
        <v>15060</v>
      </c>
      <c r="AX966" t="s">
        <v>15061</v>
      </c>
      <c r="AY966" t="s">
        <v>155</v>
      </c>
      <c r="AZ966">
        <v>2020</v>
      </c>
      <c r="BA966">
        <v>41</v>
      </c>
      <c r="BB966">
        <v>2</v>
      </c>
      <c r="BC966" t="s">
        <v>69</v>
      </c>
      <c r="BD966" t="s">
        <v>69</v>
      </c>
      <c r="BE966" t="s">
        <v>69</v>
      </c>
      <c r="BF966" t="s">
        <v>69</v>
      </c>
      <c r="BG966">
        <v>89</v>
      </c>
      <c r="BH966">
        <v>94</v>
      </c>
      <c r="BI966" t="s">
        <v>69</v>
      </c>
      <c r="BJ966" t="s">
        <v>4376</v>
      </c>
      <c r="BK966" t="str">
        <f>HYPERLINK("http://dx.doi.org/10.1007/s10912-017-9443-7","http://dx.doi.org/10.1007/s10912-017-9443-7")</f>
        <v>http://dx.doi.org/10.1007/s10912-017-9443-7</v>
      </c>
      <c r="BL966" t="s">
        <v>69</v>
      </c>
      <c r="BM966" t="s">
        <v>69</v>
      </c>
      <c r="BN966">
        <v>6</v>
      </c>
      <c r="BO966" t="s">
        <v>11206</v>
      </c>
      <c r="BP966" t="s">
        <v>8573</v>
      </c>
      <c r="BQ966" t="s">
        <v>11208</v>
      </c>
      <c r="BR966" t="s">
        <v>15062</v>
      </c>
      <c r="BS966" t="s">
        <v>4377</v>
      </c>
      <c r="BT966">
        <v>28523394</v>
      </c>
      <c r="BU966" t="s">
        <v>9374</v>
      </c>
      <c r="BV966" t="s">
        <v>69</v>
      </c>
      <c r="BW966" t="s">
        <v>69</v>
      </c>
      <c r="BX966" t="s">
        <v>8526</v>
      </c>
      <c r="BY966" t="str">
        <f>HYPERLINK("https%3A%2F%2Fwww.webofscience.com%2Fwos%2Fwoscc%2Ffull-record%2FWOS:000534793800001","View Full Record in Web of Science")</f>
        <v>View Full Record in Web of Science</v>
      </c>
    </row>
    <row r="967" spans="1:77" ht="12.5" x14ac:dyDescent="0.25">
      <c r="A967" t="s">
        <v>8495</v>
      </c>
      <c r="B967" s="22" t="s">
        <v>32931</v>
      </c>
      <c r="C967" s="7"/>
      <c r="D967" s="7"/>
      <c r="E967" s="7"/>
      <c r="F967" t="s">
        <v>67</v>
      </c>
      <c r="G967" t="s">
        <v>23673</v>
      </c>
      <c r="H967" t="s">
        <v>69</v>
      </c>
      <c r="I967" t="s">
        <v>69</v>
      </c>
      <c r="J967" t="s">
        <v>69</v>
      </c>
      <c r="K967" t="s">
        <v>23674</v>
      </c>
      <c r="L967" t="s">
        <v>69</v>
      </c>
      <c r="M967" t="s">
        <v>69</v>
      </c>
      <c r="N967" t="s">
        <v>23675</v>
      </c>
      <c r="O967" t="s">
        <v>23676</v>
      </c>
      <c r="P967" t="s">
        <v>69</v>
      </c>
      <c r="Q967" t="s">
        <v>69</v>
      </c>
      <c r="R967" t="s">
        <v>8505</v>
      </c>
      <c r="S967" t="s">
        <v>8506</v>
      </c>
      <c r="T967" t="s">
        <v>69</v>
      </c>
      <c r="U967" t="s">
        <v>69</v>
      </c>
      <c r="V967" t="s">
        <v>69</v>
      </c>
      <c r="W967" t="s">
        <v>69</v>
      </c>
      <c r="X967" t="s">
        <v>69</v>
      </c>
      <c r="Y967" t="s">
        <v>23677</v>
      </c>
      <c r="Z967" t="s">
        <v>69</v>
      </c>
      <c r="AA967" t="s">
        <v>23678</v>
      </c>
      <c r="AB967" t="s">
        <v>23679</v>
      </c>
      <c r="AC967" t="s">
        <v>69</v>
      </c>
      <c r="AD967" t="s">
        <v>23680</v>
      </c>
      <c r="AE967" t="s">
        <v>23681</v>
      </c>
      <c r="AF967" t="s">
        <v>69</v>
      </c>
      <c r="AG967" t="s">
        <v>69</v>
      </c>
      <c r="AH967" t="s">
        <v>69</v>
      </c>
      <c r="AI967" t="s">
        <v>69</v>
      </c>
      <c r="AJ967" t="s">
        <v>69</v>
      </c>
      <c r="AK967" t="s">
        <v>69</v>
      </c>
      <c r="AL967">
        <v>21</v>
      </c>
      <c r="AM967">
        <v>6</v>
      </c>
      <c r="AN967">
        <v>6</v>
      </c>
      <c r="AO967">
        <v>0</v>
      </c>
      <c r="AP967">
        <v>2</v>
      </c>
      <c r="AQ967" t="s">
        <v>23682</v>
      </c>
      <c r="AR967" t="s">
        <v>23683</v>
      </c>
      <c r="AS967" t="s">
        <v>23684</v>
      </c>
      <c r="AT967" t="s">
        <v>23685</v>
      </c>
      <c r="AU967" t="s">
        <v>23686</v>
      </c>
      <c r="AV967" t="s">
        <v>69</v>
      </c>
      <c r="AW967" t="s">
        <v>23687</v>
      </c>
      <c r="AX967" t="s">
        <v>23688</v>
      </c>
      <c r="AY967" t="s">
        <v>201</v>
      </c>
      <c r="AZ967">
        <v>2014</v>
      </c>
      <c r="BA967">
        <v>31</v>
      </c>
      <c r="BB967">
        <v>2</v>
      </c>
      <c r="BC967" t="s">
        <v>69</v>
      </c>
      <c r="BD967" t="s">
        <v>69</v>
      </c>
      <c r="BE967" t="s">
        <v>69</v>
      </c>
      <c r="BF967" t="s">
        <v>69</v>
      </c>
      <c r="BG967">
        <v>165</v>
      </c>
      <c r="BH967">
        <v>172</v>
      </c>
      <c r="BI967" t="s">
        <v>69</v>
      </c>
      <c r="BJ967" t="s">
        <v>23689</v>
      </c>
      <c r="BK967" t="str">
        <f>HYPERLINK("http://dx.doi.org/10.1355/ae31-2a","http://dx.doi.org/10.1355/ae31-2a")</f>
        <v>http://dx.doi.org/10.1355/ae31-2a</v>
      </c>
      <c r="BL967" t="s">
        <v>69</v>
      </c>
      <c r="BM967" t="s">
        <v>69</v>
      </c>
      <c r="BN967">
        <v>8</v>
      </c>
      <c r="BO967" t="s">
        <v>9726</v>
      </c>
      <c r="BP967" t="s">
        <v>8573</v>
      </c>
      <c r="BQ967" t="s">
        <v>8594</v>
      </c>
      <c r="BR967" t="s">
        <v>23690</v>
      </c>
      <c r="BS967" t="s">
        <v>23691</v>
      </c>
      <c r="BT967" t="s">
        <v>69</v>
      </c>
      <c r="BU967" t="s">
        <v>69</v>
      </c>
      <c r="BV967" t="s">
        <v>69</v>
      </c>
      <c r="BW967" t="s">
        <v>69</v>
      </c>
      <c r="BX967" t="s">
        <v>8526</v>
      </c>
      <c r="BY967" t="str">
        <f>HYPERLINK("https%3A%2F%2Fwww.webofscience.com%2Fwos%2Fwoscc%2Ffull-record%2FWOS:000436714600001","View Full Record in Web of Science")</f>
        <v>View Full Record in Web of Science</v>
      </c>
    </row>
    <row r="968" spans="1:77" ht="12.5" x14ac:dyDescent="0.25">
      <c r="A968" t="s">
        <v>8495</v>
      </c>
      <c r="B968" s="7" t="s">
        <v>32933</v>
      </c>
      <c r="C968" s="7"/>
      <c r="D968" s="7"/>
      <c r="E968" s="7"/>
      <c r="F968" t="s">
        <v>67</v>
      </c>
      <c r="G968" t="s">
        <v>5652</v>
      </c>
      <c r="H968" t="s">
        <v>69</v>
      </c>
      <c r="I968" t="s">
        <v>69</v>
      </c>
      <c r="J968" t="s">
        <v>69</v>
      </c>
      <c r="K968" t="s">
        <v>5652</v>
      </c>
      <c r="L968" t="s">
        <v>69</v>
      </c>
      <c r="M968" t="s">
        <v>69</v>
      </c>
      <c r="N968" t="s">
        <v>5653</v>
      </c>
      <c r="O968" t="s">
        <v>179</v>
      </c>
      <c r="P968" t="s">
        <v>69</v>
      </c>
      <c r="Q968" t="s">
        <v>69</v>
      </c>
      <c r="R968" t="s">
        <v>8505</v>
      </c>
      <c r="S968" t="s">
        <v>8506</v>
      </c>
      <c r="T968" t="s">
        <v>69</v>
      </c>
      <c r="U968" t="s">
        <v>69</v>
      </c>
      <c r="V968" t="s">
        <v>69</v>
      </c>
      <c r="W968" t="s">
        <v>69</v>
      </c>
      <c r="X968" t="s">
        <v>69</v>
      </c>
      <c r="Y968" t="s">
        <v>31436</v>
      </c>
      <c r="Z968" t="s">
        <v>69</v>
      </c>
      <c r="AA968" t="s">
        <v>5654</v>
      </c>
      <c r="AB968" t="s">
        <v>31437</v>
      </c>
      <c r="AC968" t="s">
        <v>69</v>
      </c>
      <c r="AD968" t="s">
        <v>31438</v>
      </c>
      <c r="AE968" t="s">
        <v>31439</v>
      </c>
      <c r="AF968" t="s">
        <v>5655</v>
      </c>
      <c r="AG968" t="s">
        <v>5656</v>
      </c>
      <c r="AH968" t="s">
        <v>69</v>
      </c>
      <c r="AI968" t="s">
        <v>69</v>
      </c>
      <c r="AJ968" t="s">
        <v>69</v>
      </c>
      <c r="AK968" t="s">
        <v>69</v>
      </c>
      <c r="AL968">
        <v>18</v>
      </c>
      <c r="AM968">
        <v>22</v>
      </c>
      <c r="AN968">
        <v>22</v>
      </c>
      <c r="AO968">
        <v>0</v>
      </c>
      <c r="AP968">
        <v>6</v>
      </c>
      <c r="AQ968" t="s">
        <v>9047</v>
      </c>
      <c r="AR968" t="s">
        <v>8693</v>
      </c>
      <c r="AS968" t="s">
        <v>16643</v>
      </c>
      <c r="AT968" t="s">
        <v>181</v>
      </c>
      <c r="AU968" t="s">
        <v>182</v>
      </c>
      <c r="AV968" t="s">
        <v>69</v>
      </c>
      <c r="AW968" t="s">
        <v>17432</v>
      </c>
      <c r="AX968" t="s">
        <v>17433</v>
      </c>
      <c r="AY968" t="s">
        <v>155</v>
      </c>
      <c r="AZ968">
        <v>2002</v>
      </c>
      <c r="BA968">
        <v>29</v>
      </c>
      <c r="BB968">
        <v>6</v>
      </c>
      <c r="BC968" t="s">
        <v>69</v>
      </c>
      <c r="BD968" t="s">
        <v>69</v>
      </c>
      <c r="BE968" t="s">
        <v>69</v>
      </c>
      <c r="BF968" t="s">
        <v>69</v>
      </c>
      <c r="BG968">
        <v>871</v>
      </c>
      <c r="BH968">
        <v>876</v>
      </c>
      <c r="BI968" t="s">
        <v>69</v>
      </c>
      <c r="BJ968" t="s">
        <v>5657</v>
      </c>
      <c r="BK968" t="str">
        <f>HYPERLINK("http://dx.doi.org/10.1007/s00267-001-2628-9","http://dx.doi.org/10.1007/s00267-001-2628-9")</f>
        <v>http://dx.doi.org/10.1007/s00267-001-2628-9</v>
      </c>
      <c r="BL968" t="s">
        <v>69</v>
      </c>
      <c r="BM968" t="s">
        <v>69</v>
      </c>
      <c r="BN968">
        <v>6</v>
      </c>
      <c r="BO968" t="s">
        <v>8717</v>
      </c>
      <c r="BP968" t="s">
        <v>8548</v>
      </c>
      <c r="BQ968" t="s">
        <v>8662</v>
      </c>
      <c r="BR968" t="s">
        <v>31440</v>
      </c>
      <c r="BS968" t="s">
        <v>5658</v>
      </c>
      <c r="BT968">
        <v>11992177</v>
      </c>
      <c r="BU968" t="s">
        <v>69</v>
      </c>
      <c r="BV968" t="s">
        <v>69</v>
      </c>
      <c r="BW968" t="s">
        <v>69</v>
      </c>
      <c r="BX968" t="s">
        <v>8526</v>
      </c>
      <c r="BY968" t="str">
        <f>HYPERLINK("https%3A%2F%2Fwww.webofscience.com%2Fwos%2Fwoscc%2Ffull-record%2FWOS:000175552200011","View Full Record in Web of Science")</f>
        <v>View Full Record in Web of Science</v>
      </c>
    </row>
    <row r="969" spans="1:77" ht="12.5" x14ac:dyDescent="0.25">
      <c r="A969" t="s">
        <v>8495</v>
      </c>
      <c r="B969" s="7" t="s">
        <v>32933</v>
      </c>
      <c r="C969" s="7"/>
      <c r="D969" s="7"/>
      <c r="E969" s="7"/>
      <c r="F969" t="s">
        <v>67</v>
      </c>
      <c r="G969" t="s">
        <v>2463</v>
      </c>
      <c r="H969" t="s">
        <v>69</v>
      </c>
      <c r="I969" t="s">
        <v>69</v>
      </c>
      <c r="J969" t="s">
        <v>69</v>
      </c>
      <c r="K969" t="s">
        <v>2464</v>
      </c>
      <c r="L969" t="s">
        <v>69</v>
      </c>
      <c r="M969" t="s">
        <v>69</v>
      </c>
      <c r="N969" t="s">
        <v>2465</v>
      </c>
      <c r="O969" t="s">
        <v>2466</v>
      </c>
      <c r="P969" t="s">
        <v>69</v>
      </c>
      <c r="Q969" t="s">
        <v>69</v>
      </c>
      <c r="R969" t="s">
        <v>8505</v>
      </c>
      <c r="S969" t="s">
        <v>8506</v>
      </c>
      <c r="T969" t="s">
        <v>69</v>
      </c>
      <c r="U969" t="s">
        <v>69</v>
      </c>
      <c r="V969" t="s">
        <v>69</v>
      </c>
      <c r="W969" t="s">
        <v>69</v>
      </c>
      <c r="X969" t="s">
        <v>69</v>
      </c>
      <c r="Y969" t="s">
        <v>19358</v>
      </c>
      <c r="Z969" t="s">
        <v>16227</v>
      </c>
      <c r="AA969" t="s">
        <v>2467</v>
      </c>
      <c r="AB969" t="s">
        <v>19359</v>
      </c>
      <c r="AC969" t="s">
        <v>69</v>
      </c>
      <c r="AD969" t="s">
        <v>19360</v>
      </c>
      <c r="AE969" t="s">
        <v>19361</v>
      </c>
      <c r="AF969" t="s">
        <v>69</v>
      </c>
      <c r="AG969" t="s">
        <v>69</v>
      </c>
      <c r="AH969" t="s">
        <v>69</v>
      </c>
      <c r="AI969" t="s">
        <v>69</v>
      </c>
      <c r="AJ969" t="s">
        <v>69</v>
      </c>
      <c r="AK969" t="s">
        <v>69</v>
      </c>
      <c r="AL969">
        <v>30</v>
      </c>
      <c r="AM969">
        <v>10</v>
      </c>
      <c r="AN969">
        <v>10</v>
      </c>
      <c r="AO969">
        <v>3</v>
      </c>
      <c r="AP969">
        <v>27</v>
      </c>
      <c r="AQ969" t="s">
        <v>8611</v>
      </c>
      <c r="AR969" t="s">
        <v>8612</v>
      </c>
      <c r="AS969" t="s">
        <v>8613</v>
      </c>
      <c r="AT969" t="s">
        <v>2468</v>
      </c>
      <c r="AU969" t="s">
        <v>2469</v>
      </c>
      <c r="AV969" t="s">
        <v>69</v>
      </c>
      <c r="AW969" t="s">
        <v>19362</v>
      </c>
      <c r="AX969" t="s">
        <v>19363</v>
      </c>
      <c r="AY969" t="s">
        <v>69</v>
      </c>
      <c r="AZ969">
        <v>2018</v>
      </c>
      <c r="BA969">
        <v>13</v>
      </c>
      <c r="BB969">
        <v>3</v>
      </c>
      <c r="BC969" t="s">
        <v>69</v>
      </c>
      <c r="BD969" t="s">
        <v>69</v>
      </c>
      <c r="BE969" t="s">
        <v>69</v>
      </c>
      <c r="BF969" t="s">
        <v>69</v>
      </c>
      <c r="BG969">
        <v>215</v>
      </c>
      <c r="BH969">
        <v>224</v>
      </c>
      <c r="BI969" t="s">
        <v>69</v>
      </c>
      <c r="BJ969" t="s">
        <v>2470</v>
      </c>
      <c r="BK969" t="str">
        <f>HYPERLINK("http://dx.doi.org/10.1080/17509653.2017.1387821","http://dx.doi.org/10.1080/17509653.2017.1387821")</f>
        <v>http://dx.doi.org/10.1080/17509653.2017.1387821</v>
      </c>
      <c r="BL969" t="s">
        <v>69</v>
      </c>
      <c r="BM969" t="s">
        <v>69</v>
      </c>
      <c r="BN969">
        <v>10</v>
      </c>
      <c r="BO969" t="s">
        <v>19364</v>
      </c>
      <c r="BP969" t="s">
        <v>8573</v>
      </c>
      <c r="BQ969" t="s">
        <v>19364</v>
      </c>
      <c r="BR969" t="s">
        <v>19365</v>
      </c>
      <c r="BS969" t="s">
        <v>2471</v>
      </c>
      <c r="BT969" t="s">
        <v>69</v>
      </c>
      <c r="BU969" t="s">
        <v>69</v>
      </c>
      <c r="BV969" t="s">
        <v>69</v>
      </c>
      <c r="BW969" t="s">
        <v>69</v>
      </c>
      <c r="BX969" t="s">
        <v>8526</v>
      </c>
      <c r="BY969" t="str">
        <f>HYPERLINK("https%3A%2F%2Fwww.webofscience.com%2Fwos%2Fwoscc%2Ffull-record%2FWOS:000435610900007","View Full Record in Web of Science")</f>
        <v>View Full Record in Web of Science</v>
      </c>
    </row>
    <row r="970" spans="1:77" ht="12.5" x14ac:dyDescent="0.25">
      <c r="A970" t="s">
        <v>8495</v>
      </c>
      <c r="B970" s="7" t="s">
        <v>32933</v>
      </c>
      <c r="C970" s="7"/>
      <c r="D970" s="7"/>
      <c r="E970" s="7"/>
      <c r="F970" t="s">
        <v>67</v>
      </c>
      <c r="G970" t="s">
        <v>5437</v>
      </c>
      <c r="H970" t="s">
        <v>69</v>
      </c>
      <c r="I970" t="s">
        <v>69</v>
      </c>
      <c r="J970" t="s">
        <v>69</v>
      </c>
      <c r="K970" t="s">
        <v>5438</v>
      </c>
      <c r="L970" t="s">
        <v>69</v>
      </c>
      <c r="M970" t="s">
        <v>69</v>
      </c>
      <c r="N970" t="s">
        <v>5439</v>
      </c>
      <c r="O970" t="s">
        <v>80</v>
      </c>
      <c r="P970" t="s">
        <v>69</v>
      </c>
      <c r="Q970" t="s">
        <v>69</v>
      </c>
      <c r="R970" t="s">
        <v>8505</v>
      </c>
      <c r="S970" t="s">
        <v>8506</v>
      </c>
      <c r="T970" t="s">
        <v>69</v>
      </c>
      <c r="U970" t="s">
        <v>69</v>
      </c>
      <c r="V970" t="s">
        <v>69</v>
      </c>
      <c r="W970" t="s">
        <v>69</v>
      </c>
      <c r="X970" t="s">
        <v>69</v>
      </c>
      <c r="Y970" t="s">
        <v>19701</v>
      </c>
      <c r="Z970" t="s">
        <v>69</v>
      </c>
      <c r="AA970" t="s">
        <v>5440</v>
      </c>
      <c r="AB970" t="s">
        <v>19702</v>
      </c>
      <c r="AC970" t="s">
        <v>69</v>
      </c>
      <c r="AD970" t="s">
        <v>19703</v>
      </c>
      <c r="AE970" t="s">
        <v>19704</v>
      </c>
      <c r="AF970" t="s">
        <v>69</v>
      </c>
      <c r="AG970" t="s">
        <v>69</v>
      </c>
      <c r="AH970" t="s">
        <v>69</v>
      </c>
      <c r="AI970" t="s">
        <v>69</v>
      </c>
      <c r="AJ970" t="s">
        <v>69</v>
      </c>
      <c r="AK970" t="s">
        <v>69</v>
      </c>
      <c r="AL970">
        <v>11</v>
      </c>
      <c r="AM970">
        <v>2</v>
      </c>
      <c r="AN970">
        <v>2</v>
      </c>
      <c r="AO970">
        <v>1</v>
      </c>
      <c r="AP970">
        <v>4</v>
      </c>
      <c r="AQ970" t="s">
        <v>14819</v>
      </c>
      <c r="AR970" t="s">
        <v>14820</v>
      </c>
      <c r="AS970" t="s">
        <v>14821</v>
      </c>
      <c r="AT970" t="s">
        <v>82</v>
      </c>
      <c r="AU970" t="s">
        <v>83</v>
      </c>
      <c r="AV970" t="s">
        <v>69</v>
      </c>
      <c r="AW970" t="s">
        <v>14822</v>
      </c>
      <c r="AX970" t="s">
        <v>14823</v>
      </c>
      <c r="AY970" t="s">
        <v>75</v>
      </c>
      <c r="AZ970">
        <v>2017</v>
      </c>
      <c r="BA970">
        <v>3</v>
      </c>
      <c r="BB970">
        <v>12</v>
      </c>
      <c r="BC970" t="s">
        <v>69</v>
      </c>
      <c r="BD970" t="s">
        <v>69</v>
      </c>
      <c r="BE970" t="s">
        <v>69</v>
      </c>
      <c r="BF970" t="s">
        <v>69</v>
      </c>
      <c r="BG970">
        <v>1288</v>
      </c>
      <c r="BH970">
        <v>1300</v>
      </c>
      <c r="BI970" t="s">
        <v>69</v>
      </c>
      <c r="BJ970" t="s">
        <v>5441</v>
      </c>
      <c r="BK970" t="str">
        <f>HYPERLINK("http://dx.doi.org/10.28991/cej-030958","http://dx.doi.org/10.28991/cej-030958")</f>
        <v>http://dx.doi.org/10.28991/cej-030958</v>
      </c>
      <c r="BL970" t="s">
        <v>69</v>
      </c>
      <c r="BM970" t="s">
        <v>69</v>
      </c>
      <c r="BN970">
        <v>13</v>
      </c>
      <c r="BO970" t="s">
        <v>13537</v>
      </c>
      <c r="BP970" t="s">
        <v>8573</v>
      </c>
      <c r="BQ970" t="s">
        <v>8445</v>
      </c>
      <c r="BR970" t="s">
        <v>19705</v>
      </c>
      <c r="BS970" t="s">
        <v>5442</v>
      </c>
      <c r="BT970" t="s">
        <v>69</v>
      </c>
      <c r="BU970" t="s">
        <v>8931</v>
      </c>
      <c r="BV970" t="s">
        <v>69</v>
      </c>
      <c r="BW970" t="s">
        <v>69</v>
      </c>
      <c r="BX970" t="s">
        <v>8526</v>
      </c>
      <c r="BY970" t="str">
        <f>HYPERLINK("https%3A%2F%2Fwww.webofscience.com%2Fwos%2Fwoscc%2Ffull-record%2FWOS:000424521400010","View Full Record in Web of Science")</f>
        <v>View Full Record in Web of Science</v>
      </c>
    </row>
    <row r="971" spans="1:77" ht="12.5" x14ac:dyDescent="0.25">
      <c r="A971" t="s">
        <v>8495</v>
      </c>
      <c r="B971" s="22" t="s">
        <v>32931</v>
      </c>
      <c r="C971" s="7"/>
      <c r="D971" s="7"/>
      <c r="E971" s="7"/>
      <c r="F971" t="s">
        <v>67</v>
      </c>
      <c r="G971" t="s">
        <v>17051</v>
      </c>
      <c r="H971" t="s">
        <v>69</v>
      </c>
      <c r="I971" t="s">
        <v>69</v>
      </c>
      <c r="J971" t="s">
        <v>69</v>
      </c>
      <c r="K971" t="s">
        <v>17052</v>
      </c>
      <c r="L971" t="s">
        <v>69</v>
      </c>
      <c r="M971" t="s">
        <v>69</v>
      </c>
      <c r="N971" t="s">
        <v>17053</v>
      </c>
      <c r="O971" t="s">
        <v>17054</v>
      </c>
      <c r="P971" t="s">
        <v>69</v>
      </c>
      <c r="Q971" t="s">
        <v>69</v>
      </c>
      <c r="R971" t="s">
        <v>8505</v>
      </c>
      <c r="S971" t="s">
        <v>8506</v>
      </c>
      <c r="T971" t="s">
        <v>69</v>
      </c>
      <c r="U971" t="s">
        <v>69</v>
      </c>
      <c r="V971" t="s">
        <v>69</v>
      </c>
      <c r="W971" t="s">
        <v>69</v>
      </c>
      <c r="X971" t="s">
        <v>69</v>
      </c>
      <c r="Y971" t="s">
        <v>17055</v>
      </c>
      <c r="Z971" t="s">
        <v>17056</v>
      </c>
      <c r="AA971" t="s">
        <v>17057</v>
      </c>
      <c r="AB971" t="s">
        <v>17058</v>
      </c>
      <c r="AC971" t="s">
        <v>69</v>
      </c>
      <c r="AD971" t="s">
        <v>17059</v>
      </c>
      <c r="AE971" t="s">
        <v>17060</v>
      </c>
      <c r="AF971" t="s">
        <v>17061</v>
      </c>
      <c r="AG971" t="s">
        <v>17062</v>
      </c>
      <c r="AH971" t="s">
        <v>17063</v>
      </c>
      <c r="AI971" t="s">
        <v>17063</v>
      </c>
      <c r="AJ971" t="s">
        <v>17064</v>
      </c>
      <c r="AK971" t="s">
        <v>69</v>
      </c>
      <c r="AL971">
        <v>48</v>
      </c>
      <c r="AM971">
        <v>3</v>
      </c>
      <c r="AN971">
        <v>3</v>
      </c>
      <c r="AO971">
        <v>2</v>
      </c>
      <c r="AP971">
        <v>4</v>
      </c>
      <c r="AQ971" t="s">
        <v>10352</v>
      </c>
      <c r="AR971" t="s">
        <v>8637</v>
      </c>
      <c r="AS971" t="s">
        <v>10353</v>
      </c>
      <c r="AT971" t="s">
        <v>17065</v>
      </c>
      <c r="AU971" t="s">
        <v>17066</v>
      </c>
      <c r="AV971" t="s">
        <v>69</v>
      </c>
      <c r="AW971" t="s">
        <v>17067</v>
      </c>
      <c r="AX971" t="s">
        <v>17068</v>
      </c>
      <c r="AY971" t="s">
        <v>84</v>
      </c>
      <c r="AZ971">
        <v>2019</v>
      </c>
      <c r="BA971">
        <v>34</v>
      </c>
      <c r="BB971">
        <v>6</v>
      </c>
      <c r="BC971" t="s">
        <v>69</v>
      </c>
      <c r="BD971" t="s">
        <v>69</v>
      </c>
      <c r="BE971" t="s">
        <v>69</v>
      </c>
      <c r="BF971" t="s">
        <v>69</v>
      </c>
      <c r="BG971">
        <v>450</v>
      </c>
      <c r="BH971">
        <v>460</v>
      </c>
      <c r="BI971" t="s">
        <v>69</v>
      </c>
      <c r="BJ971" t="s">
        <v>17069</v>
      </c>
      <c r="BK971" t="str">
        <f>HYPERLINK("http://dx.doi.org/10.1093/heapol/czz056","http://dx.doi.org/10.1093/heapol/czz056")</f>
        <v>http://dx.doi.org/10.1093/heapol/czz056</v>
      </c>
      <c r="BL971" t="s">
        <v>69</v>
      </c>
      <c r="BM971" t="s">
        <v>69</v>
      </c>
      <c r="BN971">
        <v>11</v>
      </c>
      <c r="BO971" t="s">
        <v>9809</v>
      </c>
      <c r="BP971" t="s">
        <v>8523</v>
      </c>
      <c r="BQ971" t="s">
        <v>9209</v>
      </c>
      <c r="BR971" t="s">
        <v>17070</v>
      </c>
      <c r="BS971" t="s">
        <v>17072</v>
      </c>
      <c r="BT971">
        <v>31302699</v>
      </c>
      <c r="BU971" t="s">
        <v>17071</v>
      </c>
      <c r="BV971" t="s">
        <v>69</v>
      </c>
      <c r="BW971" t="s">
        <v>69</v>
      </c>
      <c r="BX971" t="s">
        <v>8526</v>
      </c>
      <c r="BY971" t="str">
        <f>HYPERLINK("https%3A%2F%2Fwww.webofscience.com%2Fwos%2Fwoscc%2Ffull-record%2FWOS:000493041300006","View Full Record in Web of Science")</f>
        <v>View Full Record in Web of Science</v>
      </c>
    </row>
    <row r="972" spans="1:77" ht="12.5" x14ac:dyDescent="0.25">
      <c r="A972" t="s">
        <v>8495</v>
      </c>
      <c r="B972" s="22" t="s">
        <v>32931</v>
      </c>
      <c r="C972" s="7"/>
      <c r="D972" s="7"/>
      <c r="E972" s="7"/>
      <c r="F972" t="s">
        <v>67</v>
      </c>
      <c r="G972" t="s">
        <v>10303</v>
      </c>
      <c r="H972" t="s">
        <v>69</v>
      </c>
      <c r="I972" t="s">
        <v>69</v>
      </c>
      <c r="J972" t="s">
        <v>69</v>
      </c>
      <c r="K972" t="s">
        <v>10304</v>
      </c>
      <c r="L972" t="s">
        <v>69</v>
      </c>
      <c r="M972" t="s">
        <v>69</v>
      </c>
      <c r="N972" t="s">
        <v>10305</v>
      </c>
      <c r="O972" t="s">
        <v>10306</v>
      </c>
      <c r="P972" t="s">
        <v>69</v>
      </c>
      <c r="Q972" t="s">
        <v>69</v>
      </c>
      <c r="R972" t="s">
        <v>8505</v>
      </c>
      <c r="S972" t="s">
        <v>8506</v>
      </c>
      <c r="T972" t="s">
        <v>69</v>
      </c>
      <c r="U972" t="s">
        <v>69</v>
      </c>
      <c r="V972" t="s">
        <v>69</v>
      </c>
      <c r="W972" t="s">
        <v>69</v>
      </c>
      <c r="X972" t="s">
        <v>69</v>
      </c>
      <c r="Y972" t="s">
        <v>10307</v>
      </c>
      <c r="Z972" t="s">
        <v>10308</v>
      </c>
      <c r="AA972" t="s">
        <v>10309</v>
      </c>
      <c r="AB972" t="s">
        <v>10310</v>
      </c>
      <c r="AC972" t="s">
        <v>69</v>
      </c>
      <c r="AD972" t="s">
        <v>10311</v>
      </c>
      <c r="AE972" t="s">
        <v>10312</v>
      </c>
      <c r="AF972" t="s">
        <v>10313</v>
      </c>
      <c r="AG972" t="s">
        <v>10314</v>
      </c>
      <c r="AH972" t="s">
        <v>69</v>
      </c>
      <c r="AI972" t="s">
        <v>69</v>
      </c>
      <c r="AJ972" t="s">
        <v>69</v>
      </c>
      <c r="AK972" t="s">
        <v>69</v>
      </c>
      <c r="AL972">
        <v>68</v>
      </c>
      <c r="AM972">
        <v>1</v>
      </c>
      <c r="AN972">
        <v>1</v>
      </c>
      <c r="AO972">
        <v>12</v>
      </c>
      <c r="AP972">
        <v>12</v>
      </c>
      <c r="AQ972" t="s">
        <v>10315</v>
      </c>
      <c r="AR972" t="s">
        <v>10316</v>
      </c>
      <c r="AS972" t="s">
        <v>10317</v>
      </c>
      <c r="AT972" t="s">
        <v>10318</v>
      </c>
      <c r="AU972" t="s">
        <v>69</v>
      </c>
      <c r="AV972" t="s">
        <v>69</v>
      </c>
      <c r="AW972" t="s">
        <v>10306</v>
      </c>
      <c r="AX972" t="s">
        <v>10319</v>
      </c>
      <c r="AY972" t="s">
        <v>69</v>
      </c>
      <c r="AZ972">
        <v>2022</v>
      </c>
      <c r="BA972">
        <v>10</v>
      </c>
      <c r="BB972" t="s">
        <v>69</v>
      </c>
      <c r="BC972" t="s">
        <v>69</v>
      </c>
      <c r="BD972" t="s">
        <v>69</v>
      </c>
      <c r="BE972" t="s">
        <v>69</v>
      </c>
      <c r="BF972" t="s">
        <v>69</v>
      </c>
      <c r="BG972">
        <v>16028</v>
      </c>
      <c r="BH972">
        <v>16036</v>
      </c>
      <c r="BI972" t="s">
        <v>69</v>
      </c>
      <c r="BJ972" t="s">
        <v>10320</v>
      </c>
      <c r="BK972" t="str">
        <f>HYPERLINK("http://dx.doi.org/10.1109/ACCESS.2021.3115987","http://dx.doi.org/10.1109/ACCESS.2021.3115987")</f>
        <v>http://dx.doi.org/10.1109/ACCESS.2021.3115987</v>
      </c>
      <c r="BL972" t="s">
        <v>69</v>
      </c>
      <c r="BM972" t="s">
        <v>69</v>
      </c>
      <c r="BN972">
        <v>9</v>
      </c>
      <c r="BO972" t="s">
        <v>10321</v>
      </c>
      <c r="BP972" t="s">
        <v>8523</v>
      </c>
      <c r="BQ972" t="s">
        <v>10322</v>
      </c>
      <c r="BR972" t="s">
        <v>10323</v>
      </c>
      <c r="BS972" t="s">
        <v>10324</v>
      </c>
      <c r="BT972" t="s">
        <v>69</v>
      </c>
      <c r="BU972" t="s">
        <v>8931</v>
      </c>
      <c r="BV972" t="s">
        <v>69</v>
      </c>
      <c r="BW972" t="s">
        <v>69</v>
      </c>
      <c r="BX972" t="s">
        <v>8526</v>
      </c>
      <c r="BY972" t="str">
        <f>HYPERLINK("https%3A%2F%2Fwww.webofscience.com%2Fwos%2Fwoscc%2Ffull-record%2FWOS:000756537200001","View Full Record in Web of Science")</f>
        <v>View Full Record in Web of Science</v>
      </c>
    </row>
    <row r="973" spans="1:77" ht="12.5" x14ac:dyDescent="0.25">
      <c r="A973" t="s">
        <v>8495</v>
      </c>
      <c r="B973" s="22" t="s">
        <v>32931</v>
      </c>
      <c r="C973" s="7"/>
      <c r="D973" s="7"/>
      <c r="E973" s="7"/>
      <c r="F973" t="s">
        <v>67</v>
      </c>
      <c r="G973" t="s">
        <v>26769</v>
      </c>
      <c r="H973" t="s">
        <v>69</v>
      </c>
      <c r="I973" t="s">
        <v>69</v>
      </c>
      <c r="J973" t="s">
        <v>69</v>
      </c>
      <c r="K973" t="s">
        <v>26770</v>
      </c>
      <c r="L973" t="s">
        <v>69</v>
      </c>
      <c r="M973" t="s">
        <v>69</v>
      </c>
      <c r="N973" t="s">
        <v>26771</v>
      </c>
      <c r="O973" t="s">
        <v>26772</v>
      </c>
      <c r="P973" t="s">
        <v>69</v>
      </c>
      <c r="Q973" t="s">
        <v>69</v>
      </c>
      <c r="R973" t="s">
        <v>8505</v>
      </c>
      <c r="S973" t="s">
        <v>8506</v>
      </c>
      <c r="T973" t="s">
        <v>69</v>
      </c>
      <c r="U973" t="s">
        <v>69</v>
      </c>
      <c r="V973" t="s">
        <v>69</v>
      </c>
      <c r="W973" t="s">
        <v>69</v>
      </c>
      <c r="X973" t="s">
        <v>69</v>
      </c>
      <c r="Y973" t="s">
        <v>26773</v>
      </c>
      <c r="Z973" t="s">
        <v>26774</v>
      </c>
      <c r="AA973" t="s">
        <v>26775</v>
      </c>
      <c r="AB973" t="s">
        <v>26776</v>
      </c>
      <c r="AC973" t="s">
        <v>69</v>
      </c>
      <c r="AD973" t="s">
        <v>26777</v>
      </c>
      <c r="AE973" t="s">
        <v>26778</v>
      </c>
      <c r="AF973" t="s">
        <v>26779</v>
      </c>
      <c r="AG973" t="s">
        <v>26780</v>
      </c>
      <c r="AH973" t="s">
        <v>69</v>
      </c>
      <c r="AI973" t="s">
        <v>69</v>
      </c>
      <c r="AJ973" t="s">
        <v>69</v>
      </c>
      <c r="AK973" t="s">
        <v>69</v>
      </c>
      <c r="AL973">
        <v>21</v>
      </c>
      <c r="AM973">
        <v>3</v>
      </c>
      <c r="AN973">
        <v>3</v>
      </c>
      <c r="AO973">
        <v>0</v>
      </c>
      <c r="AP973">
        <v>8</v>
      </c>
      <c r="AQ973" t="s">
        <v>26781</v>
      </c>
      <c r="AR973" t="s">
        <v>26782</v>
      </c>
      <c r="AS973" t="s">
        <v>26783</v>
      </c>
      <c r="AT973" t="s">
        <v>26784</v>
      </c>
      <c r="AU973" t="s">
        <v>69</v>
      </c>
      <c r="AV973" t="s">
        <v>69</v>
      </c>
      <c r="AW973" t="s">
        <v>26785</v>
      </c>
      <c r="AX973" t="s">
        <v>26786</v>
      </c>
      <c r="AY973" t="s">
        <v>255</v>
      </c>
      <c r="AZ973">
        <v>2011</v>
      </c>
      <c r="BA973">
        <v>28</v>
      </c>
      <c r="BB973">
        <v>3</v>
      </c>
      <c r="BC973" t="s">
        <v>69</v>
      </c>
      <c r="BD973" t="s">
        <v>69</v>
      </c>
      <c r="BE973" t="s">
        <v>69</v>
      </c>
      <c r="BF973" t="s">
        <v>69</v>
      </c>
      <c r="BG973">
        <v>243</v>
      </c>
      <c r="BH973">
        <v>247</v>
      </c>
      <c r="BI973" t="s">
        <v>69</v>
      </c>
      <c r="BJ973" t="s">
        <v>26787</v>
      </c>
      <c r="BK973" t="str">
        <f>HYPERLINK("http://dx.doi.org/10.1922/CDH_2555Sivaneswaran05","http://dx.doi.org/10.1922/CDH_2555Sivaneswaran05")</f>
        <v>http://dx.doi.org/10.1922/CDH_2555Sivaneswaran05</v>
      </c>
      <c r="BL973" t="s">
        <v>69</v>
      </c>
      <c r="BM973" t="s">
        <v>69</v>
      </c>
      <c r="BN973">
        <v>5</v>
      </c>
      <c r="BO973" t="s">
        <v>17390</v>
      </c>
      <c r="BP973" t="s">
        <v>8523</v>
      </c>
      <c r="BQ973" t="s">
        <v>17390</v>
      </c>
      <c r="BR973" t="s">
        <v>26788</v>
      </c>
      <c r="BS973" t="s">
        <v>26789</v>
      </c>
      <c r="BT973">
        <v>21916362</v>
      </c>
      <c r="BU973" t="s">
        <v>69</v>
      </c>
      <c r="BV973" t="s">
        <v>69</v>
      </c>
      <c r="BW973" t="s">
        <v>69</v>
      </c>
      <c r="BX973" t="s">
        <v>8526</v>
      </c>
      <c r="BY973" t="str">
        <f>HYPERLINK("https%3A%2F%2Fwww.webofscience.com%2Fwos%2Fwoscc%2Ffull-record%2FWOS:000297933700012","View Full Record in Web of Science")</f>
        <v>View Full Record in Web of Science</v>
      </c>
    </row>
    <row r="974" spans="1:77" x14ac:dyDescent="0.3">
      <c r="A974" t="s">
        <v>8495</v>
      </c>
      <c r="B974" s="9" t="s">
        <v>32954</v>
      </c>
      <c r="C974" s="9" t="s">
        <v>33137</v>
      </c>
      <c r="D974" s="9" t="s">
        <v>8491</v>
      </c>
      <c r="E974" s="9" t="s">
        <v>8490</v>
      </c>
      <c r="F974" t="s">
        <v>67</v>
      </c>
      <c r="G974" t="s">
        <v>9564</v>
      </c>
      <c r="H974" t="s">
        <v>69</v>
      </c>
      <c r="I974" t="s">
        <v>69</v>
      </c>
      <c r="J974" t="s">
        <v>69</v>
      </c>
      <c r="K974" t="s">
        <v>9565</v>
      </c>
      <c r="L974" t="s">
        <v>69</v>
      </c>
      <c r="M974" t="s">
        <v>69</v>
      </c>
      <c r="N974" t="s">
        <v>9566</v>
      </c>
      <c r="O974" t="s">
        <v>9567</v>
      </c>
      <c r="P974" t="s">
        <v>69</v>
      </c>
      <c r="Q974" t="s">
        <v>69</v>
      </c>
      <c r="R974" t="s">
        <v>8505</v>
      </c>
      <c r="S974" t="s">
        <v>8506</v>
      </c>
      <c r="T974" t="s">
        <v>69</v>
      </c>
      <c r="U974" t="s">
        <v>69</v>
      </c>
      <c r="V974" t="s">
        <v>69</v>
      </c>
      <c r="W974" t="s">
        <v>69</v>
      </c>
      <c r="X974" t="s">
        <v>69</v>
      </c>
      <c r="Y974" t="s">
        <v>69</v>
      </c>
      <c r="Z974" t="s">
        <v>9568</v>
      </c>
      <c r="AA974" t="s">
        <v>9569</v>
      </c>
      <c r="AB974" t="s">
        <v>9570</v>
      </c>
      <c r="AC974" t="s">
        <v>69</v>
      </c>
      <c r="AD974" t="s">
        <v>9571</v>
      </c>
      <c r="AE974" t="s">
        <v>9572</v>
      </c>
      <c r="AF974" t="s">
        <v>9573</v>
      </c>
      <c r="AG974" t="s">
        <v>9574</v>
      </c>
      <c r="AH974" t="s">
        <v>9575</v>
      </c>
      <c r="AI974" t="s">
        <v>9575</v>
      </c>
      <c r="AJ974" t="s">
        <v>9576</v>
      </c>
      <c r="AK974" t="s">
        <v>69</v>
      </c>
      <c r="AL974">
        <v>123</v>
      </c>
      <c r="AM974">
        <v>1</v>
      </c>
      <c r="AN974">
        <v>1</v>
      </c>
      <c r="AO974">
        <v>4</v>
      </c>
      <c r="AP974">
        <v>4</v>
      </c>
      <c r="AQ974" t="s">
        <v>9577</v>
      </c>
      <c r="AR974" t="s">
        <v>9578</v>
      </c>
      <c r="AS974" t="s">
        <v>9579</v>
      </c>
      <c r="AT974" t="s">
        <v>9580</v>
      </c>
      <c r="AU974" t="s">
        <v>9581</v>
      </c>
      <c r="AV974" t="s">
        <v>69</v>
      </c>
      <c r="AW974" t="s">
        <v>9582</v>
      </c>
      <c r="AX974" t="s">
        <v>9583</v>
      </c>
      <c r="AY974" t="s">
        <v>9584</v>
      </c>
      <c r="AZ974">
        <v>2022</v>
      </c>
      <c r="BA974">
        <v>22</v>
      </c>
      <c r="BB974">
        <v>3</v>
      </c>
      <c r="BC974" t="s">
        <v>69</v>
      </c>
      <c r="BD974" t="s">
        <v>69</v>
      </c>
      <c r="BE974" t="s">
        <v>69</v>
      </c>
      <c r="BF974" t="s">
        <v>69</v>
      </c>
      <c r="BG974">
        <v>795</v>
      </c>
      <c r="BH974">
        <v>812</v>
      </c>
      <c r="BI974" t="s">
        <v>69</v>
      </c>
      <c r="BJ974" t="s">
        <v>9585</v>
      </c>
      <c r="BK974" t="str">
        <f>HYPERLINK("http://dx.doi.org/10.5194/nhess-22-795-2022","http://dx.doi.org/10.5194/nhess-22-795-2022")</f>
        <v>http://dx.doi.org/10.5194/nhess-22-795-2022</v>
      </c>
      <c r="BL974" t="s">
        <v>69</v>
      </c>
      <c r="BM974" t="s">
        <v>69</v>
      </c>
      <c r="BN974">
        <v>18</v>
      </c>
      <c r="BO974" t="s">
        <v>9586</v>
      </c>
      <c r="BP974" t="s">
        <v>8548</v>
      </c>
      <c r="BQ974" t="s">
        <v>9587</v>
      </c>
      <c r="BR974" t="s">
        <v>9588</v>
      </c>
      <c r="BS974" t="s">
        <v>9590</v>
      </c>
      <c r="BT974" t="s">
        <v>69</v>
      </c>
      <c r="BU974" t="s">
        <v>9589</v>
      </c>
      <c r="BV974" t="s">
        <v>69</v>
      </c>
      <c r="BW974" t="s">
        <v>69</v>
      </c>
      <c r="BX974" t="s">
        <v>8526</v>
      </c>
      <c r="BY974" t="str">
        <f>HYPERLINK("https%3A%2F%2Fwww.webofscience.com%2Fwos%2Fwoscc%2Ffull-record%2FWOS:000768718100001","View Full Record in Web of Science")</f>
        <v>View Full Record in Web of Science</v>
      </c>
    </row>
    <row r="975" spans="1:77" ht="12.5" x14ac:dyDescent="0.25">
      <c r="A975" t="s">
        <v>8495</v>
      </c>
      <c r="B975" s="7" t="s">
        <v>32933</v>
      </c>
      <c r="C975" s="7"/>
      <c r="D975" s="7"/>
      <c r="E975" s="7"/>
      <c r="F975" t="s">
        <v>67</v>
      </c>
      <c r="G975" t="s">
        <v>265</v>
      </c>
      <c r="H975" t="s">
        <v>69</v>
      </c>
      <c r="I975" t="s">
        <v>69</v>
      </c>
      <c r="J975" t="s">
        <v>69</v>
      </c>
      <c r="K975" t="s">
        <v>266</v>
      </c>
      <c r="L975" t="s">
        <v>69</v>
      </c>
      <c r="M975" t="s">
        <v>69</v>
      </c>
      <c r="N975" t="s">
        <v>267</v>
      </c>
      <c r="O975" t="s">
        <v>268</v>
      </c>
      <c r="P975" t="s">
        <v>69</v>
      </c>
      <c r="Q975" t="s">
        <v>69</v>
      </c>
      <c r="R975" t="s">
        <v>8505</v>
      </c>
      <c r="S975" t="s">
        <v>8506</v>
      </c>
      <c r="T975" t="s">
        <v>69</v>
      </c>
      <c r="U975" t="s">
        <v>69</v>
      </c>
      <c r="V975" t="s">
        <v>69</v>
      </c>
      <c r="W975" t="s">
        <v>69</v>
      </c>
      <c r="X975" t="s">
        <v>69</v>
      </c>
      <c r="Y975" t="s">
        <v>24549</v>
      </c>
      <c r="Z975" t="s">
        <v>24550</v>
      </c>
      <c r="AA975" t="s">
        <v>269</v>
      </c>
      <c r="AB975" t="s">
        <v>24551</v>
      </c>
      <c r="AC975" t="s">
        <v>69</v>
      </c>
      <c r="AD975" t="s">
        <v>24552</v>
      </c>
      <c r="AE975" t="s">
        <v>24553</v>
      </c>
      <c r="AF975" t="s">
        <v>270</v>
      </c>
      <c r="AG975" t="s">
        <v>271</v>
      </c>
      <c r="AH975" t="s">
        <v>69</v>
      </c>
      <c r="AI975" t="s">
        <v>69</v>
      </c>
      <c r="AJ975" t="s">
        <v>69</v>
      </c>
      <c r="AK975" t="s">
        <v>69</v>
      </c>
      <c r="AL975">
        <v>40</v>
      </c>
      <c r="AM975">
        <v>29</v>
      </c>
      <c r="AN975">
        <v>31</v>
      </c>
      <c r="AO975">
        <v>3</v>
      </c>
      <c r="AP975">
        <v>87</v>
      </c>
      <c r="AQ975" t="s">
        <v>10352</v>
      </c>
      <c r="AR975" t="s">
        <v>8637</v>
      </c>
      <c r="AS975" t="s">
        <v>10353</v>
      </c>
      <c r="AT975" t="s">
        <v>272</v>
      </c>
      <c r="AU975" t="s">
        <v>273</v>
      </c>
      <c r="AV975" t="s">
        <v>69</v>
      </c>
      <c r="AW975" t="s">
        <v>268</v>
      </c>
      <c r="AX975" t="s">
        <v>24554</v>
      </c>
      <c r="AY975" t="s">
        <v>274</v>
      </c>
      <c r="AZ975">
        <v>2013</v>
      </c>
      <c r="BA975">
        <v>63</v>
      </c>
      <c r="BB975">
        <v>11</v>
      </c>
      <c r="BC975" t="s">
        <v>69</v>
      </c>
      <c r="BD975" t="s">
        <v>69</v>
      </c>
      <c r="BE975" t="s">
        <v>69</v>
      </c>
      <c r="BF975" t="s">
        <v>69</v>
      </c>
      <c r="BG975">
        <v>882</v>
      </c>
      <c r="BH975">
        <v>890</v>
      </c>
      <c r="BI975" t="s">
        <v>69</v>
      </c>
      <c r="BJ975" t="s">
        <v>275</v>
      </c>
      <c r="BK975" t="str">
        <f>HYPERLINK("http://dx.doi.org/10.1525/bio.2013.63.11.7","http://dx.doi.org/10.1525/bio.2013.63.11.7")</f>
        <v>http://dx.doi.org/10.1525/bio.2013.63.11.7</v>
      </c>
      <c r="BL975" t="s">
        <v>69</v>
      </c>
      <c r="BM975" t="s">
        <v>69</v>
      </c>
      <c r="BN975">
        <v>9</v>
      </c>
      <c r="BO975" t="s">
        <v>24555</v>
      </c>
      <c r="BP975" t="s">
        <v>8548</v>
      </c>
      <c r="BQ975" t="s">
        <v>24556</v>
      </c>
      <c r="BR975" t="s">
        <v>24557</v>
      </c>
      <c r="BS975" t="s">
        <v>276</v>
      </c>
      <c r="BT975" t="s">
        <v>69</v>
      </c>
      <c r="BU975" t="s">
        <v>9374</v>
      </c>
      <c r="BV975" t="s">
        <v>69</v>
      </c>
      <c r="BW975" t="s">
        <v>69</v>
      </c>
      <c r="BX975" t="s">
        <v>8526</v>
      </c>
      <c r="BY975" t="str">
        <f>HYPERLINK("https%3A%2F%2Fwww.webofscience.com%2Fwos%2Fwoscc%2Ffull-record%2FWOS:000327417700007","View Full Record in Web of Science")</f>
        <v>View Full Record in Web of Science</v>
      </c>
    </row>
    <row r="976" spans="1:77" ht="12.5" x14ac:dyDescent="0.25">
      <c r="A976" t="s">
        <v>8495</v>
      </c>
      <c r="B976" s="7" t="s">
        <v>32933</v>
      </c>
      <c r="C976" s="7"/>
      <c r="D976" s="7"/>
      <c r="E976" s="7"/>
      <c r="F976" t="s">
        <v>67</v>
      </c>
      <c r="G976" t="s">
        <v>158</v>
      </c>
      <c r="H976" t="s">
        <v>69</v>
      </c>
      <c r="I976" t="s">
        <v>69</v>
      </c>
      <c r="J976" t="s">
        <v>69</v>
      </c>
      <c r="K976" t="s">
        <v>158</v>
      </c>
      <c r="L976" t="s">
        <v>69</v>
      </c>
      <c r="M976" t="s">
        <v>69</v>
      </c>
      <c r="N976" s="3" t="s">
        <v>159</v>
      </c>
      <c r="O976" t="s">
        <v>160</v>
      </c>
      <c r="P976" t="s">
        <v>69</v>
      </c>
      <c r="Q976" t="s">
        <v>69</v>
      </c>
      <c r="R976" t="s">
        <v>8505</v>
      </c>
      <c r="S976" t="s">
        <v>8506</v>
      </c>
      <c r="T976" t="s">
        <v>69</v>
      </c>
      <c r="U976" t="s">
        <v>69</v>
      </c>
      <c r="V976" t="s">
        <v>69</v>
      </c>
      <c r="W976" t="s">
        <v>69</v>
      </c>
      <c r="X976" t="s">
        <v>69</v>
      </c>
      <c r="Y976" t="s">
        <v>69</v>
      </c>
      <c r="Z976" t="s">
        <v>69</v>
      </c>
      <c r="AA976" t="s">
        <v>161</v>
      </c>
      <c r="AB976" t="s">
        <v>69</v>
      </c>
      <c r="AC976" t="s">
        <v>69</v>
      </c>
      <c r="AD976" t="s">
        <v>69</v>
      </c>
      <c r="AE976" t="s">
        <v>69</v>
      </c>
      <c r="AF976" t="s">
        <v>69</v>
      </c>
      <c r="AG976" t="s">
        <v>69</v>
      </c>
      <c r="AH976" t="s">
        <v>69</v>
      </c>
      <c r="AI976" t="s">
        <v>69</v>
      </c>
      <c r="AJ976" t="s">
        <v>69</v>
      </c>
      <c r="AK976" t="s">
        <v>69</v>
      </c>
      <c r="AL976">
        <v>11</v>
      </c>
      <c r="AM976">
        <v>1</v>
      </c>
      <c r="AN976">
        <v>1</v>
      </c>
      <c r="AO976">
        <v>0</v>
      </c>
      <c r="AP976">
        <v>0</v>
      </c>
      <c r="AQ976" t="s">
        <v>31953</v>
      </c>
      <c r="AR976" t="s">
        <v>31954</v>
      </c>
      <c r="AS976" t="s">
        <v>31955</v>
      </c>
      <c r="AT976" t="s">
        <v>162</v>
      </c>
      <c r="AU976" t="s">
        <v>163</v>
      </c>
      <c r="AV976" t="s">
        <v>69</v>
      </c>
      <c r="AW976" t="s">
        <v>31956</v>
      </c>
      <c r="AX976" t="s">
        <v>31957</v>
      </c>
      <c r="AY976" t="s">
        <v>164</v>
      </c>
      <c r="AZ976">
        <v>1999</v>
      </c>
      <c r="BA976">
        <v>34</v>
      </c>
      <c r="BB976">
        <v>26</v>
      </c>
      <c r="BC976" t="s">
        <v>69</v>
      </c>
      <c r="BD976" t="s">
        <v>69</v>
      </c>
      <c r="BE976" t="s">
        <v>69</v>
      </c>
      <c r="BF976" t="s">
        <v>69</v>
      </c>
      <c r="BG976" t="s">
        <v>165</v>
      </c>
      <c r="BH976" t="s">
        <v>166</v>
      </c>
      <c r="BI976" t="s">
        <v>69</v>
      </c>
      <c r="BJ976" t="s">
        <v>69</v>
      </c>
      <c r="BK976" t="s">
        <v>69</v>
      </c>
      <c r="BL976" t="s">
        <v>69</v>
      </c>
      <c r="BM976" t="s">
        <v>69</v>
      </c>
      <c r="BN976">
        <v>7</v>
      </c>
      <c r="BO976" t="s">
        <v>31958</v>
      </c>
      <c r="BP976" t="s">
        <v>8661</v>
      </c>
      <c r="BQ976" t="s">
        <v>31959</v>
      </c>
      <c r="BR976" t="s">
        <v>31960</v>
      </c>
      <c r="BS976" t="s">
        <v>167</v>
      </c>
      <c r="BT976" t="s">
        <v>69</v>
      </c>
      <c r="BU976" t="s">
        <v>69</v>
      </c>
      <c r="BV976" t="s">
        <v>69</v>
      </c>
      <c r="BW976" t="s">
        <v>69</v>
      </c>
      <c r="BX976" t="s">
        <v>8526</v>
      </c>
      <c r="BY976" t="str">
        <f>HYPERLINK("https%3A%2F%2Fwww.webofscience.com%2Fwos%2Fwoscc%2Ffull-record%2FWOS:000081660100016","View Full Record in Web of Science")</f>
        <v>View Full Record in Web of Science</v>
      </c>
    </row>
    <row r="977" spans="1:77" x14ac:dyDescent="0.3">
      <c r="A977" t="s">
        <v>8495</v>
      </c>
      <c r="B977" s="10" t="s">
        <v>33001</v>
      </c>
      <c r="F977" t="s">
        <v>67</v>
      </c>
      <c r="G977" t="s">
        <v>4448</v>
      </c>
      <c r="H977" t="s">
        <v>69</v>
      </c>
      <c r="I977" t="s">
        <v>69</v>
      </c>
      <c r="J977" t="s">
        <v>69</v>
      </c>
      <c r="K977" s="2" t="s">
        <v>4449</v>
      </c>
      <c r="L977" t="s">
        <v>69</v>
      </c>
      <c r="M977" t="s">
        <v>69</v>
      </c>
      <c r="N977" s="2" t="s">
        <v>4450</v>
      </c>
      <c r="O977" t="s">
        <v>4337</v>
      </c>
      <c r="P977" t="s">
        <v>69</v>
      </c>
      <c r="Q977" t="s">
        <v>69</v>
      </c>
      <c r="R977" t="s">
        <v>8505</v>
      </c>
      <c r="S977" t="s">
        <v>8506</v>
      </c>
      <c r="T977" t="s">
        <v>69</v>
      </c>
      <c r="U977" t="s">
        <v>69</v>
      </c>
      <c r="V977" t="s">
        <v>69</v>
      </c>
      <c r="W977" t="s">
        <v>69</v>
      </c>
      <c r="X977" t="s">
        <v>69</v>
      </c>
      <c r="Y977" t="s">
        <v>17096</v>
      </c>
      <c r="Z977" t="s">
        <v>17097</v>
      </c>
      <c r="AA977" t="s">
        <v>4451</v>
      </c>
      <c r="AB977" t="s">
        <v>17098</v>
      </c>
      <c r="AC977" t="s">
        <v>69</v>
      </c>
      <c r="AD977" t="s">
        <v>17099</v>
      </c>
      <c r="AE977" t="s">
        <v>17100</v>
      </c>
      <c r="AF977" t="s">
        <v>69</v>
      </c>
      <c r="AG977" t="s">
        <v>4452</v>
      </c>
      <c r="AH977" t="s">
        <v>69</v>
      </c>
      <c r="AI977" t="s">
        <v>69</v>
      </c>
      <c r="AJ977" t="s">
        <v>69</v>
      </c>
      <c r="AK977" t="s">
        <v>69</v>
      </c>
      <c r="AL977">
        <v>70</v>
      </c>
      <c r="AM977">
        <v>17</v>
      </c>
      <c r="AN977">
        <v>17</v>
      </c>
      <c r="AO977">
        <v>13</v>
      </c>
      <c r="AP977">
        <v>56</v>
      </c>
      <c r="AQ977" t="s">
        <v>8636</v>
      </c>
      <c r="AR977" t="s">
        <v>8637</v>
      </c>
      <c r="AS977" t="s">
        <v>8638</v>
      </c>
      <c r="AT977" t="s">
        <v>4341</v>
      </c>
      <c r="AU977" t="s">
        <v>4342</v>
      </c>
      <c r="AV977" t="s">
        <v>69</v>
      </c>
      <c r="AW977" t="s">
        <v>4337</v>
      </c>
      <c r="AX977" t="s">
        <v>8447</v>
      </c>
      <c r="AY977" t="s">
        <v>84</v>
      </c>
      <c r="AZ977">
        <v>2019</v>
      </c>
      <c r="BA977">
        <v>90</v>
      </c>
      <c r="BB977" t="s">
        <v>69</v>
      </c>
      <c r="BC977" t="s">
        <v>69</v>
      </c>
      <c r="BD977" t="s">
        <v>69</v>
      </c>
      <c r="BE977" t="s">
        <v>69</v>
      </c>
      <c r="BF977" t="s">
        <v>69</v>
      </c>
      <c r="BG977">
        <v>157</v>
      </c>
      <c r="BH977">
        <v>167</v>
      </c>
      <c r="BI977" t="s">
        <v>69</v>
      </c>
      <c r="BJ977" t="s">
        <v>4453</v>
      </c>
      <c r="BK977" t="str">
        <f>HYPERLINK("http://dx.doi.org/10.1016/j.cities.2019.02.002","http://dx.doi.org/10.1016/j.cities.2019.02.002")</f>
        <v>http://dx.doi.org/10.1016/j.cities.2019.02.002</v>
      </c>
      <c r="BL977" t="s">
        <v>69</v>
      </c>
      <c r="BM977" t="s">
        <v>69</v>
      </c>
      <c r="BN977">
        <v>11</v>
      </c>
      <c r="BO977" t="s">
        <v>8475</v>
      </c>
      <c r="BP977" t="s">
        <v>8661</v>
      </c>
      <c r="BQ977" t="s">
        <v>8475</v>
      </c>
      <c r="BR977" t="s">
        <v>17101</v>
      </c>
      <c r="BS977" t="s">
        <v>4454</v>
      </c>
      <c r="BT977" t="s">
        <v>69</v>
      </c>
      <c r="BU977" t="s">
        <v>10423</v>
      </c>
      <c r="BV977" t="s">
        <v>69</v>
      </c>
      <c r="BW977" t="s">
        <v>69</v>
      </c>
      <c r="BX977" t="s">
        <v>8526</v>
      </c>
      <c r="BY977" t="str">
        <f>HYPERLINK("https%3A%2F%2Fwww.webofscience.com%2Fwos%2Fwoscc%2Ffull-record%2FWOS:000471737900015","View Full Record in Web of Science")</f>
        <v>View Full Record in Web of Science</v>
      </c>
    </row>
    <row r="978" spans="1:77" ht="12.5" x14ac:dyDescent="0.25">
      <c r="A978" t="s">
        <v>8495</v>
      </c>
      <c r="B978" s="7" t="s">
        <v>32933</v>
      </c>
      <c r="C978" s="7"/>
      <c r="D978" s="7"/>
      <c r="E978" s="7"/>
      <c r="F978" t="s">
        <v>67</v>
      </c>
      <c r="G978" t="s">
        <v>6434</v>
      </c>
      <c r="H978" t="s">
        <v>69</v>
      </c>
      <c r="I978" t="s">
        <v>69</v>
      </c>
      <c r="J978" t="s">
        <v>69</v>
      </c>
      <c r="K978" t="s">
        <v>6435</v>
      </c>
      <c r="L978" t="s">
        <v>69</v>
      </c>
      <c r="M978" t="s">
        <v>69</v>
      </c>
      <c r="N978" t="s">
        <v>6436</v>
      </c>
      <c r="O978" t="s">
        <v>6437</v>
      </c>
      <c r="P978" t="s">
        <v>69</v>
      </c>
      <c r="Q978" t="s">
        <v>69</v>
      </c>
      <c r="R978" t="s">
        <v>8505</v>
      </c>
      <c r="S978" t="s">
        <v>8442</v>
      </c>
      <c r="T978" t="s">
        <v>69</v>
      </c>
      <c r="U978" t="s">
        <v>69</v>
      </c>
      <c r="V978" t="s">
        <v>69</v>
      </c>
      <c r="W978" t="s">
        <v>69</v>
      </c>
      <c r="X978" t="s">
        <v>69</v>
      </c>
      <c r="Y978" t="s">
        <v>24653</v>
      </c>
      <c r="Z978" t="s">
        <v>24654</v>
      </c>
      <c r="AA978" t="s">
        <v>6438</v>
      </c>
      <c r="AB978" t="s">
        <v>24655</v>
      </c>
      <c r="AC978" t="s">
        <v>69</v>
      </c>
      <c r="AD978" t="s">
        <v>24656</v>
      </c>
      <c r="AE978" t="s">
        <v>24657</v>
      </c>
      <c r="AF978" t="s">
        <v>24658</v>
      </c>
      <c r="AG978" t="s">
        <v>24659</v>
      </c>
      <c r="AH978" t="s">
        <v>24660</v>
      </c>
      <c r="AI978" t="s">
        <v>24661</v>
      </c>
      <c r="AJ978" t="s">
        <v>24662</v>
      </c>
      <c r="AK978" t="s">
        <v>69</v>
      </c>
      <c r="AL978">
        <v>144</v>
      </c>
      <c r="AM978">
        <v>204</v>
      </c>
      <c r="AN978">
        <v>206</v>
      </c>
      <c r="AO978">
        <v>18</v>
      </c>
      <c r="AP978">
        <v>491</v>
      </c>
      <c r="AQ978" t="s">
        <v>9145</v>
      </c>
      <c r="AR978" t="s">
        <v>8637</v>
      </c>
      <c r="AS978" t="s">
        <v>9146</v>
      </c>
      <c r="AT978" t="s">
        <v>6439</v>
      </c>
      <c r="AU978" t="s">
        <v>10683</v>
      </c>
      <c r="AV978" t="s">
        <v>69</v>
      </c>
      <c r="AW978" t="s">
        <v>10684</v>
      </c>
      <c r="AX978" t="s">
        <v>10685</v>
      </c>
      <c r="AY978" t="s">
        <v>2982</v>
      </c>
      <c r="AZ978">
        <v>2013</v>
      </c>
      <c r="BA978">
        <v>47</v>
      </c>
      <c r="BB978">
        <v>16</v>
      </c>
      <c r="BC978" t="s">
        <v>69</v>
      </c>
      <c r="BD978" t="s">
        <v>69</v>
      </c>
      <c r="BE978" t="s">
        <v>69</v>
      </c>
      <c r="BF978" t="s">
        <v>69</v>
      </c>
      <c r="BG978">
        <v>5955</v>
      </c>
      <c r="BH978">
        <v>5976</v>
      </c>
      <c r="BI978" t="s">
        <v>69</v>
      </c>
      <c r="BJ978" t="s">
        <v>6440</v>
      </c>
      <c r="BK978" t="str">
        <f>HYPERLINK("http://dx.doi.org/10.1016/j.watres.2013.07.015","http://dx.doi.org/10.1016/j.watres.2013.07.015")</f>
        <v>http://dx.doi.org/10.1016/j.watres.2013.07.015</v>
      </c>
      <c r="BL978" t="s">
        <v>69</v>
      </c>
      <c r="BM978" t="s">
        <v>69</v>
      </c>
      <c r="BN978">
        <v>22</v>
      </c>
      <c r="BO978" t="s">
        <v>10687</v>
      </c>
      <c r="BP978" t="s">
        <v>8548</v>
      </c>
      <c r="BQ978" t="s">
        <v>10688</v>
      </c>
      <c r="BR978" t="s">
        <v>24663</v>
      </c>
      <c r="BS978" t="s">
        <v>6441</v>
      </c>
      <c r="BT978">
        <v>24053940</v>
      </c>
      <c r="BU978" t="s">
        <v>69</v>
      </c>
      <c r="BV978" t="s">
        <v>69</v>
      </c>
      <c r="BW978" t="s">
        <v>69</v>
      </c>
      <c r="BX978" t="s">
        <v>8526</v>
      </c>
      <c r="BY978" t="str">
        <f>HYPERLINK("https%3A%2F%2Fwww.webofscience.com%2Fwos%2Fwoscc%2Ffull-record%2FWOS:000326910000001","View Full Record in Web of Science")</f>
        <v>View Full Record in Web of Science</v>
      </c>
    </row>
    <row r="979" spans="1:77" ht="12.5" x14ac:dyDescent="0.25">
      <c r="A979" t="s">
        <v>8495</v>
      </c>
      <c r="B979" s="22" t="s">
        <v>32931</v>
      </c>
      <c r="C979" s="7"/>
      <c r="D979" s="7"/>
      <c r="E979" s="7"/>
      <c r="F979" t="s">
        <v>67</v>
      </c>
      <c r="G979" t="s">
        <v>11421</v>
      </c>
      <c r="H979" t="s">
        <v>69</v>
      </c>
      <c r="I979" t="s">
        <v>69</v>
      </c>
      <c r="J979" t="s">
        <v>69</v>
      </c>
      <c r="K979" t="s">
        <v>11422</v>
      </c>
      <c r="L979" t="s">
        <v>69</v>
      </c>
      <c r="M979" t="s">
        <v>69</v>
      </c>
      <c r="N979" t="s">
        <v>11423</v>
      </c>
      <c r="O979" t="s">
        <v>4739</v>
      </c>
      <c r="P979" t="s">
        <v>69</v>
      </c>
      <c r="Q979" t="s">
        <v>69</v>
      </c>
      <c r="R979" t="s">
        <v>8505</v>
      </c>
      <c r="S979" t="s">
        <v>8506</v>
      </c>
      <c r="T979" t="s">
        <v>69</v>
      </c>
      <c r="U979" t="s">
        <v>69</v>
      </c>
      <c r="V979" t="s">
        <v>69</v>
      </c>
      <c r="W979" t="s">
        <v>69</v>
      </c>
      <c r="X979" t="s">
        <v>69</v>
      </c>
      <c r="Y979" t="s">
        <v>11424</v>
      </c>
      <c r="Z979" t="s">
        <v>11425</v>
      </c>
      <c r="AA979" t="s">
        <v>11426</v>
      </c>
      <c r="AB979" t="s">
        <v>11427</v>
      </c>
      <c r="AC979" t="s">
        <v>69</v>
      </c>
      <c r="AD979" t="s">
        <v>11428</v>
      </c>
      <c r="AE979" t="s">
        <v>11429</v>
      </c>
      <c r="AF979" t="s">
        <v>11430</v>
      </c>
      <c r="AG979" t="s">
        <v>11431</v>
      </c>
      <c r="AH979" t="s">
        <v>11432</v>
      </c>
      <c r="AI979" t="s">
        <v>11433</v>
      </c>
      <c r="AJ979" t="s">
        <v>11434</v>
      </c>
      <c r="AK979" t="s">
        <v>69</v>
      </c>
      <c r="AL979">
        <v>80</v>
      </c>
      <c r="AM979">
        <v>1</v>
      </c>
      <c r="AN979">
        <v>1</v>
      </c>
      <c r="AO979">
        <v>4</v>
      </c>
      <c r="AP979">
        <v>5</v>
      </c>
      <c r="AQ979" t="s">
        <v>8924</v>
      </c>
      <c r="AR979" t="s">
        <v>8925</v>
      </c>
      <c r="AS979" t="s">
        <v>8926</v>
      </c>
      <c r="AT979" t="s">
        <v>69</v>
      </c>
      <c r="AU979" t="s">
        <v>4741</v>
      </c>
      <c r="AV979" t="s">
        <v>69</v>
      </c>
      <c r="AW979" t="s">
        <v>11435</v>
      </c>
      <c r="AX979" t="s">
        <v>8426</v>
      </c>
      <c r="AY979" t="s">
        <v>255</v>
      </c>
      <c r="AZ979">
        <v>2021</v>
      </c>
      <c r="BA979">
        <v>13</v>
      </c>
      <c r="BB979">
        <v>18</v>
      </c>
      <c r="BC979" t="s">
        <v>69</v>
      </c>
      <c r="BD979" t="s">
        <v>69</v>
      </c>
      <c r="BE979" t="s">
        <v>69</v>
      </c>
      <c r="BF979" t="s">
        <v>69</v>
      </c>
      <c r="BG979" t="s">
        <v>69</v>
      </c>
      <c r="BH979" t="s">
        <v>69</v>
      </c>
      <c r="BI979">
        <v>2519</v>
      </c>
      <c r="BJ979" t="s">
        <v>11436</v>
      </c>
      <c r="BK979" t="str">
        <f>HYPERLINK("http://dx.doi.org/10.3390/w13182519","http://dx.doi.org/10.3390/w13182519")</f>
        <v>http://dx.doi.org/10.3390/w13182519</v>
      </c>
      <c r="BL979" t="s">
        <v>69</v>
      </c>
      <c r="BM979" t="s">
        <v>69</v>
      </c>
      <c r="BN979">
        <v>14</v>
      </c>
      <c r="BO979" t="s">
        <v>11437</v>
      </c>
      <c r="BP979" t="s">
        <v>8523</v>
      </c>
      <c r="BQ979" t="s">
        <v>11438</v>
      </c>
      <c r="BR979" t="s">
        <v>11439</v>
      </c>
      <c r="BS979" t="s">
        <v>11440</v>
      </c>
      <c r="BT979" t="s">
        <v>69</v>
      </c>
      <c r="BU979" t="s">
        <v>8931</v>
      </c>
      <c r="BV979" t="s">
        <v>69</v>
      </c>
      <c r="BW979" t="s">
        <v>69</v>
      </c>
      <c r="BX979" t="s">
        <v>8526</v>
      </c>
      <c r="BY979" t="str">
        <f>HYPERLINK("https%3A%2F%2Fwww.webofscience.com%2Fwos%2Fwoscc%2Ffull-record%2FWOS:000700136700001","View Full Record in Web of Science")</f>
        <v>View Full Record in Web of Science</v>
      </c>
    </row>
    <row r="980" spans="1:77" ht="12.5" x14ac:dyDescent="0.25">
      <c r="A980" t="s">
        <v>8495</v>
      </c>
      <c r="B980" s="7" t="s">
        <v>32933</v>
      </c>
      <c r="C980" s="7"/>
      <c r="D980" s="7"/>
      <c r="E980" s="7"/>
      <c r="F980" t="s">
        <v>67</v>
      </c>
      <c r="G980" t="s">
        <v>7441</v>
      </c>
      <c r="H980" t="s">
        <v>69</v>
      </c>
      <c r="I980" t="s">
        <v>69</v>
      </c>
      <c r="J980" t="s">
        <v>69</v>
      </c>
      <c r="K980" t="s">
        <v>7442</v>
      </c>
      <c r="L980" t="s">
        <v>69</v>
      </c>
      <c r="M980" t="s">
        <v>69</v>
      </c>
      <c r="N980" t="s">
        <v>7443</v>
      </c>
      <c r="O980" t="s">
        <v>7444</v>
      </c>
      <c r="P980" t="s">
        <v>69</v>
      </c>
      <c r="Q980" t="s">
        <v>69</v>
      </c>
      <c r="R980" t="s">
        <v>8505</v>
      </c>
      <c r="S980" t="s">
        <v>8506</v>
      </c>
      <c r="T980" t="s">
        <v>69</v>
      </c>
      <c r="U980" t="s">
        <v>69</v>
      </c>
      <c r="V980" t="s">
        <v>69</v>
      </c>
      <c r="W980" t="s">
        <v>69</v>
      </c>
      <c r="X980" t="s">
        <v>69</v>
      </c>
      <c r="Y980" t="s">
        <v>23566</v>
      </c>
      <c r="Z980" t="s">
        <v>23567</v>
      </c>
      <c r="AA980" t="s">
        <v>7445</v>
      </c>
      <c r="AB980" t="s">
        <v>23568</v>
      </c>
      <c r="AC980" t="s">
        <v>69</v>
      </c>
      <c r="AD980" t="s">
        <v>23569</v>
      </c>
      <c r="AE980" t="s">
        <v>23570</v>
      </c>
      <c r="AF980" t="s">
        <v>7446</v>
      </c>
      <c r="AG980" t="s">
        <v>23571</v>
      </c>
      <c r="AH980" t="s">
        <v>23572</v>
      </c>
      <c r="AI980" t="s">
        <v>23572</v>
      </c>
      <c r="AJ980" t="s">
        <v>23573</v>
      </c>
      <c r="AK980" t="s">
        <v>69</v>
      </c>
      <c r="AL980">
        <v>63</v>
      </c>
      <c r="AM980">
        <v>20</v>
      </c>
      <c r="AN980">
        <v>22</v>
      </c>
      <c r="AO980">
        <v>1</v>
      </c>
      <c r="AP980">
        <v>85</v>
      </c>
      <c r="AQ980" t="s">
        <v>9047</v>
      </c>
      <c r="AR980" t="s">
        <v>9048</v>
      </c>
      <c r="AS980" t="s">
        <v>9049</v>
      </c>
      <c r="AT980" t="s">
        <v>7447</v>
      </c>
      <c r="AU980" t="s">
        <v>7448</v>
      </c>
      <c r="AV980" t="s">
        <v>69</v>
      </c>
      <c r="AW980" t="s">
        <v>23574</v>
      </c>
      <c r="AX980" t="s">
        <v>23575</v>
      </c>
      <c r="AY980" t="s">
        <v>381</v>
      </c>
      <c r="AZ980">
        <v>2014</v>
      </c>
      <c r="BA980">
        <v>29</v>
      </c>
      <c r="BB980">
        <v>8</v>
      </c>
      <c r="BC980" t="s">
        <v>69</v>
      </c>
      <c r="BD980" t="s">
        <v>69</v>
      </c>
      <c r="BE980" t="s">
        <v>69</v>
      </c>
      <c r="BF980" t="s">
        <v>69</v>
      </c>
      <c r="BG980">
        <v>1447</v>
      </c>
      <c r="BH980">
        <v>1460</v>
      </c>
      <c r="BI980" t="s">
        <v>69</v>
      </c>
      <c r="BJ980" t="s">
        <v>7449</v>
      </c>
      <c r="BK980" t="str">
        <f>HYPERLINK("http://dx.doi.org/10.1007/s10980-014-0021-3","http://dx.doi.org/10.1007/s10980-014-0021-3")</f>
        <v>http://dx.doi.org/10.1007/s10980-014-0021-3</v>
      </c>
      <c r="BL980" t="s">
        <v>69</v>
      </c>
      <c r="BM980" t="s">
        <v>69</v>
      </c>
      <c r="BN980">
        <v>14</v>
      </c>
      <c r="BO980" t="s">
        <v>23576</v>
      </c>
      <c r="BP980" t="s">
        <v>8523</v>
      </c>
      <c r="BQ980" t="s">
        <v>18851</v>
      </c>
      <c r="BR980" t="s">
        <v>23577</v>
      </c>
      <c r="BS980" t="s">
        <v>7450</v>
      </c>
      <c r="BT980" t="s">
        <v>69</v>
      </c>
      <c r="BU980" t="s">
        <v>69</v>
      </c>
      <c r="BV980" t="s">
        <v>69</v>
      </c>
      <c r="BW980" t="s">
        <v>69</v>
      </c>
      <c r="BX980" t="s">
        <v>8526</v>
      </c>
      <c r="BY980" t="str">
        <f>HYPERLINK("https%3A%2F%2Fwww.webofscience.com%2Fwos%2Fwoscc%2Ffull-record%2FWOS:000342078600014","View Full Record in Web of Science")</f>
        <v>View Full Record in Web of Science</v>
      </c>
    </row>
    <row r="981" spans="1:77" ht="12.5" x14ac:dyDescent="0.25">
      <c r="A981" t="s">
        <v>8495</v>
      </c>
      <c r="B981" s="22" t="s">
        <v>32931</v>
      </c>
      <c r="C981" s="7"/>
      <c r="D981" s="7"/>
      <c r="E981" s="7"/>
      <c r="F981" t="s">
        <v>67</v>
      </c>
      <c r="G981" t="s">
        <v>9768</v>
      </c>
      <c r="H981" t="s">
        <v>69</v>
      </c>
      <c r="I981" t="s">
        <v>69</v>
      </c>
      <c r="J981" t="s">
        <v>69</v>
      </c>
      <c r="K981" t="s">
        <v>9769</v>
      </c>
      <c r="L981" t="s">
        <v>69</v>
      </c>
      <c r="M981" t="s">
        <v>69</v>
      </c>
      <c r="N981" t="s">
        <v>9770</v>
      </c>
      <c r="O981" t="s">
        <v>9771</v>
      </c>
      <c r="P981" t="s">
        <v>69</v>
      </c>
      <c r="Q981" t="s">
        <v>69</v>
      </c>
      <c r="R981" t="s">
        <v>8505</v>
      </c>
      <c r="S981" t="s">
        <v>8506</v>
      </c>
      <c r="T981" t="s">
        <v>69</v>
      </c>
      <c r="U981" t="s">
        <v>69</v>
      </c>
      <c r="V981" t="s">
        <v>69</v>
      </c>
      <c r="W981" t="s">
        <v>69</v>
      </c>
      <c r="X981" t="s">
        <v>69</v>
      </c>
      <c r="Y981" t="s">
        <v>9772</v>
      </c>
      <c r="Z981" t="s">
        <v>9773</v>
      </c>
      <c r="AA981" t="s">
        <v>9774</v>
      </c>
      <c r="AB981" t="s">
        <v>9775</v>
      </c>
      <c r="AC981" t="s">
        <v>69</v>
      </c>
      <c r="AD981" t="s">
        <v>9776</v>
      </c>
      <c r="AE981" t="s">
        <v>9777</v>
      </c>
      <c r="AF981" t="s">
        <v>69</v>
      </c>
      <c r="AG981" t="s">
        <v>69</v>
      </c>
      <c r="AH981" t="s">
        <v>9778</v>
      </c>
      <c r="AI981" t="s">
        <v>9779</v>
      </c>
      <c r="AJ981" t="s">
        <v>9780</v>
      </c>
      <c r="AK981" t="s">
        <v>69</v>
      </c>
      <c r="AL981">
        <v>80</v>
      </c>
      <c r="AM981">
        <v>0</v>
      </c>
      <c r="AN981">
        <v>0</v>
      </c>
      <c r="AO981">
        <v>0</v>
      </c>
      <c r="AP981">
        <v>0</v>
      </c>
      <c r="AQ981" t="s">
        <v>8516</v>
      </c>
      <c r="AR981" t="s">
        <v>8517</v>
      </c>
      <c r="AS981" t="s">
        <v>8518</v>
      </c>
      <c r="AT981" t="s">
        <v>69</v>
      </c>
      <c r="AU981" t="s">
        <v>9781</v>
      </c>
      <c r="AV981" t="s">
        <v>69</v>
      </c>
      <c r="AW981" t="s">
        <v>9782</v>
      </c>
      <c r="AX981" t="s">
        <v>9783</v>
      </c>
      <c r="AY981" t="s">
        <v>94</v>
      </c>
      <c r="AZ981">
        <v>2022</v>
      </c>
      <c r="BA981">
        <v>7</v>
      </c>
      <c r="BB981" t="s">
        <v>69</v>
      </c>
      <c r="BC981" t="s">
        <v>69</v>
      </c>
      <c r="BD981" t="s">
        <v>69</v>
      </c>
      <c r="BE981" t="s">
        <v>69</v>
      </c>
      <c r="BF981" t="s">
        <v>69</v>
      </c>
      <c r="BG981" t="s">
        <v>69</v>
      </c>
      <c r="BH981" t="s">
        <v>69</v>
      </c>
      <c r="BI981">
        <v>100197</v>
      </c>
      <c r="BJ981" t="s">
        <v>9784</v>
      </c>
      <c r="BK981" t="str">
        <f>HYPERLINK("http://dx.doi.org/10.1016/j.tfp.2022.100197","http://dx.doi.org/10.1016/j.tfp.2022.100197")</f>
        <v>http://dx.doi.org/10.1016/j.tfp.2022.100197</v>
      </c>
      <c r="BL981" t="s">
        <v>69</v>
      </c>
      <c r="BM981" t="s">
        <v>69</v>
      </c>
      <c r="BN981">
        <v>12</v>
      </c>
      <c r="BO981" t="s">
        <v>8453</v>
      </c>
      <c r="BP981" t="s">
        <v>8573</v>
      </c>
      <c r="BQ981" t="s">
        <v>8453</v>
      </c>
      <c r="BR981" t="s">
        <v>9785</v>
      </c>
      <c r="BS981" t="s">
        <v>9786</v>
      </c>
      <c r="BT981" t="s">
        <v>69</v>
      </c>
      <c r="BU981" t="s">
        <v>8931</v>
      </c>
      <c r="BV981" t="s">
        <v>69</v>
      </c>
      <c r="BW981" t="s">
        <v>69</v>
      </c>
      <c r="BX981" t="s">
        <v>8526</v>
      </c>
      <c r="BY981" t="str">
        <f>HYPERLINK("https%3A%2F%2Fwww.webofscience.com%2Fwos%2Fwoscc%2Ffull-record%2FWOS:000762160500005","View Full Record in Web of Science")</f>
        <v>View Full Record in Web of Science</v>
      </c>
    </row>
    <row r="982" spans="1:77" ht="12.5" x14ac:dyDescent="0.25">
      <c r="A982" t="s">
        <v>8495</v>
      </c>
      <c r="B982" s="7" t="s">
        <v>32933</v>
      </c>
      <c r="C982" s="7"/>
      <c r="D982" s="7"/>
      <c r="E982" s="7"/>
      <c r="F982" t="s">
        <v>67</v>
      </c>
      <c r="G982" t="s">
        <v>125</v>
      </c>
      <c r="H982" t="s">
        <v>69</v>
      </c>
      <c r="I982" t="s">
        <v>69</v>
      </c>
      <c r="J982" t="s">
        <v>69</v>
      </c>
      <c r="K982" t="s">
        <v>126</v>
      </c>
      <c r="L982" t="s">
        <v>69</v>
      </c>
      <c r="M982" t="s">
        <v>69</v>
      </c>
      <c r="N982" t="s">
        <v>127</v>
      </c>
      <c r="O982" t="s">
        <v>128</v>
      </c>
      <c r="P982" t="s">
        <v>69</v>
      </c>
      <c r="Q982" t="s">
        <v>69</v>
      </c>
      <c r="R982" t="s">
        <v>8505</v>
      </c>
      <c r="S982" t="s">
        <v>8506</v>
      </c>
      <c r="T982" t="s">
        <v>69</v>
      </c>
      <c r="U982" t="s">
        <v>69</v>
      </c>
      <c r="V982" t="s">
        <v>69</v>
      </c>
      <c r="W982" t="s">
        <v>69</v>
      </c>
      <c r="X982" t="s">
        <v>69</v>
      </c>
      <c r="Y982" t="s">
        <v>20575</v>
      </c>
      <c r="Z982" t="s">
        <v>20576</v>
      </c>
      <c r="AA982" t="s">
        <v>129</v>
      </c>
      <c r="AB982" t="s">
        <v>20577</v>
      </c>
      <c r="AC982" t="s">
        <v>69</v>
      </c>
      <c r="AD982" t="s">
        <v>20578</v>
      </c>
      <c r="AE982" t="s">
        <v>20579</v>
      </c>
      <c r="AF982" t="s">
        <v>130</v>
      </c>
      <c r="AG982" t="s">
        <v>20580</v>
      </c>
      <c r="AH982" t="s">
        <v>20581</v>
      </c>
      <c r="AI982" t="s">
        <v>20582</v>
      </c>
      <c r="AJ982" t="s">
        <v>20583</v>
      </c>
      <c r="AK982" t="s">
        <v>69</v>
      </c>
      <c r="AL982">
        <v>65</v>
      </c>
      <c r="AM982">
        <v>27</v>
      </c>
      <c r="AN982">
        <v>28</v>
      </c>
      <c r="AO982">
        <v>1</v>
      </c>
      <c r="AP982">
        <v>31</v>
      </c>
      <c r="AQ982" t="s">
        <v>8516</v>
      </c>
      <c r="AR982" t="s">
        <v>8517</v>
      </c>
      <c r="AS982" t="s">
        <v>8518</v>
      </c>
      <c r="AT982" t="s">
        <v>131</v>
      </c>
      <c r="AU982" t="s">
        <v>132</v>
      </c>
      <c r="AV982" t="s">
        <v>69</v>
      </c>
      <c r="AW982" t="s">
        <v>128</v>
      </c>
      <c r="AX982" t="s">
        <v>20584</v>
      </c>
      <c r="AY982" t="s">
        <v>133</v>
      </c>
      <c r="AZ982">
        <v>2017</v>
      </c>
      <c r="BA982">
        <v>468</v>
      </c>
      <c r="BB982" t="s">
        <v>69</v>
      </c>
      <c r="BC982">
        <v>1</v>
      </c>
      <c r="BD982" t="s">
        <v>69</v>
      </c>
      <c r="BE982" t="s">
        <v>69</v>
      </c>
      <c r="BF982" t="s">
        <v>69</v>
      </c>
      <c r="BG982">
        <v>262</v>
      </c>
      <c r="BH982">
        <v>270</v>
      </c>
      <c r="BI982" t="s">
        <v>69</v>
      </c>
      <c r="BJ982" t="s">
        <v>134</v>
      </c>
      <c r="BK982" t="str">
        <f>HYPERLINK("http://dx.doi.org/10.1016/j.aquaculture.2016.10.019","http://dx.doi.org/10.1016/j.aquaculture.2016.10.019")</f>
        <v>http://dx.doi.org/10.1016/j.aquaculture.2016.10.019</v>
      </c>
      <c r="BL982" t="s">
        <v>69</v>
      </c>
      <c r="BM982" t="s">
        <v>69</v>
      </c>
      <c r="BN982">
        <v>9</v>
      </c>
      <c r="BO982" t="s">
        <v>9055</v>
      </c>
      <c r="BP982" t="s">
        <v>8523</v>
      </c>
      <c r="BQ982" t="s">
        <v>9055</v>
      </c>
      <c r="BR982" t="s">
        <v>20585</v>
      </c>
      <c r="BS982" t="s">
        <v>135</v>
      </c>
      <c r="BT982" t="s">
        <v>69</v>
      </c>
      <c r="BU982" t="s">
        <v>69</v>
      </c>
      <c r="BV982" t="s">
        <v>69</v>
      </c>
      <c r="BW982" t="s">
        <v>69</v>
      </c>
      <c r="BX982" t="s">
        <v>8526</v>
      </c>
      <c r="BY982" t="str">
        <f>HYPERLINK("https%3A%2F%2Fwww.webofscience.com%2Fwos%2Fwoscc%2Ffull-record%2FWOS:000390735200035","View Full Record in Web of Science")</f>
        <v>View Full Record in Web of Science</v>
      </c>
    </row>
    <row r="983" spans="1:77" ht="12.5" x14ac:dyDescent="0.25">
      <c r="A983" t="s">
        <v>8495</v>
      </c>
      <c r="B983" s="22" t="s">
        <v>32931</v>
      </c>
      <c r="C983" s="7"/>
      <c r="D983" s="7"/>
      <c r="E983" s="7"/>
      <c r="F983" t="s">
        <v>67</v>
      </c>
      <c r="G983" t="s">
        <v>24898</v>
      </c>
      <c r="H983" t="s">
        <v>69</v>
      </c>
      <c r="I983" t="s">
        <v>69</v>
      </c>
      <c r="J983" t="s">
        <v>69</v>
      </c>
      <c r="K983" t="s">
        <v>24899</v>
      </c>
      <c r="L983" t="s">
        <v>69</v>
      </c>
      <c r="M983" t="s">
        <v>69</v>
      </c>
      <c r="N983" t="s">
        <v>24900</v>
      </c>
      <c r="O983" t="s">
        <v>24901</v>
      </c>
      <c r="P983" t="s">
        <v>69</v>
      </c>
      <c r="Q983" t="s">
        <v>69</v>
      </c>
      <c r="R983" t="s">
        <v>8505</v>
      </c>
      <c r="S983" t="s">
        <v>8506</v>
      </c>
      <c r="T983" t="s">
        <v>69</v>
      </c>
      <c r="U983" t="s">
        <v>69</v>
      </c>
      <c r="V983" t="s">
        <v>69</v>
      </c>
      <c r="W983" t="s">
        <v>69</v>
      </c>
      <c r="X983" t="s">
        <v>69</v>
      </c>
      <c r="Y983" t="s">
        <v>24902</v>
      </c>
      <c r="Z983" t="s">
        <v>69</v>
      </c>
      <c r="AA983" t="s">
        <v>24903</v>
      </c>
      <c r="AB983" t="s">
        <v>24904</v>
      </c>
      <c r="AC983" t="s">
        <v>69</v>
      </c>
      <c r="AD983" t="s">
        <v>24905</v>
      </c>
      <c r="AE983" t="s">
        <v>24906</v>
      </c>
      <c r="AF983" t="s">
        <v>69</v>
      </c>
      <c r="AG983" t="s">
        <v>69</v>
      </c>
      <c r="AH983" t="s">
        <v>69</v>
      </c>
      <c r="AI983" t="s">
        <v>69</v>
      </c>
      <c r="AJ983" t="s">
        <v>69</v>
      </c>
      <c r="AK983" t="s">
        <v>69</v>
      </c>
      <c r="AL983">
        <v>15</v>
      </c>
      <c r="AM983">
        <v>1</v>
      </c>
      <c r="AN983">
        <v>1</v>
      </c>
      <c r="AO983">
        <v>0</v>
      </c>
      <c r="AP983">
        <v>0</v>
      </c>
      <c r="AQ983" t="s">
        <v>8762</v>
      </c>
      <c r="AR983" t="s">
        <v>8763</v>
      </c>
      <c r="AS983" t="s">
        <v>8764</v>
      </c>
      <c r="AT983" t="s">
        <v>24907</v>
      </c>
      <c r="AU983" t="s">
        <v>24908</v>
      </c>
      <c r="AV983" t="s">
        <v>69</v>
      </c>
      <c r="AW983" t="s">
        <v>24909</v>
      </c>
      <c r="AX983" t="s">
        <v>24910</v>
      </c>
      <c r="AY983" t="s">
        <v>84</v>
      </c>
      <c r="AZ983">
        <v>2013</v>
      </c>
      <c r="BA983">
        <v>6</v>
      </c>
      <c r="BB983">
        <v>4</v>
      </c>
      <c r="BC983" t="s">
        <v>69</v>
      </c>
      <c r="BD983" t="s">
        <v>69</v>
      </c>
      <c r="BE983" t="s">
        <v>69</v>
      </c>
      <c r="BF983" t="s">
        <v>69</v>
      </c>
      <c r="BG983">
        <v>254</v>
      </c>
      <c r="BH983">
        <v>257</v>
      </c>
      <c r="BI983" t="s">
        <v>69</v>
      </c>
      <c r="BJ983" t="s">
        <v>24911</v>
      </c>
      <c r="BK983" t="str">
        <f>HYPERLINK("http://dx.doi.org/10.1177/2051415813476701","http://dx.doi.org/10.1177/2051415813476701")</f>
        <v>http://dx.doi.org/10.1177/2051415813476701</v>
      </c>
      <c r="BL983" t="s">
        <v>69</v>
      </c>
      <c r="BM983" t="s">
        <v>69</v>
      </c>
      <c r="BN983">
        <v>4</v>
      </c>
      <c r="BO983" t="s">
        <v>8888</v>
      </c>
      <c r="BP983" t="s">
        <v>8573</v>
      </c>
      <c r="BQ983" t="s">
        <v>8888</v>
      </c>
      <c r="BR983" t="s">
        <v>24912</v>
      </c>
      <c r="BS983" t="s">
        <v>24913</v>
      </c>
      <c r="BT983" t="s">
        <v>69</v>
      </c>
      <c r="BU983" t="s">
        <v>69</v>
      </c>
      <c r="BV983" t="s">
        <v>69</v>
      </c>
      <c r="BW983" t="s">
        <v>69</v>
      </c>
      <c r="BX983" t="s">
        <v>8526</v>
      </c>
      <c r="BY983" t="str">
        <f>HYPERLINK("https%3A%2F%2Fwww.webofscience.com%2Fwos%2Fwoscc%2Ffull-record%2FWOS:000219673400011","View Full Record in Web of Science")</f>
        <v>View Full Record in Web of Science</v>
      </c>
    </row>
    <row r="984" spans="1:77" ht="12.5" x14ac:dyDescent="0.25">
      <c r="A984" t="s">
        <v>8495</v>
      </c>
      <c r="B984" s="22" t="s">
        <v>32931</v>
      </c>
      <c r="C984" s="7"/>
      <c r="D984" s="7"/>
      <c r="E984" s="7"/>
      <c r="F984" t="s">
        <v>67</v>
      </c>
      <c r="G984" t="s">
        <v>8748</v>
      </c>
      <c r="H984" t="s">
        <v>69</v>
      </c>
      <c r="I984" t="s">
        <v>69</v>
      </c>
      <c r="J984" t="s">
        <v>69</v>
      </c>
      <c r="K984" t="s">
        <v>8749</v>
      </c>
      <c r="L984" t="s">
        <v>69</v>
      </c>
      <c r="M984" t="s">
        <v>69</v>
      </c>
      <c r="N984" t="s">
        <v>8750</v>
      </c>
      <c r="O984" t="s">
        <v>8751</v>
      </c>
      <c r="P984" t="s">
        <v>69</v>
      </c>
      <c r="Q984" t="s">
        <v>69</v>
      </c>
      <c r="R984" t="s">
        <v>8505</v>
      </c>
      <c r="S984" t="s">
        <v>8556</v>
      </c>
      <c r="T984" t="s">
        <v>69</v>
      </c>
      <c r="U984" t="s">
        <v>69</v>
      </c>
      <c r="V984" t="s">
        <v>69</v>
      </c>
      <c r="W984" t="s">
        <v>69</v>
      </c>
      <c r="X984" t="s">
        <v>69</v>
      </c>
      <c r="Y984" t="s">
        <v>8752</v>
      </c>
      <c r="Z984" t="s">
        <v>8753</v>
      </c>
      <c r="AA984" t="s">
        <v>8754</v>
      </c>
      <c r="AB984" t="s">
        <v>8755</v>
      </c>
      <c r="AC984" t="s">
        <v>69</v>
      </c>
      <c r="AD984" t="s">
        <v>8756</v>
      </c>
      <c r="AE984" t="s">
        <v>8757</v>
      </c>
      <c r="AF984" t="s">
        <v>69</v>
      </c>
      <c r="AG984" t="s">
        <v>8758</v>
      </c>
      <c r="AH984" t="s">
        <v>8759</v>
      </c>
      <c r="AI984" t="s">
        <v>8760</v>
      </c>
      <c r="AJ984" t="s">
        <v>8761</v>
      </c>
      <c r="AK984" t="s">
        <v>69</v>
      </c>
      <c r="AL984">
        <v>44</v>
      </c>
      <c r="AM984">
        <v>0</v>
      </c>
      <c r="AN984">
        <v>0</v>
      </c>
      <c r="AO984">
        <v>0</v>
      </c>
      <c r="AP984">
        <v>0</v>
      </c>
      <c r="AQ984" t="s">
        <v>8762</v>
      </c>
      <c r="AR984" t="s">
        <v>8763</v>
      </c>
      <c r="AS984" t="s">
        <v>8764</v>
      </c>
      <c r="AT984" t="s">
        <v>8765</v>
      </c>
      <c r="AU984" t="s">
        <v>8766</v>
      </c>
      <c r="AV984" t="s">
        <v>69</v>
      </c>
      <c r="AW984" t="s">
        <v>8767</v>
      </c>
      <c r="AX984" t="s">
        <v>8768</v>
      </c>
      <c r="AY984" t="s">
        <v>69</v>
      </c>
      <c r="AZ984" t="s">
        <v>69</v>
      </c>
      <c r="BA984" t="s">
        <v>69</v>
      </c>
      <c r="BB984" t="s">
        <v>69</v>
      </c>
      <c r="BC984" t="s">
        <v>69</v>
      </c>
      <c r="BD984" t="s">
        <v>69</v>
      </c>
      <c r="BE984" t="s">
        <v>69</v>
      </c>
      <c r="BF984" t="s">
        <v>69</v>
      </c>
      <c r="BG984" t="s">
        <v>69</v>
      </c>
      <c r="BH984" t="s">
        <v>69</v>
      </c>
      <c r="BI984" t="s">
        <v>69</v>
      </c>
      <c r="BJ984" t="s">
        <v>8769</v>
      </c>
      <c r="BK984" t="str">
        <f>HYPERLINK("http://dx.doi.org/10.1177/09697330221105630","http://dx.doi.org/10.1177/09697330221105630")</f>
        <v>http://dx.doi.org/10.1177/09697330221105630</v>
      </c>
      <c r="BL984" t="s">
        <v>69</v>
      </c>
      <c r="BM984" t="s">
        <v>8742</v>
      </c>
      <c r="BN984">
        <v>10</v>
      </c>
      <c r="BO984" t="s">
        <v>8770</v>
      </c>
      <c r="BP984" t="s">
        <v>8523</v>
      </c>
      <c r="BQ984" t="s">
        <v>8771</v>
      </c>
      <c r="BR984" t="s">
        <v>8772</v>
      </c>
      <c r="BS984" t="s">
        <v>8773</v>
      </c>
      <c r="BT984">
        <v>35724428</v>
      </c>
      <c r="BU984" t="s">
        <v>69</v>
      </c>
      <c r="BV984" t="s">
        <v>69</v>
      </c>
      <c r="BW984" t="s">
        <v>69</v>
      </c>
      <c r="BX984" t="s">
        <v>8526</v>
      </c>
      <c r="BY984" t="str">
        <f>HYPERLINK("https%3A%2F%2Fwww.webofscience.com%2Fwos%2Fwoscc%2Ffull-record%2FWOS:000813553600001","View Full Record in Web of Science")</f>
        <v>View Full Record in Web of Science</v>
      </c>
    </row>
    <row r="985" spans="1:77" ht="12.5" x14ac:dyDescent="0.25">
      <c r="A985" t="s">
        <v>8495</v>
      </c>
      <c r="B985" s="22" t="s">
        <v>32931</v>
      </c>
      <c r="C985" s="7"/>
      <c r="D985" s="7"/>
      <c r="E985" s="7"/>
      <c r="F985" t="s">
        <v>67</v>
      </c>
      <c r="G985" t="s">
        <v>29259</v>
      </c>
      <c r="H985" t="s">
        <v>69</v>
      </c>
      <c r="I985" t="s">
        <v>69</v>
      </c>
      <c r="J985" t="s">
        <v>69</v>
      </c>
      <c r="K985" t="s">
        <v>29260</v>
      </c>
      <c r="L985" t="s">
        <v>69</v>
      </c>
      <c r="M985" t="s">
        <v>69</v>
      </c>
      <c r="N985" t="s">
        <v>29261</v>
      </c>
      <c r="O985" t="s">
        <v>29262</v>
      </c>
      <c r="P985" t="s">
        <v>69</v>
      </c>
      <c r="Q985" t="s">
        <v>69</v>
      </c>
      <c r="R985" t="s">
        <v>8505</v>
      </c>
      <c r="S985" t="s">
        <v>8506</v>
      </c>
      <c r="T985" t="s">
        <v>69</v>
      </c>
      <c r="U985" t="s">
        <v>69</v>
      </c>
      <c r="V985" t="s">
        <v>69</v>
      </c>
      <c r="W985" t="s">
        <v>69</v>
      </c>
      <c r="X985" t="s">
        <v>69</v>
      </c>
      <c r="Y985" t="s">
        <v>69</v>
      </c>
      <c r="Z985" t="s">
        <v>69</v>
      </c>
      <c r="AA985" t="s">
        <v>29263</v>
      </c>
      <c r="AB985" t="s">
        <v>29264</v>
      </c>
      <c r="AC985" t="s">
        <v>69</v>
      </c>
      <c r="AD985" t="s">
        <v>29265</v>
      </c>
      <c r="AE985" t="s">
        <v>69</v>
      </c>
      <c r="AF985" t="s">
        <v>69</v>
      </c>
      <c r="AG985" t="s">
        <v>69</v>
      </c>
      <c r="AH985" t="s">
        <v>69</v>
      </c>
      <c r="AI985" t="s">
        <v>69</v>
      </c>
      <c r="AJ985" t="s">
        <v>69</v>
      </c>
      <c r="AK985" t="s">
        <v>69</v>
      </c>
      <c r="AL985">
        <v>10</v>
      </c>
      <c r="AM985">
        <v>2</v>
      </c>
      <c r="AN985">
        <v>4</v>
      </c>
      <c r="AO985">
        <v>0</v>
      </c>
      <c r="AP985">
        <v>6</v>
      </c>
      <c r="AQ985" t="s">
        <v>10315</v>
      </c>
      <c r="AR985" t="s">
        <v>10316</v>
      </c>
      <c r="AS985" t="s">
        <v>29266</v>
      </c>
      <c r="AT985" t="s">
        <v>29267</v>
      </c>
      <c r="AU985" t="s">
        <v>69</v>
      </c>
      <c r="AV985" t="s">
        <v>69</v>
      </c>
      <c r="AW985" t="s">
        <v>29268</v>
      </c>
      <c r="AX985" t="s">
        <v>29269</v>
      </c>
      <c r="AY985" t="s">
        <v>246</v>
      </c>
      <c r="AZ985">
        <v>2008</v>
      </c>
      <c r="BA985">
        <v>23</v>
      </c>
      <c r="BB985">
        <v>4</v>
      </c>
      <c r="BC985" t="s">
        <v>69</v>
      </c>
      <c r="BD985" t="s">
        <v>69</v>
      </c>
      <c r="BE985" t="s">
        <v>69</v>
      </c>
      <c r="BF985" t="s">
        <v>69</v>
      </c>
      <c r="BG985">
        <v>31</v>
      </c>
      <c r="BH985">
        <v>44</v>
      </c>
      <c r="BI985" t="s">
        <v>69</v>
      </c>
      <c r="BJ985" t="s">
        <v>29270</v>
      </c>
      <c r="BK985" t="str">
        <f>HYPERLINK("http://dx.doi.org/10.1109/MAES.2008.4493440","http://dx.doi.org/10.1109/MAES.2008.4493440")</f>
        <v>http://dx.doi.org/10.1109/MAES.2008.4493440</v>
      </c>
      <c r="BL985" t="s">
        <v>69</v>
      </c>
      <c r="BM985" t="s">
        <v>69</v>
      </c>
      <c r="BN985">
        <v>14</v>
      </c>
      <c r="BO985" t="s">
        <v>29271</v>
      </c>
      <c r="BP985" t="s">
        <v>8548</v>
      </c>
      <c r="BQ985" t="s">
        <v>8445</v>
      </c>
      <c r="BR985" t="s">
        <v>29272</v>
      </c>
      <c r="BS985" t="s">
        <v>29273</v>
      </c>
      <c r="BT985" t="s">
        <v>69</v>
      </c>
      <c r="BU985" t="s">
        <v>69</v>
      </c>
      <c r="BV985" t="s">
        <v>69</v>
      </c>
      <c r="BW985" t="s">
        <v>69</v>
      </c>
      <c r="BX985" t="s">
        <v>8526</v>
      </c>
      <c r="BY985" t="str">
        <f>HYPERLINK("https%3A%2F%2Fwww.webofscience.com%2Fwos%2Fwoscc%2Ffull-record%2FWOS:000258075200006","View Full Record in Web of Science")</f>
        <v>View Full Record in Web of Science</v>
      </c>
    </row>
    <row r="986" spans="1:77" ht="12.5" x14ac:dyDescent="0.25">
      <c r="A986" t="s">
        <v>8495</v>
      </c>
      <c r="B986" s="22" t="s">
        <v>32931</v>
      </c>
      <c r="C986" s="7"/>
      <c r="D986" s="7"/>
      <c r="E986" s="7"/>
      <c r="F986" t="s">
        <v>67</v>
      </c>
      <c r="G986" t="s">
        <v>25405</v>
      </c>
      <c r="H986" t="s">
        <v>69</v>
      </c>
      <c r="I986" t="s">
        <v>69</v>
      </c>
      <c r="J986" t="s">
        <v>69</v>
      </c>
      <c r="K986" t="s">
        <v>25406</v>
      </c>
      <c r="L986" t="s">
        <v>69</v>
      </c>
      <c r="M986" t="s">
        <v>69</v>
      </c>
      <c r="N986" t="s">
        <v>25407</v>
      </c>
      <c r="O986" t="s">
        <v>25408</v>
      </c>
      <c r="P986" t="s">
        <v>69</v>
      </c>
      <c r="Q986" t="s">
        <v>69</v>
      </c>
      <c r="R986" t="s">
        <v>8505</v>
      </c>
      <c r="S986" t="s">
        <v>8442</v>
      </c>
      <c r="T986" t="s">
        <v>69</v>
      </c>
      <c r="U986" t="s">
        <v>69</v>
      </c>
      <c r="V986" t="s">
        <v>69</v>
      </c>
      <c r="W986" t="s">
        <v>69</v>
      </c>
      <c r="X986" t="s">
        <v>69</v>
      </c>
      <c r="Y986" t="s">
        <v>69</v>
      </c>
      <c r="Z986" t="s">
        <v>25409</v>
      </c>
      <c r="AA986" t="s">
        <v>25410</v>
      </c>
      <c r="AB986" t="s">
        <v>25411</v>
      </c>
      <c r="AC986" t="s">
        <v>69</v>
      </c>
      <c r="AD986" t="s">
        <v>25412</v>
      </c>
      <c r="AE986" t="s">
        <v>25413</v>
      </c>
      <c r="AF986" t="s">
        <v>25414</v>
      </c>
      <c r="AG986" t="s">
        <v>25415</v>
      </c>
      <c r="AH986" t="s">
        <v>69</v>
      </c>
      <c r="AI986" t="s">
        <v>69</v>
      </c>
      <c r="AJ986" t="s">
        <v>69</v>
      </c>
      <c r="AK986" t="s">
        <v>69</v>
      </c>
      <c r="AL986">
        <v>147</v>
      </c>
      <c r="AM986">
        <v>255</v>
      </c>
      <c r="AN986">
        <v>258</v>
      </c>
      <c r="AO986">
        <v>19</v>
      </c>
      <c r="AP986">
        <v>287</v>
      </c>
      <c r="AQ986" t="s">
        <v>8846</v>
      </c>
      <c r="AR986" t="s">
        <v>8847</v>
      </c>
      <c r="AS986" t="s">
        <v>8848</v>
      </c>
      <c r="AT986" t="s">
        <v>25416</v>
      </c>
      <c r="AU986" t="s">
        <v>25417</v>
      </c>
      <c r="AV986" t="s">
        <v>69</v>
      </c>
      <c r="AW986" t="s">
        <v>25418</v>
      </c>
      <c r="AX986" t="s">
        <v>25419</v>
      </c>
      <c r="AY986" t="s">
        <v>373</v>
      </c>
      <c r="AZ986">
        <v>2013</v>
      </c>
      <c r="BA986">
        <v>15</v>
      </c>
      <c r="BB986">
        <v>1</v>
      </c>
      <c r="BC986" t="s">
        <v>69</v>
      </c>
      <c r="BD986" t="s">
        <v>69</v>
      </c>
      <c r="BE986" t="s">
        <v>69</v>
      </c>
      <c r="BF986" t="s">
        <v>69</v>
      </c>
      <c r="BG986">
        <v>47</v>
      </c>
      <c r="BH986">
        <v>65</v>
      </c>
      <c r="BI986" t="s">
        <v>69</v>
      </c>
      <c r="BJ986" t="s">
        <v>25420</v>
      </c>
      <c r="BK986" t="str">
        <f>HYPERLINK("http://dx.doi.org/10.1111/j.1468-2370.2012.00334.x","http://dx.doi.org/10.1111/j.1468-2370.2012.00334.x")</f>
        <v>http://dx.doi.org/10.1111/j.1468-2370.2012.00334.x</v>
      </c>
      <c r="BL986" t="s">
        <v>69</v>
      </c>
      <c r="BM986" t="s">
        <v>69</v>
      </c>
      <c r="BN986">
        <v>19</v>
      </c>
      <c r="BO986" t="s">
        <v>8791</v>
      </c>
      <c r="BP986" t="s">
        <v>8661</v>
      </c>
      <c r="BQ986" t="s">
        <v>8594</v>
      </c>
      <c r="BR986" t="s">
        <v>25421</v>
      </c>
      <c r="BS986" t="s">
        <v>25422</v>
      </c>
      <c r="BT986" t="s">
        <v>69</v>
      </c>
      <c r="BU986" t="s">
        <v>69</v>
      </c>
      <c r="BV986" t="s">
        <v>15211</v>
      </c>
      <c r="BW986" t="s">
        <v>15212</v>
      </c>
      <c r="BX986" t="s">
        <v>8526</v>
      </c>
      <c r="BY986" t="str">
        <f>HYPERLINK("https%3A%2F%2Fwww.webofscience.com%2Fwos%2Fwoscc%2Ffull-record%2FWOS:000312536300004","View Full Record in Web of Science")</f>
        <v>View Full Record in Web of Science</v>
      </c>
    </row>
    <row r="987" spans="1:77" ht="12.5" x14ac:dyDescent="0.25">
      <c r="A987" t="s">
        <v>8495</v>
      </c>
      <c r="B987" s="22" t="s">
        <v>32931</v>
      </c>
      <c r="C987" s="7"/>
      <c r="D987" s="7"/>
      <c r="E987" s="7"/>
      <c r="F987" t="s">
        <v>67</v>
      </c>
      <c r="G987" t="s">
        <v>24086</v>
      </c>
      <c r="H987" t="s">
        <v>69</v>
      </c>
      <c r="I987" t="s">
        <v>69</v>
      </c>
      <c r="J987" t="s">
        <v>69</v>
      </c>
      <c r="K987" t="s">
        <v>24087</v>
      </c>
      <c r="L987" t="s">
        <v>69</v>
      </c>
      <c r="M987" t="s">
        <v>69</v>
      </c>
      <c r="N987" t="s">
        <v>24088</v>
      </c>
      <c r="O987" t="s">
        <v>24089</v>
      </c>
      <c r="P987" t="s">
        <v>69</v>
      </c>
      <c r="Q987" t="s">
        <v>69</v>
      </c>
      <c r="R987" t="s">
        <v>9357</v>
      </c>
      <c r="S987" t="s">
        <v>8506</v>
      </c>
      <c r="T987" t="s">
        <v>69</v>
      </c>
      <c r="U987" t="s">
        <v>69</v>
      </c>
      <c r="V987" t="s">
        <v>69</v>
      </c>
      <c r="W987" t="s">
        <v>69</v>
      </c>
      <c r="X987" t="s">
        <v>69</v>
      </c>
      <c r="Y987" t="s">
        <v>24090</v>
      </c>
      <c r="Z987" t="s">
        <v>69</v>
      </c>
      <c r="AA987" t="s">
        <v>24091</v>
      </c>
      <c r="AB987" t="s">
        <v>24092</v>
      </c>
      <c r="AC987" t="s">
        <v>69</v>
      </c>
      <c r="AD987" t="s">
        <v>24093</v>
      </c>
      <c r="AE987" t="s">
        <v>24094</v>
      </c>
      <c r="AF987" t="s">
        <v>69</v>
      </c>
      <c r="AG987" t="s">
        <v>69</v>
      </c>
      <c r="AH987" t="s">
        <v>69</v>
      </c>
      <c r="AI987" t="s">
        <v>69</v>
      </c>
      <c r="AJ987" t="s">
        <v>69</v>
      </c>
      <c r="AK987" t="s">
        <v>69</v>
      </c>
      <c r="AL987">
        <v>8</v>
      </c>
      <c r="AM987">
        <v>1</v>
      </c>
      <c r="AN987">
        <v>1</v>
      </c>
      <c r="AO987">
        <v>0</v>
      </c>
      <c r="AP987">
        <v>2</v>
      </c>
      <c r="AQ987" t="s">
        <v>24095</v>
      </c>
      <c r="AR987" t="s">
        <v>9367</v>
      </c>
      <c r="AS987" t="s">
        <v>24096</v>
      </c>
      <c r="AT987" t="s">
        <v>24097</v>
      </c>
      <c r="AU987" t="s">
        <v>69</v>
      </c>
      <c r="AV987" t="s">
        <v>69</v>
      </c>
      <c r="AW987" t="s">
        <v>24098</v>
      </c>
      <c r="AX987" t="s">
        <v>24099</v>
      </c>
      <c r="AY987" t="s">
        <v>69</v>
      </c>
      <c r="AZ987">
        <v>2014</v>
      </c>
      <c r="BA987">
        <v>28</v>
      </c>
      <c r="BB987">
        <v>2</v>
      </c>
      <c r="BC987" t="s">
        <v>69</v>
      </c>
      <c r="BD987" t="s">
        <v>69</v>
      </c>
      <c r="BE987" t="s">
        <v>69</v>
      </c>
      <c r="BF987" t="s">
        <v>69</v>
      </c>
      <c r="BG987">
        <v>15</v>
      </c>
      <c r="BH987">
        <v>23</v>
      </c>
      <c r="BI987" t="s">
        <v>69</v>
      </c>
      <c r="BJ987" t="s">
        <v>69</v>
      </c>
      <c r="BK987" t="s">
        <v>69</v>
      </c>
      <c r="BL987" t="s">
        <v>69</v>
      </c>
      <c r="BM987" t="s">
        <v>69</v>
      </c>
      <c r="BN987">
        <v>9</v>
      </c>
      <c r="BO987" t="s">
        <v>8444</v>
      </c>
      <c r="BP987" t="s">
        <v>8573</v>
      </c>
      <c r="BQ987" t="s">
        <v>8594</v>
      </c>
      <c r="BR987" t="s">
        <v>24100</v>
      </c>
      <c r="BS987" t="s">
        <v>24101</v>
      </c>
      <c r="BT987" t="s">
        <v>69</v>
      </c>
      <c r="BU987" t="s">
        <v>69</v>
      </c>
      <c r="BV987" t="s">
        <v>69</v>
      </c>
      <c r="BW987" t="s">
        <v>69</v>
      </c>
      <c r="BX987" t="s">
        <v>8526</v>
      </c>
      <c r="BY987" t="str">
        <f>HYPERLINK("https%3A%2F%2Fwww.webofscience.com%2Fwos%2Fwoscc%2Ffull-record%2FWOS:000421055300002","View Full Record in Web of Science")</f>
        <v>View Full Record in Web of Science</v>
      </c>
    </row>
    <row r="988" spans="1:77" ht="12.5" x14ac:dyDescent="0.25">
      <c r="A988" t="s">
        <v>8495</v>
      </c>
      <c r="B988" s="22" t="s">
        <v>32931</v>
      </c>
      <c r="C988" s="7"/>
      <c r="D988" s="7"/>
      <c r="E988" s="7"/>
      <c r="F988" t="s">
        <v>67</v>
      </c>
      <c r="G988" t="s">
        <v>12530</v>
      </c>
      <c r="H988" t="s">
        <v>69</v>
      </c>
      <c r="I988" t="s">
        <v>69</v>
      </c>
      <c r="J988" t="s">
        <v>69</v>
      </c>
      <c r="K988" t="s">
        <v>12531</v>
      </c>
      <c r="L988" t="s">
        <v>69</v>
      </c>
      <c r="M988" t="s">
        <v>69</v>
      </c>
      <c r="N988" t="s">
        <v>12532</v>
      </c>
      <c r="O988" t="s">
        <v>12533</v>
      </c>
      <c r="P988" t="s">
        <v>69</v>
      </c>
      <c r="Q988" t="s">
        <v>69</v>
      </c>
      <c r="R988" t="s">
        <v>12534</v>
      </c>
      <c r="S988" t="s">
        <v>10174</v>
      </c>
      <c r="T988" t="s">
        <v>69</v>
      </c>
      <c r="U988" t="s">
        <v>69</v>
      </c>
      <c r="V988" t="s">
        <v>69</v>
      </c>
      <c r="W988" t="s">
        <v>69</v>
      </c>
      <c r="X988" t="s">
        <v>69</v>
      </c>
      <c r="Y988" t="s">
        <v>12535</v>
      </c>
      <c r="Z988" t="s">
        <v>69</v>
      </c>
      <c r="AA988" t="s">
        <v>12536</v>
      </c>
      <c r="AB988" t="s">
        <v>12537</v>
      </c>
      <c r="AC988" t="s">
        <v>69</v>
      </c>
      <c r="AD988" t="s">
        <v>12538</v>
      </c>
      <c r="AE988" t="s">
        <v>12539</v>
      </c>
      <c r="AF988" t="s">
        <v>69</v>
      </c>
      <c r="AG988" t="s">
        <v>69</v>
      </c>
      <c r="AH988" t="s">
        <v>69</v>
      </c>
      <c r="AI988" t="s">
        <v>69</v>
      </c>
      <c r="AJ988" t="s">
        <v>69</v>
      </c>
      <c r="AK988" t="s">
        <v>69</v>
      </c>
      <c r="AL988">
        <v>24</v>
      </c>
      <c r="AM988">
        <v>0</v>
      </c>
      <c r="AN988">
        <v>0</v>
      </c>
      <c r="AO988">
        <v>2</v>
      </c>
      <c r="AP988">
        <v>9</v>
      </c>
      <c r="AQ988" t="s">
        <v>12540</v>
      </c>
      <c r="AR988" t="s">
        <v>10186</v>
      </c>
      <c r="AS988" t="s">
        <v>12541</v>
      </c>
      <c r="AT988" t="s">
        <v>12542</v>
      </c>
      <c r="AU988" t="s">
        <v>12543</v>
      </c>
      <c r="AV988" t="s">
        <v>69</v>
      </c>
      <c r="AW988" t="s">
        <v>12544</v>
      </c>
      <c r="AX988" t="s">
        <v>12545</v>
      </c>
      <c r="AY988" t="s">
        <v>246</v>
      </c>
      <c r="AZ988">
        <v>2021</v>
      </c>
      <c r="BA988">
        <v>35</v>
      </c>
      <c r="BB988" t="s">
        <v>4267</v>
      </c>
      <c r="BC988" t="s">
        <v>69</v>
      </c>
      <c r="BD988" t="s">
        <v>69</v>
      </c>
      <c r="BE988" t="s">
        <v>69</v>
      </c>
      <c r="BF988" t="s">
        <v>69</v>
      </c>
      <c r="BG988">
        <v>77</v>
      </c>
      <c r="BH988">
        <v>84</v>
      </c>
      <c r="BI988" t="s">
        <v>69</v>
      </c>
      <c r="BJ988" t="s">
        <v>12546</v>
      </c>
      <c r="BK988" t="str">
        <f>HYPERLINK("http://dx.doi.org/10.1024/1010-0652/a000294","http://dx.doi.org/10.1024/1010-0652/a000294")</f>
        <v>http://dx.doi.org/10.1024/1010-0652/a000294</v>
      </c>
      <c r="BL988" t="s">
        <v>69</v>
      </c>
      <c r="BM988" t="s">
        <v>69</v>
      </c>
      <c r="BN988">
        <v>8</v>
      </c>
      <c r="BO988" t="s">
        <v>11114</v>
      </c>
      <c r="BP988" t="s">
        <v>8661</v>
      </c>
      <c r="BQ988" t="s">
        <v>9001</v>
      </c>
      <c r="BR988" t="s">
        <v>12547</v>
      </c>
      <c r="BS988" t="s">
        <v>12548</v>
      </c>
      <c r="BT988" t="s">
        <v>69</v>
      </c>
      <c r="BU988" t="s">
        <v>69</v>
      </c>
      <c r="BV988" t="s">
        <v>69</v>
      </c>
      <c r="BW988" t="s">
        <v>69</v>
      </c>
      <c r="BX988" t="s">
        <v>8526</v>
      </c>
      <c r="BY988" t="str">
        <f>HYPERLINK("https%3A%2F%2Fwww.webofscience.com%2Fwos%2Fwoscc%2Ffull-record%2FWOS:000644696000001","View Full Record in Web of Science")</f>
        <v>View Full Record in Web of Science</v>
      </c>
    </row>
    <row r="989" spans="1:77" ht="12.5" x14ac:dyDescent="0.25">
      <c r="A989" t="s">
        <v>8495</v>
      </c>
      <c r="B989" s="22" t="s">
        <v>32931</v>
      </c>
      <c r="C989" s="7"/>
      <c r="D989" s="7"/>
      <c r="E989" s="7"/>
      <c r="F989" t="s">
        <v>67</v>
      </c>
      <c r="G989" t="s">
        <v>10614</v>
      </c>
      <c r="H989" t="s">
        <v>69</v>
      </c>
      <c r="I989" t="s">
        <v>69</v>
      </c>
      <c r="J989" t="s">
        <v>69</v>
      </c>
      <c r="K989" t="s">
        <v>10615</v>
      </c>
      <c r="L989" t="s">
        <v>69</v>
      </c>
      <c r="M989" t="s">
        <v>69</v>
      </c>
      <c r="N989" t="s">
        <v>10616</v>
      </c>
      <c r="O989" t="s">
        <v>10617</v>
      </c>
      <c r="P989" t="s">
        <v>69</v>
      </c>
      <c r="Q989" t="s">
        <v>69</v>
      </c>
      <c r="R989" t="s">
        <v>8505</v>
      </c>
      <c r="S989" t="s">
        <v>8556</v>
      </c>
      <c r="T989" t="s">
        <v>69</v>
      </c>
      <c r="U989" t="s">
        <v>69</v>
      </c>
      <c r="V989" t="s">
        <v>69</v>
      </c>
      <c r="W989" t="s">
        <v>69</v>
      </c>
      <c r="X989" t="s">
        <v>69</v>
      </c>
      <c r="Y989" t="s">
        <v>10618</v>
      </c>
      <c r="Z989" t="s">
        <v>10619</v>
      </c>
      <c r="AA989" t="s">
        <v>10620</v>
      </c>
      <c r="AB989" t="s">
        <v>10621</v>
      </c>
      <c r="AC989" t="s">
        <v>69</v>
      </c>
      <c r="AD989" t="s">
        <v>10622</v>
      </c>
      <c r="AE989" t="s">
        <v>10623</v>
      </c>
      <c r="AF989" t="s">
        <v>69</v>
      </c>
      <c r="AG989" t="s">
        <v>69</v>
      </c>
      <c r="AH989" t="s">
        <v>10624</v>
      </c>
      <c r="AI989" t="s">
        <v>10625</v>
      </c>
      <c r="AJ989" t="s">
        <v>10626</v>
      </c>
      <c r="AK989" t="s">
        <v>69</v>
      </c>
      <c r="AL989">
        <v>71</v>
      </c>
      <c r="AM989">
        <v>2</v>
      </c>
      <c r="AN989">
        <v>2</v>
      </c>
      <c r="AO989">
        <v>37</v>
      </c>
      <c r="AP989">
        <v>50</v>
      </c>
      <c r="AQ989" t="s">
        <v>9047</v>
      </c>
      <c r="AR989" t="s">
        <v>9048</v>
      </c>
      <c r="AS989" t="s">
        <v>9049</v>
      </c>
      <c r="AT989" t="s">
        <v>10627</v>
      </c>
      <c r="AU989" t="s">
        <v>10628</v>
      </c>
      <c r="AV989" t="s">
        <v>69</v>
      </c>
      <c r="AW989" t="s">
        <v>10617</v>
      </c>
      <c r="AX989" t="s">
        <v>10629</v>
      </c>
      <c r="AY989" t="s">
        <v>69</v>
      </c>
      <c r="AZ989" t="s">
        <v>69</v>
      </c>
      <c r="BA989" t="s">
        <v>69</v>
      </c>
      <c r="BB989" t="s">
        <v>69</v>
      </c>
      <c r="BC989" t="s">
        <v>69</v>
      </c>
      <c r="BD989" t="s">
        <v>69</v>
      </c>
      <c r="BE989" t="s">
        <v>69</v>
      </c>
      <c r="BF989" t="s">
        <v>69</v>
      </c>
      <c r="BG989" t="s">
        <v>69</v>
      </c>
      <c r="BH989" t="s">
        <v>69</v>
      </c>
      <c r="BI989" t="s">
        <v>69</v>
      </c>
      <c r="BJ989" t="s">
        <v>10630</v>
      </c>
      <c r="BK989" t="str">
        <f>HYPERLINK("http://dx.doi.org/10.1007/s11192-021-04190-9","http://dx.doi.org/10.1007/s11192-021-04190-9")</f>
        <v>http://dx.doi.org/10.1007/s11192-021-04190-9</v>
      </c>
      <c r="BL989" t="s">
        <v>69</v>
      </c>
      <c r="BM989" t="s">
        <v>10359</v>
      </c>
      <c r="BN989">
        <v>23</v>
      </c>
      <c r="BO989" t="s">
        <v>10631</v>
      </c>
      <c r="BP989" t="s">
        <v>8523</v>
      </c>
      <c r="BQ989" t="s">
        <v>10632</v>
      </c>
      <c r="BR989" t="s">
        <v>10633</v>
      </c>
      <c r="BS989" t="s">
        <v>10634</v>
      </c>
      <c r="BT989" t="s">
        <v>69</v>
      </c>
      <c r="BU989" t="s">
        <v>69</v>
      </c>
      <c r="BV989" t="s">
        <v>69</v>
      </c>
      <c r="BW989" t="s">
        <v>69</v>
      </c>
      <c r="BX989" t="s">
        <v>8526</v>
      </c>
      <c r="BY989" t="str">
        <f>HYPERLINK("https%3A%2F%2Fwww.webofscience.com%2Fwos%2Fwoscc%2Ffull-record%2FWOS:000724632400001","View Full Record in Web of Science")</f>
        <v>View Full Record in Web of Science</v>
      </c>
    </row>
    <row r="990" spans="1:77" ht="12.5" x14ac:dyDescent="0.25">
      <c r="A990" t="s">
        <v>8495</v>
      </c>
      <c r="B990" s="22" t="s">
        <v>32931</v>
      </c>
      <c r="C990" s="7"/>
      <c r="D990" s="7"/>
      <c r="E990" s="7"/>
      <c r="F990" t="s">
        <v>67</v>
      </c>
      <c r="G990" t="s">
        <v>27035</v>
      </c>
      <c r="H990" t="s">
        <v>69</v>
      </c>
      <c r="I990" t="s">
        <v>69</v>
      </c>
      <c r="J990" t="s">
        <v>69</v>
      </c>
      <c r="K990" t="s">
        <v>27036</v>
      </c>
      <c r="L990" t="s">
        <v>69</v>
      </c>
      <c r="M990" t="s">
        <v>69</v>
      </c>
      <c r="N990" t="s">
        <v>27037</v>
      </c>
      <c r="O990" t="s">
        <v>27038</v>
      </c>
      <c r="P990" t="s">
        <v>69</v>
      </c>
      <c r="Q990" t="s">
        <v>69</v>
      </c>
      <c r="R990" t="s">
        <v>8505</v>
      </c>
      <c r="S990" t="s">
        <v>8506</v>
      </c>
      <c r="T990" t="s">
        <v>69</v>
      </c>
      <c r="U990" t="s">
        <v>69</v>
      </c>
      <c r="V990" t="s">
        <v>69</v>
      </c>
      <c r="W990" t="s">
        <v>69</v>
      </c>
      <c r="X990" t="s">
        <v>69</v>
      </c>
      <c r="Y990" t="s">
        <v>27039</v>
      </c>
      <c r="Z990" t="s">
        <v>27040</v>
      </c>
      <c r="AA990" t="s">
        <v>27041</v>
      </c>
      <c r="AB990" t="s">
        <v>27042</v>
      </c>
      <c r="AC990" t="s">
        <v>69</v>
      </c>
      <c r="AD990" t="s">
        <v>27043</v>
      </c>
      <c r="AE990" t="s">
        <v>27044</v>
      </c>
      <c r="AF990" t="s">
        <v>69</v>
      </c>
      <c r="AG990" t="s">
        <v>69</v>
      </c>
      <c r="AH990" t="s">
        <v>27045</v>
      </c>
      <c r="AI990" t="s">
        <v>27045</v>
      </c>
      <c r="AJ990" t="s">
        <v>27046</v>
      </c>
      <c r="AK990" t="s">
        <v>69</v>
      </c>
      <c r="AL990">
        <v>33</v>
      </c>
      <c r="AM990">
        <v>20</v>
      </c>
      <c r="AN990">
        <v>20</v>
      </c>
      <c r="AO990">
        <v>0</v>
      </c>
      <c r="AP990">
        <v>20</v>
      </c>
      <c r="AQ990" t="s">
        <v>27047</v>
      </c>
      <c r="AR990" t="s">
        <v>8763</v>
      </c>
      <c r="AS990" t="s">
        <v>27048</v>
      </c>
      <c r="AT990" t="s">
        <v>27049</v>
      </c>
      <c r="AU990" t="s">
        <v>27050</v>
      </c>
      <c r="AV990" t="s">
        <v>69</v>
      </c>
      <c r="AW990" t="s">
        <v>27051</v>
      </c>
      <c r="AX990" t="s">
        <v>27052</v>
      </c>
      <c r="AY990" t="s">
        <v>246</v>
      </c>
      <c r="AZ990">
        <v>2011</v>
      </c>
      <c r="BA990">
        <v>61</v>
      </c>
      <c r="BB990">
        <v>585</v>
      </c>
      <c r="BC990" t="s">
        <v>69</v>
      </c>
      <c r="BD990" t="s">
        <v>69</v>
      </c>
      <c r="BE990" t="s">
        <v>69</v>
      </c>
      <c r="BF990" t="s">
        <v>69</v>
      </c>
      <c r="BG990">
        <v>256</v>
      </c>
      <c r="BH990">
        <v>262</v>
      </c>
      <c r="BI990" t="s">
        <v>69</v>
      </c>
      <c r="BJ990" t="s">
        <v>27053</v>
      </c>
      <c r="BK990" t="str">
        <f>HYPERLINK("http://dx.doi.org/10.3399/bjgp11X567063","http://dx.doi.org/10.3399/bjgp11X567063")</f>
        <v>http://dx.doi.org/10.3399/bjgp11X567063</v>
      </c>
      <c r="BL990" t="s">
        <v>69</v>
      </c>
      <c r="BM990" t="s">
        <v>69</v>
      </c>
      <c r="BN990">
        <v>7</v>
      </c>
      <c r="BO990" t="s">
        <v>14051</v>
      </c>
      <c r="BP990" t="s">
        <v>8523</v>
      </c>
      <c r="BQ990" t="s">
        <v>9451</v>
      </c>
      <c r="BR990" t="s">
        <v>27054</v>
      </c>
      <c r="BS990" t="s">
        <v>27055</v>
      </c>
      <c r="BT990">
        <v>21439184</v>
      </c>
      <c r="BU990" t="s">
        <v>9029</v>
      </c>
      <c r="BV990" t="s">
        <v>69</v>
      </c>
      <c r="BW990" t="s">
        <v>69</v>
      </c>
      <c r="BX990" t="s">
        <v>8526</v>
      </c>
      <c r="BY990" t="str">
        <f>HYPERLINK("https%3A%2F%2Fwww.webofscience.com%2Fwos%2Fwoscc%2Ffull-record%2FWOS:000290197100008","View Full Record in Web of Science")</f>
        <v>View Full Record in Web of Science</v>
      </c>
    </row>
    <row r="991" spans="1:77" ht="12.5" x14ac:dyDescent="0.25">
      <c r="A991" t="s">
        <v>8495</v>
      </c>
      <c r="B991" s="7" t="s">
        <v>32933</v>
      </c>
      <c r="C991" s="7"/>
      <c r="D991" s="7"/>
      <c r="E991" s="7"/>
      <c r="F991" t="s">
        <v>67</v>
      </c>
      <c r="G991" t="s">
        <v>2196</v>
      </c>
      <c r="H991" t="s">
        <v>69</v>
      </c>
      <c r="I991" t="s">
        <v>69</v>
      </c>
      <c r="J991" t="s">
        <v>69</v>
      </c>
      <c r="K991" t="s">
        <v>2197</v>
      </c>
      <c r="L991" t="s">
        <v>69</v>
      </c>
      <c r="M991" t="s">
        <v>69</v>
      </c>
      <c r="N991" t="s">
        <v>2198</v>
      </c>
      <c r="O991" t="s">
        <v>2199</v>
      </c>
      <c r="P991" t="s">
        <v>69</v>
      </c>
      <c r="Q991" t="s">
        <v>69</v>
      </c>
      <c r="R991" t="s">
        <v>8505</v>
      </c>
      <c r="S991" t="s">
        <v>8506</v>
      </c>
      <c r="T991" t="s">
        <v>69</v>
      </c>
      <c r="U991" t="s">
        <v>69</v>
      </c>
      <c r="V991" t="s">
        <v>69</v>
      </c>
      <c r="W991" t="s">
        <v>69</v>
      </c>
      <c r="X991" t="s">
        <v>69</v>
      </c>
      <c r="Y991" t="s">
        <v>69</v>
      </c>
      <c r="Z991" t="s">
        <v>69</v>
      </c>
      <c r="AA991" t="s">
        <v>2200</v>
      </c>
      <c r="AB991" t="s">
        <v>17073</v>
      </c>
      <c r="AC991" t="s">
        <v>69</v>
      </c>
      <c r="AD991" t="s">
        <v>17074</v>
      </c>
      <c r="AE991" t="s">
        <v>69</v>
      </c>
      <c r="AF991" t="s">
        <v>69</v>
      </c>
      <c r="AG991" t="s">
        <v>69</v>
      </c>
      <c r="AH991" t="s">
        <v>69</v>
      </c>
      <c r="AI991" t="s">
        <v>69</v>
      </c>
      <c r="AJ991" t="s">
        <v>69</v>
      </c>
      <c r="AK991" t="s">
        <v>69</v>
      </c>
      <c r="AL991">
        <v>16</v>
      </c>
      <c r="AM991">
        <v>0</v>
      </c>
      <c r="AN991">
        <v>0</v>
      </c>
      <c r="AO991">
        <v>1</v>
      </c>
      <c r="AP991">
        <v>5</v>
      </c>
      <c r="AQ991" t="s">
        <v>17075</v>
      </c>
      <c r="AR991" t="s">
        <v>17076</v>
      </c>
      <c r="AS991" t="s">
        <v>17077</v>
      </c>
      <c r="AT991" t="s">
        <v>2201</v>
      </c>
      <c r="AU991" t="s">
        <v>69</v>
      </c>
      <c r="AV991" t="s">
        <v>69</v>
      </c>
      <c r="AW991" t="s">
        <v>17078</v>
      </c>
      <c r="AX991" t="s">
        <v>17079</v>
      </c>
      <c r="AY991" t="s">
        <v>84</v>
      </c>
      <c r="AZ991">
        <v>2019</v>
      </c>
      <c r="BA991">
        <v>36</v>
      </c>
      <c r="BB991">
        <v>4</v>
      </c>
      <c r="BC991" t="s">
        <v>69</v>
      </c>
      <c r="BD991" t="s">
        <v>69</v>
      </c>
      <c r="BE991" t="s">
        <v>69</v>
      </c>
      <c r="BF991" t="s">
        <v>69</v>
      </c>
      <c r="BG991">
        <v>295</v>
      </c>
      <c r="BH991">
        <v>305</v>
      </c>
      <c r="BI991" t="s">
        <v>69</v>
      </c>
      <c r="BJ991" t="s">
        <v>69</v>
      </c>
      <c r="BK991" t="s">
        <v>69</v>
      </c>
      <c r="BL991" t="s">
        <v>69</v>
      </c>
      <c r="BM991" t="s">
        <v>69</v>
      </c>
      <c r="BN991">
        <v>11</v>
      </c>
      <c r="BO991" t="s">
        <v>8452</v>
      </c>
      <c r="BP991" t="s">
        <v>8573</v>
      </c>
      <c r="BQ991" t="s">
        <v>10084</v>
      </c>
      <c r="BR991" t="s">
        <v>17080</v>
      </c>
      <c r="BS991" t="s">
        <v>2202</v>
      </c>
      <c r="BT991" t="s">
        <v>69</v>
      </c>
      <c r="BU991" t="s">
        <v>69</v>
      </c>
      <c r="BV991" t="s">
        <v>69</v>
      </c>
      <c r="BW991" t="s">
        <v>69</v>
      </c>
      <c r="BX991" t="s">
        <v>8526</v>
      </c>
      <c r="BY991" t="str">
        <f>HYPERLINK("https%3A%2F%2Fwww.webofscience.com%2Fwos%2Fwoscc%2Ffull-record%2FWOS:000483889900001","View Full Record in Web of Science")</f>
        <v>View Full Record in Web of Science</v>
      </c>
    </row>
    <row r="992" spans="1:77" ht="12.5" x14ac:dyDescent="0.25">
      <c r="A992" t="s">
        <v>8495</v>
      </c>
      <c r="B992" s="7" t="s">
        <v>32933</v>
      </c>
      <c r="C992" s="7"/>
      <c r="D992" s="7"/>
      <c r="E992" s="7"/>
      <c r="F992" t="s">
        <v>67</v>
      </c>
      <c r="G992" t="s">
        <v>97</v>
      </c>
      <c r="H992" t="s">
        <v>69</v>
      </c>
      <c r="I992" t="s">
        <v>69</v>
      </c>
      <c r="J992" t="s">
        <v>69</v>
      </c>
      <c r="K992" t="s">
        <v>98</v>
      </c>
      <c r="L992" t="s">
        <v>69</v>
      </c>
      <c r="M992" t="s">
        <v>69</v>
      </c>
      <c r="N992" s="1" t="s">
        <v>99</v>
      </c>
      <c r="O992" t="s">
        <v>100</v>
      </c>
      <c r="P992" t="s">
        <v>69</v>
      </c>
      <c r="Q992" t="s">
        <v>69</v>
      </c>
      <c r="R992" t="s">
        <v>8505</v>
      </c>
      <c r="S992" t="s">
        <v>8506</v>
      </c>
      <c r="T992" t="s">
        <v>69</v>
      </c>
      <c r="U992" t="s">
        <v>69</v>
      </c>
      <c r="V992" t="s">
        <v>69</v>
      </c>
      <c r="W992" t="s">
        <v>69</v>
      </c>
      <c r="X992" t="s">
        <v>69</v>
      </c>
      <c r="Y992" t="s">
        <v>30068</v>
      </c>
      <c r="Z992" t="s">
        <v>29975</v>
      </c>
      <c r="AA992" t="s">
        <v>101</v>
      </c>
      <c r="AB992" t="s">
        <v>30069</v>
      </c>
      <c r="AC992" t="s">
        <v>69</v>
      </c>
      <c r="AD992" t="s">
        <v>30070</v>
      </c>
      <c r="AE992" t="s">
        <v>30071</v>
      </c>
      <c r="AF992" t="s">
        <v>30072</v>
      </c>
      <c r="AG992" t="s">
        <v>30073</v>
      </c>
      <c r="AH992" t="s">
        <v>69</v>
      </c>
      <c r="AI992" t="s">
        <v>69</v>
      </c>
      <c r="AJ992" t="s">
        <v>69</v>
      </c>
      <c r="AK992" t="s">
        <v>69</v>
      </c>
      <c r="AL992">
        <v>15</v>
      </c>
      <c r="AM992">
        <v>2</v>
      </c>
      <c r="AN992">
        <v>2</v>
      </c>
      <c r="AO992">
        <v>0</v>
      </c>
      <c r="AP992">
        <v>5</v>
      </c>
      <c r="AQ992" t="s">
        <v>9091</v>
      </c>
      <c r="AR992" t="s">
        <v>8763</v>
      </c>
      <c r="AS992" t="s">
        <v>15468</v>
      </c>
      <c r="AT992" t="s">
        <v>102</v>
      </c>
      <c r="AU992" t="s">
        <v>103</v>
      </c>
      <c r="AV992" t="s">
        <v>69</v>
      </c>
      <c r="AW992" t="s">
        <v>15469</v>
      </c>
      <c r="AX992" t="s">
        <v>15470</v>
      </c>
      <c r="AY992" t="s">
        <v>69</v>
      </c>
      <c r="AZ992">
        <v>2007</v>
      </c>
      <c r="BA992">
        <v>56</v>
      </c>
      <c r="BB992">
        <v>8</v>
      </c>
      <c r="BC992" t="s">
        <v>69</v>
      </c>
      <c r="BD992" t="s">
        <v>69</v>
      </c>
      <c r="BE992" t="s">
        <v>69</v>
      </c>
      <c r="BF992" t="s">
        <v>69</v>
      </c>
      <c r="BG992">
        <v>21</v>
      </c>
      <c r="BH992">
        <v>29</v>
      </c>
      <c r="BI992" t="s">
        <v>69</v>
      </c>
      <c r="BJ992" t="s">
        <v>104</v>
      </c>
      <c r="BK992" t="str">
        <f>HYPERLINK("http://dx.doi.org/10.2166/wst.2007.596","http://dx.doi.org/10.2166/wst.2007.596")</f>
        <v>http://dx.doi.org/10.2166/wst.2007.596</v>
      </c>
      <c r="BL992" t="s">
        <v>69</v>
      </c>
      <c r="BM992" t="s">
        <v>69</v>
      </c>
      <c r="BN992">
        <v>9</v>
      </c>
      <c r="BO992" t="s">
        <v>10687</v>
      </c>
      <c r="BP992" t="s">
        <v>8548</v>
      </c>
      <c r="BQ992" t="s">
        <v>10688</v>
      </c>
      <c r="BR992" t="s">
        <v>30074</v>
      </c>
      <c r="BS992" t="s">
        <v>105</v>
      </c>
      <c r="BT992">
        <v>17978429</v>
      </c>
      <c r="BU992" t="s">
        <v>69</v>
      </c>
      <c r="BV992" t="s">
        <v>69</v>
      </c>
      <c r="BW992" t="s">
        <v>69</v>
      </c>
      <c r="BX992" t="s">
        <v>8526</v>
      </c>
      <c r="BY992" t="str">
        <f>HYPERLINK("https%3A%2F%2Fwww.webofscience.com%2Fwos%2Fwoscc%2Ffull-record%2FWOS:000253383200003","View Full Record in Web of Science")</f>
        <v>View Full Record in Web of Science</v>
      </c>
    </row>
    <row r="993" spans="1:77" ht="12.5" x14ac:dyDescent="0.25">
      <c r="A993" t="s">
        <v>8495</v>
      </c>
      <c r="B993" s="7" t="s">
        <v>32933</v>
      </c>
      <c r="C993" s="7"/>
      <c r="D993" s="7"/>
      <c r="E993" s="7"/>
      <c r="F993" t="s">
        <v>67</v>
      </c>
      <c r="G993" t="s">
        <v>2050</v>
      </c>
      <c r="H993" t="s">
        <v>69</v>
      </c>
      <c r="I993" t="s">
        <v>69</v>
      </c>
      <c r="J993" t="s">
        <v>69</v>
      </c>
      <c r="K993" t="s">
        <v>2051</v>
      </c>
      <c r="L993" t="s">
        <v>69</v>
      </c>
      <c r="M993" t="s">
        <v>69</v>
      </c>
      <c r="N993" t="s">
        <v>2052</v>
      </c>
      <c r="O993" t="s">
        <v>2053</v>
      </c>
      <c r="P993" t="s">
        <v>69</v>
      </c>
      <c r="Q993" t="s">
        <v>69</v>
      </c>
      <c r="R993" t="s">
        <v>8505</v>
      </c>
      <c r="S993" t="s">
        <v>8506</v>
      </c>
      <c r="T993" t="s">
        <v>69</v>
      </c>
      <c r="U993" t="s">
        <v>69</v>
      </c>
      <c r="V993" t="s">
        <v>69</v>
      </c>
      <c r="W993" t="s">
        <v>69</v>
      </c>
      <c r="X993" t="s">
        <v>69</v>
      </c>
      <c r="Y993" t="s">
        <v>16287</v>
      </c>
      <c r="Z993" t="s">
        <v>16288</v>
      </c>
      <c r="AA993" t="s">
        <v>2054</v>
      </c>
      <c r="AB993" t="s">
        <v>16289</v>
      </c>
      <c r="AC993" t="s">
        <v>69</v>
      </c>
      <c r="AD993" t="s">
        <v>16290</v>
      </c>
      <c r="AE993" t="s">
        <v>16291</v>
      </c>
      <c r="AF993" t="s">
        <v>69</v>
      </c>
      <c r="AG993" t="s">
        <v>69</v>
      </c>
      <c r="AH993" t="s">
        <v>69</v>
      </c>
      <c r="AI993" t="s">
        <v>69</v>
      </c>
      <c r="AJ993" t="s">
        <v>69</v>
      </c>
      <c r="AK993" t="s">
        <v>69</v>
      </c>
      <c r="AL993">
        <v>58</v>
      </c>
      <c r="AM993">
        <v>49</v>
      </c>
      <c r="AN993">
        <v>51</v>
      </c>
      <c r="AO993">
        <v>2</v>
      </c>
      <c r="AP993">
        <v>33</v>
      </c>
      <c r="AQ993" t="s">
        <v>9554</v>
      </c>
      <c r="AR993" t="s">
        <v>9555</v>
      </c>
      <c r="AS993" t="s">
        <v>9556</v>
      </c>
      <c r="AT993" t="s">
        <v>2055</v>
      </c>
      <c r="AU993" t="s">
        <v>2056</v>
      </c>
      <c r="AV993" t="s">
        <v>69</v>
      </c>
      <c r="AW993" t="s">
        <v>2053</v>
      </c>
      <c r="AX993" t="s">
        <v>16292</v>
      </c>
      <c r="AY993" t="s">
        <v>373</v>
      </c>
      <c r="AZ993">
        <v>2020</v>
      </c>
      <c r="BA993">
        <v>21</v>
      </c>
      <c r="BB993">
        <v>1</v>
      </c>
      <c r="BC993" t="s">
        <v>69</v>
      </c>
      <c r="BD993" t="s">
        <v>69</v>
      </c>
      <c r="BE993" t="s">
        <v>69</v>
      </c>
      <c r="BF993" t="s">
        <v>69</v>
      </c>
      <c r="BG993">
        <v>95</v>
      </c>
      <c r="BH993">
        <v>111</v>
      </c>
      <c r="BI993" t="s">
        <v>69</v>
      </c>
      <c r="BJ993" t="s">
        <v>2057</v>
      </c>
      <c r="BK993" t="str">
        <f>HYPERLINK("http://dx.doi.org/10.1177/1464884917730217","http://dx.doi.org/10.1177/1464884917730217")</f>
        <v>http://dx.doi.org/10.1177/1464884917730217</v>
      </c>
      <c r="BL993" t="s">
        <v>69</v>
      </c>
      <c r="BM993" t="s">
        <v>69</v>
      </c>
      <c r="BN993">
        <v>17</v>
      </c>
      <c r="BO993" t="s">
        <v>8443</v>
      </c>
      <c r="BP993" t="s">
        <v>8661</v>
      </c>
      <c r="BQ993" t="s">
        <v>8443</v>
      </c>
      <c r="BR993" t="s">
        <v>16293</v>
      </c>
      <c r="BS993" t="s">
        <v>2058</v>
      </c>
      <c r="BT993" t="s">
        <v>69</v>
      </c>
      <c r="BU993" t="s">
        <v>69</v>
      </c>
      <c r="BV993" t="s">
        <v>69</v>
      </c>
      <c r="BW993" t="s">
        <v>69</v>
      </c>
      <c r="BX993" t="s">
        <v>8526</v>
      </c>
      <c r="BY993" t="str">
        <f>HYPERLINK("https%3A%2F%2Fwww.webofscience.com%2Fwos%2Fwoscc%2Ffull-record%2FWOS:000506236000006","View Full Record in Web of Science")</f>
        <v>View Full Record in Web of Science</v>
      </c>
    </row>
    <row r="994" spans="1:77" ht="12.5" x14ac:dyDescent="0.25">
      <c r="A994" t="s">
        <v>8495</v>
      </c>
      <c r="B994" s="7" t="s">
        <v>32933</v>
      </c>
      <c r="C994" s="7"/>
      <c r="D994" s="7"/>
      <c r="E994" s="7"/>
      <c r="F994" t="s">
        <v>67</v>
      </c>
      <c r="G994" t="s">
        <v>3648</v>
      </c>
      <c r="H994" t="s">
        <v>69</v>
      </c>
      <c r="I994" t="s">
        <v>69</v>
      </c>
      <c r="J994" t="s">
        <v>69</v>
      </c>
      <c r="K994" t="s">
        <v>3649</v>
      </c>
      <c r="L994" t="s">
        <v>69</v>
      </c>
      <c r="M994" t="s">
        <v>69</v>
      </c>
      <c r="N994" t="s">
        <v>3650</v>
      </c>
      <c r="O994" t="s">
        <v>1722</v>
      </c>
      <c r="P994" t="s">
        <v>69</v>
      </c>
      <c r="Q994" t="s">
        <v>69</v>
      </c>
      <c r="R994" t="s">
        <v>8505</v>
      </c>
      <c r="S994" t="s">
        <v>8506</v>
      </c>
      <c r="T994" t="s">
        <v>69</v>
      </c>
      <c r="U994" t="s">
        <v>69</v>
      </c>
      <c r="V994" t="s">
        <v>69</v>
      </c>
      <c r="W994" t="s">
        <v>69</v>
      </c>
      <c r="X994" t="s">
        <v>69</v>
      </c>
      <c r="Y994" t="s">
        <v>28846</v>
      </c>
      <c r="Z994" t="s">
        <v>28847</v>
      </c>
      <c r="AA994" t="s">
        <v>3651</v>
      </c>
      <c r="AB994" t="s">
        <v>28848</v>
      </c>
      <c r="AC994" t="s">
        <v>69</v>
      </c>
      <c r="AD994" t="s">
        <v>28849</v>
      </c>
      <c r="AE994" t="s">
        <v>28850</v>
      </c>
      <c r="AF994" t="s">
        <v>28851</v>
      </c>
      <c r="AG994" t="s">
        <v>28852</v>
      </c>
      <c r="AH994" t="s">
        <v>69</v>
      </c>
      <c r="AI994" t="s">
        <v>69</v>
      </c>
      <c r="AJ994" t="s">
        <v>69</v>
      </c>
      <c r="AK994" t="s">
        <v>69</v>
      </c>
      <c r="AL994">
        <v>90</v>
      </c>
      <c r="AM994">
        <v>98</v>
      </c>
      <c r="AN994">
        <v>99</v>
      </c>
      <c r="AO994">
        <v>2</v>
      </c>
      <c r="AP994">
        <v>116</v>
      </c>
      <c r="AQ994" t="s">
        <v>8516</v>
      </c>
      <c r="AR994" t="s">
        <v>8517</v>
      </c>
      <c r="AS994" t="s">
        <v>8518</v>
      </c>
      <c r="AT994" t="s">
        <v>1724</v>
      </c>
      <c r="AU994" t="s">
        <v>3652</v>
      </c>
      <c r="AV994" t="s">
        <v>69</v>
      </c>
      <c r="AW994" t="s">
        <v>28853</v>
      </c>
      <c r="AX994" t="s">
        <v>28854</v>
      </c>
      <c r="AY994" t="s">
        <v>373</v>
      </c>
      <c r="AZ994">
        <v>2009</v>
      </c>
      <c r="BA994">
        <v>24</v>
      </c>
      <c r="BB994">
        <v>1</v>
      </c>
      <c r="BC994" t="s">
        <v>69</v>
      </c>
      <c r="BD994" t="s">
        <v>69</v>
      </c>
      <c r="BE994" t="s">
        <v>69</v>
      </c>
      <c r="BF994" t="s">
        <v>69</v>
      </c>
      <c r="BG994">
        <v>27</v>
      </c>
      <c r="BH994">
        <v>45</v>
      </c>
      <c r="BI994" t="s">
        <v>69</v>
      </c>
      <c r="BJ994" t="s">
        <v>3653</v>
      </c>
      <c r="BK994" t="str">
        <f>HYPERLINK("http://dx.doi.org/10.1016/j.jbusvent.2007.10.003","http://dx.doi.org/10.1016/j.jbusvent.2007.10.003")</f>
        <v>http://dx.doi.org/10.1016/j.jbusvent.2007.10.003</v>
      </c>
      <c r="BL994" t="s">
        <v>69</v>
      </c>
      <c r="BM994" t="s">
        <v>69</v>
      </c>
      <c r="BN994">
        <v>19</v>
      </c>
      <c r="BO994" t="s">
        <v>8444</v>
      </c>
      <c r="BP994" t="s">
        <v>8661</v>
      </c>
      <c r="BQ994" t="s">
        <v>8594</v>
      </c>
      <c r="BR994" t="s">
        <v>28855</v>
      </c>
      <c r="BS994" t="s">
        <v>3654</v>
      </c>
      <c r="BT994" t="s">
        <v>69</v>
      </c>
      <c r="BU994" t="s">
        <v>69</v>
      </c>
      <c r="BV994" t="s">
        <v>69</v>
      </c>
      <c r="BW994" t="s">
        <v>69</v>
      </c>
      <c r="BX994" t="s">
        <v>8526</v>
      </c>
      <c r="BY994" t="str">
        <f>HYPERLINK("https%3A%2F%2Fwww.webofscience.com%2Fwos%2Fwoscc%2Ffull-record%2FWOS:000263200000003","View Full Record in Web of Science")</f>
        <v>View Full Record in Web of Science</v>
      </c>
    </row>
    <row r="995" spans="1:77" ht="12.5" x14ac:dyDescent="0.25">
      <c r="A995" t="s">
        <v>8495</v>
      </c>
      <c r="B995" s="22" t="s">
        <v>32931</v>
      </c>
      <c r="C995" s="7"/>
      <c r="D995" s="7"/>
      <c r="E995" s="7"/>
      <c r="F995" t="s">
        <v>67</v>
      </c>
      <c r="G995" t="s">
        <v>11726</v>
      </c>
      <c r="H995" t="s">
        <v>69</v>
      </c>
      <c r="I995" t="s">
        <v>69</v>
      </c>
      <c r="J995" t="s">
        <v>69</v>
      </c>
      <c r="K995" t="s">
        <v>11727</v>
      </c>
      <c r="L995" t="s">
        <v>69</v>
      </c>
      <c r="M995" t="s">
        <v>69</v>
      </c>
      <c r="N995" t="s">
        <v>11728</v>
      </c>
      <c r="O995" t="s">
        <v>352</v>
      </c>
      <c r="P995" t="s">
        <v>69</v>
      </c>
      <c r="Q995" t="s">
        <v>69</v>
      </c>
      <c r="R995" t="s">
        <v>8505</v>
      </c>
      <c r="S995" t="s">
        <v>8506</v>
      </c>
      <c r="T995" t="s">
        <v>69</v>
      </c>
      <c r="U995" t="s">
        <v>69</v>
      </c>
      <c r="V995" t="s">
        <v>69</v>
      </c>
      <c r="W995" t="s">
        <v>69</v>
      </c>
      <c r="X995" t="s">
        <v>69</v>
      </c>
      <c r="Y995" t="s">
        <v>11729</v>
      </c>
      <c r="Z995" t="s">
        <v>11730</v>
      </c>
      <c r="AA995" t="s">
        <v>11731</v>
      </c>
      <c r="AB995" t="s">
        <v>11732</v>
      </c>
      <c r="AC995" t="s">
        <v>69</v>
      </c>
      <c r="AD995" t="s">
        <v>11733</v>
      </c>
      <c r="AE995" t="s">
        <v>11734</v>
      </c>
      <c r="AF995" t="s">
        <v>11735</v>
      </c>
      <c r="AG995" t="s">
        <v>11736</v>
      </c>
      <c r="AH995" t="s">
        <v>69</v>
      </c>
      <c r="AI995" t="s">
        <v>69</v>
      </c>
      <c r="AJ995" t="s">
        <v>69</v>
      </c>
      <c r="AK995" t="s">
        <v>69</v>
      </c>
      <c r="AL995">
        <v>62</v>
      </c>
      <c r="AM995">
        <v>3</v>
      </c>
      <c r="AN995">
        <v>3</v>
      </c>
      <c r="AO995">
        <v>3</v>
      </c>
      <c r="AP995">
        <v>8</v>
      </c>
      <c r="AQ995" t="s">
        <v>8924</v>
      </c>
      <c r="AR995" t="s">
        <v>8925</v>
      </c>
      <c r="AS995" t="s">
        <v>8926</v>
      </c>
      <c r="AT995" t="s">
        <v>69</v>
      </c>
      <c r="AU995" t="s">
        <v>354</v>
      </c>
      <c r="AV995" t="s">
        <v>69</v>
      </c>
      <c r="AW995" t="s">
        <v>8958</v>
      </c>
      <c r="AX995" t="s">
        <v>8434</v>
      </c>
      <c r="AY995" t="s">
        <v>201</v>
      </c>
      <c r="AZ995">
        <v>2021</v>
      </c>
      <c r="BA995">
        <v>13</v>
      </c>
      <c r="BB995">
        <v>15</v>
      </c>
      <c r="BC995" t="s">
        <v>69</v>
      </c>
      <c r="BD995" t="s">
        <v>69</v>
      </c>
      <c r="BE995" t="s">
        <v>69</v>
      </c>
      <c r="BF995" t="s">
        <v>69</v>
      </c>
      <c r="BG995" t="s">
        <v>69</v>
      </c>
      <c r="BH995" t="s">
        <v>69</v>
      </c>
      <c r="BI995">
        <v>8454</v>
      </c>
      <c r="BJ995" t="s">
        <v>11737</v>
      </c>
      <c r="BK995" t="str">
        <f>HYPERLINK("http://dx.doi.org/10.3390/su13158454","http://dx.doi.org/10.3390/su13158454")</f>
        <v>http://dx.doi.org/10.3390/su13158454</v>
      </c>
      <c r="BL995" t="s">
        <v>69</v>
      </c>
      <c r="BM995" t="s">
        <v>69</v>
      </c>
      <c r="BN995">
        <v>18</v>
      </c>
      <c r="BO995" t="s">
        <v>8960</v>
      </c>
      <c r="BP995" t="s">
        <v>8523</v>
      </c>
      <c r="BQ995" t="s">
        <v>8961</v>
      </c>
      <c r="BR995" t="s">
        <v>11738</v>
      </c>
      <c r="BS995" t="s">
        <v>11739</v>
      </c>
      <c r="BT995" t="s">
        <v>69</v>
      </c>
      <c r="BU995" t="s">
        <v>9352</v>
      </c>
      <c r="BV995" t="s">
        <v>69</v>
      </c>
      <c r="BW995" t="s">
        <v>69</v>
      </c>
      <c r="BX995" t="s">
        <v>8526</v>
      </c>
      <c r="BY995" t="str">
        <f>HYPERLINK("https%3A%2F%2Fwww.webofscience.com%2Fwos%2Fwoscc%2Ffull-record%2FWOS:000682245300001","View Full Record in Web of Science")</f>
        <v>View Full Record in Web of Science</v>
      </c>
    </row>
    <row r="996" spans="1:77" ht="12.5" x14ac:dyDescent="0.25">
      <c r="A996" t="s">
        <v>8495</v>
      </c>
      <c r="B996" s="22" t="s">
        <v>32931</v>
      </c>
      <c r="C996" s="7"/>
      <c r="D996" s="7"/>
      <c r="E996" s="7"/>
      <c r="F996" t="s">
        <v>67</v>
      </c>
      <c r="G996" t="s">
        <v>10047</v>
      </c>
      <c r="H996" t="s">
        <v>69</v>
      </c>
      <c r="I996" t="s">
        <v>69</v>
      </c>
      <c r="J996" t="s">
        <v>69</v>
      </c>
      <c r="K996" t="s">
        <v>10048</v>
      </c>
      <c r="L996" t="s">
        <v>69</v>
      </c>
      <c r="M996" t="s">
        <v>69</v>
      </c>
      <c r="N996" t="s">
        <v>10049</v>
      </c>
      <c r="O996" t="s">
        <v>10050</v>
      </c>
      <c r="P996" t="s">
        <v>69</v>
      </c>
      <c r="Q996" t="s">
        <v>69</v>
      </c>
      <c r="R996" t="s">
        <v>8505</v>
      </c>
      <c r="S996" t="s">
        <v>8556</v>
      </c>
      <c r="T996" t="s">
        <v>69</v>
      </c>
      <c r="U996" t="s">
        <v>69</v>
      </c>
      <c r="V996" t="s">
        <v>69</v>
      </c>
      <c r="W996" t="s">
        <v>69</v>
      </c>
      <c r="X996" t="s">
        <v>69</v>
      </c>
      <c r="Y996" t="s">
        <v>10051</v>
      </c>
      <c r="Z996" t="s">
        <v>10052</v>
      </c>
      <c r="AA996" t="s">
        <v>10053</v>
      </c>
      <c r="AB996" t="s">
        <v>10054</v>
      </c>
      <c r="AC996" t="s">
        <v>69</v>
      </c>
      <c r="AD996" t="s">
        <v>10055</v>
      </c>
      <c r="AE996" t="s">
        <v>10056</v>
      </c>
      <c r="AF996" t="s">
        <v>69</v>
      </c>
      <c r="AG996" t="s">
        <v>69</v>
      </c>
      <c r="AH996" t="s">
        <v>10057</v>
      </c>
      <c r="AI996" t="s">
        <v>10057</v>
      </c>
      <c r="AJ996" t="s">
        <v>10058</v>
      </c>
      <c r="AK996" t="s">
        <v>69</v>
      </c>
      <c r="AL996">
        <v>95</v>
      </c>
      <c r="AM996">
        <v>1</v>
      </c>
      <c r="AN996">
        <v>1</v>
      </c>
      <c r="AO996">
        <v>0</v>
      </c>
      <c r="AP996">
        <v>0</v>
      </c>
      <c r="AQ996" t="s">
        <v>8586</v>
      </c>
      <c r="AR996" t="s">
        <v>8587</v>
      </c>
      <c r="AS996" t="s">
        <v>8588</v>
      </c>
      <c r="AT996" t="s">
        <v>10059</v>
      </c>
      <c r="AU996" t="s">
        <v>10060</v>
      </c>
      <c r="AV996" t="s">
        <v>69</v>
      </c>
      <c r="AW996" t="s">
        <v>10061</v>
      </c>
      <c r="AX996" t="s">
        <v>10062</v>
      </c>
      <c r="AY996" t="s">
        <v>69</v>
      </c>
      <c r="AZ996" t="s">
        <v>69</v>
      </c>
      <c r="BA996" t="s">
        <v>69</v>
      </c>
      <c r="BB996" t="s">
        <v>69</v>
      </c>
      <c r="BC996" t="s">
        <v>69</v>
      </c>
      <c r="BD996" t="s">
        <v>69</v>
      </c>
      <c r="BE996" t="s">
        <v>69</v>
      </c>
      <c r="BF996" t="s">
        <v>69</v>
      </c>
      <c r="BG996" t="s">
        <v>69</v>
      </c>
      <c r="BH996" t="s">
        <v>69</v>
      </c>
      <c r="BI996" t="s">
        <v>69</v>
      </c>
      <c r="BJ996" t="s">
        <v>10063</v>
      </c>
      <c r="BK996" t="str">
        <f>HYPERLINK("http://dx.doi.org/10.1108/JFMPC-01-2021-0004","http://dx.doi.org/10.1108/JFMPC-01-2021-0004")</f>
        <v>http://dx.doi.org/10.1108/JFMPC-01-2021-0004</v>
      </c>
      <c r="BL996" t="s">
        <v>69</v>
      </c>
      <c r="BM996" t="s">
        <v>9987</v>
      </c>
      <c r="BN996">
        <v>25</v>
      </c>
      <c r="BO996" t="s">
        <v>9749</v>
      </c>
      <c r="BP996" t="s">
        <v>8573</v>
      </c>
      <c r="BQ996" t="s">
        <v>8594</v>
      </c>
      <c r="BR996" t="s">
        <v>10064</v>
      </c>
      <c r="BS996" t="s">
        <v>10066</v>
      </c>
      <c r="BT996" t="s">
        <v>69</v>
      </c>
      <c r="BU996" t="s">
        <v>10065</v>
      </c>
      <c r="BV996" t="s">
        <v>69</v>
      </c>
      <c r="BW996" t="s">
        <v>69</v>
      </c>
      <c r="BX996" t="s">
        <v>8526</v>
      </c>
      <c r="BY996" t="str">
        <f>HYPERLINK("https%3A%2F%2Fwww.webofscience.com%2Fwos%2Fwoscc%2Ffull-record%2FWOS:000740960700001","View Full Record in Web of Science")</f>
        <v>View Full Record in Web of Science</v>
      </c>
    </row>
    <row r="997" spans="1:77" ht="12.5" x14ac:dyDescent="0.25">
      <c r="A997" t="s">
        <v>8495</v>
      </c>
      <c r="B997" s="7" t="s">
        <v>32933</v>
      </c>
      <c r="C997" s="7"/>
      <c r="D997" s="7"/>
      <c r="E997" s="7"/>
      <c r="F997" t="s">
        <v>67</v>
      </c>
      <c r="G997" t="s">
        <v>1177</v>
      </c>
      <c r="H997" t="s">
        <v>69</v>
      </c>
      <c r="I997" t="s">
        <v>69</v>
      </c>
      <c r="J997" t="s">
        <v>69</v>
      </c>
      <c r="K997" t="s">
        <v>1178</v>
      </c>
      <c r="L997" t="s">
        <v>69</v>
      </c>
      <c r="M997" t="s">
        <v>69</v>
      </c>
      <c r="N997" t="s">
        <v>1179</v>
      </c>
      <c r="O997" t="s">
        <v>1180</v>
      </c>
      <c r="P997" t="s">
        <v>69</v>
      </c>
      <c r="Q997" t="s">
        <v>69</v>
      </c>
      <c r="R997" t="s">
        <v>8505</v>
      </c>
      <c r="S997" t="s">
        <v>8506</v>
      </c>
      <c r="T997" t="s">
        <v>69</v>
      </c>
      <c r="U997" t="s">
        <v>69</v>
      </c>
      <c r="V997" t="s">
        <v>69</v>
      </c>
      <c r="W997" t="s">
        <v>69</v>
      </c>
      <c r="X997" t="s">
        <v>69</v>
      </c>
      <c r="Y997" t="s">
        <v>20654</v>
      </c>
      <c r="Z997" t="s">
        <v>20655</v>
      </c>
      <c r="AA997" t="s">
        <v>1181</v>
      </c>
      <c r="AB997" t="s">
        <v>20656</v>
      </c>
      <c r="AC997" t="s">
        <v>69</v>
      </c>
      <c r="AD997" t="s">
        <v>20657</v>
      </c>
      <c r="AE997" t="s">
        <v>20658</v>
      </c>
      <c r="AF997" t="s">
        <v>69</v>
      </c>
      <c r="AG997" t="s">
        <v>1182</v>
      </c>
      <c r="AH997" t="s">
        <v>20659</v>
      </c>
      <c r="AI997" t="s">
        <v>20660</v>
      </c>
      <c r="AJ997" t="s">
        <v>20661</v>
      </c>
      <c r="AK997" t="s">
        <v>69</v>
      </c>
      <c r="AL997">
        <v>35</v>
      </c>
      <c r="AM997">
        <v>2</v>
      </c>
      <c r="AN997">
        <v>2</v>
      </c>
      <c r="AO997">
        <v>0</v>
      </c>
      <c r="AP997">
        <v>5</v>
      </c>
      <c r="AQ997" t="s">
        <v>8865</v>
      </c>
      <c r="AR997" t="s">
        <v>8612</v>
      </c>
      <c r="AS997" t="s">
        <v>8866</v>
      </c>
      <c r="AT997" t="s">
        <v>1183</v>
      </c>
      <c r="AU997" t="s">
        <v>1184</v>
      </c>
      <c r="AV997" t="s">
        <v>69</v>
      </c>
      <c r="AW997" t="s">
        <v>20662</v>
      </c>
      <c r="AX997" t="s">
        <v>20663</v>
      </c>
      <c r="AY997" t="s">
        <v>69</v>
      </c>
      <c r="AZ997">
        <v>2017</v>
      </c>
      <c r="BA997">
        <v>5</v>
      </c>
      <c r="BB997" t="s">
        <v>145</v>
      </c>
      <c r="BC997" t="s">
        <v>69</v>
      </c>
      <c r="BD997" t="s">
        <v>69</v>
      </c>
      <c r="BE997" t="s">
        <v>69</v>
      </c>
      <c r="BF997" t="s">
        <v>69</v>
      </c>
      <c r="BG997">
        <v>172</v>
      </c>
      <c r="BH997">
        <v>184</v>
      </c>
      <c r="BI997" t="s">
        <v>69</v>
      </c>
      <c r="BJ997" t="s">
        <v>1185</v>
      </c>
      <c r="BK997" t="str">
        <f>HYPERLINK("http://dx.doi.org/10.1080/24725838.2017.1386142","http://dx.doi.org/10.1080/24725838.2017.1386142")</f>
        <v>http://dx.doi.org/10.1080/24725838.2017.1386142</v>
      </c>
      <c r="BL997" t="s">
        <v>69</v>
      </c>
      <c r="BM997" t="s">
        <v>69</v>
      </c>
      <c r="BN997">
        <v>13</v>
      </c>
      <c r="BO997" t="s">
        <v>20664</v>
      </c>
      <c r="BP997" t="s">
        <v>8573</v>
      </c>
      <c r="BQ997" t="s">
        <v>8445</v>
      </c>
      <c r="BR997" t="s">
        <v>20665</v>
      </c>
      <c r="BS997" t="s">
        <v>1186</v>
      </c>
      <c r="BT997" t="s">
        <v>69</v>
      </c>
      <c r="BU997" t="s">
        <v>69</v>
      </c>
      <c r="BV997" t="s">
        <v>69</v>
      </c>
      <c r="BW997" t="s">
        <v>69</v>
      </c>
      <c r="BX997" t="s">
        <v>8526</v>
      </c>
      <c r="BY997" t="str">
        <f>HYPERLINK("https%3A%2F%2Fwww.webofscience.com%2Fwos%2Fwoscc%2Ffull-record%2FWOS:000442411900005","View Full Record in Web of Science")</f>
        <v>View Full Record in Web of Science</v>
      </c>
    </row>
    <row r="998" spans="1:77" ht="12.5" x14ac:dyDescent="0.25">
      <c r="A998" t="s">
        <v>8495</v>
      </c>
      <c r="B998" s="7" t="s">
        <v>32933</v>
      </c>
      <c r="C998" s="7"/>
      <c r="D998" s="7"/>
      <c r="E998" s="7"/>
      <c r="F998" t="s">
        <v>67</v>
      </c>
      <c r="G998" t="s">
        <v>2440</v>
      </c>
      <c r="H998" t="s">
        <v>69</v>
      </c>
      <c r="I998" t="s">
        <v>69</v>
      </c>
      <c r="J998" t="s">
        <v>69</v>
      </c>
      <c r="K998" t="s">
        <v>2441</v>
      </c>
      <c r="L998" t="s">
        <v>69</v>
      </c>
      <c r="M998" t="s">
        <v>69</v>
      </c>
      <c r="N998" t="s">
        <v>2442</v>
      </c>
      <c r="O998" t="s">
        <v>2443</v>
      </c>
      <c r="P998" t="s">
        <v>69</v>
      </c>
      <c r="Q998" t="s">
        <v>69</v>
      </c>
      <c r="R998" t="s">
        <v>8505</v>
      </c>
      <c r="S998" t="s">
        <v>8506</v>
      </c>
      <c r="T998" t="s">
        <v>69</v>
      </c>
      <c r="U998" t="s">
        <v>69</v>
      </c>
      <c r="V998" t="s">
        <v>69</v>
      </c>
      <c r="W998" t="s">
        <v>69</v>
      </c>
      <c r="X998" t="s">
        <v>69</v>
      </c>
      <c r="Y998" t="s">
        <v>19300</v>
      </c>
      <c r="Z998" t="s">
        <v>69</v>
      </c>
      <c r="AA998" t="s">
        <v>2444</v>
      </c>
      <c r="AB998" t="s">
        <v>19301</v>
      </c>
      <c r="AC998" t="s">
        <v>69</v>
      </c>
      <c r="AD998" t="s">
        <v>19302</v>
      </c>
      <c r="AE998" t="s">
        <v>19303</v>
      </c>
      <c r="AF998" t="s">
        <v>19304</v>
      </c>
      <c r="AG998" t="s">
        <v>69</v>
      </c>
      <c r="AH998" t="s">
        <v>69</v>
      </c>
      <c r="AI998" t="s">
        <v>69</v>
      </c>
      <c r="AJ998" t="s">
        <v>69</v>
      </c>
      <c r="AK998" t="s">
        <v>69</v>
      </c>
      <c r="AL998">
        <v>32</v>
      </c>
      <c r="AM998">
        <v>1</v>
      </c>
      <c r="AN998">
        <v>1</v>
      </c>
      <c r="AO998">
        <v>4</v>
      </c>
      <c r="AP998">
        <v>12</v>
      </c>
      <c r="AQ998" t="s">
        <v>19305</v>
      </c>
      <c r="AR998" t="s">
        <v>19306</v>
      </c>
      <c r="AS998" t="s">
        <v>19307</v>
      </c>
      <c r="AT998" t="s">
        <v>69</v>
      </c>
      <c r="AU998" t="s">
        <v>2445</v>
      </c>
      <c r="AV998" t="s">
        <v>69</v>
      </c>
      <c r="AW998" t="s">
        <v>19308</v>
      </c>
      <c r="AX998" t="s">
        <v>19309</v>
      </c>
      <c r="AY998" t="s">
        <v>69</v>
      </c>
      <c r="AZ998">
        <v>2018</v>
      </c>
      <c r="BA998" t="s">
        <v>69</v>
      </c>
      <c r="BB998">
        <v>55</v>
      </c>
      <c r="BC998" t="s">
        <v>69</v>
      </c>
      <c r="BD998" t="s">
        <v>69</v>
      </c>
      <c r="BE998" t="s">
        <v>69</v>
      </c>
      <c r="BF998" t="s">
        <v>69</v>
      </c>
      <c r="BG998">
        <v>37</v>
      </c>
      <c r="BH998">
        <v>59</v>
      </c>
      <c r="BI998" t="s">
        <v>69</v>
      </c>
      <c r="BJ998" t="s">
        <v>2446</v>
      </c>
      <c r="BK998" t="str">
        <f>HYPERLINK("http://dx.doi.org/10.26650/CONNECTIST2018-0023","http://dx.doi.org/10.26650/CONNECTIST2018-0023")</f>
        <v>http://dx.doi.org/10.26650/CONNECTIST2018-0023</v>
      </c>
      <c r="BL998" t="s">
        <v>69</v>
      </c>
      <c r="BM998" t="s">
        <v>69</v>
      </c>
      <c r="BN998">
        <v>23</v>
      </c>
      <c r="BO998" t="s">
        <v>8443</v>
      </c>
      <c r="BP998" t="s">
        <v>8573</v>
      </c>
      <c r="BQ998" t="s">
        <v>8443</v>
      </c>
      <c r="BR998" t="s">
        <v>19310</v>
      </c>
      <c r="BS998" t="s">
        <v>2447</v>
      </c>
      <c r="BT998" t="s">
        <v>69</v>
      </c>
      <c r="BU998" t="s">
        <v>12220</v>
      </c>
      <c r="BV998" t="s">
        <v>69</v>
      </c>
      <c r="BW998" t="s">
        <v>69</v>
      </c>
      <c r="BX998" t="s">
        <v>8526</v>
      </c>
      <c r="BY998" t="str">
        <f>HYPERLINK("https%3A%2F%2Fwww.webofscience.com%2Fwos%2Fwoscc%2Ffull-record%2FWOS:000454564200002","View Full Record in Web of Science")</f>
        <v>View Full Record in Web of Science</v>
      </c>
    </row>
    <row r="999" spans="1:77" ht="12.5" x14ac:dyDescent="0.25">
      <c r="A999" t="s">
        <v>8495</v>
      </c>
      <c r="B999" s="7" t="s">
        <v>32933</v>
      </c>
      <c r="C999" s="7"/>
      <c r="D999" s="7"/>
      <c r="E999" s="7"/>
      <c r="F999" t="s">
        <v>67</v>
      </c>
      <c r="G999" t="s">
        <v>820</v>
      </c>
      <c r="H999" t="s">
        <v>69</v>
      </c>
      <c r="I999" t="s">
        <v>69</v>
      </c>
      <c r="J999" t="s">
        <v>69</v>
      </c>
      <c r="K999" t="s">
        <v>821</v>
      </c>
      <c r="L999" t="s">
        <v>69</v>
      </c>
      <c r="M999" t="s">
        <v>69</v>
      </c>
      <c r="N999" t="s">
        <v>822</v>
      </c>
      <c r="O999" t="s">
        <v>823</v>
      </c>
      <c r="P999" t="s">
        <v>69</v>
      </c>
      <c r="Q999" t="s">
        <v>69</v>
      </c>
      <c r="R999" t="s">
        <v>8505</v>
      </c>
      <c r="S999" t="s">
        <v>8506</v>
      </c>
      <c r="T999" t="s">
        <v>69</v>
      </c>
      <c r="U999" t="s">
        <v>69</v>
      </c>
      <c r="V999" t="s">
        <v>69</v>
      </c>
      <c r="W999" t="s">
        <v>69</v>
      </c>
      <c r="X999" t="s">
        <v>69</v>
      </c>
      <c r="Y999" t="s">
        <v>15910</v>
      </c>
      <c r="Z999" t="s">
        <v>15911</v>
      </c>
      <c r="AA999" t="s">
        <v>824</v>
      </c>
      <c r="AB999" t="s">
        <v>15912</v>
      </c>
      <c r="AC999" t="s">
        <v>69</v>
      </c>
      <c r="AD999" t="s">
        <v>15913</v>
      </c>
      <c r="AE999" t="s">
        <v>15914</v>
      </c>
      <c r="AF999" t="s">
        <v>15915</v>
      </c>
      <c r="AG999" t="s">
        <v>15916</v>
      </c>
      <c r="AH999" t="s">
        <v>69</v>
      </c>
      <c r="AI999" t="s">
        <v>69</v>
      </c>
      <c r="AJ999" t="s">
        <v>69</v>
      </c>
      <c r="AK999" t="s">
        <v>69</v>
      </c>
      <c r="AL999">
        <v>54</v>
      </c>
      <c r="AM999">
        <v>6</v>
      </c>
      <c r="AN999">
        <v>6</v>
      </c>
      <c r="AO999">
        <v>3</v>
      </c>
      <c r="AP999">
        <v>13</v>
      </c>
      <c r="AQ999" t="s">
        <v>9047</v>
      </c>
      <c r="AR999" t="s">
        <v>9048</v>
      </c>
      <c r="AS999" t="s">
        <v>9049</v>
      </c>
      <c r="AT999" t="s">
        <v>825</v>
      </c>
      <c r="AU999" t="s">
        <v>826</v>
      </c>
      <c r="AV999" t="s">
        <v>69</v>
      </c>
      <c r="AW999" t="s">
        <v>15917</v>
      </c>
      <c r="AX999" t="s">
        <v>15918</v>
      </c>
      <c r="AY999" t="s">
        <v>827</v>
      </c>
      <c r="AZ999">
        <v>2020</v>
      </c>
      <c r="BA999">
        <v>192</v>
      </c>
      <c r="BB999">
        <v>2</v>
      </c>
      <c r="BC999" t="s">
        <v>69</v>
      </c>
      <c r="BD999" t="s">
        <v>69</v>
      </c>
      <c r="BE999" t="s">
        <v>69</v>
      </c>
      <c r="BF999" t="s">
        <v>69</v>
      </c>
      <c r="BG999" t="s">
        <v>69</v>
      </c>
      <c r="BH999" t="s">
        <v>69</v>
      </c>
      <c r="BI999">
        <v>139</v>
      </c>
      <c r="BJ999" t="s">
        <v>828</v>
      </c>
      <c r="BK999" t="str">
        <f>HYPERLINK("http://dx.doi.org/10.1007/s10661-020-8098-4","http://dx.doi.org/10.1007/s10661-020-8098-4")</f>
        <v>http://dx.doi.org/10.1007/s10661-020-8098-4</v>
      </c>
      <c r="BL999" t="s">
        <v>69</v>
      </c>
      <c r="BM999" t="s">
        <v>69</v>
      </c>
      <c r="BN999">
        <v>15</v>
      </c>
      <c r="BO999" t="s">
        <v>8717</v>
      </c>
      <c r="BP999" t="s">
        <v>8548</v>
      </c>
      <c r="BQ999" t="s">
        <v>8662</v>
      </c>
      <c r="BR999" t="s">
        <v>15919</v>
      </c>
      <c r="BS999" t="s">
        <v>829</v>
      </c>
      <c r="BT999">
        <v>31980986</v>
      </c>
      <c r="BU999" t="s">
        <v>69</v>
      </c>
      <c r="BV999" t="s">
        <v>69</v>
      </c>
      <c r="BW999" t="s">
        <v>69</v>
      </c>
      <c r="BX999" t="s">
        <v>8526</v>
      </c>
      <c r="BY999" t="str">
        <f>HYPERLINK("https%3A%2F%2Fwww.webofscience.com%2Fwos%2Fwoscc%2Ffull-record%2FWOS:000513948000003","View Full Record in Web of Science")</f>
        <v>View Full Record in Web of Science</v>
      </c>
    </row>
    <row r="1000" spans="1:77" ht="12.5" x14ac:dyDescent="0.25">
      <c r="A1000" t="s">
        <v>8495</v>
      </c>
      <c r="B1000" s="22" t="s">
        <v>32931</v>
      </c>
      <c r="C1000" s="7"/>
      <c r="D1000" s="7"/>
      <c r="E1000" s="7"/>
      <c r="F1000" t="s">
        <v>67</v>
      </c>
      <c r="G1000" t="s">
        <v>28226</v>
      </c>
      <c r="H1000" t="s">
        <v>69</v>
      </c>
      <c r="I1000" t="s">
        <v>69</v>
      </c>
      <c r="J1000" t="s">
        <v>69</v>
      </c>
      <c r="K1000" t="s">
        <v>28227</v>
      </c>
      <c r="L1000" t="s">
        <v>69</v>
      </c>
      <c r="M1000" t="s">
        <v>69</v>
      </c>
      <c r="N1000" t="s">
        <v>28228</v>
      </c>
      <c r="O1000" t="s">
        <v>28229</v>
      </c>
      <c r="P1000" t="s">
        <v>69</v>
      </c>
      <c r="Q1000" t="s">
        <v>69</v>
      </c>
      <c r="R1000" t="s">
        <v>8505</v>
      </c>
      <c r="S1000" t="s">
        <v>8506</v>
      </c>
      <c r="T1000" t="s">
        <v>69</v>
      </c>
      <c r="U1000" t="s">
        <v>69</v>
      </c>
      <c r="V1000" t="s">
        <v>69</v>
      </c>
      <c r="W1000" t="s">
        <v>69</v>
      </c>
      <c r="X1000" t="s">
        <v>69</v>
      </c>
      <c r="Y1000" t="s">
        <v>69</v>
      </c>
      <c r="Z1000" t="s">
        <v>69</v>
      </c>
      <c r="AA1000" t="s">
        <v>28230</v>
      </c>
      <c r="AB1000" t="s">
        <v>28231</v>
      </c>
      <c r="AC1000" t="s">
        <v>69</v>
      </c>
      <c r="AD1000" t="s">
        <v>28232</v>
      </c>
      <c r="AE1000" t="s">
        <v>69</v>
      </c>
      <c r="AF1000" t="s">
        <v>69</v>
      </c>
      <c r="AG1000" t="s">
        <v>69</v>
      </c>
      <c r="AH1000" t="s">
        <v>69</v>
      </c>
      <c r="AI1000" t="s">
        <v>69</v>
      </c>
      <c r="AJ1000" t="s">
        <v>69</v>
      </c>
      <c r="AK1000" t="s">
        <v>69</v>
      </c>
      <c r="AL1000">
        <v>8</v>
      </c>
      <c r="AM1000">
        <v>1</v>
      </c>
      <c r="AN1000">
        <v>1</v>
      </c>
      <c r="AO1000">
        <v>0</v>
      </c>
      <c r="AP1000">
        <v>0</v>
      </c>
      <c r="AQ1000" t="s">
        <v>28233</v>
      </c>
      <c r="AR1000" t="s">
        <v>8763</v>
      </c>
      <c r="AS1000" t="s">
        <v>28234</v>
      </c>
      <c r="AT1000" t="s">
        <v>28235</v>
      </c>
      <c r="AU1000" t="s">
        <v>69</v>
      </c>
      <c r="AV1000" t="s">
        <v>69</v>
      </c>
      <c r="AW1000" t="s">
        <v>28229</v>
      </c>
      <c r="AX1000" t="s">
        <v>28236</v>
      </c>
      <c r="AY1000" t="s">
        <v>69</v>
      </c>
      <c r="AZ1000">
        <v>2010</v>
      </c>
      <c r="BA1000">
        <v>2</v>
      </c>
      <c r="BB1000">
        <v>1</v>
      </c>
      <c r="BC1000" t="s">
        <v>69</v>
      </c>
      <c r="BD1000" t="s">
        <v>69</v>
      </c>
      <c r="BE1000" t="s">
        <v>69</v>
      </c>
      <c r="BF1000" t="s">
        <v>69</v>
      </c>
      <c r="BG1000">
        <v>113</v>
      </c>
      <c r="BH1000">
        <v>125</v>
      </c>
      <c r="BI1000" t="s">
        <v>69</v>
      </c>
      <c r="BJ1000" t="s">
        <v>28237</v>
      </c>
      <c r="BK1000" t="str">
        <f>HYPERLINK("http://dx.doi.org/10.5334/pp.28","http://dx.doi.org/10.5334/pp.28")</f>
        <v>http://dx.doi.org/10.5334/pp.28</v>
      </c>
      <c r="BL1000" t="s">
        <v>69</v>
      </c>
      <c r="BM1000" t="s">
        <v>69</v>
      </c>
      <c r="BN1000">
        <v>13</v>
      </c>
      <c r="BO1000" t="s">
        <v>11206</v>
      </c>
      <c r="BP1000" t="s">
        <v>8573</v>
      </c>
      <c r="BQ1000" t="s">
        <v>11208</v>
      </c>
      <c r="BR1000" t="s">
        <v>28238</v>
      </c>
      <c r="BS1000" t="s">
        <v>28239</v>
      </c>
      <c r="BT1000" t="s">
        <v>69</v>
      </c>
      <c r="BU1000" t="s">
        <v>8812</v>
      </c>
      <c r="BV1000" t="s">
        <v>69</v>
      </c>
      <c r="BW1000" t="s">
        <v>69</v>
      </c>
      <c r="BX1000" t="s">
        <v>8526</v>
      </c>
      <c r="BY1000" t="str">
        <f>HYPERLINK("https%3A%2F%2Fwww.webofscience.com%2Fwos%2Fwoscc%2Ffull-record%2FWOS:000421779900013","View Full Record in Web of Science")</f>
        <v>View Full Record in Web of Science</v>
      </c>
    </row>
    <row r="1001" spans="1:77" ht="12.5" x14ac:dyDescent="0.25">
      <c r="A1001" t="s">
        <v>8495</v>
      </c>
      <c r="B1001" s="7" t="s">
        <v>32933</v>
      </c>
      <c r="C1001" s="7"/>
      <c r="D1001" s="7"/>
      <c r="E1001" s="7"/>
      <c r="F1001" t="s">
        <v>67</v>
      </c>
      <c r="G1001" t="s">
        <v>3465</v>
      </c>
      <c r="H1001" t="s">
        <v>69</v>
      </c>
      <c r="I1001" t="s">
        <v>69</v>
      </c>
      <c r="J1001" t="s">
        <v>69</v>
      </c>
      <c r="K1001" t="s">
        <v>3466</v>
      </c>
      <c r="L1001" t="s">
        <v>69</v>
      </c>
      <c r="M1001" t="s">
        <v>69</v>
      </c>
      <c r="N1001" t="s">
        <v>3467</v>
      </c>
      <c r="O1001" t="s">
        <v>3088</v>
      </c>
      <c r="P1001" t="s">
        <v>69</v>
      </c>
      <c r="Q1001" t="s">
        <v>69</v>
      </c>
      <c r="R1001" t="s">
        <v>8505</v>
      </c>
      <c r="S1001" t="s">
        <v>8506</v>
      </c>
      <c r="T1001" t="s">
        <v>69</v>
      </c>
      <c r="U1001" t="s">
        <v>69</v>
      </c>
      <c r="V1001" t="s">
        <v>69</v>
      </c>
      <c r="W1001" t="s">
        <v>69</v>
      </c>
      <c r="X1001" t="s">
        <v>69</v>
      </c>
      <c r="Y1001" t="s">
        <v>27187</v>
      </c>
      <c r="Z1001" t="s">
        <v>27188</v>
      </c>
      <c r="AA1001" t="s">
        <v>3468</v>
      </c>
      <c r="AB1001" t="s">
        <v>27189</v>
      </c>
      <c r="AC1001" t="s">
        <v>69</v>
      </c>
      <c r="AD1001" t="s">
        <v>27190</v>
      </c>
      <c r="AE1001" t="s">
        <v>27191</v>
      </c>
      <c r="AF1001" t="s">
        <v>69</v>
      </c>
      <c r="AG1001" t="s">
        <v>69</v>
      </c>
      <c r="AH1001" t="s">
        <v>69</v>
      </c>
      <c r="AI1001" t="s">
        <v>69</v>
      </c>
      <c r="AJ1001" t="s">
        <v>69</v>
      </c>
      <c r="AK1001" t="s">
        <v>69</v>
      </c>
      <c r="AL1001">
        <v>44</v>
      </c>
      <c r="AM1001">
        <v>6</v>
      </c>
      <c r="AN1001">
        <v>7</v>
      </c>
      <c r="AO1001">
        <v>3</v>
      </c>
      <c r="AP1001">
        <v>28</v>
      </c>
      <c r="AQ1001" t="s">
        <v>22996</v>
      </c>
      <c r="AR1001" t="s">
        <v>22997</v>
      </c>
      <c r="AS1001" t="s">
        <v>22998</v>
      </c>
      <c r="AT1001" t="s">
        <v>3090</v>
      </c>
      <c r="AU1001" t="s">
        <v>3091</v>
      </c>
      <c r="AV1001" t="s">
        <v>69</v>
      </c>
      <c r="AW1001" t="s">
        <v>22999</v>
      </c>
      <c r="AX1001" t="s">
        <v>23000</v>
      </c>
      <c r="AY1001" t="s">
        <v>69</v>
      </c>
      <c r="AZ1001">
        <v>2011</v>
      </c>
      <c r="BA1001">
        <v>22</v>
      </c>
      <c r="BB1001">
        <v>4</v>
      </c>
      <c r="BC1001" t="s">
        <v>69</v>
      </c>
      <c r="BD1001" t="s">
        <v>69</v>
      </c>
      <c r="BE1001" t="s">
        <v>69</v>
      </c>
      <c r="BF1001" t="s">
        <v>69</v>
      </c>
      <c r="BG1001">
        <v>367</v>
      </c>
      <c r="BH1001">
        <v>379</v>
      </c>
      <c r="BI1001" t="s">
        <v>69</v>
      </c>
      <c r="BJ1001" t="s">
        <v>3469</v>
      </c>
      <c r="BK1001" t="str">
        <f>HYPERLINK("http://dx.doi.org/10.5755/j01.ee.22.4.712","http://dx.doi.org/10.5755/j01.ee.22.4.712")</f>
        <v>http://dx.doi.org/10.5755/j01.ee.22.4.712</v>
      </c>
      <c r="BL1001" t="s">
        <v>69</v>
      </c>
      <c r="BM1001" t="s">
        <v>69</v>
      </c>
      <c r="BN1001">
        <v>13</v>
      </c>
      <c r="BO1001" t="s">
        <v>9726</v>
      </c>
      <c r="BP1001" t="s">
        <v>8661</v>
      </c>
      <c r="BQ1001" t="s">
        <v>8594</v>
      </c>
      <c r="BR1001" t="s">
        <v>27192</v>
      </c>
      <c r="BS1001" t="s">
        <v>3470</v>
      </c>
      <c r="BT1001" t="s">
        <v>69</v>
      </c>
      <c r="BU1001" t="s">
        <v>69</v>
      </c>
      <c r="BV1001" t="s">
        <v>69</v>
      </c>
      <c r="BW1001" t="s">
        <v>69</v>
      </c>
      <c r="BX1001" t="s">
        <v>8526</v>
      </c>
      <c r="BY1001" t="str">
        <f>HYPERLINK("https%3A%2F%2Fwww.webofscience.com%2Fwos%2Fwoscc%2Ffull-record%2FWOS:000300570000004","View Full Record in Web of Science")</f>
        <v>View Full Record in Web of Science</v>
      </c>
    </row>
    <row r="1002" spans="1:77" ht="12.5" x14ac:dyDescent="0.25">
      <c r="A1002" t="s">
        <v>8495</v>
      </c>
      <c r="B1002" s="22" t="s">
        <v>32931</v>
      </c>
      <c r="C1002" s="7"/>
      <c r="D1002" s="7"/>
      <c r="E1002" s="7"/>
      <c r="F1002" t="s">
        <v>67</v>
      </c>
      <c r="G1002" t="s">
        <v>18152</v>
      </c>
      <c r="H1002" t="s">
        <v>69</v>
      </c>
      <c r="I1002" t="s">
        <v>69</v>
      </c>
      <c r="J1002" t="s">
        <v>69</v>
      </c>
      <c r="K1002" t="s">
        <v>18153</v>
      </c>
      <c r="L1002" t="s">
        <v>69</v>
      </c>
      <c r="M1002" t="s">
        <v>69</v>
      </c>
      <c r="N1002" t="s">
        <v>18154</v>
      </c>
      <c r="O1002" t="s">
        <v>2107</v>
      </c>
      <c r="P1002" t="s">
        <v>69</v>
      </c>
      <c r="Q1002" t="s">
        <v>69</v>
      </c>
      <c r="R1002" t="s">
        <v>8505</v>
      </c>
      <c r="S1002" t="s">
        <v>8506</v>
      </c>
      <c r="T1002" t="s">
        <v>69</v>
      </c>
      <c r="U1002" t="s">
        <v>69</v>
      </c>
      <c r="V1002" t="s">
        <v>69</v>
      </c>
      <c r="W1002" t="s">
        <v>69</v>
      </c>
      <c r="X1002" t="s">
        <v>69</v>
      </c>
      <c r="Y1002" t="s">
        <v>18155</v>
      </c>
      <c r="Z1002" t="s">
        <v>18156</v>
      </c>
      <c r="AA1002" t="s">
        <v>18157</v>
      </c>
      <c r="AB1002" t="s">
        <v>18158</v>
      </c>
      <c r="AC1002" t="s">
        <v>69</v>
      </c>
      <c r="AD1002" t="s">
        <v>18159</v>
      </c>
      <c r="AE1002" t="s">
        <v>18160</v>
      </c>
      <c r="AF1002" t="s">
        <v>69</v>
      </c>
      <c r="AG1002" t="s">
        <v>18161</v>
      </c>
      <c r="AH1002" t="s">
        <v>18162</v>
      </c>
      <c r="AI1002" t="s">
        <v>18163</v>
      </c>
      <c r="AJ1002" t="s">
        <v>18164</v>
      </c>
      <c r="AK1002" t="s">
        <v>69</v>
      </c>
      <c r="AL1002">
        <v>40</v>
      </c>
      <c r="AM1002">
        <v>0</v>
      </c>
      <c r="AN1002">
        <v>0</v>
      </c>
      <c r="AO1002">
        <v>0</v>
      </c>
      <c r="AP1002">
        <v>3</v>
      </c>
      <c r="AQ1002" t="s">
        <v>8924</v>
      </c>
      <c r="AR1002" t="s">
        <v>8925</v>
      </c>
      <c r="AS1002" t="s">
        <v>8926</v>
      </c>
      <c r="AT1002" t="s">
        <v>69</v>
      </c>
      <c r="AU1002" t="s">
        <v>2110</v>
      </c>
      <c r="AV1002" t="s">
        <v>69</v>
      </c>
      <c r="AW1002" t="s">
        <v>10592</v>
      </c>
      <c r="AX1002" t="s">
        <v>10593</v>
      </c>
      <c r="AY1002" t="s">
        <v>274</v>
      </c>
      <c r="AZ1002">
        <v>2018</v>
      </c>
      <c r="BA1002">
        <v>15</v>
      </c>
      <c r="BB1002">
        <v>11</v>
      </c>
      <c r="BC1002" t="s">
        <v>69</v>
      </c>
      <c r="BD1002" t="s">
        <v>69</v>
      </c>
      <c r="BE1002" t="s">
        <v>69</v>
      </c>
      <c r="BF1002" t="s">
        <v>69</v>
      </c>
      <c r="BG1002" t="s">
        <v>69</v>
      </c>
      <c r="BH1002" t="s">
        <v>69</v>
      </c>
      <c r="BI1002">
        <v>2533</v>
      </c>
      <c r="BJ1002" t="s">
        <v>18165</v>
      </c>
      <c r="BK1002" t="str">
        <f>HYPERLINK("http://dx.doi.org/10.3390/ijerph15112533","http://dx.doi.org/10.3390/ijerph15112533")</f>
        <v>http://dx.doi.org/10.3390/ijerph15112533</v>
      </c>
      <c r="BL1002" t="s">
        <v>69</v>
      </c>
      <c r="BM1002" t="s">
        <v>69</v>
      </c>
      <c r="BN1002">
        <v>13</v>
      </c>
      <c r="BO1002" t="s">
        <v>10595</v>
      </c>
      <c r="BP1002" t="s">
        <v>8523</v>
      </c>
      <c r="BQ1002" t="s">
        <v>10596</v>
      </c>
      <c r="BR1002" t="s">
        <v>18166</v>
      </c>
      <c r="BS1002" t="s">
        <v>18167</v>
      </c>
      <c r="BT1002">
        <v>30424550</v>
      </c>
      <c r="BU1002" t="s">
        <v>10765</v>
      </c>
      <c r="BV1002" t="s">
        <v>69</v>
      </c>
      <c r="BW1002" t="s">
        <v>69</v>
      </c>
      <c r="BX1002" t="s">
        <v>8526</v>
      </c>
      <c r="BY1002" t="str">
        <f>HYPERLINK("https%3A%2F%2Fwww.webofscience.com%2Fwos%2Fwoscc%2Ffull-record%2FWOS:000451640500207","View Full Record in Web of Science")</f>
        <v>View Full Record in Web of Science</v>
      </c>
    </row>
    <row r="1003" spans="1:77" x14ac:dyDescent="0.3">
      <c r="A1003" t="s">
        <v>8495</v>
      </c>
      <c r="B1003" s="12" t="s">
        <v>33002</v>
      </c>
      <c r="F1003" t="s">
        <v>67</v>
      </c>
      <c r="G1003" t="s">
        <v>4698</v>
      </c>
      <c r="H1003" t="s">
        <v>69</v>
      </c>
      <c r="I1003" t="s">
        <v>69</v>
      </c>
      <c r="J1003" t="s">
        <v>69</v>
      </c>
      <c r="K1003" s="3" t="s">
        <v>4699</v>
      </c>
      <c r="L1003" t="s">
        <v>69</v>
      </c>
      <c r="M1003" t="s">
        <v>69</v>
      </c>
      <c r="N1003" s="2" t="s">
        <v>4700</v>
      </c>
      <c r="O1003" t="s">
        <v>4701</v>
      </c>
      <c r="P1003" t="s">
        <v>69</v>
      </c>
      <c r="Q1003" t="s">
        <v>69</v>
      </c>
      <c r="R1003" t="s">
        <v>8505</v>
      </c>
      <c r="S1003" t="s">
        <v>8506</v>
      </c>
      <c r="T1003" t="s">
        <v>69</v>
      </c>
      <c r="U1003" t="s">
        <v>69</v>
      </c>
      <c r="V1003" t="s">
        <v>69</v>
      </c>
      <c r="W1003" t="s">
        <v>69</v>
      </c>
      <c r="X1003" t="s">
        <v>69</v>
      </c>
      <c r="Y1003" t="s">
        <v>27639</v>
      </c>
      <c r="Z1003" t="s">
        <v>27640</v>
      </c>
      <c r="AA1003" t="s">
        <v>4702</v>
      </c>
      <c r="AB1003" t="s">
        <v>27641</v>
      </c>
      <c r="AC1003" t="s">
        <v>69</v>
      </c>
      <c r="AD1003" t="s">
        <v>27642</v>
      </c>
      <c r="AE1003" t="s">
        <v>27643</v>
      </c>
      <c r="AF1003" t="s">
        <v>4703</v>
      </c>
      <c r="AG1003" t="s">
        <v>4704</v>
      </c>
      <c r="AH1003" t="s">
        <v>69</v>
      </c>
      <c r="AI1003" t="s">
        <v>69</v>
      </c>
      <c r="AJ1003" t="s">
        <v>69</v>
      </c>
      <c r="AK1003" t="s">
        <v>69</v>
      </c>
      <c r="AL1003">
        <v>110</v>
      </c>
      <c r="AM1003">
        <v>19</v>
      </c>
      <c r="AN1003">
        <v>19</v>
      </c>
      <c r="AO1003">
        <v>1</v>
      </c>
      <c r="AP1003">
        <v>50</v>
      </c>
      <c r="AQ1003" t="s">
        <v>8636</v>
      </c>
      <c r="AR1003" t="s">
        <v>8637</v>
      </c>
      <c r="AS1003" t="s">
        <v>8638</v>
      </c>
      <c r="AT1003" t="s">
        <v>4705</v>
      </c>
      <c r="AU1003" t="s">
        <v>4706</v>
      </c>
      <c r="AV1003" t="s">
        <v>69</v>
      </c>
      <c r="AW1003" t="s">
        <v>27644</v>
      </c>
      <c r="AX1003" t="s">
        <v>27645</v>
      </c>
      <c r="AY1003" t="s">
        <v>255</v>
      </c>
      <c r="AZ1003">
        <v>2010</v>
      </c>
      <c r="BA1003">
        <v>26</v>
      </c>
      <c r="BB1003">
        <v>3</v>
      </c>
      <c r="BC1003" t="s">
        <v>69</v>
      </c>
      <c r="BD1003" t="s">
        <v>69</v>
      </c>
      <c r="BE1003" t="s">
        <v>114</v>
      </c>
      <c r="BF1003" t="s">
        <v>69</v>
      </c>
      <c r="BG1003">
        <v>279</v>
      </c>
      <c r="BH1003">
        <v>289</v>
      </c>
      <c r="BI1003" t="s">
        <v>69</v>
      </c>
      <c r="BJ1003" t="s">
        <v>4707</v>
      </c>
      <c r="BK1003" t="str">
        <f>HYPERLINK("http://dx.doi.org/10.1016/j.scaman.2010.05.004","http://dx.doi.org/10.1016/j.scaman.2010.05.004")</f>
        <v>http://dx.doi.org/10.1016/j.scaman.2010.05.004</v>
      </c>
      <c r="BL1003" t="s">
        <v>69</v>
      </c>
      <c r="BM1003" t="s">
        <v>69</v>
      </c>
      <c r="BN1003">
        <v>11</v>
      </c>
      <c r="BO1003" t="s">
        <v>9410</v>
      </c>
      <c r="BP1003" t="s">
        <v>8661</v>
      </c>
      <c r="BQ1003" t="s">
        <v>8594</v>
      </c>
      <c r="BR1003" t="s">
        <v>27646</v>
      </c>
      <c r="BS1003" t="s">
        <v>4708</v>
      </c>
      <c r="BT1003" t="s">
        <v>69</v>
      </c>
      <c r="BU1003" t="s">
        <v>10995</v>
      </c>
      <c r="BV1003" t="s">
        <v>69</v>
      </c>
      <c r="BW1003" t="s">
        <v>69</v>
      </c>
      <c r="BX1003" t="s">
        <v>8526</v>
      </c>
      <c r="BY1003" t="str">
        <f>HYPERLINK("https%3A%2F%2Fwww.webofscience.com%2Fwos%2Fwoscc%2Ffull-record%2FWOS:000282032000006","View Full Record in Web of Science")</f>
        <v>View Full Record in Web of Science</v>
      </c>
    </row>
    <row r="1004" spans="1:77" ht="12.5" x14ac:dyDescent="0.25">
      <c r="A1004" t="s">
        <v>8495</v>
      </c>
      <c r="B1004" s="22" t="s">
        <v>32931</v>
      </c>
      <c r="C1004" s="7"/>
      <c r="D1004" s="7"/>
      <c r="E1004" s="7"/>
      <c r="F1004" t="s">
        <v>67</v>
      </c>
      <c r="G1004" t="s">
        <v>13477</v>
      </c>
      <c r="H1004" t="s">
        <v>69</v>
      </c>
      <c r="I1004" t="s">
        <v>69</v>
      </c>
      <c r="J1004" t="s">
        <v>69</v>
      </c>
      <c r="K1004" t="s">
        <v>13478</v>
      </c>
      <c r="L1004" t="s">
        <v>69</v>
      </c>
      <c r="M1004" t="s">
        <v>69</v>
      </c>
      <c r="N1004" t="s">
        <v>13479</v>
      </c>
      <c r="O1004" t="s">
        <v>13480</v>
      </c>
      <c r="P1004" t="s">
        <v>69</v>
      </c>
      <c r="Q1004" t="s">
        <v>69</v>
      </c>
      <c r="R1004" t="s">
        <v>10153</v>
      </c>
      <c r="S1004" t="s">
        <v>8506</v>
      </c>
      <c r="T1004" t="s">
        <v>69</v>
      </c>
      <c r="U1004" t="s">
        <v>69</v>
      </c>
      <c r="V1004" t="s">
        <v>69</v>
      </c>
      <c r="W1004" t="s">
        <v>69</v>
      </c>
      <c r="X1004" t="s">
        <v>69</v>
      </c>
      <c r="Y1004" t="s">
        <v>13481</v>
      </c>
      <c r="Z1004" t="s">
        <v>13482</v>
      </c>
      <c r="AA1004" t="s">
        <v>13483</v>
      </c>
      <c r="AB1004" t="s">
        <v>13484</v>
      </c>
      <c r="AC1004" t="s">
        <v>69</v>
      </c>
      <c r="AD1004" t="s">
        <v>13485</v>
      </c>
      <c r="AE1004" t="s">
        <v>13486</v>
      </c>
      <c r="AF1004" t="s">
        <v>69</v>
      </c>
      <c r="AG1004" t="s">
        <v>69</v>
      </c>
      <c r="AH1004" t="s">
        <v>69</v>
      </c>
      <c r="AI1004" t="s">
        <v>69</v>
      </c>
      <c r="AJ1004" t="s">
        <v>69</v>
      </c>
      <c r="AK1004" t="s">
        <v>69</v>
      </c>
      <c r="AL1004">
        <v>63</v>
      </c>
      <c r="AM1004">
        <v>0</v>
      </c>
      <c r="AN1004">
        <v>0</v>
      </c>
      <c r="AO1004">
        <v>1</v>
      </c>
      <c r="AP1004">
        <v>1</v>
      </c>
      <c r="AQ1004" t="s">
        <v>13487</v>
      </c>
      <c r="AR1004" t="s">
        <v>13488</v>
      </c>
      <c r="AS1004" t="s">
        <v>13489</v>
      </c>
      <c r="AT1004" t="s">
        <v>13490</v>
      </c>
      <c r="AU1004" t="s">
        <v>69</v>
      </c>
      <c r="AV1004" t="s">
        <v>69</v>
      </c>
      <c r="AW1004" t="s">
        <v>13491</v>
      </c>
      <c r="AX1004" t="s">
        <v>13492</v>
      </c>
      <c r="AY1004" t="s">
        <v>13493</v>
      </c>
      <c r="AZ1004">
        <v>2021</v>
      </c>
      <c r="BA1004">
        <v>11</v>
      </c>
      <c r="BB1004" t="s">
        <v>69</v>
      </c>
      <c r="BC1004" t="s">
        <v>69</v>
      </c>
      <c r="BD1004" t="s">
        <v>69</v>
      </c>
      <c r="BE1004" t="s">
        <v>69</v>
      </c>
      <c r="BF1004" t="s">
        <v>69</v>
      </c>
      <c r="BG1004" t="s">
        <v>69</v>
      </c>
      <c r="BH1004" t="s">
        <v>69</v>
      </c>
      <c r="BI1004" t="s">
        <v>69</v>
      </c>
      <c r="BJ1004" t="s">
        <v>13494</v>
      </c>
      <c r="BK1004" t="str">
        <f>HYPERLINK("http://dx.doi.org/10.22279/navus.2021.v11.p01-20.1615","http://dx.doi.org/10.22279/navus.2021.v11.p01-20.1615")</f>
        <v>http://dx.doi.org/10.22279/navus.2021.v11.p01-20.1615</v>
      </c>
      <c r="BL1004" t="s">
        <v>69</v>
      </c>
      <c r="BM1004" t="s">
        <v>69</v>
      </c>
      <c r="BN1004">
        <v>20</v>
      </c>
      <c r="BO1004" t="s">
        <v>9410</v>
      </c>
      <c r="BP1004" t="s">
        <v>8573</v>
      </c>
      <c r="BQ1004" t="s">
        <v>8594</v>
      </c>
      <c r="BR1004" t="s">
        <v>13495</v>
      </c>
      <c r="BS1004" t="s">
        <v>13496</v>
      </c>
      <c r="BT1004" t="s">
        <v>69</v>
      </c>
      <c r="BU1004" t="s">
        <v>11853</v>
      </c>
      <c r="BV1004" t="s">
        <v>69</v>
      </c>
      <c r="BW1004" t="s">
        <v>69</v>
      </c>
      <c r="BX1004" t="s">
        <v>8526</v>
      </c>
      <c r="BY1004" t="str">
        <f>HYPERLINK("https%3A%2F%2Fwww.webofscience.com%2Fwos%2Fwoscc%2Ffull-record%2FWOS:000717553200001","View Full Record in Web of Science")</f>
        <v>View Full Record in Web of Science</v>
      </c>
    </row>
    <row r="1005" spans="1:77" ht="12.5" x14ac:dyDescent="0.25">
      <c r="A1005" t="s">
        <v>8495</v>
      </c>
      <c r="B1005" s="22" t="s">
        <v>32931</v>
      </c>
      <c r="C1005" s="7"/>
      <c r="D1005" s="7"/>
      <c r="E1005" s="7"/>
      <c r="F1005" t="s">
        <v>67</v>
      </c>
      <c r="G1005" t="s">
        <v>15024</v>
      </c>
      <c r="H1005" t="s">
        <v>69</v>
      </c>
      <c r="I1005" t="s">
        <v>69</v>
      </c>
      <c r="J1005" t="s">
        <v>69</v>
      </c>
      <c r="K1005" t="s">
        <v>15025</v>
      </c>
      <c r="L1005" t="s">
        <v>69</v>
      </c>
      <c r="M1005" t="s">
        <v>69</v>
      </c>
      <c r="N1005" t="s">
        <v>15026</v>
      </c>
      <c r="O1005" t="s">
        <v>15027</v>
      </c>
      <c r="P1005" t="s">
        <v>69</v>
      </c>
      <c r="Q1005" t="s">
        <v>69</v>
      </c>
      <c r="R1005" t="s">
        <v>8505</v>
      </c>
      <c r="S1005" t="s">
        <v>8506</v>
      </c>
      <c r="T1005" t="s">
        <v>69</v>
      </c>
      <c r="U1005" t="s">
        <v>69</v>
      </c>
      <c r="V1005" t="s">
        <v>69</v>
      </c>
      <c r="W1005" t="s">
        <v>69</v>
      </c>
      <c r="X1005" t="s">
        <v>69</v>
      </c>
      <c r="Y1005" t="s">
        <v>15028</v>
      </c>
      <c r="Z1005" t="s">
        <v>15029</v>
      </c>
      <c r="AA1005" t="s">
        <v>15030</v>
      </c>
      <c r="AB1005" t="s">
        <v>15031</v>
      </c>
      <c r="AC1005" t="s">
        <v>69</v>
      </c>
      <c r="AD1005" t="s">
        <v>15032</v>
      </c>
      <c r="AE1005" t="s">
        <v>15033</v>
      </c>
      <c r="AF1005" t="s">
        <v>15034</v>
      </c>
      <c r="AG1005" t="s">
        <v>15035</v>
      </c>
      <c r="AH1005" t="s">
        <v>15036</v>
      </c>
      <c r="AI1005" t="s">
        <v>15037</v>
      </c>
      <c r="AJ1005" t="s">
        <v>15038</v>
      </c>
      <c r="AK1005" t="s">
        <v>69</v>
      </c>
      <c r="AL1005">
        <v>37</v>
      </c>
      <c r="AM1005">
        <v>7</v>
      </c>
      <c r="AN1005">
        <v>7</v>
      </c>
      <c r="AO1005">
        <v>0</v>
      </c>
      <c r="AP1005">
        <v>1</v>
      </c>
      <c r="AQ1005" t="s">
        <v>14489</v>
      </c>
      <c r="AR1005" t="s">
        <v>14490</v>
      </c>
      <c r="AS1005" t="s">
        <v>14491</v>
      </c>
      <c r="AT1005" t="s">
        <v>15039</v>
      </c>
      <c r="AU1005" t="s">
        <v>15040</v>
      </c>
      <c r="AV1005" t="s">
        <v>69</v>
      </c>
      <c r="AW1005" t="s">
        <v>15041</v>
      </c>
      <c r="AX1005" t="s">
        <v>15042</v>
      </c>
      <c r="AY1005" t="s">
        <v>155</v>
      </c>
      <c r="AZ1005">
        <v>2020</v>
      </c>
      <c r="BA1005">
        <v>5</v>
      </c>
      <c r="BB1005">
        <v>2</v>
      </c>
      <c r="BC1005" t="s">
        <v>69</v>
      </c>
      <c r="BD1005" t="s">
        <v>69</v>
      </c>
      <c r="BE1005" t="s">
        <v>69</v>
      </c>
      <c r="BF1005" t="s">
        <v>69</v>
      </c>
      <c r="BG1005">
        <v>172</v>
      </c>
      <c r="BH1005">
        <v>182</v>
      </c>
      <c r="BI1005" t="s">
        <v>69</v>
      </c>
      <c r="BJ1005" t="s">
        <v>15043</v>
      </c>
      <c r="BK1005" t="str">
        <f>HYPERLINK("http://dx.doi.org/10.1089/can.2019.0051","http://dx.doi.org/10.1089/can.2019.0051")</f>
        <v>http://dx.doi.org/10.1089/can.2019.0051</v>
      </c>
      <c r="BL1005" t="s">
        <v>69</v>
      </c>
      <c r="BM1005" t="s">
        <v>69</v>
      </c>
      <c r="BN1005">
        <v>11</v>
      </c>
      <c r="BO1005" t="s">
        <v>15044</v>
      </c>
      <c r="BP1005" t="s">
        <v>8523</v>
      </c>
      <c r="BQ1005" t="s">
        <v>15044</v>
      </c>
      <c r="BR1005" t="s">
        <v>15045</v>
      </c>
      <c r="BS1005" t="s">
        <v>15046</v>
      </c>
      <c r="BT1005">
        <v>32656349</v>
      </c>
      <c r="BU1005" t="s">
        <v>10423</v>
      </c>
      <c r="BV1005" t="s">
        <v>69</v>
      </c>
      <c r="BW1005" t="s">
        <v>69</v>
      </c>
      <c r="BX1005" t="s">
        <v>8526</v>
      </c>
      <c r="BY1005" t="str">
        <f>HYPERLINK("https%3A%2F%2Fwww.webofscience.com%2Fwos%2Fwoscc%2Ffull-record%2FWOS:000616148300007","View Full Record in Web of Science")</f>
        <v>View Full Record in Web of Science</v>
      </c>
    </row>
    <row r="1006" spans="1:77" ht="12.5" x14ac:dyDescent="0.25">
      <c r="A1006" t="s">
        <v>8495</v>
      </c>
      <c r="B1006" s="7" t="s">
        <v>32933</v>
      </c>
      <c r="C1006" s="7"/>
      <c r="D1006" s="7"/>
      <c r="E1006" s="7"/>
      <c r="F1006" t="s">
        <v>67</v>
      </c>
      <c r="G1006" t="s">
        <v>4962</v>
      </c>
      <c r="H1006" t="s">
        <v>69</v>
      </c>
      <c r="I1006" t="s">
        <v>69</v>
      </c>
      <c r="J1006" t="s">
        <v>69</v>
      </c>
      <c r="K1006" t="s">
        <v>4963</v>
      </c>
      <c r="L1006" t="s">
        <v>69</v>
      </c>
      <c r="M1006" t="s">
        <v>69</v>
      </c>
      <c r="N1006" t="s">
        <v>4964</v>
      </c>
      <c r="O1006" t="s">
        <v>352</v>
      </c>
      <c r="P1006" t="s">
        <v>69</v>
      </c>
      <c r="Q1006" t="s">
        <v>69</v>
      </c>
      <c r="R1006" t="s">
        <v>8505</v>
      </c>
      <c r="S1006" t="s">
        <v>8506</v>
      </c>
      <c r="T1006" t="s">
        <v>69</v>
      </c>
      <c r="U1006" t="s">
        <v>69</v>
      </c>
      <c r="V1006" t="s">
        <v>69</v>
      </c>
      <c r="W1006" t="s">
        <v>69</v>
      </c>
      <c r="X1006" t="s">
        <v>69</v>
      </c>
      <c r="Y1006" t="s">
        <v>18990</v>
      </c>
      <c r="Z1006" t="s">
        <v>18991</v>
      </c>
      <c r="AA1006" t="s">
        <v>4965</v>
      </c>
      <c r="AB1006" t="s">
        <v>18992</v>
      </c>
      <c r="AC1006" t="s">
        <v>69</v>
      </c>
      <c r="AD1006" t="s">
        <v>18993</v>
      </c>
      <c r="AE1006" t="s">
        <v>18994</v>
      </c>
      <c r="AF1006" t="s">
        <v>69</v>
      </c>
      <c r="AG1006" t="s">
        <v>69</v>
      </c>
      <c r="AH1006" t="s">
        <v>18995</v>
      </c>
      <c r="AI1006" t="s">
        <v>18996</v>
      </c>
      <c r="AJ1006" t="s">
        <v>18997</v>
      </c>
      <c r="AK1006" t="s">
        <v>69</v>
      </c>
      <c r="AL1006">
        <v>51</v>
      </c>
      <c r="AM1006">
        <v>2</v>
      </c>
      <c r="AN1006">
        <v>2</v>
      </c>
      <c r="AO1006">
        <v>3</v>
      </c>
      <c r="AP1006">
        <v>11</v>
      </c>
      <c r="AQ1006" t="s">
        <v>8924</v>
      </c>
      <c r="AR1006" t="s">
        <v>8925</v>
      </c>
      <c r="AS1006" t="s">
        <v>8926</v>
      </c>
      <c r="AT1006" t="s">
        <v>69</v>
      </c>
      <c r="AU1006" t="s">
        <v>354</v>
      </c>
      <c r="AV1006" t="s">
        <v>69</v>
      </c>
      <c r="AW1006" t="s">
        <v>8958</v>
      </c>
      <c r="AX1006" t="s">
        <v>8434</v>
      </c>
      <c r="AY1006" t="s">
        <v>246</v>
      </c>
      <c r="AZ1006">
        <v>2018</v>
      </c>
      <c r="BA1006">
        <v>10</v>
      </c>
      <c r="BB1006">
        <v>4</v>
      </c>
      <c r="BC1006" t="s">
        <v>69</v>
      </c>
      <c r="BD1006" t="s">
        <v>69</v>
      </c>
      <c r="BE1006" t="s">
        <v>69</v>
      </c>
      <c r="BF1006" t="s">
        <v>69</v>
      </c>
      <c r="BG1006" t="s">
        <v>69</v>
      </c>
      <c r="BH1006" t="s">
        <v>69</v>
      </c>
      <c r="BI1006">
        <v>1263</v>
      </c>
      <c r="BJ1006" t="s">
        <v>4966</v>
      </c>
      <c r="BK1006" t="str">
        <f>HYPERLINK("http://dx.doi.org/10.3390/su10041263","http://dx.doi.org/10.3390/su10041263")</f>
        <v>http://dx.doi.org/10.3390/su10041263</v>
      </c>
      <c r="BL1006" t="s">
        <v>69</v>
      </c>
      <c r="BM1006" t="s">
        <v>69</v>
      </c>
      <c r="BN1006">
        <v>15</v>
      </c>
      <c r="BO1006" t="s">
        <v>8960</v>
      </c>
      <c r="BP1006" t="s">
        <v>8523</v>
      </c>
      <c r="BQ1006" t="s">
        <v>8961</v>
      </c>
      <c r="BR1006" t="s">
        <v>18998</v>
      </c>
      <c r="BS1006" t="s">
        <v>4967</v>
      </c>
      <c r="BT1006" t="s">
        <v>69</v>
      </c>
      <c r="BU1006" t="s">
        <v>8931</v>
      </c>
      <c r="BV1006" t="s">
        <v>69</v>
      </c>
      <c r="BW1006" t="s">
        <v>69</v>
      </c>
      <c r="BX1006" t="s">
        <v>8526</v>
      </c>
      <c r="BY1006" t="str">
        <f>HYPERLINK("https%3A%2F%2Fwww.webofscience.com%2Fwos%2Fwoscc%2Ffull-record%2FWOS:000435188000367","View Full Record in Web of Science")</f>
        <v>View Full Record in Web of Science</v>
      </c>
    </row>
    <row r="1007" spans="1:77" ht="12.5" x14ac:dyDescent="0.25">
      <c r="A1007" t="s">
        <v>8495</v>
      </c>
      <c r="B1007" s="7" t="s">
        <v>32933</v>
      </c>
      <c r="C1007" s="7"/>
      <c r="D1007" s="7"/>
      <c r="E1007" s="7"/>
      <c r="F1007" t="s">
        <v>67</v>
      </c>
      <c r="G1007" t="s">
        <v>6491</v>
      </c>
      <c r="H1007" t="s">
        <v>69</v>
      </c>
      <c r="I1007" t="s">
        <v>69</v>
      </c>
      <c r="J1007" t="s">
        <v>69</v>
      </c>
      <c r="K1007" t="s">
        <v>6492</v>
      </c>
      <c r="L1007" t="s">
        <v>69</v>
      </c>
      <c r="M1007" t="s">
        <v>69</v>
      </c>
      <c r="N1007" t="s">
        <v>6493</v>
      </c>
      <c r="O1007" t="s">
        <v>2107</v>
      </c>
      <c r="P1007" t="s">
        <v>69</v>
      </c>
      <c r="Q1007" t="s">
        <v>69</v>
      </c>
      <c r="R1007" t="s">
        <v>8505</v>
      </c>
      <c r="S1007" t="s">
        <v>10174</v>
      </c>
      <c r="T1007" t="s">
        <v>69</v>
      </c>
      <c r="U1007" t="s">
        <v>69</v>
      </c>
      <c r="V1007" t="s">
        <v>69</v>
      </c>
      <c r="W1007" t="s">
        <v>69</v>
      </c>
      <c r="X1007" t="s">
        <v>69</v>
      </c>
      <c r="Y1007" t="s">
        <v>15047</v>
      </c>
      <c r="Z1007" t="s">
        <v>15048</v>
      </c>
      <c r="AA1007" t="s">
        <v>6494</v>
      </c>
      <c r="AB1007" t="s">
        <v>15049</v>
      </c>
      <c r="AC1007" t="s">
        <v>69</v>
      </c>
      <c r="AD1007" t="s">
        <v>15050</v>
      </c>
      <c r="AE1007" t="s">
        <v>15051</v>
      </c>
      <c r="AF1007" t="s">
        <v>69</v>
      </c>
      <c r="AG1007" t="s">
        <v>6495</v>
      </c>
      <c r="AH1007" t="s">
        <v>15052</v>
      </c>
      <c r="AI1007" t="s">
        <v>15052</v>
      </c>
      <c r="AJ1007" t="s">
        <v>15053</v>
      </c>
      <c r="AK1007" t="s">
        <v>69</v>
      </c>
      <c r="AL1007">
        <v>182</v>
      </c>
      <c r="AM1007">
        <v>3</v>
      </c>
      <c r="AN1007">
        <v>3</v>
      </c>
      <c r="AO1007">
        <v>3</v>
      </c>
      <c r="AP1007">
        <v>9</v>
      </c>
      <c r="AQ1007" t="s">
        <v>8924</v>
      </c>
      <c r="AR1007" t="s">
        <v>8925</v>
      </c>
      <c r="AS1007" t="s">
        <v>8926</v>
      </c>
      <c r="AT1007" t="s">
        <v>69</v>
      </c>
      <c r="AU1007" t="s">
        <v>2110</v>
      </c>
      <c r="AV1007" t="s">
        <v>69</v>
      </c>
      <c r="AW1007" t="s">
        <v>10592</v>
      </c>
      <c r="AX1007" t="s">
        <v>10593</v>
      </c>
      <c r="AY1007" t="s">
        <v>155</v>
      </c>
      <c r="AZ1007">
        <v>2020</v>
      </c>
      <c r="BA1007">
        <v>17</v>
      </c>
      <c r="BB1007">
        <v>12</v>
      </c>
      <c r="BC1007" t="s">
        <v>69</v>
      </c>
      <c r="BD1007" t="s">
        <v>69</v>
      </c>
      <c r="BE1007" t="s">
        <v>69</v>
      </c>
      <c r="BF1007" t="s">
        <v>69</v>
      </c>
      <c r="BG1007" t="s">
        <v>69</v>
      </c>
      <c r="BH1007" t="s">
        <v>69</v>
      </c>
      <c r="BI1007">
        <v>4320</v>
      </c>
      <c r="BJ1007" t="s">
        <v>6496</v>
      </c>
      <c r="BK1007" t="str">
        <f>HYPERLINK("http://dx.doi.org/10.3390/ijerph17124320","http://dx.doi.org/10.3390/ijerph17124320")</f>
        <v>http://dx.doi.org/10.3390/ijerph17124320</v>
      </c>
      <c r="BL1007" t="s">
        <v>69</v>
      </c>
      <c r="BM1007" t="s">
        <v>69</v>
      </c>
      <c r="BN1007">
        <v>30</v>
      </c>
      <c r="BO1007" t="s">
        <v>10595</v>
      </c>
      <c r="BP1007" t="s">
        <v>8523</v>
      </c>
      <c r="BQ1007" t="s">
        <v>10596</v>
      </c>
      <c r="BR1007" t="s">
        <v>15054</v>
      </c>
      <c r="BS1007" t="s">
        <v>6497</v>
      </c>
      <c r="BT1007">
        <v>32560334</v>
      </c>
      <c r="BU1007" t="s">
        <v>10482</v>
      </c>
      <c r="BV1007" t="s">
        <v>69</v>
      </c>
      <c r="BW1007" t="s">
        <v>69</v>
      </c>
      <c r="BX1007" t="s">
        <v>8526</v>
      </c>
      <c r="BY1007" t="str">
        <f>HYPERLINK("https%3A%2F%2Fwww.webofscience.com%2Fwos%2Fwoscc%2Ffull-record%2FWOS:000549406100001","View Full Record in Web of Science")</f>
        <v>View Full Record in Web of Science</v>
      </c>
    </row>
    <row r="1008" spans="1:77" ht="12.5" x14ac:dyDescent="0.25">
      <c r="A1008" t="s">
        <v>8495</v>
      </c>
      <c r="B1008" s="7" t="s">
        <v>32933</v>
      </c>
      <c r="C1008" s="7"/>
      <c r="D1008" s="7"/>
      <c r="E1008" s="7"/>
      <c r="F1008" t="s">
        <v>67</v>
      </c>
      <c r="G1008" t="s">
        <v>1125</v>
      </c>
      <c r="H1008" t="s">
        <v>69</v>
      </c>
      <c r="I1008" t="s">
        <v>69</v>
      </c>
      <c r="J1008" t="s">
        <v>69</v>
      </c>
      <c r="K1008" t="s">
        <v>1126</v>
      </c>
      <c r="L1008" t="s">
        <v>69</v>
      </c>
      <c r="M1008" t="s">
        <v>69</v>
      </c>
      <c r="N1008" t="s">
        <v>1127</v>
      </c>
      <c r="O1008" t="s">
        <v>1128</v>
      </c>
      <c r="P1008" t="s">
        <v>69</v>
      </c>
      <c r="Q1008" t="s">
        <v>69</v>
      </c>
      <c r="R1008" t="s">
        <v>8505</v>
      </c>
      <c r="S1008" t="s">
        <v>8506</v>
      </c>
      <c r="T1008" t="s">
        <v>69</v>
      </c>
      <c r="U1008" t="s">
        <v>69</v>
      </c>
      <c r="V1008" t="s">
        <v>69</v>
      </c>
      <c r="W1008" t="s">
        <v>69</v>
      </c>
      <c r="X1008" t="s">
        <v>69</v>
      </c>
      <c r="Y1008" t="s">
        <v>19772</v>
      </c>
      <c r="Z1008" t="s">
        <v>19773</v>
      </c>
      <c r="AA1008" t="s">
        <v>1129</v>
      </c>
      <c r="AB1008" t="s">
        <v>19774</v>
      </c>
      <c r="AC1008" t="s">
        <v>69</v>
      </c>
      <c r="AD1008" t="s">
        <v>19775</v>
      </c>
      <c r="AE1008" t="s">
        <v>19776</v>
      </c>
      <c r="AF1008" t="s">
        <v>19777</v>
      </c>
      <c r="AG1008" t="s">
        <v>19778</v>
      </c>
      <c r="AH1008" t="s">
        <v>19779</v>
      </c>
      <c r="AI1008" t="s">
        <v>19779</v>
      </c>
      <c r="AJ1008" t="s">
        <v>19780</v>
      </c>
      <c r="AK1008" t="s">
        <v>69</v>
      </c>
      <c r="AL1008">
        <v>95</v>
      </c>
      <c r="AM1008">
        <v>13</v>
      </c>
      <c r="AN1008">
        <v>13</v>
      </c>
      <c r="AO1008">
        <v>3</v>
      </c>
      <c r="AP1008">
        <v>14</v>
      </c>
      <c r="AQ1008" t="s">
        <v>8636</v>
      </c>
      <c r="AR1008" t="s">
        <v>8637</v>
      </c>
      <c r="AS1008" t="s">
        <v>8638</v>
      </c>
      <c r="AT1008" t="s">
        <v>1130</v>
      </c>
      <c r="AU1008" t="s">
        <v>1131</v>
      </c>
      <c r="AV1008" t="s">
        <v>69</v>
      </c>
      <c r="AW1008" t="s">
        <v>1128</v>
      </c>
      <c r="AX1008" t="s">
        <v>8658</v>
      </c>
      <c r="AY1008" t="s">
        <v>75</v>
      </c>
      <c r="AZ1008">
        <v>2017</v>
      </c>
      <c r="BA1008">
        <v>69</v>
      </c>
      <c r="BB1008" t="s">
        <v>69</v>
      </c>
      <c r="BC1008" t="s">
        <v>69</v>
      </c>
      <c r="BD1008" t="s">
        <v>69</v>
      </c>
      <c r="BE1008" t="s">
        <v>69</v>
      </c>
      <c r="BF1008" t="s">
        <v>69</v>
      </c>
      <c r="BG1008">
        <v>392</v>
      </c>
      <c r="BH1008">
        <v>407</v>
      </c>
      <c r="BI1008" t="s">
        <v>69</v>
      </c>
      <c r="BJ1008" t="s">
        <v>1132</v>
      </c>
      <c r="BK1008" t="str">
        <f>HYPERLINK("http://dx.doi.org/10.1016/j.landusepol.2017.08.015","http://dx.doi.org/10.1016/j.landusepol.2017.08.015")</f>
        <v>http://dx.doi.org/10.1016/j.landusepol.2017.08.015</v>
      </c>
      <c r="BL1008" t="s">
        <v>69</v>
      </c>
      <c r="BM1008" t="s">
        <v>69</v>
      </c>
      <c r="BN1008">
        <v>16</v>
      </c>
      <c r="BO1008" t="s">
        <v>8660</v>
      </c>
      <c r="BP1008" t="s">
        <v>8661</v>
      </c>
      <c r="BQ1008" t="s">
        <v>8662</v>
      </c>
      <c r="BR1008" t="s">
        <v>19781</v>
      </c>
      <c r="BS1008" t="s">
        <v>1133</v>
      </c>
      <c r="BT1008" t="s">
        <v>69</v>
      </c>
      <c r="BU1008" t="s">
        <v>10423</v>
      </c>
      <c r="BV1008" t="s">
        <v>69</v>
      </c>
      <c r="BW1008" t="s">
        <v>69</v>
      </c>
      <c r="BX1008" t="s">
        <v>8526</v>
      </c>
      <c r="BY1008" t="str">
        <f>HYPERLINK("https%3A%2F%2Fwww.webofscience.com%2Fwos%2Fwoscc%2Ffull-record%2FWOS:000414881200039","View Full Record in Web of Science")</f>
        <v>View Full Record in Web of Science</v>
      </c>
    </row>
    <row r="1009" spans="1:77" ht="12.5" x14ac:dyDescent="0.25">
      <c r="A1009" t="s">
        <v>8495</v>
      </c>
      <c r="B1009" s="7" t="s">
        <v>32933</v>
      </c>
      <c r="C1009" s="7"/>
      <c r="D1009" s="7"/>
      <c r="E1009" s="7"/>
      <c r="F1009" t="s">
        <v>67</v>
      </c>
      <c r="G1009" t="s">
        <v>2113</v>
      </c>
      <c r="H1009" t="s">
        <v>69</v>
      </c>
      <c r="I1009" t="s">
        <v>69</v>
      </c>
      <c r="J1009" t="s">
        <v>69</v>
      </c>
      <c r="K1009" t="s">
        <v>2114</v>
      </c>
      <c r="L1009" t="s">
        <v>69</v>
      </c>
      <c r="M1009" t="s">
        <v>69</v>
      </c>
      <c r="N1009" t="s">
        <v>2115</v>
      </c>
      <c r="O1009" t="s">
        <v>2116</v>
      </c>
      <c r="P1009" t="s">
        <v>69</v>
      </c>
      <c r="Q1009" t="s">
        <v>69</v>
      </c>
      <c r="R1009" t="s">
        <v>8505</v>
      </c>
      <c r="S1009" t="s">
        <v>8506</v>
      </c>
      <c r="T1009" t="s">
        <v>69</v>
      </c>
      <c r="U1009" t="s">
        <v>69</v>
      </c>
      <c r="V1009" t="s">
        <v>69</v>
      </c>
      <c r="W1009" t="s">
        <v>69</v>
      </c>
      <c r="X1009" t="s">
        <v>69</v>
      </c>
      <c r="Y1009" t="s">
        <v>16501</v>
      </c>
      <c r="Z1009" t="s">
        <v>16502</v>
      </c>
      <c r="AA1009" t="s">
        <v>2117</v>
      </c>
      <c r="AB1009" t="s">
        <v>16503</v>
      </c>
      <c r="AC1009" t="s">
        <v>69</v>
      </c>
      <c r="AD1009" t="s">
        <v>16504</v>
      </c>
      <c r="AE1009" t="s">
        <v>16505</v>
      </c>
      <c r="AF1009" t="s">
        <v>16506</v>
      </c>
      <c r="AG1009" t="s">
        <v>16507</v>
      </c>
      <c r="AH1009" t="s">
        <v>16508</v>
      </c>
      <c r="AI1009" t="s">
        <v>16509</v>
      </c>
      <c r="AJ1009" t="s">
        <v>16510</v>
      </c>
      <c r="AK1009" t="s">
        <v>69</v>
      </c>
      <c r="AL1009">
        <v>55</v>
      </c>
      <c r="AM1009">
        <v>20</v>
      </c>
      <c r="AN1009">
        <v>21</v>
      </c>
      <c r="AO1009">
        <v>3</v>
      </c>
      <c r="AP1009">
        <v>7</v>
      </c>
      <c r="AQ1009" t="s">
        <v>8992</v>
      </c>
      <c r="AR1009" t="s">
        <v>8993</v>
      </c>
      <c r="AS1009" t="s">
        <v>8994</v>
      </c>
      <c r="AT1009" t="s">
        <v>69</v>
      </c>
      <c r="AU1009" t="s">
        <v>2118</v>
      </c>
      <c r="AV1009" t="s">
        <v>69</v>
      </c>
      <c r="AW1009" t="s">
        <v>15770</v>
      </c>
      <c r="AX1009" t="s">
        <v>15771</v>
      </c>
      <c r="AY1009" t="s">
        <v>2119</v>
      </c>
      <c r="AZ1009">
        <v>2019</v>
      </c>
      <c r="BA1009">
        <v>7</v>
      </c>
      <c r="BB1009" t="s">
        <v>69</v>
      </c>
      <c r="BC1009" t="s">
        <v>69</v>
      </c>
      <c r="BD1009" t="s">
        <v>69</v>
      </c>
      <c r="BE1009" t="s">
        <v>69</v>
      </c>
      <c r="BF1009" t="s">
        <v>69</v>
      </c>
      <c r="BG1009" t="s">
        <v>69</v>
      </c>
      <c r="BH1009" t="s">
        <v>69</v>
      </c>
      <c r="BI1009">
        <v>150</v>
      </c>
      <c r="BJ1009" t="s">
        <v>2120</v>
      </c>
      <c r="BK1009" t="str">
        <f>HYPERLINK("http://dx.doi.org/10.3389/fenvs.2019.00150","http://dx.doi.org/10.3389/fenvs.2019.00150")</f>
        <v>http://dx.doi.org/10.3389/fenvs.2019.00150</v>
      </c>
      <c r="BL1009" t="s">
        <v>69</v>
      </c>
      <c r="BM1009" t="s">
        <v>69</v>
      </c>
      <c r="BN1009">
        <v>11</v>
      </c>
      <c r="BO1009" t="s">
        <v>8717</v>
      </c>
      <c r="BP1009" t="s">
        <v>8548</v>
      </c>
      <c r="BQ1009" t="s">
        <v>8662</v>
      </c>
      <c r="BR1009" t="s">
        <v>16511</v>
      </c>
      <c r="BS1009" t="s">
        <v>2121</v>
      </c>
      <c r="BT1009" t="s">
        <v>69</v>
      </c>
      <c r="BU1009" t="s">
        <v>8931</v>
      </c>
      <c r="BV1009" t="s">
        <v>69</v>
      </c>
      <c r="BW1009" t="s">
        <v>69</v>
      </c>
      <c r="BX1009" t="s">
        <v>8526</v>
      </c>
      <c r="BY1009" t="str">
        <f>HYPERLINK("https%3A%2F%2Fwww.webofscience.com%2Fwos%2Fwoscc%2Ffull-record%2FWOS:000535832200001","View Full Record in Web of Science")</f>
        <v>View Full Record in Web of Science</v>
      </c>
    </row>
    <row r="1010" spans="1:77" ht="12.5" x14ac:dyDescent="0.25">
      <c r="A1010" t="s">
        <v>8495</v>
      </c>
      <c r="B1010" s="7" t="s">
        <v>32933</v>
      </c>
      <c r="C1010" s="7"/>
      <c r="D1010" s="7"/>
      <c r="E1010" s="7"/>
      <c r="F1010" t="s">
        <v>67</v>
      </c>
      <c r="G1010" t="s">
        <v>3795</v>
      </c>
      <c r="H1010" t="s">
        <v>69</v>
      </c>
      <c r="I1010" t="s">
        <v>69</v>
      </c>
      <c r="J1010" t="s">
        <v>69</v>
      </c>
      <c r="K1010" t="s">
        <v>3796</v>
      </c>
      <c r="L1010" t="s">
        <v>69</v>
      </c>
      <c r="M1010" t="s">
        <v>69</v>
      </c>
      <c r="N1010" t="s">
        <v>3797</v>
      </c>
      <c r="O1010" t="s">
        <v>3798</v>
      </c>
      <c r="P1010" t="s">
        <v>69</v>
      </c>
      <c r="Q1010" t="s">
        <v>69</v>
      </c>
      <c r="R1010" t="s">
        <v>8505</v>
      </c>
      <c r="S1010" t="s">
        <v>8506</v>
      </c>
      <c r="T1010" t="s">
        <v>69</v>
      </c>
      <c r="U1010" t="s">
        <v>69</v>
      </c>
      <c r="V1010" t="s">
        <v>69</v>
      </c>
      <c r="W1010" t="s">
        <v>69</v>
      </c>
      <c r="X1010" t="s">
        <v>69</v>
      </c>
      <c r="Y1010" t="s">
        <v>30119</v>
      </c>
      <c r="Z1010" t="s">
        <v>69</v>
      </c>
      <c r="AA1010" t="s">
        <v>3799</v>
      </c>
      <c r="AB1010" t="s">
        <v>30120</v>
      </c>
      <c r="AC1010" t="s">
        <v>69</v>
      </c>
      <c r="AD1010" t="s">
        <v>30121</v>
      </c>
      <c r="AE1010" t="s">
        <v>30122</v>
      </c>
      <c r="AF1010" t="s">
        <v>3800</v>
      </c>
      <c r="AG1010" t="s">
        <v>69</v>
      </c>
      <c r="AH1010" t="s">
        <v>69</v>
      </c>
      <c r="AI1010" t="s">
        <v>69</v>
      </c>
      <c r="AJ1010" t="s">
        <v>69</v>
      </c>
      <c r="AK1010" t="s">
        <v>69</v>
      </c>
      <c r="AL1010">
        <v>17</v>
      </c>
      <c r="AM1010">
        <v>7</v>
      </c>
      <c r="AN1010">
        <v>7</v>
      </c>
      <c r="AO1010">
        <v>0</v>
      </c>
      <c r="AP1010">
        <v>8</v>
      </c>
      <c r="AQ1010" t="s">
        <v>18845</v>
      </c>
      <c r="AR1010" t="s">
        <v>18846</v>
      </c>
      <c r="AS1010" t="s">
        <v>18847</v>
      </c>
      <c r="AT1010" t="s">
        <v>3801</v>
      </c>
      <c r="AU1010" t="s">
        <v>3802</v>
      </c>
      <c r="AV1010" t="s">
        <v>69</v>
      </c>
      <c r="AW1010" t="s">
        <v>18848</v>
      </c>
      <c r="AX1010" t="s">
        <v>18849</v>
      </c>
      <c r="AY1010" t="s">
        <v>1710</v>
      </c>
      <c r="AZ1010">
        <v>2006</v>
      </c>
      <c r="BA1010" t="s">
        <v>69</v>
      </c>
      <c r="BB1010" t="s">
        <v>69</v>
      </c>
      <c r="BC1010" t="s">
        <v>69</v>
      </c>
      <c r="BD1010" t="s">
        <v>69</v>
      </c>
      <c r="BE1010">
        <v>39</v>
      </c>
      <c r="BF1010" t="s">
        <v>69</v>
      </c>
      <c r="BG1010">
        <v>930</v>
      </c>
      <c r="BH1010">
        <v>934</v>
      </c>
      <c r="BI1010" t="s">
        <v>69</v>
      </c>
      <c r="BJ1010" t="s">
        <v>69</v>
      </c>
      <c r="BK1010" t="s">
        <v>69</v>
      </c>
      <c r="BL1010" t="s">
        <v>69</v>
      </c>
      <c r="BM1010" t="s">
        <v>69</v>
      </c>
      <c r="BN1010">
        <v>5</v>
      </c>
      <c r="BO1010" t="s">
        <v>18850</v>
      </c>
      <c r="BP1010" t="s">
        <v>8548</v>
      </c>
      <c r="BQ1010" t="s">
        <v>18851</v>
      </c>
      <c r="BR1010" t="s">
        <v>30123</v>
      </c>
      <c r="BS1010" t="s">
        <v>3803</v>
      </c>
      <c r="BT1010" t="s">
        <v>69</v>
      </c>
      <c r="BU1010" t="s">
        <v>69</v>
      </c>
      <c r="BV1010" t="s">
        <v>69</v>
      </c>
      <c r="BW1010" t="s">
        <v>69</v>
      </c>
      <c r="BX1010" t="s">
        <v>8526</v>
      </c>
      <c r="BY1010" t="str">
        <f>HYPERLINK("https%3A%2F%2Fwww.webofscience.com%2Fwos%2Fwoscc%2Ffull-record%2FWOS:000202961400063","View Full Record in Web of Science")</f>
        <v>View Full Record in Web of Science</v>
      </c>
    </row>
    <row r="1011" spans="1:77" ht="12.5" x14ac:dyDescent="0.25">
      <c r="A1011" t="s">
        <v>8495</v>
      </c>
      <c r="B1011" s="7" t="s">
        <v>32933</v>
      </c>
      <c r="C1011" s="7"/>
      <c r="D1011" s="7"/>
      <c r="E1011" s="7"/>
      <c r="F1011" t="s">
        <v>67</v>
      </c>
      <c r="G1011" t="s">
        <v>8216</v>
      </c>
      <c r="H1011" t="s">
        <v>69</v>
      </c>
      <c r="I1011" t="s">
        <v>69</v>
      </c>
      <c r="J1011" t="s">
        <v>69</v>
      </c>
      <c r="K1011" t="s">
        <v>8217</v>
      </c>
      <c r="L1011" t="s">
        <v>69</v>
      </c>
      <c r="M1011" t="s">
        <v>69</v>
      </c>
      <c r="N1011" t="s">
        <v>8218</v>
      </c>
      <c r="O1011" t="s">
        <v>151</v>
      </c>
      <c r="P1011" t="s">
        <v>69</v>
      </c>
      <c r="Q1011" t="s">
        <v>69</v>
      </c>
      <c r="R1011" t="s">
        <v>8505</v>
      </c>
      <c r="S1011" t="s">
        <v>8506</v>
      </c>
      <c r="T1011" t="s">
        <v>69</v>
      </c>
      <c r="U1011" t="s">
        <v>69</v>
      </c>
      <c r="V1011" t="s">
        <v>69</v>
      </c>
      <c r="W1011" t="s">
        <v>69</v>
      </c>
      <c r="X1011" t="s">
        <v>69</v>
      </c>
      <c r="Y1011" t="s">
        <v>14149</v>
      </c>
      <c r="Z1011" t="s">
        <v>14150</v>
      </c>
      <c r="AA1011" t="s">
        <v>8219</v>
      </c>
      <c r="AB1011" t="s">
        <v>14151</v>
      </c>
      <c r="AC1011" t="s">
        <v>69</v>
      </c>
      <c r="AD1011" t="s">
        <v>14152</v>
      </c>
      <c r="AE1011" t="s">
        <v>14153</v>
      </c>
      <c r="AF1011" t="s">
        <v>14154</v>
      </c>
      <c r="AG1011" t="s">
        <v>14155</v>
      </c>
      <c r="AH1011" t="s">
        <v>69</v>
      </c>
      <c r="AI1011" t="s">
        <v>69</v>
      </c>
      <c r="AJ1011" t="s">
        <v>69</v>
      </c>
      <c r="AK1011" t="s">
        <v>69</v>
      </c>
      <c r="AL1011">
        <v>104</v>
      </c>
      <c r="AM1011">
        <v>21</v>
      </c>
      <c r="AN1011">
        <v>21</v>
      </c>
      <c r="AO1011">
        <v>3</v>
      </c>
      <c r="AP1011">
        <v>18</v>
      </c>
      <c r="AQ1011" t="s">
        <v>9145</v>
      </c>
      <c r="AR1011" t="s">
        <v>8637</v>
      </c>
      <c r="AS1011" t="s">
        <v>9146</v>
      </c>
      <c r="AT1011" t="s">
        <v>154</v>
      </c>
      <c r="AU1011" t="s">
        <v>8220</v>
      </c>
      <c r="AV1011" t="s">
        <v>69</v>
      </c>
      <c r="AW1011" t="s">
        <v>12762</v>
      </c>
      <c r="AX1011" t="s">
        <v>12763</v>
      </c>
      <c r="AY1011" t="s">
        <v>274</v>
      </c>
      <c r="AZ1011">
        <v>2020</v>
      </c>
      <c r="BA1011">
        <v>133</v>
      </c>
      <c r="BB1011" t="s">
        <v>69</v>
      </c>
      <c r="BC1011" t="s">
        <v>69</v>
      </c>
      <c r="BD1011" t="s">
        <v>69</v>
      </c>
      <c r="BE1011" t="s">
        <v>69</v>
      </c>
      <c r="BF1011" t="s">
        <v>69</v>
      </c>
      <c r="BG1011" t="s">
        <v>69</v>
      </c>
      <c r="BH1011" t="s">
        <v>69</v>
      </c>
      <c r="BI1011">
        <v>110219</v>
      </c>
      <c r="BJ1011" t="s">
        <v>8221</v>
      </c>
      <c r="BK1011" t="str">
        <f>HYPERLINK("http://dx.doi.org/10.1016/j.rser.2020.110219","http://dx.doi.org/10.1016/j.rser.2020.110219")</f>
        <v>http://dx.doi.org/10.1016/j.rser.2020.110219</v>
      </c>
      <c r="BL1011" t="s">
        <v>69</v>
      </c>
      <c r="BM1011" t="s">
        <v>69</v>
      </c>
      <c r="BN1011">
        <v>20</v>
      </c>
      <c r="BO1011" t="s">
        <v>9931</v>
      </c>
      <c r="BP1011" t="s">
        <v>8548</v>
      </c>
      <c r="BQ1011" t="s">
        <v>9932</v>
      </c>
      <c r="BR1011" t="s">
        <v>14156</v>
      </c>
      <c r="BS1011" t="s">
        <v>8222</v>
      </c>
      <c r="BT1011" t="s">
        <v>69</v>
      </c>
      <c r="BU1011" t="s">
        <v>69</v>
      </c>
      <c r="BV1011" t="s">
        <v>69</v>
      </c>
      <c r="BW1011" t="s">
        <v>69</v>
      </c>
      <c r="BX1011" t="s">
        <v>8526</v>
      </c>
      <c r="BY1011" t="str">
        <f>HYPERLINK("https%3A%2F%2Fwww.webofscience.com%2Fwos%2Fwoscc%2Ffull-record%2FWOS:000581605600033","View Full Record in Web of Science")</f>
        <v>View Full Record in Web of Science</v>
      </c>
    </row>
    <row r="1012" spans="1:77" ht="12.5" x14ac:dyDescent="0.25">
      <c r="A1012" t="s">
        <v>8495</v>
      </c>
      <c r="B1012" s="22" t="s">
        <v>32931</v>
      </c>
      <c r="C1012" s="7"/>
      <c r="D1012" s="7"/>
      <c r="E1012" s="7"/>
      <c r="F1012" t="s">
        <v>67</v>
      </c>
      <c r="G1012" t="s">
        <v>18358</v>
      </c>
      <c r="H1012" t="s">
        <v>69</v>
      </c>
      <c r="I1012" t="s">
        <v>69</v>
      </c>
      <c r="J1012" t="s">
        <v>69</v>
      </c>
      <c r="K1012" t="s">
        <v>18359</v>
      </c>
      <c r="L1012" t="s">
        <v>69</v>
      </c>
      <c r="M1012" t="s">
        <v>69</v>
      </c>
      <c r="N1012" t="s">
        <v>18360</v>
      </c>
      <c r="O1012" t="s">
        <v>18361</v>
      </c>
      <c r="P1012" t="s">
        <v>69</v>
      </c>
      <c r="Q1012" t="s">
        <v>69</v>
      </c>
      <c r="R1012" t="s">
        <v>8505</v>
      </c>
      <c r="S1012" t="s">
        <v>8506</v>
      </c>
      <c r="T1012" t="s">
        <v>69</v>
      </c>
      <c r="U1012" t="s">
        <v>69</v>
      </c>
      <c r="V1012" t="s">
        <v>69</v>
      </c>
      <c r="W1012" t="s">
        <v>69</v>
      </c>
      <c r="X1012" t="s">
        <v>69</v>
      </c>
      <c r="Y1012" t="s">
        <v>18362</v>
      </c>
      <c r="Z1012" t="s">
        <v>18363</v>
      </c>
      <c r="AA1012" t="s">
        <v>18364</v>
      </c>
      <c r="AB1012" t="s">
        <v>18365</v>
      </c>
      <c r="AC1012" t="s">
        <v>69</v>
      </c>
      <c r="AD1012" t="s">
        <v>18366</v>
      </c>
      <c r="AE1012" t="s">
        <v>18367</v>
      </c>
      <c r="AF1012" t="s">
        <v>18368</v>
      </c>
      <c r="AG1012" t="s">
        <v>18369</v>
      </c>
      <c r="AH1012" t="s">
        <v>18370</v>
      </c>
      <c r="AI1012" t="s">
        <v>18371</v>
      </c>
      <c r="AJ1012" t="s">
        <v>18372</v>
      </c>
      <c r="AK1012" t="s">
        <v>69</v>
      </c>
      <c r="AL1012">
        <v>43</v>
      </c>
      <c r="AM1012">
        <v>11</v>
      </c>
      <c r="AN1012">
        <v>11</v>
      </c>
      <c r="AO1012">
        <v>1</v>
      </c>
      <c r="AP1012">
        <v>6</v>
      </c>
      <c r="AQ1012" t="s">
        <v>18373</v>
      </c>
      <c r="AR1012" t="s">
        <v>18374</v>
      </c>
      <c r="AS1012" t="s">
        <v>18375</v>
      </c>
      <c r="AT1012" t="s">
        <v>18376</v>
      </c>
      <c r="AU1012" t="s">
        <v>18377</v>
      </c>
      <c r="AV1012" t="s">
        <v>69</v>
      </c>
      <c r="AW1012" t="s">
        <v>18378</v>
      </c>
      <c r="AX1012" t="s">
        <v>18379</v>
      </c>
      <c r="AY1012" t="s">
        <v>1774</v>
      </c>
      <c r="AZ1012">
        <v>2018</v>
      </c>
      <c r="BA1012">
        <v>31</v>
      </c>
      <c r="BB1012">
        <v>5</v>
      </c>
      <c r="BC1012" t="s">
        <v>69</v>
      </c>
      <c r="BD1012" t="s">
        <v>69</v>
      </c>
      <c r="BE1012" t="s">
        <v>69</v>
      </c>
      <c r="BF1012" t="s">
        <v>69</v>
      </c>
      <c r="BG1012">
        <v>702</v>
      </c>
      <c r="BH1012">
        <v>711</v>
      </c>
      <c r="BI1012" t="s">
        <v>69</v>
      </c>
      <c r="BJ1012" t="s">
        <v>18380</v>
      </c>
      <c r="BK1012" t="str">
        <f>HYPERLINK("http://dx.doi.org/10.3122/jabfm.2018.05.170102","http://dx.doi.org/10.3122/jabfm.2018.05.170102")</f>
        <v>http://dx.doi.org/10.3122/jabfm.2018.05.170102</v>
      </c>
      <c r="BL1012" t="s">
        <v>69</v>
      </c>
      <c r="BM1012" t="s">
        <v>69</v>
      </c>
      <c r="BN1012">
        <v>10</v>
      </c>
      <c r="BO1012" t="s">
        <v>14051</v>
      </c>
      <c r="BP1012" t="s">
        <v>8523</v>
      </c>
      <c r="BQ1012" t="s">
        <v>9451</v>
      </c>
      <c r="BR1012" t="s">
        <v>18381</v>
      </c>
      <c r="BS1012" t="s">
        <v>18382</v>
      </c>
      <c r="BT1012">
        <v>30201666</v>
      </c>
      <c r="BU1012" t="s">
        <v>9374</v>
      </c>
      <c r="BV1012" t="s">
        <v>69</v>
      </c>
      <c r="BW1012" t="s">
        <v>69</v>
      </c>
      <c r="BX1012" t="s">
        <v>8526</v>
      </c>
      <c r="BY1012" t="str">
        <f>HYPERLINK("https%3A%2F%2Fwww.webofscience.com%2Fwos%2Fwoscc%2Ffull-record%2FWOS:000444100700007","View Full Record in Web of Science")</f>
        <v>View Full Record in Web of Science</v>
      </c>
    </row>
    <row r="1013" spans="1:77" ht="12.5" x14ac:dyDescent="0.25">
      <c r="A1013" t="s">
        <v>8495</v>
      </c>
      <c r="B1013" s="22" t="s">
        <v>32931</v>
      </c>
      <c r="C1013" s="7"/>
      <c r="D1013" s="7"/>
      <c r="E1013" s="7"/>
      <c r="F1013" t="s">
        <v>67</v>
      </c>
      <c r="G1013" t="s">
        <v>29522</v>
      </c>
      <c r="H1013" t="s">
        <v>69</v>
      </c>
      <c r="I1013" t="s">
        <v>69</v>
      </c>
      <c r="J1013" t="s">
        <v>69</v>
      </c>
      <c r="K1013" t="s">
        <v>29523</v>
      </c>
      <c r="L1013" t="s">
        <v>69</v>
      </c>
      <c r="M1013" t="s">
        <v>69</v>
      </c>
      <c r="N1013" t="s">
        <v>29524</v>
      </c>
      <c r="O1013" t="s">
        <v>29525</v>
      </c>
      <c r="P1013" t="s">
        <v>69</v>
      </c>
      <c r="Q1013" t="s">
        <v>69</v>
      </c>
      <c r="R1013" t="s">
        <v>8505</v>
      </c>
      <c r="S1013" t="s">
        <v>15797</v>
      </c>
      <c r="T1013" t="s">
        <v>29526</v>
      </c>
      <c r="U1013">
        <v>2006</v>
      </c>
      <c r="V1013" t="s">
        <v>29527</v>
      </c>
      <c r="W1013" t="s">
        <v>29528</v>
      </c>
      <c r="X1013" t="s">
        <v>69</v>
      </c>
      <c r="Y1013" t="s">
        <v>29529</v>
      </c>
      <c r="Z1013" t="s">
        <v>29530</v>
      </c>
      <c r="AA1013" t="s">
        <v>29531</v>
      </c>
      <c r="AB1013" t="s">
        <v>29532</v>
      </c>
      <c r="AC1013" t="s">
        <v>69</v>
      </c>
      <c r="AD1013" t="s">
        <v>29533</v>
      </c>
      <c r="AE1013" t="s">
        <v>29534</v>
      </c>
      <c r="AF1013" t="s">
        <v>69</v>
      </c>
      <c r="AG1013" t="s">
        <v>69</v>
      </c>
      <c r="AH1013" t="s">
        <v>69</v>
      </c>
      <c r="AI1013" t="s">
        <v>69</v>
      </c>
      <c r="AJ1013" t="s">
        <v>69</v>
      </c>
      <c r="AK1013" t="s">
        <v>69</v>
      </c>
      <c r="AL1013">
        <v>191</v>
      </c>
      <c r="AM1013">
        <v>9</v>
      </c>
      <c r="AN1013">
        <v>9</v>
      </c>
      <c r="AO1013">
        <v>0</v>
      </c>
      <c r="AP1013">
        <v>5</v>
      </c>
      <c r="AQ1013" t="s">
        <v>10923</v>
      </c>
      <c r="AR1013" t="s">
        <v>10924</v>
      </c>
      <c r="AS1013" t="s">
        <v>10925</v>
      </c>
      <c r="AT1013" t="s">
        <v>29535</v>
      </c>
      <c r="AU1013" t="s">
        <v>29536</v>
      </c>
      <c r="AV1013" t="s">
        <v>69</v>
      </c>
      <c r="AW1013" t="s">
        <v>29537</v>
      </c>
      <c r="AX1013" t="s">
        <v>29538</v>
      </c>
      <c r="AY1013" t="s">
        <v>274</v>
      </c>
      <c r="AZ1013">
        <v>2007</v>
      </c>
      <c r="BA1013">
        <v>93</v>
      </c>
      <c r="BB1013">
        <v>5</v>
      </c>
      <c r="BC1013" t="s">
        <v>69</v>
      </c>
      <c r="BD1013" t="s">
        <v>69</v>
      </c>
      <c r="BE1013" t="s">
        <v>69</v>
      </c>
      <c r="BF1013" t="s">
        <v>69</v>
      </c>
      <c r="BG1013">
        <v>348</v>
      </c>
      <c r="BH1013">
        <v>379</v>
      </c>
      <c r="BI1013" t="s">
        <v>69</v>
      </c>
      <c r="BJ1013" t="s">
        <v>29539</v>
      </c>
      <c r="BK1013" t="str">
        <f>HYPERLINK("http://dx.doi.org/10.1097/01.HP.0000282111.66056.c2","http://dx.doi.org/10.1097/01.HP.0000282111.66056.c2")</f>
        <v>http://dx.doi.org/10.1097/01.HP.0000282111.66056.c2</v>
      </c>
      <c r="BL1013" t="s">
        <v>69</v>
      </c>
      <c r="BM1013" t="s">
        <v>69</v>
      </c>
      <c r="BN1013">
        <v>32</v>
      </c>
      <c r="BO1013" t="s">
        <v>29540</v>
      </c>
      <c r="BP1013" t="s">
        <v>15808</v>
      </c>
      <c r="BQ1013" t="s">
        <v>29541</v>
      </c>
      <c r="BR1013" t="s">
        <v>29542</v>
      </c>
      <c r="BS1013" t="s">
        <v>29543</v>
      </c>
      <c r="BT1013">
        <v>18049214</v>
      </c>
      <c r="BU1013" t="s">
        <v>69</v>
      </c>
      <c r="BV1013" t="s">
        <v>69</v>
      </c>
      <c r="BW1013" t="s">
        <v>69</v>
      </c>
      <c r="BX1013" t="s">
        <v>8526</v>
      </c>
      <c r="BY1013" t="str">
        <f>HYPERLINK("https%3A%2F%2Fwww.webofscience.com%2Fwos%2Fwoscc%2Ffull-record%2FWOS:000250217400003","View Full Record in Web of Science")</f>
        <v>View Full Record in Web of Science</v>
      </c>
    </row>
    <row r="1014" spans="1:77" ht="12.5" x14ac:dyDescent="0.25">
      <c r="A1014" t="s">
        <v>8495</v>
      </c>
      <c r="B1014" s="22" t="s">
        <v>32931</v>
      </c>
      <c r="C1014" s="7"/>
      <c r="D1014" s="7"/>
      <c r="E1014" s="7"/>
      <c r="F1014" t="s">
        <v>67</v>
      </c>
      <c r="G1014" t="s">
        <v>32624</v>
      </c>
      <c r="H1014" t="s">
        <v>69</v>
      </c>
      <c r="I1014" t="s">
        <v>69</v>
      </c>
      <c r="J1014" t="s">
        <v>69</v>
      </c>
      <c r="K1014" t="s">
        <v>32624</v>
      </c>
      <c r="L1014" t="s">
        <v>69</v>
      </c>
      <c r="M1014" t="s">
        <v>69</v>
      </c>
      <c r="N1014" t="s">
        <v>32625</v>
      </c>
      <c r="O1014" t="s">
        <v>20134</v>
      </c>
      <c r="P1014" t="s">
        <v>69</v>
      </c>
      <c r="Q1014" t="s">
        <v>69</v>
      </c>
      <c r="R1014" t="s">
        <v>8505</v>
      </c>
      <c r="S1014" t="s">
        <v>15797</v>
      </c>
      <c r="T1014" t="s">
        <v>32626</v>
      </c>
      <c r="U1014" t="s">
        <v>32627</v>
      </c>
      <c r="V1014" t="s">
        <v>32628</v>
      </c>
      <c r="W1014" t="s">
        <v>32629</v>
      </c>
      <c r="X1014" t="s">
        <v>32630</v>
      </c>
      <c r="Y1014" t="s">
        <v>69</v>
      </c>
      <c r="Z1014" t="s">
        <v>69</v>
      </c>
      <c r="AA1014" t="s">
        <v>32631</v>
      </c>
      <c r="AB1014" t="s">
        <v>69</v>
      </c>
      <c r="AC1014" t="s">
        <v>69</v>
      </c>
      <c r="AD1014" t="s">
        <v>69</v>
      </c>
      <c r="AE1014" t="s">
        <v>69</v>
      </c>
      <c r="AF1014" t="s">
        <v>69</v>
      </c>
      <c r="AG1014" t="s">
        <v>69</v>
      </c>
      <c r="AH1014" t="s">
        <v>69</v>
      </c>
      <c r="AI1014" t="s">
        <v>69</v>
      </c>
      <c r="AJ1014" t="s">
        <v>69</v>
      </c>
      <c r="AK1014" t="s">
        <v>69</v>
      </c>
      <c r="AL1014">
        <v>0</v>
      </c>
      <c r="AM1014">
        <v>0</v>
      </c>
      <c r="AN1014">
        <v>0</v>
      </c>
      <c r="AO1014">
        <v>0</v>
      </c>
      <c r="AP1014">
        <v>5</v>
      </c>
      <c r="AQ1014" t="s">
        <v>9145</v>
      </c>
      <c r="AR1014" t="s">
        <v>8637</v>
      </c>
      <c r="AS1014" t="s">
        <v>32470</v>
      </c>
      <c r="AT1014" t="s">
        <v>20142</v>
      </c>
      <c r="AU1014" t="s">
        <v>69</v>
      </c>
      <c r="AV1014" t="s">
        <v>69</v>
      </c>
      <c r="AW1014" t="s">
        <v>20144</v>
      </c>
      <c r="AX1014" t="s">
        <v>20145</v>
      </c>
      <c r="AY1014" t="s">
        <v>381</v>
      </c>
      <c r="AZ1014">
        <v>1994</v>
      </c>
      <c r="BA1014">
        <v>34</v>
      </c>
      <c r="BB1014" t="s">
        <v>69</v>
      </c>
      <c r="BC1014" t="s">
        <v>69</v>
      </c>
      <c r="BD1014" t="s">
        <v>69</v>
      </c>
      <c r="BE1014" t="s">
        <v>69</v>
      </c>
      <c r="BF1014" t="s">
        <v>69</v>
      </c>
      <c r="BG1014">
        <v>397</v>
      </c>
      <c r="BH1014">
        <v>403</v>
      </c>
      <c r="BI1014" t="s">
        <v>69</v>
      </c>
      <c r="BJ1014" t="s">
        <v>32632</v>
      </c>
      <c r="BK1014" t="str">
        <f>HYPERLINK("http://dx.doi.org/10.1016/0094-5765(94)90275-5","http://dx.doi.org/10.1016/0094-5765(94)90275-5")</f>
        <v>http://dx.doi.org/10.1016/0094-5765(94)90275-5</v>
      </c>
      <c r="BL1014" t="s">
        <v>69</v>
      </c>
      <c r="BM1014" t="s">
        <v>69</v>
      </c>
      <c r="BN1014">
        <v>7</v>
      </c>
      <c r="BO1014" t="s">
        <v>14497</v>
      </c>
      <c r="BP1014" t="s">
        <v>29550</v>
      </c>
      <c r="BQ1014" t="s">
        <v>8445</v>
      </c>
      <c r="BR1014" t="s">
        <v>32633</v>
      </c>
      <c r="BS1014" t="s">
        <v>32634</v>
      </c>
      <c r="BT1014" t="s">
        <v>69</v>
      </c>
      <c r="BU1014" t="s">
        <v>69</v>
      </c>
      <c r="BV1014" t="s">
        <v>69</v>
      </c>
      <c r="BW1014" t="s">
        <v>69</v>
      </c>
      <c r="BX1014" t="s">
        <v>8526</v>
      </c>
      <c r="BY1014" t="str">
        <f>HYPERLINK("https%3A%2F%2Fwww.webofscience.com%2Fwos%2Fwoscc%2Ffull-record%2FWOS:A1994PN20300040","View Full Record in Web of Science")</f>
        <v>View Full Record in Web of Science</v>
      </c>
    </row>
    <row r="1015" spans="1:77" ht="12.5" x14ac:dyDescent="0.25">
      <c r="A1015" t="s">
        <v>8495</v>
      </c>
      <c r="B1015" s="22" t="s">
        <v>32931</v>
      </c>
      <c r="C1015" s="7"/>
      <c r="D1015" s="7"/>
      <c r="E1015" s="7"/>
      <c r="F1015" t="s">
        <v>67</v>
      </c>
      <c r="G1015" t="s">
        <v>12441</v>
      </c>
      <c r="H1015" t="s">
        <v>69</v>
      </c>
      <c r="I1015" t="s">
        <v>69</v>
      </c>
      <c r="J1015" t="s">
        <v>69</v>
      </c>
      <c r="K1015" t="s">
        <v>12442</v>
      </c>
      <c r="L1015" t="s">
        <v>69</v>
      </c>
      <c r="M1015" t="s">
        <v>69</v>
      </c>
      <c r="N1015" t="s">
        <v>12443</v>
      </c>
      <c r="O1015" t="s">
        <v>12444</v>
      </c>
      <c r="P1015" t="s">
        <v>69</v>
      </c>
      <c r="Q1015" t="s">
        <v>69</v>
      </c>
      <c r="R1015" t="s">
        <v>8505</v>
      </c>
      <c r="S1015" t="s">
        <v>8442</v>
      </c>
      <c r="T1015" t="s">
        <v>69</v>
      </c>
      <c r="U1015" t="s">
        <v>69</v>
      </c>
      <c r="V1015" t="s">
        <v>69</v>
      </c>
      <c r="W1015" t="s">
        <v>69</v>
      </c>
      <c r="X1015" t="s">
        <v>69</v>
      </c>
      <c r="Y1015" t="s">
        <v>12445</v>
      </c>
      <c r="Z1015" t="s">
        <v>69</v>
      </c>
      <c r="AA1015" t="s">
        <v>12446</v>
      </c>
      <c r="AB1015" t="s">
        <v>12447</v>
      </c>
      <c r="AC1015" t="s">
        <v>69</v>
      </c>
      <c r="AD1015" t="s">
        <v>12448</v>
      </c>
      <c r="AE1015" t="s">
        <v>12449</v>
      </c>
      <c r="AF1015" t="s">
        <v>12450</v>
      </c>
      <c r="AG1015" t="s">
        <v>12451</v>
      </c>
      <c r="AH1015" t="s">
        <v>69</v>
      </c>
      <c r="AI1015" t="s">
        <v>69</v>
      </c>
      <c r="AJ1015" t="s">
        <v>69</v>
      </c>
      <c r="AK1015" t="s">
        <v>69</v>
      </c>
      <c r="AL1015">
        <v>61</v>
      </c>
      <c r="AM1015">
        <v>0</v>
      </c>
      <c r="AN1015">
        <v>0</v>
      </c>
      <c r="AO1015">
        <v>0</v>
      </c>
      <c r="AP1015">
        <v>0</v>
      </c>
      <c r="AQ1015" t="s">
        <v>8846</v>
      </c>
      <c r="AR1015" t="s">
        <v>8847</v>
      </c>
      <c r="AS1015" t="s">
        <v>8848</v>
      </c>
      <c r="AT1015" t="s">
        <v>12452</v>
      </c>
      <c r="AU1015" t="s">
        <v>12453</v>
      </c>
      <c r="AV1015" t="s">
        <v>69</v>
      </c>
      <c r="AW1015" t="s">
        <v>12454</v>
      </c>
      <c r="AX1015" t="s">
        <v>12455</v>
      </c>
      <c r="AY1015" t="s">
        <v>155</v>
      </c>
      <c r="AZ1015">
        <v>2021</v>
      </c>
      <c r="BA1015">
        <v>91</v>
      </c>
      <c r="BB1015">
        <v>6</v>
      </c>
      <c r="BC1015" t="s">
        <v>69</v>
      </c>
      <c r="BD1015" t="s">
        <v>69</v>
      </c>
      <c r="BE1015" t="s">
        <v>69</v>
      </c>
      <c r="BF1015" t="s">
        <v>69</v>
      </c>
      <c r="BG1015">
        <v>1068</v>
      </c>
      <c r="BH1015">
        <v>1074</v>
      </c>
      <c r="BI1015" t="s">
        <v>69</v>
      </c>
      <c r="BJ1015" t="s">
        <v>12456</v>
      </c>
      <c r="BK1015" t="str">
        <f>HYPERLINK("http://dx.doi.org/10.1111/ans.16685","http://dx.doi.org/10.1111/ans.16685")</f>
        <v>http://dx.doi.org/10.1111/ans.16685</v>
      </c>
      <c r="BL1015" t="s">
        <v>69</v>
      </c>
      <c r="BM1015" t="s">
        <v>12312</v>
      </c>
      <c r="BN1015">
        <v>7</v>
      </c>
      <c r="BO1015" t="s">
        <v>11956</v>
      </c>
      <c r="BP1015" t="s">
        <v>8548</v>
      </c>
      <c r="BQ1015" t="s">
        <v>11956</v>
      </c>
      <c r="BR1015" t="s">
        <v>12457</v>
      </c>
      <c r="BS1015" t="s">
        <v>12458</v>
      </c>
      <c r="BT1015">
        <v>33825315</v>
      </c>
      <c r="BU1015" t="s">
        <v>69</v>
      </c>
      <c r="BV1015" t="s">
        <v>69</v>
      </c>
      <c r="BW1015" t="s">
        <v>69</v>
      </c>
      <c r="BX1015" t="s">
        <v>8526</v>
      </c>
      <c r="BY1015" t="str">
        <f>HYPERLINK("https%3A%2F%2Fwww.webofscience.com%2Fwos%2Fwoscc%2Ffull-record%2FWOS:000637425800001","View Full Record in Web of Science")</f>
        <v>View Full Record in Web of Science</v>
      </c>
    </row>
    <row r="1016" spans="1:77" ht="12.5" x14ac:dyDescent="0.25">
      <c r="A1016" t="s">
        <v>8495</v>
      </c>
      <c r="B1016" s="7" t="s">
        <v>32933</v>
      </c>
      <c r="C1016" s="7"/>
      <c r="D1016" s="7"/>
      <c r="E1016" s="7"/>
      <c r="F1016" t="s">
        <v>67</v>
      </c>
      <c r="G1016" t="s">
        <v>517</v>
      </c>
      <c r="H1016" t="s">
        <v>69</v>
      </c>
      <c r="I1016" t="s">
        <v>69</v>
      </c>
      <c r="J1016" t="s">
        <v>69</v>
      </c>
      <c r="K1016" t="s">
        <v>518</v>
      </c>
      <c r="L1016" t="s">
        <v>69</v>
      </c>
      <c r="M1016" t="s">
        <v>69</v>
      </c>
      <c r="N1016" s="3" t="s">
        <v>519</v>
      </c>
      <c r="O1016" t="s">
        <v>520</v>
      </c>
      <c r="P1016" t="s">
        <v>69</v>
      </c>
      <c r="Q1016" t="s">
        <v>69</v>
      </c>
      <c r="R1016" t="s">
        <v>8505</v>
      </c>
      <c r="S1016" t="s">
        <v>8506</v>
      </c>
      <c r="T1016" t="s">
        <v>69</v>
      </c>
      <c r="U1016" t="s">
        <v>69</v>
      </c>
      <c r="V1016" t="s">
        <v>69</v>
      </c>
      <c r="W1016" t="s">
        <v>69</v>
      </c>
      <c r="X1016" t="s">
        <v>69</v>
      </c>
      <c r="Y1016" t="s">
        <v>25222</v>
      </c>
      <c r="Z1016" t="s">
        <v>25223</v>
      </c>
      <c r="AA1016" t="s">
        <v>521</v>
      </c>
      <c r="AB1016" t="s">
        <v>25224</v>
      </c>
      <c r="AC1016" t="s">
        <v>69</v>
      </c>
      <c r="AD1016" t="s">
        <v>25225</v>
      </c>
      <c r="AE1016" t="s">
        <v>25226</v>
      </c>
      <c r="AF1016" t="s">
        <v>69</v>
      </c>
      <c r="AG1016" t="s">
        <v>522</v>
      </c>
      <c r="AH1016" t="s">
        <v>69</v>
      </c>
      <c r="AI1016" t="s">
        <v>69</v>
      </c>
      <c r="AJ1016" t="s">
        <v>69</v>
      </c>
      <c r="AK1016" t="s">
        <v>69</v>
      </c>
      <c r="AL1016">
        <v>55</v>
      </c>
      <c r="AM1016">
        <v>7</v>
      </c>
      <c r="AN1016">
        <v>7</v>
      </c>
      <c r="AO1016">
        <v>1</v>
      </c>
      <c r="AP1016">
        <v>28</v>
      </c>
      <c r="AQ1016" t="s">
        <v>8611</v>
      </c>
      <c r="AR1016" t="s">
        <v>8612</v>
      </c>
      <c r="AS1016" t="s">
        <v>21726</v>
      </c>
      <c r="AT1016" t="s">
        <v>523</v>
      </c>
      <c r="AU1016" t="s">
        <v>69</v>
      </c>
      <c r="AV1016" t="s">
        <v>69</v>
      </c>
      <c r="AW1016" t="s">
        <v>21727</v>
      </c>
      <c r="AX1016" t="s">
        <v>21728</v>
      </c>
      <c r="AY1016" t="s">
        <v>133</v>
      </c>
      <c r="AZ1016">
        <v>2013</v>
      </c>
      <c r="BA1016">
        <v>41</v>
      </c>
      <c r="BB1016">
        <v>1</v>
      </c>
      <c r="BC1016" t="s">
        <v>69</v>
      </c>
      <c r="BD1016" t="s">
        <v>69</v>
      </c>
      <c r="BE1016" t="s">
        <v>114</v>
      </c>
      <c r="BF1016" t="s">
        <v>69</v>
      </c>
      <c r="BG1016">
        <v>77</v>
      </c>
      <c r="BH1016">
        <v>94</v>
      </c>
      <c r="BI1016" t="s">
        <v>69</v>
      </c>
      <c r="BJ1016" t="s">
        <v>524</v>
      </c>
      <c r="BK1016" t="str">
        <f>HYPERLINK("http://dx.doi.org/10.1080/09613218.2013.743251","http://dx.doi.org/10.1080/09613218.2013.743251")</f>
        <v>http://dx.doi.org/10.1080/09613218.2013.743251</v>
      </c>
      <c r="BL1016" t="s">
        <v>69</v>
      </c>
      <c r="BM1016" t="s">
        <v>69</v>
      </c>
      <c r="BN1016">
        <v>18</v>
      </c>
      <c r="BO1016" t="s">
        <v>10105</v>
      </c>
      <c r="BP1016" t="s">
        <v>8548</v>
      </c>
      <c r="BQ1016" t="s">
        <v>10105</v>
      </c>
      <c r="BR1016" t="s">
        <v>25227</v>
      </c>
      <c r="BS1016" t="s">
        <v>525</v>
      </c>
      <c r="BT1016" t="s">
        <v>69</v>
      </c>
      <c r="BU1016" t="s">
        <v>69</v>
      </c>
      <c r="BV1016" t="s">
        <v>69</v>
      </c>
      <c r="BW1016" t="s">
        <v>69</v>
      </c>
      <c r="BX1016" t="s">
        <v>8526</v>
      </c>
      <c r="BY1016" t="str">
        <f>HYPERLINK("https%3A%2F%2Fwww.webofscience.com%2Fwos%2Fwoscc%2Ffull-record%2FWOS:000312593300007","View Full Record in Web of Science")</f>
        <v>View Full Record in Web of Science</v>
      </c>
    </row>
    <row r="1017" spans="1:77" ht="12.5" x14ac:dyDescent="0.25">
      <c r="A1017" t="s">
        <v>8495</v>
      </c>
      <c r="B1017" s="22" t="s">
        <v>32931</v>
      </c>
      <c r="C1017" s="7"/>
      <c r="D1017" s="7"/>
      <c r="E1017" s="7"/>
      <c r="F1017" t="s">
        <v>67</v>
      </c>
      <c r="G1017" t="s">
        <v>30880</v>
      </c>
      <c r="H1017" t="s">
        <v>69</v>
      </c>
      <c r="I1017" t="s">
        <v>69</v>
      </c>
      <c r="J1017" t="s">
        <v>69</v>
      </c>
      <c r="K1017" t="s">
        <v>30880</v>
      </c>
      <c r="L1017" t="s">
        <v>69</v>
      </c>
      <c r="M1017" t="s">
        <v>69</v>
      </c>
      <c r="N1017" t="s">
        <v>30881</v>
      </c>
      <c r="O1017" t="s">
        <v>30882</v>
      </c>
      <c r="P1017" t="s">
        <v>69</v>
      </c>
      <c r="Q1017" t="s">
        <v>69</v>
      </c>
      <c r="R1017" t="s">
        <v>8505</v>
      </c>
      <c r="S1017" t="s">
        <v>8506</v>
      </c>
      <c r="T1017" t="s">
        <v>69</v>
      </c>
      <c r="U1017" t="s">
        <v>69</v>
      </c>
      <c r="V1017" t="s">
        <v>69</v>
      </c>
      <c r="W1017" t="s">
        <v>69</v>
      </c>
      <c r="X1017" t="s">
        <v>69</v>
      </c>
      <c r="Y1017" t="s">
        <v>30883</v>
      </c>
      <c r="Z1017" t="s">
        <v>30884</v>
      </c>
      <c r="AA1017" t="s">
        <v>30885</v>
      </c>
      <c r="AB1017" t="s">
        <v>30886</v>
      </c>
      <c r="AC1017" t="s">
        <v>69</v>
      </c>
      <c r="AD1017" t="s">
        <v>30887</v>
      </c>
      <c r="AE1017" t="s">
        <v>30888</v>
      </c>
      <c r="AF1017" t="s">
        <v>30889</v>
      </c>
      <c r="AG1017" t="s">
        <v>30890</v>
      </c>
      <c r="AH1017" t="s">
        <v>69</v>
      </c>
      <c r="AI1017" t="s">
        <v>69</v>
      </c>
      <c r="AJ1017" t="s">
        <v>69</v>
      </c>
      <c r="AK1017" t="s">
        <v>69</v>
      </c>
      <c r="AL1017">
        <v>55</v>
      </c>
      <c r="AM1017">
        <v>24</v>
      </c>
      <c r="AN1017">
        <v>24</v>
      </c>
      <c r="AO1017">
        <v>0</v>
      </c>
      <c r="AP1017">
        <v>19</v>
      </c>
      <c r="AQ1017" t="s">
        <v>8586</v>
      </c>
      <c r="AR1017" t="s">
        <v>8587</v>
      </c>
      <c r="AS1017" t="s">
        <v>8588</v>
      </c>
      <c r="AT1017" t="s">
        <v>30891</v>
      </c>
      <c r="AU1017" t="s">
        <v>30892</v>
      </c>
      <c r="AV1017" t="s">
        <v>69</v>
      </c>
      <c r="AW1017" t="s">
        <v>30893</v>
      </c>
      <c r="AX1017" t="s">
        <v>30894</v>
      </c>
      <c r="AY1017" t="s">
        <v>69</v>
      </c>
      <c r="AZ1017">
        <v>2005</v>
      </c>
      <c r="BA1017">
        <v>105</v>
      </c>
      <c r="BB1017">
        <v>8</v>
      </c>
      <c r="BC1017" t="s">
        <v>69</v>
      </c>
      <c r="BD1017" t="s">
        <v>69</v>
      </c>
      <c r="BE1017" t="s">
        <v>69</v>
      </c>
      <c r="BF1017" t="s">
        <v>69</v>
      </c>
      <c r="BG1017">
        <v>1001</v>
      </c>
      <c r="BH1017">
        <v>1021</v>
      </c>
      <c r="BI1017" t="s">
        <v>69</v>
      </c>
      <c r="BJ1017" t="s">
        <v>30895</v>
      </c>
      <c r="BK1017" t="str">
        <f>HYPERLINK("http://dx.doi.org/10.1108/02635570510624419","http://dx.doi.org/10.1108/02635570510624419")</f>
        <v>http://dx.doi.org/10.1108/02635570510624419</v>
      </c>
      <c r="BL1017" t="s">
        <v>69</v>
      </c>
      <c r="BM1017" t="s">
        <v>69</v>
      </c>
      <c r="BN1017">
        <v>21</v>
      </c>
      <c r="BO1017" t="s">
        <v>30896</v>
      </c>
      <c r="BP1017" t="s">
        <v>8523</v>
      </c>
      <c r="BQ1017" t="s">
        <v>30897</v>
      </c>
      <c r="BR1017" t="s">
        <v>30898</v>
      </c>
      <c r="BS1017" t="s">
        <v>30899</v>
      </c>
      <c r="BT1017" t="s">
        <v>69</v>
      </c>
      <c r="BU1017" t="s">
        <v>69</v>
      </c>
      <c r="BV1017" t="s">
        <v>69</v>
      </c>
      <c r="BW1017" t="s">
        <v>69</v>
      </c>
      <c r="BX1017" t="s">
        <v>8526</v>
      </c>
      <c r="BY1017" t="str">
        <f>HYPERLINK("https%3A%2F%2Fwww.webofscience.com%2Fwos%2Fwoscc%2Ffull-record%2FWOS:000234306000001","View Full Record in Web of Science")</f>
        <v>View Full Record in Web of Science</v>
      </c>
    </row>
    <row r="1018" spans="1:77" ht="12.5" x14ac:dyDescent="0.25">
      <c r="A1018" t="s">
        <v>8495</v>
      </c>
      <c r="B1018" s="22" t="s">
        <v>32931</v>
      </c>
      <c r="C1018" s="7"/>
      <c r="D1018" s="7"/>
      <c r="E1018" s="7"/>
      <c r="F1018" t="s">
        <v>67</v>
      </c>
      <c r="G1018" t="s">
        <v>29467</v>
      </c>
      <c r="H1018" t="s">
        <v>69</v>
      </c>
      <c r="I1018" t="s">
        <v>69</v>
      </c>
      <c r="J1018" t="s">
        <v>69</v>
      </c>
      <c r="K1018" t="s">
        <v>29468</v>
      </c>
      <c r="L1018" t="s">
        <v>69</v>
      </c>
      <c r="M1018" t="s">
        <v>69</v>
      </c>
      <c r="N1018" t="s">
        <v>29469</v>
      </c>
      <c r="O1018" t="s">
        <v>4650</v>
      </c>
      <c r="P1018" t="s">
        <v>69</v>
      </c>
      <c r="Q1018" t="s">
        <v>69</v>
      </c>
      <c r="R1018" t="s">
        <v>8505</v>
      </c>
      <c r="S1018" t="s">
        <v>8506</v>
      </c>
      <c r="T1018" t="s">
        <v>69</v>
      </c>
      <c r="U1018" t="s">
        <v>69</v>
      </c>
      <c r="V1018" t="s">
        <v>69</v>
      </c>
      <c r="W1018" t="s">
        <v>69</v>
      </c>
      <c r="X1018" t="s">
        <v>69</v>
      </c>
      <c r="Y1018" t="s">
        <v>29470</v>
      </c>
      <c r="Z1018" t="s">
        <v>29471</v>
      </c>
      <c r="AA1018" t="s">
        <v>29472</v>
      </c>
      <c r="AB1018" t="s">
        <v>29473</v>
      </c>
      <c r="AC1018" t="s">
        <v>69</v>
      </c>
      <c r="AD1018" t="s">
        <v>29474</v>
      </c>
      <c r="AE1018" t="s">
        <v>29475</v>
      </c>
      <c r="AF1018" t="s">
        <v>29476</v>
      </c>
      <c r="AG1018" t="s">
        <v>29477</v>
      </c>
      <c r="AH1018" t="s">
        <v>69</v>
      </c>
      <c r="AI1018" t="s">
        <v>69</v>
      </c>
      <c r="AJ1018" t="s">
        <v>69</v>
      </c>
      <c r="AK1018" t="s">
        <v>69</v>
      </c>
      <c r="AL1018">
        <v>59</v>
      </c>
      <c r="AM1018">
        <v>11</v>
      </c>
      <c r="AN1018">
        <v>11</v>
      </c>
      <c r="AO1018">
        <v>0</v>
      </c>
      <c r="AP1018">
        <v>44</v>
      </c>
      <c r="AQ1018" t="s">
        <v>8865</v>
      </c>
      <c r="AR1018" t="s">
        <v>8612</v>
      </c>
      <c r="AS1018" t="s">
        <v>22341</v>
      </c>
      <c r="AT1018" t="s">
        <v>4654</v>
      </c>
      <c r="AU1018" t="s">
        <v>69</v>
      </c>
      <c r="AV1018" t="s">
        <v>69</v>
      </c>
      <c r="AW1018" t="s">
        <v>29478</v>
      </c>
      <c r="AX1018" t="s">
        <v>29479</v>
      </c>
      <c r="AY1018" t="s">
        <v>69</v>
      </c>
      <c r="AZ1018">
        <v>2008</v>
      </c>
      <c r="BA1018">
        <v>28</v>
      </c>
      <c r="BB1018">
        <v>6</v>
      </c>
      <c r="BC1018" t="s">
        <v>69</v>
      </c>
      <c r="BD1018" t="s">
        <v>69</v>
      </c>
      <c r="BE1018" t="s">
        <v>69</v>
      </c>
      <c r="BF1018" t="s">
        <v>69</v>
      </c>
      <c r="BG1018">
        <v>827</v>
      </c>
      <c r="BH1018">
        <v>844</v>
      </c>
      <c r="BI1018" t="s">
        <v>69</v>
      </c>
      <c r="BJ1018" t="s">
        <v>29480</v>
      </c>
      <c r="BK1018" t="str">
        <f>HYPERLINK("http://dx.doi.org/10.1080/02642060801990395","http://dx.doi.org/10.1080/02642060801990395")</f>
        <v>http://dx.doi.org/10.1080/02642060801990395</v>
      </c>
      <c r="BL1018" t="s">
        <v>69</v>
      </c>
      <c r="BM1018" t="s">
        <v>69</v>
      </c>
      <c r="BN1018">
        <v>18</v>
      </c>
      <c r="BO1018" t="s">
        <v>9410</v>
      </c>
      <c r="BP1018" t="s">
        <v>8661</v>
      </c>
      <c r="BQ1018" t="s">
        <v>8594</v>
      </c>
      <c r="BR1018" t="s">
        <v>29481</v>
      </c>
      <c r="BS1018" t="s">
        <v>29482</v>
      </c>
      <c r="BT1018" t="s">
        <v>69</v>
      </c>
      <c r="BU1018" t="s">
        <v>69</v>
      </c>
      <c r="BV1018" t="s">
        <v>69</v>
      </c>
      <c r="BW1018" t="s">
        <v>69</v>
      </c>
      <c r="BX1018" t="s">
        <v>8526</v>
      </c>
      <c r="BY1018" t="str">
        <f>HYPERLINK("https%3A%2F%2Fwww.webofscience.com%2Fwos%2Fwoscc%2Ffull-record%2FWOS:000259227300007","View Full Record in Web of Science")</f>
        <v>View Full Record in Web of Science</v>
      </c>
    </row>
    <row r="1019" spans="1:77" ht="12.5" x14ac:dyDescent="0.25">
      <c r="A1019" t="s">
        <v>8495</v>
      </c>
      <c r="B1019" s="7" t="s">
        <v>32933</v>
      </c>
      <c r="C1019" s="7"/>
      <c r="D1019" s="7"/>
      <c r="E1019" s="7"/>
      <c r="F1019" t="s">
        <v>67</v>
      </c>
      <c r="G1019" t="s">
        <v>3227</v>
      </c>
      <c r="H1019" t="s">
        <v>69</v>
      </c>
      <c r="I1019" t="s">
        <v>69</v>
      </c>
      <c r="J1019" t="s">
        <v>69</v>
      </c>
      <c r="K1019" t="s">
        <v>3228</v>
      </c>
      <c r="L1019" t="s">
        <v>69</v>
      </c>
      <c r="M1019" t="s">
        <v>69</v>
      </c>
      <c r="N1019" t="s">
        <v>3229</v>
      </c>
      <c r="O1019" t="s">
        <v>3230</v>
      </c>
      <c r="P1019" t="s">
        <v>69</v>
      </c>
      <c r="Q1019" t="s">
        <v>69</v>
      </c>
      <c r="R1019" t="s">
        <v>8505</v>
      </c>
      <c r="S1019" t="s">
        <v>10174</v>
      </c>
      <c r="T1019" t="s">
        <v>69</v>
      </c>
      <c r="U1019" t="s">
        <v>69</v>
      </c>
      <c r="V1019" t="s">
        <v>69</v>
      </c>
      <c r="W1019" t="s">
        <v>69</v>
      </c>
      <c r="X1019" t="s">
        <v>69</v>
      </c>
      <c r="Y1019" t="s">
        <v>69</v>
      </c>
      <c r="Z1019" t="s">
        <v>69</v>
      </c>
      <c r="AA1019" t="s">
        <v>3231</v>
      </c>
      <c r="AB1019" t="s">
        <v>24153</v>
      </c>
      <c r="AC1019" t="s">
        <v>69</v>
      </c>
      <c r="AD1019" t="s">
        <v>24154</v>
      </c>
      <c r="AE1019" t="s">
        <v>24155</v>
      </c>
      <c r="AF1019" t="s">
        <v>69</v>
      </c>
      <c r="AG1019" t="s">
        <v>69</v>
      </c>
      <c r="AH1019" t="s">
        <v>69</v>
      </c>
      <c r="AI1019" t="s">
        <v>69</v>
      </c>
      <c r="AJ1019" t="s">
        <v>69</v>
      </c>
      <c r="AK1019" t="s">
        <v>69</v>
      </c>
      <c r="AL1019">
        <v>7</v>
      </c>
      <c r="AM1019">
        <v>0</v>
      </c>
      <c r="AN1019">
        <v>0</v>
      </c>
      <c r="AO1019">
        <v>0</v>
      </c>
      <c r="AP1019">
        <v>3</v>
      </c>
      <c r="AQ1019" t="s">
        <v>24156</v>
      </c>
      <c r="AR1019" t="s">
        <v>24157</v>
      </c>
      <c r="AS1019" t="s">
        <v>24158</v>
      </c>
      <c r="AT1019" t="s">
        <v>3232</v>
      </c>
      <c r="AU1019" t="s">
        <v>69</v>
      </c>
      <c r="AV1019" t="s">
        <v>69</v>
      </c>
      <c r="AW1019" t="s">
        <v>24159</v>
      </c>
      <c r="AX1019" t="s">
        <v>24160</v>
      </c>
      <c r="AY1019" t="s">
        <v>69</v>
      </c>
      <c r="AZ1019">
        <v>2014</v>
      </c>
      <c r="BA1019">
        <v>41</v>
      </c>
      <c r="BB1019" t="s">
        <v>69</v>
      </c>
      <c r="BC1019" t="s">
        <v>69</v>
      </c>
      <c r="BD1019" t="s">
        <v>69</v>
      </c>
      <c r="BE1019" t="s">
        <v>69</v>
      </c>
      <c r="BF1019" t="s">
        <v>69</v>
      </c>
      <c r="BG1019">
        <v>1</v>
      </c>
      <c r="BH1019">
        <v>4</v>
      </c>
      <c r="BI1019" t="s">
        <v>69</v>
      </c>
      <c r="BJ1019" t="s">
        <v>69</v>
      </c>
      <c r="BK1019" t="s">
        <v>69</v>
      </c>
      <c r="BL1019" t="s">
        <v>69</v>
      </c>
      <c r="BM1019" t="s">
        <v>69</v>
      </c>
      <c r="BN1019">
        <v>4</v>
      </c>
      <c r="BO1019" t="s">
        <v>17732</v>
      </c>
      <c r="BP1019" t="s">
        <v>8548</v>
      </c>
      <c r="BQ1019" t="s">
        <v>17733</v>
      </c>
      <c r="BR1019" t="s">
        <v>24161</v>
      </c>
      <c r="BS1019" t="s">
        <v>3233</v>
      </c>
      <c r="BT1019" t="s">
        <v>69</v>
      </c>
      <c r="BU1019" t="s">
        <v>69</v>
      </c>
      <c r="BV1019" t="s">
        <v>69</v>
      </c>
      <c r="BW1019" t="s">
        <v>69</v>
      </c>
      <c r="BX1019" t="s">
        <v>8526</v>
      </c>
      <c r="BY1019" t="str">
        <f>HYPERLINK("https%3A%2F%2Fwww.webofscience.com%2Fwos%2Fwoscc%2Ffull-record%2FWOS:000333849900001","View Full Record in Web of Science")</f>
        <v>View Full Record in Web of Science</v>
      </c>
    </row>
    <row r="1020" spans="1:77" ht="12.5" x14ac:dyDescent="0.25">
      <c r="A1020" t="s">
        <v>8495</v>
      </c>
      <c r="B1020" s="7" t="s">
        <v>32933</v>
      </c>
      <c r="C1020" s="7"/>
      <c r="D1020" s="7"/>
      <c r="E1020" s="7"/>
      <c r="F1020" t="s">
        <v>67</v>
      </c>
      <c r="G1020" t="s">
        <v>4178</v>
      </c>
      <c r="H1020" t="s">
        <v>69</v>
      </c>
      <c r="I1020" t="s">
        <v>69</v>
      </c>
      <c r="J1020" t="s">
        <v>69</v>
      </c>
      <c r="K1020" t="s">
        <v>4178</v>
      </c>
      <c r="L1020" t="s">
        <v>69</v>
      </c>
      <c r="M1020" t="s">
        <v>69</v>
      </c>
      <c r="N1020" t="s">
        <v>4179</v>
      </c>
      <c r="O1020" t="s">
        <v>4180</v>
      </c>
      <c r="P1020" t="s">
        <v>69</v>
      </c>
      <c r="Q1020" t="s">
        <v>69</v>
      </c>
      <c r="R1020" t="s">
        <v>8505</v>
      </c>
      <c r="S1020" t="s">
        <v>8506</v>
      </c>
      <c r="T1020" t="s">
        <v>69</v>
      </c>
      <c r="U1020" t="s">
        <v>69</v>
      </c>
      <c r="V1020" t="s">
        <v>69</v>
      </c>
      <c r="W1020" t="s">
        <v>69</v>
      </c>
      <c r="X1020" t="s">
        <v>69</v>
      </c>
      <c r="Y1020" t="s">
        <v>69</v>
      </c>
      <c r="Z1020" t="s">
        <v>69</v>
      </c>
      <c r="AA1020" t="s">
        <v>4181</v>
      </c>
      <c r="AB1020" t="s">
        <v>32206</v>
      </c>
      <c r="AC1020" t="s">
        <v>69</v>
      </c>
      <c r="AD1020" t="s">
        <v>32207</v>
      </c>
      <c r="AE1020" t="s">
        <v>69</v>
      </c>
      <c r="AF1020" t="s">
        <v>69</v>
      </c>
      <c r="AG1020" t="s">
        <v>69</v>
      </c>
      <c r="AH1020" t="s">
        <v>69</v>
      </c>
      <c r="AI1020" t="s">
        <v>69</v>
      </c>
      <c r="AJ1020" t="s">
        <v>69</v>
      </c>
      <c r="AK1020" t="s">
        <v>69</v>
      </c>
      <c r="AL1020">
        <v>15</v>
      </c>
      <c r="AM1020">
        <v>4</v>
      </c>
      <c r="AN1020">
        <v>4</v>
      </c>
      <c r="AO1020">
        <v>0</v>
      </c>
      <c r="AP1020">
        <v>0</v>
      </c>
      <c r="AQ1020" t="s">
        <v>32208</v>
      </c>
      <c r="AR1020" t="s">
        <v>32209</v>
      </c>
      <c r="AS1020" t="s">
        <v>32210</v>
      </c>
      <c r="AT1020" t="s">
        <v>4182</v>
      </c>
      <c r="AU1020" t="s">
        <v>69</v>
      </c>
      <c r="AV1020" t="s">
        <v>69</v>
      </c>
      <c r="AW1020" t="s">
        <v>32211</v>
      </c>
      <c r="AX1020" t="s">
        <v>32212</v>
      </c>
      <c r="AY1020" t="s">
        <v>263</v>
      </c>
      <c r="AZ1020">
        <v>1997</v>
      </c>
      <c r="BA1020">
        <v>51</v>
      </c>
      <c r="BB1020">
        <v>4</v>
      </c>
      <c r="BC1020" t="s">
        <v>69</v>
      </c>
      <c r="BD1020" t="s">
        <v>69</v>
      </c>
      <c r="BE1020" t="s">
        <v>69</v>
      </c>
      <c r="BF1020" t="s">
        <v>69</v>
      </c>
      <c r="BG1020">
        <v>47</v>
      </c>
      <c r="BH1020">
        <v>58</v>
      </c>
      <c r="BI1020" t="s">
        <v>69</v>
      </c>
      <c r="BJ1020" t="s">
        <v>69</v>
      </c>
      <c r="BK1020" t="s">
        <v>69</v>
      </c>
      <c r="BL1020" t="s">
        <v>69</v>
      </c>
      <c r="BM1020" t="s">
        <v>69</v>
      </c>
      <c r="BN1020">
        <v>12</v>
      </c>
      <c r="BO1020" t="s">
        <v>16486</v>
      </c>
      <c r="BP1020" t="s">
        <v>8661</v>
      </c>
      <c r="BQ1020" t="s">
        <v>16486</v>
      </c>
      <c r="BR1020" t="s">
        <v>32213</v>
      </c>
      <c r="BS1020" t="s">
        <v>4183</v>
      </c>
      <c r="BT1020" t="s">
        <v>69</v>
      </c>
      <c r="BU1020" t="s">
        <v>69</v>
      </c>
      <c r="BV1020" t="s">
        <v>69</v>
      </c>
      <c r="BW1020" t="s">
        <v>69</v>
      </c>
      <c r="BX1020" t="s">
        <v>8526</v>
      </c>
      <c r="BY1020" t="str">
        <f>HYPERLINK("https%3A%2F%2Fwww.webofscience.com%2Fwos%2Fwoscc%2Ffull-record%2FWOS:000072452800010","View Full Record in Web of Science")</f>
        <v>View Full Record in Web of Science</v>
      </c>
    </row>
    <row r="1021" spans="1:77" ht="12.5" x14ac:dyDescent="0.25">
      <c r="A1021" t="s">
        <v>8495</v>
      </c>
      <c r="B1021" s="7" t="s">
        <v>32933</v>
      </c>
      <c r="C1021" s="7"/>
      <c r="D1021" s="7"/>
      <c r="E1021" s="7"/>
      <c r="F1021" t="s">
        <v>67</v>
      </c>
      <c r="G1021" t="s">
        <v>4736</v>
      </c>
      <c r="H1021" t="s">
        <v>69</v>
      </c>
      <c r="I1021" t="s">
        <v>69</v>
      </c>
      <c r="J1021" t="s">
        <v>69</v>
      </c>
      <c r="K1021" t="s">
        <v>4737</v>
      </c>
      <c r="L1021" t="s">
        <v>69</v>
      </c>
      <c r="M1021" t="s">
        <v>69</v>
      </c>
      <c r="N1021" t="s">
        <v>4738</v>
      </c>
      <c r="O1021" t="s">
        <v>4739</v>
      </c>
      <c r="P1021" t="s">
        <v>69</v>
      </c>
      <c r="Q1021" t="s">
        <v>69</v>
      </c>
      <c r="R1021" t="s">
        <v>8505</v>
      </c>
      <c r="S1021" t="s">
        <v>8506</v>
      </c>
      <c r="T1021" t="s">
        <v>69</v>
      </c>
      <c r="U1021" t="s">
        <v>69</v>
      </c>
      <c r="V1021" t="s">
        <v>69</v>
      </c>
      <c r="W1021" t="s">
        <v>69</v>
      </c>
      <c r="X1021" t="s">
        <v>69</v>
      </c>
      <c r="Y1021" t="s">
        <v>15839</v>
      </c>
      <c r="Z1021" t="s">
        <v>15840</v>
      </c>
      <c r="AA1021" t="s">
        <v>4740</v>
      </c>
      <c r="AB1021" t="s">
        <v>15841</v>
      </c>
      <c r="AC1021" t="s">
        <v>69</v>
      </c>
      <c r="AD1021" t="s">
        <v>15842</v>
      </c>
      <c r="AE1021" t="s">
        <v>15843</v>
      </c>
      <c r="AF1021" t="s">
        <v>15844</v>
      </c>
      <c r="AG1021" t="s">
        <v>15845</v>
      </c>
      <c r="AH1021" t="s">
        <v>15846</v>
      </c>
      <c r="AI1021" t="s">
        <v>15846</v>
      </c>
      <c r="AJ1021" t="s">
        <v>15847</v>
      </c>
      <c r="AK1021" t="s">
        <v>69</v>
      </c>
      <c r="AL1021">
        <v>49</v>
      </c>
      <c r="AM1021">
        <v>8</v>
      </c>
      <c r="AN1021">
        <v>8</v>
      </c>
      <c r="AO1021">
        <v>2</v>
      </c>
      <c r="AP1021">
        <v>15</v>
      </c>
      <c r="AQ1021" t="s">
        <v>8924</v>
      </c>
      <c r="AR1021" t="s">
        <v>8925</v>
      </c>
      <c r="AS1021" t="s">
        <v>8926</v>
      </c>
      <c r="AT1021" t="s">
        <v>69</v>
      </c>
      <c r="AU1021" t="s">
        <v>4741</v>
      </c>
      <c r="AV1021" t="s">
        <v>69</v>
      </c>
      <c r="AW1021" t="s">
        <v>11435</v>
      </c>
      <c r="AX1021" t="s">
        <v>8426</v>
      </c>
      <c r="AY1021" t="s">
        <v>191</v>
      </c>
      <c r="AZ1021">
        <v>2020</v>
      </c>
      <c r="BA1021">
        <v>12</v>
      </c>
      <c r="BB1021">
        <v>2</v>
      </c>
      <c r="BC1021" t="s">
        <v>69</v>
      </c>
      <c r="BD1021" t="s">
        <v>69</v>
      </c>
      <c r="BE1021" t="s">
        <v>69</v>
      </c>
      <c r="BF1021" t="s">
        <v>69</v>
      </c>
      <c r="BG1021" t="s">
        <v>69</v>
      </c>
      <c r="BH1021" t="s">
        <v>69</v>
      </c>
      <c r="BI1021">
        <v>537</v>
      </c>
      <c r="BJ1021" t="s">
        <v>4742</v>
      </c>
      <c r="BK1021" t="str">
        <f>HYPERLINK("http://dx.doi.org/10.3390/w12020537","http://dx.doi.org/10.3390/w12020537")</f>
        <v>http://dx.doi.org/10.3390/w12020537</v>
      </c>
      <c r="BL1021" t="s">
        <v>69</v>
      </c>
      <c r="BM1021" t="s">
        <v>69</v>
      </c>
      <c r="BN1021">
        <v>19</v>
      </c>
      <c r="BO1021" t="s">
        <v>11437</v>
      </c>
      <c r="BP1021" t="s">
        <v>8548</v>
      </c>
      <c r="BQ1021" t="s">
        <v>11438</v>
      </c>
      <c r="BR1021" t="s">
        <v>15848</v>
      </c>
      <c r="BS1021" t="s">
        <v>4743</v>
      </c>
      <c r="BT1021" t="s">
        <v>69</v>
      </c>
      <c r="BU1021" t="s">
        <v>9352</v>
      </c>
      <c r="BV1021" t="s">
        <v>69</v>
      </c>
      <c r="BW1021" t="s">
        <v>69</v>
      </c>
      <c r="BX1021" t="s">
        <v>8526</v>
      </c>
      <c r="BY1021" t="str">
        <f>HYPERLINK("https%3A%2F%2Fwww.webofscience.com%2Fwos%2Fwoscc%2Ffull-record%2FWOS:000519846500228","View Full Record in Web of Science")</f>
        <v>View Full Record in Web of Science</v>
      </c>
    </row>
    <row r="1022" spans="1:77" ht="12.5" x14ac:dyDescent="0.25">
      <c r="A1022" t="s">
        <v>8495</v>
      </c>
      <c r="B1022" s="7" t="s">
        <v>32933</v>
      </c>
      <c r="C1022" s="7"/>
      <c r="D1022" s="7"/>
      <c r="E1022" s="7"/>
      <c r="F1022" t="s">
        <v>67</v>
      </c>
      <c r="G1022" t="s">
        <v>7130</v>
      </c>
      <c r="H1022" t="s">
        <v>69</v>
      </c>
      <c r="I1022" t="s">
        <v>69</v>
      </c>
      <c r="J1022" t="s">
        <v>69</v>
      </c>
      <c r="K1022" t="s">
        <v>7131</v>
      </c>
      <c r="L1022" t="s">
        <v>69</v>
      </c>
      <c r="M1022" t="s">
        <v>69</v>
      </c>
      <c r="N1022" t="s">
        <v>7132</v>
      </c>
      <c r="O1022" t="s">
        <v>7133</v>
      </c>
      <c r="P1022" t="s">
        <v>69</v>
      </c>
      <c r="Q1022" t="s">
        <v>69</v>
      </c>
      <c r="R1022" t="s">
        <v>8505</v>
      </c>
      <c r="S1022" t="s">
        <v>8506</v>
      </c>
      <c r="T1022" t="s">
        <v>69</v>
      </c>
      <c r="U1022" t="s">
        <v>69</v>
      </c>
      <c r="V1022" t="s">
        <v>69</v>
      </c>
      <c r="W1022" t="s">
        <v>69</v>
      </c>
      <c r="X1022" t="s">
        <v>69</v>
      </c>
      <c r="Y1022" t="s">
        <v>25538</v>
      </c>
      <c r="Z1022" t="s">
        <v>69</v>
      </c>
      <c r="AA1022" t="s">
        <v>7134</v>
      </c>
      <c r="AB1022" t="s">
        <v>25539</v>
      </c>
      <c r="AC1022" t="s">
        <v>69</v>
      </c>
      <c r="AD1022" t="s">
        <v>25540</v>
      </c>
      <c r="AE1022" t="s">
        <v>25541</v>
      </c>
      <c r="AF1022" t="s">
        <v>69</v>
      </c>
      <c r="AG1022" t="s">
        <v>69</v>
      </c>
      <c r="AH1022" t="s">
        <v>69</v>
      </c>
      <c r="AI1022" t="s">
        <v>69</v>
      </c>
      <c r="AJ1022" t="s">
        <v>69</v>
      </c>
      <c r="AK1022" t="s">
        <v>69</v>
      </c>
      <c r="AL1022">
        <v>3</v>
      </c>
      <c r="AM1022">
        <v>4</v>
      </c>
      <c r="AN1022">
        <v>4</v>
      </c>
      <c r="AO1022">
        <v>2</v>
      </c>
      <c r="AP1022">
        <v>7</v>
      </c>
      <c r="AQ1022" t="s">
        <v>13700</v>
      </c>
      <c r="AR1022" t="s">
        <v>13701</v>
      </c>
      <c r="AS1022" t="s">
        <v>13702</v>
      </c>
      <c r="AT1022" t="s">
        <v>7135</v>
      </c>
      <c r="AU1022" t="s">
        <v>69</v>
      </c>
      <c r="AV1022" t="s">
        <v>69</v>
      </c>
      <c r="AW1022" t="s">
        <v>13703</v>
      </c>
      <c r="AX1022" t="s">
        <v>13704</v>
      </c>
      <c r="AY1022" t="s">
        <v>69</v>
      </c>
      <c r="AZ1022">
        <v>2013</v>
      </c>
      <c r="BA1022">
        <v>25</v>
      </c>
      <c r="BB1022" t="s">
        <v>69</v>
      </c>
      <c r="BC1022" t="s">
        <v>69</v>
      </c>
      <c r="BD1022">
        <v>2</v>
      </c>
      <c r="BE1022" t="s">
        <v>69</v>
      </c>
      <c r="BF1022" t="s">
        <v>69</v>
      </c>
      <c r="BG1022" t="s">
        <v>7136</v>
      </c>
      <c r="BH1022" t="s">
        <v>7137</v>
      </c>
      <c r="BI1022" t="s">
        <v>69</v>
      </c>
      <c r="BJ1022" t="s">
        <v>69</v>
      </c>
      <c r="BK1022" t="s">
        <v>69</v>
      </c>
      <c r="BL1022" t="s">
        <v>69</v>
      </c>
      <c r="BM1022" t="s">
        <v>69</v>
      </c>
      <c r="BN1022">
        <v>5</v>
      </c>
      <c r="BO1022" t="s">
        <v>9332</v>
      </c>
      <c r="BP1022" t="s">
        <v>8523</v>
      </c>
      <c r="BQ1022" t="s">
        <v>9332</v>
      </c>
      <c r="BR1022" t="s">
        <v>25542</v>
      </c>
      <c r="BS1022" t="s">
        <v>7138</v>
      </c>
      <c r="BT1022">
        <v>23995206</v>
      </c>
      <c r="BU1022" t="s">
        <v>69</v>
      </c>
      <c r="BV1022" t="s">
        <v>69</v>
      </c>
      <c r="BW1022" t="s">
        <v>69</v>
      </c>
      <c r="BX1022" t="s">
        <v>8526</v>
      </c>
      <c r="BY1022" t="str">
        <f>HYPERLINK("https%3A%2F%2Fwww.webofscience.com%2Fwos%2Fwoscc%2Ffull-record%2FWOS:000209814200060","View Full Record in Web of Science")</f>
        <v>View Full Record in Web of Science</v>
      </c>
    </row>
    <row r="1023" spans="1:77" ht="12.5" x14ac:dyDescent="0.25">
      <c r="A1023" t="s">
        <v>8495</v>
      </c>
      <c r="B1023" s="7" t="s">
        <v>32933</v>
      </c>
      <c r="C1023" s="7"/>
      <c r="D1023" s="7"/>
      <c r="E1023" s="7"/>
      <c r="F1023" t="s">
        <v>67</v>
      </c>
      <c r="G1023" t="s">
        <v>6636</v>
      </c>
      <c r="H1023" t="s">
        <v>69</v>
      </c>
      <c r="I1023" t="s">
        <v>69</v>
      </c>
      <c r="J1023" t="s">
        <v>69</v>
      </c>
      <c r="K1023" t="s">
        <v>6637</v>
      </c>
      <c r="L1023" t="s">
        <v>69</v>
      </c>
      <c r="M1023" t="s">
        <v>69</v>
      </c>
      <c r="N1023" t="s">
        <v>6638</v>
      </c>
      <c r="O1023" t="s">
        <v>6639</v>
      </c>
      <c r="P1023" t="s">
        <v>69</v>
      </c>
      <c r="Q1023" t="s">
        <v>69</v>
      </c>
      <c r="R1023" t="s">
        <v>8505</v>
      </c>
      <c r="S1023" t="s">
        <v>8506</v>
      </c>
      <c r="T1023" t="s">
        <v>69</v>
      </c>
      <c r="U1023" t="s">
        <v>69</v>
      </c>
      <c r="V1023" t="s">
        <v>69</v>
      </c>
      <c r="W1023" t="s">
        <v>69</v>
      </c>
      <c r="X1023" t="s">
        <v>69</v>
      </c>
      <c r="Y1023" t="s">
        <v>16443</v>
      </c>
      <c r="Z1023" t="s">
        <v>16444</v>
      </c>
      <c r="AA1023" t="s">
        <v>6640</v>
      </c>
      <c r="AB1023" t="s">
        <v>16445</v>
      </c>
      <c r="AC1023" t="s">
        <v>69</v>
      </c>
      <c r="AD1023" t="s">
        <v>16446</v>
      </c>
      <c r="AE1023" t="s">
        <v>16447</v>
      </c>
      <c r="AF1023" t="s">
        <v>69</v>
      </c>
      <c r="AG1023" t="s">
        <v>69</v>
      </c>
      <c r="AH1023" t="s">
        <v>69</v>
      </c>
      <c r="AI1023" t="s">
        <v>69</v>
      </c>
      <c r="AJ1023" t="s">
        <v>69</v>
      </c>
      <c r="AK1023" t="s">
        <v>69</v>
      </c>
      <c r="AL1023">
        <v>13</v>
      </c>
      <c r="AM1023">
        <v>1</v>
      </c>
      <c r="AN1023">
        <v>1</v>
      </c>
      <c r="AO1023">
        <v>2</v>
      </c>
      <c r="AP1023">
        <v>12</v>
      </c>
      <c r="AQ1023" t="s">
        <v>8586</v>
      </c>
      <c r="AR1023" t="s">
        <v>8587</v>
      </c>
      <c r="AS1023" t="s">
        <v>8588</v>
      </c>
      <c r="AT1023" t="s">
        <v>6641</v>
      </c>
      <c r="AU1023" t="s">
        <v>69</v>
      </c>
      <c r="AV1023" t="s">
        <v>69</v>
      </c>
      <c r="AW1023" t="s">
        <v>16448</v>
      </c>
      <c r="AX1023" t="s">
        <v>16449</v>
      </c>
      <c r="AY1023" t="s">
        <v>6642</v>
      </c>
      <c r="AZ1023">
        <v>2019</v>
      </c>
      <c r="BA1023">
        <v>24</v>
      </c>
      <c r="BB1023">
        <v>4</v>
      </c>
      <c r="BC1023" t="s">
        <v>69</v>
      </c>
      <c r="BD1023" t="s">
        <v>69</v>
      </c>
      <c r="BE1023" t="s">
        <v>114</v>
      </c>
      <c r="BF1023" t="s">
        <v>69</v>
      </c>
      <c r="BG1023">
        <v>261</v>
      </c>
      <c r="BH1023">
        <v>266</v>
      </c>
      <c r="BI1023" t="s">
        <v>69</v>
      </c>
      <c r="BJ1023" t="s">
        <v>6643</v>
      </c>
      <c r="BK1023" t="str">
        <f>HYPERLINK("http://dx.doi.org/10.1108/IJHG-05-2019-0030","http://dx.doi.org/10.1108/IJHG-05-2019-0030")</f>
        <v>http://dx.doi.org/10.1108/IJHG-05-2019-0030</v>
      </c>
      <c r="BL1023" t="s">
        <v>69</v>
      </c>
      <c r="BM1023" t="s">
        <v>69</v>
      </c>
      <c r="BN1023">
        <v>6</v>
      </c>
      <c r="BO1023" t="s">
        <v>9208</v>
      </c>
      <c r="BP1023" t="s">
        <v>8573</v>
      </c>
      <c r="BQ1023" t="s">
        <v>9209</v>
      </c>
      <c r="BR1023" t="s">
        <v>16450</v>
      </c>
      <c r="BS1023" t="s">
        <v>6644</v>
      </c>
      <c r="BT1023" t="s">
        <v>69</v>
      </c>
      <c r="BU1023" t="s">
        <v>69</v>
      </c>
      <c r="BV1023" t="s">
        <v>69</v>
      </c>
      <c r="BW1023" t="s">
        <v>69</v>
      </c>
      <c r="BX1023" t="s">
        <v>8526</v>
      </c>
      <c r="BY1023" t="str">
        <f>HYPERLINK("https%3A%2F%2Fwww.webofscience.com%2Fwos%2Fwoscc%2Ffull-record%2FWOS:000491087800003","View Full Record in Web of Science")</f>
        <v>View Full Record in Web of Science</v>
      </c>
    </row>
    <row r="1024" spans="1:77" ht="12.5" x14ac:dyDescent="0.25">
      <c r="A1024" t="s">
        <v>8495</v>
      </c>
      <c r="B1024" s="22" t="s">
        <v>32931</v>
      </c>
      <c r="C1024" s="7"/>
      <c r="D1024" s="7"/>
      <c r="E1024" s="7"/>
      <c r="F1024" t="s">
        <v>67</v>
      </c>
      <c r="G1024" t="s">
        <v>16664</v>
      </c>
      <c r="H1024" t="s">
        <v>69</v>
      </c>
      <c r="I1024" t="s">
        <v>69</v>
      </c>
      <c r="J1024" t="s">
        <v>69</v>
      </c>
      <c r="K1024" t="s">
        <v>16665</v>
      </c>
      <c r="L1024" t="s">
        <v>69</v>
      </c>
      <c r="M1024" t="s">
        <v>69</v>
      </c>
      <c r="N1024" t="s">
        <v>16666</v>
      </c>
      <c r="O1024" t="s">
        <v>16667</v>
      </c>
      <c r="P1024" t="s">
        <v>69</v>
      </c>
      <c r="Q1024" t="s">
        <v>69</v>
      </c>
      <c r="R1024" t="s">
        <v>8505</v>
      </c>
      <c r="S1024" t="s">
        <v>8506</v>
      </c>
      <c r="T1024" t="s">
        <v>69</v>
      </c>
      <c r="U1024" t="s">
        <v>69</v>
      </c>
      <c r="V1024" t="s">
        <v>69</v>
      </c>
      <c r="W1024" t="s">
        <v>69</v>
      </c>
      <c r="X1024" t="s">
        <v>69</v>
      </c>
      <c r="Y1024" t="s">
        <v>16668</v>
      </c>
      <c r="Z1024" t="s">
        <v>16669</v>
      </c>
      <c r="AA1024" t="s">
        <v>16670</v>
      </c>
      <c r="AB1024" t="s">
        <v>16671</v>
      </c>
      <c r="AC1024" t="s">
        <v>69</v>
      </c>
      <c r="AD1024" t="s">
        <v>16672</v>
      </c>
      <c r="AE1024" t="s">
        <v>16673</v>
      </c>
      <c r="AF1024" t="s">
        <v>16674</v>
      </c>
      <c r="AG1024" t="s">
        <v>16675</v>
      </c>
      <c r="AH1024" t="s">
        <v>16676</v>
      </c>
      <c r="AI1024" t="s">
        <v>16677</v>
      </c>
      <c r="AJ1024" t="s">
        <v>16678</v>
      </c>
      <c r="AK1024" t="s">
        <v>69</v>
      </c>
      <c r="AL1024">
        <v>45</v>
      </c>
      <c r="AM1024">
        <v>3</v>
      </c>
      <c r="AN1024">
        <v>3</v>
      </c>
      <c r="AO1024">
        <v>1</v>
      </c>
      <c r="AP1024">
        <v>9</v>
      </c>
      <c r="AQ1024" t="s">
        <v>8636</v>
      </c>
      <c r="AR1024" t="s">
        <v>8637</v>
      </c>
      <c r="AS1024" t="s">
        <v>8638</v>
      </c>
      <c r="AT1024" t="s">
        <v>16679</v>
      </c>
      <c r="AU1024" t="s">
        <v>16680</v>
      </c>
      <c r="AV1024" t="s">
        <v>69</v>
      </c>
      <c r="AW1024" t="s">
        <v>16681</v>
      </c>
      <c r="AX1024" t="s">
        <v>16682</v>
      </c>
      <c r="AY1024" t="s">
        <v>381</v>
      </c>
      <c r="AZ1024">
        <v>2019</v>
      </c>
      <c r="BA1024">
        <v>60</v>
      </c>
      <c r="BB1024" t="s">
        <v>69</v>
      </c>
      <c r="BC1024" t="s">
        <v>69</v>
      </c>
      <c r="BD1024" t="s">
        <v>69</v>
      </c>
      <c r="BE1024" t="s">
        <v>69</v>
      </c>
      <c r="BF1024" t="s">
        <v>69</v>
      </c>
      <c r="BG1024" t="s">
        <v>69</v>
      </c>
      <c r="BH1024" t="s">
        <v>69</v>
      </c>
      <c r="BI1024">
        <v>100939</v>
      </c>
      <c r="BJ1024" t="s">
        <v>16683</v>
      </c>
      <c r="BK1024" t="str">
        <f>HYPERLINK("http://dx.doi.org/10.1016/j.jup.2019.100939","http://dx.doi.org/10.1016/j.jup.2019.100939")</f>
        <v>http://dx.doi.org/10.1016/j.jup.2019.100939</v>
      </c>
      <c r="BL1024" t="s">
        <v>69</v>
      </c>
      <c r="BM1024" t="s">
        <v>69</v>
      </c>
      <c r="BN1024">
        <v>9</v>
      </c>
      <c r="BO1024" t="s">
        <v>16684</v>
      </c>
      <c r="BP1024" t="s">
        <v>8523</v>
      </c>
      <c r="BQ1024" t="s">
        <v>16685</v>
      </c>
      <c r="BR1024" t="s">
        <v>16686</v>
      </c>
      <c r="BS1024" t="s">
        <v>16687</v>
      </c>
      <c r="BT1024" t="s">
        <v>69</v>
      </c>
      <c r="BU1024" t="s">
        <v>69</v>
      </c>
      <c r="BV1024" t="s">
        <v>69</v>
      </c>
      <c r="BW1024" t="s">
        <v>69</v>
      </c>
      <c r="BX1024" t="s">
        <v>8526</v>
      </c>
      <c r="BY1024" t="str">
        <f>HYPERLINK("https%3A%2F%2Fwww.webofscience.com%2Fwos%2Fwoscc%2Ffull-record%2FWOS:000487565400002","View Full Record in Web of Science")</f>
        <v>View Full Record in Web of Science</v>
      </c>
    </row>
    <row r="1025" spans="1:77" ht="12.5" x14ac:dyDescent="0.25">
      <c r="A1025" t="s">
        <v>8495</v>
      </c>
      <c r="B1025" s="22" t="s">
        <v>32931</v>
      </c>
      <c r="C1025" s="7"/>
      <c r="D1025" s="7"/>
      <c r="E1025" s="7"/>
      <c r="F1025" t="s">
        <v>67</v>
      </c>
      <c r="G1025" t="s">
        <v>30772</v>
      </c>
      <c r="H1025" t="s">
        <v>69</v>
      </c>
      <c r="I1025" t="s">
        <v>69</v>
      </c>
      <c r="J1025" t="s">
        <v>69</v>
      </c>
      <c r="K1025" t="s">
        <v>30773</v>
      </c>
      <c r="L1025" t="s">
        <v>69</v>
      </c>
      <c r="M1025" t="s">
        <v>69</v>
      </c>
      <c r="N1025" t="s">
        <v>30774</v>
      </c>
      <c r="O1025" t="s">
        <v>1251</v>
      </c>
      <c r="P1025" t="s">
        <v>69</v>
      </c>
      <c r="Q1025" t="s">
        <v>69</v>
      </c>
      <c r="R1025" t="s">
        <v>8505</v>
      </c>
      <c r="S1025" t="s">
        <v>8506</v>
      </c>
      <c r="T1025" t="s">
        <v>69</v>
      </c>
      <c r="U1025" t="s">
        <v>69</v>
      </c>
      <c r="V1025" t="s">
        <v>69</v>
      </c>
      <c r="W1025" t="s">
        <v>69</v>
      </c>
      <c r="X1025" t="s">
        <v>69</v>
      </c>
      <c r="Y1025" t="s">
        <v>30775</v>
      </c>
      <c r="Z1025" t="s">
        <v>69</v>
      </c>
      <c r="AA1025" t="s">
        <v>30776</v>
      </c>
      <c r="AB1025" t="s">
        <v>30777</v>
      </c>
      <c r="AC1025" t="s">
        <v>69</v>
      </c>
      <c r="AD1025" t="s">
        <v>30778</v>
      </c>
      <c r="AE1025" t="s">
        <v>69</v>
      </c>
      <c r="AF1025" t="s">
        <v>69</v>
      </c>
      <c r="AG1025" t="s">
        <v>69</v>
      </c>
      <c r="AH1025" t="s">
        <v>69</v>
      </c>
      <c r="AI1025" t="s">
        <v>69</v>
      </c>
      <c r="AJ1025" t="s">
        <v>69</v>
      </c>
      <c r="AK1025" t="s">
        <v>69</v>
      </c>
      <c r="AL1025">
        <v>14</v>
      </c>
      <c r="AM1025">
        <v>5</v>
      </c>
      <c r="AN1025">
        <v>5</v>
      </c>
      <c r="AO1025">
        <v>0</v>
      </c>
      <c r="AP1025">
        <v>0</v>
      </c>
      <c r="AQ1025" t="s">
        <v>8586</v>
      </c>
      <c r="AR1025" t="s">
        <v>8587</v>
      </c>
      <c r="AS1025" t="s">
        <v>8588</v>
      </c>
      <c r="AT1025" t="s">
        <v>1254</v>
      </c>
      <c r="AU1025" t="s">
        <v>1255</v>
      </c>
      <c r="AV1025" t="s">
        <v>69</v>
      </c>
      <c r="AW1025" t="s">
        <v>1251</v>
      </c>
      <c r="AX1025" t="s">
        <v>19328</v>
      </c>
      <c r="AY1025" t="s">
        <v>69</v>
      </c>
      <c r="AZ1025">
        <v>2005</v>
      </c>
      <c r="BA1025">
        <v>18</v>
      </c>
      <c r="BB1025">
        <v>2</v>
      </c>
      <c r="BC1025" t="s">
        <v>69</v>
      </c>
      <c r="BD1025" t="s">
        <v>69</v>
      </c>
      <c r="BE1025" t="s">
        <v>69</v>
      </c>
      <c r="BF1025" t="s">
        <v>69</v>
      </c>
      <c r="BG1025">
        <v>63</v>
      </c>
      <c r="BH1025">
        <v>70</v>
      </c>
      <c r="BI1025" t="s">
        <v>69</v>
      </c>
      <c r="BJ1025" t="s">
        <v>30779</v>
      </c>
      <c r="BK1025" t="str">
        <f>HYPERLINK("http://dx.doi.org/10.1108/08880450510597505","http://dx.doi.org/10.1108/08880450510597505")</f>
        <v>http://dx.doi.org/10.1108/08880450510597505</v>
      </c>
      <c r="BL1025" t="s">
        <v>69</v>
      </c>
      <c r="BM1025" t="s">
        <v>69</v>
      </c>
      <c r="BN1025">
        <v>8</v>
      </c>
      <c r="BO1025" t="s">
        <v>11010</v>
      </c>
      <c r="BP1025" t="s">
        <v>8573</v>
      </c>
      <c r="BQ1025" t="s">
        <v>11010</v>
      </c>
      <c r="BR1025" t="s">
        <v>30780</v>
      </c>
      <c r="BS1025" t="s">
        <v>30781</v>
      </c>
      <c r="BT1025" t="s">
        <v>69</v>
      </c>
      <c r="BU1025" t="s">
        <v>69</v>
      </c>
      <c r="BV1025" t="s">
        <v>69</v>
      </c>
      <c r="BW1025" t="s">
        <v>69</v>
      </c>
      <c r="BX1025" t="s">
        <v>8526</v>
      </c>
      <c r="BY1025" t="str">
        <f>HYPERLINK("https%3A%2F%2Fwww.webofscience.com%2Fwos%2Fwoscc%2Ffull-record%2FWOS:000217489000005","View Full Record in Web of Science")</f>
        <v>View Full Record in Web of Science</v>
      </c>
    </row>
    <row r="1026" spans="1:77" ht="12.5" x14ac:dyDescent="0.25">
      <c r="A1026" t="s">
        <v>8495</v>
      </c>
      <c r="B1026" s="7" t="s">
        <v>32933</v>
      </c>
      <c r="C1026" s="7"/>
      <c r="D1026" s="7"/>
      <c r="E1026" s="7"/>
      <c r="F1026" t="s">
        <v>67</v>
      </c>
      <c r="G1026" t="s">
        <v>7869</v>
      </c>
      <c r="H1026" t="s">
        <v>69</v>
      </c>
      <c r="I1026" t="s">
        <v>69</v>
      </c>
      <c r="J1026" t="s">
        <v>69</v>
      </c>
      <c r="K1026" t="s">
        <v>7870</v>
      </c>
      <c r="L1026" t="s">
        <v>69</v>
      </c>
      <c r="M1026" t="s">
        <v>69</v>
      </c>
      <c r="N1026" t="s">
        <v>7871</v>
      </c>
      <c r="O1026" t="s">
        <v>1522</v>
      </c>
      <c r="P1026" t="s">
        <v>69</v>
      </c>
      <c r="Q1026" t="s">
        <v>69</v>
      </c>
      <c r="R1026" t="s">
        <v>8505</v>
      </c>
      <c r="S1026" t="s">
        <v>8506</v>
      </c>
      <c r="T1026" t="s">
        <v>69</v>
      </c>
      <c r="U1026" t="s">
        <v>69</v>
      </c>
      <c r="V1026" t="s">
        <v>69</v>
      </c>
      <c r="W1026" t="s">
        <v>69</v>
      </c>
      <c r="X1026" t="s">
        <v>69</v>
      </c>
      <c r="Y1026" t="s">
        <v>28484</v>
      </c>
      <c r="Z1026" t="s">
        <v>28485</v>
      </c>
      <c r="AA1026" t="s">
        <v>7872</v>
      </c>
      <c r="AB1026" t="s">
        <v>28486</v>
      </c>
      <c r="AC1026" t="s">
        <v>69</v>
      </c>
      <c r="AD1026" t="s">
        <v>28487</v>
      </c>
      <c r="AE1026" t="s">
        <v>28488</v>
      </c>
      <c r="AF1026" t="s">
        <v>28489</v>
      </c>
      <c r="AG1026" t="s">
        <v>28490</v>
      </c>
      <c r="AH1026" t="s">
        <v>69</v>
      </c>
      <c r="AI1026" t="s">
        <v>69</v>
      </c>
      <c r="AJ1026" t="s">
        <v>69</v>
      </c>
      <c r="AK1026" t="s">
        <v>69</v>
      </c>
      <c r="AL1026">
        <v>61</v>
      </c>
      <c r="AM1026">
        <v>41</v>
      </c>
      <c r="AN1026">
        <v>41</v>
      </c>
      <c r="AO1026">
        <v>2</v>
      </c>
      <c r="AP1026">
        <v>60</v>
      </c>
      <c r="AQ1026" t="s">
        <v>8563</v>
      </c>
      <c r="AR1026" t="s">
        <v>8564</v>
      </c>
      <c r="AS1026" t="s">
        <v>8565</v>
      </c>
      <c r="AT1026" t="s">
        <v>1525</v>
      </c>
      <c r="AU1026" t="s">
        <v>1526</v>
      </c>
      <c r="AV1026" t="s">
        <v>69</v>
      </c>
      <c r="AW1026" t="s">
        <v>14032</v>
      </c>
      <c r="AX1026" t="s">
        <v>14033</v>
      </c>
      <c r="AY1026" t="s">
        <v>586</v>
      </c>
      <c r="AZ1026">
        <v>2009</v>
      </c>
      <c r="BA1026">
        <v>14</v>
      </c>
      <c r="BB1026">
        <v>3</v>
      </c>
      <c r="BC1026" t="s">
        <v>69</v>
      </c>
      <c r="BD1026" t="s">
        <v>69</v>
      </c>
      <c r="BE1026" t="s">
        <v>69</v>
      </c>
      <c r="BF1026" t="s">
        <v>69</v>
      </c>
      <c r="BG1026">
        <v>257</v>
      </c>
      <c r="BH1026">
        <v>267</v>
      </c>
      <c r="BI1026" t="s">
        <v>69</v>
      </c>
      <c r="BJ1026" t="s">
        <v>7873</v>
      </c>
      <c r="BK1026" t="str">
        <f>HYPERLINK("http://dx.doi.org/10.1007/s11367-009-0060-1","http://dx.doi.org/10.1007/s11367-009-0060-1")</f>
        <v>http://dx.doi.org/10.1007/s11367-009-0060-1</v>
      </c>
      <c r="BL1026" t="s">
        <v>69</v>
      </c>
      <c r="BM1026" t="s">
        <v>69</v>
      </c>
      <c r="BN1026">
        <v>11</v>
      </c>
      <c r="BO1026" t="s">
        <v>8743</v>
      </c>
      <c r="BP1026" t="s">
        <v>8548</v>
      </c>
      <c r="BQ1026" t="s">
        <v>8744</v>
      </c>
      <c r="BR1026" t="s">
        <v>28491</v>
      </c>
      <c r="BS1026" t="s">
        <v>7874</v>
      </c>
      <c r="BT1026" t="s">
        <v>69</v>
      </c>
      <c r="BU1026" t="s">
        <v>69</v>
      </c>
      <c r="BV1026" t="s">
        <v>69</v>
      </c>
      <c r="BW1026" t="s">
        <v>69</v>
      </c>
      <c r="BX1026" t="s">
        <v>8526</v>
      </c>
      <c r="BY1026" t="str">
        <f>HYPERLINK("https%3A%2F%2Fwww.webofscience.com%2Fwos%2Fwoscc%2Ffull-record%2FWOS:000266050200007","View Full Record in Web of Science")</f>
        <v>View Full Record in Web of Science</v>
      </c>
    </row>
    <row r="1027" spans="1:77" ht="12.5" x14ac:dyDescent="0.25">
      <c r="A1027" t="s">
        <v>8495</v>
      </c>
      <c r="B1027" s="22" t="s">
        <v>32931</v>
      </c>
      <c r="C1027" s="7"/>
      <c r="D1027" s="7"/>
      <c r="E1027" s="7"/>
      <c r="F1027" t="s">
        <v>67</v>
      </c>
      <c r="G1027" t="s">
        <v>11707</v>
      </c>
      <c r="H1027" t="s">
        <v>69</v>
      </c>
      <c r="I1027" t="s">
        <v>69</v>
      </c>
      <c r="J1027" t="s">
        <v>69</v>
      </c>
      <c r="K1027" t="s">
        <v>11708</v>
      </c>
      <c r="L1027" t="s">
        <v>69</v>
      </c>
      <c r="M1027" t="s">
        <v>69</v>
      </c>
      <c r="N1027" t="s">
        <v>11709</v>
      </c>
      <c r="O1027" t="s">
        <v>11710</v>
      </c>
      <c r="P1027" t="s">
        <v>69</v>
      </c>
      <c r="Q1027" t="s">
        <v>69</v>
      </c>
      <c r="R1027" t="s">
        <v>8505</v>
      </c>
      <c r="S1027" t="s">
        <v>8506</v>
      </c>
      <c r="T1027" t="s">
        <v>69</v>
      </c>
      <c r="U1027" t="s">
        <v>69</v>
      </c>
      <c r="V1027" t="s">
        <v>69</v>
      </c>
      <c r="W1027" t="s">
        <v>69</v>
      </c>
      <c r="X1027" t="s">
        <v>69</v>
      </c>
      <c r="Y1027" t="s">
        <v>11711</v>
      </c>
      <c r="Z1027" t="s">
        <v>11712</v>
      </c>
      <c r="AA1027" t="s">
        <v>11713</v>
      </c>
      <c r="AB1027" t="s">
        <v>11714</v>
      </c>
      <c r="AC1027" t="s">
        <v>69</v>
      </c>
      <c r="AD1027" t="s">
        <v>11715</v>
      </c>
      <c r="AE1027" t="s">
        <v>11716</v>
      </c>
      <c r="AF1027" t="s">
        <v>11717</v>
      </c>
      <c r="AG1027" t="s">
        <v>11718</v>
      </c>
      <c r="AH1027" t="s">
        <v>69</v>
      </c>
      <c r="AI1027" t="s">
        <v>69</v>
      </c>
      <c r="AJ1027" t="s">
        <v>69</v>
      </c>
      <c r="AK1027" t="s">
        <v>69</v>
      </c>
      <c r="AL1027">
        <v>40</v>
      </c>
      <c r="AM1027">
        <v>2</v>
      </c>
      <c r="AN1027">
        <v>2</v>
      </c>
      <c r="AO1027">
        <v>14</v>
      </c>
      <c r="AP1027">
        <v>23</v>
      </c>
      <c r="AQ1027" t="s">
        <v>8924</v>
      </c>
      <c r="AR1027" t="s">
        <v>8925</v>
      </c>
      <c r="AS1027" t="s">
        <v>8926</v>
      </c>
      <c r="AT1027" t="s">
        <v>69</v>
      </c>
      <c r="AU1027" t="s">
        <v>11719</v>
      </c>
      <c r="AV1027" t="s">
        <v>69</v>
      </c>
      <c r="AW1027" t="s">
        <v>11710</v>
      </c>
      <c r="AX1027" t="s">
        <v>11720</v>
      </c>
      <c r="AY1027" t="s">
        <v>201</v>
      </c>
      <c r="AZ1027">
        <v>2021</v>
      </c>
      <c r="BA1027">
        <v>14</v>
      </c>
      <c r="BB1027">
        <v>16</v>
      </c>
      <c r="BC1027" t="s">
        <v>69</v>
      </c>
      <c r="BD1027" t="s">
        <v>69</v>
      </c>
      <c r="BE1027" t="s">
        <v>69</v>
      </c>
      <c r="BF1027" t="s">
        <v>69</v>
      </c>
      <c r="BG1027" t="s">
        <v>69</v>
      </c>
      <c r="BH1027" t="s">
        <v>69</v>
      </c>
      <c r="BI1027">
        <v>4552</v>
      </c>
      <c r="BJ1027" t="s">
        <v>11721</v>
      </c>
      <c r="BK1027" t="str">
        <f>HYPERLINK("http://dx.doi.org/10.3390/ma14164552","http://dx.doi.org/10.3390/ma14164552")</f>
        <v>http://dx.doi.org/10.3390/ma14164552</v>
      </c>
      <c r="BL1027" t="s">
        <v>69</v>
      </c>
      <c r="BM1027" t="s">
        <v>69</v>
      </c>
      <c r="BN1027">
        <v>21</v>
      </c>
      <c r="BO1027" t="s">
        <v>11722</v>
      </c>
      <c r="BP1027" t="s">
        <v>8548</v>
      </c>
      <c r="BQ1027" t="s">
        <v>11723</v>
      </c>
      <c r="BR1027" t="s">
        <v>11724</v>
      </c>
      <c r="BS1027" t="s">
        <v>11725</v>
      </c>
      <c r="BT1027">
        <v>34443076</v>
      </c>
      <c r="BU1027" t="s">
        <v>9352</v>
      </c>
      <c r="BV1027" t="s">
        <v>69</v>
      </c>
      <c r="BW1027" t="s">
        <v>69</v>
      </c>
      <c r="BX1027" t="s">
        <v>8526</v>
      </c>
      <c r="BY1027" t="str">
        <f>HYPERLINK("https%3A%2F%2Fwww.webofscience.com%2Fwos%2Fwoscc%2Ffull-record%2FWOS:000689419000001","View Full Record in Web of Science")</f>
        <v>View Full Record in Web of Science</v>
      </c>
    </row>
    <row r="1028" spans="1:77" ht="12.5" x14ac:dyDescent="0.25">
      <c r="A1028" t="s">
        <v>8495</v>
      </c>
      <c r="B1028" s="7" t="s">
        <v>32933</v>
      </c>
      <c r="C1028" s="7"/>
      <c r="D1028" s="7"/>
      <c r="E1028" s="7"/>
      <c r="F1028" t="s">
        <v>67</v>
      </c>
      <c r="G1028" t="s">
        <v>5614</v>
      </c>
      <c r="H1028" t="s">
        <v>69</v>
      </c>
      <c r="I1028" t="s">
        <v>69</v>
      </c>
      <c r="J1028" t="s">
        <v>69</v>
      </c>
      <c r="K1028" t="s">
        <v>5615</v>
      </c>
      <c r="L1028" t="s">
        <v>69</v>
      </c>
      <c r="M1028" t="s">
        <v>69</v>
      </c>
      <c r="N1028" t="s">
        <v>5616</v>
      </c>
      <c r="O1028" t="s">
        <v>436</v>
      </c>
      <c r="P1028" t="s">
        <v>69</v>
      </c>
      <c r="Q1028" t="s">
        <v>69</v>
      </c>
      <c r="R1028" t="s">
        <v>8505</v>
      </c>
      <c r="S1028" t="s">
        <v>8506</v>
      </c>
      <c r="T1028" t="s">
        <v>69</v>
      </c>
      <c r="U1028" t="s">
        <v>69</v>
      </c>
      <c r="V1028" t="s">
        <v>69</v>
      </c>
      <c r="W1028" t="s">
        <v>69</v>
      </c>
      <c r="X1028" t="s">
        <v>69</v>
      </c>
      <c r="Y1028" t="s">
        <v>30512</v>
      </c>
      <c r="Z1028" t="s">
        <v>69</v>
      </c>
      <c r="AA1028" t="s">
        <v>5617</v>
      </c>
      <c r="AB1028" t="s">
        <v>30513</v>
      </c>
      <c r="AC1028" t="s">
        <v>69</v>
      </c>
      <c r="AD1028" t="s">
        <v>30514</v>
      </c>
      <c r="AE1028" t="s">
        <v>30515</v>
      </c>
      <c r="AF1028" t="s">
        <v>30516</v>
      </c>
      <c r="AG1028" t="s">
        <v>69</v>
      </c>
      <c r="AH1028" t="s">
        <v>69</v>
      </c>
      <c r="AI1028" t="s">
        <v>69</v>
      </c>
      <c r="AJ1028" t="s">
        <v>69</v>
      </c>
      <c r="AK1028" t="s">
        <v>69</v>
      </c>
      <c r="AL1028">
        <v>16</v>
      </c>
      <c r="AM1028">
        <v>58</v>
      </c>
      <c r="AN1028">
        <v>60</v>
      </c>
      <c r="AO1028">
        <v>2</v>
      </c>
      <c r="AP1028">
        <v>36</v>
      </c>
      <c r="AQ1028" t="s">
        <v>8636</v>
      </c>
      <c r="AR1028" t="s">
        <v>8637</v>
      </c>
      <c r="AS1028" t="s">
        <v>8638</v>
      </c>
      <c r="AT1028" t="s">
        <v>440</v>
      </c>
      <c r="AU1028" t="s">
        <v>69</v>
      </c>
      <c r="AV1028" t="s">
        <v>69</v>
      </c>
      <c r="AW1028" t="s">
        <v>8639</v>
      </c>
      <c r="AX1028" t="s">
        <v>8640</v>
      </c>
      <c r="AY1028" t="s">
        <v>69</v>
      </c>
      <c r="AZ1028">
        <v>2006</v>
      </c>
      <c r="BA1028">
        <v>14</v>
      </c>
      <c r="BB1028" t="s">
        <v>5618</v>
      </c>
      <c r="BC1028" t="s">
        <v>69</v>
      </c>
      <c r="BD1028" t="s">
        <v>69</v>
      </c>
      <c r="BE1028" t="s">
        <v>114</v>
      </c>
      <c r="BF1028" t="s">
        <v>69</v>
      </c>
      <c r="BG1028">
        <v>1319</v>
      </c>
      <c r="BH1028">
        <v>1325</v>
      </c>
      <c r="BI1028" t="s">
        <v>69</v>
      </c>
      <c r="BJ1028" t="s">
        <v>5619</v>
      </c>
      <c r="BK1028" t="str">
        <f>HYPERLINK("http://dx.doi.org/10.1016/j.jclepro.2005.11.011","http://dx.doi.org/10.1016/j.jclepro.2005.11.011")</f>
        <v>http://dx.doi.org/10.1016/j.jclepro.2005.11.011</v>
      </c>
      <c r="BL1028" t="s">
        <v>69</v>
      </c>
      <c r="BM1028" t="s">
        <v>69</v>
      </c>
      <c r="BN1028">
        <v>7</v>
      </c>
      <c r="BO1028" t="s">
        <v>8643</v>
      </c>
      <c r="BP1028" t="s">
        <v>8548</v>
      </c>
      <c r="BQ1028" t="s">
        <v>8644</v>
      </c>
      <c r="BR1028" t="s">
        <v>30517</v>
      </c>
      <c r="BS1028" t="s">
        <v>5620</v>
      </c>
      <c r="BT1028" t="s">
        <v>69</v>
      </c>
      <c r="BU1028" t="s">
        <v>69</v>
      </c>
      <c r="BV1028" t="s">
        <v>69</v>
      </c>
      <c r="BW1028" t="s">
        <v>69</v>
      </c>
      <c r="BX1028" t="s">
        <v>8526</v>
      </c>
      <c r="BY1028" t="str">
        <f>HYPERLINK("https%3A%2F%2Fwww.webofscience.com%2Fwos%2Fwoscc%2Ffull-record%2FWOS:000240298500004","View Full Record in Web of Science")</f>
        <v>View Full Record in Web of Science</v>
      </c>
    </row>
    <row r="1029" spans="1:77" ht="12.5" x14ac:dyDescent="0.25">
      <c r="A1029" t="s">
        <v>8495</v>
      </c>
      <c r="B1029" s="7" t="s">
        <v>32933</v>
      </c>
      <c r="C1029" s="7"/>
      <c r="D1029" s="7"/>
      <c r="E1029" s="7"/>
      <c r="F1029" t="s">
        <v>67</v>
      </c>
      <c r="G1029" t="s">
        <v>7072</v>
      </c>
      <c r="H1029" t="s">
        <v>69</v>
      </c>
      <c r="I1029" t="s">
        <v>69</v>
      </c>
      <c r="J1029" t="s">
        <v>69</v>
      </c>
      <c r="K1029" t="s">
        <v>7073</v>
      </c>
      <c r="L1029" t="s">
        <v>69</v>
      </c>
      <c r="M1029" t="s">
        <v>69</v>
      </c>
      <c r="N1029" t="s">
        <v>7074</v>
      </c>
      <c r="O1029" t="s">
        <v>5162</v>
      </c>
      <c r="P1029" t="s">
        <v>69</v>
      </c>
      <c r="Q1029" t="s">
        <v>69</v>
      </c>
      <c r="R1029" t="s">
        <v>8505</v>
      </c>
      <c r="S1029" t="s">
        <v>8506</v>
      </c>
      <c r="T1029" t="s">
        <v>69</v>
      </c>
      <c r="U1029" t="s">
        <v>69</v>
      </c>
      <c r="V1029" t="s">
        <v>69</v>
      </c>
      <c r="W1029" t="s">
        <v>69</v>
      </c>
      <c r="X1029" t="s">
        <v>69</v>
      </c>
      <c r="Y1029" t="s">
        <v>13269</v>
      </c>
      <c r="Z1029" t="s">
        <v>13270</v>
      </c>
      <c r="AA1029" t="s">
        <v>7075</v>
      </c>
      <c r="AB1029" t="s">
        <v>13271</v>
      </c>
      <c r="AC1029" t="s">
        <v>69</v>
      </c>
      <c r="AD1029" t="s">
        <v>13272</v>
      </c>
      <c r="AE1029" t="s">
        <v>13273</v>
      </c>
      <c r="AF1029" t="s">
        <v>13274</v>
      </c>
      <c r="AG1029" t="s">
        <v>13275</v>
      </c>
      <c r="AH1029" t="s">
        <v>13276</v>
      </c>
      <c r="AI1029" t="s">
        <v>13277</v>
      </c>
      <c r="AJ1029" t="s">
        <v>13278</v>
      </c>
      <c r="AK1029" t="s">
        <v>69</v>
      </c>
      <c r="AL1029">
        <v>92</v>
      </c>
      <c r="AM1029">
        <v>11</v>
      </c>
      <c r="AN1029">
        <v>11</v>
      </c>
      <c r="AO1029">
        <v>8</v>
      </c>
      <c r="AP1029">
        <v>39</v>
      </c>
      <c r="AQ1029" t="s">
        <v>8636</v>
      </c>
      <c r="AR1029" t="s">
        <v>8637</v>
      </c>
      <c r="AS1029" t="s">
        <v>8638</v>
      </c>
      <c r="AT1029" t="s">
        <v>5164</v>
      </c>
      <c r="AU1029" t="s">
        <v>5165</v>
      </c>
      <c r="AV1029" t="s">
        <v>69</v>
      </c>
      <c r="AW1029" t="s">
        <v>11987</v>
      </c>
      <c r="AX1029" t="s">
        <v>11988</v>
      </c>
      <c r="AY1029" t="s">
        <v>191</v>
      </c>
      <c r="AZ1029">
        <v>2021</v>
      </c>
      <c r="BA1029">
        <v>124</v>
      </c>
      <c r="BB1029" t="s">
        <v>69</v>
      </c>
      <c r="BC1029" t="s">
        <v>69</v>
      </c>
      <c r="BD1029" t="s">
        <v>69</v>
      </c>
      <c r="BE1029" t="s">
        <v>69</v>
      </c>
      <c r="BF1029" t="s">
        <v>69</v>
      </c>
      <c r="BG1029" t="s">
        <v>69</v>
      </c>
      <c r="BH1029" t="s">
        <v>69</v>
      </c>
      <c r="BI1029">
        <v>104331</v>
      </c>
      <c r="BJ1029" t="s">
        <v>7076</v>
      </c>
      <c r="BK1029" t="str">
        <f>HYPERLINK("http://dx.doi.org/10.1016/j.marpol.2020.104331","http://dx.doi.org/10.1016/j.marpol.2020.104331")</f>
        <v>http://dx.doi.org/10.1016/j.marpol.2020.104331</v>
      </c>
      <c r="BL1029" t="s">
        <v>69</v>
      </c>
      <c r="BM1029" t="s">
        <v>69</v>
      </c>
      <c r="BN1029">
        <v>9</v>
      </c>
      <c r="BO1029" t="s">
        <v>11990</v>
      </c>
      <c r="BP1029" t="s">
        <v>8661</v>
      </c>
      <c r="BQ1029" t="s">
        <v>11991</v>
      </c>
      <c r="BR1029" t="s">
        <v>13279</v>
      </c>
      <c r="BS1029" t="s">
        <v>7077</v>
      </c>
      <c r="BT1029" t="s">
        <v>69</v>
      </c>
      <c r="BU1029" t="s">
        <v>13280</v>
      </c>
      <c r="BV1029" t="s">
        <v>69</v>
      </c>
      <c r="BW1029" t="s">
        <v>69</v>
      </c>
      <c r="BX1029" t="s">
        <v>8526</v>
      </c>
      <c r="BY1029" t="str">
        <f>HYPERLINK("https%3A%2F%2Fwww.webofscience.com%2Fwos%2Fwoscc%2Ffull-record%2FWOS:000609164100010","View Full Record in Web of Science")</f>
        <v>View Full Record in Web of Science</v>
      </c>
    </row>
    <row r="1030" spans="1:77" ht="12.5" x14ac:dyDescent="0.25">
      <c r="A1030" t="s">
        <v>8495</v>
      </c>
      <c r="B1030" s="7" t="s">
        <v>32933</v>
      </c>
      <c r="C1030" s="7"/>
      <c r="D1030" s="7"/>
      <c r="E1030" s="7"/>
      <c r="F1030" t="s">
        <v>67</v>
      </c>
      <c r="G1030" t="s">
        <v>4115</v>
      </c>
      <c r="H1030" t="s">
        <v>69</v>
      </c>
      <c r="I1030" t="s">
        <v>69</v>
      </c>
      <c r="J1030" t="s">
        <v>69</v>
      </c>
      <c r="K1030" t="s">
        <v>4115</v>
      </c>
      <c r="L1030" t="s">
        <v>69</v>
      </c>
      <c r="M1030" t="s">
        <v>69</v>
      </c>
      <c r="N1030" t="s">
        <v>4116</v>
      </c>
      <c r="O1030" t="s">
        <v>520</v>
      </c>
      <c r="P1030" t="s">
        <v>69</v>
      </c>
      <c r="Q1030" t="s">
        <v>69</v>
      </c>
      <c r="R1030" t="s">
        <v>8505</v>
      </c>
      <c r="S1030" t="s">
        <v>8506</v>
      </c>
      <c r="T1030" t="s">
        <v>69</v>
      </c>
      <c r="U1030" t="s">
        <v>69</v>
      </c>
      <c r="V1030" t="s">
        <v>69</v>
      </c>
      <c r="W1030" t="s">
        <v>69</v>
      </c>
      <c r="X1030" t="s">
        <v>69</v>
      </c>
      <c r="Y1030" t="s">
        <v>31753</v>
      </c>
      <c r="Z1030" t="s">
        <v>69</v>
      </c>
      <c r="AA1030" t="s">
        <v>4117</v>
      </c>
      <c r="AB1030" t="s">
        <v>31754</v>
      </c>
      <c r="AC1030" t="s">
        <v>69</v>
      </c>
      <c r="AD1030" t="s">
        <v>31755</v>
      </c>
      <c r="AE1030" t="s">
        <v>69</v>
      </c>
      <c r="AF1030" t="s">
        <v>69</v>
      </c>
      <c r="AG1030" t="s">
        <v>69</v>
      </c>
      <c r="AH1030" t="s">
        <v>69</v>
      </c>
      <c r="AI1030" t="s">
        <v>69</v>
      </c>
      <c r="AJ1030" t="s">
        <v>69</v>
      </c>
      <c r="AK1030" t="s">
        <v>69</v>
      </c>
      <c r="AL1030">
        <v>10</v>
      </c>
      <c r="AM1030">
        <v>51</v>
      </c>
      <c r="AN1030">
        <v>51</v>
      </c>
      <c r="AO1030">
        <v>3</v>
      </c>
      <c r="AP1030">
        <v>18</v>
      </c>
      <c r="AQ1030" t="s">
        <v>31664</v>
      </c>
      <c r="AR1030" t="s">
        <v>8763</v>
      </c>
      <c r="AS1030" t="s">
        <v>31665</v>
      </c>
      <c r="AT1030" t="s">
        <v>523</v>
      </c>
      <c r="AU1030" t="s">
        <v>69</v>
      </c>
      <c r="AV1030" t="s">
        <v>69</v>
      </c>
      <c r="AW1030" t="s">
        <v>21727</v>
      </c>
      <c r="AX1030" t="s">
        <v>21728</v>
      </c>
      <c r="AY1030" t="s">
        <v>255</v>
      </c>
      <c r="AZ1030">
        <v>2000</v>
      </c>
      <c r="BA1030">
        <v>28</v>
      </c>
      <c r="BB1030" t="s">
        <v>1726</v>
      </c>
      <c r="BC1030" t="s">
        <v>69</v>
      </c>
      <c r="BD1030" t="s">
        <v>69</v>
      </c>
      <c r="BE1030" t="s">
        <v>69</v>
      </c>
      <c r="BF1030" t="s">
        <v>69</v>
      </c>
      <c r="BG1030">
        <v>387</v>
      </c>
      <c r="BH1030">
        <v>393</v>
      </c>
      <c r="BI1030" t="s">
        <v>69</v>
      </c>
      <c r="BJ1030" t="s">
        <v>4118</v>
      </c>
      <c r="BK1030" t="str">
        <f>HYPERLINK("http://dx.doi.org/10.1080/096132100418537","http://dx.doi.org/10.1080/096132100418537")</f>
        <v>http://dx.doi.org/10.1080/096132100418537</v>
      </c>
      <c r="BL1030" t="s">
        <v>69</v>
      </c>
      <c r="BM1030" t="s">
        <v>69</v>
      </c>
      <c r="BN1030">
        <v>7</v>
      </c>
      <c r="BO1030" t="s">
        <v>10105</v>
      </c>
      <c r="BP1030" t="s">
        <v>8548</v>
      </c>
      <c r="BQ1030" t="s">
        <v>10105</v>
      </c>
      <c r="BR1030" t="s">
        <v>31756</v>
      </c>
      <c r="BS1030" t="s">
        <v>4119</v>
      </c>
      <c r="BT1030" t="s">
        <v>69</v>
      </c>
      <c r="BU1030" t="s">
        <v>69</v>
      </c>
      <c r="BV1030" t="s">
        <v>69</v>
      </c>
      <c r="BW1030" t="s">
        <v>69</v>
      </c>
      <c r="BX1030" t="s">
        <v>8526</v>
      </c>
      <c r="BY1030" t="str">
        <f>HYPERLINK("https%3A%2F%2Fwww.webofscience.com%2Fwos%2Fwoscc%2Ffull-record%2FWOS:000089364500009","View Full Record in Web of Science")</f>
        <v>View Full Record in Web of Science</v>
      </c>
    </row>
    <row r="1031" spans="1:77" ht="12.5" x14ac:dyDescent="0.25">
      <c r="A1031" t="s">
        <v>8495</v>
      </c>
      <c r="B1031" s="7" t="s">
        <v>32933</v>
      </c>
      <c r="C1031" s="7"/>
      <c r="D1031" s="7"/>
      <c r="E1031" s="7"/>
      <c r="F1031" t="s">
        <v>67</v>
      </c>
      <c r="G1031" t="s">
        <v>7893</v>
      </c>
      <c r="H1031" t="s">
        <v>69</v>
      </c>
      <c r="I1031" t="s">
        <v>69</v>
      </c>
      <c r="J1031" t="s">
        <v>69</v>
      </c>
      <c r="K1031" t="s">
        <v>7894</v>
      </c>
      <c r="L1031" t="s">
        <v>69</v>
      </c>
      <c r="M1031" t="s">
        <v>69</v>
      </c>
      <c r="N1031" t="s">
        <v>7895</v>
      </c>
      <c r="O1031" t="s">
        <v>7896</v>
      </c>
      <c r="P1031" t="s">
        <v>69</v>
      </c>
      <c r="Q1031" t="s">
        <v>69</v>
      </c>
      <c r="R1031" t="s">
        <v>8505</v>
      </c>
      <c r="S1031" t="s">
        <v>8506</v>
      </c>
      <c r="T1031" t="s">
        <v>69</v>
      </c>
      <c r="U1031" t="s">
        <v>69</v>
      </c>
      <c r="V1031" t="s">
        <v>69</v>
      </c>
      <c r="W1031" t="s">
        <v>69</v>
      </c>
      <c r="X1031" t="s">
        <v>69</v>
      </c>
      <c r="Y1031" t="s">
        <v>18920</v>
      </c>
      <c r="Z1031" t="s">
        <v>18921</v>
      </c>
      <c r="AA1031" t="s">
        <v>7897</v>
      </c>
      <c r="AB1031" t="s">
        <v>18922</v>
      </c>
      <c r="AC1031" t="s">
        <v>69</v>
      </c>
      <c r="AD1031" t="s">
        <v>18923</v>
      </c>
      <c r="AE1031" t="s">
        <v>18924</v>
      </c>
      <c r="AF1031" t="s">
        <v>69</v>
      </c>
      <c r="AG1031" t="s">
        <v>69</v>
      </c>
      <c r="AH1031" t="s">
        <v>18925</v>
      </c>
      <c r="AI1031" t="s">
        <v>18925</v>
      </c>
      <c r="AJ1031" t="s">
        <v>18926</v>
      </c>
      <c r="AK1031" t="s">
        <v>69</v>
      </c>
      <c r="AL1031">
        <v>10</v>
      </c>
      <c r="AM1031">
        <v>2</v>
      </c>
      <c r="AN1031">
        <v>2</v>
      </c>
      <c r="AO1031">
        <v>2</v>
      </c>
      <c r="AP1031">
        <v>16</v>
      </c>
      <c r="AQ1031" t="s">
        <v>18927</v>
      </c>
      <c r="AR1031" t="s">
        <v>8540</v>
      </c>
      <c r="AS1031" t="s">
        <v>18928</v>
      </c>
      <c r="AT1031" t="s">
        <v>7898</v>
      </c>
      <c r="AU1031" t="s">
        <v>7899</v>
      </c>
      <c r="AV1031" t="s">
        <v>69</v>
      </c>
      <c r="AW1031" t="s">
        <v>18929</v>
      </c>
      <c r="AX1031" t="s">
        <v>18930</v>
      </c>
      <c r="AY1031" t="s">
        <v>586</v>
      </c>
      <c r="AZ1031">
        <v>2018</v>
      </c>
      <c r="BA1031">
        <v>80</v>
      </c>
      <c r="BB1031">
        <v>5</v>
      </c>
      <c r="BC1031" t="s">
        <v>69</v>
      </c>
      <c r="BD1031" t="s">
        <v>69</v>
      </c>
      <c r="BE1031" t="s">
        <v>69</v>
      </c>
      <c r="BF1031" t="s">
        <v>69</v>
      </c>
      <c r="BG1031">
        <v>353</v>
      </c>
      <c r="BH1031">
        <v>358</v>
      </c>
      <c r="BI1031" t="s">
        <v>69</v>
      </c>
      <c r="BJ1031" t="s">
        <v>7900</v>
      </c>
      <c r="BK1031" t="str">
        <f>HYPERLINK("http://dx.doi.org/10.1525/abt.2018.80.5.353","http://dx.doi.org/10.1525/abt.2018.80.5.353")</f>
        <v>http://dx.doi.org/10.1525/abt.2018.80.5.353</v>
      </c>
      <c r="BL1031" t="s">
        <v>69</v>
      </c>
      <c r="BM1031" t="s">
        <v>69</v>
      </c>
      <c r="BN1031">
        <v>6</v>
      </c>
      <c r="BO1031" t="s">
        <v>18931</v>
      </c>
      <c r="BP1031" t="s">
        <v>8523</v>
      </c>
      <c r="BQ1031" t="s">
        <v>18932</v>
      </c>
      <c r="BR1031" t="s">
        <v>18933</v>
      </c>
      <c r="BS1031" t="s">
        <v>7901</v>
      </c>
      <c r="BT1031" t="s">
        <v>69</v>
      </c>
      <c r="BU1031" t="s">
        <v>69</v>
      </c>
      <c r="BV1031" t="s">
        <v>69</v>
      </c>
      <c r="BW1031" t="s">
        <v>69</v>
      </c>
      <c r="BX1031" t="s">
        <v>8526</v>
      </c>
      <c r="BY1031" t="str">
        <f>HYPERLINK("https%3A%2F%2Fwww.webofscience.com%2Fwos%2Fwoscc%2Ffull-record%2FWOS:000430802600005","View Full Record in Web of Science")</f>
        <v>View Full Record in Web of Science</v>
      </c>
    </row>
    <row r="1032" spans="1:77" ht="12.5" x14ac:dyDescent="0.25">
      <c r="A1032" t="s">
        <v>8495</v>
      </c>
      <c r="B1032" s="22" t="s">
        <v>32931</v>
      </c>
      <c r="C1032" s="7"/>
      <c r="D1032" s="7"/>
      <c r="E1032" s="7"/>
      <c r="F1032" t="s">
        <v>67</v>
      </c>
      <c r="G1032" t="s">
        <v>28901</v>
      </c>
      <c r="H1032" t="s">
        <v>69</v>
      </c>
      <c r="I1032" t="s">
        <v>69</v>
      </c>
      <c r="J1032" t="s">
        <v>69</v>
      </c>
      <c r="K1032" t="s">
        <v>28902</v>
      </c>
      <c r="L1032" t="s">
        <v>69</v>
      </c>
      <c r="M1032" t="s">
        <v>69</v>
      </c>
      <c r="N1032" t="s">
        <v>28903</v>
      </c>
      <c r="O1032" t="s">
        <v>28904</v>
      </c>
      <c r="P1032" t="s">
        <v>69</v>
      </c>
      <c r="Q1032" t="s">
        <v>69</v>
      </c>
      <c r="R1032" t="s">
        <v>8505</v>
      </c>
      <c r="S1032" t="s">
        <v>8506</v>
      </c>
      <c r="T1032" t="s">
        <v>69</v>
      </c>
      <c r="U1032" t="s">
        <v>69</v>
      </c>
      <c r="V1032" t="s">
        <v>69</v>
      </c>
      <c r="W1032" t="s">
        <v>69</v>
      </c>
      <c r="X1032" t="s">
        <v>69</v>
      </c>
      <c r="Y1032" t="s">
        <v>28905</v>
      </c>
      <c r="Z1032" t="s">
        <v>69</v>
      </c>
      <c r="AA1032" t="s">
        <v>28906</v>
      </c>
      <c r="AB1032" t="s">
        <v>28907</v>
      </c>
      <c r="AC1032" t="s">
        <v>69</v>
      </c>
      <c r="AD1032" t="s">
        <v>28908</v>
      </c>
      <c r="AE1032" t="s">
        <v>28909</v>
      </c>
      <c r="AF1032" t="s">
        <v>28910</v>
      </c>
      <c r="AG1032" t="s">
        <v>28911</v>
      </c>
      <c r="AH1032" t="s">
        <v>69</v>
      </c>
      <c r="AI1032" t="s">
        <v>69</v>
      </c>
      <c r="AJ1032" t="s">
        <v>69</v>
      </c>
      <c r="AK1032" t="s">
        <v>69</v>
      </c>
      <c r="AL1032">
        <v>56</v>
      </c>
      <c r="AM1032">
        <v>19</v>
      </c>
      <c r="AN1032">
        <v>20</v>
      </c>
      <c r="AO1032">
        <v>0</v>
      </c>
      <c r="AP1032">
        <v>0</v>
      </c>
      <c r="AQ1032" t="s">
        <v>8586</v>
      </c>
      <c r="AR1032" t="s">
        <v>8587</v>
      </c>
      <c r="AS1032" t="s">
        <v>8588</v>
      </c>
      <c r="AT1032" t="s">
        <v>28912</v>
      </c>
      <c r="AU1032" t="s">
        <v>28913</v>
      </c>
      <c r="AV1032" t="s">
        <v>69</v>
      </c>
      <c r="AW1032" t="s">
        <v>28914</v>
      </c>
      <c r="AX1032" t="s">
        <v>28915</v>
      </c>
      <c r="AY1032" t="s">
        <v>69</v>
      </c>
      <c r="AZ1032">
        <v>2009</v>
      </c>
      <c r="BA1032">
        <v>2</v>
      </c>
      <c r="BB1032">
        <v>2</v>
      </c>
      <c r="BC1032" t="s">
        <v>69</v>
      </c>
      <c r="BD1032" t="s">
        <v>69</v>
      </c>
      <c r="BE1032" t="s">
        <v>69</v>
      </c>
      <c r="BF1032" t="s">
        <v>69</v>
      </c>
      <c r="BG1032">
        <v>154</v>
      </c>
      <c r="BH1032">
        <v>166</v>
      </c>
      <c r="BI1032" t="s">
        <v>69</v>
      </c>
      <c r="BJ1032" t="s">
        <v>28916</v>
      </c>
      <c r="BK1032" t="str">
        <f>HYPERLINK("http://dx.doi.org/10.1108/17538330910975883","http://dx.doi.org/10.1108/17538330910975883")</f>
        <v>http://dx.doi.org/10.1108/17538330910975883</v>
      </c>
      <c r="BL1032" t="s">
        <v>69</v>
      </c>
      <c r="BM1032" t="s">
        <v>69</v>
      </c>
      <c r="BN1032">
        <v>13</v>
      </c>
      <c r="BO1032" t="s">
        <v>10278</v>
      </c>
      <c r="BP1032" t="s">
        <v>8573</v>
      </c>
      <c r="BQ1032" t="s">
        <v>10279</v>
      </c>
      <c r="BR1032" t="s">
        <v>28917</v>
      </c>
      <c r="BS1032" t="s">
        <v>28918</v>
      </c>
      <c r="BT1032" t="s">
        <v>69</v>
      </c>
      <c r="BU1032" t="s">
        <v>69</v>
      </c>
      <c r="BV1032" t="s">
        <v>69</v>
      </c>
      <c r="BW1032" t="s">
        <v>69</v>
      </c>
      <c r="BX1032" t="s">
        <v>8526</v>
      </c>
      <c r="BY1032" t="str">
        <f>HYPERLINK("https%3A%2F%2Fwww.webofscience.com%2Fwos%2Fwoscc%2Ffull-record%2FWOS:000213916900006","View Full Record in Web of Science")</f>
        <v>View Full Record in Web of Science</v>
      </c>
    </row>
    <row r="1033" spans="1:77" x14ac:dyDescent="0.3">
      <c r="A1033" t="s">
        <v>8495</v>
      </c>
      <c r="B1033" s="12" t="s">
        <v>32966</v>
      </c>
      <c r="F1033" t="s">
        <v>67</v>
      </c>
      <c r="G1033" t="s">
        <v>5990</v>
      </c>
      <c r="H1033" t="s">
        <v>69</v>
      </c>
      <c r="I1033" t="s">
        <v>69</v>
      </c>
      <c r="J1033" t="s">
        <v>69</v>
      </c>
      <c r="K1033" s="3" t="s">
        <v>5991</v>
      </c>
      <c r="L1033" t="s">
        <v>69</v>
      </c>
      <c r="M1033" t="s">
        <v>69</v>
      </c>
      <c r="N1033" s="2" t="s">
        <v>5992</v>
      </c>
      <c r="O1033" t="s">
        <v>5993</v>
      </c>
      <c r="P1033" t="s">
        <v>69</v>
      </c>
      <c r="Q1033" t="s">
        <v>69</v>
      </c>
      <c r="R1033" t="s">
        <v>8505</v>
      </c>
      <c r="S1033" t="s">
        <v>8506</v>
      </c>
      <c r="T1033" t="s">
        <v>69</v>
      </c>
      <c r="U1033" t="s">
        <v>69</v>
      </c>
      <c r="V1033" t="s">
        <v>69</v>
      </c>
      <c r="W1033" t="s">
        <v>69</v>
      </c>
      <c r="X1033" t="s">
        <v>69</v>
      </c>
      <c r="Y1033" t="s">
        <v>23200</v>
      </c>
      <c r="Z1033" t="s">
        <v>23201</v>
      </c>
      <c r="AA1033" t="s">
        <v>5994</v>
      </c>
      <c r="AB1033" t="s">
        <v>23202</v>
      </c>
      <c r="AC1033" t="s">
        <v>69</v>
      </c>
      <c r="AD1033" t="s">
        <v>23203</v>
      </c>
      <c r="AE1033" t="s">
        <v>23204</v>
      </c>
      <c r="AF1033" t="s">
        <v>69</v>
      </c>
      <c r="AG1033" t="s">
        <v>5995</v>
      </c>
      <c r="AH1033" t="s">
        <v>23205</v>
      </c>
      <c r="AI1033" t="s">
        <v>23206</v>
      </c>
      <c r="AJ1033" t="s">
        <v>23207</v>
      </c>
      <c r="AK1033" t="s">
        <v>69</v>
      </c>
      <c r="AL1033">
        <v>54</v>
      </c>
      <c r="AM1033">
        <v>34</v>
      </c>
      <c r="AN1033">
        <v>34</v>
      </c>
      <c r="AO1033">
        <v>0</v>
      </c>
      <c r="AP1033">
        <v>4</v>
      </c>
      <c r="AQ1033" t="s">
        <v>8865</v>
      </c>
      <c r="AR1033" t="s">
        <v>8612</v>
      </c>
      <c r="AS1033" t="s">
        <v>8866</v>
      </c>
      <c r="AT1033" t="s">
        <v>5996</v>
      </c>
      <c r="AU1033" t="s">
        <v>5997</v>
      </c>
      <c r="AV1033" t="s">
        <v>69</v>
      </c>
      <c r="AW1033" t="s">
        <v>23208</v>
      </c>
      <c r="AX1033" t="s">
        <v>23209</v>
      </c>
      <c r="AY1033" t="s">
        <v>69</v>
      </c>
      <c r="AZ1033">
        <v>2015</v>
      </c>
      <c r="BA1033">
        <v>7</v>
      </c>
      <c r="BB1033">
        <v>2</v>
      </c>
      <c r="BC1033" t="s">
        <v>69</v>
      </c>
      <c r="BD1033" t="s">
        <v>69</v>
      </c>
      <c r="BE1033" t="s">
        <v>69</v>
      </c>
      <c r="BF1033" t="s">
        <v>69</v>
      </c>
      <c r="BG1033">
        <v>213</v>
      </c>
      <c r="BH1033">
        <v>231</v>
      </c>
      <c r="BI1033" t="s">
        <v>69</v>
      </c>
      <c r="BJ1033" t="s">
        <v>5998</v>
      </c>
      <c r="BK1033" t="str">
        <f>HYPERLINK("http://dx.doi.org/10.1080/19463138.2015.1057144","http://dx.doi.org/10.1080/19463138.2015.1057144")</f>
        <v>http://dx.doi.org/10.1080/19463138.2015.1057144</v>
      </c>
      <c r="BL1033" t="s">
        <v>69</v>
      </c>
      <c r="BM1033" t="s">
        <v>69</v>
      </c>
      <c r="BN1033">
        <v>19</v>
      </c>
      <c r="BO1033" t="s">
        <v>8660</v>
      </c>
      <c r="BP1033" t="s">
        <v>8573</v>
      </c>
      <c r="BQ1033" t="s">
        <v>8662</v>
      </c>
      <c r="BR1033" t="s">
        <v>23210</v>
      </c>
      <c r="BS1033" t="s">
        <v>5999</v>
      </c>
      <c r="BT1033" t="s">
        <v>69</v>
      </c>
      <c r="BU1033" t="s">
        <v>69</v>
      </c>
      <c r="BV1033" t="s">
        <v>69</v>
      </c>
      <c r="BW1033" t="s">
        <v>69</v>
      </c>
      <c r="BX1033" t="s">
        <v>8526</v>
      </c>
      <c r="BY1033" t="str">
        <f>HYPERLINK("https%3A%2F%2Fwww.webofscience.com%2Fwos%2Fwoscc%2Ffull-record%2FWOS:000436575300006","View Full Record in Web of Science")</f>
        <v>View Full Record in Web of Science</v>
      </c>
    </row>
    <row r="1034" spans="1:77" ht="12.5" x14ac:dyDescent="0.25">
      <c r="A1034" t="s">
        <v>8495</v>
      </c>
      <c r="B1034" s="22" t="s">
        <v>32931</v>
      </c>
      <c r="C1034" s="7"/>
      <c r="D1034" s="7"/>
      <c r="E1034" s="7"/>
      <c r="F1034" t="s">
        <v>67</v>
      </c>
      <c r="G1034" t="s">
        <v>10263</v>
      </c>
      <c r="H1034" t="s">
        <v>69</v>
      </c>
      <c r="I1034" t="s">
        <v>69</v>
      </c>
      <c r="J1034" t="s">
        <v>69</v>
      </c>
      <c r="K1034" t="s">
        <v>10264</v>
      </c>
      <c r="L1034" t="s">
        <v>69</v>
      </c>
      <c r="M1034" t="s">
        <v>69</v>
      </c>
      <c r="N1034" t="s">
        <v>10265</v>
      </c>
      <c r="O1034" t="s">
        <v>10266</v>
      </c>
      <c r="P1034" t="s">
        <v>69</v>
      </c>
      <c r="Q1034" t="s">
        <v>69</v>
      </c>
      <c r="R1034" t="s">
        <v>10153</v>
      </c>
      <c r="S1034" t="s">
        <v>8506</v>
      </c>
      <c r="T1034" t="s">
        <v>69</v>
      </c>
      <c r="U1034" t="s">
        <v>69</v>
      </c>
      <c r="V1034" t="s">
        <v>69</v>
      </c>
      <c r="W1034" t="s">
        <v>69</v>
      </c>
      <c r="X1034" t="s">
        <v>69</v>
      </c>
      <c r="Y1034" t="s">
        <v>10267</v>
      </c>
      <c r="Z1034" t="s">
        <v>10268</v>
      </c>
      <c r="AA1034" t="s">
        <v>10269</v>
      </c>
      <c r="AB1034" t="s">
        <v>10270</v>
      </c>
      <c r="AC1034" t="s">
        <v>69</v>
      </c>
      <c r="AD1034" t="s">
        <v>10271</v>
      </c>
      <c r="AE1034" t="s">
        <v>10272</v>
      </c>
      <c r="AF1034" t="s">
        <v>69</v>
      </c>
      <c r="AG1034" t="s">
        <v>69</v>
      </c>
      <c r="AH1034" t="s">
        <v>69</v>
      </c>
      <c r="AI1034" t="s">
        <v>69</v>
      </c>
      <c r="AJ1034" t="s">
        <v>69</v>
      </c>
      <c r="AK1034" t="s">
        <v>69</v>
      </c>
      <c r="AL1034">
        <v>67</v>
      </c>
      <c r="AM1034">
        <v>0</v>
      </c>
      <c r="AN1034">
        <v>0</v>
      </c>
      <c r="AO1034">
        <v>5</v>
      </c>
      <c r="AP1034">
        <v>5</v>
      </c>
      <c r="AQ1034" t="s">
        <v>10273</v>
      </c>
      <c r="AR1034" t="s">
        <v>10274</v>
      </c>
      <c r="AS1034" t="s">
        <v>10275</v>
      </c>
      <c r="AT1034" t="s">
        <v>10276</v>
      </c>
      <c r="AU1034" t="s">
        <v>69</v>
      </c>
      <c r="AV1034" t="s">
        <v>69</v>
      </c>
      <c r="AW1034" t="s">
        <v>10266</v>
      </c>
      <c r="AX1034" t="s">
        <v>10277</v>
      </c>
      <c r="AY1034" t="s">
        <v>2654</v>
      </c>
      <c r="AZ1034">
        <v>2022</v>
      </c>
      <c r="BA1034" t="s">
        <v>69</v>
      </c>
      <c r="BB1034">
        <v>42</v>
      </c>
      <c r="BC1034" t="s">
        <v>69</v>
      </c>
      <c r="BD1034" t="s">
        <v>69</v>
      </c>
      <c r="BE1034" t="s">
        <v>69</v>
      </c>
      <c r="BF1034" t="s">
        <v>69</v>
      </c>
      <c r="BG1034">
        <v>110</v>
      </c>
      <c r="BH1034">
        <v>137</v>
      </c>
      <c r="BI1034" t="s">
        <v>69</v>
      </c>
      <c r="BJ1034" t="s">
        <v>69</v>
      </c>
      <c r="BK1034" t="s">
        <v>69</v>
      </c>
      <c r="BL1034" t="s">
        <v>69</v>
      </c>
      <c r="BM1034" t="s">
        <v>69</v>
      </c>
      <c r="BN1034">
        <v>28</v>
      </c>
      <c r="BO1034" t="s">
        <v>10278</v>
      </c>
      <c r="BP1034" t="s">
        <v>8573</v>
      </c>
      <c r="BQ1034" t="s">
        <v>10279</v>
      </c>
      <c r="BR1034" t="s">
        <v>10280</v>
      </c>
      <c r="BS1034" t="s">
        <v>10281</v>
      </c>
      <c r="BT1034" t="s">
        <v>69</v>
      </c>
      <c r="BU1034" t="s">
        <v>69</v>
      </c>
      <c r="BV1034" t="s">
        <v>69</v>
      </c>
      <c r="BW1034" t="s">
        <v>69</v>
      </c>
      <c r="BX1034" t="s">
        <v>8526</v>
      </c>
      <c r="BY1034" t="str">
        <f>HYPERLINK("https%3A%2F%2Fwww.webofscience.com%2Fwos%2Fwoscc%2Ffull-record%2FWOS:000773303400004","View Full Record in Web of Science")</f>
        <v>View Full Record in Web of Science</v>
      </c>
    </row>
    <row r="1035" spans="1:77" ht="12.5" x14ac:dyDescent="0.25">
      <c r="A1035" t="s">
        <v>8495</v>
      </c>
      <c r="B1035" s="7" t="s">
        <v>32933</v>
      </c>
      <c r="C1035" s="7"/>
      <c r="D1035" s="7"/>
      <c r="E1035" s="7"/>
      <c r="F1035" t="s">
        <v>67</v>
      </c>
      <c r="G1035" t="s">
        <v>5476</v>
      </c>
      <c r="H1035" t="s">
        <v>69</v>
      </c>
      <c r="I1035" t="s">
        <v>69</v>
      </c>
      <c r="J1035" t="s">
        <v>69</v>
      </c>
      <c r="K1035" t="s">
        <v>5477</v>
      </c>
      <c r="L1035" t="s">
        <v>69</v>
      </c>
      <c r="M1035" t="s">
        <v>69</v>
      </c>
      <c r="N1035" t="s">
        <v>5478</v>
      </c>
      <c r="O1035" t="s">
        <v>2107</v>
      </c>
      <c r="P1035" t="s">
        <v>69</v>
      </c>
      <c r="Q1035" t="s">
        <v>69</v>
      </c>
      <c r="R1035" t="s">
        <v>8505</v>
      </c>
      <c r="S1035" t="s">
        <v>8506</v>
      </c>
      <c r="T1035" t="s">
        <v>69</v>
      </c>
      <c r="U1035" t="s">
        <v>69</v>
      </c>
      <c r="V1035" t="s">
        <v>69</v>
      </c>
      <c r="W1035" t="s">
        <v>69</v>
      </c>
      <c r="X1035" t="s">
        <v>69</v>
      </c>
      <c r="Y1035" t="s">
        <v>17186</v>
      </c>
      <c r="Z1035" t="s">
        <v>17187</v>
      </c>
      <c r="AA1035" t="s">
        <v>5479</v>
      </c>
      <c r="AB1035" t="s">
        <v>17188</v>
      </c>
      <c r="AC1035" t="s">
        <v>69</v>
      </c>
      <c r="AD1035" t="s">
        <v>17189</v>
      </c>
      <c r="AE1035" t="s">
        <v>17190</v>
      </c>
      <c r="AF1035" t="s">
        <v>5480</v>
      </c>
      <c r="AG1035" t="s">
        <v>17191</v>
      </c>
      <c r="AH1035" t="s">
        <v>17192</v>
      </c>
      <c r="AI1035" t="s">
        <v>17192</v>
      </c>
      <c r="AJ1035" t="s">
        <v>17193</v>
      </c>
      <c r="AK1035" t="s">
        <v>69</v>
      </c>
      <c r="AL1035">
        <v>46</v>
      </c>
      <c r="AM1035">
        <v>10</v>
      </c>
      <c r="AN1035">
        <v>10</v>
      </c>
      <c r="AO1035">
        <v>9</v>
      </c>
      <c r="AP1035">
        <v>35</v>
      </c>
      <c r="AQ1035" t="s">
        <v>8924</v>
      </c>
      <c r="AR1035" t="s">
        <v>8925</v>
      </c>
      <c r="AS1035" t="s">
        <v>8926</v>
      </c>
      <c r="AT1035" t="s">
        <v>69</v>
      </c>
      <c r="AU1035" t="s">
        <v>2110</v>
      </c>
      <c r="AV1035" t="s">
        <v>69</v>
      </c>
      <c r="AW1035" t="s">
        <v>10592</v>
      </c>
      <c r="AX1035" t="s">
        <v>10593</v>
      </c>
      <c r="AY1035" t="s">
        <v>4429</v>
      </c>
      <c r="AZ1035">
        <v>2019</v>
      </c>
      <c r="BA1035">
        <v>16</v>
      </c>
      <c r="BB1035">
        <v>11</v>
      </c>
      <c r="BC1035" t="s">
        <v>69</v>
      </c>
      <c r="BD1035" t="s">
        <v>69</v>
      </c>
      <c r="BE1035" t="s">
        <v>69</v>
      </c>
      <c r="BF1035" t="s">
        <v>69</v>
      </c>
      <c r="BG1035" t="s">
        <v>69</v>
      </c>
      <c r="BH1035" t="s">
        <v>69</v>
      </c>
      <c r="BI1035">
        <v>2051</v>
      </c>
      <c r="BJ1035" t="s">
        <v>5481</v>
      </c>
      <c r="BK1035" t="str">
        <f>HYPERLINK("http://dx.doi.org/10.3390/ijerph16112051","http://dx.doi.org/10.3390/ijerph16112051")</f>
        <v>http://dx.doi.org/10.3390/ijerph16112051</v>
      </c>
      <c r="BL1035" t="s">
        <v>69</v>
      </c>
      <c r="BM1035" t="s">
        <v>69</v>
      </c>
      <c r="BN1035">
        <v>16</v>
      </c>
      <c r="BO1035" t="s">
        <v>10595</v>
      </c>
      <c r="BP1035" t="s">
        <v>8523</v>
      </c>
      <c r="BQ1035" t="s">
        <v>10596</v>
      </c>
      <c r="BR1035" t="s">
        <v>17194</v>
      </c>
      <c r="BS1035" t="s">
        <v>5482</v>
      </c>
      <c r="BT1035">
        <v>31185621</v>
      </c>
      <c r="BU1035" t="s">
        <v>10482</v>
      </c>
      <c r="BV1035" t="s">
        <v>69</v>
      </c>
      <c r="BW1035" t="s">
        <v>69</v>
      </c>
      <c r="BX1035" t="s">
        <v>8526</v>
      </c>
      <c r="BY1035" t="str">
        <f>HYPERLINK("https%3A%2F%2Fwww.webofscience.com%2Fwos%2Fwoscc%2Ffull-record%2FWOS:000472132900179","View Full Record in Web of Science")</f>
        <v>View Full Record in Web of Science</v>
      </c>
    </row>
    <row r="1036" spans="1:77" ht="12.5" x14ac:dyDescent="0.25">
      <c r="A1036" t="s">
        <v>8495</v>
      </c>
      <c r="B1036" s="15" t="s">
        <v>33003</v>
      </c>
      <c r="C1036" s="7"/>
      <c r="D1036" s="7"/>
      <c r="E1036" s="7"/>
      <c r="F1036" t="s">
        <v>67</v>
      </c>
      <c r="G1036" t="s">
        <v>8147</v>
      </c>
      <c r="H1036" t="s">
        <v>69</v>
      </c>
      <c r="I1036" t="s">
        <v>69</v>
      </c>
      <c r="J1036" t="s">
        <v>69</v>
      </c>
      <c r="K1036" s="3" t="s">
        <v>8148</v>
      </c>
      <c r="L1036" t="s">
        <v>69</v>
      </c>
      <c r="M1036" t="s">
        <v>69</v>
      </c>
      <c r="N1036" s="11" t="s">
        <v>8149</v>
      </c>
      <c r="O1036" t="s">
        <v>726</v>
      </c>
      <c r="P1036" t="s">
        <v>69</v>
      </c>
      <c r="Q1036" t="s">
        <v>69</v>
      </c>
      <c r="R1036" t="s">
        <v>8505</v>
      </c>
      <c r="S1036" t="s">
        <v>8506</v>
      </c>
      <c r="T1036" t="s">
        <v>69</v>
      </c>
      <c r="U1036" t="s">
        <v>69</v>
      </c>
      <c r="V1036" t="s">
        <v>69</v>
      </c>
      <c r="W1036" t="s">
        <v>69</v>
      </c>
      <c r="X1036" t="s">
        <v>69</v>
      </c>
      <c r="Y1036" t="s">
        <v>14677</v>
      </c>
      <c r="Z1036" t="s">
        <v>14678</v>
      </c>
      <c r="AA1036" t="s">
        <v>8150</v>
      </c>
      <c r="AB1036" t="s">
        <v>14679</v>
      </c>
      <c r="AC1036" t="s">
        <v>69</v>
      </c>
      <c r="AD1036" t="s">
        <v>14680</v>
      </c>
      <c r="AE1036" t="s">
        <v>14681</v>
      </c>
      <c r="AF1036" t="s">
        <v>8151</v>
      </c>
      <c r="AG1036" t="s">
        <v>8152</v>
      </c>
      <c r="AH1036" t="s">
        <v>14682</v>
      </c>
      <c r="AI1036" t="s">
        <v>9925</v>
      </c>
      <c r="AJ1036" t="s">
        <v>14683</v>
      </c>
      <c r="AK1036" t="s">
        <v>69</v>
      </c>
      <c r="AL1036">
        <v>54</v>
      </c>
      <c r="AM1036">
        <v>0</v>
      </c>
      <c r="AN1036">
        <v>0</v>
      </c>
      <c r="AO1036">
        <v>8</v>
      </c>
      <c r="AP1036">
        <v>36</v>
      </c>
      <c r="AQ1036" t="s">
        <v>8865</v>
      </c>
      <c r="AR1036" t="s">
        <v>8612</v>
      </c>
      <c r="AS1036" t="s">
        <v>8866</v>
      </c>
      <c r="AT1036" t="s">
        <v>729</v>
      </c>
      <c r="AU1036" t="s">
        <v>730</v>
      </c>
      <c r="AV1036" t="s">
        <v>69</v>
      </c>
      <c r="AW1036" t="s">
        <v>14684</v>
      </c>
      <c r="AX1036" t="s">
        <v>14685</v>
      </c>
      <c r="AY1036" t="s">
        <v>837</v>
      </c>
      <c r="AZ1036">
        <v>2021</v>
      </c>
      <c r="BA1036">
        <v>23</v>
      </c>
      <c r="BB1036">
        <v>1</v>
      </c>
      <c r="BC1036" t="s">
        <v>69</v>
      </c>
      <c r="BD1036" t="s">
        <v>69</v>
      </c>
      <c r="BE1036" t="s">
        <v>69</v>
      </c>
      <c r="BF1036" t="s">
        <v>69</v>
      </c>
      <c r="BG1036">
        <v>48</v>
      </c>
      <c r="BH1036">
        <v>65</v>
      </c>
      <c r="BI1036" t="s">
        <v>69</v>
      </c>
      <c r="BJ1036" t="s">
        <v>8153</v>
      </c>
      <c r="BK1036" t="str">
        <f>HYPERLINK("http://dx.doi.org/10.1080/1523908X.2020.1798748","http://dx.doi.org/10.1080/1523908X.2020.1798748")</f>
        <v>http://dx.doi.org/10.1080/1523908X.2020.1798748</v>
      </c>
      <c r="BL1036" t="s">
        <v>69</v>
      </c>
      <c r="BM1036" t="s">
        <v>702</v>
      </c>
      <c r="BN1036">
        <v>18</v>
      </c>
      <c r="BO1036" t="s">
        <v>14686</v>
      </c>
      <c r="BP1036" t="s">
        <v>8661</v>
      </c>
      <c r="BQ1036" t="s">
        <v>14687</v>
      </c>
      <c r="BR1036" t="s">
        <v>14688</v>
      </c>
      <c r="BS1036" t="s">
        <v>8154</v>
      </c>
      <c r="BT1036" t="s">
        <v>69</v>
      </c>
      <c r="BU1036" t="s">
        <v>69</v>
      </c>
      <c r="BV1036" t="s">
        <v>69</v>
      </c>
      <c r="BW1036" t="s">
        <v>69</v>
      </c>
      <c r="BX1036" t="s">
        <v>8526</v>
      </c>
      <c r="BY1036" t="str">
        <f>HYPERLINK("https%3A%2F%2Fwww.webofscience.com%2Fwos%2Fwoscc%2Ffull-record%2FWOS:000552561900001","View Full Record in Web of Science")</f>
        <v>View Full Record in Web of Science</v>
      </c>
    </row>
    <row r="1037" spans="1:77" ht="12.5" x14ac:dyDescent="0.25">
      <c r="A1037" t="s">
        <v>8495</v>
      </c>
      <c r="B1037" s="7" t="s">
        <v>32933</v>
      </c>
      <c r="C1037" s="7"/>
      <c r="D1037" s="7"/>
      <c r="E1037" s="7"/>
      <c r="F1037" t="s">
        <v>67</v>
      </c>
      <c r="G1037" t="s">
        <v>4692</v>
      </c>
      <c r="H1037" t="s">
        <v>69</v>
      </c>
      <c r="I1037" t="s">
        <v>69</v>
      </c>
      <c r="J1037" t="s">
        <v>69</v>
      </c>
      <c r="K1037" t="s">
        <v>4693</v>
      </c>
      <c r="L1037" t="s">
        <v>69</v>
      </c>
      <c r="M1037" t="s">
        <v>69</v>
      </c>
      <c r="N1037" t="s">
        <v>4694</v>
      </c>
      <c r="O1037" t="s">
        <v>4186</v>
      </c>
      <c r="P1037" t="s">
        <v>69</v>
      </c>
      <c r="Q1037" t="s">
        <v>69</v>
      </c>
      <c r="R1037" t="s">
        <v>8505</v>
      </c>
      <c r="S1037" t="s">
        <v>8506</v>
      </c>
      <c r="T1037" t="s">
        <v>69</v>
      </c>
      <c r="U1037" t="s">
        <v>69</v>
      </c>
      <c r="V1037" t="s">
        <v>69</v>
      </c>
      <c r="W1037" t="s">
        <v>69</v>
      </c>
      <c r="X1037" t="s">
        <v>69</v>
      </c>
      <c r="Y1037" t="s">
        <v>30266</v>
      </c>
      <c r="Z1037" t="s">
        <v>4337</v>
      </c>
      <c r="AA1037" t="s">
        <v>4695</v>
      </c>
      <c r="AB1037" t="s">
        <v>30267</v>
      </c>
      <c r="AC1037" t="s">
        <v>69</v>
      </c>
      <c r="AD1037" t="s">
        <v>30268</v>
      </c>
      <c r="AE1037" t="s">
        <v>30269</v>
      </c>
      <c r="AF1037" t="s">
        <v>69</v>
      </c>
      <c r="AG1037" t="s">
        <v>69</v>
      </c>
      <c r="AH1037" t="s">
        <v>69</v>
      </c>
      <c r="AI1037" t="s">
        <v>69</v>
      </c>
      <c r="AJ1037" t="s">
        <v>69</v>
      </c>
      <c r="AK1037" t="s">
        <v>69</v>
      </c>
      <c r="AL1037">
        <v>41</v>
      </c>
      <c r="AM1037">
        <v>15</v>
      </c>
      <c r="AN1037">
        <v>16</v>
      </c>
      <c r="AO1037">
        <v>2</v>
      </c>
      <c r="AP1037">
        <v>11</v>
      </c>
      <c r="AQ1037" t="s">
        <v>8865</v>
      </c>
      <c r="AR1037" t="s">
        <v>8612</v>
      </c>
      <c r="AS1037" t="s">
        <v>8866</v>
      </c>
      <c r="AT1037" t="s">
        <v>4188</v>
      </c>
      <c r="AU1037" t="s">
        <v>4189</v>
      </c>
      <c r="AV1037" t="s">
        <v>69</v>
      </c>
      <c r="AW1037" t="s">
        <v>30270</v>
      </c>
      <c r="AX1037" t="s">
        <v>30271</v>
      </c>
      <c r="AY1037" t="s">
        <v>155</v>
      </c>
      <c r="AZ1037">
        <v>2006</v>
      </c>
      <c r="BA1037">
        <v>40</v>
      </c>
      <c r="BB1037">
        <v>4</v>
      </c>
      <c r="BC1037" t="s">
        <v>69</v>
      </c>
      <c r="BD1037" t="s">
        <v>69</v>
      </c>
      <c r="BE1037" t="s">
        <v>69</v>
      </c>
      <c r="BF1037" t="s">
        <v>69</v>
      </c>
      <c r="BG1037">
        <v>321</v>
      </c>
      <c r="BH1037">
        <v>333</v>
      </c>
      <c r="BI1037" t="s">
        <v>69</v>
      </c>
      <c r="BJ1037" t="s">
        <v>4696</v>
      </c>
      <c r="BK1037" t="str">
        <f>HYPERLINK("http://dx.doi.org/10.1080/00343400600725178","http://dx.doi.org/10.1080/00343400600725178")</f>
        <v>http://dx.doi.org/10.1080/00343400600725178</v>
      </c>
      <c r="BL1037" t="s">
        <v>69</v>
      </c>
      <c r="BM1037" t="s">
        <v>69</v>
      </c>
      <c r="BN1037">
        <v>13</v>
      </c>
      <c r="BO1037" t="s">
        <v>30272</v>
      </c>
      <c r="BP1037" t="s">
        <v>8661</v>
      </c>
      <c r="BQ1037" t="s">
        <v>30273</v>
      </c>
      <c r="BR1037" t="s">
        <v>30274</v>
      </c>
      <c r="BS1037" t="s">
        <v>4697</v>
      </c>
      <c r="BT1037" t="s">
        <v>69</v>
      </c>
      <c r="BU1037" t="s">
        <v>69</v>
      </c>
      <c r="BV1037" t="s">
        <v>69</v>
      </c>
      <c r="BW1037" t="s">
        <v>69</v>
      </c>
      <c r="BX1037" t="s">
        <v>8526</v>
      </c>
      <c r="BY1037" t="str">
        <f>HYPERLINK("https%3A%2F%2Fwww.webofscience.com%2Fwos%2Fwoscc%2Ffull-record%2FWOS:000238606800003","View Full Record in Web of Science")</f>
        <v>View Full Record in Web of Science</v>
      </c>
    </row>
    <row r="1038" spans="1:77" ht="12.5" x14ac:dyDescent="0.25">
      <c r="A1038" t="s">
        <v>8495</v>
      </c>
      <c r="B1038" s="7" t="s">
        <v>32933</v>
      </c>
      <c r="C1038" s="7"/>
      <c r="D1038" s="7"/>
      <c r="E1038" s="7"/>
      <c r="F1038" t="s">
        <v>67</v>
      </c>
      <c r="G1038" t="s">
        <v>1418</v>
      </c>
      <c r="H1038" t="s">
        <v>69</v>
      </c>
      <c r="I1038" t="s">
        <v>69</v>
      </c>
      <c r="J1038" t="s">
        <v>69</v>
      </c>
      <c r="K1038" t="s">
        <v>1419</v>
      </c>
      <c r="L1038" t="s">
        <v>69</v>
      </c>
      <c r="M1038" t="s">
        <v>69</v>
      </c>
      <c r="N1038" t="s">
        <v>1420</v>
      </c>
      <c r="O1038" t="s">
        <v>1421</v>
      </c>
      <c r="P1038" t="s">
        <v>69</v>
      </c>
      <c r="Q1038" t="s">
        <v>69</v>
      </c>
      <c r="R1038" t="s">
        <v>8505</v>
      </c>
      <c r="S1038" t="s">
        <v>8506</v>
      </c>
      <c r="T1038" t="s">
        <v>69</v>
      </c>
      <c r="U1038" t="s">
        <v>69</v>
      </c>
      <c r="V1038" t="s">
        <v>69</v>
      </c>
      <c r="W1038" t="s">
        <v>69</v>
      </c>
      <c r="X1038" t="s">
        <v>69</v>
      </c>
      <c r="Y1038" t="s">
        <v>25176</v>
      </c>
      <c r="Z1038" t="s">
        <v>25177</v>
      </c>
      <c r="AA1038" t="s">
        <v>1422</v>
      </c>
      <c r="AB1038" t="s">
        <v>25178</v>
      </c>
      <c r="AC1038" t="s">
        <v>69</v>
      </c>
      <c r="AD1038" t="s">
        <v>25179</v>
      </c>
      <c r="AE1038" t="s">
        <v>25180</v>
      </c>
      <c r="AF1038" t="s">
        <v>25181</v>
      </c>
      <c r="AG1038" t="s">
        <v>69</v>
      </c>
      <c r="AH1038" t="s">
        <v>25182</v>
      </c>
      <c r="AI1038" t="s">
        <v>25182</v>
      </c>
      <c r="AJ1038" t="s">
        <v>25183</v>
      </c>
      <c r="AK1038" t="s">
        <v>69</v>
      </c>
      <c r="AL1038">
        <v>39</v>
      </c>
      <c r="AM1038">
        <v>13</v>
      </c>
      <c r="AN1038">
        <v>13</v>
      </c>
      <c r="AO1038">
        <v>0</v>
      </c>
      <c r="AP1038">
        <v>6</v>
      </c>
      <c r="AQ1038" t="s">
        <v>25184</v>
      </c>
      <c r="AR1038" t="s">
        <v>25185</v>
      </c>
      <c r="AS1038" t="s">
        <v>25186</v>
      </c>
      <c r="AT1038" t="s">
        <v>1423</v>
      </c>
      <c r="AU1038" t="s">
        <v>1424</v>
      </c>
      <c r="AV1038" t="s">
        <v>69</v>
      </c>
      <c r="AW1038" t="s">
        <v>25187</v>
      </c>
      <c r="AX1038" t="s">
        <v>25188</v>
      </c>
      <c r="AY1038" t="s">
        <v>1425</v>
      </c>
      <c r="AZ1038">
        <v>2013</v>
      </c>
      <c r="BA1038">
        <v>109</v>
      </c>
      <c r="BB1038" t="s">
        <v>145</v>
      </c>
      <c r="BC1038" t="s">
        <v>69</v>
      </c>
      <c r="BD1038" t="s">
        <v>69</v>
      </c>
      <c r="BE1038" t="s">
        <v>69</v>
      </c>
      <c r="BF1038" t="s">
        <v>69</v>
      </c>
      <c r="BG1038">
        <v>42</v>
      </c>
      <c r="BH1038">
        <v>47</v>
      </c>
      <c r="BI1038">
        <v>26</v>
      </c>
      <c r="BJ1038" t="s">
        <v>1426</v>
      </c>
      <c r="BK1038" t="str">
        <f>HYPERLINK("http://dx.doi.org/10.1590/sajs.2013/20120026","http://dx.doi.org/10.1590/sajs.2013/20120026")</f>
        <v>http://dx.doi.org/10.1590/sajs.2013/20120026</v>
      </c>
      <c r="BL1038" t="s">
        <v>69</v>
      </c>
      <c r="BM1038" t="s">
        <v>69</v>
      </c>
      <c r="BN1038">
        <v>6</v>
      </c>
      <c r="BO1038" t="s">
        <v>8619</v>
      </c>
      <c r="BP1038" t="s">
        <v>8523</v>
      </c>
      <c r="BQ1038" t="s">
        <v>8620</v>
      </c>
      <c r="BR1038" t="s">
        <v>25189</v>
      </c>
      <c r="BS1038" t="s">
        <v>1427</v>
      </c>
      <c r="BT1038" t="s">
        <v>69</v>
      </c>
      <c r="BU1038" t="s">
        <v>12220</v>
      </c>
      <c r="BV1038" t="s">
        <v>69</v>
      </c>
      <c r="BW1038" t="s">
        <v>69</v>
      </c>
      <c r="BX1038" t="s">
        <v>8526</v>
      </c>
      <c r="BY1038" t="str">
        <f>HYPERLINK("https%3A%2F%2Fwww.webofscience.com%2Fwos%2Fwoscc%2Ffull-record%2FWOS:000323295300010","View Full Record in Web of Science")</f>
        <v>View Full Record in Web of Science</v>
      </c>
    </row>
    <row r="1039" spans="1:77" ht="12.5" x14ac:dyDescent="0.25">
      <c r="A1039" t="s">
        <v>8495</v>
      </c>
      <c r="B1039" s="22" t="s">
        <v>32931</v>
      </c>
      <c r="C1039" s="7"/>
      <c r="D1039" s="7"/>
      <c r="E1039" s="7"/>
      <c r="F1039" t="s">
        <v>67</v>
      </c>
      <c r="G1039" t="s">
        <v>14509</v>
      </c>
      <c r="H1039" t="s">
        <v>69</v>
      </c>
      <c r="I1039" t="s">
        <v>69</v>
      </c>
      <c r="J1039" t="s">
        <v>69</v>
      </c>
      <c r="K1039" t="s">
        <v>14510</v>
      </c>
      <c r="L1039" t="s">
        <v>69</v>
      </c>
      <c r="M1039" t="s">
        <v>69</v>
      </c>
      <c r="N1039" t="s">
        <v>14511</v>
      </c>
      <c r="O1039" t="s">
        <v>14512</v>
      </c>
      <c r="P1039" t="s">
        <v>69</v>
      </c>
      <c r="Q1039" t="s">
        <v>69</v>
      </c>
      <c r="R1039" t="s">
        <v>8505</v>
      </c>
      <c r="S1039" t="s">
        <v>8506</v>
      </c>
      <c r="T1039" t="s">
        <v>69</v>
      </c>
      <c r="U1039" t="s">
        <v>69</v>
      </c>
      <c r="V1039" t="s">
        <v>69</v>
      </c>
      <c r="W1039" t="s">
        <v>69</v>
      </c>
      <c r="X1039" t="s">
        <v>69</v>
      </c>
      <c r="Y1039" t="s">
        <v>14513</v>
      </c>
      <c r="Z1039" t="s">
        <v>14514</v>
      </c>
      <c r="AA1039" t="s">
        <v>14515</v>
      </c>
      <c r="AB1039" t="s">
        <v>14516</v>
      </c>
      <c r="AC1039" t="s">
        <v>69</v>
      </c>
      <c r="AD1039" t="s">
        <v>14517</v>
      </c>
      <c r="AE1039" t="s">
        <v>14518</v>
      </c>
      <c r="AF1039" t="s">
        <v>69</v>
      </c>
      <c r="AG1039" t="s">
        <v>14519</v>
      </c>
      <c r="AH1039" t="s">
        <v>14520</v>
      </c>
      <c r="AI1039" t="s">
        <v>14521</v>
      </c>
      <c r="AJ1039" t="s">
        <v>14522</v>
      </c>
      <c r="AK1039" t="s">
        <v>69</v>
      </c>
      <c r="AL1039">
        <v>63</v>
      </c>
      <c r="AM1039">
        <v>5</v>
      </c>
      <c r="AN1039">
        <v>5</v>
      </c>
      <c r="AO1039">
        <v>0</v>
      </c>
      <c r="AP1039">
        <v>8</v>
      </c>
      <c r="AQ1039" t="s">
        <v>9178</v>
      </c>
      <c r="AR1039" t="s">
        <v>8763</v>
      </c>
      <c r="AS1039" t="s">
        <v>9179</v>
      </c>
      <c r="AT1039" t="s">
        <v>14523</v>
      </c>
      <c r="AU1039" t="s">
        <v>14524</v>
      </c>
      <c r="AV1039" t="s">
        <v>69</v>
      </c>
      <c r="AW1039" t="s">
        <v>14525</v>
      </c>
      <c r="AX1039" t="s">
        <v>14526</v>
      </c>
      <c r="AY1039" t="s">
        <v>255</v>
      </c>
      <c r="AZ1039">
        <v>2020</v>
      </c>
      <c r="BA1039">
        <v>29</v>
      </c>
      <c r="BB1039">
        <v>9</v>
      </c>
      <c r="BC1039" t="s">
        <v>69</v>
      </c>
      <c r="BD1039" t="s">
        <v>69</v>
      </c>
      <c r="BE1039" t="s">
        <v>69</v>
      </c>
      <c r="BF1039" t="s">
        <v>69</v>
      </c>
      <c r="BG1039">
        <v>746</v>
      </c>
      <c r="BH1039">
        <v>755</v>
      </c>
      <c r="BI1039" t="s">
        <v>69</v>
      </c>
      <c r="BJ1039" t="s">
        <v>14527</v>
      </c>
      <c r="BK1039" t="str">
        <f>HYPERLINK("http://dx.doi.org/10.1136/bmjqs-2019-010059","http://dx.doi.org/10.1136/bmjqs-2019-010059")</f>
        <v>http://dx.doi.org/10.1136/bmjqs-2019-010059</v>
      </c>
      <c r="BL1039" t="s">
        <v>69</v>
      </c>
      <c r="BM1039" t="s">
        <v>69</v>
      </c>
      <c r="BN1039">
        <v>10</v>
      </c>
      <c r="BO1039" t="s">
        <v>9809</v>
      </c>
      <c r="BP1039" t="s">
        <v>8523</v>
      </c>
      <c r="BQ1039" t="s">
        <v>9209</v>
      </c>
      <c r="BR1039" t="s">
        <v>14528</v>
      </c>
      <c r="BS1039" t="s">
        <v>14529</v>
      </c>
      <c r="BT1039">
        <v>31826921</v>
      </c>
      <c r="BU1039" t="s">
        <v>9292</v>
      </c>
      <c r="BV1039" t="s">
        <v>69</v>
      </c>
      <c r="BW1039" t="s">
        <v>69</v>
      </c>
      <c r="BX1039" t="s">
        <v>8526</v>
      </c>
      <c r="BY1039" t="str">
        <f>HYPERLINK("https%3A%2F%2Fwww.webofscience.com%2Fwos%2Fwoscc%2Ffull-record%2FWOS:000567032500009","View Full Record in Web of Science")</f>
        <v>View Full Record in Web of Science</v>
      </c>
    </row>
    <row r="1040" spans="1:77" ht="12.5" x14ac:dyDescent="0.25">
      <c r="A1040" t="s">
        <v>8495</v>
      </c>
      <c r="B1040" s="22" t="s">
        <v>32931</v>
      </c>
      <c r="C1040" s="7"/>
      <c r="D1040" s="7"/>
      <c r="E1040" s="7"/>
      <c r="F1040" t="s">
        <v>67</v>
      </c>
      <c r="G1040" t="s">
        <v>10462</v>
      </c>
      <c r="H1040" t="s">
        <v>69</v>
      </c>
      <c r="I1040" t="s">
        <v>69</v>
      </c>
      <c r="J1040" t="s">
        <v>69</v>
      </c>
      <c r="K1040" t="s">
        <v>10463</v>
      </c>
      <c r="L1040" t="s">
        <v>69</v>
      </c>
      <c r="M1040" t="s">
        <v>69</v>
      </c>
      <c r="N1040" t="s">
        <v>10464</v>
      </c>
      <c r="O1040" t="s">
        <v>10465</v>
      </c>
      <c r="P1040" t="s">
        <v>69</v>
      </c>
      <c r="Q1040" t="s">
        <v>69</v>
      </c>
      <c r="R1040" t="s">
        <v>8505</v>
      </c>
      <c r="S1040" t="s">
        <v>8442</v>
      </c>
      <c r="T1040" t="s">
        <v>69</v>
      </c>
      <c r="U1040" t="s">
        <v>69</v>
      </c>
      <c r="V1040" t="s">
        <v>69</v>
      </c>
      <c r="W1040" t="s">
        <v>69</v>
      </c>
      <c r="X1040" t="s">
        <v>69</v>
      </c>
      <c r="Y1040" t="s">
        <v>69</v>
      </c>
      <c r="Z1040" t="s">
        <v>10466</v>
      </c>
      <c r="AA1040" t="s">
        <v>10467</v>
      </c>
      <c r="AB1040" t="s">
        <v>10468</v>
      </c>
      <c r="AC1040" t="s">
        <v>69</v>
      </c>
      <c r="AD1040" t="s">
        <v>10469</v>
      </c>
      <c r="AE1040" t="s">
        <v>10470</v>
      </c>
      <c r="AF1040" t="s">
        <v>10471</v>
      </c>
      <c r="AG1040" t="s">
        <v>10472</v>
      </c>
      <c r="AH1040" t="s">
        <v>10473</v>
      </c>
      <c r="AI1040" t="s">
        <v>10474</v>
      </c>
      <c r="AJ1040" t="s">
        <v>10475</v>
      </c>
      <c r="AK1040" t="s">
        <v>69</v>
      </c>
      <c r="AL1040">
        <v>101</v>
      </c>
      <c r="AM1040">
        <v>1</v>
      </c>
      <c r="AN1040">
        <v>1</v>
      </c>
      <c r="AO1040">
        <v>6</v>
      </c>
      <c r="AP1040">
        <v>8</v>
      </c>
      <c r="AQ1040" t="s">
        <v>9305</v>
      </c>
      <c r="AR1040" t="s">
        <v>8763</v>
      </c>
      <c r="AS1040" t="s">
        <v>9306</v>
      </c>
      <c r="AT1040" t="s">
        <v>10476</v>
      </c>
      <c r="AU1040" t="s">
        <v>69</v>
      </c>
      <c r="AV1040" t="s">
        <v>69</v>
      </c>
      <c r="AW1040" t="s">
        <v>10477</v>
      </c>
      <c r="AX1040" t="s">
        <v>10478</v>
      </c>
      <c r="AY1040" t="s">
        <v>10479</v>
      </c>
      <c r="AZ1040">
        <v>2021</v>
      </c>
      <c r="BA1040">
        <v>11</v>
      </c>
      <c r="BB1040">
        <v>1</v>
      </c>
      <c r="BC1040" t="s">
        <v>69</v>
      </c>
      <c r="BD1040" t="s">
        <v>69</v>
      </c>
      <c r="BE1040" t="s">
        <v>69</v>
      </c>
      <c r="BF1040" t="s">
        <v>69</v>
      </c>
      <c r="BG1040" t="s">
        <v>69</v>
      </c>
      <c r="BH1040" t="s">
        <v>69</v>
      </c>
      <c r="BI1040">
        <v>628</v>
      </c>
      <c r="BJ1040" t="s">
        <v>10480</v>
      </c>
      <c r="BK1040" t="str">
        <f>HYPERLINK("http://dx.doi.org/10.1038/s41398-021-01740-w","http://dx.doi.org/10.1038/s41398-021-01740-w")</f>
        <v>http://dx.doi.org/10.1038/s41398-021-01740-w</v>
      </c>
      <c r="BL1040" t="s">
        <v>69</v>
      </c>
      <c r="BM1040" t="s">
        <v>69</v>
      </c>
      <c r="BN1040">
        <v>36</v>
      </c>
      <c r="BO1040" t="s">
        <v>9332</v>
      </c>
      <c r="BP1040" t="s">
        <v>8523</v>
      </c>
      <c r="BQ1040" t="s">
        <v>9332</v>
      </c>
      <c r="BR1040" t="s">
        <v>10481</v>
      </c>
      <c r="BS1040" t="s">
        <v>10483</v>
      </c>
      <c r="BT1040">
        <v>34893578</v>
      </c>
      <c r="BU1040" t="s">
        <v>10482</v>
      </c>
      <c r="BV1040" t="s">
        <v>69</v>
      </c>
      <c r="BW1040" t="s">
        <v>69</v>
      </c>
      <c r="BX1040" t="s">
        <v>8526</v>
      </c>
      <c r="BY1040" t="str">
        <f>HYPERLINK("https%3A%2F%2Fwww.webofscience.com%2Fwos%2Fwoscc%2Ffull-record%2FWOS:000729079100001","View Full Record in Web of Science")</f>
        <v>View Full Record in Web of Science</v>
      </c>
    </row>
    <row r="1041" spans="1:77" ht="12.5" x14ac:dyDescent="0.25">
      <c r="A1041" t="s">
        <v>8495</v>
      </c>
      <c r="B1041" s="7" t="s">
        <v>32933</v>
      </c>
      <c r="C1041" s="7"/>
      <c r="D1041" s="7"/>
      <c r="E1041" s="7"/>
      <c r="F1041" t="s">
        <v>67</v>
      </c>
      <c r="G1041" t="s">
        <v>6739</v>
      </c>
      <c r="H1041" t="s">
        <v>69</v>
      </c>
      <c r="I1041" t="s">
        <v>69</v>
      </c>
      <c r="J1041" t="s">
        <v>69</v>
      </c>
      <c r="K1041" t="s">
        <v>6740</v>
      </c>
      <c r="L1041" t="s">
        <v>69</v>
      </c>
      <c r="M1041" t="s">
        <v>69</v>
      </c>
      <c r="N1041" t="s">
        <v>6741</v>
      </c>
      <c r="O1041" t="s">
        <v>6742</v>
      </c>
      <c r="P1041" t="s">
        <v>69</v>
      </c>
      <c r="Q1041" t="s">
        <v>69</v>
      </c>
      <c r="R1041" t="s">
        <v>8505</v>
      </c>
      <c r="S1041" t="s">
        <v>8506</v>
      </c>
      <c r="T1041" t="s">
        <v>69</v>
      </c>
      <c r="U1041" t="s">
        <v>69</v>
      </c>
      <c r="V1041" t="s">
        <v>69</v>
      </c>
      <c r="W1041" t="s">
        <v>69</v>
      </c>
      <c r="X1041" t="s">
        <v>69</v>
      </c>
      <c r="Y1041" t="s">
        <v>17760</v>
      </c>
      <c r="Z1041" t="s">
        <v>69</v>
      </c>
      <c r="AA1041" t="s">
        <v>6743</v>
      </c>
      <c r="AB1041" t="s">
        <v>17761</v>
      </c>
      <c r="AC1041" t="s">
        <v>69</v>
      </c>
      <c r="AD1041" t="s">
        <v>17762</v>
      </c>
      <c r="AE1041" t="s">
        <v>17763</v>
      </c>
      <c r="AF1041" t="s">
        <v>69</v>
      </c>
      <c r="AG1041" t="s">
        <v>69</v>
      </c>
      <c r="AH1041" t="s">
        <v>17764</v>
      </c>
      <c r="AI1041" t="s">
        <v>17764</v>
      </c>
      <c r="AJ1041" t="s">
        <v>17765</v>
      </c>
      <c r="AK1041" t="s">
        <v>69</v>
      </c>
      <c r="AL1041">
        <v>22</v>
      </c>
      <c r="AM1041">
        <v>14</v>
      </c>
      <c r="AN1041">
        <v>14</v>
      </c>
      <c r="AO1041">
        <v>1</v>
      </c>
      <c r="AP1041">
        <v>4</v>
      </c>
      <c r="AQ1041" t="s">
        <v>8826</v>
      </c>
      <c r="AR1041" t="s">
        <v>8827</v>
      </c>
      <c r="AS1041" t="s">
        <v>8828</v>
      </c>
      <c r="AT1041" t="s">
        <v>6744</v>
      </c>
      <c r="AU1041" t="s">
        <v>6745</v>
      </c>
      <c r="AV1041" t="s">
        <v>69</v>
      </c>
      <c r="AW1041" t="s">
        <v>17766</v>
      </c>
      <c r="AX1041" t="s">
        <v>17767</v>
      </c>
      <c r="AY1041" t="s">
        <v>69</v>
      </c>
      <c r="AZ1041">
        <v>2019</v>
      </c>
      <c r="BA1041">
        <v>41</v>
      </c>
      <c r="BB1041">
        <v>3</v>
      </c>
      <c r="BC1041" t="s">
        <v>69</v>
      </c>
      <c r="BD1041" t="s">
        <v>69</v>
      </c>
      <c r="BE1041" t="s">
        <v>69</v>
      </c>
      <c r="BF1041" t="s">
        <v>69</v>
      </c>
      <c r="BG1041">
        <v>225</v>
      </c>
      <c r="BH1041">
        <v>232</v>
      </c>
      <c r="BI1041" t="s">
        <v>69</v>
      </c>
      <c r="BJ1041" t="s">
        <v>6746</v>
      </c>
      <c r="BK1041" t="str">
        <f>HYPERLINK("http://dx.doi.org/10.1071/RJ18036","http://dx.doi.org/10.1071/RJ18036")</f>
        <v>http://dx.doi.org/10.1071/RJ18036</v>
      </c>
      <c r="BL1041" t="s">
        <v>69</v>
      </c>
      <c r="BM1041" t="s">
        <v>69</v>
      </c>
      <c r="BN1041">
        <v>8</v>
      </c>
      <c r="BO1041" t="s">
        <v>17768</v>
      </c>
      <c r="BP1041" t="s">
        <v>8548</v>
      </c>
      <c r="BQ1041" t="s">
        <v>8662</v>
      </c>
      <c r="BR1041" t="s">
        <v>17769</v>
      </c>
      <c r="BS1041" t="s">
        <v>6747</v>
      </c>
      <c r="BT1041" t="s">
        <v>69</v>
      </c>
      <c r="BU1041" t="s">
        <v>10648</v>
      </c>
      <c r="BV1041" t="s">
        <v>69</v>
      </c>
      <c r="BW1041" t="s">
        <v>69</v>
      </c>
      <c r="BX1041" t="s">
        <v>8526</v>
      </c>
      <c r="BY1041" t="str">
        <f>HYPERLINK("https%3A%2F%2Fwww.webofscience.com%2Fwos%2Fwoscc%2Ffull-record%2FWOS:000476797500008","View Full Record in Web of Science")</f>
        <v>View Full Record in Web of Science</v>
      </c>
    </row>
    <row r="1042" spans="1:77" x14ac:dyDescent="0.3">
      <c r="A1042" t="s">
        <v>8495</v>
      </c>
      <c r="B1042" s="13" t="s">
        <v>32971</v>
      </c>
      <c r="F1042" t="s">
        <v>67</v>
      </c>
      <c r="G1042" t="s">
        <v>5835</v>
      </c>
      <c r="H1042" t="s">
        <v>69</v>
      </c>
      <c r="I1042" t="s">
        <v>69</v>
      </c>
      <c r="J1042" t="s">
        <v>69</v>
      </c>
      <c r="K1042" s="4" t="s">
        <v>5836</v>
      </c>
      <c r="L1042" t="s">
        <v>69</v>
      </c>
      <c r="M1042" t="s">
        <v>69</v>
      </c>
      <c r="N1042" s="2" t="s">
        <v>5837</v>
      </c>
      <c r="O1042" t="s">
        <v>5838</v>
      </c>
      <c r="P1042" t="s">
        <v>69</v>
      </c>
      <c r="Q1042" t="s">
        <v>69</v>
      </c>
      <c r="R1042" t="s">
        <v>8505</v>
      </c>
      <c r="S1042" t="s">
        <v>8506</v>
      </c>
      <c r="T1042" t="s">
        <v>69</v>
      </c>
      <c r="U1042" t="s">
        <v>69</v>
      </c>
      <c r="V1042" t="s">
        <v>69</v>
      </c>
      <c r="W1042" t="s">
        <v>69</v>
      </c>
      <c r="X1042" t="s">
        <v>69</v>
      </c>
      <c r="Y1042" t="s">
        <v>21212</v>
      </c>
      <c r="Z1042" t="s">
        <v>21213</v>
      </c>
      <c r="AA1042" t="s">
        <v>5839</v>
      </c>
      <c r="AB1042" t="s">
        <v>21214</v>
      </c>
      <c r="AC1042" t="s">
        <v>69</v>
      </c>
      <c r="AD1042" t="s">
        <v>21215</v>
      </c>
      <c r="AE1042" t="s">
        <v>21216</v>
      </c>
      <c r="AF1042" t="s">
        <v>5840</v>
      </c>
      <c r="AG1042" t="s">
        <v>21217</v>
      </c>
      <c r="AH1042" t="s">
        <v>21218</v>
      </c>
      <c r="AI1042" t="s">
        <v>21219</v>
      </c>
      <c r="AJ1042" t="s">
        <v>21220</v>
      </c>
      <c r="AK1042" t="s">
        <v>69</v>
      </c>
      <c r="AL1042">
        <v>48</v>
      </c>
      <c r="AM1042">
        <v>4</v>
      </c>
      <c r="AN1042">
        <v>4</v>
      </c>
      <c r="AO1042">
        <v>1</v>
      </c>
      <c r="AP1042">
        <v>35</v>
      </c>
      <c r="AQ1042" t="s">
        <v>8692</v>
      </c>
      <c r="AR1042" t="s">
        <v>8693</v>
      </c>
      <c r="AS1042" t="s">
        <v>8694</v>
      </c>
      <c r="AT1042" t="s">
        <v>5841</v>
      </c>
      <c r="AU1042" t="s">
        <v>5842</v>
      </c>
      <c r="AV1042" t="s">
        <v>69</v>
      </c>
      <c r="AW1042" t="s">
        <v>12379</v>
      </c>
      <c r="AX1042" t="s">
        <v>12380</v>
      </c>
      <c r="AY1042" t="s">
        <v>274</v>
      </c>
      <c r="AZ1042">
        <v>2016</v>
      </c>
      <c r="BA1042">
        <v>69</v>
      </c>
      <c r="BB1042">
        <v>11</v>
      </c>
      <c r="BC1042" t="s">
        <v>69</v>
      </c>
      <c r="BD1042" t="s">
        <v>69</v>
      </c>
      <c r="BE1042" t="s">
        <v>114</v>
      </c>
      <c r="BF1042" t="s">
        <v>69</v>
      </c>
      <c r="BG1042">
        <v>4775</v>
      </c>
      <c r="BH1042">
        <v>4780</v>
      </c>
      <c r="BI1042" t="s">
        <v>69</v>
      </c>
      <c r="BJ1042" t="s">
        <v>5843</v>
      </c>
      <c r="BK1042" t="str">
        <f>HYPERLINK("http://dx.doi.org/10.1016/j.jbusres.2016.04.029","http://dx.doi.org/10.1016/j.jbusres.2016.04.029")</f>
        <v>http://dx.doi.org/10.1016/j.jbusres.2016.04.029</v>
      </c>
      <c r="BL1042" t="s">
        <v>69</v>
      </c>
      <c r="BM1042" t="s">
        <v>69</v>
      </c>
      <c r="BN1042">
        <v>6</v>
      </c>
      <c r="BO1042" t="s">
        <v>8444</v>
      </c>
      <c r="BP1042" t="s">
        <v>8661</v>
      </c>
      <c r="BQ1042" t="s">
        <v>8594</v>
      </c>
      <c r="BR1042" t="s">
        <v>21221</v>
      </c>
      <c r="BS1042" t="s">
        <v>5844</v>
      </c>
      <c r="BT1042" t="s">
        <v>69</v>
      </c>
      <c r="BU1042" t="s">
        <v>69</v>
      </c>
      <c r="BV1042" t="s">
        <v>69</v>
      </c>
      <c r="BW1042" t="s">
        <v>69</v>
      </c>
      <c r="BX1042" t="s">
        <v>8526</v>
      </c>
      <c r="BY1042" t="str">
        <f>HYPERLINK("https%3A%2F%2Fwww.webofscience.com%2Fwos%2Fwoscc%2Ffull-record%2FWOS:000383936800009","View Full Record in Web of Science")</f>
        <v>View Full Record in Web of Science</v>
      </c>
    </row>
    <row r="1043" spans="1:77" ht="12.5" x14ac:dyDescent="0.25">
      <c r="A1043" t="s">
        <v>8495</v>
      </c>
      <c r="B1043" s="7" t="s">
        <v>32933</v>
      </c>
      <c r="C1043" s="7"/>
      <c r="D1043" s="7"/>
      <c r="E1043" s="7"/>
      <c r="F1043" t="s">
        <v>67</v>
      </c>
      <c r="G1043" t="s">
        <v>7116</v>
      </c>
      <c r="H1043" t="s">
        <v>69</v>
      </c>
      <c r="I1043" t="s">
        <v>69</v>
      </c>
      <c r="J1043" t="s">
        <v>69</v>
      </c>
      <c r="K1043" t="s">
        <v>7116</v>
      </c>
      <c r="L1043" t="s">
        <v>69</v>
      </c>
      <c r="M1043" t="s">
        <v>69</v>
      </c>
      <c r="N1043" t="s">
        <v>7117</v>
      </c>
      <c r="O1043" t="s">
        <v>7118</v>
      </c>
      <c r="P1043" t="s">
        <v>69</v>
      </c>
      <c r="Q1043" t="s">
        <v>69</v>
      </c>
      <c r="R1043" t="s">
        <v>8505</v>
      </c>
      <c r="S1043" t="s">
        <v>8506</v>
      </c>
      <c r="T1043" t="s">
        <v>69</v>
      </c>
      <c r="U1043" t="s">
        <v>69</v>
      </c>
      <c r="V1043" t="s">
        <v>69</v>
      </c>
      <c r="W1043" t="s">
        <v>69</v>
      </c>
      <c r="X1043" t="s">
        <v>69</v>
      </c>
      <c r="Y1043" t="s">
        <v>69</v>
      </c>
      <c r="Z1043" t="s">
        <v>69</v>
      </c>
      <c r="AA1043" t="s">
        <v>7119</v>
      </c>
      <c r="AB1043" t="s">
        <v>32466</v>
      </c>
      <c r="AC1043" t="s">
        <v>69</v>
      </c>
      <c r="AD1043" t="s">
        <v>69</v>
      </c>
      <c r="AE1043" t="s">
        <v>69</v>
      </c>
      <c r="AF1043" t="s">
        <v>69</v>
      </c>
      <c r="AG1043" t="s">
        <v>69</v>
      </c>
      <c r="AH1043" t="s">
        <v>69</v>
      </c>
      <c r="AI1043" t="s">
        <v>69</v>
      </c>
      <c r="AJ1043" t="s">
        <v>69</v>
      </c>
      <c r="AK1043" t="s">
        <v>69</v>
      </c>
      <c r="AL1043">
        <v>34</v>
      </c>
      <c r="AM1043">
        <v>0</v>
      </c>
      <c r="AN1043">
        <v>0</v>
      </c>
      <c r="AO1043">
        <v>0</v>
      </c>
      <c r="AP1043">
        <v>0</v>
      </c>
      <c r="AQ1043" t="s">
        <v>8865</v>
      </c>
      <c r="AR1043" t="s">
        <v>8612</v>
      </c>
      <c r="AS1043" t="s">
        <v>8866</v>
      </c>
      <c r="AT1043" t="s">
        <v>7120</v>
      </c>
      <c r="AU1043" t="s">
        <v>7121</v>
      </c>
      <c r="AV1043" t="s">
        <v>69</v>
      </c>
      <c r="AW1043" t="s">
        <v>32467</v>
      </c>
      <c r="AX1043" t="s">
        <v>32468</v>
      </c>
      <c r="AY1043" t="s">
        <v>586</v>
      </c>
      <c r="AZ1043">
        <v>1996</v>
      </c>
      <c r="BA1043">
        <v>10</v>
      </c>
      <c r="BB1043">
        <v>1</v>
      </c>
      <c r="BC1043" t="s">
        <v>69</v>
      </c>
      <c r="BD1043" t="s">
        <v>69</v>
      </c>
      <c r="BE1043" t="s">
        <v>69</v>
      </c>
      <c r="BF1043" t="s">
        <v>69</v>
      </c>
      <c r="BG1043">
        <v>25</v>
      </c>
      <c r="BH1043">
        <v>40</v>
      </c>
      <c r="BI1043" t="s">
        <v>69</v>
      </c>
      <c r="BJ1043" t="s">
        <v>7122</v>
      </c>
      <c r="BK1043" t="str">
        <f>HYPERLINK("http://dx.doi.org/10.1080/02650539608415663","http://dx.doi.org/10.1080/02650539608415663")</f>
        <v>http://dx.doi.org/10.1080/02650539608415663</v>
      </c>
      <c r="BL1043" t="s">
        <v>69</v>
      </c>
      <c r="BM1043" t="s">
        <v>69</v>
      </c>
      <c r="BN1043">
        <v>16</v>
      </c>
      <c r="BO1043" t="s">
        <v>17741</v>
      </c>
      <c r="BP1043" t="s">
        <v>8661</v>
      </c>
      <c r="BQ1043" t="s">
        <v>17741</v>
      </c>
      <c r="BR1043" t="s">
        <v>32469</v>
      </c>
      <c r="BS1043" t="s">
        <v>7123</v>
      </c>
      <c r="BT1043" t="s">
        <v>69</v>
      </c>
      <c r="BU1043" t="s">
        <v>69</v>
      </c>
      <c r="BV1043" t="s">
        <v>69</v>
      </c>
      <c r="BW1043" t="s">
        <v>69</v>
      </c>
      <c r="BX1043" t="s">
        <v>8526</v>
      </c>
      <c r="BY1043" t="str">
        <f>HYPERLINK("https%3A%2F%2Fwww.webofscience.com%2Fwos%2Fwoscc%2Ffull-record%2FWOS:A1996UP43700003","View Full Record in Web of Science")</f>
        <v>View Full Record in Web of Science</v>
      </c>
    </row>
    <row r="1044" spans="1:77" ht="12.5" x14ac:dyDescent="0.25">
      <c r="A1044" t="s">
        <v>8495</v>
      </c>
      <c r="B1044" s="7" t="s">
        <v>32933</v>
      </c>
      <c r="C1044" s="7"/>
      <c r="D1044" s="7"/>
      <c r="E1044" s="7"/>
      <c r="F1044" t="s">
        <v>67</v>
      </c>
      <c r="G1044" t="s">
        <v>5117</v>
      </c>
      <c r="H1044" t="s">
        <v>69</v>
      </c>
      <c r="I1044" t="s">
        <v>69</v>
      </c>
      <c r="J1044" t="s">
        <v>69</v>
      </c>
      <c r="K1044" t="s">
        <v>5118</v>
      </c>
      <c r="L1044" t="s">
        <v>69</v>
      </c>
      <c r="M1044" t="s">
        <v>69</v>
      </c>
      <c r="N1044" t="s">
        <v>5119</v>
      </c>
      <c r="O1044" t="s">
        <v>5120</v>
      </c>
      <c r="P1044" t="s">
        <v>69</v>
      </c>
      <c r="Q1044" t="s">
        <v>69</v>
      </c>
      <c r="R1044" t="s">
        <v>8505</v>
      </c>
      <c r="S1044" t="s">
        <v>8506</v>
      </c>
      <c r="T1044" t="s">
        <v>69</v>
      </c>
      <c r="U1044" t="s">
        <v>69</v>
      </c>
      <c r="V1044" t="s">
        <v>69</v>
      </c>
      <c r="W1044" t="s">
        <v>69</v>
      </c>
      <c r="X1044" t="s">
        <v>69</v>
      </c>
      <c r="Y1044" t="s">
        <v>69</v>
      </c>
      <c r="Z1044" t="s">
        <v>27000</v>
      </c>
      <c r="AA1044" t="s">
        <v>5121</v>
      </c>
      <c r="AB1044" t="s">
        <v>27001</v>
      </c>
      <c r="AC1044" t="s">
        <v>69</v>
      </c>
      <c r="AD1044" t="s">
        <v>27002</v>
      </c>
      <c r="AE1044" t="s">
        <v>27003</v>
      </c>
      <c r="AF1044" t="s">
        <v>69</v>
      </c>
      <c r="AG1044" t="s">
        <v>5122</v>
      </c>
      <c r="AH1044" t="s">
        <v>69</v>
      </c>
      <c r="AI1044" t="s">
        <v>69</v>
      </c>
      <c r="AJ1044" t="s">
        <v>69</v>
      </c>
      <c r="AK1044" t="s">
        <v>69</v>
      </c>
      <c r="AL1044">
        <v>50</v>
      </c>
      <c r="AM1044">
        <v>14</v>
      </c>
      <c r="AN1044">
        <v>14</v>
      </c>
      <c r="AO1044">
        <v>0</v>
      </c>
      <c r="AP1044">
        <v>23</v>
      </c>
      <c r="AQ1044" t="s">
        <v>10352</v>
      </c>
      <c r="AR1044" t="s">
        <v>8637</v>
      </c>
      <c r="AS1044" t="s">
        <v>10353</v>
      </c>
      <c r="AT1044" t="s">
        <v>5123</v>
      </c>
      <c r="AU1044" t="s">
        <v>5124</v>
      </c>
      <c r="AV1044" t="s">
        <v>69</v>
      </c>
      <c r="AW1044" t="s">
        <v>27004</v>
      </c>
      <c r="AX1044" t="s">
        <v>27005</v>
      </c>
      <c r="AY1044" t="s">
        <v>586</v>
      </c>
      <c r="AZ1044">
        <v>2011</v>
      </c>
      <c r="BA1044">
        <v>38</v>
      </c>
      <c r="BB1044">
        <v>4</v>
      </c>
      <c r="BC1044" t="s">
        <v>69</v>
      </c>
      <c r="BD1044" t="s">
        <v>69</v>
      </c>
      <c r="BE1044" t="s">
        <v>69</v>
      </c>
      <c r="BF1044" t="s">
        <v>69</v>
      </c>
      <c r="BG1044">
        <v>279</v>
      </c>
      <c r="BH1044">
        <v>292</v>
      </c>
      <c r="BI1044" t="s">
        <v>69</v>
      </c>
      <c r="BJ1044" t="s">
        <v>5125</v>
      </c>
      <c r="BK1044" t="str">
        <f>HYPERLINK("http://dx.doi.org/10.3152/030234211X12924093660471","http://dx.doi.org/10.3152/030234211X12924093660471")</f>
        <v>http://dx.doi.org/10.3152/030234211X12924093660471</v>
      </c>
      <c r="BL1044" t="s">
        <v>69</v>
      </c>
      <c r="BM1044" t="s">
        <v>69</v>
      </c>
      <c r="BN1044">
        <v>14</v>
      </c>
      <c r="BO1044" t="s">
        <v>27006</v>
      </c>
      <c r="BP1044" t="s">
        <v>8661</v>
      </c>
      <c r="BQ1044" t="s">
        <v>27007</v>
      </c>
      <c r="BR1044" t="s">
        <v>27008</v>
      </c>
      <c r="BS1044" t="s">
        <v>5126</v>
      </c>
      <c r="BT1044" t="s">
        <v>69</v>
      </c>
      <c r="BU1044" t="s">
        <v>69</v>
      </c>
      <c r="BV1044" t="s">
        <v>69</v>
      </c>
      <c r="BW1044" t="s">
        <v>69</v>
      </c>
      <c r="BX1044" t="s">
        <v>8526</v>
      </c>
      <c r="BY1044" t="str">
        <f>HYPERLINK("https%3A%2F%2Fwww.webofscience.com%2Fwos%2Fwoscc%2Ffull-record%2FWOS:000292125000003","View Full Record in Web of Science")</f>
        <v>View Full Record in Web of Science</v>
      </c>
    </row>
    <row r="1045" spans="1:77" ht="12.5" x14ac:dyDescent="0.25">
      <c r="A1045" t="s">
        <v>8495</v>
      </c>
      <c r="B1045" s="7" t="s">
        <v>32933</v>
      </c>
      <c r="C1045" s="7"/>
      <c r="D1045" s="7"/>
      <c r="E1045" s="7"/>
      <c r="F1045" t="s">
        <v>67</v>
      </c>
      <c r="G1045" t="s">
        <v>2541</v>
      </c>
      <c r="H1045" t="s">
        <v>69</v>
      </c>
      <c r="I1045" t="s">
        <v>69</v>
      </c>
      <c r="J1045" t="s">
        <v>69</v>
      </c>
      <c r="K1045" t="s">
        <v>2542</v>
      </c>
      <c r="L1045" t="s">
        <v>69</v>
      </c>
      <c r="M1045" t="s">
        <v>69</v>
      </c>
      <c r="N1045" t="s">
        <v>2543</v>
      </c>
      <c r="O1045" t="s">
        <v>2544</v>
      </c>
      <c r="P1045" t="s">
        <v>69</v>
      </c>
      <c r="Q1045" t="s">
        <v>69</v>
      </c>
      <c r="R1045" t="s">
        <v>8505</v>
      </c>
      <c r="S1045" t="s">
        <v>8506</v>
      </c>
      <c r="T1045" t="s">
        <v>69</v>
      </c>
      <c r="U1045" t="s">
        <v>69</v>
      </c>
      <c r="V1045" t="s">
        <v>69</v>
      </c>
      <c r="W1045" t="s">
        <v>69</v>
      </c>
      <c r="X1045" t="s">
        <v>69</v>
      </c>
      <c r="Y1045" t="s">
        <v>19952</v>
      </c>
      <c r="Z1045" t="s">
        <v>19953</v>
      </c>
      <c r="AA1045" t="s">
        <v>2545</v>
      </c>
      <c r="AB1045" t="s">
        <v>19954</v>
      </c>
      <c r="AC1045" t="s">
        <v>69</v>
      </c>
      <c r="AD1045" t="s">
        <v>19955</v>
      </c>
      <c r="AE1045" t="s">
        <v>19956</v>
      </c>
      <c r="AF1045" t="s">
        <v>69</v>
      </c>
      <c r="AG1045" t="s">
        <v>2546</v>
      </c>
      <c r="AH1045" t="s">
        <v>69</v>
      </c>
      <c r="AI1045" t="s">
        <v>69</v>
      </c>
      <c r="AJ1045" t="s">
        <v>69</v>
      </c>
      <c r="AK1045" t="s">
        <v>69</v>
      </c>
      <c r="AL1045">
        <v>36</v>
      </c>
      <c r="AM1045">
        <v>6</v>
      </c>
      <c r="AN1045">
        <v>7</v>
      </c>
      <c r="AO1045">
        <v>0</v>
      </c>
      <c r="AP1045">
        <v>5</v>
      </c>
      <c r="AQ1045" t="s">
        <v>9554</v>
      </c>
      <c r="AR1045" t="s">
        <v>9555</v>
      </c>
      <c r="AS1045" t="s">
        <v>9556</v>
      </c>
      <c r="AT1045" t="s">
        <v>2547</v>
      </c>
      <c r="AU1045" t="s">
        <v>2548</v>
      </c>
      <c r="AV1045" t="s">
        <v>69</v>
      </c>
      <c r="AW1045" t="s">
        <v>19957</v>
      </c>
      <c r="AX1045" t="s">
        <v>19958</v>
      </c>
      <c r="AY1045" t="s">
        <v>381</v>
      </c>
      <c r="AZ1045">
        <v>2017</v>
      </c>
      <c r="BA1045">
        <v>23</v>
      </c>
      <c r="BB1045">
        <v>4</v>
      </c>
      <c r="BC1045" t="s">
        <v>69</v>
      </c>
      <c r="BD1045" t="s">
        <v>69</v>
      </c>
      <c r="BE1045" t="s">
        <v>69</v>
      </c>
      <c r="BF1045" t="s">
        <v>69</v>
      </c>
      <c r="BG1045">
        <v>370</v>
      </c>
      <c r="BH1045">
        <v>388</v>
      </c>
      <c r="BI1045" t="s">
        <v>69</v>
      </c>
      <c r="BJ1045" t="s">
        <v>2549</v>
      </c>
      <c r="BK1045" t="str">
        <f>HYPERLINK("http://dx.doi.org/10.1177/1356389017733211","http://dx.doi.org/10.1177/1356389017733211")</f>
        <v>http://dx.doi.org/10.1177/1356389017733211</v>
      </c>
      <c r="BL1045" t="s">
        <v>69</v>
      </c>
      <c r="BM1045" t="s">
        <v>69</v>
      </c>
      <c r="BN1045">
        <v>19</v>
      </c>
      <c r="BO1045" t="s">
        <v>10299</v>
      </c>
      <c r="BP1045" t="s">
        <v>8661</v>
      </c>
      <c r="BQ1045" t="s">
        <v>10279</v>
      </c>
      <c r="BR1045" t="s">
        <v>19959</v>
      </c>
      <c r="BS1045" t="s">
        <v>2550</v>
      </c>
      <c r="BT1045" t="s">
        <v>69</v>
      </c>
      <c r="BU1045" t="s">
        <v>69</v>
      </c>
      <c r="BV1045" t="s">
        <v>69</v>
      </c>
      <c r="BW1045" t="s">
        <v>69</v>
      </c>
      <c r="BX1045" t="s">
        <v>8526</v>
      </c>
      <c r="BY1045" t="str">
        <f>HYPERLINK("https%3A%2F%2Fwww.webofscience.com%2Fwos%2Fwoscc%2Ffull-record%2FWOS:000413156700002","View Full Record in Web of Science")</f>
        <v>View Full Record in Web of Science</v>
      </c>
    </row>
    <row r="1046" spans="1:77" ht="12.5" x14ac:dyDescent="0.25">
      <c r="A1046" t="s">
        <v>8495</v>
      </c>
      <c r="B1046" s="7" t="s">
        <v>32933</v>
      </c>
      <c r="C1046" s="7"/>
      <c r="D1046" s="7"/>
      <c r="E1046" s="7"/>
      <c r="F1046" t="s">
        <v>67</v>
      </c>
      <c r="G1046" t="s">
        <v>6178</v>
      </c>
      <c r="H1046" t="s">
        <v>69</v>
      </c>
      <c r="I1046" t="s">
        <v>69</v>
      </c>
      <c r="J1046" t="s">
        <v>69</v>
      </c>
      <c r="K1046" t="s">
        <v>6179</v>
      </c>
      <c r="L1046" t="s">
        <v>69</v>
      </c>
      <c r="M1046" t="s">
        <v>69</v>
      </c>
      <c r="N1046" t="s">
        <v>6180</v>
      </c>
      <c r="O1046" t="s">
        <v>352</v>
      </c>
      <c r="P1046" t="s">
        <v>69</v>
      </c>
      <c r="Q1046" t="s">
        <v>69</v>
      </c>
      <c r="R1046" t="s">
        <v>8505</v>
      </c>
      <c r="S1046" t="s">
        <v>8506</v>
      </c>
      <c r="T1046" t="s">
        <v>69</v>
      </c>
      <c r="U1046" t="s">
        <v>69</v>
      </c>
      <c r="V1046" t="s">
        <v>69</v>
      </c>
      <c r="W1046" t="s">
        <v>69</v>
      </c>
      <c r="X1046" t="s">
        <v>69</v>
      </c>
      <c r="Y1046" t="s">
        <v>13981</v>
      </c>
      <c r="Z1046" t="s">
        <v>13982</v>
      </c>
      <c r="AA1046" t="s">
        <v>6181</v>
      </c>
      <c r="AB1046" t="s">
        <v>13983</v>
      </c>
      <c r="AC1046" t="s">
        <v>69</v>
      </c>
      <c r="AD1046" t="s">
        <v>13984</v>
      </c>
      <c r="AE1046" t="s">
        <v>13985</v>
      </c>
      <c r="AF1046" t="s">
        <v>13986</v>
      </c>
      <c r="AG1046" t="s">
        <v>13987</v>
      </c>
      <c r="AH1046" t="s">
        <v>13988</v>
      </c>
      <c r="AI1046" t="s">
        <v>13989</v>
      </c>
      <c r="AJ1046" t="s">
        <v>13990</v>
      </c>
      <c r="AK1046" t="s">
        <v>69</v>
      </c>
      <c r="AL1046">
        <v>55</v>
      </c>
      <c r="AM1046">
        <v>2</v>
      </c>
      <c r="AN1046">
        <v>2</v>
      </c>
      <c r="AO1046">
        <v>5</v>
      </c>
      <c r="AP1046">
        <v>15</v>
      </c>
      <c r="AQ1046" t="s">
        <v>8924</v>
      </c>
      <c r="AR1046" t="s">
        <v>8925</v>
      </c>
      <c r="AS1046" t="s">
        <v>8926</v>
      </c>
      <c r="AT1046" t="s">
        <v>69</v>
      </c>
      <c r="AU1046" t="s">
        <v>354</v>
      </c>
      <c r="AV1046" t="s">
        <v>69</v>
      </c>
      <c r="AW1046" t="s">
        <v>8958</v>
      </c>
      <c r="AX1046" t="s">
        <v>8434</v>
      </c>
      <c r="AY1046" t="s">
        <v>75</v>
      </c>
      <c r="AZ1046">
        <v>2020</v>
      </c>
      <c r="BA1046">
        <v>12</v>
      </c>
      <c r="BB1046">
        <v>24</v>
      </c>
      <c r="BC1046" t="s">
        <v>69</v>
      </c>
      <c r="BD1046" t="s">
        <v>69</v>
      </c>
      <c r="BE1046" t="s">
        <v>69</v>
      </c>
      <c r="BF1046" t="s">
        <v>69</v>
      </c>
      <c r="BG1046" t="s">
        <v>69</v>
      </c>
      <c r="BH1046" t="s">
        <v>69</v>
      </c>
      <c r="BI1046">
        <v>10229</v>
      </c>
      <c r="BJ1046" t="s">
        <v>6182</v>
      </c>
      <c r="BK1046" t="str">
        <f>HYPERLINK("http://dx.doi.org/10.3390/su122410229","http://dx.doi.org/10.3390/su122410229")</f>
        <v>http://dx.doi.org/10.3390/su122410229</v>
      </c>
      <c r="BL1046" t="s">
        <v>69</v>
      </c>
      <c r="BM1046" t="s">
        <v>69</v>
      </c>
      <c r="BN1046">
        <v>18</v>
      </c>
      <c r="BO1046" t="s">
        <v>8960</v>
      </c>
      <c r="BP1046" t="s">
        <v>8523</v>
      </c>
      <c r="BQ1046" t="s">
        <v>8961</v>
      </c>
      <c r="BR1046" t="s">
        <v>13991</v>
      </c>
      <c r="BS1046" t="s">
        <v>6183</v>
      </c>
      <c r="BT1046" t="s">
        <v>69</v>
      </c>
      <c r="BU1046" t="s">
        <v>9352</v>
      </c>
      <c r="BV1046" t="s">
        <v>69</v>
      </c>
      <c r="BW1046" t="s">
        <v>69</v>
      </c>
      <c r="BX1046" t="s">
        <v>8526</v>
      </c>
      <c r="BY1046" t="str">
        <f>HYPERLINK("https%3A%2F%2Fwww.webofscience.com%2Fwos%2Fwoscc%2Ffull-record%2FWOS:000603173400001","View Full Record in Web of Science")</f>
        <v>View Full Record in Web of Science</v>
      </c>
    </row>
    <row r="1047" spans="1:77" ht="12.5" x14ac:dyDescent="0.25">
      <c r="A1047" t="s">
        <v>8495</v>
      </c>
      <c r="B1047" s="7" t="s">
        <v>32933</v>
      </c>
      <c r="C1047" s="7"/>
      <c r="D1047" s="7"/>
      <c r="E1047" s="7"/>
      <c r="F1047" t="s">
        <v>67</v>
      </c>
      <c r="G1047" t="s">
        <v>7902</v>
      </c>
      <c r="H1047" t="s">
        <v>69</v>
      </c>
      <c r="I1047" t="s">
        <v>69</v>
      </c>
      <c r="J1047" t="s">
        <v>69</v>
      </c>
      <c r="K1047" t="s">
        <v>7903</v>
      </c>
      <c r="L1047" t="s">
        <v>69</v>
      </c>
      <c r="M1047" t="s">
        <v>69</v>
      </c>
      <c r="N1047" s="4" t="s">
        <v>7904</v>
      </c>
      <c r="O1047" t="s">
        <v>7905</v>
      </c>
      <c r="P1047" t="s">
        <v>69</v>
      </c>
      <c r="Q1047" t="s">
        <v>69</v>
      </c>
      <c r="R1047" t="s">
        <v>8505</v>
      </c>
      <c r="S1047" t="s">
        <v>8506</v>
      </c>
      <c r="T1047" t="s">
        <v>69</v>
      </c>
      <c r="U1047" t="s">
        <v>69</v>
      </c>
      <c r="V1047" t="s">
        <v>69</v>
      </c>
      <c r="W1047" t="s">
        <v>69</v>
      </c>
      <c r="X1047" t="s">
        <v>69</v>
      </c>
      <c r="Y1047" t="s">
        <v>69</v>
      </c>
      <c r="Z1047" t="s">
        <v>30175</v>
      </c>
      <c r="AA1047" t="s">
        <v>7906</v>
      </c>
      <c r="AB1047" t="s">
        <v>30176</v>
      </c>
      <c r="AC1047" t="s">
        <v>69</v>
      </c>
      <c r="AD1047" t="s">
        <v>30177</v>
      </c>
      <c r="AE1047" t="s">
        <v>30178</v>
      </c>
      <c r="AF1047" t="s">
        <v>69</v>
      </c>
      <c r="AG1047" t="s">
        <v>69</v>
      </c>
      <c r="AH1047" t="s">
        <v>69</v>
      </c>
      <c r="AI1047" t="s">
        <v>69</v>
      </c>
      <c r="AJ1047" t="s">
        <v>69</v>
      </c>
      <c r="AK1047" t="s">
        <v>69</v>
      </c>
      <c r="AL1047">
        <v>69</v>
      </c>
      <c r="AM1047">
        <v>3</v>
      </c>
      <c r="AN1047">
        <v>3</v>
      </c>
      <c r="AO1047">
        <v>0</v>
      </c>
      <c r="AP1047">
        <v>8</v>
      </c>
      <c r="AQ1047" t="s">
        <v>8846</v>
      </c>
      <c r="AR1047" t="s">
        <v>8847</v>
      </c>
      <c r="AS1047" t="s">
        <v>8848</v>
      </c>
      <c r="AT1047" t="s">
        <v>7907</v>
      </c>
      <c r="AU1047" t="s">
        <v>7908</v>
      </c>
      <c r="AV1047" t="s">
        <v>69</v>
      </c>
      <c r="AW1047" t="s">
        <v>30179</v>
      </c>
      <c r="AX1047" t="s">
        <v>30180</v>
      </c>
      <c r="AY1047" t="s">
        <v>201</v>
      </c>
      <c r="AZ1047">
        <v>2006</v>
      </c>
      <c r="BA1047">
        <v>28</v>
      </c>
      <c r="BB1047">
        <v>3</v>
      </c>
      <c r="BC1047" t="s">
        <v>69</v>
      </c>
      <c r="BD1047" t="s">
        <v>69</v>
      </c>
      <c r="BE1047" t="s">
        <v>69</v>
      </c>
      <c r="BF1047" t="s">
        <v>69</v>
      </c>
      <c r="BG1047">
        <v>246</v>
      </c>
      <c r="BH1047">
        <v>266</v>
      </c>
      <c r="BI1047" t="s">
        <v>69</v>
      </c>
      <c r="BJ1047" t="s">
        <v>7909</v>
      </c>
      <c r="BK1047" t="str">
        <f>HYPERLINK("http://dx.doi.org/10.1111/j.1467-6427.2006.00350.x","http://dx.doi.org/10.1111/j.1467-6427.2006.00350.x")</f>
        <v>http://dx.doi.org/10.1111/j.1467-6427.2006.00350.x</v>
      </c>
      <c r="BL1047" t="s">
        <v>69</v>
      </c>
      <c r="BM1047" t="s">
        <v>69</v>
      </c>
      <c r="BN1047">
        <v>21</v>
      </c>
      <c r="BO1047" t="s">
        <v>30181</v>
      </c>
      <c r="BP1047" t="s">
        <v>8661</v>
      </c>
      <c r="BQ1047" t="s">
        <v>30182</v>
      </c>
      <c r="BR1047" t="s">
        <v>30183</v>
      </c>
      <c r="BS1047" t="s">
        <v>7910</v>
      </c>
      <c r="BT1047" t="s">
        <v>69</v>
      </c>
      <c r="BU1047" t="s">
        <v>69</v>
      </c>
      <c r="BV1047" t="s">
        <v>69</v>
      </c>
      <c r="BW1047" t="s">
        <v>69</v>
      </c>
      <c r="BX1047" t="s">
        <v>8526</v>
      </c>
      <c r="BY1047" t="str">
        <f>HYPERLINK("https%3A%2F%2Fwww.webofscience.com%2Fwos%2Fwoscc%2Ffull-record%2FWOS:000239008500003","View Full Record in Web of Science")</f>
        <v>View Full Record in Web of Science</v>
      </c>
    </row>
    <row r="1048" spans="1:77" ht="12.5" x14ac:dyDescent="0.25">
      <c r="A1048" t="s">
        <v>8495</v>
      </c>
      <c r="B1048" s="22" t="s">
        <v>32931</v>
      </c>
      <c r="C1048" s="7"/>
      <c r="D1048" s="7"/>
      <c r="E1048" s="7"/>
      <c r="F1048" t="s">
        <v>67</v>
      </c>
      <c r="G1048" t="s">
        <v>19859</v>
      </c>
      <c r="H1048" t="s">
        <v>69</v>
      </c>
      <c r="I1048" t="s">
        <v>69</v>
      </c>
      <c r="J1048" t="s">
        <v>69</v>
      </c>
      <c r="K1048" t="s">
        <v>19860</v>
      </c>
      <c r="L1048" t="s">
        <v>69</v>
      </c>
      <c r="M1048" t="s">
        <v>69</v>
      </c>
      <c r="N1048" t="s">
        <v>19861</v>
      </c>
      <c r="O1048" t="s">
        <v>19862</v>
      </c>
      <c r="P1048" t="s">
        <v>69</v>
      </c>
      <c r="Q1048" t="s">
        <v>69</v>
      </c>
      <c r="R1048" t="s">
        <v>8505</v>
      </c>
      <c r="S1048" t="s">
        <v>15797</v>
      </c>
      <c r="T1048" t="s">
        <v>19863</v>
      </c>
      <c r="U1048" t="s">
        <v>19864</v>
      </c>
      <c r="V1048" t="s">
        <v>19865</v>
      </c>
      <c r="W1048" t="s">
        <v>69</v>
      </c>
      <c r="X1048" t="s">
        <v>19866</v>
      </c>
      <c r="Y1048" t="s">
        <v>19867</v>
      </c>
      <c r="Z1048" t="s">
        <v>19868</v>
      </c>
      <c r="AA1048" t="s">
        <v>19869</v>
      </c>
      <c r="AB1048" t="s">
        <v>19870</v>
      </c>
      <c r="AC1048" t="s">
        <v>69</v>
      </c>
      <c r="AD1048" t="s">
        <v>19871</v>
      </c>
      <c r="AE1048" t="s">
        <v>19872</v>
      </c>
      <c r="AF1048" t="s">
        <v>19873</v>
      </c>
      <c r="AG1048" t="s">
        <v>19874</v>
      </c>
      <c r="AH1048" t="s">
        <v>19875</v>
      </c>
      <c r="AI1048" t="s">
        <v>19876</v>
      </c>
      <c r="AJ1048" t="s">
        <v>19877</v>
      </c>
      <c r="AK1048" t="s">
        <v>69</v>
      </c>
      <c r="AL1048">
        <v>39</v>
      </c>
      <c r="AM1048">
        <v>9</v>
      </c>
      <c r="AN1048">
        <v>9</v>
      </c>
      <c r="AO1048">
        <v>0</v>
      </c>
      <c r="AP1048">
        <v>28</v>
      </c>
      <c r="AQ1048" t="s">
        <v>8516</v>
      </c>
      <c r="AR1048" t="s">
        <v>8517</v>
      </c>
      <c r="AS1048" t="s">
        <v>8518</v>
      </c>
      <c r="AT1048" t="s">
        <v>19878</v>
      </c>
      <c r="AU1048" t="s">
        <v>19879</v>
      </c>
      <c r="AV1048" t="s">
        <v>69</v>
      </c>
      <c r="AW1048" t="s">
        <v>19880</v>
      </c>
      <c r="AX1048" t="s">
        <v>19881</v>
      </c>
      <c r="AY1048" t="s">
        <v>274</v>
      </c>
      <c r="AZ1048">
        <v>2017</v>
      </c>
      <c r="BA1048">
        <v>54</v>
      </c>
      <c r="BB1048" t="s">
        <v>69</v>
      </c>
      <c r="BC1048">
        <v>3</v>
      </c>
      <c r="BD1048" t="s">
        <v>69</v>
      </c>
      <c r="BE1048" t="s">
        <v>114</v>
      </c>
      <c r="BF1048" t="s">
        <v>69</v>
      </c>
      <c r="BG1048">
        <v>139</v>
      </c>
      <c r="BH1048">
        <v>151</v>
      </c>
      <c r="BI1048" t="s">
        <v>69</v>
      </c>
      <c r="BJ1048" t="s">
        <v>19882</v>
      </c>
      <c r="BK1048" t="str">
        <f>HYPERLINK("http://dx.doi.org/10.1016/j.csi.2016.11.008","http://dx.doi.org/10.1016/j.csi.2016.11.008")</f>
        <v>http://dx.doi.org/10.1016/j.csi.2016.11.008</v>
      </c>
      <c r="BL1048" t="s">
        <v>69</v>
      </c>
      <c r="BM1048" t="s">
        <v>69</v>
      </c>
      <c r="BN1048">
        <v>13</v>
      </c>
      <c r="BO1048" t="s">
        <v>19883</v>
      </c>
      <c r="BP1048" t="s">
        <v>15808</v>
      </c>
      <c r="BQ1048" t="s">
        <v>10976</v>
      </c>
      <c r="BR1048" t="s">
        <v>19884</v>
      </c>
      <c r="BS1048" t="s">
        <v>19885</v>
      </c>
      <c r="BT1048" t="s">
        <v>69</v>
      </c>
      <c r="BU1048" t="s">
        <v>69</v>
      </c>
      <c r="BV1048" t="s">
        <v>69</v>
      </c>
      <c r="BW1048" t="s">
        <v>69</v>
      </c>
      <c r="BX1048" t="s">
        <v>8526</v>
      </c>
      <c r="BY1048" t="str">
        <f>HYPERLINK("https%3A%2F%2Fwww.webofscience.com%2Fwos%2Fwoscc%2Ffull-record%2FWOS:000401888500004","View Full Record in Web of Science")</f>
        <v>View Full Record in Web of Science</v>
      </c>
    </row>
    <row r="1049" spans="1:77" ht="12.5" x14ac:dyDescent="0.25">
      <c r="A1049" t="s">
        <v>8495</v>
      </c>
      <c r="B1049" s="7" t="s">
        <v>32933</v>
      </c>
      <c r="C1049" s="7"/>
      <c r="D1049" s="7"/>
      <c r="E1049" s="7"/>
      <c r="F1049" t="s">
        <v>67</v>
      </c>
      <c r="G1049" t="s">
        <v>5141</v>
      </c>
      <c r="H1049" t="s">
        <v>69</v>
      </c>
      <c r="I1049" t="s">
        <v>69</v>
      </c>
      <c r="J1049" t="s">
        <v>69</v>
      </c>
      <c r="K1049" t="s">
        <v>5141</v>
      </c>
      <c r="L1049" t="s">
        <v>69</v>
      </c>
      <c r="M1049" t="s">
        <v>69</v>
      </c>
      <c r="N1049" t="s">
        <v>5142</v>
      </c>
      <c r="O1049" t="s">
        <v>370</v>
      </c>
      <c r="P1049" t="s">
        <v>69</v>
      </c>
      <c r="Q1049" t="s">
        <v>69</v>
      </c>
      <c r="R1049" t="s">
        <v>8505</v>
      </c>
      <c r="S1049" t="s">
        <v>8506</v>
      </c>
      <c r="T1049" t="s">
        <v>69</v>
      </c>
      <c r="U1049" t="s">
        <v>69</v>
      </c>
      <c r="V1049" t="s">
        <v>69</v>
      </c>
      <c r="W1049" t="s">
        <v>69</v>
      </c>
      <c r="X1049" t="s">
        <v>69</v>
      </c>
      <c r="Y1049" t="s">
        <v>69</v>
      </c>
      <c r="Z1049" t="s">
        <v>69</v>
      </c>
      <c r="AA1049" t="s">
        <v>5143</v>
      </c>
      <c r="AB1049" t="s">
        <v>30543</v>
      </c>
      <c r="AC1049" t="s">
        <v>69</v>
      </c>
      <c r="AD1049" t="s">
        <v>30544</v>
      </c>
      <c r="AE1049" t="s">
        <v>30545</v>
      </c>
      <c r="AF1049" t="s">
        <v>69</v>
      </c>
      <c r="AG1049" t="s">
        <v>69</v>
      </c>
      <c r="AH1049" t="s">
        <v>69</v>
      </c>
      <c r="AI1049" t="s">
        <v>69</v>
      </c>
      <c r="AJ1049" t="s">
        <v>69</v>
      </c>
      <c r="AK1049" t="s">
        <v>69</v>
      </c>
      <c r="AL1049">
        <v>18</v>
      </c>
      <c r="AM1049">
        <v>47</v>
      </c>
      <c r="AN1049">
        <v>49</v>
      </c>
      <c r="AO1049">
        <v>0</v>
      </c>
      <c r="AP1049">
        <v>7</v>
      </c>
      <c r="AQ1049" t="s">
        <v>9145</v>
      </c>
      <c r="AR1049" t="s">
        <v>8637</v>
      </c>
      <c r="AS1049" t="s">
        <v>9146</v>
      </c>
      <c r="AT1049" t="s">
        <v>372</v>
      </c>
      <c r="AU1049" t="s">
        <v>69</v>
      </c>
      <c r="AV1049" t="s">
        <v>69</v>
      </c>
      <c r="AW1049" t="s">
        <v>17951</v>
      </c>
      <c r="AX1049" t="s">
        <v>17952</v>
      </c>
      <c r="AY1049" t="s">
        <v>69</v>
      </c>
      <c r="AZ1049">
        <v>2006</v>
      </c>
      <c r="BA1049">
        <v>26</v>
      </c>
      <c r="BB1049">
        <v>2</v>
      </c>
      <c r="BC1049" t="s">
        <v>69</v>
      </c>
      <c r="BD1049" t="s">
        <v>69</v>
      </c>
      <c r="BE1049" t="s">
        <v>69</v>
      </c>
      <c r="BF1049" t="s">
        <v>69</v>
      </c>
      <c r="BG1049">
        <v>195</v>
      </c>
      <c r="BH1049">
        <v>205</v>
      </c>
      <c r="BI1049" t="s">
        <v>69</v>
      </c>
      <c r="BJ1049" t="s">
        <v>5144</v>
      </c>
      <c r="BK1049" t="str">
        <f>HYPERLINK("http://dx.doi.org/10.1016/j.wasman.2005.06.008","http://dx.doi.org/10.1016/j.wasman.2005.06.008")</f>
        <v>http://dx.doi.org/10.1016/j.wasman.2005.06.008</v>
      </c>
      <c r="BL1049" t="s">
        <v>69</v>
      </c>
      <c r="BM1049" t="s">
        <v>69</v>
      </c>
      <c r="BN1049">
        <v>11</v>
      </c>
      <c r="BO1049" t="s">
        <v>8743</v>
      </c>
      <c r="BP1049" t="s">
        <v>8548</v>
      </c>
      <c r="BQ1049" t="s">
        <v>8744</v>
      </c>
      <c r="BR1049" t="s">
        <v>30546</v>
      </c>
      <c r="BS1049" t="s">
        <v>5145</v>
      </c>
      <c r="BT1049">
        <v>16112562</v>
      </c>
      <c r="BU1049" t="s">
        <v>69</v>
      </c>
      <c r="BV1049" t="s">
        <v>69</v>
      </c>
      <c r="BW1049" t="s">
        <v>69</v>
      </c>
      <c r="BX1049" t="s">
        <v>8526</v>
      </c>
      <c r="BY1049" t="str">
        <f>HYPERLINK("https%3A%2F%2Fwww.webofscience.com%2Fwos%2Fwoscc%2Ffull-record%2FWOS:000233962100012","View Full Record in Web of Science")</f>
        <v>View Full Record in Web of Science</v>
      </c>
    </row>
    <row r="1050" spans="1:77" ht="12.5" x14ac:dyDescent="0.25">
      <c r="A1050" t="s">
        <v>8495</v>
      </c>
      <c r="B1050" s="22" t="s">
        <v>32931</v>
      </c>
      <c r="C1050" s="7"/>
      <c r="D1050" s="7"/>
      <c r="E1050" s="7"/>
      <c r="F1050" t="s">
        <v>67</v>
      </c>
      <c r="G1050" t="s">
        <v>25639</v>
      </c>
      <c r="H1050" t="s">
        <v>69</v>
      </c>
      <c r="I1050" t="s">
        <v>69</v>
      </c>
      <c r="J1050" t="s">
        <v>69</v>
      </c>
      <c r="K1050" t="s">
        <v>25640</v>
      </c>
      <c r="L1050" t="s">
        <v>69</v>
      </c>
      <c r="M1050" t="s">
        <v>69</v>
      </c>
      <c r="N1050" t="s">
        <v>25641</v>
      </c>
      <c r="O1050" t="s">
        <v>25642</v>
      </c>
      <c r="P1050" t="s">
        <v>69</v>
      </c>
      <c r="Q1050" t="s">
        <v>69</v>
      </c>
      <c r="R1050" t="s">
        <v>8505</v>
      </c>
      <c r="S1050" t="s">
        <v>8506</v>
      </c>
      <c r="T1050" t="s">
        <v>69</v>
      </c>
      <c r="U1050" t="s">
        <v>69</v>
      </c>
      <c r="V1050" t="s">
        <v>69</v>
      </c>
      <c r="W1050" t="s">
        <v>69</v>
      </c>
      <c r="X1050" t="s">
        <v>69</v>
      </c>
      <c r="Y1050" t="s">
        <v>69</v>
      </c>
      <c r="Z1050" t="s">
        <v>25643</v>
      </c>
      <c r="AA1050" t="s">
        <v>25644</v>
      </c>
      <c r="AB1050" t="s">
        <v>25645</v>
      </c>
      <c r="AC1050" t="s">
        <v>69</v>
      </c>
      <c r="AD1050" t="s">
        <v>25646</v>
      </c>
      <c r="AE1050" t="s">
        <v>25647</v>
      </c>
      <c r="AF1050" t="s">
        <v>69</v>
      </c>
      <c r="AG1050" t="s">
        <v>69</v>
      </c>
      <c r="AH1050" t="s">
        <v>25648</v>
      </c>
      <c r="AI1050" t="s">
        <v>25649</v>
      </c>
      <c r="AJ1050" t="s">
        <v>25650</v>
      </c>
      <c r="AK1050" t="s">
        <v>69</v>
      </c>
      <c r="AL1050">
        <v>29</v>
      </c>
      <c r="AM1050">
        <v>19</v>
      </c>
      <c r="AN1050">
        <v>19</v>
      </c>
      <c r="AO1050">
        <v>0</v>
      </c>
      <c r="AP1050">
        <v>11</v>
      </c>
      <c r="AQ1050" t="s">
        <v>25651</v>
      </c>
      <c r="AR1050" t="s">
        <v>25652</v>
      </c>
      <c r="AS1050" t="s">
        <v>25653</v>
      </c>
      <c r="AT1050" t="s">
        <v>25654</v>
      </c>
      <c r="AU1050" t="s">
        <v>25655</v>
      </c>
      <c r="AV1050" t="s">
        <v>69</v>
      </c>
      <c r="AW1050" t="s">
        <v>25656</v>
      </c>
      <c r="AX1050" t="s">
        <v>25657</v>
      </c>
      <c r="AY1050" t="s">
        <v>75</v>
      </c>
      <c r="AZ1050">
        <v>2012</v>
      </c>
      <c r="BA1050">
        <v>58</v>
      </c>
      <c r="BB1050">
        <v>12</v>
      </c>
      <c r="BC1050" t="s">
        <v>69</v>
      </c>
      <c r="BD1050" t="s">
        <v>69</v>
      </c>
      <c r="BE1050" t="s">
        <v>69</v>
      </c>
      <c r="BF1050" t="s">
        <v>69</v>
      </c>
      <c r="BG1050" t="s">
        <v>25658</v>
      </c>
      <c r="BH1050" t="s">
        <v>25659</v>
      </c>
      <c r="BI1050" t="s">
        <v>69</v>
      </c>
      <c r="BJ1050" t="s">
        <v>69</v>
      </c>
      <c r="BK1050" t="s">
        <v>69</v>
      </c>
      <c r="BL1050" t="s">
        <v>69</v>
      </c>
      <c r="BM1050" t="s">
        <v>69</v>
      </c>
      <c r="BN1050">
        <v>7</v>
      </c>
      <c r="BO1050" t="s">
        <v>14051</v>
      </c>
      <c r="BP1050" t="s">
        <v>8523</v>
      </c>
      <c r="BQ1050" t="s">
        <v>9451</v>
      </c>
      <c r="BR1050" t="s">
        <v>25660</v>
      </c>
      <c r="BS1050" t="s">
        <v>25661</v>
      </c>
      <c r="BT1050">
        <v>23242904</v>
      </c>
      <c r="BU1050" t="s">
        <v>69</v>
      </c>
      <c r="BV1050" t="s">
        <v>69</v>
      </c>
      <c r="BW1050" t="s">
        <v>69</v>
      </c>
      <c r="BX1050" t="s">
        <v>8526</v>
      </c>
      <c r="BY1050" t="str">
        <f>HYPERLINK("https%3A%2F%2Fwww.webofscience.com%2Fwos%2Fwoscc%2Ffull-record%2FWOS:000312952500005","View Full Record in Web of Science")</f>
        <v>View Full Record in Web of Science</v>
      </c>
    </row>
    <row r="1051" spans="1:77" ht="12.5" x14ac:dyDescent="0.25">
      <c r="A1051" t="s">
        <v>8495</v>
      </c>
      <c r="B1051" s="7" t="s">
        <v>32933</v>
      </c>
      <c r="C1051" s="7"/>
      <c r="D1051" s="7"/>
      <c r="E1051" s="7"/>
      <c r="F1051" t="s">
        <v>67</v>
      </c>
      <c r="G1051" t="s">
        <v>117</v>
      </c>
      <c r="H1051" t="s">
        <v>69</v>
      </c>
      <c r="I1051" t="s">
        <v>69</v>
      </c>
      <c r="J1051" t="s">
        <v>69</v>
      </c>
      <c r="K1051" t="s">
        <v>118</v>
      </c>
      <c r="L1051" t="s">
        <v>69</v>
      </c>
      <c r="M1051" t="s">
        <v>69</v>
      </c>
      <c r="N1051" t="s">
        <v>119</v>
      </c>
      <c r="O1051" t="s">
        <v>120</v>
      </c>
      <c r="P1051" t="s">
        <v>69</v>
      </c>
      <c r="Q1051" t="s">
        <v>69</v>
      </c>
      <c r="R1051" t="s">
        <v>8505</v>
      </c>
      <c r="S1051" t="s">
        <v>8506</v>
      </c>
      <c r="T1051" t="s">
        <v>69</v>
      </c>
      <c r="U1051" t="s">
        <v>69</v>
      </c>
      <c r="V1051" t="s">
        <v>69</v>
      </c>
      <c r="W1051" t="s">
        <v>69</v>
      </c>
      <c r="X1051" t="s">
        <v>69</v>
      </c>
      <c r="Y1051" t="s">
        <v>23314</v>
      </c>
      <c r="Z1051" t="s">
        <v>69</v>
      </c>
      <c r="AA1051" t="s">
        <v>121</v>
      </c>
      <c r="AB1051" t="s">
        <v>23315</v>
      </c>
      <c r="AC1051" t="s">
        <v>69</v>
      </c>
      <c r="AD1051" t="s">
        <v>23316</v>
      </c>
      <c r="AE1051" t="s">
        <v>23317</v>
      </c>
      <c r="AF1051" t="s">
        <v>69</v>
      </c>
      <c r="AG1051" t="s">
        <v>69</v>
      </c>
      <c r="AH1051" t="s">
        <v>69</v>
      </c>
      <c r="AI1051" t="s">
        <v>69</v>
      </c>
      <c r="AJ1051" t="s">
        <v>69</v>
      </c>
      <c r="AK1051" t="s">
        <v>69</v>
      </c>
      <c r="AL1051">
        <v>10</v>
      </c>
      <c r="AM1051">
        <v>1</v>
      </c>
      <c r="AN1051">
        <v>1</v>
      </c>
      <c r="AO1051">
        <v>0</v>
      </c>
      <c r="AP1051">
        <v>0</v>
      </c>
      <c r="AQ1051" t="s">
        <v>23318</v>
      </c>
      <c r="AR1051" t="s">
        <v>23319</v>
      </c>
      <c r="AS1051" t="s">
        <v>23320</v>
      </c>
      <c r="AT1051" t="s">
        <v>122</v>
      </c>
      <c r="AU1051" t="s">
        <v>123</v>
      </c>
      <c r="AV1051" t="s">
        <v>69</v>
      </c>
      <c r="AW1051" t="s">
        <v>23321</v>
      </c>
      <c r="AX1051" t="s">
        <v>23322</v>
      </c>
      <c r="AY1051" t="s">
        <v>69</v>
      </c>
      <c r="AZ1051">
        <v>2015</v>
      </c>
      <c r="BA1051">
        <v>15</v>
      </c>
      <c r="BB1051">
        <v>2</v>
      </c>
      <c r="BC1051" t="s">
        <v>69</v>
      </c>
      <c r="BD1051" t="s">
        <v>69</v>
      </c>
      <c r="BE1051" t="s">
        <v>69</v>
      </c>
      <c r="BF1051" t="s">
        <v>69</v>
      </c>
      <c r="BG1051">
        <v>203</v>
      </c>
      <c r="BH1051">
        <v>212</v>
      </c>
      <c r="BI1051" t="s">
        <v>69</v>
      </c>
      <c r="BJ1051" t="s">
        <v>69</v>
      </c>
      <c r="BK1051" t="s">
        <v>69</v>
      </c>
      <c r="BL1051" t="s">
        <v>69</v>
      </c>
      <c r="BM1051" t="s">
        <v>69</v>
      </c>
      <c r="BN1051">
        <v>10</v>
      </c>
      <c r="BO1051" t="s">
        <v>23323</v>
      </c>
      <c r="BP1051" t="s">
        <v>8573</v>
      </c>
      <c r="BQ1051" t="s">
        <v>8450</v>
      </c>
      <c r="BR1051" t="s">
        <v>23324</v>
      </c>
      <c r="BS1051" t="s">
        <v>124</v>
      </c>
      <c r="BT1051" t="s">
        <v>69</v>
      </c>
      <c r="BU1051" t="s">
        <v>69</v>
      </c>
      <c r="BV1051" t="s">
        <v>69</v>
      </c>
      <c r="BW1051" t="s">
        <v>69</v>
      </c>
      <c r="BX1051" t="s">
        <v>8526</v>
      </c>
      <c r="BY1051" t="str">
        <f>HYPERLINK("https%3A%2F%2Fwww.webofscience.com%2Fwos%2Fwoscc%2Ffull-record%2FWOS:000422185000033","View Full Record in Web of Science")</f>
        <v>View Full Record in Web of Science</v>
      </c>
    </row>
    <row r="1052" spans="1:77" ht="12.5" x14ac:dyDescent="0.25">
      <c r="A1052" t="s">
        <v>8495</v>
      </c>
      <c r="B1052" s="7" t="s">
        <v>32933</v>
      </c>
      <c r="C1052" s="7"/>
      <c r="D1052" s="7"/>
      <c r="E1052" s="7"/>
      <c r="F1052" t="s">
        <v>67</v>
      </c>
      <c r="G1052" t="s">
        <v>4998</v>
      </c>
      <c r="H1052" t="s">
        <v>69</v>
      </c>
      <c r="I1052" t="s">
        <v>69</v>
      </c>
      <c r="J1052" t="s">
        <v>69</v>
      </c>
      <c r="K1052" t="s">
        <v>4999</v>
      </c>
      <c r="L1052" t="s">
        <v>69</v>
      </c>
      <c r="M1052" t="s">
        <v>69</v>
      </c>
      <c r="N1052" t="s">
        <v>5000</v>
      </c>
      <c r="O1052" t="s">
        <v>5001</v>
      </c>
      <c r="P1052" t="s">
        <v>69</v>
      </c>
      <c r="Q1052" t="s">
        <v>69</v>
      </c>
      <c r="R1052" t="s">
        <v>8505</v>
      </c>
      <c r="S1052" t="s">
        <v>8506</v>
      </c>
      <c r="T1052" t="s">
        <v>69</v>
      </c>
      <c r="U1052" t="s">
        <v>69</v>
      </c>
      <c r="V1052" t="s">
        <v>69</v>
      </c>
      <c r="W1052" t="s">
        <v>69</v>
      </c>
      <c r="X1052" t="s">
        <v>69</v>
      </c>
      <c r="Y1052" t="s">
        <v>29514</v>
      </c>
      <c r="Z1052" t="s">
        <v>69</v>
      </c>
      <c r="AA1052" t="s">
        <v>5002</v>
      </c>
      <c r="AB1052" t="s">
        <v>29515</v>
      </c>
      <c r="AC1052" t="s">
        <v>69</v>
      </c>
      <c r="AD1052" t="s">
        <v>29516</v>
      </c>
      <c r="AE1052" t="s">
        <v>29517</v>
      </c>
      <c r="AF1052" t="s">
        <v>69</v>
      </c>
      <c r="AG1052" t="s">
        <v>69</v>
      </c>
      <c r="AH1052" t="s">
        <v>69</v>
      </c>
      <c r="AI1052" t="s">
        <v>69</v>
      </c>
      <c r="AJ1052" t="s">
        <v>69</v>
      </c>
      <c r="AK1052" t="s">
        <v>69</v>
      </c>
      <c r="AL1052">
        <v>4</v>
      </c>
      <c r="AM1052">
        <v>0</v>
      </c>
      <c r="AN1052">
        <v>0</v>
      </c>
      <c r="AO1052">
        <v>1</v>
      </c>
      <c r="AP1052">
        <v>3</v>
      </c>
      <c r="AQ1052" t="s">
        <v>8846</v>
      </c>
      <c r="AR1052" t="s">
        <v>8847</v>
      </c>
      <c r="AS1052" t="s">
        <v>8848</v>
      </c>
      <c r="AT1052" t="s">
        <v>5003</v>
      </c>
      <c r="AU1052" t="s">
        <v>5004</v>
      </c>
      <c r="AV1052" t="s">
        <v>69</v>
      </c>
      <c r="AW1052" t="s">
        <v>5001</v>
      </c>
      <c r="AX1052" t="s">
        <v>29518</v>
      </c>
      <c r="AY1052" t="s">
        <v>274</v>
      </c>
      <c r="AZ1052">
        <v>2007</v>
      </c>
      <c r="BA1052">
        <v>35</v>
      </c>
      <c r="BB1052">
        <v>5</v>
      </c>
      <c r="BC1052" t="s">
        <v>69</v>
      </c>
      <c r="BD1052" t="s">
        <v>69</v>
      </c>
      <c r="BE1052" t="s">
        <v>69</v>
      </c>
      <c r="BF1052" t="s">
        <v>69</v>
      </c>
      <c r="BG1052">
        <v>508</v>
      </c>
      <c r="BH1052">
        <v>510</v>
      </c>
      <c r="BI1052" t="s">
        <v>69</v>
      </c>
      <c r="BJ1052" t="s">
        <v>5005</v>
      </c>
      <c r="BK1052" t="str">
        <f>HYPERLINK("http://dx.doi.org/10.1002/clen.200720021","http://dx.doi.org/10.1002/clen.200720021")</f>
        <v>http://dx.doi.org/10.1002/clen.200720021</v>
      </c>
      <c r="BL1052" t="s">
        <v>69</v>
      </c>
      <c r="BM1052" t="s">
        <v>69</v>
      </c>
      <c r="BN1052">
        <v>3</v>
      </c>
      <c r="BO1052" t="s">
        <v>29519</v>
      </c>
      <c r="BP1052" t="s">
        <v>8548</v>
      </c>
      <c r="BQ1052" t="s">
        <v>29520</v>
      </c>
      <c r="BR1052" t="s">
        <v>29521</v>
      </c>
      <c r="BS1052" t="s">
        <v>5006</v>
      </c>
      <c r="BT1052" t="s">
        <v>69</v>
      </c>
      <c r="BU1052" t="s">
        <v>69</v>
      </c>
      <c r="BV1052" t="s">
        <v>69</v>
      </c>
      <c r="BW1052" t="s">
        <v>69</v>
      </c>
      <c r="BX1052" t="s">
        <v>8526</v>
      </c>
      <c r="BY1052" t="str">
        <f>HYPERLINK("https%3A%2F%2Fwww.webofscience.com%2Fwos%2Fwoscc%2Ffull-record%2FWOS:000251007000026","View Full Record in Web of Science")</f>
        <v>View Full Record in Web of Science</v>
      </c>
    </row>
    <row r="1053" spans="1:77" ht="12.5" x14ac:dyDescent="0.25">
      <c r="A1053" t="s">
        <v>8495</v>
      </c>
      <c r="B1053" s="22" t="s">
        <v>32931</v>
      </c>
      <c r="C1053" s="7"/>
      <c r="D1053" s="7"/>
      <c r="E1053" s="7"/>
      <c r="F1053" t="s">
        <v>67</v>
      </c>
      <c r="G1053" t="s">
        <v>10528</v>
      </c>
      <c r="H1053" t="s">
        <v>69</v>
      </c>
      <c r="I1053" t="s">
        <v>69</v>
      </c>
      <c r="J1053" t="s">
        <v>69</v>
      </c>
      <c r="K1053" t="s">
        <v>10529</v>
      </c>
      <c r="L1053" t="s">
        <v>69</v>
      </c>
      <c r="M1053" t="s">
        <v>69</v>
      </c>
      <c r="N1053" t="s">
        <v>10530</v>
      </c>
      <c r="O1053" t="s">
        <v>10531</v>
      </c>
      <c r="P1053" t="s">
        <v>69</v>
      </c>
      <c r="Q1053" t="s">
        <v>69</v>
      </c>
      <c r="R1053" t="s">
        <v>8505</v>
      </c>
      <c r="S1053" t="s">
        <v>8506</v>
      </c>
      <c r="T1053" t="s">
        <v>69</v>
      </c>
      <c r="U1053" t="s">
        <v>69</v>
      </c>
      <c r="V1053" t="s">
        <v>69</v>
      </c>
      <c r="W1053" t="s">
        <v>69</v>
      </c>
      <c r="X1053" t="s">
        <v>69</v>
      </c>
      <c r="Y1053" t="s">
        <v>10532</v>
      </c>
      <c r="Z1053" t="s">
        <v>10533</v>
      </c>
      <c r="AA1053" t="s">
        <v>10534</v>
      </c>
      <c r="AB1053" t="s">
        <v>10535</v>
      </c>
      <c r="AC1053" t="s">
        <v>69</v>
      </c>
      <c r="AD1053" t="s">
        <v>10536</v>
      </c>
      <c r="AE1053" t="s">
        <v>10537</v>
      </c>
      <c r="AF1053" t="s">
        <v>69</v>
      </c>
      <c r="AG1053" t="s">
        <v>69</v>
      </c>
      <c r="AH1053" t="s">
        <v>69</v>
      </c>
      <c r="AI1053" t="s">
        <v>69</v>
      </c>
      <c r="AJ1053" t="s">
        <v>69</v>
      </c>
      <c r="AK1053" t="s">
        <v>69</v>
      </c>
      <c r="AL1053">
        <v>26</v>
      </c>
      <c r="AM1053">
        <v>0</v>
      </c>
      <c r="AN1053">
        <v>0</v>
      </c>
      <c r="AO1053">
        <v>0</v>
      </c>
      <c r="AP1053">
        <v>0</v>
      </c>
      <c r="AQ1053" t="s">
        <v>10538</v>
      </c>
      <c r="AR1053" t="s">
        <v>10539</v>
      </c>
      <c r="AS1053" t="s">
        <v>10540</v>
      </c>
      <c r="AT1053" t="s">
        <v>10541</v>
      </c>
      <c r="AU1053" t="s">
        <v>10542</v>
      </c>
      <c r="AV1053" t="s">
        <v>69</v>
      </c>
      <c r="AW1053" t="s">
        <v>10543</v>
      </c>
      <c r="AX1053" t="s">
        <v>10544</v>
      </c>
      <c r="AY1053" t="s">
        <v>75</v>
      </c>
      <c r="AZ1053">
        <v>2021</v>
      </c>
      <c r="BA1053">
        <v>10</v>
      </c>
      <c r="BB1053">
        <v>12</v>
      </c>
      <c r="BC1053" t="s">
        <v>69</v>
      </c>
      <c r="BD1053" t="s">
        <v>69</v>
      </c>
      <c r="BE1053" t="s">
        <v>69</v>
      </c>
      <c r="BF1053" t="s">
        <v>69</v>
      </c>
      <c r="BG1053">
        <v>4525</v>
      </c>
      <c r="BH1053" t="s">
        <v>219</v>
      </c>
      <c r="BI1053" t="s">
        <v>69</v>
      </c>
      <c r="BJ1053" t="s">
        <v>10545</v>
      </c>
      <c r="BK1053" t="str">
        <f>HYPERLINK("http://dx.doi.org/10.4103/jfmpc.jfmpc_1158_21","http://dx.doi.org/10.4103/jfmpc.jfmpc_1158_21")</f>
        <v>http://dx.doi.org/10.4103/jfmpc.jfmpc_1158_21</v>
      </c>
      <c r="BL1053" t="s">
        <v>69</v>
      </c>
      <c r="BM1053" t="s">
        <v>69</v>
      </c>
      <c r="BN1053">
        <v>7</v>
      </c>
      <c r="BO1053" t="s">
        <v>10546</v>
      </c>
      <c r="BP1053" t="s">
        <v>8573</v>
      </c>
      <c r="BQ1053" t="s">
        <v>9451</v>
      </c>
      <c r="BR1053" t="s">
        <v>10547</v>
      </c>
      <c r="BS1053" t="s">
        <v>10548</v>
      </c>
      <c r="BT1053">
        <v>35280640</v>
      </c>
      <c r="BU1053" t="s">
        <v>8812</v>
      </c>
      <c r="BV1053" t="s">
        <v>69</v>
      </c>
      <c r="BW1053" t="s">
        <v>69</v>
      </c>
      <c r="BX1053" t="s">
        <v>8526</v>
      </c>
      <c r="BY1053" t="str">
        <f>HYPERLINK("https%3A%2F%2Fwww.webofscience.com%2Fwos%2Fwoscc%2Ffull-record%2FWOS:000753692000028","View Full Record in Web of Science")</f>
        <v>View Full Record in Web of Science</v>
      </c>
    </row>
    <row r="1054" spans="1:77" ht="12.5" x14ac:dyDescent="0.25">
      <c r="A1054" t="s">
        <v>8495</v>
      </c>
      <c r="B1054" s="7" t="s">
        <v>32933</v>
      </c>
      <c r="C1054" s="7"/>
      <c r="D1054" s="7"/>
      <c r="E1054" s="7"/>
      <c r="F1054" t="s">
        <v>67</v>
      </c>
      <c r="G1054" t="s">
        <v>3875</v>
      </c>
      <c r="H1054" t="s">
        <v>69</v>
      </c>
      <c r="I1054" t="s">
        <v>69</v>
      </c>
      <c r="J1054" t="s">
        <v>69</v>
      </c>
      <c r="K1054" t="s">
        <v>3875</v>
      </c>
      <c r="L1054" t="s">
        <v>69</v>
      </c>
      <c r="M1054" t="s">
        <v>69</v>
      </c>
      <c r="N1054" t="s">
        <v>3876</v>
      </c>
      <c r="O1054" t="s">
        <v>3877</v>
      </c>
      <c r="P1054" t="s">
        <v>69</v>
      </c>
      <c r="Q1054" t="s">
        <v>69</v>
      </c>
      <c r="R1054" t="s">
        <v>8505</v>
      </c>
      <c r="S1054" t="s">
        <v>8506</v>
      </c>
      <c r="T1054" t="s">
        <v>69</v>
      </c>
      <c r="U1054" t="s">
        <v>69</v>
      </c>
      <c r="V1054" t="s">
        <v>69</v>
      </c>
      <c r="W1054" t="s">
        <v>69</v>
      </c>
      <c r="X1054" t="s">
        <v>69</v>
      </c>
      <c r="Y1054" t="s">
        <v>69</v>
      </c>
      <c r="Z1054" t="s">
        <v>30547</v>
      </c>
      <c r="AA1054" t="s">
        <v>3878</v>
      </c>
      <c r="AB1054" t="s">
        <v>30548</v>
      </c>
      <c r="AC1054" t="s">
        <v>69</v>
      </c>
      <c r="AD1054" t="s">
        <v>30549</v>
      </c>
      <c r="AE1054" t="s">
        <v>30550</v>
      </c>
      <c r="AF1054" t="s">
        <v>69</v>
      </c>
      <c r="AG1054" t="s">
        <v>3879</v>
      </c>
      <c r="AH1054" t="s">
        <v>69</v>
      </c>
      <c r="AI1054" t="s">
        <v>69</v>
      </c>
      <c r="AJ1054" t="s">
        <v>69</v>
      </c>
      <c r="AK1054" t="s">
        <v>69</v>
      </c>
      <c r="AL1054">
        <v>61</v>
      </c>
      <c r="AM1054">
        <v>72</v>
      </c>
      <c r="AN1054">
        <v>72</v>
      </c>
      <c r="AO1054">
        <v>0</v>
      </c>
      <c r="AP1054">
        <v>56</v>
      </c>
      <c r="AQ1054" t="s">
        <v>8846</v>
      </c>
      <c r="AR1054" t="s">
        <v>8847</v>
      </c>
      <c r="AS1054" t="s">
        <v>8848</v>
      </c>
      <c r="AT1054" t="s">
        <v>3880</v>
      </c>
      <c r="AU1054" t="s">
        <v>3881</v>
      </c>
      <c r="AV1054" t="s">
        <v>69</v>
      </c>
      <c r="AW1054" t="s">
        <v>25684</v>
      </c>
      <c r="AX1054" t="s">
        <v>25685</v>
      </c>
      <c r="AY1054" t="s">
        <v>75</v>
      </c>
      <c r="AZ1054">
        <v>2005</v>
      </c>
      <c r="BA1054">
        <v>16</v>
      </c>
      <c r="BB1054">
        <v>4</v>
      </c>
      <c r="BC1054" t="s">
        <v>69</v>
      </c>
      <c r="BD1054" t="s">
        <v>69</v>
      </c>
      <c r="BE1054" t="s">
        <v>69</v>
      </c>
      <c r="BF1054" t="s">
        <v>69</v>
      </c>
      <c r="BG1054">
        <v>261</v>
      </c>
      <c r="BH1054">
        <v>278</v>
      </c>
      <c r="BI1054" t="s">
        <v>69</v>
      </c>
      <c r="BJ1054" t="s">
        <v>3882</v>
      </c>
      <c r="BK1054" t="str">
        <f>HYPERLINK("http://dx.doi.org/10.1111/j.1467-8551.2005.00463.x","http://dx.doi.org/10.1111/j.1467-8551.2005.00463.x")</f>
        <v>http://dx.doi.org/10.1111/j.1467-8551.2005.00463.x</v>
      </c>
      <c r="BL1054" t="s">
        <v>69</v>
      </c>
      <c r="BM1054" t="s">
        <v>69</v>
      </c>
      <c r="BN1054">
        <v>18</v>
      </c>
      <c r="BO1054" t="s">
        <v>8791</v>
      </c>
      <c r="BP1054" t="s">
        <v>8661</v>
      </c>
      <c r="BQ1054" t="s">
        <v>8594</v>
      </c>
      <c r="BR1054" t="s">
        <v>30551</v>
      </c>
      <c r="BS1054" t="s">
        <v>3883</v>
      </c>
      <c r="BT1054" t="s">
        <v>69</v>
      </c>
      <c r="BU1054" t="s">
        <v>69</v>
      </c>
      <c r="BV1054" t="s">
        <v>69</v>
      </c>
      <c r="BW1054" t="s">
        <v>69</v>
      </c>
      <c r="BX1054" t="s">
        <v>8526</v>
      </c>
      <c r="BY1054" t="str">
        <f>HYPERLINK("https%3A%2F%2Fwww.webofscience.com%2Fwos%2Fwoscc%2Ffull-record%2FWOS:000233516500001","View Full Record in Web of Science")</f>
        <v>View Full Record in Web of Science</v>
      </c>
    </row>
    <row r="1055" spans="1:77" ht="12.5" x14ac:dyDescent="0.25">
      <c r="A1055" t="s">
        <v>8495</v>
      </c>
      <c r="B1055" s="22" t="s">
        <v>32931</v>
      </c>
      <c r="C1055" s="7"/>
      <c r="D1055" s="7"/>
      <c r="E1055" s="7"/>
      <c r="F1055" t="s">
        <v>67</v>
      </c>
      <c r="G1055" t="s">
        <v>21851</v>
      </c>
      <c r="H1055" t="s">
        <v>69</v>
      </c>
      <c r="I1055" t="s">
        <v>69</v>
      </c>
      <c r="J1055" t="s">
        <v>69</v>
      </c>
      <c r="K1055" t="s">
        <v>21852</v>
      </c>
      <c r="L1055" t="s">
        <v>69</v>
      </c>
      <c r="M1055" t="s">
        <v>69</v>
      </c>
      <c r="N1055" t="s">
        <v>21853</v>
      </c>
      <c r="O1055" t="s">
        <v>19826</v>
      </c>
      <c r="P1055" t="s">
        <v>69</v>
      </c>
      <c r="Q1055" t="s">
        <v>69</v>
      </c>
      <c r="R1055" t="s">
        <v>8505</v>
      </c>
      <c r="S1055" t="s">
        <v>8506</v>
      </c>
      <c r="T1055" t="s">
        <v>69</v>
      </c>
      <c r="U1055" t="s">
        <v>69</v>
      </c>
      <c r="V1055" t="s">
        <v>69</v>
      </c>
      <c r="W1055" t="s">
        <v>69</v>
      </c>
      <c r="X1055" t="s">
        <v>69</v>
      </c>
      <c r="Y1055" t="s">
        <v>21854</v>
      </c>
      <c r="Z1055" t="s">
        <v>21855</v>
      </c>
      <c r="AA1055" t="s">
        <v>21856</v>
      </c>
      <c r="AB1055" t="s">
        <v>21857</v>
      </c>
      <c r="AC1055" t="s">
        <v>69</v>
      </c>
      <c r="AD1055" t="s">
        <v>21858</v>
      </c>
      <c r="AE1055" t="s">
        <v>21859</v>
      </c>
      <c r="AF1055" t="s">
        <v>21860</v>
      </c>
      <c r="AG1055" t="s">
        <v>21861</v>
      </c>
      <c r="AH1055" t="s">
        <v>69</v>
      </c>
      <c r="AI1055" t="s">
        <v>69</v>
      </c>
      <c r="AJ1055" t="s">
        <v>69</v>
      </c>
      <c r="AK1055" t="s">
        <v>69</v>
      </c>
      <c r="AL1055">
        <v>36</v>
      </c>
      <c r="AM1055">
        <v>9</v>
      </c>
      <c r="AN1055">
        <v>9</v>
      </c>
      <c r="AO1055">
        <v>0</v>
      </c>
      <c r="AP1055">
        <v>5</v>
      </c>
      <c r="AQ1055" t="s">
        <v>16416</v>
      </c>
      <c r="AR1055" t="s">
        <v>16417</v>
      </c>
      <c r="AS1055" t="s">
        <v>16418</v>
      </c>
      <c r="AT1055" t="s">
        <v>19835</v>
      </c>
      <c r="AU1055" t="s">
        <v>19836</v>
      </c>
      <c r="AV1055" t="s">
        <v>69</v>
      </c>
      <c r="AW1055" t="s">
        <v>19837</v>
      </c>
      <c r="AX1055" t="s">
        <v>19838</v>
      </c>
      <c r="AY1055" t="s">
        <v>191</v>
      </c>
      <c r="AZ1055">
        <v>2016</v>
      </c>
      <c r="BA1055">
        <v>12</v>
      </c>
      <c r="BB1055">
        <v>1</v>
      </c>
      <c r="BC1055" t="s">
        <v>69</v>
      </c>
      <c r="BD1055" t="s">
        <v>69</v>
      </c>
      <c r="BE1055" t="s">
        <v>114</v>
      </c>
      <c r="BF1055" t="s">
        <v>69</v>
      </c>
      <c r="BG1055">
        <v>78</v>
      </c>
      <c r="BH1055">
        <v>90</v>
      </c>
      <c r="BI1055" t="s">
        <v>69</v>
      </c>
      <c r="BJ1055" t="s">
        <v>21862</v>
      </c>
      <c r="BK1055" t="str">
        <f>HYPERLINK("http://dx.doi.org/10.1057/pb.2015.23","http://dx.doi.org/10.1057/pb.2015.23")</f>
        <v>http://dx.doi.org/10.1057/pb.2015.23</v>
      </c>
      <c r="BL1055" t="s">
        <v>69</v>
      </c>
      <c r="BM1055" t="s">
        <v>69</v>
      </c>
      <c r="BN1055">
        <v>13</v>
      </c>
      <c r="BO1055" t="s">
        <v>10278</v>
      </c>
      <c r="BP1055" t="s">
        <v>8573</v>
      </c>
      <c r="BQ1055" t="s">
        <v>10279</v>
      </c>
      <c r="BR1055" t="s">
        <v>21863</v>
      </c>
      <c r="BS1055" t="s">
        <v>21864</v>
      </c>
      <c r="BT1055" t="s">
        <v>69</v>
      </c>
      <c r="BU1055" t="s">
        <v>69</v>
      </c>
      <c r="BV1055" t="s">
        <v>69</v>
      </c>
      <c r="BW1055" t="s">
        <v>69</v>
      </c>
      <c r="BX1055" t="s">
        <v>8526</v>
      </c>
      <c r="BY1055" t="str">
        <f>HYPERLINK("https%3A%2F%2Fwww.webofscience.com%2Fwos%2Fwoscc%2Ffull-record%2FWOS:000410350500008","View Full Record in Web of Science")</f>
        <v>View Full Record in Web of Science</v>
      </c>
    </row>
    <row r="1056" spans="1:77" x14ac:dyDescent="0.3">
      <c r="A1056" t="s">
        <v>8495</v>
      </c>
      <c r="B1056" s="9" t="s">
        <v>32996</v>
      </c>
      <c r="C1056" s="9" t="s">
        <v>33129</v>
      </c>
      <c r="D1056" s="9" t="s">
        <v>8491</v>
      </c>
      <c r="E1056" s="9" t="s">
        <v>8490</v>
      </c>
      <c r="F1056" t="s">
        <v>67</v>
      </c>
      <c r="G1056" t="s">
        <v>32606</v>
      </c>
      <c r="H1056" t="s">
        <v>69</v>
      </c>
      <c r="I1056" t="s">
        <v>69</v>
      </c>
      <c r="J1056" t="s">
        <v>69</v>
      </c>
      <c r="K1056" t="s">
        <v>32606</v>
      </c>
      <c r="L1056" t="s">
        <v>69</v>
      </c>
      <c r="M1056" t="s">
        <v>69</v>
      </c>
      <c r="N1056" t="s">
        <v>32607</v>
      </c>
      <c r="O1056" t="s">
        <v>32608</v>
      </c>
      <c r="P1056" t="s">
        <v>69</v>
      </c>
      <c r="Q1056" t="s">
        <v>69</v>
      </c>
      <c r="R1056" t="s">
        <v>8505</v>
      </c>
      <c r="S1056" t="s">
        <v>8506</v>
      </c>
      <c r="T1056" t="s">
        <v>69</v>
      </c>
      <c r="U1056" t="s">
        <v>69</v>
      </c>
      <c r="V1056" t="s">
        <v>69</v>
      </c>
      <c r="W1056" t="s">
        <v>69</v>
      </c>
      <c r="X1056" t="s">
        <v>69</v>
      </c>
      <c r="Y1056" t="s">
        <v>69</v>
      </c>
      <c r="Z1056" t="s">
        <v>69</v>
      </c>
      <c r="AA1056" t="s">
        <v>32609</v>
      </c>
      <c r="AB1056" t="s">
        <v>69</v>
      </c>
      <c r="AC1056" t="s">
        <v>69</v>
      </c>
      <c r="AD1056" t="s">
        <v>32610</v>
      </c>
      <c r="AE1056" t="s">
        <v>69</v>
      </c>
      <c r="AF1056" t="s">
        <v>69</v>
      </c>
      <c r="AG1056" t="s">
        <v>69</v>
      </c>
      <c r="AH1056" t="s">
        <v>69</v>
      </c>
      <c r="AI1056" t="s">
        <v>69</v>
      </c>
      <c r="AJ1056" t="s">
        <v>69</v>
      </c>
      <c r="AK1056" t="s">
        <v>69</v>
      </c>
      <c r="AL1056">
        <v>5</v>
      </c>
      <c r="AM1056">
        <v>2</v>
      </c>
      <c r="AN1056">
        <v>2</v>
      </c>
      <c r="AO1056">
        <v>0</v>
      </c>
      <c r="AP1056">
        <v>1</v>
      </c>
      <c r="AQ1056" t="s">
        <v>32611</v>
      </c>
      <c r="AR1056" t="s">
        <v>12925</v>
      </c>
      <c r="AS1056" t="s">
        <v>32612</v>
      </c>
      <c r="AT1056" t="s">
        <v>32613</v>
      </c>
      <c r="AU1056" t="s">
        <v>69</v>
      </c>
      <c r="AV1056" t="s">
        <v>69</v>
      </c>
      <c r="AW1056" t="s">
        <v>32614</v>
      </c>
      <c r="AX1056" t="s">
        <v>32615</v>
      </c>
      <c r="AY1056" t="s">
        <v>191</v>
      </c>
      <c r="AZ1056">
        <v>1995</v>
      </c>
      <c r="BA1056">
        <v>68</v>
      </c>
      <c r="BB1056">
        <v>2</v>
      </c>
      <c r="BC1056" t="s">
        <v>69</v>
      </c>
      <c r="BD1056" t="s">
        <v>69</v>
      </c>
      <c r="BE1056" t="s">
        <v>69</v>
      </c>
      <c r="BF1056" t="s">
        <v>69</v>
      </c>
      <c r="BG1056">
        <v>133</v>
      </c>
      <c r="BH1056">
        <v>139</v>
      </c>
      <c r="BI1056" t="s">
        <v>69</v>
      </c>
      <c r="BJ1056" t="s">
        <v>32616</v>
      </c>
      <c r="BK1056" t="str">
        <f>HYPERLINK("http://dx.doi.org/10.1006/enrs.1995.1017","http://dx.doi.org/10.1006/enrs.1995.1017")</f>
        <v>http://dx.doi.org/10.1006/enrs.1995.1017</v>
      </c>
      <c r="BL1056" t="s">
        <v>69</v>
      </c>
      <c r="BM1056" t="s">
        <v>69</v>
      </c>
      <c r="BN1056">
        <v>7</v>
      </c>
      <c r="BO1056" t="s">
        <v>10595</v>
      </c>
      <c r="BP1056" t="s">
        <v>8548</v>
      </c>
      <c r="BQ1056" t="s">
        <v>10596</v>
      </c>
      <c r="BR1056" t="s">
        <v>32617</v>
      </c>
      <c r="BS1056" t="s">
        <v>32618</v>
      </c>
      <c r="BT1056">
        <v>7601074</v>
      </c>
      <c r="BU1056" t="s">
        <v>69</v>
      </c>
      <c r="BV1056" t="s">
        <v>69</v>
      </c>
      <c r="BW1056" t="s">
        <v>69</v>
      </c>
      <c r="BX1056" t="s">
        <v>8526</v>
      </c>
      <c r="BY1056" t="str">
        <f>HYPERLINK("https%3A%2F%2Fwww.webofscience.com%2Fwos%2Fwoscc%2Ffull-record%2FWOS:A1995RH50900008","View Full Record in Web of Science")</f>
        <v>View Full Record in Web of Science</v>
      </c>
    </row>
    <row r="1057" spans="1:77" ht="12.5" x14ac:dyDescent="0.25">
      <c r="A1057" t="s">
        <v>8495</v>
      </c>
      <c r="B1057" s="22" t="s">
        <v>32931</v>
      </c>
      <c r="C1057" s="7"/>
      <c r="D1057" s="7"/>
      <c r="E1057" s="7"/>
      <c r="F1057" t="s">
        <v>67</v>
      </c>
      <c r="G1057" t="s">
        <v>12332</v>
      </c>
      <c r="H1057" t="s">
        <v>69</v>
      </c>
      <c r="I1057" t="s">
        <v>69</v>
      </c>
      <c r="J1057" t="s">
        <v>69</v>
      </c>
      <c r="K1057" t="s">
        <v>12333</v>
      </c>
      <c r="L1057" t="s">
        <v>69</v>
      </c>
      <c r="M1057" t="s">
        <v>69</v>
      </c>
      <c r="N1057" t="s">
        <v>12334</v>
      </c>
      <c r="O1057" t="s">
        <v>12335</v>
      </c>
      <c r="P1057" t="s">
        <v>69</v>
      </c>
      <c r="Q1057" t="s">
        <v>69</v>
      </c>
      <c r="R1057" t="s">
        <v>8505</v>
      </c>
      <c r="S1057" t="s">
        <v>8506</v>
      </c>
      <c r="T1057" t="s">
        <v>69</v>
      </c>
      <c r="U1057" t="s">
        <v>69</v>
      </c>
      <c r="V1057" t="s">
        <v>69</v>
      </c>
      <c r="W1057" t="s">
        <v>69</v>
      </c>
      <c r="X1057" t="s">
        <v>69</v>
      </c>
      <c r="Y1057" t="s">
        <v>12336</v>
      </c>
      <c r="Z1057" t="s">
        <v>12337</v>
      </c>
      <c r="AA1057" t="s">
        <v>12338</v>
      </c>
      <c r="AB1057" t="s">
        <v>12339</v>
      </c>
      <c r="AC1057" t="s">
        <v>69</v>
      </c>
      <c r="AD1057" t="s">
        <v>12340</v>
      </c>
      <c r="AE1057" t="s">
        <v>12341</v>
      </c>
      <c r="AF1057" t="s">
        <v>69</v>
      </c>
      <c r="AG1057" t="s">
        <v>69</v>
      </c>
      <c r="AH1057" t="s">
        <v>12342</v>
      </c>
      <c r="AI1057" t="s">
        <v>12343</v>
      </c>
      <c r="AJ1057" t="s">
        <v>12344</v>
      </c>
      <c r="AK1057" t="s">
        <v>69</v>
      </c>
      <c r="AL1057">
        <v>66</v>
      </c>
      <c r="AM1057">
        <v>6</v>
      </c>
      <c r="AN1057">
        <v>7</v>
      </c>
      <c r="AO1057">
        <v>14</v>
      </c>
      <c r="AP1057">
        <v>26</v>
      </c>
      <c r="AQ1057" t="s">
        <v>8516</v>
      </c>
      <c r="AR1057" t="s">
        <v>8517</v>
      </c>
      <c r="AS1057" t="s">
        <v>8518</v>
      </c>
      <c r="AT1057" t="s">
        <v>12345</v>
      </c>
      <c r="AU1057" t="s">
        <v>69</v>
      </c>
      <c r="AV1057" t="s">
        <v>69</v>
      </c>
      <c r="AW1057" t="s">
        <v>12346</v>
      </c>
      <c r="AX1057" t="s">
        <v>12347</v>
      </c>
      <c r="AY1057" t="s">
        <v>69</v>
      </c>
      <c r="AZ1057">
        <v>2021</v>
      </c>
      <c r="BA1057">
        <v>32</v>
      </c>
      <c r="BB1057" t="s">
        <v>69</v>
      </c>
      <c r="BC1057" t="s">
        <v>69</v>
      </c>
      <c r="BD1057" t="s">
        <v>69</v>
      </c>
      <c r="BE1057" t="s">
        <v>69</v>
      </c>
      <c r="BF1057" t="s">
        <v>69</v>
      </c>
      <c r="BG1057" t="s">
        <v>69</v>
      </c>
      <c r="BH1057" t="s">
        <v>69</v>
      </c>
      <c r="BI1057">
        <v>100313</v>
      </c>
      <c r="BJ1057" t="s">
        <v>12348</v>
      </c>
      <c r="BK1057" t="str">
        <f>HYPERLINK("http://dx.doi.org/10.1016/j.crm.2021.100313","http://dx.doi.org/10.1016/j.crm.2021.100313")</f>
        <v>http://dx.doi.org/10.1016/j.crm.2021.100313</v>
      </c>
      <c r="BL1057" t="s">
        <v>69</v>
      </c>
      <c r="BM1057" t="s">
        <v>12312</v>
      </c>
      <c r="BN1057">
        <v>14</v>
      </c>
      <c r="BO1057" t="s">
        <v>12349</v>
      </c>
      <c r="BP1057" t="s">
        <v>8523</v>
      </c>
      <c r="BQ1057" t="s">
        <v>11284</v>
      </c>
      <c r="BR1057" t="s">
        <v>12350</v>
      </c>
      <c r="BS1057" t="s">
        <v>12351</v>
      </c>
      <c r="BT1057" t="s">
        <v>69</v>
      </c>
      <c r="BU1057" t="s">
        <v>8931</v>
      </c>
      <c r="BV1057" t="s">
        <v>69</v>
      </c>
      <c r="BW1057" t="s">
        <v>69</v>
      </c>
      <c r="BX1057" t="s">
        <v>8526</v>
      </c>
      <c r="BY1057" t="str">
        <f>HYPERLINK("https%3A%2F%2Fwww.webofscience.com%2Fwos%2Fwoscc%2Ffull-record%2FWOS:000653205100004","View Full Record in Web of Science")</f>
        <v>View Full Record in Web of Science</v>
      </c>
    </row>
    <row r="1058" spans="1:77" ht="12.5" x14ac:dyDescent="0.25">
      <c r="A1058" t="s">
        <v>8495</v>
      </c>
      <c r="B1058" s="7" t="s">
        <v>32933</v>
      </c>
      <c r="C1058" s="7"/>
      <c r="D1058" s="7"/>
      <c r="E1058" s="7"/>
      <c r="F1058" t="s">
        <v>67</v>
      </c>
      <c r="G1058" t="s">
        <v>507</v>
      </c>
      <c r="H1058" t="s">
        <v>69</v>
      </c>
      <c r="I1058" t="s">
        <v>69</v>
      </c>
      <c r="J1058" t="s">
        <v>69</v>
      </c>
      <c r="K1058" t="s">
        <v>508</v>
      </c>
      <c r="L1058" t="s">
        <v>69</v>
      </c>
      <c r="M1058" t="s">
        <v>69</v>
      </c>
      <c r="N1058" t="s">
        <v>509</v>
      </c>
      <c r="O1058" t="s">
        <v>510</v>
      </c>
      <c r="P1058" t="s">
        <v>69</v>
      </c>
      <c r="Q1058" t="s">
        <v>69</v>
      </c>
      <c r="R1058" t="s">
        <v>8505</v>
      </c>
      <c r="S1058" t="s">
        <v>8506</v>
      </c>
      <c r="T1058" t="s">
        <v>69</v>
      </c>
      <c r="U1058" t="s">
        <v>69</v>
      </c>
      <c r="V1058" t="s">
        <v>69</v>
      </c>
      <c r="W1058" t="s">
        <v>69</v>
      </c>
      <c r="X1058" t="s">
        <v>69</v>
      </c>
      <c r="Y1058" t="s">
        <v>69</v>
      </c>
      <c r="Z1058" t="s">
        <v>69</v>
      </c>
      <c r="AA1058" t="s">
        <v>511</v>
      </c>
      <c r="AB1058" t="s">
        <v>24420</v>
      </c>
      <c r="AC1058" t="s">
        <v>69</v>
      </c>
      <c r="AD1058" t="s">
        <v>24421</v>
      </c>
      <c r="AE1058" t="s">
        <v>24422</v>
      </c>
      <c r="AF1058" t="s">
        <v>69</v>
      </c>
      <c r="AG1058" t="s">
        <v>69</v>
      </c>
      <c r="AH1058" t="s">
        <v>69</v>
      </c>
      <c r="AI1058" t="s">
        <v>69</v>
      </c>
      <c r="AJ1058" t="s">
        <v>69</v>
      </c>
      <c r="AK1058" t="s">
        <v>69</v>
      </c>
      <c r="AL1058">
        <v>10</v>
      </c>
      <c r="AM1058">
        <v>8</v>
      </c>
      <c r="AN1058">
        <v>8</v>
      </c>
      <c r="AO1058">
        <v>0</v>
      </c>
      <c r="AP1058">
        <v>8</v>
      </c>
      <c r="AQ1058" t="s">
        <v>8636</v>
      </c>
      <c r="AR1058" t="s">
        <v>8637</v>
      </c>
      <c r="AS1058" t="s">
        <v>8638</v>
      </c>
      <c r="AT1058" t="s">
        <v>512</v>
      </c>
      <c r="AU1058" t="s">
        <v>513</v>
      </c>
      <c r="AV1058" t="s">
        <v>69</v>
      </c>
      <c r="AW1058" t="s">
        <v>18408</v>
      </c>
      <c r="AX1058" t="s">
        <v>18409</v>
      </c>
      <c r="AY1058" t="s">
        <v>75</v>
      </c>
      <c r="AZ1058">
        <v>2013</v>
      </c>
      <c r="BA1058">
        <v>85</v>
      </c>
      <c r="BB1058" t="s">
        <v>69</v>
      </c>
      <c r="BC1058" t="s">
        <v>514</v>
      </c>
      <c r="BD1058" t="s">
        <v>69</v>
      </c>
      <c r="BE1058" t="s">
        <v>114</v>
      </c>
      <c r="BF1058" t="s">
        <v>69</v>
      </c>
      <c r="BG1058">
        <v>141</v>
      </c>
      <c r="BH1058">
        <v>152</v>
      </c>
      <c r="BI1058" t="s">
        <v>69</v>
      </c>
      <c r="BJ1058" t="s">
        <v>515</v>
      </c>
      <c r="BK1058" t="str">
        <f>HYPERLINK("http://dx.doi.org/10.1016/j.ocecoaman.2012.10.012","http://dx.doi.org/10.1016/j.ocecoaman.2012.10.012")</f>
        <v>http://dx.doi.org/10.1016/j.ocecoaman.2012.10.012</v>
      </c>
      <c r="BL1058" t="s">
        <v>69</v>
      </c>
      <c r="BM1058" t="s">
        <v>69</v>
      </c>
      <c r="BN1058">
        <v>12</v>
      </c>
      <c r="BO1058" t="s">
        <v>18410</v>
      </c>
      <c r="BP1058" t="s">
        <v>8548</v>
      </c>
      <c r="BQ1058" t="s">
        <v>18410</v>
      </c>
      <c r="BR1058" t="s">
        <v>24423</v>
      </c>
      <c r="BS1058" t="s">
        <v>516</v>
      </c>
      <c r="BT1058">
        <v>32288367</v>
      </c>
      <c r="BU1058" t="s">
        <v>9029</v>
      </c>
      <c r="BV1058" t="s">
        <v>69</v>
      </c>
      <c r="BW1058" t="s">
        <v>69</v>
      </c>
      <c r="BX1058" t="s">
        <v>8526</v>
      </c>
      <c r="BY1058" t="str">
        <f>HYPERLINK("https%3A%2F%2Fwww.webofscience.com%2Fwos%2Fwoscc%2Ffull-record%2FWOS:000330080400004","View Full Record in Web of Science")</f>
        <v>View Full Record in Web of Science</v>
      </c>
    </row>
    <row r="1059" spans="1:77" ht="12.5" x14ac:dyDescent="0.25">
      <c r="A1059" t="s">
        <v>8495</v>
      </c>
      <c r="B1059" s="7" t="s">
        <v>32933</v>
      </c>
      <c r="C1059" s="7"/>
      <c r="D1059" s="7"/>
      <c r="E1059" s="7"/>
      <c r="F1059" t="s">
        <v>67</v>
      </c>
      <c r="G1059" t="s">
        <v>2181</v>
      </c>
      <c r="H1059" t="s">
        <v>69</v>
      </c>
      <c r="I1059" t="s">
        <v>69</v>
      </c>
      <c r="J1059" t="s">
        <v>69</v>
      </c>
      <c r="K1059" t="s">
        <v>2182</v>
      </c>
      <c r="L1059" t="s">
        <v>69</v>
      </c>
      <c r="M1059" t="s">
        <v>69</v>
      </c>
      <c r="N1059" t="s">
        <v>2183</v>
      </c>
      <c r="O1059" t="s">
        <v>387</v>
      </c>
      <c r="P1059" t="s">
        <v>69</v>
      </c>
      <c r="Q1059" t="s">
        <v>69</v>
      </c>
      <c r="R1059" t="s">
        <v>8505</v>
      </c>
      <c r="S1059" t="s">
        <v>8506</v>
      </c>
      <c r="T1059" t="s">
        <v>69</v>
      </c>
      <c r="U1059" t="s">
        <v>69</v>
      </c>
      <c r="V1059" t="s">
        <v>69</v>
      </c>
      <c r="W1059" t="s">
        <v>69</v>
      </c>
      <c r="X1059" t="s">
        <v>69</v>
      </c>
      <c r="Y1059" t="s">
        <v>16991</v>
      </c>
      <c r="Z1059" t="s">
        <v>16992</v>
      </c>
      <c r="AA1059" t="s">
        <v>2184</v>
      </c>
      <c r="AB1059" t="s">
        <v>16993</v>
      </c>
      <c r="AC1059" t="s">
        <v>69</v>
      </c>
      <c r="AD1059" t="s">
        <v>16994</v>
      </c>
      <c r="AE1059" t="s">
        <v>16995</v>
      </c>
      <c r="AF1059" t="s">
        <v>2185</v>
      </c>
      <c r="AG1059" t="s">
        <v>2186</v>
      </c>
      <c r="AH1059" t="s">
        <v>69</v>
      </c>
      <c r="AI1059" t="s">
        <v>69</v>
      </c>
      <c r="AJ1059" t="s">
        <v>69</v>
      </c>
      <c r="AK1059" t="s">
        <v>69</v>
      </c>
      <c r="AL1059">
        <v>54</v>
      </c>
      <c r="AM1059">
        <v>3</v>
      </c>
      <c r="AN1059">
        <v>3</v>
      </c>
      <c r="AO1059">
        <v>3</v>
      </c>
      <c r="AP1059">
        <v>25</v>
      </c>
      <c r="AQ1059" t="s">
        <v>8586</v>
      </c>
      <c r="AR1059" t="s">
        <v>8587</v>
      </c>
      <c r="AS1059" t="s">
        <v>8588</v>
      </c>
      <c r="AT1059" t="s">
        <v>390</v>
      </c>
      <c r="AU1059" t="s">
        <v>391</v>
      </c>
      <c r="AV1059" t="s">
        <v>69</v>
      </c>
      <c r="AW1059" t="s">
        <v>16996</v>
      </c>
      <c r="AX1059" t="s">
        <v>16997</v>
      </c>
      <c r="AY1059" t="s">
        <v>2187</v>
      </c>
      <c r="AZ1059">
        <v>2019</v>
      </c>
      <c r="BA1059">
        <v>9</v>
      </c>
      <c r="BB1059">
        <v>3</v>
      </c>
      <c r="BC1059" t="s">
        <v>69</v>
      </c>
      <c r="BD1059" t="s">
        <v>69</v>
      </c>
      <c r="BE1059" t="s">
        <v>69</v>
      </c>
      <c r="BF1059" t="s">
        <v>69</v>
      </c>
      <c r="BG1059">
        <v>348</v>
      </c>
      <c r="BH1059">
        <v>363</v>
      </c>
      <c r="BI1059" t="s">
        <v>69</v>
      </c>
      <c r="BJ1059" t="s">
        <v>2188</v>
      </c>
      <c r="BK1059" t="str">
        <f>HYPERLINK("http://dx.doi.org/10.1108/BEPAM-10-2018-0128","http://dx.doi.org/10.1108/BEPAM-10-2018-0128")</f>
        <v>http://dx.doi.org/10.1108/BEPAM-10-2018-0128</v>
      </c>
      <c r="BL1059" t="s">
        <v>69</v>
      </c>
      <c r="BM1059" t="s">
        <v>69</v>
      </c>
      <c r="BN1059">
        <v>16</v>
      </c>
      <c r="BO1059" t="s">
        <v>13537</v>
      </c>
      <c r="BP1059" t="s">
        <v>8573</v>
      </c>
      <c r="BQ1059" t="s">
        <v>8445</v>
      </c>
      <c r="BR1059" t="s">
        <v>16998</v>
      </c>
      <c r="BS1059" t="s">
        <v>2189</v>
      </c>
      <c r="BT1059" t="s">
        <v>69</v>
      </c>
      <c r="BU1059" t="s">
        <v>69</v>
      </c>
      <c r="BV1059" t="s">
        <v>69</v>
      </c>
      <c r="BW1059" t="s">
        <v>69</v>
      </c>
      <c r="BX1059" t="s">
        <v>8526</v>
      </c>
      <c r="BY1059" t="str">
        <f>HYPERLINK("https%3A%2F%2Fwww.webofscience.com%2Fwos%2Fwoscc%2Ffull-record%2FWOS:000479232000002","View Full Record in Web of Science")</f>
        <v>View Full Record in Web of Science</v>
      </c>
    </row>
    <row r="1060" spans="1:77" ht="12.5" x14ac:dyDescent="0.25">
      <c r="A1060" t="s">
        <v>8495</v>
      </c>
      <c r="B1060" s="7" t="s">
        <v>32933</v>
      </c>
      <c r="C1060" s="7"/>
      <c r="D1060" s="7"/>
      <c r="E1060" s="7"/>
      <c r="F1060" t="s">
        <v>67</v>
      </c>
      <c r="G1060" t="s">
        <v>6051</v>
      </c>
      <c r="H1060" t="s">
        <v>69</v>
      </c>
      <c r="I1060" t="s">
        <v>69</v>
      </c>
      <c r="J1060" t="s">
        <v>69</v>
      </c>
      <c r="K1060" t="s">
        <v>6052</v>
      </c>
      <c r="L1060" t="s">
        <v>69</v>
      </c>
      <c r="M1060" t="s">
        <v>69</v>
      </c>
      <c r="N1060" t="s">
        <v>6053</v>
      </c>
      <c r="O1060" t="s">
        <v>6054</v>
      </c>
      <c r="P1060" t="s">
        <v>69</v>
      </c>
      <c r="Q1060" t="s">
        <v>69</v>
      </c>
      <c r="R1060" t="s">
        <v>8505</v>
      </c>
      <c r="S1060" t="s">
        <v>8506</v>
      </c>
      <c r="T1060" t="s">
        <v>69</v>
      </c>
      <c r="U1060" t="s">
        <v>69</v>
      </c>
      <c r="V1060" t="s">
        <v>69</v>
      </c>
      <c r="W1060" t="s">
        <v>69</v>
      </c>
      <c r="X1060" t="s">
        <v>69</v>
      </c>
      <c r="Y1060" t="s">
        <v>21935</v>
      </c>
      <c r="Z1060" t="s">
        <v>69</v>
      </c>
      <c r="AA1060" t="s">
        <v>6055</v>
      </c>
      <c r="AB1060" t="s">
        <v>21936</v>
      </c>
      <c r="AC1060" t="s">
        <v>69</v>
      </c>
      <c r="AD1060" t="s">
        <v>21937</v>
      </c>
      <c r="AE1060" t="s">
        <v>21938</v>
      </c>
      <c r="AF1060" t="s">
        <v>69</v>
      </c>
      <c r="AG1060" t="s">
        <v>69</v>
      </c>
      <c r="AH1060" t="s">
        <v>69</v>
      </c>
      <c r="AI1060" t="s">
        <v>69</v>
      </c>
      <c r="AJ1060" t="s">
        <v>69</v>
      </c>
      <c r="AK1060" t="s">
        <v>69</v>
      </c>
      <c r="AL1060">
        <v>19</v>
      </c>
      <c r="AM1060">
        <v>15</v>
      </c>
      <c r="AN1060">
        <v>15</v>
      </c>
      <c r="AO1060">
        <v>1</v>
      </c>
      <c r="AP1060">
        <v>22</v>
      </c>
      <c r="AQ1060" t="s">
        <v>8586</v>
      </c>
      <c r="AR1060" t="s">
        <v>8587</v>
      </c>
      <c r="AS1060" t="s">
        <v>8588</v>
      </c>
      <c r="AT1060" t="s">
        <v>6056</v>
      </c>
      <c r="AU1060" t="s">
        <v>6057</v>
      </c>
      <c r="AV1060" t="s">
        <v>69</v>
      </c>
      <c r="AW1060" t="s">
        <v>21939</v>
      </c>
      <c r="AX1060" t="s">
        <v>21940</v>
      </c>
      <c r="AY1060" t="s">
        <v>69</v>
      </c>
      <c r="AZ1060">
        <v>2016</v>
      </c>
      <c r="BA1060">
        <v>3</v>
      </c>
      <c r="BB1060">
        <v>3</v>
      </c>
      <c r="BC1060" t="s">
        <v>69</v>
      </c>
      <c r="BD1060" t="s">
        <v>69</v>
      </c>
      <c r="BE1060" t="s">
        <v>69</v>
      </c>
      <c r="BF1060" t="s">
        <v>69</v>
      </c>
      <c r="BG1060">
        <v>323</v>
      </c>
      <c r="BH1060">
        <v>331</v>
      </c>
      <c r="BI1060" t="s">
        <v>69</v>
      </c>
      <c r="BJ1060" t="s">
        <v>6058</v>
      </c>
      <c r="BK1060" t="str">
        <f>HYPERLINK("http://dx.doi.org/10.1108/JOEPP-07-2016-0044","http://dx.doi.org/10.1108/JOEPP-07-2016-0044")</f>
        <v>http://dx.doi.org/10.1108/JOEPP-07-2016-0044</v>
      </c>
      <c r="BL1060" t="s">
        <v>69</v>
      </c>
      <c r="BM1060" t="s">
        <v>69</v>
      </c>
      <c r="BN1060">
        <v>9</v>
      </c>
      <c r="BO1060" t="s">
        <v>9410</v>
      </c>
      <c r="BP1060" t="s">
        <v>8573</v>
      </c>
      <c r="BQ1060" t="s">
        <v>8594</v>
      </c>
      <c r="BR1060" t="s">
        <v>21941</v>
      </c>
      <c r="BS1060" t="s">
        <v>6059</v>
      </c>
      <c r="BT1060" t="s">
        <v>69</v>
      </c>
      <c r="BU1060" t="s">
        <v>69</v>
      </c>
      <c r="BV1060" t="s">
        <v>69</v>
      </c>
      <c r="BW1060" t="s">
        <v>69</v>
      </c>
      <c r="BX1060" t="s">
        <v>8526</v>
      </c>
      <c r="BY1060" t="str">
        <f>HYPERLINK("https%3A%2F%2Fwww.webofscience.com%2Fwos%2Fwoscc%2Ffull-record%2FWOS:000399106200005","View Full Record in Web of Science")</f>
        <v>View Full Record in Web of Science</v>
      </c>
    </row>
    <row r="1061" spans="1:77" ht="12.5" x14ac:dyDescent="0.25">
      <c r="A1061" t="s">
        <v>8495</v>
      </c>
      <c r="B1061" s="22" t="s">
        <v>32931</v>
      </c>
      <c r="C1061" s="7"/>
      <c r="D1061" s="7"/>
      <c r="E1061" s="7"/>
      <c r="F1061" t="s">
        <v>67</v>
      </c>
      <c r="G1061" t="s">
        <v>18973</v>
      </c>
      <c r="H1061" t="s">
        <v>69</v>
      </c>
      <c r="I1061" t="s">
        <v>69</v>
      </c>
      <c r="J1061" t="s">
        <v>69</v>
      </c>
      <c r="K1061" t="s">
        <v>18974</v>
      </c>
      <c r="L1061" t="s">
        <v>69</v>
      </c>
      <c r="M1061" t="s">
        <v>69</v>
      </c>
      <c r="N1061" t="s">
        <v>18975</v>
      </c>
      <c r="O1061" t="s">
        <v>6130</v>
      </c>
      <c r="P1061" t="s">
        <v>69</v>
      </c>
      <c r="Q1061" t="s">
        <v>69</v>
      </c>
      <c r="R1061" t="s">
        <v>8505</v>
      </c>
      <c r="S1061" t="s">
        <v>8506</v>
      </c>
      <c r="T1061" t="s">
        <v>69</v>
      </c>
      <c r="U1061" t="s">
        <v>69</v>
      </c>
      <c r="V1061" t="s">
        <v>69</v>
      </c>
      <c r="W1061" t="s">
        <v>69</v>
      </c>
      <c r="X1061" t="s">
        <v>69</v>
      </c>
      <c r="Y1061" t="s">
        <v>18976</v>
      </c>
      <c r="Z1061" t="s">
        <v>18977</v>
      </c>
      <c r="AA1061" t="s">
        <v>18978</v>
      </c>
      <c r="AB1061" t="s">
        <v>18979</v>
      </c>
      <c r="AC1061" t="s">
        <v>69</v>
      </c>
      <c r="AD1061" t="s">
        <v>18980</v>
      </c>
      <c r="AE1061" t="s">
        <v>18981</v>
      </c>
      <c r="AF1061" t="s">
        <v>69</v>
      </c>
      <c r="AG1061" t="s">
        <v>69</v>
      </c>
      <c r="AH1061" t="s">
        <v>69</v>
      </c>
      <c r="AI1061" t="s">
        <v>69</v>
      </c>
      <c r="AJ1061" t="s">
        <v>69</v>
      </c>
      <c r="AK1061" t="s">
        <v>69</v>
      </c>
      <c r="AL1061">
        <v>71</v>
      </c>
      <c r="AM1061">
        <v>5</v>
      </c>
      <c r="AN1061">
        <v>5</v>
      </c>
      <c r="AO1061">
        <v>9</v>
      </c>
      <c r="AP1061">
        <v>45</v>
      </c>
      <c r="AQ1061" t="s">
        <v>8539</v>
      </c>
      <c r="AR1061" t="s">
        <v>8540</v>
      </c>
      <c r="AS1061" t="s">
        <v>8541</v>
      </c>
      <c r="AT1061" t="s">
        <v>6132</v>
      </c>
      <c r="AU1061" t="s">
        <v>18982</v>
      </c>
      <c r="AV1061" t="s">
        <v>69</v>
      </c>
      <c r="AW1061" t="s">
        <v>18983</v>
      </c>
      <c r="AX1061" t="s">
        <v>18984</v>
      </c>
      <c r="AY1061" t="s">
        <v>246</v>
      </c>
      <c r="AZ1061">
        <v>2018</v>
      </c>
      <c r="BA1061">
        <v>144</v>
      </c>
      <c r="BB1061">
        <v>2</v>
      </c>
      <c r="BC1061" t="s">
        <v>69</v>
      </c>
      <c r="BD1061" t="s">
        <v>69</v>
      </c>
      <c r="BE1061" t="s">
        <v>69</v>
      </c>
      <c r="BF1061" t="s">
        <v>69</v>
      </c>
      <c r="BG1061" t="s">
        <v>69</v>
      </c>
      <c r="BH1061" t="s">
        <v>69</v>
      </c>
      <c r="BI1061" t="s">
        <v>69</v>
      </c>
      <c r="BJ1061" t="s">
        <v>18985</v>
      </c>
      <c r="BK1061" t="str">
        <f>HYPERLINK("http://dx.doi.org/10.1061/(ASCE)EI.1943-5541.0000354","http://dx.doi.org/10.1061/(ASCE)EI.1943-5541.0000354")</f>
        <v>http://dx.doi.org/10.1061/(ASCE)EI.1943-5541.0000354</v>
      </c>
      <c r="BL1061" t="s">
        <v>69</v>
      </c>
      <c r="BM1061" t="s">
        <v>69</v>
      </c>
      <c r="BN1061">
        <v>10</v>
      </c>
      <c r="BO1061" t="s">
        <v>18986</v>
      </c>
      <c r="BP1061" t="s">
        <v>8523</v>
      </c>
      <c r="BQ1061" t="s">
        <v>18987</v>
      </c>
      <c r="BR1061" t="s">
        <v>18988</v>
      </c>
      <c r="BS1061" t="s">
        <v>18989</v>
      </c>
      <c r="BT1061" t="s">
        <v>69</v>
      </c>
      <c r="BU1061" t="s">
        <v>69</v>
      </c>
      <c r="BV1061" t="s">
        <v>69</v>
      </c>
      <c r="BW1061" t="s">
        <v>69</v>
      </c>
      <c r="BX1061" t="s">
        <v>8526</v>
      </c>
      <c r="BY1061" t="str">
        <f>HYPERLINK("https%3A%2F%2Fwww.webofscience.com%2Fwos%2Fwoscc%2Ffull-record%2FWOS:000425619500004","View Full Record in Web of Science")</f>
        <v>View Full Record in Web of Science</v>
      </c>
    </row>
    <row r="1062" spans="1:77" x14ac:dyDescent="0.3">
      <c r="A1062" t="s">
        <v>8495</v>
      </c>
      <c r="B1062" s="10" t="s">
        <v>33004</v>
      </c>
      <c r="F1062" t="s">
        <v>67</v>
      </c>
      <c r="G1062" t="s">
        <v>5344</v>
      </c>
      <c r="H1062" t="s">
        <v>69</v>
      </c>
      <c r="I1062" t="s">
        <v>69</v>
      </c>
      <c r="J1062" t="s">
        <v>69</v>
      </c>
      <c r="K1062" s="2" t="s">
        <v>5345</v>
      </c>
      <c r="L1062" t="s">
        <v>69</v>
      </c>
      <c r="M1062" t="s">
        <v>69</v>
      </c>
      <c r="N1062" s="2" t="s">
        <v>5346</v>
      </c>
      <c r="O1062" t="s">
        <v>408</v>
      </c>
      <c r="P1062" t="s">
        <v>69</v>
      </c>
      <c r="Q1062" t="s">
        <v>69</v>
      </c>
      <c r="R1062" t="s">
        <v>8505</v>
      </c>
      <c r="S1062" t="s">
        <v>8506</v>
      </c>
      <c r="T1062" t="s">
        <v>69</v>
      </c>
      <c r="U1062" t="s">
        <v>69</v>
      </c>
      <c r="V1062" t="s">
        <v>69</v>
      </c>
      <c r="W1062" t="s">
        <v>69</v>
      </c>
      <c r="X1062" t="s">
        <v>69</v>
      </c>
      <c r="Y1062" t="s">
        <v>20709</v>
      </c>
      <c r="Z1062" t="s">
        <v>20710</v>
      </c>
      <c r="AA1062" t="s">
        <v>5347</v>
      </c>
      <c r="AB1062" t="s">
        <v>20711</v>
      </c>
      <c r="AC1062" t="s">
        <v>69</v>
      </c>
      <c r="AD1062" t="s">
        <v>20712</v>
      </c>
      <c r="AE1062" t="s">
        <v>20713</v>
      </c>
      <c r="AF1062" t="s">
        <v>20714</v>
      </c>
      <c r="AG1062" t="s">
        <v>20715</v>
      </c>
      <c r="AH1062" t="s">
        <v>20716</v>
      </c>
      <c r="AI1062" t="s">
        <v>20717</v>
      </c>
      <c r="AJ1062" t="s">
        <v>20718</v>
      </c>
      <c r="AK1062" t="s">
        <v>69</v>
      </c>
      <c r="AL1062">
        <v>24</v>
      </c>
      <c r="AM1062">
        <v>10</v>
      </c>
      <c r="AN1062">
        <v>10</v>
      </c>
      <c r="AO1062">
        <v>7</v>
      </c>
      <c r="AP1062">
        <v>36</v>
      </c>
      <c r="AQ1062" t="s">
        <v>8586</v>
      </c>
      <c r="AR1062" t="s">
        <v>8587</v>
      </c>
      <c r="AS1062" t="s">
        <v>8588</v>
      </c>
      <c r="AT1062" t="s">
        <v>410</v>
      </c>
      <c r="AU1062" t="s">
        <v>411</v>
      </c>
      <c r="AV1062" t="s">
        <v>69</v>
      </c>
      <c r="AW1062" t="s">
        <v>9125</v>
      </c>
      <c r="AX1062" t="s">
        <v>9126</v>
      </c>
      <c r="AY1062" t="s">
        <v>69</v>
      </c>
      <c r="AZ1062">
        <v>2017</v>
      </c>
      <c r="BA1062">
        <v>24</v>
      </c>
      <c r="BB1062">
        <v>6</v>
      </c>
      <c r="BC1062" t="s">
        <v>69</v>
      </c>
      <c r="BD1062" t="s">
        <v>69</v>
      </c>
      <c r="BE1062" t="s">
        <v>69</v>
      </c>
      <c r="BF1062" t="s">
        <v>69</v>
      </c>
      <c r="BG1062">
        <v>1040</v>
      </c>
      <c r="BH1062">
        <v>1050</v>
      </c>
      <c r="BI1062" t="s">
        <v>69</v>
      </c>
      <c r="BJ1062" t="s">
        <v>5348</v>
      </c>
      <c r="BK1062" t="str">
        <f>HYPERLINK("http://dx.doi.org/10.1108/ECAM-07-2016-0165","http://dx.doi.org/10.1108/ECAM-07-2016-0165")</f>
        <v>http://dx.doi.org/10.1108/ECAM-07-2016-0165</v>
      </c>
      <c r="BL1062" t="s">
        <v>69</v>
      </c>
      <c r="BM1062" t="s">
        <v>69</v>
      </c>
      <c r="BN1062">
        <v>11</v>
      </c>
      <c r="BO1062" t="s">
        <v>9128</v>
      </c>
      <c r="BP1062" t="s">
        <v>8523</v>
      </c>
      <c r="BQ1062" t="s">
        <v>9129</v>
      </c>
      <c r="BR1062" t="s">
        <v>20719</v>
      </c>
      <c r="BS1062" t="s">
        <v>5349</v>
      </c>
      <c r="BT1062" t="s">
        <v>69</v>
      </c>
      <c r="BU1062" t="s">
        <v>69</v>
      </c>
      <c r="BV1062" t="s">
        <v>69</v>
      </c>
      <c r="BW1062" t="s">
        <v>69</v>
      </c>
      <c r="BX1062" t="s">
        <v>8526</v>
      </c>
      <c r="BY1062" t="str">
        <f>HYPERLINK("https%3A%2F%2Fwww.webofscience.com%2Fwos%2Fwoscc%2Ffull-record%2FWOS:000415706200011","View Full Record in Web of Science")</f>
        <v>View Full Record in Web of Science</v>
      </c>
    </row>
    <row r="1063" spans="1:77" ht="12.5" x14ac:dyDescent="0.25">
      <c r="A1063" t="s">
        <v>8495</v>
      </c>
      <c r="B1063" s="7" t="s">
        <v>32933</v>
      </c>
      <c r="C1063" s="7"/>
      <c r="D1063" s="7"/>
      <c r="E1063" s="7"/>
      <c r="F1063" t="s">
        <v>67</v>
      </c>
      <c r="G1063" t="s">
        <v>3142</v>
      </c>
      <c r="H1063" t="s">
        <v>69</v>
      </c>
      <c r="I1063" t="s">
        <v>69</v>
      </c>
      <c r="J1063" t="s">
        <v>69</v>
      </c>
      <c r="K1063" t="s">
        <v>3143</v>
      </c>
      <c r="L1063" t="s">
        <v>69</v>
      </c>
      <c r="M1063" t="s">
        <v>69</v>
      </c>
      <c r="N1063" t="s">
        <v>3144</v>
      </c>
      <c r="O1063" t="s">
        <v>3145</v>
      </c>
      <c r="P1063" t="s">
        <v>69</v>
      </c>
      <c r="Q1063" t="s">
        <v>69</v>
      </c>
      <c r="R1063" t="s">
        <v>8505</v>
      </c>
      <c r="S1063" t="s">
        <v>8506</v>
      </c>
      <c r="T1063" t="s">
        <v>69</v>
      </c>
      <c r="U1063" t="s">
        <v>69</v>
      </c>
      <c r="V1063" t="s">
        <v>69</v>
      </c>
      <c r="W1063" t="s">
        <v>69</v>
      </c>
      <c r="X1063" t="s">
        <v>69</v>
      </c>
      <c r="Y1063" t="s">
        <v>23034</v>
      </c>
      <c r="Z1063" t="s">
        <v>23035</v>
      </c>
      <c r="AA1063" t="s">
        <v>3146</v>
      </c>
      <c r="AB1063" t="s">
        <v>23036</v>
      </c>
      <c r="AC1063" t="s">
        <v>69</v>
      </c>
      <c r="AD1063" t="s">
        <v>23037</v>
      </c>
      <c r="AE1063" t="s">
        <v>23038</v>
      </c>
      <c r="AF1063" t="s">
        <v>69</v>
      </c>
      <c r="AG1063" t="s">
        <v>69</v>
      </c>
      <c r="AH1063" t="s">
        <v>69</v>
      </c>
      <c r="AI1063" t="s">
        <v>69</v>
      </c>
      <c r="AJ1063" t="s">
        <v>69</v>
      </c>
      <c r="AK1063" t="s">
        <v>69</v>
      </c>
      <c r="AL1063">
        <v>32</v>
      </c>
      <c r="AM1063">
        <v>13</v>
      </c>
      <c r="AN1063">
        <v>13</v>
      </c>
      <c r="AO1063">
        <v>0</v>
      </c>
      <c r="AP1063">
        <v>9</v>
      </c>
      <c r="AQ1063" t="s">
        <v>23039</v>
      </c>
      <c r="AR1063" t="s">
        <v>23040</v>
      </c>
      <c r="AS1063" t="s">
        <v>23041</v>
      </c>
      <c r="AT1063" t="s">
        <v>3147</v>
      </c>
      <c r="AU1063" t="s">
        <v>69</v>
      </c>
      <c r="AV1063" t="s">
        <v>69</v>
      </c>
      <c r="AW1063" t="s">
        <v>23042</v>
      </c>
      <c r="AX1063" t="s">
        <v>23043</v>
      </c>
      <c r="AY1063" t="s">
        <v>69</v>
      </c>
      <c r="AZ1063">
        <v>2015</v>
      </c>
      <c r="BA1063">
        <v>9</v>
      </c>
      <c r="BB1063" t="s">
        <v>69</v>
      </c>
      <c r="BC1063" t="s">
        <v>69</v>
      </c>
      <c r="BD1063" t="s">
        <v>69</v>
      </c>
      <c r="BE1063" t="s">
        <v>69</v>
      </c>
      <c r="BF1063" t="s">
        <v>69</v>
      </c>
      <c r="BG1063">
        <v>1907</v>
      </c>
      <c r="BH1063">
        <v>1925</v>
      </c>
      <c r="BI1063" t="s">
        <v>69</v>
      </c>
      <c r="BJ1063" t="s">
        <v>69</v>
      </c>
      <c r="BK1063" t="s">
        <v>69</v>
      </c>
      <c r="BL1063" t="s">
        <v>69</v>
      </c>
      <c r="BM1063" t="s">
        <v>69</v>
      </c>
      <c r="BN1063">
        <v>19</v>
      </c>
      <c r="BO1063" t="s">
        <v>8443</v>
      </c>
      <c r="BP1063" t="s">
        <v>8661</v>
      </c>
      <c r="BQ1063" t="s">
        <v>8443</v>
      </c>
      <c r="BR1063" t="s">
        <v>23044</v>
      </c>
      <c r="BS1063" t="s">
        <v>3148</v>
      </c>
      <c r="BT1063" t="s">
        <v>69</v>
      </c>
      <c r="BU1063" t="s">
        <v>69</v>
      </c>
      <c r="BV1063" t="s">
        <v>69</v>
      </c>
      <c r="BW1063" t="s">
        <v>69</v>
      </c>
      <c r="BX1063" t="s">
        <v>8526</v>
      </c>
      <c r="BY1063" t="str">
        <f>HYPERLINK("https%3A%2F%2Fwww.webofscience.com%2Fwos%2Fwoscc%2Ffull-record%2FWOS:000361977300083","View Full Record in Web of Science")</f>
        <v>View Full Record in Web of Science</v>
      </c>
    </row>
    <row r="1064" spans="1:77" ht="12.5" x14ac:dyDescent="0.25">
      <c r="A1064" t="s">
        <v>8495</v>
      </c>
      <c r="B1064" s="7" t="s">
        <v>32933</v>
      </c>
      <c r="C1064" s="7"/>
      <c r="D1064" s="7"/>
      <c r="E1064" s="7"/>
      <c r="F1064" t="s">
        <v>67</v>
      </c>
      <c r="G1064" t="s">
        <v>7124</v>
      </c>
      <c r="H1064" t="s">
        <v>69</v>
      </c>
      <c r="I1064" t="s">
        <v>69</v>
      </c>
      <c r="J1064" t="s">
        <v>69</v>
      </c>
      <c r="K1064" t="s">
        <v>7125</v>
      </c>
      <c r="L1064" t="s">
        <v>69</v>
      </c>
      <c r="M1064" t="s">
        <v>69</v>
      </c>
      <c r="N1064" t="s">
        <v>7126</v>
      </c>
      <c r="O1064" t="s">
        <v>1495</v>
      </c>
      <c r="P1064" t="s">
        <v>69</v>
      </c>
      <c r="Q1064" t="s">
        <v>69</v>
      </c>
      <c r="R1064" t="s">
        <v>8505</v>
      </c>
      <c r="S1064" t="s">
        <v>8506</v>
      </c>
      <c r="T1064" t="s">
        <v>69</v>
      </c>
      <c r="U1064" t="s">
        <v>69</v>
      </c>
      <c r="V1064" t="s">
        <v>69</v>
      </c>
      <c r="W1064" t="s">
        <v>69</v>
      </c>
      <c r="X1064" t="s">
        <v>69</v>
      </c>
      <c r="Y1064" t="s">
        <v>26715</v>
      </c>
      <c r="Z1064" t="s">
        <v>26716</v>
      </c>
      <c r="AA1064" t="s">
        <v>7127</v>
      </c>
      <c r="AB1064" t="s">
        <v>26717</v>
      </c>
      <c r="AC1064" t="s">
        <v>69</v>
      </c>
      <c r="AD1064" t="s">
        <v>26718</v>
      </c>
      <c r="AE1064" t="s">
        <v>26719</v>
      </c>
      <c r="AF1064" t="s">
        <v>69</v>
      </c>
      <c r="AG1064" t="s">
        <v>26720</v>
      </c>
      <c r="AH1064" t="s">
        <v>26721</v>
      </c>
      <c r="AI1064" t="s">
        <v>23438</v>
      </c>
      <c r="AJ1064" t="s">
        <v>69</v>
      </c>
      <c r="AK1064" t="s">
        <v>69</v>
      </c>
      <c r="AL1064">
        <v>43</v>
      </c>
      <c r="AM1064">
        <v>18</v>
      </c>
      <c r="AN1064">
        <v>18</v>
      </c>
      <c r="AO1064">
        <v>0</v>
      </c>
      <c r="AP1064">
        <v>6</v>
      </c>
      <c r="AQ1064" t="s">
        <v>9554</v>
      </c>
      <c r="AR1064" t="s">
        <v>9555</v>
      </c>
      <c r="AS1064" t="s">
        <v>9556</v>
      </c>
      <c r="AT1064" t="s">
        <v>1499</v>
      </c>
      <c r="AU1064" t="s">
        <v>69</v>
      </c>
      <c r="AV1064" t="s">
        <v>69</v>
      </c>
      <c r="AW1064" t="s">
        <v>13954</v>
      </c>
      <c r="AX1064" t="s">
        <v>13955</v>
      </c>
      <c r="AY1064" t="s">
        <v>274</v>
      </c>
      <c r="AZ1064">
        <v>2011</v>
      </c>
      <c r="BA1064">
        <v>36</v>
      </c>
      <c r="BB1064">
        <v>6</v>
      </c>
      <c r="BC1064" t="s">
        <v>69</v>
      </c>
      <c r="BD1064" t="s">
        <v>69</v>
      </c>
      <c r="BE1064" t="s">
        <v>69</v>
      </c>
      <c r="BF1064" t="s">
        <v>69</v>
      </c>
      <c r="BG1064">
        <v>842</v>
      </c>
      <c r="BH1064">
        <v>863</v>
      </c>
      <c r="BI1064" t="s">
        <v>69</v>
      </c>
      <c r="BJ1064" t="s">
        <v>7128</v>
      </c>
      <c r="BK1064" t="str">
        <f>HYPERLINK("http://dx.doi.org/10.1177/0162243910376158","http://dx.doi.org/10.1177/0162243910376158")</f>
        <v>http://dx.doi.org/10.1177/0162243910376158</v>
      </c>
      <c r="BL1064" t="s">
        <v>69</v>
      </c>
      <c r="BM1064" t="s">
        <v>69</v>
      </c>
      <c r="BN1064">
        <v>22</v>
      </c>
      <c r="BO1064" t="s">
        <v>13650</v>
      </c>
      <c r="BP1064" t="s">
        <v>8661</v>
      </c>
      <c r="BQ1064" t="s">
        <v>13650</v>
      </c>
      <c r="BR1064" t="s">
        <v>26722</v>
      </c>
      <c r="BS1064" t="s">
        <v>7129</v>
      </c>
      <c r="BT1064" t="s">
        <v>69</v>
      </c>
      <c r="BU1064" t="s">
        <v>10995</v>
      </c>
      <c r="BV1064" t="s">
        <v>69</v>
      </c>
      <c r="BW1064" t="s">
        <v>69</v>
      </c>
      <c r="BX1064" t="s">
        <v>8526</v>
      </c>
      <c r="BY1064" t="str">
        <f>HYPERLINK("https%3A%2F%2Fwww.webofscience.com%2Fwos%2Fwoscc%2Ffull-record%2FWOS:000297417100004","View Full Record in Web of Science")</f>
        <v>View Full Record in Web of Science</v>
      </c>
    </row>
    <row r="1065" spans="1:77" x14ac:dyDescent="0.3">
      <c r="A1065" t="s">
        <v>8495</v>
      </c>
      <c r="B1065" s="9" t="s">
        <v>32954</v>
      </c>
      <c r="C1065" s="9" t="s">
        <v>33149</v>
      </c>
      <c r="D1065" s="10" t="s">
        <v>8490</v>
      </c>
      <c r="E1065" s="9" t="s">
        <v>8490</v>
      </c>
      <c r="F1065" t="s">
        <v>67</v>
      </c>
      <c r="G1065" t="s">
        <v>7428</v>
      </c>
      <c r="H1065" t="s">
        <v>69</v>
      </c>
      <c r="I1065" t="s">
        <v>69</v>
      </c>
      <c r="J1065" t="s">
        <v>69</v>
      </c>
      <c r="K1065" t="s">
        <v>7429</v>
      </c>
      <c r="L1065" t="s">
        <v>69</v>
      </c>
      <c r="M1065" t="s">
        <v>69</v>
      </c>
      <c r="N1065" t="s">
        <v>22522</v>
      </c>
      <c r="O1065" t="s">
        <v>22523</v>
      </c>
      <c r="P1065" t="s">
        <v>69</v>
      </c>
      <c r="Q1065" t="s">
        <v>69</v>
      </c>
      <c r="R1065" t="s">
        <v>8505</v>
      </c>
      <c r="S1065" t="s">
        <v>8506</v>
      </c>
      <c r="T1065" t="s">
        <v>69</v>
      </c>
      <c r="U1065" t="s">
        <v>69</v>
      </c>
      <c r="V1065" t="s">
        <v>69</v>
      </c>
      <c r="W1065" t="s">
        <v>69</v>
      </c>
      <c r="X1065" t="s">
        <v>69</v>
      </c>
      <c r="Y1065" t="s">
        <v>22524</v>
      </c>
      <c r="Z1065" t="s">
        <v>22525</v>
      </c>
      <c r="AA1065" t="s">
        <v>22526</v>
      </c>
      <c r="AB1065" t="s">
        <v>22527</v>
      </c>
      <c r="AC1065" t="s">
        <v>69</v>
      </c>
      <c r="AD1065" t="s">
        <v>22528</v>
      </c>
      <c r="AE1065" t="s">
        <v>22529</v>
      </c>
      <c r="AF1065" t="s">
        <v>21789</v>
      </c>
      <c r="AG1065" t="s">
        <v>7432</v>
      </c>
      <c r="AH1065" t="s">
        <v>22174</v>
      </c>
      <c r="AI1065" t="s">
        <v>22174</v>
      </c>
      <c r="AJ1065" t="s">
        <v>22530</v>
      </c>
      <c r="AK1065" t="s">
        <v>69</v>
      </c>
      <c r="AL1065">
        <v>45</v>
      </c>
      <c r="AM1065">
        <v>26</v>
      </c>
      <c r="AN1065">
        <v>26</v>
      </c>
      <c r="AO1065">
        <v>0</v>
      </c>
      <c r="AP1065">
        <v>22</v>
      </c>
      <c r="AQ1065" t="s">
        <v>16416</v>
      </c>
      <c r="AR1065" t="s">
        <v>16417</v>
      </c>
      <c r="AS1065" t="s">
        <v>16418</v>
      </c>
      <c r="AT1065" t="s">
        <v>22531</v>
      </c>
      <c r="AU1065" t="s">
        <v>22532</v>
      </c>
      <c r="AV1065" t="s">
        <v>69</v>
      </c>
      <c r="AW1065" t="s">
        <v>22533</v>
      </c>
      <c r="AX1065" t="s">
        <v>22534</v>
      </c>
      <c r="AY1065" t="s">
        <v>201</v>
      </c>
      <c r="AZ1065">
        <v>2015</v>
      </c>
      <c r="BA1065">
        <v>17</v>
      </c>
      <c r="BB1065">
        <v>3</v>
      </c>
      <c r="BC1065" t="s">
        <v>69</v>
      </c>
      <c r="BD1065" t="s">
        <v>69</v>
      </c>
      <c r="BE1065" t="s">
        <v>69</v>
      </c>
      <c r="BF1065" t="s">
        <v>69</v>
      </c>
      <c r="BG1065">
        <v>145</v>
      </c>
      <c r="BH1065">
        <v>164</v>
      </c>
      <c r="BI1065" t="s">
        <v>69</v>
      </c>
      <c r="BJ1065" t="s">
        <v>22535</v>
      </c>
      <c r="BK1065" t="str">
        <f>HYPERLINK("http://dx.doi.org/10.1057/rm.2015.10","http://dx.doi.org/10.1057/rm.2015.10")</f>
        <v>http://dx.doi.org/10.1057/rm.2015.10</v>
      </c>
      <c r="BL1065" t="s">
        <v>69</v>
      </c>
      <c r="BM1065" t="s">
        <v>69</v>
      </c>
      <c r="BN1065">
        <v>20</v>
      </c>
      <c r="BO1065" t="s">
        <v>10299</v>
      </c>
      <c r="BP1065" t="s">
        <v>8661</v>
      </c>
      <c r="BQ1065" t="s">
        <v>10279</v>
      </c>
      <c r="BR1065" t="s">
        <v>22536</v>
      </c>
      <c r="BS1065" t="s">
        <v>22537</v>
      </c>
      <c r="BT1065" t="s">
        <v>69</v>
      </c>
      <c r="BU1065" t="s">
        <v>10363</v>
      </c>
      <c r="BV1065" t="s">
        <v>69</v>
      </c>
      <c r="BW1065" t="s">
        <v>69</v>
      </c>
      <c r="BX1065" t="s">
        <v>8526</v>
      </c>
      <c r="BY1065" t="str">
        <f>HYPERLINK("https%3A%2F%2Fwww.webofscience.com%2Fwos%2Fwoscc%2Ffull-record%2FWOS:000364257500001","View Full Record in Web of Science")</f>
        <v>View Full Record in Web of Science</v>
      </c>
    </row>
    <row r="1066" spans="1:77" x14ac:dyDescent="0.3">
      <c r="A1066" t="s">
        <v>8495</v>
      </c>
      <c r="B1066" s="9" t="s">
        <v>32954</v>
      </c>
      <c r="C1066" s="9" t="s">
        <v>33150</v>
      </c>
      <c r="D1066" s="9" t="s">
        <v>8491</v>
      </c>
      <c r="E1066" s="9" t="s">
        <v>8490</v>
      </c>
      <c r="F1066" t="s">
        <v>67</v>
      </c>
      <c r="G1066" t="s">
        <v>11676</v>
      </c>
      <c r="H1066" t="s">
        <v>69</v>
      </c>
      <c r="I1066" t="s">
        <v>69</v>
      </c>
      <c r="J1066" t="s">
        <v>69</v>
      </c>
      <c r="K1066" t="s">
        <v>11677</v>
      </c>
      <c r="L1066" t="s">
        <v>69</v>
      </c>
      <c r="M1066" t="s">
        <v>69</v>
      </c>
      <c r="N1066" t="s">
        <v>11678</v>
      </c>
      <c r="O1066" t="s">
        <v>352</v>
      </c>
      <c r="P1066" t="s">
        <v>69</v>
      </c>
      <c r="Q1066" t="s">
        <v>69</v>
      </c>
      <c r="R1066" t="s">
        <v>8505</v>
      </c>
      <c r="S1066" t="s">
        <v>8442</v>
      </c>
      <c r="T1066" t="s">
        <v>69</v>
      </c>
      <c r="U1066" t="s">
        <v>69</v>
      </c>
      <c r="V1066" t="s">
        <v>69</v>
      </c>
      <c r="W1066" t="s">
        <v>69</v>
      </c>
      <c r="X1066" t="s">
        <v>69</v>
      </c>
      <c r="Y1066" t="s">
        <v>11679</v>
      </c>
      <c r="Z1066" t="s">
        <v>11680</v>
      </c>
      <c r="AA1066" t="s">
        <v>11681</v>
      </c>
      <c r="AB1066" t="s">
        <v>11682</v>
      </c>
      <c r="AC1066" t="s">
        <v>69</v>
      </c>
      <c r="AD1066" t="s">
        <v>11683</v>
      </c>
      <c r="AE1066" t="s">
        <v>11684</v>
      </c>
      <c r="AF1066" t="s">
        <v>11685</v>
      </c>
      <c r="AG1066" t="s">
        <v>11686</v>
      </c>
      <c r="AH1066" t="s">
        <v>11687</v>
      </c>
      <c r="AI1066" t="s">
        <v>11688</v>
      </c>
      <c r="AJ1066" t="s">
        <v>11689</v>
      </c>
      <c r="AK1066" t="s">
        <v>69</v>
      </c>
      <c r="AL1066">
        <v>75</v>
      </c>
      <c r="AM1066">
        <v>1</v>
      </c>
      <c r="AN1066">
        <v>1</v>
      </c>
      <c r="AO1066">
        <v>6</v>
      </c>
      <c r="AP1066">
        <v>11</v>
      </c>
      <c r="AQ1066" t="s">
        <v>8924</v>
      </c>
      <c r="AR1066" t="s">
        <v>8925</v>
      </c>
      <c r="AS1066" t="s">
        <v>8926</v>
      </c>
      <c r="AT1066" t="s">
        <v>69</v>
      </c>
      <c r="AU1066" t="s">
        <v>354</v>
      </c>
      <c r="AV1066" t="s">
        <v>69</v>
      </c>
      <c r="AW1066" t="s">
        <v>8958</v>
      </c>
      <c r="AX1066" t="s">
        <v>8434</v>
      </c>
      <c r="AY1066" t="s">
        <v>201</v>
      </c>
      <c r="AZ1066">
        <v>2021</v>
      </c>
      <c r="BA1066">
        <v>13</v>
      </c>
      <c r="BB1066">
        <v>16</v>
      </c>
      <c r="BC1066" t="s">
        <v>69</v>
      </c>
      <c r="BD1066" t="s">
        <v>69</v>
      </c>
      <c r="BE1066" t="s">
        <v>69</v>
      </c>
      <c r="BF1066" t="s">
        <v>69</v>
      </c>
      <c r="BG1066" t="s">
        <v>69</v>
      </c>
      <c r="BH1066" t="s">
        <v>69</v>
      </c>
      <c r="BI1066">
        <v>8992</v>
      </c>
      <c r="BJ1066" t="s">
        <v>11690</v>
      </c>
      <c r="BK1066" t="str">
        <f>HYPERLINK("http://dx.doi.org/10.3390/su13168992","http://dx.doi.org/10.3390/su13168992")</f>
        <v>http://dx.doi.org/10.3390/su13168992</v>
      </c>
      <c r="BL1066" t="s">
        <v>69</v>
      </c>
      <c r="BM1066" t="s">
        <v>69</v>
      </c>
      <c r="BN1066">
        <v>28</v>
      </c>
      <c r="BO1066" t="s">
        <v>8960</v>
      </c>
      <c r="BP1066" t="s">
        <v>8523</v>
      </c>
      <c r="BQ1066" t="s">
        <v>8961</v>
      </c>
      <c r="BR1066" t="s">
        <v>11691</v>
      </c>
      <c r="BS1066" t="s">
        <v>11692</v>
      </c>
      <c r="BT1066" t="s">
        <v>69</v>
      </c>
      <c r="BU1066" t="s">
        <v>9352</v>
      </c>
      <c r="BV1066" t="s">
        <v>69</v>
      </c>
      <c r="BW1066" t="s">
        <v>69</v>
      </c>
      <c r="BX1066" t="s">
        <v>8526</v>
      </c>
      <c r="BY1066" t="str">
        <f>HYPERLINK("https%3A%2F%2Fwww.webofscience.com%2Fwos%2Fwoscc%2Ffull-record%2FWOS:000690064600001","View Full Record in Web of Science")</f>
        <v>View Full Record in Web of Science</v>
      </c>
    </row>
    <row r="1067" spans="1:77" ht="12.5" x14ac:dyDescent="0.25">
      <c r="A1067" t="s">
        <v>8495</v>
      </c>
      <c r="B1067" s="7" t="s">
        <v>32933</v>
      </c>
      <c r="C1067" s="7"/>
      <c r="D1067" s="7"/>
      <c r="E1067" s="7"/>
      <c r="F1067" t="s">
        <v>67</v>
      </c>
      <c r="G1067" t="s">
        <v>7401</v>
      </c>
      <c r="H1067" t="s">
        <v>69</v>
      </c>
      <c r="I1067" t="s">
        <v>69</v>
      </c>
      <c r="J1067" t="s">
        <v>69</v>
      </c>
      <c r="K1067" t="s">
        <v>7402</v>
      </c>
      <c r="L1067" t="s">
        <v>69</v>
      </c>
      <c r="M1067" t="s">
        <v>69</v>
      </c>
      <c r="N1067" t="s">
        <v>7403</v>
      </c>
      <c r="O1067" t="s">
        <v>7404</v>
      </c>
      <c r="P1067" t="s">
        <v>69</v>
      </c>
      <c r="Q1067" t="s">
        <v>69</v>
      </c>
      <c r="R1067" t="s">
        <v>8505</v>
      </c>
      <c r="S1067" t="s">
        <v>8506</v>
      </c>
      <c r="T1067" t="s">
        <v>69</v>
      </c>
      <c r="U1067" t="s">
        <v>69</v>
      </c>
      <c r="V1067" t="s">
        <v>69</v>
      </c>
      <c r="W1067" t="s">
        <v>69</v>
      </c>
      <c r="X1067" t="s">
        <v>69</v>
      </c>
      <c r="Y1067" t="s">
        <v>17143</v>
      </c>
      <c r="Z1067" t="s">
        <v>17144</v>
      </c>
      <c r="AA1067" t="s">
        <v>7405</v>
      </c>
      <c r="AB1067" t="s">
        <v>17145</v>
      </c>
      <c r="AC1067" t="s">
        <v>69</v>
      </c>
      <c r="AD1067" t="s">
        <v>17146</v>
      </c>
      <c r="AE1067" t="s">
        <v>17147</v>
      </c>
      <c r="AF1067" t="s">
        <v>7406</v>
      </c>
      <c r="AG1067" t="s">
        <v>17148</v>
      </c>
      <c r="AH1067" t="s">
        <v>17149</v>
      </c>
      <c r="AI1067" t="s">
        <v>17150</v>
      </c>
      <c r="AJ1067" t="s">
        <v>17151</v>
      </c>
      <c r="AK1067" t="s">
        <v>69</v>
      </c>
      <c r="AL1067">
        <v>61</v>
      </c>
      <c r="AM1067">
        <v>10</v>
      </c>
      <c r="AN1067">
        <v>10</v>
      </c>
      <c r="AO1067">
        <v>9</v>
      </c>
      <c r="AP1067">
        <v>30</v>
      </c>
      <c r="AQ1067" t="s">
        <v>8924</v>
      </c>
      <c r="AR1067" t="s">
        <v>8925</v>
      </c>
      <c r="AS1067" t="s">
        <v>8926</v>
      </c>
      <c r="AT1067" t="s">
        <v>69</v>
      </c>
      <c r="AU1067" t="s">
        <v>7407</v>
      </c>
      <c r="AV1067" t="s">
        <v>69</v>
      </c>
      <c r="AW1067" t="s">
        <v>17152</v>
      </c>
      <c r="AX1067" t="s">
        <v>17153</v>
      </c>
      <c r="AY1067" t="s">
        <v>155</v>
      </c>
      <c r="AZ1067">
        <v>2019</v>
      </c>
      <c r="BA1067">
        <v>3</v>
      </c>
      <c r="BB1067">
        <v>2</v>
      </c>
      <c r="BC1067" t="s">
        <v>69</v>
      </c>
      <c r="BD1067" t="s">
        <v>69</v>
      </c>
      <c r="BE1067" t="s">
        <v>69</v>
      </c>
      <c r="BF1067" t="s">
        <v>69</v>
      </c>
      <c r="BG1067" t="s">
        <v>69</v>
      </c>
      <c r="BH1067" t="s">
        <v>69</v>
      </c>
      <c r="BI1067">
        <v>39</v>
      </c>
      <c r="BJ1067" t="s">
        <v>7408</v>
      </c>
      <c r="BK1067" t="str">
        <f>HYPERLINK("http://dx.doi.org/10.3390/soilsystems3020039","http://dx.doi.org/10.3390/soilsystems3020039")</f>
        <v>http://dx.doi.org/10.3390/soilsystems3020039</v>
      </c>
      <c r="BL1067" t="s">
        <v>69</v>
      </c>
      <c r="BM1067" t="s">
        <v>69</v>
      </c>
      <c r="BN1067">
        <v>17</v>
      </c>
      <c r="BO1067" t="s">
        <v>17154</v>
      </c>
      <c r="BP1067" t="s">
        <v>8573</v>
      </c>
      <c r="BQ1067" t="s">
        <v>8450</v>
      </c>
      <c r="BR1067" t="s">
        <v>17155</v>
      </c>
      <c r="BS1067" t="s">
        <v>7409</v>
      </c>
      <c r="BT1067" t="s">
        <v>69</v>
      </c>
      <c r="BU1067" t="s">
        <v>12297</v>
      </c>
      <c r="BV1067" t="s">
        <v>69</v>
      </c>
      <c r="BW1067" t="s">
        <v>69</v>
      </c>
      <c r="BX1067" t="s">
        <v>8526</v>
      </c>
      <c r="BY1067" t="str">
        <f>HYPERLINK("https%3A%2F%2Fwww.webofscience.com%2Fwos%2Fwoscc%2Ffull-record%2FWOS:000492984600014","View Full Record in Web of Science")</f>
        <v>View Full Record in Web of Science</v>
      </c>
    </row>
    <row r="1068" spans="1:77" ht="12.5" x14ac:dyDescent="0.25">
      <c r="A1068" t="s">
        <v>8495</v>
      </c>
      <c r="B1068" s="22" t="s">
        <v>32931</v>
      </c>
      <c r="C1068" s="7"/>
      <c r="D1068" s="7"/>
      <c r="E1068" s="7"/>
      <c r="F1068" t="s">
        <v>67</v>
      </c>
      <c r="G1068" t="s">
        <v>27406</v>
      </c>
      <c r="H1068" t="s">
        <v>69</v>
      </c>
      <c r="I1068" t="s">
        <v>69</v>
      </c>
      <c r="J1068" t="s">
        <v>69</v>
      </c>
      <c r="K1068" t="s">
        <v>27407</v>
      </c>
      <c r="L1068" t="s">
        <v>69</v>
      </c>
      <c r="M1068" t="s">
        <v>69</v>
      </c>
      <c r="N1068" t="s">
        <v>27408</v>
      </c>
      <c r="O1068" t="s">
        <v>10446</v>
      </c>
      <c r="P1068" t="s">
        <v>69</v>
      </c>
      <c r="Q1068" t="s">
        <v>69</v>
      </c>
      <c r="R1068" t="s">
        <v>8505</v>
      </c>
      <c r="S1068" t="s">
        <v>8506</v>
      </c>
      <c r="T1068" t="s">
        <v>69</v>
      </c>
      <c r="U1068" t="s">
        <v>69</v>
      </c>
      <c r="V1068" t="s">
        <v>69</v>
      </c>
      <c r="W1068" t="s">
        <v>69</v>
      </c>
      <c r="X1068" t="s">
        <v>69</v>
      </c>
      <c r="Y1068" t="s">
        <v>27409</v>
      </c>
      <c r="Z1068" t="s">
        <v>69</v>
      </c>
      <c r="AA1068" t="s">
        <v>27410</v>
      </c>
      <c r="AB1068" t="s">
        <v>27411</v>
      </c>
      <c r="AC1068" t="s">
        <v>69</v>
      </c>
      <c r="AD1068" t="s">
        <v>27412</v>
      </c>
      <c r="AE1068" t="s">
        <v>27413</v>
      </c>
      <c r="AF1068" t="s">
        <v>27414</v>
      </c>
      <c r="AG1068" t="s">
        <v>27415</v>
      </c>
      <c r="AH1068" t="s">
        <v>27416</v>
      </c>
      <c r="AI1068" t="s">
        <v>27417</v>
      </c>
      <c r="AJ1068" t="s">
        <v>27418</v>
      </c>
      <c r="AK1068" t="s">
        <v>69</v>
      </c>
      <c r="AL1068">
        <v>24</v>
      </c>
      <c r="AM1068">
        <v>41</v>
      </c>
      <c r="AN1068">
        <v>41</v>
      </c>
      <c r="AO1068">
        <v>0</v>
      </c>
      <c r="AP1068">
        <v>1</v>
      </c>
      <c r="AQ1068" t="s">
        <v>8586</v>
      </c>
      <c r="AR1068" t="s">
        <v>8587</v>
      </c>
      <c r="AS1068" t="s">
        <v>8588</v>
      </c>
      <c r="AT1068" t="s">
        <v>10454</v>
      </c>
      <c r="AU1068" t="s">
        <v>10455</v>
      </c>
      <c r="AV1068" t="s">
        <v>69</v>
      </c>
      <c r="AW1068" t="s">
        <v>10456</v>
      </c>
      <c r="AX1068" t="s">
        <v>10457</v>
      </c>
      <c r="AY1068" t="s">
        <v>69</v>
      </c>
      <c r="AZ1068">
        <v>2011</v>
      </c>
      <c r="BA1068">
        <v>17</v>
      </c>
      <c r="BB1068">
        <v>1</v>
      </c>
      <c r="BC1068" t="s">
        <v>69</v>
      </c>
      <c r="BD1068" t="s">
        <v>69</v>
      </c>
      <c r="BE1068" t="s">
        <v>69</v>
      </c>
      <c r="BF1068" t="s">
        <v>69</v>
      </c>
      <c r="BG1068">
        <v>74</v>
      </c>
      <c r="BH1068" t="s">
        <v>219</v>
      </c>
      <c r="BI1068" t="s">
        <v>69</v>
      </c>
      <c r="BJ1068" t="s">
        <v>27419</v>
      </c>
      <c r="BK1068" t="str">
        <f>HYPERLINK("http://dx.doi.org/10.1108/13552511111116268","http://dx.doi.org/10.1108/13552511111116268")</f>
        <v>http://dx.doi.org/10.1108/13552511111116268</v>
      </c>
      <c r="BL1068" t="s">
        <v>69</v>
      </c>
      <c r="BM1068" t="s">
        <v>69</v>
      </c>
      <c r="BN1068">
        <v>21</v>
      </c>
      <c r="BO1068" t="s">
        <v>10459</v>
      </c>
      <c r="BP1068" t="s">
        <v>8573</v>
      </c>
      <c r="BQ1068" t="s">
        <v>8445</v>
      </c>
      <c r="BR1068" t="s">
        <v>27420</v>
      </c>
      <c r="BS1068" t="s">
        <v>27421</v>
      </c>
      <c r="BT1068" t="s">
        <v>69</v>
      </c>
      <c r="BU1068" t="s">
        <v>69</v>
      </c>
      <c r="BV1068" t="s">
        <v>69</v>
      </c>
      <c r="BW1068" t="s">
        <v>69</v>
      </c>
      <c r="BX1068" t="s">
        <v>8526</v>
      </c>
      <c r="BY1068" t="str">
        <f>HYPERLINK("https%3A%2F%2Fwww.webofscience.com%2Fwos%2Fwoscc%2Ffull-record%2FWOS:000211475700006","View Full Record in Web of Science")</f>
        <v>View Full Record in Web of Science</v>
      </c>
    </row>
    <row r="1069" spans="1:77" ht="12.5" x14ac:dyDescent="0.25">
      <c r="A1069" t="s">
        <v>8495</v>
      </c>
      <c r="B1069" s="22" t="s">
        <v>32931</v>
      </c>
      <c r="C1069" s="7"/>
      <c r="D1069" s="7"/>
      <c r="E1069" s="7"/>
      <c r="F1069" t="s">
        <v>67</v>
      </c>
      <c r="G1069" t="s">
        <v>29822</v>
      </c>
      <c r="H1069" t="s">
        <v>69</v>
      </c>
      <c r="I1069" t="s">
        <v>69</v>
      </c>
      <c r="J1069" t="s">
        <v>69</v>
      </c>
      <c r="K1069" t="s">
        <v>29823</v>
      </c>
      <c r="L1069" t="s">
        <v>69</v>
      </c>
      <c r="M1069" t="s">
        <v>69</v>
      </c>
      <c r="N1069" t="s">
        <v>29824</v>
      </c>
      <c r="O1069" t="s">
        <v>29825</v>
      </c>
      <c r="P1069" t="s">
        <v>69</v>
      </c>
      <c r="Q1069" t="s">
        <v>69</v>
      </c>
      <c r="R1069" t="s">
        <v>8505</v>
      </c>
      <c r="S1069" t="s">
        <v>8506</v>
      </c>
      <c r="T1069" t="s">
        <v>69</v>
      </c>
      <c r="U1069" t="s">
        <v>69</v>
      </c>
      <c r="V1069" t="s">
        <v>69</v>
      </c>
      <c r="W1069" t="s">
        <v>69</v>
      </c>
      <c r="X1069" t="s">
        <v>69</v>
      </c>
      <c r="Y1069" t="s">
        <v>29826</v>
      </c>
      <c r="Z1069" t="s">
        <v>69</v>
      </c>
      <c r="AA1069" t="s">
        <v>29827</v>
      </c>
      <c r="AB1069" t="s">
        <v>29828</v>
      </c>
      <c r="AC1069" t="s">
        <v>69</v>
      </c>
      <c r="AD1069" t="s">
        <v>29829</v>
      </c>
      <c r="AE1069" t="s">
        <v>69</v>
      </c>
      <c r="AF1069" t="s">
        <v>69</v>
      </c>
      <c r="AG1069" t="s">
        <v>69</v>
      </c>
      <c r="AH1069" t="s">
        <v>69</v>
      </c>
      <c r="AI1069" t="s">
        <v>69</v>
      </c>
      <c r="AJ1069" t="s">
        <v>69</v>
      </c>
      <c r="AK1069" t="s">
        <v>69</v>
      </c>
      <c r="AL1069">
        <v>30</v>
      </c>
      <c r="AM1069">
        <v>3</v>
      </c>
      <c r="AN1069">
        <v>3</v>
      </c>
      <c r="AO1069">
        <v>3</v>
      </c>
      <c r="AP1069">
        <v>4</v>
      </c>
      <c r="AQ1069" t="s">
        <v>8586</v>
      </c>
      <c r="AR1069" t="s">
        <v>8587</v>
      </c>
      <c r="AS1069" t="s">
        <v>8588</v>
      </c>
      <c r="AT1069" t="s">
        <v>29830</v>
      </c>
      <c r="AU1069" t="s">
        <v>29831</v>
      </c>
      <c r="AV1069" t="s">
        <v>69</v>
      </c>
      <c r="AW1069" t="s">
        <v>29832</v>
      </c>
      <c r="AX1069" t="s">
        <v>29833</v>
      </c>
      <c r="AY1069" t="s">
        <v>69</v>
      </c>
      <c r="AZ1069">
        <v>2007</v>
      </c>
      <c r="BA1069">
        <v>67</v>
      </c>
      <c r="BB1069">
        <v>2</v>
      </c>
      <c r="BC1069" t="s">
        <v>69</v>
      </c>
      <c r="BD1069" t="s">
        <v>69</v>
      </c>
      <c r="BE1069" t="s">
        <v>69</v>
      </c>
      <c r="BF1069" t="s">
        <v>69</v>
      </c>
      <c r="BG1069">
        <v>295</v>
      </c>
      <c r="BH1069">
        <v>310</v>
      </c>
      <c r="BI1069" t="s">
        <v>69</v>
      </c>
      <c r="BJ1069" t="s">
        <v>29834</v>
      </c>
      <c r="BK1069" t="str">
        <f>HYPERLINK("http://dx.doi.org/10.1108/00214660780001210","http://dx.doi.org/10.1108/00214660780001210")</f>
        <v>http://dx.doi.org/10.1108/00214660780001210</v>
      </c>
      <c r="BL1069" t="s">
        <v>69</v>
      </c>
      <c r="BM1069" t="s">
        <v>69</v>
      </c>
      <c r="BN1069">
        <v>16</v>
      </c>
      <c r="BO1069" t="s">
        <v>23323</v>
      </c>
      <c r="BP1069" t="s">
        <v>8573</v>
      </c>
      <c r="BQ1069" t="s">
        <v>8450</v>
      </c>
      <c r="BR1069" t="s">
        <v>29835</v>
      </c>
      <c r="BS1069" t="s">
        <v>29836</v>
      </c>
      <c r="BT1069" t="s">
        <v>69</v>
      </c>
      <c r="BU1069" t="s">
        <v>69</v>
      </c>
      <c r="BV1069" t="s">
        <v>69</v>
      </c>
      <c r="BW1069" t="s">
        <v>69</v>
      </c>
      <c r="BX1069" t="s">
        <v>8526</v>
      </c>
      <c r="BY1069" t="str">
        <f>HYPERLINK("https%3A%2F%2Fwww.webofscience.com%2Fwos%2Fwoscc%2Ffull-record%2FWOS:000212367900006","View Full Record in Web of Science")</f>
        <v>View Full Record in Web of Science</v>
      </c>
    </row>
    <row r="1070" spans="1:77" ht="12.5" x14ac:dyDescent="0.25">
      <c r="A1070" t="s">
        <v>8495</v>
      </c>
      <c r="B1070" s="7" t="s">
        <v>32933</v>
      </c>
      <c r="C1070" s="7"/>
      <c r="D1070" s="7"/>
      <c r="E1070" s="7"/>
      <c r="F1070" t="s">
        <v>67</v>
      </c>
      <c r="G1070" t="s">
        <v>1402</v>
      </c>
      <c r="H1070" t="s">
        <v>69</v>
      </c>
      <c r="I1070" t="s">
        <v>69</v>
      </c>
      <c r="J1070" t="s">
        <v>69</v>
      </c>
      <c r="K1070" t="s">
        <v>1403</v>
      </c>
      <c r="L1070" t="s">
        <v>69</v>
      </c>
      <c r="M1070" t="s">
        <v>69</v>
      </c>
      <c r="N1070" t="s">
        <v>1404</v>
      </c>
      <c r="O1070" t="s">
        <v>1405</v>
      </c>
      <c r="P1070" t="s">
        <v>69</v>
      </c>
      <c r="Q1070" t="s">
        <v>69</v>
      </c>
      <c r="R1070" t="s">
        <v>8505</v>
      </c>
      <c r="S1070" t="s">
        <v>8506</v>
      </c>
      <c r="T1070" t="s">
        <v>69</v>
      </c>
      <c r="U1070" t="s">
        <v>69</v>
      </c>
      <c r="V1070" t="s">
        <v>69</v>
      </c>
      <c r="W1070" t="s">
        <v>69</v>
      </c>
      <c r="X1070" t="s">
        <v>69</v>
      </c>
      <c r="Y1070" t="s">
        <v>24572</v>
      </c>
      <c r="Z1070" t="s">
        <v>24573</v>
      </c>
      <c r="AA1070" t="s">
        <v>1406</v>
      </c>
      <c r="AB1070" t="s">
        <v>24574</v>
      </c>
      <c r="AC1070" t="s">
        <v>69</v>
      </c>
      <c r="AD1070" t="s">
        <v>24575</v>
      </c>
      <c r="AE1070" t="s">
        <v>24576</v>
      </c>
      <c r="AF1070" t="s">
        <v>69</v>
      </c>
      <c r="AG1070" t="s">
        <v>24577</v>
      </c>
      <c r="AH1070" t="s">
        <v>24578</v>
      </c>
      <c r="AI1070" t="s">
        <v>24579</v>
      </c>
      <c r="AJ1070" t="s">
        <v>24580</v>
      </c>
      <c r="AK1070" t="s">
        <v>69</v>
      </c>
      <c r="AL1070">
        <v>53</v>
      </c>
      <c r="AM1070">
        <v>115</v>
      </c>
      <c r="AN1070">
        <v>117</v>
      </c>
      <c r="AO1070">
        <v>1</v>
      </c>
      <c r="AP1070">
        <v>70</v>
      </c>
      <c r="AQ1070" t="s">
        <v>8636</v>
      </c>
      <c r="AR1070" t="s">
        <v>8637</v>
      </c>
      <c r="AS1070" t="s">
        <v>8638</v>
      </c>
      <c r="AT1070" t="s">
        <v>1407</v>
      </c>
      <c r="AU1070" t="s">
        <v>1408</v>
      </c>
      <c r="AV1070" t="s">
        <v>69</v>
      </c>
      <c r="AW1070" t="s">
        <v>14240</v>
      </c>
      <c r="AX1070" t="s">
        <v>8486</v>
      </c>
      <c r="AY1070" t="s">
        <v>274</v>
      </c>
      <c r="AZ1070">
        <v>2013</v>
      </c>
      <c r="BA1070">
        <v>62</v>
      </c>
      <c r="BB1070" t="s">
        <v>69</v>
      </c>
      <c r="BC1070" t="s">
        <v>69</v>
      </c>
      <c r="BD1070" t="s">
        <v>69</v>
      </c>
      <c r="BE1070" t="s">
        <v>69</v>
      </c>
      <c r="BF1070" t="s">
        <v>69</v>
      </c>
      <c r="BG1070">
        <v>19</v>
      </c>
      <c r="BH1070">
        <v>27</v>
      </c>
      <c r="BI1070" t="s">
        <v>69</v>
      </c>
      <c r="BJ1070" t="s">
        <v>1409</v>
      </c>
      <c r="BK1070" t="str">
        <f>HYPERLINK("http://dx.doi.org/10.1016/j.enpol.2013.07.048","http://dx.doi.org/10.1016/j.enpol.2013.07.048")</f>
        <v>http://dx.doi.org/10.1016/j.enpol.2013.07.048</v>
      </c>
      <c r="BL1070" t="s">
        <v>69</v>
      </c>
      <c r="BM1070" t="s">
        <v>69</v>
      </c>
      <c r="BN1070">
        <v>9</v>
      </c>
      <c r="BO1070" t="s">
        <v>14242</v>
      </c>
      <c r="BP1070" t="s">
        <v>8523</v>
      </c>
      <c r="BQ1070" t="s">
        <v>14243</v>
      </c>
      <c r="BR1070" t="s">
        <v>24581</v>
      </c>
      <c r="BS1070" t="s">
        <v>1410</v>
      </c>
      <c r="BT1070" t="s">
        <v>69</v>
      </c>
      <c r="BU1070" t="s">
        <v>69</v>
      </c>
      <c r="BV1070" t="s">
        <v>69</v>
      </c>
      <c r="BW1070" t="s">
        <v>69</v>
      </c>
      <c r="BX1070" t="s">
        <v>8526</v>
      </c>
      <c r="BY1070" t="str">
        <f>HYPERLINK("https%3A%2F%2Fwww.webofscience.com%2Fwos%2Fwoscc%2Ffull-record%2FWOS:000326770300004","View Full Record in Web of Science")</f>
        <v>View Full Record in Web of Science</v>
      </c>
    </row>
    <row r="1071" spans="1:77" ht="12.5" x14ac:dyDescent="0.25">
      <c r="A1071" t="s">
        <v>8495</v>
      </c>
      <c r="B1071" s="7" t="s">
        <v>32933</v>
      </c>
      <c r="C1071" s="7"/>
      <c r="D1071" s="7"/>
      <c r="E1071" s="7"/>
      <c r="F1071" t="s">
        <v>67</v>
      </c>
      <c r="G1071" t="s">
        <v>4280</v>
      </c>
      <c r="H1071" t="s">
        <v>69</v>
      </c>
      <c r="I1071" t="s">
        <v>69</v>
      </c>
      <c r="J1071" t="s">
        <v>69</v>
      </c>
      <c r="K1071" t="s">
        <v>4280</v>
      </c>
      <c r="L1071" t="s">
        <v>69</v>
      </c>
      <c r="M1071" t="s">
        <v>69</v>
      </c>
      <c r="N1071" t="s">
        <v>4281</v>
      </c>
      <c r="O1071" t="s">
        <v>4282</v>
      </c>
      <c r="P1071" t="s">
        <v>69</v>
      </c>
      <c r="Q1071" t="s">
        <v>69</v>
      </c>
      <c r="R1071" t="s">
        <v>8505</v>
      </c>
      <c r="S1071" t="s">
        <v>32574</v>
      </c>
      <c r="T1071" t="s">
        <v>4283</v>
      </c>
      <c r="U1071" t="s">
        <v>4284</v>
      </c>
      <c r="V1071" t="s">
        <v>4285</v>
      </c>
      <c r="W1071" t="s">
        <v>4286</v>
      </c>
      <c r="X1071" t="s">
        <v>4287</v>
      </c>
      <c r="Y1071" t="s">
        <v>69</v>
      </c>
      <c r="Z1071" t="s">
        <v>69</v>
      </c>
      <c r="AA1071" t="s">
        <v>4288</v>
      </c>
      <c r="AB1071" t="s">
        <v>69</v>
      </c>
      <c r="AC1071" t="s">
        <v>69</v>
      </c>
      <c r="AD1071" t="s">
        <v>32575</v>
      </c>
      <c r="AE1071" t="s">
        <v>69</v>
      </c>
      <c r="AF1071" t="s">
        <v>69</v>
      </c>
      <c r="AG1071" t="s">
        <v>69</v>
      </c>
      <c r="AH1071" t="s">
        <v>69</v>
      </c>
      <c r="AI1071" t="s">
        <v>69</v>
      </c>
      <c r="AJ1071" t="s">
        <v>69</v>
      </c>
      <c r="AK1071" t="s">
        <v>69</v>
      </c>
      <c r="AL1071">
        <v>6</v>
      </c>
      <c r="AM1071">
        <v>2</v>
      </c>
      <c r="AN1071">
        <v>2</v>
      </c>
      <c r="AO1071">
        <v>0</v>
      </c>
      <c r="AP1071">
        <v>1</v>
      </c>
      <c r="AQ1071" t="s">
        <v>32576</v>
      </c>
      <c r="AR1071" t="s">
        <v>8925</v>
      </c>
      <c r="AS1071" t="s">
        <v>32577</v>
      </c>
      <c r="AT1071" t="s">
        <v>4289</v>
      </c>
      <c r="AU1071" t="s">
        <v>69</v>
      </c>
      <c r="AV1071" t="s">
        <v>69</v>
      </c>
      <c r="AW1071" t="s">
        <v>31411</v>
      </c>
      <c r="AX1071" t="s">
        <v>31412</v>
      </c>
      <c r="AY1071" t="s">
        <v>84</v>
      </c>
      <c r="AZ1071">
        <v>1995</v>
      </c>
      <c r="BA1071">
        <v>98</v>
      </c>
      <c r="BB1071" t="s">
        <v>69</v>
      </c>
      <c r="BC1071" t="s">
        <v>69</v>
      </c>
      <c r="BD1071" t="s">
        <v>69</v>
      </c>
      <c r="BE1071" t="s">
        <v>69</v>
      </c>
      <c r="BF1071" t="s">
        <v>69</v>
      </c>
      <c r="BG1071">
        <v>1173</v>
      </c>
      <c r="BH1071">
        <v>1184</v>
      </c>
      <c r="BI1071" t="s">
        <v>69</v>
      </c>
      <c r="BJ1071" t="s">
        <v>4290</v>
      </c>
      <c r="BK1071" t="str">
        <f>HYPERLINK("http://dx.doi.org/10.1002/masy.199509801106","http://dx.doi.org/10.1002/masy.199509801106")</f>
        <v>http://dx.doi.org/10.1002/masy.199509801106</v>
      </c>
      <c r="BL1071" t="s">
        <v>69</v>
      </c>
      <c r="BM1071" t="s">
        <v>69</v>
      </c>
      <c r="BN1071">
        <v>12</v>
      </c>
      <c r="BO1071" t="s">
        <v>31413</v>
      </c>
      <c r="BP1071" t="s">
        <v>29550</v>
      </c>
      <c r="BQ1071" t="s">
        <v>31413</v>
      </c>
      <c r="BR1071" t="s">
        <v>32578</v>
      </c>
      <c r="BS1071" t="s">
        <v>4291</v>
      </c>
      <c r="BT1071" t="s">
        <v>69</v>
      </c>
      <c r="BU1071" t="s">
        <v>69</v>
      </c>
      <c r="BV1071" t="s">
        <v>69</v>
      </c>
      <c r="BW1071" t="s">
        <v>69</v>
      </c>
      <c r="BX1071" t="s">
        <v>8526</v>
      </c>
      <c r="BY1071" t="str">
        <f>HYPERLINK("https%3A%2F%2Fwww.webofscience.com%2Fwos%2Fwoscc%2Ffull-record%2FWOS:A1995RZ12400080","View Full Record in Web of Science")</f>
        <v>View Full Record in Web of Science</v>
      </c>
    </row>
    <row r="1072" spans="1:77" ht="12.5" x14ac:dyDescent="0.25">
      <c r="A1072" t="s">
        <v>8495</v>
      </c>
      <c r="B1072" s="7" t="s">
        <v>32933</v>
      </c>
      <c r="C1072" s="7"/>
      <c r="D1072" s="7"/>
      <c r="E1072" s="7"/>
      <c r="F1072" t="s">
        <v>67</v>
      </c>
      <c r="G1072" t="s">
        <v>3094</v>
      </c>
      <c r="H1072" t="s">
        <v>69</v>
      </c>
      <c r="I1072" t="s">
        <v>69</v>
      </c>
      <c r="J1072" t="s">
        <v>69</v>
      </c>
      <c r="K1072" t="s">
        <v>3095</v>
      </c>
      <c r="L1072" t="s">
        <v>69</v>
      </c>
      <c r="M1072" t="s">
        <v>69</v>
      </c>
      <c r="N1072" t="s">
        <v>3096</v>
      </c>
      <c r="O1072" t="s">
        <v>3097</v>
      </c>
      <c r="P1072" t="s">
        <v>69</v>
      </c>
      <c r="Q1072" t="s">
        <v>69</v>
      </c>
      <c r="R1072" t="s">
        <v>8505</v>
      </c>
      <c r="S1072" t="s">
        <v>8506</v>
      </c>
      <c r="T1072" t="s">
        <v>69</v>
      </c>
      <c r="U1072" t="s">
        <v>69</v>
      </c>
      <c r="V1072" t="s">
        <v>69</v>
      </c>
      <c r="W1072" t="s">
        <v>69</v>
      </c>
      <c r="X1072" t="s">
        <v>69</v>
      </c>
      <c r="Y1072" t="s">
        <v>23273</v>
      </c>
      <c r="Z1072" t="s">
        <v>23274</v>
      </c>
      <c r="AA1072" t="s">
        <v>3098</v>
      </c>
      <c r="AB1072" t="s">
        <v>23275</v>
      </c>
      <c r="AC1072" t="s">
        <v>69</v>
      </c>
      <c r="AD1072" t="s">
        <v>23276</v>
      </c>
      <c r="AE1072" t="s">
        <v>23277</v>
      </c>
      <c r="AF1072" t="s">
        <v>69</v>
      </c>
      <c r="AG1072" t="s">
        <v>69</v>
      </c>
      <c r="AH1072" t="s">
        <v>69</v>
      </c>
      <c r="AI1072" t="s">
        <v>69</v>
      </c>
      <c r="AJ1072" t="s">
        <v>69</v>
      </c>
      <c r="AK1072" t="s">
        <v>69</v>
      </c>
      <c r="AL1072">
        <v>33</v>
      </c>
      <c r="AM1072">
        <v>7</v>
      </c>
      <c r="AN1072">
        <v>7</v>
      </c>
      <c r="AO1072">
        <v>0</v>
      </c>
      <c r="AP1072">
        <v>9</v>
      </c>
      <c r="AQ1072" t="s">
        <v>8586</v>
      </c>
      <c r="AR1072" t="s">
        <v>8587</v>
      </c>
      <c r="AS1072" t="s">
        <v>8588</v>
      </c>
      <c r="AT1072" t="s">
        <v>3099</v>
      </c>
      <c r="AU1072" t="s">
        <v>3100</v>
      </c>
      <c r="AV1072" t="s">
        <v>69</v>
      </c>
      <c r="AW1072" t="s">
        <v>15267</v>
      </c>
      <c r="AX1072" t="s">
        <v>15268</v>
      </c>
      <c r="AY1072" t="s">
        <v>69</v>
      </c>
      <c r="AZ1072">
        <v>2015</v>
      </c>
      <c r="BA1072">
        <v>33</v>
      </c>
      <c r="BB1072">
        <v>1</v>
      </c>
      <c r="BC1072" t="s">
        <v>69</v>
      </c>
      <c r="BD1072" t="s">
        <v>69</v>
      </c>
      <c r="BE1072" t="s">
        <v>69</v>
      </c>
      <c r="BF1072" t="s">
        <v>69</v>
      </c>
      <c r="BG1072">
        <v>4</v>
      </c>
      <c r="BH1072">
        <v>18</v>
      </c>
      <c r="BI1072" t="s">
        <v>69</v>
      </c>
      <c r="BJ1072" t="s">
        <v>3101</v>
      </c>
      <c r="BK1072" t="str">
        <f>HYPERLINK("http://dx.doi.org/10.1108/JPIF-08-2013-0047","http://dx.doi.org/10.1108/JPIF-08-2013-0047")</f>
        <v>http://dx.doi.org/10.1108/JPIF-08-2013-0047</v>
      </c>
      <c r="BL1072" t="s">
        <v>69</v>
      </c>
      <c r="BM1072" t="s">
        <v>69</v>
      </c>
      <c r="BN1072">
        <v>15</v>
      </c>
      <c r="BO1072" t="s">
        <v>9749</v>
      </c>
      <c r="BP1072" t="s">
        <v>8573</v>
      </c>
      <c r="BQ1072" t="s">
        <v>8594</v>
      </c>
      <c r="BR1072" t="s">
        <v>23278</v>
      </c>
      <c r="BS1072" t="s">
        <v>3102</v>
      </c>
      <c r="BT1072" t="s">
        <v>69</v>
      </c>
      <c r="BU1072" t="s">
        <v>10995</v>
      </c>
      <c r="BV1072" t="s">
        <v>69</v>
      </c>
      <c r="BW1072" t="s">
        <v>69</v>
      </c>
      <c r="BX1072" t="s">
        <v>8526</v>
      </c>
      <c r="BY1072" t="str">
        <f>HYPERLINK("https%3A%2F%2Fwww.webofscience.com%2Fwos%2Fwoscc%2Ffull-record%2FWOS:000373185100002","View Full Record in Web of Science")</f>
        <v>View Full Record in Web of Science</v>
      </c>
    </row>
    <row r="1073" spans="1:77" ht="12.5" x14ac:dyDescent="0.25">
      <c r="A1073" t="s">
        <v>8495</v>
      </c>
      <c r="B1073" s="22" t="s">
        <v>32931</v>
      </c>
      <c r="C1073" s="7"/>
      <c r="D1073" s="7"/>
      <c r="E1073" s="7"/>
      <c r="F1073" t="s">
        <v>67</v>
      </c>
      <c r="G1073" t="s">
        <v>25473</v>
      </c>
      <c r="H1073" t="s">
        <v>69</v>
      </c>
      <c r="I1073" t="s">
        <v>69</v>
      </c>
      <c r="J1073" t="s">
        <v>69</v>
      </c>
      <c r="K1073" t="s">
        <v>25474</v>
      </c>
      <c r="L1073" t="s">
        <v>69</v>
      </c>
      <c r="M1073" t="s">
        <v>69</v>
      </c>
      <c r="N1073" t="s">
        <v>25475</v>
      </c>
      <c r="O1073" t="s">
        <v>25476</v>
      </c>
      <c r="P1073" t="s">
        <v>69</v>
      </c>
      <c r="Q1073" t="s">
        <v>69</v>
      </c>
      <c r="R1073" t="s">
        <v>9357</v>
      </c>
      <c r="S1073" t="s">
        <v>8506</v>
      </c>
      <c r="T1073" t="s">
        <v>69</v>
      </c>
      <c r="U1073" t="s">
        <v>69</v>
      </c>
      <c r="V1073" t="s">
        <v>69</v>
      </c>
      <c r="W1073" t="s">
        <v>69</v>
      </c>
      <c r="X1073" t="s">
        <v>69</v>
      </c>
      <c r="Y1073" t="s">
        <v>25477</v>
      </c>
      <c r="Z1073" t="s">
        <v>69</v>
      </c>
      <c r="AA1073" t="s">
        <v>25478</v>
      </c>
      <c r="AB1073" t="s">
        <v>25479</v>
      </c>
      <c r="AC1073" t="s">
        <v>69</v>
      </c>
      <c r="AD1073" t="s">
        <v>25480</v>
      </c>
      <c r="AE1073" t="s">
        <v>69</v>
      </c>
      <c r="AF1073" t="s">
        <v>69</v>
      </c>
      <c r="AG1073" t="s">
        <v>69</v>
      </c>
      <c r="AH1073" t="s">
        <v>69</v>
      </c>
      <c r="AI1073" t="s">
        <v>69</v>
      </c>
      <c r="AJ1073" t="s">
        <v>69</v>
      </c>
      <c r="AK1073" t="s">
        <v>69</v>
      </c>
      <c r="AL1073">
        <v>11</v>
      </c>
      <c r="AM1073">
        <v>0</v>
      </c>
      <c r="AN1073">
        <v>0</v>
      </c>
      <c r="AO1073">
        <v>0</v>
      </c>
      <c r="AP1073">
        <v>0</v>
      </c>
      <c r="AQ1073" t="s">
        <v>25481</v>
      </c>
      <c r="AR1073" t="s">
        <v>25482</v>
      </c>
      <c r="AS1073" t="s">
        <v>25483</v>
      </c>
      <c r="AT1073" t="s">
        <v>25484</v>
      </c>
      <c r="AU1073" t="s">
        <v>69</v>
      </c>
      <c r="AV1073" t="s">
        <v>69</v>
      </c>
      <c r="AW1073" t="s">
        <v>25485</v>
      </c>
      <c r="AX1073" t="s">
        <v>25486</v>
      </c>
      <c r="AY1073" t="s">
        <v>69</v>
      </c>
      <c r="AZ1073">
        <v>2013</v>
      </c>
      <c r="BA1073" t="s">
        <v>69</v>
      </c>
      <c r="BB1073">
        <v>3</v>
      </c>
      <c r="BC1073" t="s">
        <v>69</v>
      </c>
      <c r="BD1073" t="s">
        <v>69</v>
      </c>
      <c r="BE1073" t="s">
        <v>69</v>
      </c>
      <c r="BF1073" t="s">
        <v>69</v>
      </c>
      <c r="BG1073">
        <v>228</v>
      </c>
      <c r="BH1073">
        <v>235</v>
      </c>
      <c r="BI1073" t="s">
        <v>69</v>
      </c>
      <c r="BJ1073" t="s">
        <v>69</v>
      </c>
      <c r="BK1073" t="s">
        <v>69</v>
      </c>
      <c r="BL1073" t="s">
        <v>69</v>
      </c>
      <c r="BM1073" t="s">
        <v>69</v>
      </c>
      <c r="BN1073">
        <v>8</v>
      </c>
      <c r="BO1073" t="s">
        <v>9410</v>
      </c>
      <c r="BP1073" t="s">
        <v>8573</v>
      </c>
      <c r="BQ1073" t="s">
        <v>8594</v>
      </c>
      <c r="BR1073" t="s">
        <v>25487</v>
      </c>
      <c r="BS1073" t="s">
        <v>25488</v>
      </c>
      <c r="BT1073" t="s">
        <v>69</v>
      </c>
      <c r="BU1073" t="s">
        <v>69</v>
      </c>
      <c r="BV1073" t="s">
        <v>69</v>
      </c>
      <c r="BW1073" t="s">
        <v>69</v>
      </c>
      <c r="BX1073" t="s">
        <v>8526</v>
      </c>
      <c r="BY1073" t="str">
        <f>HYPERLINK("https%3A%2F%2Fwww.webofscience.com%2Fwos%2Fwoscc%2Ffull-record%2FWOS:000422478500020","View Full Record in Web of Science")</f>
        <v>View Full Record in Web of Science</v>
      </c>
    </row>
    <row r="1074" spans="1:77" ht="12.5" x14ac:dyDescent="0.25">
      <c r="A1074" t="s">
        <v>8495</v>
      </c>
      <c r="B1074" s="7" t="s">
        <v>32933</v>
      </c>
      <c r="C1074" s="7"/>
      <c r="D1074" s="7"/>
      <c r="E1074" s="7"/>
      <c r="F1074" t="s">
        <v>67</v>
      </c>
      <c r="G1074" t="s">
        <v>5786</v>
      </c>
      <c r="H1074" t="s">
        <v>69</v>
      </c>
      <c r="I1074" t="s">
        <v>69</v>
      </c>
      <c r="J1074" t="s">
        <v>69</v>
      </c>
      <c r="K1074" t="s">
        <v>5786</v>
      </c>
      <c r="L1074" t="s">
        <v>69</v>
      </c>
      <c r="M1074" t="s">
        <v>69</v>
      </c>
      <c r="N1074" t="s">
        <v>5787</v>
      </c>
      <c r="O1074" t="s">
        <v>4282</v>
      </c>
      <c r="P1074" t="s">
        <v>69</v>
      </c>
      <c r="Q1074" t="s">
        <v>69</v>
      </c>
      <c r="R1074" t="s">
        <v>8505</v>
      </c>
      <c r="S1074" t="s">
        <v>15797</v>
      </c>
      <c r="T1074" t="s">
        <v>5788</v>
      </c>
      <c r="U1074" t="s">
        <v>5789</v>
      </c>
      <c r="V1074" t="s">
        <v>5790</v>
      </c>
      <c r="W1074" t="s">
        <v>69</v>
      </c>
      <c r="X1074" t="s">
        <v>69</v>
      </c>
      <c r="Y1074" t="s">
        <v>31404</v>
      </c>
      <c r="Z1074" t="s">
        <v>69</v>
      </c>
      <c r="AA1074" t="s">
        <v>5791</v>
      </c>
      <c r="AB1074" t="s">
        <v>31405</v>
      </c>
      <c r="AC1074" t="s">
        <v>69</v>
      </c>
      <c r="AD1074" t="s">
        <v>31406</v>
      </c>
      <c r="AE1074" t="s">
        <v>31407</v>
      </c>
      <c r="AF1074" t="s">
        <v>69</v>
      </c>
      <c r="AG1074" t="s">
        <v>5792</v>
      </c>
      <c r="AH1074" t="s">
        <v>69</v>
      </c>
      <c r="AI1074" t="s">
        <v>69</v>
      </c>
      <c r="AJ1074" t="s">
        <v>69</v>
      </c>
      <c r="AK1074" t="s">
        <v>69</v>
      </c>
      <c r="AL1074">
        <v>10</v>
      </c>
      <c r="AM1074">
        <v>0</v>
      </c>
      <c r="AN1074">
        <v>0</v>
      </c>
      <c r="AO1074">
        <v>0</v>
      </c>
      <c r="AP1074">
        <v>5</v>
      </c>
      <c r="AQ1074" t="s">
        <v>31408</v>
      </c>
      <c r="AR1074" t="s">
        <v>31409</v>
      </c>
      <c r="AS1074" t="s">
        <v>31410</v>
      </c>
      <c r="AT1074" t="s">
        <v>4289</v>
      </c>
      <c r="AU1074" t="s">
        <v>69</v>
      </c>
      <c r="AV1074" t="s">
        <v>69</v>
      </c>
      <c r="AW1074" t="s">
        <v>31411</v>
      </c>
      <c r="AX1074" t="s">
        <v>31412</v>
      </c>
      <c r="AY1074" t="s">
        <v>255</v>
      </c>
      <c r="AZ1074">
        <v>2002</v>
      </c>
      <c r="BA1074">
        <v>187</v>
      </c>
      <c r="BB1074" t="s">
        <v>69</v>
      </c>
      <c r="BC1074" t="s">
        <v>69</v>
      </c>
      <c r="BD1074" t="s">
        <v>69</v>
      </c>
      <c r="BE1074" t="s">
        <v>69</v>
      </c>
      <c r="BF1074" t="s">
        <v>69</v>
      </c>
      <c r="BG1074">
        <v>801</v>
      </c>
      <c r="BH1074">
        <v>809</v>
      </c>
      <c r="BI1074" t="s">
        <v>69</v>
      </c>
      <c r="BJ1074" t="s">
        <v>5793</v>
      </c>
      <c r="BK1074" t="str">
        <f>HYPERLINK("http://dx.doi.org/10.1002/1521-3900(200209)187:1&lt;801::AID-MASY801&gt;3.0.CO;2-P","http://dx.doi.org/10.1002/1521-3900(200209)187:1&lt;801::AID-MASY801&gt;3.0.CO;2-P")</f>
        <v>http://dx.doi.org/10.1002/1521-3900(200209)187:1&lt;801::AID-MASY801&gt;3.0.CO;2-P</v>
      </c>
      <c r="BL1074" t="s">
        <v>69</v>
      </c>
      <c r="BM1074" t="s">
        <v>69</v>
      </c>
      <c r="BN1074">
        <v>9</v>
      </c>
      <c r="BO1074" t="s">
        <v>31413</v>
      </c>
      <c r="BP1074" t="s">
        <v>15808</v>
      </c>
      <c r="BQ1074" t="s">
        <v>31413</v>
      </c>
      <c r="BR1074" t="s">
        <v>31414</v>
      </c>
      <c r="BS1074" t="s">
        <v>5794</v>
      </c>
      <c r="BT1074" t="s">
        <v>69</v>
      </c>
      <c r="BU1074" t="s">
        <v>69</v>
      </c>
      <c r="BV1074" t="s">
        <v>69</v>
      </c>
      <c r="BW1074" t="s">
        <v>69</v>
      </c>
      <c r="BX1074" t="s">
        <v>8526</v>
      </c>
      <c r="BY1074" t="str">
        <f>HYPERLINK("https%3A%2F%2Fwww.webofscience.com%2Fwos%2Fwoscc%2Ffull-record%2FWOS:000177886700078","View Full Record in Web of Science")</f>
        <v>View Full Record in Web of Science</v>
      </c>
    </row>
    <row r="1075" spans="1:77" ht="12.5" x14ac:dyDescent="0.25">
      <c r="A1075" t="s">
        <v>8495</v>
      </c>
      <c r="B1075" s="22" t="s">
        <v>32931</v>
      </c>
      <c r="C1075" s="7"/>
      <c r="D1075" s="7"/>
      <c r="E1075" s="7"/>
      <c r="F1075" t="s">
        <v>67</v>
      </c>
      <c r="G1075" t="s">
        <v>31851</v>
      </c>
      <c r="H1075" t="s">
        <v>69</v>
      </c>
      <c r="I1075" t="s">
        <v>69</v>
      </c>
      <c r="J1075" t="s">
        <v>69</v>
      </c>
      <c r="K1075" t="s">
        <v>31851</v>
      </c>
      <c r="L1075" t="s">
        <v>69</v>
      </c>
      <c r="M1075" t="s">
        <v>69</v>
      </c>
      <c r="N1075" t="s">
        <v>31852</v>
      </c>
      <c r="O1075" t="s">
        <v>31853</v>
      </c>
      <c r="P1075" t="s">
        <v>69</v>
      </c>
      <c r="Q1075" t="s">
        <v>69</v>
      </c>
      <c r="R1075" t="s">
        <v>8505</v>
      </c>
      <c r="S1075" t="s">
        <v>8506</v>
      </c>
      <c r="T1075" t="s">
        <v>69</v>
      </c>
      <c r="U1075" t="s">
        <v>69</v>
      </c>
      <c r="V1075" t="s">
        <v>69</v>
      </c>
      <c r="W1075" t="s">
        <v>69</v>
      </c>
      <c r="X1075" t="s">
        <v>69</v>
      </c>
      <c r="Y1075" t="s">
        <v>69</v>
      </c>
      <c r="Z1075" t="s">
        <v>31854</v>
      </c>
      <c r="AA1075" t="s">
        <v>31855</v>
      </c>
      <c r="AB1075" t="s">
        <v>31856</v>
      </c>
      <c r="AC1075" t="s">
        <v>69</v>
      </c>
      <c r="AD1075" t="s">
        <v>31857</v>
      </c>
      <c r="AE1075" t="s">
        <v>69</v>
      </c>
      <c r="AF1075" t="s">
        <v>69</v>
      </c>
      <c r="AG1075" t="s">
        <v>69</v>
      </c>
      <c r="AH1075" t="s">
        <v>69</v>
      </c>
      <c r="AI1075" t="s">
        <v>69</v>
      </c>
      <c r="AJ1075" t="s">
        <v>69</v>
      </c>
      <c r="AK1075" t="s">
        <v>69</v>
      </c>
      <c r="AL1075">
        <v>11</v>
      </c>
      <c r="AM1075">
        <v>6</v>
      </c>
      <c r="AN1075">
        <v>6</v>
      </c>
      <c r="AO1075">
        <v>0</v>
      </c>
      <c r="AP1075">
        <v>0</v>
      </c>
      <c r="AQ1075" t="s">
        <v>9423</v>
      </c>
      <c r="AR1075" t="s">
        <v>9424</v>
      </c>
      <c r="AS1075" t="s">
        <v>9425</v>
      </c>
      <c r="AT1075" t="s">
        <v>31858</v>
      </c>
      <c r="AU1075" t="s">
        <v>69</v>
      </c>
      <c r="AV1075" t="s">
        <v>69</v>
      </c>
      <c r="AW1075" t="s">
        <v>31853</v>
      </c>
      <c r="AX1075" t="s">
        <v>31859</v>
      </c>
      <c r="AY1075" t="s">
        <v>246</v>
      </c>
      <c r="AZ1075">
        <v>2000</v>
      </c>
      <c r="BA1075">
        <v>9</v>
      </c>
      <c r="BB1075">
        <v>2</v>
      </c>
      <c r="BC1075" t="s">
        <v>69</v>
      </c>
      <c r="BD1075" t="s">
        <v>69</v>
      </c>
      <c r="BE1075" t="s">
        <v>69</v>
      </c>
      <c r="BF1075" t="s">
        <v>69</v>
      </c>
      <c r="BG1075">
        <v>93</v>
      </c>
      <c r="BH1075">
        <v>95</v>
      </c>
      <c r="BI1075" t="s">
        <v>69</v>
      </c>
      <c r="BJ1075" t="s">
        <v>31860</v>
      </c>
      <c r="BK1075" t="str">
        <f>HYPERLINK("http://dx.doi.org/10.1054/brst.2000.0144","http://dx.doi.org/10.1054/brst.2000.0144")</f>
        <v>http://dx.doi.org/10.1054/brst.2000.0144</v>
      </c>
      <c r="BL1075" t="s">
        <v>69</v>
      </c>
      <c r="BM1075" t="s">
        <v>69</v>
      </c>
      <c r="BN1075">
        <v>3</v>
      </c>
      <c r="BO1075" t="s">
        <v>31861</v>
      </c>
      <c r="BP1075" t="s">
        <v>8548</v>
      </c>
      <c r="BQ1075" t="s">
        <v>31861</v>
      </c>
      <c r="BR1075" t="s">
        <v>31862</v>
      </c>
      <c r="BS1075" t="s">
        <v>31863</v>
      </c>
      <c r="BT1075">
        <v>14731707</v>
      </c>
      <c r="BU1075" t="s">
        <v>69</v>
      </c>
      <c r="BV1075" t="s">
        <v>69</v>
      </c>
      <c r="BW1075" t="s">
        <v>69</v>
      </c>
      <c r="BX1075" t="s">
        <v>8526</v>
      </c>
      <c r="BY1075" t="str">
        <f>HYPERLINK("https%3A%2F%2Fwww.webofscience.com%2Fwos%2Fwoscc%2Ffull-record%2FWOS:000086906700008","View Full Record in Web of Science")</f>
        <v>View Full Record in Web of Science</v>
      </c>
    </row>
    <row r="1076" spans="1:77" x14ac:dyDescent="0.3">
      <c r="A1076" t="s">
        <v>8495</v>
      </c>
      <c r="B1076" s="12" t="s">
        <v>33005</v>
      </c>
      <c r="F1076" t="s">
        <v>67</v>
      </c>
      <c r="G1076" t="s">
        <v>302</v>
      </c>
      <c r="H1076" t="s">
        <v>69</v>
      </c>
      <c r="I1076" t="s">
        <v>69</v>
      </c>
      <c r="J1076" t="s">
        <v>69</v>
      </c>
      <c r="K1076" t="s">
        <v>303</v>
      </c>
      <c r="L1076" t="s">
        <v>69</v>
      </c>
      <c r="M1076" t="s">
        <v>69</v>
      </c>
      <c r="N1076" s="11" t="s">
        <v>304</v>
      </c>
      <c r="O1076" t="s">
        <v>305</v>
      </c>
      <c r="P1076" t="s">
        <v>69</v>
      </c>
      <c r="Q1076" t="s">
        <v>69</v>
      </c>
      <c r="R1076" t="s">
        <v>8505</v>
      </c>
      <c r="S1076" t="s">
        <v>8506</v>
      </c>
      <c r="T1076" t="s">
        <v>69</v>
      </c>
      <c r="U1076" t="s">
        <v>69</v>
      </c>
      <c r="V1076" t="s">
        <v>69</v>
      </c>
      <c r="W1076" t="s">
        <v>69</v>
      </c>
      <c r="X1076" t="s">
        <v>69</v>
      </c>
      <c r="Y1076" t="s">
        <v>14177</v>
      </c>
      <c r="Z1076" t="s">
        <v>14178</v>
      </c>
      <c r="AA1076" t="s">
        <v>306</v>
      </c>
      <c r="AB1076" t="s">
        <v>14179</v>
      </c>
      <c r="AC1076" t="s">
        <v>69</v>
      </c>
      <c r="AD1076" t="s">
        <v>14180</v>
      </c>
      <c r="AE1076" t="s">
        <v>14181</v>
      </c>
      <c r="AF1076" t="s">
        <v>69</v>
      </c>
      <c r="AG1076" t="s">
        <v>307</v>
      </c>
      <c r="AH1076" t="s">
        <v>14182</v>
      </c>
      <c r="AI1076" t="s">
        <v>14183</v>
      </c>
      <c r="AJ1076" t="s">
        <v>14184</v>
      </c>
      <c r="AK1076" t="s">
        <v>69</v>
      </c>
      <c r="AL1076">
        <v>56</v>
      </c>
      <c r="AM1076">
        <v>6</v>
      </c>
      <c r="AN1076">
        <v>6</v>
      </c>
      <c r="AO1076">
        <v>2</v>
      </c>
      <c r="AP1076">
        <v>6</v>
      </c>
      <c r="AQ1076" t="s">
        <v>8865</v>
      </c>
      <c r="AR1076" t="s">
        <v>8612</v>
      </c>
      <c r="AS1076" t="s">
        <v>8866</v>
      </c>
      <c r="AT1076" t="s">
        <v>308</v>
      </c>
      <c r="AU1076" t="s">
        <v>309</v>
      </c>
      <c r="AV1076" t="s">
        <v>69</v>
      </c>
      <c r="AW1076" t="s">
        <v>14185</v>
      </c>
      <c r="AX1076" t="s">
        <v>14186</v>
      </c>
      <c r="AY1076" t="s">
        <v>8207</v>
      </c>
      <c r="AZ1076">
        <v>2021</v>
      </c>
      <c r="BA1076">
        <v>36</v>
      </c>
      <c r="BB1076">
        <v>2</v>
      </c>
      <c r="BC1076" t="s">
        <v>69</v>
      </c>
      <c r="BD1076" t="s">
        <v>69</v>
      </c>
      <c r="BE1076" t="s">
        <v>69</v>
      </c>
      <c r="BF1076" t="s">
        <v>69</v>
      </c>
      <c r="BG1076">
        <v>193</v>
      </c>
      <c r="BH1076">
        <v>215</v>
      </c>
      <c r="BI1076" t="s">
        <v>69</v>
      </c>
      <c r="BJ1076" t="s">
        <v>310</v>
      </c>
      <c r="BK1076" t="str">
        <f>HYPERLINK("http://dx.doi.org/10.1080/02697459.2020.1829278","http://dx.doi.org/10.1080/02697459.2020.1829278")</f>
        <v>http://dx.doi.org/10.1080/02697459.2020.1829278</v>
      </c>
      <c r="BL1076" t="s">
        <v>69</v>
      </c>
      <c r="BM1076" t="s">
        <v>311</v>
      </c>
      <c r="BN1076">
        <v>23</v>
      </c>
      <c r="BO1076" t="s">
        <v>14187</v>
      </c>
      <c r="BP1076" t="s">
        <v>8573</v>
      </c>
      <c r="BQ1076" t="s">
        <v>12182</v>
      </c>
      <c r="BR1076" t="s">
        <v>14188</v>
      </c>
      <c r="BS1076" t="s">
        <v>312</v>
      </c>
      <c r="BT1076" t="s">
        <v>69</v>
      </c>
      <c r="BU1076" t="s">
        <v>8622</v>
      </c>
      <c r="BV1076" t="s">
        <v>69</v>
      </c>
      <c r="BW1076" t="s">
        <v>69</v>
      </c>
      <c r="BX1076" t="s">
        <v>8526</v>
      </c>
      <c r="BY1076" t="str">
        <f>HYPERLINK("https%3A%2F%2Fwww.webofscience.com%2Fwos%2Fwoscc%2Ffull-record%2FWOS:000581891500001","View Full Record in Web of Science")</f>
        <v>View Full Record in Web of Science</v>
      </c>
    </row>
    <row r="1077" spans="1:77" x14ac:dyDescent="0.3">
      <c r="A1077" t="s">
        <v>8495</v>
      </c>
      <c r="B1077" s="10" t="s">
        <v>33006</v>
      </c>
      <c r="F1077" t="s">
        <v>67</v>
      </c>
      <c r="G1077" t="s">
        <v>7645</v>
      </c>
      <c r="H1077" t="s">
        <v>69</v>
      </c>
      <c r="I1077" t="s">
        <v>69</v>
      </c>
      <c r="J1077" t="s">
        <v>69</v>
      </c>
      <c r="K1077" s="2" t="s">
        <v>7646</v>
      </c>
      <c r="L1077" t="s">
        <v>69</v>
      </c>
      <c r="M1077" t="s">
        <v>69</v>
      </c>
      <c r="N1077" s="2" t="s">
        <v>7647</v>
      </c>
      <c r="O1077" t="s">
        <v>1360</v>
      </c>
      <c r="P1077" t="s">
        <v>69</v>
      </c>
      <c r="Q1077" t="s">
        <v>69</v>
      </c>
      <c r="R1077" t="s">
        <v>8505</v>
      </c>
      <c r="S1077" t="s">
        <v>8442</v>
      </c>
      <c r="T1077" t="s">
        <v>69</v>
      </c>
      <c r="U1077" t="s">
        <v>69</v>
      </c>
      <c r="V1077" t="s">
        <v>69</v>
      </c>
      <c r="W1077" t="s">
        <v>69</v>
      </c>
      <c r="X1077" t="s">
        <v>69</v>
      </c>
      <c r="Y1077" t="s">
        <v>28361</v>
      </c>
      <c r="Z1077" t="s">
        <v>28362</v>
      </c>
      <c r="AA1077" t="s">
        <v>7648</v>
      </c>
      <c r="AB1077" t="s">
        <v>28363</v>
      </c>
      <c r="AC1077" t="s">
        <v>69</v>
      </c>
      <c r="AD1077" t="s">
        <v>28364</v>
      </c>
      <c r="AE1077" t="s">
        <v>28365</v>
      </c>
      <c r="AF1077" t="s">
        <v>7649</v>
      </c>
      <c r="AG1077" t="s">
        <v>69</v>
      </c>
      <c r="AH1077" t="s">
        <v>28366</v>
      </c>
      <c r="AI1077" t="s">
        <v>28367</v>
      </c>
      <c r="AJ1077" t="s">
        <v>28368</v>
      </c>
      <c r="AK1077" t="s">
        <v>69</v>
      </c>
      <c r="AL1077">
        <v>110</v>
      </c>
      <c r="AM1077">
        <v>151</v>
      </c>
      <c r="AN1077">
        <v>153</v>
      </c>
      <c r="AO1077">
        <v>3</v>
      </c>
      <c r="AP1077">
        <v>94</v>
      </c>
      <c r="AQ1077" t="s">
        <v>8636</v>
      </c>
      <c r="AR1077" t="s">
        <v>8637</v>
      </c>
      <c r="AS1077" t="s">
        <v>8638</v>
      </c>
      <c r="AT1077" t="s">
        <v>1364</v>
      </c>
      <c r="AU1077" t="s">
        <v>1365</v>
      </c>
      <c r="AV1077" t="s">
        <v>69</v>
      </c>
      <c r="AW1077" t="s">
        <v>9698</v>
      </c>
      <c r="AX1077" t="s">
        <v>9699</v>
      </c>
      <c r="AY1077" t="s">
        <v>274</v>
      </c>
      <c r="AZ1077">
        <v>2009</v>
      </c>
      <c r="BA1077">
        <v>12</v>
      </c>
      <c r="BB1077">
        <v>7</v>
      </c>
      <c r="BC1077" t="s">
        <v>69</v>
      </c>
      <c r="BD1077" t="s">
        <v>69</v>
      </c>
      <c r="BE1077" t="s">
        <v>69</v>
      </c>
      <c r="BF1077" t="s">
        <v>69</v>
      </c>
      <c r="BG1077">
        <v>994</v>
      </c>
      <c r="BH1077">
        <v>1011</v>
      </c>
      <c r="BI1077" t="s">
        <v>69</v>
      </c>
      <c r="BJ1077" t="s">
        <v>7650</v>
      </c>
      <c r="BK1077" t="str">
        <f>HYPERLINK("http://dx.doi.org/10.1016/j.envsci.2009.05.002","http://dx.doi.org/10.1016/j.envsci.2009.05.002")</f>
        <v>http://dx.doi.org/10.1016/j.envsci.2009.05.002</v>
      </c>
      <c r="BL1077" t="s">
        <v>69</v>
      </c>
      <c r="BM1077" t="s">
        <v>69</v>
      </c>
      <c r="BN1077">
        <v>18</v>
      </c>
      <c r="BO1077" t="s">
        <v>8717</v>
      </c>
      <c r="BP1077" t="s">
        <v>8523</v>
      </c>
      <c r="BQ1077" t="s">
        <v>8662</v>
      </c>
      <c r="BR1077" t="s">
        <v>28369</v>
      </c>
      <c r="BS1077" t="s">
        <v>7651</v>
      </c>
      <c r="BT1077" t="s">
        <v>69</v>
      </c>
      <c r="BU1077" t="s">
        <v>69</v>
      </c>
      <c r="BV1077" t="s">
        <v>69</v>
      </c>
      <c r="BW1077" t="s">
        <v>69</v>
      </c>
      <c r="BX1077" t="s">
        <v>8526</v>
      </c>
      <c r="BY1077" t="str">
        <f>HYPERLINK("https%3A%2F%2Fwww.webofscience.com%2Fwos%2Fwoscc%2Ffull-record%2FWOS:000272287900022","View Full Record in Web of Science")</f>
        <v>View Full Record in Web of Science</v>
      </c>
    </row>
    <row r="1078" spans="1:77" ht="12.5" x14ac:dyDescent="0.25">
      <c r="A1078" t="s">
        <v>8495</v>
      </c>
      <c r="B1078" s="7" t="s">
        <v>32933</v>
      </c>
      <c r="C1078" s="7"/>
      <c r="D1078" s="7"/>
      <c r="E1078" s="7"/>
      <c r="F1078" t="s">
        <v>67</v>
      </c>
      <c r="G1078" t="s">
        <v>5146</v>
      </c>
      <c r="H1078" t="s">
        <v>69</v>
      </c>
      <c r="I1078" t="s">
        <v>69</v>
      </c>
      <c r="J1078" t="s">
        <v>69</v>
      </c>
      <c r="K1078" t="s">
        <v>5147</v>
      </c>
      <c r="L1078" t="s">
        <v>69</v>
      </c>
      <c r="M1078" t="s">
        <v>69</v>
      </c>
      <c r="N1078" t="s">
        <v>5148</v>
      </c>
      <c r="O1078" t="s">
        <v>3336</v>
      </c>
      <c r="P1078" t="s">
        <v>69</v>
      </c>
      <c r="Q1078" t="s">
        <v>69</v>
      </c>
      <c r="R1078" t="s">
        <v>8505</v>
      </c>
      <c r="S1078" t="s">
        <v>8506</v>
      </c>
      <c r="T1078" t="s">
        <v>69</v>
      </c>
      <c r="U1078" t="s">
        <v>69</v>
      </c>
      <c r="V1078" t="s">
        <v>69</v>
      </c>
      <c r="W1078" t="s">
        <v>69</v>
      </c>
      <c r="X1078" t="s">
        <v>69</v>
      </c>
      <c r="Y1078" t="s">
        <v>29687</v>
      </c>
      <c r="Z1078" t="s">
        <v>69</v>
      </c>
      <c r="AA1078" t="s">
        <v>5149</v>
      </c>
      <c r="AB1078" t="s">
        <v>29688</v>
      </c>
      <c r="AC1078" t="s">
        <v>69</v>
      </c>
      <c r="AD1078" t="s">
        <v>29689</v>
      </c>
      <c r="AE1078" t="s">
        <v>29690</v>
      </c>
      <c r="AF1078" t="s">
        <v>69</v>
      </c>
      <c r="AG1078" t="s">
        <v>69</v>
      </c>
      <c r="AH1078" t="s">
        <v>69</v>
      </c>
      <c r="AI1078" t="s">
        <v>69</v>
      </c>
      <c r="AJ1078" t="s">
        <v>69</v>
      </c>
      <c r="AK1078" t="s">
        <v>69</v>
      </c>
      <c r="AL1078">
        <v>25</v>
      </c>
      <c r="AM1078">
        <v>20</v>
      </c>
      <c r="AN1078">
        <v>21</v>
      </c>
      <c r="AO1078">
        <v>0</v>
      </c>
      <c r="AP1078">
        <v>12</v>
      </c>
      <c r="AQ1078" t="s">
        <v>8516</v>
      </c>
      <c r="AR1078" t="s">
        <v>8517</v>
      </c>
      <c r="AS1078" t="s">
        <v>8518</v>
      </c>
      <c r="AT1078" t="s">
        <v>3339</v>
      </c>
      <c r="AU1078" t="s">
        <v>3340</v>
      </c>
      <c r="AV1078" t="s">
        <v>69</v>
      </c>
      <c r="AW1078" t="s">
        <v>25086</v>
      </c>
      <c r="AX1078" t="s">
        <v>25087</v>
      </c>
      <c r="AY1078" t="s">
        <v>5150</v>
      </c>
      <c r="AZ1078">
        <v>2007</v>
      </c>
      <c r="BA1078">
        <v>63</v>
      </c>
      <c r="BB1078">
        <v>1</v>
      </c>
      <c r="BC1078" t="s">
        <v>69</v>
      </c>
      <c r="BD1078" t="s">
        <v>69</v>
      </c>
      <c r="BE1078" t="s">
        <v>69</v>
      </c>
      <c r="BF1078" t="s">
        <v>69</v>
      </c>
      <c r="BG1078">
        <v>192</v>
      </c>
      <c r="BH1078">
        <v>200</v>
      </c>
      <c r="BI1078" t="s">
        <v>69</v>
      </c>
      <c r="BJ1078" t="s">
        <v>5151</v>
      </c>
      <c r="BK1078" t="str">
        <f>HYPERLINK("http://dx.doi.org/10.1016/j.ecolecon.2006.10.017","http://dx.doi.org/10.1016/j.ecolecon.2006.10.017")</f>
        <v>http://dx.doi.org/10.1016/j.ecolecon.2006.10.017</v>
      </c>
      <c r="BL1078" t="s">
        <v>69</v>
      </c>
      <c r="BM1078" t="s">
        <v>69</v>
      </c>
      <c r="BN1078">
        <v>9</v>
      </c>
      <c r="BO1078" t="s">
        <v>25089</v>
      </c>
      <c r="BP1078" t="s">
        <v>8523</v>
      </c>
      <c r="BQ1078" t="s">
        <v>25090</v>
      </c>
      <c r="BR1078" t="s">
        <v>29691</v>
      </c>
      <c r="BS1078" t="s">
        <v>5152</v>
      </c>
      <c r="BT1078" t="s">
        <v>69</v>
      </c>
      <c r="BU1078" t="s">
        <v>69</v>
      </c>
      <c r="BV1078" t="s">
        <v>69</v>
      </c>
      <c r="BW1078" t="s">
        <v>69</v>
      </c>
      <c r="BX1078" t="s">
        <v>8526</v>
      </c>
      <c r="BY1078" t="str">
        <f>HYPERLINK("https%3A%2F%2Fwww.webofscience.com%2Fwos%2Fwoscc%2Ffull-record%2FWOS:000247717200019","View Full Record in Web of Science")</f>
        <v>View Full Record in Web of Science</v>
      </c>
    </row>
    <row r="1079" spans="1:77" ht="12.5" x14ac:dyDescent="0.25">
      <c r="A1079" t="s">
        <v>8495</v>
      </c>
      <c r="B1079" s="22" t="s">
        <v>32931</v>
      </c>
      <c r="C1079" s="7"/>
      <c r="D1079" s="7"/>
      <c r="E1079" s="7"/>
      <c r="F1079" t="s">
        <v>67</v>
      </c>
      <c r="G1079" t="s">
        <v>17280</v>
      </c>
      <c r="H1079" t="s">
        <v>69</v>
      </c>
      <c r="I1079" t="s">
        <v>69</v>
      </c>
      <c r="J1079" t="s">
        <v>69</v>
      </c>
      <c r="K1079" t="s">
        <v>17281</v>
      </c>
      <c r="L1079" t="s">
        <v>69</v>
      </c>
      <c r="M1079" t="s">
        <v>69</v>
      </c>
      <c r="N1079" t="s">
        <v>17282</v>
      </c>
      <c r="O1079" t="s">
        <v>11160</v>
      </c>
      <c r="P1079" t="s">
        <v>69</v>
      </c>
      <c r="Q1079" t="s">
        <v>69</v>
      </c>
      <c r="R1079" t="s">
        <v>8505</v>
      </c>
      <c r="S1079" t="s">
        <v>8506</v>
      </c>
      <c r="T1079" t="s">
        <v>69</v>
      </c>
      <c r="U1079" t="s">
        <v>69</v>
      </c>
      <c r="V1079" t="s">
        <v>69</v>
      </c>
      <c r="W1079" t="s">
        <v>69</v>
      </c>
      <c r="X1079" t="s">
        <v>69</v>
      </c>
      <c r="Y1079" t="s">
        <v>69</v>
      </c>
      <c r="Z1079" t="s">
        <v>17283</v>
      </c>
      <c r="AA1079" t="s">
        <v>17284</v>
      </c>
      <c r="AB1079" t="s">
        <v>17285</v>
      </c>
      <c r="AC1079" t="s">
        <v>69</v>
      </c>
      <c r="AD1079" t="s">
        <v>17286</v>
      </c>
      <c r="AE1079" t="s">
        <v>69</v>
      </c>
      <c r="AF1079" t="s">
        <v>69</v>
      </c>
      <c r="AG1079" t="s">
        <v>69</v>
      </c>
      <c r="AH1079" t="s">
        <v>69</v>
      </c>
      <c r="AI1079" t="s">
        <v>69</v>
      </c>
      <c r="AJ1079" t="s">
        <v>69</v>
      </c>
      <c r="AK1079" t="s">
        <v>69</v>
      </c>
      <c r="AL1079">
        <v>36</v>
      </c>
      <c r="AM1079">
        <v>5</v>
      </c>
      <c r="AN1079">
        <v>5</v>
      </c>
      <c r="AO1079">
        <v>0</v>
      </c>
      <c r="AP1079">
        <v>1</v>
      </c>
      <c r="AQ1079" t="s">
        <v>10352</v>
      </c>
      <c r="AR1079" t="s">
        <v>8637</v>
      </c>
      <c r="AS1079" t="s">
        <v>10353</v>
      </c>
      <c r="AT1079" t="s">
        <v>11165</v>
      </c>
      <c r="AU1079" t="s">
        <v>11166</v>
      </c>
      <c r="AV1079" t="s">
        <v>69</v>
      </c>
      <c r="AW1079" t="s">
        <v>11167</v>
      </c>
      <c r="AX1079" t="s">
        <v>11168</v>
      </c>
      <c r="AY1079" t="s">
        <v>1375</v>
      </c>
      <c r="AZ1079">
        <v>2019</v>
      </c>
      <c r="BA1079">
        <v>184</v>
      </c>
      <c r="BB1079" t="s">
        <v>1726</v>
      </c>
      <c r="BC1079" t="s">
        <v>69</v>
      </c>
      <c r="BD1079" t="s">
        <v>69</v>
      </c>
      <c r="BE1079" t="s">
        <v>69</v>
      </c>
      <c r="BF1079" t="s">
        <v>69</v>
      </c>
      <c r="BG1079" t="s">
        <v>17287</v>
      </c>
      <c r="BH1079" t="s">
        <v>17288</v>
      </c>
      <c r="BI1079" t="s">
        <v>69</v>
      </c>
      <c r="BJ1079" t="s">
        <v>17289</v>
      </c>
      <c r="BK1079" t="str">
        <f>HYPERLINK("http://dx.doi.org/10.1093/milmed/usz017","http://dx.doi.org/10.1093/milmed/usz017")</f>
        <v>http://dx.doi.org/10.1093/milmed/usz017</v>
      </c>
      <c r="BL1079" t="s">
        <v>69</v>
      </c>
      <c r="BM1079" t="s">
        <v>69</v>
      </c>
      <c r="BN1079">
        <v>9</v>
      </c>
      <c r="BO1079" t="s">
        <v>9450</v>
      </c>
      <c r="BP1079" t="s">
        <v>8523</v>
      </c>
      <c r="BQ1079" t="s">
        <v>9451</v>
      </c>
      <c r="BR1079" t="s">
        <v>17290</v>
      </c>
      <c r="BS1079" t="s">
        <v>17291</v>
      </c>
      <c r="BT1079">
        <v>30793212</v>
      </c>
      <c r="BU1079" t="s">
        <v>8622</v>
      </c>
      <c r="BV1079" t="s">
        <v>69</v>
      </c>
      <c r="BW1079" t="s">
        <v>69</v>
      </c>
      <c r="BX1079" t="s">
        <v>8526</v>
      </c>
      <c r="BY1079" t="str">
        <f>HYPERLINK("https%3A%2F%2Fwww.webofscience.com%2Fwos%2Fwoscc%2Ffull-record%2FWOS:000468188900011","View Full Record in Web of Science")</f>
        <v>View Full Record in Web of Science</v>
      </c>
    </row>
    <row r="1080" spans="1:77" ht="12.5" x14ac:dyDescent="0.25">
      <c r="A1080" t="s">
        <v>8495</v>
      </c>
      <c r="B1080" s="7" t="s">
        <v>32933</v>
      </c>
      <c r="C1080" s="7"/>
      <c r="D1080" s="7"/>
      <c r="E1080" s="7"/>
      <c r="F1080" t="s">
        <v>67</v>
      </c>
      <c r="G1080" t="s">
        <v>7341</v>
      </c>
      <c r="H1080" t="s">
        <v>69</v>
      </c>
      <c r="I1080" t="s">
        <v>69</v>
      </c>
      <c r="J1080" t="s">
        <v>69</v>
      </c>
      <c r="K1080" t="s">
        <v>7342</v>
      </c>
      <c r="L1080" t="s">
        <v>69</v>
      </c>
      <c r="M1080" t="s">
        <v>69</v>
      </c>
      <c r="N1080" t="s">
        <v>7343</v>
      </c>
      <c r="O1080" t="s">
        <v>436</v>
      </c>
      <c r="P1080" t="s">
        <v>69</v>
      </c>
      <c r="Q1080" t="s">
        <v>69</v>
      </c>
      <c r="R1080" t="s">
        <v>8505</v>
      </c>
      <c r="S1080" t="s">
        <v>8506</v>
      </c>
      <c r="T1080" t="s">
        <v>69</v>
      </c>
      <c r="U1080" t="s">
        <v>69</v>
      </c>
      <c r="V1080" t="s">
        <v>69</v>
      </c>
      <c r="W1080" t="s">
        <v>69</v>
      </c>
      <c r="X1080" t="s">
        <v>69</v>
      </c>
      <c r="Y1080" t="s">
        <v>16489</v>
      </c>
      <c r="Z1080" t="s">
        <v>16490</v>
      </c>
      <c r="AA1080" t="s">
        <v>7344</v>
      </c>
      <c r="AB1080" t="s">
        <v>16491</v>
      </c>
      <c r="AC1080" t="s">
        <v>69</v>
      </c>
      <c r="AD1080" t="s">
        <v>16492</v>
      </c>
      <c r="AE1080" t="s">
        <v>16493</v>
      </c>
      <c r="AF1080" t="s">
        <v>69</v>
      </c>
      <c r="AG1080" t="s">
        <v>16494</v>
      </c>
      <c r="AH1080" t="s">
        <v>69</v>
      </c>
      <c r="AI1080" t="s">
        <v>69</v>
      </c>
      <c r="AJ1080" t="s">
        <v>69</v>
      </c>
      <c r="AK1080" t="s">
        <v>69</v>
      </c>
      <c r="AL1080">
        <v>59</v>
      </c>
      <c r="AM1080">
        <v>12</v>
      </c>
      <c r="AN1080">
        <v>12</v>
      </c>
      <c r="AO1080">
        <v>2</v>
      </c>
      <c r="AP1080">
        <v>65</v>
      </c>
      <c r="AQ1080" t="s">
        <v>8636</v>
      </c>
      <c r="AR1080" t="s">
        <v>8637</v>
      </c>
      <c r="AS1080" t="s">
        <v>8638</v>
      </c>
      <c r="AT1080" t="s">
        <v>440</v>
      </c>
      <c r="AU1080" t="s">
        <v>441</v>
      </c>
      <c r="AV1080" t="s">
        <v>69</v>
      </c>
      <c r="AW1080" t="s">
        <v>8639</v>
      </c>
      <c r="AX1080" t="s">
        <v>8640</v>
      </c>
      <c r="AY1080" t="s">
        <v>6976</v>
      </c>
      <c r="AZ1080">
        <v>2019</v>
      </c>
      <c r="BA1080">
        <v>237</v>
      </c>
      <c r="BB1080" t="s">
        <v>69</v>
      </c>
      <c r="BC1080" t="s">
        <v>69</v>
      </c>
      <c r="BD1080" t="s">
        <v>69</v>
      </c>
      <c r="BE1080" t="s">
        <v>69</v>
      </c>
      <c r="BF1080" t="s">
        <v>69</v>
      </c>
      <c r="BG1080" t="s">
        <v>69</v>
      </c>
      <c r="BH1080" t="s">
        <v>69</v>
      </c>
      <c r="BI1080">
        <v>117735</v>
      </c>
      <c r="BJ1080" t="s">
        <v>7345</v>
      </c>
      <c r="BK1080" t="str">
        <f>HYPERLINK("http://dx.doi.org/10.1016/j.jclepro.2019.117735","http://dx.doi.org/10.1016/j.jclepro.2019.117735")</f>
        <v>http://dx.doi.org/10.1016/j.jclepro.2019.117735</v>
      </c>
      <c r="BL1080" t="s">
        <v>69</v>
      </c>
      <c r="BM1080" t="s">
        <v>69</v>
      </c>
      <c r="BN1080">
        <v>15</v>
      </c>
      <c r="BO1080" t="s">
        <v>8643</v>
      </c>
      <c r="BP1080" t="s">
        <v>8548</v>
      </c>
      <c r="BQ1080" t="s">
        <v>8644</v>
      </c>
      <c r="BR1080" t="s">
        <v>16495</v>
      </c>
      <c r="BS1080" t="s">
        <v>7346</v>
      </c>
      <c r="BT1080" t="s">
        <v>69</v>
      </c>
      <c r="BU1080" t="s">
        <v>69</v>
      </c>
      <c r="BV1080" t="s">
        <v>69</v>
      </c>
      <c r="BW1080" t="s">
        <v>69</v>
      </c>
      <c r="BX1080" t="s">
        <v>8526</v>
      </c>
      <c r="BY1080" t="str">
        <f>HYPERLINK("https%3A%2F%2Fwww.webofscience.com%2Fwos%2Fwoscc%2Ffull-record%2FWOS:000483462700026","View Full Record in Web of Science")</f>
        <v>View Full Record in Web of Science</v>
      </c>
    </row>
    <row r="1081" spans="1:77" ht="12.5" x14ac:dyDescent="0.25">
      <c r="A1081" t="s">
        <v>8495</v>
      </c>
      <c r="B1081" s="7" t="s">
        <v>32933</v>
      </c>
      <c r="C1081" s="7"/>
      <c r="D1081" s="7"/>
      <c r="E1081" s="7"/>
      <c r="F1081" t="s">
        <v>67</v>
      </c>
      <c r="G1081" t="s">
        <v>4807</v>
      </c>
      <c r="H1081" t="s">
        <v>69</v>
      </c>
      <c r="I1081" t="s">
        <v>69</v>
      </c>
      <c r="J1081" t="s">
        <v>69</v>
      </c>
      <c r="K1081" t="s">
        <v>4808</v>
      </c>
      <c r="L1081" t="s">
        <v>69</v>
      </c>
      <c r="M1081" t="s">
        <v>69</v>
      </c>
      <c r="N1081" t="s">
        <v>4809</v>
      </c>
      <c r="O1081" t="s">
        <v>632</v>
      </c>
      <c r="P1081" t="s">
        <v>69</v>
      </c>
      <c r="Q1081" t="s">
        <v>69</v>
      </c>
      <c r="R1081" t="s">
        <v>8505</v>
      </c>
      <c r="S1081" t="s">
        <v>8506</v>
      </c>
      <c r="T1081" t="s">
        <v>69</v>
      </c>
      <c r="U1081" t="s">
        <v>69</v>
      </c>
      <c r="V1081" t="s">
        <v>69</v>
      </c>
      <c r="W1081" t="s">
        <v>69</v>
      </c>
      <c r="X1081" t="s">
        <v>69</v>
      </c>
      <c r="Y1081" t="s">
        <v>13400</v>
      </c>
      <c r="Z1081" t="s">
        <v>13401</v>
      </c>
      <c r="AA1081" t="s">
        <v>4810</v>
      </c>
      <c r="AB1081" t="s">
        <v>13402</v>
      </c>
      <c r="AC1081" t="s">
        <v>69</v>
      </c>
      <c r="AD1081" t="s">
        <v>12974</v>
      </c>
      <c r="AE1081" t="s">
        <v>13403</v>
      </c>
      <c r="AF1081" t="s">
        <v>13404</v>
      </c>
      <c r="AG1081" t="s">
        <v>13405</v>
      </c>
      <c r="AH1081" t="s">
        <v>69</v>
      </c>
      <c r="AI1081" t="s">
        <v>69</v>
      </c>
      <c r="AJ1081" t="s">
        <v>69</v>
      </c>
      <c r="AK1081" t="s">
        <v>69</v>
      </c>
      <c r="AL1081">
        <v>93</v>
      </c>
      <c r="AM1081">
        <v>21</v>
      </c>
      <c r="AN1081">
        <v>21</v>
      </c>
      <c r="AO1081">
        <v>17</v>
      </c>
      <c r="AP1081">
        <v>85</v>
      </c>
      <c r="AQ1081" t="s">
        <v>8516</v>
      </c>
      <c r="AR1081" t="s">
        <v>8517</v>
      </c>
      <c r="AS1081" t="s">
        <v>8518</v>
      </c>
      <c r="AT1081" t="s">
        <v>634</v>
      </c>
      <c r="AU1081" t="s">
        <v>635</v>
      </c>
      <c r="AV1081" t="s">
        <v>69</v>
      </c>
      <c r="AW1081" t="s">
        <v>8714</v>
      </c>
      <c r="AX1081" t="s">
        <v>8715</v>
      </c>
      <c r="AY1081" t="s">
        <v>442</v>
      </c>
      <c r="AZ1081">
        <v>2021</v>
      </c>
      <c r="BA1081">
        <v>753</v>
      </c>
      <c r="BB1081" t="s">
        <v>69</v>
      </c>
      <c r="BC1081" t="s">
        <v>69</v>
      </c>
      <c r="BD1081" t="s">
        <v>69</v>
      </c>
      <c r="BE1081" t="s">
        <v>69</v>
      </c>
      <c r="BF1081" t="s">
        <v>69</v>
      </c>
      <c r="BG1081" t="s">
        <v>69</v>
      </c>
      <c r="BH1081" t="s">
        <v>69</v>
      </c>
      <c r="BI1081">
        <v>141974</v>
      </c>
      <c r="BJ1081" t="s">
        <v>4811</v>
      </c>
      <c r="BK1081" t="str">
        <f>HYPERLINK("http://dx.doi.org/10.1016/j.scitotenv.2020.141974","http://dx.doi.org/10.1016/j.scitotenv.2020.141974")</f>
        <v>http://dx.doi.org/10.1016/j.scitotenv.2020.141974</v>
      </c>
      <c r="BL1081" t="s">
        <v>69</v>
      </c>
      <c r="BM1081" t="s">
        <v>69</v>
      </c>
      <c r="BN1081">
        <v>17</v>
      </c>
      <c r="BO1081" t="s">
        <v>8717</v>
      </c>
      <c r="BP1081" t="s">
        <v>8523</v>
      </c>
      <c r="BQ1081" t="s">
        <v>8662</v>
      </c>
      <c r="BR1081" t="s">
        <v>13406</v>
      </c>
      <c r="BS1081" t="s">
        <v>4812</v>
      </c>
      <c r="BT1081">
        <v>32906046</v>
      </c>
      <c r="BU1081" t="s">
        <v>9292</v>
      </c>
      <c r="BV1081" t="s">
        <v>69</v>
      </c>
      <c r="BW1081" t="s">
        <v>69</v>
      </c>
      <c r="BX1081" t="s">
        <v>8526</v>
      </c>
      <c r="BY1081" t="str">
        <f>HYPERLINK("https%3A%2F%2Fwww.webofscience.com%2Fwos%2Fwoscc%2Ffull-record%2FWOS:000588616700071","View Full Record in Web of Science")</f>
        <v>View Full Record in Web of Science</v>
      </c>
    </row>
    <row r="1082" spans="1:77" ht="12.5" x14ac:dyDescent="0.25">
      <c r="A1082" t="s">
        <v>8495</v>
      </c>
      <c r="B1082" s="22" t="s">
        <v>32931</v>
      </c>
      <c r="C1082" s="7"/>
      <c r="D1082" s="7"/>
      <c r="E1082" s="7"/>
      <c r="F1082" t="s">
        <v>67</v>
      </c>
      <c r="G1082" t="s">
        <v>12967</v>
      </c>
      <c r="H1082" t="s">
        <v>69</v>
      </c>
      <c r="I1082" t="s">
        <v>69</v>
      </c>
      <c r="J1082" t="s">
        <v>69</v>
      </c>
      <c r="K1082" t="s">
        <v>12968</v>
      </c>
      <c r="L1082" t="s">
        <v>69</v>
      </c>
      <c r="M1082" t="s">
        <v>69</v>
      </c>
      <c r="N1082" t="s">
        <v>12969</v>
      </c>
      <c r="O1082" t="s">
        <v>352</v>
      </c>
      <c r="P1082" t="s">
        <v>69</v>
      </c>
      <c r="Q1082" t="s">
        <v>69</v>
      </c>
      <c r="R1082" t="s">
        <v>8505</v>
      </c>
      <c r="S1082" t="s">
        <v>8506</v>
      </c>
      <c r="T1082" t="s">
        <v>69</v>
      </c>
      <c r="U1082" t="s">
        <v>69</v>
      </c>
      <c r="V1082" t="s">
        <v>69</v>
      </c>
      <c r="W1082" t="s">
        <v>69</v>
      </c>
      <c r="X1082" t="s">
        <v>69</v>
      </c>
      <c r="Y1082" t="s">
        <v>12970</v>
      </c>
      <c r="Z1082" t="s">
        <v>12971</v>
      </c>
      <c r="AA1082" t="s">
        <v>12972</v>
      </c>
      <c r="AB1082" t="s">
        <v>12973</v>
      </c>
      <c r="AC1082" t="s">
        <v>69</v>
      </c>
      <c r="AD1082" t="s">
        <v>12974</v>
      </c>
      <c r="AE1082" t="s">
        <v>12975</v>
      </c>
      <c r="AF1082" t="s">
        <v>12976</v>
      </c>
      <c r="AG1082" t="s">
        <v>12977</v>
      </c>
      <c r="AH1082" t="s">
        <v>69</v>
      </c>
      <c r="AI1082" t="s">
        <v>69</v>
      </c>
      <c r="AJ1082" t="s">
        <v>69</v>
      </c>
      <c r="AK1082" t="s">
        <v>69</v>
      </c>
      <c r="AL1082">
        <v>65</v>
      </c>
      <c r="AM1082">
        <v>19</v>
      </c>
      <c r="AN1082">
        <v>19</v>
      </c>
      <c r="AO1082">
        <v>6</v>
      </c>
      <c r="AP1082">
        <v>15</v>
      </c>
      <c r="AQ1082" t="s">
        <v>8924</v>
      </c>
      <c r="AR1082" t="s">
        <v>8925</v>
      </c>
      <c r="AS1082" t="s">
        <v>8926</v>
      </c>
      <c r="AT1082" t="s">
        <v>69</v>
      </c>
      <c r="AU1082" t="s">
        <v>354</v>
      </c>
      <c r="AV1082" t="s">
        <v>69</v>
      </c>
      <c r="AW1082" t="s">
        <v>8958</v>
      </c>
      <c r="AX1082" t="s">
        <v>8434</v>
      </c>
      <c r="AY1082" t="s">
        <v>94</v>
      </c>
      <c r="AZ1082">
        <v>2021</v>
      </c>
      <c r="BA1082">
        <v>13</v>
      </c>
      <c r="BB1082">
        <v>5</v>
      </c>
      <c r="BC1082" t="s">
        <v>69</v>
      </c>
      <c r="BD1082" t="s">
        <v>69</v>
      </c>
      <c r="BE1082" t="s">
        <v>69</v>
      </c>
      <c r="BF1082" t="s">
        <v>69</v>
      </c>
      <c r="BG1082" t="s">
        <v>69</v>
      </c>
      <c r="BH1082" t="s">
        <v>69</v>
      </c>
      <c r="BI1082">
        <v>2485</v>
      </c>
      <c r="BJ1082" t="s">
        <v>12978</v>
      </c>
      <c r="BK1082" t="str">
        <f>HYPERLINK("http://dx.doi.org/10.3390/su13052485","http://dx.doi.org/10.3390/su13052485")</f>
        <v>http://dx.doi.org/10.3390/su13052485</v>
      </c>
      <c r="BL1082" t="s">
        <v>69</v>
      </c>
      <c r="BM1082" t="s">
        <v>69</v>
      </c>
      <c r="BN1082">
        <v>24</v>
      </c>
      <c r="BO1082" t="s">
        <v>8960</v>
      </c>
      <c r="BP1082" t="s">
        <v>8523</v>
      </c>
      <c r="BQ1082" t="s">
        <v>8961</v>
      </c>
      <c r="BR1082" t="s">
        <v>12979</v>
      </c>
      <c r="BS1082" t="s">
        <v>12980</v>
      </c>
      <c r="BT1082" t="s">
        <v>69</v>
      </c>
      <c r="BU1082" t="s">
        <v>8812</v>
      </c>
      <c r="BV1082" t="s">
        <v>69</v>
      </c>
      <c r="BW1082" t="s">
        <v>69</v>
      </c>
      <c r="BX1082" t="s">
        <v>8526</v>
      </c>
      <c r="BY1082" t="str">
        <f>HYPERLINK("https%3A%2F%2Fwww.webofscience.com%2Fwos%2Fwoscc%2Ffull-record%2FWOS:000628674600001","View Full Record in Web of Science")</f>
        <v>View Full Record in Web of Science</v>
      </c>
    </row>
    <row r="1083" spans="1:77" ht="12.5" x14ac:dyDescent="0.25">
      <c r="A1083" t="s">
        <v>8495</v>
      </c>
      <c r="B1083" s="7" t="s">
        <v>32933</v>
      </c>
      <c r="C1083" s="7"/>
      <c r="D1083" s="7"/>
      <c r="E1083" s="7"/>
      <c r="F1083" t="s">
        <v>67</v>
      </c>
      <c r="G1083" t="s">
        <v>1168</v>
      </c>
      <c r="H1083" t="s">
        <v>69</v>
      </c>
      <c r="I1083" t="s">
        <v>69</v>
      </c>
      <c r="J1083" t="s">
        <v>69</v>
      </c>
      <c r="K1083" t="s">
        <v>1169</v>
      </c>
      <c r="L1083" t="s">
        <v>69</v>
      </c>
      <c r="M1083" t="s">
        <v>69</v>
      </c>
      <c r="N1083" t="s">
        <v>1170</v>
      </c>
      <c r="O1083" t="s">
        <v>1171</v>
      </c>
      <c r="P1083" t="s">
        <v>69</v>
      </c>
      <c r="Q1083" t="s">
        <v>69</v>
      </c>
      <c r="R1083" t="s">
        <v>8505</v>
      </c>
      <c r="S1083" t="s">
        <v>8506</v>
      </c>
      <c r="T1083" t="s">
        <v>69</v>
      </c>
      <c r="U1083" t="s">
        <v>69</v>
      </c>
      <c r="V1083" t="s">
        <v>69</v>
      </c>
      <c r="W1083" t="s">
        <v>69</v>
      </c>
      <c r="X1083" t="s">
        <v>69</v>
      </c>
      <c r="Y1083" t="s">
        <v>20779</v>
      </c>
      <c r="Z1083" t="s">
        <v>20780</v>
      </c>
      <c r="AA1083" t="s">
        <v>1172</v>
      </c>
      <c r="AB1083" t="s">
        <v>20781</v>
      </c>
      <c r="AC1083" t="s">
        <v>69</v>
      </c>
      <c r="AD1083" t="s">
        <v>20782</v>
      </c>
      <c r="AE1083" t="s">
        <v>20783</v>
      </c>
      <c r="AF1083" t="s">
        <v>69</v>
      </c>
      <c r="AG1083" t="s">
        <v>69</v>
      </c>
      <c r="AH1083" t="s">
        <v>69</v>
      </c>
      <c r="AI1083" t="s">
        <v>69</v>
      </c>
      <c r="AJ1083" t="s">
        <v>69</v>
      </c>
      <c r="AK1083" t="s">
        <v>69</v>
      </c>
      <c r="AL1083">
        <v>54</v>
      </c>
      <c r="AM1083">
        <v>1</v>
      </c>
      <c r="AN1083">
        <v>1</v>
      </c>
      <c r="AO1083">
        <v>2</v>
      </c>
      <c r="AP1083">
        <v>22</v>
      </c>
      <c r="AQ1083" t="s">
        <v>8586</v>
      </c>
      <c r="AR1083" t="s">
        <v>8587</v>
      </c>
      <c r="AS1083" t="s">
        <v>8588</v>
      </c>
      <c r="AT1083" t="s">
        <v>1173</v>
      </c>
      <c r="AU1083" t="s">
        <v>1174</v>
      </c>
      <c r="AV1083" t="s">
        <v>69</v>
      </c>
      <c r="AW1083" t="s">
        <v>20784</v>
      </c>
      <c r="AX1083" t="s">
        <v>20785</v>
      </c>
      <c r="AY1083" t="s">
        <v>69</v>
      </c>
      <c r="AZ1083">
        <v>2017</v>
      </c>
      <c r="BA1083">
        <v>32</v>
      </c>
      <c r="BB1083">
        <v>8</v>
      </c>
      <c r="BC1083" t="s">
        <v>69</v>
      </c>
      <c r="BD1083" t="s">
        <v>69</v>
      </c>
      <c r="BE1083" t="s">
        <v>69</v>
      </c>
      <c r="BF1083" t="s">
        <v>69</v>
      </c>
      <c r="BG1083">
        <v>1159</v>
      </c>
      <c r="BH1083">
        <v>1171</v>
      </c>
      <c r="BI1083" t="s">
        <v>69</v>
      </c>
      <c r="BJ1083" t="s">
        <v>1175</v>
      </c>
      <c r="BK1083" t="str">
        <f>HYPERLINK("http://dx.doi.org/10.1108/JBIM-11-2016-0263","http://dx.doi.org/10.1108/JBIM-11-2016-0263")</f>
        <v>http://dx.doi.org/10.1108/JBIM-11-2016-0263</v>
      </c>
      <c r="BL1083" t="s">
        <v>69</v>
      </c>
      <c r="BM1083" t="s">
        <v>69</v>
      </c>
      <c r="BN1083">
        <v>13</v>
      </c>
      <c r="BO1083" t="s">
        <v>8444</v>
      </c>
      <c r="BP1083" t="s">
        <v>8661</v>
      </c>
      <c r="BQ1083" t="s">
        <v>8594</v>
      </c>
      <c r="BR1083" t="s">
        <v>20786</v>
      </c>
      <c r="BS1083" t="s">
        <v>1176</v>
      </c>
      <c r="BT1083" t="s">
        <v>69</v>
      </c>
      <c r="BU1083" t="s">
        <v>69</v>
      </c>
      <c r="BV1083" t="s">
        <v>69</v>
      </c>
      <c r="BW1083" t="s">
        <v>69</v>
      </c>
      <c r="BX1083" t="s">
        <v>8526</v>
      </c>
      <c r="BY1083" t="str">
        <f>HYPERLINK("https%3A%2F%2Fwww.webofscience.com%2Fwos%2Fwoscc%2Ffull-record%2FWOS:000414029700012","View Full Record in Web of Science")</f>
        <v>View Full Record in Web of Science</v>
      </c>
    </row>
    <row r="1084" spans="1:77" ht="12.5" x14ac:dyDescent="0.25">
      <c r="A1084" t="s">
        <v>8495</v>
      </c>
      <c r="B1084" s="7" t="s">
        <v>32933</v>
      </c>
      <c r="C1084" s="7"/>
      <c r="D1084" s="7"/>
      <c r="E1084" s="7"/>
      <c r="F1084" t="s">
        <v>67</v>
      </c>
      <c r="G1084" t="s">
        <v>2059</v>
      </c>
      <c r="H1084" t="s">
        <v>69</v>
      </c>
      <c r="I1084" t="s">
        <v>69</v>
      </c>
      <c r="J1084" t="s">
        <v>69</v>
      </c>
      <c r="K1084" t="s">
        <v>2060</v>
      </c>
      <c r="L1084" t="s">
        <v>69</v>
      </c>
      <c r="M1084" t="s">
        <v>69</v>
      </c>
      <c r="N1084" t="s">
        <v>2061</v>
      </c>
      <c r="O1084" t="s">
        <v>2062</v>
      </c>
      <c r="P1084" t="s">
        <v>69</v>
      </c>
      <c r="Q1084" t="s">
        <v>69</v>
      </c>
      <c r="R1084" t="s">
        <v>9357</v>
      </c>
      <c r="S1084" t="s">
        <v>8506</v>
      </c>
      <c r="T1084" t="s">
        <v>69</v>
      </c>
      <c r="U1084" t="s">
        <v>69</v>
      </c>
      <c r="V1084" t="s">
        <v>69</v>
      </c>
      <c r="W1084" t="s">
        <v>69</v>
      </c>
      <c r="X1084" t="s">
        <v>69</v>
      </c>
      <c r="Y1084" t="s">
        <v>16103</v>
      </c>
      <c r="Z1084" t="s">
        <v>16104</v>
      </c>
      <c r="AA1084" t="s">
        <v>2063</v>
      </c>
      <c r="AB1084" t="s">
        <v>16105</v>
      </c>
      <c r="AC1084" t="s">
        <v>69</v>
      </c>
      <c r="AD1084" t="s">
        <v>16106</v>
      </c>
      <c r="AE1084" t="s">
        <v>16107</v>
      </c>
      <c r="AF1084" t="s">
        <v>69</v>
      </c>
      <c r="AG1084" t="s">
        <v>16108</v>
      </c>
      <c r="AH1084" t="s">
        <v>16109</v>
      </c>
      <c r="AI1084" t="s">
        <v>16110</v>
      </c>
      <c r="AJ1084" t="s">
        <v>16111</v>
      </c>
      <c r="AK1084" t="s">
        <v>69</v>
      </c>
      <c r="AL1084">
        <v>34</v>
      </c>
      <c r="AM1084">
        <v>0</v>
      </c>
      <c r="AN1084">
        <v>0</v>
      </c>
      <c r="AO1084">
        <v>0</v>
      </c>
      <c r="AP1084">
        <v>1</v>
      </c>
      <c r="AQ1084" t="s">
        <v>16112</v>
      </c>
      <c r="AR1084" t="s">
        <v>16113</v>
      </c>
      <c r="AS1084" t="s">
        <v>16114</v>
      </c>
      <c r="AT1084" t="s">
        <v>2064</v>
      </c>
      <c r="AU1084" t="s">
        <v>69</v>
      </c>
      <c r="AV1084" t="s">
        <v>69</v>
      </c>
      <c r="AW1084" t="s">
        <v>16115</v>
      </c>
      <c r="AX1084" t="s">
        <v>16115</v>
      </c>
      <c r="AY1084" t="s">
        <v>69</v>
      </c>
      <c r="AZ1084">
        <v>2020</v>
      </c>
      <c r="BA1084">
        <v>11</v>
      </c>
      <c r="BB1084">
        <v>3</v>
      </c>
      <c r="BC1084" t="s">
        <v>69</v>
      </c>
      <c r="BD1084" t="s">
        <v>69</v>
      </c>
      <c r="BE1084" t="s">
        <v>69</v>
      </c>
      <c r="BF1084" t="s">
        <v>69</v>
      </c>
      <c r="BG1084">
        <v>2</v>
      </c>
      <c r="BH1084">
        <v>17</v>
      </c>
      <c r="BI1084" t="s">
        <v>69</v>
      </c>
      <c r="BJ1084" t="s">
        <v>2065</v>
      </c>
      <c r="BK1084" t="str">
        <f>HYPERLINK("http://dx.doi.org/10.29141/2218-5003-2020-11-3-1","http://dx.doi.org/10.29141/2218-5003-2020-11-3-1")</f>
        <v>http://dx.doi.org/10.29141/2218-5003-2020-11-3-1</v>
      </c>
      <c r="BL1084" t="s">
        <v>69</v>
      </c>
      <c r="BM1084" t="s">
        <v>69</v>
      </c>
      <c r="BN1084">
        <v>16</v>
      </c>
      <c r="BO1084" t="s">
        <v>9410</v>
      </c>
      <c r="BP1084" t="s">
        <v>8573</v>
      </c>
      <c r="BQ1084" t="s">
        <v>8594</v>
      </c>
      <c r="BR1084" t="s">
        <v>16116</v>
      </c>
      <c r="BS1084" t="s">
        <v>2066</v>
      </c>
      <c r="BT1084" t="s">
        <v>69</v>
      </c>
      <c r="BU1084" t="s">
        <v>12220</v>
      </c>
      <c r="BV1084" t="s">
        <v>69</v>
      </c>
      <c r="BW1084" t="s">
        <v>69</v>
      </c>
      <c r="BX1084" t="s">
        <v>8526</v>
      </c>
      <c r="BY1084" t="str">
        <f>HYPERLINK("https%3A%2F%2Fwww.webofscience.com%2Fwos%2Fwoscc%2Ffull-record%2FWOS:000546559400001","View Full Record in Web of Science")</f>
        <v>View Full Record in Web of Science</v>
      </c>
    </row>
    <row r="1085" spans="1:77" ht="12.5" x14ac:dyDescent="0.25">
      <c r="A1085" t="s">
        <v>8495</v>
      </c>
      <c r="B1085" s="22" t="s">
        <v>32931</v>
      </c>
      <c r="C1085" s="7"/>
      <c r="D1085" s="7"/>
      <c r="E1085" s="7"/>
      <c r="F1085" t="s">
        <v>67</v>
      </c>
      <c r="G1085" t="s">
        <v>14773</v>
      </c>
      <c r="H1085" t="s">
        <v>69</v>
      </c>
      <c r="I1085" t="s">
        <v>69</v>
      </c>
      <c r="J1085" t="s">
        <v>69</v>
      </c>
      <c r="K1085" t="s">
        <v>14774</v>
      </c>
      <c r="L1085" t="s">
        <v>69</v>
      </c>
      <c r="M1085" t="s">
        <v>69</v>
      </c>
      <c r="N1085" t="s">
        <v>14775</v>
      </c>
      <c r="O1085" t="s">
        <v>14776</v>
      </c>
      <c r="P1085" t="s">
        <v>69</v>
      </c>
      <c r="Q1085" t="s">
        <v>69</v>
      </c>
      <c r="R1085" t="s">
        <v>8505</v>
      </c>
      <c r="S1085" t="s">
        <v>8506</v>
      </c>
      <c r="T1085" t="s">
        <v>69</v>
      </c>
      <c r="U1085" t="s">
        <v>69</v>
      </c>
      <c r="V1085" t="s">
        <v>69</v>
      </c>
      <c r="W1085" t="s">
        <v>69</v>
      </c>
      <c r="X1085" t="s">
        <v>69</v>
      </c>
      <c r="Y1085" t="s">
        <v>14777</v>
      </c>
      <c r="Z1085" t="s">
        <v>14778</v>
      </c>
      <c r="AA1085" t="s">
        <v>14779</v>
      </c>
      <c r="AB1085" t="s">
        <v>14780</v>
      </c>
      <c r="AC1085" t="s">
        <v>69</v>
      </c>
      <c r="AD1085" t="s">
        <v>14781</v>
      </c>
      <c r="AE1085" t="s">
        <v>14782</v>
      </c>
      <c r="AF1085" t="s">
        <v>14783</v>
      </c>
      <c r="AG1085" t="s">
        <v>14784</v>
      </c>
      <c r="AH1085" t="s">
        <v>14785</v>
      </c>
      <c r="AI1085" t="s">
        <v>14785</v>
      </c>
      <c r="AJ1085" t="s">
        <v>14786</v>
      </c>
      <c r="AK1085" t="s">
        <v>69</v>
      </c>
      <c r="AL1085">
        <v>45</v>
      </c>
      <c r="AM1085">
        <v>8</v>
      </c>
      <c r="AN1085">
        <v>8</v>
      </c>
      <c r="AO1085">
        <v>1</v>
      </c>
      <c r="AP1085">
        <v>4</v>
      </c>
      <c r="AQ1085" t="s">
        <v>9203</v>
      </c>
      <c r="AR1085" t="s">
        <v>8763</v>
      </c>
      <c r="AS1085" t="s">
        <v>9204</v>
      </c>
      <c r="AT1085" t="s">
        <v>14787</v>
      </c>
      <c r="AU1085" t="s">
        <v>69</v>
      </c>
      <c r="AV1085" t="s">
        <v>69</v>
      </c>
      <c r="AW1085" t="s">
        <v>14788</v>
      </c>
      <c r="AX1085" t="s">
        <v>14789</v>
      </c>
      <c r="AY1085" t="s">
        <v>14790</v>
      </c>
      <c r="AZ1085">
        <v>2020</v>
      </c>
      <c r="BA1085">
        <v>9</v>
      </c>
      <c r="BB1085">
        <v>1</v>
      </c>
      <c r="BC1085" t="s">
        <v>69</v>
      </c>
      <c r="BD1085" t="s">
        <v>69</v>
      </c>
      <c r="BE1085" t="s">
        <v>69</v>
      </c>
      <c r="BF1085" t="s">
        <v>69</v>
      </c>
      <c r="BG1085" t="s">
        <v>69</v>
      </c>
      <c r="BH1085" t="s">
        <v>69</v>
      </c>
      <c r="BI1085">
        <v>99</v>
      </c>
      <c r="BJ1085" t="s">
        <v>14791</v>
      </c>
      <c r="BK1085" t="str">
        <f>HYPERLINK("http://dx.doi.org/10.1186/s13756-020-00767-w","http://dx.doi.org/10.1186/s13756-020-00767-w")</f>
        <v>http://dx.doi.org/10.1186/s13756-020-00767-w</v>
      </c>
      <c r="BL1085" t="s">
        <v>69</v>
      </c>
      <c r="BM1085" t="s">
        <v>69</v>
      </c>
      <c r="BN1085">
        <v>12</v>
      </c>
      <c r="BO1085" t="s">
        <v>14792</v>
      </c>
      <c r="BP1085" t="s">
        <v>8523</v>
      </c>
      <c r="BQ1085" t="s">
        <v>14792</v>
      </c>
      <c r="BR1085" t="s">
        <v>14793</v>
      </c>
      <c r="BS1085" t="s">
        <v>14795</v>
      </c>
      <c r="BT1085">
        <v>32616015</v>
      </c>
      <c r="BU1085" t="s">
        <v>14794</v>
      </c>
      <c r="BV1085" t="s">
        <v>69</v>
      </c>
      <c r="BW1085" t="s">
        <v>69</v>
      </c>
      <c r="BX1085" t="s">
        <v>8526</v>
      </c>
      <c r="BY1085" t="str">
        <f>HYPERLINK("https%3A%2F%2Fwww.webofscience.com%2Fwos%2Fwoscc%2Ffull-record%2FWOS:000548377000001","View Full Record in Web of Science")</f>
        <v>View Full Record in Web of Science</v>
      </c>
    </row>
    <row r="1086" spans="1:77" ht="12.5" x14ac:dyDescent="0.25">
      <c r="A1086" t="s">
        <v>8495</v>
      </c>
      <c r="B1086" s="22" t="s">
        <v>32931</v>
      </c>
      <c r="C1086" s="7"/>
      <c r="D1086" s="7"/>
      <c r="E1086" s="7"/>
      <c r="F1086" t="s">
        <v>67</v>
      </c>
      <c r="G1086" t="s">
        <v>9395</v>
      </c>
      <c r="H1086" t="s">
        <v>69</v>
      </c>
      <c r="I1086" t="s">
        <v>69</v>
      </c>
      <c r="J1086" t="s">
        <v>69</v>
      </c>
      <c r="K1086" t="s">
        <v>9396</v>
      </c>
      <c r="L1086" t="s">
        <v>69</v>
      </c>
      <c r="M1086" t="s">
        <v>69</v>
      </c>
      <c r="N1086" t="s">
        <v>9397</v>
      </c>
      <c r="O1086" t="s">
        <v>9398</v>
      </c>
      <c r="P1086" t="s">
        <v>69</v>
      </c>
      <c r="Q1086" t="s">
        <v>69</v>
      </c>
      <c r="R1086" t="s">
        <v>8505</v>
      </c>
      <c r="S1086" t="s">
        <v>8506</v>
      </c>
      <c r="T1086" t="s">
        <v>69</v>
      </c>
      <c r="U1086" t="s">
        <v>69</v>
      </c>
      <c r="V1086" t="s">
        <v>69</v>
      </c>
      <c r="W1086" t="s">
        <v>69</v>
      </c>
      <c r="X1086" t="s">
        <v>69</v>
      </c>
      <c r="Y1086" t="s">
        <v>9399</v>
      </c>
      <c r="Z1086" t="s">
        <v>9400</v>
      </c>
      <c r="AA1086" t="s">
        <v>9401</v>
      </c>
      <c r="AB1086" t="s">
        <v>9402</v>
      </c>
      <c r="AC1086" t="s">
        <v>69</v>
      </c>
      <c r="AD1086" t="s">
        <v>9403</v>
      </c>
      <c r="AE1086" t="s">
        <v>9404</v>
      </c>
      <c r="AF1086" t="s">
        <v>69</v>
      </c>
      <c r="AG1086" t="s">
        <v>69</v>
      </c>
      <c r="AH1086" t="s">
        <v>69</v>
      </c>
      <c r="AI1086" t="s">
        <v>69</v>
      </c>
      <c r="AJ1086" t="s">
        <v>69</v>
      </c>
      <c r="AK1086" t="s">
        <v>69</v>
      </c>
      <c r="AL1086">
        <v>83</v>
      </c>
      <c r="AM1086">
        <v>0</v>
      </c>
      <c r="AN1086">
        <v>0</v>
      </c>
      <c r="AO1086">
        <v>5</v>
      </c>
      <c r="AP1086">
        <v>5</v>
      </c>
      <c r="AQ1086" t="s">
        <v>8636</v>
      </c>
      <c r="AR1086" t="s">
        <v>8637</v>
      </c>
      <c r="AS1086" t="s">
        <v>8638</v>
      </c>
      <c r="AT1086" t="s">
        <v>9405</v>
      </c>
      <c r="AU1086" t="s">
        <v>9406</v>
      </c>
      <c r="AV1086" t="s">
        <v>69</v>
      </c>
      <c r="AW1086" t="s">
        <v>9407</v>
      </c>
      <c r="AX1086" t="s">
        <v>9408</v>
      </c>
      <c r="AY1086" t="s">
        <v>246</v>
      </c>
      <c r="AZ1086">
        <v>2022</v>
      </c>
      <c r="BA1086">
        <v>40</v>
      </c>
      <c r="BB1086">
        <v>3</v>
      </c>
      <c r="BC1086" t="s">
        <v>69</v>
      </c>
      <c r="BD1086" t="s">
        <v>69</v>
      </c>
      <c r="BE1086" t="s">
        <v>69</v>
      </c>
      <c r="BF1086" t="s">
        <v>69</v>
      </c>
      <c r="BG1086">
        <v>155</v>
      </c>
      <c r="BH1086">
        <v>166</v>
      </c>
      <c r="BI1086" t="s">
        <v>69</v>
      </c>
      <c r="BJ1086" t="s">
        <v>9409</v>
      </c>
      <c r="BK1086" t="str">
        <f>HYPERLINK("http://dx.doi.org/10.1016/j.ijproman.2021.11.008","http://dx.doi.org/10.1016/j.ijproman.2021.11.008")</f>
        <v>http://dx.doi.org/10.1016/j.ijproman.2021.11.008</v>
      </c>
      <c r="BL1086" t="s">
        <v>69</v>
      </c>
      <c r="BM1086" t="s">
        <v>69</v>
      </c>
      <c r="BN1086">
        <v>12</v>
      </c>
      <c r="BO1086" t="s">
        <v>9410</v>
      </c>
      <c r="BP1086" t="s">
        <v>8661</v>
      </c>
      <c r="BQ1086" t="s">
        <v>8594</v>
      </c>
      <c r="BR1086" t="s">
        <v>9411</v>
      </c>
      <c r="BS1086" t="s">
        <v>9412</v>
      </c>
      <c r="BT1086" t="s">
        <v>69</v>
      </c>
      <c r="BU1086" t="s">
        <v>8746</v>
      </c>
      <c r="BV1086" t="s">
        <v>69</v>
      </c>
      <c r="BW1086" t="s">
        <v>69</v>
      </c>
      <c r="BX1086" t="s">
        <v>8526</v>
      </c>
      <c r="BY1086" t="str">
        <f>HYPERLINK("https%3A%2F%2Fwww.webofscience.com%2Fwos%2Fwoscc%2Ffull-record%2FWOS:000792886200001","View Full Record in Web of Science")</f>
        <v>View Full Record in Web of Science</v>
      </c>
    </row>
    <row r="1087" spans="1:77" ht="12.5" x14ac:dyDescent="0.25">
      <c r="A1087" t="s">
        <v>8495</v>
      </c>
      <c r="B1087" s="7" t="s">
        <v>32933</v>
      </c>
      <c r="C1087" s="7"/>
      <c r="D1087" s="7"/>
      <c r="E1087" s="7"/>
      <c r="F1087" t="s">
        <v>67</v>
      </c>
      <c r="G1087" t="s">
        <v>8114</v>
      </c>
      <c r="H1087" t="s">
        <v>69</v>
      </c>
      <c r="I1087" t="s">
        <v>69</v>
      </c>
      <c r="J1087" t="s">
        <v>69</v>
      </c>
      <c r="K1087" t="s">
        <v>8115</v>
      </c>
      <c r="L1087" t="s">
        <v>69</v>
      </c>
      <c r="M1087" t="s">
        <v>69</v>
      </c>
      <c r="N1087" t="s">
        <v>8116</v>
      </c>
      <c r="O1087" t="s">
        <v>5045</v>
      </c>
      <c r="P1087" t="s">
        <v>69</v>
      </c>
      <c r="Q1087" t="s">
        <v>69</v>
      </c>
      <c r="R1087" t="s">
        <v>8505</v>
      </c>
      <c r="S1087" t="s">
        <v>8506</v>
      </c>
      <c r="T1087" t="s">
        <v>69</v>
      </c>
      <c r="U1087" t="s">
        <v>69</v>
      </c>
      <c r="V1087" t="s">
        <v>69</v>
      </c>
      <c r="W1087" t="s">
        <v>69</v>
      </c>
      <c r="X1087" t="s">
        <v>69</v>
      </c>
      <c r="Y1087" t="s">
        <v>22188</v>
      </c>
      <c r="Z1087" t="s">
        <v>69</v>
      </c>
      <c r="AA1087" t="s">
        <v>8117</v>
      </c>
      <c r="AB1087" t="s">
        <v>22189</v>
      </c>
      <c r="AC1087" t="s">
        <v>69</v>
      </c>
      <c r="AD1087" t="s">
        <v>22190</v>
      </c>
      <c r="AE1087" t="s">
        <v>22191</v>
      </c>
      <c r="AF1087" t="s">
        <v>69</v>
      </c>
      <c r="AG1087" t="s">
        <v>69</v>
      </c>
      <c r="AH1087" t="s">
        <v>69</v>
      </c>
      <c r="AI1087" t="s">
        <v>69</v>
      </c>
      <c r="AJ1087" t="s">
        <v>69</v>
      </c>
      <c r="AK1087" t="s">
        <v>69</v>
      </c>
      <c r="AL1087">
        <v>7</v>
      </c>
      <c r="AM1087">
        <v>1</v>
      </c>
      <c r="AN1087">
        <v>1</v>
      </c>
      <c r="AO1087">
        <v>1</v>
      </c>
      <c r="AP1087">
        <v>10</v>
      </c>
      <c r="AQ1087" t="s">
        <v>19469</v>
      </c>
      <c r="AR1087" t="s">
        <v>19470</v>
      </c>
      <c r="AS1087" t="s">
        <v>19471</v>
      </c>
      <c r="AT1087" t="s">
        <v>5048</v>
      </c>
      <c r="AU1087" t="s">
        <v>5049</v>
      </c>
      <c r="AV1087" t="s">
        <v>69</v>
      </c>
      <c r="AW1087" t="s">
        <v>19472</v>
      </c>
      <c r="AX1087" t="s">
        <v>19473</v>
      </c>
      <c r="AY1087" t="s">
        <v>69</v>
      </c>
      <c r="AZ1087">
        <v>2016</v>
      </c>
      <c r="BA1087">
        <v>2</v>
      </c>
      <c r="BB1087">
        <v>5</v>
      </c>
      <c r="BC1087" t="s">
        <v>69</v>
      </c>
      <c r="BD1087" t="s">
        <v>69</v>
      </c>
      <c r="BE1087" t="s">
        <v>69</v>
      </c>
      <c r="BF1087" t="s">
        <v>69</v>
      </c>
      <c r="BG1087">
        <v>41</v>
      </c>
      <c r="BH1087">
        <v>47</v>
      </c>
      <c r="BI1087" t="s">
        <v>69</v>
      </c>
      <c r="BJ1087" t="s">
        <v>8118</v>
      </c>
      <c r="BK1087" t="str">
        <f>HYPERLINK("http://dx.doi.org/10.30525/2256-0742/2016-2-5-41-47","http://dx.doi.org/10.30525/2256-0742/2016-2-5-41-47")</f>
        <v>http://dx.doi.org/10.30525/2256-0742/2016-2-5-41-47</v>
      </c>
      <c r="BL1087" t="s">
        <v>69</v>
      </c>
      <c r="BM1087" t="s">
        <v>69</v>
      </c>
      <c r="BN1087">
        <v>7</v>
      </c>
      <c r="BO1087" t="s">
        <v>9726</v>
      </c>
      <c r="BP1087" t="s">
        <v>8573</v>
      </c>
      <c r="BQ1087" t="s">
        <v>8594</v>
      </c>
      <c r="BR1087" t="s">
        <v>22192</v>
      </c>
      <c r="BS1087" t="s">
        <v>8119</v>
      </c>
      <c r="BT1087" t="s">
        <v>69</v>
      </c>
      <c r="BU1087" t="s">
        <v>8931</v>
      </c>
      <c r="BV1087" t="s">
        <v>69</v>
      </c>
      <c r="BW1087" t="s">
        <v>69</v>
      </c>
      <c r="BX1087" t="s">
        <v>8526</v>
      </c>
      <c r="BY1087" t="str">
        <f>HYPERLINK("https%3A%2F%2Fwww.webofscience.com%2Fwos%2Fwoscc%2Ffull-record%2FWOS:000433734400007","View Full Record in Web of Science")</f>
        <v>View Full Record in Web of Science</v>
      </c>
    </row>
    <row r="1088" spans="1:77" ht="12.5" x14ac:dyDescent="0.25">
      <c r="A1088" t="s">
        <v>8495</v>
      </c>
      <c r="B1088" s="22" t="s">
        <v>32931</v>
      </c>
      <c r="C1088" s="7"/>
      <c r="D1088" s="7"/>
      <c r="E1088" s="7"/>
      <c r="F1088" t="s">
        <v>67</v>
      </c>
      <c r="G1088" t="s">
        <v>27969</v>
      </c>
      <c r="H1088" t="s">
        <v>69</v>
      </c>
      <c r="I1088" t="s">
        <v>69</v>
      </c>
      <c r="J1088" t="s">
        <v>69</v>
      </c>
      <c r="K1088" t="s">
        <v>27970</v>
      </c>
      <c r="L1088" t="s">
        <v>69</v>
      </c>
      <c r="M1088" t="s">
        <v>69</v>
      </c>
      <c r="N1088" t="s">
        <v>27971</v>
      </c>
      <c r="O1088" t="s">
        <v>27972</v>
      </c>
      <c r="P1088" t="s">
        <v>69</v>
      </c>
      <c r="Q1088" t="s">
        <v>69</v>
      </c>
      <c r="R1088" t="s">
        <v>10071</v>
      </c>
      <c r="S1088" t="s">
        <v>8506</v>
      </c>
      <c r="T1088" t="s">
        <v>69</v>
      </c>
      <c r="U1088" t="s">
        <v>69</v>
      </c>
      <c r="V1088" t="s">
        <v>69</v>
      </c>
      <c r="W1088" t="s">
        <v>69</v>
      </c>
      <c r="X1088" t="s">
        <v>69</v>
      </c>
      <c r="Y1088" t="s">
        <v>27973</v>
      </c>
      <c r="Z1088" t="s">
        <v>69</v>
      </c>
      <c r="AA1088" t="s">
        <v>27974</v>
      </c>
      <c r="AB1088" t="s">
        <v>27975</v>
      </c>
      <c r="AC1088" t="s">
        <v>69</v>
      </c>
      <c r="AD1088" t="s">
        <v>27976</v>
      </c>
      <c r="AE1088" t="s">
        <v>27977</v>
      </c>
      <c r="AF1088" t="s">
        <v>69</v>
      </c>
      <c r="AG1088" t="s">
        <v>69</v>
      </c>
      <c r="AH1088" t="s">
        <v>69</v>
      </c>
      <c r="AI1088" t="s">
        <v>69</v>
      </c>
      <c r="AJ1088" t="s">
        <v>69</v>
      </c>
      <c r="AK1088" t="s">
        <v>69</v>
      </c>
      <c r="AL1088">
        <v>30</v>
      </c>
      <c r="AM1088">
        <v>1</v>
      </c>
      <c r="AN1088">
        <v>2</v>
      </c>
      <c r="AO1088">
        <v>0</v>
      </c>
      <c r="AP1088">
        <v>0</v>
      </c>
      <c r="AQ1088" t="s">
        <v>27978</v>
      </c>
      <c r="AR1088" t="s">
        <v>27979</v>
      </c>
      <c r="AS1088" t="s">
        <v>27980</v>
      </c>
      <c r="AT1088" t="s">
        <v>27981</v>
      </c>
      <c r="AU1088" t="s">
        <v>27982</v>
      </c>
      <c r="AV1088" t="s">
        <v>69</v>
      </c>
      <c r="AW1088" t="s">
        <v>27983</v>
      </c>
      <c r="AX1088" t="s">
        <v>27984</v>
      </c>
      <c r="AY1088" t="s">
        <v>2654</v>
      </c>
      <c r="AZ1088">
        <v>2010</v>
      </c>
      <c r="BA1088" t="s">
        <v>69</v>
      </c>
      <c r="BB1088">
        <v>26</v>
      </c>
      <c r="BC1088" t="s">
        <v>69</v>
      </c>
      <c r="BD1088" t="s">
        <v>69</v>
      </c>
      <c r="BE1088" t="s">
        <v>69</v>
      </c>
      <c r="BF1088" t="s">
        <v>69</v>
      </c>
      <c r="BG1088">
        <v>7</v>
      </c>
      <c r="BH1088">
        <v>18</v>
      </c>
      <c r="BI1088" t="s">
        <v>69</v>
      </c>
      <c r="BJ1088" t="s">
        <v>27985</v>
      </c>
      <c r="BK1088" t="str">
        <f>HYPERLINK("http://dx.doi.org/10.7764/cdi.26.8","http://dx.doi.org/10.7764/cdi.26.8")</f>
        <v>http://dx.doi.org/10.7764/cdi.26.8</v>
      </c>
      <c r="BL1088" t="s">
        <v>69</v>
      </c>
      <c r="BM1088" t="s">
        <v>69</v>
      </c>
      <c r="BN1088">
        <v>12</v>
      </c>
      <c r="BO1088" t="s">
        <v>8443</v>
      </c>
      <c r="BP1088" t="s">
        <v>8573</v>
      </c>
      <c r="BQ1088" t="s">
        <v>8443</v>
      </c>
      <c r="BR1088" t="s">
        <v>27986</v>
      </c>
      <c r="BS1088" t="s">
        <v>27987</v>
      </c>
      <c r="BT1088" t="s">
        <v>69</v>
      </c>
      <c r="BU1088" t="s">
        <v>11853</v>
      </c>
      <c r="BV1088" t="s">
        <v>69</v>
      </c>
      <c r="BW1088" t="s">
        <v>69</v>
      </c>
      <c r="BX1088" t="s">
        <v>8526</v>
      </c>
      <c r="BY1088" t="str">
        <f>HYPERLINK("https%3A%2F%2Fwww.webofscience.com%2Fwos%2Fwoscc%2Ffull-record%2FWOS:000455370200001","View Full Record in Web of Science")</f>
        <v>View Full Record in Web of Science</v>
      </c>
    </row>
    <row r="1089" spans="1:77" ht="12.5" x14ac:dyDescent="0.25">
      <c r="A1089" t="s">
        <v>8495</v>
      </c>
      <c r="B1089" s="7" t="s">
        <v>32933</v>
      </c>
      <c r="C1089" s="7"/>
      <c r="D1089" s="7"/>
      <c r="E1089" s="7"/>
      <c r="F1089" t="s">
        <v>67</v>
      </c>
      <c r="G1089" t="s">
        <v>5243</v>
      </c>
      <c r="H1089" t="s">
        <v>69</v>
      </c>
      <c r="I1089" t="s">
        <v>69</v>
      </c>
      <c r="J1089" t="s">
        <v>69</v>
      </c>
      <c r="K1089" t="s">
        <v>5244</v>
      </c>
      <c r="L1089" t="s">
        <v>69</v>
      </c>
      <c r="M1089" t="s">
        <v>69</v>
      </c>
      <c r="N1089" t="s">
        <v>5245</v>
      </c>
      <c r="O1089" t="s">
        <v>5246</v>
      </c>
      <c r="P1089" t="s">
        <v>69</v>
      </c>
      <c r="Q1089" t="s">
        <v>69</v>
      </c>
      <c r="R1089" t="s">
        <v>8505</v>
      </c>
      <c r="S1089" t="s">
        <v>8506</v>
      </c>
      <c r="T1089" t="s">
        <v>69</v>
      </c>
      <c r="U1089" t="s">
        <v>69</v>
      </c>
      <c r="V1089" t="s">
        <v>69</v>
      </c>
      <c r="W1089" t="s">
        <v>69</v>
      </c>
      <c r="X1089" t="s">
        <v>69</v>
      </c>
      <c r="Y1089" t="s">
        <v>30212</v>
      </c>
      <c r="Z1089" t="s">
        <v>69</v>
      </c>
      <c r="AA1089" t="s">
        <v>5247</v>
      </c>
      <c r="AB1089" t="s">
        <v>30213</v>
      </c>
      <c r="AC1089" t="s">
        <v>69</v>
      </c>
      <c r="AD1089" t="s">
        <v>30214</v>
      </c>
      <c r="AE1089" t="s">
        <v>30215</v>
      </c>
      <c r="AF1089" t="s">
        <v>69</v>
      </c>
      <c r="AG1089" t="s">
        <v>69</v>
      </c>
      <c r="AH1089" t="s">
        <v>69</v>
      </c>
      <c r="AI1089" t="s">
        <v>69</v>
      </c>
      <c r="AJ1089" t="s">
        <v>69</v>
      </c>
      <c r="AK1089" t="s">
        <v>69</v>
      </c>
      <c r="AL1089">
        <v>11</v>
      </c>
      <c r="AM1089">
        <v>10</v>
      </c>
      <c r="AN1089">
        <v>10</v>
      </c>
      <c r="AO1089">
        <v>1</v>
      </c>
      <c r="AP1089">
        <v>16</v>
      </c>
      <c r="AQ1089" t="s">
        <v>16416</v>
      </c>
      <c r="AR1089" t="s">
        <v>16417</v>
      </c>
      <c r="AS1089" t="s">
        <v>16418</v>
      </c>
      <c r="AT1089" t="s">
        <v>5248</v>
      </c>
      <c r="AU1089" t="s">
        <v>69</v>
      </c>
      <c r="AV1089" t="s">
        <v>69</v>
      </c>
      <c r="AW1089" t="s">
        <v>30216</v>
      </c>
      <c r="AX1089" t="s">
        <v>30217</v>
      </c>
      <c r="AY1089" t="s">
        <v>84</v>
      </c>
      <c r="AZ1089">
        <v>2006</v>
      </c>
      <c r="BA1089">
        <v>31</v>
      </c>
      <c r="BB1089">
        <v>3</v>
      </c>
      <c r="BC1089" t="s">
        <v>69</v>
      </c>
      <c r="BD1089" t="s">
        <v>69</v>
      </c>
      <c r="BE1089" t="s">
        <v>69</v>
      </c>
      <c r="BF1089" t="s">
        <v>69</v>
      </c>
      <c r="BG1089">
        <v>395</v>
      </c>
      <c r="BH1089">
        <v>408</v>
      </c>
      <c r="BI1089" t="s">
        <v>69</v>
      </c>
      <c r="BJ1089" t="s">
        <v>5249</v>
      </c>
      <c r="BK1089" t="str">
        <f>HYPERLINK("http://dx.doi.org/10.1057/palgrave.gpp.2510086","http://dx.doi.org/10.1057/palgrave.gpp.2510086")</f>
        <v>http://dx.doi.org/10.1057/palgrave.gpp.2510086</v>
      </c>
      <c r="BL1089" t="s">
        <v>69</v>
      </c>
      <c r="BM1089" t="s">
        <v>69</v>
      </c>
      <c r="BN1089">
        <v>14</v>
      </c>
      <c r="BO1089" t="s">
        <v>9749</v>
      </c>
      <c r="BP1089" t="s">
        <v>8661</v>
      </c>
      <c r="BQ1089" t="s">
        <v>8594</v>
      </c>
      <c r="BR1089" t="s">
        <v>30218</v>
      </c>
      <c r="BS1089" t="s">
        <v>5250</v>
      </c>
      <c r="BT1089" t="s">
        <v>69</v>
      </c>
      <c r="BU1089" t="s">
        <v>9374</v>
      </c>
      <c r="BV1089" t="s">
        <v>69</v>
      </c>
      <c r="BW1089" t="s">
        <v>69</v>
      </c>
      <c r="BX1089" t="s">
        <v>8526</v>
      </c>
      <c r="BY1089" t="str">
        <f>HYPERLINK("https%3A%2F%2Fwww.webofscience.com%2Fwos%2Fwoscc%2Ffull-record%2FWOS:000241241500003","View Full Record in Web of Science")</f>
        <v>View Full Record in Web of Science</v>
      </c>
    </row>
    <row r="1090" spans="1:77" x14ac:dyDescent="0.3">
      <c r="A1090" t="s">
        <v>8495</v>
      </c>
      <c r="B1090" s="10" t="s">
        <v>33007</v>
      </c>
      <c r="F1090" t="s">
        <v>67</v>
      </c>
      <c r="G1090" t="s">
        <v>3418</v>
      </c>
      <c r="H1090" t="s">
        <v>69</v>
      </c>
      <c r="I1090" t="s">
        <v>69</v>
      </c>
      <c r="J1090" t="s">
        <v>69</v>
      </c>
      <c r="K1090" s="2" t="s">
        <v>3419</v>
      </c>
      <c r="L1090" t="s">
        <v>69</v>
      </c>
      <c r="M1090" t="s">
        <v>69</v>
      </c>
      <c r="N1090" s="2" t="s">
        <v>3420</v>
      </c>
      <c r="O1090" t="s">
        <v>3421</v>
      </c>
      <c r="P1090" t="s">
        <v>69</v>
      </c>
      <c r="Q1090" t="s">
        <v>69</v>
      </c>
      <c r="R1090" t="s">
        <v>8505</v>
      </c>
      <c r="S1090" t="s">
        <v>8506</v>
      </c>
      <c r="T1090" t="s">
        <v>69</v>
      </c>
      <c r="U1090" t="s">
        <v>69</v>
      </c>
      <c r="V1090" t="s">
        <v>69</v>
      </c>
      <c r="W1090" t="s">
        <v>69</v>
      </c>
      <c r="X1090" t="s">
        <v>69</v>
      </c>
      <c r="Y1090" t="s">
        <v>26337</v>
      </c>
      <c r="Z1090" t="s">
        <v>26338</v>
      </c>
      <c r="AA1090" t="s">
        <v>3422</v>
      </c>
      <c r="AB1090" t="s">
        <v>26339</v>
      </c>
      <c r="AC1090" t="s">
        <v>69</v>
      </c>
      <c r="AD1090" t="s">
        <v>26340</v>
      </c>
      <c r="AE1090" t="s">
        <v>26341</v>
      </c>
      <c r="AF1090" t="s">
        <v>3423</v>
      </c>
      <c r="AG1090" t="s">
        <v>26342</v>
      </c>
      <c r="AH1090" t="s">
        <v>69</v>
      </c>
      <c r="AI1090" t="s">
        <v>69</v>
      </c>
      <c r="AJ1090" t="s">
        <v>69</v>
      </c>
      <c r="AK1090" t="s">
        <v>69</v>
      </c>
      <c r="AL1090">
        <v>19</v>
      </c>
      <c r="AM1090">
        <v>4</v>
      </c>
      <c r="AN1090">
        <v>4</v>
      </c>
      <c r="AO1090">
        <v>0</v>
      </c>
      <c r="AP1090">
        <v>3</v>
      </c>
      <c r="AQ1090" t="s">
        <v>8865</v>
      </c>
      <c r="AR1090" t="s">
        <v>8612</v>
      </c>
      <c r="AS1090" t="s">
        <v>22341</v>
      </c>
      <c r="AT1090" t="s">
        <v>3424</v>
      </c>
      <c r="AU1090" t="s">
        <v>69</v>
      </c>
      <c r="AV1090" t="s">
        <v>69</v>
      </c>
      <c r="AW1090" t="s">
        <v>16878</v>
      </c>
      <c r="AX1090" t="s">
        <v>16879</v>
      </c>
      <c r="AY1090" t="s">
        <v>69</v>
      </c>
      <c r="AZ1090">
        <v>2012</v>
      </c>
      <c r="BA1090">
        <v>55</v>
      </c>
      <c r="BB1090">
        <v>1</v>
      </c>
      <c r="BC1090" t="s">
        <v>69</v>
      </c>
      <c r="BD1090" t="s">
        <v>69</v>
      </c>
      <c r="BE1090" t="s">
        <v>69</v>
      </c>
      <c r="BF1090" t="s">
        <v>69</v>
      </c>
      <c r="BG1090">
        <v>113</v>
      </c>
      <c r="BH1090">
        <v>125</v>
      </c>
      <c r="BI1090" t="s">
        <v>69</v>
      </c>
      <c r="BJ1090" t="s">
        <v>3425</v>
      </c>
      <c r="BK1090" t="str">
        <f>HYPERLINK("http://dx.doi.org/10.1080/09640568.2011.583064","http://dx.doi.org/10.1080/09640568.2011.583064")</f>
        <v>http://dx.doi.org/10.1080/09640568.2011.583064</v>
      </c>
      <c r="BL1090" t="s">
        <v>69</v>
      </c>
      <c r="BM1090" t="s">
        <v>69</v>
      </c>
      <c r="BN1090">
        <v>13</v>
      </c>
      <c r="BO1090" t="s">
        <v>14686</v>
      </c>
      <c r="BP1090" t="s">
        <v>8661</v>
      </c>
      <c r="BQ1090" t="s">
        <v>14687</v>
      </c>
      <c r="BR1090" t="s">
        <v>26343</v>
      </c>
      <c r="BS1090" t="s">
        <v>3426</v>
      </c>
      <c r="BT1090" t="s">
        <v>69</v>
      </c>
      <c r="BU1090" t="s">
        <v>69</v>
      </c>
      <c r="BV1090" t="s">
        <v>69</v>
      </c>
      <c r="BW1090" t="s">
        <v>69</v>
      </c>
      <c r="BX1090" t="s">
        <v>8526</v>
      </c>
      <c r="BY1090" t="str">
        <f>HYPERLINK("https%3A%2F%2Fwww.webofscience.com%2Fwos%2Fwoscc%2Ffull-record%2FWOS:000302021600007","View Full Record in Web of Science")</f>
        <v>View Full Record in Web of Science</v>
      </c>
    </row>
    <row r="1091" spans="1:77" x14ac:dyDescent="0.3">
      <c r="A1091" t="s">
        <v>8495</v>
      </c>
      <c r="B1091" s="9" t="s">
        <v>32948</v>
      </c>
      <c r="E1091" s="9" t="s">
        <v>33053</v>
      </c>
      <c r="F1091" t="s">
        <v>67</v>
      </c>
      <c r="G1091" t="s">
        <v>23489</v>
      </c>
      <c r="H1091" t="s">
        <v>69</v>
      </c>
      <c r="I1091" t="s">
        <v>69</v>
      </c>
      <c r="J1091" t="s">
        <v>69</v>
      </c>
      <c r="K1091" t="s">
        <v>23490</v>
      </c>
      <c r="L1091" t="s">
        <v>69</v>
      </c>
      <c r="M1091" t="s">
        <v>69</v>
      </c>
      <c r="N1091" t="s">
        <v>23491</v>
      </c>
      <c r="O1091" t="s">
        <v>23492</v>
      </c>
      <c r="P1091" t="s">
        <v>69</v>
      </c>
      <c r="Q1091" t="s">
        <v>69</v>
      </c>
      <c r="R1091" t="s">
        <v>8505</v>
      </c>
      <c r="S1091" t="s">
        <v>8506</v>
      </c>
      <c r="T1091" t="s">
        <v>69</v>
      </c>
      <c r="U1091" t="s">
        <v>69</v>
      </c>
      <c r="V1091" t="s">
        <v>69</v>
      </c>
      <c r="W1091" t="s">
        <v>69</v>
      </c>
      <c r="X1091" t="s">
        <v>69</v>
      </c>
      <c r="Y1091" t="s">
        <v>23493</v>
      </c>
      <c r="Z1091" t="s">
        <v>69</v>
      </c>
      <c r="AA1091" t="s">
        <v>23494</v>
      </c>
      <c r="AB1091" t="s">
        <v>23495</v>
      </c>
      <c r="AC1091" t="s">
        <v>69</v>
      </c>
      <c r="AD1091" t="s">
        <v>23496</v>
      </c>
      <c r="AE1091" t="s">
        <v>23497</v>
      </c>
      <c r="AF1091" t="s">
        <v>69</v>
      </c>
      <c r="AG1091" t="s">
        <v>69</v>
      </c>
      <c r="AH1091" t="s">
        <v>69</v>
      </c>
      <c r="AI1091" t="s">
        <v>69</v>
      </c>
      <c r="AJ1091" t="s">
        <v>69</v>
      </c>
      <c r="AK1091" t="s">
        <v>69</v>
      </c>
      <c r="AL1091">
        <v>17</v>
      </c>
      <c r="AM1091">
        <v>3</v>
      </c>
      <c r="AN1091">
        <v>3</v>
      </c>
      <c r="AO1091">
        <v>0</v>
      </c>
      <c r="AP1091">
        <v>1</v>
      </c>
      <c r="AQ1091" t="s">
        <v>8539</v>
      </c>
      <c r="AR1091" t="s">
        <v>8540</v>
      </c>
      <c r="AS1091" t="s">
        <v>8541</v>
      </c>
      <c r="AT1091" t="s">
        <v>23498</v>
      </c>
      <c r="AU1091" t="s">
        <v>23499</v>
      </c>
      <c r="AV1091" t="s">
        <v>69</v>
      </c>
      <c r="AW1091" t="s">
        <v>23500</v>
      </c>
      <c r="AX1091" t="s">
        <v>23501</v>
      </c>
      <c r="AY1091" t="s">
        <v>274</v>
      </c>
      <c r="AZ1091">
        <v>2014</v>
      </c>
      <c r="BA1091">
        <v>6</v>
      </c>
      <c r="BB1091">
        <v>4</v>
      </c>
      <c r="BC1091" t="s">
        <v>69</v>
      </c>
      <c r="BD1091" t="s">
        <v>69</v>
      </c>
      <c r="BE1091" t="s">
        <v>69</v>
      </c>
      <c r="BF1091" t="s">
        <v>69</v>
      </c>
      <c r="BG1091" t="s">
        <v>69</v>
      </c>
      <c r="BH1091" t="s">
        <v>69</v>
      </c>
      <c r="BI1091" t="s">
        <v>23502</v>
      </c>
      <c r="BJ1091" t="s">
        <v>23503</v>
      </c>
      <c r="BK1091" t="str">
        <f>HYPERLINK("http://dx.doi.org/10.1061/(ASCE)LA.1943-4170.0000144","http://dx.doi.org/10.1061/(ASCE)LA.1943-4170.0000144")</f>
        <v>http://dx.doi.org/10.1061/(ASCE)LA.1943-4170.0000144</v>
      </c>
      <c r="BL1091" t="s">
        <v>69</v>
      </c>
      <c r="BM1091" t="s">
        <v>69</v>
      </c>
      <c r="BN1091">
        <v>5</v>
      </c>
      <c r="BO1091" t="s">
        <v>8452</v>
      </c>
      <c r="BP1091" t="s">
        <v>8573</v>
      </c>
      <c r="BQ1091" t="s">
        <v>10084</v>
      </c>
      <c r="BR1091" t="s">
        <v>23504</v>
      </c>
      <c r="BS1091" t="s">
        <v>23505</v>
      </c>
      <c r="BT1091" t="s">
        <v>69</v>
      </c>
      <c r="BU1091" t="s">
        <v>69</v>
      </c>
      <c r="BV1091" t="s">
        <v>69</v>
      </c>
      <c r="BW1091" t="s">
        <v>69</v>
      </c>
      <c r="BX1091" t="s">
        <v>8526</v>
      </c>
      <c r="BY1091" t="str">
        <f>HYPERLINK("https%3A%2F%2Fwww.webofscience.com%2Fwos%2Fwoscc%2Ffull-record%2FWOS:000442827400004","View Full Record in Web of Science")</f>
        <v>View Full Record in Web of Science</v>
      </c>
    </row>
    <row r="1092" spans="1:77" ht="12.5" x14ac:dyDescent="0.25">
      <c r="A1092" t="s">
        <v>8495</v>
      </c>
      <c r="B1092" s="22" t="s">
        <v>32931</v>
      </c>
      <c r="C1092" s="7"/>
      <c r="D1092" s="7"/>
      <c r="E1092" s="7"/>
      <c r="F1092" t="s">
        <v>67</v>
      </c>
      <c r="G1092" t="s">
        <v>20990</v>
      </c>
      <c r="H1092" t="s">
        <v>69</v>
      </c>
      <c r="I1092" t="s">
        <v>69</v>
      </c>
      <c r="J1092" t="s">
        <v>69</v>
      </c>
      <c r="K1092" t="s">
        <v>20991</v>
      </c>
      <c r="L1092" t="s">
        <v>69</v>
      </c>
      <c r="M1092" t="s">
        <v>69</v>
      </c>
      <c r="N1092" t="s">
        <v>20992</v>
      </c>
      <c r="O1092" t="s">
        <v>20993</v>
      </c>
      <c r="P1092" t="s">
        <v>69</v>
      </c>
      <c r="Q1092" t="s">
        <v>69</v>
      </c>
      <c r="R1092" t="s">
        <v>8505</v>
      </c>
      <c r="S1092" t="s">
        <v>8506</v>
      </c>
      <c r="T1092" t="s">
        <v>69</v>
      </c>
      <c r="U1092" t="s">
        <v>69</v>
      </c>
      <c r="V1092" t="s">
        <v>69</v>
      </c>
      <c r="W1092" t="s">
        <v>69</v>
      </c>
      <c r="X1092" t="s">
        <v>69</v>
      </c>
      <c r="Y1092" t="s">
        <v>20994</v>
      </c>
      <c r="Z1092" t="s">
        <v>20995</v>
      </c>
      <c r="AA1092" t="s">
        <v>20996</v>
      </c>
      <c r="AB1092" t="s">
        <v>20997</v>
      </c>
      <c r="AC1092" t="s">
        <v>69</v>
      </c>
      <c r="AD1092" t="s">
        <v>20998</v>
      </c>
      <c r="AE1092" t="s">
        <v>20999</v>
      </c>
      <c r="AF1092" t="s">
        <v>21000</v>
      </c>
      <c r="AG1092" t="s">
        <v>21001</v>
      </c>
      <c r="AH1092" t="s">
        <v>21002</v>
      </c>
      <c r="AI1092" t="s">
        <v>21003</v>
      </c>
      <c r="AJ1092" t="s">
        <v>21004</v>
      </c>
      <c r="AK1092" t="s">
        <v>69</v>
      </c>
      <c r="AL1092">
        <v>109</v>
      </c>
      <c r="AM1092">
        <v>3</v>
      </c>
      <c r="AN1092">
        <v>3</v>
      </c>
      <c r="AO1092">
        <v>0</v>
      </c>
      <c r="AP1092">
        <v>5</v>
      </c>
      <c r="AQ1092" t="s">
        <v>9978</v>
      </c>
      <c r="AR1092" t="s">
        <v>9979</v>
      </c>
      <c r="AS1092" t="s">
        <v>9980</v>
      </c>
      <c r="AT1092" t="s">
        <v>21005</v>
      </c>
      <c r="AU1092" t="s">
        <v>21006</v>
      </c>
      <c r="AV1092" t="s">
        <v>69</v>
      </c>
      <c r="AW1092" t="s">
        <v>21007</v>
      </c>
      <c r="AX1092" t="s">
        <v>21008</v>
      </c>
      <c r="AY1092" t="s">
        <v>373</v>
      </c>
      <c r="AZ1092">
        <v>2017</v>
      </c>
      <c r="BA1092">
        <v>61</v>
      </c>
      <c r="BB1092">
        <v>1</v>
      </c>
      <c r="BC1092" t="s">
        <v>69</v>
      </c>
      <c r="BD1092" t="s">
        <v>69</v>
      </c>
      <c r="BE1092" t="s">
        <v>69</v>
      </c>
      <c r="BF1092" t="s">
        <v>69</v>
      </c>
      <c r="BG1092">
        <v>1</v>
      </c>
      <c r="BH1092">
        <v>24</v>
      </c>
      <c r="BI1092" t="s">
        <v>69</v>
      </c>
      <c r="BJ1092" t="s">
        <v>21009</v>
      </c>
      <c r="BK1092" t="str">
        <f>HYPERLINK("http://dx.doi.org/10.1017/mdh.2016.98","http://dx.doi.org/10.1017/mdh.2016.98")</f>
        <v>http://dx.doi.org/10.1017/mdh.2016.98</v>
      </c>
      <c r="BL1092" t="s">
        <v>69</v>
      </c>
      <c r="BM1092" t="s">
        <v>69</v>
      </c>
      <c r="BN1092">
        <v>24</v>
      </c>
      <c r="BO1092" t="s">
        <v>21010</v>
      </c>
      <c r="BP1092" t="s">
        <v>18553</v>
      </c>
      <c r="BQ1092" t="s">
        <v>21011</v>
      </c>
      <c r="BR1092" t="s">
        <v>21012</v>
      </c>
      <c r="BS1092" t="s">
        <v>21013</v>
      </c>
      <c r="BT1092">
        <v>27998330</v>
      </c>
      <c r="BU1092" t="s">
        <v>9029</v>
      </c>
      <c r="BV1092" t="s">
        <v>69</v>
      </c>
      <c r="BW1092" t="s">
        <v>69</v>
      </c>
      <c r="BX1092" t="s">
        <v>8526</v>
      </c>
      <c r="BY1092" t="str">
        <f>HYPERLINK("https%3A%2F%2Fwww.webofscience.com%2Fwos%2Fwoscc%2Ffull-record%2FWOS:000396417900001","View Full Record in Web of Science")</f>
        <v>View Full Record in Web of Science</v>
      </c>
    </row>
    <row r="1093" spans="1:77" ht="12.5" x14ac:dyDescent="0.25">
      <c r="A1093" t="s">
        <v>8495</v>
      </c>
      <c r="B1093" s="7" t="s">
        <v>32933</v>
      </c>
      <c r="C1093" s="7"/>
      <c r="D1093" s="7"/>
      <c r="E1093" s="7"/>
      <c r="F1093" t="s">
        <v>67</v>
      </c>
      <c r="G1093" t="s">
        <v>4549</v>
      </c>
      <c r="H1093" t="s">
        <v>69</v>
      </c>
      <c r="I1093" t="s">
        <v>69</v>
      </c>
      <c r="J1093" t="s">
        <v>69</v>
      </c>
      <c r="K1093" t="s">
        <v>4550</v>
      </c>
      <c r="L1093" t="s">
        <v>69</v>
      </c>
      <c r="M1093" t="s">
        <v>69</v>
      </c>
      <c r="N1093" t="s">
        <v>4551</v>
      </c>
      <c r="O1093" t="s">
        <v>4552</v>
      </c>
      <c r="P1093" t="s">
        <v>69</v>
      </c>
      <c r="Q1093" t="s">
        <v>69</v>
      </c>
      <c r="R1093" t="s">
        <v>8505</v>
      </c>
      <c r="S1093" t="s">
        <v>8506</v>
      </c>
      <c r="T1093" t="s">
        <v>69</v>
      </c>
      <c r="U1093" t="s">
        <v>69</v>
      </c>
      <c r="V1093" t="s">
        <v>69</v>
      </c>
      <c r="W1093" t="s">
        <v>69</v>
      </c>
      <c r="X1093" t="s">
        <v>69</v>
      </c>
      <c r="Y1093" t="s">
        <v>25251</v>
      </c>
      <c r="Z1093" t="s">
        <v>69</v>
      </c>
      <c r="AA1093" t="s">
        <v>4553</v>
      </c>
      <c r="AB1093" t="s">
        <v>25252</v>
      </c>
      <c r="AC1093" t="s">
        <v>69</v>
      </c>
      <c r="AD1093" t="s">
        <v>25253</v>
      </c>
      <c r="AE1093" t="s">
        <v>25254</v>
      </c>
      <c r="AF1093" t="s">
        <v>4554</v>
      </c>
      <c r="AG1093" t="s">
        <v>4555</v>
      </c>
      <c r="AH1093" t="s">
        <v>25255</v>
      </c>
      <c r="AI1093" t="s">
        <v>25256</v>
      </c>
      <c r="AJ1093" t="s">
        <v>25257</v>
      </c>
      <c r="AK1093" t="s">
        <v>69</v>
      </c>
      <c r="AL1093">
        <v>3</v>
      </c>
      <c r="AM1093">
        <v>2</v>
      </c>
      <c r="AN1093">
        <v>2</v>
      </c>
      <c r="AO1093">
        <v>0</v>
      </c>
      <c r="AP1093">
        <v>18</v>
      </c>
      <c r="AQ1093" t="s">
        <v>9091</v>
      </c>
      <c r="AR1093" t="s">
        <v>8763</v>
      </c>
      <c r="AS1093" t="s">
        <v>15468</v>
      </c>
      <c r="AT1093" t="s">
        <v>4556</v>
      </c>
      <c r="AU1093" t="s">
        <v>69</v>
      </c>
      <c r="AV1093" t="s">
        <v>69</v>
      </c>
      <c r="AW1093" t="s">
        <v>4552</v>
      </c>
      <c r="AX1093" t="s">
        <v>9094</v>
      </c>
      <c r="AY1093" t="s">
        <v>69</v>
      </c>
      <c r="AZ1093">
        <v>2013</v>
      </c>
      <c r="BA1093">
        <v>15</v>
      </c>
      <c r="BB1093" t="s">
        <v>69</v>
      </c>
      <c r="BC1093" t="s">
        <v>69</v>
      </c>
      <c r="BD1093">
        <v>2</v>
      </c>
      <c r="BE1093" t="s">
        <v>69</v>
      </c>
      <c r="BF1093" t="s">
        <v>69</v>
      </c>
      <c r="BG1093">
        <v>61</v>
      </c>
      <c r="BH1093">
        <v>78</v>
      </c>
      <c r="BI1093" t="s">
        <v>69</v>
      </c>
      <c r="BJ1093" t="s">
        <v>4557</v>
      </c>
      <c r="BK1093" t="str">
        <f>HYPERLINK("http://dx.doi.org/10.2166/wp.2013.012","http://dx.doi.org/10.2166/wp.2013.012")</f>
        <v>http://dx.doi.org/10.2166/wp.2013.012</v>
      </c>
      <c r="BL1093" t="s">
        <v>69</v>
      </c>
      <c r="BM1093" t="s">
        <v>69</v>
      </c>
      <c r="BN1093">
        <v>18</v>
      </c>
      <c r="BO1093" t="s">
        <v>9096</v>
      </c>
      <c r="BP1093" t="s">
        <v>8548</v>
      </c>
      <c r="BQ1093" t="s">
        <v>9096</v>
      </c>
      <c r="BR1093" t="s">
        <v>25258</v>
      </c>
      <c r="BS1093" t="s">
        <v>4558</v>
      </c>
      <c r="BT1093" t="s">
        <v>69</v>
      </c>
      <c r="BU1093" t="s">
        <v>24397</v>
      </c>
      <c r="BV1093" t="s">
        <v>69</v>
      </c>
      <c r="BW1093" t="s">
        <v>69</v>
      </c>
      <c r="BX1093" t="s">
        <v>8526</v>
      </c>
      <c r="BY1093" t="str">
        <f>HYPERLINK("https%3A%2F%2Fwww.webofscience.com%2Fwos%2Fwoscc%2Ffull-record%2FWOS:000331080900004","View Full Record in Web of Science")</f>
        <v>View Full Record in Web of Science</v>
      </c>
    </row>
    <row r="1094" spans="1:77" ht="12.5" x14ac:dyDescent="0.25">
      <c r="A1094" t="s">
        <v>8495</v>
      </c>
      <c r="B1094" s="7" t="s">
        <v>32933</v>
      </c>
      <c r="C1094" s="7"/>
      <c r="D1094" s="7"/>
      <c r="E1094" s="7"/>
      <c r="F1094" t="s">
        <v>67</v>
      </c>
      <c r="G1094" t="s">
        <v>7139</v>
      </c>
      <c r="H1094" t="s">
        <v>69</v>
      </c>
      <c r="I1094" t="s">
        <v>69</v>
      </c>
      <c r="J1094" t="s">
        <v>69</v>
      </c>
      <c r="K1094" t="s">
        <v>7140</v>
      </c>
      <c r="L1094" t="s">
        <v>69</v>
      </c>
      <c r="M1094" t="s">
        <v>69</v>
      </c>
      <c r="N1094" t="s">
        <v>7141</v>
      </c>
      <c r="O1094" t="s">
        <v>5400</v>
      </c>
      <c r="P1094" t="s">
        <v>69</v>
      </c>
      <c r="Q1094" t="s">
        <v>69</v>
      </c>
      <c r="R1094" t="s">
        <v>8505</v>
      </c>
      <c r="S1094" t="s">
        <v>8506</v>
      </c>
      <c r="T1094" t="s">
        <v>69</v>
      </c>
      <c r="U1094" t="s">
        <v>69</v>
      </c>
      <c r="V1094" t="s">
        <v>69</v>
      </c>
      <c r="W1094" t="s">
        <v>69</v>
      </c>
      <c r="X1094" t="s">
        <v>69</v>
      </c>
      <c r="Y1094" t="s">
        <v>16983</v>
      </c>
      <c r="Z1094" t="s">
        <v>16984</v>
      </c>
      <c r="AA1094" t="s">
        <v>7142</v>
      </c>
      <c r="AB1094" t="s">
        <v>16985</v>
      </c>
      <c r="AC1094" t="s">
        <v>69</v>
      </c>
      <c r="AD1094" t="s">
        <v>16986</v>
      </c>
      <c r="AE1094" t="s">
        <v>16987</v>
      </c>
      <c r="AF1094" t="s">
        <v>69</v>
      </c>
      <c r="AG1094" t="s">
        <v>7143</v>
      </c>
      <c r="AH1094" t="s">
        <v>16988</v>
      </c>
      <c r="AI1094" t="s">
        <v>16988</v>
      </c>
      <c r="AJ1094" t="s">
        <v>16989</v>
      </c>
      <c r="AK1094" t="s">
        <v>69</v>
      </c>
      <c r="AL1094">
        <v>88</v>
      </c>
      <c r="AM1094">
        <v>27</v>
      </c>
      <c r="AN1094">
        <v>29</v>
      </c>
      <c r="AO1094">
        <v>2</v>
      </c>
      <c r="AP1094">
        <v>13</v>
      </c>
      <c r="AQ1094" t="s">
        <v>8516</v>
      </c>
      <c r="AR1094" t="s">
        <v>8517</v>
      </c>
      <c r="AS1094" t="s">
        <v>8518</v>
      </c>
      <c r="AT1094" t="s">
        <v>5402</v>
      </c>
      <c r="AU1094" t="s">
        <v>5403</v>
      </c>
      <c r="AV1094" t="s">
        <v>69</v>
      </c>
      <c r="AW1094" t="s">
        <v>8974</v>
      </c>
      <c r="AX1094" t="s">
        <v>8975</v>
      </c>
      <c r="AY1094" t="s">
        <v>201</v>
      </c>
      <c r="AZ1094">
        <v>2019</v>
      </c>
      <c r="BA1094">
        <v>54</v>
      </c>
      <c r="BB1094" t="s">
        <v>69</v>
      </c>
      <c r="BC1094" t="s">
        <v>69</v>
      </c>
      <c r="BD1094" t="s">
        <v>69</v>
      </c>
      <c r="BE1094" t="s">
        <v>69</v>
      </c>
      <c r="BF1094" t="s">
        <v>69</v>
      </c>
      <c r="BG1094">
        <v>224</v>
      </c>
      <c r="BH1094">
        <v>235</v>
      </c>
      <c r="BI1094" t="s">
        <v>69</v>
      </c>
      <c r="BJ1094" t="s">
        <v>7144</v>
      </c>
      <c r="BK1094" t="str">
        <f>HYPERLINK("http://dx.doi.org/10.1016/j.erss.2019.04.014","http://dx.doi.org/10.1016/j.erss.2019.04.014")</f>
        <v>http://dx.doi.org/10.1016/j.erss.2019.04.014</v>
      </c>
      <c r="BL1094" t="s">
        <v>69</v>
      </c>
      <c r="BM1094" t="s">
        <v>69</v>
      </c>
      <c r="BN1094">
        <v>12</v>
      </c>
      <c r="BO1094" t="s">
        <v>8660</v>
      </c>
      <c r="BP1094" t="s">
        <v>8661</v>
      </c>
      <c r="BQ1094" t="s">
        <v>8662</v>
      </c>
      <c r="BR1094" t="s">
        <v>16990</v>
      </c>
      <c r="BS1094" t="s">
        <v>7145</v>
      </c>
      <c r="BT1094" t="s">
        <v>69</v>
      </c>
      <c r="BU1094" t="s">
        <v>69</v>
      </c>
      <c r="BV1094" t="s">
        <v>69</v>
      </c>
      <c r="BW1094" t="s">
        <v>69</v>
      </c>
      <c r="BX1094" t="s">
        <v>8526</v>
      </c>
      <c r="BY1094" t="str">
        <f>HYPERLINK("https%3A%2F%2Fwww.webofscience.com%2Fwos%2Fwoscc%2Ffull-record%2FWOS:000471789600022","View Full Record in Web of Science")</f>
        <v>View Full Record in Web of Science</v>
      </c>
    </row>
    <row r="1095" spans="1:77" ht="12.5" x14ac:dyDescent="0.25">
      <c r="A1095" t="s">
        <v>8495</v>
      </c>
      <c r="B1095" s="7" t="s">
        <v>32933</v>
      </c>
      <c r="C1095" s="7"/>
      <c r="D1095" s="7"/>
      <c r="E1095" s="7"/>
      <c r="F1095" t="s">
        <v>67</v>
      </c>
      <c r="G1095" t="s">
        <v>2390</v>
      </c>
      <c r="H1095" t="s">
        <v>69</v>
      </c>
      <c r="I1095" t="s">
        <v>69</v>
      </c>
      <c r="J1095" t="s">
        <v>69</v>
      </c>
      <c r="K1095" t="s">
        <v>2391</v>
      </c>
      <c r="L1095" t="s">
        <v>69</v>
      </c>
      <c r="M1095" t="s">
        <v>69</v>
      </c>
      <c r="N1095" t="s">
        <v>2392</v>
      </c>
      <c r="O1095" t="s">
        <v>2393</v>
      </c>
      <c r="P1095" t="s">
        <v>69</v>
      </c>
      <c r="Q1095" t="s">
        <v>69</v>
      </c>
      <c r="R1095" t="s">
        <v>8505</v>
      </c>
      <c r="S1095" t="s">
        <v>8506</v>
      </c>
      <c r="T1095" t="s">
        <v>69</v>
      </c>
      <c r="U1095" t="s">
        <v>69</v>
      </c>
      <c r="V1095" t="s">
        <v>69</v>
      </c>
      <c r="W1095" t="s">
        <v>69</v>
      </c>
      <c r="X1095" t="s">
        <v>69</v>
      </c>
      <c r="Y1095" t="s">
        <v>18443</v>
      </c>
      <c r="Z1095" t="s">
        <v>18444</v>
      </c>
      <c r="AA1095" t="s">
        <v>2394</v>
      </c>
      <c r="AB1095" t="s">
        <v>18445</v>
      </c>
      <c r="AC1095" t="s">
        <v>69</v>
      </c>
      <c r="AD1095" t="s">
        <v>18446</v>
      </c>
      <c r="AE1095" t="s">
        <v>18447</v>
      </c>
      <c r="AF1095" t="s">
        <v>2395</v>
      </c>
      <c r="AG1095" t="s">
        <v>2396</v>
      </c>
      <c r="AH1095" t="s">
        <v>18448</v>
      </c>
      <c r="AI1095" t="s">
        <v>18448</v>
      </c>
      <c r="AJ1095" t="s">
        <v>18449</v>
      </c>
      <c r="AK1095" t="s">
        <v>69</v>
      </c>
      <c r="AL1095">
        <v>14</v>
      </c>
      <c r="AM1095">
        <v>21</v>
      </c>
      <c r="AN1095">
        <v>21</v>
      </c>
      <c r="AO1095">
        <v>0</v>
      </c>
      <c r="AP1095">
        <v>13</v>
      </c>
      <c r="AQ1095" t="s">
        <v>9978</v>
      </c>
      <c r="AR1095" t="s">
        <v>9979</v>
      </c>
      <c r="AS1095" t="s">
        <v>9980</v>
      </c>
      <c r="AT1095" t="s">
        <v>2397</v>
      </c>
      <c r="AU1095" t="s">
        <v>69</v>
      </c>
      <c r="AV1095" t="s">
        <v>69</v>
      </c>
      <c r="AW1095" t="s">
        <v>18450</v>
      </c>
      <c r="AX1095" t="s">
        <v>18451</v>
      </c>
      <c r="AY1095" t="s">
        <v>2398</v>
      </c>
      <c r="AZ1095">
        <v>2018</v>
      </c>
      <c r="BA1095">
        <v>5</v>
      </c>
      <c r="BB1095" t="s">
        <v>69</v>
      </c>
      <c r="BC1095" t="s">
        <v>69</v>
      </c>
      <c r="BD1095" t="s">
        <v>69</v>
      </c>
      <c r="BE1095" t="s">
        <v>69</v>
      </c>
      <c r="BF1095" t="s">
        <v>69</v>
      </c>
      <c r="BG1095" t="s">
        <v>69</v>
      </c>
      <c r="BH1095" t="s">
        <v>69</v>
      </c>
      <c r="BI1095" t="s">
        <v>2399</v>
      </c>
      <c r="BJ1095" t="s">
        <v>2400</v>
      </c>
      <c r="BK1095" t="str">
        <f>HYPERLINK("http://dx.doi.org/10.1017/gmh.2018.19","http://dx.doi.org/10.1017/gmh.2018.19")</f>
        <v>http://dx.doi.org/10.1017/gmh.2018.19</v>
      </c>
      <c r="BL1095" t="s">
        <v>69</v>
      </c>
      <c r="BM1095" t="s">
        <v>69</v>
      </c>
      <c r="BN1095">
        <v>10</v>
      </c>
      <c r="BO1095" t="s">
        <v>9332</v>
      </c>
      <c r="BP1095" t="s">
        <v>8548</v>
      </c>
      <c r="BQ1095" t="s">
        <v>9332</v>
      </c>
      <c r="BR1095" t="s">
        <v>18452</v>
      </c>
      <c r="BS1095" t="s">
        <v>2401</v>
      </c>
      <c r="BT1095">
        <v>30202535</v>
      </c>
      <c r="BU1095" t="s">
        <v>8812</v>
      </c>
      <c r="BV1095" t="s">
        <v>69</v>
      </c>
      <c r="BW1095" t="s">
        <v>69</v>
      </c>
      <c r="BX1095" t="s">
        <v>8526</v>
      </c>
      <c r="BY1095" t="str">
        <f>HYPERLINK("https%3A%2F%2Fwww.webofscience.com%2Fwos%2Fwoscc%2Ffull-record%2FWOS:000442853400001","View Full Record in Web of Science")</f>
        <v>View Full Record in Web of Science</v>
      </c>
    </row>
    <row r="1096" spans="1:77" ht="12.5" x14ac:dyDescent="0.25">
      <c r="A1096" t="s">
        <v>8495</v>
      </c>
      <c r="B1096" s="22" t="s">
        <v>32931</v>
      </c>
      <c r="C1096" s="7"/>
      <c r="D1096" s="7"/>
      <c r="E1096" s="7"/>
      <c r="F1096" t="s">
        <v>67</v>
      </c>
      <c r="G1096" t="s">
        <v>30950</v>
      </c>
      <c r="H1096" t="s">
        <v>69</v>
      </c>
      <c r="I1096" t="s">
        <v>69</v>
      </c>
      <c r="J1096" t="s">
        <v>69</v>
      </c>
      <c r="K1096" t="s">
        <v>30950</v>
      </c>
      <c r="L1096" t="s">
        <v>69</v>
      </c>
      <c r="M1096" t="s">
        <v>69</v>
      </c>
      <c r="N1096" t="s">
        <v>30951</v>
      </c>
      <c r="O1096" t="s">
        <v>30952</v>
      </c>
      <c r="P1096" t="s">
        <v>69</v>
      </c>
      <c r="Q1096" t="s">
        <v>69</v>
      </c>
      <c r="R1096" t="s">
        <v>8505</v>
      </c>
      <c r="S1096" t="s">
        <v>15797</v>
      </c>
      <c r="T1096" t="s">
        <v>30953</v>
      </c>
      <c r="U1096" t="s">
        <v>30954</v>
      </c>
      <c r="V1096" t="s">
        <v>30955</v>
      </c>
      <c r="W1096" t="s">
        <v>30956</v>
      </c>
      <c r="X1096" t="s">
        <v>69</v>
      </c>
      <c r="Y1096" t="s">
        <v>30957</v>
      </c>
      <c r="Z1096" t="s">
        <v>30958</v>
      </c>
      <c r="AA1096" t="s">
        <v>30959</v>
      </c>
      <c r="AB1096" t="s">
        <v>30960</v>
      </c>
      <c r="AC1096" t="s">
        <v>69</v>
      </c>
      <c r="AD1096" t="s">
        <v>30961</v>
      </c>
      <c r="AE1096" t="s">
        <v>30962</v>
      </c>
      <c r="AF1096" t="s">
        <v>30963</v>
      </c>
      <c r="AG1096" t="s">
        <v>30964</v>
      </c>
      <c r="AH1096" t="s">
        <v>69</v>
      </c>
      <c r="AI1096" t="s">
        <v>69</v>
      </c>
      <c r="AJ1096" t="s">
        <v>69</v>
      </c>
      <c r="AK1096" t="s">
        <v>69</v>
      </c>
      <c r="AL1096">
        <v>98</v>
      </c>
      <c r="AM1096">
        <v>80</v>
      </c>
      <c r="AN1096">
        <v>80</v>
      </c>
      <c r="AO1096">
        <v>0</v>
      </c>
      <c r="AP1096">
        <v>44</v>
      </c>
      <c r="AQ1096" t="s">
        <v>9145</v>
      </c>
      <c r="AR1096" t="s">
        <v>8637</v>
      </c>
      <c r="AS1096" t="s">
        <v>9146</v>
      </c>
      <c r="AT1096" t="s">
        <v>30965</v>
      </c>
      <c r="AU1096" t="s">
        <v>30966</v>
      </c>
      <c r="AV1096" t="s">
        <v>69</v>
      </c>
      <c r="AW1096" t="s">
        <v>30967</v>
      </c>
      <c r="AX1096" t="s">
        <v>30968</v>
      </c>
      <c r="AY1096" t="s">
        <v>69</v>
      </c>
      <c r="AZ1096">
        <v>2005</v>
      </c>
      <c r="BA1096">
        <v>30</v>
      </c>
      <c r="BB1096" t="s">
        <v>30969</v>
      </c>
      <c r="BC1096" t="s">
        <v>69</v>
      </c>
      <c r="BD1096" t="s">
        <v>69</v>
      </c>
      <c r="BE1096" t="s">
        <v>69</v>
      </c>
      <c r="BF1096" t="s">
        <v>69</v>
      </c>
      <c r="BG1096">
        <v>317</v>
      </c>
      <c r="BH1096">
        <v>332</v>
      </c>
      <c r="BI1096" t="s">
        <v>69</v>
      </c>
      <c r="BJ1096" t="s">
        <v>30970</v>
      </c>
      <c r="BK1096" t="str">
        <f>HYPERLINK("http://dx.doi.org/10.1016/j.pce.2005.01.002","http://dx.doi.org/10.1016/j.pce.2005.01.002")</f>
        <v>http://dx.doi.org/10.1016/j.pce.2005.01.002</v>
      </c>
      <c r="BL1096" t="s">
        <v>69</v>
      </c>
      <c r="BM1096" t="s">
        <v>69</v>
      </c>
      <c r="BN1096">
        <v>16</v>
      </c>
      <c r="BO1096" t="s">
        <v>9586</v>
      </c>
      <c r="BP1096" t="s">
        <v>15808</v>
      </c>
      <c r="BQ1096" t="s">
        <v>9587</v>
      </c>
      <c r="BR1096" t="s">
        <v>30971</v>
      </c>
      <c r="BS1096" t="s">
        <v>30972</v>
      </c>
      <c r="BT1096" t="s">
        <v>69</v>
      </c>
      <c r="BU1096" t="s">
        <v>69</v>
      </c>
      <c r="BV1096" t="s">
        <v>69</v>
      </c>
      <c r="BW1096" t="s">
        <v>69</v>
      </c>
      <c r="BX1096" t="s">
        <v>8526</v>
      </c>
      <c r="BY1096" t="str">
        <f>HYPERLINK("https%3A%2F%2Fwww.webofscience.com%2Fwos%2Fwoscc%2Ffull-record%2FWOS:000230229300008","View Full Record in Web of Science")</f>
        <v>View Full Record in Web of Science</v>
      </c>
    </row>
    <row r="1097" spans="1:77" ht="12.5" x14ac:dyDescent="0.25">
      <c r="A1097" t="s">
        <v>8495</v>
      </c>
      <c r="B1097" s="22" t="s">
        <v>32931</v>
      </c>
      <c r="C1097" s="7"/>
      <c r="D1097" s="7"/>
      <c r="E1097" s="7"/>
      <c r="F1097" t="s">
        <v>67</v>
      </c>
      <c r="G1097" t="s">
        <v>28525</v>
      </c>
      <c r="H1097" t="s">
        <v>69</v>
      </c>
      <c r="I1097" t="s">
        <v>69</v>
      </c>
      <c r="J1097" t="s">
        <v>69</v>
      </c>
      <c r="K1097" t="s">
        <v>28526</v>
      </c>
      <c r="L1097" t="s">
        <v>69</v>
      </c>
      <c r="M1097" t="s">
        <v>69</v>
      </c>
      <c r="N1097" t="s">
        <v>28527</v>
      </c>
      <c r="O1097" t="s">
        <v>8875</v>
      </c>
      <c r="P1097" t="s">
        <v>69</v>
      </c>
      <c r="Q1097" t="s">
        <v>69</v>
      </c>
      <c r="R1097" t="s">
        <v>8505</v>
      </c>
      <c r="S1097" t="s">
        <v>8506</v>
      </c>
      <c r="T1097" t="s">
        <v>69</v>
      </c>
      <c r="U1097" t="s">
        <v>69</v>
      </c>
      <c r="V1097" t="s">
        <v>69</v>
      </c>
      <c r="W1097" t="s">
        <v>69</v>
      </c>
      <c r="X1097" t="s">
        <v>69</v>
      </c>
      <c r="Y1097" t="s">
        <v>28528</v>
      </c>
      <c r="Z1097" t="s">
        <v>28529</v>
      </c>
      <c r="AA1097" t="s">
        <v>28530</v>
      </c>
      <c r="AB1097" t="s">
        <v>28531</v>
      </c>
      <c r="AC1097" t="s">
        <v>69</v>
      </c>
      <c r="AD1097" t="s">
        <v>28532</v>
      </c>
      <c r="AE1097" t="s">
        <v>28533</v>
      </c>
      <c r="AF1097" t="s">
        <v>28534</v>
      </c>
      <c r="AG1097" t="s">
        <v>69</v>
      </c>
      <c r="AH1097" t="s">
        <v>69</v>
      </c>
      <c r="AI1097" t="s">
        <v>69</v>
      </c>
      <c r="AJ1097" t="s">
        <v>69</v>
      </c>
      <c r="AK1097" t="s">
        <v>69</v>
      </c>
      <c r="AL1097">
        <v>8</v>
      </c>
      <c r="AM1097">
        <v>5</v>
      </c>
      <c r="AN1097">
        <v>5</v>
      </c>
      <c r="AO1097">
        <v>0</v>
      </c>
      <c r="AP1097">
        <v>0</v>
      </c>
      <c r="AQ1097" t="s">
        <v>8846</v>
      </c>
      <c r="AR1097" t="s">
        <v>8847</v>
      </c>
      <c r="AS1097" t="s">
        <v>8848</v>
      </c>
      <c r="AT1097" t="s">
        <v>8883</v>
      </c>
      <c r="AU1097" t="s">
        <v>8884</v>
      </c>
      <c r="AV1097" t="s">
        <v>69</v>
      </c>
      <c r="AW1097" t="s">
        <v>8885</v>
      </c>
      <c r="AX1097" t="s">
        <v>8886</v>
      </c>
      <c r="AY1097" t="s">
        <v>246</v>
      </c>
      <c r="AZ1097">
        <v>2009</v>
      </c>
      <c r="BA1097">
        <v>103</v>
      </c>
      <c r="BB1097">
        <v>8</v>
      </c>
      <c r="BC1097" t="s">
        <v>69</v>
      </c>
      <c r="BD1097" t="s">
        <v>69</v>
      </c>
      <c r="BE1097" t="s">
        <v>69</v>
      </c>
      <c r="BF1097" t="s">
        <v>69</v>
      </c>
      <c r="BG1097">
        <v>1111</v>
      </c>
      <c r="BH1097">
        <v>1113</v>
      </c>
      <c r="BI1097" t="s">
        <v>69</v>
      </c>
      <c r="BJ1097" t="s">
        <v>28535</v>
      </c>
      <c r="BK1097" t="str">
        <f>HYPERLINK("http://dx.doi.org/10.1111/j.1464-410X.2008.08172.x","http://dx.doi.org/10.1111/j.1464-410X.2008.08172.x")</f>
        <v>http://dx.doi.org/10.1111/j.1464-410X.2008.08172.x</v>
      </c>
      <c r="BL1097" t="s">
        <v>69</v>
      </c>
      <c r="BM1097" t="s">
        <v>69</v>
      </c>
      <c r="BN1097">
        <v>3</v>
      </c>
      <c r="BO1097" t="s">
        <v>8888</v>
      </c>
      <c r="BP1097" t="s">
        <v>8548</v>
      </c>
      <c r="BQ1097" t="s">
        <v>8888</v>
      </c>
      <c r="BR1097" t="s">
        <v>28536</v>
      </c>
      <c r="BS1097" t="s">
        <v>28537</v>
      </c>
      <c r="BT1097">
        <v>19154465</v>
      </c>
      <c r="BU1097" t="s">
        <v>69</v>
      </c>
      <c r="BV1097" t="s">
        <v>69</v>
      </c>
      <c r="BW1097" t="s">
        <v>69</v>
      </c>
      <c r="BX1097" t="s">
        <v>8526</v>
      </c>
      <c r="BY1097" t="str">
        <f>HYPERLINK("https%3A%2F%2Fwww.webofscience.com%2Fwos%2Fwoscc%2Ffull-record%2FWOS:000264609100020","View Full Record in Web of Science")</f>
        <v>View Full Record in Web of Science</v>
      </c>
    </row>
    <row r="1098" spans="1:77" ht="12.5" x14ac:dyDescent="0.25">
      <c r="A1098" t="s">
        <v>8495</v>
      </c>
      <c r="B1098" s="7" t="s">
        <v>32933</v>
      </c>
      <c r="C1098" s="7"/>
      <c r="D1098" s="7"/>
      <c r="E1098" s="7"/>
      <c r="F1098" t="s">
        <v>67</v>
      </c>
      <c r="G1098" t="s">
        <v>6630</v>
      </c>
      <c r="H1098" t="s">
        <v>69</v>
      </c>
      <c r="I1098" t="s">
        <v>69</v>
      </c>
      <c r="J1098" t="s">
        <v>69</v>
      </c>
      <c r="K1098" t="s">
        <v>6631</v>
      </c>
      <c r="L1098" t="s">
        <v>69</v>
      </c>
      <c r="M1098" t="s">
        <v>69</v>
      </c>
      <c r="N1098" t="s">
        <v>6632</v>
      </c>
      <c r="O1098" t="s">
        <v>436</v>
      </c>
      <c r="P1098" t="s">
        <v>69</v>
      </c>
      <c r="Q1098" t="s">
        <v>69</v>
      </c>
      <c r="R1098" t="s">
        <v>8505</v>
      </c>
      <c r="S1098" t="s">
        <v>8506</v>
      </c>
      <c r="T1098" t="s">
        <v>69</v>
      </c>
      <c r="U1098" t="s">
        <v>69</v>
      </c>
      <c r="V1098" t="s">
        <v>69</v>
      </c>
      <c r="W1098" t="s">
        <v>69</v>
      </c>
      <c r="X1098" t="s">
        <v>69</v>
      </c>
      <c r="Y1098" t="s">
        <v>13259</v>
      </c>
      <c r="Z1098" t="s">
        <v>69</v>
      </c>
      <c r="AA1098" t="s">
        <v>6633</v>
      </c>
      <c r="AB1098" t="s">
        <v>13260</v>
      </c>
      <c r="AC1098" t="s">
        <v>69</v>
      </c>
      <c r="AD1098" t="s">
        <v>13261</v>
      </c>
      <c r="AE1098" t="s">
        <v>13262</v>
      </c>
      <c r="AF1098" t="s">
        <v>13263</v>
      </c>
      <c r="AG1098" t="s">
        <v>13264</v>
      </c>
      <c r="AH1098" t="s">
        <v>13265</v>
      </c>
      <c r="AI1098" t="s">
        <v>13266</v>
      </c>
      <c r="AJ1098" t="s">
        <v>13267</v>
      </c>
      <c r="AK1098" t="s">
        <v>69</v>
      </c>
      <c r="AL1098">
        <v>35</v>
      </c>
      <c r="AM1098">
        <v>1</v>
      </c>
      <c r="AN1098">
        <v>1</v>
      </c>
      <c r="AO1098">
        <v>0</v>
      </c>
      <c r="AP1098">
        <v>6</v>
      </c>
      <c r="AQ1098" t="s">
        <v>8636</v>
      </c>
      <c r="AR1098" t="s">
        <v>8637</v>
      </c>
      <c r="AS1098" t="s">
        <v>8638</v>
      </c>
      <c r="AT1098" t="s">
        <v>440</v>
      </c>
      <c r="AU1098" t="s">
        <v>441</v>
      </c>
      <c r="AV1098" t="s">
        <v>69</v>
      </c>
      <c r="AW1098" t="s">
        <v>8639</v>
      </c>
      <c r="AX1098" t="s">
        <v>8640</v>
      </c>
      <c r="AY1098" t="s">
        <v>133</v>
      </c>
      <c r="AZ1098">
        <v>2021</v>
      </c>
      <c r="BA1098">
        <v>282</v>
      </c>
      <c r="BB1098" t="s">
        <v>69</v>
      </c>
      <c r="BC1098" t="s">
        <v>69</v>
      </c>
      <c r="BD1098" t="s">
        <v>69</v>
      </c>
      <c r="BE1098" t="s">
        <v>69</v>
      </c>
      <c r="BF1098" t="s">
        <v>69</v>
      </c>
      <c r="BG1098" t="s">
        <v>69</v>
      </c>
      <c r="BH1098" t="s">
        <v>69</v>
      </c>
      <c r="BI1098">
        <v>124453</v>
      </c>
      <c r="BJ1098" t="s">
        <v>6634</v>
      </c>
      <c r="BK1098" t="str">
        <f>HYPERLINK("http://dx.doi.org/10.1016/j.jclepro.2020.124453","http://dx.doi.org/10.1016/j.jclepro.2020.124453")</f>
        <v>http://dx.doi.org/10.1016/j.jclepro.2020.124453</v>
      </c>
      <c r="BL1098" t="s">
        <v>69</v>
      </c>
      <c r="BM1098" t="s">
        <v>69</v>
      </c>
      <c r="BN1098">
        <v>16</v>
      </c>
      <c r="BO1098" t="s">
        <v>8643</v>
      </c>
      <c r="BP1098" t="s">
        <v>8548</v>
      </c>
      <c r="BQ1098" t="s">
        <v>8644</v>
      </c>
      <c r="BR1098" t="s">
        <v>13268</v>
      </c>
      <c r="BS1098" t="s">
        <v>6635</v>
      </c>
      <c r="BT1098" t="s">
        <v>69</v>
      </c>
      <c r="BU1098" t="s">
        <v>69</v>
      </c>
      <c r="BV1098" t="s">
        <v>69</v>
      </c>
      <c r="BW1098" t="s">
        <v>69</v>
      </c>
      <c r="BX1098" t="s">
        <v>8526</v>
      </c>
      <c r="BY1098" t="str">
        <f>HYPERLINK("https%3A%2F%2Fwww.webofscience.com%2Fwos%2Fwoscc%2Ffull-record%2FWOS:000609019900009","View Full Record in Web of Science")</f>
        <v>View Full Record in Web of Science</v>
      </c>
    </row>
    <row r="1099" spans="1:77" x14ac:dyDescent="0.3">
      <c r="A1099" t="s">
        <v>8495</v>
      </c>
      <c r="B1099" s="9" t="s">
        <v>32996</v>
      </c>
      <c r="C1099" s="9" t="s">
        <v>33151</v>
      </c>
      <c r="D1099" s="9" t="s">
        <v>8491</v>
      </c>
      <c r="E1099" s="9" t="s">
        <v>8490</v>
      </c>
      <c r="F1099" t="s">
        <v>67</v>
      </c>
      <c r="G1099" t="s">
        <v>29122</v>
      </c>
      <c r="H1099" t="s">
        <v>69</v>
      </c>
      <c r="I1099" t="s">
        <v>69</v>
      </c>
      <c r="J1099" t="s">
        <v>69</v>
      </c>
      <c r="K1099" t="s">
        <v>29123</v>
      </c>
      <c r="L1099" t="s">
        <v>69</v>
      </c>
      <c r="M1099" t="s">
        <v>69</v>
      </c>
      <c r="N1099" t="s">
        <v>29124</v>
      </c>
      <c r="O1099" t="s">
        <v>6659</v>
      </c>
      <c r="P1099" t="s">
        <v>69</v>
      </c>
      <c r="Q1099" t="s">
        <v>69</v>
      </c>
      <c r="R1099" t="s">
        <v>8505</v>
      </c>
      <c r="S1099" t="s">
        <v>15797</v>
      </c>
      <c r="T1099" t="s">
        <v>29125</v>
      </c>
      <c r="U1099" t="s">
        <v>29126</v>
      </c>
      <c r="V1099" t="s">
        <v>29127</v>
      </c>
      <c r="W1099" t="s">
        <v>29128</v>
      </c>
      <c r="X1099" t="s">
        <v>69</v>
      </c>
      <c r="Y1099" t="s">
        <v>29129</v>
      </c>
      <c r="Z1099" t="s">
        <v>29130</v>
      </c>
      <c r="AA1099" t="s">
        <v>29131</v>
      </c>
      <c r="AB1099" t="s">
        <v>29132</v>
      </c>
      <c r="AC1099" t="s">
        <v>69</v>
      </c>
      <c r="AD1099" t="s">
        <v>29133</v>
      </c>
      <c r="AE1099" t="s">
        <v>29134</v>
      </c>
      <c r="AF1099" t="s">
        <v>69</v>
      </c>
      <c r="AG1099" t="s">
        <v>5293</v>
      </c>
      <c r="AH1099" t="s">
        <v>69</v>
      </c>
      <c r="AI1099" t="s">
        <v>69</v>
      </c>
      <c r="AJ1099" t="s">
        <v>69</v>
      </c>
      <c r="AK1099" t="s">
        <v>69</v>
      </c>
      <c r="AL1099">
        <v>38</v>
      </c>
      <c r="AM1099">
        <v>276</v>
      </c>
      <c r="AN1099">
        <v>289</v>
      </c>
      <c r="AO1099">
        <v>13</v>
      </c>
      <c r="AP1099">
        <v>149</v>
      </c>
      <c r="AQ1099" t="s">
        <v>17140</v>
      </c>
      <c r="AR1099" t="s">
        <v>8517</v>
      </c>
      <c r="AS1099" t="s">
        <v>17141</v>
      </c>
      <c r="AT1099" t="s">
        <v>6661</v>
      </c>
      <c r="AU1099" t="s">
        <v>6662</v>
      </c>
      <c r="AV1099" t="s">
        <v>69</v>
      </c>
      <c r="AW1099" t="s">
        <v>19982</v>
      </c>
      <c r="AX1099" t="s">
        <v>19983</v>
      </c>
      <c r="AY1099" t="s">
        <v>255</v>
      </c>
      <c r="AZ1099">
        <v>2008</v>
      </c>
      <c r="BA1099">
        <v>37</v>
      </c>
      <c r="BB1099">
        <v>8</v>
      </c>
      <c r="BC1099" t="s">
        <v>69</v>
      </c>
      <c r="BD1099" t="s">
        <v>69</v>
      </c>
      <c r="BE1099" t="s">
        <v>69</v>
      </c>
      <c r="BF1099" t="s">
        <v>69</v>
      </c>
      <c r="BG1099">
        <v>1205</v>
      </c>
      <c r="BH1099">
        <v>1223</v>
      </c>
      <c r="BI1099" t="s">
        <v>69</v>
      </c>
      <c r="BJ1099" t="s">
        <v>29135</v>
      </c>
      <c r="BK1099" t="str">
        <f>HYPERLINK("http://dx.doi.org/10.1016/j.respol.2008.04.021","http://dx.doi.org/10.1016/j.respol.2008.04.021")</f>
        <v>http://dx.doi.org/10.1016/j.respol.2008.04.021</v>
      </c>
      <c r="BL1099" t="s">
        <v>69</v>
      </c>
      <c r="BM1099" t="s">
        <v>69</v>
      </c>
      <c r="BN1099">
        <v>19</v>
      </c>
      <c r="BO1099" t="s">
        <v>9410</v>
      </c>
      <c r="BP1099" t="s">
        <v>18588</v>
      </c>
      <c r="BQ1099" t="s">
        <v>8594</v>
      </c>
      <c r="BR1099" t="s">
        <v>29136</v>
      </c>
      <c r="BS1099" t="s">
        <v>29137</v>
      </c>
      <c r="BT1099" t="s">
        <v>69</v>
      </c>
      <c r="BU1099" t="s">
        <v>69</v>
      </c>
      <c r="BV1099" t="s">
        <v>69</v>
      </c>
      <c r="BW1099" t="s">
        <v>69</v>
      </c>
      <c r="BX1099" t="s">
        <v>8526</v>
      </c>
      <c r="BY1099" t="str">
        <f>HYPERLINK("https%3A%2F%2Fwww.webofscience.com%2Fwos%2Fwoscc%2Ffull-record%2FWOS:000259129300005","View Full Record in Web of Science")</f>
        <v>View Full Record in Web of Science</v>
      </c>
    </row>
    <row r="1100" spans="1:77" ht="12.5" x14ac:dyDescent="0.25">
      <c r="A1100" t="s">
        <v>8495</v>
      </c>
      <c r="B1100" s="22" t="s">
        <v>32931</v>
      </c>
      <c r="C1100" s="7"/>
      <c r="D1100" s="7"/>
      <c r="E1100" s="7"/>
      <c r="F1100" t="s">
        <v>67</v>
      </c>
      <c r="G1100" t="s">
        <v>10339</v>
      </c>
      <c r="H1100" t="s">
        <v>69</v>
      </c>
      <c r="I1100" t="s">
        <v>69</v>
      </c>
      <c r="J1100" t="s">
        <v>69</v>
      </c>
      <c r="K1100" t="s">
        <v>10340</v>
      </c>
      <c r="L1100" t="s">
        <v>69</v>
      </c>
      <c r="M1100" t="s">
        <v>69</v>
      </c>
      <c r="N1100" t="s">
        <v>10341</v>
      </c>
      <c r="O1100" t="s">
        <v>10342</v>
      </c>
      <c r="P1100" t="s">
        <v>69</v>
      </c>
      <c r="Q1100" t="s">
        <v>69</v>
      </c>
      <c r="R1100" t="s">
        <v>8505</v>
      </c>
      <c r="S1100" t="s">
        <v>8506</v>
      </c>
      <c r="T1100" t="s">
        <v>69</v>
      </c>
      <c r="U1100" t="s">
        <v>69</v>
      </c>
      <c r="V1100" t="s">
        <v>69</v>
      </c>
      <c r="W1100" t="s">
        <v>69</v>
      </c>
      <c r="X1100" t="s">
        <v>69</v>
      </c>
      <c r="Y1100" t="s">
        <v>10343</v>
      </c>
      <c r="Z1100" t="s">
        <v>69</v>
      </c>
      <c r="AA1100" t="s">
        <v>10344</v>
      </c>
      <c r="AB1100" t="s">
        <v>10345</v>
      </c>
      <c r="AC1100" t="s">
        <v>69</v>
      </c>
      <c r="AD1100" t="s">
        <v>10346</v>
      </c>
      <c r="AE1100" t="s">
        <v>10347</v>
      </c>
      <c r="AF1100" t="s">
        <v>69</v>
      </c>
      <c r="AG1100" t="s">
        <v>10348</v>
      </c>
      <c r="AH1100" t="s">
        <v>10349</v>
      </c>
      <c r="AI1100" t="s">
        <v>10350</v>
      </c>
      <c r="AJ1100" t="s">
        <v>10351</v>
      </c>
      <c r="AK1100" t="s">
        <v>69</v>
      </c>
      <c r="AL1100">
        <v>18</v>
      </c>
      <c r="AM1100">
        <v>1</v>
      </c>
      <c r="AN1100">
        <v>1</v>
      </c>
      <c r="AO1100">
        <v>2</v>
      </c>
      <c r="AP1100">
        <v>2</v>
      </c>
      <c r="AQ1100" t="s">
        <v>10352</v>
      </c>
      <c r="AR1100" t="s">
        <v>8637</v>
      </c>
      <c r="AS1100" t="s">
        <v>10353</v>
      </c>
      <c r="AT1100" t="s">
        <v>10354</v>
      </c>
      <c r="AU1100" t="s">
        <v>10355</v>
      </c>
      <c r="AV1100" t="s">
        <v>69</v>
      </c>
      <c r="AW1100" t="s">
        <v>10356</v>
      </c>
      <c r="AX1100" t="s">
        <v>10357</v>
      </c>
      <c r="AY1100" t="s">
        <v>8207</v>
      </c>
      <c r="AZ1100">
        <v>2022</v>
      </c>
      <c r="BA1100">
        <v>29</v>
      </c>
      <c r="BB1100">
        <v>4</v>
      </c>
      <c r="BC1100" t="s">
        <v>69</v>
      </c>
      <c r="BD1100" t="s">
        <v>69</v>
      </c>
      <c r="BE1100" t="s">
        <v>69</v>
      </c>
      <c r="BF1100" t="s">
        <v>69</v>
      </c>
      <c r="BG1100">
        <v>592</v>
      </c>
      <c r="BH1100">
        <v>600</v>
      </c>
      <c r="BI1100" t="s">
        <v>69</v>
      </c>
      <c r="BJ1100" t="s">
        <v>10358</v>
      </c>
      <c r="BK1100" t="str">
        <f>HYPERLINK("http://dx.doi.org/10.1093/jamia/ocab278","http://dx.doi.org/10.1093/jamia/ocab278")</f>
        <v>http://dx.doi.org/10.1093/jamia/ocab278</v>
      </c>
      <c r="BL1100" t="s">
        <v>69</v>
      </c>
      <c r="BM1100" t="s">
        <v>10359</v>
      </c>
      <c r="BN1100">
        <v>9</v>
      </c>
      <c r="BO1100" t="s">
        <v>10360</v>
      </c>
      <c r="BP1100" t="s">
        <v>8523</v>
      </c>
      <c r="BQ1100" t="s">
        <v>10361</v>
      </c>
      <c r="BR1100" t="s">
        <v>10362</v>
      </c>
      <c r="BS1100" t="s">
        <v>10364</v>
      </c>
      <c r="BT1100">
        <v>34919694</v>
      </c>
      <c r="BU1100" t="s">
        <v>10363</v>
      </c>
      <c r="BV1100" t="s">
        <v>69</v>
      </c>
      <c r="BW1100" t="s">
        <v>69</v>
      </c>
      <c r="BX1100" t="s">
        <v>8526</v>
      </c>
      <c r="BY1100" t="str">
        <f>HYPERLINK("https%3A%2F%2Fwww.webofscience.com%2Fwos%2Fwoscc%2Ffull-record%2FWOS:000769066500003","View Full Record in Web of Science")</f>
        <v>View Full Record in Web of Science</v>
      </c>
    </row>
    <row r="1101" spans="1:77" ht="12.5" x14ac:dyDescent="0.25">
      <c r="A1101" t="s">
        <v>8495</v>
      </c>
      <c r="B1101" s="22" t="s">
        <v>32931</v>
      </c>
      <c r="C1101" s="7"/>
      <c r="D1101" s="7"/>
      <c r="E1101" s="7"/>
      <c r="F1101" t="s">
        <v>67</v>
      </c>
      <c r="G1101" t="s">
        <v>11157</v>
      </c>
      <c r="H1101" t="s">
        <v>69</v>
      </c>
      <c r="I1101" t="s">
        <v>69</v>
      </c>
      <c r="J1101" t="s">
        <v>69</v>
      </c>
      <c r="K1101" t="s">
        <v>11158</v>
      </c>
      <c r="L1101" t="s">
        <v>69</v>
      </c>
      <c r="M1101" t="s">
        <v>69</v>
      </c>
      <c r="N1101" t="s">
        <v>11159</v>
      </c>
      <c r="O1101" t="s">
        <v>11160</v>
      </c>
      <c r="P1101" t="s">
        <v>69</v>
      </c>
      <c r="Q1101" t="s">
        <v>69</v>
      </c>
      <c r="R1101" t="s">
        <v>8505</v>
      </c>
      <c r="S1101" t="s">
        <v>10174</v>
      </c>
      <c r="T1101" t="s">
        <v>69</v>
      </c>
      <c r="U1101" t="s">
        <v>69</v>
      </c>
      <c r="V1101" t="s">
        <v>69</v>
      </c>
      <c r="W1101" t="s">
        <v>69</v>
      </c>
      <c r="X1101" t="s">
        <v>69</v>
      </c>
      <c r="Y1101" t="s">
        <v>69</v>
      </c>
      <c r="Z1101" t="s">
        <v>11161</v>
      </c>
      <c r="AA1101" t="s">
        <v>11162</v>
      </c>
      <c r="AB1101" t="s">
        <v>11163</v>
      </c>
      <c r="AC1101" t="s">
        <v>69</v>
      </c>
      <c r="AD1101" t="s">
        <v>11164</v>
      </c>
      <c r="AE1101" t="s">
        <v>69</v>
      </c>
      <c r="AF1101" t="s">
        <v>69</v>
      </c>
      <c r="AG1101" t="s">
        <v>69</v>
      </c>
      <c r="AH1101" t="s">
        <v>69</v>
      </c>
      <c r="AI1101" t="s">
        <v>69</v>
      </c>
      <c r="AJ1101" t="s">
        <v>69</v>
      </c>
      <c r="AK1101" t="s">
        <v>69</v>
      </c>
      <c r="AL1101">
        <v>13</v>
      </c>
      <c r="AM1101">
        <v>0</v>
      </c>
      <c r="AN1101">
        <v>0</v>
      </c>
      <c r="AO1101">
        <v>1</v>
      </c>
      <c r="AP1101">
        <v>1</v>
      </c>
      <c r="AQ1101" t="s">
        <v>10352</v>
      </c>
      <c r="AR1101" t="s">
        <v>8637</v>
      </c>
      <c r="AS1101" t="s">
        <v>10353</v>
      </c>
      <c r="AT1101" t="s">
        <v>11165</v>
      </c>
      <c r="AU1101" t="s">
        <v>11166</v>
      </c>
      <c r="AV1101" t="s">
        <v>69</v>
      </c>
      <c r="AW1101" t="s">
        <v>11167</v>
      </c>
      <c r="AX1101" t="s">
        <v>11168</v>
      </c>
      <c r="AY1101" t="s">
        <v>11169</v>
      </c>
      <c r="AZ1101">
        <v>2022</v>
      </c>
      <c r="BA1101">
        <v>187</v>
      </c>
      <c r="BB1101" t="s">
        <v>145</v>
      </c>
      <c r="BC1101" t="s">
        <v>69</v>
      </c>
      <c r="BD1101" t="s">
        <v>69</v>
      </c>
      <c r="BE1101" t="s">
        <v>69</v>
      </c>
      <c r="BF1101" t="s">
        <v>69</v>
      </c>
      <c r="BG1101">
        <v>84</v>
      </c>
      <c r="BH1101">
        <v>87</v>
      </c>
      <c r="BI1101" t="s">
        <v>69</v>
      </c>
      <c r="BJ1101" t="s">
        <v>11170</v>
      </c>
      <c r="BK1101" t="str">
        <f>HYPERLINK("http://dx.doi.org/10.1093/milmed/usab419","http://dx.doi.org/10.1093/milmed/usab419")</f>
        <v>http://dx.doi.org/10.1093/milmed/usab419</v>
      </c>
      <c r="BL1101" t="s">
        <v>69</v>
      </c>
      <c r="BM1101" t="s">
        <v>10991</v>
      </c>
      <c r="BN1101">
        <v>4</v>
      </c>
      <c r="BO1101" t="s">
        <v>9450</v>
      </c>
      <c r="BP1101" t="s">
        <v>8548</v>
      </c>
      <c r="BQ1101" t="s">
        <v>9451</v>
      </c>
      <c r="BR1101" t="s">
        <v>11171</v>
      </c>
      <c r="BS1101" t="s">
        <v>11172</v>
      </c>
      <c r="BT1101">
        <v>34611703</v>
      </c>
      <c r="BU1101" t="s">
        <v>8622</v>
      </c>
      <c r="BV1101" t="s">
        <v>69</v>
      </c>
      <c r="BW1101" t="s">
        <v>69</v>
      </c>
      <c r="BX1101" t="s">
        <v>8526</v>
      </c>
      <c r="BY1101" t="str">
        <f>HYPERLINK("https%3A%2F%2Fwww.webofscience.com%2Fwos%2Fwoscc%2Ffull-record%2FWOS:000763919200001","View Full Record in Web of Science")</f>
        <v>View Full Record in Web of Science</v>
      </c>
    </row>
    <row r="1102" spans="1:77" ht="12.5" x14ac:dyDescent="0.25">
      <c r="A1102" t="s">
        <v>8495</v>
      </c>
      <c r="B1102" s="7" t="s">
        <v>32933</v>
      </c>
      <c r="C1102" s="7"/>
      <c r="D1102" s="7"/>
      <c r="E1102" s="7"/>
      <c r="F1102" t="s">
        <v>67</v>
      </c>
      <c r="G1102" t="s">
        <v>7299</v>
      </c>
      <c r="H1102" t="s">
        <v>69</v>
      </c>
      <c r="I1102" t="s">
        <v>69</v>
      </c>
      <c r="J1102" t="s">
        <v>69</v>
      </c>
      <c r="K1102" t="s">
        <v>7300</v>
      </c>
      <c r="L1102" t="s">
        <v>69</v>
      </c>
      <c r="M1102" t="s">
        <v>69</v>
      </c>
      <c r="N1102" s="3" t="s">
        <v>7301</v>
      </c>
      <c r="O1102" t="s">
        <v>7302</v>
      </c>
      <c r="P1102" t="s">
        <v>69</v>
      </c>
      <c r="Q1102" t="s">
        <v>69</v>
      </c>
      <c r="R1102" t="s">
        <v>8505</v>
      </c>
      <c r="S1102" t="s">
        <v>15797</v>
      </c>
      <c r="T1102" t="s">
        <v>7303</v>
      </c>
      <c r="U1102">
        <v>2007</v>
      </c>
      <c r="V1102" t="s">
        <v>7304</v>
      </c>
      <c r="W1102" t="s">
        <v>7305</v>
      </c>
      <c r="X1102" t="s">
        <v>69</v>
      </c>
      <c r="Y1102" t="s">
        <v>69</v>
      </c>
      <c r="Z1102" t="s">
        <v>69</v>
      </c>
      <c r="AA1102" t="s">
        <v>7306</v>
      </c>
      <c r="AB1102" t="s">
        <v>29292</v>
      </c>
      <c r="AC1102" t="s">
        <v>69</v>
      </c>
      <c r="AD1102" t="s">
        <v>29293</v>
      </c>
      <c r="AE1102" t="s">
        <v>29294</v>
      </c>
      <c r="AF1102" t="s">
        <v>69</v>
      </c>
      <c r="AG1102" t="s">
        <v>69</v>
      </c>
      <c r="AH1102" t="s">
        <v>69</v>
      </c>
      <c r="AI1102" t="s">
        <v>69</v>
      </c>
      <c r="AJ1102" t="s">
        <v>69</v>
      </c>
      <c r="AK1102" t="s">
        <v>69</v>
      </c>
      <c r="AL1102">
        <v>26</v>
      </c>
      <c r="AM1102">
        <v>11</v>
      </c>
      <c r="AN1102">
        <v>11</v>
      </c>
      <c r="AO1102">
        <v>4</v>
      </c>
      <c r="AP1102">
        <v>29</v>
      </c>
      <c r="AQ1102" t="s">
        <v>8636</v>
      </c>
      <c r="AR1102" t="s">
        <v>8637</v>
      </c>
      <c r="AS1102" t="s">
        <v>8638</v>
      </c>
      <c r="AT1102" t="s">
        <v>7307</v>
      </c>
      <c r="AU1102" t="s">
        <v>7308</v>
      </c>
      <c r="AV1102" t="s">
        <v>69</v>
      </c>
      <c r="AW1102" t="s">
        <v>29295</v>
      </c>
      <c r="AX1102" t="s">
        <v>29296</v>
      </c>
      <c r="AY1102" t="s">
        <v>94</v>
      </c>
      <c r="AZ1102">
        <v>2008</v>
      </c>
      <c r="BA1102">
        <v>33</v>
      </c>
      <c r="BB1102">
        <v>1</v>
      </c>
      <c r="BC1102" t="s">
        <v>69</v>
      </c>
      <c r="BD1102" t="s">
        <v>69</v>
      </c>
      <c r="BE1102" t="s">
        <v>69</v>
      </c>
      <c r="BF1102" t="s">
        <v>69</v>
      </c>
      <c r="BG1102">
        <v>4</v>
      </c>
      <c r="BH1102">
        <v>11</v>
      </c>
      <c r="BI1102" t="s">
        <v>69</v>
      </c>
      <c r="BJ1102" t="s">
        <v>7309</v>
      </c>
      <c r="BK1102" t="str">
        <f>HYPERLINK("http://dx.doi.org/10.1016/j.resourpol.2008.01.003","http://dx.doi.org/10.1016/j.resourpol.2008.01.003")</f>
        <v>http://dx.doi.org/10.1016/j.resourpol.2008.01.003</v>
      </c>
      <c r="BL1102" t="s">
        <v>69</v>
      </c>
      <c r="BM1102" t="s">
        <v>69</v>
      </c>
      <c r="BN1102">
        <v>8</v>
      </c>
      <c r="BO1102" t="s">
        <v>8660</v>
      </c>
      <c r="BP1102" t="s">
        <v>18588</v>
      </c>
      <c r="BQ1102" t="s">
        <v>8662</v>
      </c>
      <c r="BR1102" t="s">
        <v>29297</v>
      </c>
      <c r="BS1102" t="s">
        <v>7310</v>
      </c>
      <c r="BT1102" t="s">
        <v>69</v>
      </c>
      <c r="BU1102" t="s">
        <v>69</v>
      </c>
      <c r="BV1102" t="s">
        <v>69</v>
      </c>
      <c r="BW1102" t="s">
        <v>69</v>
      </c>
      <c r="BX1102" t="s">
        <v>8526</v>
      </c>
      <c r="BY1102" t="str">
        <f>HYPERLINK("https%3A%2F%2Fwww.webofscience.com%2Fwos%2Fwoscc%2Ffull-record%2FWOS:000255104400002","View Full Record in Web of Science")</f>
        <v>View Full Record in Web of Science</v>
      </c>
    </row>
    <row r="1103" spans="1:77" ht="12.5" x14ac:dyDescent="0.25">
      <c r="A1103" t="s">
        <v>8495</v>
      </c>
      <c r="B1103" s="7" t="s">
        <v>32933</v>
      </c>
      <c r="C1103" s="7"/>
      <c r="D1103" s="7"/>
      <c r="E1103" s="7"/>
      <c r="F1103" t="s">
        <v>67</v>
      </c>
      <c r="G1103" t="s">
        <v>5450</v>
      </c>
      <c r="H1103" t="s">
        <v>69</v>
      </c>
      <c r="I1103" t="s">
        <v>69</v>
      </c>
      <c r="J1103" t="s">
        <v>69</v>
      </c>
      <c r="K1103" t="s">
        <v>5451</v>
      </c>
      <c r="L1103" t="s">
        <v>69</v>
      </c>
      <c r="M1103" t="s">
        <v>69</v>
      </c>
      <c r="N1103" t="s">
        <v>5452</v>
      </c>
      <c r="O1103" t="s">
        <v>5453</v>
      </c>
      <c r="P1103" t="s">
        <v>69</v>
      </c>
      <c r="Q1103" t="s">
        <v>69</v>
      </c>
      <c r="R1103" t="s">
        <v>8505</v>
      </c>
      <c r="S1103" t="s">
        <v>8506</v>
      </c>
      <c r="T1103" t="s">
        <v>69</v>
      </c>
      <c r="U1103" t="s">
        <v>69</v>
      </c>
      <c r="V1103" t="s">
        <v>69</v>
      </c>
      <c r="W1103" t="s">
        <v>69</v>
      </c>
      <c r="X1103" t="s">
        <v>69</v>
      </c>
      <c r="Y1103" t="s">
        <v>69</v>
      </c>
      <c r="Z1103" t="s">
        <v>20392</v>
      </c>
      <c r="AA1103" t="s">
        <v>5454</v>
      </c>
      <c r="AB1103" t="s">
        <v>20393</v>
      </c>
      <c r="AC1103" t="s">
        <v>69</v>
      </c>
      <c r="AD1103" t="s">
        <v>20394</v>
      </c>
      <c r="AE1103" t="s">
        <v>20395</v>
      </c>
      <c r="AF1103" t="s">
        <v>69</v>
      </c>
      <c r="AG1103" t="s">
        <v>20396</v>
      </c>
      <c r="AH1103" t="s">
        <v>69</v>
      </c>
      <c r="AI1103" t="s">
        <v>69</v>
      </c>
      <c r="AJ1103" t="s">
        <v>69</v>
      </c>
      <c r="AK1103" t="s">
        <v>69</v>
      </c>
      <c r="AL1103">
        <v>42</v>
      </c>
      <c r="AM1103">
        <v>5</v>
      </c>
      <c r="AN1103">
        <v>5</v>
      </c>
      <c r="AO1103">
        <v>0</v>
      </c>
      <c r="AP1103">
        <v>1</v>
      </c>
      <c r="AQ1103" t="s">
        <v>9978</v>
      </c>
      <c r="AR1103" t="s">
        <v>8693</v>
      </c>
      <c r="AS1103" t="s">
        <v>17938</v>
      </c>
      <c r="AT1103" t="s">
        <v>5455</v>
      </c>
      <c r="AU1103" t="s">
        <v>69</v>
      </c>
      <c r="AV1103" t="s">
        <v>69</v>
      </c>
      <c r="AW1103" t="s">
        <v>20397</v>
      </c>
      <c r="AX1103" t="s">
        <v>20398</v>
      </c>
      <c r="AY1103" t="s">
        <v>586</v>
      </c>
      <c r="AZ1103">
        <v>2017</v>
      </c>
      <c r="BA1103">
        <v>5</v>
      </c>
      <c r="BB1103">
        <v>2</v>
      </c>
      <c r="BC1103" t="s">
        <v>69</v>
      </c>
      <c r="BD1103" t="s">
        <v>69</v>
      </c>
      <c r="BE1103" t="s">
        <v>69</v>
      </c>
      <c r="BF1103" t="s">
        <v>69</v>
      </c>
      <c r="BG1103">
        <v>147</v>
      </c>
      <c r="BH1103">
        <v>158</v>
      </c>
      <c r="BI1103" t="s">
        <v>69</v>
      </c>
      <c r="BJ1103" t="s">
        <v>5456</v>
      </c>
      <c r="BK1103" t="str">
        <f>HYPERLINK("http://dx.doi.org/10.1017/aap.2017.7","http://dx.doi.org/10.1017/aap.2017.7")</f>
        <v>http://dx.doi.org/10.1017/aap.2017.7</v>
      </c>
      <c r="BL1103" t="s">
        <v>69</v>
      </c>
      <c r="BM1103" t="s">
        <v>69</v>
      </c>
      <c r="BN1103">
        <v>12</v>
      </c>
      <c r="BO1103" t="s">
        <v>20399</v>
      </c>
      <c r="BP1103" t="s">
        <v>11207</v>
      </c>
      <c r="BQ1103" t="s">
        <v>20399</v>
      </c>
      <c r="BR1103" t="s">
        <v>20400</v>
      </c>
      <c r="BS1103" t="s">
        <v>5457</v>
      </c>
      <c r="BT1103" t="s">
        <v>69</v>
      </c>
      <c r="BU1103" t="s">
        <v>9374</v>
      </c>
      <c r="BV1103" t="s">
        <v>69</v>
      </c>
      <c r="BW1103" t="s">
        <v>69</v>
      </c>
      <c r="BX1103" t="s">
        <v>8526</v>
      </c>
      <c r="BY1103" t="str">
        <f>HYPERLINK("https%3A%2F%2Fwww.webofscience.com%2Fwos%2Fwoscc%2Ffull-record%2FWOS:000452848500004","View Full Record in Web of Science")</f>
        <v>View Full Record in Web of Science</v>
      </c>
    </row>
    <row r="1104" spans="1:77" x14ac:dyDescent="0.3">
      <c r="A1104" t="s">
        <v>8495</v>
      </c>
      <c r="B1104" s="9" t="s">
        <v>32996</v>
      </c>
      <c r="C1104" s="9" t="s">
        <v>33137</v>
      </c>
      <c r="D1104" s="9" t="s">
        <v>8491</v>
      </c>
      <c r="E1104" s="9" t="s">
        <v>8490</v>
      </c>
      <c r="F1104" t="s">
        <v>67</v>
      </c>
      <c r="G1104" t="s">
        <v>10549</v>
      </c>
      <c r="H1104" t="s">
        <v>69</v>
      </c>
      <c r="I1104" t="s">
        <v>69</v>
      </c>
      <c r="J1104" t="s">
        <v>69</v>
      </c>
      <c r="K1104" t="s">
        <v>10550</v>
      </c>
      <c r="L1104" t="s">
        <v>69</v>
      </c>
      <c r="M1104" t="s">
        <v>69</v>
      </c>
      <c r="N1104" t="s">
        <v>10551</v>
      </c>
      <c r="O1104" t="s">
        <v>10552</v>
      </c>
      <c r="P1104" t="s">
        <v>69</v>
      </c>
      <c r="Q1104" t="s">
        <v>69</v>
      </c>
      <c r="R1104" t="s">
        <v>8505</v>
      </c>
      <c r="S1104" t="s">
        <v>8506</v>
      </c>
      <c r="T1104" t="s">
        <v>69</v>
      </c>
      <c r="U1104" t="s">
        <v>69</v>
      </c>
      <c r="V1104" t="s">
        <v>69</v>
      </c>
      <c r="W1104" t="s">
        <v>69</v>
      </c>
      <c r="X1104" t="s">
        <v>69</v>
      </c>
      <c r="Y1104" t="s">
        <v>10553</v>
      </c>
      <c r="Z1104" t="s">
        <v>69</v>
      </c>
      <c r="AA1104" t="s">
        <v>10554</v>
      </c>
      <c r="AB1104" t="s">
        <v>10555</v>
      </c>
      <c r="AC1104" t="s">
        <v>69</v>
      </c>
      <c r="AD1104" t="s">
        <v>10556</v>
      </c>
      <c r="AE1104" t="s">
        <v>10557</v>
      </c>
      <c r="AF1104" t="s">
        <v>69</v>
      </c>
      <c r="AG1104" t="s">
        <v>69</v>
      </c>
      <c r="AH1104" t="s">
        <v>10558</v>
      </c>
      <c r="AI1104" t="s">
        <v>10559</v>
      </c>
      <c r="AJ1104" t="s">
        <v>10560</v>
      </c>
      <c r="AK1104" t="s">
        <v>69</v>
      </c>
      <c r="AL1104">
        <v>17</v>
      </c>
      <c r="AM1104">
        <v>0</v>
      </c>
      <c r="AN1104">
        <v>0</v>
      </c>
      <c r="AO1104">
        <v>0</v>
      </c>
      <c r="AP1104">
        <v>0</v>
      </c>
      <c r="AQ1104" t="s">
        <v>8846</v>
      </c>
      <c r="AR1104" t="s">
        <v>8847</v>
      </c>
      <c r="AS1104" t="s">
        <v>8848</v>
      </c>
      <c r="AT1104" t="s">
        <v>10561</v>
      </c>
      <c r="AU1104" t="s">
        <v>10562</v>
      </c>
      <c r="AV1104" t="s">
        <v>69</v>
      </c>
      <c r="AW1104" t="s">
        <v>10563</v>
      </c>
      <c r="AX1104" t="s">
        <v>10564</v>
      </c>
      <c r="AY1104" t="s">
        <v>75</v>
      </c>
      <c r="AZ1104">
        <v>2021</v>
      </c>
      <c r="BA1104">
        <v>174</v>
      </c>
      <c r="BB1104">
        <v>1</v>
      </c>
      <c r="BC1104" t="s">
        <v>69</v>
      </c>
      <c r="BD1104" t="s">
        <v>69</v>
      </c>
      <c r="BE1104" t="s">
        <v>69</v>
      </c>
      <c r="BF1104" t="s">
        <v>69</v>
      </c>
      <c r="BG1104">
        <v>155</v>
      </c>
      <c r="BH1104">
        <v>170</v>
      </c>
      <c r="BI1104" t="s">
        <v>69</v>
      </c>
      <c r="BJ1104" t="s">
        <v>69</v>
      </c>
      <c r="BK1104" t="s">
        <v>69</v>
      </c>
      <c r="BL1104" t="s">
        <v>69</v>
      </c>
      <c r="BM1104" t="s">
        <v>69</v>
      </c>
      <c r="BN1104">
        <v>16</v>
      </c>
      <c r="BO1104" t="s">
        <v>9096</v>
      </c>
      <c r="BP1104" t="s">
        <v>8573</v>
      </c>
      <c r="BQ1104" t="s">
        <v>9096</v>
      </c>
      <c r="BR1104" t="s">
        <v>10565</v>
      </c>
      <c r="BS1104" t="s">
        <v>10566</v>
      </c>
      <c r="BT1104" t="s">
        <v>69</v>
      </c>
      <c r="BU1104" t="s">
        <v>9374</v>
      </c>
      <c r="BV1104" t="s">
        <v>69</v>
      </c>
      <c r="BW1104" t="s">
        <v>69</v>
      </c>
      <c r="BX1104" t="s">
        <v>8526</v>
      </c>
      <c r="BY1104" t="str">
        <f>HYPERLINK("https%3A%2F%2Fwww.webofscience.com%2Fwos%2Fwoscc%2Ffull-record%2FWOS:000736180700011","View Full Record in Web of Science")</f>
        <v>View Full Record in Web of Science</v>
      </c>
    </row>
    <row r="1105" spans="1:77" ht="12.5" x14ac:dyDescent="0.25">
      <c r="A1105" t="s">
        <v>8495</v>
      </c>
      <c r="B1105" s="22" t="s">
        <v>32931</v>
      </c>
      <c r="C1105" s="7"/>
      <c r="D1105" s="7"/>
      <c r="E1105" s="7"/>
      <c r="F1105" t="s">
        <v>67</v>
      </c>
      <c r="G1105" t="s">
        <v>10779</v>
      </c>
      <c r="H1105" t="s">
        <v>69</v>
      </c>
      <c r="I1105" t="s">
        <v>69</v>
      </c>
      <c r="J1105" t="s">
        <v>69</v>
      </c>
      <c r="K1105" t="s">
        <v>10780</v>
      </c>
      <c r="L1105" t="s">
        <v>69</v>
      </c>
      <c r="M1105" t="s">
        <v>69</v>
      </c>
      <c r="N1105" t="s">
        <v>10781</v>
      </c>
      <c r="O1105" t="s">
        <v>10782</v>
      </c>
      <c r="P1105" t="s">
        <v>69</v>
      </c>
      <c r="Q1105" t="s">
        <v>69</v>
      </c>
      <c r="R1105" t="s">
        <v>8505</v>
      </c>
      <c r="S1105" t="s">
        <v>8506</v>
      </c>
      <c r="T1105" t="s">
        <v>69</v>
      </c>
      <c r="U1105" t="s">
        <v>69</v>
      </c>
      <c r="V1105" t="s">
        <v>69</v>
      </c>
      <c r="W1105" t="s">
        <v>69</v>
      </c>
      <c r="X1105" t="s">
        <v>69</v>
      </c>
      <c r="Y1105" t="s">
        <v>69</v>
      </c>
      <c r="Z1105" t="s">
        <v>10783</v>
      </c>
      <c r="AA1105" t="s">
        <v>10784</v>
      </c>
      <c r="AB1105" t="s">
        <v>10785</v>
      </c>
      <c r="AC1105" t="s">
        <v>69</v>
      </c>
      <c r="AD1105" t="s">
        <v>10786</v>
      </c>
      <c r="AE1105" t="s">
        <v>10787</v>
      </c>
      <c r="AF1105" t="s">
        <v>69</v>
      </c>
      <c r="AG1105" t="s">
        <v>69</v>
      </c>
      <c r="AH1105" t="s">
        <v>10788</v>
      </c>
      <c r="AI1105" t="s">
        <v>10789</v>
      </c>
      <c r="AJ1105" t="s">
        <v>10790</v>
      </c>
      <c r="AK1105" t="s">
        <v>69</v>
      </c>
      <c r="AL1105">
        <v>29</v>
      </c>
      <c r="AM1105">
        <v>1</v>
      </c>
      <c r="AN1105">
        <v>1</v>
      </c>
      <c r="AO1105">
        <v>9</v>
      </c>
      <c r="AP1105">
        <v>9</v>
      </c>
      <c r="AQ1105" t="s">
        <v>8802</v>
      </c>
      <c r="AR1105" t="s">
        <v>8763</v>
      </c>
      <c r="AS1105" t="s">
        <v>8803</v>
      </c>
      <c r="AT1105" t="s">
        <v>10791</v>
      </c>
      <c r="AU1105" t="s">
        <v>10792</v>
      </c>
      <c r="AV1105" t="s">
        <v>69</v>
      </c>
      <c r="AW1105" t="s">
        <v>10793</v>
      </c>
      <c r="AX1105" t="s">
        <v>10794</v>
      </c>
      <c r="AY1105" t="s">
        <v>10795</v>
      </c>
      <c r="AZ1105">
        <v>2021</v>
      </c>
      <c r="BA1105">
        <v>2021</v>
      </c>
      <c r="BB1105" t="s">
        <v>69</v>
      </c>
      <c r="BC1105" t="s">
        <v>69</v>
      </c>
      <c r="BD1105" t="s">
        <v>69</v>
      </c>
      <c r="BE1105" t="s">
        <v>69</v>
      </c>
      <c r="BF1105" t="s">
        <v>69</v>
      </c>
      <c r="BG1105" t="s">
        <v>69</v>
      </c>
      <c r="BH1105" t="s">
        <v>69</v>
      </c>
      <c r="BI1105">
        <v>6547186</v>
      </c>
      <c r="BJ1105" t="s">
        <v>10796</v>
      </c>
      <c r="BK1105" t="str">
        <f>HYPERLINK("http://dx.doi.org/10.1155/2021/6547186","http://dx.doi.org/10.1155/2021/6547186")</f>
        <v>http://dx.doi.org/10.1155/2021/6547186</v>
      </c>
      <c r="BL1105" t="s">
        <v>69</v>
      </c>
      <c r="BM1105" t="s">
        <v>69</v>
      </c>
      <c r="BN1105">
        <v>14</v>
      </c>
      <c r="BO1105" t="s">
        <v>10797</v>
      </c>
      <c r="BP1105" t="s">
        <v>8548</v>
      </c>
      <c r="BQ1105" t="s">
        <v>10798</v>
      </c>
      <c r="BR1105" t="s">
        <v>10799</v>
      </c>
      <c r="BS1105" t="s">
        <v>10800</v>
      </c>
      <c r="BT1105" t="s">
        <v>69</v>
      </c>
      <c r="BU1105" t="s">
        <v>8931</v>
      </c>
      <c r="BV1105" t="s">
        <v>69</v>
      </c>
      <c r="BW1105" t="s">
        <v>69</v>
      </c>
      <c r="BX1105" t="s">
        <v>8526</v>
      </c>
      <c r="BY1105" t="str">
        <f>HYPERLINK("https%3A%2F%2Fwww.webofscience.com%2Fwos%2Fwoscc%2Ffull-record%2FWOS:000770885100005","View Full Record in Web of Science")</f>
        <v>View Full Record in Web of Science</v>
      </c>
    </row>
    <row r="1106" spans="1:77" ht="12.5" x14ac:dyDescent="0.25">
      <c r="A1106" t="s">
        <v>8495</v>
      </c>
      <c r="B1106" s="7" t="s">
        <v>32933</v>
      </c>
      <c r="C1106" s="7"/>
      <c r="D1106" s="7"/>
      <c r="E1106" s="7"/>
      <c r="F1106" t="s">
        <v>67</v>
      </c>
      <c r="G1106" t="s">
        <v>2874</v>
      </c>
      <c r="H1106" t="s">
        <v>69</v>
      </c>
      <c r="I1106" t="s">
        <v>69</v>
      </c>
      <c r="J1106" t="s">
        <v>69</v>
      </c>
      <c r="K1106" t="s">
        <v>2875</v>
      </c>
      <c r="L1106" t="s">
        <v>69</v>
      </c>
      <c r="M1106" t="s">
        <v>69</v>
      </c>
      <c r="N1106" t="s">
        <v>2876</v>
      </c>
      <c r="O1106" t="s">
        <v>2877</v>
      </c>
      <c r="P1106" t="s">
        <v>69</v>
      </c>
      <c r="Q1106" t="s">
        <v>69</v>
      </c>
      <c r="R1106" t="s">
        <v>8505</v>
      </c>
      <c r="S1106" t="s">
        <v>21730</v>
      </c>
      <c r="T1106" t="s">
        <v>69</v>
      </c>
      <c r="U1106" t="s">
        <v>69</v>
      </c>
      <c r="V1106" t="s">
        <v>69</v>
      </c>
      <c r="W1106" t="s">
        <v>69</v>
      </c>
      <c r="X1106" t="s">
        <v>69</v>
      </c>
      <c r="Y1106" t="s">
        <v>69</v>
      </c>
      <c r="Z1106" t="s">
        <v>69</v>
      </c>
      <c r="AA1106" t="s">
        <v>2878</v>
      </c>
      <c r="AB1106" t="s">
        <v>69</v>
      </c>
      <c r="AC1106" t="s">
        <v>69</v>
      </c>
      <c r="AD1106" t="s">
        <v>69</v>
      </c>
      <c r="AE1106" t="s">
        <v>69</v>
      </c>
      <c r="AF1106" t="s">
        <v>69</v>
      </c>
      <c r="AG1106" t="s">
        <v>69</v>
      </c>
      <c r="AH1106" t="s">
        <v>69</v>
      </c>
      <c r="AI1106" t="s">
        <v>69</v>
      </c>
      <c r="AJ1106" t="s">
        <v>69</v>
      </c>
      <c r="AK1106" t="s">
        <v>69</v>
      </c>
      <c r="AL1106">
        <v>2</v>
      </c>
      <c r="AM1106">
        <v>0</v>
      </c>
      <c r="AN1106">
        <v>0</v>
      </c>
      <c r="AO1106">
        <v>0</v>
      </c>
      <c r="AP1106">
        <v>1</v>
      </c>
      <c r="AQ1106" t="s">
        <v>9978</v>
      </c>
      <c r="AR1106" t="s">
        <v>8693</v>
      </c>
      <c r="AS1106" t="s">
        <v>17938</v>
      </c>
      <c r="AT1106" t="s">
        <v>2879</v>
      </c>
      <c r="AU1106" t="s">
        <v>2880</v>
      </c>
      <c r="AV1106" t="s">
        <v>69</v>
      </c>
      <c r="AW1106" t="s">
        <v>21731</v>
      </c>
      <c r="AX1106" t="s">
        <v>21732</v>
      </c>
      <c r="AY1106" t="s">
        <v>246</v>
      </c>
      <c r="AZ1106">
        <v>2016</v>
      </c>
      <c r="BA1106">
        <v>70</v>
      </c>
      <c r="BB1106">
        <v>276</v>
      </c>
      <c r="BC1106" t="s">
        <v>69</v>
      </c>
      <c r="BD1106" t="s">
        <v>69</v>
      </c>
      <c r="BE1106" t="s">
        <v>69</v>
      </c>
      <c r="BF1106" t="s">
        <v>69</v>
      </c>
      <c r="BG1106">
        <v>75</v>
      </c>
      <c r="BH1106">
        <v>76</v>
      </c>
      <c r="BI1106" t="s">
        <v>69</v>
      </c>
      <c r="BJ1106" t="s">
        <v>2881</v>
      </c>
      <c r="BK1106" t="str">
        <f>HYPERLINK("http://dx.doi.org/10.1017/S0040298215001102","http://dx.doi.org/10.1017/S0040298215001102")</f>
        <v>http://dx.doi.org/10.1017/S0040298215001102</v>
      </c>
      <c r="BL1106" t="s">
        <v>69</v>
      </c>
      <c r="BM1106" t="s">
        <v>69</v>
      </c>
      <c r="BN1106">
        <v>2</v>
      </c>
      <c r="BO1106" t="s">
        <v>21733</v>
      </c>
      <c r="BP1106" t="s">
        <v>11207</v>
      </c>
      <c r="BQ1106" t="s">
        <v>21733</v>
      </c>
      <c r="BR1106" t="s">
        <v>21734</v>
      </c>
      <c r="BS1106" t="s">
        <v>2882</v>
      </c>
      <c r="BT1106" t="s">
        <v>69</v>
      </c>
      <c r="BU1106" t="s">
        <v>69</v>
      </c>
      <c r="BV1106" t="s">
        <v>69</v>
      </c>
      <c r="BW1106" t="s">
        <v>69</v>
      </c>
      <c r="BX1106" t="s">
        <v>8526</v>
      </c>
      <c r="BY1106" t="str">
        <f>HYPERLINK("https%3A%2F%2Fwww.webofscience.com%2Fwos%2Fwoscc%2Ffull-record%2FWOS:000374242100010","View Full Record in Web of Science")</f>
        <v>View Full Record in Web of Science</v>
      </c>
    </row>
    <row r="1107" spans="1:77" x14ac:dyDescent="0.3">
      <c r="A1107" t="s">
        <v>8495</v>
      </c>
      <c r="B1107" s="13" t="s">
        <v>33008</v>
      </c>
      <c r="F1107" t="s">
        <v>67</v>
      </c>
      <c r="G1107" t="s">
        <v>4945</v>
      </c>
      <c r="H1107" t="s">
        <v>69</v>
      </c>
      <c r="I1107" t="s">
        <v>69</v>
      </c>
      <c r="J1107" t="s">
        <v>69</v>
      </c>
      <c r="K1107" s="4" t="s">
        <v>4946</v>
      </c>
      <c r="L1107" t="s">
        <v>69</v>
      </c>
      <c r="M1107" t="s">
        <v>69</v>
      </c>
      <c r="N1107" s="2" t="s">
        <v>4947</v>
      </c>
      <c r="O1107" t="s">
        <v>2160</v>
      </c>
      <c r="P1107" t="s">
        <v>69</v>
      </c>
      <c r="Q1107" t="s">
        <v>69</v>
      </c>
      <c r="R1107" t="s">
        <v>8505</v>
      </c>
      <c r="S1107" t="s">
        <v>8506</v>
      </c>
      <c r="T1107" t="s">
        <v>69</v>
      </c>
      <c r="U1107" t="s">
        <v>69</v>
      </c>
      <c r="V1107" t="s">
        <v>69</v>
      </c>
      <c r="W1107" t="s">
        <v>69</v>
      </c>
      <c r="X1107" t="s">
        <v>69</v>
      </c>
      <c r="Y1107" t="s">
        <v>24408</v>
      </c>
      <c r="Z1107" t="s">
        <v>19521</v>
      </c>
      <c r="AA1107" t="s">
        <v>4948</v>
      </c>
      <c r="AB1107" t="s">
        <v>24409</v>
      </c>
      <c r="AC1107" t="s">
        <v>69</v>
      </c>
      <c r="AD1107" t="s">
        <v>24410</v>
      </c>
      <c r="AE1107" t="s">
        <v>69</v>
      </c>
      <c r="AF1107" t="s">
        <v>69</v>
      </c>
      <c r="AG1107" t="s">
        <v>4949</v>
      </c>
      <c r="AH1107" t="s">
        <v>69</v>
      </c>
      <c r="AI1107" t="s">
        <v>69</v>
      </c>
      <c r="AJ1107" t="s">
        <v>69</v>
      </c>
      <c r="AK1107" t="s">
        <v>69</v>
      </c>
      <c r="AL1107">
        <v>20</v>
      </c>
      <c r="AM1107">
        <v>2</v>
      </c>
      <c r="AN1107">
        <v>2</v>
      </c>
      <c r="AO1107">
        <v>2</v>
      </c>
      <c r="AP1107">
        <v>7</v>
      </c>
      <c r="AQ1107" t="s">
        <v>13195</v>
      </c>
      <c r="AR1107" t="s">
        <v>13196</v>
      </c>
      <c r="AS1107" t="s">
        <v>13197</v>
      </c>
      <c r="AT1107" t="s">
        <v>2163</v>
      </c>
      <c r="AU1107" t="s">
        <v>2164</v>
      </c>
      <c r="AV1107" t="s">
        <v>69</v>
      </c>
      <c r="AW1107" t="s">
        <v>16800</v>
      </c>
      <c r="AX1107" t="s">
        <v>16801</v>
      </c>
      <c r="AY1107" t="s">
        <v>75</v>
      </c>
      <c r="AZ1107">
        <v>2013</v>
      </c>
      <c r="BA1107">
        <v>166</v>
      </c>
      <c r="BB1107">
        <v>6</v>
      </c>
      <c r="BC1107" t="s">
        <v>69</v>
      </c>
      <c r="BD1107" t="s">
        <v>69</v>
      </c>
      <c r="BE1107" t="s">
        <v>69</v>
      </c>
      <c r="BF1107" t="s">
        <v>69</v>
      </c>
      <c r="BG1107">
        <v>330</v>
      </c>
      <c r="BH1107">
        <v>336</v>
      </c>
      <c r="BI1107" t="s">
        <v>69</v>
      </c>
      <c r="BJ1107" t="s">
        <v>4950</v>
      </c>
      <c r="BK1107" t="str">
        <f>HYPERLINK("http://dx.doi.org/10.1680/ensu.12.00006","http://dx.doi.org/10.1680/ensu.12.00006")</f>
        <v>http://dx.doi.org/10.1680/ensu.12.00006</v>
      </c>
      <c r="BL1107" t="s">
        <v>69</v>
      </c>
      <c r="BM1107" t="s">
        <v>69</v>
      </c>
      <c r="BN1107">
        <v>7</v>
      </c>
      <c r="BO1107" t="s">
        <v>16802</v>
      </c>
      <c r="BP1107" t="s">
        <v>8548</v>
      </c>
      <c r="BQ1107" t="s">
        <v>16803</v>
      </c>
      <c r="BR1107" t="s">
        <v>24411</v>
      </c>
      <c r="BS1107" t="s">
        <v>4951</v>
      </c>
      <c r="BT1107" t="s">
        <v>69</v>
      </c>
      <c r="BU1107" t="s">
        <v>69</v>
      </c>
      <c r="BV1107" t="s">
        <v>69</v>
      </c>
      <c r="BW1107" t="s">
        <v>69</v>
      </c>
      <c r="BX1107" t="s">
        <v>8526</v>
      </c>
      <c r="BY1107" t="str">
        <f>HYPERLINK("https%3A%2F%2Fwww.webofscience.com%2Fwos%2Fwoscc%2Ffull-record%2FWOS:000343385200005","View Full Record in Web of Science")</f>
        <v>View Full Record in Web of Science</v>
      </c>
    </row>
    <row r="1108" spans="1:77" ht="12.5" x14ac:dyDescent="0.25">
      <c r="A1108" t="s">
        <v>8495</v>
      </c>
      <c r="B1108" s="7" t="s">
        <v>32933</v>
      </c>
      <c r="C1108" s="7"/>
      <c r="D1108" s="7"/>
      <c r="E1108" s="7"/>
      <c r="F1108" t="s">
        <v>67</v>
      </c>
      <c r="G1108" t="s">
        <v>6958</v>
      </c>
      <c r="H1108" t="s">
        <v>69</v>
      </c>
      <c r="I1108" t="s">
        <v>69</v>
      </c>
      <c r="J1108" t="s">
        <v>69</v>
      </c>
      <c r="K1108" t="s">
        <v>6959</v>
      </c>
      <c r="L1108" t="s">
        <v>69</v>
      </c>
      <c r="M1108" t="s">
        <v>69</v>
      </c>
      <c r="N1108" t="s">
        <v>6960</v>
      </c>
      <c r="O1108" t="s">
        <v>1128</v>
      </c>
      <c r="P1108" t="s">
        <v>69</v>
      </c>
      <c r="Q1108" t="s">
        <v>69</v>
      </c>
      <c r="R1108" t="s">
        <v>8505</v>
      </c>
      <c r="S1108" t="s">
        <v>8506</v>
      </c>
      <c r="T1108" t="s">
        <v>69</v>
      </c>
      <c r="U1108" t="s">
        <v>69</v>
      </c>
      <c r="V1108" t="s">
        <v>69</v>
      </c>
      <c r="W1108" t="s">
        <v>69</v>
      </c>
      <c r="X1108" t="s">
        <v>69</v>
      </c>
      <c r="Y1108" t="s">
        <v>14830</v>
      </c>
      <c r="Z1108" t="s">
        <v>14831</v>
      </c>
      <c r="AA1108" t="s">
        <v>6961</v>
      </c>
      <c r="AB1108" t="s">
        <v>14832</v>
      </c>
      <c r="AC1108" t="s">
        <v>69</v>
      </c>
      <c r="AD1108" t="s">
        <v>14833</v>
      </c>
      <c r="AE1108" t="s">
        <v>14834</v>
      </c>
      <c r="AF1108" t="s">
        <v>69</v>
      </c>
      <c r="AG1108" t="s">
        <v>14835</v>
      </c>
      <c r="AH1108" t="s">
        <v>14836</v>
      </c>
      <c r="AI1108" t="s">
        <v>14837</v>
      </c>
      <c r="AJ1108" t="s">
        <v>14838</v>
      </c>
      <c r="AK1108" t="s">
        <v>69</v>
      </c>
      <c r="AL1108">
        <v>47</v>
      </c>
      <c r="AM1108">
        <v>8</v>
      </c>
      <c r="AN1108">
        <v>8</v>
      </c>
      <c r="AO1108">
        <v>3</v>
      </c>
      <c r="AP1108">
        <v>15</v>
      </c>
      <c r="AQ1108" t="s">
        <v>8636</v>
      </c>
      <c r="AR1108" t="s">
        <v>8637</v>
      </c>
      <c r="AS1108" t="s">
        <v>8638</v>
      </c>
      <c r="AT1108" t="s">
        <v>1130</v>
      </c>
      <c r="AU1108" t="s">
        <v>1131</v>
      </c>
      <c r="AV1108" t="s">
        <v>69</v>
      </c>
      <c r="AW1108" t="s">
        <v>1128</v>
      </c>
      <c r="AX1108" t="s">
        <v>8658</v>
      </c>
      <c r="AY1108" t="s">
        <v>84</v>
      </c>
      <c r="AZ1108">
        <v>2020</v>
      </c>
      <c r="BA1108">
        <v>96</v>
      </c>
      <c r="BB1108" t="s">
        <v>69</v>
      </c>
      <c r="BC1108" t="s">
        <v>69</v>
      </c>
      <c r="BD1108" t="s">
        <v>69</v>
      </c>
      <c r="BE1108" t="s">
        <v>69</v>
      </c>
      <c r="BF1108" t="s">
        <v>69</v>
      </c>
      <c r="BG1108" t="s">
        <v>69</v>
      </c>
      <c r="BH1108" t="s">
        <v>69</v>
      </c>
      <c r="BI1108">
        <v>103591</v>
      </c>
      <c r="BJ1108" t="s">
        <v>6962</v>
      </c>
      <c r="BK1108" t="str">
        <f>HYPERLINK("http://dx.doi.org/10.1016/j.landusepol.2018.08.042","http://dx.doi.org/10.1016/j.landusepol.2018.08.042")</f>
        <v>http://dx.doi.org/10.1016/j.landusepol.2018.08.042</v>
      </c>
      <c r="BL1108" t="s">
        <v>69</v>
      </c>
      <c r="BM1108" t="s">
        <v>69</v>
      </c>
      <c r="BN1108">
        <v>10</v>
      </c>
      <c r="BO1108" t="s">
        <v>8660</v>
      </c>
      <c r="BP1108" t="s">
        <v>8661</v>
      </c>
      <c r="BQ1108" t="s">
        <v>8662</v>
      </c>
      <c r="BR1108" t="s">
        <v>14839</v>
      </c>
      <c r="BS1108" t="s">
        <v>6963</v>
      </c>
      <c r="BT1108" t="s">
        <v>69</v>
      </c>
      <c r="BU1108" t="s">
        <v>9374</v>
      </c>
      <c r="BV1108" t="s">
        <v>69</v>
      </c>
      <c r="BW1108" t="s">
        <v>69</v>
      </c>
      <c r="BX1108" t="s">
        <v>8526</v>
      </c>
      <c r="BY1108" t="str">
        <f>HYPERLINK("https%3A%2F%2Fwww.webofscience.com%2Fwos%2Fwoscc%2Ffull-record%2FWOS:000541149900003","View Full Record in Web of Science")</f>
        <v>View Full Record in Web of Science</v>
      </c>
    </row>
    <row r="1109" spans="1:77" ht="12.5" x14ac:dyDescent="0.25">
      <c r="A1109" t="s">
        <v>8495</v>
      </c>
      <c r="B1109" s="22" t="s">
        <v>32931</v>
      </c>
      <c r="C1109" s="7"/>
      <c r="D1109" s="7"/>
      <c r="E1109" s="7"/>
      <c r="F1109" t="s">
        <v>67</v>
      </c>
      <c r="G1109" t="s">
        <v>23331</v>
      </c>
      <c r="H1109" t="s">
        <v>69</v>
      </c>
      <c r="I1109" t="s">
        <v>69</v>
      </c>
      <c r="J1109" t="s">
        <v>69</v>
      </c>
      <c r="K1109" t="s">
        <v>23332</v>
      </c>
      <c r="L1109" t="s">
        <v>69</v>
      </c>
      <c r="M1109" t="s">
        <v>69</v>
      </c>
      <c r="N1109" t="s">
        <v>23333</v>
      </c>
      <c r="O1109" t="s">
        <v>19267</v>
      </c>
      <c r="P1109" t="s">
        <v>69</v>
      </c>
      <c r="Q1109" t="s">
        <v>69</v>
      </c>
      <c r="R1109" t="s">
        <v>8505</v>
      </c>
      <c r="S1109" t="s">
        <v>8506</v>
      </c>
      <c r="T1109" t="s">
        <v>69</v>
      </c>
      <c r="U1109" t="s">
        <v>69</v>
      </c>
      <c r="V1109" t="s">
        <v>69</v>
      </c>
      <c r="W1109" t="s">
        <v>69</v>
      </c>
      <c r="X1109" t="s">
        <v>69</v>
      </c>
      <c r="Y1109" t="s">
        <v>23334</v>
      </c>
      <c r="Z1109" t="s">
        <v>23335</v>
      </c>
      <c r="AA1109" t="s">
        <v>23336</v>
      </c>
      <c r="AB1109" t="s">
        <v>23337</v>
      </c>
      <c r="AC1109" t="s">
        <v>69</v>
      </c>
      <c r="AD1109" t="s">
        <v>23338</v>
      </c>
      <c r="AE1109" t="s">
        <v>23339</v>
      </c>
      <c r="AF1109" t="s">
        <v>69</v>
      </c>
      <c r="AG1109" t="s">
        <v>69</v>
      </c>
      <c r="AH1109" t="s">
        <v>23340</v>
      </c>
      <c r="AI1109" t="s">
        <v>23341</v>
      </c>
      <c r="AJ1109" t="s">
        <v>23342</v>
      </c>
      <c r="AK1109" t="s">
        <v>69</v>
      </c>
      <c r="AL1109">
        <v>105</v>
      </c>
      <c r="AM1109">
        <v>47</v>
      </c>
      <c r="AN1109">
        <v>48</v>
      </c>
      <c r="AO1109">
        <v>1</v>
      </c>
      <c r="AP1109">
        <v>40</v>
      </c>
      <c r="AQ1109" t="s">
        <v>9203</v>
      </c>
      <c r="AR1109" t="s">
        <v>8763</v>
      </c>
      <c r="AS1109" t="s">
        <v>9204</v>
      </c>
      <c r="AT1109" t="s">
        <v>19277</v>
      </c>
      <c r="AU1109" t="s">
        <v>69</v>
      </c>
      <c r="AV1109" t="s">
        <v>69</v>
      </c>
      <c r="AW1109" t="s">
        <v>19278</v>
      </c>
      <c r="AX1109" t="s">
        <v>19279</v>
      </c>
      <c r="AY1109" t="s">
        <v>10479</v>
      </c>
      <c r="AZ1109">
        <v>2014</v>
      </c>
      <c r="BA1109">
        <v>9</v>
      </c>
      <c r="BB1109" t="s">
        <v>69</v>
      </c>
      <c r="BC1109" t="s">
        <v>69</v>
      </c>
      <c r="BD1109" t="s">
        <v>69</v>
      </c>
      <c r="BE1109" t="s">
        <v>69</v>
      </c>
      <c r="BF1109" t="s">
        <v>69</v>
      </c>
      <c r="BG1109" t="s">
        <v>69</v>
      </c>
      <c r="BH1109" t="s">
        <v>69</v>
      </c>
      <c r="BI1109">
        <v>183</v>
      </c>
      <c r="BJ1109" t="s">
        <v>23343</v>
      </c>
      <c r="BK1109" t="str">
        <f>HYPERLINK("http://dx.doi.org/10.1186/s13012-014-0183-z","http://dx.doi.org/10.1186/s13012-014-0183-z")</f>
        <v>http://dx.doi.org/10.1186/s13012-014-0183-z</v>
      </c>
      <c r="BL1109" t="s">
        <v>69</v>
      </c>
      <c r="BM1109" t="s">
        <v>69</v>
      </c>
      <c r="BN1109">
        <v>12</v>
      </c>
      <c r="BO1109" t="s">
        <v>9809</v>
      </c>
      <c r="BP1109" t="s">
        <v>8523</v>
      </c>
      <c r="BQ1109" t="s">
        <v>9209</v>
      </c>
      <c r="BR1109" t="s">
        <v>23344</v>
      </c>
      <c r="BS1109" t="s">
        <v>23345</v>
      </c>
      <c r="BT1109">
        <v>25490886</v>
      </c>
      <c r="BU1109" t="s">
        <v>9352</v>
      </c>
      <c r="BV1109" t="s">
        <v>69</v>
      </c>
      <c r="BW1109" t="s">
        <v>69</v>
      </c>
      <c r="BX1109" t="s">
        <v>8526</v>
      </c>
      <c r="BY1109" t="str">
        <f>HYPERLINK("https%3A%2F%2Fwww.webofscience.com%2Fwos%2Fwoscc%2Ffull-record%2FWOS:000347434000001","View Full Record in Web of Science")</f>
        <v>View Full Record in Web of Science</v>
      </c>
    </row>
    <row r="1110" spans="1:77" ht="12.5" x14ac:dyDescent="0.25">
      <c r="A1110" t="s">
        <v>8495</v>
      </c>
      <c r="B1110" s="22" t="s">
        <v>32931</v>
      </c>
      <c r="C1110" s="7"/>
      <c r="D1110" s="7"/>
      <c r="E1110" s="7"/>
      <c r="F1110" t="s">
        <v>67</v>
      </c>
      <c r="G1110" t="s">
        <v>30723</v>
      </c>
      <c r="H1110" t="s">
        <v>69</v>
      </c>
      <c r="I1110" t="s">
        <v>69</v>
      </c>
      <c r="J1110" t="s">
        <v>69</v>
      </c>
      <c r="K1110" t="s">
        <v>30723</v>
      </c>
      <c r="L1110" t="s">
        <v>69</v>
      </c>
      <c r="M1110" t="s">
        <v>69</v>
      </c>
      <c r="N1110" t="s">
        <v>30724</v>
      </c>
      <c r="O1110" t="s">
        <v>30554</v>
      </c>
      <c r="P1110" t="s">
        <v>69</v>
      </c>
      <c r="Q1110" t="s">
        <v>69</v>
      </c>
      <c r="R1110" t="s">
        <v>8505</v>
      </c>
      <c r="S1110" t="s">
        <v>15797</v>
      </c>
      <c r="T1110" t="s">
        <v>30725</v>
      </c>
      <c r="U1110" t="s">
        <v>30726</v>
      </c>
      <c r="V1110" t="s">
        <v>30727</v>
      </c>
      <c r="W1110" t="s">
        <v>30728</v>
      </c>
      <c r="X1110" t="s">
        <v>69</v>
      </c>
      <c r="Y1110" t="s">
        <v>30729</v>
      </c>
      <c r="Z1110" t="s">
        <v>69</v>
      </c>
      <c r="AA1110" t="s">
        <v>30730</v>
      </c>
      <c r="AB1110" t="s">
        <v>30731</v>
      </c>
      <c r="AC1110" t="s">
        <v>69</v>
      </c>
      <c r="AD1110" t="s">
        <v>30732</v>
      </c>
      <c r="AE1110" t="s">
        <v>30733</v>
      </c>
      <c r="AF1110" t="s">
        <v>30734</v>
      </c>
      <c r="AG1110" t="s">
        <v>30735</v>
      </c>
      <c r="AH1110" t="s">
        <v>69</v>
      </c>
      <c r="AI1110" t="s">
        <v>69</v>
      </c>
      <c r="AJ1110" t="s">
        <v>69</v>
      </c>
      <c r="AK1110" t="s">
        <v>69</v>
      </c>
      <c r="AL1110">
        <v>13</v>
      </c>
      <c r="AM1110">
        <v>39</v>
      </c>
      <c r="AN1110">
        <v>39</v>
      </c>
      <c r="AO1110">
        <v>0</v>
      </c>
      <c r="AP1110">
        <v>12</v>
      </c>
      <c r="AQ1110" t="s">
        <v>8636</v>
      </c>
      <c r="AR1110" t="s">
        <v>8637</v>
      </c>
      <c r="AS1110" t="s">
        <v>8638</v>
      </c>
      <c r="AT1110" t="s">
        <v>30563</v>
      </c>
      <c r="AU1110" t="s">
        <v>69</v>
      </c>
      <c r="AV1110" t="s">
        <v>69</v>
      </c>
      <c r="AW1110" t="s">
        <v>30564</v>
      </c>
      <c r="AX1110" t="s">
        <v>30565</v>
      </c>
      <c r="AY1110" t="s">
        <v>191</v>
      </c>
      <c r="AZ1110">
        <v>2005</v>
      </c>
      <c r="BA1110">
        <v>20</v>
      </c>
      <c r="BB1110">
        <v>2</v>
      </c>
      <c r="BC1110" t="s">
        <v>69</v>
      </c>
      <c r="BD1110" t="s">
        <v>69</v>
      </c>
      <c r="BE1110" t="s">
        <v>114</v>
      </c>
      <c r="BF1110" t="s">
        <v>69</v>
      </c>
      <c r="BG1110">
        <v>261</v>
      </c>
      <c r="BH1110">
        <v>271</v>
      </c>
      <c r="BI1110" t="s">
        <v>69</v>
      </c>
      <c r="BJ1110" t="s">
        <v>30736</v>
      </c>
      <c r="BK1110" t="str">
        <f>HYPERLINK("http://dx.doi.org/10.1016/j.envsoft.2004.01.004","http://dx.doi.org/10.1016/j.envsoft.2004.01.004")</f>
        <v>http://dx.doi.org/10.1016/j.envsoft.2004.01.004</v>
      </c>
      <c r="BL1110" t="s">
        <v>69</v>
      </c>
      <c r="BM1110" t="s">
        <v>69</v>
      </c>
      <c r="BN1110">
        <v>11</v>
      </c>
      <c r="BO1110" t="s">
        <v>30567</v>
      </c>
      <c r="BP1110" t="s">
        <v>29550</v>
      </c>
      <c r="BQ1110" t="s">
        <v>30568</v>
      </c>
      <c r="BR1110" t="s">
        <v>30737</v>
      </c>
      <c r="BS1110" t="s">
        <v>30738</v>
      </c>
      <c r="BT1110" t="s">
        <v>69</v>
      </c>
      <c r="BU1110" t="s">
        <v>69</v>
      </c>
      <c r="BV1110" t="s">
        <v>69</v>
      </c>
      <c r="BW1110" t="s">
        <v>69</v>
      </c>
      <c r="BX1110" t="s">
        <v>8526</v>
      </c>
      <c r="BY1110" t="str">
        <f>HYPERLINK("https%3A%2F%2Fwww.webofscience.com%2Fwos%2Fwoscc%2Ffull-record%2FWOS:000225262300015","View Full Record in Web of Science")</f>
        <v>View Full Record in Web of Science</v>
      </c>
    </row>
    <row r="1111" spans="1:77" ht="12.5" x14ac:dyDescent="0.25">
      <c r="A1111" t="s">
        <v>8495</v>
      </c>
      <c r="B1111" s="7" t="s">
        <v>32933</v>
      </c>
      <c r="C1111" s="7"/>
      <c r="D1111" s="7"/>
      <c r="E1111" s="7"/>
      <c r="F1111" t="s">
        <v>67</v>
      </c>
      <c r="G1111" t="s">
        <v>7273</v>
      </c>
      <c r="H1111" t="s">
        <v>69</v>
      </c>
      <c r="I1111" t="s">
        <v>69</v>
      </c>
      <c r="J1111" t="s">
        <v>69</v>
      </c>
      <c r="K1111" t="s">
        <v>7274</v>
      </c>
      <c r="L1111" t="s">
        <v>69</v>
      </c>
      <c r="M1111" t="s">
        <v>69</v>
      </c>
      <c r="N1111" t="s">
        <v>7275</v>
      </c>
      <c r="O1111" t="s">
        <v>1831</v>
      </c>
      <c r="P1111" t="s">
        <v>69</v>
      </c>
      <c r="Q1111" t="s">
        <v>69</v>
      </c>
      <c r="R1111" t="s">
        <v>8505</v>
      </c>
      <c r="S1111" t="s">
        <v>8506</v>
      </c>
      <c r="T1111" t="s">
        <v>69</v>
      </c>
      <c r="U1111" t="s">
        <v>69</v>
      </c>
      <c r="V1111" t="s">
        <v>69</v>
      </c>
      <c r="W1111" t="s">
        <v>69</v>
      </c>
      <c r="X1111" t="s">
        <v>69</v>
      </c>
      <c r="Y1111" t="s">
        <v>17435</v>
      </c>
      <c r="Z1111" t="s">
        <v>17436</v>
      </c>
      <c r="AA1111" t="s">
        <v>7276</v>
      </c>
      <c r="AB1111" t="s">
        <v>17437</v>
      </c>
      <c r="AC1111" t="s">
        <v>69</v>
      </c>
      <c r="AD1111" t="s">
        <v>17438</v>
      </c>
      <c r="AE1111" t="s">
        <v>17439</v>
      </c>
      <c r="AF1111" t="s">
        <v>17440</v>
      </c>
      <c r="AG1111" t="s">
        <v>7277</v>
      </c>
      <c r="AH1111" t="s">
        <v>17441</v>
      </c>
      <c r="AI1111" t="s">
        <v>17442</v>
      </c>
      <c r="AJ1111" t="s">
        <v>17443</v>
      </c>
      <c r="AK1111" t="s">
        <v>69</v>
      </c>
      <c r="AL1111">
        <v>137</v>
      </c>
      <c r="AM1111">
        <v>17</v>
      </c>
      <c r="AN1111">
        <v>18</v>
      </c>
      <c r="AO1111">
        <v>2</v>
      </c>
      <c r="AP1111">
        <v>21</v>
      </c>
      <c r="AQ1111" t="s">
        <v>8516</v>
      </c>
      <c r="AR1111" t="s">
        <v>8517</v>
      </c>
      <c r="AS1111" t="s">
        <v>8518</v>
      </c>
      <c r="AT1111" t="s">
        <v>1833</v>
      </c>
      <c r="AU1111" t="s">
        <v>1834</v>
      </c>
      <c r="AV1111" t="s">
        <v>69</v>
      </c>
      <c r="AW1111" t="s">
        <v>13291</v>
      </c>
      <c r="AX1111" t="s">
        <v>13292</v>
      </c>
      <c r="AY1111" t="s">
        <v>246</v>
      </c>
      <c r="AZ1111">
        <v>2019</v>
      </c>
      <c r="BA1111">
        <v>101</v>
      </c>
      <c r="BB1111" t="s">
        <v>69</v>
      </c>
      <c r="BC1111" t="s">
        <v>69</v>
      </c>
      <c r="BD1111" t="s">
        <v>69</v>
      </c>
      <c r="BE1111" t="s">
        <v>69</v>
      </c>
      <c r="BF1111" t="s">
        <v>69</v>
      </c>
      <c r="BG1111">
        <v>96</v>
      </c>
      <c r="BH1111">
        <v>110</v>
      </c>
      <c r="BI1111" t="s">
        <v>69</v>
      </c>
      <c r="BJ1111" t="s">
        <v>7278</v>
      </c>
      <c r="BK1111" t="str">
        <f>HYPERLINK("http://dx.doi.org/10.1016/j.forpol.2019.01.005","http://dx.doi.org/10.1016/j.forpol.2019.01.005")</f>
        <v>http://dx.doi.org/10.1016/j.forpol.2019.01.005</v>
      </c>
      <c r="BL1111" t="s">
        <v>69</v>
      </c>
      <c r="BM1111" t="s">
        <v>69</v>
      </c>
      <c r="BN1111">
        <v>15</v>
      </c>
      <c r="BO1111" t="s">
        <v>13293</v>
      </c>
      <c r="BP1111" t="s">
        <v>8523</v>
      </c>
      <c r="BQ1111" t="s">
        <v>13294</v>
      </c>
      <c r="BR1111" t="s">
        <v>17444</v>
      </c>
      <c r="BS1111" t="s">
        <v>7279</v>
      </c>
      <c r="BT1111" t="s">
        <v>69</v>
      </c>
      <c r="BU1111" t="s">
        <v>8622</v>
      </c>
      <c r="BV1111" t="s">
        <v>69</v>
      </c>
      <c r="BW1111" t="s">
        <v>69</v>
      </c>
      <c r="BX1111" t="s">
        <v>8526</v>
      </c>
      <c r="BY1111" t="str">
        <f>HYPERLINK("https%3A%2F%2Fwww.webofscience.com%2Fwos%2Fwoscc%2Ffull-record%2FWOS:000458806600010","View Full Record in Web of Science")</f>
        <v>View Full Record in Web of Science</v>
      </c>
    </row>
    <row r="1112" spans="1:77" ht="12.5" x14ac:dyDescent="0.25">
      <c r="A1112" t="s">
        <v>8495</v>
      </c>
      <c r="B1112" s="7" t="s">
        <v>32933</v>
      </c>
      <c r="C1112" s="7"/>
      <c r="D1112" s="7"/>
      <c r="E1112" s="7"/>
      <c r="F1112" t="s">
        <v>67</v>
      </c>
      <c r="G1112" t="s">
        <v>4619</v>
      </c>
      <c r="H1112" t="s">
        <v>69</v>
      </c>
      <c r="I1112" t="s">
        <v>69</v>
      </c>
      <c r="J1112" t="s">
        <v>69</v>
      </c>
      <c r="K1112" t="s">
        <v>4620</v>
      </c>
      <c r="L1112" t="s">
        <v>69</v>
      </c>
      <c r="M1112" t="s">
        <v>69</v>
      </c>
      <c r="N1112" t="s">
        <v>4621</v>
      </c>
      <c r="O1112" t="s">
        <v>4622</v>
      </c>
      <c r="P1112" t="s">
        <v>69</v>
      </c>
      <c r="Q1112" t="s">
        <v>69</v>
      </c>
      <c r="R1112" t="s">
        <v>8505</v>
      </c>
      <c r="S1112" t="s">
        <v>8506</v>
      </c>
      <c r="T1112" t="s">
        <v>69</v>
      </c>
      <c r="U1112" t="s">
        <v>69</v>
      </c>
      <c r="V1112" t="s">
        <v>69</v>
      </c>
      <c r="W1112" t="s">
        <v>69</v>
      </c>
      <c r="X1112" t="s">
        <v>69</v>
      </c>
      <c r="Y1112" t="s">
        <v>18023</v>
      </c>
      <c r="Z1112" t="s">
        <v>18024</v>
      </c>
      <c r="AA1112" t="s">
        <v>4623</v>
      </c>
      <c r="AB1112" t="s">
        <v>18025</v>
      </c>
      <c r="AC1112" t="s">
        <v>69</v>
      </c>
      <c r="AD1112" t="s">
        <v>18026</v>
      </c>
      <c r="AE1112" t="s">
        <v>18027</v>
      </c>
      <c r="AF1112" t="s">
        <v>18028</v>
      </c>
      <c r="AG1112" t="s">
        <v>18029</v>
      </c>
      <c r="AH1112" t="s">
        <v>18030</v>
      </c>
      <c r="AI1112" t="s">
        <v>18030</v>
      </c>
      <c r="AJ1112" t="s">
        <v>18031</v>
      </c>
      <c r="AK1112" t="s">
        <v>69</v>
      </c>
      <c r="AL1112">
        <v>298</v>
      </c>
      <c r="AM1112">
        <v>36</v>
      </c>
      <c r="AN1112">
        <v>37</v>
      </c>
      <c r="AO1112">
        <v>5</v>
      </c>
      <c r="AP1112">
        <v>35</v>
      </c>
      <c r="AQ1112" t="s">
        <v>8516</v>
      </c>
      <c r="AR1112" t="s">
        <v>8517</v>
      </c>
      <c r="AS1112" t="s">
        <v>8518</v>
      </c>
      <c r="AT1112" t="s">
        <v>4624</v>
      </c>
      <c r="AU1112" t="s">
        <v>4625</v>
      </c>
      <c r="AV1112" t="s">
        <v>69</v>
      </c>
      <c r="AW1112" t="s">
        <v>18032</v>
      </c>
      <c r="AX1112" t="s">
        <v>18033</v>
      </c>
      <c r="AY1112" t="s">
        <v>75</v>
      </c>
      <c r="AZ1112">
        <v>2018</v>
      </c>
      <c r="BA1112">
        <v>567</v>
      </c>
      <c r="BB1112" t="s">
        <v>69</v>
      </c>
      <c r="BC1112" t="s">
        <v>69</v>
      </c>
      <c r="BD1112" t="s">
        <v>69</v>
      </c>
      <c r="BE1112" t="s">
        <v>69</v>
      </c>
      <c r="BF1112" t="s">
        <v>69</v>
      </c>
      <c r="BG1112">
        <v>457</v>
      </c>
      <c r="BH1112">
        <v>477</v>
      </c>
      <c r="BI1112" t="s">
        <v>69</v>
      </c>
      <c r="BJ1112" t="s">
        <v>4626</v>
      </c>
      <c r="BK1112" t="str">
        <f>HYPERLINK("http://dx.doi.org/10.1016/j.jhydrol.2018.09.053","http://dx.doi.org/10.1016/j.jhydrol.2018.09.053")</f>
        <v>http://dx.doi.org/10.1016/j.jhydrol.2018.09.053</v>
      </c>
      <c r="BL1112" t="s">
        <v>69</v>
      </c>
      <c r="BM1112" t="s">
        <v>69</v>
      </c>
      <c r="BN1112">
        <v>21</v>
      </c>
      <c r="BO1112" t="s">
        <v>18034</v>
      </c>
      <c r="BP1112" t="s">
        <v>8548</v>
      </c>
      <c r="BQ1112" t="s">
        <v>8853</v>
      </c>
      <c r="BR1112" t="s">
        <v>18035</v>
      </c>
      <c r="BS1112" t="s">
        <v>4627</v>
      </c>
      <c r="BT1112" t="s">
        <v>69</v>
      </c>
      <c r="BU1112" t="s">
        <v>69</v>
      </c>
      <c r="BV1112" t="s">
        <v>69</v>
      </c>
      <c r="BW1112" t="s">
        <v>69</v>
      </c>
      <c r="BX1112" t="s">
        <v>8526</v>
      </c>
      <c r="BY1112" t="str">
        <f>HYPERLINK("https%3A%2F%2Fwww.webofscience.com%2Fwos%2Fwoscc%2Ffull-record%2FWOS:000454753900038","View Full Record in Web of Science")</f>
        <v>View Full Record in Web of Science</v>
      </c>
    </row>
    <row r="1113" spans="1:77" ht="12.5" x14ac:dyDescent="0.25">
      <c r="A1113" t="s">
        <v>8495</v>
      </c>
      <c r="B1113" s="7" t="s">
        <v>32933</v>
      </c>
      <c r="C1113" s="7"/>
      <c r="D1113" s="7"/>
      <c r="E1113" s="7"/>
      <c r="F1113" t="s">
        <v>627</v>
      </c>
      <c r="G1113" t="s">
        <v>5689</v>
      </c>
      <c r="H1113" t="s">
        <v>69</v>
      </c>
      <c r="I1113" t="s">
        <v>5690</v>
      </c>
      <c r="J1113" t="s">
        <v>69</v>
      </c>
      <c r="K1113" t="s">
        <v>5689</v>
      </c>
      <c r="L1113" t="s">
        <v>69</v>
      </c>
      <c r="M1113" t="s">
        <v>69</v>
      </c>
      <c r="N1113" t="s">
        <v>5691</v>
      </c>
      <c r="O1113" t="s">
        <v>5692</v>
      </c>
      <c r="P1113" t="s">
        <v>5693</v>
      </c>
      <c r="Q1113" t="s">
        <v>69</v>
      </c>
      <c r="R1113" t="s">
        <v>8505</v>
      </c>
      <c r="S1113" t="s">
        <v>15797</v>
      </c>
      <c r="T1113" t="s">
        <v>5694</v>
      </c>
      <c r="U1113" t="s">
        <v>5695</v>
      </c>
      <c r="V1113" t="s">
        <v>5696</v>
      </c>
      <c r="W1113" t="s">
        <v>69</v>
      </c>
      <c r="X1113" t="s">
        <v>69</v>
      </c>
      <c r="Y1113" t="s">
        <v>69</v>
      </c>
      <c r="Z1113" t="s">
        <v>69</v>
      </c>
      <c r="AA1113" t="s">
        <v>5697</v>
      </c>
      <c r="AB1113" t="s">
        <v>31008</v>
      </c>
      <c r="AC1113" t="s">
        <v>69</v>
      </c>
      <c r="AD1113" t="s">
        <v>31009</v>
      </c>
      <c r="AE1113" t="s">
        <v>31010</v>
      </c>
      <c r="AF1113" t="s">
        <v>69</v>
      </c>
      <c r="AG1113" t="s">
        <v>5698</v>
      </c>
      <c r="AH1113" t="s">
        <v>69</v>
      </c>
      <c r="AI1113" t="s">
        <v>69</v>
      </c>
      <c r="AJ1113" t="s">
        <v>69</v>
      </c>
      <c r="AK1113" t="s">
        <v>69</v>
      </c>
      <c r="AL1113">
        <v>8</v>
      </c>
      <c r="AM1113">
        <v>0</v>
      </c>
      <c r="AN1113">
        <v>0</v>
      </c>
      <c r="AO1113">
        <v>0</v>
      </c>
      <c r="AP1113">
        <v>0</v>
      </c>
      <c r="AQ1113" t="s">
        <v>30409</v>
      </c>
      <c r="AR1113" t="s">
        <v>11361</v>
      </c>
      <c r="AS1113" t="s">
        <v>30410</v>
      </c>
      <c r="AT1113" t="s">
        <v>4011</v>
      </c>
      <c r="AU1113" t="s">
        <v>5699</v>
      </c>
      <c r="AV1113" t="s">
        <v>5700</v>
      </c>
      <c r="AW1113" t="s">
        <v>31011</v>
      </c>
      <c r="AX1113" t="s">
        <v>69</v>
      </c>
      <c r="AY1113" t="s">
        <v>69</v>
      </c>
      <c r="AZ1113">
        <v>2005</v>
      </c>
      <c r="BA1113">
        <v>3538</v>
      </c>
      <c r="BB1113" t="s">
        <v>69</v>
      </c>
      <c r="BC1113" t="s">
        <v>69</v>
      </c>
      <c r="BD1113" t="s">
        <v>69</v>
      </c>
      <c r="BE1113" t="s">
        <v>69</v>
      </c>
      <c r="BF1113" t="s">
        <v>69</v>
      </c>
      <c r="BG1113">
        <v>210</v>
      </c>
      <c r="BH1113">
        <v>219</v>
      </c>
      <c r="BI1113" t="s">
        <v>69</v>
      </c>
      <c r="BJ1113" t="s">
        <v>69</v>
      </c>
      <c r="BK1113" t="s">
        <v>69</v>
      </c>
      <c r="BL1113" t="s">
        <v>69</v>
      </c>
      <c r="BM1113" t="s">
        <v>69</v>
      </c>
      <c r="BN1113">
        <v>10</v>
      </c>
      <c r="BO1113" t="s">
        <v>31012</v>
      </c>
      <c r="BP1113" t="s">
        <v>29550</v>
      </c>
      <c r="BQ1113" t="s">
        <v>10976</v>
      </c>
      <c r="BR1113" t="s">
        <v>31013</v>
      </c>
      <c r="BS1113" t="s">
        <v>5701</v>
      </c>
      <c r="BT1113" t="s">
        <v>69</v>
      </c>
      <c r="BU1113" t="s">
        <v>69</v>
      </c>
      <c r="BV1113" t="s">
        <v>69</v>
      </c>
      <c r="BW1113" t="s">
        <v>69</v>
      </c>
      <c r="BX1113" t="s">
        <v>8526</v>
      </c>
      <c r="BY1113" t="str">
        <f>HYPERLINK("https%3A%2F%2Fwww.webofscience.com%2Fwos%2Fwoscc%2Ffull-record%2FWOS:000231387200026","View Full Record in Web of Science")</f>
        <v>View Full Record in Web of Science</v>
      </c>
    </row>
    <row r="1114" spans="1:77" ht="12.5" x14ac:dyDescent="0.25">
      <c r="A1114" t="s">
        <v>8495</v>
      </c>
      <c r="B1114" s="7" t="s">
        <v>32933</v>
      </c>
      <c r="C1114" s="7"/>
      <c r="D1114" s="7"/>
      <c r="E1114" s="7"/>
      <c r="F1114" t="s">
        <v>67</v>
      </c>
      <c r="G1114" t="s">
        <v>5251</v>
      </c>
      <c r="H1114" t="s">
        <v>69</v>
      </c>
      <c r="I1114" t="s">
        <v>69</v>
      </c>
      <c r="J1114" t="s">
        <v>69</v>
      </c>
      <c r="K1114" t="s">
        <v>5252</v>
      </c>
      <c r="L1114" t="s">
        <v>69</v>
      </c>
      <c r="M1114" t="s">
        <v>69</v>
      </c>
      <c r="N1114" t="s">
        <v>5253</v>
      </c>
      <c r="O1114" t="s">
        <v>5254</v>
      </c>
      <c r="P1114" t="s">
        <v>69</v>
      </c>
      <c r="Q1114" t="s">
        <v>69</v>
      </c>
      <c r="R1114" t="s">
        <v>8505</v>
      </c>
      <c r="S1114" t="s">
        <v>8506</v>
      </c>
      <c r="T1114" t="s">
        <v>69</v>
      </c>
      <c r="U1114" t="s">
        <v>69</v>
      </c>
      <c r="V1114" t="s">
        <v>69</v>
      </c>
      <c r="W1114" t="s">
        <v>69</v>
      </c>
      <c r="X1114" t="s">
        <v>69</v>
      </c>
      <c r="Y1114" t="s">
        <v>69</v>
      </c>
      <c r="Z1114" t="s">
        <v>29353</v>
      </c>
      <c r="AA1114" t="s">
        <v>5255</v>
      </c>
      <c r="AB1114" t="s">
        <v>29354</v>
      </c>
      <c r="AC1114" t="s">
        <v>69</v>
      </c>
      <c r="AD1114" t="s">
        <v>29355</v>
      </c>
      <c r="AE1114" t="s">
        <v>29356</v>
      </c>
      <c r="AF1114" t="s">
        <v>69</v>
      </c>
      <c r="AG1114" t="s">
        <v>69</v>
      </c>
      <c r="AH1114" t="s">
        <v>69</v>
      </c>
      <c r="AI1114" t="s">
        <v>69</v>
      </c>
      <c r="AJ1114" t="s">
        <v>69</v>
      </c>
      <c r="AK1114" t="s">
        <v>69</v>
      </c>
      <c r="AL1114">
        <v>13</v>
      </c>
      <c r="AM1114">
        <v>0</v>
      </c>
      <c r="AN1114">
        <v>0</v>
      </c>
      <c r="AO1114">
        <v>0</v>
      </c>
      <c r="AP1114">
        <v>0</v>
      </c>
      <c r="AQ1114" t="s">
        <v>29357</v>
      </c>
      <c r="AR1114" t="s">
        <v>29358</v>
      </c>
      <c r="AS1114" t="s">
        <v>29359</v>
      </c>
      <c r="AT1114" t="s">
        <v>5256</v>
      </c>
      <c r="AU1114" t="s">
        <v>69</v>
      </c>
      <c r="AV1114" t="s">
        <v>69</v>
      </c>
      <c r="AW1114" t="s">
        <v>29360</v>
      </c>
      <c r="AX1114" t="s">
        <v>29361</v>
      </c>
      <c r="AY1114" t="s">
        <v>69</v>
      </c>
      <c r="AZ1114">
        <v>2008</v>
      </c>
      <c r="BA1114" t="s">
        <v>69</v>
      </c>
      <c r="BB1114" t="s">
        <v>69</v>
      </c>
      <c r="BC1114" t="s">
        <v>69</v>
      </c>
      <c r="BD1114" t="s">
        <v>69</v>
      </c>
      <c r="BE1114" t="s">
        <v>114</v>
      </c>
      <c r="BF1114" t="s">
        <v>69</v>
      </c>
      <c r="BG1114">
        <v>31</v>
      </c>
      <c r="BH1114">
        <v>41</v>
      </c>
      <c r="BI1114" t="s">
        <v>69</v>
      </c>
      <c r="BJ1114" t="s">
        <v>69</v>
      </c>
      <c r="BK1114" t="s">
        <v>69</v>
      </c>
      <c r="BL1114" t="s">
        <v>69</v>
      </c>
      <c r="BM1114" t="s">
        <v>69</v>
      </c>
      <c r="BN1114">
        <v>11</v>
      </c>
      <c r="BO1114" t="s">
        <v>29362</v>
      </c>
      <c r="BP1114" t="s">
        <v>8523</v>
      </c>
      <c r="BQ1114" t="s">
        <v>14243</v>
      </c>
      <c r="BR1114" t="s">
        <v>29363</v>
      </c>
      <c r="BS1114" t="s">
        <v>5257</v>
      </c>
      <c r="BT1114" t="s">
        <v>69</v>
      </c>
      <c r="BU1114" t="s">
        <v>69</v>
      </c>
      <c r="BV1114" t="s">
        <v>69</v>
      </c>
      <c r="BW1114" t="s">
        <v>69</v>
      </c>
      <c r="BX1114" t="s">
        <v>8526</v>
      </c>
      <c r="BY1114" t="str">
        <f>HYPERLINK("https%3A%2F%2Fwww.webofscience.com%2Fwos%2Fwoscc%2Ffull-record%2FWOS:000271390800004","View Full Record in Web of Science")</f>
        <v>View Full Record in Web of Science</v>
      </c>
    </row>
    <row r="1115" spans="1:77" ht="12.5" x14ac:dyDescent="0.25">
      <c r="A1115" t="s">
        <v>8495</v>
      </c>
      <c r="B1115" s="22" t="s">
        <v>32931</v>
      </c>
      <c r="C1115" s="7"/>
      <c r="D1115" s="7"/>
      <c r="E1115" s="7"/>
      <c r="F1115" t="s">
        <v>67</v>
      </c>
      <c r="G1115" t="s">
        <v>14872</v>
      </c>
      <c r="H1115" t="s">
        <v>69</v>
      </c>
      <c r="I1115" t="s">
        <v>69</v>
      </c>
      <c r="J1115" t="s">
        <v>69</v>
      </c>
      <c r="K1115" t="s">
        <v>14873</v>
      </c>
      <c r="L1115" t="s">
        <v>69</v>
      </c>
      <c r="M1115" t="s">
        <v>69</v>
      </c>
      <c r="N1115" t="s">
        <v>14874</v>
      </c>
      <c r="O1115" t="s">
        <v>11049</v>
      </c>
      <c r="P1115" t="s">
        <v>69</v>
      </c>
      <c r="Q1115" t="s">
        <v>69</v>
      </c>
      <c r="R1115" t="s">
        <v>8505</v>
      </c>
      <c r="S1115" t="s">
        <v>8506</v>
      </c>
      <c r="T1115" t="s">
        <v>69</v>
      </c>
      <c r="U1115" t="s">
        <v>69</v>
      </c>
      <c r="V1115" t="s">
        <v>69</v>
      </c>
      <c r="W1115" t="s">
        <v>69</v>
      </c>
      <c r="X1115" t="s">
        <v>69</v>
      </c>
      <c r="Y1115" t="s">
        <v>14875</v>
      </c>
      <c r="Z1115" t="s">
        <v>14876</v>
      </c>
      <c r="AA1115" t="s">
        <v>14877</v>
      </c>
      <c r="AB1115" t="s">
        <v>14878</v>
      </c>
      <c r="AC1115" t="s">
        <v>69</v>
      </c>
      <c r="AD1115" t="s">
        <v>14879</v>
      </c>
      <c r="AE1115" t="s">
        <v>14880</v>
      </c>
      <c r="AF1115" t="s">
        <v>14881</v>
      </c>
      <c r="AG1115" t="s">
        <v>14882</v>
      </c>
      <c r="AH1115" t="s">
        <v>69</v>
      </c>
      <c r="AI1115" t="s">
        <v>69</v>
      </c>
      <c r="AJ1115" t="s">
        <v>69</v>
      </c>
      <c r="AK1115" t="s">
        <v>69</v>
      </c>
      <c r="AL1115">
        <v>96</v>
      </c>
      <c r="AM1115">
        <v>12</v>
      </c>
      <c r="AN1115">
        <v>12</v>
      </c>
      <c r="AO1115">
        <v>6</v>
      </c>
      <c r="AP1115">
        <v>32</v>
      </c>
      <c r="AQ1115" t="s">
        <v>8586</v>
      </c>
      <c r="AR1115" t="s">
        <v>8587</v>
      </c>
      <c r="AS1115" t="s">
        <v>8588</v>
      </c>
      <c r="AT1115" t="s">
        <v>11058</v>
      </c>
      <c r="AU1115" t="s">
        <v>11059</v>
      </c>
      <c r="AV1115" t="s">
        <v>69</v>
      </c>
      <c r="AW1115" t="s">
        <v>11060</v>
      </c>
      <c r="AX1115" t="s">
        <v>11061</v>
      </c>
      <c r="AY1115" t="s">
        <v>14883</v>
      </c>
      <c r="AZ1115">
        <v>2020</v>
      </c>
      <c r="BA1115">
        <v>33</v>
      </c>
      <c r="BB1115">
        <v>5</v>
      </c>
      <c r="BC1115" t="s">
        <v>69</v>
      </c>
      <c r="BD1115" t="s">
        <v>69</v>
      </c>
      <c r="BE1115" t="s">
        <v>114</v>
      </c>
      <c r="BF1115" t="s">
        <v>69</v>
      </c>
      <c r="BG1115">
        <v>1077</v>
      </c>
      <c r="BH1115">
        <v>1109</v>
      </c>
      <c r="BI1115" t="s">
        <v>69</v>
      </c>
      <c r="BJ1115" t="s">
        <v>14884</v>
      </c>
      <c r="BK1115" t="str">
        <f>HYPERLINK("http://dx.doi.org/10.1108/JEIM-09-2019-0271","http://dx.doi.org/10.1108/JEIM-09-2019-0271")</f>
        <v>http://dx.doi.org/10.1108/JEIM-09-2019-0271</v>
      </c>
      <c r="BL1115" t="s">
        <v>69</v>
      </c>
      <c r="BM1115" t="s">
        <v>4582</v>
      </c>
      <c r="BN1115">
        <v>33</v>
      </c>
      <c r="BO1115" t="s">
        <v>11063</v>
      </c>
      <c r="BP1115" t="s">
        <v>8661</v>
      </c>
      <c r="BQ1115" t="s">
        <v>11064</v>
      </c>
      <c r="BR1115" t="s">
        <v>14885</v>
      </c>
      <c r="BS1115" t="s">
        <v>14886</v>
      </c>
      <c r="BT1115" t="s">
        <v>69</v>
      </c>
      <c r="BU1115" t="s">
        <v>69</v>
      </c>
      <c r="BV1115" t="s">
        <v>69</v>
      </c>
      <c r="BW1115" t="s">
        <v>69</v>
      </c>
      <c r="BX1115" t="s">
        <v>8526</v>
      </c>
      <c r="BY1115" t="str">
        <f>HYPERLINK("https%3A%2F%2Fwww.webofscience.com%2Fwos%2Fwoscc%2Ffull-record%2FWOS:000546078700001","View Full Record in Web of Science")</f>
        <v>View Full Record in Web of Science</v>
      </c>
    </row>
    <row r="1116" spans="1:77" ht="12.5" x14ac:dyDescent="0.25">
      <c r="A1116" t="s">
        <v>8495</v>
      </c>
      <c r="B1116" s="7" t="s">
        <v>32933</v>
      </c>
      <c r="C1116" s="7"/>
      <c r="D1116" s="7"/>
      <c r="E1116" s="7"/>
      <c r="F1116" t="s">
        <v>67</v>
      </c>
      <c r="G1116" t="s">
        <v>7460</v>
      </c>
      <c r="H1116" t="s">
        <v>69</v>
      </c>
      <c r="I1116" t="s">
        <v>69</v>
      </c>
      <c r="J1116" t="s">
        <v>69</v>
      </c>
      <c r="K1116" t="s">
        <v>7461</v>
      </c>
      <c r="L1116" t="s">
        <v>69</v>
      </c>
      <c r="M1116" t="s">
        <v>69</v>
      </c>
      <c r="N1116" t="s">
        <v>7462</v>
      </c>
      <c r="O1116" t="s">
        <v>1360</v>
      </c>
      <c r="P1116" t="s">
        <v>69</v>
      </c>
      <c r="Q1116" t="s">
        <v>69</v>
      </c>
      <c r="R1116" t="s">
        <v>8505</v>
      </c>
      <c r="S1116" t="s">
        <v>8506</v>
      </c>
      <c r="T1116" t="s">
        <v>69</v>
      </c>
      <c r="U1116" t="s">
        <v>69</v>
      </c>
      <c r="V1116" t="s">
        <v>69</v>
      </c>
      <c r="W1116" t="s">
        <v>69</v>
      </c>
      <c r="X1116" t="s">
        <v>69</v>
      </c>
      <c r="Y1116" t="s">
        <v>29245</v>
      </c>
      <c r="Z1116" t="s">
        <v>29246</v>
      </c>
      <c r="AA1116" t="s">
        <v>7463</v>
      </c>
      <c r="AB1116" t="s">
        <v>29247</v>
      </c>
      <c r="AC1116" t="s">
        <v>69</v>
      </c>
      <c r="AD1116" t="s">
        <v>29248</v>
      </c>
      <c r="AE1116" t="s">
        <v>29249</v>
      </c>
      <c r="AF1116" t="s">
        <v>29250</v>
      </c>
      <c r="AG1116" t="s">
        <v>7464</v>
      </c>
      <c r="AH1116" t="s">
        <v>69</v>
      </c>
      <c r="AI1116" t="s">
        <v>69</v>
      </c>
      <c r="AJ1116" t="s">
        <v>69</v>
      </c>
      <c r="AK1116" t="s">
        <v>69</v>
      </c>
      <c r="AL1116">
        <v>42</v>
      </c>
      <c r="AM1116">
        <v>70</v>
      </c>
      <c r="AN1116">
        <v>72</v>
      </c>
      <c r="AO1116">
        <v>1</v>
      </c>
      <c r="AP1116">
        <v>60</v>
      </c>
      <c r="AQ1116" t="s">
        <v>8636</v>
      </c>
      <c r="AR1116" t="s">
        <v>8637</v>
      </c>
      <c r="AS1116" t="s">
        <v>8638</v>
      </c>
      <c r="AT1116" t="s">
        <v>1364</v>
      </c>
      <c r="AU1116" t="s">
        <v>69</v>
      </c>
      <c r="AV1116" t="s">
        <v>69</v>
      </c>
      <c r="AW1116" t="s">
        <v>9698</v>
      </c>
      <c r="AX1116" t="s">
        <v>9699</v>
      </c>
      <c r="AY1116" t="s">
        <v>586</v>
      </c>
      <c r="AZ1116">
        <v>2008</v>
      </c>
      <c r="BA1116">
        <v>11</v>
      </c>
      <c r="BB1116">
        <v>3</v>
      </c>
      <c r="BC1116" t="s">
        <v>69</v>
      </c>
      <c r="BD1116" t="s">
        <v>69</v>
      </c>
      <c r="BE1116" t="s">
        <v>69</v>
      </c>
      <c r="BF1116" t="s">
        <v>69</v>
      </c>
      <c r="BG1116">
        <v>204</v>
      </c>
      <c r="BH1116">
        <v>216</v>
      </c>
      <c r="BI1116" t="s">
        <v>69</v>
      </c>
      <c r="BJ1116" t="s">
        <v>7465</v>
      </c>
      <c r="BK1116" t="str">
        <f>HYPERLINK("http://dx.doi.org/10.1016/j.envsci.2007.07.005","http://dx.doi.org/10.1016/j.envsci.2007.07.005")</f>
        <v>http://dx.doi.org/10.1016/j.envsci.2007.07.005</v>
      </c>
      <c r="BL1116" t="s">
        <v>69</v>
      </c>
      <c r="BM1116" t="s">
        <v>69</v>
      </c>
      <c r="BN1116">
        <v>13</v>
      </c>
      <c r="BO1116" t="s">
        <v>8717</v>
      </c>
      <c r="BP1116" t="s">
        <v>8548</v>
      </c>
      <c r="BQ1116" t="s">
        <v>8662</v>
      </c>
      <c r="BR1116" t="s">
        <v>29251</v>
      </c>
      <c r="BS1116" t="s">
        <v>7466</v>
      </c>
      <c r="BT1116" t="s">
        <v>69</v>
      </c>
      <c r="BU1116" t="s">
        <v>69</v>
      </c>
      <c r="BV1116" t="s">
        <v>69</v>
      </c>
      <c r="BW1116" t="s">
        <v>69</v>
      </c>
      <c r="BX1116" t="s">
        <v>8526</v>
      </c>
      <c r="BY1116" t="str">
        <f>HYPERLINK("https%3A%2F%2Fwww.webofscience.com%2Fwos%2Fwoscc%2Ffull-record%2FWOS:000256172300002","View Full Record in Web of Science")</f>
        <v>View Full Record in Web of Science</v>
      </c>
    </row>
    <row r="1117" spans="1:77" ht="12.5" x14ac:dyDescent="0.25">
      <c r="A1117" t="s">
        <v>8495</v>
      </c>
      <c r="B1117" s="7" t="s">
        <v>32933</v>
      </c>
      <c r="C1117" s="7"/>
      <c r="D1117" s="7"/>
      <c r="E1117" s="7"/>
      <c r="F1117" t="s">
        <v>67</v>
      </c>
      <c r="G1117" t="s">
        <v>384</v>
      </c>
      <c r="H1117" t="s">
        <v>69</v>
      </c>
      <c r="I1117" t="s">
        <v>69</v>
      </c>
      <c r="J1117" t="s">
        <v>69</v>
      </c>
      <c r="K1117" t="s">
        <v>385</v>
      </c>
      <c r="L1117" t="s">
        <v>69</v>
      </c>
      <c r="M1117" t="s">
        <v>69</v>
      </c>
      <c r="N1117" t="s">
        <v>386</v>
      </c>
      <c r="O1117" t="s">
        <v>387</v>
      </c>
      <c r="P1117" t="s">
        <v>69</v>
      </c>
      <c r="Q1117" t="s">
        <v>69</v>
      </c>
      <c r="R1117" t="s">
        <v>8505</v>
      </c>
      <c r="S1117" t="s">
        <v>8506</v>
      </c>
      <c r="T1117" t="s">
        <v>69</v>
      </c>
      <c r="U1117" t="s">
        <v>69</v>
      </c>
      <c r="V1117" t="s">
        <v>69</v>
      </c>
      <c r="W1117" t="s">
        <v>69</v>
      </c>
      <c r="X1117" t="s">
        <v>69</v>
      </c>
      <c r="Y1117" t="s">
        <v>19330</v>
      </c>
      <c r="Z1117" t="s">
        <v>19331</v>
      </c>
      <c r="AA1117" t="s">
        <v>388</v>
      </c>
      <c r="AB1117" t="s">
        <v>19332</v>
      </c>
      <c r="AC1117" t="s">
        <v>69</v>
      </c>
      <c r="AD1117" t="s">
        <v>19333</v>
      </c>
      <c r="AE1117" t="s">
        <v>19334</v>
      </c>
      <c r="AF1117" t="s">
        <v>389</v>
      </c>
      <c r="AG1117" t="s">
        <v>69</v>
      </c>
      <c r="AH1117" t="s">
        <v>69</v>
      </c>
      <c r="AI1117" t="s">
        <v>69</v>
      </c>
      <c r="AJ1117" t="s">
        <v>69</v>
      </c>
      <c r="AK1117" t="s">
        <v>69</v>
      </c>
      <c r="AL1117">
        <v>34</v>
      </c>
      <c r="AM1117">
        <v>5</v>
      </c>
      <c r="AN1117">
        <v>5</v>
      </c>
      <c r="AO1117">
        <v>3</v>
      </c>
      <c r="AP1117">
        <v>16</v>
      </c>
      <c r="AQ1117" t="s">
        <v>8586</v>
      </c>
      <c r="AR1117" t="s">
        <v>8587</v>
      </c>
      <c r="AS1117" t="s">
        <v>8588</v>
      </c>
      <c r="AT1117" t="s">
        <v>390</v>
      </c>
      <c r="AU1117" t="s">
        <v>391</v>
      </c>
      <c r="AV1117" t="s">
        <v>69</v>
      </c>
      <c r="AW1117" t="s">
        <v>16996</v>
      </c>
      <c r="AX1117" t="s">
        <v>16997</v>
      </c>
      <c r="AY1117" t="s">
        <v>69</v>
      </c>
      <c r="AZ1117">
        <v>2018</v>
      </c>
      <c r="BA1117">
        <v>8</v>
      </c>
      <c r="BB1117">
        <v>5</v>
      </c>
      <c r="BC1117" t="s">
        <v>69</v>
      </c>
      <c r="BD1117" t="s">
        <v>69</v>
      </c>
      <c r="BE1117" t="s">
        <v>114</v>
      </c>
      <c r="BF1117" t="s">
        <v>69</v>
      </c>
      <c r="BG1117">
        <v>461</v>
      </c>
      <c r="BH1117">
        <v>476</v>
      </c>
      <c r="BI1117" t="s">
        <v>69</v>
      </c>
      <c r="BJ1117" t="s">
        <v>392</v>
      </c>
      <c r="BK1117" t="str">
        <f>HYPERLINK("http://dx.doi.org/10.1108/BEPAM-10-2017-0108","http://dx.doi.org/10.1108/BEPAM-10-2017-0108")</f>
        <v>http://dx.doi.org/10.1108/BEPAM-10-2017-0108</v>
      </c>
      <c r="BL1117" t="s">
        <v>69</v>
      </c>
      <c r="BM1117" t="s">
        <v>69</v>
      </c>
      <c r="BN1117">
        <v>16</v>
      </c>
      <c r="BO1117" t="s">
        <v>13537</v>
      </c>
      <c r="BP1117" t="s">
        <v>8573</v>
      </c>
      <c r="BQ1117" t="s">
        <v>8445</v>
      </c>
      <c r="BR1117" t="s">
        <v>19335</v>
      </c>
      <c r="BS1117" t="s">
        <v>393</v>
      </c>
      <c r="BT1117" t="s">
        <v>69</v>
      </c>
      <c r="BU1117" t="s">
        <v>69</v>
      </c>
      <c r="BV1117" t="s">
        <v>69</v>
      </c>
      <c r="BW1117" t="s">
        <v>69</v>
      </c>
      <c r="BX1117" t="s">
        <v>8526</v>
      </c>
      <c r="BY1117" t="str">
        <f>HYPERLINK("https%3A%2F%2Fwww.webofscience.com%2Fwos%2Fwoscc%2Ffull-record%2FWOS:000448529600003","View Full Record in Web of Science")</f>
        <v>View Full Record in Web of Science</v>
      </c>
    </row>
    <row r="1118" spans="1:77" ht="12.5" x14ac:dyDescent="0.25">
      <c r="A1118" t="s">
        <v>8495</v>
      </c>
      <c r="B1118" s="7" t="s">
        <v>32933</v>
      </c>
      <c r="C1118" s="7"/>
      <c r="D1118" s="7"/>
      <c r="E1118" s="7"/>
      <c r="F1118" t="s">
        <v>67</v>
      </c>
      <c r="G1118" t="s">
        <v>7146</v>
      </c>
      <c r="H1118" t="s">
        <v>69</v>
      </c>
      <c r="I1118" t="s">
        <v>69</v>
      </c>
      <c r="J1118" t="s">
        <v>69</v>
      </c>
      <c r="K1118" t="s">
        <v>7147</v>
      </c>
      <c r="L1118" t="s">
        <v>69</v>
      </c>
      <c r="M1118" t="s">
        <v>69</v>
      </c>
      <c r="N1118" t="s">
        <v>7148</v>
      </c>
      <c r="O1118" t="s">
        <v>3274</v>
      </c>
      <c r="P1118" t="s">
        <v>69</v>
      </c>
      <c r="Q1118" t="s">
        <v>69</v>
      </c>
      <c r="R1118" t="s">
        <v>8505</v>
      </c>
      <c r="S1118" t="s">
        <v>8506</v>
      </c>
      <c r="T1118" t="s">
        <v>69</v>
      </c>
      <c r="U1118" t="s">
        <v>69</v>
      </c>
      <c r="V1118" t="s">
        <v>69</v>
      </c>
      <c r="W1118" t="s">
        <v>69</v>
      </c>
      <c r="X1118" t="s">
        <v>69</v>
      </c>
      <c r="Y1118" t="s">
        <v>29212</v>
      </c>
      <c r="Z1118" t="s">
        <v>29213</v>
      </c>
      <c r="AA1118" t="s">
        <v>7149</v>
      </c>
      <c r="AB1118" t="s">
        <v>29214</v>
      </c>
      <c r="AC1118" t="s">
        <v>69</v>
      </c>
      <c r="AD1118" t="s">
        <v>29215</v>
      </c>
      <c r="AE1118" t="s">
        <v>29216</v>
      </c>
      <c r="AF1118" t="s">
        <v>69</v>
      </c>
      <c r="AG1118" t="s">
        <v>69</v>
      </c>
      <c r="AH1118" t="s">
        <v>69</v>
      </c>
      <c r="AI1118" t="s">
        <v>69</v>
      </c>
      <c r="AJ1118" t="s">
        <v>69</v>
      </c>
      <c r="AK1118" t="s">
        <v>69</v>
      </c>
      <c r="AL1118">
        <v>15</v>
      </c>
      <c r="AM1118">
        <v>38</v>
      </c>
      <c r="AN1118">
        <v>41</v>
      </c>
      <c r="AO1118">
        <v>2</v>
      </c>
      <c r="AP1118">
        <v>28</v>
      </c>
      <c r="AQ1118" t="s">
        <v>8516</v>
      </c>
      <c r="AR1118" t="s">
        <v>8517</v>
      </c>
      <c r="AS1118" t="s">
        <v>8518</v>
      </c>
      <c r="AT1118" t="s">
        <v>3276</v>
      </c>
      <c r="AU1118" t="s">
        <v>3277</v>
      </c>
      <c r="AV1118" t="s">
        <v>69</v>
      </c>
      <c r="AW1118" t="s">
        <v>24546</v>
      </c>
      <c r="AX1118" t="s">
        <v>24547</v>
      </c>
      <c r="AY1118" t="s">
        <v>5150</v>
      </c>
      <c r="AZ1118">
        <v>2008</v>
      </c>
      <c r="BA1118">
        <v>154</v>
      </c>
      <c r="BB1118" t="s">
        <v>4219</v>
      </c>
      <c r="BC1118" t="s">
        <v>69</v>
      </c>
      <c r="BD1118" t="s">
        <v>69</v>
      </c>
      <c r="BE1118" t="s">
        <v>69</v>
      </c>
      <c r="BF1118" t="s">
        <v>69</v>
      </c>
      <c r="BG1118">
        <v>1198</v>
      </c>
      <c r="BH1118">
        <v>1209</v>
      </c>
      <c r="BI1118" t="s">
        <v>69</v>
      </c>
      <c r="BJ1118" t="s">
        <v>7150</v>
      </c>
      <c r="BK1118" t="str">
        <f>HYPERLINK("http://dx.doi.org/10.1016/j.jhazmat.2007.11.053","http://dx.doi.org/10.1016/j.jhazmat.2007.11.053")</f>
        <v>http://dx.doi.org/10.1016/j.jhazmat.2007.11.053</v>
      </c>
      <c r="BL1118" t="s">
        <v>69</v>
      </c>
      <c r="BM1118" t="s">
        <v>69</v>
      </c>
      <c r="BN1118">
        <v>12</v>
      </c>
      <c r="BO1118" t="s">
        <v>8743</v>
      </c>
      <c r="BP1118" t="s">
        <v>8548</v>
      </c>
      <c r="BQ1118" t="s">
        <v>8744</v>
      </c>
      <c r="BR1118" t="s">
        <v>29217</v>
      </c>
      <c r="BS1118" t="s">
        <v>7151</v>
      </c>
      <c r="BT1118">
        <v>18162306</v>
      </c>
      <c r="BU1118" t="s">
        <v>69</v>
      </c>
      <c r="BV1118" t="s">
        <v>69</v>
      </c>
      <c r="BW1118" t="s">
        <v>69</v>
      </c>
      <c r="BX1118" t="s">
        <v>8526</v>
      </c>
      <c r="BY1118" t="str">
        <f>HYPERLINK("https%3A%2F%2Fwww.webofscience.com%2Fwos%2Fwoscc%2Ffull-record%2FWOS:000256111200151","View Full Record in Web of Science")</f>
        <v>View Full Record in Web of Science</v>
      </c>
    </row>
    <row r="1119" spans="1:77" ht="12.5" x14ac:dyDescent="0.25">
      <c r="A1119" t="s">
        <v>8495</v>
      </c>
      <c r="B1119" s="7" t="s">
        <v>32933</v>
      </c>
      <c r="C1119" s="7"/>
      <c r="D1119" s="7"/>
      <c r="E1119" s="7"/>
      <c r="F1119" t="s">
        <v>67</v>
      </c>
      <c r="G1119" t="s">
        <v>7215</v>
      </c>
      <c r="H1119" t="s">
        <v>69</v>
      </c>
      <c r="I1119" t="s">
        <v>69</v>
      </c>
      <c r="J1119" t="s">
        <v>69</v>
      </c>
      <c r="K1119" t="s">
        <v>7216</v>
      </c>
      <c r="L1119" t="s">
        <v>69</v>
      </c>
      <c r="M1119" t="s">
        <v>69</v>
      </c>
      <c r="N1119" t="s">
        <v>7217</v>
      </c>
      <c r="O1119" t="s">
        <v>7218</v>
      </c>
      <c r="P1119" t="s">
        <v>69</v>
      </c>
      <c r="Q1119" t="s">
        <v>69</v>
      </c>
      <c r="R1119" t="s">
        <v>9357</v>
      </c>
      <c r="S1119" t="s">
        <v>8506</v>
      </c>
      <c r="T1119" t="s">
        <v>69</v>
      </c>
      <c r="U1119" t="s">
        <v>69</v>
      </c>
      <c r="V1119" t="s">
        <v>69</v>
      </c>
      <c r="W1119" t="s">
        <v>69</v>
      </c>
      <c r="X1119" t="s">
        <v>69</v>
      </c>
      <c r="Y1119" t="s">
        <v>21014</v>
      </c>
      <c r="Z1119" t="s">
        <v>69</v>
      </c>
      <c r="AA1119" t="s">
        <v>7219</v>
      </c>
      <c r="AB1119" t="s">
        <v>21015</v>
      </c>
      <c r="AC1119" t="s">
        <v>69</v>
      </c>
      <c r="AD1119" t="s">
        <v>21016</v>
      </c>
      <c r="AE1119" t="s">
        <v>21017</v>
      </c>
      <c r="AF1119" t="s">
        <v>69</v>
      </c>
      <c r="AG1119" t="s">
        <v>69</v>
      </c>
      <c r="AH1119" t="s">
        <v>69</v>
      </c>
      <c r="AI1119" t="s">
        <v>69</v>
      </c>
      <c r="AJ1119" t="s">
        <v>69</v>
      </c>
      <c r="AK1119" t="s">
        <v>69</v>
      </c>
      <c r="AL1119">
        <v>5</v>
      </c>
      <c r="AM1119">
        <v>0</v>
      </c>
      <c r="AN1119">
        <v>0</v>
      </c>
      <c r="AO1119">
        <v>0</v>
      </c>
      <c r="AP1119">
        <v>2</v>
      </c>
      <c r="AQ1119" t="s">
        <v>21018</v>
      </c>
      <c r="AR1119" t="s">
        <v>9367</v>
      </c>
      <c r="AS1119" t="s">
        <v>21019</v>
      </c>
      <c r="AT1119" t="s">
        <v>7220</v>
      </c>
      <c r="AU1119" t="s">
        <v>7221</v>
      </c>
      <c r="AV1119" t="s">
        <v>69</v>
      </c>
      <c r="AW1119" t="s">
        <v>21020</v>
      </c>
      <c r="AX1119" t="s">
        <v>21021</v>
      </c>
      <c r="AY1119" t="s">
        <v>69</v>
      </c>
      <c r="AZ1119">
        <v>2017</v>
      </c>
      <c r="BA1119">
        <v>8</v>
      </c>
      <c r="BB1119">
        <v>1</v>
      </c>
      <c r="BC1119" t="s">
        <v>69</v>
      </c>
      <c r="BD1119" t="s">
        <v>69</v>
      </c>
      <c r="BE1119" t="s">
        <v>69</v>
      </c>
      <c r="BF1119" t="s">
        <v>69</v>
      </c>
      <c r="BG1119">
        <v>104</v>
      </c>
      <c r="BH1119">
        <v>122</v>
      </c>
      <c r="BI1119" t="s">
        <v>69</v>
      </c>
      <c r="BJ1119" t="s">
        <v>7222</v>
      </c>
      <c r="BK1119" t="str">
        <f>HYPERLINK("http://dx.doi.org/10.18611/2221-3279-2017-8-1-104-122","http://dx.doi.org/10.18611/2221-3279-2017-8-1-104-122")</f>
        <v>http://dx.doi.org/10.18611/2221-3279-2017-8-1-104-122</v>
      </c>
      <c r="BL1119" t="s">
        <v>69</v>
      </c>
      <c r="BM1119" t="s">
        <v>69</v>
      </c>
      <c r="BN1119">
        <v>19</v>
      </c>
      <c r="BO1119" t="s">
        <v>13241</v>
      </c>
      <c r="BP1119" t="s">
        <v>8573</v>
      </c>
      <c r="BQ1119" t="s">
        <v>10084</v>
      </c>
      <c r="BR1119" t="s">
        <v>21022</v>
      </c>
      <c r="BS1119" t="s">
        <v>7223</v>
      </c>
      <c r="BT1119" t="s">
        <v>69</v>
      </c>
      <c r="BU1119" t="s">
        <v>8931</v>
      </c>
      <c r="BV1119" t="s">
        <v>69</v>
      </c>
      <c r="BW1119" t="s">
        <v>69</v>
      </c>
      <c r="BX1119" t="s">
        <v>8526</v>
      </c>
      <c r="BY1119" t="str">
        <f>HYPERLINK("https%3A%2F%2Fwww.webofscience.com%2Fwos%2Fwoscc%2Ffull-record%2FWOS:000391287600008","View Full Record in Web of Science")</f>
        <v>View Full Record in Web of Science</v>
      </c>
    </row>
    <row r="1120" spans="1:77" ht="12.5" x14ac:dyDescent="0.25">
      <c r="A1120" t="s">
        <v>8495</v>
      </c>
      <c r="B1120" s="7" t="s">
        <v>32933</v>
      </c>
      <c r="C1120" s="7"/>
      <c r="D1120" s="7"/>
      <c r="E1120" s="7"/>
      <c r="F1120" t="s">
        <v>67</v>
      </c>
      <c r="G1120" t="s">
        <v>656</v>
      </c>
      <c r="H1120" t="s">
        <v>69</v>
      </c>
      <c r="I1120" t="s">
        <v>69</v>
      </c>
      <c r="J1120" t="s">
        <v>69</v>
      </c>
      <c r="K1120" t="s">
        <v>657</v>
      </c>
      <c r="L1120" t="s">
        <v>69</v>
      </c>
      <c r="M1120" t="s">
        <v>69</v>
      </c>
      <c r="N1120" s="3" t="s">
        <v>658</v>
      </c>
      <c r="O1120" t="s">
        <v>659</v>
      </c>
      <c r="P1120" t="s">
        <v>69</v>
      </c>
      <c r="Q1120" t="s">
        <v>69</v>
      </c>
      <c r="R1120" t="s">
        <v>8505</v>
      </c>
      <c r="S1120" t="s">
        <v>8506</v>
      </c>
      <c r="T1120" t="s">
        <v>69</v>
      </c>
      <c r="U1120" t="s">
        <v>69</v>
      </c>
      <c r="V1120" t="s">
        <v>69</v>
      </c>
      <c r="W1120" t="s">
        <v>69</v>
      </c>
      <c r="X1120" t="s">
        <v>69</v>
      </c>
      <c r="Y1120" t="s">
        <v>18297</v>
      </c>
      <c r="Z1120" t="s">
        <v>18298</v>
      </c>
      <c r="AA1120" t="s">
        <v>660</v>
      </c>
      <c r="AB1120" t="s">
        <v>18299</v>
      </c>
      <c r="AC1120" t="s">
        <v>69</v>
      </c>
      <c r="AD1120" t="s">
        <v>18300</v>
      </c>
      <c r="AE1120" t="s">
        <v>18301</v>
      </c>
      <c r="AF1120" t="s">
        <v>18302</v>
      </c>
      <c r="AG1120" t="s">
        <v>69</v>
      </c>
      <c r="AH1120" t="s">
        <v>18303</v>
      </c>
      <c r="AI1120" t="s">
        <v>18303</v>
      </c>
      <c r="AJ1120" t="s">
        <v>18304</v>
      </c>
      <c r="AK1120" t="s">
        <v>69</v>
      </c>
      <c r="AL1120">
        <v>88</v>
      </c>
      <c r="AM1120">
        <v>18</v>
      </c>
      <c r="AN1120">
        <v>18</v>
      </c>
      <c r="AO1120">
        <v>1</v>
      </c>
      <c r="AP1120">
        <v>18</v>
      </c>
      <c r="AQ1120" t="s">
        <v>9145</v>
      </c>
      <c r="AR1120" t="s">
        <v>8637</v>
      </c>
      <c r="AS1120" t="s">
        <v>9146</v>
      </c>
      <c r="AT1120" t="s">
        <v>661</v>
      </c>
      <c r="AU1120" t="s">
        <v>18305</v>
      </c>
      <c r="AV1120" t="s">
        <v>69</v>
      </c>
      <c r="AW1120" t="s">
        <v>18306</v>
      </c>
      <c r="AX1120" t="s">
        <v>18307</v>
      </c>
      <c r="AY1120" t="s">
        <v>381</v>
      </c>
      <c r="AZ1120">
        <v>2018</v>
      </c>
      <c r="BA1120">
        <v>63</v>
      </c>
      <c r="BB1120" t="s">
        <v>69</v>
      </c>
      <c r="BC1120" t="s">
        <v>69</v>
      </c>
      <c r="BD1120" t="s">
        <v>69</v>
      </c>
      <c r="BE1120" t="s">
        <v>69</v>
      </c>
      <c r="BF1120" t="s">
        <v>69</v>
      </c>
      <c r="BG1120">
        <v>83</v>
      </c>
      <c r="BH1120">
        <v>95</v>
      </c>
      <c r="BI1120" t="s">
        <v>69</v>
      </c>
      <c r="BJ1120" t="s">
        <v>662</v>
      </c>
      <c r="BK1120" t="str">
        <f>HYPERLINK("http://dx.doi.org/10.1016/j.jrurstud.2018.09.002","http://dx.doi.org/10.1016/j.jrurstud.2018.09.002")</f>
        <v>http://dx.doi.org/10.1016/j.jrurstud.2018.09.002</v>
      </c>
      <c r="BL1120" t="s">
        <v>69</v>
      </c>
      <c r="BM1120" t="s">
        <v>69</v>
      </c>
      <c r="BN1120">
        <v>13</v>
      </c>
      <c r="BO1120" t="s">
        <v>18308</v>
      </c>
      <c r="BP1120" t="s">
        <v>8661</v>
      </c>
      <c r="BQ1120" t="s">
        <v>18309</v>
      </c>
      <c r="BR1120" t="s">
        <v>18310</v>
      </c>
      <c r="BS1120" t="s">
        <v>663</v>
      </c>
      <c r="BT1120" t="s">
        <v>69</v>
      </c>
      <c r="BU1120" t="s">
        <v>8622</v>
      </c>
      <c r="BV1120" t="s">
        <v>69</v>
      </c>
      <c r="BW1120" t="s">
        <v>69</v>
      </c>
      <c r="BX1120" t="s">
        <v>8526</v>
      </c>
      <c r="BY1120" t="str">
        <f>HYPERLINK("https%3A%2F%2Fwww.webofscience.com%2Fwos%2Fwoscc%2Ffull-record%2FWOS:000448097500009","View Full Record in Web of Science")</f>
        <v>View Full Record in Web of Science</v>
      </c>
    </row>
    <row r="1121" spans="1:77" ht="12.5" x14ac:dyDescent="0.25">
      <c r="A1121" t="s">
        <v>8495</v>
      </c>
      <c r="B1121" s="22" t="s">
        <v>32931</v>
      </c>
      <c r="C1121" s="7"/>
      <c r="D1121" s="7"/>
      <c r="E1121" s="7"/>
      <c r="F1121" t="s">
        <v>67</v>
      </c>
      <c r="G1121" t="s">
        <v>24625</v>
      </c>
      <c r="H1121" t="s">
        <v>69</v>
      </c>
      <c r="I1121" t="s">
        <v>69</v>
      </c>
      <c r="J1121" t="s">
        <v>69</v>
      </c>
      <c r="K1121" t="s">
        <v>24626</v>
      </c>
      <c r="L1121" t="s">
        <v>69</v>
      </c>
      <c r="M1121" t="s">
        <v>69</v>
      </c>
      <c r="N1121" t="s">
        <v>24627</v>
      </c>
      <c r="O1121" t="s">
        <v>24628</v>
      </c>
      <c r="P1121" t="s">
        <v>69</v>
      </c>
      <c r="Q1121" t="s">
        <v>69</v>
      </c>
      <c r="R1121" t="s">
        <v>8505</v>
      </c>
      <c r="S1121" t="s">
        <v>8506</v>
      </c>
      <c r="T1121" t="s">
        <v>69</v>
      </c>
      <c r="U1121" t="s">
        <v>69</v>
      </c>
      <c r="V1121" t="s">
        <v>69</v>
      </c>
      <c r="W1121" t="s">
        <v>69</v>
      </c>
      <c r="X1121" t="s">
        <v>69</v>
      </c>
      <c r="Y1121" t="s">
        <v>24629</v>
      </c>
      <c r="Z1121" t="s">
        <v>24630</v>
      </c>
      <c r="AA1121" t="s">
        <v>24631</v>
      </c>
      <c r="AB1121" t="s">
        <v>24632</v>
      </c>
      <c r="AC1121" t="s">
        <v>69</v>
      </c>
      <c r="AD1121" t="s">
        <v>24633</v>
      </c>
      <c r="AE1121" t="s">
        <v>24634</v>
      </c>
      <c r="AF1121" t="s">
        <v>24635</v>
      </c>
      <c r="AG1121" t="s">
        <v>69</v>
      </c>
      <c r="AH1121" t="s">
        <v>69</v>
      </c>
      <c r="AI1121" t="s">
        <v>69</v>
      </c>
      <c r="AJ1121" t="s">
        <v>69</v>
      </c>
      <c r="AK1121" t="s">
        <v>69</v>
      </c>
      <c r="AL1121">
        <v>9</v>
      </c>
      <c r="AM1121">
        <v>0</v>
      </c>
      <c r="AN1121">
        <v>0</v>
      </c>
      <c r="AO1121">
        <v>0</v>
      </c>
      <c r="AP1121">
        <v>0</v>
      </c>
      <c r="AQ1121" t="s">
        <v>24636</v>
      </c>
      <c r="AR1121" t="s">
        <v>24637</v>
      </c>
      <c r="AS1121" t="s">
        <v>24638</v>
      </c>
      <c r="AT1121" t="s">
        <v>24639</v>
      </c>
      <c r="AU1121" t="s">
        <v>24640</v>
      </c>
      <c r="AV1121" t="s">
        <v>69</v>
      </c>
      <c r="AW1121" t="s">
        <v>24641</v>
      </c>
      <c r="AX1121" t="s">
        <v>24642</v>
      </c>
      <c r="AY1121" t="s">
        <v>24643</v>
      </c>
      <c r="AZ1121">
        <v>2013</v>
      </c>
      <c r="BA1121">
        <v>2</v>
      </c>
      <c r="BB1121">
        <v>42</v>
      </c>
      <c r="BC1121" t="s">
        <v>69</v>
      </c>
      <c r="BD1121" t="s">
        <v>69</v>
      </c>
      <c r="BE1121" t="s">
        <v>69</v>
      </c>
      <c r="BF1121" t="s">
        <v>69</v>
      </c>
      <c r="BG1121">
        <v>8079</v>
      </c>
      <c r="BH1121">
        <v>8084</v>
      </c>
      <c r="BI1121" t="s">
        <v>69</v>
      </c>
      <c r="BJ1121" t="s">
        <v>24644</v>
      </c>
      <c r="BK1121" t="str">
        <f>HYPERLINK("http://dx.doi.org/10.14260/jemds/1423","http://dx.doi.org/10.14260/jemds/1423")</f>
        <v>http://dx.doi.org/10.14260/jemds/1423</v>
      </c>
      <c r="BL1121" t="s">
        <v>69</v>
      </c>
      <c r="BM1121" t="s">
        <v>69</v>
      </c>
      <c r="BN1121">
        <v>6</v>
      </c>
      <c r="BO1121" t="s">
        <v>9450</v>
      </c>
      <c r="BP1121" t="s">
        <v>8573</v>
      </c>
      <c r="BQ1121" t="s">
        <v>9451</v>
      </c>
      <c r="BR1121" t="s">
        <v>24645</v>
      </c>
      <c r="BS1121" t="s">
        <v>24646</v>
      </c>
      <c r="BT1121" t="s">
        <v>69</v>
      </c>
      <c r="BU1121" t="s">
        <v>9374</v>
      </c>
      <c r="BV1121" t="s">
        <v>69</v>
      </c>
      <c r="BW1121" t="s">
        <v>69</v>
      </c>
      <c r="BX1121" t="s">
        <v>8526</v>
      </c>
      <c r="BY1121" t="str">
        <f>HYPERLINK("https%3A%2F%2Fwww.webofscience.com%2Fwos%2Fwoscc%2Ffull-record%2FWOS:000219001000013","View Full Record in Web of Science")</f>
        <v>View Full Record in Web of Science</v>
      </c>
    </row>
    <row r="1122" spans="1:77" ht="12.5" x14ac:dyDescent="0.25">
      <c r="A1122" t="s">
        <v>8495</v>
      </c>
      <c r="B1122" s="22" t="s">
        <v>32931</v>
      </c>
      <c r="C1122" s="7"/>
      <c r="D1122" s="7"/>
      <c r="E1122" s="7"/>
      <c r="F1122" t="s">
        <v>67</v>
      </c>
      <c r="G1122" t="s">
        <v>29907</v>
      </c>
      <c r="H1122" t="s">
        <v>69</v>
      </c>
      <c r="I1122" t="s">
        <v>69</v>
      </c>
      <c r="J1122" t="s">
        <v>69</v>
      </c>
      <c r="K1122" t="s">
        <v>29908</v>
      </c>
      <c r="L1122" t="s">
        <v>69</v>
      </c>
      <c r="M1122" t="s">
        <v>69</v>
      </c>
      <c r="N1122" t="s">
        <v>29909</v>
      </c>
      <c r="O1122" t="s">
        <v>29910</v>
      </c>
      <c r="P1122" t="s">
        <v>69</v>
      </c>
      <c r="Q1122" t="s">
        <v>69</v>
      </c>
      <c r="R1122" t="s">
        <v>8505</v>
      </c>
      <c r="S1122" t="s">
        <v>8506</v>
      </c>
      <c r="T1122" t="s">
        <v>69</v>
      </c>
      <c r="U1122" t="s">
        <v>69</v>
      </c>
      <c r="V1122" t="s">
        <v>69</v>
      </c>
      <c r="W1122" t="s">
        <v>69</v>
      </c>
      <c r="X1122" t="s">
        <v>69</v>
      </c>
      <c r="Y1122" t="s">
        <v>69</v>
      </c>
      <c r="Z1122" t="s">
        <v>69</v>
      </c>
      <c r="AA1122" t="s">
        <v>29911</v>
      </c>
      <c r="AB1122" t="s">
        <v>29912</v>
      </c>
      <c r="AC1122" t="s">
        <v>69</v>
      </c>
      <c r="AD1122" t="s">
        <v>29913</v>
      </c>
      <c r="AE1122" t="s">
        <v>29914</v>
      </c>
      <c r="AF1122" t="s">
        <v>69</v>
      </c>
      <c r="AG1122" t="s">
        <v>69</v>
      </c>
      <c r="AH1122" t="s">
        <v>69</v>
      </c>
      <c r="AI1122" t="s">
        <v>69</v>
      </c>
      <c r="AJ1122" t="s">
        <v>69</v>
      </c>
      <c r="AK1122" t="s">
        <v>69</v>
      </c>
      <c r="AL1122">
        <v>18</v>
      </c>
      <c r="AM1122">
        <v>0</v>
      </c>
      <c r="AN1122">
        <v>0</v>
      </c>
      <c r="AO1122">
        <v>0</v>
      </c>
      <c r="AP1122">
        <v>0</v>
      </c>
      <c r="AQ1122" t="s">
        <v>29915</v>
      </c>
      <c r="AR1122" t="s">
        <v>29916</v>
      </c>
      <c r="AS1122" t="s">
        <v>29917</v>
      </c>
      <c r="AT1122" t="s">
        <v>29918</v>
      </c>
      <c r="AU1122" t="s">
        <v>69</v>
      </c>
      <c r="AV1122" t="s">
        <v>69</v>
      </c>
      <c r="AW1122" t="s">
        <v>29919</v>
      </c>
      <c r="AX1122" t="s">
        <v>29920</v>
      </c>
      <c r="AY1122" t="s">
        <v>69</v>
      </c>
      <c r="AZ1122">
        <v>2007</v>
      </c>
      <c r="BA1122">
        <v>2</v>
      </c>
      <c r="BB1122">
        <v>4</v>
      </c>
      <c r="BC1122" t="s">
        <v>69</v>
      </c>
      <c r="BD1122" t="s">
        <v>69</v>
      </c>
      <c r="BE1122" t="s">
        <v>69</v>
      </c>
      <c r="BF1122" t="s">
        <v>69</v>
      </c>
      <c r="BG1122">
        <v>95</v>
      </c>
      <c r="BH1122">
        <v>103</v>
      </c>
      <c r="BI1122" t="s">
        <v>69</v>
      </c>
      <c r="BJ1122" t="s">
        <v>29921</v>
      </c>
      <c r="BK1122" t="str">
        <f>HYPERLINK("http://dx.doi.org/10.18438/B8J59V","http://dx.doi.org/10.18438/B8J59V")</f>
        <v>http://dx.doi.org/10.18438/B8J59V</v>
      </c>
      <c r="BL1122" t="s">
        <v>69</v>
      </c>
      <c r="BM1122" t="s">
        <v>69</v>
      </c>
      <c r="BN1122">
        <v>9</v>
      </c>
      <c r="BO1122" t="s">
        <v>11010</v>
      </c>
      <c r="BP1122" t="s">
        <v>8573</v>
      </c>
      <c r="BQ1122" t="s">
        <v>11010</v>
      </c>
      <c r="BR1122" t="s">
        <v>29922</v>
      </c>
      <c r="BS1122" t="s">
        <v>29923</v>
      </c>
      <c r="BT1122" t="s">
        <v>69</v>
      </c>
      <c r="BU1122" t="s">
        <v>8812</v>
      </c>
      <c r="BV1122" t="s">
        <v>69</v>
      </c>
      <c r="BW1122" t="s">
        <v>69</v>
      </c>
      <c r="BX1122" t="s">
        <v>8526</v>
      </c>
      <c r="BY1122" t="str">
        <f>HYPERLINK("https%3A%2F%2Fwww.webofscience.com%2Fwos%2Fwoscc%2Ffull-record%2FWOS:000214743500017","View Full Record in Web of Science")</f>
        <v>View Full Record in Web of Science</v>
      </c>
    </row>
    <row r="1123" spans="1:77" ht="12.5" x14ac:dyDescent="0.25">
      <c r="A1123" t="s">
        <v>8495</v>
      </c>
      <c r="B1123" s="7" t="s">
        <v>32933</v>
      </c>
      <c r="C1123" s="7"/>
      <c r="D1123" s="7"/>
      <c r="E1123" s="7"/>
      <c r="F1123" t="s">
        <v>67</v>
      </c>
      <c r="G1123" t="s">
        <v>6162</v>
      </c>
      <c r="H1123" t="s">
        <v>69</v>
      </c>
      <c r="I1123" t="s">
        <v>69</v>
      </c>
      <c r="J1123" t="s">
        <v>69</v>
      </c>
      <c r="K1123" t="s">
        <v>6163</v>
      </c>
      <c r="L1123" t="s">
        <v>69</v>
      </c>
      <c r="M1123" t="s">
        <v>69</v>
      </c>
      <c r="N1123" t="s">
        <v>6164</v>
      </c>
      <c r="O1123" t="s">
        <v>3208</v>
      </c>
      <c r="P1123" t="s">
        <v>69</v>
      </c>
      <c r="Q1123" t="s">
        <v>69</v>
      </c>
      <c r="R1123" t="s">
        <v>12534</v>
      </c>
      <c r="S1123" t="s">
        <v>8506</v>
      </c>
      <c r="T1123" t="s">
        <v>69</v>
      </c>
      <c r="U1123" t="s">
        <v>69</v>
      </c>
      <c r="V1123" t="s">
        <v>69</v>
      </c>
      <c r="W1123" t="s">
        <v>69</v>
      </c>
      <c r="X1123" t="s">
        <v>69</v>
      </c>
      <c r="Y1123" t="s">
        <v>26253</v>
      </c>
      <c r="Z1123" t="s">
        <v>69</v>
      </c>
      <c r="AA1123" t="s">
        <v>6165</v>
      </c>
      <c r="AB1123" t="s">
        <v>26254</v>
      </c>
      <c r="AC1123" t="s">
        <v>69</v>
      </c>
      <c r="AD1123" t="s">
        <v>26255</v>
      </c>
      <c r="AE1123" t="s">
        <v>26256</v>
      </c>
      <c r="AF1123" t="s">
        <v>69</v>
      </c>
      <c r="AG1123" t="s">
        <v>69</v>
      </c>
      <c r="AH1123" t="s">
        <v>69</v>
      </c>
      <c r="AI1123" t="s">
        <v>69</v>
      </c>
      <c r="AJ1123" t="s">
        <v>69</v>
      </c>
      <c r="AK1123" t="s">
        <v>69</v>
      </c>
      <c r="AL1123">
        <v>15</v>
      </c>
      <c r="AM1123">
        <v>5</v>
      </c>
      <c r="AN1123">
        <v>5</v>
      </c>
      <c r="AO1123">
        <v>0</v>
      </c>
      <c r="AP1123">
        <v>1</v>
      </c>
      <c r="AQ1123" t="s">
        <v>17695</v>
      </c>
      <c r="AR1123" t="s">
        <v>12737</v>
      </c>
      <c r="AS1123" t="s">
        <v>17696</v>
      </c>
      <c r="AT1123" t="s">
        <v>3210</v>
      </c>
      <c r="AU1123" t="s">
        <v>69</v>
      </c>
      <c r="AV1123" t="s">
        <v>69</v>
      </c>
      <c r="AW1123" t="s">
        <v>17697</v>
      </c>
      <c r="AX1123" t="s">
        <v>17697</v>
      </c>
      <c r="AY1123" t="s">
        <v>69</v>
      </c>
      <c r="AZ1123">
        <v>2012</v>
      </c>
      <c r="BA1123">
        <v>21</v>
      </c>
      <c r="BB1123">
        <v>4</v>
      </c>
      <c r="BC1123" t="s">
        <v>69</v>
      </c>
      <c r="BD1123" t="s">
        <v>69</v>
      </c>
      <c r="BE1123" t="s">
        <v>69</v>
      </c>
      <c r="BF1123" t="s">
        <v>69</v>
      </c>
      <c r="BG1123">
        <v>290</v>
      </c>
      <c r="BH1123">
        <v>299</v>
      </c>
      <c r="BI1123" t="s">
        <v>69</v>
      </c>
      <c r="BJ1123" t="s">
        <v>6166</v>
      </c>
      <c r="BK1123" t="str">
        <f>HYPERLINK("http://dx.doi.org/10.14512/gaia.21.4.14","http://dx.doi.org/10.14512/gaia.21.4.14")</f>
        <v>http://dx.doi.org/10.14512/gaia.21.4.14</v>
      </c>
      <c r="BL1123" t="s">
        <v>69</v>
      </c>
      <c r="BM1123" t="s">
        <v>69</v>
      </c>
      <c r="BN1123">
        <v>10</v>
      </c>
      <c r="BO1123" t="s">
        <v>11791</v>
      </c>
      <c r="BP1123" t="s">
        <v>8523</v>
      </c>
      <c r="BQ1123" t="s">
        <v>8662</v>
      </c>
      <c r="BR1123" t="s">
        <v>26257</v>
      </c>
      <c r="BS1123" t="s">
        <v>6167</v>
      </c>
      <c r="BT1123" t="s">
        <v>69</v>
      </c>
      <c r="BU1123" t="s">
        <v>69</v>
      </c>
      <c r="BV1123" t="s">
        <v>69</v>
      </c>
      <c r="BW1123" t="s">
        <v>69</v>
      </c>
      <c r="BX1123" t="s">
        <v>8526</v>
      </c>
      <c r="BY1123" t="str">
        <f>HYPERLINK("https%3A%2F%2Fwww.webofscience.com%2Fwos%2Fwoscc%2Ffull-record%2FWOS:000312823400012","View Full Record in Web of Science")</f>
        <v>View Full Record in Web of Science</v>
      </c>
    </row>
    <row r="1124" spans="1:77" x14ac:dyDescent="0.3">
      <c r="A1124" t="s">
        <v>8495</v>
      </c>
      <c r="B1124" s="9" t="s">
        <v>32954</v>
      </c>
      <c r="C1124" s="9" t="s">
        <v>33152</v>
      </c>
      <c r="D1124" s="9" t="s">
        <v>8491</v>
      </c>
      <c r="E1124" s="9" t="s">
        <v>8490</v>
      </c>
      <c r="F1124" t="s">
        <v>67</v>
      </c>
      <c r="G1124" t="s">
        <v>23506</v>
      </c>
      <c r="H1124" t="s">
        <v>69</v>
      </c>
      <c r="I1124" t="s">
        <v>69</v>
      </c>
      <c r="J1124" t="s">
        <v>69</v>
      </c>
      <c r="K1124" t="s">
        <v>23507</v>
      </c>
      <c r="L1124" t="s">
        <v>69</v>
      </c>
      <c r="M1124" t="s">
        <v>69</v>
      </c>
      <c r="N1124" t="s">
        <v>23508</v>
      </c>
      <c r="O1124" t="s">
        <v>1128</v>
      </c>
      <c r="P1124" t="s">
        <v>69</v>
      </c>
      <c r="Q1124" t="s">
        <v>69</v>
      </c>
      <c r="R1124" t="s">
        <v>8505</v>
      </c>
      <c r="S1124" t="s">
        <v>8506</v>
      </c>
      <c r="T1124" t="s">
        <v>69</v>
      </c>
      <c r="U1124" t="s">
        <v>69</v>
      </c>
      <c r="V1124" t="s">
        <v>69</v>
      </c>
      <c r="W1124" t="s">
        <v>69</v>
      </c>
      <c r="X1124" t="s">
        <v>69</v>
      </c>
      <c r="Y1124" t="s">
        <v>23509</v>
      </c>
      <c r="Z1124" t="s">
        <v>23510</v>
      </c>
      <c r="AA1124" t="s">
        <v>23511</v>
      </c>
      <c r="AB1124" t="s">
        <v>23512</v>
      </c>
      <c r="AC1124" t="s">
        <v>69</v>
      </c>
      <c r="AD1124" t="s">
        <v>23513</v>
      </c>
      <c r="AE1124" t="s">
        <v>23514</v>
      </c>
      <c r="AF1124" t="s">
        <v>69</v>
      </c>
      <c r="AG1124" t="s">
        <v>69</v>
      </c>
      <c r="AH1124" t="s">
        <v>69</v>
      </c>
      <c r="AI1124" t="s">
        <v>69</v>
      </c>
      <c r="AJ1124" t="s">
        <v>69</v>
      </c>
      <c r="AK1124" t="s">
        <v>69</v>
      </c>
      <c r="AL1124">
        <v>52</v>
      </c>
      <c r="AM1124">
        <v>15</v>
      </c>
      <c r="AN1124">
        <v>16</v>
      </c>
      <c r="AO1124">
        <v>1</v>
      </c>
      <c r="AP1124">
        <v>38</v>
      </c>
      <c r="AQ1124" t="s">
        <v>8636</v>
      </c>
      <c r="AR1124" t="s">
        <v>8637</v>
      </c>
      <c r="AS1124" t="s">
        <v>8638</v>
      </c>
      <c r="AT1124" t="s">
        <v>1130</v>
      </c>
      <c r="AU1124" t="s">
        <v>1131</v>
      </c>
      <c r="AV1124" t="s">
        <v>69</v>
      </c>
      <c r="AW1124" t="s">
        <v>1128</v>
      </c>
      <c r="AX1124" t="s">
        <v>8658</v>
      </c>
      <c r="AY1124" t="s">
        <v>274</v>
      </c>
      <c r="AZ1124">
        <v>2014</v>
      </c>
      <c r="BA1124">
        <v>41</v>
      </c>
      <c r="BB1124" t="s">
        <v>69</v>
      </c>
      <c r="BC1124" t="s">
        <v>69</v>
      </c>
      <c r="BD1124" t="s">
        <v>69</v>
      </c>
      <c r="BE1124" t="s">
        <v>69</v>
      </c>
      <c r="BF1124" t="s">
        <v>69</v>
      </c>
      <c r="BG1124">
        <v>541</v>
      </c>
      <c r="BH1124">
        <v>549</v>
      </c>
      <c r="BI1124" t="s">
        <v>69</v>
      </c>
      <c r="BJ1124" t="s">
        <v>23515</v>
      </c>
      <c r="BK1124" t="str">
        <f>HYPERLINK("http://dx.doi.org/10.1016/j.landusepol.2014.04.011","http://dx.doi.org/10.1016/j.landusepol.2014.04.011")</f>
        <v>http://dx.doi.org/10.1016/j.landusepol.2014.04.011</v>
      </c>
      <c r="BL1124" t="s">
        <v>69</v>
      </c>
      <c r="BM1124" t="s">
        <v>69</v>
      </c>
      <c r="BN1124">
        <v>9</v>
      </c>
      <c r="BO1124" t="s">
        <v>8660</v>
      </c>
      <c r="BP1124" t="s">
        <v>8661</v>
      </c>
      <c r="BQ1124" t="s">
        <v>8662</v>
      </c>
      <c r="BR1124" t="s">
        <v>23516</v>
      </c>
      <c r="BS1124" t="s">
        <v>23517</v>
      </c>
      <c r="BT1124" t="s">
        <v>69</v>
      </c>
      <c r="BU1124" t="s">
        <v>69</v>
      </c>
      <c r="BV1124" t="s">
        <v>69</v>
      </c>
      <c r="BW1124" t="s">
        <v>69</v>
      </c>
      <c r="BX1124" t="s">
        <v>8526</v>
      </c>
      <c r="BY1124" t="str">
        <f>HYPERLINK("https%3A%2F%2Fwww.webofscience.com%2Fwos%2Fwoscc%2Ffull-record%2FWOS:000341548600050","View Full Record in Web of Science")</f>
        <v>View Full Record in Web of Science</v>
      </c>
    </row>
    <row r="1125" spans="1:77" ht="12.5" x14ac:dyDescent="0.25">
      <c r="A1125" t="s">
        <v>8495</v>
      </c>
      <c r="B1125" s="7" t="s">
        <v>32933</v>
      </c>
      <c r="C1125" s="7"/>
      <c r="D1125" s="7"/>
      <c r="E1125" s="7"/>
      <c r="F1125" t="s">
        <v>67</v>
      </c>
      <c r="G1125" t="s">
        <v>580</v>
      </c>
      <c r="H1125" t="s">
        <v>69</v>
      </c>
      <c r="I1125" t="s">
        <v>69</v>
      </c>
      <c r="J1125" t="s">
        <v>69</v>
      </c>
      <c r="K1125" t="s">
        <v>580</v>
      </c>
      <c r="L1125" t="s">
        <v>69</v>
      </c>
      <c r="M1125" t="s">
        <v>69</v>
      </c>
      <c r="N1125" t="s">
        <v>581</v>
      </c>
      <c r="O1125" t="s">
        <v>582</v>
      </c>
      <c r="P1125" t="s">
        <v>69</v>
      </c>
      <c r="Q1125" t="s">
        <v>69</v>
      </c>
      <c r="R1125" t="s">
        <v>8505</v>
      </c>
      <c r="S1125" t="s">
        <v>8506</v>
      </c>
      <c r="T1125" t="s">
        <v>69</v>
      </c>
      <c r="U1125" t="s">
        <v>69</v>
      </c>
      <c r="V1125" t="s">
        <v>69</v>
      </c>
      <c r="W1125" t="s">
        <v>69</v>
      </c>
      <c r="X1125" t="s">
        <v>69</v>
      </c>
      <c r="Y1125" t="s">
        <v>69</v>
      </c>
      <c r="Z1125" t="s">
        <v>69</v>
      </c>
      <c r="AA1125" t="s">
        <v>583</v>
      </c>
      <c r="AB1125" t="s">
        <v>31978</v>
      </c>
      <c r="AC1125" t="s">
        <v>69</v>
      </c>
      <c r="AD1125" t="s">
        <v>31979</v>
      </c>
      <c r="AE1125" t="s">
        <v>31980</v>
      </c>
      <c r="AF1125" t="s">
        <v>69</v>
      </c>
      <c r="AG1125" t="s">
        <v>69</v>
      </c>
      <c r="AH1125" t="s">
        <v>69</v>
      </c>
      <c r="AI1125" t="s">
        <v>69</v>
      </c>
      <c r="AJ1125" t="s">
        <v>69</v>
      </c>
      <c r="AK1125" t="s">
        <v>69</v>
      </c>
      <c r="AL1125">
        <v>5</v>
      </c>
      <c r="AM1125">
        <v>1</v>
      </c>
      <c r="AN1125">
        <v>1</v>
      </c>
      <c r="AO1125">
        <v>0</v>
      </c>
      <c r="AP1125">
        <v>2</v>
      </c>
      <c r="AQ1125" t="s">
        <v>8692</v>
      </c>
      <c r="AR1125" t="s">
        <v>8693</v>
      </c>
      <c r="AS1125" t="s">
        <v>8694</v>
      </c>
      <c r="AT1125" t="s">
        <v>584</v>
      </c>
      <c r="AU1125" t="s">
        <v>585</v>
      </c>
      <c r="AV1125" t="s">
        <v>69</v>
      </c>
      <c r="AW1125" t="s">
        <v>8695</v>
      </c>
      <c r="AX1125" t="s">
        <v>8696</v>
      </c>
      <c r="AY1125" t="s">
        <v>586</v>
      </c>
      <c r="AZ1125">
        <v>1999</v>
      </c>
      <c r="BA1125">
        <v>19</v>
      </c>
      <c r="BB1125">
        <v>3</v>
      </c>
      <c r="BC1125" t="s">
        <v>69</v>
      </c>
      <c r="BD1125" t="s">
        <v>69</v>
      </c>
      <c r="BE1125" t="s">
        <v>69</v>
      </c>
      <c r="BF1125" t="s">
        <v>69</v>
      </c>
      <c r="BG1125">
        <v>319</v>
      </c>
      <c r="BH1125">
        <v>331</v>
      </c>
      <c r="BI1125" t="s">
        <v>69</v>
      </c>
      <c r="BJ1125" t="s">
        <v>587</v>
      </c>
      <c r="BK1125" t="str">
        <f>HYPERLINK("http://dx.doi.org/10.1016/S0195-9255(99)00006-2","http://dx.doi.org/10.1016/S0195-9255(99)00006-2")</f>
        <v>http://dx.doi.org/10.1016/S0195-9255(99)00006-2</v>
      </c>
      <c r="BL1125" t="s">
        <v>69</v>
      </c>
      <c r="BM1125" t="s">
        <v>69</v>
      </c>
      <c r="BN1125">
        <v>13</v>
      </c>
      <c r="BO1125" t="s">
        <v>8660</v>
      </c>
      <c r="BP1125" t="s">
        <v>8661</v>
      </c>
      <c r="BQ1125" t="s">
        <v>8662</v>
      </c>
      <c r="BR1125" t="s">
        <v>31981</v>
      </c>
      <c r="BS1125" t="s">
        <v>588</v>
      </c>
      <c r="BT1125" t="s">
        <v>69</v>
      </c>
      <c r="BU1125" t="s">
        <v>69</v>
      </c>
      <c r="BV1125" t="s">
        <v>69</v>
      </c>
      <c r="BW1125" t="s">
        <v>69</v>
      </c>
      <c r="BX1125" t="s">
        <v>8526</v>
      </c>
      <c r="BY1125" t="str">
        <f>HYPERLINK("https%3A%2F%2Fwww.webofscience.com%2Fwos%2Fwoscc%2Ffull-record%2FWOS:000080788100007","View Full Record in Web of Science")</f>
        <v>View Full Record in Web of Science</v>
      </c>
    </row>
    <row r="1126" spans="1:77" ht="12.5" x14ac:dyDescent="0.25">
      <c r="A1126" t="s">
        <v>8495</v>
      </c>
      <c r="B1126" s="22" t="s">
        <v>32931</v>
      </c>
      <c r="C1126" s="7"/>
      <c r="D1126" s="7"/>
      <c r="E1126" s="7"/>
      <c r="F1126" t="s">
        <v>67</v>
      </c>
      <c r="G1126" t="s">
        <v>10027</v>
      </c>
      <c r="H1126" t="s">
        <v>69</v>
      </c>
      <c r="I1126" t="s">
        <v>69</v>
      </c>
      <c r="J1126" t="s">
        <v>69</v>
      </c>
      <c r="K1126" t="s">
        <v>10028</v>
      </c>
      <c r="L1126" t="s">
        <v>69</v>
      </c>
      <c r="M1126" t="s">
        <v>69</v>
      </c>
      <c r="N1126" t="s">
        <v>10029</v>
      </c>
      <c r="O1126" t="s">
        <v>2949</v>
      </c>
      <c r="P1126" t="s">
        <v>69</v>
      </c>
      <c r="Q1126" t="s">
        <v>69</v>
      </c>
      <c r="R1126" t="s">
        <v>8505</v>
      </c>
      <c r="S1126" t="s">
        <v>8442</v>
      </c>
      <c r="T1126" t="s">
        <v>69</v>
      </c>
      <c r="U1126" t="s">
        <v>69</v>
      </c>
      <c r="V1126" t="s">
        <v>69</v>
      </c>
      <c r="W1126" t="s">
        <v>69</v>
      </c>
      <c r="X1126" t="s">
        <v>69</v>
      </c>
      <c r="Y1126" t="s">
        <v>10030</v>
      </c>
      <c r="Z1126" t="s">
        <v>10031</v>
      </c>
      <c r="AA1126" t="s">
        <v>10032</v>
      </c>
      <c r="AB1126" t="s">
        <v>10033</v>
      </c>
      <c r="AC1126" t="s">
        <v>69</v>
      </c>
      <c r="AD1126" t="s">
        <v>10034</v>
      </c>
      <c r="AE1126" t="s">
        <v>10035</v>
      </c>
      <c r="AF1126" t="s">
        <v>69</v>
      </c>
      <c r="AG1126" t="s">
        <v>10036</v>
      </c>
      <c r="AH1126" t="s">
        <v>10037</v>
      </c>
      <c r="AI1126" t="s">
        <v>10038</v>
      </c>
      <c r="AJ1126" t="s">
        <v>10039</v>
      </c>
      <c r="AK1126" t="s">
        <v>69</v>
      </c>
      <c r="AL1126">
        <v>45</v>
      </c>
      <c r="AM1126">
        <v>0</v>
      </c>
      <c r="AN1126">
        <v>0</v>
      </c>
      <c r="AO1126">
        <v>8</v>
      </c>
      <c r="AP1126">
        <v>8</v>
      </c>
      <c r="AQ1126" t="s">
        <v>8992</v>
      </c>
      <c r="AR1126" t="s">
        <v>8993</v>
      </c>
      <c r="AS1126" t="s">
        <v>8994</v>
      </c>
      <c r="AT1126" t="s">
        <v>69</v>
      </c>
      <c r="AU1126" t="s">
        <v>2951</v>
      </c>
      <c r="AV1126" t="s">
        <v>69</v>
      </c>
      <c r="AW1126" t="s">
        <v>10040</v>
      </c>
      <c r="AX1126" t="s">
        <v>10041</v>
      </c>
      <c r="AY1126" t="s">
        <v>6488</v>
      </c>
      <c r="AZ1126">
        <v>2022</v>
      </c>
      <c r="BA1126">
        <v>8</v>
      </c>
      <c r="BB1126" t="s">
        <v>69</v>
      </c>
      <c r="BC1126" t="s">
        <v>69</v>
      </c>
      <c r="BD1126" t="s">
        <v>69</v>
      </c>
      <c r="BE1126" t="s">
        <v>69</v>
      </c>
      <c r="BF1126" t="s">
        <v>69</v>
      </c>
      <c r="BG1126" t="s">
        <v>69</v>
      </c>
      <c r="BH1126" t="s">
        <v>69</v>
      </c>
      <c r="BI1126">
        <v>747712</v>
      </c>
      <c r="BJ1126" t="s">
        <v>10042</v>
      </c>
      <c r="BK1126" t="str">
        <f>HYPERLINK("http://dx.doi.org/10.3389/fmars.2021.747712","http://dx.doi.org/10.3389/fmars.2021.747712")</f>
        <v>http://dx.doi.org/10.3389/fmars.2021.747712</v>
      </c>
      <c r="BL1126" t="s">
        <v>69</v>
      </c>
      <c r="BM1126" t="s">
        <v>69</v>
      </c>
      <c r="BN1126">
        <v>12</v>
      </c>
      <c r="BO1126" t="s">
        <v>10043</v>
      </c>
      <c r="BP1126" t="s">
        <v>8548</v>
      </c>
      <c r="BQ1126" t="s">
        <v>10044</v>
      </c>
      <c r="BR1126" t="s">
        <v>10045</v>
      </c>
      <c r="BS1126" t="s">
        <v>10046</v>
      </c>
      <c r="BT1126" t="s">
        <v>69</v>
      </c>
      <c r="BU1126" t="s">
        <v>8812</v>
      </c>
      <c r="BV1126" t="s">
        <v>69</v>
      </c>
      <c r="BW1126" t="s">
        <v>69</v>
      </c>
      <c r="BX1126" t="s">
        <v>8526</v>
      </c>
      <c r="BY1126" t="str">
        <f>HYPERLINK("https%3A%2F%2Fwww.webofscience.com%2Fwos%2Fwoscc%2Ffull-record%2FWOS:000750597400001","View Full Record in Web of Science")</f>
        <v>View Full Record in Web of Science</v>
      </c>
    </row>
    <row r="1127" spans="1:77" ht="12.5" x14ac:dyDescent="0.25">
      <c r="A1127" t="s">
        <v>8495</v>
      </c>
      <c r="B1127" s="7" t="s">
        <v>32933</v>
      </c>
      <c r="C1127" s="7"/>
      <c r="D1127" s="7"/>
      <c r="E1127" s="7"/>
      <c r="F1127" t="s">
        <v>67</v>
      </c>
      <c r="G1127" t="s">
        <v>6244</v>
      </c>
      <c r="H1127" t="s">
        <v>69</v>
      </c>
      <c r="I1127" t="s">
        <v>69</v>
      </c>
      <c r="J1127" t="s">
        <v>69</v>
      </c>
      <c r="K1127" t="s">
        <v>6245</v>
      </c>
      <c r="L1127" t="s">
        <v>69</v>
      </c>
      <c r="M1127" t="s">
        <v>69</v>
      </c>
      <c r="N1127" t="s">
        <v>6246</v>
      </c>
      <c r="O1127" t="s">
        <v>2107</v>
      </c>
      <c r="P1127" t="s">
        <v>69</v>
      </c>
      <c r="Q1127" t="s">
        <v>69</v>
      </c>
      <c r="R1127" t="s">
        <v>8505</v>
      </c>
      <c r="S1127" t="s">
        <v>8506</v>
      </c>
      <c r="T1127" t="s">
        <v>69</v>
      </c>
      <c r="U1127" t="s">
        <v>69</v>
      </c>
      <c r="V1127" t="s">
        <v>69</v>
      </c>
      <c r="W1127" t="s">
        <v>69</v>
      </c>
      <c r="X1127" t="s">
        <v>69</v>
      </c>
      <c r="Y1127" t="s">
        <v>15828</v>
      </c>
      <c r="Z1127" t="s">
        <v>15829</v>
      </c>
      <c r="AA1127" t="s">
        <v>6247</v>
      </c>
      <c r="AB1127" t="s">
        <v>15830</v>
      </c>
      <c r="AC1127" t="s">
        <v>69</v>
      </c>
      <c r="AD1127" t="s">
        <v>15831</v>
      </c>
      <c r="AE1127" t="s">
        <v>15832</v>
      </c>
      <c r="AF1127" t="s">
        <v>15833</v>
      </c>
      <c r="AG1127" t="s">
        <v>15834</v>
      </c>
      <c r="AH1127" t="s">
        <v>15835</v>
      </c>
      <c r="AI1127" t="s">
        <v>15836</v>
      </c>
      <c r="AJ1127" t="s">
        <v>15837</v>
      </c>
      <c r="AK1127" t="s">
        <v>69</v>
      </c>
      <c r="AL1127">
        <v>124</v>
      </c>
      <c r="AM1127">
        <v>12</v>
      </c>
      <c r="AN1127">
        <v>12</v>
      </c>
      <c r="AO1127">
        <v>5</v>
      </c>
      <c r="AP1127">
        <v>18</v>
      </c>
      <c r="AQ1127" t="s">
        <v>8924</v>
      </c>
      <c r="AR1127" t="s">
        <v>8925</v>
      </c>
      <c r="AS1127" t="s">
        <v>8926</v>
      </c>
      <c r="AT1127" t="s">
        <v>69</v>
      </c>
      <c r="AU1127" t="s">
        <v>2110</v>
      </c>
      <c r="AV1127" t="s">
        <v>69</v>
      </c>
      <c r="AW1127" t="s">
        <v>10592</v>
      </c>
      <c r="AX1127" t="s">
        <v>10593</v>
      </c>
      <c r="AY1127" t="s">
        <v>191</v>
      </c>
      <c r="AZ1127">
        <v>2020</v>
      </c>
      <c r="BA1127">
        <v>17</v>
      </c>
      <c r="BB1127">
        <v>4</v>
      </c>
      <c r="BC1127" t="s">
        <v>69</v>
      </c>
      <c r="BD1127" t="s">
        <v>69</v>
      </c>
      <c r="BE1127" t="s">
        <v>69</v>
      </c>
      <c r="BF1127" t="s">
        <v>69</v>
      </c>
      <c r="BG1127" t="s">
        <v>69</v>
      </c>
      <c r="BH1127" t="s">
        <v>69</v>
      </c>
      <c r="BI1127">
        <v>1432</v>
      </c>
      <c r="BJ1127" t="s">
        <v>6248</v>
      </c>
      <c r="BK1127" t="str">
        <f>HYPERLINK("http://dx.doi.org/10.3390/ijerph17041432","http://dx.doi.org/10.3390/ijerph17041432")</f>
        <v>http://dx.doi.org/10.3390/ijerph17041432</v>
      </c>
      <c r="BL1127" t="s">
        <v>69</v>
      </c>
      <c r="BM1127" t="s">
        <v>69</v>
      </c>
      <c r="BN1127">
        <v>22</v>
      </c>
      <c r="BO1127" t="s">
        <v>10595</v>
      </c>
      <c r="BP1127" t="s">
        <v>8523</v>
      </c>
      <c r="BQ1127" t="s">
        <v>10596</v>
      </c>
      <c r="BR1127" t="s">
        <v>15838</v>
      </c>
      <c r="BS1127" t="s">
        <v>6249</v>
      </c>
      <c r="BT1127">
        <v>32102209</v>
      </c>
      <c r="BU1127" t="s">
        <v>9352</v>
      </c>
      <c r="BV1127" t="s">
        <v>69</v>
      </c>
      <c r="BW1127" t="s">
        <v>69</v>
      </c>
      <c r="BX1127" t="s">
        <v>8526</v>
      </c>
      <c r="BY1127" t="str">
        <f>HYPERLINK("https%3A%2F%2Fwww.webofscience.com%2Fwos%2Fwoscc%2Ffull-record%2FWOS:000522388500308","View Full Record in Web of Science")</f>
        <v>View Full Record in Web of Science</v>
      </c>
    </row>
    <row r="1128" spans="1:77" ht="12.5" x14ac:dyDescent="0.25">
      <c r="A1128" t="s">
        <v>8495</v>
      </c>
      <c r="B1128" s="7" t="s">
        <v>32933</v>
      </c>
      <c r="C1128" s="7"/>
      <c r="D1128" s="7"/>
      <c r="E1128" s="7"/>
      <c r="F1128" t="s">
        <v>67</v>
      </c>
      <c r="G1128" t="s">
        <v>1443</v>
      </c>
      <c r="H1128" t="s">
        <v>69</v>
      </c>
      <c r="I1128" t="s">
        <v>69</v>
      </c>
      <c r="J1128" t="s">
        <v>69</v>
      </c>
      <c r="K1128" t="s">
        <v>1444</v>
      </c>
      <c r="L1128" t="s">
        <v>69</v>
      </c>
      <c r="M1128" t="s">
        <v>69</v>
      </c>
      <c r="N1128" t="s">
        <v>1445</v>
      </c>
      <c r="O1128" t="s">
        <v>1446</v>
      </c>
      <c r="P1128" t="s">
        <v>69</v>
      </c>
      <c r="Q1128" t="s">
        <v>69</v>
      </c>
      <c r="R1128" t="s">
        <v>12534</v>
      </c>
      <c r="S1128" t="s">
        <v>8506</v>
      </c>
      <c r="T1128" t="s">
        <v>69</v>
      </c>
      <c r="U1128" t="s">
        <v>69</v>
      </c>
      <c r="V1128" t="s">
        <v>69</v>
      </c>
      <c r="W1128" t="s">
        <v>69</v>
      </c>
      <c r="X1128" t="s">
        <v>69</v>
      </c>
      <c r="Y1128" t="s">
        <v>25925</v>
      </c>
      <c r="Z1128" t="s">
        <v>69</v>
      </c>
      <c r="AA1128" t="s">
        <v>1447</v>
      </c>
      <c r="AB1128" t="s">
        <v>25926</v>
      </c>
      <c r="AC1128" t="s">
        <v>69</v>
      </c>
      <c r="AD1128" t="s">
        <v>25927</v>
      </c>
      <c r="AE1128" t="s">
        <v>25928</v>
      </c>
      <c r="AF1128" t="s">
        <v>25929</v>
      </c>
      <c r="AG1128" t="s">
        <v>25930</v>
      </c>
      <c r="AH1128" t="s">
        <v>69</v>
      </c>
      <c r="AI1128" t="s">
        <v>69</v>
      </c>
      <c r="AJ1128" t="s">
        <v>69</v>
      </c>
      <c r="AK1128" t="s">
        <v>69</v>
      </c>
      <c r="AL1128">
        <v>20</v>
      </c>
      <c r="AM1128">
        <v>1</v>
      </c>
      <c r="AN1128">
        <v>1</v>
      </c>
      <c r="AO1128">
        <v>1</v>
      </c>
      <c r="AP1128">
        <v>76</v>
      </c>
      <c r="AQ1128" t="s">
        <v>16383</v>
      </c>
      <c r="AR1128" t="s">
        <v>16384</v>
      </c>
      <c r="AS1128" t="s">
        <v>16385</v>
      </c>
      <c r="AT1128" t="s">
        <v>1448</v>
      </c>
      <c r="AU1128" t="s">
        <v>69</v>
      </c>
      <c r="AV1128" t="s">
        <v>69</v>
      </c>
      <c r="AW1128" t="s">
        <v>16386</v>
      </c>
      <c r="AX1128" t="s">
        <v>16387</v>
      </c>
      <c r="AY1128" t="s">
        <v>155</v>
      </c>
      <c r="AZ1128">
        <v>2012</v>
      </c>
      <c r="BA1128">
        <v>52</v>
      </c>
      <c r="BB1128">
        <v>2</v>
      </c>
      <c r="BC1128" t="s">
        <v>69</v>
      </c>
      <c r="BD1128" t="s">
        <v>69</v>
      </c>
      <c r="BE1128" t="s">
        <v>69</v>
      </c>
      <c r="BF1128" t="s">
        <v>69</v>
      </c>
      <c r="BG1128">
        <v>236</v>
      </c>
      <c r="BH1128">
        <v>251</v>
      </c>
      <c r="BI1128" t="s">
        <v>69</v>
      </c>
      <c r="BJ1128" t="s">
        <v>69</v>
      </c>
      <c r="BK1128" t="s">
        <v>69</v>
      </c>
      <c r="BL1128" t="s">
        <v>69</v>
      </c>
      <c r="BM1128" t="s">
        <v>69</v>
      </c>
      <c r="BN1128">
        <v>16</v>
      </c>
      <c r="BO1128" t="s">
        <v>13650</v>
      </c>
      <c r="BP1128" t="s">
        <v>8661</v>
      </c>
      <c r="BQ1128" t="s">
        <v>13650</v>
      </c>
      <c r="BR1128" t="s">
        <v>25931</v>
      </c>
      <c r="BS1128" t="s">
        <v>1449</v>
      </c>
      <c r="BT1128" t="s">
        <v>69</v>
      </c>
      <c r="BU1128" t="s">
        <v>69</v>
      </c>
      <c r="BV1128" t="s">
        <v>69</v>
      </c>
      <c r="BW1128" t="s">
        <v>69</v>
      </c>
      <c r="BX1128" t="s">
        <v>8526</v>
      </c>
      <c r="BY1128" t="str">
        <f>HYPERLINK("https%3A%2F%2Fwww.webofscience.com%2Fwos%2Fwoscc%2Ffull-record%2FWOS:000305445800007","View Full Record in Web of Science")</f>
        <v>View Full Record in Web of Science</v>
      </c>
    </row>
    <row r="1129" spans="1:77" ht="12.5" x14ac:dyDescent="0.25">
      <c r="A1129" t="s">
        <v>8495</v>
      </c>
      <c r="B1129" s="7" t="s">
        <v>32933</v>
      </c>
      <c r="C1129" s="7"/>
      <c r="D1129" s="7"/>
      <c r="E1129" s="7"/>
      <c r="F1129" t="s">
        <v>67</v>
      </c>
      <c r="G1129" t="s">
        <v>787</v>
      </c>
      <c r="H1129" t="s">
        <v>69</v>
      </c>
      <c r="I1129" t="s">
        <v>69</v>
      </c>
      <c r="J1129" t="s">
        <v>69</v>
      </c>
      <c r="K1129" t="s">
        <v>788</v>
      </c>
      <c r="L1129" t="s">
        <v>69</v>
      </c>
      <c r="M1129" t="s">
        <v>69</v>
      </c>
      <c r="N1129" t="s">
        <v>789</v>
      </c>
      <c r="O1129" t="s">
        <v>790</v>
      </c>
      <c r="P1129" t="s">
        <v>69</v>
      </c>
      <c r="Q1129" t="s">
        <v>69</v>
      </c>
      <c r="R1129" t="s">
        <v>8505</v>
      </c>
      <c r="S1129" t="s">
        <v>8506</v>
      </c>
      <c r="T1129" t="s">
        <v>69</v>
      </c>
      <c r="U1129" t="s">
        <v>69</v>
      </c>
      <c r="V1129" t="s">
        <v>69</v>
      </c>
      <c r="W1129" t="s">
        <v>69</v>
      </c>
      <c r="X1129" t="s">
        <v>69</v>
      </c>
      <c r="Y1129" t="s">
        <v>15527</v>
      </c>
      <c r="Z1129" t="s">
        <v>15528</v>
      </c>
      <c r="AA1129" t="s">
        <v>791</v>
      </c>
      <c r="AB1129" t="s">
        <v>15529</v>
      </c>
      <c r="AC1129" t="s">
        <v>69</v>
      </c>
      <c r="AD1129" t="s">
        <v>15530</v>
      </c>
      <c r="AE1129" t="s">
        <v>15531</v>
      </c>
      <c r="AF1129" t="s">
        <v>15532</v>
      </c>
      <c r="AG1129" t="s">
        <v>15533</v>
      </c>
      <c r="AH1129" t="s">
        <v>69</v>
      </c>
      <c r="AI1129" t="s">
        <v>69</v>
      </c>
      <c r="AJ1129" t="s">
        <v>69</v>
      </c>
      <c r="AK1129" t="s">
        <v>69</v>
      </c>
      <c r="AL1129">
        <v>59</v>
      </c>
      <c r="AM1129">
        <v>9</v>
      </c>
      <c r="AN1129">
        <v>9</v>
      </c>
      <c r="AO1129">
        <v>2</v>
      </c>
      <c r="AP1129">
        <v>25</v>
      </c>
      <c r="AQ1129" t="s">
        <v>8846</v>
      </c>
      <c r="AR1129" t="s">
        <v>8847</v>
      </c>
      <c r="AS1129" t="s">
        <v>8848</v>
      </c>
      <c r="AT1129" t="s">
        <v>792</v>
      </c>
      <c r="AU1129" t="s">
        <v>793</v>
      </c>
      <c r="AV1129" t="s">
        <v>69</v>
      </c>
      <c r="AW1129" t="s">
        <v>15534</v>
      </c>
      <c r="AX1129" t="s">
        <v>15535</v>
      </c>
      <c r="AY1129" t="s">
        <v>246</v>
      </c>
      <c r="AZ1129">
        <v>2020</v>
      </c>
      <c r="BA1129">
        <v>20</v>
      </c>
      <c r="BB1129">
        <v>2</v>
      </c>
      <c r="BC1129" t="s">
        <v>69</v>
      </c>
      <c r="BD1129" t="s">
        <v>69</v>
      </c>
      <c r="BE1129" t="s">
        <v>69</v>
      </c>
      <c r="BF1129" t="s">
        <v>69</v>
      </c>
      <c r="BG1129">
        <v>211</v>
      </c>
      <c r="BH1129">
        <v>236</v>
      </c>
      <c r="BI1129" t="s">
        <v>69</v>
      </c>
      <c r="BJ1129" t="s">
        <v>794</v>
      </c>
      <c r="BK1129" t="str">
        <f>HYPERLINK("http://dx.doi.org/10.1111/glob.12251","http://dx.doi.org/10.1111/glob.12251")</f>
        <v>http://dx.doi.org/10.1111/glob.12251</v>
      </c>
      <c r="BL1129" t="s">
        <v>69</v>
      </c>
      <c r="BM1129" t="s">
        <v>69</v>
      </c>
      <c r="BN1129">
        <v>26</v>
      </c>
      <c r="BO1129" t="s">
        <v>15536</v>
      </c>
      <c r="BP1129" t="s">
        <v>8661</v>
      </c>
      <c r="BQ1129" t="s">
        <v>15536</v>
      </c>
      <c r="BR1129" t="s">
        <v>15537</v>
      </c>
      <c r="BS1129" t="s">
        <v>795</v>
      </c>
      <c r="BT1129" t="s">
        <v>69</v>
      </c>
      <c r="BU1129" t="s">
        <v>10995</v>
      </c>
      <c r="BV1129" t="s">
        <v>69</v>
      </c>
      <c r="BW1129" t="s">
        <v>69</v>
      </c>
      <c r="BX1129" t="s">
        <v>8526</v>
      </c>
      <c r="BY1129" t="str">
        <f>HYPERLINK("https%3A%2F%2Fwww.webofscience.com%2Fwos%2Fwoscc%2Ffull-record%2FWOS:000518846500001","View Full Record in Web of Science")</f>
        <v>View Full Record in Web of Science</v>
      </c>
    </row>
    <row r="1130" spans="1:77" ht="12.5" x14ac:dyDescent="0.25">
      <c r="A1130" t="s">
        <v>8495</v>
      </c>
      <c r="B1130" s="7" t="s">
        <v>32933</v>
      </c>
      <c r="C1130" s="7"/>
      <c r="D1130" s="7"/>
      <c r="E1130" s="7"/>
      <c r="F1130" t="s">
        <v>67</v>
      </c>
      <c r="G1130" t="s">
        <v>5860</v>
      </c>
      <c r="H1130" t="s">
        <v>69</v>
      </c>
      <c r="I1130" t="s">
        <v>69</v>
      </c>
      <c r="J1130" t="s">
        <v>69</v>
      </c>
      <c r="K1130" t="s">
        <v>5861</v>
      </c>
      <c r="L1130" t="s">
        <v>69</v>
      </c>
      <c r="M1130" t="s">
        <v>69</v>
      </c>
      <c r="N1130" t="s">
        <v>5862</v>
      </c>
      <c r="O1130" t="s">
        <v>3836</v>
      </c>
      <c r="P1130" t="s">
        <v>69</v>
      </c>
      <c r="Q1130" t="s">
        <v>69</v>
      </c>
      <c r="R1130" t="s">
        <v>8505</v>
      </c>
      <c r="S1130" t="s">
        <v>8506</v>
      </c>
      <c r="T1130" t="s">
        <v>69</v>
      </c>
      <c r="U1130" t="s">
        <v>69</v>
      </c>
      <c r="V1130" t="s">
        <v>69</v>
      </c>
      <c r="W1130" t="s">
        <v>69</v>
      </c>
      <c r="X1130" t="s">
        <v>69</v>
      </c>
      <c r="Y1130" t="s">
        <v>25590</v>
      </c>
      <c r="Z1130" t="s">
        <v>25591</v>
      </c>
      <c r="AA1130" t="s">
        <v>5863</v>
      </c>
      <c r="AB1130" t="s">
        <v>25592</v>
      </c>
      <c r="AC1130" t="s">
        <v>69</v>
      </c>
      <c r="AD1130" t="s">
        <v>25593</v>
      </c>
      <c r="AE1130" t="s">
        <v>25594</v>
      </c>
      <c r="AF1130" t="s">
        <v>25595</v>
      </c>
      <c r="AG1130" t="s">
        <v>25596</v>
      </c>
      <c r="AH1130" t="s">
        <v>25597</v>
      </c>
      <c r="AI1130" t="s">
        <v>25598</v>
      </c>
      <c r="AJ1130" t="s">
        <v>25599</v>
      </c>
      <c r="AK1130" t="s">
        <v>69</v>
      </c>
      <c r="AL1130">
        <v>27</v>
      </c>
      <c r="AM1130">
        <v>72</v>
      </c>
      <c r="AN1130">
        <v>74</v>
      </c>
      <c r="AO1130">
        <v>1</v>
      </c>
      <c r="AP1130">
        <v>59</v>
      </c>
      <c r="AQ1130" t="s">
        <v>8762</v>
      </c>
      <c r="AR1130" t="s">
        <v>8763</v>
      </c>
      <c r="AS1130" t="s">
        <v>8764</v>
      </c>
      <c r="AT1130" t="s">
        <v>3838</v>
      </c>
      <c r="AU1130" t="s">
        <v>3839</v>
      </c>
      <c r="AV1130" t="s">
        <v>69</v>
      </c>
      <c r="AW1130" t="s">
        <v>25600</v>
      </c>
      <c r="AX1130" t="s">
        <v>25601</v>
      </c>
      <c r="AY1130" t="s">
        <v>373</v>
      </c>
      <c r="AZ1130">
        <v>2013</v>
      </c>
      <c r="BA1130">
        <v>31</v>
      </c>
      <c r="BB1130">
        <v>1</v>
      </c>
      <c r="BC1130" t="s">
        <v>69</v>
      </c>
      <c r="BD1130" t="s">
        <v>69</v>
      </c>
      <c r="BE1130" t="s">
        <v>69</v>
      </c>
      <c r="BF1130" t="s">
        <v>69</v>
      </c>
      <c r="BG1130">
        <v>98</v>
      </c>
      <c r="BH1130">
        <v>105</v>
      </c>
      <c r="BI1130" t="s">
        <v>69</v>
      </c>
      <c r="BJ1130" t="s">
        <v>5864</v>
      </c>
      <c r="BK1130" t="str">
        <f>HYPERLINK("http://dx.doi.org/10.1177/0734242X12456092","http://dx.doi.org/10.1177/0734242X12456092")</f>
        <v>http://dx.doi.org/10.1177/0734242X12456092</v>
      </c>
      <c r="BL1130" t="s">
        <v>69</v>
      </c>
      <c r="BM1130" t="s">
        <v>69</v>
      </c>
      <c r="BN1130">
        <v>8</v>
      </c>
      <c r="BO1130" t="s">
        <v>8743</v>
      </c>
      <c r="BP1130" t="s">
        <v>8548</v>
      </c>
      <c r="BQ1130" t="s">
        <v>8744</v>
      </c>
      <c r="BR1130" t="s">
        <v>25602</v>
      </c>
      <c r="BS1130" t="s">
        <v>5865</v>
      </c>
      <c r="BT1130">
        <v>22878933</v>
      </c>
      <c r="BU1130" t="s">
        <v>69</v>
      </c>
      <c r="BV1130" t="s">
        <v>69</v>
      </c>
      <c r="BW1130" t="s">
        <v>69</v>
      </c>
      <c r="BX1130" t="s">
        <v>8526</v>
      </c>
      <c r="BY1130" t="str">
        <f>HYPERLINK("https%3A%2F%2Fwww.webofscience.com%2Fwos%2Fwoscc%2Ffull-record%2FWOS:000312489000012","View Full Record in Web of Science")</f>
        <v>View Full Record in Web of Science</v>
      </c>
    </row>
    <row r="1131" spans="1:77" ht="12.5" x14ac:dyDescent="0.25">
      <c r="A1131" t="s">
        <v>8495</v>
      </c>
      <c r="B1131" s="7" t="s">
        <v>32933</v>
      </c>
      <c r="C1131" s="7"/>
      <c r="D1131" s="7"/>
      <c r="E1131" s="7"/>
      <c r="F1131" t="s">
        <v>67</v>
      </c>
      <c r="G1131" t="s">
        <v>6624</v>
      </c>
      <c r="H1131" t="s">
        <v>69</v>
      </c>
      <c r="I1131" t="s">
        <v>69</v>
      </c>
      <c r="J1131" t="s">
        <v>69</v>
      </c>
      <c r="K1131" t="s">
        <v>6625</v>
      </c>
      <c r="L1131" t="s">
        <v>69</v>
      </c>
      <c r="M1131" t="s">
        <v>69</v>
      </c>
      <c r="N1131" t="s">
        <v>6626</v>
      </c>
      <c r="O1131" t="s">
        <v>352</v>
      </c>
      <c r="P1131" t="s">
        <v>69</v>
      </c>
      <c r="Q1131" t="s">
        <v>69</v>
      </c>
      <c r="R1131" t="s">
        <v>8505</v>
      </c>
      <c r="S1131" t="s">
        <v>8506</v>
      </c>
      <c r="T1131" t="s">
        <v>69</v>
      </c>
      <c r="U1131" t="s">
        <v>69</v>
      </c>
      <c r="V1131" t="s">
        <v>69</v>
      </c>
      <c r="W1131" t="s">
        <v>69</v>
      </c>
      <c r="X1131" t="s">
        <v>69</v>
      </c>
      <c r="Y1131" t="s">
        <v>20296</v>
      </c>
      <c r="Z1131" t="s">
        <v>20297</v>
      </c>
      <c r="AA1131" t="s">
        <v>6627</v>
      </c>
      <c r="AB1131" t="s">
        <v>20298</v>
      </c>
      <c r="AC1131" t="s">
        <v>69</v>
      </c>
      <c r="AD1131" t="s">
        <v>20299</v>
      </c>
      <c r="AE1131" t="s">
        <v>20300</v>
      </c>
      <c r="AF1131" t="s">
        <v>69</v>
      </c>
      <c r="AG1131" t="s">
        <v>69</v>
      </c>
      <c r="AH1131" t="s">
        <v>69</v>
      </c>
      <c r="AI1131" t="s">
        <v>69</v>
      </c>
      <c r="AJ1131" t="s">
        <v>69</v>
      </c>
      <c r="AK1131" t="s">
        <v>69</v>
      </c>
      <c r="AL1131">
        <v>36</v>
      </c>
      <c r="AM1131">
        <v>15</v>
      </c>
      <c r="AN1131">
        <v>15</v>
      </c>
      <c r="AO1131">
        <v>1</v>
      </c>
      <c r="AP1131">
        <v>10</v>
      </c>
      <c r="AQ1131" t="s">
        <v>8924</v>
      </c>
      <c r="AR1131" t="s">
        <v>8925</v>
      </c>
      <c r="AS1131" t="s">
        <v>8926</v>
      </c>
      <c r="AT1131" t="s">
        <v>69</v>
      </c>
      <c r="AU1131" t="s">
        <v>354</v>
      </c>
      <c r="AV1131" t="s">
        <v>69</v>
      </c>
      <c r="AW1131" t="s">
        <v>8958</v>
      </c>
      <c r="AX1131" t="s">
        <v>8434</v>
      </c>
      <c r="AY1131" t="s">
        <v>155</v>
      </c>
      <c r="AZ1131">
        <v>2017</v>
      </c>
      <c r="BA1131">
        <v>9</v>
      </c>
      <c r="BB1131">
        <v>6</v>
      </c>
      <c r="BC1131" t="s">
        <v>69</v>
      </c>
      <c r="BD1131" t="s">
        <v>69</v>
      </c>
      <c r="BE1131" t="s">
        <v>69</v>
      </c>
      <c r="BF1131" t="s">
        <v>69</v>
      </c>
      <c r="BG1131" t="s">
        <v>69</v>
      </c>
      <c r="BH1131" t="s">
        <v>69</v>
      </c>
      <c r="BI1131">
        <v>896</v>
      </c>
      <c r="BJ1131" t="s">
        <v>6628</v>
      </c>
      <c r="BK1131" t="str">
        <f>HYPERLINK("http://dx.doi.org/10.3390/su9060896","http://dx.doi.org/10.3390/su9060896")</f>
        <v>http://dx.doi.org/10.3390/su9060896</v>
      </c>
      <c r="BL1131" t="s">
        <v>69</v>
      </c>
      <c r="BM1131" t="s">
        <v>69</v>
      </c>
      <c r="BN1131">
        <v>21</v>
      </c>
      <c r="BO1131" t="s">
        <v>8960</v>
      </c>
      <c r="BP1131" t="s">
        <v>8523</v>
      </c>
      <c r="BQ1131" t="s">
        <v>8961</v>
      </c>
      <c r="BR1131" t="s">
        <v>20301</v>
      </c>
      <c r="BS1131" t="s">
        <v>6629</v>
      </c>
      <c r="BT1131" t="s">
        <v>69</v>
      </c>
      <c r="BU1131" t="s">
        <v>11853</v>
      </c>
      <c r="BV1131" t="s">
        <v>69</v>
      </c>
      <c r="BW1131" t="s">
        <v>69</v>
      </c>
      <c r="BX1131" t="s">
        <v>8526</v>
      </c>
      <c r="BY1131" t="str">
        <f>HYPERLINK("https%3A%2F%2Fwww.webofscience.com%2Fwos%2Fwoscc%2Ffull-record%2FWOS:000404133200027","View Full Record in Web of Science")</f>
        <v>View Full Record in Web of Science</v>
      </c>
    </row>
    <row r="1132" spans="1:77" ht="12.5" x14ac:dyDescent="0.25">
      <c r="A1132" t="s">
        <v>8495</v>
      </c>
      <c r="B1132" s="7" t="s">
        <v>32933</v>
      </c>
      <c r="C1132" s="7"/>
      <c r="D1132" s="7"/>
      <c r="E1132" s="7"/>
      <c r="F1132" t="s">
        <v>67</v>
      </c>
      <c r="G1132" t="s">
        <v>4757</v>
      </c>
      <c r="H1132" t="s">
        <v>69</v>
      </c>
      <c r="I1132" t="s">
        <v>69</v>
      </c>
      <c r="J1132" t="s">
        <v>69</v>
      </c>
      <c r="K1132" t="s">
        <v>4758</v>
      </c>
      <c r="L1132" t="s">
        <v>69</v>
      </c>
      <c r="M1132" t="s">
        <v>69</v>
      </c>
      <c r="N1132" t="s">
        <v>4759</v>
      </c>
      <c r="O1132" t="s">
        <v>4760</v>
      </c>
      <c r="P1132" t="s">
        <v>69</v>
      </c>
      <c r="Q1132" t="s">
        <v>69</v>
      </c>
      <c r="R1132" t="s">
        <v>8505</v>
      </c>
      <c r="S1132" t="s">
        <v>8506</v>
      </c>
      <c r="T1132" t="s">
        <v>69</v>
      </c>
      <c r="U1132" t="s">
        <v>69</v>
      </c>
      <c r="V1132" t="s">
        <v>69</v>
      </c>
      <c r="W1132" t="s">
        <v>69</v>
      </c>
      <c r="X1132" t="s">
        <v>69</v>
      </c>
      <c r="Y1132" t="s">
        <v>16814</v>
      </c>
      <c r="Z1132" t="s">
        <v>69</v>
      </c>
      <c r="AA1132" t="s">
        <v>4761</v>
      </c>
      <c r="AB1132" t="s">
        <v>16815</v>
      </c>
      <c r="AC1132" t="s">
        <v>69</v>
      </c>
      <c r="AD1132" t="s">
        <v>16816</v>
      </c>
      <c r="AE1132" t="s">
        <v>16817</v>
      </c>
      <c r="AF1132" t="s">
        <v>69</v>
      </c>
      <c r="AG1132" t="s">
        <v>69</v>
      </c>
      <c r="AH1132" t="s">
        <v>69</v>
      </c>
      <c r="AI1132" t="s">
        <v>69</v>
      </c>
      <c r="AJ1132" t="s">
        <v>69</v>
      </c>
      <c r="AK1132" t="s">
        <v>69</v>
      </c>
      <c r="AL1132">
        <v>0</v>
      </c>
      <c r="AM1132">
        <v>0</v>
      </c>
      <c r="AN1132">
        <v>0</v>
      </c>
      <c r="AO1132">
        <v>1</v>
      </c>
      <c r="AP1132">
        <v>2</v>
      </c>
      <c r="AQ1132" t="s">
        <v>8846</v>
      </c>
      <c r="AR1132" t="s">
        <v>8847</v>
      </c>
      <c r="AS1132" t="s">
        <v>8848</v>
      </c>
      <c r="AT1132" t="s">
        <v>4762</v>
      </c>
      <c r="AU1132" t="s">
        <v>4763</v>
      </c>
      <c r="AV1132" t="s">
        <v>69</v>
      </c>
      <c r="AW1132" t="s">
        <v>16818</v>
      </c>
      <c r="AX1132" t="s">
        <v>16819</v>
      </c>
      <c r="AY1132" t="s">
        <v>255</v>
      </c>
      <c r="AZ1132">
        <v>2019</v>
      </c>
      <c r="BA1132">
        <v>111</v>
      </c>
      <c r="BB1132">
        <v>9</v>
      </c>
      <c r="BC1132" t="s">
        <v>69</v>
      </c>
      <c r="BD1132" t="s">
        <v>69</v>
      </c>
      <c r="BE1132" t="s">
        <v>69</v>
      </c>
      <c r="BF1132" t="s">
        <v>69</v>
      </c>
      <c r="BG1132">
        <v>84</v>
      </c>
      <c r="BH1132">
        <v>87</v>
      </c>
      <c r="BI1132" t="s">
        <v>69</v>
      </c>
      <c r="BJ1132" t="s">
        <v>4764</v>
      </c>
      <c r="BK1132" t="str">
        <f>HYPERLINK("http://dx.doi.org/10.1002/awwa.1364","http://dx.doi.org/10.1002/awwa.1364")</f>
        <v>http://dx.doi.org/10.1002/awwa.1364</v>
      </c>
      <c r="BL1132" t="s">
        <v>69</v>
      </c>
      <c r="BM1132" t="s">
        <v>69</v>
      </c>
      <c r="BN1132">
        <v>4</v>
      </c>
      <c r="BO1132" t="s">
        <v>9229</v>
      </c>
      <c r="BP1132" t="s">
        <v>8548</v>
      </c>
      <c r="BQ1132" t="s">
        <v>9230</v>
      </c>
      <c r="BR1132" t="s">
        <v>16820</v>
      </c>
      <c r="BS1132" t="s">
        <v>4765</v>
      </c>
      <c r="BT1132" t="s">
        <v>69</v>
      </c>
      <c r="BU1132" t="s">
        <v>69</v>
      </c>
      <c r="BV1132" t="s">
        <v>69</v>
      </c>
      <c r="BW1132" t="s">
        <v>69</v>
      </c>
      <c r="BX1132" t="s">
        <v>8526</v>
      </c>
      <c r="BY1132" t="str">
        <f>HYPERLINK("https%3A%2F%2Fwww.webofscience.com%2Fwos%2Fwoscc%2Ffull-record%2FWOS:000483801200010","View Full Record in Web of Science")</f>
        <v>View Full Record in Web of Science</v>
      </c>
    </row>
    <row r="1133" spans="1:77" ht="12.5" x14ac:dyDescent="0.25">
      <c r="A1133" t="s">
        <v>8495</v>
      </c>
      <c r="B1133" s="7" t="s">
        <v>32933</v>
      </c>
      <c r="C1133" s="7"/>
      <c r="D1133" s="7"/>
      <c r="E1133" s="7"/>
      <c r="F1133" t="s">
        <v>67</v>
      </c>
      <c r="G1133" t="s">
        <v>2577</v>
      </c>
      <c r="H1133" t="s">
        <v>69</v>
      </c>
      <c r="I1133" t="s">
        <v>69</v>
      </c>
      <c r="J1133" t="s">
        <v>69</v>
      </c>
      <c r="K1133" t="s">
        <v>2578</v>
      </c>
      <c r="L1133" t="s">
        <v>69</v>
      </c>
      <c r="M1133" t="s">
        <v>69</v>
      </c>
      <c r="N1133" t="s">
        <v>2579</v>
      </c>
      <c r="O1133" t="s">
        <v>2580</v>
      </c>
      <c r="P1133" t="s">
        <v>69</v>
      </c>
      <c r="Q1133" t="s">
        <v>69</v>
      </c>
      <c r="R1133" t="s">
        <v>8505</v>
      </c>
      <c r="S1133" t="s">
        <v>8506</v>
      </c>
      <c r="T1133" t="s">
        <v>69</v>
      </c>
      <c r="U1133" t="s">
        <v>69</v>
      </c>
      <c r="V1133" t="s">
        <v>69</v>
      </c>
      <c r="W1133" t="s">
        <v>69</v>
      </c>
      <c r="X1133" t="s">
        <v>69</v>
      </c>
      <c r="Y1133" t="s">
        <v>20050</v>
      </c>
      <c r="Z1133" t="s">
        <v>69</v>
      </c>
      <c r="AA1133" t="s">
        <v>2581</v>
      </c>
      <c r="AB1133" t="s">
        <v>20051</v>
      </c>
      <c r="AC1133" t="s">
        <v>69</v>
      </c>
      <c r="AD1133" t="s">
        <v>69</v>
      </c>
      <c r="AE1133" t="s">
        <v>20052</v>
      </c>
      <c r="AF1133" t="s">
        <v>69</v>
      </c>
      <c r="AG1133" t="s">
        <v>69</v>
      </c>
      <c r="AH1133" t="s">
        <v>69</v>
      </c>
      <c r="AI1133" t="s">
        <v>69</v>
      </c>
      <c r="AJ1133" t="s">
        <v>69</v>
      </c>
      <c r="AK1133" t="s">
        <v>69</v>
      </c>
      <c r="AL1133">
        <v>37</v>
      </c>
      <c r="AM1133">
        <v>23</v>
      </c>
      <c r="AN1133">
        <v>23</v>
      </c>
      <c r="AO1133">
        <v>1</v>
      </c>
      <c r="AP1133">
        <v>6</v>
      </c>
      <c r="AQ1133" t="s">
        <v>20053</v>
      </c>
      <c r="AR1133" t="s">
        <v>20054</v>
      </c>
      <c r="AS1133" t="s">
        <v>20055</v>
      </c>
      <c r="AT1133" t="s">
        <v>2582</v>
      </c>
      <c r="AU1133" t="s">
        <v>2583</v>
      </c>
      <c r="AV1133" t="s">
        <v>69</v>
      </c>
      <c r="AW1133" t="s">
        <v>20056</v>
      </c>
      <c r="AX1133" t="s">
        <v>20057</v>
      </c>
      <c r="AY1133" t="s">
        <v>263</v>
      </c>
      <c r="AZ1133">
        <v>2017</v>
      </c>
      <c r="BA1133">
        <v>54</v>
      </c>
      <c r="BB1133">
        <v>3</v>
      </c>
      <c r="BC1133" t="s">
        <v>69</v>
      </c>
      <c r="BD1133" t="s">
        <v>69</v>
      </c>
      <c r="BE1133" t="s">
        <v>69</v>
      </c>
      <c r="BF1133" t="s">
        <v>69</v>
      </c>
      <c r="BG1133">
        <v>255</v>
      </c>
      <c r="BH1133">
        <v>286</v>
      </c>
      <c r="BI1133" t="s">
        <v>69</v>
      </c>
      <c r="BJ1133" t="s">
        <v>2584</v>
      </c>
      <c r="BK1133" t="str">
        <f>HYPERLINK("http://dx.doi.org/10.1093/jmt/thx011","http://dx.doi.org/10.1093/jmt/thx011")</f>
        <v>http://dx.doi.org/10.1093/jmt/thx011</v>
      </c>
      <c r="BL1133" t="s">
        <v>69</v>
      </c>
      <c r="BM1133" t="s">
        <v>69</v>
      </c>
      <c r="BN1133">
        <v>32</v>
      </c>
      <c r="BO1133" t="s">
        <v>20058</v>
      </c>
      <c r="BP1133" t="s">
        <v>8661</v>
      </c>
      <c r="BQ1133" t="s">
        <v>20058</v>
      </c>
      <c r="BR1133" t="s">
        <v>20059</v>
      </c>
      <c r="BS1133" t="s">
        <v>2585</v>
      </c>
      <c r="BT1133">
        <v>28992203</v>
      </c>
      <c r="BU1133" t="s">
        <v>69</v>
      </c>
      <c r="BV1133" t="s">
        <v>69</v>
      </c>
      <c r="BW1133" t="s">
        <v>69</v>
      </c>
      <c r="BX1133" t="s">
        <v>8526</v>
      </c>
      <c r="BY1133" t="str">
        <f>HYPERLINK("https%3A%2F%2Fwww.webofscience.com%2Fwos%2Fwoscc%2Ffull-record%2FWOS:000414366500001","View Full Record in Web of Science")</f>
        <v>View Full Record in Web of Science</v>
      </c>
    </row>
    <row r="1134" spans="1:77" ht="12.5" x14ac:dyDescent="0.25">
      <c r="A1134" t="s">
        <v>8495</v>
      </c>
      <c r="B1134" s="7" t="s">
        <v>32933</v>
      </c>
      <c r="C1134" s="7"/>
      <c r="D1134" s="7"/>
      <c r="E1134" s="7"/>
      <c r="F1134" t="s">
        <v>67</v>
      </c>
      <c r="G1134" t="s">
        <v>3756</v>
      </c>
      <c r="H1134" t="s">
        <v>69</v>
      </c>
      <c r="I1134" t="s">
        <v>69</v>
      </c>
      <c r="J1134" t="s">
        <v>69</v>
      </c>
      <c r="K1134" t="s">
        <v>3757</v>
      </c>
      <c r="L1134" t="s">
        <v>69</v>
      </c>
      <c r="M1134" t="s">
        <v>69</v>
      </c>
      <c r="N1134" t="s">
        <v>3758</v>
      </c>
      <c r="O1134" t="s">
        <v>3759</v>
      </c>
      <c r="P1134" t="s">
        <v>69</v>
      </c>
      <c r="Q1134" t="s">
        <v>69</v>
      </c>
      <c r="R1134" t="s">
        <v>8505</v>
      </c>
      <c r="S1134" t="s">
        <v>8506</v>
      </c>
      <c r="T1134" t="s">
        <v>69</v>
      </c>
      <c r="U1134" t="s">
        <v>69</v>
      </c>
      <c r="V1134" t="s">
        <v>69</v>
      </c>
      <c r="W1134" t="s">
        <v>69</v>
      </c>
      <c r="X1134" t="s">
        <v>69</v>
      </c>
      <c r="Y1134" t="s">
        <v>29902</v>
      </c>
      <c r="Z1134" t="s">
        <v>69</v>
      </c>
      <c r="AA1134" t="s">
        <v>3760</v>
      </c>
      <c r="AB1134" t="s">
        <v>29903</v>
      </c>
      <c r="AC1134" t="s">
        <v>69</v>
      </c>
      <c r="AD1134" t="s">
        <v>29904</v>
      </c>
      <c r="AE1134" t="s">
        <v>29905</v>
      </c>
      <c r="AF1134" t="s">
        <v>69</v>
      </c>
      <c r="AG1134" t="s">
        <v>69</v>
      </c>
      <c r="AH1134" t="s">
        <v>69</v>
      </c>
      <c r="AI1134" t="s">
        <v>69</v>
      </c>
      <c r="AJ1134" t="s">
        <v>69</v>
      </c>
      <c r="AK1134" t="s">
        <v>69</v>
      </c>
      <c r="AL1134">
        <v>56</v>
      </c>
      <c r="AM1134">
        <v>22</v>
      </c>
      <c r="AN1134">
        <v>26</v>
      </c>
      <c r="AO1134">
        <v>1</v>
      </c>
      <c r="AP1134">
        <v>26</v>
      </c>
      <c r="AQ1134" t="s">
        <v>8865</v>
      </c>
      <c r="AR1134" t="s">
        <v>8612</v>
      </c>
      <c r="AS1134" t="s">
        <v>22341</v>
      </c>
      <c r="AT1134" t="s">
        <v>3761</v>
      </c>
      <c r="AU1134" t="s">
        <v>69</v>
      </c>
      <c r="AV1134" t="s">
        <v>69</v>
      </c>
      <c r="AW1134" t="s">
        <v>29895</v>
      </c>
      <c r="AX1134" t="s">
        <v>29896</v>
      </c>
      <c r="AY1134" t="s">
        <v>69</v>
      </c>
      <c r="AZ1134">
        <v>2007</v>
      </c>
      <c r="BA1134">
        <v>1</v>
      </c>
      <c r="BB1134">
        <v>2</v>
      </c>
      <c r="BC1134" t="s">
        <v>69</v>
      </c>
      <c r="BD1134" t="s">
        <v>69</v>
      </c>
      <c r="BE1134" t="s">
        <v>69</v>
      </c>
      <c r="BF1134" t="s">
        <v>69</v>
      </c>
      <c r="BG1134">
        <v>171</v>
      </c>
      <c r="BH1134">
        <v>193</v>
      </c>
      <c r="BI1134" t="s">
        <v>69</v>
      </c>
      <c r="BJ1134" t="s">
        <v>3762</v>
      </c>
      <c r="BK1134" t="str">
        <f>HYPERLINK("http://dx.doi.org/10.1080/17524030701642595","http://dx.doi.org/10.1080/17524030701642595")</f>
        <v>http://dx.doi.org/10.1080/17524030701642595</v>
      </c>
      <c r="BL1134" t="s">
        <v>69</v>
      </c>
      <c r="BM1134" t="s">
        <v>69</v>
      </c>
      <c r="BN1134">
        <v>23</v>
      </c>
      <c r="BO1134" t="s">
        <v>29898</v>
      </c>
      <c r="BP1134" t="s">
        <v>8661</v>
      </c>
      <c r="BQ1134" t="s">
        <v>29899</v>
      </c>
      <c r="BR1134" t="s">
        <v>29906</v>
      </c>
      <c r="BS1134" t="s">
        <v>3763</v>
      </c>
      <c r="BT1134" t="s">
        <v>69</v>
      </c>
      <c r="BU1134" t="s">
        <v>69</v>
      </c>
      <c r="BV1134" t="s">
        <v>69</v>
      </c>
      <c r="BW1134" t="s">
        <v>69</v>
      </c>
      <c r="BX1134" t="s">
        <v>8526</v>
      </c>
      <c r="BY1134" t="str">
        <f>HYPERLINK("https%3A%2F%2Fwww.webofscience.com%2Fwos%2Fwoscc%2Ffull-record%2FWOS:000207484800004","View Full Record in Web of Science")</f>
        <v>View Full Record in Web of Science</v>
      </c>
    </row>
    <row r="1135" spans="1:77" ht="12.5" x14ac:dyDescent="0.25">
      <c r="A1135" t="s">
        <v>8495</v>
      </c>
      <c r="B1135" s="7" t="s">
        <v>32933</v>
      </c>
      <c r="C1135" s="7"/>
      <c r="D1135" s="7"/>
      <c r="E1135" s="7"/>
      <c r="F1135" t="s">
        <v>67</v>
      </c>
      <c r="G1135" t="s">
        <v>3974</v>
      </c>
      <c r="H1135" t="s">
        <v>69</v>
      </c>
      <c r="I1135" t="s">
        <v>69</v>
      </c>
      <c r="J1135" t="s">
        <v>69</v>
      </c>
      <c r="K1135" t="s">
        <v>3974</v>
      </c>
      <c r="L1135" t="s">
        <v>69</v>
      </c>
      <c r="M1135" t="s">
        <v>69</v>
      </c>
      <c r="N1135" t="s">
        <v>3975</v>
      </c>
      <c r="O1135" t="s">
        <v>3976</v>
      </c>
      <c r="P1135" t="s">
        <v>69</v>
      </c>
      <c r="Q1135" t="s">
        <v>69</v>
      </c>
      <c r="R1135" t="s">
        <v>8505</v>
      </c>
      <c r="S1135" t="s">
        <v>15797</v>
      </c>
      <c r="T1135" t="s">
        <v>3977</v>
      </c>
      <c r="U1135" t="s">
        <v>3978</v>
      </c>
      <c r="V1135" t="s">
        <v>3979</v>
      </c>
      <c r="W1135" t="s">
        <v>3980</v>
      </c>
      <c r="X1135" t="s">
        <v>69</v>
      </c>
      <c r="Y1135" t="s">
        <v>31236</v>
      </c>
      <c r="Z1135" t="s">
        <v>69</v>
      </c>
      <c r="AA1135" t="s">
        <v>3981</v>
      </c>
      <c r="AB1135" t="s">
        <v>31237</v>
      </c>
      <c r="AC1135" t="s">
        <v>69</v>
      </c>
      <c r="AD1135" t="s">
        <v>31238</v>
      </c>
      <c r="AE1135" t="s">
        <v>31239</v>
      </c>
      <c r="AF1135" t="s">
        <v>69</v>
      </c>
      <c r="AG1135" t="s">
        <v>69</v>
      </c>
      <c r="AH1135" t="s">
        <v>69</v>
      </c>
      <c r="AI1135" t="s">
        <v>69</v>
      </c>
      <c r="AJ1135" t="s">
        <v>69</v>
      </c>
      <c r="AK1135" t="s">
        <v>69</v>
      </c>
      <c r="AL1135">
        <v>9</v>
      </c>
      <c r="AM1135">
        <v>4</v>
      </c>
      <c r="AN1135">
        <v>4</v>
      </c>
      <c r="AO1135">
        <v>0</v>
      </c>
      <c r="AP1135">
        <v>0</v>
      </c>
      <c r="AQ1135" t="s">
        <v>13023</v>
      </c>
      <c r="AR1135" t="s">
        <v>13024</v>
      </c>
      <c r="AS1135" t="s">
        <v>13025</v>
      </c>
      <c r="AT1135" t="s">
        <v>3982</v>
      </c>
      <c r="AU1135" t="s">
        <v>3983</v>
      </c>
      <c r="AV1135" t="s">
        <v>69</v>
      </c>
      <c r="AW1135" t="s">
        <v>31240</v>
      </c>
      <c r="AX1135" t="s">
        <v>31241</v>
      </c>
      <c r="AY1135" t="s">
        <v>3984</v>
      </c>
      <c r="AZ1135">
        <v>2003</v>
      </c>
      <c r="BA1135">
        <v>140</v>
      </c>
      <c r="BB1135" t="s">
        <v>69</v>
      </c>
      <c r="BC1135" t="s">
        <v>69</v>
      </c>
      <c r="BD1135" t="s">
        <v>69</v>
      </c>
      <c r="BE1135" t="s">
        <v>114</v>
      </c>
      <c r="BF1135" t="s">
        <v>69</v>
      </c>
      <c r="BG1135">
        <v>11</v>
      </c>
      <c r="BH1135">
        <v>20</v>
      </c>
      <c r="BI1135" t="s">
        <v>69</v>
      </c>
      <c r="BJ1135" t="s">
        <v>3985</v>
      </c>
      <c r="BK1135" t="str">
        <f>HYPERLINK("http://dx.doi.org/10.1016/S0378-4274(02)00491-5","http://dx.doi.org/10.1016/S0378-4274(02)00491-5")</f>
        <v>http://dx.doi.org/10.1016/S0378-4274(02)00491-5</v>
      </c>
      <c r="BL1135" t="s">
        <v>69</v>
      </c>
      <c r="BM1135" t="s">
        <v>69</v>
      </c>
      <c r="BN1135">
        <v>10</v>
      </c>
      <c r="BO1135" t="s">
        <v>31242</v>
      </c>
      <c r="BP1135" t="s">
        <v>15808</v>
      </c>
      <c r="BQ1135" t="s">
        <v>31242</v>
      </c>
      <c r="BR1135" t="s">
        <v>31243</v>
      </c>
      <c r="BS1135" t="s">
        <v>3986</v>
      </c>
      <c r="BT1135">
        <v>12676446</v>
      </c>
      <c r="BU1135" t="s">
        <v>69</v>
      </c>
      <c r="BV1135" t="s">
        <v>69</v>
      </c>
      <c r="BW1135" t="s">
        <v>69</v>
      </c>
      <c r="BX1135" t="s">
        <v>8526</v>
      </c>
      <c r="BY1135" t="str">
        <f>HYPERLINK("https%3A%2F%2Fwww.webofscience.com%2Fwos%2Fwoscc%2Ffull-record%2FWOS:000182307900003","View Full Record in Web of Science")</f>
        <v>View Full Record in Web of Science</v>
      </c>
    </row>
    <row r="1136" spans="1:77" ht="12.5" x14ac:dyDescent="0.25">
      <c r="A1136" t="s">
        <v>8495</v>
      </c>
      <c r="B1136" s="22" t="s">
        <v>32931</v>
      </c>
      <c r="C1136" s="7"/>
      <c r="D1136" s="7"/>
      <c r="E1136" s="7"/>
      <c r="F1136" t="s">
        <v>67</v>
      </c>
      <c r="G1136" t="s">
        <v>20437</v>
      </c>
      <c r="H1136" t="s">
        <v>69</v>
      </c>
      <c r="I1136" t="s">
        <v>69</v>
      </c>
      <c r="J1136" t="s">
        <v>69</v>
      </c>
      <c r="K1136" t="s">
        <v>20438</v>
      </c>
      <c r="L1136" t="s">
        <v>69</v>
      </c>
      <c r="M1136" t="s">
        <v>69</v>
      </c>
      <c r="N1136" t="s">
        <v>20439</v>
      </c>
      <c r="O1136" t="s">
        <v>20440</v>
      </c>
      <c r="P1136" t="s">
        <v>69</v>
      </c>
      <c r="Q1136" t="s">
        <v>69</v>
      </c>
      <c r="R1136" t="s">
        <v>8505</v>
      </c>
      <c r="S1136" t="s">
        <v>8506</v>
      </c>
      <c r="T1136" t="s">
        <v>69</v>
      </c>
      <c r="U1136" t="s">
        <v>69</v>
      </c>
      <c r="V1136" t="s">
        <v>69</v>
      </c>
      <c r="W1136" t="s">
        <v>69</v>
      </c>
      <c r="X1136" t="s">
        <v>69</v>
      </c>
      <c r="Y1136" t="s">
        <v>69</v>
      </c>
      <c r="Z1136" t="s">
        <v>10571</v>
      </c>
      <c r="AA1136" t="s">
        <v>20441</v>
      </c>
      <c r="AB1136" t="s">
        <v>20442</v>
      </c>
      <c r="AC1136" t="s">
        <v>69</v>
      </c>
      <c r="AD1136" t="s">
        <v>20443</v>
      </c>
      <c r="AE1136" t="s">
        <v>20444</v>
      </c>
      <c r="AF1136" t="s">
        <v>69</v>
      </c>
      <c r="AG1136" t="s">
        <v>69</v>
      </c>
      <c r="AH1136" t="s">
        <v>69</v>
      </c>
      <c r="AI1136" t="s">
        <v>69</v>
      </c>
      <c r="AJ1136" t="s">
        <v>69</v>
      </c>
      <c r="AK1136" t="s">
        <v>69</v>
      </c>
      <c r="AL1136">
        <v>11</v>
      </c>
      <c r="AM1136">
        <v>0</v>
      </c>
      <c r="AN1136">
        <v>0</v>
      </c>
      <c r="AO1136">
        <v>0</v>
      </c>
      <c r="AP1136">
        <v>5</v>
      </c>
      <c r="AQ1136" t="s">
        <v>8846</v>
      </c>
      <c r="AR1136" t="s">
        <v>8847</v>
      </c>
      <c r="AS1136" t="s">
        <v>8848</v>
      </c>
      <c r="AT1136" t="s">
        <v>20445</v>
      </c>
      <c r="AU1136" t="s">
        <v>20446</v>
      </c>
      <c r="AV1136" t="s">
        <v>69</v>
      </c>
      <c r="AW1136" t="s">
        <v>20447</v>
      </c>
      <c r="AX1136" t="s">
        <v>20448</v>
      </c>
      <c r="AY1136" t="s">
        <v>4157</v>
      </c>
      <c r="AZ1136">
        <v>2017</v>
      </c>
      <c r="BA1136">
        <v>33</v>
      </c>
      <c r="BB1136">
        <v>2</v>
      </c>
      <c r="BC1136" t="s">
        <v>69</v>
      </c>
      <c r="BD1136" t="s">
        <v>69</v>
      </c>
      <c r="BE1136" t="s">
        <v>69</v>
      </c>
      <c r="BF1136" t="s">
        <v>69</v>
      </c>
      <c r="BG1136">
        <v>172</v>
      </c>
      <c r="BH1136">
        <v>180</v>
      </c>
      <c r="BI1136" t="s">
        <v>69</v>
      </c>
      <c r="BJ1136" t="s">
        <v>20449</v>
      </c>
      <c r="BK1136" t="str">
        <f>HYPERLINK("http://dx.doi.org/10.1002/sdr.1584","http://dx.doi.org/10.1002/sdr.1584")</f>
        <v>http://dx.doi.org/10.1002/sdr.1584</v>
      </c>
      <c r="BL1136" t="s">
        <v>69</v>
      </c>
      <c r="BM1136" t="s">
        <v>69</v>
      </c>
      <c r="BN1136">
        <v>9</v>
      </c>
      <c r="BO1136" t="s">
        <v>20450</v>
      </c>
      <c r="BP1136" t="s">
        <v>8661</v>
      </c>
      <c r="BQ1136" t="s">
        <v>20451</v>
      </c>
      <c r="BR1136" t="s">
        <v>20452</v>
      </c>
      <c r="BS1136" t="s">
        <v>20453</v>
      </c>
      <c r="BT1136" t="s">
        <v>69</v>
      </c>
      <c r="BU1136" t="s">
        <v>69</v>
      </c>
      <c r="BV1136" t="s">
        <v>69</v>
      </c>
      <c r="BW1136" t="s">
        <v>69</v>
      </c>
      <c r="BX1136" t="s">
        <v>8526</v>
      </c>
      <c r="BY1136" t="str">
        <f>HYPERLINK("https%3A%2F%2Fwww.webofscience.com%2Fwos%2Fwoscc%2Ffull-record%2FWOS:000424293400004","View Full Record in Web of Science")</f>
        <v>View Full Record in Web of Science</v>
      </c>
    </row>
    <row r="1137" spans="1:77" ht="12.5" x14ac:dyDescent="0.25">
      <c r="A1137" t="s">
        <v>8495</v>
      </c>
      <c r="B1137" s="7" t="s">
        <v>32933</v>
      </c>
      <c r="C1137" s="7"/>
      <c r="D1137" s="7"/>
      <c r="E1137" s="7"/>
      <c r="F1137" t="s">
        <v>67</v>
      </c>
      <c r="G1137" t="s">
        <v>3290</v>
      </c>
      <c r="H1137" t="s">
        <v>69</v>
      </c>
      <c r="I1137" t="s">
        <v>69</v>
      </c>
      <c r="J1137" t="s">
        <v>69</v>
      </c>
      <c r="K1137" t="s">
        <v>3291</v>
      </c>
      <c r="L1137" t="s">
        <v>69</v>
      </c>
      <c r="M1137" t="s">
        <v>69</v>
      </c>
      <c r="N1137" t="s">
        <v>3292</v>
      </c>
      <c r="O1137" t="s">
        <v>3293</v>
      </c>
      <c r="P1137" t="s">
        <v>69</v>
      </c>
      <c r="Q1137" t="s">
        <v>69</v>
      </c>
      <c r="R1137" t="s">
        <v>8505</v>
      </c>
      <c r="S1137" t="s">
        <v>8506</v>
      </c>
      <c r="T1137" t="s">
        <v>69</v>
      </c>
      <c r="U1137" t="s">
        <v>69</v>
      </c>
      <c r="V1137" t="s">
        <v>69</v>
      </c>
      <c r="W1137" t="s">
        <v>69</v>
      </c>
      <c r="X1137" t="s">
        <v>69</v>
      </c>
      <c r="Y1137" t="s">
        <v>24776</v>
      </c>
      <c r="Z1137" t="s">
        <v>69</v>
      </c>
      <c r="AA1137" t="s">
        <v>3294</v>
      </c>
      <c r="AB1137" t="s">
        <v>24777</v>
      </c>
      <c r="AC1137" t="s">
        <v>69</v>
      </c>
      <c r="AD1137" t="s">
        <v>24778</v>
      </c>
      <c r="AE1137" t="s">
        <v>24779</v>
      </c>
      <c r="AF1137" t="s">
        <v>69</v>
      </c>
      <c r="AG1137" t="s">
        <v>69</v>
      </c>
      <c r="AH1137" t="s">
        <v>69</v>
      </c>
      <c r="AI1137" t="s">
        <v>69</v>
      </c>
      <c r="AJ1137" t="s">
        <v>69</v>
      </c>
      <c r="AK1137" t="s">
        <v>69</v>
      </c>
      <c r="AL1137">
        <v>31</v>
      </c>
      <c r="AM1137">
        <v>4</v>
      </c>
      <c r="AN1137">
        <v>4</v>
      </c>
      <c r="AO1137">
        <v>0</v>
      </c>
      <c r="AP1137">
        <v>11</v>
      </c>
      <c r="AQ1137" t="s">
        <v>8865</v>
      </c>
      <c r="AR1137" t="s">
        <v>8612</v>
      </c>
      <c r="AS1137" t="s">
        <v>22341</v>
      </c>
      <c r="AT1137" t="s">
        <v>3295</v>
      </c>
      <c r="AU1137" t="s">
        <v>3296</v>
      </c>
      <c r="AV1137" t="s">
        <v>69</v>
      </c>
      <c r="AW1137" t="s">
        <v>24780</v>
      </c>
      <c r="AX1137" t="s">
        <v>24781</v>
      </c>
      <c r="AY1137" t="s">
        <v>3297</v>
      </c>
      <c r="AZ1137">
        <v>2013</v>
      </c>
      <c r="BA1137">
        <v>23</v>
      </c>
      <c r="BB1137">
        <v>4</v>
      </c>
      <c r="BC1137" t="s">
        <v>69</v>
      </c>
      <c r="BD1137" t="s">
        <v>69</v>
      </c>
      <c r="BE1137" t="s">
        <v>69</v>
      </c>
      <c r="BF1137" t="s">
        <v>69</v>
      </c>
      <c r="BG1137">
        <v>368</v>
      </c>
      <c r="BH1137">
        <v>385</v>
      </c>
      <c r="BI1137" t="s">
        <v>69</v>
      </c>
      <c r="BJ1137" t="s">
        <v>3298</v>
      </c>
      <c r="BK1137" t="str">
        <f>HYPERLINK("http://dx.doi.org/10.1080/01292986.2013.804105","http://dx.doi.org/10.1080/01292986.2013.804105")</f>
        <v>http://dx.doi.org/10.1080/01292986.2013.804105</v>
      </c>
      <c r="BL1137" t="s">
        <v>69</v>
      </c>
      <c r="BM1137" t="s">
        <v>69</v>
      </c>
      <c r="BN1137">
        <v>18</v>
      </c>
      <c r="BO1137" t="s">
        <v>8443</v>
      </c>
      <c r="BP1137" t="s">
        <v>8661</v>
      </c>
      <c r="BQ1137" t="s">
        <v>8443</v>
      </c>
      <c r="BR1137" t="s">
        <v>24782</v>
      </c>
      <c r="BS1137" t="s">
        <v>3299</v>
      </c>
      <c r="BT1137" t="s">
        <v>69</v>
      </c>
      <c r="BU1137" t="s">
        <v>69</v>
      </c>
      <c r="BV1137" t="s">
        <v>69</v>
      </c>
      <c r="BW1137" t="s">
        <v>69</v>
      </c>
      <c r="BX1137" t="s">
        <v>8526</v>
      </c>
      <c r="BY1137" t="str">
        <f>HYPERLINK("https%3A%2F%2Fwww.webofscience.com%2Fwos%2Fwoscc%2Ffull-record%2FWOS:000326307200003","View Full Record in Web of Science")</f>
        <v>View Full Record in Web of Science</v>
      </c>
    </row>
    <row r="1138" spans="1:77" ht="12.5" x14ac:dyDescent="0.25">
      <c r="A1138" t="s">
        <v>8495</v>
      </c>
      <c r="B1138" s="22" t="s">
        <v>32931</v>
      </c>
      <c r="C1138" s="7"/>
      <c r="D1138" s="7"/>
      <c r="E1138" s="7"/>
      <c r="F1138" t="s">
        <v>67</v>
      </c>
      <c r="G1138" t="s">
        <v>14477</v>
      </c>
      <c r="H1138" t="s">
        <v>69</v>
      </c>
      <c r="I1138" t="s">
        <v>69</v>
      </c>
      <c r="J1138" t="s">
        <v>69</v>
      </c>
      <c r="K1138" t="s">
        <v>14478</v>
      </c>
      <c r="L1138" t="s">
        <v>69</v>
      </c>
      <c r="M1138" t="s">
        <v>69</v>
      </c>
      <c r="N1138" t="s">
        <v>14479</v>
      </c>
      <c r="O1138" t="s">
        <v>14480</v>
      </c>
      <c r="P1138" t="s">
        <v>69</v>
      </c>
      <c r="Q1138" t="s">
        <v>69</v>
      </c>
      <c r="R1138" t="s">
        <v>8505</v>
      </c>
      <c r="S1138" t="s">
        <v>8506</v>
      </c>
      <c r="T1138" t="s">
        <v>69</v>
      </c>
      <c r="U1138" t="s">
        <v>69</v>
      </c>
      <c r="V1138" t="s">
        <v>69</v>
      </c>
      <c r="W1138" t="s">
        <v>69</v>
      </c>
      <c r="X1138" t="s">
        <v>69</v>
      </c>
      <c r="Y1138" t="s">
        <v>14481</v>
      </c>
      <c r="Z1138" t="s">
        <v>69</v>
      </c>
      <c r="AA1138" t="s">
        <v>14482</v>
      </c>
      <c r="AB1138" t="s">
        <v>14483</v>
      </c>
      <c r="AC1138" t="s">
        <v>69</v>
      </c>
      <c r="AD1138" t="s">
        <v>14484</v>
      </c>
      <c r="AE1138" t="s">
        <v>14485</v>
      </c>
      <c r="AF1138" t="s">
        <v>69</v>
      </c>
      <c r="AG1138" t="s">
        <v>69</v>
      </c>
      <c r="AH1138" t="s">
        <v>14486</v>
      </c>
      <c r="AI1138" t="s">
        <v>14487</v>
      </c>
      <c r="AJ1138" t="s">
        <v>14488</v>
      </c>
      <c r="AK1138" t="s">
        <v>69</v>
      </c>
      <c r="AL1138">
        <v>3</v>
      </c>
      <c r="AM1138">
        <v>0</v>
      </c>
      <c r="AN1138">
        <v>0</v>
      </c>
      <c r="AO1138">
        <v>0</v>
      </c>
      <c r="AP1138">
        <v>2</v>
      </c>
      <c r="AQ1138" t="s">
        <v>14489</v>
      </c>
      <c r="AR1138" t="s">
        <v>14490</v>
      </c>
      <c r="AS1138" t="s">
        <v>14491</v>
      </c>
      <c r="AT1138" t="s">
        <v>14492</v>
      </c>
      <c r="AU1138" t="s">
        <v>14493</v>
      </c>
      <c r="AV1138" t="s">
        <v>69</v>
      </c>
      <c r="AW1138" t="s">
        <v>14494</v>
      </c>
      <c r="AX1138" t="s">
        <v>14495</v>
      </c>
      <c r="AY1138" t="s">
        <v>477</v>
      </c>
      <c r="AZ1138">
        <v>2020</v>
      </c>
      <c r="BA1138">
        <v>8</v>
      </c>
      <c r="BB1138">
        <v>3</v>
      </c>
      <c r="BC1138" t="s">
        <v>69</v>
      </c>
      <c r="BD1138" t="s">
        <v>69</v>
      </c>
      <c r="BE1138" t="s">
        <v>69</v>
      </c>
      <c r="BF1138" t="s">
        <v>69</v>
      </c>
      <c r="BG1138">
        <v>146</v>
      </c>
      <c r="BH1138">
        <v>152</v>
      </c>
      <c r="BI1138" t="s">
        <v>69</v>
      </c>
      <c r="BJ1138" t="s">
        <v>14496</v>
      </c>
      <c r="BK1138" t="str">
        <f>HYPERLINK("http://dx.doi.org/10.1089/space.2020.0003","http://dx.doi.org/10.1089/space.2020.0003")</f>
        <v>http://dx.doi.org/10.1089/space.2020.0003</v>
      </c>
      <c r="BL1138" t="s">
        <v>69</v>
      </c>
      <c r="BM1138" t="s">
        <v>69</v>
      </c>
      <c r="BN1138">
        <v>7</v>
      </c>
      <c r="BO1138" t="s">
        <v>14497</v>
      </c>
      <c r="BP1138" t="s">
        <v>8573</v>
      </c>
      <c r="BQ1138" t="s">
        <v>8445</v>
      </c>
      <c r="BR1138" t="s">
        <v>14498</v>
      </c>
      <c r="BS1138" t="s">
        <v>14499</v>
      </c>
      <c r="BT1138" t="s">
        <v>69</v>
      </c>
      <c r="BU1138" t="s">
        <v>69</v>
      </c>
      <c r="BV1138" t="s">
        <v>69</v>
      </c>
      <c r="BW1138" t="s">
        <v>69</v>
      </c>
      <c r="BX1138" t="s">
        <v>8526</v>
      </c>
      <c r="BY1138" t="str">
        <f>HYPERLINK("https%3A%2F%2Fwww.webofscience.com%2Fwos%2Fwoscc%2Ffull-record%2FWOS:000570532400006","View Full Record in Web of Science")</f>
        <v>View Full Record in Web of Science</v>
      </c>
    </row>
    <row r="1139" spans="1:77" ht="12.5" x14ac:dyDescent="0.25">
      <c r="A1139" t="s">
        <v>8495</v>
      </c>
      <c r="B1139" s="7" t="s">
        <v>32933</v>
      </c>
      <c r="C1139" s="7"/>
      <c r="D1139" s="7"/>
      <c r="E1139" s="7"/>
      <c r="F1139" t="s">
        <v>67</v>
      </c>
      <c r="G1139" t="s">
        <v>2926</v>
      </c>
      <c r="H1139" t="s">
        <v>69</v>
      </c>
      <c r="I1139" t="s">
        <v>69</v>
      </c>
      <c r="J1139" t="s">
        <v>69</v>
      </c>
      <c r="K1139" t="s">
        <v>2927</v>
      </c>
      <c r="L1139" t="s">
        <v>69</v>
      </c>
      <c r="M1139" t="s">
        <v>69</v>
      </c>
      <c r="N1139" t="s">
        <v>2928</v>
      </c>
      <c r="O1139" t="s">
        <v>2929</v>
      </c>
      <c r="P1139" t="s">
        <v>69</v>
      </c>
      <c r="Q1139" t="s">
        <v>69</v>
      </c>
      <c r="R1139" t="s">
        <v>8505</v>
      </c>
      <c r="S1139" t="s">
        <v>8506</v>
      </c>
      <c r="T1139" t="s">
        <v>69</v>
      </c>
      <c r="U1139" t="s">
        <v>69</v>
      </c>
      <c r="V1139" t="s">
        <v>69</v>
      </c>
      <c r="W1139" t="s">
        <v>69</v>
      </c>
      <c r="X1139" t="s">
        <v>69</v>
      </c>
      <c r="Y1139" t="s">
        <v>22225</v>
      </c>
      <c r="Z1139" t="s">
        <v>22226</v>
      </c>
      <c r="AA1139" t="s">
        <v>2930</v>
      </c>
      <c r="AB1139" t="s">
        <v>22227</v>
      </c>
      <c r="AC1139" t="s">
        <v>69</v>
      </c>
      <c r="AD1139" t="s">
        <v>22228</v>
      </c>
      <c r="AE1139" t="s">
        <v>69</v>
      </c>
      <c r="AF1139" t="s">
        <v>69</v>
      </c>
      <c r="AG1139" t="s">
        <v>69</v>
      </c>
      <c r="AH1139" t="s">
        <v>69</v>
      </c>
      <c r="AI1139" t="s">
        <v>69</v>
      </c>
      <c r="AJ1139" t="s">
        <v>69</v>
      </c>
      <c r="AK1139" t="s">
        <v>69</v>
      </c>
      <c r="AL1139">
        <v>84</v>
      </c>
      <c r="AM1139">
        <v>16</v>
      </c>
      <c r="AN1139">
        <v>16</v>
      </c>
      <c r="AO1139">
        <v>4</v>
      </c>
      <c r="AP1139">
        <v>19</v>
      </c>
      <c r="AQ1139" t="s">
        <v>16416</v>
      </c>
      <c r="AR1139" t="s">
        <v>16417</v>
      </c>
      <c r="AS1139" t="s">
        <v>16418</v>
      </c>
      <c r="AT1139" t="s">
        <v>2931</v>
      </c>
      <c r="AU1139" t="s">
        <v>2932</v>
      </c>
      <c r="AV1139" t="s">
        <v>69</v>
      </c>
      <c r="AW1139" t="s">
        <v>22229</v>
      </c>
      <c r="AX1139" t="s">
        <v>22230</v>
      </c>
      <c r="AY1139" t="s">
        <v>373</v>
      </c>
      <c r="AZ1139">
        <v>2016</v>
      </c>
      <c r="BA1139">
        <v>19</v>
      </c>
      <c r="BB1139">
        <v>1</v>
      </c>
      <c r="BC1139" t="s">
        <v>69</v>
      </c>
      <c r="BD1139" t="s">
        <v>69</v>
      </c>
      <c r="BE1139" t="s">
        <v>69</v>
      </c>
      <c r="BF1139" t="s">
        <v>69</v>
      </c>
      <c r="BG1139">
        <v>50</v>
      </c>
      <c r="BH1139">
        <v>75</v>
      </c>
      <c r="BI1139" t="s">
        <v>69</v>
      </c>
      <c r="BJ1139" t="s">
        <v>2933</v>
      </c>
      <c r="BK1139" t="str">
        <f>HYPERLINK("http://dx.doi.org/10.1057/jird.2014.14","http://dx.doi.org/10.1057/jird.2014.14")</f>
        <v>http://dx.doi.org/10.1057/jird.2014.14</v>
      </c>
      <c r="BL1139" t="s">
        <v>69</v>
      </c>
      <c r="BM1139" t="s">
        <v>69</v>
      </c>
      <c r="BN1139">
        <v>26</v>
      </c>
      <c r="BO1139" t="s">
        <v>16728</v>
      </c>
      <c r="BP1139" t="s">
        <v>8661</v>
      </c>
      <c r="BQ1139" t="s">
        <v>16729</v>
      </c>
      <c r="BR1139" t="s">
        <v>22231</v>
      </c>
      <c r="BS1139" t="s">
        <v>2934</v>
      </c>
      <c r="BT1139" t="s">
        <v>69</v>
      </c>
      <c r="BU1139" t="s">
        <v>9292</v>
      </c>
      <c r="BV1139" t="s">
        <v>69</v>
      </c>
      <c r="BW1139" t="s">
        <v>69</v>
      </c>
      <c r="BX1139" t="s">
        <v>8526</v>
      </c>
      <c r="BY1139" t="str">
        <f>HYPERLINK("https%3A%2F%2Fwww.webofscience.com%2Fwos%2Fwoscc%2Ffull-record%2FWOS:000367635000003","View Full Record in Web of Science")</f>
        <v>View Full Record in Web of Science</v>
      </c>
    </row>
    <row r="1140" spans="1:77" ht="12.5" x14ac:dyDescent="0.25">
      <c r="A1140" t="s">
        <v>8495</v>
      </c>
      <c r="B1140" s="22" t="s">
        <v>32931</v>
      </c>
      <c r="C1140" s="7"/>
      <c r="D1140" s="7"/>
      <c r="E1140" s="7"/>
      <c r="F1140" t="s">
        <v>67</v>
      </c>
      <c r="G1140" t="s">
        <v>13048</v>
      </c>
      <c r="H1140" t="s">
        <v>69</v>
      </c>
      <c r="I1140" t="s">
        <v>69</v>
      </c>
      <c r="J1140" t="s">
        <v>69</v>
      </c>
      <c r="K1140" t="s">
        <v>13049</v>
      </c>
      <c r="L1140" t="s">
        <v>69</v>
      </c>
      <c r="M1140" t="s">
        <v>69</v>
      </c>
      <c r="N1140" t="s">
        <v>13050</v>
      </c>
      <c r="O1140" t="s">
        <v>13051</v>
      </c>
      <c r="P1140" t="s">
        <v>69</v>
      </c>
      <c r="Q1140" t="s">
        <v>69</v>
      </c>
      <c r="R1140" t="s">
        <v>8505</v>
      </c>
      <c r="S1140" t="s">
        <v>8506</v>
      </c>
      <c r="T1140" t="s">
        <v>69</v>
      </c>
      <c r="U1140" t="s">
        <v>69</v>
      </c>
      <c r="V1140" t="s">
        <v>69</v>
      </c>
      <c r="W1140" t="s">
        <v>69</v>
      </c>
      <c r="X1140" t="s">
        <v>69</v>
      </c>
      <c r="Y1140" t="s">
        <v>13052</v>
      </c>
      <c r="Z1140" t="s">
        <v>69</v>
      </c>
      <c r="AA1140" t="s">
        <v>13053</v>
      </c>
      <c r="AB1140" t="s">
        <v>13054</v>
      </c>
      <c r="AC1140" t="s">
        <v>69</v>
      </c>
      <c r="AD1140" t="s">
        <v>13055</v>
      </c>
      <c r="AE1140" t="s">
        <v>13056</v>
      </c>
      <c r="AF1140" t="s">
        <v>69</v>
      </c>
      <c r="AG1140" t="s">
        <v>13057</v>
      </c>
      <c r="AH1140" t="s">
        <v>69</v>
      </c>
      <c r="AI1140" t="s">
        <v>69</v>
      </c>
      <c r="AJ1140" t="s">
        <v>69</v>
      </c>
      <c r="AK1140" t="s">
        <v>69</v>
      </c>
      <c r="AL1140">
        <v>79</v>
      </c>
      <c r="AM1140">
        <v>0</v>
      </c>
      <c r="AN1140">
        <v>0</v>
      </c>
      <c r="AO1140">
        <v>2</v>
      </c>
      <c r="AP1140">
        <v>9</v>
      </c>
      <c r="AQ1140" t="s">
        <v>8865</v>
      </c>
      <c r="AR1140" t="s">
        <v>8612</v>
      </c>
      <c r="AS1140" t="s">
        <v>8866</v>
      </c>
      <c r="AT1140" t="s">
        <v>13058</v>
      </c>
      <c r="AU1140" t="s">
        <v>13059</v>
      </c>
      <c r="AV1140" t="s">
        <v>69</v>
      </c>
      <c r="AW1140" t="s">
        <v>13060</v>
      </c>
      <c r="AX1140" t="s">
        <v>13061</v>
      </c>
      <c r="AY1140" t="s">
        <v>837</v>
      </c>
      <c r="AZ1140">
        <v>2021</v>
      </c>
      <c r="BA1140">
        <v>13</v>
      </c>
      <c r="BB1140">
        <v>1</v>
      </c>
      <c r="BC1140" t="s">
        <v>69</v>
      </c>
      <c r="BD1140" t="s">
        <v>69</v>
      </c>
      <c r="BE1140" t="s">
        <v>69</v>
      </c>
      <c r="BF1140" t="s">
        <v>69</v>
      </c>
      <c r="BG1140">
        <v>29</v>
      </c>
      <c r="BH1140">
        <v>43</v>
      </c>
      <c r="BI1140" t="s">
        <v>69</v>
      </c>
      <c r="BJ1140" t="s">
        <v>13062</v>
      </c>
      <c r="BK1140" t="str">
        <f>HYPERLINK("http://dx.doi.org/10.1080/19406940.2021.1877168","http://dx.doi.org/10.1080/19406940.2021.1877168")</f>
        <v>http://dx.doi.org/10.1080/19406940.2021.1877168</v>
      </c>
      <c r="BL1140" t="s">
        <v>69</v>
      </c>
      <c r="BM1140" t="s">
        <v>13029</v>
      </c>
      <c r="BN1140">
        <v>15</v>
      </c>
      <c r="BO1140" t="s">
        <v>10278</v>
      </c>
      <c r="BP1140" t="s">
        <v>8573</v>
      </c>
      <c r="BQ1140" t="s">
        <v>10279</v>
      </c>
      <c r="BR1140" t="s">
        <v>13063</v>
      </c>
      <c r="BS1140" t="s">
        <v>13064</v>
      </c>
      <c r="BT1140" t="s">
        <v>69</v>
      </c>
      <c r="BU1140" t="s">
        <v>69</v>
      </c>
      <c r="BV1140" t="s">
        <v>69</v>
      </c>
      <c r="BW1140" t="s">
        <v>69</v>
      </c>
      <c r="BX1140" t="s">
        <v>8526</v>
      </c>
      <c r="BY1140" t="str">
        <f>HYPERLINK("https%3A%2F%2Fwww.webofscience.com%2Fwos%2Fwoscc%2Ffull-record%2FWOS:000620470600001","View Full Record in Web of Science")</f>
        <v>View Full Record in Web of Science</v>
      </c>
    </row>
    <row r="1141" spans="1:77" ht="12.5" x14ac:dyDescent="0.25">
      <c r="A1141" t="s">
        <v>8495</v>
      </c>
      <c r="B1141" s="7" t="s">
        <v>32933</v>
      </c>
      <c r="C1141" s="7"/>
      <c r="D1141" s="7"/>
      <c r="E1141" s="7"/>
      <c r="F1141" t="s">
        <v>67</v>
      </c>
      <c r="G1141" t="s">
        <v>7486</v>
      </c>
      <c r="H1141" t="s">
        <v>69</v>
      </c>
      <c r="I1141" t="s">
        <v>69</v>
      </c>
      <c r="J1141" t="s">
        <v>69</v>
      </c>
      <c r="K1141" t="s">
        <v>7487</v>
      </c>
      <c r="L1141" t="s">
        <v>69</v>
      </c>
      <c r="M1141" t="s">
        <v>69</v>
      </c>
      <c r="N1141" t="s">
        <v>7488</v>
      </c>
      <c r="O1141" t="s">
        <v>7489</v>
      </c>
      <c r="P1141" t="s">
        <v>69</v>
      </c>
      <c r="Q1141" t="s">
        <v>69</v>
      </c>
      <c r="R1141" t="s">
        <v>8505</v>
      </c>
      <c r="S1141" t="s">
        <v>8506</v>
      </c>
      <c r="T1141" t="s">
        <v>69</v>
      </c>
      <c r="U1141" t="s">
        <v>69</v>
      </c>
      <c r="V1141" t="s">
        <v>69</v>
      </c>
      <c r="W1141" t="s">
        <v>69</v>
      </c>
      <c r="X1141" t="s">
        <v>69</v>
      </c>
      <c r="Y1141" t="s">
        <v>20149</v>
      </c>
      <c r="Z1141" t="s">
        <v>69</v>
      </c>
      <c r="AA1141" t="s">
        <v>7490</v>
      </c>
      <c r="AB1141" t="s">
        <v>69</v>
      </c>
      <c r="AC1141" t="s">
        <v>69</v>
      </c>
      <c r="AD1141" t="s">
        <v>69</v>
      </c>
      <c r="AE1141" t="s">
        <v>20150</v>
      </c>
      <c r="AF1141" t="s">
        <v>20151</v>
      </c>
      <c r="AG1141" t="s">
        <v>20152</v>
      </c>
      <c r="AH1141" t="s">
        <v>69</v>
      </c>
      <c r="AI1141" t="s">
        <v>69</v>
      </c>
      <c r="AJ1141" t="s">
        <v>69</v>
      </c>
      <c r="AK1141" t="s">
        <v>69</v>
      </c>
      <c r="AL1141">
        <v>17</v>
      </c>
      <c r="AM1141">
        <v>0</v>
      </c>
      <c r="AN1141">
        <v>0</v>
      </c>
      <c r="AO1141">
        <v>0</v>
      </c>
      <c r="AP1141">
        <v>9</v>
      </c>
      <c r="AQ1141" t="s">
        <v>7489</v>
      </c>
      <c r="AR1141" t="s">
        <v>20153</v>
      </c>
      <c r="AS1141" t="s">
        <v>20154</v>
      </c>
      <c r="AT1141" t="s">
        <v>7491</v>
      </c>
      <c r="AU1141" t="s">
        <v>7492</v>
      </c>
      <c r="AV1141" t="s">
        <v>69</v>
      </c>
      <c r="AW1141" t="s">
        <v>20155</v>
      </c>
      <c r="AX1141" t="s">
        <v>20156</v>
      </c>
      <c r="AY1141" t="s">
        <v>6479</v>
      </c>
      <c r="AZ1141">
        <v>2017</v>
      </c>
      <c r="BA1141">
        <v>8</v>
      </c>
      <c r="BB1141">
        <v>19</v>
      </c>
      <c r="BC1141" t="s">
        <v>69</v>
      </c>
      <c r="BD1141" t="s">
        <v>69</v>
      </c>
      <c r="BE1141" t="s">
        <v>69</v>
      </c>
      <c r="BF1141" t="s">
        <v>69</v>
      </c>
      <c r="BG1141">
        <v>29</v>
      </c>
      <c r="BH1141">
        <v>38</v>
      </c>
      <c r="BI1141" t="s">
        <v>69</v>
      </c>
      <c r="BJ1141" t="s">
        <v>69</v>
      </c>
      <c r="BK1141" t="s">
        <v>69</v>
      </c>
      <c r="BL1141" t="s">
        <v>69</v>
      </c>
      <c r="BM1141" t="s">
        <v>69</v>
      </c>
      <c r="BN1141">
        <v>10</v>
      </c>
      <c r="BO1141" t="s">
        <v>8444</v>
      </c>
      <c r="BP1141" t="s">
        <v>8573</v>
      </c>
      <c r="BQ1141" t="s">
        <v>8594</v>
      </c>
      <c r="BR1141" t="s">
        <v>20157</v>
      </c>
      <c r="BS1141" t="s">
        <v>7493</v>
      </c>
      <c r="BT1141" t="s">
        <v>69</v>
      </c>
      <c r="BU1141" t="s">
        <v>69</v>
      </c>
      <c r="BV1141" t="s">
        <v>69</v>
      </c>
      <c r="BW1141" t="s">
        <v>69</v>
      </c>
      <c r="BX1141" t="s">
        <v>8526</v>
      </c>
      <c r="BY1141" t="str">
        <f>HYPERLINK("https%3A%2F%2Fwww.webofscience.com%2Fwos%2Fwoscc%2Ffull-record%2FWOS:000425228100003","View Full Record in Web of Science")</f>
        <v>View Full Record in Web of Science</v>
      </c>
    </row>
    <row r="1142" spans="1:77" x14ac:dyDescent="0.3">
      <c r="A1142" t="s">
        <v>8495</v>
      </c>
      <c r="B1142" s="9" t="s">
        <v>32948</v>
      </c>
      <c r="C1142" s="9" t="s">
        <v>33153</v>
      </c>
      <c r="D1142" s="9" t="s">
        <v>8491</v>
      </c>
      <c r="E1142" s="9" t="s">
        <v>8490</v>
      </c>
      <c r="F1142" t="s">
        <v>67</v>
      </c>
      <c r="G1142" t="s">
        <v>11773</v>
      </c>
      <c r="H1142" t="s">
        <v>69</v>
      </c>
      <c r="I1142" t="s">
        <v>69</v>
      </c>
      <c r="J1142" t="s">
        <v>69</v>
      </c>
      <c r="K1142" t="s">
        <v>11774</v>
      </c>
      <c r="L1142" t="s">
        <v>69</v>
      </c>
      <c r="M1142" t="s">
        <v>69</v>
      </c>
      <c r="N1142" t="s">
        <v>11775</v>
      </c>
      <c r="O1142" t="s">
        <v>11776</v>
      </c>
      <c r="P1142" t="s">
        <v>69</v>
      </c>
      <c r="Q1142" t="s">
        <v>69</v>
      </c>
      <c r="R1142" t="s">
        <v>8505</v>
      </c>
      <c r="S1142" t="s">
        <v>8506</v>
      </c>
      <c r="T1142" t="s">
        <v>69</v>
      </c>
      <c r="U1142" t="s">
        <v>69</v>
      </c>
      <c r="V1142" t="s">
        <v>69</v>
      </c>
      <c r="W1142" t="s">
        <v>69</v>
      </c>
      <c r="X1142" t="s">
        <v>69</v>
      </c>
      <c r="Y1142" t="s">
        <v>11777</v>
      </c>
      <c r="Z1142" t="s">
        <v>11778</v>
      </c>
      <c r="AA1142" t="s">
        <v>11779</v>
      </c>
      <c r="AB1142" t="s">
        <v>11780</v>
      </c>
      <c r="AC1142" t="s">
        <v>69</v>
      </c>
      <c r="AD1142" t="s">
        <v>11781</v>
      </c>
      <c r="AE1142" t="s">
        <v>11782</v>
      </c>
      <c r="AF1142" t="s">
        <v>69</v>
      </c>
      <c r="AG1142" t="s">
        <v>11783</v>
      </c>
      <c r="AH1142" t="s">
        <v>69</v>
      </c>
      <c r="AI1142" t="s">
        <v>69</v>
      </c>
      <c r="AJ1142" t="s">
        <v>69</v>
      </c>
      <c r="AK1142" t="s">
        <v>69</v>
      </c>
      <c r="AL1142">
        <v>86</v>
      </c>
      <c r="AM1142">
        <v>1</v>
      </c>
      <c r="AN1142">
        <v>1</v>
      </c>
      <c r="AO1142">
        <v>4</v>
      </c>
      <c r="AP1142">
        <v>8</v>
      </c>
      <c r="AQ1142" t="s">
        <v>9047</v>
      </c>
      <c r="AR1142" t="s">
        <v>8693</v>
      </c>
      <c r="AS1142" t="s">
        <v>11784</v>
      </c>
      <c r="AT1142" t="s">
        <v>11785</v>
      </c>
      <c r="AU1142" t="s">
        <v>11786</v>
      </c>
      <c r="AV1142" t="s">
        <v>69</v>
      </c>
      <c r="AW1142" t="s">
        <v>11787</v>
      </c>
      <c r="AX1142" t="s">
        <v>11788</v>
      </c>
      <c r="AY1142" t="s">
        <v>255</v>
      </c>
      <c r="AZ1142">
        <v>2021</v>
      </c>
      <c r="BA1142">
        <v>11</v>
      </c>
      <c r="BB1142">
        <v>3</v>
      </c>
      <c r="BC1142" t="s">
        <v>69</v>
      </c>
      <c r="BD1142" t="s">
        <v>69</v>
      </c>
      <c r="BE1142" t="s">
        <v>114</v>
      </c>
      <c r="BF1142" t="s">
        <v>69</v>
      </c>
      <c r="BG1142">
        <v>329</v>
      </c>
      <c r="BH1142">
        <v>340</v>
      </c>
      <c r="BI1142" t="s">
        <v>69</v>
      </c>
      <c r="BJ1142" t="s">
        <v>11789</v>
      </c>
      <c r="BK1142" t="str">
        <f>HYPERLINK("http://dx.doi.org/10.1007/s13412-021-00711-3","http://dx.doi.org/10.1007/s13412-021-00711-3")</f>
        <v>http://dx.doi.org/10.1007/s13412-021-00711-3</v>
      </c>
      <c r="BL1142" t="s">
        <v>69</v>
      </c>
      <c r="BM1142" t="s">
        <v>11790</v>
      </c>
      <c r="BN1142">
        <v>12</v>
      </c>
      <c r="BO1142" t="s">
        <v>11791</v>
      </c>
      <c r="BP1142" t="s">
        <v>8573</v>
      </c>
      <c r="BQ1142" t="s">
        <v>8662</v>
      </c>
      <c r="BR1142" t="s">
        <v>11792</v>
      </c>
      <c r="BS1142" t="s">
        <v>11794</v>
      </c>
      <c r="BT1142">
        <v>34316429</v>
      </c>
      <c r="BU1142" t="s">
        <v>11793</v>
      </c>
      <c r="BV1142" t="s">
        <v>69</v>
      </c>
      <c r="BW1142" t="s">
        <v>69</v>
      </c>
      <c r="BX1142" t="s">
        <v>8526</v>
      </c>
      <c r="BY1142" t="str">
        <f>HYPERLINK("https%3A%2F%2Fwww.webofscience.com%2Fwos%2Fwoscc%2Ffull-record%2FWOS:000675796400002","View Full Record in Web of Science")</f>
        <v>View Full Record in Web of Science</v>
      </c>
    </row>
    <row r="1143" spans="1:77" ht="12.5" x14ac:dyDescent="0.25">
      <c r="A1143" t="s">
        <v>8495</v>
      </c>
      <c r="B1143" s="7" t="s">
        <v>32933</v>
      </c>
      <c r="C1143" s="7"/>
      <c r="D1143" s="7"/>
      <c r="E1143" s="7"/>
      <c r="F1143" t="s">
        <v>67</v>
      </c>
      <c r="G1143" t="s">
        <v>5052</v>
      </c>
      <c r="H1143" t="s">
        <v>69</v>
      </c>
      <c r="I1143" t="s">
        <v>69</v>
      </c>
      <c r="J1143" t="s">
        <v>69</v>
      </c>
      <c r="K1143" t="s">
        <v>5052</v>
      </c>
      <c r="L1143" t="s">
        <v>69</v>
      </c>
      <c r="M1143" t="s">
        <v>69</v>
      </c>
      <c r="N1143" t="s">
        <v>5053</v>
      </c>
      <c r="O1143" t="s">
        <v>4760</v>
      </c>
      <c r="P1143" t="s">
        <v>69</v>
      </c>
      <c r="Q1143" t="s">
        <v>69</v>
      </c>
      <c r="R1143" t="s">
        <v>8505</v>
      </c>
      <c r="S1143" t="s">
        <v>8506</v>
      </c>
      <c r="T1143" t="s">
        <v>69</v>
      </c>
      <c r="U1143" t="s">
        <v>69</v>
      </c>
      <c r="V1143" t="s">
        <v>69</v>
      </c>
      <c r="W1143" t="s">
        <v>69</v>
      </c>
      <c r="X1143" t="s">
        <v>69</v>
      </c>
      <c r="Y1143" t="s">
        <v>69</v>
      </c>
      <c r="Z1143" t="s">
        <v>69</v>
      </c>
      <c r="AA1143" t="s">
        <v>5054</v>
      </c>
      <c r="AB1143" t="s">
        <v>69</v>
      </c>
      <c r="AC1143" t="s">
        <v>69</v>
      </c>
      <c r="AD1143" t="s">
        <v>32487</v>
      </c>
      <c r="AE1143" t="s">
        <v>69</v>
      </c>
      <c r="AF1143" t="s">
        <v>69</v>
      </c>
      <c r="AG1143" t="s">
        <v>69</v>
      </c>
      <c r="AH1143" t="s">
        <v>69</v>
      </c>
      <c r="AI1143" t="s">
        <v>69</v>
      </c>
      <c r="AJ1143" t="s">
        <v>69</v>
      </c>
      <c r="AK1143" t="s">
        <v>69</v>
      </c>
      <c r="AL1143">
        <v>0</v>
      </c>
      <c r="AM1143">
        <v>0</v>
      </c>
      <c r="AN1143">
        <v>0</v>
      </c>
      <c r="AO1143">
        <v>0</v>
      </c>
      <c r="AP1143">
        <v>1</v>
      </c>
      <c r="AQ1143" t="s">
        <v>32488</v>
      </c>
      <c r="AR1143" t="s">
        <v>32489</v>
      </c>
      <c r="AS1143" t="s">
        <v>32490</v>
      </c>
      <c r="AT1143" t="s">
        <v>5055</v>
      </c>
      <c r="AU1143" t="s">
        <v>69</v>
      </c>
      <c r="AV1143" t="s">
        <v>69</v>
      </c>
      <c r="AW1143" t="s">
        <v>16818</v>
      </c>
      <c r="AX1143" t="s">
        <v>16819</v>
      </c>
      <c r="AY1143" t="s">
        <v>191</v>
      </c>
      <c r="AZ1143">
        <v>1996</v>
      </c>
      <c r="BA1143">
        <v>88</v>
      </c>
      <c r="BB1143">
        <v>2</v>
      </c>
      <c r="BC1143" t="s">
        <v>69</v>
      </c>
      <c r="BD1143" t="s">
        <v>69</v>
      </c>
      <c r="BE1143" t="s">
        <v>69</v>
      </c>
      <c r="BF1143" t="s">
        <v>69</v>
      </c>
      <c r="BG1143">
        <v>44</v>
      </c>
      <c r="BH1143">
        <v>58</v>
      </c>
      <c r="BI1143" t="s">
        <v>69</v>
      </c>
      <c r="BJ1143" t="s">
        <v>69</v>
      </c>
      <c r="BK1143" t="s">
        <v>69</v>
      </c>
      <c r="BL1143" t="s">
        <v>69</v>
      </c>
      <c r="BM1143" t="s">
        <v>69</v>
      </c>
      <c r="BN1143">
        <v>15</v>
      </c>
      <c r="BO1143" t="s">
        <v>9229</v>
      </c>
      <c r="BP1143" t="s">
        <v>8548</v>
      </c>
      <c r="BQ1143" t="s">
        <v>9230</v>
      </c>
      <c r="BR1143" t="s">
        <v>32491</v>
      </c>
      <c r="BS1143" t="s">
        <v>5056</v>
      </c>
      <c r="BT1143" t="s">
        <v>69</v>
      </c>
      <c r="BU1143" t="s">
        <v>69</v>
      </c>
      <c r="BV1143" t="s">
        <v>69</v>
      </c>
      <c r="BW1143" t="s">
        <v>69</v>
      </c>
      <c r="BX1143" t="s">
        <v>8526</v>
      </c>
      <c r="BY1143" t="str">
        <f>HYPERLINK("https%3A%2F%2Fwww.webofscience.com%2Fwos%2Fwoscc%2Ffull-record%2FWOS:A1996TW06100009","View Full Record in Web of Science")</f>
        <v>View Full Record in Web of Science</v>
      </c>
    </row>
    <row r="1144" spans="1:77" x14ac:dyDescent="0.3">
      <c r="A1144" t="s">
        <v>8495</v>
      </c>
      <c r="B1144" s="12" t="s">
        <v>32966</v>
      </c>
      <c r="F1144" t="s">
        <v>67</v>
      </c>
      <c r="G1144" t="s">
        <v>5178</v>
      </c>
      <c r="H1144" t="s">
        <v>69</v>
      </c>
      <c r="I1144" t="s">
        <v>69</v>
      </c>
      <c r="J1144" t="s">
        <v>69</v>
      </c>
      <c r="K1144" s="3" t="s">
        <v>5179</v>
      </c>
      <c r="L1144" t="s">
        <v>69</v>
      </c>
      <c r="M1144" t="s">
        <v>69</v>
      </c>
      <c r="N1144" s="2" t="s">
        <v>5180</v>
      </c>
      <c r="O1144" t="s">
        <v>5181</v>
      </c>
      <c r="P1144" t="s">
        <v>69</v>
      </c>
      <c r="Q1144" t="s">
        <v>69</v>
      </c>
      <c r="R1144" t="s">
        <v>8505</v>
      </c>
      <c r="S1144" t="s">
        <v>8506</v>
      </c>
      <c r="T1144" t="s">
        <v>69</v>
      </c>
      <c r="U1144" t="s">
        <v>69</v>
      </c>
      <c r="V1144" t="s">
        <v>69</v>
      </c>
      <c r="W1144" t="s">
        <v>69</v>
      </c>
      <c r="X1144" t="s">
        <v>69</v>
      </c>
      <c r="Y1144" t="s">
        <v>24424</v>
      </c>
      <c r="Z1144" t="s">
        <v>24425</v>
      </c>
      <c r="AA1144" t="s">
        <v>5182</v>
      </c>
      <c r="AB1144" t="s">
        <v>24426</v>
      </c>
      <c r="AC1144" t="s">
        <v>69</v>
      </c>
      <c r="AD1144" t="s">
        <v>24427</v>
      </c>
      <c r="AE1144" t="s">
        <v>24428</v>
      </c>
      <c r="AF1144" t="s">
        <v>69</v>
      </c>
      <c r="AG1144" t="s">
        <v>69</v>
      </c>
      <c r="AH1144" t="s">
        <v>24429</v>
      </c>
      <c r="AI1144" t="s">
        <v>24430</v>
      </c>
      <c r="AJ1144" t="s">
        <v>24431</v>
      </c>
      <c r="AK1144" t="s">
        <v>69</v>
      </c>
      <c r="AL1144">
        <v>20</v>
      </c>
      <c r="AM1144">
        <v>5</v>
      </c>
      <c r="AN1144">
        <v>5</v>
      </c>
      <c r="AO1144">
        <v>0</v>
      </c>
      <c r="AP1144">
        <v>9</v>
      </c>
      <c r="AQ1144" t="s">
        <v>8865</v>
      </c>
      <c r="AR1144" t="s">
        <v>8612</v>
      </c>
      <c r="AS1144" t="s">
        <v>22341</v>
      </c>
      <c r="AT1144" t="s">
        <v>5183</v>
      </c>
      <c r="AU1144" t="s">
        <v>5184</v>
      </c>
      <c r="AV1144" t="s">
        <v>69</v>
      </c>
      <c r="AW1144" t="s">
        <v>24432</v>
      </c>
      <c r="AX1144" t="s">
        <v>24433</v>
      </c>
      <c r="AY1144" t="s">
        <v>5185</v>
      </c>
      <c r="AZ1144">
        <v>2013</v>
      </c>
      <c r="BA1144">
        <v>5</v>
      </c>
      <c r="BB1144">
        <v>3</v>
      </c>
      <c r="BC1144" t="s">
        <v>69</v>
      </c>
      <c r="BD1144" t="s">
        <v>69</v>
      </c>
      <c r="BE1144" t="s">
        <v>69</v>
      </c>
      <c r="BF1144" t="s">
        <v>69</v>
      </c>
      <c r="BG1144">
        <v>199</v>
      </c>
      <c r="BH1144">
        <v>215</v>
      </c>
      <c r="BI1144" t="s">
        <v>69</v>
      </c>
      <c r="BJ1144" t="s">
        <v>5186</v>
      </c>
      <c r="BK1144" t="str">
        <f>HYPERLINK("http://dx.doi.org/10.1080/19378629.2013.857674","http://dx.doi.org/10.1080/19378629.2013.857674")</f>
        <v>http://dx.doi.org/10.1080/19378629.2013.857674</v>
      </c>
      <c r="BL1144" t="s">
        <v>69</v>
      </c>
      <c r="BM1144" t="s">
        <v>69</v>
      </c>
      <c r="BN1144">
        <v>17</v>
      </c>
      <c r="BO1144" t="s">
        <v>24434</v>
      </c>
      <c r="BP1144" t="s">
        <v>8523</v>
      </c>
      <c r="BQ1144" t="s">
        <v>24435</v>
      </c>
      <c r="BR1144" t="s">
        <v>24436</v>
      </c>
      <c r="BS1144" t="s">
        <v>5187</v>
      </c>
      <c r="BT1144" t="s">
        <v>69</v>
      </c>
      <c r="BU1144" t="s">
        <v>69</v>
      </c>
      <c r="BV1144" t="s">
        <v>69</v>
      </c>
      <c r="BW1144" t="s">
        <v>69</v>
      </c>
      <c r="BX1144" t="s">
        <v>8526</v>
      </c>
      <c r="BY1144" t="str">
        <f>HYPERLINK("https%3A%2F%2Fwww.webofscience.com%2Fwos%2Fwoscc%2Ffull-record%2FWOS:000329153500003","View Full Record in Web of Science")</f>
        <v>View Full Record in Web of Science</v>
      </c>
    </row>
    <row r="1145" spans="1:77" ht="12.5" x14ac:dyDescent="0.25">
      <c r="A1145" t="s">
        <v>8495</v>
      </c>
      <c r="B1145" s="7" t="s">
        <v>32933</v>
      </c>
      <c r="C1145" s="7"/>
      <c r="D1145" s="7"/>
      <c r="E1145" s="7"/>
      <c r="F1145" t="s">
        <v>67</v>
      </c>
      <c r="G1145" t="s">
        <v>6526</v>
      </c>
      <c r="H1145" t="s">
        <v>69</v>
      </c>
      <c r="I1145" t="s">
        <v>69</v>
      </c>
      <c r="J1145" t="s">
        <v>69</v>
      </c>
      <c r="K1145" t="s">
        <v>6527</v>
      </c>
      <c r="L1145" t="s">
        <v>69</v>
      </c>
      <c r="M1145" t="s">
        <v>69</v>
      </c>
      <c r="N1145" t="s">
        <v>6528</v>
      </c>
      <c r="O1145" t="s">
        <v>6529</v>
      </c>
      <c r="P1145" t="s">
        <v>69</v>
      </c>
      <c r="Q1145" t="s">
        <v>69</v>
      </c>
      <c r="R1145" t="s">
        <v>8505</v>
      </c>
      <c r="S1145" t="s">
        <v>10174</v>
      </c>
      <c r="T1145" t="s">
        <v>69</v>
      </c>
      <c r="U1145" t="s">
        <v>69</v>
      </c>
      <c r="V1145" t="s">
        <v>69</v>
      </c>
      <c r="W1145" t="s">
        <v>69</v>
      </c>
      <c r="X1145" t="s">
        <v>69</v>
      </c>
      <c r="Y1145" t="s">
        <v>69</v>
      </c>
      <c r="Z1145" t="s">
        <v>14972</v>
      </c>
      <c r="AA1145" t="s">
        <v>6530</v>
      </c>
      <c r="AB1145" t="s">
        <v>14973</v>
      </c>
      <c r="AC1145" t="s">
        <v>69</v>
      </c>
      <c r="AD1145" t="s">
        <v>14974</v>
      </c>
      <c r="AE1145" t="s">
        <v>14975</v>
      </c>
      <c r="AF1145" t="s">
        <v>69</v>
      </c>
      <c r="AG1145" t="s">
        <v>69</v>
      </c>
      <c r="AH1145" t="s">
        <v>14976</v>
      </c>
      <c r="AI1145" t="s">
        <v>14977</v>
      </c>
      <c r="AJ1145" t="s">
        <v>14978</v>
      </c>
      <c r="AK1145" t="s">
        <v>69</v>
      </c>
      <c r="AL1145">
        <v>12</v>
      </c>
      <c r="AM1145">
        <v>82</v>
      </c>
      <c r="AN1145">
        <v>83</v>
      </c>
      <c r="AO1145">
        <v>4</v>
      </c>
      <c r="AP1145">
        <v>26</v>
      </c>
      <c r="AQ1145" t="s">
        <v>13095</v>
      </c>
      <c r="AR1145" t="s">
        <v>9979</v>
      </c>
      <c r="AS1145" t="s">
        <v>13096</v>
      </c>
      <c r="AT1145" t="s">
        <v>6531</v>
      </c>
      <c r="AU1145" t="s">
        <v>69</v>
      </c>
      <c r="AV1145" t="s">
        <v>69</v>
      </c>
      <c r="AW1145" t="s">
        <v>6529</v>
      </c>
      <c r="AX1145" t="s">
        <v>13097</v>
      </c>
      <c r="AY1145" t="s">
        <v>4402</v>
      </c>
      <c r="AZ1145">
        <v>2020</v>
      </c>
      <c r="BA1145">
        <v>4</v>
      </c>
      <c r="BB1145">
        <v>6</v>
      </c>
      <c r="BC1145" t="s">
        <v>69</v>
      </c>
      <c r="BD1145" t="s">
        <v>69</v>
      </c>
      <c r="BE1145" t="s">
        <v>69</v>
      </c>
      <c r="BF1145" t="s">
        <v>69</v>
      </c>
      <c r="BG1145">
        <v>1137</v>
      </c>
      <c r="BH1145">
        <v>1141</v>
      </c>
      <c r="BI1145" t="s">
        <v>69</v>
      </c>
      <c r="BJ1145" t="s">
        <v>6532</v>
      </c>
      <c r="BK1145" t="str">
        <f>HYPERLINK("http://dx.doi.org/10.1016/j.joule.2020.04.011","http://dx.doi.org/10.1016/j.joule.2020.04.011")</f>
        <v>http://dx.doi.org/10.1016/j.joule.2020.04.011</v>
      </c>
      <c r="BL1145" t="s">
        <v>69</v>
      </c>
      <c r="BM1145" t="s">
        <v>69</v>
      </c>
      <c r="BN1145">
        <v>5</v>
      </c>
      <c r="BO1145" t="s">
        <v>13099</v>
      </c>
      <c r="BP1145" t="s">
        <v>8548</v>
      </c>
      <c r="BQ1145" t="s">
        <v>13100</v>
      </c>
      <c r="BR1145" t="s">
        <v>14979</v>
      </c>
      <c r="BS1145" t="s">
        <v>6533</v>
      </c>
      <c r="BT1145">
        <v>32352076</v>
      </c>
      <c r="BU1145" t="s">
        <v>9029</v>
      </c>
      <c r="BV1145" t="s">
        <v>69</v>
      </c>
      <c r="BW1145" t="s">
        <v>69</v>
      </c>
      <c r="BX1145" t="s">
        <v>8526</v>
      </c>
      <c r="BY1145" t="str">
        <f>HYPERLINK("https%3A%2F%2Fwww.webofscience.com%2Fwos%2Fwoscc%2Ffull-record%2FWOS:000542492800001","View Full Record in Web of Science")</f>
        <v>View Full Record in Web of Science</v>
      </c>
    </row>
    <row r="1146" spans="1:77" ht="12.5" x14ac:dyDescent="0.25">
      <c r="A1146" t="s">
        <v>8495</v>
      </c>
      <c r="B1146" s="22" t="s">
        <v>32931</v>
      </c>
      <c r="C1146" s="7"/>
      <c r="D1146" s="7"/>
      <c r="E1146" s="7"/>
      <c r="F1146" t="s">
        <v>67</v>
      </c>
      <c r="G1146" t="s">
        <v>14313</v>
      </c>
      <c r="H1146" t="s">
        <v>69</v>
      </c>
      <c r="I1146" t="s">
        <v>69</v>
      </c>
      <c r="J1146" t="s">
        <v>69</v>
      </c>
      <c r="K1146" t="s">
        <v>14314</v>
      </c>
      <c r="L1146" t="s">
        <v>69</v>
      </c>
      <c r="M1146" t="s">
        <v>69</v>
      </c>
      <c r="N1146" t="s">
        <v>14315</v>
      </c>
      <c r="O1146" t="s">
        <v>9170</v>
      </c>
      <c r="P1146" t="s">
        <v>69</v>
      </c>
      <c r="Q1146" t="s">
        <v>69</v>
      </c>
      <c r="R1146" t="s">
        <v>8505</v>
      </c>
      <c r="S1146" t="s">
        <v>8506</v>
      </c>
      <c r="T1146" t="s">
        <v>69</v>
      </c>
      <c r="U1146" t="s">
        <v>69</v>
      </c>
      <c r="V1146" t="s">
        <v>69</v>
      </c>
      <c r="W1146" t="s">
        <v>69</v>
      </c>
      <c r="X1146" t="s">
        <v>69</v>
      </c>
      <c r="Y1146" t="s">
        <v>14316</v>
      </c>
      <c r="Z1146" t="s">
        <v>14317</v>
      </c>
      <c r="AA1146" t="s">
        <v>14318</v>
      </c>
      <c r="AB1146" t="s">
        <v>14319</v>
      </c>
      <c r="AC1146" t="s">
        <v>69</v>
      </c>
      <c r="AD1146" t="s">
        <v>14320</v>
      </c>
      <c r="AE1146" t="s">
        <v>14321</v>
      </c>
      <c r="AF1146" t="s">
        <v>69</v>
      </c>
      <c r="AG1146" t="s">
        <v>69</v>
      </c>
      <c r="AH1146" t="s">
        <v>14322</v>
      </c>
      <c r="AI1146" t="s">
        <v>14322</v>
      </c>
      <c r="AJ1146" t="s">
        <v>14323</v>
      </c>
      <c r="AK1146" t="s">
        <v>69</v>
      </c>
      <c r="AL1146">
        <v>34</v>
      </c>
      <c r="AM1146">
        <v>1</v>
      </c>
      <c r="AN1146">
        <v>1</v>
      </c>
      <c r="AO1146">
        <v>0</v>
      </c>
      <c r="AP1146">
        <v>0</v>
      </c>
      <c r="AQ1146" t="s">
        <v>9178</v>
      </c>
      <c r="AR1146" t="s">
        <v>8763</v>
      </c>
      <c r="AS1146" t="s">
        <v>9179</v>
      </c>
      <c r="AT1146" t="s">
        <v>69</v>
      </c>
      <c r="AU1146" t="s">
        <v>9180</v>
      </c>
      <c r="AV1146" t="s">
        <v>69</v>
      </c>
      <c r="AW1146" t="s">
        <v>9181</v>
      </c>
      <c r="AX1146" t="s">
        <v>9182</v>
      </c>
      <c r="AY1146" t="s">
        <v>255</v>
      </c>
      <c r="AZ1146">
        <v>2020</v>
      </c>
      <c r="BA1146">
        <v>9</v>
      </c>
      <c r="BB1146">
        <v>3</v>
      </c>
      <c r="BC1146" t="s">
        <v>69</v>
      </c>
      <c r="BD1146" t="s">
        <v>69</v>
      </c>
      <c r="BE1146" t="s">
        <v>69</v>
      </c>
      <c r="BF1146" t="s">
        <v>69</v>
      </c>
      <c r="BG1146" t="s">
        <v>69</v>
      </c>
      <c r="BH1146" t="s">
        <v>69</v>
      </c>
      <c r="BI1146" t="s">
        <v>14324</v>
      </c>
      <c r="BJ1146" t="s">
        <v>14325</v>
      </c>
      <c r="BK1146" t="str">
        <f>HYPERLINK("http://dx.doi.org/10.1136/bmjoq-2020-001035","http://dx.doi.org/10.1136/bmjoq-2020-001035")</f>
        <v>http://dx.doi.org/10.1136/bmjoq-2020-001035</v>
      </c>
      <c r="BL1146" t="s">
        <v>69</v>
      </c>
      <c r="BM1146" t="s">
        <v>69</v>
      </c>
      <c r="BN1146">
        <v>8</v>
      </c>
      <c r="BO1146" t="s">
        <v>9186</v>
      </c>
      <c r="BP1146" t="s">
        <v>8573</v>
      </c>
      <c r="BQ1146" t="s">
        <v>9187</v>
      </c>
      <c r="BR1146" t="s">
        <v>14326</v>
      </c>
      <c r="BS1146" t="s">
        <v>14327</v>
      </c>
      <c r="BT1146">
        <v>32855158</v>
      </c>
      <c r="BU1146" t="s">
        <v>9352</v>
      </c>
      <c r="BV1146" t="s">
        <v>69</v>
      </c>
      <c r="BW1146" t="s">
        <v>69</v>
      </c>
      <c r="BX1146" t="s">
        <v>8526</v>
      </c>
      <c r="BY1146" t="str">
        <f>HYPERLINK("https%3A%2F%2Fwww.webofscience.com%2Fwos%2Fwoscc%2Ffull-record%2FWOS:000672549900036","View Full Record in Web of Science")</f>
        <v>View Full Record in Web of Science</v>
      </c>
    </row>
    <row r="1147" spans="1:77" ht="12.5" x14ac:dyDescent="0.25">
      <c r="A1147" t="s">
        <v>8495</v>
      </c>
      <c r="B1147" s="7" t="s">
        <v>32933</v>
      </c>
      <c r="C1147" s="7"/>
      <c r="D1147" s="7"/>
      <c r="E1147" s="7"/>
      <c r="F1147" t="s">
        <v>67</v>
      </c>
      <c r="G1147" t="s">
        <v>7718</v>
      </c>
      <c r="H1147" t="s">
        <v>69</v>
      </c>
      <c r="I1147" t="s">
        <v>69</v>
      </c>
      <c r="J1147" t="s">
        <v>69</v>
      </c>
      <c r="K1147" t="s">
        <v>7719</v>
      </c>
      <c r="L1147" t="s">
        <v>69</v>
      </c>
      <c r="M1147" t="s">
        <v>69</v>
      </c>
      <c r="N1147" t="s">
        <v>7720</v>
      </c>
      <c r="O1147" t="s">
        <v>7721</v>
      </c>
      <c r="P1147" t="s">
        <v>69</v>
      </c>
      <c r="Q1147" t="s">
        <v>69</v>
      </c>
      <c r="R1147" t="s">
        <v>8505</v>
      </c>
      <c r="S1147" t="s">
        <v>8506</v>
      </c>
      <c r="T1147" t="s">
        <v>69</v>
      </c>
      <c r="U1147" t="s">
        <v>69</v>
      </c>
      <c r="V1147" t="s">
        <v>69</v>
      </c>
      <c r="W1147" t="s">
        <v>69</v>
      </c>
      <c r="X1147" t="s">
        <v>69</v>
      </c>
      <c r="Y1147" t="s">
        <v>27708</v>
      </c>
      <c r="Z1147" t="s">
        <v>27709</v>
      </c>
      <c r="AA1147" t="s">
        <v>7722</v>
      </c>
      <c r="AB1147" t="s">
        <v>27710</v>
      </c>
      <c r="AC1147" t="s">
        <v>69</v>
      </c>
      <c r="AD1147" t="s">
        <v>27711</v>
      </c>
      <c r="AE1147" t="s">
        <v>27712</v>
      </c>
      <c r="AF1147" t="s">
        <v>69</v>
      </c>
      <c r="AG1147" t="s">
        <v>69</v>
      </c>
      <c r="AH1147" t="s">
        <v>27713</v>
      </c>
      <c r="AI1147" t="s">
        <v>27714</v>
      </c>
      <c r="AJ1147" t="s">
        <v>27715</v>
      </c>
      <c r="AK1147" t="s">
        <v>69</v>
      </c>
      <c r="AL1147">
        <v>30</v>
      </c>
      <c r="AM1147">
        <v>32</v>
      </c>
      <c r="AN1147">
        <v>32</v>
      </c>
      <c r="AO1147">
        <v>2</v>
      </c>
      <c r="AP1147">
        <v>24</v>
      </c>
      <c r="AQ1147" t="s">
        <v>27716</v>
      </c>
      <c r="AR1147" t="s">
        <v>27717</v>
      </c>
      <c r="AS1147" t="s">
        <v>27718</v>
      </c>
      <c r="AT1147" t="s">
        <v>7723</v>
      </c>
      <c r="AU1147" t="s">
        <v>69</v>
      </c>
      <c r="AV1147" t="s">
        <v>69</v>
      </c>
      <c r="AW1147" t="s">
        <v>27719</v>
      </c>
      <c r="AX1147" t="s">
        <v>27720</v>
      </c>
      <c r="AY1147" t="s">
        <v>84</v>
      </c>
      <c r="AZ1147">
        <v>2010</v>
      </c>
      <c r="BA1147">
        <v>26</v>
      </c>
      <c r="BB1147">
        <v>4</v>
      </c>
      <c r="BC1147" t="s">
        <v>69</v>
      </c>
      <c r="BD1147" t="s">
        <v>69</v>
      </c>
      <c r="BE1147" t="s">
        <v>69</v>
      </c>
      <c r="BF1147" t="s">
        <v>69</v>
      </c>
      <c r="BG1147">
        <v>599</v>
      </c>
      <c r="BH1147">
        <v>613</v>
      </c>
      <c r="BI1147" t="s">
        <v>69</v>
      </c>
      <c r="BJ1147" t="s">
        <v>69</v>
      </c>
      <c r="BK1147" t="s">
        <v>69</v>
      </c>
      <c r="BL1147" t="s">
        <v>69</v>
      </c>
      <c r="BM1147" t="s">
        <v>69</v>
      </c>
      <c r="BN1147">
        <v>15</v>
      </c>
      <c r="BO1147" t="s">
        <v>21513</v>
      </c>
      <c r="BP1147" t="s">
        <v>8548</v>
      </c>
      <c r="BQ1147" t="s">
        <v>8450</v>
      </c>
      <c r="BR1147" t="s">
        <v>27721</v>
      </c>
      <c r="BS1147" t="s">
        <v>7724</v>
      </c>
      <c r="BT1147" t="s">
        <v>69</v>
      </c>
      <c r="BU1147" t="s">
        <v>69</v>
      </c>
      <c r="BV1147" t="s">
        <v>69</v>
      </c>
      <c r="BW1147" t="s">
        <v>69</v>
      </c>
      <c r="BX1147" t="s">
        <v>8526</v>
      </c>
      <c r="BY1147" t="str">
        <f>HYPERLINK("https%3A%2F%2Fwww.webofscience.com%2Fwos%2Fwoscc%2Ffull-record%2FWOS:000281451600008","View Full Record in Web of Science")</f>
        <v>View Full Record in Web of Science</v>
      </c>
    </row>
    <row r="1148" spans="1:77" ht="12.5" x14ac:dyDescent="0.25">
      <c r="A1148" t="s">
        <v>8495</v>
      </c>
      <c r="B1148" s="7" t="s">
        <v>32933</v>
      </c>
      <c r="C1148" s="7"/>
      <c r="D1148" s="7"/>
      <c r="E1148" s="7"/>
      <c r="F1148" t="s">
        <v>67</v>
      </c>
      <c r="G1148" t="s">
        <v>3569</v>
      </c>
      <c r="H1148" t="s">
        <v>69</v>
      </c>
      <c r="I1148" t="s">
        <v>69</v>
      </c>
      <c r="J1148" t="s">
        <v>69</v>
      </c>
      <c r="K1148" t="s">
        <v>3570</v>
      </c>
      <c r="L1148" t="s">
        <v>69</v>
      </c>
      <c r="M1148" t="s">
        <v>69</v>
      </c>
      <c r="N1148" t="s">
        <v>3571</v>
      </c>
      <c r="O1148" t="s">
        <v>3572</v>
      </c>
      <c r="P1148" t="s">
        <v>69</v>
      </c>
      <c r="Q1148" t="s">
        <v>69</v>
      </c>
      <c r="R1148" t="s">
        <v>8505</v>
      </c>
      <c r="S1148" t="s">
        <v>8506</v>
      </c>
      <c r="T1148" t="s">
        <v>69</v>
      </c>
      <c r="U1148" t="s">
        <v>69</v>
      </c>
      <c r="V1148" t="s">
        <v>69</v>
      </c>
      <c r="W1148" t="s">
        <v>69</v>
      </c>
      <c r="X1148" t="s">
        <v>69</v>
      </c>
      <c r="Y1148" t="s">
        <v>27888</v>
      </c>
      <c r="Z1148" t="s">
        <v>27889</v>
      </c>
      <c r="AA1148" t="s">
        <v>3573</v>
      </c>
      <c r="AB1148" t="s">
        <v>27890</v>
      </c>
      <c r="AC1148" t="s">
        <v>69</v>
      </c>
      <c r="AD1148" t="s">
        <v>27891</v>
      </c>
      <c r="AE1148" t="s">
        <v>27892</v>
      </c>
      <c r="AF1148" t="s">
        <v>69</v>
      </c>
      <c r="AG1148" t="s">
        <v>69</v>
      </c>
      <c r="AH1148" t="s">
        <v>69</v>
      </c>
      <c r="AI1148" t="s">
        <v>69</v>
      </c>
      <c r="AJ1148" t="s">
        <v>69</v>
      </c>
      <c r="AK1148" t="s">
        <v>69</v>
      </c>
      <c r="AL1148">
        <v>29</v>
      </c>
      <c r="AM1148">
        <v>23</v>
      </c>
      <c r="AN1148">
        <v>23</v>
      </c>
      <c r="AO1148">
        <v>0</v>
      </c>
      <c r="AP1148">
        <v>11</v>
      </c>
      <c r="AQ1148" t="s">
        <v>10352</v>
      </c>
      <c r="AR1148" t="s">
        <v>8637</v>
      </c>
      <c r="AS1148" t="s">
        <v>10353</v>
      </c>
      <c r="AT1148" t="s">
        <v>3574</v>
      </c>
      <c r="AU1148" t="s">
        <v>3575</v>
      </c>
      <c r="AV1148" t="s">
        <v>69</v>
      </c>
      <c r="AW1148" t="s">
        <v>27893</v>
      </c>
      <c r="AX1148" t="s">
        <v>27894</v>
      </c>
      <c r="AY1148" t="s">
        <v>94</v>
      </c>
      <c r="AZ1148">
        <v>2010</v>
      </c>
      <c r="BA1148">
        <v>60</v>
      </c>
      <c r="BB1148">
        <v>2</v>
      </c>
      <c r="BC1148" t="s">
        <v>69</v>
      </c>
      <c r="BD1148" t="s">
        <v>69</v>
      </c>
      <c r="BE1148" t="s">
        <v>69</v>
      </c>
      <c r="BF1148" t="s">
        <v>69</v>
      </c>
      <c r="BG1148">
        <v>139</v>
      </c>
      <c r="BH1148">
        <v>144</v>
      </c>
      <c r="BI1148" t="s">
        <v>69</v>
      </c>
      <c r="BJ1148" t="s">
        <v>3576</v>
      </c>
      <c r="BK1148" t="str">
        <f>HYPERLINK("http://dx.doi.org/10.1093/occmed/kqp175","http://dx.doi.org/10.1093/occmed/kqp175")</f>
        <v>http://dx.doi.org/10.1093/occmed/kqp175</v>
      </c>
      <c r="BL1148" t="s">
        <v>69</v>
      </c>
      <c r="BM1148" t="s">
        <v>69</v>
      </c>
      <c r="BN1148">
        <v>6</v>
      </c>
      <c r="BO1148" t="s">
        <v>8810</v>
      </c>
      <c r="BP1148" t="s">
        <v>8548</v>
      </c>
      <c r="BQ1148" t="s">
        <v>8810</v>
      </c>
      <c r="BR1148" t="s">
        <v>27895</v>
      </c>
      <c r="BS1148" t="s">
        <v>3577</v>
      </c>
      <c r="BT1148">
        <v>20064896</v>
      </c>
      <c r="BU1148" t="s">
        <v>9374</v>
      </c>
      <c r="BV1148" t="s">
        <v>69</v>
      </c>
      <c r="BW1148" t="s">
        <v>69</v>
      </c>
      <c r="BX1148" t="s">
        <v>8526</v>
      </c>
      <c r="BY1148" t="str">
        <f>HYPERLINK("https%3A%2F%2Fwww.webofscience.com%2Fwos%2Fwoscc%2Ffull-record%2FWOS:000274781100011","View Full Record in Web of Science")</f>
        <v>View Full Record in Web of Science</v>
      </c>
    </row>
    <row r="1149" spans="1:77" ht="12.5" x14ac:dyDescent="0.25">
      <c r="A1149" t="s">
        <v>8495</v>
      </c>
      <c r="B1149" s="22" t="s">
        <v>32931</v>
      </c>
      <c r="C1149" s="7"/>
      <c r="D1149" s="7"/>
      <c r="E1149" s="7"/>
      <c r="F1149" t="s">
        <v>67</v>
      </c>
      <c r="G1149" t="s">
        <v>12017</v>
      </c>
      <c r="H1149" t="s">
        <v>69</v>
      </c>
      <c r="I1149" t="s">
        <v>69</v>
      </c>
      <c r="J1149" t="s">
        <v>69</v>
      </c>
      <c r="K1149" t="s">
        <v>12018</v>
      </c>
      <c r="L1149" t="s">
        <v>69</v>
      </c>
      <c r="M1149" t="s">
        <v>69</v>
      </c>
      <c r="N1149" t="s">
        <v>12019</v>
      </c>
      <c r="O1149" t="s">
        <v>12020</v>
      </c>
      <c r="P1149" t="s">
        <v>69</v>
      </c>
      <c r="Q1149" t="s">
        <v>69</v>
      </c>
      <c r="R1149" t="s">
        <v>10071</v>
      </c>
      <c r="S1149" t="s">
        <v>8506</v>
      </c>
      <c r="T1149" t="s">
        <v>69</v>
      </c>
      <c r="U1149" t="s">
        <v>69</v>
      </c>
      <c r="V1149" t="s">
        <v>69</v>
      </c>
      <c r="W1149" t="s">
        <v>69</v>
      </c>
      <c r="X1149" t="s">
        <v>69</v>
      </c>
      <c r="Y1149" t="s">
        <v>12021</v>
      </c>
      <c r="Z1149" t="s">
        <v>12022</v>
      </c>
      <c r="AA1149" t="s">
        <v>12023</v>
      </c>
      <c r="AB1149" t="s">
        <v>12024</v>
      </c>
      <c r="AC1149" t="s">
        <v>69</v>
      </c>
      <c r="AD1149" t="s">
        <v>12025</v>
      </c>
      <c r="AE1149" t="s">
        <v>69</v>
      </c>
      <c r="AF1149" t="s">
        <v>69</v>
      </c>
      <c r="AG1149" t="s">
        <v>69</v>
      </c>
      <c r="AH1149" t="s">
        <v>69</v>
      </c>
      <c r="AI1149" t="s">
        <v>69</v>
      </c>
      <c r="AJ1149" t="s">
        <v>69</v>
      </c>
      <c r="AK1149" t="s">
        <v>69</v>
      </c>
      <c r="AL1149">
        <v>75</v>
      </c>
      <c r="AM1149">
        <v>0</v>
      </c>
      <c r="AN1149">
        <v>0</v>
      </c>
      <c r="AO1149">
        <v>0</v>
      </c>
      <c r="AP1149">
        <v>2</v>
      </c>
      <c r="AQ1149" t="s">
        <v>12026</v>
      </c>
      <c r="AR1149" t="s">
        <v>12027</v>
      </c>
      <c r="AS1149" t="s">
        <v>12028</v>
      </c>
      <c r="AT1149" t="s">
        <v>12029</v>
      </c>
      <c r="AU1149" t="s">
        <v>12030</v>
      </c>
      <c r="AV1149" t="s">
        <v>69</v>
      </c>
      <c r="AW1149" t="s">
        <v>12031</v>
      </c>
      <c r="AX1149" t="s">
        <v>12032</v>
      </c>
      <c r="AY1149" t="s">
        <v>155</v>
      </c>
      <c r="AZ1149">
        <v>2021</v>
      </c>
      <c r="BA1149">
        <v>20</v>
      </c>
      <c r="BB1149">
        <v>2</v>
      </c>
      <c r="BC1149" t="s">
        <v>69</v>
      </c>
      <c r="BD1149" t="s">
        <v>69</v>
      </c>
      <c r="BE1149" t="s">
        <v>69</v>
      </c>
      <c r="BF1149" t="s">
        <v>69</v>
      </c>
      <c r="BG1149">
        <v>67</v>
      </c>
      <c r="BH1149">
        <v>102</v>
      </c>
      <c r="BI1149" t="s">
        <v>69</v>
      </c>
      <c r="BJ1149" t="s">
        <v>69</v>
      </c>
      <c r="BK1149" t="s">
        <v>69</v>
      </c>
      <c r="BL1149" t="s">
        <v>69</v>
      </c>
      <c r="BM1149" t="s">
        <v>69</v>
      </c>
      <c r="BN1149">
        <v>36</v>
      </c>
      <c r="BO1149" t="s">
        <v>8446</v>
      </c>
      <c r="BP1149" t="s">
        <v>8573</v>
      </c>
      <c r="BQ1149" t="s">
        <v>8446</v>
      </c>
      <c r="BR1149" t="s">
        <v>12033</v>
      </c>
      <c r="BS1149" t="s">
        <v>12034</v>
      </c>
      <c r="BT1149" t="s">
        <v>69</v>
      </c>
      <c r="BU1149" t="s">
        <v>69</v>
      </c>
      <c r="BV1149" t="s">
        <v>69</v>
      </c>
      <c r="BW1149" t="s">
        <v>69</v>
      </c>
      <c r="BX1149" t="s">
        <v>8526</v>
      </c>
      <c r="BY1149" t="str">
        <f>HYPERLINK("https%3A%2F%2Fwww.webofscience.com%2Fwos%2Fwoscc%2Ffull-record%2FWOS:000678138800004","View Full Record in Web of Science")</f>
        <v>View Full Record in Web of Science</v>
      </c>
    </row>
    <row r="1150" spans="1:77" ht="12.5" x14ac:dyDescent="0.25">
      <c r="A1150" t="s">
        <v>8495</v>
      </c>
      <c r="B1150" s="7" t="s">
        <v>32933</v>
      </c>
      <c r="C1150" s="7"/>
      <c r="D1150" s="7"/>
      <c r="E1150" s="7"/>
      <c r="F1150" t="s">
        <v>67</v>
      </c>
      <c r="G1150" t="s">
        <v>4356</v>
      </c>
      <c r="H1150" t="s">
        <v>69</v>
      </c>
      <c r="I1150" t="s">
        <v>69</v>
      </c>
      <c r="J1150" t="s">
        <v>69</v>
      </c>
      <c r="K1150" t="s">
        <v>4356</v>
      </c>
      <c r="L1150" t="s">
        <v>69</v>
      </c>
      <c r="M1150" t="s">
        <v>69</v>
      </c>
      <c r="N1150" t="s">
        <v>4357</v>
      </c>
      <c r="O1150" t="s">
        <v>4358</v>
      </c>
      <c r="P1150" t="s">
        <v>69</v>
      </c>
      <c r="Q1150" t="s">
        <v>69</v>
      </c>
      <c r="R1150" t="s">
        <v>8505</v>
      </c>
      <c r="S1150" t="s">
        <v>8506</v>
      </c>
      <c r="T1150" t="s">
        <v>69</v>
      </c>
      <c r="U1150" t="s">
        <v>69</v>
      </c>
      <c r="V1150" t="s">
        <v>69</v>
      </c>
      <c r="W1150" t="s">
        <v>69</v>
      </c>
      <c r="X1150" t="s">
        <v>69</v>
      </c>
      <c r="Y1150" t="s">
        <v>69</v>
      </c>
      <c r="Z1150" t="s">
        <v>69</v>
      </c>
      <c r="AA1150" t="s">
        <v>4359</v>
      </c>
      <c r="AB1150" t="s">
        <v>69</v>
      </c>
      <c r="AC1150" t="s">
        <v>69</v>
      </c>
      <c r="AD1150" t="s">
        <v>69</v>
      </c>
      <c r="AE1150" t="s">
        <v>69</v>
      </c>
      <c r="AF1150" t="s">
        <v>69</v>
      </c>
      <c r="AG1150" t="s">
        <v>69</v>
      </c>
      <c r="AH1150" t="s">
        <v>69</v>
      </c>
      <c r="AI1150" t="s">
        <v>69</v>
      </c>
      <c r="AJ1150" t="s">
        <v>69</v>
      </c>
      <c r="AK1150" t="s">
        <v>69</v>
      </c>
      <c r="AL1150">
        <v>0</v>
      </c>
      <c r="AM1150">
        <v>1</v>
      </c>
      <c r="AN1150">
        <v>1</v>
      </c>
      <c r="AO1150">
        <v>0</v>
      </c>
      <c r="AP1150">
        <v>0</v>
      </c>
      <c r="AQ1150" t="s">
        <v>32541</v>
      </c>
      <c r="AR1150" t="s">
        <v>32489</v>
      </c>
      <c r="AS1150" t="s">
        <v>32542</v>
      </c>
      <c r="AT1150" t="s">
        <v>4360</v>
      </c>
      <c r="AU1150" t="s">
        <v>69</v>
      </c>
      <c r="AV1150" t="s">
        <v>69</v>
      </c>
      <c r="AW1150" t="s">
        <v>32543</v>
      </c>
      <c r="AX1150" t="s">
        <v>32544</v>
      </c>
      <c r="AY1150" t="s">
        <v>75</v>
      </c>
      <c r="AZ1150">
        <v>1995</v>
      </c>
      <c r="BA1150">
        <v>58</v>
      </c>
      <c r="BB1150">
        <v>5</v>
      </c>
      <c r="BC1150" t="s">
        <v>69</v>
      </c>
      <c r="BD1150" t="s">
        <v>69</v>
      </c>
      <c r="BE1150" t="s">
        <v>69</v>
      </c>
      <c r="BF1150" t="s">
        <v>69</v>
      </c>
      <c r="BG1150">
        <v>26</v>
      </c>
      <c r="BH1150">
        <v>30</v>
      </c>
      <c r="BI1150" t="s">
        <v>69</v>
      </c>
      <c r="BJ1150" t="s">
        <v>69</v>
      </c>
      <c r="BK1150" t="s">
        <v>69</v>
      </c>
      <c r="BL1150" t="s">
        <v>69</v>
      </c>
      <c r="BM1150" t="s">
        <v>69</v>
      </c>
      <c r="BN1150">
        <v>5</v>
      </c>
      <c r="BO1150" t="s">
        <v>10595</v>
      </c>
      <c r="BP1150" t="s">
        <v>8548</v>
      </c>
      <c r="BQ1150" t="s">
        <v>10596</v>
      </c>
      <c r="BR1150" t="s">
        <v>32545</v>
      </c>
      <c r="BS1150" t="s">
        <v>4361</v>
      </c>
      <c r="BT1150" t="s">
        <v>69</v>
      </c>
      <c r="BU1150" t="s">
        <v>69</v>
      </c>
      <c r="BV1150" t="s">
        <v>69</v>
      </c>
      <c r="BW1150" t="s">
        <v>69</v>
      </c>
      <c r="BX1150" t="s">
        <v>8526</v>
      </c>
      <c r="BY1150" t="str">
        <f>HYPERLINK("https%3A%2F%2Fwww.webofscience.com%2Fwos%2Fwoscc%2Ffull-record%2FWOS:A1995TT12000006","View Full Record in Web of Science")</f>
        <v>View Full Record in Web of Science</v>
      </c>
    </row>
    <row r="1151" spans="1:77" ht="12.5" x14ac:dyDescent="0.25">
      <c r="A1151" t="s">
        <v>8495</v>
      </c>
      <c r="B1151" s="7" t="s">
        <v>32933</v>
      </c>
      <c r="C1151" s="7"/>
      <c r="D1151" s="7"/>
      <c r="E1151" s="7"/>
      <c r="F1151" t="s">
        <v>67</v>
      </c>
      <c r="G1151" t="s">
        <v>5397</v>
      </c>
      <c r="H1151" t="s">
        <v>69</v>
      </c>
      <c r="I1151" t="s">
        <v>69</v>
      </c>
      <c r="J1151" t="s">
        <v>69</v>
      </c>
      <c r="K1151" t="s">
        <v>5398</v>
      </c>
      <c r="L1151" t="s">
        <v>69</v>
      </c>
      <c r="M1151" t="s">
        <v>69</v>
      </c>
      <c r="N1151" t="s">
        <v>5399</v>
      </c>
      <c r="O1151" t="s">
        <v>5400</v>
      </c>
      <c r="P1151" t="s">
        <v>69</v>
      </c>
      <c r="Q1151" t="s">
        <v>69</v>
      </c>
      <c r="R1151" t="s">
        <v>8505</v>
      </c>
      <c r="S1151" t="s">
        <v>8506</v>
      </c>
      <c r="T1151" t="s">
        <v>69</v>
      </c>
      <c r="U1151" t="s">
        <v>69</v>
      </c>
      <c r="V1151" t="s">
        <v>69</v>
      </c>
      <c r="W1151" t="s">
        <v>69</v>
      </c>
      <c r="X1151" t="s">
        <v>69</v>
      </c>
      <c r="Y1151" t="s">
        <v>20952</v>
      </c>
      <c r="Z1151" t="s">
        <v>20953</v>
      </c>
      <c r="AA1151" t="s">
        <v>5401</v>
      </c>
      <c r="AB1151" t="s">
        <v>20954</v>
      </c>
      <c r="AC1151" t="s">
        <v>69</v>
      </c>
      <c r="AD1151" t="s">
        <v>20955</v>
      </c>
      <c r="AE1151" t="s">
        <v>20956</v>
      </c>
      <c r="AF1151" t="s">
        <v>69</v>
      </c>
      <c r="AG1151" t="s">
        <v>69</v>
      </c>
      <c r="AH1151" t="s">
        <v>20957</v>
      </c>
      <c r="AI1151" t="s">
        <v>20958</v>
      </c>
      <c r="AJ1151" t="s">
        <v>20959</v>
      </c>
      <c r="AK1151" t="s">
        <v>69</v>
      </c>
      <c r="AL1151">
        <v>98</v>
      </c>
      <c r="AM1151">
        <v>24</v>
      </c>
      <c r="AN1151">
        <v>24</v>
      </c>
      <c r="AO1151">
        <v>1</v>
      </c>
      <c r="AP1151">
        <v>12</v>
      </c>
      <c r="AQ1151" t="s">
        <v>8516</v>
      </c>
      <c r="AR1151" t="s">
        <v>8517</v>
      </c>
      <c r="AS1151" t="s">
        <v>8518</v>
      </c>
      <c r="AT1151" t="s">
        <v>5402</v>
      </c>
      <c r="AU1151" t="s">
        <v>5403</v>
      </c>
      <c r="AV1151" t="s">
        <v>69</v>
      </c>
      <c r="AW1151" t="s">
        <v>8974</v>
      </c>
      <c r="AX1151" t="s">
        <v>8975</v>
      </c>
      <c r="AY1151" t="s">
        <v>373</v>
      </c>
      <c r="AZ1151">
        <v>2017</v>
      </c>
      <c r="BA1151">
        <v>23</v>
      </c>
      <c r="BB1151" t="s">
        <v>69</v>
      </c>
      <c r="BC1151" t="s">
        <v>69</v>
      </c>
      <c r="BD1151" t="s">
        <v>69</v>
      </c>
      <c r="BE1151" t="s">
        <v>69</v>
      </c>
      <c r="BF1151" t="s">
        <v>69</v>
      </c>
      <c r="BG1151">
        <v>199</v>
      </c>
      <c r="BH1151">
        <v>210</v>
      </c>
      <c r="BI1151" t="s">
        <v>69</v>
      </c>
      <c r="BJ1151" t="s">
        <v>5404</v>
      </c>
      <c r="BK1151" t="str">
        <f>HYPERLINK("http://dx.doi.org/10.1016/j.erss.2016.09.005","http://dx.doi.org/10.1016/j.erss.2016.09.005")</f>
        <v>http://dx.doi.org/10.1016/j.erss.2016.09.005</v>
      </c>
      <c r="BL1151" t="s">
        <v>69</v>
      </c>
      <c r="BM1151" t="s">
        <v>69</v>
      </c>
      <c r="BN1151">
        <v>12</v>
      </c>
      <c r="BO1151" t="s">
        <v>8660</v>
      </c>
      <c r="BP1151" t="s">
        <v>8661</v>
      </c>
      <c r="BQ1151" t="s">
        <v>8662</v>
      </c>
      <c r="BR1151" t="s">
        <v>20960</v>
      </c>
      <c r="BS1151" t="s">
        <v>5405</v>
      </c>
      <c r="BT1151" t="s">
        <v>69</v>
      </c>
      <c r="BU1151" t="s">
        <v>10423</v>
      </c>
      <c r="BV1151" t="s">
        <v>69</v>
      </c>
      <c r="BW1151" t="s">
        <v>69</v>
      </c>
      <c r="BX1151" t="s">
        <v>8526</v>
      </c>
      <c r="BY1151" t="str">
        <f>HYPERLINK("https%3A%2F%2Fwww.webofscience.com%2Fwos%2Fwoscc%2Ffull-record%2FWOS:000396395200018","View Full Record in Web of Science")</f>
        <v>View Full Record in Web of Science</v>
      </c>
    </row>
    <row r="1152" spans="1:77" ht="12.5" x14ac:dyDescent="0.25">
      <c r="A1152" t="s">
        <v>8495</v>
      </c>
      <c r="B1152" s="22" t="s">
        <v>32931</v>
      </c>
      <c r="C1152" s="7"/>
      <c r="D1152" s="7"/>
      <c r="E1152" s="7"/>
      <c r="F1152" t="s">
        <v>67</v>
      </c>
      <c r="G1152" t="s">
        <v>15327</v>
      </c>
      <c r="H1152" t="s">
        <v>69</v>
      </c>
      <c r="I1152" t="s">
        <v>69</v>
      </c>
      <c r="J1152" t="s">
        <v>69</v>
      </c>
      <c r="K1152" t="s">
        <v>15328</v>
      </c>
      <c r="L1152" t="s">
        <v>69</v>
      </c>
      <c r="M1152" t="s">
        <v>69</v>
      </c>
      <c r="N1152" t="s">
        <v>15329</v>
      </c>
      <c r="O1152" t="s">
        <v>15330</v>
      </c>
      <c r="P1152" t="s">
        <v>69</v>
      </c>
      <c r="Q1152" t="s">
        <v>69</v>
      </c>
      <c r="R1152" t="s">
        <v>8505</v>
      </c>
      <c r="S1152" t="s">
        <v>8506</v>
      </c>
      <c r="T1152" t="s">
        <v>69</v>
      </c>
      <c r="U1152" t="s">
        <v>69</v>
      </c>
      <c r="V1152" t="s">
        <v>69</v>
      </c>
      <c r="W1152" t="s">
        <v>69</v>
      </c>
      <c r="X1152" t="s">
        <v>69</v>
      </c>
      <c r="Y1152" t="s">
        <v>15331</v>
      </c>
      <c r="Z1152" t="s">
        <v>15332</v>
      </c>
      <c r="AA1152" t="s">
        <v>15333</v>
      </c>
      <c r="AB1152" t="s">
        <v>15334</v>
      </c>
      <c r="AC1152" t="s">
        <v>69</v>
      </c>
      <c r="AD1152" t="s">
        <v>15335</v>
      </c>
      <c r="AE1152" t="s">
        <v>15336</v>
      </c>
      <c r="AF1152" t="s">
        <v>15337</v>
      </c>
      <c r="AG1152" t="s">
        <v>15338</v>
      </c>
      <c r="AH1152" t="s">
        <v>69</v>
      </c>
      <c r="AI1152" t="s">
        <v>69</v>
      </c>
      <c r="AJ1152" t="s">
        <v>69</v>
      </c>
      <c r="AK1152" t="s">
        <v>69</v>
      </c>
      <c r="AL1152">
        <v>92</v>
      </c>
      <c r="AM1152">
        <v>1</v>
      </c>
      <c r="AN1152">
        <v>1</v>
      </c>
      <c r="AO1152">
        <v>1</v>
      </c>
      <c r="AP1152">
        <v>22</v>
      </c>
      <c r="AQ1152" t="s">
        <v>8516</v>
      </c>
      <c r="AR1152" t="s">
        <v>8517</v>
      </c>
      <c r="AS1152" t="s">
        <v>8518</v>
      </c>
      <c r="AT1152" t="s">
        <v>15339</v>
      </c>
      <c r="AU1152" t="s">
        <v>15340</v>
      </c>
      <c r="AV1152" t="s">
        <v>69</v>
      </c>
      <c r="AW1152" t="s">
        <v>15341</v>
      </c>
      <c r="AX1152" t="s">
        <v>15342</v>
      </c>
      <c r="AY1152" t="s">
        <v>586</v>
      </c>
      <c r="AZ1152">
        <v>2020</v>
      </c>
      <c r="BA1152">
        <v>61</v>
      </c>
      <c r="BB1152" t="s">
        <v>69</v>
      </c>
      <c r="BC1152" t="s">
        <v>69</v>
      </c>
      <c r="BD1152" t="s">
        <v>69</v>
      </c>
      <c r="BE1152" t="s">
        <v>69</v>
      </c>
      <c r="BF1152" t="s">
        <v>69</v>
      </c>
      <c r="BG1152">
        <v>170</v>
      </c>
      <c r="BH1152">
        <v>180</v>
      </c>
      <c r="BI1152" t="s">
        <v>69</v>
      </c>
      <c r="BJ1152" t="s">
        <v>15343</v>
      </c>
      <c r="BK1152" t="str">
        <f>HYPERLINK("http://dx.doi.org/10.1016/j.socnet.2019.11.002","http://dx.doi.org/10.1016/j.socnet.2019.11.002")</f>
        <v>http://dx.doi.org/10.1016/j.socnet.2019.11.002</v>
      </c>
      <c r="BL1152" t="s">
        <v>69</v>
      </c>
      <c r="BM1152" t="s">
        <v>69</v>
      </c>
      <c r="BN1152">
        <v>11</v>
      </c>
      <c r="BO1152" t="s">
        <v>15344</v>
      </c>
      <c r="BP1152" t="s">
        <v>8661</v>
      </c>
      <c r="BQ1152" t="s">
        <v>15344</v>
      </c>
      <c r="BR1152" t="s">
        <v>15345</v>
      </c>
      <c r="BS1152" t="s">
        <v>15346</v>
      </c>
      <c r="BT1152" t="s">
        <v>69</v>
      </c>
      <c r="BU1152" t="s">
        <v>8622</v>
      </c>
      <c r="BV1152" t="s">
        <v>69</v>
      </c>
      <c r="BW1152" t="s">
        <v>69</v>
      </c>
      <c r="BX1152" t="s">
        <v>8526</v>
      </c>
      <c r="BY1152" t="str">
        <f>HYPERLINK("https%3A%2F%2Fwww.webofscience.com%2Fwos%2Fwoscc%2Ffull-record%2FWOS:000512481500014","View Full Record in Web of Science")</f>
        <v>View Full Record in Web of Science</v>
      </c>
    </row>
    <row r="1153" spans="1:77" x14ac:dyDescent="0.3">
      <c r="A1153" t="s">
        <v>8495</v>
      </c>
      <c r="B1153" s="10" t="s">
        <v>33009</v>
      </c>
      <c r="F1153" t="s">
        <v>67</v>
      </c>
      <c r="G1153" t="s">
        <v>4873</v>
      </c>
      <c r="H1153" t="s">
        <v>69</v>
      </c>
      <c r="I1153" t="s">
        <v>69</v>
      </c>
      <c r="J1153" t="s">
        <v>69</v>
      </c>
      <c r="K1153" s="2" t="s">
        <v>4874</v>
      </c>
      <c r="L1153" t="s">
        <v>69</v>
      </c>
      <c r="M1153" t="s">
        <v>69</v>
      </c>
      <c r="N1153" s="2" t="s">
        <v>4875</v>
      </c>
      <c r="O1153" t="s">
        <v>4399</v>
      </c>
      <c r="P1153" t="s">
        <v>69</v>
      </c>
      <c r="Q1153" t="s">
        <v>69</v>
      </c>
      <c r="R1153" t="s">
        <v>8505</v>
      </c>
      <c r="S1153" t="s">
        <v>8506</v>
      </c>
      <c r="T1153" t="s">
        <v>69</v>
      </c>
      <c r="U1153" t="s">
        <v>69</v>
      </c>
      <c r="V1153" t="s">
        <v>69</v>
      </c>
      <c r="W1153" t="s">
        <v>69</v>
      </c>
      <c r="X1153" t="s">
        <v>69</v>
      </c>
      <c r="Y1153" t="s">
        <v>23578</v>
      </c>
      <c r="Z1153" t="s">
        <v>69</v>
      </c>
      <c r="AA1153" t="s">
        <v>4876</v>
      </c>
      <c r="AB1153" t="s">
        <v>23579</v>
      </c>
      <c r="AC1153" t="s">
        <v>69</v>
      </c>
      <c r="AD1153" t="s">
        <v>23580</v>
      </c>
      <c r="AE1153" t="s">
        <v>23581</v>
      </c>
      <c r="AF1153" t="s">
        <v>69</v>
      </c>
      <c r="AG1153" t="s">
        <v>4877</v>
      </c>
      <c r="AH1153" t="s">
        <v>69</v>
      </c>
      <c r="AI1153" t="s">
        <v>69</v>
      </c>
      <c r="AJ1153" t="s">
        <v>69</v>
      </c>
      <c r="AK1153" t="s">
        <v>69</v>
      </c>
      <c r="AL1153">
        <v>52</v>
      </c>
      <c r="AM1153">
        <v>16</v>
      </c>
      <c r="AN1153">
        <v>16</v>
      </c>
      <c r="AO1153">
        <v>1</v>
      </c>
      <c r="AP1153">
        <v>7</v>
      </c>
      <c r="AQ1153" t="s">
        <v>13217</v>
      </c>
      <c r="AR1153" t="s">
        <v>13218</v>
      </c>
      <c r="AS1153" t="s">
        <v>13219</v>
      </c>
      <c r="AT1153" t="s">
        <v>4401</v>
      </c>
      <c r="AU1153" t="s">
        <v>69</v>
      </c>
      <c r="AV1153" t="s">
        <v>69</v>
      </c>
      <c r="AW1153" t="s">
        <v>13220</v>
      </c>
      <c r="AX1153" t="s">
        <v>13221</v>
      </c>
      <c r="AY1153" t="s">
        <v>381</v>
      </c>
      <c r="AZ1153">
        <v>2014</v>
      </c>
      <c r="BA1153">
        <v>7</v>
      </c>
      <c r="BB1153">
        <v>3</v>
      </c>
      <c r="BC1153" t="s">
        <v>69</v>
      </c>
      <c r="BD1153" t="s">
        <v>69</v>
      </c>
      <c r="BE1153" t="s">
        <v>69</v>
      </c>
      <c r="BF1153" t="s">
        <v>69</v>
      </c>
      <c r="BG1153">
        <v>561</v>
      </c>
      <c r="BH1153">
        <v>583</v>
      </c>
      <c r="BI1153" t="s">
        <v>69</v>
      </c>
      <c r="BJ1153" t="s">
        <v>69</v>
      </c>
      <c r="BK1153" t="s">
        <v>69</v>
      </c>
      <c r="BL1153" t="s">
        <v>69</v>
      </c>
      <c r="BM1153" t="s">
        <v>69</v>
      </c>
      <c r="BN1153">
        <v>23</v>
      </c>
      <c r="BO1153" t="s">
        <v>13222</v>
      </c>
      <c r="BP1153" t="s">
        <v>8523</v>
      </c>
      <c r="BQ1153" t="s">
        <v>11438</v>
      </c>
      <c r="BR1153" t="s">
        <v>23582</v>
      </c>
      <c r="BS1153" t="s">
        <v>4878</v>
      </c>
      <c r="BT1153" t="s">
        <v>69</v>
      </c>
      <c r="BU1153" t="s">
        <v>69</v>
      </c>
      <c r="BV1153" t="s">
        <v>69</v>
      </c>
      <c r="BW1153" t="s">
        <v>69</v>
      </c>
      <c r="BX1153" t="s">
        <v>8526</v>
      </c>
      <c r="BY1153" t="str">
        <f>HYPERLINK("https%3A%2F%2Fwww.webofscience.com%2Fwos%2Fwoscc%2Ffull-record%2FWOS:000209774800007","View Full Record in Web of Science")</f>
        <v>View Full Record in Web of Science</v>
      </c>
    </row>
    <row r="1154" spans="1:77" ht="12.5" x14ac:dyDescent="0.25">
      <c r="A1154" t="s">
        <v>8495</v>
      </c>
      <c r="B1154" s="7" t="s">
        <v>32933</v>
      </c>
      <c r="C1154" s="7"/>
      <c r="D1154" s="7"/>
      <c r="E1154" s="7"/>
      <c r="F1154" t="s">
        <v>67</v>
      </c>
      <c r="G1154" t="s">
        <v>5914</v>
      </c>
      <c r="H1154" t="s">
        <v>69</v>
      </c>
      <c r="I1154" t="s">
        <v>69</v>
      </c>
      <c r="J1154" t="s">
        <v>69</v>
      </c>
      <c r="K1154" t="s">
        <v>5915</v>
      </c>
      <c r="L1154" t="s">
        <v>69</v>
      </c>
      <c r="M1154" t="s">
        <v>69</v>
      </c>
      <c r="N1154" t="s">
        <v>5916</v>
      </c>
      <c r="O1154" t="s">
        <v>5917</v>
      </c>
      <c r="P1154" t="s">
        <v>69</v>
      </c>
      <c r="Q1154" t="s">
        <v>69</v>
      </c>
      <c r="R1154" t="s">
        <v>10071</v>
      </c>
      <c r="S1154" t="s">
        <v>8506</v>
      </c>
      <c r="T1154" t="s">
        <v>69</v>
      </c>
      <c r="U1154" t="s">
        <v>69</v>
      </c>
      <c r="V1154" t="s">
        <v>69</v>
      </c>
      <c r="W1154" t="s">
        <v>69</v>
      </c>
      <c r="X1154" t="s">
        <v>69</v>
      </c>
      <c r="Y1154" t="s">
        <v>16053</v>
      </c>
      <c r="Z1154" t="s">
        <v>16054</v>
      </c>
      <c r="AA1154" t="s">
        <v>5918</v>
      </c>
      <c r="AB1154" t="s">
        <v>16055</v>
      </c>
      <c r="AC1154" t="s">
        <v>69</v>
      </c>
      <c r="AD1154" t="s">
        <v>16056</v>
      </c>
      <c r="AE1154" t="s">
        <v>16057</v>
      </c>
      <c r="AF1154" t="s">
        <v>16058</v>
      </c>
      <c r="AG1154" t="s">
        <v>16059</v>
      </c>
      <c r="AH1154" t="s">
        <v>69</v>
      </c>
      <c r="AI1154" t="s">
        <v>69</v>
      </c>
      <c r="AJ1154" t="s">
        <v>69</v>
      </c>
      <c r="AK1154" t="s">
        <v>69</v>
      </c>
      <c r="AL1154">
        <v>57</v>
      </c>
      <c r="AM1154">
        <v>5</v>
      </c>
      <c r="AN1154">
        <v>5</v>
      </c>
      <c r="AO1154">
        <v>0</v>
      </c>
      <c r="AP1154">
        <v>5</v>
      </c>
      <c r="AQ1154" t="s">
        <v>16060</v>
      </c>
      <c r="AR1154" t="s">
        <v>16061</v>
      </c>
      <c r="AS1154" t="s">
        <v>16062</v>
      </c>
      <c r="AT1154" t="s">
        <v>5919</v>
      </c>
      <c r="AU1154" t="s">
        <v>5920</v>
      </c>
      <c r="AV1154" t="s">
        <v>69</v>
      </c>
      <c r="AW1154" t="s">
        <v>16063</v>
      </c>
      <c r="AX1154" t="s">
        <v>16064</v>
      </c>
      <c r="AY1154" t="s">
        <v>69</v>
      </c>
      <c r="AZ1154">
        <v>2020</v>
      </c>
      <c r="BA1154">
        <v>20</v>
      </c>
      <c r="BB1154">
        <v>1</v>
      </c>
      <c r="BC1154" t="s">
        <v>69</v>
      </c>
      <c r="BD1154" t="s">
        <v>69</v>
      </c>
      <c r="BE1154" t="s">
        <v>69</v>
      </c>
      <c r="BF1154" t="s">
        <v>69</v>
      </c>
      <c r="BG1154">
        <v>41</v>
      </c>
      <c r="BH1154">
        <v>63</v>
      </c>
      <c r="BI1154" t="s">
        <v>69</v>
      </c>
      <c r="BJ1154" t="s">
        <v>5921</v>
      </c>
      <c r="BK1154" t="str">
        <f>HYPERLINK("http://dx.doi.org/10.5295/cdg.170751dg","http://dx.doi.org/10.5295/cdg.170751dg")</f>
        <v>http://dx.doi.org/10.5295/cdg.170751dg</v>
      </c>
      <c r="BL1154" t="s">
        <v>69</v>
      </c>
      <c r="BM1154" t="s">
        <v>69</v>
      </c>
      <c r="BN1154">
        <v>23</v>
      </c>
      <c r="BO1154" t="s">
        <v>16065</v>
      </c>
      <c r="BP1154" t="s">
        <v>8573</v>
      </c>
      <c r="BQ1154" t="s">
        <v>8594</v>
      </c>
      <c r="BR1154" t="s">
        <v>16066</v>
      </c>
      <c r="BS1154" t="s">
        <v>5922</v>
      </c>
      <c r="BT1154" t="s">
        <v>69</v>
      </c>
      <c r="BU1154" t="s">
        <v>12220</v>
      </c>
      <c r="BV1154" t="s">
        <v>69</v>
      </c>
      <c r="BW1154" t="s">
        <v>69</v>
      </c>
      <c r="BX1154" t="s">
        <v>8526</v>
      </c>
      <c r="BY1154" t="str">
        <f>HYPERLINK("https%3A%2F%2Fwww.webofscience.com%2Fwos%2Fwoscc%2Ffull-record%2FWOS:000591857000002","View Full Record in Web of Science")</f>
        <v>View Full Record in Web of Science</v>
      </c>
    </row>
    <row r="1155" spans="1:77" x14ac:dyDescent="0.3">
      <c r="A1155" t="s">
        <v>8495</v>
      </c>
      <c r="B1155" s="9" t="s">
        <v>32954</v>
      </c>
      <c r="C1155" s="9" t="s">
        <v>33154</v>
      </c>
      <c r="D1155" s="9" t="s">
        <v>8491</v>
      </c>
      <c r="E1155" s="9" t="s">
        <v>8490</v>
      </c>
      <c r="F1155" t="s">
        <v>67</v>
      </c>
      <c r="G1155" t="s">
        <v>26146</v>
      </c>
      <c r="H1155" t="s">
        <v>69</v>
      </c>
      <c r="I1155" t="s">
        <v>69</v>
      </c>
      <c r="J1155" t="s">
        <v>69</v>
      </c>
      <c r="K1155" t="s">
        <v>26147</v>
      </c>
      <c r="L1155" t="s">
        <v>69</v>
      </c>
      <c r="M1155" t="s">
        <v>69</v>
      </c>
      <c r="N1155" t="s">
        <v>26148</v>
      </c>
      <c r="O1155" t="s">
        <v>26149</v>
      </c>
      <c r="P1155" t="s">
        <v>69</v>
      </c>
      <c r="Q1155" t="s">
        <v>69</v>
      </c>
      <c r="R1155" t="s">
        <v>8505</v>
      </c>
      <c r="S1155" t="s">
        <v>8506</v>
      </c>
      <c r="T1155" t="s">
        <v>69</v>
      </c>
      <c r="U1155" t="s">
        <v>69</v>
      </c>
      <c r="V1155" t="s">
        <v>69</v>
      </c>
      <c r="W1155" t="s">
        <v>69</v>
      </c>
      <c r="X1155" t="s">
        <v>69</v>
      </c>
      <c r="Y1155" t="s">
        <v>69</v>
      </c>
      <c r="Z1155" t="s">
        <v>69</v>
      </c>
      <c r="AA1155" t="s">
        <v>26150</v>
      </c>
      <c r="AB1155" t="s">
        <v>26151</v>
      </c>
      <c r="AC1155" t="s">
        <v>69</v>
      </c>
      <c r="AD1155" t="s">
        <v>26152</v>
      </c>
      <c r="AE1155" t="s">
        <v>69</v>
      </c>
      <c r="AF1155" t="s">
        <v>69</v>
      </c>
      <c r="AG1155" t="s">
        <v>69</v>
      </c>
      <c r="AH1155" t="s">
        <v>26153</v>
      </c>
      <c r="AI1155" t="s">
        <v>26153</v>
      </c>
      <c r="AJ1155" t="s">
        <v>26154</v>
      </c>
      <c r="AK1155" t="s">
        <v>69</v>
      </c>
      <c r="AL1155">
        <v>18</v>
      </c>
      <c r="AM1155">
        <v>9</v>
      </c>
      <c r="AN1155">
        <v>9</v>
      </c>
      <c r="AO1155">
        <v>3</v>
      </c>
      <c r="AP1155">
        <v>3</v>
      </c>
      <c r="AQ1155" t="s">
        <v>8846</v>
      </c>
      <c r="AR1155" t="s">
        <v>8847</v>
      </c>
      <c r="AS1155" t="s">
        <v>8848</v>
      </c>
      <c r="AT1155" t="s">
        <v>26155</v>
      </c>
      <c r="AU1155" t="s">
        <v>26156</v>
      </c>
      <c r="AV1155" t="s">
        <v>69</v>
      </c>
      <c r="AW1155" t="s">
        <v>26157</v>
      </c>
      <c r="AX1155" t="s">
        <v>26158</v>
      </c>
      <c r="AY1155" t="s">
        <v>4092</v>
      </c>
      <c r="AZ1155">
        <v>2012</v>
      </c>
      <c r="BA1155">
        <v>24</v>
      </c>
      <c r="BB1155">
        <v>2</v>
      </c>
      <c r="BC1155" t="s">
        <v>69</v>
      </c>
      <c r="BD1155" t="s">
        <v>69</v>
      </c>
      <c r="BE1155" t="s">
        <v>69</v>
      </c>
      <c r="BF1155" t="s">
        <v>69</v>
      </c>
      <c r="BG1155">
        <v>49</v>
      </c>
      <c r="BH1155" t="s">
        <v>219</v>
      </c>
      <c r="BI1155" t="s">
        <v>69</v>
      </c>
      <c r="BJ1155" t="s">
        <v>26159</v>
      </c>
      <c r="BK1155" t="str">
        <f>HYPERLINK("http://dx.doi.org/10.1111/j.1745-6622.2012.00378.x","http://dx.doi.org/10.1111/j.1745-6622.2012.00378.x")</f>
        <v>http://dx.doi.org/10.1111/j.1745-6622.2012.00378.x</v>
      </c>
      <c r="BL1155" t="s">
        <v>69</v>
      </c>
      <c r="BM1155" t="s">
        <v>69</v>
      </c>
      <c r="BN1155">
        <v>9</v>
      </c>
      <c r="BO1155" t="s">
        <v>9749</v>
      </c>
      <c r="BP1155" t="s">
        <v>8573</v>
      </c>
      <c r="BQ1155" t="s">
        <v>8594</v>
      </c>
      <c r="BR1155" t="s">
        <v>26160</v>
      </c>
      <c r="BS1155" t="s">
        <v>26161</v>
      </c>
      <c r="BT1155" t="s">
        <v>69</v>
      </c>
      <c r="BU1155" t="s">
        <v>69</v>
      </c>
      <c r="BV1155" t="s">
        <v>69</v>
      </c>
      <c r="BW1155" t="s">
        <v>69</v>
      </c>
      <c r="BX1155" t="s">
        <v>8526</v>
      </c>
      <c r="BY1155" t="str">
        <f>HYPERLINK("https%3A%2F%2Fwww.webofscience.com%2Fwos%2Fwoscc%2Ffull-record%2FWOS:000211599200008","View Full Record in Web of Science")</f>
        <v>View Full Record in Web of Science</v>
      </c>
    </row>
    <row r="1156" spans="1:77" ht="12.5" x14ac:dyDescent="0.25">
      <c r="A1156" t="s">
        <v>8495</v>
      </c>
      <c r="B1156" s="22" t="s">
        <v>32931</v>
      </c>
      <c r="C1156" s="7"/>
      <c r="D1156" s="7"/>
      <c r="E1156" s="7"/>
      <c r="F1156" t="s">
        <v>67</v>
      </c>
      <c r="G1156" t="s">
        <v>31988</v>
      </c>
      <c r="H1156" t="s">
        <v>69</v>
      </c>
      <c r="I1156" t="s">
        <v>69</v>
      </c>
      <c r="J1156" t="s">
        <v>69</v>
      </c>
      <c r="K1156" t="s">
        <v>31988</v>
      </c>
      <c r="L1156" t="s">
        <v>69</v>
      </c>
      <c r="M1156" t="s">
        <v>69</v>
      </c>
      <c r="N1156" t="s">
        <v>31989</v>
      </c>
      <c r="O1156" t="s">
        <v>20134</v>
      </c>
      <c r="P1156" t="s">
        <v>69</v>
      </c>
      <c r="Q1156" t="s">
        <v>69</v>
      </c>
      <c r="R1156" t="s">
        <v>8505</v>
      </c>
      <c r="S1156" t="s">
        <v>8506</v>
      </c>
      <c r="T1156" t="s">
        <v>69</v>
      </c>
      <c r="U1156" t="s">
        <v>69</v>
      </c>
      <c r="V1156" t="s">
        <v>69</v>
      </c>
      <c r="W1156" t="s">
        <v>69</v>
      </c>
      <c r="X1156" t="s">
        <v>69</v>
      </c>
      <c r="Y1156" t="s">
        <v>69</v>
      </c>
      <c r="Z1156" t="s">
        <v>31990</v>
      </c>
      <c r="AA1156" t="s">
        <v>31991</v>
      </c>
      <c r="AB1156" t="s">
        <v>31992</v>
      </c>
      <c r="AC1156" t="s">
        <v>69</v>
      </c>
      <c r="AD1156" t="s">
        <v>31993</v>
      </c>
      <c r="AE1156" t="s">
        <v>69</v>
      </c>
      <c r="AF1156" t="s">
        <v>69</v>
      </c>
      <c r="AG1156" t="s">
        <v>69</v>
      </c>
      <c r="AH1156" t="s">
        <v>69</v>
      </c>
      <c r="AI1156" t="s">
        <v>69</v>
      </c>
      <c r="AJ1156" t="s">
        <v>69</v>
      </c>
      <c r="AK1156" t="s">
        <v>69</v>
      </c>
      <c r="AL1156">
        <v>29</v>
      </c>
      <c r="AM1156">
        <v>3</v>
      </c>
      <c r="AN1156">
        <v>4</v>
      </c>
      <c r="AO1156">
        <v>0</v>
      </c>
      <c r="AP1156">
        <v>6</v>
      </c>
      <c r="AQ1156" t="s">
        <v>9145</v>
      </c>
      <c r="AR1156" t="s">
        <v>8637</v>
      </c>
      <c r="AS1156" t="s">
        <v>9146</v>
      </c>
      <c r="AT1156" t="s">
        <v>20142</v>
      </c>
      <c r="AU1156" t="s">
        <v>20143</v>
      </c>
      <c r="AV1156" t="s">
        <v>69</v>
      </c>
      <c r="AW1156" t="s">
        <v>20144</v>
      </c>
      <c r="AX1156" t="s">
        <v>20145</v>
      </c>
      <c r="AY1156" t="s">
        <v>4157</v>
      </c>
      <c r="AZ1156">
        <v>1999</v>
      </c>
      <c r="BA1156">
        <v>44</v>
      </c>
      <c r="BB1156" t="s">
        <v>31994</v>
      </c>
      <c r="BC1156" t="s">
        <v>69</v>
      </c>
      <c r="BD1156" t="s">
        <v>69</v>
      </c>
      <c r="BE1156" t="s">
        <v>114</v>
      </c>
      <c r="BF1156" t="s">
        <v>69</v>
      </c>
      <c r="BG1156">
        <v>407</v>
      </c>
      <c r="BH1156">
        <v>418</v>
      </c>
      <c r="BI1156" t="s">
        <v>69</v>
      </c>
      <c r="BJ1156" t="s">
        <v>31995</v>
      </c>
      <c r="BK1156" t="str">
        <f>HYPERLINK("http://dx.doi.org/10.1016/S0094-5765(99)00087-9","http://dx.doi.org/10.1016/S0094-5765(99)00087-9")</f>
        <v>http://dx.doi.org/10.1016/S0094-5765(99)00087-9</v>
      </c>
      <c r="BL1156" t="s">
        <v>69</v>
      </c>
      <c r="BM1156" t="s">
        <v>69</v>
      </c>
      <c r="BN1156">
        <v>12</v>
      </c>
      <c r="BO1156" t="s">
        <v>14497</v>
      </c>
      <c r="BP1156" t="s">
        <v>8548</v>
      </c>
      <c r="BQ1156" t="s">
        <v>8445</v>
      </c>
      <c r="BR1156" t="s">
        <v>31996</v>
      </c>
      <c r="BS1156" t="s">
        <v>31997</v>
      </c>
      <c r="BT1156">
        <v>11542518</v>
      </c>
      <c r="BU1156" t="s">
        <v>69</v>
      </c>
      <c r="BV1156" t="s">
        <v>69</v>
      </c>
      <c r="BW1156" t="s">
        <v>69</v>
      </c>
      <c r="BX1156" t="s">
        <v>8526</v>
      </c>
      <c r="BY1156" t="str">
        <f>HYPERLINK("https%3A%2F%2Fwww.webofscience.com%2Fwos%2Fwoscc%2Ffull-record%2FWOS:000082555400012","View Full Record in Web of Science")</f>
        <v>View Full Record in Web of Science</v>
      </c>
    </row>
    <row r="1157" spans="1:77" ht="12.5" x14ac:dyDescent="0.25">
      <c r="A1157" t="s">
        <v>8495</v>
      </c>
      <c r="B1157" s="22" t="s">
        <v>32931</v>
      </c>
      <c r="C1157" s="7"/>
      <c r="D1157" s="7"/>
      <c r="E1157" s="7"/>
      <c r="F1157" t="s">
        <v>67</v>
      </c>
      <c r="G1157" t="s">
        <v>13103</v>
      </c>
      <c r="H1157" t="s">
        <v>69</v>
      </c>
      <c r="I1157" t="s">
        <v>69</v>
      </c>
      <c r="J1157" t="s">
        <v>69</v>
      </c>
      <c r="K1157" t="s">
        <v>13104</v>
      </c>
      <c r="L1157" t="s">
        <v>69</v>
      </c>
      <c r="M1157" t="s">
        <v>69</v>
      </c>
      <c r="N1157" t="s">
        <v>13105</v>
      </c>
      <c r="O1157" t="s">
        <v>7336</v>
      </c>
      <c r="P1157" t="s">
        <v>69</v>
      </c>
      <c r="Q1157" t="s">
        <v>69</v>
      </c>
      <c r="R1157" t="s">
        <v>8505</v>
      </c>
      <c r="S1157" t="s">
        <v>8556</v>
      </c>
      <c r="T1157" t="s">
        <v>69</v>
      </c>
      <c r="U1157" t="s">
        <v>69</v>
      </c>
      <c r="V1157" t="s">
        <v>69</v>
      </c>
      <c r="W1157" t="s">
        <v>69</v>
      </c>
      <c r="X1157" t="s">
        <v>69</v>
      </c>
      <c r="Y1157" t="s">
        <v>13106</v>
      </c>
      <c r="Z1157" t="s">
        <v>13107</v>
      </c>
      <c r="AA1157" t="s">
        <v>13108</v>
      </c>
      <c r="AB1157" t="s">
        <v>13109</v>
      </c>
      <c r="AC1157" t="s">
        <v>69</v>
      </c>
      <c r="AD1157" t="s">
        <v>13110</v>
      </c>
      <c r="AE1157" t="s">
        <v>13111</v>
      </c>
      <c r="AF1157" t="s">
        <v>69</v>
      </c>
      <c r="AG1157" t="s">
        <v>13112</v>
      </c>
      <c r="AH1157" t="s">
        <v>69</v>
      </c>
      <c r="AI1157" t="s">
        <v>69</v>
      </c>
      <c r="AJ1157" t="s">
        <v>69</v>
      </c>
      <c r="AK1157" t="s">
        <v>69</v>
      </c>
      <c r="AL1157">
        <v>75</v>
      </c>
      <c r="AM1157">
        <v>1</v>
      </c>
      <c r="AN1157">
        <v>1</v>
      </c>
      <c r="AO1157">
        <v>0</v>
      </c>
      <c r="AP1157">
        <v>1</v>
      </c>
      <c r="AQ1157" t="s">
        <v>8586</v>
      </c>
      <c r="AR1157" t="s">
        <v>8587</v>
      </c>
      <c r="AS1157" t="s">
        <v>8588</v>
      </c>
      <c r="AT1157" t="s">
        <v>7338</v>
      </c>
      <c r="AU1157" t="s">
        <v>69</v>
      </c>
      <c r="AV1157" t="s">
        <v>69</v>
      </c>
      <c r="AW1157" t="s">
        <v>12700</v>
      </c>
      <c r="AX1157" t="s">
        <v>12701</v>
      </c>
      <c r="AY1157" t="s">
        <v>69</v>
      </c>
      <c r="AZ1157" t="s">
        <v>69</v>
      </c>
      <c r="BA1157" t="s">
        <v>69</v>
      </c>
      <c r="BB1157" t="s">
        <v>69</v>
      </c>
      <c r="BC1157" t="s">
        <v>69</v>
      </c>
      <c r="BD1157" t="s">
        <v>69</v>
      </c>
      <c r="BE1157" t="s">
        <v>69</v>
      </c>
      <c r="BF1157" t="s">
        <v>69</v>
      </c>
      <c r="BG1157" t="s">
        <v>69</v>
      </c>
      <c r="BH1157" t="s">
        <v>69</v>
      </c>
      <c r="BI1157" t="s">
        <v>69</v>
      </c>
      <c r="BJ1157" t="s">
        <v>13113</v>
      </c>
      <c r="BK1157" t="str">
        <f>HYPERLINK("http://dx.doi.org/10.1108/IJBPA-10-2020-0090","http://dx.doi.org/10.1108/IJBPA-10-2020-0090")</f>
        <v>http://dx.doi.org/10.1108/IJBPA-10-2020-0090</v>
      </c>
      <c r="BL1157" t="s">
        <v>69</v>
      </c>
      <c r="BM1157" t="s">
        <v>13029</v>
      </c>
      <c r="BN1157">
        <v>24</v>
      </c>
      <c r="BO1157" t="s">
        <v>10105</v>
      </c>
      <c r="BP1157" t="s">
        <v>8573</v>
      </c>
      <c r="BQ1157" t="s">
        <v>10105</v>
      </c>
      <c r="BR1157" t="s">
        <v>13114</v>
      </c>
      <c r="BS1157" t="s">
        <v>13115</v>
      </c>
      <c r="BT1157" t="s">
        <v>69</v>
      </c>
      <c r="BU1157" t="s">
        <v>69</v>
      </c>
      <c r="BV1157" t="s">
        <v>69</v>
      </c>
      <c r="BW1157" t="s">
        <v>69</v>
      </c>
      <c r="BX1157" t="s">
        <v>8526</v>
      </c>
      <c r="BY1157" t="str">
        <f>HYPERLINK("https%3A%2F%2Fwww.webofscience.com%2Fwos%2Fwoscc%2Ffull-record%2FWOS:000619988900001","View Full Record in Web of Science")</f>
        <v>View Full Record in Web of Science</v>
      </c>
    </row>
    <row r="1158" spans="1:77" ht="12.5" x14ac:dyDescent="0.25">
      <c r="A1158" t="s">
        <v>8495</v>
      </c>
      <c r="B1158" s="7" t="s">
        <v>32933</v>
      </c>
      <c r="C1158" s="7"/>
      <c r="D1158" s="7"/>
      <c r="E1158" s="7"/>
      <c r="F1158" t="s">
        <v>67</v>
      </c>
      <c r="G1158" t="s">
        <v>185</v>
      </c>
      <c r="H1158" t="s">
        <v>69</v>
      </c>
      <c r="I1158" t="s">
        <v>69</v>
      </c>
      <c r="J1158" t="s">
        <v>69</v>
      </c>
      <c r="K1158" t="s">
        <v>186</v>
      </c>
      <c r="L1158" t="s">
        <v>69</v>
      </c>
      <c r="M1158" t="s">
        <v>69</v>
      </c>
      <c r="N1158" t="s">
        <v>187</v>
      </c>
      <c r="O1158" t="s">
        <v>7422</v>
      </c>
      <c r="P1158" t="s">
        <v>69</v>
      </c>
      <c r="Q1158" t="s">
        <v>69</v>
      </c>
      <c r="R1158" t="s">
        <v>12534</v>
      </c>
      <c r="S1158" t="s">
        <v>8506</v>
      </c>
      <c r="T1158" t="s">
        <v>69</v>
      </c>
      <c r="U1158" t="s">
        <v>69</v>
      </c>
      <c r="V1158" t="s">
        <v>69</v>
      </c>
      <c r="W1158" t="s">
        <v>69</v>
      </c>
      <c r="X1158" t="s">
        <v>69</v>
      </c>
      <c r="Y1158" t="s">
        <v>24950</v>
      </c>
      <c r="Z1158" t="s">
        <v>69</v>
      </c>
      <c r="AA1158" t="s">
        <v>7423</v>
      </c>
      <c r="AB1158" t="s">
        <v>24951</v>
      </c>
      <c r="AC1158" t="s">
        <v>69</v>
      </c>
      <c r="AD1158" t="s">
        <v>24952</v>
      </c>
      <c r="AE1158" t="s">
        <v>24953</v>
      </c>
      <c r="AF1158" t="s">
        <v>69</v>
      </c>
      <c r="AG1158" t="s">
        <v>69</v>
      </c>
      <c r="AH1158" t="s">
        <v>69</v>
      </c>
      <c r="AI1158" t="s">
        <v>69</v>
      </c>
      <c r="AJ1158" t="s">
        <v>69</v>
      </c>
      <c r="AK1158" t="s">
        <v>69</v>
      </c>
      <c r="AL1158">
        <v>4</v>
      </c>
      <c r="AM1158">
        <v>0</v>
      </c>
      <c r="AN1158">
        <v>0</v>
      </c>
      <c r="AO1158">
        <v>0</v>
      </c>
      <c r="AP1158">
        <v>6</v>
      </c>
      <c r="AQ1158" t="s">
        <v>24954</v>
      </c>
      <c r="AR1158" t="s">
        <v>11361</v>
      </c>
      <c r="AS1158" t="s">
        <v>24955</v>
      </c>
      <c r="AT1158" t="s">
        <v>7424</v>
      </c>
      <c r="AU1158" t="s">
        <v>7425</v>
      </c>
      <c r="AV1158" t="s">
        <v>69</v>
      </c>
      <c r="AW1158" t="s">
        <v>7422</v>
      </c>
      <c r="AX1158" t="s">
        <v>24956</v>
      </c>
      <c r="AY1158" t="s">
        <v>155</v>
      </c>
      <c r="AZ1158">
        <v>2013</v>
      </c>
      <c r="BA1158">
        <v>90</v>
      </c>
      <c r="BB1158">
        <v>6</v>
      </c>
      <c r="BC1158" t="s">
        <v>69</v>
      </c>
      <c r="BD1158" t="s">
        <v>69</v>
      </c>
      <c r="BE1158" t="s">
        <v>69</v>
      </c>
      <c r="BF1158" t="s">
        <v>69</v>
      </c>
      <c r="BG1158">
        <v>348</v>
      </c>
      <c r="BH1158">
        <v>353</v>
      </c>
      <c r="BI1158" t="s">
        <v>69</v>
      </c>
      <c r="BJ1158" t="s">
        <v>7426</v>
      </c>
      <c r="BK1158" t="str">
        <f>HYPERLINK("http://dx.doi.org/10.1002/bate.201300006","http://dx.doi.org/10.1002/bate.201300006")</f>
        <v>http://dx.doi.org/10.1002/bate.201300006</v>
      </c>
      <c r="BL1158" t="s">
        <v>69</v>
      </c>
      <c r="BM1158" t="s">
        <v>69</v>
      </c>
      <c r="BN1158">
        <v>6</v>
      </c>
      <c r="BO1158" t="s">
        <v>13537</v>
      </c>
      <c r="BP1158" t="s">
        <v>8548</v>
      </c>
      <c r="BQ1158" t="s">
        <v>8445</v>
      </c>
      <c r="BR1158" t="s">
        <v>24957</v>
      </c>
      <c r="BS1158" t="s">
        <v>7427</v>
      </c>
      <c r="BT1158" t="s">
        <v>69</v>
      </c>
      <c r="BU1158" t="s">
        <v>69</v>
      </c>
      <c r="BV1158" t="s">
        <v>69</v>
      </c>
      <c r="BW1158" t="s">
        <v>69</v>
      </c>
      <c r="BX1158" t="s">
        <v>8526</v>
      </c>
      <c r="BY1158" t="str">
        <f>HYPERLINK("https%3A%2F%2Fwww.webofscience.com%2Fwos%2Fwoscc%2Ffull-record%2FWOS:000319825600003","View Full Record in Web of Science")</f>
        <v>View Full Record in Web of Science</v>
      </c>
    </row>
    <row r="1159" spans="1:77" ht="12.5" x14ac:dyDescent="0.25">
      <c r="A1159" t="s">
        <v>8495</v>
      </c>
      <c r="B1159" s="7" t="s">
        <v>32933</v>
      </c>
      <c r="C1159" s="7"/>
      <c r="D1159" s="7"/>
      <c r="E1159" s="7"/>
      <c r="F1159" t="s">
        <v>67</v>
      </c>
      <c r="G1159" t="s">
        <v>185</v>
      </c>
      <c r="H1159" t="s">
        <v>69</v>
      </c>
      <c r="I1159" t="s">
        <v>69</v>
      </c>
      <c r="J1159" t="s">
        <v>69</v>
      </c>
      <c r="K1159" t="s">
        <v>186</v>
      </c>
      <c r="L1159" t="s">
        <v>69</v>
      </c>
      <c r="M1159" t="s">
        <v>69</v>
      </c>
      <c r="N1159" t="s">
        <v>187</v>
      </c>
      <c r="O1159" t="s">
        <v>188</v>
      </c>
      <c r="P1159" t="s">
        <v>69</v>
      </c>
      <c r="Q1159" t="s">
        <v>69</v>
      </c>
      <c r="R1159" t="s">
        <v>8505</v>
      </c>
      <c r="S1159" t="s">
        <v>8506</v>
      </c>
      <c r="T1159" t="s">
        <v>69</v>
      </c>
      <c r="U1159" t="s">
        <v>69</v>
      </c>
      <c r="V1159" t="s">
        <v>69</v>
      </c>
      <c r="W1159" t="s">
        <v>69</v>
      </c>
      <c r="X1159" t="s">
        <v>69</v>
      </c>
      <c r="Y1159" t="s">
        <v>25212</v>
      </c>
      <c r="Z1159" t="s">
        <v>69</v>
      </c>
      <c r="AA1159" t="s">
        <v>189</v>
      </c>
      <c r="AB1159" t="s">
        <v>25213</v>
      </c>
      <c r="AC1159" t="s">
        <v>69</v>
      </c>
      <c r="AD1159" t="s">
        <v>25214</v>
      </c>
      <c r="AE1159" t="s">
        <v>25215</v>
      </c>
      <c r="AF1159" t="s">
        <v>69</v>
      </c>
      <c r="AG1159" t="s">
        <v>69</v>
      </c>
      <c r="AH1159" t="s">
        <v>69</v>
      </c>
      <c r="AI1159" t="s">
        <v>69</v>
      </c>
      <c r="AJ1159" t="s">
        <v>69</v>
      </c>
      <c r="AK1159" t="s">
        <v>69</v>
      </c>
      <c r="AL1159">
        <v>4</v>
      </c>
      <c r="AM1159">
        <v>0</v>
      </c>
      <c r="AN1159">
        <v>0</v>
      </c>
      <c r="AO1159">
        <v>0</v>
      </c>
      <c r="AP1159">
        <v>11</v>
      </c>
      <c r="AQ1159" t="s">
        <v>25216</v>
      </c>
      <c r="AR1159" t="s">
        <v>25217</v>
      </c>
      <c r="AS1159" t="s">
        <v>25218</v>
      </c>
      <c r="AT1159" t="s">
        <v>190</v>
      </c>
      <c r="AU1159" t="s">
        <v>69</v>
      </c>
      <c r="AV1159" t="s">
        <v>69</v>
      </c>
      <c r="AW1159" t="s">
        <v>25219</v>
      </c>
      <c r="AX1159" t="s">
        <v>25220</v>
      </c>
      <c r="AY1159" t="s">
        <v>191</v>
      </c>
      <c r="AZ1159">
        <v>2013</v>
      </c>
      <c r="BA1159">
        <v>23</v>
      </c>
      <c r="BB1159">
        <v>1</v>
      </c>
      <c r="BC1159" t="s">
        <v>69</v>
      </c>
      <c r="BD1159" t="s">
        <v>69</v>
      </c>
      <c r="BE1159" t="s">
        <v>69</v>
      </c>
      <c r="BF1159" t="s">
        <v>69</v>
      </c>
      <c r="BG1159">
        <v>34</v>
      </c>
      <c r="BH1159">
        <v>38</v>
      </c>
      <c r="BI1159" t="s">
        <v>69</v>
      </c>
      <c r="BJ1159" t="s">
        <v>192</v>
      </c>
      <c r="BK1159" t="str">
        <f>HYPERLINK("http://dx.doi.org/10.2749/101686613X13439149157353","http://dx.doi.org/10.2749/101686613X13439149157353")</f>
        <v>http://dx.doi.org/10.2749/101686613X13439149157353</v>
      </c>
      <c r="BL1159" t="s">
        <v>69</v>
      </c>
      <c r="BM1159" t="s">
        <v>69</v>
      </c>
      <c r="BN1159">
        <v>5</v>
      </c>
      <c r="BO1159" t="s">
        <v>11242</v>
      </c>
      <c r="BP1159" t="s">
        <v>8548</v>
      </c>
      <c r="BQ1159" t="s">
        <v>8549</v>
      </c>
      <c r="BR1159" t="s">
        <v>25221</v>
      </c>
      <c r="BS1159" t="s">
        <v>193</v>
      </c>
      <c r="BT1159" t="s">
        <v>69</v>
      </c>
      <c r="BU1159" t="s">
        <v>69</v>
      </c>
      <c r="BV1159" t="s">
        <v>69</v>
      </c>
      <c r="BW1159" t="s">
        <v>69</v>
      </c>
      <c r="BX1159" t="s">
        <v>8526</v>
      </c>
      <c r="BY1159" t="str">
        <f>HYPERLINK("https%3A%2F%2Fwww.webofscience.com%2Fwos%2Fwoscc%2Ffull-record%2FWOS:000314382200008","View Full Record in Web of Science")</f>
        <v>View Full Record in Web of Science</v>
      </c>
    </row>
    <row r="1160" spans="1:77" ht="12.5" x14ac:dyDescent="0.25">
      <c r="A1160" t="s">
        <v>8495</v>
      </c>
      <c r="B1160" s="7" t="s">
        <v>32933</v>
      </c>
      <c r="C1160" s="7"/>
      <c r="D1160" s="7"/>
      <c r="E1160" s="7"/>
      <c r="F1160" t="s">
        <v>67</v>
      </c>
      <c r="G1160" t="s">
        <v>6917</v>
      </c>
      <c r="H1160" t="s">
        <v>69</v>
      </c>
      <c r="I1160" t="s">
        <v>69</v>
      </c>
      <c r="J1160" t="s">
        <v>69</v>
      </c>
      <c r="K1160" t="s">
        <v>6917</v>
      </c>
      <c r="L1160" t="s">
        <v>69</v>
      </c>
      <c r="M1160" t="s">
        <v>69</v>
      </c>
      <c r="N1160" t="s">
        <v>6918</v>
      </c>
      <c r="O1160" t="s">
        <v>6919</v>
      </c>
      <c r="P1160" t="s">
        <v>69</v>
      </c>
      <c r="Q1160" t="s">
        <v>69</v>
      </c>
      <c r="R1160" t="s">
        <v>8505</v>
      </c>
      <c r="S1160" t="s">
        <v>8506</v>
      </c>
      <c r="T1160" t="s">
        <v>69</v>
      </c>
      <c r="U1160" t="s">
        <v>69</v>
      </c>
      <c r="V1160" t="s">
        <v>69</v>
      </c>
      <c r="W1160" t="s">
        <v>69</v>
      </c>
      <c r="X1160" t="s">
        <v>69</v>
      </c>
      <c r="Y1160" t="s">
        <v>32028</v>
      </c>
      <c r="Z1160" t="s">
        <v>69</v>
      </c>
      <c r="AA1160" t="s">
        <v>6920</v>
      </c>
      <c r="AB1160" t="s">
        <v>32029</v>
      </c>
      <c r="AC1160" t="s">
        <v>69</v>
      </c>
      <c r="AD1160" t="s">
        <v>32030</v>
      </c>
      <c r="AE1160" t="s">
        <v>69</v>
      </c>
      <c r="AF1160" t="s">
        <v>69</v>
      </c>
      <c r="AG1160" t="s">
        <v>69</v>
      </c>
      <c r="AH1160" t="s">
        <v>69</v>
      </c>
      <c r="AI1160" t="s">
        <v>69</v>
      </c>
      <c r="AJ1160" t="s">
        <v>69</v>
      </c>
      <c r="AK1160" t="s">
        <v>69</v>
      </c>
      <c r="AL1160">
        <v>3</v>
      </c>
      <c r="AM1160">
        <v>2</v>
      </c>
      <c r="AN1160">
        <v>2</v>
      </c>
      <c r="AO1160">
        <v>0</v>
      </c>
      <c r="AP1160">
        <v>11</v>
      </c>
      <c r="AQ1160" t="s">
        <v>31715</v>
      </c>
      <c r="AR1160" t="s">
        <v>9048</v>
      </c>
      <c r="AS1160" t="s">
        <v>31716</v>
      </c>
      <c r="AT1160" t="s">
        <v>6921</v>
      </c>
      <c r="AU1160" t="s">
        <v>69</v>
      </c>
      <c r="AV1160" t="s">
        <v>69</v>
      </c>
      <c r="AW1160" t="s">
        <v>6919</v>
      </c>
      <c r="AX1160" t="s">
        <v>16486</v>
      </c>
      <c r="AY1160" t="s">
        <v>191</v>
      </c>
      <c r="AZ1160">
        <v>1999</v>
      </c>
      <c r="BA1160">
        <v>26</v>
      </c>
      <c r="BB1160">
        <v>1</v>
      </c>
      <c r="BC1160" t="s">
        <v>69</v>
      </c>
      <c r="BD1160" t="s">
        <v>69</v>
      </c>
      <c r="BE1160" t="s">
        <v>69</v>
      </c>
      <c r="BF1160" t="s">
        <v>69</v>
      </c>
      <c r="BG1160">
        <v>67</v>
      </c>
      <c r="BH1160">
        <v>86</v>
      </c>
      <c r="BI1160" t="s">
        <v>69</v>
      </c>
      <c r="BJ1160" t="s">
        <v>6922</v>
      </c>
      <c r="BK1160" t="str">
        <f>HYPERLINK("http://dx.doi.org/10.1023/A:1005164117855","http://dx.doi.org/10.1023/A:1005164117855")</f>
        <v>http://dx.doi.org/10.1023/A:1005164117855</v>
      </c>
      <c r="BL1160" t="s">
        <v>69</v>
      </c>
      <c r="BM1160" t="s">
        <v>69</v>
      </c>
      <c r="BN1160">
        <v>20</v>
      </c>
      <c r="BO1160" t="s">
        <v>9560</v>
      </c>
      <c r="BP1160" t="s">
        <v>8523</v>
      </c>
      <c r="BQ1160" t="s">
        <v>9561</v>
      </c>
      <c r="BR1160" t="s">
        <v>32031</v>
      </c>
      <c r="BS1160" t="s">
        <v>6923</v>
      </c>
      <c r="BT1160" t="s">
        <v>69</v>
      </c>
      <c r="BU1160" t="s">
        <v>69</v>
      </c>
      <c r="BV1160" t="s">
        <v>69</v>
      </c>
      <c r="BW1160" t="s">
        <v>69</v>
      </c>
      <c r="BX1160" t="s">
        <v>8526</v>
      </c>
      <c r="BY1160" t="str">
        <f>HYPERLINK("https%3A%2F%2Fwww.webofscience.com%2Fwos%2Fwoscc%2Ffull-record%2FWOS:000080941400005","View Full Record in Web of Science")</f>
        <v>View Full Record in Web of Science</v>
      </c>
    </row>
    <row r="1161" spans="1:77" ht="12.5" x14ac:dyDescent="0.25">
      <c r="A1161" t="s">
        <v>8495</v>
      </c>
      <c r="B1161" s="7" t="s">
        <v>32933</v>
      </c>
      <c r="C1161" s="7"/>
      <c r="D1161" s="7"/>
      <c r="E1161" s="7"/>
      <c r="F1161" t="s">
        <v>67</v>
      </c>
      <c r="G1161" t="s">
        <v>7752</v>
      </c>
      <c r="H1161" t="s">
        <v>69</v>
      </c>
      <c r="I1161" t="s">
        <v>69</v>
      </c>
      <c r="J1161" t="s">
        <v>69</v>
      </c>
      <c r="K1161" t="s">
        <v>7752</v>
      </c>
      <c r="L1161" t="s">
        <v>69</v>
      </c>
      <c r="M1161" t="s">
        <v>69</v>
      </c>
      <c r="N1161" s="3" t="s">
        <v>7753</v>
      </c>
      <c r="O1161" t="s">
        <v>6571</v>
      </c>
      <c r="P1161" t="s">
        <v>69</v>
      </c>
      <c r="Q1161" t="s">
        <v>69</v>
      </c>
      <c r="R1161" t="s">
        <v>8505</v>
      </c>
      <c r="S1161" t="s">
        <v>8506</v>
      </c>
      <c r="T1161" t="s">
        <v>69</v>
      </c>
      <c r="U1161" t="s">
        <v>69</v>
      </c>
      <c r="V1161" t="s">
        <v>69</v>
      </c>
      <c r="W1161" t="s">
        <v>69</v>
      </c>
      <c r="X1161" t="s">
        <v>69</v>
      </c>
      <c r="Y1161" t="s">
        <v>69</v>
      </c>
      <c r="Z1161" t="s">
        <v>69</v>
      </c>
      <c r="AA1161" t="s">
        <v>7754</v>
      </c>
      <c r="AB1161" t="s">
        <v>69</v>
      </c>
      <c r="AC1161" t="s">
        <v>69</v>
      </c>
      <c r="AD1161" t="s">
        <v>32319</v>
      </c>
      <c r="AE1161" t="s">
        <v>69</v>
      </c>
      <c r="AF1161" t="s">
        <v>69</v>
      </c>
      <c r="AG1161" t="s">
        <v>69</v>
      </c>
      <c r="AH1161" t="s">
        <v>69</v>
      </c>
      <c r="AI1161" t="s">
        <v>69</v>
      </c>
      <c r="AJ1161" t="s">
        <v>69</v>
      </c>
      <c r="AK1161" t="s">
        <v>69</v>
      </c>
      <c r="AL1161">
        <v>24</v>
      </c>
      <c r="AM1161">
        <v>6</v>
      </c>
      <c r="AN1161">
        <v>6</v>
      </c>
      <c r="AO1161">
        <v>0</v>
      </c>
      <c r="AP1161">
        <v>4</v>
      </c>
      <c r="AQ1161" t="s">
        <v>8692</v>
      </c>
      <c r="AR1161" t="s">
        <v>8693</v>
      </c>
      <c r="AS1161" t="s">
        <v>32320</v>
      </c>
      <c r="AT1161" t="s">
        <v>6573</v>
      </c>
      <c r="AU1161" t="s">
        <v>69</v>
      </c>
      <c r="AV1161" t="s">
        <v>69</v>
      </c>
      <c r="AW1161" t="s">
        <v>10988</v>
      </c>
      <c r="AX1161" t="s">
        <v>10989</v>
      </c>
      <c r="AY1161" t="s">
        <v>2031</v>
      </c>
      <c r="AZ1161">
        <v>1997</v>
      </c>
      <c r="BA1161">
        <v>54</v>
      </c>
      <c r="BB1161" t="s">
        <v>4267</v>
      </c>
      <c r="BC1161" t="s">
        <v>69</v>
      </c>
      <c r="BD1161" t="s">
        <v>69</v>
      </c>
      <c r="BE1161" t="s">
        <v>69</v>
      </c>
      <c r="BF1161" t="s">
        <v>69</v>
      </c>
      <c r="BG1161">
        <v>199</v>
      </c>
      <c r="BH1161">
        <v>214</v>
      </c>
      <c r="BI1161" t="s">
        <v>69</v>
      </c>
      <c r="BJ1161" t="s">
        <v>7755</v>
      </c>
      <c r="BK1161" t="str">
        <f>HYPERLINK("http://dx.doi.org/10.1016/S0040-1625(96)00187-4","http://dx.doi.org/10.1016/S0040-1625(96)00187-4")</f>
        <v>http://dx.doi.org/10.1016/S0040-1625(96)00187-4</v>
      </c>
      <c r="BL1161" t="s">
        <v>69</v>
      </c>
      <c r="BM1161" t="s">
        <v>69</v>
      </c>
      <c r="BN1161">
        <v>16</v>
      </c>
      <c r="BO1161" t="s">
        <v>10992</v>
      </c>
      <c r="BP1161" t="s">
        <v>8661</v>
      </c>
      <c r="BQ1161" t="s">
        <v>10993</v>
      </c>
      <c r="BR1161" t="s">
        <v>32321</v>
      </c>
      <c r="BS1161" t="s">
        <v>7756</v>
      </c>
      <c r="BT1161" t="s">
        <v>69</v>
      </c>
      <c r="BU1161" t="s">
        <v>69</v>
      </c>
      <c r="BV1161" t="s">
        <v>69</v>
      </c>
      <c r="BW1161" t="s">
        <v>69</v>
      </c>
      <c r="BX1161" t="s">
        <v>8526</v>
      </c>
      <c r="BY1161" t="str">
        <f>HYPERLINK("https%3A%2F%2Fwww.webofscience.com%2Fwos%2Fwoscc%2Ffull-record%2FWOS:A1997WQ28500007","View Full Record in Web of Science")</f>
        <v>View Full Record in Web of Science</v>
      </c>
    </row>
    <row r="1162" spans="1:77" ht="12.5" x14ac:dyDescent="0.25">
      <c r="A1162" t="s">
        <v>8495</v>
      </c>
      <c r="B1162" s="7" t="s">
        <v>32933</v>
      </c>
      <c r="C1162" s="7"/>
      <c r="D1162" s="7"/>
      <c r="E1162" s="7"/>
      <c r="F1162" t="s">
        <v>67</v>
      </c>
      <c r="G1162" t="s">
        <v>5710</v>
      </c>
      <c r="H1162" t="s">
        <v>69</v>
      </c>
      <c r="I1162" t="s">
        <v>69</v>
      </c>
      <c r="J1162" t="s">
        <v>69</v>
      </c>
      <c r="K1162" t="s">
        <v>5711</v>
      </c>
      <c r="L1162" t="s">
        <v>69</v>
      </c>
      <c r="M1162" t="s">
        <v>69</v>
      </c>
      <c r="N1162" t="s">
        <v>5712</v>
      </c>
      <c r="O1162" t="s">
        <v>5713</v>
      </c>
      <c r="P1162" t="s">
        <v>69</v>
      </c>
      <c r="Q1162" t="s">
        <v>69</v>
      </c>
      <c r="R1162" t="s">
        <v>8505</v>
      </c>
      <c r="S1162" t="s">
        <v>8506</v>
      </c>
      <c r="T1162" t="s">
        <v>69</v>
      </c>
      <c r="U1162" t="s">
        <v>69</v>
      </c>
      <c r="V1162" t="s">
        <v>69</v>
      </c>
      <c r="W1162" t="s">
        <v>69</v>
      </c>
      <c r="X1162" t="s">
        <v>69</v>
      </c>
      <c r="Y1162" t="s">
        <v>28405</v>
      </c>
      <c r="Z1162" t="s">
        <v>28406</v>
      </c>
      <c r="AA1162" t="s">
        <v>5714</v>
      </c>
      <c r="AB1162" t="s">
        <v>28407</v>
      </c>
      <c r="AC1162" t="s">
        <v>69</v>
      </c>
      <c r="AD1162" t="s">
        <v>28408</v>
      </c>
      <c r="AE1162" t="s">
        <v>28409</v>
      </c>
      <c r="AF1162" t="s">
        <v>69</v>
      </c>
      <c r="AG1162" t="s">
        <v>69</v>
      </c>
      <c r="AH1162" t="s">
        <v>69</v>
      </c>
      <c r="AI1162" t="s">
        <v>69</v>
      </c>
      <c r="AJ1162" t="s">
        <v>69</v>
      </c>
      <c r="AK1162" t="s">
        <v>69</v>
      </c>
      <c r="AL1162">
        <v>59</v>
      </c>
      <c r="AM1162">
        <v>66</v>
      </c>
      <c r="AN1162">
        <v>67</v>
      </c>
      <c r="AO1162">
        <v>2</v>
      </c>
      <c r="AP1162">
        <v>41</v>
      </c>
      <c r="AQ1162" t="s">
        <v>8762</v>
      </c>
      <c r="AR1162" t="s">
        <v>8763</v>
      </c>
      <c r="AS1162" t="s">
        <v>8764</v>
      </c>
      <c r="AT1162" t="s">
        <v>5715</v>
      </c>
      <c r="AU1162" t="s">
        <v>5716</v>
      </c>
      <c r="AV1162" t="s">
        <v>69</v>
      </c>
      <c r="AW1162" t="s">
        <v>28410</v>
      </c>
      <c r="AX1162" t="s">
        <v>28411</v>
      </c>
      <c r="AY1162" t="s">
        <v>84</v>
      </c>
      <c r="AZ1162">
        <v>2009</v>
      </c>
      <c r="BA1162">
        <v>57</v>
      </c>
      <c r="BB1162">
        <v>4</v>
      </c>
      <c r="BC1162" t="s">
        <v>69</v>
      </c>
      <c r="BD1162" t="s">
        <v>69</v>
      </c>
      <c r="BE1162" t="s">
        <v>69</v>
      </c>
      <c r="BF1162" t="s">
        <v>69</v>
      </c>
      <c r="BG1162">
        <v>581</v>
      </c>
      <c r="BH1162">
        <v>605</v>
      </c>
      <c r="BI1162" t="s">
        <v>69</v>
      </c>
      <c r="BJ1162" t="s">
        <v>5717</v>
      </c>
      <c r="BK1162" t="str">
        <f>HYPERLINK("http://dx.doi.org/10.1177/0011392109104355","http://dx.doi.org/10.1177/0011392109104355")</f>
        <v>http://dx.doi.org/10.1177/0011392109104355</v>
      </c>
      <c r="BL1162" t="s">
        <v>69</v>
      </c>
      <c r="BM1162" t="s">
        <v>69</v>
      </c>
      <c r="BN1162">
        <v>25</v>
      </c>
      <c r="BO1162" t="s">
        <v>12930</v>
      </c>
      <c r="BP1162" t="s">
        <v>8661</v>
      </c>
      <c r="BQ1162" t="s">
        <v>12930</v>
      </c>
      <c r="BR1162" t="s">
        <v>28412</v>
      </c>
      <c r="BS1162" t="s">
        <v>5718</v>
      </c>
      <c r="BT1162" t="s">
        <v>69</v>
      </c>
      <c r="BU1162" t="s">
        <v>10995</v>
      </c>
      <c r="BV1162" t="s">
        <v>69</v>
      </c>
      <c r="BW1162" t="s">
        <v>69</v>
      </c>
      <c r="BX1162" t="s">
        <v>8526</v>
      </c>
      <c r="BY1162" t="str">
        <f>HYPERLINK("https%3A%2F%2Fwww.webofscience.com%2Fwos%2Fwoscc%2Ffull-record%2FWOS:000267635900006","View Full Record in Web of Science")</f>
        <v>View Full Record in Web of Science</v>
      </c>
    </row>
    <row r="1163" spans="1:77" ht="12.5" x14ac:dyDescent="0.25">
      <c r="A1163" t="s">
        <v>8495</v>
      </c>
      <c r="B1163" s="7" t="s">
        <v>32933</v>
      </c>
      <c r="C1163" s="7"/>
      <c r="D1163" s="7"/>
      <c r="E1163" s="7"/>
      <c r="F1163" t="s">
        <v>67</v>
      </c>
      <c r="G1163" t="s">
        <v>7388</v>
      </c>
      <c r="H1163" t="s">
        <v>69</v>
      </c>
      <c r="I1163" t="s">
        <v>69</v>
      </c>
      <c r="J1163" t="s">
        <v>69</v>
      </c>
      <c r="K1163" t="s">
        <v>7389</v>
      </c>
      <c r="L1163" t="s">
        <v>69</v>
      </c>
      <c r="M1163" t="s">
        <v>69</v>
      </c>
      <c r="N1163" t="s">
        <v>7390</v>
      </c>
      <c r="O1163" t="s">
        <v>80</v>
      </c>
      <c r="P1163" t="s">
        <v>69</v>
      </c>
      <c r="Q1163" t="s">
        <v>69</v>
      </c>
      <c r="R1163" t="s">
        <v>8505</v>
      </c>
      <c r="S1163" t="s">
        <v>8506</v>
      </c>
      <c r="T1163" t="s">
        <v>69</v>
      </c>
      <c r="U1163" t="s">
        <v>69</v>
      </c>
      <c r="V1163" t="s">
        <v>69</v>
      </c>
      <c r="W1163" t="s">
        <v>69</v>
      </c>
      <c r="X1163" t="s">
        <v>69</v>
      </c>
      <c r="Y1163" t="s">
        <v>18113</v>
      </c>
      <c r="Z1163" t="s">
        <v>18114</v>
      </c>
      <c r="AA1163" t="s">
        <v>7391</v>
      </c>
      <c r="AB1163" t="s">
        <v>18115</v>
      </c>
      <c r="AC1163" t="s">
        <v>69</v>
      </c>
      <c r="AD1163" t="s">
        <v>18116</v>
      </c>
      <c r="AE1163" t="s">
        <v>18117</v>
      </c>
      <c r="AF1163" t="s">
        <v>18118</v>
      </c>
      <c r="AG1163" t="s">
        <v>18119</v>
      </c>
      <c r="AH1163" t="s">
        <v>69</v>
      </c>
      <c r="AI1163" t="s">
        <v>69</v>
      </c>
      <c r="AJ1163" t="s">
        <v>69</v>
      </c>
      <c r="AK1163" t="s">
        <v>69</v>
      </c>
      <c r="AL1163">
        <v>21</v>
      </c>
      <c r="AM1163">
        <v>4</v>
      </c>
      <c r="AN1163">
        <v>4</v>
      </c>
      <c r="AO1163">
        <v>1</v>
      </c>
      <c r="AP1163">
        <v>8</v>
      </c>
      <c r="AQ1163" t="s">
        <v>14819</v>
      </c>
      <c r="AR1163" t="s">
        <v>14820</v>
      </c>
      <c r="AS1163" t="s">
        <v>14821</v>
      </c>
      <c r="AT1163" t="s">
        <v>83</v>
      </c>
      <c r="AU1163" t="s">
        <v>69</v>
      </c>
      <c r="AV1163" t="s">
        <v>69</v>
      </c>
      <c r="AW1163" t="s">
        <v>14822</v>
      </c>
      <c r="AX1163" t="s">
        <v>14823</v>
      </c>
      <c r="AY1163" t="s">
        <v>274</v>
      </c>
      <c r="AZ1163">
        <v>2018</v>
      </c>
      <c r="BA1163">
        <v>4</v>
      </c>
      <c r="BB1163">
        <v>11</v>
      </c>
      <c r="BC1163" t="s">
        <v>69</v>
      </c>
      <c r="BD1163" t="s">
        <v>69</v>
      </c>
      <c r="BE1163" t="s">
        <v>69</v>
      </c>
      <c r="BF1163" t="s">
        <v>69</v>
      </c>
      <c r="BG1163">
        <v>2692</v>
      </c>
      <c r="BH1163">
        <v>2701</v>
      </c>
      <c r="BI1163" t="s">
        <v>69</v>
      </c>
      <c r="BJ1163" t="s">
        <v>7392</v>
      </c>
      <c r="BK1163" t="str">
        <f>HYPERLINK("http://dx.doi.org/10.28991/cej-03091192","http://dx.doi.org/10.28991/cej-03091192")</f>
        <v>http://dx.doi.org/10.28991/cej-03091192</v>
      </c>
      <c r="BL1163" t="s">
        <v>69</v>
      </c>
      <c r="BM1163" t="s">
        <v>69</v>
      </c>
      <c r="BN1163">
        <v>10</v>
      </c>
      <c r="BO1163" t="s">
        <v>13537</v>
      </c>
      <c r="BP1163" t="s">
        <v>8573</v>
      </c>
      <c r="BQ1163" t="s">
        <v>8445</v>
      </c>
      <c r="BR1163" t="s">
        <v>18120</v>
      </c>
      <c r="BS1163" t="s">
        <v>7393</v>
      </c>
      <c r="BT1163" t="s">
        <v>69</v>
      </c>
      <c r="BU1163" t="s">
        <v>12220</v>
      </c>
      <c r="BV1163" t="s">
        <v>69</v>
      </c>
      <c r="BW1163" t="s">
        <v>69</v>
      </c>
      <c r="BX1163" t="s">
        <v>8526</v>
      </c>
      <c r="BY1163" t="str">
        <f>HYPERLINK("https%3A%2F%2Fwww.webofscience.com%2Fwos%2Fwoscc%2Ffull-record%2FWOS:000454182400016","View Full Record in Web of Science")</f>
        <v>View Full Record in Web of Science</v>
      </c>
    </row>
    <row r="1164" spans="1:77" ht="12.5" x14ac:dyDescent="0.25">
      <c r="A1164" t="s">
        <v>8495</v>
      </c>
      <c r="B1164" s="22" t="s">
        <v>32931</v>
      </c>
      <c r="C1164" s="7"/>
      <c r="D1164" s="7"/>
      <c r="E1164" s="7"/>
      <c r="F1164" t="s">
        <v>67</v>
      </c>
      <c r="G1164" t="s">
        <v>14555</v>
      </c>
      <c r="H1164" t="s">
        <v>69</v>
      </c>
      <c r="I1164" t="s">
        <v>69</v>
      </c>
      <c r="J1164" t="s">
        <v>69</v>
      </c>
      <c r="K1164" t="s">
        <v>14556</v>
      </c>
      <c r="L1164" t="s">
        <v>69</v>
      </c>
      <c r="M1164" t="s">
        <v>69</v>
      </c>
      <c r="N1164" t="s">
        <v>14557</v>
      </c>
      <c r="O1164" t="s">
        <v>14558</v>
      </c>
      <c r="P1164" t="s">
        <v>69</v>
      </c>
      <c r="Q1164" t="s">
        <v>69</v>
      </c>
      <c r="R1164" t="s">
        <v>8505</v>
      </c>
      <c r="S1164" t="s">
        <v>8506</v>
      </c>
      <c r="T1164" t="s">
        <v>69</v>
      </c>
      <c r="U1164" t="s">
        <v>69</v>
      </c>
      <c r="V1164" t="s">
        <v>69</v>
      </c>
      <c r="W1164" t="s">
        <v>69</v>
      </c>
      <c r="X1164" t="s">
        <v>69</v>
      </c>
      <c r="Y1164" t="s">
        <v>14559</v>
      </c>
      <c r="Z1164" t="s">
        <v>14560</v>
      </c>
      <c r="AA1164" t="s">
        <v>14561</v>
      </c>
      <c r="AB1164" t="s">
        <v>14562</v>
      </c>
      <c r="AC1164" t="s">
        <v>69</v>
      </c>
      <c r="AD1164" t="s">
        <v>14563</v>
      </c>
      <c r="AE1164" t="s">
        <v>14564</v>
      </c>
      <c r="AF1164" t="s">
        <v>14565</v>
      </c>
      <c r="AG1164" t="s">
        <v>14566</v>
      </c>
      <c r="AH1164" t="s">
        <v>69</v>
      </c>
      <c r="AI1164" t="s">
        <v>69</v>
      </c>
      <c r="AJ1164" t="s">
        <v>69</v>
      </c>
      <c r="AK1164" t="s">
        <v>69</v>
      </c>
      <c r="AL1164">
        <v>31</v>
      </c>
      <c r="AM1164">
        <v>4</v>
      </c>
      <c r="AN1164">
        <v>4</v>
      </c>
      <c r="AO1164">
        <v>2</v>
      </c>
      <c r="AP1164">
        <v>5</v>
      </c>
      <c r="AQ1164" t="s">
        <v>8826</v>
      </c>
      <c r="AR1164" t="s">
        <v>8827</v>
      </c>
      <c r="AS1164" t="s">
        <v>8828</v>
      </c>
      <c r="AT1164" t="s">
        <v>14567</v>
      </c>
      <c r="AU1164" t="s">
        <v>14568</v>
      </c>
      <c r="AV1164" t="s">
        <v>69</v>
      </c>
      <c r="AW1164" t="s">
        <v>14569</v>
      </c>
      <c r="AX1164" t="s">
        <v>14570</v>
      </c>
      <c r="AY1164" t="s">
        <v>442</v>
      </c>
      <c r="AZ1164">
        <v>2021</v>
      </c>
      <c r="BA1164">
        <v>61</v>
      </c>
      <c r="BB1164">
        <v>3</v>
      </c>
      <c r="BC1164" t="s">
        <v>69</v>
      </c>
      <c r="BD1164" t="s">
        <v>69</v>
      </c>
      <c r="BE1164" t="s">
        <v>69</v>
      </c>
      <c r="BF1164" t="s">
        <v>69</v>
      </c>
      <c r="BG1164">
        <v>201</v>
      </c>
      <c r="BH1164">
        <v>207</v>
      </c>
      <c r="BI1164" t="s">
        <v>69</v>
      </c>
      <c r="BJ1164" t="s">
        <v>14571</v>
      </c>
      <c r="BK1164" t="str">
        <f>HYPERLINK("http://dx.doi.org/10.1071/AN20115","http://dx.doi.org/10.1071/AN20115")</f>
        <v>http://dx.doi.org/10.1071/AN20115</v>
      </c>
      <c r="BL1164" t="s">
        <v>69</v>
      </c>
      <c r="BM1164" t="s">
        <v>1917</v>
      </c>
      <c r="BN1164">
        <v>7</v>
      </c>
      <c r="BO1164" t="s">
        <v>9683</v>
      </c>
      <c r="BP1164" t="s">
        <v>8548</v>
      </c>
      <c r="BQ1164" t="s">
        <v>8450</v>
      </c>
      <c r="BR1164" t="s">
        <v>14572</v>
      </c>
      <c r="BS1164" t="s">
        <v>14573</v>
      </c>
      <c r="BT1164" t="s">
        <v>69</v>
      </c>
      <c r="BU1164" t="s">
        <v>8622</v>
      </c>
      <c r="BV1164" t="s">
        <v>69</v>
      </c>
      <c r="BW1164" t="s">
        <v>69</v>
      </c>
      <c r="BX1164" t="s">
        <v>8526</v>
      </c>
      <c r="BY1164" t="str">
        <f>HYPERLINK("https%3A%2F%2Fwww.webofscience.com%2Fwos%2Fwoscc%2Ffull-record%2FWOS:000561932300001","View Full Record in Web of Science")</f>
        <v>View Full Record in Web of Science</v>
      </c>
    </row>
    <row r="1165" spans="1:77" ht="12.5" x14ac:dyDescent="0.25">
      <c r="A1165" t="s">
        <v>8495</v>
      </c>
      <c r="B1165" s="22" t="s">
        <v>32931</v>
      </c>
      <c r="C1165" s="7"/>
      <c r="D1165" s="7"/>
      <c r="E1165" s="7"/>
      <c r="F1165" t="s">
        <v>67</v>
      </c>
      <c r="G1165" t="s">
        <v>13637</v>
      </c>
      <c r="H1165" t="s">
        <v>69</v>
      </c>
      <c r="I1165" t="s">
        <v>69</v>
      </c>
      <c r="J1165" t="s">
        <v>69</v>
      </c>
      <c r="K1165" t="s">
        <v>13638</v>
      </c>
      <c r="L1165" t="s">
        <v>69</v>
      </c>
      <c r="M1165" t="s">
        <v>69</v>
      </c>
      <c r="N1165" t="s">
        <v>13639</v>
      </c>
      <c r="O1165" t="s">
        <v>5493</v>
      </c>
      <c r="P1165" t="s">
        <v>69</v>
      </c>
      <c r="Q1165" t="s">
        <v>69</v>
      </c>
      <c r="R1165" t="s">
        <v>9357</v>
      </c>
      <c r="S1165" t="s">
        <v>8506</v>
      </c>
      <c r="T1165" t="s">
        <v>69</v>
      </c>
      <c r="U1165" t="s">
        <v>69</v>
      </c>
      <c r="V1165" t="s">
        <v>69</v>
      </c>
      <c r="W1165" t="s">
        <v>69</v>
      </c>
      <c r="X1165" t="s">
        <v>69</v>
      </c>
      <c r="Y1165" t="s">
        <v>13640</v>
      </c>
      <c r="Z1165" t="s">
        <v>69</v>
      </c>
      <c r="AA1165" t="s">
        <v>13641</v>
      </c>
      <c r="AB1165" t="s">
        <v>13642</v>
      </c>
      <c r="AC1165" t="s">
        <v>69</v>
      </c>
      <c r="AD1165" t="s">
        <v>13643</v>
      </c>
      <c r="AE1165" t="s">
        <v>13644</v>
      </c>
      <c r="AF1165" t="s">
        <v>69</v>
      </c>
      <c r="AG1165" t="s">
        <v>69</v>
      </c>
      <c r="AH1165" t="s">
        <v>69</v>
      </c>
      <c r="AI1165" t="s">
        <v>69</v>
      </c>
      <c r="AJ1165" t="s">
        <v>69</v>
      </c>
      <c r="AK1165" t="s">
        <v>69</v>
      </c>
      <c r="AL1165">
        <v>19</v>
      </c>
      <c r="AM1165">
        <v>1</v>
      </c>
      <c r="AN1165">
        <v>1</v>
      </c>
      <c r="AO1165">
        <v>0</v>
      </c>
      <c r="AP1165">
        <v>0</v>
      </c>
      <c r="AQ1165" t="s">
        <v>13645</v>
      </c>
      <c r="AR1165" t="s">
        <v>9367</v>
      </c>
      <c r="AS1165" t="s">
        <v>13646</v>
      </c>
      <c r="AT1165" t="s">
        <v>5497</v>
      </c>
      <c r="AU1165" t="s">
        <v>69</v>
      </c>
      <c r="AV1165" t="s">
        <v>69</v>
      </c>
      <c r="AW1165" t="s">
        <v>13647</v>
      </c>
      <c r="AX1165" t="s">
        <v>13648</v>
      </c>
      <c r="AY1165" t="s">
        <v>69</v>
      </c>
      <c r="AZ1165">
        <v>2021</v>
      </c>
      <c r="BA1165">
        <v>19</v>
      </c>
      <c r="BB1165">
        <v>2</v>
      </c>
      <c r="BC1165" t="s">
        <v>69</v>
      </c>
      <c r="BD1165" t="s">
        <v>69</v>
      </c>
      <c r="BE1165" t="s">
        <v>69</v>
      </c>
      <c r="BF1165" t="s">
        <v>69</v>
      </c>
      <c r="BG1165">
        <v>253</v>
      </c>
      <c r="BH1165">
        <v>268</v>
      </c>
      <c r="BI1165" t="s">
        <v>69</v>
      </c>
      <c r="BJ1165" t="s">
        <v>13649</v>
      </c>
      <c r="BK1165" t="str">
        <f>HYPERLINK("http://dx.doi.org/10.17323/727-0634-2021-19-2-253-268","http://dx.doi.org/10.17323/727-0634-2021-19-2-253-268")</f>
        <v>http://dx.doi.org/10.17323/727-0634-2021-19-2-253-268</v>
      </c>
      <c r="BL1165" t="s">
        <v>69</v>
      </c>
      <c r="BM1165" t="s">
        <v>69</v>
      </c>
      <c r="BN1165">
        <v>16</v>
      </c>
      <c r="BO1165" t="s">
        <v>13650</v>
      </c>
      <c r="BP1165" t="s">
        <v>8573</v>
      </c>
      <c r="BQ1165" t="s">
        <v>13650</v>
      </c>
      <c r="BR1165" t="s">
        <v>13651</v>
      </c>
      <c r="BS1165" t="s">
        <v>13652</v>
      </c>
      <c r="BT1165" t="s">
        <v>69</v>
      </c>
      <c r="BU1165" t="s">
        <v>8931</v>
      </c>
      <c r="BV1165" t="s">
        <v>69</v>
      </c>
      <c r="BW1165" t="s">
        <v>69</v>
      </c>
      <c r="BX1165" t="s">
        <v>8526</v>
      </c>
      <c r="BY1165" t="str">
        <f>HYPERLINK("https%3A%2F%2Fwww.webofscience.com%2Fwos%2Fwoscc%2Ffull-record%2FWOS:000672650700006","View Full Record in Web of Science")</f>
        <v>View Full Record in Web of Science</v>
      </c>
    </row>
    <row r="1166" spans="1:77" ht="12.5" x14ac:dyDescent="0.25">
      <c r="A1166" t="s">
        <v>8495</v>
      </c>
      <c r="B1166" s="22" t="s">
        <v>32931</v>
      </c>
      <c r="C1166" s="7"/>
      <c r="D1166" s="7"/>
      <c r="E1166" s="7"/>
      <c r="F1166" t="s">
        <v>67</v>
      </c>
      <c r="G1166" t="s">
        <v>24765</v>
      </c>
      <c r="H1166" t="s">
        <v>69</v>
      </c>
      <c r="I1166" t="s">
        <v>69</v>
      </c>
      <c r="J1166" t="s">
        <v>69</v>
      </c>
      <c r="K1166" t="s">
        <v>24766</v>
      </c>
      <c r="L1166" t="s">
        <v>69</v>
      </c>
      <c r="M1166" t="s">
        <v>69</v>
      </c>
      <c r="N1166" t="s">
        <v>24767</v>
      </c>
      <c r="O1166" t="s">
        <v>1602</v>
      </c>
      <c r="P1166" t="s">
        <v>69</v>
      </c>
      <c r="Q1166" t="s">
        <v>69</v>
      </c>
      <c r="R1166" t="s">
        <v>8505</v>
      </c>
      <c r="S1166" t="s">
        <v>8506</v>
      </c>
      <c r="T1166" t="s">
        <v>69</v>
      </c>
      <c r="U1166" t="s">
        <v>69</v>
      </c>
      <c r="V1166" t="s">
        <v>69</v>
      </c>
      <c r="W1166" t="s">
        <v>69</v>
      </c>
      <c r="X1166" t="s">
        <v>69</v>
      </c>
      <c r="Y1166" t="s">
        <v>69</v>
      </c>
      <c r="Z1166" t="s">
        <v>24768</v>
      </c>
      <c r="AA1166" t="s">
        <v>24769</v>
      </c>
      <c r="AB1166" t="s">
        <v>24770</v>
      </c>
      <c r="AC1166" t="s">
        <v>69</v>
      </c>
      <c r="AD1166" t="s">
        <v>24771</v>
      </c>
      <c r="AE1166" t="s">
        <v>24772</v>
      </c>
      <c r="AF1166" t="s">
        <v>69</v>
      </c>
      <c r="AG1166" t="s">
        <v>69</v>
      </c>
      <c r="AH1166" t="s">
        <v>69</v>
      </c>
      <c r="AI1166" t="s">
        <v>69</v>
      </c>
      <c r="AJ1166" t="s">
        <v>69</v>
      </c>
      <c r="AK1166" t="s">
        <v>69</v>
      </c>
      <c r="AL1166">
        <v>156</v>
      </c>
      <c r="AM1166">
        <v>53</v>
      </c>
      <c r="AN1166">
        <v>53</v>
      </c>
      <c r="AO1166">
        <v>1</v>
      </c>
      <c r="AP1166">
        <v>59</v>
      </c>
      <c r="AQ1166" t="s">
        <v>8762</v>
      </c>
      <c r="AR1166" t="s">
        <v>8763</v>
      </c>
      <c r="AS1166" t="s">
        <v>8764</v>
      </c>
      <c r="AT1166" t="s">
        <v>1604</v>
      </c>
      <c r="AU1166" t="s">
        <v>2269</v>
      </c>
      <c r="AV1166" t="s">
        <v>69</v>
      </c>
      <c r="AW1166" t="s">
        <v>15091</v>
      </c>
      <c r="AX1166" t="s">
        <v>15092</v>
      </c>
      <c r="AY1166" t="s">
        <v>201</v>
      </c>
      <c r="AZ1166">
        <v>2013</v>
      </c>
      <c r="BA1166">
        <v>50</v>
      </c>
      <c r="BB1166">
        <v>11</v>
      </c>
      <c r="BC1166" t="s">
        <v>69</v>
      </c>
      <c r="BD1166" t="s">
        <v>69</v>
      </c>
      <c r="BE1166" t="s">
        <v>114</v>
      </c>
      <c r="BF1166" t="s">
        <v>69</v>
      </c>
      <c r="BG1166">
        <v>2196</v>
      </c>
      <c r="BH1166">
        <v>2221</v>
      </c>
      <c r="BI1166" t="s">
        <v>69</v>
      </c>
      <c r="BJ1166" t="s">
        <v>24773</v>
      </c>
      <c r="BK1166" t="str">
        <f>HYPERLINK("http://dx.doi.org/10.1177/0042098013491164","http://dx.doi.org/10.1177/0042098013491164")</f>
        <v>http://dx.doi.org/10.1177/0042098013491164</v>
      </c>
      <c r="BL1166" t="s">
        <v>69</v>
      </c>
      <c r="BM1166" t="s">
        <v>69</v>
      </c>
      <c r="BN1166">
        <v>26</v>
      </c>
      <c r="BO1166" t="s">
        <v>15093</v>
      </c>
      <c r="BP1166" t="s">
        <v>8661</v>
      </c>
      <c r="BQ1166" t="s">
        <v>15094</v>
      </c>
      <c r="BR1166" t="s">
        <v>24774</v>
      </c>
      <c r="BS1166" t="s">
        <v>24775</v>
      </c>
      <c r="BT1166" t="s">
        <v>69</v>
      </c>
      <c r="BU1166" t="s">
        <v>69</v>
      </c>
      <c r="BV1166" t="s">
        <v>69</v>
      </c>
      <c r="BW1166" t="s">
        <v>69</v>
      </c>
      <c r="BX1166" t="s">
        <v>8526</v>
      </c>
      <c r="BY1166" t="str">
        <f>HYPERLINK("https%3A%2F%2Fwww.webofscience.com%2Fwos%2Fwoscc%2Ffull-record%2FWOS:000329488700009","View Full Record in Web of Science")</f>
        <v>View Full Record in Web of Science</v>
      </c>
    </row>
    <row r="1167" spans="1:77" ht="12.5" x14ac:dyDescent="0.25">
      <c r="A1167" t="s">
        <v>8495</v>
      </c>
      <c r="B1167" s="7" t="s">
        <v>32933</v>
      </c>
      <c r="C1167" s="7"/>
      <c r="D1167" s="7"/>
      <c r="E1167" s="7"/>
      <c r="F1167" t="s">
        <v>67</v>
      </c>
      <c r="G1167" t="s">
        <v>7224</v>
      </c>
      <c r="H1167" t="s">
        <v>69</v>
      </c>
      <c r="I1167" t="s">
        <v>69</v>
      </c>
      <c r="J1167" t="s">
        <v>69</v>
      </c>
      <c r="K1167" t="s">
        <v>7225</v>
      </c>
      <c r="L1167" t="s">
        <v>69</v>
      </c>
      <c r="M1167" t="s">
        <v>69</v>
      </c>
      <c r="N1167" t="s">
        <v>7226</v>
      </c>
      <c r="O1167" t="s">
        <v>7227</v>
      </c>
      <c r="P1167" t="s">
        <v>69</v>
      </c>
      <c r="Q1167" t="s">
        <v>69</v>
      </c>
      <c r="R1167" t="s">
        <v>8505</v>
      </c>
      <c r="S1167" t="s">
        <v>8442</v>
      </c>
      <c r="T1167" t="s">
        <v>69</v>
      </c>
      <c r="U1167" t="s">
        <v>69</v>
      </c>
      <c r="V1167" t="s">
        <v>69</v>
      </c>
      <c r="W1167" t="s">
        <v>69</v>
      </c>
      <c r="X1167" t="s">
        <v>69</v>
      </c>
      <c r="Y1167" t="s">
        <v>14403</v>
      </c>
      <c r="Z1167" t="s">
        <v>69</v>
      </c>
      <c r="AA1167" t="s">
        <v>7228</v>
      </c>
      <c r="AB1167" t="s">
        <v>14404</v>
      </c>
      <c r="AC1167" t="s">
        <v>69</v>
      </c>
      <c r="AD1167" t="s">
        <v>14405</v>
      </c>
      <c r="AE1167" t="s">
        <v>14406</v>
      </c>
      <c r="AF1167" t="s">
        <v>7229</v>
      </c>
      <c r="AG1167" t="s">
        <v>7230</v>
      </c>
      <c r="AH1167" t="s">
        <v>14407</v>
      </c>
      <c r="AI1167" t="s">
        <v>14408</v>
      </c>
      <c r="AJ1167" t="s">
        <v>14409</v>
      </c>
      <c r="AK1167" t="s">
        <v>69</v>
      </c>
      <c r="AL1167">
        <v>57</v>
      </c>
      <c r="AM1167">
        <v>2</v>
      </c>
      <c r="AN1167">
        <v>2</v>
      </c>
      <c r="AO1167">
        <v>0</v>
      </c>
      <c r="AP1167">
        <v>2</v>
      </c>
      <c r="AQ1167" t="s">
        <v>8924</v>
      </c>
      <c r="AR1167" t="s">
        <v>8925</v>
      </c>
      <c r="AS1167" t="s">
        <v>8926</v>
      </c>
      <c r="AT1167" t="s">
        <v>69</v>
      </c>
      <c r="AU1167" t="s">
        <v>7231</v>
      </c>
      <c r="AV1167" t="s">
        <v>69</v>
      </c>
      <c r="AW1167" t="s">
        <v>7227</v>
      </c>
      <c r="AX1167" t="s">
        <v>9162</v>
      </c>
      <c r="AY1167" t="s">
        <v>255</v>
      </c>
      <c r="AZ1167">
        <v>2020</v>
      </c>
      <c r="BA1167">
        <v>13</v>
      </c>
      <c r="BB1167">
        <v>18</v>
      </c>
      <c r="BC1167" t="s">
        <v>69</v>
      </c>
      <c r="BD1167" t="s">
        <v>69</v>
      </c>
      <c r="BE1167" t="s">
        <v>69</v>
      </c>
      <c r="BF1167" t="s">
        <v>69</v>
      </c>
      <c r="BG1167" t="s">
        <v>69</v>
      </c>
      <c r="BH1167" t="s">
        <v>69</v>
      </c>
      <c r="BI1167">
        <v>4614</v>
      </c>
      <c r="BJ1167" t="s">
        <v>7232</v>
      </c>
      <c r="BK1167" t="str">
        <f>HYPERLINK("http://dx.doi.org/10.3390/en13184614","http://dx.doi.org/10.3390/en13184614")</f>
        <v>http://dx.doi.org/10.3390/en13184614</v>
      </c>
      <c r="BL1167" t="s">
        <v>69</v>
      </c>
      <c r="BM1167" t="s">
        <v>69</v>
      </c>
      <c r="BN1167">
        <v>23</v>
      </c>
      <c r="BO1167" t="s">
        <v>9164</v>
      </c>
      <c r="BP1167" t="s">
        <v>8548</v>
      </c>
      <c r="BQ1167" t="s">
        <v>9164</v>
      </c>
      <c r="BR1167" t="s">
        <v>14410</v>
      </c>
      <c r="BS1167" t="s">
        <v>7233</v>
      </c>
      <c r="BT1167" t="s">
        <v>69</v>
      </c>
      <c r="BU1167" t="s">
        <v>8812</v>
      </c>
      <c r="BV1167" t="s">
        <v>69</v>
      </c>
      <c r="BW1167" t="s">
        <v>69</v>
      </c>
      <c r="BX1167" t="s">
        <v>8526</v>
      </c>
      <c r="BY1167" t="str">
        <f>HYPERLINK("https%3A%2F%2Fwww.webofscience.com%2Fwos%2Fwoscc%2Ffull-record%2FWOS:000579954000001","View Full Record in Web of Science")</f>
        <v>View Full Record in Web of Science</v>
      </c>
    </row>
    <row r="1168" spans="1:77" ht="12.5" x14ac:dyDescent="0.25">
      <c r="A1168" t="s">
        <v>8495</v>
      </c>
      <c r="B1168" s="7" t="s">
        <v>32933</v>
      </c>
      <c r="C1168" s="7"/>
      <c r="D1168" s="7"/>
      <c r="E1168" s="7"/>
      <c r="F1168" t="s">
        <v>67</v>
      </c>
      <c r="G1168" t="s">
        <v>1512</v>
      </c>
      <c r="H1168" t="s">
        <v>69</v>
      </c>
      <c r="I1168" t="s">
        <v>69</v>
      </c>
      <c r="J1168" t="s">
        <v>69</v>
      </c>
      <c r="K1168" t="s">
        <v>1513</v>
      </c>
      <c r="L1168" t="s">
        <v>69</v>
      </c>
      <c r="M1168" t="s">
        <v>69</v>
      </c>
      <c r="N1168" t="s">
        <v>1514</v>
      </c>
      <c r="O1168" t="s">
        <v>1515</v>
      </c>
      <c r="P1168" t="s">
        <v>69</v>
      </c>
      <c r="Q1168" t="s">
        <v>69</v>
      </c>
      <c r="R1168" t="s">
        <v>8505</v>
      </c>
      <c r="S1168" t="s">
        <v>10174</v>
      </c>
      <c r="T1168" t="s">
        <v>69</v>
      </c>
      <c r="U1168" t="s">
        <v>69</v>
      </c>
      <c r="V1168" t="s">
        <v>69</v>
      </c>
      <c r="W1168" t="s">
        <v>69</v>
      </c>
      <c r="X1168" t="s">
        <v>69</v>
      </c>
      <c r="Y1168" t="s">
        <v>69</v>
      </c>
      <c r="Z1168" t="s">
        <v>69</v>
      </c>
      <c r="AA1168" t="s">
        <v>1516</v>
      </c>
      <c r="AB1168" t="s">
        <v>69</v>
      </c>
      <c r="AC1168" t="s">
        <v>69</v>
      </c>
      <c r="AD1168" t="s">
        <v>69</v>
      </c>
      <c r="AE1168" t="s">
        <v>69</v>
      </c>
      <c r="AF1168" t="s">
        <v>69</v>
      </c>
      <c r="AG1168" t="s">
        <v>69</v>
      </c>
      <c r="AH1168" t="s">
        <v>69</v>
      </c>
      <c r="AI1168" t="s">
        <v>69</v>
      </c>
      <c r="AJ1168" t="s">
        <v>69</v>
      </c>
      <c r="AK1168" t="s">
        <v>69</v>
      </c>
      <c r="AL1168">
        <v>0</v>
      </c>
      <c r="AM1168">
        <v>9</v>
      </c>
      <c r="AN1168">
        <v>10</v>
      </c>
      <c r="AO1168">
        <v>0</v>
      </c>
      <c r="AP1168">
        <v>9</v>
      </c>
      <c r="AQ1168" t="s">
        <v>27634</v>
      </c>
      <c r="AR1168" t="s">
        <v>26670</v>
      </c>
      <c r="AS1168" t="s">
        <v>26671</v>
      </c>
      <c r="AT1168" t="s">
        <v>1517</v>
      </c>
      <c r="AU1168" t="s">
        <v>69</v>
      </c>
      <c r="AV1168" t="s">
        <v>69</v>
      </c>
      <c r="AW1168" t="s">
        <v>27635</v>
      </c>
      <c r="AX1168" t="s">
        <v>27636</v>
      </c>
      <c r="AY1168" t="s">
        <v>255</v>
      </c>
      <c r="AZ1168">
        <v>2010</v>
      </c>
      <c r="BA1168">
        <v>36</v>
      </c>
      <c r="BB1168">
        <v>3</v>
      </c>
      <c r="BC1168" t="s">
        <v>69</v>
      </c>
      <c r="BD1168" t="s">
        <v>69</v>
      </c>
      <c r="BE1168" t="s">
        <v>69</v>
      </c>
      <c r="BF1168" t="s">
        <v>69</v>
      </c>
      <c r="BG1168">
        <v>607</v>
      </c>
      <c r="BH1168">
        <v>620</v>
      </c>
      <c r="BI1168" t="s">
        <v>69</v>
      </c>
      <c r="BJ1168" t="s">
        <v>69</v>
      </c>
      <c r="BK1168" t="s">
        <v>69</v>
      </c>
      <c r="BL1168" t="s">
        <v>69</v>
      </c>
      <c r="BM1168" t="s">
        <v>69</v>
      </c>
      <c r="BN1168">
        <v>14</v>
      </c>
      <c r="BO1168" t="s">
        <v>27637</v>
      </c>
      <c r="BP1168" t="s">
        <v>8661</v>
      </c>
      <c r="BQ1168" t="s">
        <v>27637</v>
      </c>
      <c r="BR1168" t="s">
        <v>27638</v>
      </c>
      <c r="BS1168" t="s">
        <v>1518</v>
      </c>
      <c r="BT1168" t="s">
        <v>69</v>
      </c>
      <c r="BU1168" t="s">
        <v>69</v>
      </c>
      <c r="BV1168" t="s">
        <v>69</v>
      </c>
      <c r="BW1168" t="s">
        <v>69</v>
      </c>
      <c r="BX1168" t="s">
        <v>8526</v>
      </c>
      <c r="BY1168" t="str">
        <f>HYPERLINK("https%3A%2F%2Fwww.webofscience.com%2Fwos%2Fwoscc%2Ffull-record%2FWOS:000281561100008","View Full Record in Web of Science")</f>
        <v>View Full Record in Web of Science</v>
      </c>
    </row>
    <row r="1169" spans="1:77" ht="12.5" x14ac:dyDescent="0.25">
      <c r="A1169" t="s">
        <v>8495</v>
      </c>
      <c r="B1169" s="7" t="s">
        <v>32933</v>
      </c>
      <c r="C1169" s="7"/>
      <c r="D1169" s="7"/>
      <c r="E1169" s="7"/>
      <c r="F1169" t="s">
        <v>67</v>
      </c>
      <c r="G1169" t="s">
        <v>6340</v>
      </c>
      <c r="H1169" t="s">
        <v>69</v>
      </c>
      <c r="I1169" t="s">
        <v>69</v>
      </c>
      <c r="J1169" t="s">
        <v>69</v>
      </c>
      <c r="K1169" t="s">
        <v>6341</v>
      </c>
      <c r="L1169" t="s">
        <v>69</v>
      </c>
      <c r="M1169" t="s">
        <v>69</v>
      </c>
      <c r="N1169" t="s">
        <v>6342</v>
      </c>
      <c r="O1169" t="s">
        <v>1799</v>
      </c>
      <c r="P1169" t="s">
        <v>69</v>
      </c>
      <c r="Q1169" t="s">
        <v>69</v>
      </c>
      <c r="R1169" t="s">
        <v>8505</v>
      </c>
      <c r="S1169" t="s">
        <v>8506</v>
      </c>
      <c r="T1169" t="s">
        <v>69</v>
      </c>
      <c r="U1169" t="s">
        <v>69</v>
      </c>
      <c r="V1169" t="s">
        <v>69</v>
      </c>
      <c r="W1169" t="s">
        <v>69</v>
      </c>
      <c r="X1169" t="s">
        <v>69</v>
      </c>
      <c r="Y1169" t="s">
        <v>28512</v>
      </c>
      <c r="Z1169" t="s">
        <v>28513</v>
      </c>
      <c r="AA1169" t="s">
        <v>6343</v>
      </c>
      <c r="AB1169" t="s">
        <v>28514</v>
      </c>
      <c r="AC1169" t="s">
        <v>69</v>
      </c>
      <c r="AD1169" t="s">
        <v>28515</v>
      </c>
      <c r="AE1169" t="s">
        <v>28516</v>
      </c>
      <c r="AF1169" t="s">
        <v>69</v>
      </c>
      <c r="AG1169" t="s">
        <v>6344</v>
      </c>
      <c r="AH1169" t="s">
        <v>69</v>
      </c>
      <c r="AI1169" t="s">
        <v>69</v>
      </c>
      <c r="AJ1169" t="s">
        <v>69</v>
      </c>
      <c r="AK1169" t="s">
        <v>69</v>
      </c>
      <c r="AL1169">
        <v>59</v>
      </c>
      <c r="AM1169">
        <v>32</v>
      </c>
      <c r="AN1169">
        <v>35</v>
      </c>
      <c r="AO1169">
        <v>1</v>
      </c>
      <c r="AP1169">
        <v>26</v>
      </c>
      <c r="AQ1169" t="s">
        <v>21110</v>
      </c>
      <c r="AR1169" t="s">
        <v>8847</v>
      </c>
      <c r="AS1169" t="s">
        <v>8848</v>
      </c>
      <c r="AT1169" t="s">
        <v>1801</v>
      </c>
      <c r="AU1169" t="s">
        <v>6345</v>
      </c>
      <c r="AV1169" t="s">
        <v>69</v>
      </c>
      <c r="AW1169" t="s">
        <v>15128</v>
      </c>
      <c r="AX1169" t="s">
        <v>15129</v>
      </c>
      <c r="AY1169" t="s">
        <v>586</v>
      </c>
      <c r="AZ1169">
        <v>2009</v>
      </c>
      <c r="BA1169">
        <v>29</v>
      </c>
      <c r="BB1169">
        <v>5</v>
      </c>
      <c r="BC1169" t="s">
        <v>69</v>
      </c>
      <c r="BD1169" t="s">
        <v>69</v>
      </c>
      <c r="BE1169" t="s">
        <v>69</v>
      </c>
      <c r="BF1169" t="s">
        <v>69</v>
      </c>
      <c r="BG1169">
        <v>764</v>
      </c>
      <c r="BH1169">
        <v>779</v>
      </c>
      <c r="BI1169" t="s">
        <v>69</v>
      </c>
      <c r="BJ1169" t="s">
        <v>6346</v>
      </c>
      <c r="BK1169" t="str">
        <f>HYPERLINK("http://dx.doi.org/10.1111/j.1539-6924.2008.01192.x","http://dx.doi.org/10.1111/j.1539-6924.2008.01192.x")</f>
        <v>http://dx.doi.org/10.1111/j.1539-6924.2008.01192.x</v>
      </c>
      <c r="BL1169" t="s">
        <v>69</v>
      </c>
      <c r="BM1169" t="s">
        <v>69</v>
      </c>
      <c r="BN1169">
        <v>16</v>
      </c>
      <c r="BO1169" t="s">
        <v>15130</v>
      </c>
      <c r="BP1169" t="s">
        <v>8523</v>
      </c>
      <c r="BQ1169" t="s">
        <v>15131</v>
      </c>
      <c r="BR1169" t="s">
        <v>28517</v>
      </c>
      <c r="BS1169" t="s">
        <v>6347</v>
      </c>
      <c r="BT1169">
        <v>19178656</v>
      </c>
      <c r="BU1169" t="s">
        <v>69</v>
      </c>
      <c r="BV1169" t="s">
        <v>69</v>
      </c>
      <c r="BW1169" t="s">
        <v>69</v>
      </c>
      <c r="BX1169" t="s">
        <v>8526</v>
      </c>
      <c r="BY1169" t="str">
        <f>HYPERLINK("https%3A%2F%2Fwww.webofscience.com%2Fwos%2Fwoscc%2Ffull-record%2FWOS:000264892100012","View Full Record in Web of Science")</f>
        <v>View Full Record in Web of Science</v>
      </c>
    </row>
    <row r="1170" spans="1:77" ht="12.5" x14ac:dyDescent="0.25">
      <c r="A1170" t="s">
        <v>8495</v>
      </c>
      <c r="B1170" s="22" t="s">
        <v>32931</v>
      </c>
      <c r="C1170" s="7"/>
      <c r="D1170" s="7"/>
      <c r="E1170" s="7"/>
      <c r="F1170" t="s">
        <v>67</v>
      </c>
      <c r="G1170" t="s">
        <v>30759</v>
      </c>
      <c r="H1170" t="s">
        <v>69</v>
      </c>
      <c r="I1170" t="s">
        <v>69</v>
      </c>
      <c r="J1170" t="s">
        <v>69</v>
      </c>
      <c r="K1170" t="s">
        <v>30759</v>
      </c>
      <c r="L1170" t="s">
        <v>69</v>
      </c>
      <c r="M1170" t="s">
        <v>69</v>
      </c>
      <c r="N1170" t="s">
        <v>30760</v>
      </c>
      <c r="O1170" t="s">
        <v>12498</v>
      </c>
      <c r="P1170" t="s">
        <v>69</v>
      </c>
      <c r="Q1170" t="s">
        <v>69</v>
      </c>
      <c r="R1170" t="s">
        <v>12534</v>
      </c>
      <c r="S1170" t="s">
        <v>15797</v>
      </c>
      <c r="T1170" t="s">
        <v>30761</v>
      </c>
      <c r="U1170" t="s">
        <v>30762</v>
      </c>
      <c r="V1170" t="s">
        <v>30763</v>
      </c>
      <c r="W1170" t="s">
        <v>69</v>
      </c>
      <c r="X1170" t="s">
        <v>69</v>
      </c>
      <c r="Y1170" t="s">
        <v>69</v>
      </c>
      <c r="Z1170" t="s">
        <v>69</v>
      </c>
      <c r="AA1170" t="s">
        <v>30764</v>
      </c>
      <c r="AB1170" t="s">
        <v>30765</v>
      </c>
      <c r="AC1170" t="s">
        <v>69</v>
      </c>
      <c r="AD1170" t="s">
        <v>30766</v>
      </c>
      <c r="AE1170" t="s">
        <v>69</v>
      </c>
      <c r="AF1170" t="s">
        <v>69</v>
      </c>
      <c r="AG1170" t="s">
        <v>69</v>
      </c>
      <c r="AH1170" t="s">
        <v>69</v>
      </c>
      <c r="AI1170" t="s">
        <v>69</v>
      </c>
      <c r="AJ1170" t="s">
        <v>69</v>
      </c>
      <c r="AK1170" t="s">
        <v>69</v>
      </c>
      <c r="AL1170">
        <v>0</v>
      </c>
      <c r="AM1170">
        <v>0</v>
      </c>
      <c r="AN1170">
        <v>0</v>
      </c>
      <c r="AO1170">
        <v>1</v>
      </c>
      <c r="AP1170">
        <v>2</v>
      </c>
      <c r="AQ1170" t="s">
        <v>30767</v>
      </c>
      <c r="AR1170" t="s">
        <v>30768</v>
      </c>
      <c r="AS1170" t="s">
        <v>30769</v>
      </c>
      <c r="AT1170" t="s">
        <v>12505</v>
      </c>
      <c r="AU1170" t="s">
        <v>69</v>
      </c>
      <c r="AV1170" t="s">
        <v>69</v>
      </c>
      <c r="AW1170" t="s">
        <v>12506</v>
      </c>
      <c r="AX1170" t="s">
        <v>12507</v>
      </c>
      <c r="AY1170" t="s">
        <v>373</v>
      </c>
      <c r="AZ1170">
        <v>2005</v>
      </c>
      <c r="BA1170">
        <v>50</v>
      </c>
      <c r="BB1170">
        <v>1</v>
      </c>
      <c r="BC1170" t="s">
        <v>69</v>
      </c>
      <c r="BD1170" t="s">
        <v>69</v>
      </c>
      <c r="BE1170" t="s">
        <v>69</v>
      </c>
      <c r="BF1170" t="s">
        <v>69</v>
      </c>
      <c r="BG1170">
        <v>15</v>
      </c>
      <c r="BH1170" t="s">
        <v>219</v>
      </c>
      <c r="BI1170" t="s">
        <v>69</v>
      </c>
      <c r="BJ1170" t="s">
        <v>69</v>
      </c>
      <c r="BK1170" t="s">
        <v>69</v>
      </c>
      <c r="BL1170" t="s">
        <v>69</v>
      </c>
      <c r="BM1170" t="s">
        <v>69</v>
      </c>
      <c r="BN1170">
        <v>14</v>
      </c>
      <c r="BO1170" t="s">
        <v>12508</v>
      </c>
      <c r="BP1170" t="s">
        <v>29550</v>
      </c>
      <c r="BQ1170" t="s">
        <v>12508</v>
      </c>
      <c r="BR1170" t="s">
        <v>30770</v>
      </c>
      <c r="BS1170" t="s">
        <v>30771</v>
      </c>
      <c r="BT1170" t="s">
        <v>69</v>
      </c>
      <c r="BU1170" t="s">
        <v>69</v>
      </c>
      <c r="BV1170" t="s">
        <v>69</v>
      </c>
      <c r="BW1170" t="s">
        <v>69</v>
      </c>
      <c r="BX1170" t="s">
        <v>8526</v>
      </c>
      <c r="BY1170" t="str">
        <f>HYPERLINK("https%3A%2F%2Fwww.webofscience.com%2Fwos%2Fwoscc%2Ffull-record%2FWOS:000227895300003","View Full Record in Web of Science")</f>
        <v>View Full Record in Web of Science</v>
      </c>
    </row>
    <row r="1171" spans="1:77" ht="12.5" x14ac:dyDescent="0.25">
      <c r="A1171" t="s">
        <v>8495</v>
      </c>
      <c r="B1171" s="22" t="s">
        <v>32931</v>
      </c>
      <c r="C1171" s="7"/>
      <c r="D1171" s="7"/>
      <c r="E1171" s="7"/>
      <c r="F1171" t="s">
        <v>67</v>
      </c>
      <c r="G1171" t="s">
        <v>31718</v>
      </c>
      <c r="H1171" t="s">
        <v>69</v>
      </c>
      <c r="I1171" t="s">
        <v>69</v>
      </c>
      <c r="J1171" t="s">
        <v>69</v>
      </c>
      <c r="K1171" t="s">
        <v>31718</v>
      </c>
      <c r="L1171" t="s">
        <v>69</v>
      </c>
      <c r="M1171" t="s">
        <v>69</v>
      </c>
      <c r="N1171" t="s">
        <v>31719</v>
      </c>
      <c r="O1171" t="s">
        <v>31720</v>
      </c>
      <c r="P1171" t="s">
        <v>69</v>
      </c>
      <c r="Q1171" t="s">
        <v>69</v>
      </c>
      <c r="R1171" t="s">
        <v>8505</v>
      </c>
      <c r="S1171" t="s">
        <v>8506</v>
      </c>
      <c r="T1171" t="s">
        <v>69</v>
      </c>
      <c r="U1171" t="s">
        <v>69</v>
      </c>
      <c r="V1171" t="s">
        <v>69</v>
      </c>
      <c r="W1171" t="s">
        <v>69</v>
      </c>
      <c r="X1171" t="s">
        <v>69</v>
      </c>
      <c r="Y1171" t="s">
        <v>69</v>
      </c>
      <c r="Z1171" t="s">
        <v>31721</v>
      </c>
      <c r="AA1171" t="s">
        <v>31722</v>
      </c>
      <c r="AB1171" t="s">
        <v>31723</v>
      </c>
      <c r="AC1171" t="s">
        <v>69</v>
      </c>
      <c r="AD1171" t="s">
        <v>31724</v>
      </c>
      <c r="AE1171" t="s">
        <v>69</v>
      </c>
      <c r="AF1171" t="s">
        <v>69</v>
      </c>
      <c r="AG1171" t="s">
        <v>69</v>
      </c>
      <c r="AH1171" t="s">
        <v>69</v>
      </c>
      <c r="AI1171" t="s">
        <v>69</v>
      </c>
      <c r="AJ1171" t="s">
        <v>69</v>
      </c>
      <c r="AK1171" t="s">
        <v>69</v>
      </c>
      <c r="AL1171">
        <v>6</v>
      </c>
      <c r="AM1171">
        <v>5</v>
      </c>
      <c r="AN1171">
        <v>5</v>
      </c>
      <c r="AO1171">
        <v>0</v>
      </c>
      <c r="AP1171">
        <v>0</v>
      </c>
      <c r="AQ1171" t="s">
        <v>31725</v>
      </c>
      <c r="AR1171" t="s">
        <v>31726</v>
      </c>
      <c r="AS1171" t="s">
        <v>31727</v>
      </c>
      <c r="AT1171" t="s">
        <v>69</v>
      </c>
      <c r="AU1171" t="s">
        <v>69</v>
      </c>
      <c r="AV1171" t="s">
        <v>69</v>
      </c>
      <c r="AW1171" t="s">
        <v>31728</v>
      </c>
      <c r="AX1171" t="s">
        <v>31729</v>
      </c>
      <c r="AY1171" t="s">
        <v>3278</v>
      </c>
      <c r="AZ1171">
        <v>2000</v>
      </c>
      <c r="BA1171">
        <v>217</v>
      </c>
      <c r="BB1171">
        <v>10</v>
      </c>
      <c r="BC1171" t="s">
        <v>69</v>
      </c>
      <c r="BD1171" t="s">
        <v>69</v>
      </c>
      <c r="BE1171" t="s">
        <v>69</v>
      </c>
      <c r="BF1171" t="s">
        <v>69</v>
      </c>
      <c r="BG1171">
        <v>1526</v>
      </c>
      <c r="BH1171">
        <v>1530</v>
      </c>
      <c r="BI1171" t="s">
        <v>69</v>
      </c>
      <c r="BJ1171" t="s">
        <v>31730</v>
      </c>
      <c r="BK1171" t="str">
        <f>HYPERLINK("http://dx.doi.org/10.2460/javma.2000.217.1526","http://dx.doi.org/10.2460/javma.2000.217.1526")</f>
        <v>http://dx.doi.org/10.2460/javma.2000.217.1526</v>
      </c>
      <c r="BL1171" t="s">
        <v>69</v>
      </c>
      <c r="BM1171" t="s">
        <v>69</v>
      </c>
      <c r="BN1171">
        <v>5</v>
      </c>
      <c r="BO1171" t="s">
        <v>14769</v>
      </c>
      <c r="BP1171" t="s">
        <v>8548</v>
      </c>
      <c r="BQ1171" t="s">
        <v>14769</v>
      </c>
      <c r="BR1171" t="s">
        <v>31731</v>
      </c>
      <c r="BS1171" t="s">
        <v>31732</v>
      </c>
      <c r="BT1171">
        <v>11128545</v>
      </c>
      <c r="BU1171" t="s">
        <v>69</v>
      </c>
      <c r="BV1171" t="s">
        <v>69</v>
      </c>
      <c r="BW1171" t="s">
        <v>69</v>
      </c>
      <c r="BX1171" t="s">
        <v>8526</v>
      </c>
      <c r="BY1171" t="str">
        <f>HYPERLINK("https%3A%2F%2Fwww.webofscience.com%2Fwos%2Fwoscc%2Ffull-record%2FWOS:000165299100025","View Full Record in Web of Science")</f>
        <v>View Full Record in Web of Science</v>
      </c>
    </row>
    <row r="1172" spans="1:77" ht="12.5" x14ac:dyDescent="0.25">
      <c r="A1172" t="s">
        <v>8495</v>
      </c>
      <c r="B1172" s="22" t="s">
        <v>32931</v>
      </c>
      <c r="C1172" s="7"/>
      <c r="D1172" s="7"/>
      <c r="E1172" s="7"/>
      <c r="F1172" t="s">
        <v>67</v>
      </c>
      <c r="G1172" t="s">
        <v>29065</v>
      </c>
      <c r="H1172" t="s">
        <v>69</v>
      </c>
      <c r="I1172" t="s">
        <v>69</v>
      </c>
      <c r="J1172" t="s">
        <v>69</v>
      </c>
      <c r="K1172" t="s">
        <v>29066</v>
      </c>
      <c r="L1172" t="s">
        <v>69</v>
      </c>
      <c r="M1172" t="s">
        <v>69</v>
      </c>
      <c r="N1172" t="s">
        <v>29067</v>
      </c>
      <c r="O1172" t="s">
        <v>29068</v>
      </c>
      <c r="P1172" t="s">
        <v>69</v>
      </c>
      <c r="Q1172" t="s">
        <v>69</v>
      </c>
      <c r="R1172" t="s">
        <v>8505</v>
      </c>
      <c r="S1172" t="s">
        <v>8506</v>
      </c>
      <c r="T1172" t="s">
        <v>69</v>
      </c>
      <c r="U1172" t="s">
        <v>69</v>
      </c>
      <c r="V1172" t="s">
        <v>69</v>
      </c>
      <c r="W1172" t="s">
        <v>69</v>
      </c>
      <c r="X1172" t="s">
        <v>69</v>
      </c>
      <c r="Y1172" t="s">
        <v>69</v>
      </c>
      <c r="Z1172" t="s">
        <v>29069</v>
      </c>
      <c r="AA1172" t="s">
        <v>29070</v>
      </c>
      <c r="AB1172" t="s">
        <v>29071</v>
      </c>
      <c r="AC1172" t="s">
        <v>69</v>
      </c>
      <c r="AD1172" t="s">
        <v>29072</v>
      </c>
      <c r="AE1172" t="s">
        <v>29073</v>
      </c>
      <c r="AF1172" t="s">
        <v>29074</v>
      </c>
      <c r="AG1172" t="s">
        <v>29075</v>
      </c>
      <c r="AH1172" t="s">
        <v>29076</v>
      </c>
      <c r="AI1172" t="s">
        <v>29077</v>
      </c>
      <c r="AJ1172" t="s">
        <v>29078</v>
      </c>
      <c r="AK1172" t="s">
        <v>69</v>
      </c>
      <c r="AL1172">
        <v>21</v>
      </c>
      <c r="AM1172">
        <v>125</v>
      </c>
      <c r="AN1172">
        <v>126</v>
      </c>
      <c r="AO1172">
        <v>1</v>
      </c>
      <c r="AP1172">
        <v>20</v>
      </c>
      <c r="AQ1172" t="s">
        <v>8692</v>
      </c>
      <c r="AR1172" t="s">
        <v>8693</v>
      </c>
      <c r="AS1172" t="s">
        <v>18139</v>
      </c>
      <c r="AT1172" t="s">
        <v>29079</v>
      </c>
      <c r="AU1172" t="s">
        <v>69</v>
      </c>
      <c r="AV1172" t="s">
        <v>69</v>
      </c>
      <c r="AW1172" t="s">
        <v>29080</v>
      </c>
      <c r="AX1172" t="s">
        <v>29081</v>
      </c>
      <c r="AY1172" t="s">
        <v>381</v>
      </c>
      <c r="AZ1172">
        <v>2008</v>
      </c>
      <c r="BA1172">
        <v>35</v>
      </c>
      <c r="BB1172">
        <v>4</v>
      </c>
      <c r="BC1172" t="s">
        <v>69</v>
      </c>
      <c r="BD1172" t="s">
        <v>69</v>
      </c>
      <c r="BE1172" t="s">
        <v>69</v>
      </c>
      <c r="BF1172" t="s">
        <v>69</v>
      </c>
      <c r="BG1172">
        <v>352</v>
      </c>
      <c r="BH1172">
        <v>356</v>
      </c>
      <c r="BI1172" t="s">
        <v>69</v>
      </c>
      <c r="BJ1172" t="s">
        <v>29082</v>
      </c>
      <c r="BK1172" t="str">
        <f>HYPERLINK("http://dx.doi.org/10.1016/j.amepre.2008.06.030","http://dx.doi.org/10.1016/j.amepre.2008.06.030")</f>
        <v>http://dx.doi.org/10.1016/j.amepre.2008.06.030</v>
      </c>
      <c r="BL1172" t="s">
        <v>69</v>
      </c>
      <c r="BM1172" t="s">
        <v>69</v>
      </c>
      <c r="BN1172">
        <v>5</v>
      </c>
      <c r="BO1172" t="s">
        <v>18631</v>
      </c>
      <c r="BP1172" t="s">
        <v>8523</v>
      </c>
      <c r="BQ1172" t="s">
        <v>18632</v>
      </c>
      <c r="BR1172" t="s">
        <v>29083</v>
      </c>
      <c r="BS1172" t="s">
        <v>29084</v>
      </c>
      <c r="BT1172">
        <v>18701236</v>
      </c>
      <c r="BU1172" t="s">
        <v>69</v>
      </c>
      <c r="BV1172" t="s">
        <v>69</v>
      </c>
      <c r="BW1172" t="s">
        <v>69</v>
      </c>
      <c r="BX1172" t="s">
        <v>8526</v>
      </c>
      <c r="BY1172" t="str">
        <f>HYPERLINK("https%3A%2F%2Fwww.webofscience.com%2Fwos%2Fwoscc%2Ffull-record%2FWOS:000259308900005","View Full Record in Web of Science")</f>
        <v>View Full Record in Web of Science</v>
      </c>
    </row>
    <row r="1173" spans="1:77" ht="12.5" x14ac:dyDescent="0.25">
      <c r="A1173" t="s">
        <v>8495</v>
      </c>
      <c r="B1173" s="22" t="s">
        <v>32931</v>
      </c>
      <c r="C1173" s="7"/>
      <c r="D1173" s="7"/>
      <c r="E1173" s="7"/>
      <c r="F1173" t="s">
        <v>67</v>
      </c>
      <c r="G1173" t="s">
        <v>23907</v>
      </c>
      <c r="H1173" t="s">
        <v>69</v>
      </c>
      <c r="I1173" t="s">
        <v>69</v>
      </c>
      <c r="J1173" t="s">
        <v>69</v>
      </c>
      <c r="K1173" t="s">
        <v>23908</v>
      </c>
      <c r="L1173" t="s">
        <v>69</v>
      </c>
      <c r="M1173" t="s">
        <v>69</v>
      </c>
      <c r="N1173" t="s">
        <v>23909</v>
      </c>
      <c r="O1173" t="s">
        <v>206</v>
      </c>
      <c r="P1173" t="s">
        <v>69</v>
      </c>
      <c r="Q1173" t="s">
        <v>69</v>
      </c>
      <c r="R1173" t="s">
        <v>8505</v>
      </c>
      <c r="S1173" t="s">
        <v>8506</v>
      </c>
      <c r="T1173" t="s">
        <v>69</v>
      </c>
      <c r="U1173" t="s">
        <v>69</v>
      </c>
      <c r="V1173" t="s">
        <v>69</v>
      </c>
      <c r="W1173" t="s">
        <v>69</v>
      </c>
      <c r="X1173" t="s">
        <v>69</v>
      </c>
      <c r="Y1173" t="s">
        <v>23910</v>
      </c>
      <c r="Z1173" t="s">
        <v>23911</v>
      </c>
      <c r="AA1173" t="s">
        <v>23912</v>
      </c>
      <c r="AB1173" t="s">
        <v>23913</v>
      </c>
      <c r="AC1173" t="s">
        <v>69</v>
      </c>
      <c r="AD1173" t="s">
        <v>23914</v>
      </c>
      <c r="AE1173" t="s">
        <v>23915</v>
      </c>
      <c r="AF1173" t="s">
        <v>69</v>
      </c>
      <c r="AG1173" t="s">
        <v>69</v>
      </c>
      <c r="AH1173" t="s">
        <v>23916</v>
      </c>
      <c r="AI1173" t="s">
        <v>23917</v>
      </c>
      <c r="AJ1173" t="s">
        <v>23918</v>
      </c>
      <c r="AK1173" t="s">
        <v>69</v>
      </c>
      <c r="AL1173">
        <v>58</v>
      </c>
      <c r="AM1173">
        <v>68</v>
      </c>
      <c r="AN1173">
        <v>68</v>
      </c>
      <c r="AO1173">
        <v>4</v>
      </c>
      <c r="AP1173">
        <v>40</v>
      </c>
      <c r="AQ1173" t="s">
        <v>9203</v>
      </c>
      <c r="AR1173" t="s">
        <v>8763</v>
      </c>
      <c r="AS1173" t="s">
        <v>9204</v>
      </c>
      <c r="AT1173" t="s">
        <v>69</v>
      </c>
      <c r="AU1173" t="s">
        <v>208</v>
      </c>
      <c r="AV1173" t="s">
        <v>69</v>
      </c>
      <c r="AW1173" t="s">
        <v>206</v>
      </c>
      <c r="AX1173" t="s">
        <v>10704</v>
      </c>
      <c r="AY1173" t="s">
        <v>23919</v>
      </c>
      <c r="AZ1173">
        <v>2014</v>
      </c>
      <c r="BA1173">
        <v>14</v>
      </c>
      <c r="BB1173" t="s">
        <v>69</v>
      </c>
      <c r="BC1173" t="s">
        <v>69</v>
      </c>
      <c r="BD1173" t="s">
        <v>69</v>
      </c>
      <c r="BE1173" t="s">
        <v>69</v>
      </c>
      <c r="BF1173" t="s">
        <v>69</v>
      </c>
      <c r="BG1173" t="s">
        <v>69</v>
      </c>
      <c r="BH1173" t="s">
        <v>69</v>
      </c>
      <c r="BI1173">
        <v>215</v>
      </c>
      <c r="BJ1173" t="s">
        <v>23920</v>
      </c>
      <c r="BK1173" t="str">
        <f>HYPERLINK("http://dx.doi.org/10.1186/1471-2458-14-215","http://dx.doi.org/10.1186/1471-2458-14-215")</f>
        <v>http://dx.doi.org/10.1186/1471-2458-14-215</v>
      </c>
      <c r="BL1173" t="s">
        <v>69</v>
      </c>
      <c r="BM1173" t="s">
        <v>69</v>
      </c>
      <c r="BN1173">
        <v>13</v>
      </c>
      <c r="BO1173" t="s">
        <v>8810</v>
      </c>
      <c r="BP1173" t="s">
        <v>8523</v>
      </c>
      <c r="BQ1173" t="s">
        <v>8810</v>
      </c>
      <c r="BR1173" t="s">
        <v>23921</v>
      </c>
      <c r="BS1173" t="s">
        <v>23922</v>
      </c>
      <c r="BT1173">
        <v>24580983</v>
      </c>
      <c r="BU1173" t="s">
        <v>9352</v>
      </c>
      <c r="BV1173" t="s">
        <v>69</v>
      </c>
      <c r="BW1173" t="s">
        <v>69</v>
      </c>
      <c r="BX1173" t="s">
        <v>8526</v>
      </c>
      <c r="BY1173" t="str">
        <f>HYPERLINK("https%3A%2F%2Fwww.webofscience.com%2Fwos%2Fwoscc%2Ffull-record%2FWOS:000332728700002","View Full Record in Web of Science")</f>
        <v>View Full Record in Web of Science</v>
      </c>
    </row>
    <row r="1174" spans="1:77" ht="12.5" x14ac:dyDescent="0.25">
      <c r="A1174" t="s">
        <v>8495</v>
      </c>
      <c r="B1174" s="7" t="s">
        <v>32933</v>
      </c>
      <c r="C1174" s="7"/>
      <c r="D1174" s="7"/>
      <c r="E1174" s="7"/>
      <c r="F1174" t="s">
        <v>67</v>
      </c>
      <c r="G1174" t="s">
        <v>6461</v>
      </c>
      <c r="H1174" t="s">
        <v>69</v>
      </c>
      <c r="I1174" t="s">
        <v>69</v>
      </c>
      <c r="J1174" t="s">
        <v>69</v>
      </c>
      <c r="K1174" t="s">
        <v>6462</v>
      </c>
      <c r="L1174" t="s">
        <v>69</v>
      </c>
      <c r="M1174" t="s">
        <v>69</v>
      </c>
      <c r="N1174" t="s">
        <v>6463</v>
      </c>
      <c r="O1174" t="s">
        <v>6464</v>
      </c>
      <c r="P1174" t="s">
        <v>69</v>
      </c>
      <c r="Q1174" t="s">
        <v>69</v>
      </c>
      <c r="R1174" t="s">
        <v>8505</v>
      </c>
      <c r="S1174" t="s">
        <v>8506</v>
      </c>
      <c r="T1174" t="s">
        <v>69</v>
      </c>
      <c r="U1174" t="s">
        <v>69</v>
      </c>
      <c r="V1174" t="s">
        <v>69</v>
      </c>
      <c r="W1174" t="s">
        <v>69</v>
      </c>
      <c r="X1174" t="s">
        <v>69</v>
      </c>
      <c r="Y1174" t="s">
        <v>14283</v>
      </c>
      <c r="Z1174" t="s">
        <v>14284</v>
      </c>
      <c r="AA1174" t="s">
        <v>6465</v>
      </c>
      <c r="AB1174" t="s">
        <v>14285</v>
      </c>
      <c r="AC1174" t="s">
        <v>69</v>
      </c>
      <c r="AD1174" t="s">
        <v>14286</v>
      </c>
      <c r="AE1174" t="s">
        <v>14287</v>
      </c>
      <c r="AF1174" t="s">
        <v>69</v>
      </c>
      <c r="AG1174" t="s">
        <v>69</v>
      </c>
      <c r="AH1174" t="s">
        <v>69</v>
      </c>
      <c r="AI1174" t="s">
        <v>69</v>
      </c>
      <c r="AJ1174" t="s">
        <v>69</v>
      </c>
      <c r="AK1174" t="s">
        <v>69</v>
      </c>
      <c r="AL1174">
        <v>69</v>
      </c>
      <c r="AM1174">
        <v>2</v>
      </c>
      <c r="AN1174">
        <v>2</v>
      </c>
      <c r="AO1174">
        <v>3</v>
      </c>
      <c r="AP1174">
        <v>11</v>
      </c>
      <c r="AQ1174" t="s">
        <v>8865</v>
      </c>
      <c r="AR1174" t="s">
        <v>8612</v>
      </c>
      <c r="AS1174" t="s">
        <v>8866</v>
      </c>
      <c r="AT1174" t="s">
        <v>6466</v>
      </c>
      <c r="AU1174" t="s">
        <v>6467</v>
      </c>
      <c r="AV1174" t="s">
        <v>69</v>
      </c>
      <c r="AW1174" t="s">
        <v>14288</v>
      </c>
      <c r="AX1174" t="s">
        <v>14289</v>
      </c>
      <c r="AY1174" t="s">
        <v>14290</v>
      </c>
      <c r="AZ1174">
        <v>2022</v>
      </c>
      <c r="BA1174">
        <v>16</v>
      </c>
      <c r="BB1174">
        <v>4</v>
      </c>
      <c r="BC1174" t="s">
        <v>69</v>
      </c>
      <c r="BD1174" t="s">
        <v>69</v>
      </c>
      <c r="BE1174" t="s">
        <v>69</v>
      </c>
      <c r="BF1174" t="s">
        <v>69</v>
      </c>
      <c r="BG1174">
        <v>660</v>
      </c>
      <c r="BH1174">
        <v>680</v>
      </c>
      <c r="BI1174" t="s">
        <v>69</v>
      </c>
      <c r="BJ1174" t="s">
        <v>6468</v>
      </c>
      <c r="BK1174" t="str">
        <f>HYPERLINK("http://dx.doi.org/10.1080/17512786.2020.1816488","http://dx.doi.org/10.1080/17512786.2020.1816488")</f>
        <v>http://dx.doi.org/10.1080/17512786.2020.1816488</v>
      </c>
      <c r="BL1174" t="s">
        <v>69</v>
      </c>
      <c r="BM1174" t="s">
        <v>683</v>
      </c>
      <c r="BN1174">
        <v>21</v>
      </c>
      <c r="BO1174" t="s">
        <v>8443</v>
      </c>
      <c r="BP1174" t="s">
        <v>8661</v>
      </c>
      <c r="BQ1174" t="s">
        <v>8443</v>
      </c>
      <c r="BR1174" t="s">
        <v>14291</v>
      </c>
      <c r="BS1174" t="s">
        <v>6469</v>
      </c>
      <c r="BT1174" t="s">
        <v>69</v>
      </c>
      <c r="BU1174" t="s">
        <v>69</v>
      </c>
      <c r="BV1174" t="s">
        <v>69</v>
      </c>
      <c r="BW1174" t="s">
        <v>69</v>
      </c>
      <c r="BX1174" t="s">
        <v>8526</v>
      </c>
      <c r="BY1174" t="str">
        <f>HYPERLINK("https%3A%2F%2Fwww.webofscience.com%2Fwos%2Fwoscc%2Ffull-record%2FWOS:000569263300001","View Full Record in Web of Science")</f>
        <v>View Full Record in Web of Science</v>
      </c>
    </row>
    <row r="1175" spans="1:77" ht="12.5" x14ac:dyDescent="0.25">
      <c r="A1175" t="s">
        <v>8495</v>
      </c>
      <c r="B1175" s="22" t="s">
        <v>32931</v>
      </c>
      <c r="C1175" s="7"/>
      <c r="D1175" s="7"/>
      <c r="E1175" s="7"/>
      <c r="F1175" t="s">
        <v>67</v>
      </c>
      <c r="G1175" t="s">
        <v>12035</v>
      </c>
      <c r="H1175" t="s">
        <v>69</v>
      </c>
      <c r="I1175" t="s">
        <v>69</v>
      </c>
      <c r="J1175" t="s">
        <v>69</v>
      </c>
      <c r="K1175" t="s">
        <v>12036</v>
      </c>
      <c r="L1175" t="s">
        <v>69</v>
      </c>
      <c r="M1175" t="s">
        <v>69</v>
      </c>
      <c r="N1175" t="s">
        <v>12037</v>
      </c>
      <c r="O1175" t="s">
        <v>12038</v>
      </c>
      <c r="P1175" t="s">
        <v>69</v>
      </c>
      <c r="Q1175" t="s">
        <v>69</v>
      </c>
      <c r="R1175" t="s">
        <v>12039</v>
      </c>
      <c r="S1175" t="s">
        <v>8506</v>
      </c>
      <c r="T1175" t="s">
        <v>69</v>
      </c>
      <c r="U1175" t="s">
        <v>69</v>
      </c>
      <c r="V1175" t="s">
        <v>69</v>
      </c>
      <c r="W1175" t="s">
        <v>69</v>
      </c>
      <c r="X1175" t="s">
        <v>69</v>
      </c>
      <c r="Y1175" t="s">
        <v>12040</v>
      </c>
      <c r="Z1175" t="s">
        <v>12041</v>
      </c>
      <c r="AA1175" t="s">
        <v>12042</v>
      </c>
      <c r="AB1175" t="s">
        <v>12043</v>
      </c>
      <c r="AC1175" t="s">
        <v>69</v>
      </c>
      <c r="AD1175" t="s">
        <v>12044</v>
      </c>
      <c r="AE1175" t="s">
        <v>12045</v>
      </c>
      <c r="AF1175" t="s">
        <v>69</v>
      </c>
      <c r="AG1175" t="s">
        <v>69</v>
      </c>
      <c r="AH1175" t="s">
        <v>69</v>
      </c>
      <c r="AI1175" t="s">
        <v>69</v>
      </c>
      <c r="AJ1175" t="s">
        <v>69</v>
      </c>
      <c r="AK1175" t="s">
        <v>69</v>
      </c>
      <c r="AL1175">
        <v>32</v>
      </c>
      <c r="AM1175">
        <v>0</v>
      </c>
      <c r="AN1175">
        <v>0</v>
      </c>
      <c r="AO1175">
        <v>3</v>
      </c>
      <c r="AP1175">
        <v>10</v>
      </c>
      <c r="AQ1175" t="s">
        <v>12046</v>
      </c>
      <c r="AR1175" t="s">
        <v>12047</v>
      </c>
      <c r="AS1175" t="s">
        <v>12048</v>
      </c>
      <c r="AT1175" t="s">
        <v>12049</v>
      </c>
      <c r="AU1175" t="s">
        <v>12050</v>
      </c>
      <c r="AV1175" t="s">
        <v>69</v>
      </c>
      <c r="AW1175" t="s">
        <v>12051</v>
      </c>
      <c r="AX1175" t="s">
        <v>12052</v>
      </c>
      <c r="AY1175" t="s">
        <v>155</v>
      </c>
      <c r="AZ1175">
        <v>2021</v>
      </c>
      <c r="BA1175">
        <v>11</v>
      </c>
      <c r="BB1175">
        <v>1</v>
      </c>
      <c r="BC1175" t="s">
        <v>69</v>
      </c>
      <c r="BD1175" t="s">
        <v>69</v>
      </c>
      <c r="BE1175" t="s">
        <v>69</v>
      </c>
      <c r="BF1175" t="s">
        <v>69</v>
      </c>
      <c r="BG1175">
        <v>79</v>
      </c>
      <c r="BH1175">
        <v>93</v>
      </c>
      <c r="BI1175" t="s">
        <v>69</v>
      </c>
      <c r="BJ1175" t="s">
        <v>12053</v>
      </c>
      <c r="BK1175" t="str">
        <f>HYPERLINK("http://dx.doi.org/10.7251/EMC2101079G","http://dx.doi.org/10.7251/EMC2101079G")</f>
        <v>http://dx.doi.org/10.7251/EMC2101079G</v>
      </c>
      <c r="BL1175" t="s">
        <v>69</v>
      </c>
      <c r="BM1175" t="s">
        <v>69</v>
      </c>
      <c r="BN1175">
        <v>15</v>
      </c>
      <c r="BO1175" t="s">
        <v>8444</v>
      </c>
      <c r="BP1175" t="s">
        <v>8573</v>
      </c>
      <c r="BQ1175" t="s">
        <v>8594</v>
      </c>
      <c r="BR1175" t="s">
        <v>12054</v>
      </c>
      <c r="BS1175" t="s">
        <v>12055</v>
      </c>
      <c r="BT1175" t="s">
        <v>69</v>
      </c>
      <c r="BU1175" t="s">
        <v>8931</v>
      </c>
      <c r="BV1175" t="s">
        <v>69</v>
      </c>
      <c r="BW1175" t="s">
        <v>69</v>
      </c>
      <c r="BX1175" t="s">
        <v>8526</v>
      </c>
      <c r="BY1175" t="str">
        <f>HYPERLINK("https%3A%2F%2Fwww.webofscience.com%2Fwos%2Fwoscc%2Ffull-record%2FWOS:000667273000006","View Full Record in Web of Science")</f>
        <v>View Full Record in Web of Science</v>
      </c>
    </row>
    <row r="1176" spans="1:77" ht="12.5" x14ac:dyDescent="0.25">
      <c r="A1176" t="s">
        <v>8495</v>
      </c>
      <c r="B1176" s="7" t="s">
        <v>32933</v>
      </c>
      <c r="C1176" s="7"/>
      <c r="D1176" s="7"/>
      <c r="E1176" s="7"/>
      <c r="F1176" t="s">
        <v>67</v>
      </c>
      <c r="G1176" t="s">
        <v>3992</v>
      </c>
      <c r="H1176" t="s">
        <v>69</v>
      </c>
      <c r="I1176" t="s">
        <v>69</v>
      </c>
      <c r="J1176" t="s">
        <v>69</v>
      </c>
      <c r="K1176" t="s">
        <v>3992</v>
      </c>
      <c r="L1176" t="s">
        <v>69</v>
      </c>
      <c r="M1176" t="s">
        <v>69</v>
      </c>
      <c r="N1176" t="s">
        <v>3993</v>
      </c>
      <c r="O1176" t="s">
        <v>3994</v>
      </c>
      <c r="P1176" t="s">
        <v>69</v>
      </c>
      <c r="Q1176" t="s">
        <v>69</v>
      </c>
      <c r="R1176" t="s">
        <v>8505</v>
      </c>
      <c r="S1176" t="s">
        <v>8442</v>
      </c>
      <c r="T1176" t="s">
        <v>69</v>
      </c>
      <c r="U1176" t="s">
        <v>69</v>
      </c>
      <c r="V1176" t="s">
        <v>69</v>
      </c>
      <c r="W1176" t="s">
        <v>69</v>
      </c>
      <c r="X1176" t="s">
        <v>69</v>
      </c>
      <c r="Y1176" t="s">
        <v>31332</v>
      </c>
      <c r="Z1176" t="s">
        <v>69</v>
      </c>
      <c r="AA1176" t="s">
        <v>3995</v>
      </c>
      <c r="AB1176" t="s">
        <v>31333</v>
      </c>
      <c r="AC1176" t="s">
        <v>69</v>
      </c>
      <c r="AD1176" t="s">
        <v>31334</v>
      </c>
      <c r="AE1176" t="s">
        <v>31335</v>
      </c>
      <c r="AF1176" t="s">
        <v>3996</v>
      </c>
      <c r="AG1176" t="s">
        <v>3997</v>
      </c>
      <c r="AH1176" t="s">
        <v>69</v>
      </c>
      <c r="AI1176" t="s">
        <v>69</v>
      </c>
      <c r="AJ1176" t="s">
        <v>69</v>
      </c>
      <c r="AK1176" t="s">
        <v>69</v>
      </c>
      <c r="AL1176">
        <v>5</v>
      </c>
      <c r="AM1176">
        <v>123</v>
      </c>
      <c r="AN1176">
        <v>129</v>
      </c>
      <c r="AO1176">
        <v>2</v>
      </c>
      <c r="AP1176">
        <v>47</v>
      </c>
      <c r="AQ1176" t="s">
        <v>8846</v>
      </c>
      <c r="AR1176" t="s">
        <v>8847</v>
      </c>
      <c r="AS1176" t="s">
        <v>8848</v>
      </c>
      <c r="AT1176" t="s">
        <v>3998</v>
      </c>
      <c r="AU1176" t="s">
        <v>3999</v>
      </c>
      <c r="AV1176" t="s">
        <v>69</v>
      </c>
      <c r="AW1176" t="s">
        <v>3994</v>
      </c>
      <c r="AX1176" t="s">
        <v>31336</v>
      </c>
      <c r="AY1176" t="s">
        <v>602</v>
      </c>
      <c r="AZ1176">
        <v>2003</v>
      </c>
      <c r="BA1176">
        <v>6</v>
      </c>
      <c r="BB1176">
        <v>1</v>
      </c>
      <c r="BC1176" t="s">
        <v>69</v>
      </c>
      <c r="BD1176" t="s">
        <v>69</v>
      </c>
      <c r="BE1176" t="s">
        <v>69</v>
      </c>
      <c r="BF1176" t="s">
        <v>69</v>
      </c>
      <c r="BG1176">
        <v>35</v>
      </c>
      <c r="BH1176">
        <v>52</v>
      </c>
      <c r="BI1176" t="s">
        <v>69</v>
      </c>
      <c r="BJ1176" t="s">
        <v>4000</v>
      </c>
      <c r="BK1176" t="str">
        <f>HYPERLINK("http://dx.doi.org/10.1002/we.82","http://dx.doi.org/10.1002/we.82")</f>
        <v>http://dx.doi.org/10.1002/we.82</v>
      </c>
      <c r="BL1176" t="s">
        <v>69</v>
      </c>
      <c r="BM1176" t="s">
        <v>69</v>
      </c>
      <c r="BN1176">
        <v>18</v>
      </c>
      <c r="BO1176" t="s">
        <v>31337</v>
      </c>
      <c r="BP1176" t="s">
        <v>8548</v>
      </c>
      <c r="BQ1176" t="s">
        <v>19142</v>
      </c>
      <c r="BR1176" t="s">
        <v>31338</v>
      </c>
      <c r="BS1176" t="s">
        <v>4001</v>
      </c>
      <c r="BT1176" t="s">
        <v>69</v>
      </c>
      <c r="BU1176" t="s">
        <v>69</v>
      </c>
      <c r="BV1176" t="s">
        <v>69</v>
      </c>
      <c r="BW1176" t="s">
        <v>69</v>
      </c>
      <c r="BX1176" t="s">
        <v>8526</v>
      </c>
      <c r="BY1176" t="str">
        <f>HYPERLINK("https%3A%2F%2Fwww.webofscience.com%2Fwos%2Fwoscc%2Ffull-record%2FWOS:000186355700003","View Full Record in Web of Science")</f>
        <v>View Full Record in Web of Science</v>
      </c>
    </row>
    <row r="1177" spans="1:77" ht="12.5" x14ac:dyDescent="0.25">
      <c r="A1177" t="s">
        <v>8495</v>
      </c>
      <c r="B1177" s="7" t="s">
        <v>32933</v>
      </c>
      <c r="C1177" s="7"/>
      <c r="D1177" s="7"/>
      <c r="E1177" s="7"/>
      <c r="F1177" t="s">
        <v>67</v>
      </c>
      <c r="G1177" t="s">
        <v>8188</v>
      </c>
      <c r="H1177" t="s">
        <v>69</v>
      </c>
      <c r="I1177" t="s">
        <v>69</v>
      </c>
      <c r="J1177" t="s">
        <v>69</v>
      </c>
      <c r="K1177" t="s">
        <v>8189</v>
      </c>
      <c r="L1177" t="s">
        <v>69</v>
      </c>
      <c r="M1177" t="s">
        <v>69</v>
      </c>
      <c r="N1177" t="s">
        <v>8190</v>
      </c>
      <c r="O1177" t="s">
        <v>1602</v>
      </c>
      <c r="P1177" t="s">
        <v>69</v>
      </c>
      <c r="Q1177" t="s">
        <v>69</v>
      </c>
      <c r="R1177" t="s">
        <v>8505</v>
      </c>
      <c r="S1177" t="s">
        <v>8506</v>
      </c>
      <c r="T1177" t="s">
        <v>69</v>
      </c>
      <c r="U1177" t="s">
        <v>69</v>
      </c>
      <c r="V1177" t="s">
        <v>69</v>
      </c>
      <c r="W1177" t="s">
        <v>69</v>
      </c>
      <c r="X1177" t="s">
        <v>69</v>
      </c>
      <c r="Y1177" t="s">
        <v>15086</v>
      </c>
      <c r="Z1177" t="s">
        <v>15087</v>
      </c>
      <c r="AA1177" t="s">
        <v>8191</v>
      </c>
      <c r="AB1177" t="s">
        <v>15088</v>
      </c>
      <c r="AC1177" t="s">
        <v>69</v>
      </c>
      <c r="AD1177" t="s">
        <v>15089</v>
      </c>
      <c r="AE1177" t="s">
        <v>15090</v>
      </c>
      <c r="AF1177" t="s">
        <v>8192</v>
      </c>
      <c r="AG1177" t="s">
        <v>8193</v>
      </c>
      <c r="AH1177" t="s">
        <v>69</v>
      </c>
      <c r="AI1177" t="s">
        <v>69</v>
      </c>
      <c r="AJ1177" t="s">
        <v>69</v>
      </c>
      <c r="AK1177" t="s">
        <v>69</v>
      </c>
      <c r="AL1177">
        <v>58</v>
      </c>
      <c r="AM1177">
        <v>7</v>
      </c>
      <c r="AN1177">
        <v>8</v>
      </c>
      <c r="AO1177">
        <v>1</v>
      </c>
      <c r="AP1177">
        <v>16</v>
      </c>
      <c r="AQ1177" t="s">
        <v>8762</v>
      </c>
      <c r="AR1177" t="s">
        <v>8763</v>
      </c>
      <c r="AS1177" t="s">
        <v>8764</v>
      </c>
      <c r="AT1177" t="s">
        <v>1604</v>
      </c>
      <c r="AU1177" t="s">
        <v>2269</v>
      </c>
      <c r="AV1177" t="s">
        <v>69</v>
      </c>
      <c r="AW1177" t="s">
        <v>15091</v>
      </c>
      <c r="AX1177" t="s">
        <v>15092</v>
      </c>
      <c r="AY1177" t="s">
        <v>155</v>
      </c>
      <c r="AZ1177">
        <v>2020</v>
      </c>
      <c r="BA1177">
        <v>57</v>
      </c>
      <c r="BB1177">
        <v>8</v>
      </c>
      <c r="BC1177" t="s">
        <v>69</v>
      </c>
      <c r="BD1177" t="s">
        <v>69</v>
      </c>
      <c r="BE1177" t="s">
        <v>69</v>
      </c>
      <c r="BF1177" t="s">
        <v>69</v>
      </c>
      <c r="BG1177">
        <v>1676</v>
      </c>
      <c r="BH1177">
        <v>1695</v>
      </c>
      <c r="BI1177" t="s">
        <v>69</v>
      </c>
      <c r="BJ1177" t="s">
        <v>8194</v>
      </c>
      <c r="BK1177" t="str">
        <f>HYPERLINK("http://dx.doi.org/10.1177/0042098019844390","http://dx.doi.org/10.1177/0042098019844390")</f>
        <v>http://dx.doi.org/10.1177/0042098019844390</v>
      </c>
      <c r="BL1177" t="s">
        <v>69</v>
      </c>
      <c r="BM1177" t="s">
        <v>69</v>
      </c>
      <c r="BN1177">
        <v>20</v>
      </c>
      <c r="BO1177" t="s">
        <v>15093</v>
      </c>
      <c r="BP1177" t="s">
        <v>8661</v>
      </c>
      <c r="BQ1177" t="s">
        <v>15094</v>
      </c>
      <c r="BR1177" t="s">
        <v>15095</v>
      </c>
      <c r="BS1177" t="s">
        <v>8195</v>
      </c>
      <c r="BT1177" t="s">
        <v>69</v>
      </c>
      <c r="BU1177" t="s">
        <v>69</v>
      </c>
      <c r="BV1177" t="s">
        <v>69</v>
      </c>
      <c r="BW1177" t="s">
        <v>69</v>
      </c>
      <c r="BX1177" t="s">
        <v>8526</v>
      </c>
      <c r="BY1177" t="str">
        <f>HYPERLINK("https%3A%2F%2Fwww.webofscience.com%2Fwos%2Fwoscc%2Ffull-record%2FWOS:000534334700005","View Full Record in Web of Science")</f>
        <v>View Full Record in Web of Science</v>
      </c>
    </row>
    <row r="1178" spans="1:77" ht="12.5" x14ac:dyDescent="0.25">
      <c r="A1178" t="s">
        <v>8495</v>
      </c>
      <c r="B1178" s="7" t="s">
        <v>32933</v>
      </c>
      <c r="C1178" s="7"/>
      <c r="D1178" s="7"/>
      <c r="E1178" s="7"/>
      <c r="F1178" t="s">
        <v>67</v>
      </c>
      <c r="G1178" t="s">
        <v>6222</v>
      </c>
      <c r="H1178" t="s">
        <v>69</v>
      </c>
      <c r="I1178" t="s">
        <v>69</v>
      </c>
      <c r="J1178" t="s">
        <v>69</v>
      </c>
      <c r="K1178" t="s">
        <v>6223</v>
      </c>
      <c r="L1178" t="s">
        <v>69</v>
      </c>
      <c r="M1178" t="s">
        <v>69</v>
      </c>
      <c r="N1178" t="s">
        <v>6224</v>
      </c>
      <c r="O1178" t="s">
        <v>6225</v>
      </c>
      <c r="P1178" t="s">
        <v>69</v>
      </c>
      <c r="Q1178" t="s">
        <v>69</v>
      </c>
      <c r="R1178" t="s">
        <v>8505</v>
      </c>
      <c r="S1178" t="s">
        <v>8506</v>
      </c>
      <c r="T1178" t="s">
        <v>69</v>
      </c>
      <c r="U1178" t="s">
        <v>69</v>
      </c>
      <c r="V1178" t="s">
        <v>69</v>
      </c>
      <c r="W1178" t="s">
        <v>69</v>
      </c>
      <c r="X1178" t="s">
        <v>69</v>
      </c>
      <c r="Y1178" t="s">
        <v>19782</v>
      </c>
      <c r="Z1178" t="s">
        <v>69</v>
      </c>
      <c r="AA1178" t="s">
        <v>6226</v>
      </c>
      <c r="AB1178" t="s">
        <v>19783</v>
      </c>
      <c r="AC1178" t="s">
        <v>69</v>
      </c>
      <c r="AD1178" t="s">
        <v>19784</v>
      </c>
      <c r="AE1178" t="s">
        <v>19785</v>
      </c>
      <c r="AF1178" t="s">
        <v>69</v>
      </c>
      <c r="AG1178" t="s">
        <v>69</v>
      </c>
      <c r="AH1178" t="s">
        <v>19786</v>
      </c>
      <c r="AI1178" t="s">
        <v>17510</v>
      </c>
      <c r="AJ1178" t="s">
        <v>19787</v>
      </c>
      <c r="AK1178" t="s">
        <v>69</v>
      </c>
      <c r="AL1178">
        <v>33</v>
      </c>
      <c r="AM1178">
        <v>1</v>
      </c>
      <c r="AN1178">
        <v>1</v>
      </c>
      <c r="AO1178">
        <v>0</v>
      </c>
      <c r="AP1178">
        <v>3</v>
      </c>
      <c r="AQ1178" t="s">
        <v>8516</v>
      </c>
      <c r="AR1178" t="s">
        <v>8517</v>
      </c>
      <c r="AS1178" t="s">
        <v>8518</v>
      </c>
      <c r="AT1178" t="s">
        <v>6227</v>
      </c>
      <c r="AU1178" t="s">
        <v>6228</v>
      </c>
      <c r="AV1178" t="s">
        <v>69</v>
      </c>
      <c r="AW1178" t="s">
        <v>19788</v>
      </c>
      <c r="AX1178" t="s">
        <v>19789</v>
      </c>
      <c r="AY1178" t="s">
        <v>274</v>
      </c>
      <c r="AZ1178">
        <v>2017</v>
      </c>
      <c r="BA1178">
        <v>5</v>
      </c>
      <c r="BB1178" t="s">
        <v>1812</v>
      </c>
      <c r="BC1178" t="s">
        <v>69</v>
      </c>
      <c r="BD1178" t="s">
        <v>69</v>
      </c>
      <c r="BE1178" t="s">
        <v>114</v>
      </c>
      <c r="BF1178" t="s">
        <v>69</v>
      </c>
      <c r="BG1178">
        <v>97</v>
      </c>
      <c r="BH1178">
        <v>116</v>
      </c>
      <c r="BI1178" t="s">
        <v>69</v>
      </c>
      <c r="BJ1178" t="s">
        <v>6229</v>
      </c>
      <c r="BK1178" t="str">
        <f>HYPERLINK("http://dx.doi.org/10.1007/s40070-017-0073-0","http://dx.doi.org/10.1007/s40070-017-0073-0")</f>
        <v>http://dx.doi.org/10.1007/s40070-017-0073-0</v>
      </c>
      <c r="BL1178" t="s">
        <v>69</v>
      </c>
      <c r="BM1178" t="s">
        <v>69</v>
      </c>
      <c r="BN1178">
        <v>20</v>
      </c>
      <c r="BO1178" t="s">
        <v>9410</v>
      </c>
      <c r="BP1178" t="s">
        <v>8573</v>
      </c>
      <c r="BQ1178" t="s">
        <v>8594</v>
      </c>
      <c r="BR1178" t="s">
        <v>19790</v>
      </c>
      <c r="BS1178" t="s">
        <v>6230</v>
      </c>
      <c r="BT1178" t="s">
        <v>69</v>
      </c>
      <c r="BU1178" t="s">
        <v>69</v>
      </c>
      <c r="BV1178" t="s">
        <v>69</v>
      </c>
      <c r="BW1178" t="s">
        <v>69</v>
      </c>
      <c r="BX1178" t="s">
        <v>8526</v>
      </c>
      <c r="BY1178" t="str">
        <f>HYPERLINK("https%3A%2F%2Fwww.webofscience.com%2Fwos%2Fwoscc%2Ffull-record%2FWOS:000446936300006","View Full Record in Web of Science")</f>
        <v>View Full Record in Web of Science</v>
      </c>
    </row>
    <row r="1179" spans="1:77" ht="12.5" x14ac:dyDescent="0.25">
      <c r="A1179" t="s">
        <v>8495</v>
      </c>
      <c r="B1179" s="22" t="s">
        <v>32931</v>
      </c>
      <c r="C1179" s="7"/>
      <c r="D1179" s="7"/>
      <c r="E1179" s="7"/>
      <c r="F1179" t="s">
        <v>67</v>
      </c>
      <c r="G1179" t="s">
        <v>25369</v>
      </c>
      <c r="H1179" t="s">
        <v>69</v>
      </c>
      <c r="I1179" t="s">
        <v>69</v>
      </c>
      <c r="J1179" t="s">
        <v>69</v>
      </c>
      <c r="K1179" t="s">
        <v>25370</v>
      </c>
      <c r="L1179" t="s">
        <v>69</v>
      </c>
      <c r="M1179" t="s">
        <v>69</v>
      </c>
      <c r="N1179" t="s">
        <v>25371</v>
      </c>
      <c r="O1179" t="s">
        <v>25372</v>
      </c>
      <c r="P1179" t="s">
        <v>69</v>
      </c>
      <c r="Q1179" t="s">
        <v>69</v>
      </c>
      <c r="R1179" t="s">
        <v>25259</v>
      </c>
      <c r="S1179" t="s">
        <v>8506</v>
      </c>
      <c r="T1179" t="s">
        <v>69</v>
      </c>
      <c r="U1179" t="s">
        <v>69</v>
      </c>
      <c r="V1179" t="s">
        <v>69</v>
      </c>
      <c r="W1179" t="s">
        <v>69</v>
      </c>
      <c r="X1179" t="s">
        <v>69</v>
      </c>
      <c r="Y1179" t="s">
        <v>25373</v>
      </c>
      <c r="Z1179" t="s">
        <v>69</v>
      </c>
      <c r="AA1179" t="s">
        <v>25374</v>
      </c>
      <c r="AB1179" t="s">
        <v>25375</v>
      </c>
      <c r="AC1179" t="s">
        <v>69</v>
      </c>
      <c r="AD1179" t="s">
        <v>25376</v>
      </c>
      <c r="AE1179" t="s">
        <v>25377</v>
      </c>
      <c r="AF1179" t="s">
        <v>69</v>
      </c>
      <c r="AG1179" t="s">
        <v>69</v>
      </c>
      <c r="AH1179" t="s">
        <v>69</v>
      </c>
      <c r="AI1179" t="s">
        <v>69</v>
      </c>
      <c r="AJ1179" t="s">
        <v>69</v>
      </c>
      <c r="AK1179" t="s">
        <v>69</v>
      </c>
      <c r="AL1179">
        <v>44</v>
      </c>
      <c r="AM1179">
        <v>4</v>
      </c>
      <c r="AN1179">
        <v>4</v>
      </c>
      <c r="AO1179">
        <v>0</v>
      </c>
      <c r="AP1179">
        <v>0</v>
      </c>
      <c r="AQ1179" t="s">
        <v>25378</v>
      </c>
      <c r="AR1179" t="s">
        <v>25379</v>
      </c>
      <c r="AS1179" t="s">
        <v>25380</v>
      </c>
      <c r="AT1179" t="s">
        <v>25381</v>
      </c>
      <c r="AU1179" t="s">
        <v>25382</v>
      </c>
      <c r="AV1179" t="s">
        <v>69</v>
      </c>
      <c r="AW1179" t="s">
        <v>25383</v>
      </c>
      <c r="AX1179" t="s">
        <v>25384</v>
      </c>
      <c r="AY1179" t="s">
        <v>69</v>
      </c>
      <c r="AZ1179">
        <v>2013</v>
      </c>
      <c r="BA1179">
        <v>8</v>
      </c>
      <c r="BB1179">
        <v>2</v>
      </c>
      <c r="BC1179" t="s">
        <v>69</v>
      </c>
      <c r="BD1179" t="s">
        <v>69</v>
      </c>
      <c r="BE1179" t="s">
        <v>69</v>
      </c>
      <c r="BF1179" t="s">
        <v>69</v>
      </c>
      <c r="BG1179">
        <v>453</v>
      </c>
      <c r="BH1179">
        <v>470</v>
      </c>
      <c r="BI1179" t="s">
        <v>69</v>
      </c>
      <c r="BJ1179" t="s">
        <v>69</v>
      </c>
      <c r="BK1179" t="s">
        <v>69</v>
      </c>
      <c r="BL1179" t="s">
        <v>69</v>
      </c>
      <c r="BM1179" t="s">
        <v>69</v>
      </c>
      <c r="BN1179">
        <v>18</v>
      </c>
      <c r="BO1179" t="s">
        <v>8463</v>
      </c>
      <c r="BP1179" t="s">
        <v>8573</v>
      </c>
      <c r="BQ1179" t="s">
        <v>8463</v>
      </c>
      <c r="BR1179" t="s">
        <v>25385</v>
      </c>
      <c r="BS1179" t="s">
        <v>25386</v>
      </c>
      <c r="BT1179" t="s">
        <v>69</v>
      </c>
      <c r="BU1179" t="s">
        <v>69</v>
      </c>
      <c r="BV1179" t="s">
        <v>69</v>
      </c>
      <c r="BW1179" t="s">
        <v>69</v>
      </c>
      <c r="BX1179" t="s">
        <v>8526</v>
      </c>
      <c r="BY1179" t="str">
        <f>HYPERLINK("https%3A%2F%2Fwww.webofscience.com%2Fwos%2Fwoscc%2Ffull-record%2FWOS:000436204100006","View Full Record in Web of Science")</f>
        <v>View Full Record in Web of Science</v>
      </c>
    </row>
    <row r="1180" spans="1:77" ht="12.5" x14ac:dyDescent="0.25">
      <c r="A1180" t="s">
        <v>8495</v>
      </c>
      <c r="B1180" s="22" t="s">
        <v>32931</v>
      </c>
      <c r="C1180" s="7"/>
      <c r="D1180" s="7"/>
      <c r="E1180" s="7"/>
      <c r="F1180" t="s">
        <v>67</v>
      </c>
      <c r="G1180" t="s">
        <v>19109</v>
      </c>
      <c r="H1180" t="s">
        <v>69</v>
      </c>
      <c r="I1180" t="s">
        <v>69</v>
      </c>
      <c r="J1180" t="s">
        <v>69</v>
      </c>
      <c r="K1180" t="s">
        <v>19110</v>
      </c>
      <c r="L1180" t="s">
        <v>69</v>
      </c>
      <c r="M1180" t="s">
        <v>19111</v>
      </c>
      <c r="N1180" t="s">
        <v>19112</v>
      </c>
      <c r="O1180" t="s">
        <v>19113</v>
      </c>
      <c r="P1180" t="s">
        <v>69</v>
      </c>
      <c r="Q1180" t="s">
        <v>69</v>
      </c>
      <c r="R1180" t="s">
        <v>8505</v>
      </c>
      <c r="S1180" t="s">
        <v>10174</v>
      </c>
      <c r="T1180" t="s">
        <v>69</v>
      </c>
      <c r="U1180" t="s">
        <v>69</v>
      </c>
      <c r="V1180" t="s">
        <v>69</v>
      </c>
      <c r="W1180" t="s">
        <v>69</v>
      </c>
      <c r="X1180" t="s">
        <v>69</v>
      </c>
      <c r="Y1180" t="s">
        <v>69</v>
      </c>
      <c r="Z1180" t="s">
        <v>69</v>
      </c>
      <c r="AA1180" t="s">
        <v>19114</v>
      </c>
      <c r="AB1180" t="s">
        <v>69</v>
      </c>
      <c r="AC1180" t="s">
        <v>69</v>
      </c>
      <c r="AD1180" t="s">
        <v>69</v>
      </c>
      <c r="AE1180" t="s">
        <v>69</v>
      </c>
      <c r="AF1180" t="s">
        <v>69</v>
      </c>
      <c r="AG1180" t="s">
        <v>69</v>
      </c>
      <c r="AH1180" t="s">
        <v>69</v>
      </c>
      <c r="AI1180" t="s">
        <v>69</v>
      </c>
      <c r="AJ1180" t="s">
        <v>69</v>
      </c>
      <c r="AK1180" t="s">
        <v>69</v>
      </c>
      <c r="AL1180">
        <v>1</v>
      </c>
      <c r="AM1180">
        <v>0</v>
      </c>
      <c r="AN1180">
        <v>0</v>
      </c>
      <c r="AO1180">
        <v>2</v>
      </c>
      <c r="AP1180">
        <v>25</v>
      </c>
      <c r="AQ1180" t="s">
        <v>19115</v>
      </c>
      <c r="AR1180" t="s">
        <v>19116</v>
      </c>
      <c r="AS1180" t="s">
        <v>19117</v>
      </c>
      <c r="AT1180" t="s">
        <v>19118</v>
      </c>
      <c r="AU1180" t="s">
        <v>69</v>
      </c>
      <c r="AV1180" t="s">
        <v>69</v>
      </c>
      <c r="AW1180" t="s">
        <v>19119</v>
      </c>
      <c r="AX1180" t="s">
        <v>19120</v>
      </c>
      <c r="AY1180" t="s">
        <v>94</v>
      </c>
      <c r="AZ1180">
        <v>2018</v>
      </c>
      <c r="BA1180" t="s">
        <v>69</v>
      </c>
      <c r="BB1180">
        <v>63</v>
      </c>
      <c r="BC1180" t="s">
        <v>69</v>
      </c>
      <c r="BD1180" t="s">
        <v>69</v>
      </c>
      <c r="BE1180" t="s">
        <v>69</v>
      </c>
      <c r="BF1180" t="s">
        <v>69</v>
      </c>
      <c r="BG1180">
        <v>53</v>
      </c>
      <c r="BH1180">
        <v>60</v>
      </c>
      <c r="BI1180" t="s">
        <v>69</v>
      </c>
      <c r="BJ1180" t="s">
        <v>19121</v>
      </c>
      <c r="BK1180" t="str">
        <f>HYPERLINK("http://dx.doi.org/10.17159/2413-3108/2018/v0n63a4706","http://dx.doi.org/10.17159/2413-3108/2018/v0n63a4706")</f>
        <v>http://dx.doi.org/10.17159/2413-3108/2018/v0n63a4706</v>
      </c>
      <c r="BL1180" t="s">
        <v>69</v>
      </c>
      <c r="BM1180" t="s">
        <v>69</v>
      </c>
      <c r="BN1180">
        <v>8</v>
      </c>
      <c r="BO1180" t="s">
        <v>19122</v>
      </c>
      <c r="BP1180" t="s">
        <v>8573</v>
      </c>
      <c r="BQ1180" t="s">
        <v>19122</v>
      </c>
      <c r="BR1180" t="s">
        <v>19123</v>
      </c>
      <c r="BS1180" t="s">
        <v>19124</v>
      </c>
      <c r="BT1180" t="s">
        <v>69</v>
      </c>
      <c r="BU1180" t="s">
        <v>9352</v>
      </c>
      <c r="BV1180" t="s">
        <v>69</v>
      </c>
      <c r="BW1180" t="s">
        <v>69</v>
      </c>
      <c r="BX1180" t="s">
        <v>8526</v>
      </c>
      <c r="BY1180" t="str">
        <f>HYPERLINK("https%3A%2F%2Fwww.webofscience.com%2Fwos%2Fwoscc%2Ffull-record%2FWOS:000433005800006","View Full Record in Web of Science")</f>
        <v>View Full Record in Web of Science</v>
      </c>
    </row>
    <row r="1181" spans="1:77" ht="12.5" x14ac:dyDescent="0.25">
      <c r="A1181" t="s">
        <v>8495</v>
      </c>
      <c r="B1181" s="22" t="s">
        <v>32931</v>
      </c>
      <c r="C1181" s="7"/>
      <c r="D1181" s="7"/>
      <c r="E1181" s="7"/>
      <c r="F1181" t="s">
        <v>67</v>
      </c>
      <c r="G1181" t="s">
        <v>9967</v>
      </c>
      <c r="H1181" t="s">
        <v>69</v>
      </c>
      <c r="I1181" t="s">
        <v>69</v>
      </c>
      <c r="J1181" t="s">
        <v>69</v>
      </c>
      <c r="K1181" t="s">
        <v>9968</v>
      </c>
      <c r="L1181" t="s">
        <v>69</v>
      </c>
      <c r="M1181" t="s">
        <v>69</v>
      </c>
      <c r="N1181" t="s">
        <v>9969</v>
      </c>
      <c r="O1181" t="s">
        <v>9970</v>
      </c>
      <c r="P1181" t="s">
        <v>69</v>
      </c>
      <c r="Q1181" t="s">
        <v>69</v>
      </c>
      <c r="R1181" t="s">
        <v>8505</v>
      </c>
      <c r="S1181" t="s">
        <v>8506</v>
      </c>
      <c r="T1181" t="s">
        <v>69</v>
      </c>
      <c r="U1181" t="s">
        <v>69</v>
      </c>
      <c r="V1181" t="s">
        <v>69</v>
      </c>
      <c r="W1181" t="s">
        <v>69</v>
      </c>
      <c r="X1181" t="s">
        <v>69</v>
      </c>
      <c r="Y1181" t="s">
        <v>9971</v>
      </c>
      <c r="Z1181" t="s">
        <v>9972</v>
      </c>
      <c r="AA1181" t="s">
        <v>9973</v>
      </c>
      <c r="AB1181" t="s">
        <v>9974</v>
      </c>
      <c r="AC1181" t="s">
        <v>69</v>
      </c>
      <c r="AD1181" t="s">
        <v>9975</v>
      </c>
      <c r="AE1181" t="s">
        <v>9976</v>
      </c>
      <c r="AF1181" t="s">
        <v>69</v>
      </c>
      <c r="AG1181" t="s">
        <v>9977</v>
      </c>
      <c r="AH1181" t="s">
        <v>69</v>
      </c>
      <c r="AI1181" t="s">
        <v>69</v>
      </c>
      <c r="AJ1181" t="s">
        <v>69</v>
      </c>
      <c r="AK1181" t="s">
        <v>69</v>
      </c>
      <c r="AL1181">
        <v>41</v>
      </c>
      <c r="AM1181">
        <v>0</v>
      </c>
      <c r="AN1181">
        <v>0</v>
      </c>
      <c r="AO1181">
        <v>2</v>
      </c>
      <c r="AP1181">
        <v>2</v>
      </c>
      <c r="AQ1181" t="s">
        <v>9978</v>
      </c>
      <c r="AR1181" t="s">
        <v>9979</v>
      </c>
      <c r="AS1181" t="s">
        <v>9980</v>
      </c>
      <c r="AT1181" t="s">
        <v>9981</v>
      </c>
      <c r="AU1181" t="s">
        <v>9982</v>
      </c>
      <c r="AV1181" t="s">
        <v>69</v>
      </c>
      <c r="AW1181" t="s">
        <v>9983</v>
      </c>
      <c r="AX1181" t="s">
        <v>9984</v>
      </c>
      <c r="AY1181" t="s">
        <v>201</v>
      </c>
      <c r="AZ1181">
        <v>2022</v>
      </c>
      <c r="BA1181">
        <v>25</v>
      </c>
      <c r="BB1181">
        <v>8</v>
      </c>
      <c r="BC1181" t="s">
        <v>69</v>
      </c>
      <c r="BD1181" t="s">
        <v>69</v>
      </c>
      <c r="BE1181" t="s">
        <v>69</v>
      </c>
      <c r="BF1181" t="s">
        <v>69</v>
      </c>
      <c r="BG1181">
        <v>2254</v>
      </c>
      <c r="BH1181">
        <v>2264</v>
      </c>
      <c r="BI1181" t="s">
        <v>9985</v>
      </c>
      <c r="BJ1181" t="s">
        <v>9986</v>
      </c>
      <c r="BK1181" t="str">
        <f>HYPERLINK("http://dx.doi.org/10.1017/S1368980022000295","http://dx.doi.org/10.1017/S1368980022000295")</f>
        <v>http://dx.doi.org/10.1017/S1368980022000295</v>
      </c>
      <c r="BL1181" t="s">
        <v>69</v>
      </c>
      <c r="BM1181" t="s">
        <v>9987</v>
      </c>
      <c r="BN1181">
        <v>11</v>
      </c>
      <c r="BO1181" t="s">
        <v>9988</v>
      </c>
      <c r="BP1181" t="s">
        <v>8548</v>
      </c>
      <c r="BQ1181" t="s">
        <v>9988</v>
      </c>
      <c r="BR1181" t="s">
        <v>9989</v>
      </c>
      <c r="BS1181" t="s">
        <v>9990</v>
      </c>
      <c r="BT1181">
        <v>35094725</v>
      </c>
      <c r="BU1181" t="s">
        <v>8931</v>
      </c>
      <c r="BV1181" t="s">
        <v>69</v>
      </c>
      <c r="BW1181" t="s">
        <v>69</v>
      </c>
      <c r="BX1181" t="s">
        <v>8526</v>
      </c>
      <c r="BY1181" t="str">
        <f>HYPERLINK("https%3A%2F%2Fwww.webofscience.com%2Fwos%2Fwoscc%2Ffull-record%2FWOS:000769561400001","View Full Record in Web of Science")</f>
        <v>View Full Record in Web of Science</v>
      </c>
    </row>
    <row r="1182" spans="1:77" ht="12.5" x14ac:dyDescent="0.25">
      <c r="A1182" t="s">
        <v>8495</v>
      </c>
      <c r="B1182" s="22" t="s">
        <v>32931</v>
      </c>
      <c r="C1182" s="7"/>
      <c r="D1182" s="7"/>
      <c r="E1182" s="7"/>
      <c r="F1182" t="s">
        <v>67</v>
      </c>
      <c r="G1182" t="s">
        <v>26003</v>
      </c>
      <c r="H1182" t="s">
        <v>69</v>
      </c>
      <c r="I1182" t="s">
        <v>69</v>
      </c>
      <c r="J1182" t="s">
        <v>69</v>
      </c>
      <c r="K1182" t="s">
        <v>26004</v>
      </c>
      <c r="L1182" t="s">
        <v>69</v>
      </c>
      <c r="M1182" t="s">
        <v>69</v>
      </c>
      <c r="N1182" t="s">
        <v>26005</v>
      </c>
      <c r="O1182" t="s">
        <v>26006</v>
      </c>
      <c r="P1182" t="s">
        <v>69</v>
      </c>
      <c r="Q1182" t="s">
        <v>69</v>
      </c>
      <c r="R1182" t="s">
        <v>8505</v>
      </c>
      <c r="S1182" t="s">
        <v>8506</v>
      </c>
      <c r="T1182" t="s">
        <v>69</v>
      </c>
      <c r="U1182" t="s">
        <v>69</v>
      </c>
      <c r="V1182" t="s">
        <v>69</v>
      </c>
      <c r="W1182" t="s">
        <v>69</v>
      </c>
      <c r="X1182" t="s">
        <v>69</v>
      </c>
      <c r="Y1182" t="s">
        <v>69</v>
      </c>
      <c r="Z1182" t="s">
        <v>69</v>
      </c>
      <c r="AA1182" t="s">
        <v>26007</v>
      </c>
      <c r="AB1182" t="s">
        <v>26008</v>
      </c>
      <c r="AC1182" t="s">
        <v>69</v>
      </c>
      <c r="AD1182" t="s">
        <v>26009</v>
      </c>
      <c r="AE1182" t="s">
        <v>26010</v>
      </c>
      <c r="AF1182" t="s">
        <v>69</v>
      </c>
      <c r="AG1182" t="s">
        <v>69</v>
      </c>
      <c r="AH1182" t="s">
        <v>69</v>
      </c>
      <c r="AI1182" t="s">
        <v>69</v>
      </c>
      <c r="AJ1182" t="s">
        <v>69</v>
      </c>
      <c r="AK1182" t="s">
        <v>69</v>
      </c>
      <c r="AL1182">
        <v>13</v>
      </c>
      <c r="AM1182">
        <v>18</v>
      </c>
      <c r="AN1182">
        <v>18</v>
      </c>
      <c r="AO1182">
        <v>0</v>
      </c>
      <c r="AP1182">
        <v>12</v>
      </c>
      <c r="AQ1182" t="s">
        <v>9047</v>
      </c>
      <c r="AR1182" t="s">
        <v>8693</v>
      </c>
      <c r="AS1182" t="s">
        <v>16643</v>
      </c>
      <c r="AT1182" t="s">
        <v>26011</v>
      </c>
      <c r="AU1182" t="s">
        <v>69</v>
      </c>
      <c r="AV1182" t="s">
        <v>69</v>
      </c>
      <c r="AW1182" t="s">
        <v>26012</v>
      </c>
      <c r="AX1182" t="s">
        <v>26013</v>
      </c>
      <c r="AY1182" t="s">
        <v>586</v>
      </c>
      <c r="AZ1182">
        <v>2012</v>
      </c>
      <c r="BA1182">
        <v>470</v>
      </c>
      <c r="BB1182">
        <v>5</v>
      </c>
      <c r="BC1182" t="s">
        <v>69</v>
      </c>
      <c r="BD1182" t="s">
        <v>69</v>
      </c>
      <c r="BE1182" t="s">
        <v>69</v>
      </c>
      <c r="BF1182" t="s">
        <v>69</v>
      </c>
      <c r="BG1182">
        <v>1386</v>
      </c>
      <c r="BH1182">
        <v>1392</v>
      </c>
      <c r="BI1182" t="s">
        <v>69</v>
      </c>
      <c r="BJ1182" t="s">
        <v>26014</v>
      </c>
      <c r="BK1182" t="str">
        <f>HYPERLINK("http://dx.doi.org/10.1007/s11999-011-2197-z","http://dx.doi.org/10.1007/s11999-011-2197-z")</f>
        <v>http://dx.doi.org/10.1007/s11999-011-2197-z</v>
      </c>
      <c r="BL1182" t="s">
        <v>69</v>
      </c>
      <c r="BM1182" t="s">
        <v>69</v>
      </c>
      <c r="BN1182">
        <v>7</v>
      </c>
      <c r="BO1182" t="s">
        <v>26015</v>
      </c>
      <c r="BP1182" t="s">
        <v>8548</v>
      </c>
      <c r="BQ1182" t="s">
        <v>26015</v>
      </c>
      <c r="BR1182" t="s">
        <v>26016</v>
      </c>
      <c r="BS1182" t="s">
        <v>26017</v>
      </c>
      <c r="BT1182">
        <v>22125249</v>
      </c>
      <c r="BU1182" t="s">
        <v>10423</v>
      </c>
      <c r="BV1182" t="s">
        <v>69</v>
      </c>
      <c r="BW1182" t="s">
        <v>69</v>
      </c>
      <c r="BX1182" t="s">
        <v>8526</v>
      </c>
      <c r="BY1182" t="str">
        <f>HYPERLINK("https%3A%2F%2Fwww.webofscience.com%2Fwos%2Fwoscc%2Ffull-record%2FWOS:000304094400020","View Full Record in Web of Science")</f>
        <v>View Full Record in Web of Science</v>
      </c>
    </row>
    <row r="1183" spans="1:77" ht="12.5" x14ac:dyDescent="0.25">
      <c r="A1183" t="s">
        <v>8495</v>
      </c>
      <c r="B1183" s="22" t="s">
        <v>32931</v>
      </c>
      <c r="C1183" s="7"/>
      <c r="D1183" s="7"/>
      <c r="E1183" s="7"/>
      <c r="F1183" t="s">
        <v>67</v>
      </c>
      <c r="G1183" t="s">
        <v>22045</v>
      </c>
      <c r="H1183" t="s">
        <v>69</v>
      </c>
      <c r="I1183" t="s">
        <v>69</v>
      </c>
      <c r="J1183" t="s">
        <v>69</v>
      </c>
      <c r="K1183" t="s">
        <v>22046</v>
      </c>
      <c r="L1183" t="s">
        <v>69</v>
      </c>
      <c r="M1183" t="s">
        <v>69</v>
      </c>
      <c r="N1183" t="s">
        <v>22047</v>
      </c>
      <c r="O1183" t="s">
        <v>22048</v>
      </c>
      <c r="P1183" t="s">
        <v>69</v>
      </c>
      <c r="Q1183" t="s">
        <v>69</v>
      </c>
      <c r="R1183" t="s">
        <v>8505</v>
      </c>
      <c r="S1183" t="s">
        <v>8506</v>
      </c>
      <c r="T1183" t="s">
        <v>69</v>
      </c>
      <c r="U1183" t="s">
        <v>69</v>
      </c>
      <c r="V1183" t="s">
        <v>69</v>
      </c>
      <c r="W1183" t="s">
        <v>69</v>
      </c>
      <c r="X1183" t="s">
        <v>69</v>
      </c>
      <c r="Y1183" t="s">
        <v>22049</v>
      </c>
      <c r="Z1183" t="s">
        <v>22050</v>
      </c>
      <c r="AA1183" t="s">
        <v>22051</v>
      </c>
      <c r="AB1183" t="s">
        <v>22052</v>
      </c>
      <c r="AC1183" t="s">
        <v>69</v>
      </c>
      <c r="AD1183" t="s">
        <v>22053</v>
      </c>
      <c r="AE1183" t="s">
        <v>22054</v>
      </c>
      <c r="AF1183" t="s">
        <v>22055</v>
      </c>
      <c r="AG1183" t="s">
        <v>22056</v>
      </c>
      <c r="AH1183" t="s">
        <v>69</v>
      </c>
      <c r="AI1183" t="s">
        <v>69</v>
      </c>
      <c r="AJ1183" t="s">
        <v>69</v>
      </c>
      <c r="AK1183" t="s">
        <v>69</v>
      </c>
      <c r="AL1183">
        <v>55</v>
      </c>
      <c r="AM1183">
        <v>11</v>
      </c>
      <c r="AN1183">
        <v>12</v>
      </c>
      <c r="AO1183">
        <v>3</v>
      </c>
      <c r="AP1183">
        <v>17</v>
      </c>
      <c r="AQ1183" t="s">
        <v>8586</v>
      </c>
      <c r="AR1183" t="s">
        <v>8587</v>
      </c>
      <c r="AS1183" t="s">
        <v>8588</v>
      </c>
      <c r="AT1183" t="s">
        <v>22057</v>
      </c>
      <c r="AU1183" t="s">
        <v>22058</v>
      </c>
      <c r="AV1183" t="s">
        <v>69</v>
      </c>
      <c r="AW1183" t="s">
        <v>22059</v>
      </c>
      <c r="AX1183" t="s">
        <v>22060</v>
      </c>
      <c r="AY1183" t="s">
        <v>69</v>
      </c>
      <c r="AZ1183">
        <v>2016</v>
      </c>
      <c r="BA1183">
        <v>40</v>
      </c>
      <c r="BB1183">
        <v>3</v>
      </c>
      <c r="BC1183" t="s">
        <v>69</v>
      </c>
      <c r="BD1183" t="s">
        <v>69</v>
      </c>
      <c r="BE1183" t="s">
        <v>69</v>
      </c>
      <c r="BF1183" t="s">
        <v>69</v>
      </c>
      <c r="BG1183">
        <v>400</v>
      </c>
      <c r="BH1183">
        <v>415</v>
      </c>
      <c r="BI1183" t="s">
        <v>69</v>
      </c>
      <c r="BJ1183" t="s">
        <v>22061</v>
      </c>
      <c r="BK1183" t="str">
        <f>HYPERLINK("http://dx.doi.org/10.1108/OIR-05-2015-0155","http://dx.doi.org/10.1108/OIR-05-2015-0155")</f>
        <v>http://dx.doi.org/10.1108/OIR-05-2015-0155</v>
      </c>
      <c r="BL1183" t="s">
        <v>69</v>
      </c>
      <c r="BM1183" t="s">
        <v>69</v>
      </c>
      <c r="BN1183">
        <v>16</v>
      </c>
      <c r="BO1183" t="s">
        <v>13389</v>
      </c>
      <c r="BP1183" t="s">
        <v>8523</v>
      </c>
      <c r="BQ1183" t="s">
        <v>10632</v>
      </c>
      <c r="BR1183" t="s">
        <v>22062</v>
      </c>
      <c r="BS1183" t="s">
        <v>22063</v>
      </c>
      <c r="BT1183" t="s">
        <v>69</v>
      </c>
      <c r="BU1183" t="s">
        <v>69</v>
      </c>
      <c r="BV1183" t="s">
        <v>69</v>
      </c>
      <c r="BW1183" t="s">
        <v>69</v>
      </c>
      <c r="BX1183" t="s">
        <v>8526</v>
      </c>
      <c r="BY1183" t="str">
        <f>HYPERLINK("https%3A%2F%2Fwww.webofscience.com%2Fwos%2Fwoscc%2Ffull-record%2FWOS:000379419700007","View Full Record in Web of Science")</f>
        <v>View Full Record in Web of Science</v>
      </c>
    </row>
    <row r="1184" spans="1:77" ht="12.5" x14ac:dyDescent="0.25">
      <c r="A1184" t="s">
        <v>8495</v>
      </c>
      <c r="B1184" s="22" t="s">
        <v>32931</v>
      </c>
      <c r="C1184" s="7"/>
      <c r="D1184" s="7"/>
      <c r="E1184" s="7"/>
      <c r="F1184" t="s">
        <v>67</v>
      </c>
      <c r="G1184" t="s">
        <v>25140</v>
      </c>
      <c r="H1184" t="s">
        <v>69</v>
      </c>
      <c r="I1184" t="s">
        <v>69</v>
      </c>
      <c r="J1184" t="s">
        <v>69</v>
      </c>
      <c r="K1184" t="s">
        <v>25141</v>
      </c>
      <c r="L1184" t="s">
        <v>69</v>
      </c>
      <c r="M1184" t="s">
        <v>69</v>
      </c>
      <c r="N1184" t="s">
        <v>25142</v>
      </c>
      <c r="O1184" t="s">
        <v>25143</v>
      </c>
      <c r="P1184" t="s">
        <v>69</v>
      </c>
      <c r="Q1184" t="s">
        <v>69</v>
      </c>
      <c r="R1184" t="s">
        <v>8505</v>
      </c>
      <c r="S1184" t="s">
        <v>8506</v>
      </c>
      <c r="T1184" t="s">
        <v>69</v>
      </c>
      <c r="U1184" t="s">
        <v>69</v>
      </c>
      <c r="V1184" t="s">
        <v>69</v>
      </c>
      <c r="W1184" t="s">
        <v>69</v>
      </c>
      <c r="X1184" t="s">
        <v>69</v>
      </c>
      <c r="Y1184" t="s">
        <v>25144</v>
      </c>
      <c r="Z1184" t="s">
        <v>69</v>
      </c>
      <c r="AA1184" t="s">
        <v>25145</v>
      </c>
      <c r="AB1184" t="s">
        <v>25146</v>
      </c>
      <c r="AC1184" t="s">
        <v>69</v>
      </c>
      <c r="AD1184" t="s">
        <v>25147</v>
      </c>
      <c r="AE1184" t="s">
        <v>25148</v>
      </c>
      <c r="AF1184" t="s">
        <v>69</v>
      </c>
      <c r="AG1184" t="s">
        <v>69</v>
      </c>
      <c r="AH1184" t="s">
        <v>69</v>
      </c>
      <c r="AI1184" t="s">
        <v>69</v>
      </c>
      <c r="AJ1184" t="s">
        <v>69</v>
      </c>
      <c r="AK1184" t="s">
        <v>69</v>
      </c>
      <c r="AL1184">
        <v>38</v>
      </c>
      <c r="AM1184">
        <v>3</v>
      </c>
      <c r="AN1184">
        <v>3</v>
      </c>
      <c r="AO1184">
        <v>0</v>
      </c>
      <c r="AP1184">
        <v>7</v>
      </c>
      <c r="AQ1184" t="s">
        <v>8865</v>
      </c>
      <c r="AR1184" t="s">
        <v>8612</v>
      </c>
      <c r="AS1184" t="s">
        <v>22341</v>
      </c>
      <c r="AT1184" t="s">
        <v>25149</v>
      </c>
      <c r="AU1184" t="s">
        <v>69</v>
      </c>
      <c r="AV1184" t="s">
        <v>69</v>
      </c>
      <c r="AW1184" t="s">
        <v>25150</v>
      </c>
      <c r="AX1184" t="s">
        <v>25151</v>
      </c>
      <c r="AY1184" t="s">
        <v>23919</v>
      </c>
      <c r="AZ1184">
        <v>2013</v>
      </c>
      <c r="BA1184">
        <v>42</v>
      </c>
      <c r="BB1184">
        <v>2</v>
      </c>
      <c r="BC1184" t="s">
        <v>69</v>
      </c>
      <c r="BD1184" t="s">
        <v>69</v>
      </c>
      <c r="BE1184" t="s">
        <v>69</v>
      </c>
      <c r="BF1184" t="s">
        <v>69</v>
      </c>
      <c r="BG1184">
        <v>204</v>
      </c>
      <c r="BH1184">
        <v>221</v>
      </c>
      <c r="BI1184" t="s">
        <v>69</v>
      </c>
      <c r="BJ1184" t="s">
        <v>25152</v>
      </c>
      <c r="BK1184" t="str">
        <f>HYPERLINK("http://dx.doi.org/10.1080/0046760X.2012.707690","http://dx.doi.org/10.1080/0046760X.2012.707690")</f>
        <v>http://dx.doi.org/10.1080/0046760X.2012.707690</v>
      </c>
      <c r="BL1184" t="s">
        <v>69</v>
      </c>
      <c r="BM1184" t="s">
        <v>69</v>
      </c>
      <c r="BN1184">
        <v>18</v>
      </c>
      <c r="BO1184" t="s">
        <v>25153</v>
      </c>
      <c r="BP1184" t="s">
        <v>8661</v>
      </c>
      <c r="BQ1184" t="s">
        <v>25154</v>
      </c>
      <c r="BR1184" t="s">
        <v>25155</v>
      </c>
      <c r="BS1184" t="s">
        <v>25156</v>
      </c>
      <c r="BT1184" t="s">
        <v>69</v>
      </c>
      <c r="BU1184" t="s">
        <v>69</v>
      </c>
      <c r="BV1184" t="s">
        <v>69</v>
      </c>
      <c r="BW1184" t="s">
        <v>69</v>
      </c>
      <c r="BX1184" t="s">
        <v>8526</v>
      </c>
      <c r="BY1184" t="str">
        <f>HYPERLINK("https%3A%2F%2Fwww.webofscience.com%2Fwos%2Fwoscc%2Ffull-record%2FWOS:000316108300004","View Full Record in Web of Science")</f>
        <v>View Full Record in Web of Science</v>
      </c>
    </row>
    <row r="1185" spans="1:77" ht="12.5" x14ac:dyDescent="0.25">
      <c r="A1185" t="s">
        <v>8495</v>
      </c>
      <c r="B1185" s="22" t="s">
        <v>32931</v>
      </c>
      <c r="C1185" s="7"/>
      <c r="D1185" s="7"/>
      <c r="E1185" s="7"/>
      <c r="F1185" t="s">
        <v>67</v>
      </c>
      <c r="G1185" t="s">
        <v>17601</v>
      </c>
      <c r="H1185" t="s">
        <v>69</v>
      </c>
      <c r="I1185" t="s">
        <v>69</v>
      </c>
      <c r="J1185" t="s">
        <v>69</v>
      </c>
      <c r="K1185" t="s">
        <v>17602</v>
      </c>
      <c r="L1185" t="s">
        <v>69</v>
      </c>
      <c r="M1185" t="s">
        <v>69</v>
      </c>
      <c r="N1185" t="s">
        <v>17603</v>
      </c>
      <c r="O1185" t="s">
        <v>352</v>
      </c>
      <c r="P1185" t="s">
        <v>69</v>
      </c>
      <c r="Q1185" t="s">
        <v>69</v>
      </c>
      <c r="R1185" t="s">
        <v>8505</v>
      </c>
      <c r="S1185" t="s">
        <v>8506</v>
      </c>
      <c r="T1185" t="s">
        <v>69</v>
      </c>
      <c r="U1185" t="s">
        <v>69</v>
      </c>
      <c r="V1185" t="s">
        <v>69</v>
      </c>
      <c r="W1185" t="s">
        <v>69</v>
      </c>
      <c r="X1185" t="s">
        <v>69</v>
      </c>
      <c r="Y1185" t="s">
        <v>17604</v>
      </c>
      <c r="Z1185" t="s">
        <v>17605</v>
      </c>
      <c r="AA1185" t="s">
        <v>17606</v>
      </c>
      <c r="AB1185" t="s">
        <v>17607</v>
      </c>
      <c r="AC1185" t="s">
        <v>69</v>
      </c>
      <c r="AD1185" t="s">
        <v>17608</v>
      </c>
      <c r="AE1185" t="s">
        <v>17609</v>
      </c>
      <c r="AF1185" t="s">
        <v>17610</v>
      </c>
      <c r="AG1185" t="s">
        <v>17611</v>
      </c>
      <c r="AH1185" t="s">
        <v>17612</v>
      </c>
      <c r="AI1185" t="s">
        <v>17613</v>
      </c>
      <c r="AJ1185" t="s">
        <v>17614</v>
      </c>
      <c r="AK1185" t="s">
        <v>69</v>
      </c>
      <c r="AL1185">
        <v>85</v>
      </c>
      <c r="AM1185">
        <v>5</v>
      </c>
      <c r="AN1185">
        <v>6</v>
      </c>
      <c r="AO1185">
        <v>1</v>
      </c>
      <c r="AP1185">
        <v>19</v>
      </c>
      <c r="AQ1185" t="s">
        <v>8924</v>
      </c>
      <c r="AR1185" t="s">
        <v>8925</v>
      </c>
      <c r="AS1185" t="s">
        <v>8926</v>
      </c>
      <c r="AT1185" t="s">
        <v>69</v>
      </c>
      <c r="AU1185" t="s">
        <v>354</v>
      </c>
      <c r="AV1185" t="s">
        <v>69</v>
      </c>
      <c r="AW1185" t="s">
        <v>8958</v>
      </c>
      <c r="AX1185" t="s">
        <v>8434</v>
      </c>
      <c r="AY1185" t="s">
        <v>837</v>
      </c>
      <c r="AZ1185">
        <v>2019</v>
      </c>
      <c r="BA1185">
        <v>11</v>
      </c>
      <c r="BB1185">
        <v>2</v>
      </c>
      <c r="BC1185" t="s">
        <v>69</v>
      </c>
      <c r="BD1185" t="s">
        <v>69</v>
      </c>
      <c r="BE1185" t="s">
        <v>69</v>
      </c>
      <c r="BF1185" t="s">
        <v>69</v>
      </c>
      <c r="BG1185" t="s">
        <v>69</v>
      </c>
      <c r="BH1185" t="s">
        <v>69</v>
      </c>
      <c r="BI1185">
        <v>392</v>
      </c>
      <c r="BJ1185" t="s">
        <v>17615</v>
      </c>
      <c r="BK1185" t="str">
        <f>HYPERLINK("http://dx.doi.org/10.3390/su11020392","http://dx.doi.org/10.3390/su11020392")</f>
        <v>http://dx.doi.org/10.3390/su11020392</v>
      </c>
      <c r="BL1185" t="s">
        <v>69</v>
      </c>
      <c r="BM1185" t="s">
        <v>69</v>
      </c>
      <c r="BN1185">
        <v>18</v>
      </c>
      <c r="BO1185" t="s">
        <v>8960</v>
      </c>
      <c r="BP1185" t="s">
        <v>8523</v>
      </c>
      <c r="BQ1185" t="s">
        <v>8961</v>
      </c>
      <c r="BR1185" t="s">
        <v>17616</v>
      </c>
      <c r="BS1185" t="s">
        <v>17617</v>
      </c>
      <c r="BT1185" t="s">
        <v>69</v>
      </c>
      <c r="BU1185" t="s">
        <v>8931</v>
      </c>
      <c r="BV1185" t="s">
        <v>69</v>
      </c>
      <c r="BW1185" t="s">
        <v>69</v>
      </c>
      <c r="BX1185" t="s">
        <v>8526</v>
      </c>
      <c r="BY1185" t="str">
        <f>HYPERLINK("https%3A%2F%2Fwww.webofscience.com%2Fwos%2Fwoscc%2Ffull-record%2FWOS:000457129900096","View Full Record in Web of Science")</f>
        <v>View Full Record in Web of Science</v>
      </c>
    </row>
    <row r="1186" spans="1:77" ht="12.5" x14ac:dyDescent="0.25">
      <c r="A1186" t="s">
        <v>8495</v>
      </c>
      <c r="B1186" s="22" t="s">
        <v>32931</v>
      </c>
      <c r="C1186" s="7"/>
      <c r="D1186" s="7"/>
      <c r="E1186" s="7"/>
      <c r="F1186" t="s">
        <v>67</v>
      </c>
      <c r="G1186" t="s">
        <v>13855</v>
      </c>
      <c r="H1186" t="s">
        <v>69</v>
      </c>
      <c r="I1186" t="s">
        <v>69</v>
      </c>
      <c r="J1186" t="s">
        <v>69</v>
      </c>
      <c r="K1186" t="s">
        <v>13856</v>
      </c>
      <c r="L1186" t="s">
        <v>69</v>
      </c>
      <c r="M1186" t="s">
        <v>69</v>
      </c>
      <c r="N1186" t="s">
        <v>13857</v>
      </c>
      <c r="O1186" t="s">
        <v>13858</v>
      </c>
      <c r="P1186" t="s">
        <v>69</v>
      </c>
      <c r="Q1186" t="s">
        <v>69</v>
      </c>
      <c r="R1186" t="s">
        <v>8505</v>
      </c>
      <c r="S1186" t="s">
        <v>8506</v>
      </c>
      <c r="T1186" t="s">
        <v>69</v>
      </c>
      <c r="U1186" t="s">
        <v>69</v>
      </c>
      <c r="V1186" t="s">
        <v>69</v>
      </c>
      <c r="W1186" t="s">
        <v>69</v>
      </c>
      <c r="X1186" t="s">
        <v>69</v>
      </c>
      <c r="Y1186" t="s">
        <v>13859</v>
      </c>
      <c r="Z1186" t="s">
        <v>69</v>
      </c>
      <c r="AA1186" t="s">
        <v>13860</v>
      </c>
      <c r="AB1186" t="s">
        <v>13861</v>
      </c>
      <c r="AC1186" t="s">
        <v>69</v>
      </c>
      <c r="AD1186" t="s">
        <v>13862</v>
      </c>
      <c r="AE1186" t="s">
        <v>13863</v>
      </c>
      <c r="AF1186" t="s">
        <v>13864</v>
      </c>
      <c r="AG1186" t="s">
        <v>13865</v>
      </c>
      <c r="AH1186" t="s">
        <v>13866</v>
      </c>
      <c r="AI1186" t="s">
        <v>13867</v>
      </c>
      <c r="AJ1186" t="s">
        <v>13868</v>
      </c>
      <c r="AK1186" t="s">
        <v>69</v>
      </c>
      <c r="AL1186">
        <v>61</v>
      </c>
      <c r="AM1186">
        <v>2</v>
      </c>
      <c r="AN1186">
        <v>2</v>
      </c>
      <c r="AO1186">
        <v>6</v>
      </c>
      <c r="AP1186">
        <v>40</v>
      </c>
      <c r="AQ1186" t="s">
        <v>8586</v>
      </c>
      <c r="AR1186" t="s">
        <v>8587</v>
      </c>
      <c r="AS1186" t="s">
        <v>8588</v>
      </c>
      <c r="AT1186" t="s">
        <v>13869</v>
      </c>
      <c r="AU1186" t="s">
        <v>13870</v>
      </c>
      <c r="AV1186" t="s">
        <v>69</v>
      </c>
      <c r="AW1186" t="s">
        <v>13871</v>
      </c>
      <c r="AX1186" t="s">
        <v>13872</v>
      </c>
      <c r="AY1186" t="s">
        <v>13873</v>
      </c>
      <c r="AZ1186">
        <v>2021</v>
      </c>
      <c r="BA1186">
        <v>22</v>
      </c>
      <c r="BB1186">
        <v>2</v>
      </c>
      <c r="BC1186" t="s">
        <v>69</v>
      </c>
      <c r="BD1186" t="s">
        <v>69</v>
      </c>
      <c r="BE1186" t="s">
        <v>69</v>
      </c>
      <c r="BF1186" t="s">
        <v>69</v>
      </c>
      <c r="BG1186">
        <v>344</v>
      </c>
      <c r="BH1186">
        <v>362</v>
      </c>
      <c r="BI1186" t="s">
        <v>69</v>
      </c>
      <c r="BJ1186" t="s">
        <v>13874</v>
      </c>
      <c r="BK1186" t="str">
        <f>HYPERLINK("http://dx.doi.org/10.1108/IJSHE-05-2020-0186","http://dx.doi.org/10.1108/IJSHE-05-2020-0186")</f>
        <v>http://dx.doi.org/10.1108/IJSHE-05-2020-0186</v>
      </c>
      <c r="BL1186" t="s">
        <v>69</v>
      </c>
      <c r="BM1186" t="s">
        <v>1852</v>
      </c>
      <c r="BN1186">
        <v>19</v>
      </c>
      <c r="BO1186" t="s">
        <v>13875</v>
      </c>
      <c r="BP1186" t="s">
        <v>8661</v>
      </c>
      <c r="BQ1186" t="s">
        <v>13876</v>
      </c>
      <c r="BR1186" t="s">
        <v>13877</v>
      </c>
      <c r="BS1186" t="s">
        <v>13878</v>
      </c>
      <c r="BT1186" t="s">
        <v>69</v>
      </c>
      <c r="BU1186" t="s">
        <v>69</v>
      </c>
      <c r="BV1186" t="s">
        <v>69</v>
      </c>
      <c r="BW1186" t="s">
        <v>69</v>
      </c>
      <c r="BX1186" t="s">
        <v>8526</v>
      </c>
      <c r="BY1186" t="str">
        <f>HYPERLINK("https%3A%2F%2Fwww.webofscience.com%2Fwos%2Fwoscc%2Ffull-record%2FWOS:000600952100001","View Full Record in Web of Science")</f>
        <v>View Full Record in Web of Science</v>
      </c>
    </row>
    <row r="1187" spans="1:77" ht="12.5" x14ac:dyDescent="0.25">
      <c r="A1187" t="s">
        <v>8495</v>
      </c>
      <c r="B1187" s="22" t="s">
        <v>32931</v>
      </c>
      <c r="C1187" s="7"/>
      <c r="D1187" s="7"/>
      <c r="E1187" s="7"/>
      <c r="F1187" t="s">
        <v>67</v>
      </c>
      <c r="G1187" t="s">
        <v>10503</v>
      </c>
      <c r="H1187" t="s">
        <v>69</v>
      </c>
      <c r="I1187" t="s">
        <v>69</v>
      </c>
      <c r="J1187" t="s">
        <v>69</v>
      </c>
      <c r="K1187" t="s">
        <v>10504</v>
      </c>
      <c r="L1187" t="s">
        <v>69</v>
      </c>
      <c r="M1187" t="s">
        <v>69</v>
      </c>
      <c r="N1187" t="s">
        <v>10505</v>
      </c>
      <c r="O1187" t="s">
        <v>10506</v>
      </c>
      <c r="P1187" t="s">
        <v>69</v>
      </c>
      <c r="Q1187" t="s">
        <v>69</v>
      </c>
      <c r="R1187" t="s">
        <v>8505</v>
      </c>
      <c r="S1187" t="s">
        <v>8506</v>
      </c>
      <c r="T1187" t="s">
        <v>69</v>
      </c>
      <c r="U1187" t="s">
        <v>69</v>
      </c>
      <c r="V1187" t="s">
        <v>69</v>
      </c>
      <c r="W1187" t="s">
        <v>69</v>
      </c>
      <c r="X1187" t="s">
        <v>69</v>
      </c>
      <c r="Y1187" t="s">
        <v>10507</v>
      </c>
      <c r="Z1187" t="s">
        <v>69</v>
      </c>
      <c r="AA1187" t="s">
        <v>10508</v>
      </c>
      <c r="AB1187" t="s">
        <v>10509</v>
      </c>
      <c r="AC1187" t="s">
        <v>69</v>
      </c>
      <c r="AD1187" t="s">
        <v>10510</v>
      </c>
      <c r="AE1187" t="s">
        <v>10511</v>
      </c>
      <c r="AF1187" t="s">
        <v>10512</v>
      </c>
      <c r="AG1187" t="s">
        <v>10513</v>
      </c>
      <c r="AH1187" t="s">
        <v>10514</v>
      </c>
      <c r="AI1187" t="s">
        <v>10515</v>
      </c>
      <c r="AJ1187" t="s">
        <v>10516</v>
      </c>
      <c r="AK1187" t="s">
        <v>69</v>
      </c>
      <c r="AL1187">
        <v>79</v>
      </c>
      <c r="AM1187">
        <v>0</v>
      </c>
      <c r="AN1187">
        <v>0</v>
      </c>
      <c r="AO1187">
        <v>1</v>
      </c>
      <c r="AP1187">
        <v>1</v>
      </c>
      <c r="AQ1187" t="s">
        <v>10517</v>
      </c>
      <c r="AR1187" t="s">
        <v>10518</v>
      </c>
      <c r="AS1187" t="s">
        <v>10519</v>
      </c>
      <c r="AT1187" t="s">
        <v>10520</v>
      </c>
      <c r="AU1187" t="s">
        <v>69</v>
      </c>
      <c r="AV1187" t="s">
        <v>69</v>
      </c>
      <c r="AW1187" t="s">
        <v>10521</v>
      </c>
      <c r="AX1187" t="s">
        <v>10522</v>
      </c>
      <c r="AY1187" t="s">
        <v>4520</v>
      </c>
      <c r="AZ1187">
        <v>2021</v>
      </c>
      <c r="BA1187">
        <v>23</v>
      </c>
      <c r="BB1187">
        <v>12</v>
      </c>
      <c r="BC1187" t="s">
        <v>69</v>
      </c>
      <c r="BD1187" t="s">
        <v>69</v>
      </c>
      <c r="BE1187" t="s">
        <v>69</v>
      </c>
      <c r="BF1187" t="s">
        <v>69</v>
      </c>
      <c r="BG1187" t="s">
        <v>69</v>
      </c>
      <c r="BH1187" t="s">
        <v>69</v>
      </c>
      <c r="BI1187" t="s">
        <v>10523</v>
      </c>
      <c r="BJ1187" t="s">
        <v>10524</v>
      </c>
      <c r="BK1187" t="str">
        <f>HYPERLINK("http://dx.doi.org/10.2196/20028","http://dx.doi.org/10.2196/20028")</f>
        <v>http://dx.doi.org/10.2196/20028</v>
      </c>
      <c r="BL1187" t="s">
        <v>69</v>
      </c>
      <c r="BM1187" t="s">
        <v>69</v>
      </c>
      <c r="BN1187">
        <v>16</v>
      </c>
      <c r="BO1187" t="s">
        <v>10525</v>
      </c>
      <c r="BP1187" t="s">
        <v>8548</v>
      </c>
      <c r="BQ1187" t="s">
        <v>10525</v>
      </c>
      <c r="BR1187" t="s">
        <v>10526</v>
      </c>
      <c r="BS1187" t="s">
        <v>10527</v>
      </c>
      <c r="BT1187">
        <v>34860667</v>
      </c>
      <c r="BU1187" t="s">
        <v>9352</v>
      </c>
      <c r="BV1187" t="s">
        <v>69</v>
      </c>
      <c r="BW1187" t="s">
        <v>69</v>
      </c>
      <c r="BX1187" t="s">
        <v>8526</v>
      </c>
      <c r="BY1187" t="str">
        <f>HYPERLINK("https%3A%2F%2Fwww.webofscience.com%2Fwos%2Fwoscc%2Ffull-record%2FWOS:000749605800006","View Full Record in Web of Science")</f>
        <v>View Full Record in Web of Science</v>
      </c>
    </row>
    <row r="1188" spans="1:77" ht="12.5" x14ac:dyDescent="0.25">
      <c r="A1188" t="s">
        <v>8495</v>
      </c>
      <c r="B1188" s="22" t="s">
        <v>32931</v>
      </c>
      <c r="C1188" s="7"/>
      <c r="D1188" s="7"/>
      <c r="E1188" s="7"/>
      <c r="F1188" t="s">
        <v>67</v>
      </c>
      <c r="G1188" t="s">
        <v>27229</v>
      </c>
      <c r="H1188" t="s">
        <v>69</v>
      </c>
      <c r="I1188" t="s">
        <v>69</v>
      </c>
      <c r="J1188" t="s">
        <v>69</v>
      </c>
      <c r="K1188" t="s">
        <v>27230</v>
      </c>
      <c r="L1188" t="s">
        <v>69</v>
      </c>
      <c r="M1188" t="s">
        <v>69</v>
      </c>
      <c r="N1188" t="s">
        <v>27231</v>
      </c>
      <c r="O1188" t="s">
        <v>27232</v>
      </c>
      <c r="P1188" t="s">
        <v>69</v>
      </c>
      <c r="Q1188" t="s">
        <v>69</v>
      </c>
      <c r="R1188" t="s">
        <v>8505</v>
      </c>
      <c r="S1188" t="s">
        <v>8506</v>
      </c>
      <c r="T1188" t="s">
        <v>69</v>
      </c>
      <c r="U1188" t="s">
        <v>69</v>
      </c>
      <c r="V1188" t="s">
        <v>69</v>
      </c>
      <c r="W1188" t="s">
        <v>69</v>
      </c>
      <c r="X1188" t="s">
        <v>69</v>
      </c>
      <c r="Y1188" t="s">
        <v>27233</v>
      </c>
      <c r="Z1188" t="s">
        <v>69</v>
      </c>
      <c r="AA1188" t="s">
        <v>27234</v>
      </c>
      <c r="AB1188" t="s">
        <v>27235</v>
      </c>
      <c r="AC1188" t="s">
        <v>69</v>
      </c>
      <c r="AD1188" t="s">
        <v>27236</v>
      </c>
      <c r="AE1188" t="s">
        <v>27237</v>
      </c>
      <c r="AF1188" t="s">
        <v>27238</v>
      </c>
      <c r="AG1188" t="s">
        <v>27239</v>
      </c>
      <c r="AH1188" t="s">
        <v>69</v>
      </c>
      <c r="AI1188" t="s">
        <v>69</v>
      </c>
      <c r="AJ1188" t="s">
        <v>69</v>
      </c>
      <c r="AK1188" t="s">
        <v>69</v>
      </c>
      <c r="AL1188">
        <v>11</v>
      </c>
      <c r="AM1188">
        <v>2</v>
      </c>
      <c r="AN1188">
        <v>2</v>
      </c>
      <c r="AO1188">
        <v>1</v>
      </c>
      <c r="AP1188">
        <v>16</v>
      </c>
      <c r="AQ1188" t="s">
        <v>27240</v>
      </c>
      <c r="AR1188" t="s">
        <v>8587</v>
      </c>
      <c r="AS1188" t="s">
        <v>8588</v>
      </c>
      <c r="AT1188" t="s">
        <v>27241</v>
      </c>
      <c r="AU1188" t="s">
        <v>69</v>
      </c>
      <c r="AV1188" t="s">
        <v>69</v>
      </c>
      <c r="AW1188" t="s">
        <v>27242</v>
      </c>
      <c r="AX1188" t="s">
        <v>27243</v>
      </c>
      <c r="AY1188" t="s">
        <v>69</v>
      </c>
      <c r="AZ1188">
        <v>2011</v>
      </c>
      <c r="BA1188">
        <v>29</v>
      </c>
      <c r="BB1188">
        <v>1</v>
      </c>
      <c r="BC1188" t="s">
        <v>69</v>
      </c>
      <c r="BD1188" t="s">
        <v>69</v>
      </c>
      <c r="BE1188" t="s">
        <v>69</v>
      </c>
      <c r="BF1188" t="s">
        <v>69</v>
      </c>
      <c r="BG1188">
        <v>90</v>
      </c>
      <c r="BH1188">
        <v>104</v>
      </c>
      <c r="BI1188" t="s">
        <v>69</v>
      </c>
      <c r="BJ1188" t="s">
        <v>27244</v>
      </c>
      <c r="BK1188" t="str">
        <f>HYPERLINK("http://dx.doi.org/10.1108/02640471111111451","http://dx.doi.org/10.1108/02640471111111451")</f>
        <v>http://dx.doi.org/10.1108/02640471111111451</v>
      </c>
      <c r="BL1188" t="s">
        <v>69</v>
      </c>
      <c r="BM1188" t="s">
        <v>69</v>
      </c>
      <c r="BN1188">
        <v>15</v>
      </c>
      <c r="BO1188" t="s">
        <v>11010</v>
      </c>
      <c r="BP1188" t="s">
        <v>8661</v>
      </c>
      <c r="BQ1188" t="s">
        <v>11010</v>
      </c>
      <c r="BR1188" t="s">
        <v>27245</v>
      </c>
      <c r="BS1188" t="s">
        <v>27246</v>
      </c>
      <c r="BT1188" t="s">
        <v>69</v>
      </c>
      <c r="BU1188" t="s">
        <v>9292</v>
      </c>
      <c r="BV1188" t="s">
        <v>69</v>
      </c>
      <c r="BW1188" t="s">
        <v>69</v>
      </c>
      <c r="BX1188" t="s">
        <v>8526</v>
      </c>
      <c r="BY1188" t="str">
        <f>HYPERLINK("https%3A%2F%2Fwww.webofscience.com%2Fwos%2Fwoscc%2Ffull-record%2FWOS:000288405000006","View Full Record in Web of Science")</f>
        <v>View Full Record in Web of Science</v>
      </c>
    </row>
    <row r="1189" spans="1:77" ht="12.5" x14ac:dyDescent="0.25">
      <c r="A1189" t="s">
        <v>8495</v>
      </c>
      <c r="B1189" s="22" t="s">
        <v>32931</v>
      </c>
      <c r="C1189" s="7"/>
      <c r="D1189" s="7"/>
      <c r="E1189" s="7"/>
      <c r="F1189" t="s">
        <v>67</v>
      </c>
      <c r="G1189" t="s">
        <v>13013</v>
      </c>
      <c r="H1189" t="s">
        <v>69</v>
      </c>
      <c r="I1189" t="s">
        <v>69</v>
      </c>
      <c r="J1189" t="s">
        <v>69</v>
      </c>
      <c r="K1189" t="s">
        <v>13014</v>
      </c>
      <c r="L1189" t="s">
        <v>69</v>
      </c>
      <c r="M1189" t="s">
        <v>69</v>
      </c>
      <c r="N1189" t="s">
        <v>13015</v>
      </c>
      <c r="O1189" t="s">
        <v>4907</v>
      </c>
      <c r="P1189" t="s">
        <v>69</v>
      </c>
      <c r="Q1189" t="s">
        <v>69</v>
      </c>
      <c r="R1189" t="s">
        <v>8505</v>
      </c>
      <c r="S1189" t="s">
        <v>8506</v>
      </c>
      <c r="T1189" t="s">
        <v>69</v>
      </c>
      <c r="U1189" t="s">
        <v>69</v>
      </c>
      <c r="V1189" t="s">
        <v>69</v>
      </c>
      <c r="W1189" t="s">
        <v>69</v>
      </c>
      <c r="X1189" t="s">
        <v>69</v>
      </c>
      <c r="Y1189" t="s">
        <v>13016</v>
      </c>
      <c r="Z1189" t="s">
        <v>13017</v>
      </c>
      <c r="AA1189" t="s">
        <v>13018</v>
      </c>
      <c r="AB1189" t="s">
        <v>13019</v>
      </c>
      <c r="AC1189" t="s">
        <v>69</v>
      </c>
      <c r="AD1189" t="s">
        <v>13020</v>
      </c>
      <c r="AE1189" t="s">
        <v>13021</v>
      </c>
      <c r="AF1189" t="s">
        <v>69</v>
      </c>
      <c r="AG1189" t="s">
        <v>13022</v>
      </c>
      <c r="AH1189" t="s">
        <v>69</v>
      </c>
      <c r="AI1189" t="s">
        <v>69</v>
      </c>
      <c r="AJ1189" t="s">
        <v>69</v>
      </c>
      <c r="AK1189" t="s">
        <v>69</v>
      </c>
      <c r="AL1189">
        <v>43</v>
      </c>
      <c r="AM1189">
        <v>0</v>
      </c>
      <c r="AN1189">
        <v>0</v>
      </c>
      <c r="AO1189">
        <v>0</v>
      </c>
      <c r="AP1189">
        <v>5</v>
      </c>
      <c r="AQ1189" t="s">
        <v>13023</v>
      </c>
      <c r="AR1189" t="s">
        <v>13024</v>
      </c>
      <c r="AS1189" t="s">
        <v>13025</v>
      </c>
      <c r="AT1189" t="s">
        <v>4909</v>
      </c>
      <c r="AU1189" t="s">
        <v>4910</v>
      </c>
      <c r="AV1189" t="s">
        <v>69</v>
      </c>
      <c r="AW1189" t="s">
        <v>13026</v>
      </c>
      <c r="AX1189" t="s">
        <v>13027</v>
      </c>
      <c r="AY1189" t="s">
        <v>246</v>
      </c>
      <c r="AZ1189">
        <v>2021</v>
      </c>
      <c r="BA1189">
        <v>321</v>
      </c>
      <c r="BB1189" t="s">
        <v>69</v>
      </c>
      <c r="BC1189" t="s">
        <v>69</v>
      </c>
      <c r="BD1189" t="s">
        <v>69</v>
      </c>
      <c r="BE1189" t="s">
        <v>69</v>
      </c>
      <c r="BF1189" t="s">
        <v>69</v>
      </c>
      <c r="BG1189" t="s">
        <v>69</v>
      </c>
      <c r="BH1189" t="s">
        <v>69</v>
      </c>
      <c r="BI1189">
        <v>110605</v>
      </c>
      <c r="BJ1189" t="s">
        <v>13028</v>
      </c>
      <c r="BK1189" t="str">
        <f>HYPERLINK("http://dx.doi.org/10.1016/j.forsciint.2020.110605","http://dx.doi.org/10.1016/j.forsciint.2020.110605")</f>
        <v>http://dx.doi.org/10.1016/j.forsciint.2020.110605</v>
      </c>
      <c r="BL1189" t="s">
        <v>69</v>
      </c>
      <c r="BM1189" t="s">
        <v>13029</v>
      </c>
      <c r="BN1189">
        <v>6</v>
      </c>
      <c r="BO1189" t="s">
        <v>13030</v>
      </c>
      <c r="BP1189" t="s">
        <v>8548</v>
      </c>
      <c r="BQ1189" t="s">
        <v>13031</v>
      </c>
      <c r="BR1189" t="s">
        <v>13032</v>
      </c>
      <c r="BS1189" t="s">
        <v>13033</v>
      </c>
      <c r="BT1189">
        <v>33640779</v>
      </c>
      <c r="BU1189" t="s">
        <v>69</v>
      </c>
      <c r="BV1189" t="s">
        <v>69</v>
      </c>
      <c r="BW1189" t="s">
        <v>69</v>
      </c>
      <c r="BX1189" t="s">
        <v>8526</v>
      </c>
      <c r="BY1189" t="str">
        <f>HYPERLINK("https%3A%2F%2Fwww.webofscience.com%2Fwos%2Fwoscc%2Ffull-record%2FWOS:000633034200007","View Full Record in Web of Science")</f>
        <v>View Full Record in Web of Science</v>
      </c>
    </row>
    <row r="1190" spans="1:77" ht="12.5" x14ac:dyDescent="0.25">
      <c r="A1190" t="s">
        <v>8495</v>
      </c>
      <c r="B1190" s="22" t="s">
        <v>32931</v>
      </c>
      <c r="C1190" s="7"/>
      <c r="D1190" s="7"/>
      <c r="E1190" s="7"/>
      <c r="F1190" t="s">
        <v>67</v>
      </c>
      <c r="G1190" t="s">
        <v>9812</v>
      </c>
      <c r="H1190" t="s">
        <v>69</v>
      </c>
      <c r="I1190" t="s">
        <v>69</v>
      </c>
      <c r="J1190" t="s">
        <v>69</v>
      </c>
      <c r="K1190" t="s">
        <v>9813</v>
      </c>
      <c r="L1190" t="s">
        <v>69</v>
      </c>
      <c r="M1190" t="s">
        <v>69</v>
      </c>
      <c r="N1190" t="s">
        <v>9814</v>
      </c>
      <c r="O1190" t="s">
        <v>342</v>
      </c>
      <c r="P1190" t="s">
        <v>69</v>
      </c>
      <c r="Q1190" t="s">
        <v>69</v>
      </c>
      <c r="R1190" t="s">
        <v>8505</v>
      </c>
      <c r="S1190" t="s">
        <v>8556</v>
      </c>
      <c r="T1190" t="s">
        <v>69</v>
      </c>
      <c r="U1190" t="s">
        <v>69</v>
      </c>
      <c r="V1190" t="s">
        <v>69</v>
      </c>
      <c r="W1190" t="s">
        <v>69</v>
      </c>
      <c r="X1190" t="s">
        <v>69</v>
      </c>
      <c r="Y1190" t="s">
        <v>9815</v>
      </c>
      <c r="Z1190" t="s">
        <v>9816</v>
      </c>
      <c r="AA1190" t="s">
        <v>9817</v>
      </c>
      <c r="AB1190" t="s">
        <v>9818</v>
      </c>
      <c r="AC1190" t="s">
        <v>69</v>
      </c>
      <c r="AD1190" t="s">
        <v>9819</v>
      </c>
      <c r="AE1190" t="s">
        <v>9820</v>
      </c>
      <c r="AF1190" t="s">
        <v>69</v>
      </c>
      <c r="AG1190" t="s">
        <v>69</v>
      </c>
      <c r="AH1190" t="s">
        <v>69</v>
      </c>
      <c r="AI1190" t="s">
        <v>69</v>
      </c>
      <c r="AJ1190" t="s">
        <v>69</v>
      </c>
      <c r="AK1190" t="s">
        <v>69</v>
      </c>
      <c r="AL1190">
        <v>52</v>
      </c>
      <c r="AM1190">
        <v>0</v>
      </c>
      <c r="AN1190">
        <v>0</v>
      </c>
      <c r="AO1190">
        <v>3</v>
      </c>
      <c r="AP1190">
        <v>3</v>
      </c>
      <c r="AQ1190" t="s">
        <v>8611</v>
      </c>
      <c r="AR1190" t="s">
        <v>8612</v>
      </c>
      <c r="AS1190" t="s">
        <v>8613</v>
      </c>
      <c r="AT1190" t="s">
        <v>344</v>
      </c>
      <c r="AU1190" t="s">
        <v>345</v>
      </c>
      <c r="AV1190" t="s">
        <v>69</v>
      </c>
      <c r="AW1190" t="s">
        <v>9821</v>
      </c>
      <c r="AX1190" t="s">
        <v>9822</v>
      </c>
      <c r="AY1190" t="s">
        <v>69</v>
      </c>
      <c r="AZ1190" t="s">
        <v>69</v>
      </c>
      <c r="BA1190" t="s">
        <v>69</v>
      </c>
      <c r="BB1190" t="s">
        <v>69</v>
      </c>
      <c r="BC1190" t="s">
        <v>69</v>
      </c>
      <c r="BD1190" t="s">
        <v>69</v>
      </c>
      <c r="BE1190" t="s">
        <v>69</v>
      </c>
      <c r="BF1190" t="s">
        <v>69</v>
      </c>
      <c r="BG1190" t="s">
        <v>69</v>
      </c>
      <c r="BH1190" t="s">
        <v>69</v>
      </c>
      <c r="BI1190" t="s">
        <v>69</v>
      </c>
      <c r="BJ1190" t="s">
        <v>9823</v>
      </c>
      <c r="BK1190" t="str">
        <f>HYPERLINK("http://dx.doi.org/10.1080/15623599.2022.2045863","http://dx.doi.org/10.1080/15623599.2022.2045863")</f>
        <v>http://dx.doi.org/10.1080/15623599.2022.2045863</v>
      </c>
      <c r="BL1190" t="s">
        <v>69</v>
      </c>
      <c r="BM1190" t="s">
        <v>9808</v>
      </c>
      <c r="BN1190">
        <v>11</v>
      </c>
      <c r="BO1190" t="s">
        <v>9410</v>
      </c>
      <c r="BP1190" t="s">
        <v>8573</v>
      </c>
      <c r="BQ1190" t="s">
        <v>8594</v>
      </c>
      <c r="BR1190" t="s">
        <v>9824</v>
      </c>
      <c r="BS1190" t="s">
        <v>9825</v>
      </c>
      <c r="BT1190" t="s">
        <v>69</v>
      </c>
      <c r="BU1190" t="s">
        <v>69</v>
      </c>
      <c r="BV1190" t="s">
        <v>69</v>
      </c>
      <c r="BW1190" t="s">
        <v>69</v>
      </c>
      <c r="BX1190" t="s">
        <v>8526</v>
      </c>
      <c r="BY1190" t="str">
        <f>HYPERLINK("https%3A%2F%2Fwww.webofscience.com%2Fwos%2Fwoscc%2Ffull-record%2FWOS:000765608100001","View Full Record in Web of Science")</f>
        <v>View Full Record in Web of Science</v>
      </c>
    </row>
    <row r="1191" spans="1:77" ht="12.5" x14ac:dyDescent="0.25">
      <c r="A1191" t="s">
        <v>8495</v>
      </c>
      <c r="B1191" s="7" t="s">
        <v>32933</v>
      </c>
      <c r="C1191" s="7"/>
      <c r="D1191" s="7"/>
      <c r="E1191" s="7"/>
      <c r="F1191" t="s">
        <v>67</v>
      </c>
      <c r="G1191" t="s">
        <v>2935</v>
      </c>
      <c r="H1191" t="s">
        <v>69</v>
      </c>
      <c r="I1191" t="s">
        <v>69</v>
      </c>
      <c r="J1191" t="s">
        <v>69</v>
      </c>
      <c r="K1191" t="s">
        <v>2936</v>
      </c>
      <c r="L1191" t="s">
        <v>69</v>
      </c>
      <c r="M1191" t="s">
        <v>69</v>
      </c>
      <c r="N1191" t="s">
        <v>2937</v>
      </c>
      <c r="O1191" t="s">
        <v>2938</v>
      </c>
      <c r="P1191" t="s">
        <v>69</v>
      </c>
      <c r="Q1191" t="s">
        <v>69</v>
      </c>
      <c r="R1191" t="s">
        <v>8505</v>
      </c>
      <c r="S1191" t="s">
        <v>8506</v>
      </c>
      <c r="T1191" t="s">
        <v>69</v>
      </c>
      <c r="U1191" t="s">
        <v>69</v>
      </c>
      <c r="V1191" t="s">
        <v>69</v>
      </c>
      <c r="W1191" t="s">
        <v>69</v>
      </c>
      <c r="X1191" t="s">
        <v>69</v>
      </c>
      <c r="Y1191" t="s">
        <v>21881</v>
      </c>
      <c r="Z1191" t="s">
        <v>69</v>
      </c>
      <c r="AA1191" t="s">
        <v>2939</v>
      </c>
      <c r="AB1191" t="s">
        <v>21882</v>
      </c>
      <c r="AC1191" t="s">
        <v>69</v>
      </c>
      <c r="AD1191" t="s">
        <v>21883</v>
      </c>
      <c r="AE1191" t="s">
        <v>21884</v>
      </c>
      <c r="AF1191" t="s">
        <v>2940</v>
      </c>
      <c r="AG1191" t="s">
        <v>2941</v>
      </c>
      <c r="AH1191" t="s">
        <v>69</v>
      </c>
      <c r="AI1191" t="s">
        <v>69</v>
      </c>
      <c r="AJ1191" t="s">
        <v>69</v>
      </c>
      <c r="AK1191" t="s">
        <v>69</v>
      </c>
      <c r="AL1191">
        <v>3</v>
      </c>
      <c r="AM1191">
        <v>7</v>
      </c>
      <c r="AN1191">
        <v>7</v>
      </c>
      <c r="AO1191">
        <v>0</v>
      </c>
      <c r="AP1191">
        <v>20</v>
      </c>
      <c r="AQ1191" t="s">
        <v>8586</v>
      </c>
      <c r="AR1191" t="s">
        <v>8587</v>
      </c>
      <c r="AS1191" t="s">
        <v>8588</v>
      </c>
      <c r="AT1191" t="s">
        <v>2942</v>
      </c>
      <c r="AU1191" t="s">
        <v>2943</v>
      </c>
      <c r="AV1191" t="s">
        <v>69</v>
      </c>
      <c r="AW1191" t="s">
        <v>21885</v>
      </c>
      <c r="AX1191" t="s">
        <v>21886</v>
      </c>
      <c r="AY1191" t="s">
        <v>69</v>
      </c>
      <c r="AZ1191">
        <v>2016</v>
      </c>
      <c r="BA1191">
        <v>32</v>
      </c>
      <c r="BB1191">
        <v>3</v>
      </c>
      <c r="BC1191" t="s">
        <v>69</v>
      </c>
      <c r="BD1191" t="s">
        <v>69</v>
      </c>
      <c r="BE1191" t="s">
        <v>69</v>
      </c>
      <c r="BF1191" t="s">
        <v>69</v>
      </c>
      <c r="BG1191">
        <v>137</v>
      </c>
      <c r="BH1191">
        <v>141</v>
      </c>
      <c r="BI1191" t="s">
        <v>69</v>
      </c>
      <c r="BJ1191" t="s">
        <v>2944</v>
      </c>
      <c r="BK1191" t="str">
        <f>HYPERLINK("http://dx.doi.org/10.1108/DLP-05-2016-0013","http://dx.doi.org/10.1108/DLP-05-2016-0013")</f>
        <v>http://dx.doi.org/10.1108/DLP-05-2016-0013</v>
      </c>
      <c r="BL1191" t="s">
        <v>69</v>
      </c>
      <c r="BM1191" t="s">
        <v>69</v>
      </c>
      <c r="BN1191">
        <v>5</v>
      </c>
      <c r="BO1191" t="s">
        <v>11010</v>
      </c>
      <c r="BP1191" t="s">
        <v>8573</v>
      </c>
      <c r="BQ1191" t="s">
        <v>11010</v>
      </c>
      <c r="BR1191" t="s">
        <v>21887</v>
      </c>
      <c r="BS1191" t="s">
        <v>2945</v>
      </c>
      <c r="BT1191" t="s">
        <v>69</v>
      </c>
      <c r="BU1191" t="s">
        <v>69</v>
      </c>
      <c r="BV1191" t="s">
        <v>69</v>
      </c>
      <c r="BW1191" t="s">
        <v>69</v>
      </c>
      <c r="BX1191" t="s">
        <v>8526</v>
      </c>
      <c r="BY1191" t="str">
        <f>HYPERLINK("https%3A%2F%2Fwww.webofscience.com%2Fwos%2Fwoscc%2Ffull-record%2FWOS:000410922100002","View Full Record in Web of Science")</f>
        <v>View Full Record in Web of Science</v>
      </c>
    </row>
    <row r="1192" spans="1:77" ht="12.5" x14ac:dyDescent="0.25">
      <c r="A1192" t="s">
        <v>8495</v>
      </c>
      <c r="B1192" s="7" t="s">
        <v>32933</v>
      </c>
      <c r="C1192" s="7"/>
      <c r="D1192" s="7"/>
      <c r="E1192" s="7"/>
      <c r="F1192" t="s">
        <v>67</v>
      </c>
      <c r="G1192" t="s">
        <v>2717</v>
      </c>
      <c r="H1192" t="s">
        <v>69</v>
      </c>
      <c r="I1192" t="s">
        <v>69</v>
      </c>
      <c r="J1192" t="s">
        <v>69</v>
      </c>
      <c r="K1192" t="s">
        <v>2718</v>
      </c>
      <c r="L1192" t="s">
        <v>69</v>
      </c>
      <c r="M1192" t="s">
        <v>69</v>
      </c>
      <c r="N1192" t="s">
        <v>2719</v>
      </c>
      <c r="O1192" t="s">
        <v>2720</v>
      </c>
      <c r="P1192" t="s">
        <v>69</v>
      </c>
      <c r="Q1192" t="s">
        <v>69</v>
      </c>
      <c r="R1192" t="s">
        <v>8505</v>
      </c>
      <c r="S1192" t="s">
        <v>8506</v>
      </c>
      <c r="T1192" t="s">
        <v>69</v>
      </c>
      <c r="U1192" t="s">
        <v>69</v>
      </c>
      <c r="V1192" t="s">
        <v>69</v>
      </c>
      <c r="W1192" t="s">
        <v>69</v>
      </c>
      <c r="X1192" t="s">
        <v>69</v>
      </c>
      <c r="Y1192" t="s">
        <v>20620</v>
      </c>
      <c r="Z1192" t="s">
        <v>20621</v>
      </c>
      <c r="AA1192" t="s">
        <v>2721</v>
      </c>
      <c r="AB1192" t="s">
        <v>20622</v>
      </c>
      <c r="AC1192" t="s">
        <v>69</v>
      </c>
      <c r="AD1192" t="s">
        <v>20623</v>
      </c>
      <c r="AE1192" t="s">
        <v>20624</v>
      </c>
      <c r="AF1192" t="s">
        <v>2722</v>
      </c>
      <c r="AG1192" t="s">
        <v>2723</v>
      </c>
      <c r="AH1192" t="s">
        <v>69</v>
      </c>
      <c r="AI1192" t="s">
        <v>69</v>
      </c>
      <c r="AJ1192" t="s">
        <v>69</v>
      </c>
      <c r="AK1192" t="s">
        <v>69</v>
      </c>
      <c r="AL1192">
        <v>53</v>
      </c>
      <c r="AM1192">
        <v>28</v>
      </c>
      <c r="AN1192">
        <v>28</v>
      </c>
      <c r="AO1192">
        <v>3</v>
      </c>
      <c r="AP1192">
        <v>32</v>
      </c>
      <c r="AQ1192" t="s">
        <v>8586</v>
      </c>
      <c r="AR1192" t="s">
        <v>8587</v>
      </c>
      <c r="AS1192" t="s">
        <v>8588</v>
      </c>
      <c r="AT1192" t="s">
        <v>2724</v>
      </c>
      <c r="AU1192" t="s">
        <v>2725</v>
      </c>
      <c r="AV1192" t="s">
        <v>69</v>
      </c>
      <c r="AW1192" t="s">
        <v>20625</v>
      </c>
      <c r="AX1192" t="s">
        <v>20626</v>
      </c>
      <c r="AY1192" t="s">
        <v>69</v>
      </c>
      <c r="AZ1192">
        <v>2017</v>
      </c>
      <c r="BA1192">
        <v>30</v>
      </c>
      <c r="BB1192">
        <v>4</v>
      </c>
      <c r="BC1192" t="s">
        <v>69</v>
      </c>
      <c r="BD1192" t="s">
        <v>69</v>
      </c>
      <c r="BE1192" t="s">
        <v>69</v>
      </c>
      <c r="BF1192" t="s">
        <v>69</v>
      </c>
      <c r="BG1192">
        <v>584</v>
      </c>
      <c r="BH1192">
        <v>598</v>
      </c>
      <c r="BI1192" t="s">
        <v>69</v>
      </c>
      <c r="BJ1192" t="s">
        <v>2726</v>
      </c>
      <c r="BK1192" t="str">
        <f>HYPERLINK("http://dx.doi.org/10.1108/JOCM-02-2016-0039","http://dx.doi.org/10.1108/JOCM-02-2016-0039")</f>
        <v>http://dx.doi.org/10.1108/JOCM-02-2016-0039</v>
      </c>
      <c r="BL1192" t="s">
        <v>69</v>
      </c>
      <c r="BM1192" t="s">
        <v>69</v>
      </c>
      <c r="BN1192">
        <v>15</v>
      </c>
      <c r="BO1192" t="s">
        <v>9410</v>
      </c>
      <c r="BP1192" t="s">
        <v>8661</v>
      </c>
      <c r="BQ1192" t="s">
        <v>8594</v>
      </c>
      <c r="BR1192" t="s">
        <v>20627</v>
      </c>
      <c r="BS1192" t="s">
        <v>2727</v>
      </c>
      <c r="BT1192" t="s">
        <v>69</v>
      </c>
      <c r="BU1192" t="s">
        <v>69</v>
      </c>
      <c r="BV1192" t="s">
        <v>69</v>
      </c>
      <c r="BW1192" t="s">
        <v>69</v>
      </c>
      <c r="BX1192" t="s">
        <v>8526</v>
      </c>
      <c r="BY1192" t="str">
        <f>HYPERLINK("https%3A%2F%2Fwww.webofscience.com%2Fwos%2Fwoscc%2Ffull-record%2FWOS:000404844800008","View Full Record in Web of Science")</f>
        <v>View Full Record in Web of Science</v>
      </c>
    </row>
    <row r="1193" spans="1:77" x14ac:dyDescent="0.3">
      <c r="A1193" t="s">
        <v>8495</v>
      </c>
      <c r="B1193" s="12" t="s">
        <v>33010</v>
      </c>
      <c r="F1193" t="s">
        <v>67</v>
      </c>
      <c r="G1193" t="s">
        <v>3118</v>
      </c>
      <c r="H1193" t="s">
        <v>69</v>
      </c>
      <c r="I1193" t="s">
        <v>69</v>
      </c>
      <c r="J1193" t="s">
        <v>69</v>
      </c>
      <c r="K1193" t="s">
        <v>3119</v>
      </c>
      <c r="L1193" t="s">
        <v>69</v>
      </c>
      <c r="M1193" t="s">
        <v>69</v>
      </c>
      <c r="N1193" s="3" t="s">
        <v>3120</v>
      </c>
      <c r="O1193" t="s">
        <v>387</v>
      </c>
      <c r="P1193" t="s">
        <v>69</v>
      </c>
      <c r="Q1193" t="s">
        <v>69</v>
      </c>
      <c r="R1193" t="s">
        <v>8505</v>
      </c>
      <c r="S1193" t="s">
        <v>8506</v>
      </c>
      <c r="T1193" t="s">
        <v>69</v>
      </c>
      <c r="U1193" t="s">
        <v>69</v>
      </c>
      <c r="V1193" t="s">
        <v>69</v>
      </c>
      <c r="W1193" t="s">
        <v>69</v>
      </c>
      <c r="X1193" t="s">
        <v>69</v>
      </c>
      <c r="Y1193" t="s">
        <v>23050</v>
      </c>
      <c r="Z1193" t="s">
        <v>23051</v>
      </c>
      <c r="AA1193" t="s">
        <v>3121</v>
      </c>
      <c r="AB1193" t="s">
        <v>23052</v>
      </c>
      <c r="AC1193" t="s">
        <v>69</v>
      </c>
      <c r="AD1193" t="s">
        <v>23053</v>
      </c>
      <c r="AE1193" t="s">
        <v>23054</v>
      </c>
      <c r="AF1193" t="s">
        <v>3122</v>
      </c>
      <c r="AG1193" t="s">
        <v>3123</v>
      </c>
      <c r="AH1193" t="s">
        <v>69</v>
      </c>
      <c r="AI1193" t="s">
        <v>69</v>
      </c>
      <c r="AJ1193" t="s">
        <v>69</v>
      </c>
      <c r="AK1193" t="s">
        <v>69</v>
      </c>
      <c r="AL1193">
        <v>45</v>
      </c>
      <c r="AM1193">
        <v>34</v>
      </c>
      <c r="AN1193">
        <v>34</v>
      </c>
      <c r="AO1193">
        <v>1</v>
      </c>
      <c r="AP1193">
        <v>13</v>
      </c>
      <c r="AQ1193" t="s">
        <v>8586</v>
      </c>
      <c r="AR1193" t="s">
        <v>8587</v>
      </c>
      <c r="AS1193" t="s">
        <v>8588</v>
      </c>
      <c r="AT1193" t="s">
        <v>390</v>
      </c>
      <c r="AU1193" t="s">
        <v>391</v>
      </c>
      <c r="AV1193" t="s">
        <v>69</v>
      </c>
      <c r="AW1193" t="s">
        <v>16996</v>
      </c>
      <c r="AX1193" t="s">
        <v>16997</v>
      </c>
      <c r="AY1193" t="s">
        <v>69</v>
      </c>
      <c r="AZ1193">
        <v>2015</v>
      </c>
      <c r="BA1193">
        <v>5</v>
      </c>
      <c r="BB1193">
        <v>2</v>
      </c>
      <c r="BC1193" t="s">
        <v>69</v>
      </c>
      <c r="BD1193" t="s">
        <v>69</v>
      </c>
      <c r="BE1193" t="s">
        <v>114</v>
      </c>
      <c r="BF1193" t="s">
        <v>69</v>
      </c>
      <c r="BG1193">
        <v>154</v>
      </c>
      <c r="BH1193">
        <v>169</v>
      </c>
      <c r="BI1193" t="s">
        <v>69</v>
      </c>
      <c r="BJ1193" t="s">
        <v>3124</v>
      </c>
      <c r="BK1193" t="str">
        <f>HYPERLINK("http://dx.doi.org/10.1108/BEPAM-12-2013-0074","http://dx.doi.org/10.1108/BEPAM-12-2013-0074")</f>
        <v>http://dx.doi.org/10.1108/BEPAM-12-2013-0074</v>
      </c>
      <c r="BL1193" t="s">
        <v>69</v>
      </c>
      <c r="BM1193" t="s">
        <v>69</v>
      </c>
      <c r="BN1193">
        <v>16</v>
      </c>
      <c r="BO1193" t="s">
        <v>13537</v>
      </c>
      <c r="BP1193" t="s">
        <v>8573</v>
      </c>
      <c r="BQ1193" t="s">
        <v>8445</v>
      </c>
      <c r="BR1193" t="s">
        <v>23055</v>
      </c>
      <c r="BS1193" t="s">
        <v>3125</v>
      </c>
      <c r="BT1193" t="s">
        <v>69</v>
      </c>
      <c r="BU1193" t="s">
        <v>69</v>
      </c>
      <c r="BV1193" t="s">
        <v>69</v>
      </c>
      <c r="BW1193" t="s">
        <v>69</v>
      </c>
      <c r="BX1193" t="s">
        <v>8526</v>
      </c>
      <c r="BY1193" t="str">
        <f>HYPERLINK("https%3A%2F%2Fwww.webofscience.com%2Fwos%2Fwoscc%2Ffull-record%2FWOS:000359445300002","View Full Record in Web of Science")</f>
        <v>View Full Record in Web of Science</v>
      </c>
    </row>
    <row r="1194" spans="1:77" ht="12.5" x14ac:dyDescent="0.25">
      <c r="A1194" t="s">
        <v>8495</v>
      </c>
      <c r="B1194" s="7" t="s">
        <v>32933</v>
      </c>
      <c r="C1194" s="7"/>
      <c r="D1194" s="7"/>
      <c r="E1194" s="7"/>
      <c r="F1194" t="s">
        <v>67</v>
      </c>
      <c r="G1194" t="s">
        <v>6894</v>
      </c>
      <c r="H1194" t="s">
        <v>69</v>
      </c>
      <c r="I1194" t="s">
        <v>69</v>
      </c>
      <c r="J1194" t="s">
        <v>69</v>
      </c>
      <c r="K1194" t="s">
        <v>6895</v>
      </c>
      <c r="L1194" t="s">
        <v>69</v>
      </c>
      <c r="M1194" t="s">
        <v>69</v>
      </c>
      <c r="N1194" t="s">
        <v>6896</v>
      </c>
      <c r="O1194" t="s">
        <v>6725</v>
      </c>
      <c r="P1194" t="s">
        <v>69</v>
      </c>
      <c r="Q1194" t="s">
        <v>69</v>
      </c>
      <c r="R1194" t="s">
        <v>8505</v>
      </c>
      <c r="S1194" t="s">
        <v>8506</v>
      </c>
      <c r="T1194" t="s">
        <v>69</v>
      </c>
      <c r="U1194" t="s">
        <v>69</v>
      </c>
      <c r="V1194" t="s">
        <v>69</v>
      </c>
      <c r="W1194" t="s">
        <v>69</v>
      </c>
      <c r="X1194" t="s">
        <v>69</v>
      </c>
      <c r="Y1194" t="s">
        <v>26283</v>
      </c>
      <c r="Z1194" t="s">
        <v>69</v>
      </c>
      <c r="AA1194" t="s">
        <v>6897</v>
      </c>
      <c r="AB1194" t="s">
        <v>26284</v>
      </c>
      <c r="AC1194" t="s">
        <v>69</v>
      </c>
      <c r="AD1194" t="s">
        <v>26285</v>
      </c>
      <c r="AE1194" t="s">
        <v>26286</v>
      </c>
      <c r="AF1194" t="s">
        <v>69</v>
      </c>
      <c r="AG1194" t="s">
        <v>69</v>
      </c>
      <c r="AH1194" t="s">
        <v>69</v>
      </c>
      <c r="AI1194" t="s">
        <v>69</v>
      </c>
      <c r="AJ1194" t="s">
        <v>69</v>
      </c>
      <c r="AK1194" t="s">
        <v>69</v>
      </c>
      <c r="AL1194">
        <v>11</v>
      </c>
      <c r="AM1194">
        <v>8</v>
      </c>
      <c r="AN1194">
        <v>8</v>
      </c>
      <c r="AO1194">
        <v>0</v>
      </c>
      <c r="AP1194">
        <v>26</v>
      </c>
      <c r="AQ1194" t="s">
        <v>8586</v>
      </c>
      <c r="AR1194" t="s">
        <v>8587</v>
      </c>
      <c r="AS1194" t="s">
        <v>8588</v>
      </c>
      <c r="AT1194" t="s">
        <v>6727</v>
      </c>
      <c r="AU1194" t="s">
        <v>6728</v>
      </c>
      <c r="AV1194" t="s">
        <v>69</v>
      </c>
      <c r="AW1194" t="s">
        <v>25319</v>
      </c>
      <c r="AX1194" t="s">
        <v>25320</v>
      </c>
      <c r="AY1194" t="s">
        <v>69</v>
      </c>
      <c r="AZ1194">
        <v>2012</v>
      </c>
      <c r="BA1194">
        <v>50</v>
      </c>
      <c r="BB1194">
        <v>5</v>
      </c>
      <c r="BC1194" t="s">
        <v>69</v>
      </c>
      <c r="BD1194" t="s">
        <v>69</v>
      </c>
      <c r="BE1194" t="s">
        <v>114</v>
      </c>
      <c r="BF1194" t="s">
        <v>69</v>
      </c>
      <c r="BG1194">
        <v>900</v>
      </c>
      <c r="BH1194">
        <v>908</v>
      </c>
      <c r="BI1194" t="s">
        <v>69</v>
      </c>
      <c r="BJ1194" t="s">
        <v>6898</v>
      </c>
      <c r="BK1194" t="str">
        <f>HYPERLINK("http://dx.doi.org/10.1108/00251741211227582","http://dx.doi.org/10.1108/00251741211227582")</f>
        <v>http://dx.doi.org/10.1108/00251741211227582</v>
      </c>
      <c r="BL1194" t="s">
        <v>69</v>
      </c>
      <c r="BM1194" t="s">
        <v>69</v>
      </c>
      <c r="BN1194">
        <v>9</v>
      </c>
      <c r="BO1194" t="s">
        <v>8791</v>
      </c>
      <c r="BP1194" t="s">
        <v>8661</v>
      </c>
      <c r="BQ1194" t="s">
        <v>8594</v>
      </c>
      <c r="BR1194" t="s">
        <v>26287</v>
      </c>
      <c r="BS1194" t="s">
        <v>6899</v>
      </c>
      <c r="BT1194" t="s">
        <v>69</v>
      </c>
      <c r="BU1194" t="s">
        <v>69</v>
      </c>
      <c r="BV1194" t="s">
        <v>69</v>
      </c>
      <c r="BW1194" t="s">
        <v>69</v>
      </c>
      <c r="BX1194" t="s">
        <v>8526</v>
      </c>
      <c r="BY1194" t="str">
        <f>HYPERLINK("https%3A%2F%2Fwww.webofscience.com%2Fwos%2Fwoscc%2Ffull-record%2FWOS:000307481900009","View Full Record in Web of Science")</f>
        <v>View Full Record in Web of Science</v>
      </c>
    </row>
    <row r="1195" spans="1:77" ht="12.5" x14ac:dyDescent="0.25">
      <c r="A1195" t="s">
        <v>8495</v>
      </c>
      <c r="B1195" s="7" t="s">
        <v>32933</v>
      </c>
      <c r="C1195" s="7"/>
      <c r="D1195" s="7"/>
      <c r="E1195" s="7"/>
      <c r="F1195" t="s">
        <v>67</v>
      </c>
      <c r="G1195" t="s">
        <v>849</v>
      </c>
      <c r="H1195" t="s">
        <v>69</v>
      </c>
      <c r="I1195" t="s">
        <v>69</v>
      </c>
      <c r="J1195" t="s">
        <v>69</v>
      </c>
      <c r="K1195" t="s">
        <v>850</v>
      </c>
      <c r="L1195" t="s">
        <v>69</v>
      </c>
      <c r="M1195" t="s">
        <v>69</v>
      </c>
      <c r="N1195" t="s">
        <v>851</v>
      </c>
      <c r="O1195" t="s">
        <v>352</v>
      </c>
      <c r="P1195" t="s">
        <v>69</v>
      </c>
      <c r="Q1195" t="s">
        <v>69</v>
      </c>
      <c r="R1195" t="s">
        <v>8505</v>
      </c>
      <c r="S1195" t="s">
        <v>8506</v>
      </c>
      <c r="T1195" t="s">
        <v>69</v>
      </c>
      <c r="U1195" t="s">
        <v>69</v>
      </c>
      <c r="V1195" t="s">
        <v>69</v>
      </c>
      <c r="W1195" t="s">
        <v>69</v>
      </c>
      <c r="X1195" t="s">
        <v>69</v>
      </c>
      <c r="Y1195" t="s">
        <v>16241</v>
      </c>
      <c r="Z1195" t="s">
        <v>16242</v>
      </c>
      <c r="AA1195" t="s">
        <v>852</v>
      </c>
      <c r="AB1195" t="s">
        <v>16243</v>
      </c>
      <c r="AC1195" t="s">
        <v>69</v>
      </c>
      <c r="AD1195" t="s">
        <v>16244</v>
      </c>
      <c r="AE1195" t="s">
        <v>16245</v>
      </c>
      <c r="AF1195" t="s">
        <v>16246</v>
      </c>
      <c r="AG1195" t="s">
        <v>853</v>
      </c>
      <c r="AH1195" t="s">
        <v>69</v>
      </c>
      <c r="AI1195" t="s">
        <v>69</v>
      </c>
      <c r="AJ1195" t="s">
        <v>69</v>
      </c>
      <c r="AK1195" t="s">
        <v>69</v>
      </c>
      <c r="AL1195">
        <v>74</v>
      </c>
      <c r="AM1195">
        <v>11</v>
      </c>
      <c r="AN1195">
        <v>11</v>
      </c>
      <c r="AO1195">
        <v>4</v>
      </c>
      <c r="AP1195">
        <v>12</v>
      </c>
      <c r="AQ1195" t="s">
        <v>8924</v>
      </c>
      <c r="AR1195" t="s">
        <v>8925</v>
      </c>
      <c r="AS1195" t="s">
        <v>8926</v>
      </c>
      <c r="AT1195" t="s">
        <v>69</v>
      </c>
      <c r="AU1195" t="s">
        <v>354</v>
      </c>
      <c r="AV1195" t="s">
        <v>69</v>
      </c>
      <c r="AW1195" t="s">
        <v>8958</v>
      </c>
      <c r="AX1195" t="s">
        <v>8434</v>
      </c>
      <c r="AY1195" t="s">
        <v>373</v>
      </c>
      <c r="AZ1195">
        <v>2020</v>
      </c>
      <c r="BA1195">
        <v>12</v>
      </c>
      <c r="BB1195">
        <v>1</v>
      </c>
      <c r="BC1195" t="s">
        <v>69</v>
      </c>
      <c r="BD1195" t="s">
        <v>69</v>
      </c>
      <c r="BE1195" t="s">
        <v>69</v>
      </c>
      <c r="BF1195" t="s">
        <v>69</v>
      </c>
      <c r="BG1195" t="s">
        <v>69</v>
      </c>
      <c r="BH1195" t="s">
        <v>69</v>
      </c>
      <c r="BI1195">
        <v>258</v>
      </c>
      <c r="BJ1195" t="s">
        <v>854</v>
      </c>
      <c r="BK1195" t="str">
        <f>HYPERLINK("http://dx.doi.org/10.3390/su12010258","http://dx.doi.org/10.3390/su12010258")</f>
        <v>http://dx.doi.org/10.3390/su12010258</v>
      </c>
      <c r="BL1195" t="s">
        <v>69</v>
      </c>
      <c r="BM1195" t="s">
        <v>69</v>
      </c>
      <c r="BN1195">
        <v>17</v>
      </c>
      <c r="BO1195" t="s">
        <v>8960</v>
      </c>
      <c r="BP1195" t="s">
        <v>8523</v>
      </c>
      <c r="BQ1195" t="s">
        <v>8961</v>
      </c>
      <c r="BR1195" t="s">
        <v>16247</v>
      </c>
      <c r="BS1195" t="s">
        <v>855</v>
      </c>
      <c r="BT1195" t="s">
        <v>69</v>
      </c>
      <c r="BU1195" t="s">
        <v>11705</v>
      </c>
      <c r="BV1195" t="s">
        <v>69</v>
      </c>
      <c r="BW1195" t="s">
        <v>69</v>
      </c>
      <c r="BX1195" t="s">
        <v>8526</v>
      </c>
      <c r="BY1195" t="str">
        <f>HYPERLINK("https%3A%2F%2Fwww.webofscience.com%2Fwos%2Fwoscc%2Ffull-record%2FWOS:000521955600258","View Full Record in Web of Science")</f>
        <v>View Full Record in Web of Science</v>
      </c>
    </row>
    <row r="1196" spans="1:77" ht="12.5" x14ac:dyDescent="0.25">
      <c r="A1196" t="s">
        <v>8495</v>
      </c>
      <c r="B1196" s="7" t="s">
        <v>32933</v>
      </c>
      <c r="C1196" s="7"/>
      <c r="D1196" s="7"/>
      <c r="E1196" s="7"/>
      <c r="F1196" t="s">
        <v>67</v>
      </c>
      <c r="G1196" t="s">
        <v>1704</v>
      </c>
      <c r="H1196" t="s">
        <v>69</v>
      </c>
      <c r="I1196" t="s">
        <v>69</v>
      </c>
      <c r="J1196" t="s">
        <v>69</v>
      </c>
      <c r="K1196" t="s">
        <v>1704</v>
      </c>
      <c r="L1196" t="s">
        <v>69</v>
      </c>
      <c r="M1196" t="s">
        <v>69</v>
      </c>
      <c r="N1196" s="3" t="s">
        <v>1705</v>
      </c>
      <c r="O1196" t="s">
        <v>1706</v>
      </c>
      <c r="P1196" t="s">
        <v>69</v>
      </c>
      <c r="Q1196" t="s">
        <v>69</v>
      </c>
      <c r="R1196" t="s">
        <v>8505</v>
      </c>
      <c r="S1196" t="s">
        <v>8506</v>
      </c>
      <c r="T1196" t="s">
        <v>69</v>
      </c>
      <c r="U1196" t="s">
        <v>69</v>
      </c>
      <c r="V1196" t="s">
        <v>69</v>
      </c>
      <c r="W1196" t="s">
        <v>69</v>
      </c>
      <c r="X1196" t="s">
        <v>69</v>
      </c>
      <c r="Y1196" t="s">
        <v>69</v>
      </c>
      <c r="Z1196" t="s">
        <v>31521</v>
      </c>
      <c r="AA1196" t="s">
        <v>1707</v>
      </c>
      <c r="AB1196" t="s">
        <v>31522</v>
      </c>
      <c r="AC1196" t="s">
        <v>69</v>
      </c>
      <c r="AD1196" t="s">
        <v>31523</v>
      </c>
      <c r="AE1196" t="s">
        <v>31524</v>
      </c>
      <c r="AF1196" t="s">
        <v>69</v>
      </c>
      <c r="AG1196" t="s">
        <v>69</v>
      </c>
      <c r="AH1196" t="s">
        <v>69</v>
      </c>
      <c r="AI1196" t="s">
        <v>69</v>
      </c>
      <c r="AJ1196" t="s">
        <v>69</v>
      </c>
      <c r="AK1196" t="s">
        <v>69</v>
      </c>
      <c r="AL1196">
        <v>97</v>
      </c>
      <c r="AM1196">
        <v>10</v>
      </c>
      <c r="AN1196">
        <v>10</v>
      </c>
      <c r="AO1196">
        <v>0</v>
      </c>
      <c r="AP1196">
        <v>17</v>
      </c>
      <c r="AQ1196" t="s">
        <v>9554</v>
      </c>
      <c r="AR1196" t="s">
        <v>9555</v>
      </c>
      <c r="AS1196" t="s">
        <v>9556</v>
      </c>
      <c r="AT1196" t="s">
        <v>1708</v>
      </c>
      <c r="AU1196" t="s">
        <v>1709</v>
      </c>
      <c r="AV1196" t="s">
        <v>69</v>
      </c>
      <c r="AW1196" t="s">
        <v>31525</v>
      </c>
      <c r="AX1196" t="s">
        <v>31526</v>
      </c>
      <c r="AY1196" t="s">
        <v>1710</v>
      </c>
      <c r="AZ1196">
        <v>2001</v>
      </c>
      <c r="BA1196">
        <v>30</v>
      </c>
      <c r="BB1196">
        <v>4</v>
      </c>
      <c r="BC1196" t="s">
        <v>69</v>
      </c>
      <c r="BD1196" t="s">
        <v>69</v>
      </c>
      <c r="BE1196" t="s">
        <v>69</v>
      </c>
      <c r="BF1196" t="s">
        <v>69</v>
      </c>
      <c r="BG1196">
        <v>495</v>
      </c>
      <c r="BH1196">
        <v>514</v>
      </c>
      <c r="BI1196" t="s">
        <v>69</v>
      </c>
      <c r="BJ1196" t="s">
        <v>1711</v>
      </c>
      <c r="BK1196" t="str">
        <f>HYPERLINK("http://dx.doi.org/10.1177/009102600103000406","http://dx.doi.org/10.1177/009102600103000406")</f>
        <v>http://dx.doi.org/10.1177/009102600103000406</v>
      </c>
      <c r="BL1196" t="s">
        <v>69</v>
      </c>
      <c r="BM1196" t="s">
        <v>69</v>
      </c>
      <c r="BN1196">
        <v>20</v>
      </c>
      <c r="BO1196" t="s">
        <v>31527</v>
      </c>
      <c r="BP1196" t="s">
        <v>8661</v>
      </c>
      <c r="BQ1196" t="s">
        <v>10993</v>
      </c>
      <c r="BR1196" t="s">
        <v>31528</v>
      </c>
      <c r="BS1196" t="s">
        <v>1712</v>
      </c>
      <c r="BT1196" t="s">
        <v>69</v>
      </c>
      <c r="BU1196" t="s">
        <v>69</v>
      </c>
      <c r="BV1196" t="s">
        <v>69</v>
      </c>
      <c r="BW1196" t="s">
        <v>69</v>
      </c>
      <c r="BX1196" t="s">
        <v>8526</v>
      </c>
      <c r="BY1196" t="str">
        <f>HYPERLINK("https%3A%2F%2Fwww.webofscience.com%2Fwos%2Fwoscc%2Ffull-record%2FWOS:000173739400006","View Full Record in Web of Science")</f>
        <v>View Full Record in Web of Science</v>
      </c>
    </row>
    <row r="1197" spans="1:77" ht="12.5" x14ac:dyDescent="0.25">
      <c r="A1197" t="s">
        <v>8495</v>
      </c>
      <c r="B1197" s="22" t="s">
        <v>32931</v>
      </c>
      <c r="C1197" s="7"/>
      <c r="D1197" s="7"/>
      <c r="E1197" s="7"/>
      <c r="F1197" t="s">
        <v>67</v>
      </c>
      <c r="G1197" t="s">
        <v>30010</v>
      </c>
      <c r="H1197" t="s">
        <v>69</v>
      </c>
      <c r="I1197" t="s">
        <v>69</v>
      </c>
      <c r="J1197" t="s">
        <v>69</v>
      </c>
      <c r="K1197" t="s">
        <v>30011</v>
      </c>
      <c r="L1197" t="s">
        <v>69</v>
      </c>
      <c r="M1197" t="s">
        <v>69</v>
      </c>
      <c r="N1197" t="s">
        <v>30012</v>
      </c>
      <c r="O1197" t="s">
        <v>4407</v>
      </c>
      <c r="P1197" t="s">
        <v>69</v>
      </c>
      <c r="Q1197" t="s">
        <v>69</v>
      </c>
      <c r="R1197" t="s">
        <v>8505</v>
      </c>
      <c r="S1197" t="s">
        <v>8506</v>
      </c>
      <c r="T1197" t="s">
        <v>69</v>
      </c>
      <c r="U1197" t="s">
        <v>69</v>
      </c>
      <c r="V1197" t="s">
        <v>69</v>
      </c>
      <c r="W1197" t="s">
        <v>69</v>
      </c>
      <c r="X1197" t="s">
        <v>69</v>
      </c>
      <c r="Y1197" t="s">
        <v>30013</v>
      </c>
      <c r="Z1197" t="s">
        <v>30014</v>
      </c>
      <c r="AA1197" t="s">
        <v>30015</v>
      </c>
      <c r="AB1197" t="s">
        <v>30016</v>
      </c>
      <c r="AC1197" t="s">
        <v>69</v>
      </c>
      <c r="AD1197" t="s">
        <v>30017</v>
      </c>
      <c r="AE1197" t="s">
        <v>30018</v>
      </c>
      <c r="AF1197" t="s">
        <v>69</v>
      </c>
      <c r="AG1197" t="s">
        <v>30019</v>
      </c>
      <c r="AH1197" t="s">
        <v>69</v>
      </c>
      <c r="AI1197" t="s">
        <v>69</v>
      </c>
      <c r="AJ1197" t="s">
        <v>69</v>
      </c>
      <c r="AK1197" t="s">
        <v>69</v>
      </c>
      <c r="AL1197">
        <v>28</v>
      </c>
      <c r="AM1197">
        <v>58</v>
      </c>
      <c r="AN1197">
        <v>60</v>
      </c>
      <c r="AO1197">
        <v>0</v>
      </c>
      <c r="AP1197">
        <v>2</v>
      </c>
      <c r="AQ1197" t="s">
        <v>8586</v>
      </c>
      <c r="AR1197" t="s">
        <v>8587</v>
      </c>
      <c r="AS1197" t="s">
        <v>8588</v>
      </c>
      <c r="AT1197" t="s">
        <v>4411</v>
      </c>
      <c r="AU1197" t="s">
        <v>4412</v>
      </c>
      <c r="AV1197" t="s">
        <v>69</v>
      </c>
      <c r="AW1197" t="s">
        <v>23060</v>
      </c>
      <c r="AX1197" t="s">
        <v>23061</v>
      </c>
      <c r="AY1197" t="s">
        <v>69</v>
      </c>
      <c r="AZ1197">
        <v>2007</v>
      </c>
      <c r="BA1197">
        <v>22</v>
      </c>
      <c r="BB1197">
        <v>3</v>
      </c>
      <c r="BC1197" t="s">
        <v>69</v>
      </c>
      <c r="BD1197" t="s">
        <v>69</v>
      </c>
      <c r="BE1197" t="s">
        <v>69</v>
      </c>
      <c r="BF1197" t="s">
        <v>69</v>
      </c>
      <c r="BG1197">
        <v>244</v>
      </c>
      <c r="BH1197" t="s">
        <v>219</v>
      </c>
      <c r="BI1197" t="s">
        <v>69</v>
      </c>
      <c r="BJ1197" t="s">
        <v>30020</v>
      </c>
      <c r="BK1197" t="str">
        <f>HYPERLINK("http://dx.doi.org/10.1108/02686900710733125","http://dx.doi.org/10.1108/02686900710733125")</f>
        <v>http://dx.doi.org/10.1108/02686900710733125</v>
      </c>
      <c r="BL1197" t="s">
        <v>69</v>
      </c>
      <c r="BM1197" t="s">
        <v>69</v>
      </c>
      <c r="BN1197">
        <v>14</v>
      </c>
      <c r="BO1197" t="s">
        <v>23062</v>
      </c>
      <c r="BP1197" t="s">
        <v>8573</v>
      </c>
      <c r="BQ1197" t="s">
        <v>8594</v>
      </c>
      <c r="BR1197" t="s">
        <v>30021</v>
      </c>
      <c r="BS1197" t="s">
        <v>30022</v>
      </c>
      <c r="BT1197" t="s">
        <v>69</v>
      </c>
      <c r="BU1197" t="s">
        <v>69</v>
      </c>
      <c r="BV1197" t="s">
        <v>69</v>
      </c>
      <c r="BW1197" t="s">
        <v>69</v>
      </c>
      <c r="BX1197" t="s">
        <v>8526</v>
      </c>
      <c r="BY1197" t="str">
        <f>HYPERLINK("https%3A%2F%2Fwww.webofscience.com%2Fwos%2Fwoscc%2Ffull-record%2FWOS:000212484300001","View Full Record in Web of Science")</f>
        <v>View Full Record in Web of Science</v>
      </c>
    </row>
    <row r="1198" spans="1:77" ht="12.5" x14ac:dyDescent="0.25">
      <c r="A1198" t="s">
        <v>8495</v>
      </c>
      <c r="B1198" s="22" t="s">
        <v>32931</v>
      </c>
      <c r="C1198" s="7"/>
      <c r="D1198" s="7"/>
      <c r="E1198" s="7"/>
      <c r="F1198" t="s">
        <v>67</v>
      </c>
      <c r="G1198" t="s">
        <v>16124</v>
      </c>
      <c r="H1198" t="s">
        <v>69</v>
      </c>
      <c r="I1198" t="s">
        <v>69</v>
      </c>
      <c r="J1198" t="s">
        <v>69</v>
      </c>
      <c r="K1198" t="s">
        <v>16125</v>
      </c>
      <c r="L1198" t="s">
        <v>69</v>
      </c>
      <c r="M1198" t="s">
        <v>69</v>
      </c>
      <c r="N1198" t="s">
        <v>16126</v>
      </c>
      <c r="O1198" t="s">
        <v>16127</v>
      </c>
      <c r="P1198" t="s">
        <v>69</v>
      </c>
      <c r="Q1198" t="s">
        <v>69</v>
      </c>
      <c r="R1198" t="s">
        <v>8505</v>
      </c>
      <c r="S1198" t="s">
        <v>8506</v>
      </c>
      <c r="T1198" t="s">
        <v>69</v>
      </c>
      <c r="U1198" t="s">
        <v>69</v>
      </c>
      <c r="V1198" t="s">
        <v>69</v>
      </c>
      <c r="W1198" t="s">
        <v>69</v>
      </c>
      <c r="X1198" t="s">
        <v>69</v>
      </c>
      <c r="Y1198" t="s">
        <v>16128</v>
      </c>
      <c r="Z1198" t="s">
        <v>69</v>
      </c>
      <c r="AA1198" t="s">
        <v>16129</v>
      </c>
      <c r="AB1198" t="s">
        <v>16130</v>
      </c>
      <c r="AC1198" t="s">
        <v>69</v>
      </c>
      <c r="AD1198" t="s">
        <v>16131</v>
      </c>
      <c r="AE1198" t="s">
        <v>16132</v>
      </c>
      <c r="AF1198" t="s">
        <v>16133</v>
      </c>
      <c r="AG1198" t="s">
        <v>16134</v>
      </c>
      <c r="AH1198" t="s">
        <v>69</v>
      </c>
      <c r="AI1198" t="s">
        <v>69</v>
      </c>
      <c r="AJ1198" t="s">
        <v>69</v>
      </c>
      <c r="AK1198" t="s">
        <v>69</v>
      </c>
      <c r="AL1198">
        <v>44</v>
      </c>
      <c r="AM1198">
        <v>23</v>
      </c>
      <c r="AN1198">
        <v>23</v>
      </c>
      <c r="AO1198">
        <v>2</v>
      </c>
      <c r="AP1198">
        <v>13</v>
      </c>
      <c r="AQ1198" t="s">
        <v>8586</v>
      </c>
      <c r="AR1198" t="s">
        <v>8587</v>
      </c>
      <c r="AS1198" t="s">
        <v>8588</v>
      </c>
      <c r="AT1198" t="s">
        <v>16135</v>
      </c>
      <c r="AU1198" t="s">
        <v>16136</v>
      </c>
      <c r="AV1198" t="s">
        <v>69</v>
      </c>
      <c r="AW1198" t="s">
        <v>16137</v>
      </c>
      <c r="AX1198" t="s">
        <v>16138</v>
      </c>
      <c r="AY1198" t="s">
        <v>69</v>
      </c>
      <c r="AZ1198">
        <v>2020</v>
      </c>
      <c r="BA1198">
        <v>6</v>
      </c>
      <c r="BB1198">
        <v>2</v>
      </c>
      <c r="BC1198" t="s">
        <v>69</v>
      </c>
      <c r="BD1198" t="s">
        <v>69</v>
      </c>
      <c r="BE1198" t="s">
        <v>69</v>
      </c>
      <c r="BF1198" t="s">
        <v>69</v>
      </c>
      <c r="BG1198">
        <v>279</v>
      </c>
      <c r="BH1198">
        <v>296</v>
      </c>
      <c r="BI1198" t="s">
        <v>69</v>
      </c>
      <c r="BJ1198" t="s">
        <v>16139</v>
      </c>
      <c r="BK1198" t="str">
        <f>HYPERLINK("http://dx.doi.org/10.1108/IJTC-02-2019-0023","http://dx.doi.org/10.1108/IJTC-02-2019-0023")</f>
        <v>http://dx.doi.org/10.1108/IJTC-02-2019-0023</v>
      </c>
      <c r="BL1198" t="s">
        <v>69</v>
      </c>
      <c r="BM1198" t="s">
        <v>69</v>
      </c>
      <c r="BN1198">
        <v>18</v>
      </c>
      <c r="BO1198" t="s">
        <v>10278</v>
      </c>
      <c r="BP1198" t="s">
        <v>8573</v>
      </c>
      <c r="BQ1198" t="s">
        <v>10279</v>
      </c>
      <c r="BR1198" t="s">
        <v>16140</v>
      </c>
      <c r="BS1198" t="s">
        <v>16141</v>
      </c>
      <c r="BT1198" t="s">
        <v>69</v>
      </c>
      <c r="BU1198" t="s">
        <v>69</v>
      </c>
      <c r="BV1198" t="s">
        <v>69</v>
      </c>
      <c r="BW1198" t="s">
        <v>69</v>
      </c>
      <c r="BX1198" t="s">
        <v>8526</v>
      </c>
      <c r="BY1198" t="str">
        <f>HYPERLINK("https%3A%2F%2Fwww.webofscience.com%2Fwos%2Fwoscc%2Ffull-record%2FWOS:000546402700002","View Full Record in Web of Science")</f>
        <v>View Full Record in Web of Science</v>
      </c>
    </row>
    <row r="1199" spans="1:77" ht="12.5" x14ac:dyDescent="0.25">
      <c r="A1199" t="s">
        <v>8495</v>
      </c>
      <c r="B1199" s="22" t="s">
        <v>32931</v>
      </c>
      <c r="C1199" s="7"/>
      <c r="D1199" s="7"/>
      <c r="E1199" s="7"/>
      <c r="F1199" t="s">
        <v>67</v>
      </c>
      <c r="G1199" t="s">
        <v>19180</v>
      </c>
      <c r="H1199" t="s">
        <v>69</v>
      </c>
      <c r="I1199" t="s">
        <v>69</v>
      </c>
      <c r="J1199" t="s">
        <v>69</v>
      </c>
      <c r="K1199" t="s">
        <v>19181</v>
      </c>
      <c r="L1199" t="s">
        <v>69</v>
      </c>
      <c r="M1199" t="s">
        <v>69</v>
      </c>
      <c r="N1199" t="s">
        <v>19182</v>
      </c>
      <c r="O1199" t="s">
        <v>1128</v>
      </c>
      <c r="P1199" t="s">
        <v>69</v>
      </c>
      <c r="Q1199" t="s">
        <v>69</v>
      </c>
      <c r="R1199" t="s">
        <v>8505</v>
      </c>
      <c r="S1199" t="s">
        <v>8506</v>
      </c>
      <c r="T1199" t="s">
        <v>69</v>
      </c>
      <c r="U1199" t="s">
        <v>69</v>
      </c>
      <c r="V1199" t="s">
        <v>69</v>
      </c>
      <c r="W1199" t="s">
        <v>69</v>
      </c>
      <c r="X1199" t="s">
        <v>69</v>
      </c>
      <c r="Y1199" t="s">
        <v>19183</v>
      </c>
      <c r="Z1199" t="s">
        <v>19184</v>
      </c>
      <c r="AA1199" t="s">
        <v>19185</v>
      </c>
      <c r="AB1199" t="s">
        <v>19186</v>
      </c>
      <c r="AC1199" t="s">
        <v>69</v>
      </c>
      <c r="AD1199" t="s">
        <v>19187</v>
      </c>
      <c r="AE1199" t="s">
        <v>19188</v>
      </c>
      <c r="AF1199" t="s">
        <v>19189</v>
      </c>
      <c r="AG1199" t="s">
        <v>19190</v>
      </c>
      <c r="AH1199" t="s">
        <v>19191</v>
      </c>
      <c r="AI1199" t="s">
        <v>19191</v>
      </c>
      <c r="AJ1199" t="s">
        <v>19192</v>
      </c>
      <c r="AK1199" t="s">
        <v>69</v>
      </c>
      <c r="AL1199">
        <v>71</v>
      </c>
      <c r="AM1199">
        <v>12</v>
      </c>
      <c r="AN1199">
        <v>12</v>
      </c>
      <c r="AO1199">
        <v>0</v>
      </c>
      <c r="AP1199">
        <v>14</v>
      </c>
      <c r="AQ1199" t="s">
        <v>8636</v>
      </c>
      <c r="AR1199" t="s">
        <v>8637</v>
      </c>
      <c r="AS1199" t="s">
        <v>8638</v>
      </c>
      <c r="AT1199" t="s">
        <v>1130</v>
      </c>
      <c r="AU1199" t="s">
        <v>1131</v>
      </c>
      <c r="AV1199" t="s">
        <v>69</v>
      </c>
      <c r="AW1199" t="s">
        <v>1128</v>
      </c>
      <c r="AX1199" t="s">
        <v>8658</v>
      </c>
      <c r="AY1199" t="s">
        <v>191</v>
      </c>
      <c r="AZ1199">
        <v>2018</v>
      </c>
      <c r="BA1199">
        <v>71</v>
      </c>
      <c r="BB1199" t="s">
        <v>69</v>
      </c>
      <c r="BC1199" t="s">
        <v>69</v>
      </c>
      <c r="BD1199" t="s">
        <v>69</v>
      </c>
      <c r="BE1199" t="s">
        <v>69</v>
      </c>
      <c r="BF1199" t="s">
        <v>69</v>
      </c>
      <c r="BG1199">
        <v>183</v>
      </c>
      <c r="BH1199">
        <v>203</v>
      </c>
      <c r="BI1199" t="s">
        <v>69</v>
      </c>
      <c r="BJ1199" t="s">
        <v>19193</v>
      </c>
      <c r="BK1199" t="str">
        <f>HYPERLINK("http://dx.doi.org/10.1016/j.landusepol.2017.11.049","http://dx.doi.org/10.1016/j.landusepol.2017.11.049")</f>
        <v>http://dx.doi.org/10.1016/j.landusepol.2017.11.049</v>
      </c>
      <c r="BL1199" t="s">
        <v>69</v>
      </c>
      <c r="BM1199" t="s">
        <v>69</v>
      </c>
      <c r="BN1199">
        <v>21</v>
      </c>
      <c r="BO1199" t="s">
        <v>8660</v>
      </c>
      <c r="BP1199" t="s">
        <v>8661</v>
      </c>
      <c r="BQ1199" t="s">
        <v>8662</v>
      </c>
      <c r="BR1199" t="s">
        <v>19194</v>
      </c>
      <c r="BS1199" t="s">
        <v>19195</v>
      </c>
      <c r="BT1199">
        <v>33867619</v>
      </c>
      <c r="BU1199" t="s">
        <v>9292</v>
      </c>
      <c r="BV1199" t="s">
        <v>69</v>
      </c>
      <c r="BW1199" t="s">
        <v>69</v>
      </c>
      <c r="BX1199" t="s">
        <v>8526</v>
      </c>
      <c r="BY1199" t="str">
        <f>HYPERLINK("https%3A%2F%2Fwww.webofscience.com%2Fwos%2Fwoscc%2Ffull-record%2FWOS:000423643400016","View Full Record in Web of Science")</f>
        <v>View Full Record in Web of Science</v>
      </c>
    </row>
    <row r="1200" spans="1:77" ht="12.5" x14ac:dyDescent="0.25">
      <c r="A1200" t="s">
        <v>8495</v>
      </c>
      <c r="B1200" s="22" t="s">
        <v>32931</v>
      </c>
      <c r="C1200" s="7"/>
      <c r="D1200" s="7"/>
      <c r="E1200" s="7"/>
      <c r="F1200" t="s">
        <v>67</v>
      </c>
      <c r="G1200" t="s">
        <v>16881</v>
      </c>
      <c r="H1200" t="s">
        <v>69</v>
      </c>
      <c r="I1200" t="s">
        <v>69</v>
      </c>
      <c r="J1200" t="s">
        <v>69</v>
      </c>
      <c r="K1200" t="s">
        <v>16882</v>
      </c>
      <c r="L1200" t="s">
        <v>69</v>
      </c>
      <c r="M1200" t="s">
        <v>69</v>
      </c>
      <c r="N1200" t="s">
        <v>16883</v>
      </c>
      <c r="O1200" t="s">
        <v>16884</v>
      </c>
      <c r="P1200" t="s">
        <v>69</v>
      </c>
      <c r="Q1200" t="s">
        <v>69</v>
      </c>
      <c r="R1200" t="s">
        <v>8505</v>
      </c>
      <c r="S1200" t="s">
        <v>8506</v>
      </c>
      <c r="T1200" t="s">
        <v>69</v>
      </c>
      <c r="U1200" t="s">
        <v>69</v>
      </c>
      <c r="V1200" t="s">
        <v>69</v>
      </c>
      <c r="W1200" t="s">
        <v>69</v>
      </c>
      <c r="X1200" t="s">
        <v>69</v>
      </c>
      <c r="Y1200" t="s">
        <v>16885</v>
      </c>
      <c r="Z1200" t="s">
        <v>16886</v>
      </c>
      <c r="AA1200" t="s">
        <v>16887</v>
      </c>
      <c r="AB1200" t="s">
        <v>16888</v>
      </c>
      <c r="AC1200" t="s">
        <v>69</v>
      </c>
      <c r="AD1200" t="s">
        <v>16889</v>
      </c>
      <c r="AE1200" t="s">
        <v>16890</v>
      </c>
      <c r="AF1200" t="s">
        <v>69</v>
      </c>
      <c r="AG1200" t="s">
        <v>16891</v>
      </c>
      <c r="AH1200" t="s">
        <v>16892</v>
      </c>
      <c r="AI1200" t="s">
        <v>16893</v>
      </c>
      <c r="AJ1200" t="s">
        <v>16894</v>
      </c>
      <c r="AK1200" t="s">
        <v>69</v>
      </c>
      <c r="AL1200">
        <v>43</v>
      </c>
      <c r="AM1200">
        <v>5</v>
      </c>
      <c r="AN1200">
        <v>5</v>
      </c>
      <c r="AO1200">
        <v>3</v>
      </c>
      <c r="AP1200">
        <v>8</v>
      </c>
      <c r="AQ1200" t="s">
        <v>8846</v>
      </c>
      <c r="AR1200" t="s">
        <v>8847</v>
      </c>
      <c r="AS1200" t="s">
        <v>8848</v>
      </c>
      <c r="AT1200" t="s">
        <v>16895</v>
      </c>
      <c r="AU1200" t="s">
        <v>16896</v>
      </c>
      <c r="AV1200" t="s">
        <v>69</v>
      </c>
      <c r="AW1200" t="s">
        <v>16897</v>
      </c>
      <c r="AX1200" t="s">
        <v>16898</v>
      </c>
      <c r="AY1200" t="s">
        <v>373</v>
      </c>
      <c r="AZ1200">
        <v>2020</v>
      </c>
      <c r="BA1200">
        <v>27</v>
      </c>
      <c r="BB1200">
        <v>1</v>
      </c>
      <c r="BC1200" t="s">
        <v>69</v>
      </c>
      <c r="BD1200" t="s">
        <v>69</v>
      </c>
      <c r="BE1200" t="s">
        <v>69</v>
      </c>
      <c r="BF1200" t="s">
        <v>69</v>
      </c>
      <c r="BG1200" t="s">
        <v>69</v>
      </c>
      <c r="BH1200" t="s">
        <v>69</v>
      </c>
      <c r="BI1200" t="s">
        <v>16899</v>
      </c>
      <c r="BJ1200" t="s">
        <v>16900</v>
      </c>
      <c r="BK1200" t="str">
        <f>HYPERLINK("http://dx.doi.org/10.1111/nin.12320","http://dx.doi.org/10.1111/nin.12320")</f>
        <v>http://dx.doi.org/10.1111/nin.12320</v>
      </c>
      <c r="BL1200" t="s">
        <v>69</v>
      </c>
      <c r="BM1200" t="s">
        <v>16901</v>
      </c>
      <c r="BN1200">
        <v>10</v>
      </c>
      <c r="BO1200" t="s">
        <v>16902</v>
      </c>
      <c r="BP1200" t="s">
        <v>8523</v>
      </c>
      <c r="BQ1200" t="s">
        <v>16902</v>
      </c>
      <c r="BR1200" t="s">
        <v>16903</v>
      </c>
      <c r="BS1200" t="s">
        <v>16904</v>
      </c>
      <c r="BT1200">
        <v>31441989</v>
      </c>
      <c r="BU1200" t="s">
        <v>9292</v>
      </c>
      <c r="BV1200" t="s">
        <v>69</v>
      </c>
      <c r="BW1200" t="s">
        <v>69</v>
      </c>
      <c r="BX1200" t="s">
        <v>8526</v>
      </c>
      <c r="BY1200" t="str">
        <f>HYPERLINK("https%3A%2F%2Fwww.webofscience.com%2Fwos%2Fwoscc%2Ffull-record%2FWOS:000483283800001","View Full Record in Web of Science")</f>
        <v>View Full Record in Web of Science</v>
      </c>
    </row>
    <row r="1201" spans="1:77" ht="12.5" x14ac:dyDescent="0.25">
      <c r="A1201" t="s">
        <v>8495</v>
      </c>
      <c r="B1201" s="22" t="s">
        <v>32931</v>
      </c>
      <c r="C1201" s="7"/>
      <c r="D1201" s="7"/>
      <c r="E1201" s="7"/>
      <c r="F1201" t="s">
        <v>67</v>
      </c>
      <c r="G1201" t="s">
        <v>27688</v>
      </c>
      <c r="H1201" t="s">
        <v>69</v>
      </c>
      <c r="I1201" t="s">
        <v>69</v>
      </c>
      <c r="J1201" t="s">
        <v>69</v>
      </c>
      <c r="K1201" t="s">
        <v>27689</v>
      </c>
      <c r="L1201" t="s">
        <v>69</v>
      </c>
      <c r="M1201" t="s">
        <v>69</v>
      </c>
      <c r="N1201" t="s">
        <v>27690</v>
      </c>
      <c r="O1201" t="s">
        <v>3038</v>
      </c>
      <c r="P1201" t="s">
        <v>69</v>
      </c>
      <c r="Q1201" t="s">
        <v>69</v>
      </c>
      <c r="R1201" t="s">
        <v>8505</v>
      </c>
      <c r="S1201" t="s">
        <v>8442</v>
      </c>
      <c r="T1201" t="s">
        <v>69</v>
      </c>
      <c r="U1201" t="s">
        <v>69</v>
      </c>
      <c r="V1201" t="s">
        <v>69</v>
      </c>
      <c r="W1201" t="s">
        <v>69</v>
      </c>
      <c r="X1201" t="s">
        <v>69</v>
      </c>
      <c r="Y1201" t="s">
        <v>27691</v>
      </c>
      <c r="Z1201" t="s">
        <v>69</v>
      </c>
      <c r="AA1201" t="s">
        <v>27692</v>
      </c>
      <c r="AB1201" t="s">
        <v>27693</v>
      </c>
      <c r="AC1201" t="s">
        <v>69</v>
      </c>
      <c r="AD1201" t="s">
        <v>27694</v>
      </c>
      <c r="AE1201" t="s">
        <v>69</v>
      </c>
      <c r="AF1201" t="s">
        <v>69</v>
      </c>
      <c r="AG1201" t="s">
        <v>69</v>
      </c>
      <c r="AH1201" t="s">
        <v>69</v>
      </c>
      <c r="AI1201" t="s">
        <v>69</v>
      </c>
      <c r="AJ1201" t="s">
        <v>69</v>
      </c>
      <c r="AK1201" t="s">
        <v>69</v>
      </c>
      <c r="AL1201">
        <v>41</v>
      </c>
      <c r="AM1201">
        <v>21</v>
      </c>
      <c r="AN1201">
        <v>21</v>
      </c>
      <c r="AO1201">
        <v>0</v>
      </c>
      <c r="AP1201">
        <v>0</v>
      </c>
      <c r="AQ1201" t="s">
        <v>22746</v>
      </c>
      <c r="AR1201" t="s">
        <v>22747</v>
      </c>
      <c r="AS1201" t="s">
        <v>22748</v>
      </c>
      <c r="AT1201" t="s">
        <v>3040</v>
      </c>
      <c r="AU1201" t="s">
        <v>69</v>
      </c>
      <c r="AV1201" t="s">
        <v>69</v>
      </c>
      <c r="AW1201" t="s">
        <v>22749</v>
      </c>
      <c r="AX1201" t="s">
        <v>22750</v>
      </c>
      <c r="AY1201" t="s">
        <v>27695</v>
      </c>
      <c r="AZ1201">
        <v>2010</v>
      </c>
      <c r="BA1201">
        <v>6</v>
      </c>
      <c r="BB1201" t="s">
        <v>69</v>
      </c>
      <c r="BC1201" t="s">
        <v>69</v>
      </c>
      <c r="BD1201" t="s">
        <v>69</v>
      </c>
      <c r="BE1201" t="s">
        <v>69</v>
      </c>
      <c r="BF1201" t="s">
        <v>69</v>
      </c>
      <c r="BG1201">
        <v>1</v>
      </c>
      <c r="BH1201">
        <v>14</v>
      </c>
      <c r="BI1201" t="s">
        <v>69</v>
      </c>
      <c r="BJ1201" t="s">
        <v>69</v>
      </c>
      <c r="BK1201" t="s">
        <v>69</v>
      </c>
      <c r="BL1201" t="s">
        <v>69</v>
      </c>
      <c r="BM1201" t="s">
        <v>69</v>
      </c>
      <c r="BN1201">
        <v>14</v>
      </c>
      <c r="BO1201" t="s">
        <v>8810</v>
      </c>
      <c r="BP1201" t="s">
        <v>8573</v>
      </c>
      <c r="BQ1201" t="s">
        <v>8810</v>
      </c>
      <c r="BR1201" t="s">
        <v>27696</v>
      </c>
      <c r="BS1201" t="s">
        <v>27697</v>
      </c>
      <c r="BT1201" t="s">
        <v>69</v>
      </c>
      <c r="BU1201" t="s">
        <v>11853</v>
      </c>
      <c r="BV1201" t="s">
        <v>69</v>
      </c>
      <c r="BW1201" t="s">
        <v>69</v>
      </c>
      <c r="BX1201" t="s">
        <v>8526</v>
      </c>
      <c r="BY1201" t="str">
        <f>HYPERLINK("https%3A%2F%2Fwww.webofscience.com%2Fwos%2Fwoscc%2Ffull-record%2FWOS:000216190700001","View Full Record in Web of Science")</f>
        <v>View Full Record in Web of Science</v>
      </c>
    </row>
    <row r="1202" spans="1:77" ht="12.5" x14ac:dyDescent="0.25">
      <c r="A1202" t="s">
        <v>8495</v>
      </c>
      <c r="B1202" s="7" t="s">
        <v>32933</v>
      </c>
      <c r="C1202" s="7"/>
      <c r="D1202" s="7"/>
      <c r="E1202" s="7"/>
      <c r="F1202" t="s">
        <v>67</v>
      </c>
      <c r="G1202" t="s">
        <v>2409</v>
      </c>
      <c r="H1202" t="s">
        <v>69</v>
      </c>
      <c r="I1202" t="s">
        <v>69</v>
      </c>
      <c r="J1202" t="s">
        <v>69</v>
      </c>
      <c r="K1202" t="s">
        <v>2410</v>
      </c>
      <c r="L1202" t="s">
        <v>69</v>
      </c>
      <c r="M1202" t="s">
        <v>69</v>
      </c>
      <c r="N1202" t="s">
        <v>2411</v>
      </c>
      <c r="O1202" t="s">
        <v>2412</v>
      </c>
      <c r="P1202" t="s">
        <v>69</v>
      </c>
      <c r="Q1202" t="s">
        <v>69</v>
      </c>
      <c r="R1202" t="s">
        <v>8505</v>
      </c>
      <c r="S1202" t="s">
        <v>8442</v>
      </c>
      <c r="T1202" t="s">
        <v>69</v>
      </c>
      <c r="U1202" t="s">
        <v>69</v>
      </c>
      <c r="V1202" t="s">
        <v>69</v>
      </c>
      <c r="W1202" t="s">
        <v>69</v>
      </c>
      <c r="X1202" t="s">
        <v>69</v>
      </c>
      <c r="Y1202" t="s">
        <v>18682</v>
      </c>
      <c r="Z1202" t="s">
        <v>18683</v>
      </c>
      <c r="AA1202" t="s">
        <v>2413</v>
      </c>
      <c r="AB1202" t="s">
        <v>18684</v>
      </c>
      <c r="AC1202" t="s">
        <v>69</v>
      </c>
      <c r="AD1202" t="s">
        <v>18685</v>
      </c>
      <c r="AE1202" t="s">
        <v>18686</v>
      </c>
      <c r="AF1202" t="s">
        <v>18687</v>
      </c>
      <c r="AG1202" t="s">
        <v>18688</v>
      </c>
      <c r="AH1202" t="s">
        <v>69</v>
      </c>
      <c r="AI1202" t="s">
        <v>69</v>
      </c>
      <c r="AJ1202" t="s">
        <v>69</v>
      </c>
      <c r="AK1202" t="s">
        <v>69</v>
      </c>
      <c r="AL1202">
        <v>89</v>
      </c>
      <c r="AM1202">
        <v>2</v>
      </c>
      <c r="AN1202">
        <v>2</v>
      </c>
      <c r="AO1202">
        <v>0</v>
      </c>
      <c r="AP1202">
        <v>8</v>
      </c>
      <c r="AQ1202" t="s">
        <v>18689</v>
      </c>
      <c r="AR1202" t="s">
        <v>18690</v>
      </c>
      <c r="AS1202" t="s">
        <v>18691</v>
      </c>
      <c r="AT1202" t="s">
        <v>2414</v>
      </c>
      <c r="AU1202" t="s">
        <v>2415</v>
      </c>
      <c r="AV1202" t="s">
        <v>69</v>
      </c>
      <c r="AW1202" t="s">
        <v>18692</v>
      </c>
      <c r="AX1202" t="s">
        <v>18693</v>
      </c>
      <c r="AY1202" t="s">
        <v>155</v>
      </c>
      <c r="AZ1202">
        <v>2018</v>
      </c>
      <c r="BA1202">
        <v>9</v>
      </c>
      <c r="BB1202">
        <v>2</v>
      </c>
      <c r="BC1202" t="s">
        <v>69</v>
      </c>
      <c r="BD1202" t="s">
        <v>69</v>
      </c>
      <c r="BE1202" t="s">
        <v>69</v>
      </c>
      <c r="BF1202" t="s">
        <v>69</v>
      </c>
      <c r="BG1202">
        <v>33</v>
      </c>
      <c r="BH1202">
        <v>41</v>
      </c>
      <c r="BI1202" t="s">
        <v>69</v>
      </c>
      <c r="BJ1202" t="s">
        <v>2416</v>
      </c>
      <c r="BK1202" t="str">
        <f>HYPERLINK("http://dx.doi.org/10.22038/ijn.2018.25521.1337","http://dx.doi.org/10.22038/ijn.2018.25521.1337")</f>
        <v>http://dx.doi.org/10.22038/ijn.2018.25521.1337</v>
      </c>
      <c r="BL1202" t="s">
        <v>69</v>
      </c>
      <c r="BM1202" t="s">
        <v>69</v>
      </c>
      <c r="BN1202">
        <v>9</v>
      </c>
      <c r="BO1202" t="s">
        <v>12687</v>
      </c>
      <c r="BP1202" t="s">
        <v>8573</v>
      </c>
      <c r="BQ1202" t="s">
        <v>12687</v>
      </c>
      <c r="BR1202" t="s">
        <v>18694</v>
      </c>
      <c r="BS1202" t="s">
        <v>2417</v>
      </c>
      <c r="BT1202" t="s">
        <v>69</v>
      </c>
      <c r="BU1202" t="s">
        <v>69</v>
      </c>
      <c r="BV1202" t="s">
        <v>69</v>
      </c>
      <c r="BW1202" t="s">
        <v>69</v>
      </c>
      <c r="BX1202" t="s">
        <v>8526</v>
      </c>
      <c r="BY1202" t="str">
        <f>HYPERLINK("https%3A%2F%2Fwww.webofscience.com%2Fwos%2Fwoscc%2Ffull-record%2FWOS:000433920500005","View Full Record in Web of Science")</f>
        <v>View Full Record in Web of Science</v>
      </c>
    </row>
    <row r="1203" spans="1:77" ht="12.5" x14ac:dyDescent="0.25">
      <c r="A1203" t="s">
        <v>8495</v>
      </c>
      <c r="B1203" s="7" t="s">
        <v>32933</v>
      </c>
      <c r="C1203" s="7"/>
      <c r="D1203" s="7"/>
      <c r="E1203" s="7"/>
      <c r="F1203" t="s">
        <v>67</v>
      </c>
      <c r="G1203" t="s">
        <v>8363</v>
      </c>
      <c r="H1203" t="s">
        <v>69</v>
      </c>
      <c r="I1203" t="s">
        <v>69</v>
      </c>
      <c r="J1203" t="s">
        <v>69</v>
      </c>
      <c r="K1203" t="s">
        <v>8363</v>
      </c>
      <c r="L1203" t="s">
        <v>69</v>
      </c>
      <c r="M1203" t="s">
        <v>69</v>
      </c>
      <c r="N1203" t="s">
        <v>8364</v>
      </c>
      <c r="O1203" t="s">
        <v>8365</v>
      </c>
      <c r="P1203" t="s">
        <v>69</v>
      </c>
      <c r="Q1203" t="s">
        <v>69</v>
      </c>
      <c r="R1203" t="s">
        <v>8505</v>
      </c>
      <c r="S1203" t="s">
        <v>8506</v>
      </c>
      <c r="T1203" t="s">
        <v>69</v>
      </c>
      <c r="U1203" t="s">
        <v>69</v>
      </c>
      <c r="V1203" t="s">
        <v>69</v>
      </c>
      <c r="W1203" t="s">
        <v>69</v>
      </c>
      <c r="X1203" t="s">
        <v>69</v>
      </c>
      <c r="Y1203" t="s">
        <v>32822</v>
      </c>
      <c r="Z1203" t="s">
        <v>32823</v>
      </c>
      <c r="AA1203" t="s">
        <v>8366</v>
      </c>
      <c r="AB1203" t="s">
        <v>69</v>
      </c>
      <c r="AC1203" t="s">
        <v>69</v>
      </c>
      <c r="AD1203" t="s">
        <v>32824</v>
      </c>
      <c r="AE1203" t="s">
        <v>69</v>
      </c>
      <c r="AF1203" t="s">
        <v>69</v>
      </c>
      <c r="AG1203" t="s">
        <v>69</v>
      </c>
      <c r="AH1203" t="s">
        <v>69</v>
      </c>
      <c r="AI1203" t="s">
        <v>69</v>
      </c>
      <c r="AJ1203" t="s">
        <v>69</v>
      </c>
      <c r="AK1203" t="s">
        <v>69</v>
      </c>
      <c r="AL1203">
        <v>14</v>
      </c>
      <c r="AM1203">
        <v>7</v>
      </c>
      <c r="AN1203">
        <v>7</v>
      </c>
      <c r="AO1203">
        <v>0</v>
      </c>
      <c r="AP1203">
        <v>3</v>
      </c>
      <c r="AQ1203" t="s">
        <v>32565</v>
      </c>
      <c r="AR1203" t="s">
        <v>32566</v>
      </c>
      <c r="AS1203" t="s">
        <v>32567</v>
      </c>
      <c r="AT1203" t="s">
        <v>8367</v>
      </c>
      <c r="AU1203" t="s">
        <v>69</v>
      </c>
      <c r="AV1203" t="s">
        <v>69</v>
      </c>
      <c r="AW1203" t="s">
        <v>32825</v>
      </c>
      <c r="AX1203" t="s">
        <v>32826</v>
      </c>
      <c r="AY1203" t="s">
        <v>246</v>
      </c>
      <c r="AZ1203">
        <v>1993</v>
      </c>
      <c r="BA1203">
        <v>39</v>
      </c>
      <c r="BB1203">
        <v>4</v>
      </c>
      <c r="BC1203" t="s">
        <v>69</v>
      </c>
      <c r="BD1203" t="s">
        <v>69</v>
      </c>
      <c r="BE1203" t="s">
        <v>69</v>
      </c>
      <c r="BF1203" t="s">
        <v>69</v>
      </c>
      <c r="BG1203">
        <v>448</v>
      </c>
      <c r="BH1203">
        <v>457</v>
      </c>
      <c r="BI1203" t="s">
        <v>69</v>
      </c>
      <c r="BJ1203" t="s">
        <v>8368</v>
      </c>
      <c r="BK1203" t="str">
        <f>HYPERLINK("http://dx.doi.org/10.1287/mnsc.39.4.448","http://dx.doi.org/10.1287/mnsc.39.4.448")</f>
        <v>http://dx.doi.org/10.1287/mnsc.39.4.448</v>
      </c>
      <c r="BL1203" t="s">
        <v>69</v>
      </c>
      <c r="BM1203" t="s">
        <v>69</v>
      </c>
      <c r="BN1203">
        <v>10</v>
      </c>
      <c r="BO1203" t="s">
        <v>32186</v>
      </c>
      <c r="BP1203" t="s">
        <v>8661</v>
      </c>
      <c r="BQ1203" t="s">
        <v>32187</v>
      </c>
      <c r="BR1203" t="s">
        <v>32827</v>
      </c>
      <c r="BS1203" t="s">
        <v>8369</v>
      </c>
      <c r="BT1203" t="s">
        <v>69</v>
      </c>
      <c r="BU1203" t="s">
        <v>69</v>
      </c>
      <c r="BV1203" t="s">
        <v>69</v>
      </c>
      <c r="BW1203" t="s">
        <v>69</v>
      </c>
      <c r="BX1203" t="s">
        <v>8526</v>
      </c>
      <c r="BY1203" t="str">
        <f>HYPERLINK("https%3A%2F%2Fwww.webofscience.com%2Fwos%2Fwoscc%2Ffull-record%2FWOS:A1993LB25100004","View Full Record in Web of Science")</f>
        <v>View Full Record in Web of Science</v>
      </c>
    </row>
    <row r="1204" spans="1:77" ht="12.5" x14ac:dyDescent="0.25">
      <c r="A1204" t="s">
        <v>8495</v>
      </c>
      <c r="B1204" s="7" t="s">
        <v>32933</v>
      </c>
      <c r="C1204" s="7"/>
      <c r="D1204" s="7"/>
      <c r="E1204" s="7"/>
      <c r="F1204" t="s">
        <v>67</v>
      </c>
      <c r="G1204" t="s">
        <v>8253</v>
      </c>
      <c r="H1204" t="s">
        <v>69</v>
      </c>
      <c r="I1204" t="s">
        <v>69</v>
      </c>
      <c r="J1204" t="s">
        <v>69</v>
      </c>
      <c r="K1204" t="s">
        <v>8254</v>
      </c>
      <c r="L1204" t="s">
        <v>69</v>
      </c>
      <c r="M1204" t="s">
        <v>69</v>
      </c>
      <c r="N1204" t="s">
        <v>8255</v>
      </c>
      <c r="O1204" t="s">
        <v>8256</v>
      </c>
      <c r="P1204" t="s">
        <v>69</v>
      </c>
      <c r="Q1204" t="s">
        <v>69</v>
      </c>
      <c r="R1204" t="s">
        <v>8505</v>
      </c>
      <c r="S1204" t="s">
        <v>8506</v>
      </c>
      <c r="T1204" t="s">
        <v>69</v>
      </c>
      <c r="U1204" t="s">
        <v>69</v>
      </c>
      <c r="V1204" t="s">
        <v>69</v>
      </c>
      <c r="W1204" t="s">
        <v>69</v>
      </c>
      <c r="X1204" t="s">
        <v>69</v>
      </c>
      <c r="Y1204" t="s">
        <v>14138</v>
      </c>
      <c r="Z1204" t="s">
        <v>14139</v>
      </c>
      <c r="AA1204" t="s">
        <v>8257</v>
      </c>
      <c r="AB1204" t="s">
        <v>14140</v>
      </c>
      <c r="AC1204" t="s">
        <v>69</v>
      </c>
      <c r="AD1204" t="s">
        <v>14141</v>
      </c>
      <c r="AE1204" t="s">
        <v>14142</v>
      </c>
      <c r="AF1204" t="s">
        <v>14143</v>
      </c>
      <c r="AG1204" t="s">
        <v>14144</v>
      </c>
      <c r="AH1204" t="s">
        <v>14145</v>
      </c>
      <c r="AI1204" t="s">
        <v>14146</v>
      </c>
      <c r="AJ1204" t="s">
        <v>14147</v>
      </c>
      <c r="AK1204" t="s">
        <v>69</v>
      </c>
      <c r="AL1204">
        <v>66</v>
      </c>
      <c r="AM1204">
        <v>3</v>
      </c>
      <c r="AN1204">
        <v>4</v>
      </c>
      <c r="AO1204">
        <v>2</v>
      </c>
      <c r="AP1204">
        <v>7</v>
      </c>
      <c r="AQ1204" t="s">
        <v>8924</v>
      </c>
      <c r="AR1204" t="s">
        <v>8925</v>
      </c>
      <c r="AS1204" t="s">
        <v>8926</v>
      </c>
      <c r="AT1204" t="s">
        <v>69</v>
      </c>
      <c r="AU1204" t="s">
        <v>8258</v>
      </c>
      <c r="AV1204" t="s">
        <v>69</v>
      </c>
      <c r="AW1204" t="s">
        <v>8927</v>
      </c>
      <c r="AX1204" t="s">
        <v>8928</v>
      </c>
      <c r="AY1204" t="s">
        <v>274</v>
      </c>
      <c r="AZ1204">
        <v>2020</v>
      </c>
      <c r="BA1204">
        <v>9</v>
      </c>
      <c r="BB1204">
        <v>11</v>
      </c>
      <c r="BC1204" t="s">
        <v>69</v>
      </c>
      <c r="BD1204" t="s">
        <v>69</v>
      </c>
      <c r="BE1204" t="s">
        <v>69</v>
      </c>
      <c r="BF1204" t="s">
        <v>69</v>
      </c>
      <c r="BG1204" t="s">
        <v>69</v>
      </c>
      <c r="BH1204" t="s">
        <v>69</v>
      </c>
      <c r="BI1204">
        <v>454</v>
      </c>
      <c r="BJ1204" t="s">
        <v>8259</v>
      </c>
      <c r="BK1204" t="str">
        <f>HYPERLINK("http://dx.doi.org/10.3390/land9110454","http://dx.doi.org/10.3390/land9110454")</f>
        <v>http://dx.doi.org/10.3390/land9110454</v>
      </c>
      <c r="BL1204" t="s">
        <v>69</v>
      </c>
      <c r="BM1204" t="s">
        <v>69</v>
      </c>
      <c r="BN1204">
        <v>25</v>
      </c>
      <c r="BO1204" t="s">
        <v>8660</v>
      </c>
      <c r="BP1204" t="s">
        <v>8661</v>
      </c>
      <c r="BQ1204" t="s">
        <v>8662</v>
      </c>
      <c r="BR1204" t="s">
        <v>14148</v>
      </c>
      <c r="BS1204" t="s">
        <v>8260</v>
      </c>
      <c r="BT1204" t="s">
        <v>69</v>
      </c>
      <c r="BU1204" t="s">
        <v>9352</v>
      </c>
      <c r="BV1204" t="s">
        <v>69</v>
      </c>
      <c r="BW1204" t="s">
        <v>69</v>
      </c>
      <c r="BX1204" t="s">
        <v>8526</v>
      </c>
      <c r="BY1204" t="str">
        <f>HYPERLINK("https%3A%2F%2Fwww.webofscience.com%2Fwos%2Fwoscc%2Ffull-record%2FWOS:000593444900001","View Full Record in Web of Science")</f>
        <v>View Full Record in Web of Science</v>
      </c>
    </row>
    <row r="1205" spans="1:77" ht="12.5" x14ac:dyDescent="0.25">
      <c r="A1205" t="s">
        <v>8495</v>
      </c>
      <c r="B1205" s="7" t="s">
        <v>32933</v>
      </c>
      <c r="C1205" s="7"/>
      <c r="D1205" s="7"/>
      <c r="E1205" s="7"/>
      <c r="F1205" t="s">
        <v>67</v>
      </c>
      <c r="G1205" t="s">
        <v>7725</v>
      </c>
      <c r="H1205" t="s">
        <v>69</v>
      </c>
      <c r="I1205" t="s">
        <v>69</v>
      </c>
      <c r="J1205" t="s">
        <v>69</v>
      </c>
      <c r="K1205" t="s">
        <v>7726</v>
      </c>
      <c r="L1205" t="s">
        <v>69</v>
      </c>
      <c r="M1205" t="s">
        <v>69</v>
      </c>
      <c r="N1205" t="s">
        <v>7727</v>
      </c>
      <c r="O1205" t="s">
        <v>4174</v>
      </c>
      <c r="P1205" t="s">
        <v>69</v>
      </c>
      <c r="Q1205" t="s">
        <v>69</v>
      </c>
      <c r="R1205" t="s">
        <v>14800</v>
      </c>
      <c r="S1205" t="s">
        <v>8506</v>
      </c>
      <c r="T1205" t="s">
        <v>69</v>
      </c>
      <c r="U1205" t="s">
        <v>69</v>
      </c>
      <c r="V1205" t="s">
        <v>69</v>
      </c>
      <c r="W1205" t="s">
        <v>69</v>
      </c>
      <c r="X1205" t="s">
        <v>69</v>
      </c>
      <c r="Y1205" t="s">
        <v>69</v>
      </c>
      <c r="Z1205" t="s">
        <v>69</v>
      </c>
      <c r="AA1205" t="s">
        <v>7728</v>
      </c>
      <c r="AB1205" t="s">
        <v>24946</v>
      </c>
      <c r="AC1205" t="s">
        <v>69</v>
      </c>
      <c r="AD1205" t="s">
        <v>24947</v>
      </c>
      <c r="AE1205" t="s">
        <v>24948</v>
      </c>
      <c r="AF1205" t="s">
        <v>69</v>
      </c>
      <c r="AG1205" t="s">
        <v>69</v>
      </c>
      <c r="AH1205" t="s">
        <v>69</v>
      </c>
      <c r="AI1205" t="s">
        <v>69</v>
      </c>
      <c r="AJ1205" t="s">
        <v>69</v>
      </c>
      <c r="AK1205" t="s">
        <v>69</v>
      </c>
      <c r="AL1205">
        <v>36</v>
      </c>
      <c r="AM1205">
        <v>0</v>
      </c>
      <c r="AN1205">
        <v>0</v>
      </c>
      <c r="AO1205">
        <v>0</v>
      </c>
      <c r="AP1205">
        <v>8</v>
      </c>
      <c r="AQ1205" t="s">
        <v>17244</v>
      </c>
      <c r="AR1205" t="s">
        <v>17245</v>
      </c>
      <c r="AS1205" t="s">
        <v>17246</v>
      </c>
      <c r="AT1205" t="s">
        <v>4176</v>
      </c>
      <c r="AU1205" t="s">
        <v>6904</v>
      </c>
      <c r="AV1205" t="s">
        <v>69</v>
      </c>
      <c r="AW1205" t="s">
        <v>20261</v>
      </c>
      <c r="AX1205" t="s">
        <v>20262</v>
      </c>
      <c r="AY1205" t="s">
        <v>155</v>
      </c>
      <c r="AZ1205">
        <v>2013</v>
      </c>
      <c r="BA1205" t="s">
        <v>69</v>
      </c>
      <c r="BB1205">
        <v>3</v>
      </c>
      <c r="BC1205" t="s">
        <v>69</v>
      </c>
      <c r="BD1205" t="s">
        <v>69</v>
      </c>
      <c r="BE1205" t="s">
        <v>69</v>
      </c>
      <c r="BF1205" t="s">
        <v>69</v>
      </c>
      <c r="BG1205">
        <v>12</v>
      </c>
      <c r="BH1205">
        <v>20</v>
      </c>
      <c r="BI1205" t="s">
        <v>69</v>
      </c>
      <c r="BJ1205" t="s">
        <v>7729</v>
      </c>
      <c r="BK1205" t="str">
        <f>HYPERLINK("http://dx.doi.org/10.1051/lhb/2013020","http://dx.doi.org/10.1051/lhb/2013020")</f>
        <v>http://dx.doi.org/10.1051/lhb/2013020</v>
      </c>
      <c r="BL1205" t="s">
        <v>69</v>
      </c>
      <c r="BM1205" t="s">
        <v>69</v>
      </c>
      <c r="BN1205">
        <v>9</v>
      </c>
      <c r="BO1205" t="s">
        <v>9096</v>
      </c>
      <c r="BP1205" t="s">
        <v>8548</v>
      </c>
      <c r="BQ1205" t="s">
        <v>9096</v>
      </c>
      <c r="BR1205" t="s">
        <v>24949</v>
      </c>
      <c r="BS1205" t="s">
        <v>7730</v>
      </c>
      <c r="BT1205" t="s">
        <v>69</v>
      </c>
      <c r="BU1205" t="s">
        <v>69</v>
      </c>
      <c r="BV1205" t="s">
        <v>69</v>
      </c>
      <c r="BW1205" t="s">
        <v>69</v>
      </c>
      <c r="BX1205" t="s">
        <v>8526</v>
      </c>
      <c r="BY1205" t="str">
        <f>HYPERLINK("https%3A%2F%2Fwww.webofscience.com%2Fwos%2Fwoscc%2Ffull-record%2FWOS:000322298500002","View Full Record in Web of Science")</f>
        <v>View Full Record in Web of Science</v>
      </c>
    </row>
    <row r="1206" spans="1:77" ht="12.5" x14ac:dyDescent="0.25">
      <c r="A1206" t="s">
        <v>8495</v>
      </c>
      <c r="B1206" s="7" t="s">
        <v>32933</v>
      </c>
      <c r="C1206" s="7"/>
      <c r="D1206" s="7"/>
      <c r="E1206" s="7"/>
      <c r="F1206" t="s">
        <v>67</v>
      </c>
      <c r="G1206" t="s">
        <v>5891</v>
      </c>
      <c r="H1206" t="s">
        <v>69</v>
      </c>
      <c r="I1206" t="s">
        <v>69</v>
      </c>
      <c r="J1206" t="s">
        <v>69</v>
      </c>
      <c r="K1206" t="s">
        <v>5892</v>
      </c>
      <c r="L1206" t="s">
        <v>69</v>
      </c>
      <c r="M1206" t="s">
        <v>69</v>
      </c>
      <c r="N1206" t="s">
        <v>5893</v>
      </c>
      <c r="O1206" t="s">
        <v>4552</v>
      </c>
      <c r="P1206" t="s">
        <v>69</v>
      </c>
      <c r="Q1206" t="s">
        <v>69</v>
      </c>
      <c r="R1206" t="s">
        <v>8505</v>
      </c>
      <c r="S1206" t="s">
        <v>8506</v>
      </c>
      <c r="T1206" t="s">
        <v>69</v>
      </c>
      <c r="U1206" t="s">
        <v>69</v>
      </c>
      <c r="V1206" t="s">
        <v>69</v>
      </c>
      <c r="W1206" t="s">
        <v>69</v>
      </c>
      <c r="X1206" t="s">
        <v>69</v>
      </c>
      <c r="Y1206" t="s">
        <v>27533</v>
      </c>
      <c r="Z1206" t="s">
        <v>19521</v>
      </c>
      <c r="AA1206" t="s">
        <v>5894</v>
      </c>
      <c r="AB1206" t="s">
        <v>27534</v>
      </c>
      <c r="AC1206" t="s">
        <v>69</v>
      </c>
      <c r="AD1206" t="s">
        <v>27535</v>
      </c>
      <c r="AE1206" t="s">
        <v>27536</v>
      </c>
      <c r="AF1206" t="s">
        <v>5895</v>
      </c>
      <c r="AG1206" t="s">
        <v>5896</v>
      </c>
      <c r="AH1206" t="s">
        <v>69</v>
      </c>
      <c r="AI1206" t="s">
        <v>69</v>
      </c>
      <c r="AJ1206" t="s">
        <v>69</v>
      </c>
      <c r="AK1206" t="s">
        <v>69</v>
      </c>
      <c r="AL1206">
        <v>59</v>
      </c>
      <c r="AM1206">
        <v>14</v>
      </c>
      <c r="AN1206">
        <v>14</v>
      </c>
      <c r="AO1206">
        <v>0</v>
      </c>
      <c r="AP1206">
        <v>24</v>
      </c>
      <c r="AQ1206" t="s">
        <v>9091</v>
      </c>
      <c r="AR1206" t="s">
        <v>8763</v>
      </c>
      <c r="AS1206" t="s">
        <v>15468</v>
      </c>
      <c r="AT1206" t="s">
        <v>4556</v>
      </c>
      <c r="AU1206" t="s">
        <v>69</v>
      </c>
      <c r="AV1206" t="s">
        <v>69</v>
      </c>
      <c r="AW1206" t="s">
        <v>4552</v>
      </c>
      <c r="AX1206" t="s">
        <v>9094</v>
      </c>
      <c r="AY1206" t="s">
        <v>69</v>
      </c>
      <c r="AZ1206">
        <v>2011</v>
      </c>
      <c r="BA1206">
        <v>13</v>
      </c>
      <c r="BB1206">
        <v>2</v>
      </c>
      <c r="BC1206" t="s">
        <v>69</v>
      </c>
      <c r="BD1206" t="s">
        <v>69</v>
      </c>
      <c r="BE1206" t="s">
        <v>69</v>
      </c>
      <c r="BF1206" t="s">
        <v>69</v>
      </c>
      <c r="BG1206">
        <v>232</v>
      </c>
      <c r="BH1206">
        <v>249</v>
      </c>
      <c r="BI1206" t="s">
        <v>69</v>
      </c>
      <c r="BJ1206" t="s">
        <v>5897</v>
      </c>
      <c r="BK1206" t="str">
        <f>HYPERLINK("http://dx.doi.org/10.2166/wp.2010.081","http://dx.doi.org/10.2166/wp.2010.081")</f>
        <v>http://dx.doi.org/10.2166/wp.2010.081</v>
      </c>
      <c r="BL1206" t="s">
        <v>69</v>
      </c>
      <c r="BM1206" t="s">
        <v>69</v>
      </c>
      <c r="BN1206">
        <v>18</v>
      </c>
      <c r="BO1206" t="s">
        <v>9096</v>
      </c>
      <c r="BP1206" t="s">
        <v>8523</v>
      </c>
      <c r="BQ1206" t="s">
        <v>9096</v>
      </c>
      <c r="BR1206" t="s">
        <v>27537</v>
      </c>
      <c r="BS1206" t="s">
        <v>5898</v>
      </c>
      <c r="BT1206" t="s">
        <v>69</v>
      </c>
      <c r="BU1206" t="s">
        <v>69</v>
      </c>
      <c r="BV1206" t="s">
        <v>69</v>
      </c>
      <c r="BW1206" t="s">
        <v>69</v>
      </c>
      <c r="BX1206" t="s">
        <v>8526</v>
      </c>
      <c r="BY1206" t="str">
        <f>HYPERLINK("https%3A%2F%2Fwww.webofscience.com%2Fwos%2Fwoscc%2Ffull-record%2FWOS:000288878400007","View Full Record in Web of Science")</f>
        <v>View Full Record in Web of Science</v>
      </c>
    </row>
    <row r="1207" spans="1:77" ht="12.5" x14ac:dyDescent="0.25">
      <c r="A1207" t="s">
        <v>8495</v>
      </c>
      <c r="B1207" s="22" t="s">
        <v>32931</v>
      </c>
      <c r="C1207" s="7"/>
      <c r="D1207" s="7"/>
      <c r="E1207" s="7"/>
      <c r="F1207" t="s">
        <v>67</v>
      </c>
      <c r="G1207" t="s">
        <v>11616</v>
      </c>
      <c r="H1207" t="s">
        <v>69</v>
      </c>
      <c r="I1207" t="s">
        <v>69</v>
      </c>
      <c r="J1207" t="s">
        <v>69</v>
      </c>
      <c r="K1207" t="s">
        <v>11617</v>
      </c>
      <c r="L1207" t="s">
        <v>69</v>
      </c>
      <c r="M1207" t="s">
        <v>69</v>
      </c>
      <c r="N1207" t="s">
        <v>11618</v>
      </c>
      <c r="O1207" t="s">
        <v>11619</v>
      </c>
      <c r="P1207" t="s">
        <v>69</v>
      </c>
      <c r="Q1207" t="s">
        <v>69</v>
      </c>
      <c r="R1207" t="s">
        <v>8505</v>
      </c>
      <c r="S1207" t="s">
        <v>8442</v>
      </c>
      <c r="T1207" t="s">
        <v>69</v>
      </c>
      <c r="U1207" t="s">
        <v>69</v>
      </c>
      <c r="V1207" t="s">
        <v>69</v>
      </c>
      <c r="W1207" t="s">
        <v>69</v>
      </c>
      <c r="X1207" t="s">
        <v>69</v>
      </c>
      <c r="Y1207" t="s">
        <v>11620</v>
      </c>
      <c r="Z1207" t="s">
        <v>11621</v>
      </c>
      <c r="AA1207" t="s">
        <v>11622</v>
      </c>
      <c r="AB1207" t="s">
        <v>11623</v>
      </c>
      <c r="AC1207" t="s">
        <v>69</v>
      </c>
      <c r="AD1207" t="s">
        <v>11624</v>
      </c>
      <c r="AE1207" t="s">
        <v>11625</v>
      </c>
      <c r="AF1207" t="s">
        <v>69</v>
      </c>
      <c r="AG1207" t="s">
        <v>69</v>
      </c>
      <c r="AH1207" t="s">
        <v>69</v>
      </c>
      <c r="AI1207" t="s">
        <v>69</v>
      </c>
      <c r="AJ1207" t="s">
        <v>69</v>
      </c>
      <c r="AK1207" t="s">
        <v>69</v>
      </c>
      <c r="AL1207">
        <v>55</v>
      </c>
      <c r="AM1207">
        <v>0</v>
      </c>
      <c r="AN1207">
        <v>0</v>
      </c>
      <c r="AO1207">
        <v>0</v>
      </c>
      <c r="AP1207">
        <v>2</v>
      </c>
      <c r="AQ1207" t="s">
        <v>9203</v>
      </c>
      <c r="AR1207" t="s">
        <v>8763</v>
      </c>
      <c r="AS1207" t="s">
        <v>9204</v>
      </c>
      <c r="AT1207" t="s">
        <v>69</v>
      </c>
      <c r="AU1207" t="s">
        <v>11626</v>
      </c>
      <c r="AV1207" t="s">
        <v>69</v>
      </c>
      <c r="AW1207" t="s">
        <v>11627</v>
      </c>
      <c r="AX1207" t="s">
        <v>11628</v>
      </c>
      <c r="AY1207" t="s">
        <v>11629</v>
      </c>
      <c r="AZ1207">
        <v>2021</v>
      </c>
      <c r="BA1207">
        <v>19</v>
      </c>
      <c r="BB1207">
        <v>1</v>
      </c>
      <c r="BC1207" t="s">
        <v>69</v>
      </c>
      <c r="BD1207" t="s">
        <v>69</v>
      </c>
      <c r="BE1207" t="s">
        <v>69</v>
      </c>
      <c r="BF1207" t="s">
        <v>69</v>
      </c>
      <c r="BG1207" t="s">
        <v>69</v>
      </c>
      <c r="BH1207" t="s">
        <v>69</v>
      </c>
      <c r="BI1207">
        <v>94</v>
      </c>
      <c r="BJ1207" t="s">
        <v>11630</v>
      </c>
      <c r="BK1207" t="str">
        <f>HYPERLINK("http://dx.doi.org/10.1186/s12960-021-00635-7","http://dx.doi.org/10.1186/s12960-021-00635-7")</f>
        <v>http://dx.doi.org/10.1186/s12960-021-00635-7</v>
      </c>
      <c r="BL1207" t="s">
        <v>69</v>
      </c>
      <c r="BM1207" t="s">
        <v>69</v>
      </c>
      <c r="BN1207">
        <v>14</v>
      </c>
      <c r="BO1207" t="s">
        <v>11631</v>
      </c>
      <c r="BP1207" t="s">
        <v>8661</v>
      </c>
      <c r="BQ1207" t="s">
        <v>11632</v>
      </c>
      <c r="BR1207" t="s">
        <v>11633</v>
      </c>
      <c r="BS1207" t="s">
        <v>11634</v>
      </c>
      <c r="BT1207">
        <v>34348739</v>
      </c>
      <c r="BU1207" t="s">
        <v>9352</v>
      </c>
      <c r="BV1207" t="s">
        <v>69</v>
      </c>
      <c r="BW1207" t="s">
        <v>69</v>
      </c>
      <c r="BX1207" t="s">
        <v>8526</v>
      </c>
      <c r="BY1207" t="str">
        <f>HYPERLINK("https%3A%2F%2Fwww.webofscience.com%2Fwos%2Fwoscc%2Ffull-record%2FWOS:000683456300001","View Full Record in Web of Science")</f>
        <v>View Full Record in Web of Science</v>
      </c>
    </row>
    <row r="1208" spans="1:77" ht="12.5" x14ac:dyDescent="0.25">
      <c r="A1208" t="s">
        <v>8495</v>
      </c>
      <c r="B1208" s="7" t="s">
        <v>32933</v>
      </c>
      <c r="C1208" s="7"/>
      <c r="D1208" s="7"/>
      <c r="E1208" s="7"/>
      <c r="F1208" t="s">
        <v>67</v>
      </c>
      <c r="G1208" t="s">
        <v>3178</v>
      </c>
      <c r="H1208" t="s">
        <v>69</v>
      </c>
      <c r="I1208" t="s">
        <v>69</v>
      </c>
      <c r="J1208" t="s">
        <v>69</v>
      </c>
      <c r="K1208" t="s">
        <v>3179</v>
      </c>
      <c r="L1208" t="s">
        <v>69</v>
      </c>
      <c r="M1208" t="s">
        <v>69</v>
      </c>
      <c r="N1208" t="s">
        <v>3180</v>
      </c>
      <c r="O1208" t="s">
        <v>3181</v>
      </c>
      <c r="P1208" t="s">
        <v>69</v>
      </c>
      <c r="Q1208" t="s">
        <v>69</v>
      </c>
      <c r="R1208" t="s">
        <v>8505</v>
      </c>
      <c r="S1208" t="s">
        <v>8506</v>
      </c>
      <c r="T1208" t="s">
        <v>69</v>
      </c>
      <c r="U1208" t="s">
        <v>69</v>
      </c>
      <c r="V1208" t="s">
        <v>69</v>
      </c>
      <c r="W1208" t="s">
        <v>69</v>
      </c>
      <c r="X1208" t="s">
        <v>69</v>
      </c>
      <c r="Y1208" t="s">
        <v>69</v>
      </c>
      <c r="Z1208" t="s">
        <v>23651</v>
      </c>
      <c r="AA1208" t="s">
        <v>3182</v>
      </c>
      <c r="AB1208" t="s">
        <v>23652</v>
      </c>
      <c r="AC1208" t="s">
        <v>69</v>
      </c>
      <c r="AD1208" t="s">
        <v>23653</v>
      </c>
      <c r="AE1208" t="s">
        <v>23654</v>
      </c>
      <c r="AF1208" t="s">
        <v>3183</v>
      </c>
      <c r="AG1208" t="s">
        <v>3184</v>
      </c>
      <c r="AH1208" t="s">
        <v>69</v>
      </c>
      <c r="AI1208" t="s">
        <v>69</v>
      </c>
      <c r="AJ1208" t="s">
        <v>69</v>
      </c>
      <c r="AK1208" t="s">
        <v>69</v>
      </c>
      <c r="AL1208">
        <v>61</v>
      </c>
      <c r="AM1208">
        <v>2</v>
      </c>
      <c r="AN1208">
        <v>2</v>
      </c>
      <c r="AO1208">
        <v>0</v>
      </c>
      <c r="AP1208">
        <v>7</v>
      </c>
      <c r="AQ1208" t="s">
        <v>8865</v>
      </c>
      <c r="AR1208" t="s">
        <v>8612</v>
      </c>
      <c r="AS1208" t="s">
        <v>8866</v>
      </c>
      <c r="AT1208" t="s">
        <v>3185</v>
      </c>
      <c r="AU1208" t="s">
        <v>3186</v>
      </c>
      <c r="AV1208" t="s">
        <v>69</v>
      </c>
      <c r="AW1208" t="s">
        <v>23655</v>
      </c>
      <c r="AX1208" t="s">
        <v>23656</v>
      </c>
      <c r="AY1208" t="s">
        <v>201</v>
      </c>
      <c r="AZ1208">
        <v>2014</v>
      </c>
      <c r="BA1208">
        <v>41</v>
      </c>
      <c r="BB1208">
        <v>2</v>
      </c>
      <c r="BC1208" t="s">
        <v>69</v>
      </c>
      <c r="BD1208" t="s">
        <v>69</v>
      </c>
      <c r="BE1208" t="s">
        <v>69</v>
      </c>
      <c r="BF1208" t="s">
        <v>69</v>
      </c>
      <c r="BG1208">
        <v>311</v>
      </c>
      <c r="BH1208">
        <v>329</v>
      </c>
      <c r="BI1208" t="s">
        <v>69</v>
      </c>
      <c r="BJ1208" t="s">
        <v>3187</v>
      </c>
      <c r="BK1208" t="str">
        <f>HYPERLINK("http://dx.doi.org/10.1080/02589346.2014.905263","http://dx.doi.org/10.1080/02589346.2014.905263")</f>
        <v>http://dx.doi.org/10.1080/02589346.2014.905263</v>
      </c>
      <c r="BL1208" t="s">
        <v>69</v>
      </c>
      <c r="BM1208" t="s">
        <v>69</v>
      </c>
      <c r="BN1208">
        <v>19</v>
      </c>
      <c r="BO1208" t="s">
        <v>13241</v>
      </c>
      <c r="BP1208" t="s">
        <v>8661</v>
      </c>
      <c r="BQ1208" t="s">
        <v>10084</v>
      </c>
      <c r="BR1208" t="s">
        <v>23657</v>
      </c>
      <c r="BS1208" t="s">
        <v>3188</v>
      </c>
      <c r="BT1208" t="s">
        <v>69</v>
      </c>
      <c r="BU1208" t="s">
        <v>69</v>
      </c>
      <c r="BV1208" t="s">
        <v>69</v>
      </c>
      <c r="BW1208" t="s">
        <v>69</v>
      </c>
      <c r="BX1208" t="s">
        <v>8526</v>
      </c>
      <c r="BY1208" t="str">
        <f>HYPERLINK("https%3A%2F%2Fwww.webofscience.com%2Fwos%2Fwoscc%2Ffull-record%2FWOS:000340275600008","View Full Record in Web of Science")</f>
        <v>View Full Record in Web of Science</v>
      </c>
    </row>
    <row r="1209" spans="1:77" ht="12.5" x14ac:dyDescent="0.25">
      <c r="A1209" t="s">
        <v>8495</v>
      </c>
      <c r="B1209" s="7" t="s">
        <v>32933</v>
      </c>
      <c r="C1209" s="7"/>
      <c r="D1209" s="7"/>
      <c r="E1209" s="7"/>
      <c r="F1209" t="s">
        <v>67</v>
      </c>
      <c r="G1209" t="s">
        <v>1041</v>
      </c>
      <c r="H1209" t="s">
        <v>69</v>
      </c>
      <c r="I1209" t="s">
        <v>69</v>
      </c>
      <c r="J1209" t="s">
        <v>69</v>
      </c>
      <c r="K1209" t="s">
        <v>1042</v>
      </c>
      <c r="L1209" t="s">
        <v>69</v>
      </c>
      <c r="M1209" t="s">
        <v>69</v>
      </c>
      <c r="N1209" t="s">
        <v>1043</v>
      </c>
      <c r="O1209" t="s">
        <v>473</v>
      </c>
      <c r="P1209" t="s">
        <v>69</v>
      </c>
      <c r="Q1209" t="s">
        <v>69</v>
      </c>
      <c r="R1209" t="s">
        <v>8505</v>
      </c>
      <c r="S1209" t="s">
        <v>8506</v>
      </c>
      <c r="T1209" t="s">
        <v>69</v>
      </c>
      <c r="U1209" t="s">
        <v>69</v>
      </c>
      <c r="V1209" t="s">
        <v>69</v>
      </c>
      <c r="W1209" t="s">
        <v>69</v>
      </c>
      <c r="X1209" t="s">
        <v>69</v>
      </c>
      <c r="Y1209" t="s">
        <v>18264</v>
      </c>
      <c r="Z1209" t="s">
        <v>18265</v>
      </c>
      <c r="AA1209" t="s">
        <v>1044</v>
      </c>
      <c r="AB1209" t="s">
        <v>18266</v>
      </c>
      <c r="AC1209" t="s">
        <v>69</v>
      </c>
      <c r="AD1209" t="s">
        <v>18267</v>
      </c>
      <c r="AE1209" t="s">
        <v>18268</v>
      </c>
      <c r="AF1209" t="s">
        <v>14235</v>
      </c>
      <c r="AG1209" t="s">
        <v>18269</v>
      </c>
      <c r="AH1209" t="s">
        <v>18270</v>
      </c>
      <c r="AI1209" t="s">
        <v>18270</v>
      </c>
      <c r="AJ1209" t="s">
        <v>18271</v>
      </c>
      <c r="AK1209" t="s">
        <v>69</v>
      </c>
      <c r="AL1209">
        <v>42</v>
      </c>
      <c r="AM1209">
        <v>11</v>
      </c>
      <c r="AN1209">
        <v>11</v>
      </c>
      <c r="AO1209">
        <v>1</v>
      </c>
      <c r="AP1209">
        <v>50</v>
      </c>
      <c r="AQ1209" t="s">
        <v>18272</v>
      </c>
      <c r="AR1209" t="s">
        <v>8763</v>
      </c>
      <c r="AS1209" t="s">
        <v>18273</v>
      </c>
      <c r="AT1209" t="s">
        <v>475</v>
      </c>
      <c r="AU1209" t="s">
        <v>476</v>
      </c>
      <c r="AV1209" t="s">
        <v>69</v>
      </c>
      <c r="AW1209" t="s">
        <v>18274</v>
      </c>
      <c r="AX1209" t="s">
        <v>18275</v>
      </c>
      <c r="AY1209" t="s">
        <v>904</v>
      </c>
      <c r="AZ1209">
        <v>2018</v>
      </c>
      <c r="BA1209">
        <v>223</v>
      </c>
      <c r="BB1209" t="s">
        <v>69</v>
      </c>
      <c r="BC1209" t="s">
        <v>69</v>
      </c>
      <c r="BD1209" t="s">
        <v>69</v>
      </c>
      <c r="BE1209" t="s">
        <v>69</v>
      </c>
      <c r="BF1209" t="s">
        <v>69</v>
      </c>
      <c r="BG1209">
        <v>385</v>
      </c>
      <c r="BH1209">
        <v>395</v>
      </c>
      <c r="BI1209" t="s">
        <v>69</v>
      </c>
      <c r="BJ1209" t="s">
        <v>1045</v>
      </c>
      <c r="BK1209" t="str">
        <f>HYPERLINK("http://dx.doi.org/10.1016/j.jenvman.2018.06.049","http://dx.doi.org/10.1016/j.jenvman.2018.06.049")</f>
        <v>http://dx.doi.org/10.1016/j.jenvman.2018.06.049</v>
      </c>
      <c r="BL1209" t="s">
        <v>69</v>
      </c>
      <c r="BM1209" t="s">
        <v>69</v>
      </c>
      <c r="BN1209">
        <v>11</v>
      </c>
      <c r="BO1209" t="s">
        <v>8717</v>
      </c>
      <c r="BP1209" t="s">
        <v>8523</v>
      </c>
      <c r="BQ1209" t="s">
        <v>8662</v>
      </c>
      <c r="BR1209" t="s">
        <v>18276</v>
      </c>
      <c r="BS1209" t="s">
        <v>1046</v>
      </c>
      <c r="BT1209">
        <v>29940515</v>
      </c>
      <c r="BU1209" t="s">
        <v>9292</v>
      </c>
      <c r="BV1209" t="s">
        <v>69</v>
      </c>
      <c r="BW1209" t="s">
        <v>69</v>
      </c>
      <c r="BX1209" t="s">
        <v>8526</v>
      </c>
      <c r="BY1209" t="str">
        <f>HYPERLINK("https%3A%2F%2Fwww.webofscience.com%2Fwos%2Fwoscc%2Ffull-record%2FWOS:000442057500036","View Full Record in Web of Science")</f>
        <v>View Full Record in Web of Science</v>
      </c>
    </row>
    <row r="1210" spans="1:77" ht="12.5" x14ac:dyDescent="0.25">
      <c r="A1210" t="s">
        <v>8495</v>
      </c>
      <c r="B1210" s="22" t="s">
        <v>32931</v>
      </c>
      <c r="C1210" s="7"/>
      <c r="D1210" s="7"/>
      <c r="E1210" s="7"/>
      <c r="F1210" t="s">
        <v>67</v>
      </c>
      <c r="G1210" t="s">
        <v>28151</v>
      </c>
      <c r="H1210" t="s">
        <v>69</v>
      </c>
      <c r="I1210" t="s">
        <v>69</v>
      </c>
      <c r="J1210" t="s">
        <v>69</v>
      </c>
      <c r="K1210" t="s">
        <v>28152</v>
      </c>
      <c r="L1210" t="s">
        <v>69</v>
      </c>
      <c r="M1210" t="s">
        <v>69</v>
      </c>
      <c r="N1210" t="s">
        <v>28153</v>
      </c>
      <c r="O1210" t="s">
        <v>28154</v>
      </c>
      <c r="P1210" t="s">
        <v>69</v>
      </c>
      <c r="Q1210" t="s">
        <v>69</v>
      </c>
      <c r="R1210" t="s">
        <v>8505</v>
      </c>
      <c r="S1210" t="s">
        <v>8506</v>
      </c>
      <c r="T1210" t="s">
        <v>69</v>
      </c>
      <c r="U1210" t="s">
        <v>69</v>
      </c>
      <c r="V1210" t="s">
        <v>69</v>
      </c>
      <c r="W1210" t="s">
        <v>69</v>
      </c>
      <c r="X1210" t="s">
        <v>69</v>
      </c>
      <c r="Y1210" t="s">
        <v>28155</v>
      </c>
      <c r="Z1210" t="s">
        <v>69</v>
      </c>
      <c r="AA1210" t="s">
        <v>28156</v>
      </c>
      <c r="AB1210" t="s">
        <v>28157</v>
      </c>
      <c r="AC1210" t="s">
        <v>69</v>
      </c>
      <c r="AD1210" t="s">
        <v>28158</v>
      </c>
      <c r="AE1210" t="s">
        <v>69</v>
      </c>
      <c r="AF1210" t="s">
        <v>28159</v>
      </c>
      <c r="AG1210" t="s">
        <v>28160</v>
      </c>
      <c r="AH1210" t="s">
        <v>28161</v>
      </c>
      <c r="AI1210" t="s">
        <v>28162</v>
      </c>
      <c r="AJ1210" t="s">
        <v>28163</v>
      </c>
      <c r="AK1210" t="s">
        <v>69</v>
      </c>
      <c r="AL1210">
        <v>10</v>
      </c>
      <c r="AM1210">
        <v>0</v>
      </c>
      <c r="AN1210">
        <v>0</v>
      </c>
      <c r="AO1210">
        <v>0</v>
      </c>
      <c r="AP1210">
        <v>0</v>
      </c>
      <c r="AQ1210" t="s">
        <v>28164</v>
      </c>
      <c r="AR1210" t="s">
        <v>28165</v>
      </c>
      <c r="AS1210" t="s">
        <v>28166</v>
      </c>
      <c r="AT1210" t="s">
        <v>28167</v>
      </c>
      <c r="AU1210" t="s">
        <v>69</v>
      </c>
      <c r="AV1210" t="s">
        <v>69</v>
      </c>
      <c r="AW1210" t="s">
        <v>28168</v>
      </c>
      <c r="AX1210" t="s">
        <v>28169</v>
      </c>
      <c r="AY1210" t="s">
        <v>69</v>
      </c>
      <c r="AZ1210">
        <v>2010</v>
      </c>
      <c r="BA1210" t="s">
        <v>69</v>
      </c>
      <c r="BB1210">
        <v>2</v>
      </c>
      <c r="BC1210" t="s">
        <v>69</v>
      </c>
      <c r="BD1210" t="s">
        <v>69</v>
      </c>
      <c r="BE1210" t="s">
        <v>69</v>
      </c>
      <c r="BF1210" t="s">
        <v>69</v>
      </c>
      <c r="BG1210">
        <v>305</v>
      </c>
      <c r="BH1210">
        <v>312</v>
      </c>
      <c r="BI1210" t="s">
        <v>69</v>
      </c>
      <c r="BJ1210" t="s">
        <v>69</v>
      </c>
      <c r="BK1210" t="s">
        <v>69</v>
      </c>
      <c r="BL1210" t="s">
        <v>69</v>
      </c>
      <c r="BM1210" t="s">
        <v>69</v>
      </c>
      <c r="BN1210">
        <v>8</v>
      </c>
      <c r="BO1210" t="s">
        <v>8619</v>
      </c>
      <c r="BP1210" t="s">
        <v>8573</v>
      </c>
      <c r="BQ1210" t="s">
        <v>8620</v>
      </c>
      <c r="BR1210" t="s">
        <v>28170</v>
      </c>
      <c r="BS1210" t="s">
        <v>28171</v>
      </c>
      <c r="BT1210" t="s">
        <v>69</v>
      </c>
      <c r="BU1210" t="s">
        <v>69</v>
      </c>
      <c r="BV1210" t="s">
        <v>69</v>
      </c>
      <c r="BW1210" t="s">
        <v>69</v>
      </c>
      <c r="BX1210" t="s">
        <v>8526</v>
      </c>
      <c r="BY1210" t="str">
        <f>HYPERLINK("https%3A%2F%2Fwww.webofscience.com%2Fwos%2Fwoscc%2Ffull-record%2FWOS:000420590300018","View Full Record in Web of Science")</f>
        <v>View Full Record in Web of Science</v>
      </c>
    </row>
    <row r="1211" spans="1:77" ht="12.5" x14ac:dyDescent="0.25">
      <c r="A1211" t="s">
        <v>8495</v>
      </c>
      <c r="B1211" s="15" t="s">
        <v>33011</v>
      </c>
      <c r="C1211" s="7"/>
      <c r="D1211" s="7"/>
      <c r="E1211" s="7"/>
      <c r="F1211" t="s">
        <v>67</v>
      </c>
      <c r="G1211" t="s">
        <v>7699</v>
      </c>
      <c r="H1211" t="s">
        <v>69</v>
      </c>
      <c r="I1211" t="s">
        <v>69</v>
      </c>
      <c r="J1211" t="s">
        <v>69</v>
      </c>
      <c r="K1211" t="s">
        <v>7699</v>
      </c>
      <c r="L1211" t="s">
        <v>69</v>
      </c>
      <c r="M1211" t="s">
        <v>69</v>
      </c>
      <c r="N1211" s="2" t="s">
        <v>7700</v>
      </c>
      <c r="O1211" t="s">
        <v>7701</v>
      </c>
      <c r="P1211" t="s">
        <v>69</v>
      </c>
      <c r="Q1211" t="s">
        <v>69</v>
      </c>
      <c r="R1211" t="s">
        <v>8505</v>
      </c>
      <c r="S1211" t="s">
        <v>15797</v>
      </c>
      <c r="T1211" t="s">
        <v>7702</v>
      </c>
      <c r="U1211" t="s">
        <v>7703</v>
      </c>
      <c r="V1211" t="s">
        <v>7704</v>
      </c>
      <c r="W1211" t="s">
        <v>7705</v>
      </c>
      <c r="X1211" t="s">
        <v>69</v>
      </c>
      <c r="Y1211" t="s">
        <v>69</v>
      </c>
      <c r="Z1211" t="s">
        <v>31545</v>
      </c>
      <c r="AA1211" t="s">
        <v>7706</v>
      </c>
      <c r="AB1211" t="s">
        <v>31546</v>
      </c>
      <c r="AC1211" t="s">
        <v>69</v>
      </c>
      <c r="AD1211" t="s">
        <v>31547</v>
      </c>
      <c r="AE1211" t="s">
        <v>69</v>
      </c>
      <c r="AF1211" t="s">
        <v>31142</v>
      </c>
      <c r="AG1211" t="s">
        <v>7707</v>
      </c>
      <c r="AH1211" t="s">
        <v>69</v>
      </c>
      <c r="AI1211" t="s">
        <v>69</v>
      </c>
      <c r="AJ1211" t="s">
        <v>69</v>
      </c>
      <c r="AK1211" t="s">
        <v>69</v>
      </c>
      <c r="AL1211">
        <v>59</v>
      </c>
      <c r="AM1211">
        <v>42</v>
      </c>
      <c r="AN1211">
        <v>43</v>
      </c>
      <c r="AO1211">
        <v>0</v>
      </c>
      <c r="AP1211">
        <v>4</v>
      </c>
      <c r="AQ1211" t="s">
        <v>9554</v>
      </c>
      <c r="AR1211" t="s">
        <v>9555</v>
      </c>
      <c r="AS1211" t="s">
        <v>9556</v>
      </c>
      <c r="AT1211" t="s">
        <v>7708</v>
      </c>
      <c r="AU1211" t="s">
        <v>69</v>
      </c>
      <c r="AV1211" t="s">
        <v>69</v>
      </c>
      <c r="AW1211" t="s">
        <v>31548</v>
      </c>
      <c r="AX1211" t="s">
        <v>31549</v>
      </c>
      <c r="AY1211" t="s">
        <v>263</v>
      </c>
      <c r="AZ1211">
        <v>2001</v>
      </c>
      <c r="BA1211">
        <v>6</v>
      </c>
      <c r="BB1211">
        <v>4</v>
      </c>
      <c r="BC1211" t="s">
        <v>69</v>
      </c>
      <c r="BD1211" t="s">
        <v>69</v>
      </c>
      <c r="BE1211" t="s">
        <v>69</v>
      </c>
      <c r="BF1211" t="s">
        <v>69</v>
      </c>
      <c r="BG1211">
        <v>11</v>
      </c>
      <c r="BH1211">
        <v>30</v>
      </c>
      <c r="BI1211" t="s">
        <v>69</v>
      </c>
      <c r="BJ1211" t="s">
        <v>7709</v>
      </c>
      <c r="BK1211" t="str">
        <f>HYPERLINK("http://dx.doi.org/10.1177/108118001129172314","http://dx.doi.org/10.1177/108118001129172314")</f>
        <v>http://dx.doi.org/10.1177/108118001129172314</v>
      </c>
      <c r="BL1211" t="s">
        <v>69</v>
      </c>
      <c r="BM1211" t="s">
        <v>69</v>
      </c>
      <c r="BN1211">
        <v>20</v>
      </c>
      <c r="BO1211" t="s">
        <v>31550</v>
      </c>
      <c r="BP1211" t="s">
        <v>31324</v>
      </c>
      <c r="BQ1211" t="s">
        <v>31551</v>
      </c>
      <c r="BR1211" t="s">
        <v>31552</v>
      </c>
      <c r="BS1211" t="s">
        <v>7710</v>
      </c>
      <c r="BT1211" t="s">
        <v>69</v>
      </c>
      <c r="BU1211" t="s">
        <v>69</v>
      </c>
      <c r="BV1211" t="s">
        <v>69</v>
      </c>
      <c r="BW1211" t="s">
        <v>69</v>
      </c>
      <c r="BX1211" t="s">
        <v>8526</v>
      </c>
      <c r="BY1211" t="str">
        <f>HYPERLINK("https%3A%2F%2Fwww.webofscience.com%2Fwos%2Fwoscc%2Ffull-record%2FWOS:000174741300002","View Full Record in Web of Science")</f>
        <v>View Full Record in Web of Science</v>
      </c>
    </row>
    <row r="1212" spans="1:77" ht="12.5" x14ac:dyDescent="0.25">
      <c r="A1212" t="s">
        <v>8495</v>
      </c>
      <c r="B1212" s="22" t="s">
        <v>32931</v>
      </c>
      <c r="C1212" s="7"/>
      <c r="D1212" s="7"/>
      <c r="E1212" s="7"/>
      <c r="F1212" t="s">
        <v>67</v>
      </c>
      <c r="G1212" t="s">
        <v>22546</v>
      </c>
      <c r="H1212" t="s">
        <v>69</v>
      </c>
      <c r="I1212" t="s">
        <v>69</v>
      </c>
      <c r="J1212" t="s">
        <v>69</v>
      </c>
      <c r="K1212" t="s">
        <v>22547</v>
      </c>
      <c r="L1212" t="s">
        <v>69</v>
      </c>
      <c r="M1212" t="s">
        <v>69</v>
      </c>
      <c r="N1212" t="s">
        <v>22548</v>
      </c>
      <c r="O1212" t="s">
        <v>5373</v>
      </c>
      <c r="P1212" t="s">
        <v>69</v>
      </c>
      <c r="Q1212" t="s">
        <v>69</v>
      </c>
      <c r="R1212" t="s">
        <v>8505</v>
      </c>
      <c r="S1212" t="s">
        <v>8506</v>
      </c>
      <c r="T1212" t="s">
        <v>69</v>
      </c>
      <c r="U1212" t="s">
        <v>69</v>
      </c>
      <c r="V1212" t="s">
        <v>69</v>
      </c>
      <c r="W1212" t="s">
        <v>69</v>
      </c>
      <c r="X1212" t="s">
        <v>69</v>
      </c>
      <c r="Y1212" t="s">
        <v>22549</v>
      </c>
      <c r="Z1212" t="s">
        <v>22550</v>
      </c>
      <c r="AA1212" t="s">
        <v>22551</v>
      </c>
      <c r="AB1212" t="s">
        <v>69</v>
      </c>
      <c r="AC1212" t="s">
        <v>69</v>
      </c>
      <c r="AD1212" t="s">
        <v>69</v>
      </c>
      <c r="AE1212" t="s">
        <v>69</v>
      </c>
      <c r="AF1212" t="s">
        <v>22552</v>
      </c>
      <c r="AG1212" t="s">
        <v>22553</v>
      </c>
      <c r="AH1212" t="s">
        <v>69</v>
      </c>
      <c r="AI1212" t="s">
        <v>69</v>
      </c>
      <c r="AJ1212" t="s">
        <v>69</v>
      </c>
      <c r="AK1212" t="s">
        <v>69</v>
      </c>
      <c r="AL1212">
        <v>54</v>
      </c>
      <c r="AM1212">
        <v>37</v>
      </c>
      <c r="AN1212">
        <v>37</v>
      </c>
      <c r="AO1212">
        <v>3</v>
      </c>
      <c r="AP1212">
        <v>66</v>
      </c>
      <c r="AQ1212" t="s">
        <v>8846</v>
      </c>
      <c r="AR1212" t="s">
        <v>8847</v>
      </c>
      <c r="AS1212" t="s">
        <v>8848</v>
      </c>
      <c r="AT1212" t="s">
        <v>5376</v>
      </c>
      <c r="AU1212" t="s">
        <v>5377</v>
      </c>
      <c r="AV1212" t="s">
        <v>69</v>
      </c>
      <c r="AW1212" t="s">
        <v>22554</v>
      </c>
      <c r="AX1212" t="s">
        <v>22555</v>
      </c>
      <c r="AY1212" t="s">
        <v>201</v>
      </c>
      <c r="AZ1212">
        <v>2015</v>
      </c>
      <c r="BA1212">
        <v>43</v>
      </c>
      <c r="BB1212">
        <v>3</v>
      </c>
      <c r="BC1212" t="s">
        <v>69</v>
      </c>
      <c r="BD1212" t="s">
        <v>69</v>
      </c>
      <c r="BE1212" t="s">
        <v>69</v>
      </c>
      <c r="BF1212" t="s">
        <v>69</v>
      </c>
      <c r="BG1212">
        <v>379</v>
      </c>
      <c r="BH1212">
        <v>398</v>
      </c>
      <c r="BI1212" t="s">
        <v>69</v>
      </c>
      <c r="BJ1212" t="s">
        <v>22556</v>
      </c>
      <c r="BK1212" t="str">
        <f>HYPERLINK("http://dx.doi.org/10.1111/psj.12103","http://dx.doi.org/10.1111/psj.12103")</f>
        <v>http://dx.doi.org/10.1111/psj.12103</v>
      </c>
      <c r="BL1212" t="s">
        <v>69</v>
      </c>
      <c r="BM1212" t="s">
        <v>69</v>
      </c>
      <c r="BN1212">
        <v>20</v>
      </c>
      <c r="BO1212" t="s">
        <v>10439</v>
      </c>
      <c r="BP1212" t="s">
        <v>8661</v>
      </c>
      <c r="BQ1212" t="s">
        <v>10440</v>
      </c>
      <c r="BR1212" t="s">
        <v>22557</v>
      </c>
      <c r="BS1212" t="s">
        <v>22558</v>
      </c>
      <c r="BT1212" t="s">
        <v>69</v>
      </c>
      <c r="BU1212" t="s">
        <v>8622</v>
      </c>
      <c r="BV1212" t="s">
        <v>69</v>
      </c>
      <c r="BW1212" t="s">
        <v>69</v>
      </c>
      <c r="BX1212" t="s">
        <v>8526</v>
      </c>
      <c r="BY1212" t="str">
        <f>HYPERLINK("https%3A%2F%2Fwww.webofscience.com%2Fwos%2Fwoscc%2Ffull-record%2FWOS:000358688800004","View Full Record in Web of Science")</f>
        <v>View Full Record in Web of Science</v>
      </c>
    </row>
    <row r="1213" spans="1:77" ht="12.5" x14ac:dyDescent="0.25">
      <c r="A1213" t="s">
        <v>8495</v>
      </c>
      <c r="B1213" s="11" t="s">
        <v>33012</v>
      </c>
      <c r="C1213" s="7"/>
      <c r="D1213" s="7"/>
      <c r="E1213" s="7"/>
      <c r="F1213" t="s">
        <v>67</v>
      </c>
      <c r="G1213" t="s">
        <v>7875</v>
      </c>
      <c r="H1213" t="s">
        <v>69</v>
      </c>
      <c r="I1213" t="s">
        <v>69</v>
      </c>
      <c r="J1213" t="s">
        <v>69</v>
      </c>
      <c r="K1213" s="2" t="s">
        <v>7876</v>
      </c>
      <c r="L1213" t="s">
        <v>69</v>
      </c>
      <c r="M1213" t="s">
        <v>69</v>
      </c>
      <c r="N1213" s="18" t="s">
        <v>7877</v>
      </c>
      <c r="O1213" t="s">
        <v>3722</v>
      </c>
      <c r="P1213" t="s">
        <v>69</v>
      </c>
      <c r="Q1213" t="s">
        <v>69</v>
      </c>
      <c r="R1213" t="s">
        <v>8505</v>
      </c>
      <c r="S1213" t="s">
        <v>8506</v>
      </c>
      <c r="T1213" t="s">
        <v>69</v>
      </c>
      <c r="U1213" t="s">
        <v>69</v>
      </c>
      <c r="V1213" t="s">
        <v>69</v>
      </c>
      <c r="W1213" t="s">
        <v>69</v>
      </c>
      <c r="X1213" t="s">
        <v>69</v>
      </c>
      <c r="Y1213" t="s">
        <v>29766</v>
      </c>
      <c r="Z1213" t="s">
        <v>69</v>
      </c>
      <c r="AA1213" t="s">
        <v>7878</v>
      </c>
      <c r="AB1213" t="s">
        <v>29767</v>
      </c>
      <c r="AC1213" t="s">
        <v>69</v>
      </c>
      <c r="AD1213" t="s">
        <v>29768</v>
      </c>
      <c r="AE1213" t="s">
        <v>69</v>
      </c>
      <c r="AF1213" t="s">
        <v>69</v>
      </c>
      <c r="AG1213" t="s">
        <v>69</v>
      </c>
      <c r="AH1213" t="s">
        <v>69</v>
      </c>
      <c r="AI1213" t="s">
        <v>69</v>
      </c>
      <c r="AJ1213" t="s">
        <v>69</v>
      </c>
      <c r="AK1213" t="s">
        <v>69</v>
      </c>
      <c r="AL1213">
        <v>11</v>
      </c>
      <c r="AM1213">
        <v>0</v>
      </c>
      <c r="AN1213">
        <v>0</v>
      </c>
      <c r="AO1213">
        <v>0</v>
      </c>
      <c r="AP1213">
        <v>6</v>
      </c>
      <c r="AQ1213" t="s">
        <v>29590</v>
      </c>
      <c r="AR1213" t="s">
        <v>8763</v>
      </c>
      <c r="AS1213" t="s">
        <v>29591</v>
      </c>
      <c r="AT1213" t="s">
        <v>3724</v>
      </c>
      <c r="AU1213" t="s">
        <v>69</v>
      </c>
      <c r="AV1213" t="s">
        <v>69</v>
      </c>
      <c r="AW1213" t="s">
        <v>25129</v>
      </c>
      <c r="AX1213" t="s">
        <v>25130</v>
      </c>
      <c r="AY1213" t="s">
        <v>94</v>
      </c>
      <c r="AZ1213">
        <v>2007</v>
      </c>
      <c r="BA1213">
        <v>160</v>
      </c>
      <c r="BB1213">
        <v>1</v>
      </c>
      <c r="BC1213" t="s">
        <v>69</v>
      </c>
      <c r="BD1213" t="s">
        <v>69</v>
      </c>
      <c r="BE1213" t="s">
        <v>69</v>
      </c>
      <c r="BF1213" t="s">
        <v>69</v>
      </c>
      <c r="BG1213">
        <v>1</v>
      </c>
      <c r="BH1213">
        <v>6</v>
      </c>
      <c r="BI1213" t="s">
        <v>69</v>
      </c>
      <c r="BJ1213" t="s">
        <v>69</v>
      </c>
      <c r="BK1213" t="s">
        <v>69</v>
      </c>
      <c r="BL1213" t="s">
        <v>69</v>
      </c>
      <c r="BM1213" t="s">
        <v>69</v>
      </c>
      <c r="BN1213">
        <v>6</v>
      </c>
      <c r="BO1213" t="s">
        <v>13537</v>
      </c>
      <c r="BP1213" t="s">
        <v>8548</v>
      </c>
      <c r="BQ1213" t="s">
        <v>8445</v>
      </c>
      <c r="BR1213" t="s">
        <v>29769</v>
      </c>
      <c r="BS1213" t="s">
        <v>7879</v>
      </c>
      <c r="BT1213" t="s">
        <v>69</v>
      </c>
      <c r="BU1213" t="s">
        <v>69</v>
      </c>
      <c r="BV1213" t="s">
        <v>69</v>
      </c>
      <c r="BW1213" t="s">
        <v>69</v>
      </c>
      <c r="BX1213" t="s">
        <v>8526</v>
      </c>
      <c r="BY1213" t="str">
        <f>HYPERLINK("https%3A%2F%2Fwww.webofscience.com%2Fwos%2Fwoscc%2Ffull-record%2FWOS:000245493400001","View Full Record in Web of Science")</f>
        <v>View Full Record in Web of Science</v>
      </c>
    </row>
    <row r="1214" spans="1:77" ht="12.5" x14ac:dyDescent="0.25">
      <c r="A1214" t="s">
        <v>8495</v>
      </c>
      <c r="B1214" s="22" t="s">
        <v>32931</v>
      </c>
      <c r="C1214" s="7"/>
      <c r="D1214" s="7"/>
      <c r="E1214" s="7"/>
      <c r="F1214" t="s">
        <v>67</v>
      </c>
      <c r="G1214" t="s">
        <v>10911</v>
      </c>
      <c r="H1214" t="s">
        <v>69</v>
      </c>
      <c r="I1214" t="s">
        <v>69</v>
      </c>
      <c r="J1214" t="s">
        <v>69</v>
      </c>
      <c r="K1214" t="s">
        <v>10912</v>
      </c>
      <c r="L1214" t="s">
        <v>69</v>
      </c>
      <c r="M1214" t="s">
        <v>69</v>
      </c>
      <c r="N1214" t="s">
        <v>10913</v>
      </c>
      <c r="O1214" t="s">
        <v>1222</v>
      </c>
      <c r="P1214" t="s">
        <v>69</v>
      </c>
      <c r="Q1214" t="s">
        <v>69</v>
      </c>
      <c r="R1214" t="s">
        <v>8505</v>
      </c>
      <c r="S1214" t="s">
        <v>8506</v>
      </c>
      <c r="T1214" t="s">
        <v>69</v>
      </c>
      <c r="U1214" t="s">
        <v>69</v>
      </c>
      <c r="V1214" t="s">
        <v>69</v>
      </c>
      <c r="W1214" t="s">
        <v>69</v>
      </c>
      <c r="X1214" t="s">
        <v>69</v>
      </c>
      <c r="Y1214" t="s">
        <v>10914</v>
      </c>
      <c r="Z1214" t="s">
        <v>69</v>
      </c>
      <c r="AA1214" t="s">
        <v>10915</v>
      </c>
      <c r="AB1214" t="s">
        <v>10916</v>
      </c>
      <c r="AC1214" t="s">
        <v>69</v>
      </c>
      <c r="AD1214" t="s">
        <v>10917</v>
      </c>
      <c r="AE1214" t="s">
        <v>10918</v>
      </c>
      <c r="AF1214" t="s">
        <v>10919</v>
      </c>
      <c r="AG1214" t="s">
        <v>10920</v>
      </c>
      <c r="AH1214" t="s">
        <v>10921</v>
      </c>
      <c r="AI1214" t="s">
        <v>10921</v>
      </c>
      <c r="AJ1214" t="s">
        <v>10922</v>
      </c>
      <c r="AK1214" t="s">
        <v>69</v>
      </c>
      <c r="AL1214">
        <v>13</v>
      </c>
      <c r="AM1214">
        <v>0</v>
      </c>
      <c r="AN1214">
        <v>0</v>
      </c>
      <c r="AO1214">
        <v>1</v>
      </c>
      <c r="AP1214">
        <v>1</v>
      </c>
      <c r="AQ1214" t="s">
        <v>10923</v>
      </c>
      <c r="AR1214" t="s">
        <v>10924</v>
      </c>
      <c r="AS1214" t="s">
        <v>10925</v>
      </c>
      <c r="AT1214" t="s">
        <v>1224</v>
      </c>
      <c r="AU1214" t="s">
        <v>1225</v>
      </c>
      <c r="AV1214" t="s">
        <v>69</v>
      </c>
      <c r="AW1214" t="s">
        <v>10926</v>
      </c>
      <c r="AX1214" t="s">
        <v>10927</v>
      </c>
      <c r="AY1214" t="s">
        <v>619</v>
      </c>
      <c r="AZ1214">
        <v>2021</v>
      </c>
      <c r="BA1214">
        <v>27</v>
      </c>
      <c r="BB1214">
        <v>6</v>
      </c>
      <c r="BC1214" t="s">
        <v>69</v>
      </c>
      <c r="BD1214" t="s">
        <v>69</v>
      </c>
      <c r="BE1214" t="s">
        <v>114</v>
      </c>
      <c r="BF1214" t="s">
        <v>69</v>
      </c>
      <c r="BG1214">
        <v>539</v>
      </c>
      <c r="BH1214">
        <v>545</v>
      </c>
      <c r="BI1214" t="s">
        <v>69</v>
      </c>
      <c r="BJ1214" t="s">
        <v>10928</v>
      </c>
      <c r="BK1214" t="str">
        <f>HYPERLINK("http://dx.doi.org/10.1097/PHH.0000000000001197","http://dx.doi.org/10.1097/PHH.0000000000001197")</f>
        <v>http://dx.doi.org/10.1097/PHH.0000000000001197</v>
      </c>
      <c r="BL1214" t="s">
        <v>69</v>
      </c>
      <c r="BM1214" t="s">
        <v>69</v>
      </c>
      <c r="BN1214">
        <v>7</v>
      </c>
      <c r="BO1214" t="s">
        <v>8810</v>
      </c>
      <c r="BP1214" t="s">
        <v>8661</v>
      </c>
      <c r="BQ1214" t="s">
        <v>8810</v>
      </c>
      <c r="BR1214" t="s">
        <v>10929</v>
      </c>
      <c r="BS1214" t="s">
        <v>10930</v>
      </c>
      <c r="BT1214">
        <v>32496403</v>
      </c>
      <c r="BU1214" t="s">
        <v>69</v>
      </c>
      <c r="BV1214" t="s">
        <v>69</v>
      </c>
      <c r="BW1214" t="s">
        <v>69</v>
      </c>
      <c r="BX1214" t="s">
        <v>8526</v>
      </c>
      <c r="BY1214" t="str">
        <f>HYPERLINK("https%3A%2F%2Fwww.webofscience.com%2Fwos%2Fwoscc%2Ffull-record%2FWOS:000713458500005","View Full Record in Web of Science")</f>
        <v>View Full Record in Web of Science</v>
      </c>
    </row>
    <row r="1215" spans="1:77" ht="12.5" x14ac:dyDescent="0.25">
      <c r="A1215" t="s">
        <v>8495</v>
      </c>
      <c r="B1215" s="7" t="s">
        <v>32933</v>
      </c>
      <c r="C1215" s="7"/>
      <c r="D1215" s="7"/>
      <c r="E1215" s="7"/>
      <c r="F1215" t="s">
        <v>67</v>
      </c>
      <c r="G1215" t="s">
        <v>3026</v>
      </c>
      <c r="H1215" t="s">
        <v>69</v>
      </c>
      <c r="I1215" t="s">
        <v>69</v>
      </c>
      <c r="J1215" t="s">
        <v>69</v>
      </c>
      <c r="K1215" t="s">
        <v>3027</v>
      </c>
      <c r="L1215" t="s">
        <v>69</v>
      </c>
      <c r="M1215" t="s">
        <v>69</v>
      </c>
      <c r="N1215" t="s">
        <v>3028</v>
      </c>
      <c r="O1215" t="s">
        <v>3029</v>
      </c>
      <c r="P1215" t="s">
        <v>69</v>
      </c>
      <c r="Q1215" t="s">
        <v>69</v>
      </c>
      <c r="R1215" t="s">
        <v>8505</v>
      </c>
      <c r="S1215" t="s">
        <v>8506</v>
      </c>
      <c r="T1215" t="s">
        <v>69</v>
      </c>
      <c r="U1215" t="s">
        <v>69</v>
      </c>
      <c r="V1215" t="s">
        <v>69</v>
      </c>
      <c r="W1215" t="s">
        <v>69</v>
      </c>
      <c r="X1215" t="s">
        <v>69</v>
      </c>
      <c r="Y1215" t="s">
        <v>22722</v>
      </c>
      <c r="Z1215" t="s">
        <v>22723</v>
      </c>
      <c r="AA1215" t="s">
        <v>3030</v>
      </c>
      <c r="AB1215" t="s">
        <v>22724</v>
      </c>
      <c r="AC1215" t="s">
        <v>69</v>
      </c>
      <c r="AD1215" t="s">
        <v>22725</v>
      </c>
      <c r="AE1215" t="s">
        <v>22726</v>
      </c>
      <c r="AF1215" t="s">
        <v>69</v>
      </c>
      <c r="AG1215" t="s">
        <v>69</v>
      </c>
      <c r="AH1215" t="s">
        <v>69</v>
      </c>
      <c r="AI1215" t="s">
        <v>69</v>
      </c>
      <c r="AJ1215" t="s">
        <v>69</v>
      </c>
      <c r="AK1215" t="s">
        <v>69</v>
      </c>
      <c r="AL1215">
        <v>67</v>
      </c>
      <c r="AM1215">
        <v>3</v>
      </c>
      <c r="AN1215">
        <v>3</v>
      </c>
      <c r="AO1215">
        <v>1</v>
      </c>
      <c r="AP1215">
        <v>14</v>
      </c>
      <c r="AQ1215" t="s">
        <v>9554</v>
      </c>
      <c r="AR1215" t="s">
        <v>9555</v>
      </c>
      <c r="AS1215" t="s">
        <v>9556</v>
      </c>
      <c r="AT1215" t="s">
        <v>3031</v>
      </c>
      <c r="AU1215" t="s">
        <v>3032</v>
      </c>
      <c r="AV1215" t="s">
        <v>69</v>
      </c>
      <c r="AW1215" t="s">
        <v>22727</v>
      </c>
      <c r="AX1215" t="s">
        <v>22728</v>
      </c>
      <c r="AY1215" t="s">
        <v>155</v>
      </c>
      <c r="AZ1215">
        <v>2015</v>
      </c>
      <c r="BA1215">
        <v>68</v>
      </c>
      <c r="BB1215">
        <v>2</v>
      </c>
      <c r="BC1215" t="s">
        <v>69</v>
      </c>
      <c r="BD1215" t="s">
        <v>69</v>
      </c>
      <c r="BE1215" t="s">
        <v>69</v>
      </c>
      <c r="BF1215" t="s">
        <v>69</v>
      </c>
      <c r="BG1215">
        <v>253</v>
      </c>
      <c r="BH1215">
        <v>265</v>
      </c>
      <c r="BI1215" t="s">
        <v>69</v>
      </c>
      <c r="BJ1215" t="s">
        <v>3033</v>
      </c>
      <c r="BK1215" t="str">
        <f>HYPERLINK("http://dx.doi.org/10.1177/1065912915578920","http://dx.doi.org/10.1177/1065912915578920")</f>
        <v>http://dx.doi.org/10.1177/1065912915578920</v>
      </c>
      <c r="BL1215" t="s">
        <v>69</v>
      </c>
      <c r="BM1215" t="s">
        <v>69</v>
      </c>
      <c r="BN1215">
        <v>13</v>
      </c>
      <c r="BO1215" t="s">
        <v>13241</v>
      </c>
      <c r="BP1215" t="s">
        <v>8661</v>
      </c>
      <c r="BQ1215" t="s">
        <v>10084</v>
      </c>
      <c r="BR1215" t="s">
        <v>22729</v>
      </c>
      <c r="BS1215" t="s">
        <v>3034</v>
      </c>
      <c r="BT1215" t="s">
        <v>69</v>
      </c>
      <c r="BU1215" t="s">
        <v>69</v>
      </c>
      <c r="BV1215" t="s">
        <v>69</v>
      </c>
      <c r="BW1215" t="s">
        <v>69</v>
      </c>
      <c r="BX1215" t="s">
        <v>8526</v>
      </c>
      <c r="BY1215" t="str">
        <f>HYPERLINK("https%3A%2F%2Fwww.webofscience.com%2Fwos%2Fwoscc%2Ffull-record%2FWOS:000354862500004","View Full Record in Web of Science")</f>
        <v>View Full Record in Web of Science</v>
      </c>
    </row>
    <row r="1216" spans="1:77" ht="12.5" x14ac:dyDescent="0.25">
      <c r="A1216" t="s">
        <v>8495</v>
      </c>
      <c r="B1216" s="22" t="s">
        <v>32931</v>
      </c>
      <c r="C1216" s="7"/>
      <c r="D1216" s="7"/>
      <c r="E1216" s="7"/>
      <c r="F1216" t="s">
        <v>67</v>
      </c>
      <c r="G1216" t="s">
        <v>22009</v>
      </c>
      <c r="H1216" t="s">
        <v>69</v>
      </c>
      <c r="I1216" t="s">
        <v>69</v>
      </c>
      <c r="J1216" t="s">
        <v>69</v>
      </c>
      <c r="K1216" t="s">
        <v>22010</v>
      </c>
      <c r="L1216" t="s">
        <v>69</v>
      </c>
      <c r="M1216" t="s">
        <v>69</v>
      </c>
      <c r="N1216" t="s">
        <v>22011</v>
      </c>
      <c r="O1216" t="s">
        <v>22012</v>
      </c>
      <c r="P1216" t="s">
        <v>69</v>
      </c>
      <c r="Q1216" t="s">
        <v>69</v>
      </c>
      <c r="R1216" t="s">
        <v>8505</v>
      </c>
      <c r="S1216" t="s">
        <v>8506</v>
      </c>
      <c r="T1216" t="s">
        <v>69</v>
      </c>
      <c r="U1216" t="s">
        <v>69</v>
      </c>
      <c r="V1216" t="s">
        <v>69</v>
      </c>
      <c r="W1216" t="s">
        <v>69</v>
      </c>
      <c r="X1216" t="s">
        <v>69</v>
      </c>
      <c r="Y1216" t="s">
        <v>22013</v>
      </c>
      <c r="Z1216" t="s">
        <v>22014</v>
      </c>
      <c r="AA1216" t="s">
        <v>22015</v>
      </c>
      <c r="AB1216" t="s">
        <v>22016</v>
      </c>
      <c r="AC1216" t="s">
        <v>69</v>
      </c>
      <c r="AD1216" t="s">
        <v>22017</v>
      </c>
      <c r="AE1216" t="s">
        <v>22018</v>
      </c>
      <c r="AF1216" t="s">
        <v>22019</v>
      </c>
      <c r="AG1216" t="s">
        <v>22020</v>
      </c>
      <c r="AH1216" t="s">
        <v>69</v>
      </c>
      <c r="AI1216" t="s">
        <v>69</v>
      </c>
      <c r="AJ1216" t="s">
        <v>69</v>
      </c>
      <c r="AK1216" t="s">
        <v>69</v>
      </c>
      <c r="AL1216">
        <v>25</v>
      </c>
      <c r="AM1216">
        <v>0</v>
      </c>
      <c r="AN1216">
        <v>0</v>
      </c>
      <c r="AO1216">
        <v>0</v>
      </c>
      <c r="AP1216">
        <v>5</v>
      </c>
      <c r="AQ1216" t="s">
        <v>8611</v>
      </c>
      <c r="AR1216" t="s">
        <v>8612</v>
      </c>
      <c r="AS1216" t="s">
        <v>8613</v>
      </c>
      <c r="AT1216" t="s">
        <v>22021</v>
      </c>
      <c r="AU1216" t="s">
        <v>22022</v>
      </c>
      <c r="AV1216" t="s">
        <v>69</v>
      </c>
      <c r="AW1216" t="s">
        <v>22023</v>
      </c>
      <c r="AX1216" t="s">
        <v>69</v>
      </c>
      <c r="AY1216" t="s">
        <v>69</v>
      </c>
      <c r="AZ1216">
        <v>2016</v>
      </c>
      <c r="BA1216">
        <v>58</v>
      </c>
      <c r="BB1216">
        <v>3</v>
      </c>
      <c r="BC1216" t="s">
        <v>69</v>
      </c>
      <c r="BD1216" t="s">
        <v>69</v>
      </c>
      <c r="BE1216" t="s">
        <v>69</v>
      </c>
      <c r="BF1216" t="s">
        <v>69</v>
      </c>
      <c r="BG1216">
        <v>94</v>
      </c>
      <c r="BH1216">
        <v>99</v>
      </c>
      <c r="BI1216" t="s">
        <v>69</v>
      </c>
      <c r="BJ1216" t="s">
        <v>22024</v>
      </c>
      <c r="BK1216" t="str">
        <f>HYPERLINK("http://dx.doi.org/10.1080/20786190.2016.1187865","http://dx.doi.org/10.1080/20786190.2016.1187865")</f>
        <v>http://dx.doi.org/10.1080/20786190.2016.1187865</v>
      </c>
      <c r="BL1216" t="s">
        <v>69</v>
      </c>
      <c r="BM1216" t="s">
        <v>69</v>
      </c>
      <c r="BN1216">
        <v>6</v>
      </c>
      <c r="BO1216" t="s">
        <v>9450</v>
      </c>
      <c r="BP1216" t="s">
        <v>8573</v>
      </c>
      <c r="BQ1216" t="s">
        <v>9451</v>
      </c>
      <c r="BR1216" t="s">
        <v>22025</v>
      </c>
      <c r="BS1216" t="s">
        <v>22026</v>
      </c>
      <c r="BT1216" t="s">
        <v>69</v>
      </c>
      <c r="BU1216" t="s">
        <v>8622</v>
      </c>
      <c r="BV1216" t="s">
        <v>69</v>
      </c>
      <c r="BW1216" t="s">
        <v>69</v>
      </c>
      <c r="BX1216" t="s">
        <v>8526</v>
      </c>
      <c r="BY1216" t="str">
        <f>HYPERLINK("https%3A%2F%2Fwww.webofscience.com%2Fwos%2Fwoscc%2Ffull-record%2FWOS:000380899100003","View Full Record in Web of Science")</f>
        <v>View Full Record in Web of Science</v>
      </c>
    </row>
    <row r="1217" spans="1:77" ht="12.5" x14ac:dyDescent="0.25">
      <c r="A1217" t="s">
        <v>8495</v>
      </c>
      <c r="B1217" s="22" t="s">
        <v>32931</v>
      </c>
      <c r="C1217" s="7"/>
      <c r="D1217" s="7"/>
      <c r="E1217" s="7"/>
      <c r="F1217" t="s">
        <v>67</v>
      </c>
      <c r="G1217" t="s">
        <v>25349</v>
      </c>
      <c r="H1217" t="s">
        <v>69</v>
      </c>
      <c r="I1217" t="s">
        <v>69</v>
      </c>
      <c r="J1217" t="s">
        <v>69</v>
      </c>
      <c r="K1217" t="s">
        <v>25350</v>
      </c>
      <c r="L1217" t="s">
        <v>69</v>
      </c>
      <c r="M1217" t="s">
        <v>69</v>
      </c>
      <c r="N1217" t="s">
        <v>25351</v>
      </c>
      <c r="O1217" t="s">
        <v>25352</v>
      </c>
      <c r="P1217" t="s">
        <v>69</v>
      </c>
      <c r="Q1217" t="s">
        <v>69</v>
      </c>
      <c r="R1217" t="s">
        <v>8505</v>
      </c>
      <c r="S1217" t="s">
        <v>8506</v>
      </c>
      <c r="T1217" t="s">
        <v>69</v>
      </c>
      <c r="U1217" t="s">
        <v>69</v>
      </c>
      <c r="V1217" t="s">
        <v>69</v>
      </c>
      <c r="W1217" t="s">
        <v>69</v>
      </c>
      <c r="X1217" t="s">
        <v>69</v>
      </c>
      <c r="Y1217" t="s">
        <v>25353</v>
      </c>
      <c r="Z1217" t="s">
        <v>25354</v>
      </c>
      <c r="AA1217" t="s">
        <v>25355</v>
      </c>
      <c r="AB1217" t="s">
        <v>25356</v>
      </c>
      <c r="AC1217" t="s">
        <v>69</v>
      </c>
      <c r="AD1217" t="s">
        <v>25357</v>
      </c>
      <c r="AE1217" t="s">
        <v>25358</v>
      </c>
      <c r="AF1217" t="s">
        <v>25359</v>
      </c>
      <c r="AG1217" t="s">
        <v>25360</v>
      </c>
      <c r="AH1217" t="s">
        <v>69</v>
      </c>
      <c r="AI1217" t="s">
        <v>69</v>
      </c>
      <c r="AJ1217" t="s">
        <v>69</v>
      </c>
      <c r="AK1217" t="s">
        <v>69</v>
      </c>
      <c r="AL1217">
        <v>17</v>
      </c>
      <c r="AM1217">
        <v>0</v>
      </c>
      <c r="AN1217">
        <v>0</v>
      </c>
      <c r="AO1217">
        <v>0</v>
      </c>
      <c r="AP1217">
        <v>0</v>
      </c>
      <c r="AQ1217" t="s">
        <v>25361</v>
      </c>
      <c r="AR1217" t="s">
        <v>25362</v>
      </c>
      <c r="AS1217" t="s">
        <v>25363</v>
      </c>
      <c r="AT1217" t="s">
        <v>25364</v>
      </c>
      <c r="AU1217" t="s">
        <v>69</v>
      </c>
      <c r="AV1217" t="s">
        <v>69</v>
      </c>
      <c r="AW1217" t="s">
        <v>25352</v>
      </c>
      <c r="AX1217" t="s">
        <v>25365</v>
      </c>
      <c r="AY1217" t="s">
        <v>69</v>
      </c>
      <c r="AZ1217">
        <v>2013</v>
      </c>
      <c r="BA1217" t="s">
        <v>69</v>
      </c>
      <c r="BB1217">
        <v>1</v>
      </c>
      <c r="BC1217" t="s">
        <v>69</v>
      </c>
      <c r="BD1217" t="s">
        <v>69</v>
      </c>
      <c r="BE1217" t="s">
        <v>69</v>
      </c>
      <c r="BF1217" t="s">
        <v>69</v>
      </c>
      <c r="BG1217" t="s">
        <v>69</v>
      </c>
      <c r="BH1217" t="s">
        <v>69</v>
      </c>
      <c r="BI1217">
        <v>1</v>
      </c>
      <c r="BJ1217" t="s">
        <v>25366</v>
      </c>
      <c r="BK1217" t="str">
        <f>HYPERLINK("http://dx.doi.org/10.5339/avi.2013.1","http://dx.doi.org/10.5339/avi.2013.1")</f>
        <v>http://dx.doi.org/10.5339/avi.2013.1</v>
      </c>
      <c r="BL1217" t="s">
        <v>69</v>
      </c>
      <c r="BM1217" t="s">
        <v>69</v>
      </c>
      <c r="BN1217">
        <v>5</v>
      </c>
      <c r="BO1217" t="s">
        <v>9208</v>
      </c>
      <c r="BP1217" t="s">
        <v>8573</v>
      </c>
      <c r="BQ1217" t="s">
        <v>9209</v>
      </c>
      <c r="BR1217" t="s">
        <v>25367</v>
      </c>
      <c r="BS1217" t="s">
        <v>25368</v>
      </c>
      <c r="BT1217" t="s">
        <v>69</v>
      </c>
      <c r="BU1217" t="s">
        <v>69</v>
      </c>
      <c r="BV1217" t="s">
        <v>69</v>
      </c>
      <c r="BW1217" t="s">
        <v>69</v>
      </c>
      <c r="BX1217" t="s">
        <v>8526</v>
      </c>
      <c r="BY1217" t="str">
        <f>HYPERLINK("https%3A%2F%2Fwww.webofscience.com%2Fwos%2Fwoscc%2Ffull-record%2FWOS:000218921800001","View Full Record in Web of Science")</f>
        <v>View Full Record in Web of Science</v>
      </c>
    </row>
    <row r="1218" spans="1:77" ht="12.5" x14ac:dyDescent="0.25">
      <c r="A1218" t="s">
        <v>8495</v>
      </c>
      <c r="B1218" s="22" t="s">
        <v>32931</v>
      </c>
      <c r="C1218" s="7"/>
      <c r="D1218" s="7"/>
      <c r="E1218" s="7"/>
      <c r="F1218" t="s">
        <v>67</v>
      </c>
      <c r="G1218" t="s">
        <v>31630</v>
      </c>
      <c r="H1218" t="s">
        <v>69</v>
      </c>
      <c r="I1218" t="s">
        <v>69</v>
      </c>
      <c r="J1218" t="s">
        <v>69</v>
      </c>
      <c r="K1218" t="s">
        <v>31630</v>
      </c>
      <c r="L1218" t="s">
        <v>69</v>
      </c>
      <c r="M1218" t="s">
        <v>69</v>
      </c>
      <c r="N1218" t="s">
        <v>31631</v>
      </c>
      <c r="O1218" t="s">
        <v>31632</v>
      </c>
      <c r="P1218" t="s">
        <v>69</v>
      </c>
      <c r="Q1218" t="s">
        <v>69</v>
      </c>
      <c r="R1218" t="s">
        <v>8505</v>
      </c>
      <c r="S1218" t="s">
        <v>15797</v>
      </c>
      <c r="T1218" t="s">
        <v>31633</v>
      </c>
      <c r="U1218" t="s">
        <v>31634</v>
      </c>
      <c r="V1218" t="s">
        <v>31635</v>
      </c>
      <c r="W1218" t="s">
        <v>31636</v>
      </c>
      <c r="X1218" t="s">
        <v>69</v>
      </c>
      <c r="Y1218" t="s">
        <v>31637</v>
      </c>
      <c r="Z1218" t="s">
        <v>31638</v>
      </c>
      <c r="AA1218" t="s">
        <v>31639</v>
      </c>
      <c r="AB1218" t="s">
        <v>31640</v>
      </c>
      <c r="AC1218" t="s">
        <v>69</v>
      </c>
      <c r="AD1218" t="s">
        <v>31641</v>
      </c>
      <c r="AE1218" t="s">
        <v>69</v>
      </c>
      <c r="AF1218" t="s">
        <v>69</v>
      </c>
      <c r="AG1218" t="s">
        <v>69</v>
      </c>
      <c r="AH1218" t="s">
        <v>69</v>
      </c>
      <c r="AI1218" t="s">
        <v>69</v>
      </c>
      <c r="AJ1218" t="s">
        <v>69</v>
      </c>
      <c r="AK1218" t="s">
        <v>69</v>
      </c>
      <c r="AL1218">
        <v>8</v>
      </c>
      <c r="AM1218">
        <v>19</v>
      </c>
      <c r="AN1218">
        <v>19</v>
      </c>
      <c r="AO1218">
        <v>0</v>
      </c>
      <c r="AP1218">
        <v>0</v>
      </c>
      <c r="AQ1218" t="s">
        <v>31642</v>
      </c>
      <c r="AR1218" t="s">
        <v>10924</v>
      </c>
      <c r="AS1218" t="s">
        <v>31643</v>
      </c>
      <c r="AT1218" t="s">
        <v>31644</v>
      </c>
      <c r="AU1218" t="s">
        <v>69</v>
      </c>
      <c r="AV1218" t="s">
        <v>69</v>
      </c>
      <c r="AW1218" t="s">
        <v>31645</v>
      </c>
      <c r="AX1218" t="s">
        <v>31646</v>
      </c>
      <c r="AY1218" t="s">
        <v>191</v>
      </c>
      <c r="AZ1218">
        <v>2001</v>
      </c>
      <c r="BA1218">
        <v>36</v>
      </c>
      <c r="BB1218">
        <v>2</v>
      </c>
      <c r="BC1218" t="s">
        <v>69</v>
      </c>
      <c r="BD1218" t="s">
        <v>69</v>
      </c>
      <c r="BE1218" t="s">
        <v>69</v>
      </c>
      <c r="BF1218" t="s">
        <v>69</v>
      </c>
      <c r="BG1218">
        <v>312</v>
      </c>
      <c r="BH1218">
        <v>315</v>
      </c>
      <c r="BI1218" t="s">
        <v>69</v>
      </c>
      <c r="BJ1218" t="s">
        <v>31647</v>
      </c>
      <c r="BK1218" t="str">
        <f>HYPERLINK("http://dx.doi.org/10.1053/jpsu.2001.20704","http://dx.doi.org/10.1053/jpsu.2001.20704")</f>
        <v>http://dx.doi.org/10.1053/jpsu.2001.20704</v>
      </c>
      <c r="BL1218" t="s">
        <v>69</v>
      </c>
      <c r="BM1218" t="s">
        <v>69</v>
      </c>
      <c r="BN1218">
        <v>4</v>
      </c>
      <c r="BO1218" t="s">
        <v>31648</v>
      </c>
      <c r="BP1218" t="s">
        <v>29550</v>
      </c>
      <c r="BQ1218" t="s">
        <v>31648</v>
      </c>
      <c r="BR1218" t="s">
        <v>31649</v>
      </c>
      <c r="BS1218" t="s">
        <v>31650</v>
      </c>
      <c r="BT1218">
        <v>11172423</v>
      </c>
      <c r="BU1218" t="s">
        <v>69</v>
      </c>
      <c r="BV1218" t="s">
        <v>69</v>
      </c>
      <c r="BW1218" t="s">
        <v>69</v>
      </c>
      <c r="BX1218" t="s">
        <v>8526</v>
      </c>
      <c r="BY1218" t="str">
        <f>HYPERLINK("https%3A%2F%2Fwww.webofscience.com%2Fwos%2Fwoscc%2Ffull-record%2FWOS:000166697800024","View Full Record in Web of Science")</f>
        <v>View Full Record in Web of Science</v>
      </c>
    </row>
    <row r="1219" spans="1:77" ht="12.5" x14ac:dyDescent="0.25">
      <c r="A1219" t="s">
        <v>8495</v>
      </c>
      <c r="B1219" s="22" t="s">
        <v>32931</v>
      </c>
      <c r="C1219" s="7"/>
      <c r="D1219" s="7"/>
      <c r="E1219" s="7"/>
      <c r="F1219" t="s">
        <v>67</v>
      </c>
      <c r="G1219" t="s">
        <v>22270</v>
      </c>
      <c r="H1219" t="s">
        <v>69</v>
      </c>
      <c r="I1219" t="s">
        <v>69</v>
      </c>
      <c r="J1219" t="s">
        <v>69</v>
      </c>
      <c r="K1219" t="s">
        <v>22271</v>
      </c>
      <c r="L1219" t="s">
        <v>69</v>
      </c>
      <c r="M1219" t="s">
        <v>69</v>
      </c>
      <c r="N1219" t="s">
        <v>22272</v>
      </c>
      <c r="O1219" t="s">
        <v>22273</v>
      </c>
      <c r="P1219" t="s">
        <v>69</v>
      </c>
      <c r="Q1219" t="s">
        <v>69</v>
      </c>
      <c r="R1219" t="s">
        <v>8505</v>
      </c>
      <c r="S1219" t="s">
        <v>8506</v>
      </c>
      <c r="T1219" t="s">
        <v>69</v>
      </c>
      <c r="U1219" t="s">
        <v>69</v>
      </c>
      <c r="V1219" t="s">
        <v>69</v>
      </c>
      <c r="W1219" t="s">
        <v>69</v>
      </c>
      <c r="X1219" t="s">
        <v>69</v>
      </c>
      <c r="Y1219" t="s">
        <v>22274</v>
      </c>
      <c r="Z1219" t="s">
        <v>22275</v>
      </c>
      <c r="AA1219" t="s">
        <v>22276</v>
      </c>
      <c r="AB1219" t="s">
        <v>22277</v>
      </c>
      <c r="AC1219" t="s">
        <v>69</v>
      </c>
      <c r="AD1219" t="s">
        <v>22278</v>
      </c>
      <c r="AE1219" t="s">
        <v>22279</v>
      </c>
      <c r="AF1219" t="s">
        <v>22280</v>
      </c>
      <c r="AG1219" t="s">
        <v>22281</v>
      </c>
      <c r="AH1219" t="s">
        <v>69</v>
      </c>
      <c r="AI1219" t="s">
        <v>69</v>
      </c>
      <c r="AJ1219" t="s">
        <v>69</v>
      </c>
      <c r="AK1219" t="s">
        <v>69</v>
      </c>
      <c r="AL1219">
        <v>60</v>
      </c>
      <c r="AM1219">
        <v>6</v>
      </c>
      <c r="AN1219">
        <v>6</v>
      </c>
      <c r="AO1219">
        <v>1</v>
      </c>
      <c r="AP1219">
        <v>17</v>
      </c>
      <c r="AQ1219" t="s">
        <v>22282</v>
      </c>
      <c r="AR1219" t="s">
        <v>22283</v>
      </c>
      <c r="AS1219" t="s">
        <v>22284</v>
      </c>
      <c r="AT1219" t="s">
        <v>22285</v>
      </c>
      <c r="AU1219" t="s">
        <v>22286</v>
      </c>
      <c r="AV1219" t="s">
        <v>69</v>
      </c>
      <c r="AW1219" t="s">
        <v>22287</v>
      </c>
      <c r="AX1219" t="s">
        <v>22288</v>
      </c>
      <c r="AY1219" t="s">
        <v>69</v>
      </c>
      <c r="AZ1219">
        <v>2016</v>
      </c>
      <c r="BA1219">
        <v>24</v>
      </c>
      <c r="BB1219">
        <v>1</v>
      </c>
      <c r="BC1219" t="s">
        <v>69</v>
      </c>
      <c r="BD1219" t="s">
        <v>69</v>
      </c>
      <c r="BE1219" t="s">
        <v>69</v>
      </c>
      <c r="BF1219" t="s">
        <v>69</v>
      </c>
      <c r="BG1219">
        <v>31</v>
      </c>
      <c r="BH1219">
        <v>51</v>
      </c>
      <c r="BI1219" t="s">
        <v>69</v>
      </c>
      <c r="BJ1219" t="s">
        <v>22289</v>
      </c>
      <c r="BK1219" t="str">
        <f>HYPERLINK("http://dx.doi.org/10.1080/09669582.2015.1042484","http://dx.doi.org/10.1080/09669582.2015.1042484")</f>
        <v>http://dx.doi.org/10.1080/09669582.2015.1042484</v>
      </c>
      <c r="BL1219" t="s">
        <v>69</v>
      </c>
      <c r="BM1219" t="s">
        <v>69</v>
      </c>
      <c r="BN1219">
        <v>21</v>
      </c>
      <c r="BO1219" t="s">
        <v>22290</v>
      </c>
      <c r="BP1219" t="s">
        <v>8661</v>
      </c>
      <c r="BQ1219" t="s">
        <v>22291</v>
      </c>
      <c r="BR1219" t="s">
        <v>22292</v>
      </c>
      <c r="BS1219" t="s">
        <v>22293</v>
      </c>
      <c r="BT1219" t="s">
        <v>69</v>
      </c>
      <c r="BU1219" t="s">
        <v>9292</v>
      </c>
      <c r="BV1219" t="s">
        <v>69</v>
      </c>
      <c r="BW1219" t="s">
        <v>69</v>
      </c>
      <c r="BX1219" t="s">
        <v>8526</v>
      </c>
      <c r="BY1219" t="str">
        <f>HYPERLINK("https%3A%2F%2Fwww.webofscience.com%2Fwos%2Fwoscc%2Ffull-record%2FWOS:000365762200003","View Full Record in Web of Science")</f>
        <v>View Full Record in Web of Science</v>
      </c>
    </row>
    <row r="1220" spans="1:77" ht="12.5" x14ac:dyDescent="0.25">
      <c r="A1220" t="s">
        <v>8495</v>
      </c>
      <c r="B1220" s="22" t="s">
        <v>32931</v>
      </c>
      <c r="C1220" s="7"/>
      <c r="D1220" s="7"/>
      <c r="E1220" s="7"/>
      <c r="F1220" t="s">
        <v>67</v>
      </c>
      <c r="G1220" t="s">
        <v>14445</v>
      </c>
      <c r="H1220" t="s">
        <v>69</v>
      </c>
      <c r="I1220" t="s">
        <v>69</v>
      </c>
      <c r="J1220" t="s">
        <v>69</v>
      </c>
      <c r="K1220" t="s">
        <v>14446</v>
      </c>
      <c r="L1220" t="s">
        <v>69</v>
      </c>
      <c r="M1220" t="s">
        <v>69</v>
      </c>
      <c r="N1220" t="s">
        <v>14447</v>
      </c>
      <c r="O1220" t="s">
        <v>14448</v>
      </c>
      <c r="P1220" t="s">
        <v>69</v>
      </c>
      <c r="Q1220" t="s">
        <v>69</v>
      </c>
      <c r="R1220" t="s">
        <v>8505</v>
      </c>
      <c r="S1220" t="s">
        <v>8506</v>
      </c>
      <c r="T1220" t="s">
        <v>69</v>
      </c>
      <c r="U1220" t="s">
        <v>69</v>
      </c>
      <c r="V1220" t="s">
        <v>69</v>
      </c>
      <c r="W1220" t="s">
        <v>69</v>
      </c>
      <c r="X1220" t="s">
        <v>69</v>
      </c>
      <c r="Y1220" t="s">
        <v>14449</v>
      </c>
      <c r="Z1220" t="s">
        <v>14450</v>
      </c>
      <c r="AA1220" t="s">
        <v>14451</v>
      </c>
      <c r="AB1220" t="s">
        <v>14452</v>
      </c>
      <c r="AC1220" t="s">
        <v>69</v>
      </c>
      <c r="AD1220" t="s">
        <v>14453</v>
      </c>
      <c r="AE1220" t="s">
        <v>14454</v>
      </c>
      <c r="AF1220" t="s">
        <v>14455</v>
      </c>
      <c r="AG1220" t="s">
        <v>14456</v>
      </c>
      <c r="AH1220" t="s">
        <v>69</v>
      </c>
      <c r="AI1220" t="s">
        <v>69</v>
      </c>
      <c r="AJ1220" t="s">
        <v>69</v>
      </c>
      <c r="AK1220" t="s">
        <v>69</v>
      </c>
      <c r="AL1220">
        <v>13</v>
      </c>
      <c r="AM1220">
        <v>0</v>
      </c>
      <c r="AN1220">
        <v>0</v>
      </c>
      <c r="AO1220">
        <v>2</v>
      </c>
      <c r="AP1220">
        <v>2</v>
      </c>
      <c r="AQ1220" t="s">
        <v>14457</v>
      </c>
      <c r="AR1220" t="s">
        <v>14458</v>
      </c>
      <c r="AS1220" t="s">
        <v>14459</v>
      </c>
      <c r="AT1220" t="s">
        <v>69</v>
      </c>
      <c r="AU1220" t="s">
        <v>14460</v>
      </c>
      <c r="AV1220" t="s">
        <v>69</v>
      </c>
      <c r="AW1220" t="s">
        <v>14461</v>
      </c>
      <c r="AX1220" t="s">
        <v>14462</v>
      </c>
      <c r="AY1220" t="s">
        <v>255</v>
      </c>
      <c r="AZ1220">
        <v>2020</v>
      </c>
      <c r="BA1220">
        <v>11</v>
      </c>
      <c r="BB1220">
        <v>5</v>
      </c>
      <c r="BC1220" t="s">
        <v>69</v>
      </c>
      <c r="BD1220" t="s">
        <v>69</v>
      </c>
      <c r="BE1220" t="s">
        <v>69</v>
      </c>
      <c r="BF1220" t="s">
        <v>69</v>
      </c>
      <c r="BG1220">
        <v>453</v>
      </c>
      <c r="BH1220">
        <v>456</v>
      </c>
      <c r="BI1220" t="s">
        <v>69</v>
      </c>
      <c r="BJ1220" t="s">
        <v>14463</v>
      </c>
      <c r="BK1220" t="str">
        <f>HYPERLINK("http://dx.doi.org/10.4328/ACAM.20249","http://dx.doi.org/10.4328/ACAM.20249")</f>
        <v>http://dx.doi.org/10.4328/ACAM.20249</v>
      </c>
      <c r="BL1220" t="s">
        <v>69</v>
      </c>
      <c r="BM1220" t="s">
        <v>69</v>
      </c>
      <c r="BN1220">
        <v>4</v>
      </c>
      <c r="BO1220" t="s">
        <v>9450</v>
      </c>
      <c r="BP1220" t="s">
        <v>8573</v>
      </c>
      <c r="BQ1220" t="s">
        <v>9451</v>
      </c>
      <c r="BR1220" t="s">
        <v>14464</v>
      </c>
      <c r="BS1220" t="s">
        <v>14465</v>
      </c>
      <c r="BT1220" t="s">
        <v>69</v>
      </c>
      <c r="BU1220" t="s">
        <v>11853</v>
      </c>
      <c r="BV1220" t="s">
        <v>69</v>
      </c>
      <c r="BW1220" t="s">
        <v>69</v>
      </c>
      <c r="BX1220" t="s">
        <v>8526</v>
      </c>
      <c r="BY1220" t="str">
        <f>HYPERLINK("https%3A%2F%2Fwww.webofscience.com%2Fwos%2Fwoscc%2Ffull-record%2FWOS:000572684300019","View Full Record in Web of Science")</f>
        <v>View Full Record in Web of Science</v>
      </c>
    </row>
    <row r="1221" spans="1:77" ht="12.5" x14ac:dyDescent="0.25">
      <c r="A1221" t="s">
        <v>8495</v>
      </c>
      <c r="B1221" s="22" t="s">
        <v>32931</v>
      </c>
      <c r="C1221" s="7"/>
      <c r="D1221" s="7"/>
      <c r="E1221" s="7"/>
      <c r="F1221" t="s">
        <v>67</v>
      </c>
      <c r="G1221" t="s">
        <v>22730</v>
      </c>
      <c r="H1221" t="s">
        <v>69</v>
      </c>
      <c r="I1221" t="s">
        <v>69</v>
      </c>
      <c r="J1221" t="s">
        <v>69</v>
      </c>
      <c r="K1221" t="s">
        <v>22731</v>
      </c>
      <c r="L1221" t="s">
        <v>69</v>
      </c>
      <c r="M1221" t="s">
        <v>69</v>
      </c>
      <c r="N1221" t="s">
        <v>22732</v>
      </c>
      <c r="O1221" t="s">
        <v>20342</v>
      </c>
      <c r="P1221" t="s">
        <v>69</v>
      </c>
      <c r="Q1221" t="s">
        <v>69</v>
      </c>
      <c r="R1221" t="s">
        <v>8505</v>
      </c>
      <c r="S1221" t="s">
        <v>8506</v>
      </c>
      <c r="T1221" t="s">
        <v>69</v>
      </c>
      <c r="U1221" t="s">
        <v>69</v>
      </c>
      <c r="V1221" t="s">
        <v>69</v>
      </c>
      <c r="W1221" t="s">
        <v>69</v>
      </c>
      <c r="X1221" t="s">
        <v>69</v>
      </c>
      <c r="Y1221" t="s">
        <v>69</v>
      </c>
      <c r="Z1221" t="s">
        <v>69</v>
      </c>
      <c r="AA1221" t="s">
        <v>22733</v>
      </c>
      <c r="AB1221" t="s">
        <v>22734</v>
      </c>
      <c r="AC1221" t="s">
        <v>69</v>
      </c>
      <c r="AD1221" t="s">
        <v>22735</v>
      </c>
      <c r="AE1221" t="s">
        <v>22736</v>
      </c>
      <c r="AF1221" t="s">
        <v>69</v>
      </c>
      <c r="AG1221" t="s">
        <v>69</v>
      </c>
      <c r="AH1221" t="s">
        <v>69</v>
      </c>
      <c r="AI1221" t="s">
        <v>69</v>
      </c>
      <c r="AJ1221" t="s">
        <v>69</v>
      </c>
      <c r="AK1221" t="s">
        <v>69</v>
      </c>
      <c r="AL1221">
        <v>7</v>
      </c>
      <c r="AM1221">
        <v>6</v>
      </c>
      <c r="AN1221">
        <v>6</v>
      </c>
      <c r="AO1221">
        <v>0</v>
      </c>
      <c r="AP1221">
        <v>2</v>
      </c>
      <c r="AQ1221" t="s">
        <v>8846</v>
      </c>
      <c r="AR1221" t="s">
        <v>8847</v>
      </c>
      <c r="AS1221" t="s">
        <v>8848</v>
      </c>
      <c r="AT1221" t="s">
        <v>20349</v>
      </c>
      <c r="AU1221" t="s">
        <v>20350</v>
      </c>
      <c r="AV1221" t="s">
        <v>69</v>
      </c>
      <c r="AW1221" t="s">
        <v>20351</v>
      </c>
      <c r="AX1221" t="s">
        <v>20352</v>
      </c>
      <c r="AY1221" t="s">
        <v>155</v>
      </c>
      <c r="AZ1221">
        <v>2015</v>
      </c>
      <c r="BA1221">
        <v>12</v>
      </c>
      <c r="BB1221">
        <v>3</v>
      </c>
      <c r="BC1221" t="s">
        <v>69</v>
      </c>
      <c r="BD1221" t="s">
        <v>69</v>
      </c>
      <c r="BE1221" t="s">
        <v>69</v>
      </c>
      <c r="BF1221" t="s">
        <v>69</v>
      </c>
      <c r="BG1221">
        <v>193</v>
      </c>
      <c r="BH1221">
        <v>196</v>
      </c>
      <c r="BI1221" t="s">
        <v>69</v>
      </c>
      <c r="BJ1221" t="s">
        <v>22737</v>
      </c>
      <c r="BK1221" t="str">
        <f>HYPERLINK("http://dx.doi.org/10.1111/tct.12292","http://dx.doi.org/10.1111/tct.12292")</f>
        <v>http://dx.doi.org/10.1111/tct.12292</v>
      </c>
      <c r="BL1221" t="s">
        <v>69</v>
      </c>
      <c r="BM1221" t="s">
        <v>69</v>
      </c>
      <c r="BN1221">
        <v>4</v>
      </c>
      <c r="BO1221" t="s">
        <v>20354</v>
      </c>
      <c r="BP1221" t="s">
        <v>8573</v>
      </c>
      <c r="BQ1221" t="s">
        <v>20355</v>
      </c>
      <c r="BR1221" t="s">
        <v>22738</v>
      </c>
      <c r="BS1221" t="s">
        <v>22739</v>
      </c>
      <c r="BT1221">
        <v>26009955</v>
      </c>
      <c r="BU1221" t="s">
        <v>69</v>
      </c>
      <c r="BV1221" t="s">
        <v>69</v>
      </c>
      <c r="BW1221" t="s">
        <v>69</v>
      </c>
      <c r="BX1221" t="s">
        <v>8526</v>
      </c>
      <c r="BY1221" t="str">
        <f>HYPERLINK("https%3A%2F%2Fwww.webofscience.com%2Fwos%2Fwoscc%2Ffull-record%2FWOS:000213000800010","View Full Record in Web of Science")</f>
        <v>View Full Record in Web of Science</v>
      </c>
    </row>
    <row r="1222" spans="1:77" ht="12.5" x14ac:dyDescent="0.25">
      <c r="A1222" t="s">
        <v>8495</v>
      </c>
      <c r="B1222" s="22" t="s">
        <v>32931</v>
      </c>
      <c r="C1222" s="7"/>
      <c r="D1222" s="7"/>
      <c r="E1222" s="7"/>
      <c r="F1222" t="s">
        <v>67</v>
      </c>
      <c r="G1222" t="s">
        <v>9991</v>
      </c>
      <c r="H1222" t="s">
        <v>69</v>
      </c>
      <c r="I1222" t="s">
        <v>69</v>
      </c>
      <c r="J1222" t="s">
        <v>69</v>
      </c>
      <c r="K1222" t="s">
        <v>9992</v>
      </c>
      <c r="L1222" t="s">
        <v>69</v>
      </c>
      <c r="M1222" t="s">
        <v>69</v>
      </c>
      <c r="N1222" t="s">
        <v>9993</v>
      </c>
      <c r="O1222" t="s">
        <v>9994</v>
      </c>
      <c r="P1222" t="s">
        <v>69</v>
      </c>
      <c r="Q1222" t="s">
        <v>69</v>
      </c>
      <c r="R1222" t="s">
        <v>8505</v>
      </c>
      <c r="S1222" t="s">
        <v>8506</v>
      </c>
      <c r="T1222" t="s">
        <v>69</v>
      </c>
      <c r="U1222" t="s">
        <v>69</v>
      </c>
      <c r="V1222" t="s">
        <v>69</v>
      </c>
      <c r="W1222" t="s">
        <v>69</v>
      </c>
      <c r="X1222" t="s">
        <v>69</v>
      </c>
      <c r="Y1222" t="s">
        <v>9995</v>
      </c>
      <c r="Z1222" t="s">
        <v>9996</v>
      </c>
      <c r="AA1222" t="s">
        <v>9997</v>
      </c>
      <c r="AB1222" t="s">
        <v>9998</v>
      </c>
      <c r="AC1222" t="s">
        <v>69</v>
      </c>
      <c r="AD1222" t="s">
        <v>9999</v>
      </c>
      <c r="AE1222" t="s">
        <v>10000</v>
      </c>
      <c r="AF1222" t="s">
        <v>69</v>
      </c>
      <c r="AG1222" t="s">
        <v>10001</v>
      </c>
      <c r="AH1222" t="s">
        <v>69</v>
      </c>
      <c r="AI1222" t="s">
        <v>69</v>
      </c>
      <c r="AJ1222" t="s">
        <v>69</v>
      </c>
      <c r="AK1222" t="s">
        <v>69</v>
      </c>
      <c r="AL1222">
        <v>58</v>
      </c>
      <c r="AM1222">
        <v>0</v>
      </c>
      <c r="AN1222">
        <v>0</v>
      </c>
      <c r="AO1222">
        <v>0</v>
      </c>
      <c r="AP1222">
        <v>0</v>
      </c>
      <c r="AQ1222" t="s">
        <v>8846</v>
      </c>
      <c r="AR1222" t="s">
        <v>8847</v>
      </c>
      <c r="AS1222" t="s">
        <v>8848</v>
      </c>
      <c r="AT1222" t="s">
        <v>10002</v>
      </c>
      <c r="AU1222" t="s">
        <v>10003</v>
      </c>
      <c r="AV1222" t="s">
        <v>69</v>
      </c>
      <c r="AW1222" t="s">
        <v>10004</v>
      </c>
      <c r="AX1222" t="s">
        <v>10005</v>
      </c>
      <c r="AY1222" t="s">
        <v>246</v>
      </c>
      <c r="AZ1222">
        <v>2022</v>
      </c>
      <c r="BA1222">
        <v>63</v>
      </c>
      <c r="BB1222">
        <v>2</v>
      </c>
      <c r="BC1222" t="s">
        <v>69</v>
      </c>
      <c r="BD1222" t="s">
        <v>69</v>
      </c>
      <c r="BE1222" t="s">
        <v>69</v>
      </c>
      <c r="BF1222" t="s">
        <v>69</v>
      </c>
      <c r="BG1222">
        <v>109</v>
      </c>
      <c r="BH1222">
        <v>123</v>
      </c>
      <c r="BI1222" t="s">
        <v>69</v>
      </c>
      <c r="BJ1222" t="s">
        <v>10006</v>
      </c>
      <c r="BK1222" t="str">
        <f>HYPERLINK("http://dx.doi.org/10.1111/sjop.12793","http://dx.doi.org/10.1111/sjop.12793")</f>
        <v>http://dx.doi.org/10.1111/sjop.12793</v>
      </c>
      <c r="BL1222" t="s">
        <v>69</v>
      </c>
      <c r="BM1222" t="s">
        <v>9987</v>
      </c>
      <c r="BN1222">
        <v>15</v>
      </c>
      <c r="BO1222" t="s">
        <v>9000</v>
      </c>
      <c r="BP1222" t="s">
        <v>8661</v>
      </c>
      <c r="BQ1222" t="s">
        <v>9001</v>
      </c>
      <c r="BR1222" t="s">
        <v>10007</v>
      </c>
      <c r="BS1222" t="s">
        <v>10008</v>
      </c>
      <c r="BT1222">
        <v>35041212</v>
      </c>
      <c r="BU1222" t="s">
        <v>69</v>
      </c>
      <c r="BV1222" t="s">
        <v>69</v>
      </c>
      <c r="BW1222" t="s">
        <v>69</v>
      </c>
      <c r="BX1222" t="s">
        <v>8526</v>
      </c>
      <c r="BY1222" t="str">
        <f>HYPERLINK("https%3A%2F%2Fwww.webofscience.com%2Fwos%2Fwoscc%2Ffull-record%2FWOS:000743651100001","View Full Record in Web of Science")</f>
        <v>View Full Record in Web of Science</v>
      </c>
    </row>
    <row r="1223" spans="1:77" ht="12.5" x14ac:dyDescent="0.25">
      <c r="A1223" t="s">
        <v>8495</v>
      </c>
      <c r="B1223" s="22" t="s">
        <v>32931</v>
      </c>
      <c r="C1223" s="7"/>
      <c r="D1223" s="7"/>
      <c r="E1223" s="7"/>
      <c r="F1223" t="s">
        <v>67</v>
      </c>
      <c r="G1223" t="s">
        <v>26466</v>
      </c>
      <c r="H1223" t="s">
        <v>69</v>
      </c>
      <c r="I1223" t="s">
        <v>69</v>
      </c>
      <c r="J1223" t="s">
        <v>69</v>
      </c>
      <c r="K1223" t="s">
        <v>26467</v>
      </c>
      <c r="L1223" t="s">
        <v>69</v>
      </c>
      <c r="M1223" t="s">
        <v>69</v>
      </c>
      <c r="N1223" t="s">
        <v>26468</v>
      </c>
      <c r="O1223" t="s">
        <v>26469</v>
      </c>
      <c r="P1223" t="s">
        <v>69</v>
      </c>
      <c r="Q1223" t="s">
        <v>69</v>
      </c>
      <c r="R1223" t="s">
        <v>8505</v>
      </c>
      <c r="S1223" t="s">
        <v>8506</v>
      </c>
      <c r="T1223" t="s">
        <v>69</v>
      </c>
      <c r="U1223" t="s">
        <v>69</v>
      </c>
      <c r="V1223" t="s">
        <v>69</v>
      </c>
      <c r="W1223" t="s">
        <v>69</v>
      </c>
      <c r="X1223" t="s">
        <v>69</v>
      </c>
      <c r="Y1223" t="s">
        <v>26470</v>
      </c>
      <c r="Z1223" t="s">
        <v>69</v>
      </c>
      <c r="AA1223" t="s">
        <v>26471</v>
      </c>
      <c r="AB1223" t="s">
        <v>26472</v>
      </c>
      <c r="AC1223" t="s">
        <v>69</v>
      </c>
      <c r="AD1223" t="s">
        <v>26473</v>
      </c>
      <c r="AE1223" t="s">
        <v>26474</v>
      </c>
      <c r="AF1223" t="s">
        <v>26475</v>
      </c>
      <c r="AG1223" t="s">
        <v>26476</v>
      </c>
      <c r="AH1223" t="s">
        <v>26477</v>
      </c>
      <c r="AI1223" t="s">
        <v>26478</v>
      </c>
      <c r="AJ1223" t="s">
        <v>26479</v>
      </c>
      <c r="AK1223" t="s">
        <v>69</v>
      </c>
      <c r="AL1223">
        <v>35</v>
      </c>
      <c r="AM1223">
        <v>4</v>
      </c>
      <c r="AN1223">
        <v>4</v>
      </c>
      <c r="AO1223">
        <v>0</v>
      </c>
      <c r="AP1223">
        <v>3</v>
      </c>
      <c r="AQ1223" t="s">
        <v>8586</v>
      </c>
      <c r="AR1223" t="s">
        <v>8587</v>
      </c>
      <c r="AS1223" t="s">
        <v>8588</v>
      </c>
      <c r="AT1223" t="s">
        <v>26480</v>
      </c>
      <c r="AU1223" t="s">
        <v>26481</v>
      </c>
      <c r="AV1223" t="s">
        <v>69</v>
      </c>
      <c r="AW1223" t="s">
        <v>26482</v>
      </c>
      <c r="AX1223" t="s">
        <v>26483</v>
      </c>
      <c r="AY1223" t="s">
        <v>69</v>
      </c>
      <c r="AZ1223">
        <v>2012</v>
      </c>
      <c r="BA1223">
        <v>25</v>
      </c>
      <c r="BB1223">
        <v>2</v>
      </c>
      <c r="BC1223" t="s">
        <v>69</v>
      </c>
      <c r="BD1223" t="s">
        <v>69</v>
      </c>
      <c r="BE1223" t="s">
        <v>69</v>
      </c>
      <c r="BF1223" t="s">
        <v>69</v>
      </c>
      <c r="BG1223">
        <v>91</v>
      </c>
      <c r="BH1223" t="s">
        <v>219</v>
      </c>
      <c r="BI1223" t="s">
        <v>69</v>
      </c>
      <c r="BJ1223" t="s">
        <v>26484</v>
      </c>
      <c r="BK1223" t="str">
        <f>HYPERLINK("http://dx.doi.org/10.1108/09526861211198263","http://dx.doi.org/10.1108/09526861211198263")</f>
        <v>http://dx.doi.org/10.1108/09526861211198263</v>
      </c>
      <c r="BL1223" t="s">
        <v>69</v>
      </c>
      <c r="BM1223" t="s">
        <v>69</v>
      </c>
      <c r="BN1223">
        <v>16</v>
      </c>
      <c r="BO1223" t="s">
        <v>9208</v>
      </c>
      <c r="BP1223" t="s">
        <v>8573</v>
      </c>
      <c r="BQ1223" t="s">
        <v>9209</v>
      </c>
      <c r="BR1223" t="s">
        <v>26485</v>
      </c>
      <c r="BS1223" t="s">
        <v>26486</v>
      </c>
      <c r="BT1223">
        <v>22455175</v>
      </c>
      <c r="BU1223" t="s">
        <v>69</v>
      </c>
      <c r="BV1223" t="s">
        <v>69</v>
      </c>
      <c r="BW1223" t="s">
        <v>69</v>
      </c>
      <c r="BX1223" t="s">
        <v>8526</v>
      </c>
      <c r="BY1223" t="str">
        <f>HYPERLINK("https%3A%2F%2Fwww.webofscience.com%2Fwos%2Fwoscc%2Ffull-record%2FWOS:000212557600018","View Full Record in Web of Science")</f>
        <v>View Full Record in Web of Science</v>
      </c>
    </row>
    <row r="1224" spans="1:77" ht="12.5" x14ac:dyDescent="0.25">
      <c r="A1224" t="s">
        <v>8495</v>
      </c>
      <c r="B1224" s="22" t="s">
        <v>32931</v>
      </c>
      <c r="C1224" s="7"/>
      <c r="D1224" s="7"/>
      <c r="E1224" s="7"/>
      <c r="F1224" t="s">
        <v>67</v>
      </c>
      <c r="G1224" t="s">
        <v>19886</v>
      </c>
      <c r="H1224" t="s">
        <v>69</v>
      </c>
      <c r="I1224" t="s">
        <v>69</v>
      </c>
      <c r="J1224" t="s">
        <v>69</v>
      </c>
      <c r="K1224" t="s">
        <v>19887</v>
      </c>
      <c r="L1224" t="s">
        <v>69</v>
      </c>
      <c r="M1224" t="s">
        <v>69</v>
      </c>
      <c r="N1224" t="s">
        <v>19888</v>
      </c>
      <c r="O1224" t="s">
        <v>859</v>
      </c>
      <c r="P1224" t="s">
        <v>69</v>
      </c>
      <c r="Q1224" t="s">
        <v>69</v>
      </c>
      <c r="R1224" t="s">
        <v>8505</v>
      </c>
      <c r="S1224" t="s">
        <v>8506</v>
      </c>
      <c r="T1224" t="s">
        <v>69</v>
      </c>
      <c r="U1224" t="s">
        <v>69</v>
      </c>
      <c r="V1224" t="s">
        <v>69</v>
      </c>
      <c r="W1224" t="s">
        <v>69</v>
      </c>
      <c r="X1224" t="s">
        <v>69</v>
      </c>
      <c r="Y1224" t="s">
        <v>69</v>
      </c>
      <c r="Z1224" t="s">
        <v>19889</v>
      </c>
      <c r="AA1224" t="s">
        <v>19890</v>
      </c>
      <c r="AB1224" t="s">
        <v>19891</v>
      </c>
      <c r="AC1224" t="s">
        <v>69</v>
      </c>
      <c r="AD1224" t="s">
        <v>19892</v>
      </c>
      <c r="AE1224" t="s">
        <v>19893</v>
      </c>
      <c r="AF1224" t="s">
        <v>19894</v>
      </c>
      <c r="AG1224" t="s">
        <v>19895</v>
      </c>
      <c r="AH1224" t="s">
        <v>19896</v>
      </c>
      <c r="AI1224" t="s">
        <v>19897</v>
      </c>
      <c r="AJ1224" t="s">
        <v>19898</v>
      </c>
      <c r="AK1224" t="s">
        <v>69</v>
      </c>
      <c r="AL1224">
        <v>67</v>
      </c>
      <c r="AM1224">
        <v>6</v>
      </c>
      <c r="AN1224">
        <v>6</v>
      </c>
      <c r="AO1224">
        <v>0</v>
      </c>
      <c r="AP1224">
        <v>7</v>
      </c>
      <c r="AQ1224" t="s">
        <v>11130</v>
      </c>
      <c r="AR1224" t="s">
        <v>11131</v>
      </c>
      <c r="AS1224" t="s">
        <v>11132</v>
      </c>
      <c r="AT1224" t="s">
        <v>862</v>
      </c>
      <c r="AU1224" t="s">
        <v>69</v>
      </c>
      <c r="AV1224" t="s">
        <v>69</v>
      </c>
      <c r="AW1224" t="s">
        <v>859</v>
      </c>
      <c r="AX1224" t="s">
        <v>11133</v>
      </c>
      <c r="AY1224" t="s">
        <v>19899</v>
      </c>
      <c r="AZ1224">
        <v>2017</v>
      </c>
      <c r="BA1224">
        <v>12</v>
      </c>
      <c r="BB1224">
        <v>10</v>
      </c>
      <c r="BC1224" t="s">
        <v>69</v>
      </c>
      <c r="BD1224" t="s">
        <v>69</v>
      </c>
      <c r="BE1224" t="s">
        <v>69</v>
      </c>
      <c r="BF1224" t="s">
        <v>69</v>
      </c>
      <c r="BG1224" t="s">
        <v>69</v>
      </c>
      <c r="BH1224" t="s">
        <v>69</v>
      </c>
      <c r="BI1224" t="s">
        <v>19900</v>
      </c>
      <c r="BJ1224" t="s">
        <v>19901</v>
      </c>
      <c r="BK1224" t="str">
        <f>HYPERLINK("http://dx.doi.org/10.1371/journal.pone.0186896","http://dx.doi.org/10.1371/journal.pone.0186896")</f>
        <v>http://dx.doi.org/10.1371/journal.pone.0186896</v>
      </c>
      <c r="BL1224" t="s">
        <v>69</v>
      </c>
      <c r="BM1224" t="s">
        <v>69</v>
      </c>
      <c r="BN1224">
        <v>18</v>
      </c>
      <c r="BO1224" t="s">
        <v>8619</v>
      </c>
      <c r="BP1224" t="s">
        <v>8523</v>
      </c>
      <c r="BQ1224" t="s">
        <v>8620</v>
      </c>
      <c r="BR1224" t="s">
        <v>19902</v>
      </c>
      <c r="BS1224" t="s">
        <v>19903</v>
      </c>
      <c r="BT1224">
        <v>29073172</v>
      </c>
      <c r="BU1224" t="s">
        <v>10765</v>
      </c>
      <c r="BV1224" t="s">
        <v>69</v>
      </c>
      <c r="BW1224" t="s">
        <v>69</v>
      </c>
      <c r="BX1224" t="s">
        <v>8526</v>
      </c>
      <c r="BY1224" t="str">
        <f>HYPERLINK("https%3A%2F%2Fwww.webofscience.com%2Fwos%2Fwoscc%2Ffull-record%2FWOS:000413845400070","View Full Record in Web of Science")</f>
        <v>View Full Record in Web of Science</v>
      </c>
    </row>
    <row r="1225" spans="1:77" ht="12.5" x14ac:dyDescent="0.25">
      <c r="A1225" t="s">
        <v>8495</v>
      </c>
      <c r="B1225" s="7" t="s">
        <v>32933</v>
      </c>
      <c r="C1225" s="7"/>
      <c r="D1225" s="7"/>
      <c r="E1225" s="7"/>
      <c r="F1225" t="s">
        <v>67</v>
      </c>
      <c r="G1225" t="s">
        <v>8098</v>
      </c>
      <c r="H1225" t="s">
        <v>69</v>
      </c>
      <c r="I1225" t="s">
        <v>69</v>
      </c>
      <c r="J1225" t="s">
        <v>69</v>
      </c>
      <c r="K1225" t="s">
        <v>8099</v>
      </c>
      <c r="L1225" t="s">
        <v>69</v>
      </c>
      <c r="M1225" t="s">
        <v>69</v>
      </c>
      <c r="N1225" t="s">
        <v>8100</v>
      </c>
      <c r="O1225" t="s">
        <v>5533</v>
      </c>
      <c r="P1225" t="s">
        <v>69</v>
      </c>
      <c r="Q1225" t="s">
        <v>69</v>
      </c>
      <c r="R1225" t="s">
        <v>8505</v>
      </c>
      <c r="S1225" t="s">
        <v>8506</v>
      </c>
      <c r="T1225" t="s">
        <v>69</v>
      </c>
      <c r="U1225" t="s">
        <v>69</v>
      </c>
      <c r="V1225" t="s">
        <v>69</v>
      </c>
      <c r="W1225" t="s">
        <v>69</v>
      </c>
      <c r="X1225" t="s">
        <v>69</v>
      </c>
      <c r="Y1225" t="s">
        <v>69</v>
      </c>
      <c r="Z1225" t="s">
        <v>29775</v>
      </c>
      <c r="AA1225" t="s">
        <v>8101</v>
      </c>
      <c r="AB1225" t="s">
        <v>29776</v>
      </c>
      <c r="AC1225" t="s">
        <v>69</v>
      </c>
      <c r="AD1225" t="s">
        <v>29777</v>
      </c>
      <c r="AE1225" t="s">
        <v>29778</v>
      </c>
      <c r="AF1225" t="s">
        <v>69</v>
      </c>
      <c r="AG1225" t="s">
        <v>69</v>
      </c>
      <c r="AH1225" t="s">
        <v>69</v>
      </c>
      <c r="AI1225" t="s">
        <v>69</v>
      </c>
      <c r="AJ1225" t="s">
        <v>69</v>
      </c>
      <c r="AK1225" t="s">
        <v>69</v>
      </c>
      <c r="AL1225">
        <v>46</v>
      </c>
      <c r="AM1225">
        <v>56</v>
      </c>
      <c r="AN1225">
        <v>58</v>
      </c>
      <c r="AO1225">
        <v>1</v>
      </c>
      <c r="AP1225">
        <v>45</v>
      </c>
      <c r="AQ1225" t="s">
        <v>15821</v>
      </c>
      <c r="AR1225" t="s">
        <v>8735</v>
      </c>
      <c r="AS1225" t="s">
        <v>15822</v>
      </c>
      <c r="AT1225" t="s">
        <v>5535</v>
      </c>
      <c r="AU1225" t="s">
        <v>5536</v>
      </c>
      <c r="AV1225" t="s">
        <v>69</v>
      </c>
      <c r="AW1225" t="s">
        <v>15823</v>
      </c>
      <c r="AX1225" t="s">
        <v>15824</v>
      </c>
      <c r="AY1225" t="s">
        <v>8102</v>
      </c>
      <c r="AZ1225">
        <v>2007</v>
      </c>
      <c r="BA1225">
        <v>43</v>
      </c>
      <c r="BB1225">
        <v>2</v>
      </c>
      <c r="BC1225" t="s">
        <v>69</v>
      </c>
      <c r="BD1225" t="s">
        <v>69</v>
      </c>
      <c r="BE1225" t="s">
        <v>69</v>
      </c>
      <c r="BF1225" t="s">
        <v>69</v>
      </c>
      <c r="BG1225" t="s">
        <v>69</v>
      </c>
      <c r="BH1225" t="s">
        <v>69</v>
      </c>
      <c r="BI1225" t="s">
        <v>8103</v>
      </c>
      <c r="BJ1225" t="s">
        <v>8104</v>
      </c>
      <c r="BK1225" t="str">
        <f>HYPERLINK("http://dx.doi.org/10.1029/2006WR005130","http://dx.doi.org/10.1029/2006WR005130")</f>
        <v>http://dx.doi.org/10.1029/2006WR005130</v>
      </c>
      <c r="BL1225" t="s">
        <v>69</v>
      </c>
      <c r="BM1225" t="s">
        <v>69</v>
      </c>
      <c r="BN1225">
        <v>13</v>
      </c>
      <c r="BO1225" t="s">
        <v>15825</v>
      </c>
      <c r="BP1225" t="s">
        <v>8548</v>
      </c>
      <c r="BQ1225" t="s">
        <v>15826</v>
      </c>
      <c r="BR1225" t="s">
        <v>29779</v>
      </c>
      <c r="BS1225" t="s">
        <v>8105</v>
      </c>
      <c r="BT1225" t="s">
        <v>69</v>
      </c>
      <c r="BU1225" t="s">
        <v>9029</v>
      </c>
      <c r="BV1225" t="s">
        <v>69</v>
      </c>
      <c r="BW1225" t="s">
        <v>69</v>
      </c>
      <c r="BX1225" t="s">
        <v>8526</v>
      </c>
      <c r="BY1225" t="str">
        <f>HYPERLINK("https%3A%2F%2Fwww.webofscience.com%2Fwos%2Fwoscc%2Ffull-record%2FWOS:000244206100004","View Full Record in Web of Science")</f>
        <v>View Full Record in Web of Science</v>
      </c>
    </row>
    <row r="1226" spans="1:77" ht="12.5" x14ac:dyDescent="0.25">
      <c r="A1226" t="s">
        <v>8495</v>
      </c>
      <c r="B1226" s="7" t="s">
        <v>32933</v>
      </c>
      <c r="C1226" s="7"/>
      <c r="D1226" s="7"/>
      <c r="E1226" s="7"/>
      <c r="F1226" t="s">
        <v>67</v>
      </c>
      <c r="G1226" t="s">
        <v>1029</v>
      </c>
      <c r="H1226" t="s">
        <v>69</v>
      </c>
      <c r="I1226" t="s">
        <v>69</v>
      </c>
      <c r="J1226" t="s">
        <v>69</v>
      </c>
      <c r="K1226" t="s">
        <v>1030</v>
      </c>
      <c r="L1226" t="s">
        <v>69</v>
      </c>
      <c r="M1226" t="s">
        <v>69</v>
      </c>
      <c r="N1226" t="s">
        <v>1031</v>
      </c>
      <c r="O1226" t="s">
        <v>352</v>
      </c>
      <c r="P1226" t="s">
        <v>69</v>
      </c>
      <c r="Q1226" t="s">
        <v>69</v>
      </c>
      <c r="R1226" t="s">
        <v>8505</v>
      </c>
      <c r="S1226" t="s">
        <v>8506</v>
      </c>
      <c r="T1226" t="s">
        <v>69</v>
      </c>
      <c r="U1226" t="s">
        <v>69</v>
      </c>
      <c r="V1226" t="s">
        <v>69</v>
      </c>
      <c r="W1226" t="s">
        <v>69</v>
      </c>
      <c r="X1226" t="s">
        <v>69</v>
      </c>
      <c r="Y1226" t="s">
        <v>18191</v>
      </c>
      <c r="Z1226" t="s">
        <v>18192</v>
      </c>
      <c r="AA1226" t="s">
        <v>1032</v>
      </c>
      <c r="AB1226" t="s">
        <v>18193</v>
      </c>
      <c r="AC1226" t="s">
        <v>69</v>
      </c>
      <c r="AD1226" t="s">
        <v>18194</v>
      </c>
      <c r="AE1226" t="s">
        <v>18195</v>
      </c>
      <c r="AF1226" t="s">
        <v>69</v>
      </c>
      <c r="AG1226" t="s">
        <v>18196</v>
      </c>
      <c r="AH1226" t="s">
        <v>18197</v>
      </c>
      <c r="AI1226" t="s">
        <v>18198</v>
      </c>
      <c r="AJ1226" t="s">
        <v>18199</v>
      </c>
      <c r="AK1226" t="s">
        <v>69</v>
      </c>
      <c r="AL1226">
        <v>51</v>
      </c>
      <c r="AM1226">
        <v>0</v>
      </c>
      <c r="AN1226">
        <v>0</v>
      </c>
      <c r="AO1226">
        <v>4</v>
      </c>
      <c r="AP1226">
        <v>15</v>
      </c>
      <c r="AQ1226" t="s">
        <v>8924</v>
      </c>
      <c r="AR1226" t="s">
        <v>8925</v>
      </c>
      <c r="AS1226" t="s">
        <v>8926</v>
      </c>
      <c r="AT1226" t="s">
        <v>354</v>
      </c>
      <c r="AU1226" t="s">
        <v>69</v>
      </c>
      <c r="AV1226" t="s">
        <v>69</v>
      </c>
      <c r="AW1226" t="s">
        <v>8958</v>
      </c>
      <c r="AX1226" t="s">
        <v>8434</v>
      </c>
      <c r="AY1226" t="s">
        <v>274</v>
      </c>
      <c r="AZ1226">
        <v>2018</v>
      </c>
      <c r="BA1226">
        <v>10</v>
      </c>
      <c r="BB1226">
        <v>11</v>
      </c>
      <c r="BC1226" t="s">
        <v>69</v>
      </c>
      <c r="BD1226" t="s">
        <v>69</v>
      </c>
      <c r="BE1226" t="s">
        <v>69</v>
      </c>
      <c r="BF1226" t="s">
        <v>69</v>
      </c>
      <c r="BG1226" t="s">
        <v>69</v>
      </c>
      <c r="BH1226" t="s">
        <v>69</v>
      </c>
      <c r="BI1226">
        <v>4096</v>
      </c>
      <c r="BJ1226" t="s">
        <v>1033</v>
      </c>
      <c r="BK1226" t="str">
        <f>HYPERLINK("http://dx.doi.org/10.3390/su10114096","http://dx.doi.org/10.3390/su10114096")</f>
        <v>http://dx.doi.org/10.3390/su10114096</v>
      </c>
      <c r="BL1226" t="s">
        <v>69</v>
      </c>
      <c r="BM1226" t="s">
        <v>69</v>
      </c>
      <c r="BN1226">
        <v>19</v>
      </c>
      <c r="BO1226" t="s">
        <v>8960</v>
      </c>
      <c r="BP1226" t="s">
        <v>8523</v>
      </c>
      <c r="BQ1226" t="s">
        <v>8961</v>
      </c>
      <c r="BR1226" t="s">
        <v>18200</v>
      </c>
      <c r="BS1226" t="s">
        <v>1034</v>
      </c>
      <c r="BT1226" t="s">
        <v>69</v>
      </c>
      <c r="BU1226" t="s">
        <v>9352</v>
      </c>
      <c r="BV1226" t="s">
        <v>69</v>
      </c>
      <c r="BW1226" t="s">
        <v>69</v>
      </c>
      <c r="BX1226" t="s">
        <v>8526</v>
      </c>
      <c r="BY1226" t="str">
        <f>HYPERLINK("https%3A%2F%2Fwww.webofscience.com%2Fwos%2Fwoscc%2Ffull-record%2FWOS:000451531700270","View Full Record in Web of Science")</f>
        <v>View Full Record in Web of Science</v>
      </c>
    </row>
    <row r="1227" spans="1:77" ht="12.5" x14ac:dyDescent="0.25">
      <c r="A1227" t="s">
        <v>8495</v>
      </c>
      <c r="B1227" s="7" t="s">
        <v>32933</v>
      </c>
      <c r="C1227" s="7"/>
      <c r="D1227" s="7"/>
      <c r="E1227" s="7"/>
      <c r="F1227" t="s">
        <v>67</v>
      </c>
      <c r="G1227" t="s">
        <v>77</v>
      </c>
      <c r="H1227" t="s">
        <v>69</v>
      </c>
      <c r="I1227" t="s">
        <v>69</v>
      </c>
      <c r="J1227" t="s">
        <v>69</v>
      </c>
      <c r="K1227" t="s">
        <v>78</v>
      </c>
      <c r="L1227" t="s">
        <v>69</v>
      </c>
      <c r="M1227" t="s">
        <v>69</v>
      </c>
      <c r="N1227" t="s">
        <v>79</v>
      </c>
      <c r="O1227" t="s">
        <v>80</v>
      </c>
      <c r="P1227" t="s">
        <v>69</v>
      </c>
      <c r="Q1227" t="s">
        <v>69</v>
      </c>
      <c r="R1227" t="s">
        <v>8505</v>
      </c>
      <c r="S1227" t="s">
        <v>8506</v>
      </c>
      <c r="T1227" t="s">
        <v>69</v>
      </c>
      <c r="U1227" t="s">
        <v>69</v>
      </c>
      <c r="V1227" t="s">
        <v>69</v>
      </c>
      <c r="W1227" t="s">
        <v>69</v>
      </c>
      <c r="X1227" t="s">
        <v>69</v>
      </c>
      <c r="Y1227" t="s">
        <v>14814</v>
      </c>
      <c r="Z1227" t="s">
        <v>14815</v>
      </c>
      <c r="AA1227" t="s">
        <v>81</v>
      </c>
      <c r="AB1227" t="s">
        <v>14816</v>
      </c>
      <c r="AC1227" t="s">
        <v>69</v>
      </c>
      <c r="AD1227" t="s">
        <v>14817</v>
      </c>
      <c r="AE1227" t="s">
        <v>14818</v>
      </c>
      <c r="AF1227" t="s">
        <v>69</v>
      </c>
      <c r="AG1227" t="s">
        <v>69</v>
      </c>
      <c r="AH1227" t="s">
        <v>69</v>
      </c>
      <c r="AI1227" t="s">
        <v>69</v>
      </c>
      <c r="AJ1227" t="s">
        <v>69</v>
      </c>
      <c r="AK1227" t="s">
        <v>69</v>
      </c>
      <c r="AL1227">
        <v>22</v>
      </c>
      <c r="AM1227">
        <v>1</v>
      </c>
      <c r="AN1227">
        <v>1</v>
      </c>
      <c r="AO1227">
        <v>1</v>
      </c>
      <c r="AP1227">
        <v>7</v>
      </c>
      <c r="AQ1227" t="s">
        <v>14819</v>
      </c>
      <c r="AR1227" t="s">
        <v>14820</v>
      </c>
      <c r="AS1227" t="s">
        <v>14821</v>
      </c>
      <c r="AT1227" t="s">
        <v>82</v>
      </c>
      <c r="AU1227" t="s">
        <v>83</v>
      </c>
      <c r="AV1227" t="s">
        <v>69</v>
      </c>
      <c r="AW1227" t="s">
        <v>14822</v>
      </c>
      <c r="AX1227" t="s">
        <v>14823</v>
      </c>
      <c r="AY1227" t="s">
        <v>84</v>
      </c>
      <c r="AZ1227">
        <v>2020</v>
      </c>
      <c r="BA1227">
        <v>6</v>
      </c>
      <c r="BB1227">
        <v>7</v>
      </c>
      <c r="BC1227" t="s">
        <v>69</v>
      </c>
      <c r="BD1227" t="s">
        <v>69</v>
      </c>
      <c r="BE1227" t="s">
        <v>69</v>
      </c>
      <c r="BF1227" t="s">
        <v>69</v>
      </c>
      <c r="BG1227">
        <v>1368</v>
      </c>
      <c r="BH1227">
        <v>1374</v>
      </c>
      <c r="BI1227" t="s">
        <v>69</v>
      </c>
      <c r="BJ1227" t="s">
        <v>85</v>
      </c>
      <c r="BK1227" t="str">
        <f>HYPERLINK("http://dx.doi.org/10.28991/cej-2020-03091554","http://dx.doi.org/10.28991/cej-2020-03091554")</f>
        <v>http://dx.doi.org/10.28991/cej-2020-03091554</v>
      </c>
      <c r="BL1227" t="s">
        <v>69</v>
      </c>
      <c r="BM1227" t="s">
        <v>69</v>
      </c>
      <c r="BN1227">
        <v>7</v>
      </c>
      <c r="BO1227" t="s">
        <v>13537</v>
      </c>
      <c r="BP1227" t="s">
        <v>8573</v>
      </c>
      <c r="BQ1227" t="s">
        <v>8445</v>
      </c>
      <c r="BR1227" t="s">
        <v>14824</v>
      </c>
      <c r="BS1227" t="s">
        <v>86</v>
      </c>
      <c r="BT1227" t="s">
        <v>69</v>
      </c>
      <c r="BU1227" t="s">
        <v>8931</v>
      </c>
      <c r="BV1227" t="s">
        <v>69</v>
      </c>
      <c r="BW1227" t="s">
        <v>69</v>
      </c>
      <c r="BX1227" t="s">
        <v>8526</v>
      </c>
      <c r="BY1227" t="str">
        <f>HYPERLINK("https%3A%2F%2Fwww.webofscience.com%2Fwos%2Fwoscc%2Ffull-record%2FWOS:000558693300013","View Full Record in Web of Science")</f>
        <v>View Full Record in Web of Science</v>
      </c>
    </row>
    <row r="1228" spans="1:77" x14ac:dyDescent="0.3">
      <c r="A1228" t="s">
        <v>8495</v>
      </c>
      <c r="B1228" s="9" t="s">
        <v>32954</v>
      </c>
      <c r="C1228" s="9" t="s">
        <v>33155</v>
      </c>
      <c r="D1228" s="9" t="s">
        <v>8491</v>
      </c>
      <c r="E1228" s="9" t="s">
        <v>8490</v>
      </c>
      <c r="F1228" t="s">
        <v>67</v>
      </c>
      <c r="G1228" t="s">
        <v>9212</v>
      </c>
      <c r="H1228" t="s">
        <v>69</v>
      </c>
      <c r="I1228" t="s">
        <v>69</v>
      </c>
      <c r="J1228" t="s">
        <v>69</v>
      </c>
      <c r="K1228" t="s">
        <v>9213</v>
      </c>
      <c r="L1228" t="s">
        <v>69</v>
      </c>
      <c r="M1228" t="s">
        <v>69</v>
      </c>
      <c r="N1228" t="s">
        <v>9214</v>
      </c>
      <c r="O1228" t="s">
        <v>7713</v>
      </c>
      <c r="P1228" t="s">
        <v>69</v>
      </c>
      <c r="Q1228" t="s">
        <v>69</v>
      </c>
      <c r="R1228" t="s">
        <v>8505</v>
      </c>
      <c r="S1228" t="s">
        <v>8506</v>
      </c>
      <c r="T1228" t="s">
        <v>69</v>
      </c>
      <c r="U1228" t="s">
        <v>69</v>
      </c>
      <c r="V1228" t="s">
        <v>69</v>
      </c>
      <c r="W1228" t="s">
        <v>69</v>
      </c>
      <c r="X1228" t="s">
        <v>69</v>
      </c>
      <c r="Y1228" t="s">
        <v>9215</v>
      </c>
      <c r="Z1228" t="s">
        <v>69</v>
      </c>
      <c r="AA1228" t="s">
        <v>9216</v>
      </c>
      <c r="AB1228" t="s">
        <v>9217</v>
      </c>
      <c r="AC1228" t="s">
        <v>69</v>
      </c>
      <c r="AD1228" t="s">
        <v>9218</v>
      </c>
      <c r="AE1228" t="s">
        <v>9219</v>
      </c>
      <c r="AF1228" t="s">
        <v>69</v>
      </c>
      <c r="AG1228" t="s">
        <v>9220</v>
      </c>
      <c r="AH1228" t="s">
        <v>9221</v>
      </c>
      <c r="AI1228" t="s">
        <v>9222</v>
      </c>
      <c r="AJ1228" t="s">
        <v>9223</v>
      </c>
      <c r="AK1228" t="s">
        <v>69</v>
      </c>
      <c r="AL1228">
        <v>54</v>
      </c>
      <c r="AM1228">
        <v>1</v>
      </c>
      <c r="AN1228">
        <v>1</v>
      </c>
      <c r="AO1228">
        <v>7</v>
      </c>
      <c r="AP1228">
        <v>7</v>
      </c>
      <c r="AQ1228" t="s">
        <v>9047</v>
      </c>
      <c r="AR1228" t="s">
        <v>9048</v>
      </c>
      <c r="AS1228" t="s">
        <v>9049</v>
      </c>
      <c r="AT1228" t="s">
        <v>7715</v>
      </c>
      <c r="AU1228" t="s">
        <v>9224</v>
      </c>
      <c r="AV1228" t="s">
        <v>69</v>
      </c>
      <c r="AW1228" t="s">
        <v>9225</v>
      </c>
      <c r="AX1228" t="s">
        <v>9226</v>
      </c>
      <c r="AY1228" t="s">
        <v>586</v>
      </c>
      <c r="AZ1228">
        <v>2022</v>
      </c>
      <c r="BA1228">
        <v>36</v>
      </c>
      <c r="BB1228">
        <v>7</v>
      </c>
      <c r="BC1228" t="s">
        <v>69</v>
      </c>
      <c r="BD1228" t="s">
        <v>69</v>
      </c>
      <c r="BE1228" t="s">
        <v>69</v>
      </c>
      <c r="BF1228" t="s">
        <v>69</v>
      </c>
      <c r="BG1228">
        <v>2455</v>
      </c>
      <c r="BH1228">
        <v>2470</v>
      </c>
      <c r="BI1228" t="s">
        <v>69</v>
      </c>
      <c r="BJ1228" t="s">
        <v>9227</v>
      </c>
      <c r="BK1228" t="str">
        <f>HYPERLINK("http://dx.doi.org/10.1007/s11269-022-03153-w","http://dx.doi.org/10.1007/s11269-022-03153-w")</f>
        <v>http://dx.doi.org/10.1007/s11269-022-03153-w</v>
      </c>
      <c r="BL1228" t="s">
        <v>69</v>
      </c>
      <c r="BM1228" t="s">
        <v>9228</v>
      </c>
      <c r="BN1228">
        <v>16</v>
      </c>
      <c r="BO1228" t="s">
        <v>9229</v>
      </c>
      <c r="BP1228" t="s">
        <v>8523</v>
      </c>
      <c r="BQ1228" t="s">
        <v>9230</v>
      </c>
      <c r="BR1228" t="s">
        <v>9231</v>
      </c>
      <c r="BS1228" t="s">
        <v>9232</v>
      </c>
      <c r="BT1228" t="s">
        <v>69</v>
      </c>
      <c r="BU1228" t="s">
        <v>69</v>
      </c>
      <c r="BV1228" t="s">
        <v>69</v>
      </c>
      <c r="BW1228" t="s">
        <v>69</v>
      </c>
      <c r="BX1228" t="s">
        <v>8526</v>
      </c>
      <c r="BY1228" t="str">
        <f>HYPERLINK("https%3A%2F%2Fwww.webofscience.com%2Fwos%2Fwoscc%2Ffull-record%2FWOS:000788335600002","View Full Record in Web of Science")</f>
        <v>View Full Record in Web of Science</v>
      </c>
    </row>
    <row r="1229" spans="1:77" ht="12.5" x14ac:dyDescent="0.25">
      <c r="A1229" t="s">
        <v>8495</v>
      </c>
      <c r="B1229" s="22" t="s">
        <v>32931</v>
      </c>
      <c r="C1229" s="7"/>
      <c r="D1229" s="7"/>
      <c r="E1229" s="7"/>
      <c r="F1229" t="s">
        <v>67</v>
      </c>
      <c r="G1229" t="s">
        <v>28053</v>
      </c>
      <c r="H1229" t="s">
        <v>69</v>
      </c>
      <c r="I1229" t="s">
        <v>69</v>
      </c>
      <c r="J1229" t="s">
        <v>69</v>
      </c>
      <c r="K1229" t="s">
        <v>28054</v>
      </c>
      <c r="L1229" t="s">
        <v>69</v>
      </c>
      <c r="M1229" t="s">
        <v>69</v>
      </c>
      <c r="N1229" t="s">
        <v>28055</v>
      </c>
      <c r="O1229" t="s">
        <v>28056</v>
      </c>
      <c r="P1229" t="s">
        <v>69</v>
      </c>
      <c r="Q1229" t="s">
        <v>69</v>
      </c>
      <c r="R1229" t="s">
        <v>8505</v>
      </c>
      <c r="S1229" t="s">
        <v>8506</v>
      </c>
      <c r="T1229" t="s">
        <v>69</v>
      </c>
      <c r="U1229" t="s">
        <v>69</v>
      </c>
      <c r="V1229" t="s">
        <v>69</v>
      </c>
      <c r="W1229" t="s">
        <v>69</v>
      </c>
      <c r="X1229" t="s">
        <v>69</v>
      </c>
      <c r="Y1229" t="s">
        <v>28057</v>
      </c>
      <c r="Z1229" t="s">
        <v>28058</v>
      </c>
      <c r="AA1229" t="s">
        <v>28059</v>
      </c>
      <c r="AB1229" t="s">
        <v>28060</v>
      </c>
      <c r="AC1229" t="s">
        <v>69</v>
      </c>
      <c r="AD1229" t="s">
        <v>28061</v>
      </c>
      <c r="AE1229" t="s">
        <v>28062</v>
      </c>
      <c r="AF1229" t="s">
        <v>69</v>
      </c>
      <c r="AG1229" t="s">
        <v>69</v>
      </c>
      <c r="AH1229" t="s">
        <v>69</v>
      </c>
      <c r="AI1229" t="s">
        <v>69</v>
      </c>
      <c r="AJ1229" t="s">
        <v>69</v>
      </c>
      <c r="AK1229" t="s">
        <v>69</v>
      </c>
      <c r="AL1229">
        <v>34</v>
      </c>
      <c r="AM1229">
        <v>10</v>
      </c>
      <c r="AN1229">
        <v>10</v>
      </c>
      <c r="AO1229">
        <v>1</v>
      </c>
      <c r="AP1229">
        <v>38</v>
      </c>
      <c r="AQ1229" t="s">
        <v>8586</v>
      </c>
      <c r="AR1229" t="s">
        <v>8587</v>
      </c>
      <c r="AS1229" t="s">
        <v>8588</v>
      </c>
      <c r="AT1229" t="s">
        <v>28063</v>
      </c>
      <c r="AU1229" t="s">
        <v>28064</v>
      </c>
      <c r="AV1229" t="s">
        <v>69</v>
      </c>
      <c r="AW1229" t="s">
        <v>28065</v>
      </c>
      <c r="AX1229" t="s">
        <v>28066</v>
      </c>
      <c r="AY1229" t="s">
        <v>69</v>
      </c>
      <c r="AZ1229">
        <v>2010</v>
      </c>
      <c r="BA1229">
        <v>22</v>
      </c>
      <c r="BB1229" t="s">
        <v>4267</v>
      </c>
      <c r="BC1229" t="s">
        <v>69</v>
      </c>
      <c r="BD1229" t="s">
        <v>69</v>
      </c>
      <c r="BE1229" t="s">
        <v>69</v>
      </c>
      <c r="BF1229" t="s">
        <v>69</v>
      </c>
      <c r="BG1229">
        <v>282</v>
      </c>
      <c r="BH1229">
        <v>299</v>
      </c>
      <c r="BI1229" t="s">
        <v>69</v>
      </c>
      <c r="BJ1229" t="s">
        <v>28067</v>
      </c>
      <c r="BK1229" t="str">
        <f>HYPERLINK("http://dx.doi.org/10.1108/09596111011035918","http://dx.doi.org/10.1108/09596111011035918")</f>
        <v>http://dx.doi.org/10.1108/09596111011035918</v>
      </c>
      <c r="BL1229" t="s">
        <v>69</v>
      </c>
      <c r="BM1229" t="s">
        <v>69</v>
      </c>
      <c r="BN1229">
        <v>18</v>
      </c>
      <c r="BO1229" t="s">
        <v>20292</v>
      </c>
      <c r="BP1229" t="s">
        <v>8661</v>
      </c>
      <c r="BQ1229" t="s">
        <v>20293</v>
      </c>
      <c r="BR1229" t="s">
        <v>28068</v>
      </c>
      <c r="BS1229" t="s">
        <v>28069</v>
      </c>
      <c r="BT1229" t="s">
        <v>69</v>
      </c>
      <c r="BU1229" t="s">
        <v>69</v>
      </c>
      <c r="BV1229" t="s">
        <v>69</v>
      </c>
      <c r="BW1229" t="s">
        <v>69</v>
      </c>
      <c r="BX1229" t="s">
        <v>8526</v>
      </c>
      <c r="BY1229" t="str">
        <f>HYPERLINK("https%3A%2F%2Fwww.webofscience.com%2Fwos%2Fwoscc%2Ffull-record%2FWOS:000277616700012","View Full Record in Web of Science")</f>
        <v>View Full Record in Web of Science</v>
      </c>
    </row>
    <row r="1230" spans="1:77" ht="12.5" x14ac:dyDescent="0.25">
      <c r="A1230" t="s">
        <v>8495</v>
      </c>
      <c r="B1230" s="22" t="s">
        <v>32931</v>
      </c>
      <c r="C1230" s="7"/>
      <c r="D1230" s="7"/>
      <c r="E1230" s="7"/>
      <c r="F1230" t="s">
        <v>67</v>
      </c>
      <c r="G1230" t="s">
        <v>11740</v>
      </c>
      <c r="H1230" t="s">
        <v>69</v>
      </c>
      <c r="I1230" t="s">
        <v>69</v>
      </c>
      <c r="J1230" t="s">
        <v>69</v>
      </c>
      <c r="K1230" t="s">
        <v>11741</v>
      </c>
      <c r="L1230" t="s">
        <v>69</v>
      </c>
      <c r="M1230" t="s">
        <v>69</v>
      </c>
      <c r="N1230" t="s">
        <v>11742</v>
      </c>
      <c r="O1230" t="s">
        <v>352</v>
      </c>
      <c r="P1230" t="s">
        <v>69</v>
      </c>
      <c r="Q1230" t="s">
        <v>69</v>
      </c>
      <c r="R1230" t="s">
        <v>8505</v>
      </c>
      <c r="S1230" t="s">
        <v>8506</v>
      </c>
      <c r="T1230" t="s">
        <v>69</v>
      </c>
      <c r="U1230" t="s">
        <v>69</v>
      </c>
      <c r="V1230" t="s">
        <v>69</v>
      </c>
      <c r="W1230" t="s">
        <v>69</v>
      </c>
      <c r="X1230" t="s">
        <v>69</v>
      </c>
      <c r="Y1230" t="s">
        <v>11743</v>
      </c>
      <c r="Z1230" t="s">
        <v>11744</v>
      </c>
      <c r="AA1230" t="s">
        <v>11745</v>
      </c>
      <c r="AB1230" t="s">
        <v>11746</v>
      </c>
      <c r="AC1230" t="s">
        <v>69</v>
      </c>
      <c r="AD1230" t="s">
        <v>11747</v>
      </c>
      <c r="AE1230" t="s">
        <v>11748</v>
      </c>
      <c r="AF1230" t="s">
        <v>69</v>
      </c>
      <c r="AG1230" t="s">
        <v>11749</v>
      </c>
      <c r="AH1230" t="s">
        <v>11750</v>
      </c>
      <c r="AI1230" t="s">
        <v>11751</v>
      </c>
      <c r="AJ1230" t="s">
        <v>11752</v>
      </c>
      <c r="AK1230" t="s">
        <v>69</v>
      </c>
      <c r="AL1230">
        <v>51</v>
      </c>
      <c r="AM1230">
        <v>0</v>
      </c>
      <c r="AN1230">
        <v>0</v>
      </c>
      <c r="AO1230">
        <v>4</v>
      </c>
      <c r="AP1230">
        <v>6</v>
      </c>
      <c r="AQ1230" t="s">
        <v>8924</v>
      </c>
      <c r="AR1230" t="s">
        <v>8925</v>
      </c>
      <c r="AS1230" t="s">
        <v>8926</v>
      </c>
      <c r="AT1230" t="s">
        <v>69</v>
      </c>
      <c r="AU1230" t="s">
        <v>354</v>
      </c>
      <c r="AV1230" t="s">
        <v>69</v>
      </c>
      <c r="AW1230" t="s">
        <v>8958</v>
      </c>
      <c r="AX1230" t="s">
        <v>8434</v>
      </c>
      <c r="AY1230" t="s">
        <v>201</v>
      </c>
      <c r="AZ1230">
        <v>2021</v>
      </c>
      <c r="BA1230">
        <v>13</v>
      </c>
      <c r="BB1230">
        <v>15</v>
      </c>
      <c r="BC1230" t="s">
        <v>69</v>
      </c>
      <c r="BD1230" t="s">
        <v>69</v>
      </c>
      <c r="BE1230" t="s">
        <v>69</v>
      </c>
      <c r="BF1230" t="s">
        <v>69</v>
      </c>
      <c r="BG1230" t="s">
        <v>69</v>
      </c>
      <c r="BH1230" t="s">
        <v>69</v>
      </c>
      <c r="BI1230">
        <v>8202</v>
      </c>
      <c r="BJ1230" t="s">
        <v>11753</v>
      </c>
      <c r="BK1230" t="str">
        <f>HYPERLINK("http://dx.doi.org/10.3390/su13158202","http://dx.doi.org/10.3390/su13158202")</f>
        <v>http://dx.doi.org/10.3390/su13158202</v>
      </c>
      <c r="BL1230" t="s">
        <v>69</v>
      </c>
      <c r="BM1230" t="s">
        <v>69</v>
      </c>
      <c r="BN1230">
        <v>13</v>
      </c>
      <c r="BO1230" t="s">
        <v>8960</v>
      </c>
      <c r="BP1230" t="s">
        <v>8523</v>
      </c>
      <c r="BQ1230" t="s">
        <v>8961</v>
      </c>
      <c r="BR1230" t="s">
        <v>11754</v>
      </c>
      <c r="BS1230" t="s">
        <v>11755</v>
      </c>
      <c r="BT1230" t="s">
        <v>69</v>
      </c>
      <c r="BU1230" t="s">
        <v>10423</v>
      </c>
      <c r="BV1230" t="s">
        <v>69</v>
      </c>
      <c r="BW1230" t="s">
        <v>69</v>
      </c>
      <c r="BX1230" t="s">
        <v>8526</v>
      </c>
      <c r="BY1230" t="str">
        <f>HYPERLINK("https%3A%2F%2Fwww.webofscience.com%2Fwos%2Fwoscc%2Ffull-record%2FWOS:000682167900001","View Full Record in Web of Science")</f>
        <v>View Full Record in Web of Science</v>
      </c>
    </row>
    <row r="1231" spans="1:77" ht="12.5" x14ac:dyDescent="0.25">
      <c r="A1231" t="s">
        <v>8495</v>
      </c>
      <c r="B1231" s="7" t="s">
        <v>32933</v>
      </c>
      <c r="C1231" s="7"/>
      <c r="D1231" s="7"/>
      <c r="E1231" s="7"/>
      <c r="F1231" t="s">
        <v>67</v>
      </c>
      <c r="G1231" t="s">
        <v>802</v>
      </c>
      <c r="H1231" t="s">
        <v>69</v>
      </c>
      <c r="I1231" t="s">
        <v>69</v>
      </c>
      <c r="J1231" t="s">
        <v>69</v>
      </c>
      <c r="K1231" t="s">
        <v>803</v>
      </c>
      <c r="L1231" t="s">
        <v>69</v>
      </c>
      <c r="M1231" t="s">
        <v>69</v>
      </c>
      <c r="N1231" t="s">
        <v>804</v>
      </c>
      <c r="O1231" t="s">
        <v>582</v>
      </c>
      <c r="P1231" t="s">
        <v>69</v>
      </c>
      <c r="Q1231" t="s">
        <v>69</v>
      </c>
      <c r="R1231" t="s">
        <v>8505</v>
      </c>
      <c r="S1231" t="s">
        <v>8506</v>
      </c>
      <c r="T1231" t="s">
        <v>69</v>
      </c>
      <c r="U1231" t="s">
        <v>69</v>
      </c>
      <c r="V1231" t="s">
        <v>69</v>
      </c>
      <c r="W1231" t="s">
        <v>69</v>
      </c>
      <c r="X1231" t="s">
        <v>69</v>
      </c>
      <c r="Y1231" t="s">
        <v>15625</v>
      </c>
      <c r="Z1231" t="s">
        <v>15626</v>
      </c>
      <c r="AA1231" t="s">
        <v>805</v>
      </c>
      <c r="AB1231" t="s">
        <v>15627</v>
      </c>
      <c r="AC1231" t="s">
        <v>69</v>
      </c>
      <c r="AD1231" t="s">
        <v>15628</v>
      </c>
      <c r="AE1231" t="s">
        <v>15629</v>
      </c>
      <c r="AF1231" t="s">
        <v>2359</v>
      </c>
      <c r="AG1231" t="s">
        <v>69</v>
      </c>
      <c r="AH1231" t="s">
        <v>69</v>
      </c>
      <c r="AI1231" t="s">
        <v>69</v>
      </c>
      <c r="AJ1231" t="s">
        <v>69</v>
      </c>
      <c r="AK1231" t="s">
        <v>69</v>
      </c>
      <c r="AL1231">
        <v>64</v>
      </c>
      <c r="AM1231">
        <v>9</v>
      </c>
      <c r="AN1231">
        <v>9</v>
      </c>
      <c r="AO1231">
        <v>0</v>
      </c>
      <c r="AP1231">
        <v>3</v>
      </c>
      <c r="AQ1231" t="s">
        <v>8692</v>
      </c>
      <c r="AR1231" t="s">
        <v>8693</v>
      </c>
      <c r="AS1231" t="s">
        <v>8694</v>
      </c>
      <c r="AT1231" t="s">
        <v>584</v>
      </c>
      <c r="AU1231" t="s">
        <v>585</v>
      </c>
      <c r="AV1231" t="s">
        <v>69</v>
      </c>
      <c r="AW1231" t="s">
        <v>8695</v>
      </c>
      <c r="AX1231" t="s">
        <v>8696</v>
      </c>
      <c r="AY1231" t="s">
        <v>94</v>
      </c>
      <c r="AZ1231">
        <v>2020</v>
      </c>
      <c r="BA1231">
        <v>81</v>
      </c>
      <c r="BB1231" t="s">
        <v>69</v>
      </c>
      <c r="BC1231" t="s">
        <v>69</v>
      </c>
      <c r="BD1231" t="s">
        <v>69</v>
      </c>
      <c r="BE1231" t="s">
        <v>69</v>
      </c>
      <c r="BF1231" t="s">
        <v>69</v>
      </c>
      <c r="BG1231" t="s">
        <v>69</v>
      </c>
      <c r="BH1231" t="s">
        <v>69</v>
      </c>
      <c r="BI1231">
        <v>106357</v>
      </c>
      <c r="BJ1231" t="s">
        <v>807</v>
      </c>
      <c r="BK1231" t="str">
        <f>HYPERLINK("http://dx.doi.org/10.1016/j.eiar.2019.106357","http://dx.doi.org/10.1016/j.eiar.2019.106357")</f>
        <v>http://dx.doi.org/10.1016/j.eiar.2019.106357</v>
      </c>
      <c r="BL1231" t="s">
        <v>69</v>
      </c>
      <c r="BM1231" t="s">
        <v>69</v>
      </c>
      <c r="BN1231">
        <v>12</v>
      </c>
      <c r="BO1231" t="s">
        <v>8660</v>
      </c>
      <c r="BP1231" t="s">
        <v>8661</v>
      </c>
      <c r="BQ1231" t="s">
        <v>8662</v>
      </c>
      <c r="BR1231" t="s">
        <v>15630</v>
      </c>
      <c r="BS1231" t="s">
        <v>808</v>
      </c>
      <c r="BT1231" t="s">
        <v>69</v>
      </c>
      <c r="BU1231" t="s">
        <v>69</v>
      </c>
      <c r="BV1231" t="s">
        <v>69</v>
      </c>
      <c r="BW1231" t="s">
        <v>69</v>
      </c>
      <c r="BX1231" t="s">
        <v>8526</v>
      </c>
      <c r="BY1231" t="str">
        <f>HYPERLINK("https%3A%2F%2Fwww.webofscience.com%2Fwos%2Fwoscc%2Ffull-record%2FWOS:000515213600011","View Full Record in Web of Science")</f>
        <v>View Full Record in Web of Science</v>
      </c>
    </row>
    <row r="1232" spans="1:77" ht="12.5" x14ac:dyDescent="0.25">
      <c r="A1232" t="s">
        <v>8495</v>
      </c>
      <c r="B1232" s="7" t="s">
        <v>32933</v>
      </c>
      <c r="C1232" s="7"/>
      <c r="D1232" s="7"/>
      <c r="E1232" s="7"/>
      <c r="F1232" t="s">
        <v>67</v>
      </c>
      <c r="G1232" t="s">
        <v>3822</v>
      </c>
      <c r="H1232" t="s">
        <v>69</v>
      </c>
      <c r="I1232" t="s">
        <v>69</v>
      </c>
      <c r="J1232" t="s">
        <v>69</v>
      </c>
      <c r="K1232" t="s">
        <v>3823</v>
      </c>
      <c r="L1232" t="s">
        <v>69</v>
      </c>
      <c r="M1232" t="s">
        <v>69</v>
      </c>
      <c r="N1232" t="s">
        <v>3824</v>
      </c>
      <c r="O1232" t="s">
        <v>1823</v>
      </c>
      <c r="P1232" t="s">
        <v>69</v>
      </c>
      <c r="Q1232" t="s">
        <v>69</v>
      </c>
      <c r="R1232" t="s">
        <v>8505</v>
      </c>
      <c r="S1232" t="s">
        <v>15797</v>
      </c>
      <c r="T1232" t="s">
        <v>3825</v>
      </c>
      <c r="U1232" t="s">
        <v>3826</v>
      </c>
      <c r="V1232" t="s">
        <v>3827</v>
      </c>
      <c r="W1232" t="s">
        <v>30291</v>
      </c>
      <c r="X1232" t="s">
        <v>69</v>
      </c>
      <c r="Y1232" t="s">
        <v>30292</v>
      </c>
      <c r="Z1232" t="s">
        <v>69</v>
      </c>
      <c r="AA1232" t="s">
        <v>3828</v>
      </c>
      <c r="AB1232" t="s">
        <v>30293</v>
      </c>
      <c r="AC1232" t="s">
        <v>69</v>
      </c>
      <c r="AD1232" t="s">
        <v>30294</v>
      </c>
      <c r="AE1232" t="s">
        <v>30295</v>
      </c>
      <c r="AF1232" t="s">
        <v>3829</v>
      </c>
      <c r="AG1232" t="s">
        <v>3830</v>
      </c>
      <c r="AH1232" t="s">
        <v>69</v>
      </c>
      <c r="AI1232" t="s">
        <v>69</v>
      </c>
      <c r="AJ1232" t="s">
        <v>69</v>
      </c>
      <c r="AK1232" t="s">
        <v>69</v>
      </c>
      <c r="AL1232">
        <v>38</v>
      </c>
      <c r="AM1232">
        <v>45</v>
      </c>
      <c r="AN1232">
        <v>45</v>
      </c>
      <c r="AO1232">
        <v>0</v>
      </c>
      <c r="AP1232">
        <v>53</v>
      </c>
      <c r="AQ1232" t="s">
        <v>8846</v>
      </c>
      <c r="AR1232" t="s">
        <v>8847</v>
      </c>
      <c r="AS1232" t="s">
        <v>8848</v>
      </c>
      <c r="AT1232" t="s">
        <v>1825</v>
      </c>
      <c r="AU1232" t="s">
        <v>3831</v>
      </c>
      <c r="AV1232" t="s">
        <v>69</v>
      </c>
      <c r="AW1232" t="s">
        <v>30296</v>
      </c>
      <c r="AX1232" t="s">
        <v>30297</v>
      </c>
      <c r="AY1232" t="s">
        <v>586</v>
      </c>
      <c r="AZ1232">
        <v>2006</v>
      </c>
      <c r="BA1232">
        <v>26</v>
      </c>
      <c r="BB1232">
        <v>2</v>
      </c>
      <c r="BC1232" t="s">
        <v>69</v>
      </c>
      <c r="BD1232" t="s">
        <v>69</v>
      </c>
      <c r="BE1232" t="s">
        <v>69</v>
      </c>
      <c r="BF1232" t="s">
        <v>69</v>
      </c>
      <c r="BG1232">
        <v>109</v>
      </c>
      <c r="BH1232">
        <v>121</v>
      </c>
      <c r="BI1232" t="s">
        <v>69</v>
      </c>
      <c r="BJ1232" t="s">
        <v>3832</v>
      </c>
      <c r="BK1232" t="str">
        <f>HYPERLINK("http://dx.doi.org/10.1002/pad.404","http://dx.doi.org/10.1002/pad.404")</f>
        <v>http://dx.doi.org/10.1002/pad.404</v>
      </c>
      <c r="BL1232" t="s">
        <v>69</v>
      </c>
      <c r="BM1232" t="s">
        <v>69</v>
      </c>
      <c r="BN1232">
        <v>13</v>
      </c>
      <c r="BO1232" t="s">
        <v>14687</v>
      </c>
      <c r="BP1232" t="s">
        <v>30298</v>
      </c>
      <c r="BQ1232" t="s">
        <v>14687</v>
      </c>
      <c r="BR1232" t="s">
        <v>30299</v>
      </c>
      <c r="BS1232" t="s">
        <v>3833</v>
      </c>
      <c r="BT1232" t="s">
        <v>69</v>
      </c>
      <c r="BU1232" t="s">
        <v>69</v>
      </c>
      <c r="BV1232" t="s">
        <v>69</v>
      </c>
      <c r="BW1232" t="s">
        <v>69</v>
      </c>
      <c r="BX1232" t="s">
        <v>8526</v>
      </c>
      <c r="BY1232" t="str">
        <f>HYPERLINK("https%3A%2F%2Fwww.webofscience.com%2Fwos%2Fwoscc%2Ffull-record%2FWOS:000237725700003","View Full Record in Web of Science")</f>
        <v>View Full Record in Web of Science</v>
      </c>
    </row>
    <row r="1233" spans="1:77" ht="12.5" x14ac:dyDescent="0.25">
      <c r="A1233" t="s">
        <v>8495</v>
      </c>
      <c r="B1233" s="22" t="s">
        <v>32931</v>
      </c>
      <c r="C1233" s="7"/>
      <c r="D1233" s="7"/>
      <c r="E1233" s="7"/>
      <c r="F1233" t="s">
        <v>67</v>
      </c>
      <c r="G1233" t="s">
        <v>31456</v>
      </c>
      <c r="H1233" t="s">
        <v>69</v>
      </c>
      <c r="I1233" t="s">
        <v>69</v>
      </c>
      <c r="J1233" t="s">
        <v>69</v>
      </c>
      <c r="K1233" t="s">
        <v>31456</v>
      </c>
      <c r="L1233" t="s">
        <v>69</v>
      </c>
      <c r="M1233" t="s">
        <v>69</v>
      </c>
      <c r="N1233" t="s">
        <v>31457</v>
      </c>
      <c r="O1233" t="s">
        <v>28661</v>
      </c>
      <c r="P1233" t="s">
        <v>69</v>
      </c>
      <c r="Q1233" t="s">
        <v>69</v>
      </c>
      <c r="R1233" t="s">
        <v>8505</v>
      </c>
      <c r="S1233" t="s">
        <v>15797</v>
      </c>
      <c r="T1233" t="s">
        <v>31458</v>
      </c>
      <c r="U1233" t="s">
        <v>31459</v>
      </c>
      <c r="V1233" t="s">
        <v>31460</v>
      </c>
      <c r="W1233" t="s">
        <v>31461</v>
      </c>
      <c r="X1233" t="s">
        <v>69</v>
      </c>
      <c r="Y1233" t="s">
        <v>31462</v>
      </c>
      <c r="Z1233" t="s">
        <v>69</v>
      </c>
      <c r="AA1233" t="s">
        <v>31463</v>
      </c>
      <c r="AB1233" t="s">
        <v>31464</v>
      </c>
      <c r="AC1233" t="s">
        <v>69</v>
      </c>
      <c r="AD1233" t="s">
        <v>31465</v>
      </c>
      <c r="AE1233" t="s">
        <v>69</v>
      </c>
      <c r="AF1233" t="s">
        <v>31466</v>
      </c>
      <c r="AG1233" t="s">
        <v>31467</v>
      </c>
      <c r="AH1233" t="s">
        <v>69</v>
      </c>
      <c r="AI1233" t="s">
        <v>69</v>
      </c>
      <c r="AJ1233" t="s">
        <v>69</v>
      </c>
      <c r="AK1233" t="s">
        <v>69</v>
      </c>
      <c r="AL1233">
        <v>5</v>
      </c>
      <c r="AM1233">
        <v>57</v>
      </c>
      <c r="AN1233">
        <v>58</v>
      </c>
      <c r="AO1233">
        <v>0</v>
      </c>
      <c r="AP1233">
        <v>2</v>
      </c>
      <c r="AQ1233" t="s">
        <v>28668</v>
      </c>
      <c r="AR1233" t="s">
        <v>8763</v>
      </c>
      <c r="AS1233" t="s">
        <v>28669</v>
      </c>
      <c r="AT1233" t="s">
        <v>28670</v>
      </c>
      <c r="AU1233" t="s">
        <v>69</v>
      </c>
      <c r="AV1233" t="s">
        <v>69</v>
      </c>
      <c r="AW1233" t="s">
        <v>28672</v>
      </c>
      <c r="AX1233" t="s">
        <v>28673</v>
      </c>
      <c r="AY1233" t="s">
        <v>586</v>
      </c>
      <c r="AZ1233">
        <v>2002</v>
      </c>
      <c r="BA1233">
        <v>84</v>
      </c>
      <c r="BB1233">
        <v>3</v>
      </c>
      <c r="BC1233" t="s">
        <v>69</v>
      </c>
      <c r="BD1233" t="s">
        <v>69</v>
      </c>
      <c r="BE1233" t="s">
        <v>69</v>
      </c>
      <c r="BF1233" t="s">
        <v>69</v>
      </c>
      <c r="BG1233">
        <v>156</v>
      </c>
      <c r="BH1233">
        <v>160</v>
      </c>
      <c r="BI1233" t="s">
        <v>69</v>
      </c>
      <c r="BJ1233" t="s">
        <v>69</v>
      </c>
      <c r="BK1233" t="s">
        <v>69</v>
      </c>
      <c r="BL1233" t="s">
        <v>69</v>
      </c>
      <c r="BM1233" t="s">
        <v>69</v>
      </c>
      <c r="BN1233">
        <v>5</v>
      </c>
      <c r="BO1233" t="s">
        <v>11956</v>
      </c>
      <c r="BP1233" t="s">
        <v>29550</v>
      </c>
      <c r="BQ1233" t="s">
        <v>11956</v>
      </c>
      <c r="BR1233" t="s">
        <v>31468</v>
      </c>
      <c r="BS1233" t="s">
        <v>31469</v>
      </c>
      <c r="BT1233">
        <v>12092863</v>
      </c>
      <c r="BU1233" t="s">
        <v>69</v>
      </c>
      <c r="BV1233" t="s">
        <v>69</v>
      </c>
      <c r="BW1233" t="s">
        <v>69</v>
      </c>
      <c r="BX1233" t="s">
        <v>8526</v>
      </c>
      <c r="BY1233" t="str">
        <f>HYPERLINK("https%3A%2F%2Fwww.webofscience.com%2Fwos%2Fwoscc%2Ffull-record%2FWOS:000176098300002","View Full Record in Web of Science")</f>
        <v>View Full Record in Web of Science</v>
      </c>
    </row>
    <row r="1234" spans="1:77" ht="12.5" x14ac:dyDescent="0.25">
      <c r="A1234" t="s">
        <v>8495</v>
      </c>
      <c r="B1234" s="7" t="s">
        <v>32933</v>
      </c>
      <c r="C1234" s="7"/>
      <c r="D1234" s="7"/>
      <c r="E1234" s="7"/>
      <c r="F1234" t="s">
        <v>67</v>
      </c>
      <c r="G1234" t="s">
        <v>8342</v>
      </c>
      <c r="H1234" t="s">
        <v>69</v>
      </c>
      <c r="I1234" t="s">
        <v>69</v>
      </c>
      <c r="J1234" t="s">
        <v>69</v>
      </c>
      <c r="K1234" t="s">
        <v>8342</v>
      </c>
      <c r="L1234" t="s">
        <v>69</v>
      </c>
      <c r="M1234" t="s">
        <v>69</v>
      </c>
      <c r="N1234" t="s">
        <v>8343</v>
      </c>
      <c r="O1234" t="s">
        <v>8344</v>
      </c>
      <c r="P1234" t="s">
        <v>69</v>
      </c>
      <c r="Q1234" t="s">
        <v>69</v>
      </c>
      <c r="R1234" t="s">
        <v>8505</v>
      </c>
      <c r="S1234" t="s">
        <v>8506</v>
      </c>
      <c r="T1234" t="s">
        <v>69</v>
      </c>
      <c r="U1234" t="s">
        <v>69</v>
      </c>
      <c r="V1234" t="s">
        <v>69</v>
      </c>
      <c r="W1234" t="s">
        <v>69</v>
      </c>
      <c r="X1234" t="s">
        <v>69</v>
      </c>
      <c r="Y1234" t="s">
        <v>69</v>
      </c>
      <c r="Z1234" t="s">
        <v>69</v>
      </c>
      <c r="AA1234" t="s">
        <v>8345</v>
      </c>
      <c r="AB1234" t="s">
        <v>69</v>
      </c>
      <c r="AC1234" t="s">
        <v>69</v>
      </c>
      <c r="AD1234" t="s">
        <v>32704</v>
      </c>
      <c r="AE1234" t="s">
        <v>69</v>
      </c>
      <c r="AF1234" t="s">
        <v>69</v>
      </c>
      <c r="AG1234" t="s">
        <v>69</v>
      </c>
      <c r="AH1234" t="s">
        <v>69</v>
      </c>
      <c r="AI1234" t="s">
        <v>69</v>
      </c>
      <c r="AJ1234" t="s">
        <v>69</v>
      </c>
      <c r="AK1234" t="s">
        <v>69</v>
      </c>
      <c r="AL1234">
        <v>0</v>
      </c>
      <c r="AM1234">
        <v>1</v>
      </c>
      <c r="AN1234">
        <v>1</v>
      </c>
      <c r="AO1234">
        <v>0</v>
      </c>
      <c r="AP1234">
        <v>6</v>
      </c>
      <c r="AQ1234" t="s">
        <v>9145</v>
      </c>
      <c r="AR1234" t="s">
        <v>8637</v>
      </c>
      <c r="AS1234" t="s">
        <v>9146</v>
      </c>
      <c r="AT1234" t="s">
        <v>8346</v>
      </c>
      <c r="AU1234" t="s">
        <v>8347</v>
      </c>
      <c r="AV1234" t="s">
        <v>69</v>
      </c>
      <c r="AW1234" t="s">
        <v>32705</v>
      </c>
      <c r="AX1234" t="s">
        <v>32706</v>
      </c>
      <c r="AY1234" t="s">
        <v>69</v>
      </c>
      <c r="AZ1234">
        <v>1994</v>
      </c>
      <c r="BA1234">
        <v>29</v>
      </c>
      <c r="BB1234" t="s">
        <v>8348</v>
      </c>
      <c r="BC1234" t="s">
        <v>69</v>
      </c>
      <c r="BD1234" t="s">
        <v>69</v>
      </c>
      <c r="BE1234" t="s">
        <v>69</v>
      </c>
      <c r="BF1234" t="s">
        <v>69</v>
      </c>
      <c r="BG1234">
        <v>398</v>
      </c>
      <c r="BH1234">
        <v>400</v>
      </c>
      <c r="BI1234" t="s">
        <v>69</v>
      </c>
      <c r="BJ1234" t="s">
        <v>69</v>
      </c>
      <c r="BK1234" t="s">
        <v>69</v>
      </c>
      <c r="BL1234" t="s">
        <v>69</v>
      </c>
      <c r="BM1234" t="s">
        <v>69</v>
      </c>
      <c r="BN1234">
        <v>3</v>
      </c>
      <c r="BO1234" t="s">
        <v>10043</v>
      </c>
      <c r="BP1234" t="s">
        <v>8548</v>
      </c>
      <c r="BQ1234" t="s">
        <v>10044</v>
      </c>
      <c r="BR1234" t="s">
        <v>32707</v>
      </c>
      <c r="BS1234" t="s">
        <v>8349</v>
      </c>
      <c r="BT1234" t="s">
        <v>69</v>
      </c>
      <c r="BU1234" t="s">
        <v>69</v>
      </c>
      <c r="BV1234" t="s">
        <v>69</v>
      </c>
      <c r="BW1234" t="s">
        <v>69</v>
      </c>
      <c r="BX1234" t="s">
        <v>8526</v>
      </c>
      <c r="BY1234" t="str">
        <f>HYPERLINK("https%3A%2F%2Fwww.webofscience.com%2Fwos%2Fwoscc%2Ffull-record%2FWOS:A1994RC98400030","View Full Record in Web of Science")</f>
        <v>View Full Record in Web of Science</v>
      </c>
    </row>
    <row r="1235" spans="1:77" ht="12.5" x14ac:dyDescent="0.25">
      <c r="A1235" t="s">
        <v>8495</v>
      </c>
      <c r="B1235" s="22" t="s">
        <v>32931</v>
      </c>
      <c r="C1235" s="7"/>
      <c r="D1235" s="7"/>
      <c r="E1235" s="7"/>
      <c r="F1235" t="s">
        <v>67</v>
      </c>
      <c r="G1235" t="s">
        <v>12912</v>
      </c>
      <c r="H1235" t="s">
        <v>69</v>
      </c>
      <c r="I1235" t="s">
        <v>69</v>
      </c>
      <c r="J1235" t="s">
        <v>69</v>
      </c>
      <c r="K1235" t="s">
        <v>12913</v>
      </c>
      <c r="L1235" t="s">
        <v>69</v>
      </c>
      <c r="M1235" t="s">
        <v>69</v>
      </c>
      <c r="N1235" t="s">
        <v>12914</v>
      </c>
      <c r="O1235" t="s">
        <v>12915</v>
      </c>
      <c r="P1235" t="s">
        <v>69</v>
      </c>
      <c r="Q1235" t="s">
        <v>69</v>
      </c>
      <c r="R1235" t="s">
        <v>8505</v>
      </c>
      <c r="S1235" t="s">
        <v>8506</v>
      </c>
      <c r="T1235" t="s">
        <v>69</v>
      </c>
      <c r="U1235" t="s">
        <v>69</v>
      </c>
      <c r="V1235" t="s">
        <v>69</v>
      </c>
      <c r="W1235" t="s">
        <v>69</v>
      </c>
      <c r="X1235" t="s">
        <v>69</v>
      </c>
      <c r="Y1235" t="s">
        <v>69</v>
      </c>
      <c r="Z1235" t="s">
        <v>12916</v>
      </c>
      <c r="AA1235" t="s">
        <v>12917</v>
      </c>
      <c r="AB1235" t="s">
        <v>12918</v>
      </c>
      <c r="AC1235" t="s">
        <v>69</v>
      </c>
      <c r="AD1235" t="s">
        <v>12919</v>
      </c>
      <c r="AE1235" t="s">
        <v>12920</v>
      </c>
      <c r="AF1235" t="s">
        <v>69</v>
      </c>
      <c r="AG1235" t="s">
        <v>12921</v>
      </c>
      <c r="AH1235" t="s">
        <v>12922</v>
      </c>
      <c r="AI1235" t="s">
        <v>12922</v>
      </c>
      <c r="AJ1235" t="s">
        <v>12923</v>
      </c>
      <c r="AK1235" t="s">
        <v>69</v>
      </c>
      <c r="AL1235">
        <v>93</v>
      </c>
      <c r="AM1235">
        <v>1</v>
      </c>
      <c r="AN1235">
        <v>1</v>
      </c>
      <c r="AO1235">
        <v>1</v>
      </c>
      <c r="AP1235">
        <v>3</v>
      </c>
      <c r="AQ1235" t="s">
        <v>12924</v>
      </c>
      <c r="AR1235" t="s">
        <v>12925</v>
      </c>
      <c r="AS1235" t="s">
        <v>12926</v>
      </c>
      <c r="AT1235" t="s">
        <v>12927</v>
      </c>
      <c r="AU1235" t="s">
        <v>69</v>
      </c>
      <c r="AV1235" t="s">
        <v>69</v>
      </c>
      <c r="AW1235" t="s">
        <v>12915</v>
      </c>
      <c r="AX1235" t="s">
        <v>12928</v>
      </c>
      <c r="AY1235" t="s">
        <v>94</v>
      </c>
      <c r="AZ1235">
        <v>2021</v>
      </c>
      <c r="BA1235">
        <v>26</v>
      </c>
      <c r="BB1235">
        <v>1</v>
      </c>
      <c r="BC1235" t="s">
        <v>69</v>
      </c>
      <c r="BD1235" t="s">
        <v>69</v>
      </c>
      <c r="BE1235" t="s">
        <v>69</v>
      </c>
      <c r="BF1235" t="s">
        <v>69</v>
      </c>
      <c r="BG1235">
        <v>65</v>
      </c>
      <c r="BH1235">
        <v>86</v>
      </c>
      <c r="BI1235" t="s">
        <v>69</v>
      </c>
      <c r="BJ1235" t="s">
        <v>12929</v>
      </c>
      <c r="BK1235" t="str">
        <f>HYPERLINK("http://dx.doi.org/10.17813/1086-671X-26-1-65","http://dx.doi.org/10.17813/1086-671X-26-1-65")</f>
        <v>http://dx.doi.org/10.17813/1086-671X-26-1-65</v>
      </c>
      <c r="BL1235" t="s">
        <v>69</v>
      </c>
      <c r="BM1235" t="s">
        <v>69</v>
      </c>
      <c r="BN1235">
        <v>22</v>
      </c>
      <c r="BO1235" t="s">
        <v>12930</v>
      </c>
      <c r="BP1235" t="s">
        <v>8661</v>
      </c>
      <c r="BQ1235" t="s">
        <v>12930</v>
      </c>
      <c r="BR1235" t="s">
        <v>12931</v>
      </c>
      <c r="BS1235" t="s">
        <v>12932</v>
      </c>
      <c r="BT1235" t="s">
        <v>69</v>
      </c>
      <c r="BU1235" t="s">
        <v>69</v>
      </c>
      <c r="BV1235" t="s">
        <v>69</v>
      </c>
      <c r="BW1235" t="s">
        <v>69</v>
      </c>
      <c r="BX1235" t="s">
        <v>8526</v>
      </c>
      <c r="BY1235" t="str">
        <f>HYPERLINK("https%3A%2F%2Fwww.webofscience.com%2Fwos%2Fwoscc%2Ffull-record%2FWOS:000634845100004","View Full Record in Web of Science")</f>
        <v>View Full Record in Web of Science</v>
      </c>
    </row>
    <row r="1236" spans="1:77" ht="12.5" x14ac:dyDescent="0.25">
      <c r="A1236" t="s">
        <v>8495</v>
      </c>
      <c r="B1236" s="7" t="s">
        <v>32933</v>
      </c>
      <c r="C1236" s="7"/>
      <c r="D1236" s="7"/>
      <c r="E1236" s="7"/>
      <c r="F1236" t="s">
        <v>67</v>
      </c>
      <c r="G1236" t="s">
        <v>2665</v>
      </c>
      <c r="H1236" t="s">
        <v>69</v>
      </c>
      <c r="I1236" t="s">
        <v>69</v>
      </c>
      <c r="J1236" t="s">
        <v>69</v>
      </c>
      <c r="K1236" t="s">
        <v>2666</v>
      </c>
      <c r="L1236" t="s">
        <v>69</v>
      </c>
      <c r="M1236" t="s">
        <v>69</v>
      </c>
      <c r="N1236" t="s">
        <v>2667</v>
      </c>
      <c r="O1236" t="s">
        <v>2668</v>
      </c>
      <c r="P1236" t="s">
        <v>69</v>
      </c>
      <c r="Q1236" t="s">
        <v>69</v>
      </c>
      <c r="R1236" t="s">
        <v>8505</v>
      </c>
      <c r="S1236" t="s">
        <v>8506</v>
      </c>
      <c r="T1236" t="s">
        <v>69</v>
      </c>
      <c r="U1236" t="s">
        <v>69</v>
      </c>
      <c r="V1236" t="s">
        <v>69</v>
      </c>
      <c r="W1236" t="s">
        <v>69</v>
      </c>
      <c r="X1236" t="s">
        <v>69</v>
      </c>
      <c r="Y1236" t="s">
        <v>20903</v>
      </c>
      <c r="Z1236" t="s">
        <v>20904</v>
      </c>
      <c r="AA1236" t="s">
        <v>2669</v>
      </c>
      <c r="AB1236" t="s">
        <v>20905</v>
      </c>
      <c r="AC1236" t="s">
        <v>69</v>
      </c>
      <c r="AD1236" t="s">
        <v>20906</v>
      </c>
      <c r="AE1236" t="s">
        <v>20907</v>
      </c>
      <c r="AF1236" t="s">
        <v>69</v>
      </c>
      <c r="AG1236" t="s">
        <v>69</v>
      </c>
      <c r="AH1236" t="s">
        <v>20908</v>
      </c>
      <c r="AI1236" t="s">
        <v>20909</v>
      </c>
      <c r="AJ1236" t="s">
        <v>20910</v>
      </c>
      <c r="AK1236" t="s">
        <v>69</v>
      </c>
      <c r="AL1236">
        <v>36</v>
      </c>
      <c r="AM1236">
        <v>3</v>
      </c>
      <c r="AN1236">
        <v>3</v>
      </c>
      <c r="AO1236">
        <v>2</v>
      </c>
      <c r="AP1236">
        <v>12</v>
      </c>
      <c r="AQ1236" t="s">
        <v>8865</v>
      </c>
      <c r="AR1236" t="s">
        <v>8612</v>
      </c>
      <c r="AS1236" t="s">
        <v>8866</v>
      </c>
      <c r="AT1236" t="s">
        <v>2670</v>
      </c>
      <c r="AU1236" t="s">
        <v>2671</v>
      </c>
      <c r="AV1236" t="s">
        <v>69</v>
      </c>
      <c r="AW1236" t="s">
        <v>20911</v>
      </c>
      <c r="AX1236" t="s">
        <v>20912</v>
      </c>
      <c r="AY1236" t="s">
        <v>69</v>
      </c>
      <c r="AZ1236">
        <v>2017</v>
      </c>
      <c r="BA1236">
        <v>28</v>
      </c>
      <c r="BB1236">
        <v>14</v>
      </c>
      <c r="BC1236" t="s">
        <v>69</v>
      </c>
      <c r="BD1236" t="s">
        <v>69</v>
      </c>
      <c r="BE1236" t="s">
        <v>69</v>
      </c>
      <c r="BF1236" t="s">
        <v>69</v>
      </c>
      <c r="BG1236">
        <v>2017</v>
      </c>
      <c r="BH1236">
        <v>2035</v>
      </c>
      <c r="BI1236" t="s">
        <v>69</v>
      </c>
      <c r="BJ1236" t="s">
        <v>2672</v>
      </c>
      <c r="BK1236" t="str">
        <f>HYPERLINK("http://dx.doi.org/10.1080/09585192.2015.1136670","http://dx.doi.org/10.1080/09585192.2015.1136670")</f>
        <v>http://dx.doi.org/10.1080/09585192.2015.1136670</v>
      </c>
      <c r="BL1236" t="s">
        <v>69</v>
      </c>
      <c r="BM1236" t="s">
        <v>69</v>
      </c>
      <c r="BN1236">
        <v>19</v>
      </c>
      <c r="BO1236" t="s">
        <v>9410</v>
      </c>
      <c r="BP1236" t="s">
        <v>8661</v>
      </c>
      <c r="BQ1236" t="s">
        <v>8594</v>
      </c>
      <c r="BR1236" t="s">
        <v>20913</v>
      </c>
      <c r="BS1236" t="s">
        <v>2673</v>
      </c>
      <c r="BT1236" t="s">
        <v>69</v>
      </c>
      <c r="BU1236" t="s">
        <v>9292</v>
      </c>
      <c r="BV1236" t="s">
        <v>69</v>
      </c>
      <c r="BW1236" t="s">
        <v>69</v>
      </c>
      <c r="BX1236" t="s">
        <v>8526</v>
      </c>
      <c r="BY1236" t="str">
        <f>HYPERLINK("https%3A%2F%2Fwww.webofscience.com%2Fwos%2Fwoscc%2Ffull-record%2FWOS:000402641300006","View Full Record in Web of Science")</f>
        <v>View Full Record in Web of Science</v>
      </c>
    </row>
    <row r="1237" spans="1:77" ht="12.5" x14ac:dyDescent="0.25">
      <c r="A1237" t="s">
        <v>8495</v>
      </c>
      <c r="B1237" s="22" t="s">
        <v>32931</v>
      </c>
      <c r="C1237" s="7"/>
      <c r="D1237" s="7"/>
      <c r="E1237" s="7"/>
      <c r="F1237" t="s">
        <v>67</v>
      </c>
      <c r="G1237" t="s">
        <v>13814</v>
      </c>
      <c r="H1237" t="s">
        <v>69</v>
      </c>
      <c r="I1237" t="s">
        <v>69</v>
      </c>
      <c r="J1237" t="s">
        <v>69</v>
      </c>
      <c r="K1237" t="s">
        <v>13815</v>
      </c>
      <c r="L1237" t="s">
        <v>69</v>
      </c>
      <c r="M1237" t="s">
        <v>69</v>
      </c>
      <c r="N1237" t="s">
        <v>13816</v>
      </c>
      <c r="O1237" t="s">
        <v>13817</v>
      </c>
      <c r="P1237" t="s">
        <v>69</v>
      </c>
      <c r="Q1237" t="s">
        <v>69</v>
      </c>
      <c r="R1237" t="s">
        <v>8505</v>
      </c>
      <c r="S1237" t="s">
        <v>8506</v>
      </c>
      <c r="T1237" t="s">
        <v>69</v>
      </c>
      <c r="U1237" t="s">
        <v>69</v>
      </c>
      <c r="V1237" t="s">
        <v>69</v>
      </c>
      <c r="W1237" t="s">
        <v>69</v>
      </c>
      <c r="X1237" t="s">
        <v>69</v>
      </c>
      <c r="Y1237" t="s">
        <v>13818</v>
      </c>
      <c r="Z1237" t="s">
        <v>69</v>
      </c>
      <c r="AA1237" t="s">
        <v>13819</v>
      </c>
      <c r="AB1237" t="s">
        <v>69</v>
      </c>
      <c r="AC1237" t="s">
        <v>69</v>
      </c>
      <c r="AD1237" t="s">
        <v>69</v>
      </c>
      <c r="AE1237" t="s">
        <v>13820</v>
      </c>
      <c r="AF1237" t="s">
        <v>69</v>
      </c>
      <c r="AG1237" t="s">
        <v>69</v>
      </c>
      <c r="AH1237" t="s">
        <v>69</v>
      </c>
      <c r="AI1237" t="s">
        <v>69</v>
      </c>
      <c r="AJ1237" t="s">
        <v>69</v>
      </c>
      <c r="AK1237" t="s">
        <v>69</v>
      </c>
      <c r="AL1237">
        <v>18</v>
      </c>
      <c r="AM1237">
        <v>0</v>
      </c>
      <c r="AN1237">
        <v>0</v>
      </c>
      <c r="AO1237">
        <v>0</v>
      </c>
      <c r="AP1237">
        <v>0</v>
      </c>
      <c r="AQ1237" t="s">
        <v>8846</v>
      </c>
      <c r="AR1237" t="s">
        <v>8847</v>
      </c>
      <c r="AS1237" t="s">
        <v>8848</v>
      </c>
      <c r="AT1237" t="s">
        <v>13821</v>
      </c>
      <c r="AU1237" t="s">
        <v>69</v>
      </c>
      <c r="AV1237" t="s">
        <v>69</v>
      </c>
      <c r="AW1237" t="s">
        <v>13822</v>
      </c>
      <c r="AX1237" t="s">
        <v>13823</v>
      </c>
      <c r="AY1237" t="s">
        <v>373</v>
      </c>
      <c r="AZ1237">
        <v>2021</v>
      </c>
      <c r="BA1237">
        <v>33</v>
      </c>
      <c r="BB1237">
        <v>1</v>
      </c>
      <c r="BC1237" t="s">
        <v>69</v>
      </c>
      <c r="BD1237" t="s">
        <v>69</v>
      </c>
      <c r="BE1237" t="s">
        <v>69</v>
      </c>
      <c r="BF1237" t="s">
        <v>69</v>
      </c>
      <c r="BG1237">
        <v>69</v>
      </c>
      <c r="BH1237">
        <v>73</v>
      </c>
      <c r="BI1237" t="s">
        <v>69</v>
      </c>
      <c r="BJ1237" t="s">
        <v>13824</v>
      </c>
      <c r="BK1237" t="str">
        <f>HYPERLINK("http://dx.doi.org/10.1002/nha3.20306","http://dx.doi.org/10.1002/nha3.20306")</f>
        <v>http://dx.doi.org/10.1002/nha3.20306</v>
      </c>
      <c r="BL1237" t="s">
        <v>69</v>
      </c>
      <c r="BM1237" t="s">
        <v>69</v>
      </c>
      <c r="BN1237">
        <v>5</v>
      </c>
      <c r="BO1237" t="s">
        <v>13825</v>
      </c>
      <c r="BP1237" t="s">
        <v>8573</v>
      </c>
      <c r="BQ1237" t="s">
        <v>8594</v>
      </c>
      <c r="BR1237" t="s">
        <v>13826</v>
      </c>
      <c r="BS1237" t="s">
        <v>13827</v>
      </c>
      <c r="BT1237" t="s">
        <v>69</v>
      </c>
      <c r="BU1237" t="s">
        <v>69</v>
      </c>
      <c r="BV1237" t="s">
        <v>69</v>
      </c>
      <c r="BW1237" t="s">
        <v>69</v>
      </c>
      <c r="BX1237" t="s">
        <v>8526</v>
      </c>
      <c r="BY1237" t="str">
        <f>HYPERLINK("https%3A%2F%2Fwww.webofscience.com%2Fwos%2Fwoscc%2Ffull-record%2FWOS:000615170900006","View Full Record in Web of Science")</f>
        <v>View Full Record in Web of Science</v>
      </c>
    </row>
    <row r="1238" spans="1:77" ht="12.5" x14ac:dyDescent="0.25">
      <c r="A1238" t="s">
        <v>8495</v>
      </c>
      <c r="B1238" s="22" t="s">
        <v>32931</v>
      </c>
      <c r="C1238" s="7"/>
      <c r="D1238" s="7"/>
      <c r="E1238" s="7"/>
      <c r="F1238" t="s">
        <v>67</v>
      </c>
      <c r="G1238" t="s">
        <v>22345</v>
      </c>
      <c r="H1238" t="s">
        <v>69</v>
      </c>
      <c r="I1238" t="s">
        <v>69</v>
      </c>
      <c r="J1238" t="s">
        <v>69</v>
      </c>
      <c r="K1238" t="s">
        <v>22346</v>
      </c>
      <c r="L1238" t="s">
        <v>69</v>
      </c>
      <c r="M1238" t="s">
        <v>69</v>
      </c>
      <c r="N1238" t="s">
        <v>22347</v>
      </c>
      <c r="O1238" t="s">
        <v>14776</v>
      </c>
      <c r="P1238" t="s">
        <v>69</v>
      </c>
      <c r="Q1238" t="s">
        <v>69</v>
      </c>
      <c r="R1238" t="s">
        <v>8505</v>
      </c>
      <c r="S1238" t="s">
        <v>8506</v>
      </c>
      <c r="T1238" t="s">
        <v>69</v>
      </c>
      <c r="U1238" t="s">
        <v>69</v>
      </c>
      <c r="V1238" t="s">
        <v>69</v>
      </c>
      <c r="W1238" t="s">
        <v>69</v>
      </c>
      <c r="X1238" t="s">
        <v>69</v>
      </c>
      <c r="Y1238" t="s">
        <v>22348</v>
      </c>
      <c r="Z1238" t="s">
        <v>22349</v>
      </c>
      <c r="AA1238" t="s">
        <v>22350</v>
      </c>
      <c r="AB1238" t="s">
        <v>22351</v>
      </c>
      <c r="AC1238" t="s">
        <v>69</v>
      </c>
      <c r="AD1238" t="s">
        <v>22352</v>
      </c>
      <c r="AE1238" t="s">
        <v>22353</v>
      </c>
      <c r="AF1238" t="s">
        <v>22354</v>
      </c>
      <c r="AG1238" t="s">
        <v>22355</v>
      </c>
      <c r="AH1238" t="s">
        <v>69</v>
      </c>
      <c r="AI1238" t="s">
        <v>69</v>
      </c>
      <c r="AJ1238" t="s">
        <v>69</v>
      </c>
      <c r="AK1238" t="s">
        <v>69</v>
      </c>
      <c r="AL1238">
        <v>32</v>
      </c>
      <c r="AM1238">
        <v>5</v>
      </c>
      <c r="AN1238">
        <v>5</v>
      </c>
      <c r="AO1238">
        <v>0</v>
      </c>
      <c r="AP1238">
        <v>9</v>
      </c>
      <c r="AQ1238" t="s">
        <v>18749</v>
      </c>
      <c r="AR1238" t="s">
        <v>8763</v>
      </c>
      <c r="AS1238" t="s">
        <v>18750</v>
      </c>
      <c r="AT1238" t="s">
        <v>14787</v>
      </c>
      <c r="AU1238" t="s">
        <v>69</v>
      </c>
      <c r="AV1238" t="s">
        <v>69</v>
      </c>
      <c r="AW1238" t="s">
        <v>14788</v>
      </c>
      <c r="AX1238" t="s">
        <v>14789</v>
      </c>
      <c r="AY1238" t="s">
        <v>22356</v>
      </c>
      <c r="AZ1238">
        <v>2015</v>
      </c>
      <c r="BA1238">
        <v>4</v>
      </c>
      <c r="BB1238" t="s">
        <v>69</v>
      </c>
      <c r="BC1238" t="s">
        <v>69</v>
      </c>
      <c r="BD1238" t="s">
        <v>69</v>
      </c>
      <c r="BE1238" t="s">
        <v>69</v>
      </c>
      <c r="BF1238" t="s">
        <v>69</v>
      </c>
      <c r="BG1238" t="s">
        <v>69</v>
      </c>
      <c r="BH1238" t="s">
        <v>69</v>
      </c>
      <c r="BI1238">
        <v>47</v>
      </c>
      <c r="BJ1238" t="s">
        <v>22357</v>
      </c>
      <c r="BK1238" t="str">
        <f>HYPERLINK("http://dx.doi.org/10.1186/s13756-015-0090-3","http://dx.doi.org/10.1186/s13756-015-0090-3")</f>
        <v>http://dx.doi.org/10.1186/s13756-015-0090-3</v>
      </c>
      <c r="BL1238" t="s">
        <v>69</v>
      </c>
      <c r="BM1238" t="s">
        <v>69</v>
      </c>
      <c r="BN1238">
        <v>9</v>
      </c>
      <c r="BO1238" t="s">
        <v>14792</v>
      </c>
      <c r="BP1238" t="s">
        <v>8548</v>
      </c>
      <c r="BQ1238" t="s">
        <v>14792</v>
      </c>
      <c r="BR1238" t="s">
        <v>22358</v>
      </c>
      <c r="BS1238" t="s">
        <v>22359</v>
      </c>
      <c r="BT1238">
        <v>26579221</v>
      </c>
      <c r="BU1238" t="s">
        <v>8812</v>
      </c>
      <c r="BV1238" t="s">
        <v>69</v>
      </c>
      <c r="BW1238" t="s">
        <v>69</v>
      </c>
      <c r="BX1238" t="s">
        <v>8526</v>
      </c>
      <c r="BY1238" t="str">
        <f>HYPERLINK("https%3A%2F%2Fwww.webofscience.com%2Fwos%2Fwoscc%2Ffull-record%2FWOS:000367372100001","View Full Record in Web of Science")</f>
        <v>View Full Record in Web of Science</v>
      </c>
    </row>
    <row r="1239" spans="1:77" ht="12.5" x14ac:dyDescent="0.25">
      <c r="A1239" t="s">
        <v>8495</v>
      </c>
      <c r="B1239" s="7" t="s">
        <v>32933</v>
      </c>
      <c r="C1239" s="7"/>
      <c r="D1239" s="7"/>
      <c r="E1239" s="7"/>
      <c r="F1239" t="s">
        <v>67</v>
      </c>
      <c r="G1239" t="s">
        <v>2341</v>
      </c>
      <c r="H1239" t="s">
        <v>69</v>
      </c>
      <c r="I1239" t="s">
        <v>69</v>
      </c>
      <c r="J1239" t="s">
        <v>69</v>
      </c>
      <c r="K1239" t="s">
        <v>2342</v>
      </c>
      <c r="L1239" t="s">
        <v>69</v>
      </c>
      <c r="M1239" t="s">
        <v>69</v>
      </c>
      <c r="N1239" t="s">
        <v>2343</v>
      </c>
      <c r="O1239" t="s">
        <v>179</v>
      </c>
      <c r="P1239" t="s">
        <v>69</v>
      </c>
      <c r="Q1239" t="s">
        <v>69</v>
      </c>
      <c r="R1239" t="s">
        <v>8505</v>
      </c>
      <c r="S1239" t="s">
        <v>8506</v>
      </c>
      <c r="T1239" t="s">
        <v>69</v>
      </c>
      <c r="U1239" t="s">
        <v>69</v>
      </c>
      <c r="V1239" t="s">
        <v>69</v>
      </c>
      <c r="W1239" t="s">
        <v>69</v>
      </c>
      <c r="X1239" t="s">
        <v>69</v>
      </c>
      <c r="Y1239" t="s">
        <v>18141</v>
      </c>
      <c r="Z1239" t="s">
        <v>18142</v>
      </c>
      <c r="AA1239" t="s">
        <v>2344</v>
      </c>
      <c r="AB1239" t="s">
        <v>18143</v>
      </c>
      <c r="AC1239" t="s">
        <v>69</v>
      </c>
      <c r="AD1239" t="s">
        <v>18144</v>
      </c>
      <c r="AE1239" t="s">
        <v>18145</v>
      </c>
      <c r="AF1239" t="s">
        <v>18146</v>
      </c>
      <c r="AG1239" t="s">
        <v>18147</v>
      </c>
      <c r="AH1239" t="s">
        <v>18148</v>
      </c>
      <c r="AI1239" t="s">
        <v>18149</v>
      </c>
      <c r="AJ1239" t="s">
        <v>18150</v>
      </c>
      <c r="AK1239" t="s">
        <v>69</v>
      </c>
      <c r="AL1239">
        <v>56</v>
      </c>
      <c r="AM1239">
        <v>9</v>
      </c>
      <c r="AN1239">
        <v>9</v>
      </c>
      <c r="AO1239">
        <v>2</v>
      </c>
      <c r="AP1239">
        <v>18</v>
      </c>
      <c r="AQ1239" t="s">
        <v>9047</v>
      </c>
      <c r="AR1239" t="s">
        <v>8693</v>
      </c>
      <c r="AS1239" t="s">
        <v>16643</v>
      </c>
      <c r="AT1239" t="s">
        <v>181</v>
      </c>
      <c r="AU1239" t="s">
        <v>182</v>
      </c>
      <c r="AV1239" t="s">
        <v>69</v>
      </c>
      <c r="AW1239" t="s">
        <v>17432</v>
      </c>
      <c r="AX1239" t="s">
        <v>17433</v>
      </c>
      <c r="AY1239" t="s">
        <v>274</v>
      </c>
      <c r="AZ1239">
        <v>2018</v>
      </c>
      <c r="BA1239">
        <v>62</v>
      </c>
      <c r="BB1239">
        <v>5</v>
      </c>
      <c r="BC1239" t="s">
        <v>69</v>
      </c>
      <c r="BD1239" t="s">
        <v>69</v>
      </c>
      <c r="BE1239" t="s">
        <v>69</v>
      </c>
      <c r="BF1239" t="s">
        <v>69</v>
      </c>
      <c r="BG1239">
        <v>929</v>
      </c>
      <c r="BH1239">
        <v>941</v>
      </c>
      <c r="BI1239" t="s">
        <v>69</v>
      </c>
      <c r="BJ1239" t="s">
        <v>2345</v>
      </c>
      <c r="BK1239" t="str">
        <f>HYPERLINK("http://dx.doi.org/10.1007/s00267-018-1086-6","http://dx.doi.org/10.1007/s00267-018-1086-6")</f>
        <v>http://dx.doi.org/10.1007/s00267-018-1086-6</v>
      </c>
      <c r="BL1239" t="s">
        <v>69</v>
      </c>
      <c r="BM1239" t="s">
        <v>69</v>
      </c>
      <c r="BN1239">
        <v>13</v>
      </c>
      <c r="BO1239" t="s">
        <v>8717</v>
      </c>
      <c r="BP1239" t="s">
        <v>8548</v>
      </c>
      <c r="BQ1239" t="s">
        <v>8662</v>
      </c>
      <c r="BR1239" t="s">
        <v>18151</v>
      </c>
      <c r="BS1239" t="s">
        <v>2346</v>
      </c>
      <c r="BT1239">
        <v>30039241</v>
      </c>
      <c r="BU1239" t="s">
        <v>69</v>
      </c>
      <c r="BV1239" t="s">
        <v>69</v>
      </c>
      <c r="BW1239" t="s">
        <v>69</v>
      </c>
      <c r="BX1239" t="s">
        <v>8526</v>
      </c>
      <c r="BY1239" t="str">
        <f>HYPERLINK("https%3A%2F%2Fwww.webofscience.com%2Fwos%2Fwoscc%2Ffull-record%2FWOS:000449306600009","View Full Record in Web of Science")</f>
        <v>View Full Record in Web of Science</v>
      </c>
    </row>
    <row r="1240" spans="1:77" ht="12.5" x14ac:dyDescent="0.25">
      <c r="A1240" t="s">
        <v>8495</v>
      </c>
      <c r="B1240" s="7" t="s">
        <v>32933</v>
      </c>
      <c r="C1240" s="7"/>
      <c r="D1240" s="7"/>
      <c r="E1240" s="7"/>
      <c r="F1240" t="s">
        <v>67</v>
      </c>
      <c r="G1240" t="s">
        <v>4989</v>
      </c>
      <c r="H1240" t="s">
        <v>69</v>
      </c>
      <c r="I1240" t="s">
        <v>69</v>
      </c>
      <c r="J1240" t="s">
        <v>69</v>
      </c>
      <c r="K1240" t="s">
        <v>4990</v>
      </c>
      <c r="L1240" t="s">
        <v>69</v>
      </c>
      <c r="M1240" t="s">
        <v>69</v>
      </c>
      <c r="N1240" t="s">
        <v>4991</v>
      </c>
      <c r="O1240" t="s">
        <v>3421</v>
      </c>
      <c r="P1240" t="s">
        <v>69</v>
      </c>
      <c r="Q1240" t="s">
        <v>69</v>
      </c>
      <c r="R1240" t="s">
        <v>8505</v>
      </c>
      <c r="S1240" t="s">
        <v>8506</v>
      </c>
      <c r="T1240" t="s">
        <v>69</v>
      </c>
      <c r="U1240" t="s">
        <v>69</v>
      </c>
      <c r="V1240" t="s">
        <v>69</v>
      </c>
      <c r="W1240" t="s">
        <v>69</v>
      </c>
      <c r="X1240" t="s">
        <v>69</v>
      </c>
      <c r="Y1240" t="s">
        <v>17331</v>
      </c>
      <c r="Z1240" t="s">
        <v>17332</v>
      </c>
      <c r="AA1240" t="s">
        <v>4992</v>
      </c>
      <c r="AB1240" t="s">
        <v>17333</v>
      </c>
      <c r="AC1240" t="s">
        <v>69</v>
      </c>
      <c r="AD1240" t="s">
        <v>17334</v>
      </c>
      <c r="AE1240" t="s">
        <v>17335</v>
      </c>
      <c r="AF1240" t="s">
        <v>69</v>
      </c>
      <c r="AG1240" t="s">
        <v>69</v>
      </c>
      <c r="AH1240" t="s">
        <v>69</v>
      </c>
      <c r="AI1240" t="s">
        <v>69</v>
      </c>
      <c r="AJ1240" t="s">
        <v>69</v>
      </c>
      <c r="AK1240" t="s">
        <v>69</v>
      </c>
      <c r="AL1240">
        <v>41</v>
      </c>
      <c r="AM1240">
        <v>4</v>
      </c>
      <c r="AN1240">
        <v>4</v>
      </c>
      <c r="AO1240">
        <v>5</v>
      </c>
      <c r="AP1240">
        <v>15</v>
      </c>
      <c r="AQ1240" t="s">
        <v>8865</v>
      </c>
      <c r="AR1240" t="s">
        <v>8612</v>
      </c>
      <c r="AS1240" t="s">
        <v>8866</v>
      </c>
      <c r="AT1240" t="s">
        <v>3424</v>
      </c>
      <c r="AU1240" t="s">
        <v>4993</v>
      </c>
      <c r="AV1240" t="s">
        <v>69</v>
      </c>
      <c r="AW1240" t="s">
        <v>16878</v>
      </c>
      <c r="AX1240" t="s">
        <v>16879</v>
      </c>
      <c r="AY1240" t="s">
        <v>4994</v>
      </c>
      <c r="AZ1240">
        <v>2019</v>
      </c>
      <c r="BA1240">
        <v>62</v>
      </c>
      <c r="BB1240">
        <v>11</v>
      </c>
      <c r="BC1240" t="s">
        <v>69</v>
      </c>
      <c r="BD1240" t="s">
        <v>69</v>
      </c>
      <c r="BE1240" t="s">
        <v>69</v>
      </c>
      <c r="BF1240" t="s">
        <v>69</v>
      </c>
      <c r="BG1240">
        <v>1908</v>
      </c>
      <c r="BH1240">
        <v>1928</v>
      </c>
      <c r="BI1240" t="s">
        <v>69</v>
      </c>
      <c r="BJ1240" t="s">
        <v>4995</v>
      </c>
      <c r="BK1240" t="str">
        <f>HYPERLINK("http://dx.doi.org/10.1080/09640568.2018.1523051","http://dx.doi.org/10.1080/09640568.2018.1523051")</f>
        <v>http://dx.doi.org/10.1080/09640568.2018.1523051</v>
      </c>
      <c r="BL1240" t="s">
        <v>69</v>
      </c>
      <c r="BM1240" t="s">
        <v>4996</v>
      </c>
      <c r="BN1240">
        <v>21</v>
      </c>
      <c r="BO1240" t="s">
        <v>14686</v>
      </c>
      <c r="BP1240" t="s">
        <v>8661</v>
      </c>
      <c r="BQ1240" t="s">
        <v>14687</v>
      </c>
      <c r="BR1240" t="s">
        <v>17336</v>
      </c>
      <c r="BS1240" t="s">
        <v>4997</v>
      </c>
      <c r="BT1240" t="s">
        <v>69</v>
      </c>
      <c r="BU1240" t="s">
        <v>69</v>
      </c>
      <c r="BV1240" t="s">
        <v>69</v>
      </c>
      <c r="BW1240" t="s">
        <v>69</v>
      </c>
      <c r="BX1240" t="s">
        <v>8526</v>
      </c>
      <c r="BY1240" t="str">
        <f>HYPERLINK("https%3A%2F%2Fwww.webofscience.com%2Fwos%2Fwoscc%2Ffull-record%2FWOS:000466008000001","View Full Record in Web of Science")</f>
        <v>View Full Record in Web of Science</v>
      </c>
    </row>
    <row r="1241" spans="1:77" ht="12.5" x14ac:dyDescent="0.25">
      <c r="A1241" t="s">
        <v>8495</v>
      </c>
      <c r="B1241" s="22" t="s">
        <v>32931</v>
      </c>
      <c r="C1241" s="7"/>
      <c r="D1241" s="7"/>
      <c r="E1241" s="7"/>
      <c r="F1241" t="s">
        <v>67</v>
      </c>
      <c r="G1241" t="s">
        <v>26752</v>
      </c>
      <c r="H1241" t="s">
        <v>69</v>
      </c>
      <c r="I1241" t="s">
        <v>69</v>
      </c>
      <c r="J1241" t="s">
        <v>69</v>
      </c>
      <c r="K1241" t="s">
        <v>26753</v>
      </c>
      <c r="L1241" t="s">
        <v>69</v>
      </c>
      <c r="M1241" t="s">
        <v>69</v>
      </c>
      <c r="N1241" t="s">
        <v>26754</v>
      </c>
      <c r="O1241" t="s">
        <v>26755</v>
      </c>
      <c r="P1241" t="s">
        <v>69</v>
      </c>
      <c r="Q1241" t="s">
        <v>69</v>
      </c>
      <c r="R1241" t="s">
        <v>8505</v>
      </c>
      <c r="S1241" t="s">
        <v>8506</v>
      </c>
      <c r="T1241" t="s">
        <v>69</v>
      </c>
      <c r="U1241" t="s">
        <v>69</v>
      </c>
      <c r="V1241" t="s">
        <v>69</v>
      </c>
      <c r="W1241" t="s">
        <v>69</v>
      </c>
      <c r="X1241" t="s">
        <v>69</v>
      </c>
      <c r="Y1241" t="s">
        <v>26756</v>
      </c>
      <c r="Z1241" t="s">
        <v>69</v>
      </c>
      <c r="AA1241" t="s">
        <v>26757</v>
      </c>
      <c r="AB1241" t="s">
        <v>26758</v>
      </c>
      <c r="AC1241" t="s">
        <v>69</v>
      </c>
      <c r="AD1241" t="s">
        <v>26759</v>
      </c>
      <c r="AE1241" t="s">
        <v>26760</v>
      </c>
      <c r="AF1241" t="s">
        <v>69</v>
      </c>
      <c r="AG1241" t="s">
        <v>69</v>
      </c>
      <c r="AH1241" t="s">
        <v>69</v>
      </c>
      <c r="AI1241" t="s">
        <v>69</v>
      </c>
      <c r="AJ1241" t="s">
        <v>69</v>
      </c>
      <c r="AK1241" t="s">
        <v>69</v>
      </c>
      <c r="AL1241">
        <v>12</v>
      </c>
      <c r="AM1241">
        <v>1</v>
      </c>
      <c r="AN1241">
        <v>1</v>
      </c>
      <c r="AO1241">
        <v>0</v>
      </c>
      <c r="AP1241">
        <v>0</v>
      </c>
      <c r="AQ1241" t="s">
        <v>26761</v>
      </c>
      <c r="AR1241" t="s">
        <v>26762</v>
      </c>
      <c r="AS1241" t="s">
        <v>26763</v>
      </c>
      <c r="AT1241" t="s">
        <v>26764</v>
      </c>
      <c r="AU1241" t="s">
        <v>69</v>
      </c>
      <c r="AV1241" t="s">
        <v>69</v>
      </c>
      <c r="AW1241" t="s">
        <v>26765</v>
      </c>
      <c r="AX1241" t="s">
        <v>26766</v>
      </c>
      <c r="AY1241" t="s">
        <v>3964</v>
      </c>
      <c r="AZ1241">
        <v>2011</v>
      </c>
      <c r="BA1241">
        <v>5</v>
      </c>
      <c r="BB1241">
        <v>4</v>
      </c>
      <c r="BC1241" t="s">
        <v>69</v>
      </c>
      <c r="BD1241" t="s">
        <v>69</v>
      </c>
      <c r="BE1241" t="s">
        <v>69</v>
      </c>
      <c r="BF1241" t="s">
        <v>69</v>
      </c>
      <c r="BG1241">
        <v>768</v>
      </c>
      <c r="BH1241">
        <v>770</v>
      </c>
      <c r="BI1241" t="s">
        <v>69</v>
      </c>
      <c r="BJ1241" t="s">
        <v>69</v>
      </c>
      <c r="BK1241" t="s">
        <v>69</v>
      </c>
      <c r="BL1241" t="s">
        <v>69</v>
      </c>
      <c r="BM1241" t="s">
        <v>69</v>
      </c>
      <c r="BN1241">
        <v>3</v>
      </c>
      <c r="BO1241" t="s">
        <v>9450</v>
      </c>
      <c r="BP1241" t="s">
        <v>8573</v>
      </c>
      <c r="BQ1241" t="s">
        <v>9451</v>
      </c>
      <c r="BR1241" t="s">
        <v>26767</v>
      </c>
      <c r="BS1241" t="s">
        <v>26768</v>
      </c>
      <c r="BT1241" t="s">
        <v>69</v>
      </c>
      <c r="BU1241" t="s">
        <v>69</v>
      </c>
      <c r="BV1241" t="s">
        <v>69</v>
      </c>
      <c r="BW1241" t="s">
        <v>69</v>
      </c>
      <c r="BX1241" t="s">
        <v>8526</v>
      </c>
      <c r="BY1241" t="str">
        <f>HYPERLINK("https%3A%2F%2Fwww.webofscience.com%2Fwos%2Fwoscc%2Ffull-record%2FWOS:000421644300043","View Full Record in Web of Science")</f>
        <v>View Full Record in Web of Science</v>
      </c>
    </row>
    <row r="1242" spans="1:77" ht="12.5" x14ac:dyDescent="0.25">
      <c r="A1242" t="s">
        <v>8495</v>
      </c>
      <c r="B1242" s="7" t="s">
        <v>32933</v>
      </c>
      <c r="C1242" s="7"/>
      <c r="D1242" s="7"/>
      <c r="E1242" s="7"/>
      <c r="F1242" t="s">
        <v>67</v>
      </c>
      <c r="G1242" t="s">
        <v>526</v>
      </c>
      <c r="H1242" t="s">
        <v>69</v>
      </c>
      <c r="I1242" t="s">
        <v>69</v>
      </c>
      <c r="J1242" t="s">
        <v>69</v>
      </c>
      <c r="K1242" t="s">
        <v>527</v>
      </c>
      <c r="L1242" t="s">
        <v>69</v>
      </c>
      <c r="M1242" t="s">
        <v>69</v>
      </c>
      <c r="N1242" t="s">
        <v>528</v>
      </c>
      <c r="O1242" t="s">
        <v>529</v>
      </c>
      <c r="P1242" t="s">
        <v>69</v>
      </c>
      <c r="Q1242" t="s">
        <v>69</v>
      </c>
      <c r="R1242" t="s">
        <v>25259</v>
      </c>
      <c r="S1242" t="s">
        <v>8506</v>
      </c>
      <c r="T1242" t="s">
        <v>69</v>
      </c>
      <c r="U1242" t="s">
        <v>69</v>
      </c>
      <c r="V1242" t="s">
        <v>69</v>
      </c>
      <c r="W1242" t="s">
        <v>69</v>
      </c>
      <c r="X1242" t="s">
        <v>69</v>
      </c>
      <c r="Y1242" t="s">
        <v>69</v>
      </c>
      <c r="Z1242" t="s">
        <v>69</v>
      </c>
      <c r="AA1242" t="s">
        <v>530</v>
      </c>
      <c r="AB1242" t="s">
        <v>25260</v>
      </c>
      <c r="AC1242" t="s">
        <v>69</v>
      </c>
      <c r="AD1242" t="s">
        <v>25261</v>
      </c>
      <c r="AE1242" t="s">
        <v>69</v>
      </c>
      <c r="AF1242" t="s">
        <v>69</v>
      </c>
      <c r="AG1242" t="s">
        <v>69</v>
      </c>
      <c r="AH1242" t="s">
        <v>69</v>
      </c>
      <c r="AI1242" t="s">
        <v>69</v>
      </c>
      <c r="AJ1242" t="s">
        <v>69</v>
      </c>
      <c r="AK1242" t="s">
        <v>69</v>
      </c>
      <c r="AL1242">
        <v>17</v>
      </c>
      <c r="AM1242">
        <v>0</v>
      </c>
      <c r="AN1242">
        <v>0</v>
      </c>
      <c r="AO1242">
        <v>0</v>
      </c>
      <c r="AP1242">
        <v>11</v>
      </c>
      <c r="AQ1242" t="s">
        <v>25262</v>
      </c>
      <c r="AR1242" t="s">
        <v>13701</v>
      </c>
      <c r="AS1242" t="s">
        <v>25263</v>
      </c>
      <c r="AT1242" t="s">
        <v>531</v>
      </c>
      <c r="AU1242" t="s">
        <v>532</v>
      </c>
      <c r="AV1242" t="s">
        <v>69</v>
      </c>
      <c r="AW1242" t="s">
        <v>529</v>
      </c>
      <c r="AX1242" t="s">
        <v>25264</v>
      </c>
      <c r="AY1242" t="s">
        <v>69</v>
      </c>
      <c r="AZ1242">
        <v>2013</v>
      </c>
      <c r="BA1242">
        <v>21</v>
      </c>
      <c r="BB1242">
        <v>2</v>
      </c>
      <c r="BC1242" t="s">
        <v>69</v>
      </c>
      <c r="BD1242" t="s">
        <v>69</v>
      </c>
      <c r="BE1242" t="s">
        <v>69</v>
      </c>
      <c r="BF1242" t="s">
        <v>69</v>
      </c>
      <c r="BG1242">
        <v>293</v>
      </c>
      <c r="BH1242">
        <v>302</v>
      </c>
      <c r="BI1242" t="s">
        <v>69</v>
      </c>
      <c r="BJ1242" t="s">
        <v>69</v>
      </c>
      <c r="BK1242" t="s">
        <v>69</v>
      </c>
      <c r="BL1242" t="s">
        <v>69</v>
      </c>
      <c r="BM1242" t="s">
        <v>69</v>
      </c>
      <c r="BN1242">
        <v>10</v>
      </c>
      <c r="BO1242" t="s">
        <v>8449</v>
      </c>
      <c r="BP1242" t="s">
        <v>11207</v>
      </c>
      <c r="BQ1242" t="s">
        <v>8449</v>
      </c>
      <c r="BR1242" t="s">
        <v>25265</v>
      </c>
      <c r="BS1242" t="s">
        <v>533</v>
      </c>
      <c r="BT1242" t="s">
        <v>69</v>
      </c>
      <c r="BU1242" t="s">
        <v>69</v>
      </c>
      <c r="BV1242" t="s">
        <v>69</v>
      </c>
      <c r="BW1242" t="s">
        <v>69</v>
      </c>
      <c r="BX1242" t="s">
        <v>8526</v>
      </c>
      <c r="BY1242" t="str">
        <f>HYPERLINK("https%3A%2F%2Fwww.webofscience.com%2Fwos%2Fwoscc%2Ffull-record%2FWOS:000329532900008","View Full Record in Web of Science")</f>
        <v>View Full Record in Web of Science</v>
      </c>
    </row>
    <row r="1243" spans="1:77" ht="12.5" x14ac:dyDescent="0.25">
      <c r="A1243" t="s">
        <v>8495</v>
      </c>
      <c r="B1243" s="22" t="s">
        <v>32931</v>
      </c>
      <c r="C1243" s="7"/>
      <c r="D1243" s="7"/>
      <c r="E1243" s="7"/>
      <c r="F1243" t="s">
        <v>67</v>
      </c>
      <c r="G1243" t="s">
        <v>22752</v>
      </c>
      <c r="H1243" t="s">
        <v>69</v>
      </c>
      <c r="I1243" t="s">
        <v>69</v>
      </c>
      <c r="J1243" t="s">
        <v>69</v>
      </c>
      <c r="K1243" t="s">
        <v>22753</v>
      </c>
      <c r="L1243" t="s">
        <v>69</v>
      </c>
      <c r="M1243" t="s">
        <v>69</v>
      </c>
      <c r="N1243" t="s">
        <v>22754</v>
      </c>
      <c r="O1243" t="s">
        <v>22755</v>
      </c>
      <c r="P1243" t="s">
        <v>69</v>
      </c>
      <c r="Q1243" t="s">
        <v>69</v>
      </c>
      <c r="R1243" t="s">
        <v>8505</v>
      </c>
      <c r="S1243" t="s">
        <v>8506</v>
      </c>
      <c r="T1243" t="s">
        <v>69</v>
      </c>
      <c r="U1243" t="s">
        <v>69</v>
      </c>
      <c r="V1243" t="s">
        <v>69</v>
      </c>
      <c r="W1243" t="s">
        <v>69</v>
      </c>
      <c r="X1243" t="s">
        <v>69</v>
      </c>
      <c r="Y1243" t="s">
        <v>69</v>
      </c>
      <c r="Z1243" t="s">
        <v>22756</v>
      </c>
      <c r="AA1243" t="s">
        <v>22757</v>
      </c>
      <c r="AB1243" t="s">
        <v>22758</v>
      </c>
      <c r="AC1243" t="s">
        <v>69</v>
      </c>
      <c r="AD1243" t="s">
        <v>22759</v>
      </c>
      <c r="AE1243" t="s">
        <v>22760</v>
      </c>
      <c r="AF1243" t="s">
        <v>22761</v>
      </c>
      <c r="AG1243" t="s">
        <v>22762</v>
      </c>
      <c r="AH1243" t="s">
        <v>69</v>
      </c>
      <c r="AI1243" t="s">
        <v>69</v>
      </c>
      <c r="AJ1243" t="s">
        <v>69</v>
      </c>
      <c r="AK1243" t="s">
        <v>69</v>
      </c>
      <c r="AL1243">
        <v>19</v>
      </c>
      <c r="AM1243">
        <v>11</v>
      </c>
      <c r="AN1243">
        <v>11</v>
      </c>
      <c r="AO1243">
        <v>0</v>
      </c>
      <c r="AP1243">
        <v>7</v>
      </c>
      <c r="AQ1243" t="s">
        <v>22763</v>
      </c>
      <c r="AR1243" t="s">
        <v>22764</v>
      </c>
      <c r="AS1243" t="s">
        <v>22765</v>
      </c>
      <c r="AT1243" t="s">
        <v>22766</v>
      </c>
      <c r="AU1243" t="s">
        <v>22767</v>
      </c>
      <c r="AV1243" t="s">
        <v>69</v>
      </c>
      <c r="AW1243" t="s">
        <v>22768</v>
      </c>
      <c r="AX1243" t="s">
        <v>22769</v>
      </c>
      <c r="AY1243" t="s">
        <v>1375</v>
      </c>
      <c r="AZ1243">
        <v>2015</v>
      </c>
      <c r="BA1243">
        <v>35</v>
      </c>
      <c r="BB1243">
        <v>3</v>
      </c>
      <c r="BC1243" t="s">
        <v>69</v>
      </c>
      <c r="BD1243" t="s">
        <v>69</v>
      </c>
      <c r="BE1243" t="s">
        <v>69</v>
      </c>
      <c r="BF1243" t="s">
        <v>69</v>
      </c>
      <c r="BG1243">
        <v>210</v>
      </c>
      <c r="BH1243">
        <v>213</v>
      </c>
      <c r="BI1243" t="s">
        <v>69</v>
      </c>
      <c r="BJ1243" t="s">
        <v>22770</v>
      </c>
      <c r="BK1243" t="str">
        <f>HYPERLINK("http://dx.doi.org/10.5144/0256-4947.2015.210","http://dx.doi.org/10.5144/0256-4947.2015.210")</f>
        <v>http://dx.doi.org/10.5144/0256-4947.2015.210</v>
      </c>
      <c r="BL1243" t="s">
        <v>69</v>
      </c>
      <c r="BM1243" t="s">
        <v>69</v>
      </c>
      <c r="BN1243">
        <v>4</v>
      </c>
      <c r="BO1243" t="s">
        <v>9450</v>
      </c>
      <c r="BP1243" t="s">
        <v>8523</v>
      </c>
      <c r="BQ1243" t="s">
        <v>9451</v>
      </c>
      <c r="BR1243" t="s">
        <v>22771</v>
      </c>
      <c r="BS1243" t="s">
        <v>22772</v>
      </c>
      <c r="BT1243">
        <v>26409795</v>
      </c>
      <c r="BU1243" t="s">
        <v>9352</v>
      </c>
      <c r="BV1243" t="s">
        <v>69</v>
      </c>
      <c r="BW1243" t="s">
        <v>69</v>
      </c>
      <c r="BX1243" t="s">
        <v>8526</v>
      </c>
      <c r="BY1243" t="str">
        <f>HYPERLINK("https%3A%2F%2Fwww.webofscience.com%2Fwos%2Fwoscc%2Ffull-record%2FWOS:000364342000004","View Full Record in Web of Science")</f>
        <v>View Full Record in Web of Science</v>
      </c>
    </row>
    <row r="1244" spans="1:77" ht="12.5" x14ac:dyDescent="0.25">
      <c r="A1244" t="s">
        <v>8495</v>
      </c>
      <c r="B1244" s="22" t="s">
        <v>32931</v>
      </c>
      <c r="C1244" s="7"/>
      <c r="D1244" s="7"/>
      <c r="E1244" s="7"/>
      <c r="F1244" t="s">
        <v>67</v>
      </c>
      <c r="G1244" t="s">
        <v>29942</v>
      </c>
      <c r="H1244" t="s">
        <v>69</v>
      </c>
      <c r="I1244" t="s">
        <v>69</v>
      </c>
      <c r="J1244" t="s">
        <v>69</v>
      </c>
      <c r="K1244" t="s">
        <v>29943</v>
      </c>
      <c r="L1244" t="s">
        <v>69</v>
      </c>
      <c r="M1244" t="s">
        <v>69</v>
      </c>
      <c r="N1244" t="s">
        <v>29944</v>
      </c>
      <c r="O1244" t="s">
        <v>29945</v>
      </c>
      <c r="P1244" t="s">
        <v>69</v>
      </c>
      <c r="Q1244" t="s">
        <v>69</v>
      </c>
      <c r="R1244" t="s">
        <v>8505</v>
      </c>
      <c r="S1244" t="s">
        <v>8506</v>
      </c>
      <c r="T1244" t="s">
        <v>69</v>
      </c>
      <c r="U1244" t="s">
        <v>69</v>
      </c>
      <c r="V1244" t="s">
        <v>69</v>
      </c>
      <c r="W1244" t="s">
        <v>69</v>
      </c>
      <c r="X1244" t="s">
        <v>69</v>
      </c>
      <c r="Y1244" t="s">
        <v>29946</v>
      </c>
      <c r="Z1244" t="s">
        <v>69</v>
      </c>
      <c r="AA1244" t="s">
        <v>29947</v>
      </c>
      <c r="AB1244" t="s">
        <v>29948</v>
      </c>
      <c r="AC1244" t="s">
        <v>69</v>
      </c>
      <c r="AD1244" t="s">
        <v>29949</v>
      </c>
      <c r="AE1244" t="s">
        <v>29950</v>
      </c>
      <c r="AF1244" t="s">
        <v>69</v>
      </c>
      <c r="AG1244" t="s">
        <v>69</v>
      </c>
      <c r="AH1244" t="s">
        <v>69</v>
      </c>
      <c r="AI1244" t="s">
        <v>69</v>
      </c>
      <c r="AJ1244" t="s">
        <v>69</v>
      </c>
      <c r="AK1244" t="s">
        <v>69</v>
      </c>
      <c r="AL1244">
        <v>37</v>
      </c>
      <c r="AM1244">
        <v>18</v>
      </c>
      <c r="AN1244">
        <v>18</v>
      </c>
      <c r="AO1244">
        <v>0</v>
      </c>
      <c r="AP1244">
        <v>0</v>
      </c>
      <c r="AQ1244" t="s">
        <v>8586</v>
      </c>
      <c r="AR1244" t="s">
        <v>8587</v>
      </c>
      <c r="AS1244" t="s">
        <v>8588</v>
      </c>
      <c r="AT1244" t="s">
        <v>29951</v>
      </c>
      <c r="AU1244" t="s">
        <v>29952</v>
      </c>
      <c r="AV1244" t="s">
        <v>69</v>
      </c>
      <c r="AW1244" t="s">
        <v>29953</v>
      </c>
      <c r="AX1244" t="s">
        <v>29954</v>
      </c>
      <c r="AY1244" t="s">
        <v>69</v>
      </c>
      <c r="AZ1244">
        <v>2007</v>
      </c>
      <c r="BA1244">
        <v>35</v>
      </c>
      <c r="BB1244">
        <v>6</v>
      </c>
      <c r="BC1244" t="s">
        <v>69</v>
      </c>
      <c r="BD1244" t="s">
        <v>69</v>
      </c>
      <c r="BE1244" t="s">
        <v>114</v>
      </c>
      <c r="BF1244" t="s">
        <v>69</v>
      </c>
      <c r="BG1244">
        <v>457</v>
      </c>
      <c r="BH1244" t="s">
        <v>219</v>
      </c>
      <c r="BI1244" t="s">
        <v>69</v>
      </c>
      <c r="BJ1244" t="s">
        <v>29955</v>
      </c>
      <c r="BK1244" t="str">
        <f>HYPERLINK("http://dx.doi.org/10.1108/09590550710750331","http://dx.doi.org/10.1108/09590550710750331")</f>
        <v>http://dx.doi.org/10.1108/09590550710750331</v>
      </c>
      <c r="BL1244" t="s">
        <v>69</v>
      </c>
      <c r="BM1244" t="s">
        <v>69</v>
      </c>
      <c r="BN1244">
        <v>18</v>
      </c>
      <c r="BO1244" t="s">
        <v>8791</v>
      </c>
      <c r="BP1244" t="s">
        <v>8573</v>
      </c>
      <c r="BQ1244" t="s">
        <v>8594</v>
      </c>
      <c r="BR1244" t="s">
        <v>29956</v>
      </c>
      <c r="BS1244" t="s">
        <v>29957</v>
      </c>
      <c r="BT1244" t="s">
        <v>69</v>
      </c>
      <c r="BU1244" t="s">
        <v>69</v>
      </c>
      <c r="BV1244" t="s">
        <v>69</v>
      </c>
      <c r="BW1244" t="s">
        <v>69</v>
      </c>
      <c r="BX1244" t="s">
        <v>8526</v>
      </c>
      <c r="BY1244" t="str">
        <f>HYPERLINK("https%3A%2F%2Fwww.webofscience.com%2Fwos%2Fwoscc%2Ffull-record%2FWOS:000211872500004","View Full Record in Web of Science")</f>
        <v>View Full Record in Web of Science</v>
      </c>
    </row>
    <row r="1245" spans="1:77" x14ac:dyDescent="0.3">
      <c r="A1245" t="s">
        <v>8495</v>
      </c>
      <c r="B1245" s="9" t="s">
        <v>32973</v>
      </c>
      <c r="C1245" s="9" t="s">
        <v>33156</v>
      </c>
      <c r="D1245" s="10" t="s">
        <v>8490</v>
      </c>
      <c r="E1245" s="9" t="s">
        <v>8490</v>
      </c>
      <c r="F1245" t="s">
        <v>67</v>
      </c>
      <c r="G1245" t="s">
        <v>21613</v>
      </c>
      <c r="H1245" t="s">
        <v>69</v>
      </c>
      <c r="I1245" t="s">
        <v>69</v>
      </c>
      <c r="J1245" t="s">
        <v>69</v>
      </c>
      <c r="K1245" t="s">
        <v>21614</v>
      </c>
      <c r="L1245" t="s">
        <v>69</v>
      </c>
      <c r="M1245" t="s">
        <v>69</v>
      </c>
      <c r="N1245" t="s">
        <v>21615</v>
      </c>
      <c r="O1245" t="s">
        <v>21616</v>
      </c>
      <c r="P1245" t="s">
        <v>69</v>
      </c>
      <c r="Q1245" t="s">
        <v>69</v>
      </c>
      <c r="R1245" t="s">
        <v>8505</v>
      </c>
      <c r="S1245" t="s">
        <v>8506</v>
      </c>
      <c r="T1245" t="s">
        <v>69</v>
      </c>
      <c r="U1245" t="s">
        <v>69</v>
      </c>
      <c r="V1245" t="s">
        <v>69</v>
      </c>
      <c r="W1245" t="s">
        <v>69</v>
      </c>
      <c r="X1245" t="s">
        <v>69</v>
      </c>
      <c r="Y1245" t="s">
        <v>21617</v>
      </c>
      <c r="Z1245" t="s">
        <v>21618</v>
      </c>
      <c r="AA1245" t="s">
        <v>21619</v>
      </c>
      <c r="AB1245" t="s">
        <v>21620</v>
      </c>
      <c r="AC1245" t="s">
        <v>69</v>
      </c>
      <c r="AD1245" t="s">
        <v>21621</v>
      </c>
      <c r="AE1245" t="s">
        <v>21622</v>
      </c>
      <c r="AF1245" t="s">
        <v>21623</v>
      </c>
      <c r="AG1245" t="s">
        <v>21624</v>
      </c>
      <c r="AH1245" t="s">
        <v>69</v>
      </c>
      <c r="AI1245" t="s">
        <v>69</v>
      </c>
      <c r="AJ1245" t="s">
        <v>69</v>
      </c>
      <c r="AK1245" t="s">
        <v>69</v>
      </c>
      <c r="AL1245">
        <v>36</v>
      </c>
      <c r="AM1245">
        <v>5</v>
      </c>
      <c r="AN1245">
        <v>5</v>
      </c>
      <c r="AO1245">
        <v>0</v>
      </c>
      <c r="AP1245">
        <v>4</v>
      </c>
      <c r="AQ1245" t="s">
        <v>8516</v>
      </c>
      <c r="AR1245" t="s">
        <v>8517</v>
      </c>
      <c r="AS1245" t="s">
        <v>8518</v>
      </c>
      <c r="AT1245" t="s">
        <v>21625</v>
      </c>
      <c r="AU1245" t="s">
        <v>21626</v>
      </c>
      <c r="AV1245" t="s">
        <v>69</v>
      </c>
      <c r="AW1245" t="s">
        <v>21627</v>
      </c>
      <c r="AX1245" t="s">
        <v>21628</v>
      </c>
      <c r="AY1245" t="s">
        <v>155</v>
      </c>
      <c r="AZ1245">
        <v>2016</v>
      </c>
      <c r="BA1245">
        <v>5</v>
      </c>
      <c r="BB1245">
        <v>2</v>
      </c>
      <c r="BC1245" t="s">
        <v>69</v>
      </c>
      <c r="BD1245" t="s">
        <v>69</v>
      </c>
      <c r="BE1245" t="s">
        <v>69</v>
      </c>
      <c r="BF1245" t="s">
        <v>69</v>
      </c>
      <c r="BG1245">
        <v>254</v>
      </c>
      <c r="BH1245">
        <v>264</v>
      </c>
      <c r="BI1245" t="s">
        <v>69</v>
      </c>
      <c r="BJ1245" t="s">
        <v>21629</v>
      </c>
      <c r="BK1245" t="str">
        <f>HYPERLINK("http://dx.doi.org/10.1016/j.foar.2016.01.003","http://dx.doi.org/10.1016/j.foar.2016.01.003")</f>
        <v>http://dx.doi.org/10.1016/j.foar.2016.01.003</v>
      </c>
      <c r="BL1245" t="s">
        <v>69</v>
      </c>
      <c r="BM1245" t="s">
        <v>69</v>
      </c>
      <c r="BN1245">
        <v>11</v>
      </c>
      <c r="BO1245" t="s">
        <v>8449</v>
      </c>
      <c r="BP1245" t="s">
        <v>8573</v>
      </c>
      <c r="BQ1245" t="s">
        <v>8449</v>
      </c>
      <c r="BR1245" t="s">
        <v>21630</v>
      </c>
      <c r="BS1245" t="s">
        <v>21631</v>
      </c>
      <c r="BT1245" t="s">
        <v>69</v>
      </c>
      <c r="BU1245" t="s">
        <v>9352</v>
      </c>
      <c r="BV1245" t="s">
        <v>69</v>
      </c>
      <c r="BW1245" t="s">
        <v>69</v>
      </c>
      <c r="BX1245" t="s">
        <v>8526</v>
      </c>
      <c r="BY1245" t="str">
        <f>HYPERLINK("https%3A%2F%2Fwww.webofscience.com%2Fwos%2Fwoscc%2Ffull-record%2FWOS:000377455500009","View Full Record in Web of Science")</f>
        <v>View Full Record in Web of Science</v>
      </c>
    </row>
    <row r="1246" spans="1:77" ht="12.5" x14ac:dyDescent="0.25">
      <c r="A1246" t="s">
        <v>8495</v>
      </c>
      <c r="B1246" s="7" t="s">
        <v>32933</v>
      </c>
      <c r="C1246" s="7"/>
      <c r="D1246" s="7"/>
      <c r="E1246" s="7"/>
      <c r="F1246" t="s">
        <v>67</v>
      </c>
      <c r="G1246" t="s">
        <v>8036</v>
      </c>
      <c r="H1246" t="s">
        <v>69</v>
      </c>
      <c r="I1246" t="s">
        <v>69</v>
      </c>
      <c r="J1246" t="s">
        <v>69</v>
      </c>
      <c r="K1246" t="s">
        <v>8037</v>
      </c>
      <c r="L1246" t="s">
        <v>69</v>
      </c>
      <c r="M1246" t="s">
        <v>69</v>
      </c>
      <c r="N1246" t="s">
        <v>8038</v>
      </c>
      <c r="O1246" t="s">
        <v>8039</v>
      </c>
      <c r="P1246" t="s">
        <v>69</v>
      </c>
      <c r="Q1246" t="s">
        <v>69</v>
      </c>
      <c r="R1246" t="s">
        <v>8505</v>
      </c>
      <c r="S1246" t="s">
        <v>8506</v>
      </c>
      <c r="T1246" t="s">
        <v>69</v>
      </c>
      <c r="U1246" t="s">
        <v>69</v>
      </c>
      <c r="V1246" t="s">
        <v>69</v>
      </c>
      <c r="W1246" t="s">
        <v>69</v>
      </c>
      <c r="X1246" t="s">
        <v>69</v>
      </c>
      <c r="Y1246" t="s">
        <v>15440</v>
      </c>
      <c r="Z1246" t="s">
        <v>15441</v>
      </c>
      <c r="AA1246" t="s">
        <v>8040</v>
      </c>
      <c r="AB1246" t="s">
        <v>15442</v>
      </c>
      <c r="AC1246" t="s">
        <v>69</v>
      </c>
      <c r="AD1246" t="s">
        <v>15443</v>
      </c>
      <c r="AE1246" t="s">
        <v>15444</v>
      </c>
      <c r="AF1246" t="s">
        <v>15445</v>
      </c>
      <c r="AG1246" t="s">
        <v>15446</v>
      </c>
      <c r="AH1246" t="s">
        <v>15447</v>
      </c>
      <c r="AI1246" t="s">
        <v>15447</v>
      </c>
      <c r="AJ1246" t="s">
        <v>15448</v>
      </c>
      <c r="AK1246" t="s">
        <v>69</v>
      </c>
      <c r="AL1246">
        <v>46</v>
      </c>
      <c r="AM1246">
        <v>4</v>
      </c>
      <c r="AN1246">
        <v>4</v>
      </c>
      <c r="AO1246">
        <v>5</v>
      </c>
      <c r="AP1246">
        <v>44</v>
      </c>
      <c r="AQ1246" t="s">
        <v>9047</v>
      </c>
      <c r="AR1246" t="s">
        <v>8693</v>
      </c>
      <c r="AS1246" t="s">
        <v>11784</v>
      </c>
      <c r="AT1246" t="s">
        <v>8041</v>
      </c>
      <c r="AU1246" t="s">
        <v>8042</v>
      </c>
      <c r="AV1246" t="s">
        <v>69</v>
      </c>
      <c r="AW1246" t="s">
        <v>15449</v>
      </c>
      <c r="AX1246" t="s">
        <v>15450</v>
      </c>
      <c r="AY1246" t="s">
        <v>586</v>
      </c>
      <c r="AZ1246">
        <v>2020</v>
      </c>
      <c r="BA1246">
        <v>43</v>
      </c>
      <c r="BB1246">
        <v>5</v>
      </c>
      <c r="BC1246" t="s">
        <v>69</v>
      </c>
      <c r="BD1246" t="s">
        <v>69</v>
      </c>
      <c r="BE1246" t="s">
        <v>69</v>
      </c>
      <c r="BF1246" t="s">
        <v>69</v>
      </c>
      <c r="BG1246">
        <v>617</v>
      </c>
      <c r="BH1246">
        <v>621</v>
      </c>
      <c r="BI1246" t="s">
        <v>69</v>
      </c>
      <c r="BJ1246" t="s">
        <v>8043</v>
      </c>
      <c r="BK1246" t="str">
        <f>HYPERLINK("http://dx.doi.org/10.1007/s00300-020-02657-8","http://dx.doi.org/10.1007/s00300-020-02657-8")</f>
        <v>http://dx.doi.org/10.1007/s00300-020-02657-8</v>
      </c>
      <c r="BL1246" t="s">
        <v>69</v>
      </c>
      <c r="BM1246" t="s">
        <v>767</v>
      </c>
      <c r="BN1246">
        <v>5</v>
      </c>
      <c r="BO1246" t="s">
        <v>15451</v>
      </c>
      <c r="BP1246" t="s">
        <v>8548</v>
      </c>
      <c r="BQ1246" t="s">
        <v>15452</v>
      </c>
      <c r="BR1246" t="s">
        <v>15453</v>
      </c>
      <c r="BS1246" t="s">
        <v>8044</v>
      </c>
      <c r="BT1246" t="s">
        <v>69</v>
      </c>
      <c r="BU1246" t="s">
        <v>8622</v>
      </c>
      <c r="BV1246" t="s">
        <v>69</v>
      </c>
      <c r="BW1246" t="s">
        <v>69</v>
      </c>
      <c r="BX1246" t="s">
        <v>8526</v>
      </c>
      <c r="BY1246" t="str">
        <f>HYPERLINK("https%3A%2F%2Fwww.webofscience.com%2Fwos%2Fwoscc%2Ffull-record%2FWOS:000523093300001","View Full Record in Web of Science")</f>
        <v>View Full Record in Web of Science</v>
      </c>
    </row>
    <row r="1247" spans="1:77" x14ac:dyDescent="0.3">
      <c r="A1247" t="s">
        <v>8495</v>
      </c>
      <c r="B1247" s="9" t="s">
        <v>32954</v>
      </c>
      <c r="C1247" s="9" t="s">
        <v>33157</v>
      </c>
      <c r="D1247" s="10" t="s">
        <v>8490</v>
      </c>
      <c r="E1247" s="9" t="s">
        <v>8490</v>
      </c>
      <c r="F1247" t="s">
        <v>67</v>
      </c>
      <c r="G1247" t="s">
        <v>26382</v>
      </c>
      <c r="H1247" t="s">
        <v>69</v>
      </c>
      <c r="I1247" t="s">
        <v>69</v>
      </c>
      <c r="J1247" t="s">
        <v>69</v>
      </c>
      <c r="K1247" t="s">
        <v>26383</v>
      </c>
      <c r="L1247" t="s">
        <v>69</v>
      </c>
      <c r="M1247" t="s">
        <v>69</v>
      </c>
      <c r="N1247" t="s">
        <v>26384</v>
      </c>
      <c r="O1247" t="s">
        <v>26385</v>
      </c>
      <c r="P1247" t="s">
        <v>69</v>
      </c>
      <c r="Q1247" t="s">
        <v>69</v>
      </c>
      <c r="R1247" t="s">
        <v>8505</v>
      </c>
      <c r="S1247" t="s">
        <v>8506</v>
      </c>
      <c r="T1247" t="s">
        <v>69</v>
      </c>
      <c r="U1247" t="s">
        <v>69</v>
      </c>
      <c r="V1247" t="s">
        <v>69</v>
      </c>
      <c r="W1247" t="s">
        <v>69</v>
      </c>
      <c r="X1247" t="s">
        <v>69</v>
      </c>
      <c r="Y1247" t="s">
        <v>26386</v>
      </c>
      <c r="Z1247" t="s">
        <v>26387</v>
      </c>
      <c r="AA1247" t="s">
        <v>26388</v>
      </c>
      <c r="AB1247" t="s">
        <v>26389</v>
      </c>
      <c r="AC1247" t="s">
        <v>69</v>
      </c>
      <c r="AD1247" t="s">
        <v>26390</v>
      </c>
      <c r="AE1247" t="s">
        <v>26391</v>
      </c>
      <c r="AF1247" t="s">
        <v>26392</v>
      </c>
      <c r="AG1247" t="s">
        <v>26393</v>
      </c>
      <c r="AH1247" t="s">
        <v>69</v>
      </c>
      <c r="AI1247" t="s">
        <v>69</v>
      </c>
      <c r="AJ1247" t="s">
        <v>69</v>
      </c>
      <c r="AK1247" t="s">
        <v>69</v>
      </c>
      <c r="AL1247">
        <v>42</v>
      </c>
      <c r="AM1247">
        <v>4</v>
      </c>
      <c r="AN1247">
        <v>4</v>
      </c>
      <c r="AO1247">
        <v>0</v>
      </c>
      <c r="AP1247">
        <v>0</v>
      </c>
      <c r="AQ1247" t="s">
        <v>26394</v>
      </c>
      <c r="AR1247" t="s">
        <v>26395</v>
      </c>
      <c r="AS1247" t="s">
        <v>26396</v>
      </c>
      <c r="AT1247" t="s">
        <v>26397</v>
      </c>
      <c r="AU1247" t="s">
        <v>69</v>
      </c>
      <c r="AV1247" t="s">
        <v>69</v>
      </c>
      <c r="AW1247" t="s">
        <v>26398</v>
      </c>
      <c r="AX1247" t="s">
        <v>26399</v>
      </c>
      <c r="AY1247" t="s">
        <v>69</v>
      </c>
      <c r="AZ1247">
        <v>2012</v>
      </c>
      <c r="BA1247">
        <v>6</v>
      </c>
      <c r="BB1247">
        <v>1</v>
      </c>
      <c r="BC1247" t="s">
        <v>69</v>
      </c>
      <c r="BD1247" t="s">
        <v>69</v>
      </c>
      <c r="BE1247" t="s">
        <v>69</v>
      </c>
      <c r="BF1247" t="s">
        <v>69</v>
      </c>
      <c r="BG1247">
        <v>101</v>
      </c>
      <c r="BH1247">
        <v>116</v>
      </c>
      <c r="BI1247" t="s">
        <v>69</v>
      </c>
      <c r="BJ1247" t="s">
        <v>69</v>
      </c>
      <c r="BK1247" t="s">
        <v>69</v>
      </c>
      <c r="BL1247" t="s">
        <v>69</v>
      </c>
      <c r="BM1247" t="s">
        <v>69</v>
      </c>
      <c r="BN1247">
        <v>16</v>
      </c>
      <c r="BO1247" t="s">
        <v>13241</v>
      </c>
      <c r="BP1247" t="s">
        <v>8573</v>
      </c>
      <c r="BQ1247" t="s">
        <v>10084</v>
      </c>
      <c r="BR1247" t="s">
        <v>26400</v>
      </c>
      <c r="BS1247" t="s">
        <v>26401</v>
      </c>
      <c r="BT1247" t="s">
        <v>69</v>
      </c>
      <c r="BU1247" t="s">
        <v>69</v>
      </c>
      <c r="BV1247" t="s">
        <v>69</v>
      </c>
      <c r="BW1247" t="s">
        <v>69</v>
      </c>
      <c r="BX1247" t="s">
        <v>8526</v>
      </c>
      <c r="BY1247" t="str">
        <f>HYPERLINK("https%3A%2F%2Fwww.webofscience.com%2Fwos%2Fwoscc%2Ffull-record%2FWOS:000215201900007","View Full Record in Web of Science")</f>
        <v>View Full Record in Web of Science</v>
      </c>
    </row>
    <row r="1248" spans="1:77" ht="12.5" x14ac:dyDescent="0.25">
      <c r="A1248" t="s">
        <v>8495</v>
      </c>
      <c r="B1248" s="7" t="s">
        <v>32933</v>
      </c>
      <c r="C1248" s="7"/>
      <c r="D1248" s="7"/>
      <c r="E1248" s="7"/>
      <c r="F1248" t="s">
        <v>67</v>
      </c>
      <c r="G1248" t="s">
        <v>1240</v>
      </c>
      <c r="H1248" t="s">
        <v>69</v>
      </c>
      <c r="I1248" t="s">
        <v>69</v>
      </c>
      <c r="J1248" t="s">
        <v>69</v>
      </c>
      <c r="K1248" t="s">
        <v>1241</v>
      </c>
      <c r="L1248" t="s">
        <v>69</v>
      </c>
      <c r="M1248" t="s">
        <v>69</v>
      </c>
      <c r="N1248" t="s">
        <v>1242</v>
      </c>
      <c r="O1248" t="s">
        <v>520</v>
      </c>
      <c r="P1248" t="s">
        <v>69</v>
      </c>
      <c r="Q1248" t="s">
        <v>69</v>
      </c>
      <c r="R1248" t="s">
        <v>8505</v>
      </c>
      <c r="S1248" t="s">
        <v>10174</v>
      </c>
      <c r="T1248" t="s">
        <v>69</v>
      </c>
      <c r="U1248" t="s">
        <v>69</v>
      </c>
      <c r="V1248" t="s">
        <v>69</v>
      </c>
      <c r="W1248" t="s">
        <v>69</v>
      </c>
      <c r="X1248" t="s">
        <v>69</v>
      </c>
      <c r="Y1248" t="s">
        <v>21722</v>
      </c>
      <c r="Z1248" t="s">
        <v>69</v>
      </c>
      <c r="AA1248" t="s">
        <v>1243</v>
      </c>
      <c r="AB1248" t="s">
        <v>21723</v>
      </c>
      <c r="AC1248" t="s">
        <v>69</v>
      </c>
      <c r="AD1248" t="s">
        <v>21724</v>
      </c>
      <c r="AE1248" t="s">
        <v>21725</v>
      </c>
      <c r="AF1248" t="s">
        <v>69</v>
      </c>
      <c r="AG1248" t="s">
        <v>69</v>
      </c>
      <c r="AH1248" t="s">
        <v>69</v>
      </c>
      <c r="AI1248" t="s">
        <v>69</v>
      </c>
      <c r="AJ1248" t="s">
        <v>69</v>
      </c>
      <c r="AK1248" t="s">
        <v>69</v>
      </c>
      <c r="AL1248">
        <v>7</v>
      </c>
      <c r="AM1248">
        <v>5</v>
      </c>
      <c r="AN1248">
        <v>5</v>
      </c>
      <c r="AO1248">
        <v>1</v>
      </c>
      <c r="AP1248">
        <v>13</v>
      </c>
      <c r="AQ1248" t="s">
        <v>8611</v>
      </c>
      <c r="AR1248" t="s">
        <v>8612</v>
      </c>
      <c r="AS1248" t="s">
        <v>21726</v>
      </c>
      <c r="AT1248" t="s">
        <v>523</v>
      </c>
      <c r="AU1248" t="s">
        <v>1244</v>
      </c>
      <c r="AV1248" t="s">
        <v>69</v>
      </c>
      <c r="AW1248" t="s">
        <v>21727</v>
      </c>
      <c r="AX1248" t="s">
        <v>21728</v>
      </c>
      <c r="AY1248" t="s">
        <v>1245</v>
      </c>
      <c r="AZ1248">
        <v>2016</v>
      </c>
      <c r="BA1248">
        <v>44</v>
      </c>
      <c r="BB1248">
        <v>3</v>
      </c>
      <c r="BC1248" t="s">
        <v>69</v>
      </c>
      <c r="BD1248" t="s">
        <v>69</v>
      </c>
      <c r="BE1248" t="s">
        <v>69</v>
      </c>
      <c r="BF1248" t="s">
        <v>69</v>
      </c>
      <c r="BG1248">
        <v>338</v>
      </c>
      <c r="BH1248">
        <v>341</v>
      </c>
      <c r="BI1248" t="s">
        <v>69</v>
      </c>
      <c r="BJ1248" t="s">
        <v>1246</v>
      </c>
      <c r="BK1248" t="str">
        <f>HYPERLINK("http://dx.doi.org/10.1080/09613218.2015.1089061","http://dx.doi.org/10.1080/09613218.2015.1089061")</f>
        <v>http://dx.doi.org/10.1080/09613218.2015.1089061</v>
      </c>
      <c r="BL1248" t="s">
        <v>69</v>
      </c>
      <c r="BM1248" t="s">
        <v>69</v>
      </c>
      <c r="BN1248">
        <v>4</v>
      </c>
      <c r="BO1248" t="s">
        <v>10105</v>
      </c>
      <c r="BP1248" t="s">
        <v>8548</v>
      </c>
      <c r="BQ1248" t="s">
        <v>10105</v>
      </c>
      <c r="BR1248" t="s">
        <v>21729</v>
      </c>
      <c r="BS1248" t="s">
        <v>1247</v>
      </c>
      <c r="BT1248" t="s">
        <v>69</v>
      </c>
      <c r="BU1248" t="s">
        <v>69</v>
      </c>
      <c r="BV1248" t="s">
        <v>69</v>
      </c>
      <c r="BW1248" t="s">
        <v>69</v>
      </c>
      <c r="BX1248" t="s">
        <v>8526</v>
      </c>
      <c r="BY1248" t="str">
        <f>HYPERLINK("https%3A%2F%2Fwww.webofscience.com%2Fwos%2Fwoscc%2Ffull-record%2FWOS:000371008600009","View Full Record in Web of Science")</f>
        <v>View Full Record in Web of Science</v>
      </c>
    </row>
    <row r="1249" spans="1:77" ht="12.5" x14ac:dyDescent="0.25">
      <c r="A1249" t="s">
        <v>8495</v>
      </c>
      <c r="B1249" s="7" t="s">
        <v>32933</v>
      </c>
      <c r="C1249" s="7"/>
      <c r="D1249" s="7"/>
      <c r="E1249" s="7"/>
      <c r="F1249" t="s">
        <v>67</v>
      </c>
      <c r="G1249" t="s">
        <v>6095</v>
      </c>
      <c r="H1249" t="s">
        <v>69</v>
      </c>
      <c r="I1249" t="s">
        <v>69</v>
      </c>
      <c r="J1249" t="s">
        <v>69</v>
      </c>
      <c r="K1249" t="s">
        <v>6096</v>
      </c>
      <c r="L1249" t="s">
        <v>69</v>
      </c>
      <c r="M1249" t="s">
        <v>69</v>
      </c>
      <c r="N1249" t="s">
        <v>6097</v>
      </c>
      <c r="O1249" t="s">
        <v>6098</v>
      </c>
      <c r="P1249" t="s">
        <v>69</v>
      </c>
      <c r="Q1249" t="s">
        <v>69</v>
      </c>
      <c r="R1249" t="s">
        <v>8505</v>
      </c>
      <c r="S1249" t="s">
        <v>15797</v>
      </c>
      <c r="T1249" t="s">
        <v>6099</v>
      </c>
      <c r="U1249">
        <v>2016</v>
      </c>
      <c r="V1249" t="s">
        <v>6100</v>
      </c>
      <c r="W1249" t="s">
        <v>69</v>
      </c>
      <c r="X1249" t="s">
        <v>69</v>
      </c>
      <c r="Y1249" t="s">
        <v>18581</v>
      </c>
      <c r="Z1249" t="s">
        <v>18582</v>
      </c>
      <c r="AA1249" t="s">
        <v>6101</v>
      </c>
      <c r="AB1249" t="s">
        <v>18583</v>
      </c>
      <c r="AC1249" t="s">
        <v>69</v>
      </c>
      <c r="AD1249" t="s">
        <v>18584</v>
      </c>
      <c r="AE1249" t="s">
        <v>18585</v>
      </c>
      <c r="AF1249" t="s">
        <v>69</v>
      </c>
      <c r="AG1249" t="s">
        <v>6102</v>
      </c>
      <c r="AH1249" t="s">
        <v>69</v>
      </c>
      <c r="AI1249" t="s">
        <v>69</v>
      </c>
      <c r="AJ1249" t="s">
        <v>69</v>
      </c>
      <c r="AK1249" t="s">
        <v>69</v>
      </c>
      <c r="AL1249">
        <v>109</v>
      </c>
      <c r="AM1249">
        <v>24</v>
      </c>
      <c r="AN1249">
        <v>24</v>
      </c>
      <c r="AO1249">
        <v>5</v>
      </c>
      <c r="AP1249">
        <v>26</v>
      </c>
      <c r="AQ1249" t="s">
        <v>8762</v>
      </c>
      <c r="AR1249" t="s">
        <v>8763</v>
      </c>
      <c r="AS1249" t="s">
        <v>8764</v>
      </c>
      <c r="AT1249" t="s">
        <v>6103</v>
      </c>
      <c r="AU1249" t="s">
        <v>6104</v>
      </c>
      <c r="AV1249" t="s">
        <v>69</v>
      </c>
      <c r="AW1249" t="s">
        <v>18586</v>
      </c>
      <c r="AX1249" t="s">
        <v>18587</v>
      </c>
      <c r="AY1249" t="s">
        <v>84</v>
      </c>
      <c r="AZ1249">
        <v>2018</v>
      </c>
      <c r="BA1249">
        <v>25</v>
      </c>
      <c r="BB1249">
        <v>3</v>
      </c>
      <c r="BC1249" t="s">
        <v>69</v>
      </c>
      <c r="BD1249" t="s">
        <v>69</v>
      </c>
      <c r="BE1249" t="s">
        <v>69</v>
      </c>
      <c r="BF1249" t="s">
        <v>69</v>
      </c>
      <c r="BG1249">
        <v>266</v>
      </c>
      <c r="BH1249">
        <v>283</v>
      </c>
      <c r="BI1249" t="s">
        <v>69</v>
      </c>
      <c r="BJ1249" t="s">
        <v>6105</v>
      </c>
      <c r="BK1249" t="str">
        <f>HYPERLINK("http://dx.doi.org/10.1177/0969776417731405","http://dx.doi.org/10.1177/0969776417731405")</f>
        <v>http://dx.doi.org/10.1177/0969776417731405</v>
      </c>
      <c r="BL1249" t="s">
        <v>69</v>
      </c>
      <c r="BM1249" t="s">
        <v>69</v>
      </c>
      <c r="BN1249">
        <v>18</v>
      </c>
      <c r="BO1249" t="s">
        <v>15726</v>
      </c>
      <c r="BP1249" t="s">
        <v>18588</v>
      </c>
      <c r="BQ1249" t="s">
        <v>15727</v>
      </c>
      <c r="BR1249" t="s">
        <v>18589</v>
      </c>
      <c r="BS1249" t="s">
        <v>6106</v>
      </c>
      <c r="BT1249" t="s">
        <v>69</v>
      </c>
      <c r="BU1249" t="s">
        <v>10995</v>
      </c>
      <c r="BV1249" t="s">
        <v>69</v>
      </c>
      <c r="BW1249" t="s">
        <v>69</v>
      </c>
      <c r="BX1249" t="s">
        <v>8526</v>
      </c>
      <c r="BY1249" t="str">
        <f>HYPERLINK("https%3A%2F%2Fwww.webofscience.com%2Fwos%2Fwoscc%2Ffull-record%2FWOS:000439592500004","View Full Record in Web of Science")</f>
        <v>View Full Record in Web of Science</v>
      </c>
    </row>
    <row r="1250" spans="1:77" ht="12.5" x14ac:dyDescent="0.25">
      <c r="A1250" t="s">
        <v>8495</v>
      </c>
      <c r="B1250" s="7" t="s">
        <v>32933</v>
      </c>
      <c r="C1250" s="7"/>
      <c r="D1250" s="7"/>
      <c r="E1250" s="7"/>
      <c r="F1250" t="s">
        <v>67</v>
      </c>
      <c r="G1250" t="s">
        <v>3213</v>
      </c>
      <c r="H1250" t="s">
        <v>69</v>
      </c>
      <c r="I1250" t="s">
        <v>69</v>
      </c>
      <c r="J1250" t="s">
        <v>69</v>
      </c>
      <c r="K1250" t="s">
        <v>3214</v>
      </c>
      <c r="L1250" t="s">
        <v>69</v>
      </c>
      <c r="M1250" t="s">
        <v>69</v>
      </c>
      <c r="N1250" t="s">
        <v>3215</v>
      </c>
      <c r="O1250" t="s">
        <v>24162</v>
      </c>
      <c r="P1250" t="s">
        <v>69</v>
      </c>
      <c r="Q1250" t="s">
        <v>69</v>
      </c>
      <c r="R1250" t="s">
        <v>8505</v>
      </c>
      <c r="S1250" t="s">
        <v>8506</v>
      </c>
      <c r="T1250" t="s">
        <v>69</v>
      </c>
      <c r="U1250" t="s">
        <v>69</v>
      </c>
      <c r="V1250" t="s">
        <v>69</v>
      </c>
      <c r="W1250" t="s">
        <v>69</v>
      </c>
      <c r="X1250" t="s">
        <v>69</v>
      </c>
      <c r="Y1250" t="s">
        <v>24163</v>
      </c>
      <c r="Z1250" t="s">
        <v>69</v>
      </c>
      <c r="AA1250" t="s">
        <v>3216</v>
      </c>
      <c r="AB1250" t="s">
        <v>24164</v>
      </c>
      <c r="AC1250" t="s">
        <v>69</v>
      </c>
      <c r="AD1250" t="s">
        <v>24165</v>
      </c>
      <c r="AE1250" t="s">
        <v>24166</v>
      </c>
      <c r="AF1250" t="s">
        <v>69</v>
      </c>
      <c r="AG1250" t="s">
        <v>24167</v>
      </c>
      <c r="AH1250" t="s">
        <v>24168</v>
      </c>
      <c r="AI1250" t="s">
        <v>24169</v>
      </c>
      <c r="AJ1250" t="s">
        <v>24170</v>
      </c>
      <c r="AK1250" t="s">
        <v>69</v>
      </c>
      <c r="AL1250">
        <v>24</v>
      </c>
      <c r="AM1250">
        <v>9</v>
      </c>
      <c r="AN1250">
        <v>9</v>
      </c>
      <c r="AO1250">
        <v>0</v>
      </c>
      <c r="AP1250">
        <v>0</v>
      </c>
      <c r="AQ1250" t="s">
        <v>8611</v>
      </c>
      <c r="AR1250" t="s">
        <v>8612</v>
      </c>
      <c r="AS1250" t="s">
        <v>8613</v>
      </c>
      <c r="AT1250" t="s">
        <v>69</v>
      </c>
      <c r="AU1250" t="s">
        <v>3217</v>
      </c>
      <c r="AV1250" t="s">
        <v>69</v>
      </c>
      <c r="AW1250" t="s">
        <v>24162</v>
      </c>
      <c r="AX1250" t="s">
        <v>24171</v>
      </c>
      <c r="AY1250" t="s">
        <v>69</v>
      </c>
      <c r="AZ1250">
        <v>2014</v>
      </c>
      <c r="BA1250">
        <v>7</v>
      </c>
      <c r="BB1250" t="s">
        <v>69</v>
      </c>
      <c r="BC1250" t="s">
        <v>69</v>
      </c>
      <c r="BD1250" t="s">
        <v>69</v>
      </c>
      <c r="BE1250" t="s">
        <v>114</v>
      </c>
      <c r="BF1250" t="s">
        <v>69</v>
      </c>
      <c r="BG1250">
        <v>54</v>
      </c>
      <c r="BH1250">
        <v>61</v>
      </c>
      <c r="BI1250" t="s">
        <v>69</v>
      </c>
      <c r="BJ1250" t="s">
        <v>3218</v>
      </c>
      <c r="BK1250" t="str">
        <f>HYPERLINK("http://dx.doi.org/10.3402/gha.v7.24928","http://dx.doi.org/10.3402/gha.v7.24928")</f>
        <v>http://dx.doi.org/10.3402/gha.v7.24928</v>
      </c>
      <c r="BL1250" t="s">
        <v>69</v>
      </c>
      <c r="BM1250" t="s">
        <v>69</v>
      </c>
      <c r="BN1250">
        <v>8</v>
      </c>
      <c r="BO1250" t="s">
        <v>8810</v>
      </c>
      <c r="BP1250" t="s">
        <v>8523</v>
      </c>
      <c r="BQ1250" t="s">
        <v>8810</v>
      </c>
      <c r="BR1250" t="s">
        <v>24172</v>
      </c>
      <c r="BS1250" t="s">
        <v>3219</v>
      </c>
      <c r="BT1250" t="s">
        <v>69</v>
      </c>
      <c r="BU1250" t="s">
        <v>9352</v>
      </c>
      <c r="BV1250" t="s">
        <v>69</v>
      </c>
      <c r="BW1250" t="s">
        <v>69</v>
      </c>
      <c r="BX1250" t="s">
        <v>8526</v>
      </c>
      <c r="BY1250" t="str">
        <f>HYPERLINK("https%3A%2F%2Fwww.webofscience.com%2Fwos%2Fwoscc%2Ffull-record%2FWOS:000348787300006","View Full Record in Web of Science")</f>
        <v>View Full Record in Web of Science</v>
      </c>
    </row>
    <row r="1251" spans="1:77" ht="12.5" x14ac:dyDescent="0.25">
      <c r="A1251" t="s">
        <v>8495</v>
      </c>
      <c r="B1251" s="22" t="s">
        <v>32931</v>
      </c>
      <c r="C1251" s="7"/>
      <c r="D1251" s="7"/>
      <c r="E1251" s="7"/>
      <c r="F1251" t="s">
        <v>67</v>
      </c>
      <c r="G1251" t="s">
        <v>21233</v>
      </c>
      <c r="H1251" t="s">
        <v>69</v>
      </c>
      <c r="I1251" t="s">
        <v>69</v>
      </c>
      <c r="J1251" t="s">
        <v>69</v>
      </c>
      <c r="K1251" t="s">
        <v>21234</v>
      </c>
      <c r="L1251" t="s">
        <v>69</v>
      </c>
      <c r="M1251" t="s">
        <v>69</v>
      </c>
      <c r="N1251" t="s">
        <v>21235</v>
      </c>
      <c r="O1251" t="s">
        <v>21236</v>
      </c>
      <c r="P1251" t="s">
        <v>69</v>
      </c>
      <c r="Q1251" t="s">
        <v>69</v>
      </c>
      <c r="R1251" t="s">
        <v>8505</v>
      </c>
      <c r="S1251" t="s">
        <v>8506</v>
      </c>
      <c r="T1251" t="s">
        <v>69</v>
      </c>
      <c r="U1251" t="s">
        <v>69</v>
      </c>
      <c r="V1251" t="s">
        <v>69</v>
      </c>
      <c r="W1251" t="s">
        <v>69</v>
      </c>
      <c r="X1251" t="s">
        <v>69</v>
      </c>
      <c r="Y1251" t="s">
        <v>69</v>
      </c>
      <c r="Z1251" t="s">
        <v>21237</v>
      </c>
      <c r="AA1251" t="s">
        <v>21238</v>
      </c>
      <c r="AB1251" t="s">
        <v>21239</v>
      </c>
      <c r="AC1251" t="s">
        <v>69</v>
      </c>
      <c r="AD1251" t="s">
        <v>21240</v>
      </c>
      <c r="AE1251" t="s">
        <v>21241</v>
      </c>
      <c r="AF1251" t="s">
        <v>69</v>
      </c>
      <c r="AG1251" t="s">
        <v>69</v>
      </c>
      <c r="AH1251" t="s">
        <v>69</v>
      </c>
      <c r="AI1251" t="s">
        <v>69</v>
      </c>
      <c r="AJ1251" t="s">
        <v>69</v>
      </c>
      <c r="AK1251" t="s">
        <v>69</v>
      </c>
      <c r="AL1251">
        <v>13</v>
      </c>
      <c r="AM1251">
        <v>3</v>
      </c>
      <c r="AN1251">
        <v>3</v>
      </c>
      <c r="AO1251">
        <v>0</v>
      </c>
      <c r="AP1251">
        <v>5</v>
      </c>
      <c r="AQ1251" t="s">
        <v>21242</v>
      </c>
      <c r="AR1251" t="s">
        <v>21243</v>
      </c>
      <c r="AS1251" t="s">
        <v>21244</v>
      </c>
      <c r="AT1251" t="s">
        <v>21245</v>
      </c>
      <c r="AU1251" t="s">
        <v>21246</v>
      </c>
      <c r="AV1251" t="s">
        <v>69</v>
      </c>
      <c r="AW1251" t="s">
        <v>21247</v>
      </c>
      <c r="AX1251" t="s">
        <v>21248</v>
      </c>
      <c r="AY1251" t="s">
        <v>381</v>
      </c>
      <c r="AZ1251">
        <v>2016</v>
      </c>
      <c r="BA1251">
        <v>55</v>
      </c>
      <c r="BB1251">
        <v>10</v>
      </c>
      <c r="BC1251" t="s">
        <v>69</v>
      </c>
      <c r="BD1251" t="s">
        <v>69</v>
      </c>
      <c r="BE1251" t="s">
        <v>69</v>
      </c>
      <c r="BF1251" t="s">
        <v>69</v>
      </c>
      <c r="BG1251">
        <v>583</v>
      </c>
      <c r="BH1251">
        <v>586</v>
      </c>
      <c r="BI1251" t="s">
        <v>69</v>
      </c>
      <c r="BJ1251" t="s">
        <v>21249</v>
      </c>
      <c r="BK1251" t="str">
        <f>HYPERLINK("http://dx.doi.org/10.3928/01484834-20160914-08","http://dx.doi.org/10.3928/01484834-20160914-08")</f>
        <v>http://dx.doi.org/10.3928/01484834-20160914-08</v>
      </c>
      <c r="BL1251" t="s">
        <v>69</v>
      </c>
      <c r="BM1251" t="s">
        <v>69</v>
      </c>
      <c r="BN1251">
        <v>4</v>
      </c>
      <c r="BO1251" t="s">
        <v>16902</v>
      </c>
      <c r="BP1251" t="s">
        <v>8523</v>
      </c>
      <c r="BQ1251" t="s">
        <v>16902</v>
      </c>
      <c r="BR1251" t="s">
        <v>21250</v>
      </c>
      <c r="BS1251" t="s">
        <v>21251</v>
      </c>
      <c r="BT1251">
        <v>27668739</v>
      </c>
      <c r="BU1251" t="s">
        <v>69</v>
      </c>
      <c r="BV1251" t="s">
        <v>69</v>
      </c>
      <c r="BW1251" t="s">
        <v>69</v>
      </c>
      <c r="BX1251" t="s">
        <v>8526</v>
      </c>
      <c r="BY1251" t="str">
        <f>HYPERLINK("https%3A%2F%2Fwww.webofscience.com%2Fwos%2Fwoscc%2Ffull-record%2FWOS:000389142900008","View Full Record in Web of Science")</f>
        <v>View Full Record in Web of Science</v>
      </c>
    </row>
    <row r="1252" spans="1:77" x14ac:dyDescent="0.3">
      <c r="A1252" t="s">
        <v>8495</v>
      </c>
      <c r="B1252" s="9" t="s">
        <v>32972</v>
      </c>
      <c r="C1252" s="9" t="s">
        <v>33158</v>
      </c>
      <c r="D1252" s="10" t="s">
        <v>8490</v>
      </c>
      <c r="E1252" s="9" t="s">
        <v>8490</v>
      </c>
      <c r="F1252" t="s">
        <v>67</v>
      </c>
      <c r="G1252" t="s">
        <v>14796</v>
      </c>
      <c r="H1252" t="s">
        <v>69</v>
      </c>
      <c r="I1252" t="s">
        <v>69</v>
      </c>
      <c r="J1252" t="s">
        <v>69</v>
      </c>
      <c r="K1252" t="s">
        <v>14797</v>
      </c>
      <c r="L1252" t="s">
        <v>69</v>
      </c>
      <c r="M1252" t="s">
        <v>69</v>
      </c>
      <c r="N1252" t="s">
        <v>14798</v>
      </c>
      <c r="O1252" t="s">
        <v>14799</v>
      </c>
      <c r="P1252" t="s">
        <v>69</v>
      </c>
      <c r="Q1252" t="s">
        <v>69</v>
      </c>
      <c r="R1252" t="s">
        <v>14800</v>
      </c>
      <c r="S1252" t="s">
        <v>8506</v>
      </c>
      <c r="T1252" t="s">
        <v>69</v>
      </c>
      <c r="U1252" t="s">
        <v>69</v>
      </c>
      <c r="V1252" t="s">
        <v>69</v>
      </c>
      <c r="W1252" t="s">
        <v>69</v>
      </c>
      <c r="X1252" t="s">
        <v>69</v>
      </c>
      <c r="Y1252" t="s">
        <v>14801</v>
      </c>
      <c r="Z1252" t="s">
        <v>69</v>
      </c>
      <c r="AA1252" t="s">
        <v>14802</v>
      </c>
      <c r="AB1252" t="s">
        <v>14803</v>
      </c>
      <c r="AC1252" t="s">
        <v>69</v>
      </c>
      <c r="AD1252" t="s">
        <v>14804</v>
      </c>
      <c r="AE1252" t="s">
        <v>69</v>
      </c>
      <c r="AF1252" t="s">
        <v>69</v>
      </c>
      <c r="AG1252" t="s">
        <v>69</v>
      </c>
      <c r="AH1252" t="s">
        <v>69</v>
      </c>
      <c r="AI1252" t="s">
        <v>69</v>
      </c>
      <c r="AJ1252" t="s">
        <v>69</v>
      </c>
      <c r="AK1252" t="s">
        <v>69</v>
      </c>
      <c r="AL1252">
        <v>45</v>
      </c>
      <c r="AM1252">
        <v>0</v>
      </c>
      <c r="AN1252">
        <v>0</v>
      </c>
      <c r="AO1252">
        <v>0</v>
      </c>
      <c r="AP1252">
        <v>0</v>
      </c>
      <c r="AQ1252" t="s">
        <v>14805</v>
      </c>
      <c r="AR1252" t="s">
        <v>14806</v>
      </c>
      <c r="AS1252" t="s">
        <v>14807</v>
      </c>
      <c r="AT1252" t="s">
        <v>14808</v>
      </c>
      <c r="AU1252" t="s">
        <v>69</v>
      </c>
      <c r="AV1252" t="s">
        <v>69</v>
      </c>
      <c r="AW1252" t="s">
        <v>14809</v>
      </c>
      <c r="AX1252" t="s">
        <v>14810</v>
      </c>
      <c r="AY1252" t="s">
        <v>84</v>
      </c>
      <c r="AZ1252">
        <v>2020</v>
      </c>
      <c r="BA1252">
        <v>11</v>
      </c>
      <c r="BB1252">
        <v>2</v>
      </c>
      <c r="BC1252" t="s">
        <v>69</v>
      </c>
      <c r="BD1252" t="s">
        <v>69</v>
      </c>
      <c r="BE1252" t="s">
        <v>69</v>
      </c>
      <c r="BF1252" t="s">
        <v>69</v>
      </c>
      <c r="BG1252" t="s">
        <v>69</v>
      </c>
      <c r="BH1252" t="s">
        <v>69</v>
      </c>
      <c r="BI1252" t="s">
        <v>69</v>
      </c>
      <c r="BJ1252" t="s">
        <v>14811</v>
      </c>
      <c r="BK1252" t="str">
        <f>HYPERLINK("http://dx.doi.org/10.4000/developpementdurable.17493","http://dx.doi.org/10.4000/developpementdurable.17493")</f>
        <v>http://dx.doi.org/10.4000/developpementdurable.17493</v>
      </c>
      <c r="BL1252" t="s">
        <v>69</v>
      </c>
      <c r="BM1252" t="s">
        <v>69</v>
      </c>
      <c r="BN1252">
        <v>19</v>
      </c>
      <c r="BO1252" t="s">
        <v>8446</v>
      </c>
      <c r="BP1252" t="s">
        <v>8573</v>
      </c>
      <c r="BQ1252" t="s">
        <v>8446</v>
      </c>
      <c r="BR1252" t="s">
        <v>14812</v>
      </c>
      <c r="BS1252" t="s">
        <v>14813</v>
      </c>
      <c r="BT1252" t="s">
        <v>69</v>
      </c>
      <c r="BU1252" t="s">
        <v>11853</v>
      </c>
      <c r="BV1252" t="s">
        <v>69</v>
      </c>
      <c r="BW1252" t="s">
        <v>69</v>
      </c>
      <c r="BX1252" t="s">
        <v>8526</v>
      </c>
      <c r="BY1252" t="str">
        <f>HYPERLINK("https%3A%2F%2Fwww.webofscience.com%2Fwos%2Fwoscc%2Ffull-record%2FWOS:000589507600009","View Full Record in Web of Science")</f>
        <v>View Full Record in Web of Science</v>
      </c>
    </row>
    <row r="1253" spans="1:77" x14ac:dyDescent="0.3">
      <c r="A1253" t="s">
        <v>8495</v>
      </c>
      <c r="B1253" s="26" t="s">
        <v>33013</v>
      </c>
      <c r="F1253" t="s">
        <v>67</v>
      </c>
      <c r="G1253" t="s">
        <v>14796</v>
      </c>
      <c r="H1253" t="s">
        <v>69</v>
      </c>
      <c r="I1253" t="s">
        <v>69</v>
      </c>
      <c r="J1253" t="s">
        <v>69</v>
      </c>
      <c r="K1253" t="s">
        <v>14797</v>
      </c>
      <c r="L1253" t="s">
        <v>69</v>
      </c>
      <c r="M1253" t="s">
        <v>69</v>
      </c>
      <c r="N1253" t="s">
        <v>18107</v>
      </c>
      <c r="O1253" t="s">
        <v>14799</v>
      </c>
      <c r="P1253" t="s">
        <v>69</v>
      </c>
      <c r="Q1253" t="s">
        <v>69</v>
      </c>
      <c r="R1253" t="s">
        <v>14800</v>
      </c>
      <c r="S1253" t="s">
        <v>8506</v>
      </c>
      <c r="T1253" t="s">
        <v>69</v>
      </c>
      <c r="U1253" t="s">
        <v>69</v>
      </c>
      <c r="V1253" t="s">
        <v>69</v>
      </c>
      <c r="W1253" t="s">
        <v>69</v>
      </c>
      <c r="X1253" t="s">
        <v>69</v>
      </c>
      <c r="Y1253" t="s">
        <v>14801</v>
      </c>
      <c r="Z1253" t="s">
        <v>69</v>
      </c>
      <c r="AA1253" t="s">
        <v>14802</v>
      </c>
      <c r="AB1253" t="s">
        <v>18108</v>
      </c>
      <c r="AC1253" t="s">
        <v>69</v>
      </c>
      <c r="AD1253" t="s">
        <v>18109</v>
      </c>
      <c r="AE1253" t="s">
        <v>69</v>
      </c>
      <c r="AF1253" t="s">
        <v>69</v>
      </c>
      <c r="AG1253" t="s">
        <v>69</v>
      </c>
      <c r="AH1253" t="s">
        <v>69</v>
      </c>
      <c r="AI1253" t="s">
        <v>69</v>
      </c>
      <c r="AJ1253" t="s">
        <v>69</v>
      </c>
      <c r="AK1253" t="s">
        <v>69</v>
      </c>
      <c r="AL1253">
        <v>47</v>
      </c>
      <c r="AM1253">
        <v>1</v>
      </c>
      <c r="AN1253">
        <v>1</v>
      </c>
      <c r="AO1253">
        <v>0</v>
      </c>
      <c r="AP1253">
        <v>0</v>
      </c>
      <c r="AQ1253" t="s">
        <v>14805</v>
      </c>
      <c r="AR1253" t="s">
        <v>14806</v>
      </c>
      <c r="AS1253" t="s">
        <v>14807</v>
      </c>
      <c r="AT1253" t="s">
        <v>14808</v>
      </c>
      <c r="AU1253" t="s">
        <v>69</v>
      </c>
      <c r="AV1253" t="s">
        <v>69</v>
      </c>
      <c r="AW1253" t="s">
        <v>14809</v>
      </c>
      <c r="AX1253" t="s">
        <v>14810</v>
      </c>
      <c r="AY1253" t="s">
        <v>274</v>
      </c>
      <c r="AZ1253">
        <v>2018</v>
      </c>
      <c r="BA1253">
        <v>9</v>
      </c>
      <c r="BB1253">
        <v>3</v>
      </c>
      <c r="BC1253" t="s">
        <v>69</v>
      </c>
      <c r="BD1253" t="s">
        <v>69</v>
      </c>
      <c r="BE1253" t="s">
        <v>69</v>
      </c>
      <c r="BF1253" t="s">
        <v>69</v>
      </c>
      <c r="BG1253" t="s">
        <v>69</v>
      </c>
      <c r="BH1253" t="s">
        <v>69</v>
      </c>
      <c r="BI1253">
        <v>12781</v>
      </c>
      <c r="BJ1253" t="s">
        <v>18110</v>
      </c>
      <c r="BK1253" t="str">
        <f>HYPERLINK("http://dx.doi.org/10.4000/developpementdurable.12781","http://dx.doi.org/10.4000/developpementdurable.12781")</f>
        <v>http://dx.doi.org/10.4000/developpementdurable.12781</v>
      </c>
      <c r="BL1253" t="s">
        <v>69</v>
      </c>
      <c r="BM1253" t="s">
        <v>69</v>
      </c>
      <c r="BN1253">
        <v>18</v>
      </c>
      <c r="BO1253" t="s">
        <v>8446</v>
      </c>
      <c r="BP1253" t="s">
        <v>8573</v>
      </c>
      <c r="BQ1253" t="s">
        <v>8446</v>
      </c>
      <c r="BR1253" t="s">
        <v>18111</v>
      </c>
      <c r="BS1253" t="s">
        <v>18112</v>
      </c>
      <c r="BT1253" t="s">
        <v>69</v>
      </c>
      <c r="BU1253" t="s">
        <v>11853</v>
      </c>
      <c r="BV1253" t="s">
        <v>69</v>
      </c>
      <c r="BW1253" t="s">
        <v>69</v>
      </c>
      <c r="BX1253" t="s">
        <v>8526</v>
      </c>
      <c r="BY1253" t="str">
        <f>HYPERLINK("https%3A%2F%2Fwww.webofscience.com%2Fwos%2Fwoscc%2Ffull-record%2FWOS:000475490400007","View Full Record in Web of Science")</f>
        <v>View Full Record in Web of Science</v>
      </c>
    </row>
    <row r="1254" spans="1:77" x14ac:dyDescent="0.3">
      <c r="A1254" t="s">
        <v>8495</v>
      </c>
      <c r="B1254" s="13" t="s">
        <v>33014</v>
      </c>
      <c r="F1254" t="s">
        <v>67</v>
      </c>
      <c r="G1254" t="s">
        <v>4931</v>
      </c>
      <c r="H1254" t="s">
        <v>69</v>
      </c>
      <c r="I1254" t="s">
        <v>69</v>
      </c>
      <c r="J1254" t="s">
        <v>69</v>
      </c>
      <c r="K1254" s="4" t="s">
        <v>4931</v>
      </c>
      <c r="L1254" t="s">
        <v>69</v>
      </c>
      <c r="M1254" t="s">
        <v>69</v>
      </c>
      <c r="N1254" t="s">
        <v>4932</v>
      </c>
      <c r="O1254" t="s">
        <v>4933</v>
      </c>
      <c r="P1254" t="s">
        <v>69</v>
      </c>
      <c r="Q1254" t="s">
        <v>69</v>
      </c>
      <c r="R1254" t="s">
        <v>8505</v>
      </c>
      <c r="S1254" t="s">
        <v>8506</v>
      </c>
      <c r="T1254" t="s">
        <v>69</v>
      </c>
      <c r="U1254" t="s">
        <v>69</v>
      </c>
      <c r="V1254" t="s">
        <v>69</v>
      </c>
      <c r="W1254" t="s">
        <v>69</v>
      </c>
      <c r="X1254" t="s">
        <v>69</v>
      </c>
      <c r="Y1254" t="s">
        <v>31138</v>
      </c>
      <c r="Z1254" t="s">
        <v>31139</v>
      </c>
      <c r="AA1254" t="s">
        <v>4934</v>
      </c>
      <c r="AB1254" t="s">
        <v>31140</v>
      </c>
      <c r="AC1254" t="s">
        <v>69</v>
      </c>
      <c r="AD1254" t="s">
        <v>31141</v>
      </c>
      <c r="AE1254" t="s">
        <v>69</v>
      </c>
      <c r="AF1254" t="s">
        <v>31142</v>
      </c>
      <c r="AG1254" t="s">
        <v>4935</v>
      </c>
      <c r="AH1254" t="s">
        <v>69</v>
      </c>
      <c r="AI1254" t="s">
        <v>69</v>
      </c>
      <c r="AJ1254" t="s">
        <v>69</v>
      </c>
      <c r="AK1254" t="s">
        <v>69</v>
      </c>
      <c r="AL1254">
        <v>34</v>
      </c>
      <c r="AM1254">
        <v>22</v>
      </c>
      <c r="AN1254">
        <v>22</v>
      </c>
      <c r="AO1254">
        <v>1</v>
      </c>
      <c r="AP1254">
        <v>5</v>
      </c>
      <c r="AQ1254" t="s">
        <v>8762</v>
      </c>
      <c r="AR1254" t="s">
        <v>8763</v>
      </c>
      <c r="AS1254" t="s">
        <v>31143</v>
      </c>
      <c r="AT1254" t="s">
        <v>4936</v>
      </c>
      <c r="AU1254" t="s">
        <v>69</v>
      </c>
      <c r="AV1254" t="s">
        <v>69</v>
      </c>
      <c r="AW1254" t="s">
        <v>31144</v>
      </c>
      <c r="AX1254" t="s">
        <v>31145</v>
      </c>
      <c r="AY1254" t="s">
        <v>274</v>
      </c>
      <c r="AZ1254">
        <v>2003</v>
      </c>
      <c r="BA1254">
        <v>9</v>
      </c>
      <c r="BB1254">
        <v>6</v>
      </c>
      <c r="BC1254" t="s">
        <v>69</v>
      </c>
      <c r="BD1254" t="s">
        <v>69</v>
      </c>
      <c r="BE1254" t="s">
        <v>69</v>
      </c>
      <c r="BF1254" t="s">
        <v>69</v>
      </c>
      <c r="BG1254">
        <v>729</v>
      </c>
      <c r="BH1254">
        <v>746</v>
      </c>
      <c r="BI1254" t="s">
        <v>69</v>
      </c>
      <c r="BJ1254" t="s">
        <v>4937</v>
      </c>
      <c r="BK1254" t="str">
        <f>HYPERLINK("http://dx.doi.org/10.1177/13540688030096004","http://dx.doi.org/10.1177/13540688030096004")</f>
        <v>http://dx.doi.org/10.1177/13540688030096004</v>
      </c>
      <c r="BL1254" t="s">
        <v>69</v>
      </c>
      <c r="BM1254" t="s">
        <v>69</v>
      </c>
      <c r="BN1254">
        <v>18</v>
      </c>
      <c r="BO1254" t="s">
        <v>13241</v>
      </c>
      <c r="BP1254" t="s">
        <v>8661</v>
      </c>
      <c r="BQ1254" t="s">
        <v>10084</v>
      </c>
      <c r="BR1254" t="s">
        <v>31146</v>
      </c>
      <c r="BS1254" t="s">
        <v>4938</v>
      </c>
      <c r="BT1254" t="s">
        <v>69</v>
      </c>
      <c r="BU1254" t="s">
        <v>69</v>
      </c>
      <c r="BV1254" t="s">
        <v>69</v>
      </c>
      <c r="BW1254" t="s">
        <v>69</v>
      </c>
      <c r="BX1254" t="s">
        <v>8526</v>
      </c>
      <c r="BY1254" t="str">
        <f>HYPERLINK("https%3A%2F%2Fwww.webofscience.com%2Fwos%2Fwoscc%2Ffull-record%2FWOS:000186859700004","View Full Record in Web of Science")</f>
        <v>View Full Record in Web of Science</v>
      </c>
    </row>
    <row r="1255" spans="1:77" ht="12.5" x14ac:dyDescent="0.25">
      <c r="A1255" t="s">
        <v>8495</v>
      </c>
      <c r="B1255" s="22" t="s">
        <v>32931</v>
      </c>
      <c r="C1255" s="7"/>
      <c r="D1255" s="7"/>
      <c r="E1255" s="7"/>
      <c r="F1255" t="s">
        <v>67</v>
      </c>
      <c r="G1255" t="s">
        <v>31296</v>
      </c>
      <c r="H1255" t="s">
        <v>69</v>
      </c>
      <c r="I1255" t="s">
        <v>69</v>
      </c>
      <c r="J1255" t="s">
        <v>69</v>
      </c>
      <c r="K1255" t="s">
        <v>31296</v>
      </c>
      <c r="L1255" t="s">
        <v>69</v>
      </c>
      <c r="M1255" t="s">
        <v>69</v>
      </c>
      <c r="N1255" t="s">
        <v>31297</v>
      </c>
      <c r="O1255" t="s">
        <v>31298</v>
      </c>
      <c r="P1255" t="s">
        <v>69</v>
      </c>
      <c r="Q1255" t="s">
        <v>69</v>
      </c>
      <c r="R1255" t="s">
        <v>8505</v>
      </c>
      <c r="S1255" t="s">
        <v>8506</v>
      </c>
      <c r="T1255" t="s">
        <v>69</v>
      </c>
      <c r="U1255" t="s">
        <v>69</v>
      </c>
      <c r="V1255" t="s">
        <v>69</v>
      </c>
      <c r="W1255" t="s">
        <v>69</v>
      </c>
      <c r="X1255" t="s">
        <v>69</v>
      </c>
      <c r="Y1255" t="s">
        <v>69</v>
      </c>
      <c r="Z1255" t="s">
        <v>31299</v>
      </c>
      <c r="AA1255" t="s">
        <v>31300</v>
      </c>
      <c r="AB1255" t="s">
        <v>31301</v>
      </c>
      <c r="AC1255" t="s">
        <v>69</v>
      </c>
      <c r="AD1255" t="s">
        <v>31302</v>
      </c>
      <c r="AE1255" t="s">
        <v>69</v>
      </c>
      <c r="AF1255" t="s">
        <v>69</v>
      </c>
      <c r="AG1255" t="s">
        <v>69</v>
      </c>
      <c r="AH1255" t="s">
        <v>69</v>
      </c>
      <c r="AI1255" t="s">
        <v>69</v>
      </c>
      <c r="AJ1255" t="s">
        <v>69</v>
      </c>
      <c r="AK1255" t="s">
        <v>69</v>
      </c>
      <c r="AL1255">
        <v>38</v>
      </c>
      <c r="AM1255">
        <v>10</v>
      </c>
      <c r="AN1255">
        <v>10</v>
      </c>
      <c r="AO1255">
        <v>0</v>
      </c>
      <c r="AP1255">
        <v>7</v>
      </c>
      <c r="AQ1255" t="s">
        <v>31303</v>
      </c>
      <c r="AR1255" t="s">
        <v>31304</v>
      </c>
      <c r="AS1255" t="s">
        <v>31305</v>
      </c>
      <c r="AT1255" t="s">
        <v>31306</v>
      </c>
      <c r="AU1255" t="s">
        <v>69</v>
      </c>
      <c r="AV1255" t="s">
        <v>69</v>
      </c>
      <c r="AW1255" t="s">
        <v>31307</v>
      </c>
      <c r="AX1255" t="s">
        <v>31308</v>
      </c>
      <c r="AY1255" t="s">
        <v>69</v>
      </c>
      <c r="AZ1255">
        <v>2003</v>
      </c>
      <c r="BA1255">
        <v>24</v>
      </c>
      <c r="BB1255">
        <v>2</v>
      </c>
      <c r="BC1255" t="s">
        <v>69</v>
      </c>
      <c r="BD1255" t="s">
        <v>69</v>
      </c>
      <c r="BE1255" t="s">
        <v>69</v>
      </c>
      <c r="BF1255" t="s">
        <v>69</v>
      </c>
      <c r="BG1255">
        <v>105</v>
      </c>
      <c r="BH1255">
        <v>129</v>
      </c>
      <c r="BI1255" t="s">
        <v>69</v>
      </c>
      <c r="BJ1255" t="s">
        <v>31309</v>
      </c>
      <c r="BK1255" t="str">
        <f>HYPERLINK("http://dx.doi.org/10.2307/3343508","http://dx.doi.org/10.2307/3343508")</f>
        <v>http://dx.doi.org/10.2307/3343508</v>
      </c>
      <c r="BL1255" t="s">
        <v>69</v>
      </c>
      <c r="BM1255" t="s">
        <v>69</v>
      </c>
      <c r="BN1255">
        <v>25</v>
      </c>
      <c r="BO1255" t="s">
        <v>11564</v>
      </c>
      <c r="BP1255" t="s">
        <v>8523</v>
      </c>
      <c r="BQ1255" t="s">
        <v>11565</v>
      </c>
      <c r="BR1255" t="s">
        <v>31310</v>
      </c>
      <c r="BS1255" t="s">
        <v>31311</v>
      </c>
      <c r="BT1255">
        <v>14601534</v>
      </c>
      <c r="BU1255" t="s">
        <v>69</v>
      </c>
      <c r="BV1255" t="s">
        <v>69</v>
      </c>
      <c r="BW1255" t="s">
        <v>69</v>
      </c>
      <c r="BX1255" t="s">
        <v>8526</v>
      </c>
      <c r="BY1255" t="str">
        <f>HYPERLINK("https%3A%2F%2Fwww.webofscience.com%2Fwos%2Fwoscc%2Ffull-record%2FWOS:000220905000001","View Full Record in Web of Science")</f>
        <v>View Full Record in Web of Science</v>
      </c>
    </row>
    <row r="1256" spans="1:77" ht="12.5" x14ac:dyDescent="0.25">
      <c r="A1256" t="s">
        <v>8495</v>
      </c>
      <c r="B1256" s="7" t="s">
        <v>32933</v>
      </c>
      <c r="C1256" s="7"/>
      <c r="D1256" s="7"/>
      <c r="E1256" s="7"/>
      <c r="F1256" t="s">
        <v>67</v>
      </c>
      <c r="G1256" t="s">
        <v>1815</v>
      </c>
      <c r="H1256" t="s">
        <v>69</v>
      </c>
      <c r="I1256" t="s">
        <v>69</v>
      </c>
      <c r="J1256" t="s">
        <v>69</v>
      </c>
      <c r="K1256" t="s">
        <v>1815</v>
      </c>
      <c r="L1256" t="s">
        <v>69</v>
      </c>
      <c r="M1256" t="s">
        <v>69</v>
      </c>
      <c r="N1256" t="s">
        <v>1816</v>
      </c>
      <c r="O1256" t="s">
        <v>1799</v>
      </c>
      <c r="P1256" t="s">
        <v>69</v>
      </c>
      <c r="Q1256" t="s">
        <v>69</v>
      </c>
      <c r="R1256" t="s">
        <v>8505</v>
      </c>
      <c r="S1256" t="s">
        <v>8506</v>
      </c>
      <c r="T1256" t="s">
        <v>69</v>
      </c>
      <c r="U1256" t="s">
        <v>69</v>
      </c>
      <c r="V1256" t="s">
        <v>69</v>
      </c>
      <c r="W1256" t="s">
        <v>69</v>
      </c>
      <c r="X1256" t="s">
        <v>69</v>
      </c>
      <c r="Y1256" t="s">
        <v>32786</v>
      </c>
      <c r="Z1256" t="s">
        <v>29975</v>
      </c>
      <c r="AA1256" t="s">
        <v>1817</v>
      </c>
      <c r="AB1256" t="s">
        <v>32787</v>
      </c>
      <c r="AC1256" t="s">
        <v>69</v>
      </c>
      <c r="AD1256" t="s">
        <v>69</v>
      </c>
      <c r="AE1256" t="s">
        <v>69</v>
      </c>
      <c r="AF1256" t="s">
        <v>69</v>
      </c>
      <c r="AG1256" t="s">
        <v>1818</v>
      </c>
      <c r="AH1256" t="s">
        <v>69</v>
      </c>
      <c r="AI1256" t="s">
        <v>69</v>
      </c>
      <c r="AJ1256" t="s">
        <v>69</v>
      </c>
      <c r="AK1256" t="s">
        <v>69</v>
      </c>
      <c r="AL1256">
        <v>33</v>
      </c>
      <c r="AM1256">
        <v>127</v>
      </c>
      <c r="AN1256">
        <v>131</v>
      </c>
      <c r="AO1256">
        <v>1</v>
      </c>
      <c r="AP1256">
        <v>40</v>
      </c>
      <c r="AQ1256" t="s">
        <v>32595</v>
      </c>
      <c r="AR1256" t="s">
        <v>8693</v>
      </c>
      <c r="AS1256" t="s">
        <v>32596</v>
      </c>
      <c r="AT1256" t="s">
        <v>1801</v>
      </c>
      <c r="AU1256" t="s">
        <v>69</v>
      </c>
      <c r="AV1256" t="s">
        <v>69</v>
      </c>
      <c r="AW1256" t="s">
        <v>15128</v>
      </c>
      <c r="AX1256" t="s">
        <v>15129</v>
      </c>
      <c r="AY1256" t="s">
        <v>201</v>
      </c>
      <c r="AZ1256">
        <v>1993</v>
      </c>
      <c r="BA1256">
        <v>13</v>
      </c>
      <c r="BB1256">
        <v>4</v>
      </c>
      <c r="BC1256" t="s">
        <v>69</v>
      </c>
      <c r="BD1256" t="s">
        <v>69</v>
      </c>
      <c r="BE1256" t="s">
        <v>69</v>
      </c>
      <c r="BF1256" t="s">
        <v>69</v>
      </c>
      <c r="BG1256">
        <v>425</v>
      </c>
      <c r="BH1256">
        <v>439</v>
      </c>
      <c r="BI1256" t="s">
        <v>69</v>
      </c>
      <c r="BJ1256" t="s">
        <v>1819</v>
      </c>
      <c r="BK1256" t="str">
        <f>HYPERLINK("http://dx.doi.org/10.1111/j.1539-6924.1993.tb00743.x","http://dx.doi.org/10.1111/j.1539-6924.1993.tb00743.x")</f>
        <v>http://dx.doi.org/10.1111/j.1539-6924.1993.tb00743.x</v>
      </c>
      <c r="BL1256" t="s">
        <v>69</v>
      </c>
      <c r="BM1256" t="s">
        <v>69</v>
      </c>
      <c r="BN1256">
        <v>15</v>
      </c>
      <c r="BO1256" t="s">
        <v>15130</v>
      </c>
      <c r="BP1256" t="s">
        <v>8661</v>
      </c>
      <c r="BQ1256" t="s">
        <v>15131</v>
      </c>
      <c r="BR1256" t="s">
        <v>32788</v>
      </c>
      <c r="BS1256" t="s">
        <v>1820</v>
      </c>
      <c r="BT1256">
        <v>8234951</v>
      </c>
      <c r="BU1256" t="s">
        <v>69</v>
      </c>
      <c r="BV1256" t="s">
        <v>69</v>
      </c>
      <c r="BW1256" t="s">
        <v>69</v>
      </c>
      <c r="BX1256" t="s">
        <v>8526</v>
      </c>
      <c r="BY1256" t="str">
        <f>HYPERLINK("https%3A%2F%2Fwww.webofscience.com%2Fwos%2Fwoscc%2Ffull-record%2FWOS:A1993LX89200008","View Full Record in Web of Science")</f>
        <v>View Full Record in Web of Science</v>
      </c>
    </row>
    <row r="1257" spans="1:77" ht="12.5" x14ac:dyDescent="0.25">
      <c r="A1257" t="s">
        <v>8495</v>
      </c>
      <c r="B1257" s="7" t="s">
        <v>32933</v>
      </c>
      <c r="C1257" s="7"/>
      <c r="D1257" s="7"/>
      <c r="E1257" s="7"/>
      <c r="F1257" t="s">
        <v>67</v>
      </c>
      <c r="G1257" t="s">
        <v>5097</v>
      </c>
      <c r="H1257" t="s">
        <v>69</v>
      </c>
      <c r="I1257" t="s">
        <v>69</v>
      </c>
      <c r="J1257" t="s">
        <v>69</v>
      </c>
      <c r="K1257" t="s">
        <v>5097</v>
      </c>
      <c r="L1257" t="s">
        <v>69</v>
      </c>
      <c r="M1257" t="s">
        <v>69</v>
      </c>
      <c r="N1257" t="s">
        <v>5098</v>
      </c>
      <c r="O1257" t="s">
        <v>3190</v>
      </c>
      <c r="P1257" t="s">
        <v>69</v>
      </c>
      <c r="Q1257" t="s">
        <v>69</v>
      </c>
      <c r="R1257" t="s">
        <v>8505</v>
      </c>
      <c r="S1257" t="s">
        <v>8506</v>
      </c>
      <c r="T1257" t="s">
        <v>69</v>
      </c>
      <c r="U1257" t="s">
        <v>69</v>
      </c>
      <c r="V1257" t="s">
        <v>69</v>
      </c>
      <c r="W1257" t="s">
        <v>69</v>
      </c>
      <c r="X1257" t="s">
        <v>69</v>
      </c>
      <c r="Y1257" t="s">
        <v>69</v>
      </c>
      <c r="Z1257" t="s">
        <v>31882</v>
      </c>
      <c r="AA1257" t="s">
        <v>5099</v>
      </c>
      <c r="AB1257" t="s">
        <v>31883</v>
      </c>
      <c r="AC1257" t="s">
        <v>69</v>
      </c>
      <c r="AD1257" t="s">
        <v>31884</v>
      </c>
      <c r="AE1257" t="s">
        <v>69</v>
      </c>
      <c r="AF1257" t="s">
        <v>69</v>
      </c>
      <c r="AG1257" t="s">
        <v>69</v>
      </c>
      <c r="AH1257" t="s">
        <v>69</v>
      </c>
      <c r="AI1257" t="s">
        <v>69</v>
      </c>
      <c r="AJ1257" t="s">
        <v>69</v>
      </c>
      <c r="AK1257" t="s">
        <v>69</v>
      </c>
      <c r="AL1257">
        <v>55</v>
      </c>
      <c r="AM1257">
        <v>20</v>
      </c>
      <c r="AN1257">
        <v>20</v>
      </c>
      <c r="AO1257">
        <v>1</v>
      </c>
      <c r="AP1257">
        <v>7</v>
      </c>
      <c r="AQ1257" t="s">
        <v>8846</v>
      </c>
      <c r="AR1257" t="s">
        <v>8847</v>
      </c>
      <c r="AS1257" t="s">
        <v>8848</v>
      </c>
      <c r="AT1257" t="s">
        <v>3192</v>
      </c>
      <c r="AU1257" t="s">
        <v>3193</v>
      </c>
      <c r="AV1257" t="s">
        <v>69</v>
      </c>
      <c r="AW1257" t="s">
        <v>23670</v>
      </c>
      <c r="AX1257" t="s">
        <v>23671</v>
      </c>
      <c r="AY1257" t="s">
        <v>1710</v>
      </c>
      <c r="AZ1257">
        <v>1999</v>
      </c>
      <c r="BA1257">
        <v>49</v>
      </c>
      <c r="BB1257">
        <v>1</v>
      </c>
      <c r="BC1257" t="s">
        <v>69</v>
      </c>
      <c r="BD1257" t="s">
        <v>69</v>
      </c>
      <c r="BE1257" t="s">
        <v>69</v>
      </c>
      <c r="BF1257" t="s">
        <v>69</v>
      </c>
      <c r="BG1257">
        <v>83</v>
      </c>
      <c r="BH1257">
        <v>102</v>
      </c>
      <c r="BI1257" t="s">
        <v>69</v>
      </c>
      <c r="BJ1257" t="s">
        <v>5100</v>
      </c>
      <c r="BK1257" t="str">
        <f>HYPERLINK("http://dx.doi.org/10.1093/joc/49.1.83","http://dx.doi.org/10.1093/joc/49.1.83")</f>
        <v>http://dx.doi.org/10.1093/joc/49.1.83</v>
      </c>
      <c r="BL1257" t="s">
        <v>69</v>
      </c>
      <c r="BM1257" t="s">
        <v>69</v>
      </c>
      <c r="BN1257">
        <v>20</v>
      </c>
      <c r="BO1257" t="s">
        <v>8443</v>
      </c>
      <c r="BP1257" t="s">
        <v>8661</v>
      </c>
      <c r="BQ1257" t="s">
        <v>8443</v>
      </c>
      <c r="BR1257" t="s">
        <v>31885</v>
      </c>
      <c r="BS1257" t="s">
        <v>5101</v>
      </c>
      <c r="BT1257" t="s">
        <v>69</v>
      </c>
      <c r="BU1257" t="s">
        <v>69</v>
      </c>
      <c r="BV1257" t="s">
        <v>69</v>
      </c>
      <c r="BW1257" t="s">
        <v>69</v>
      </c>
      <c r="BX1257" t="s">
        <v>8526</v>
      </c>
      <c r="BY1257" t="str">
        <f>HYPERLINK("https%3A%2F%2Fwww.webofscience.com%2Fwos%2Fwoscc%2Ffull-record%2FWOS:000078975500005","View Full Record in Web of Science")</f>
        <v>View Full Record in Web of Science</v>
      </c>
    </row>
    <row r="1258" spans="1:77" ht="12.5" x14ac:dyDescent="0.25">
      <c r="A1258" t="s">
        <v>8495</v>
      </c>
      <c r="B1258" s="22" t="s">
        <v>32931</v>
      </c>
      <c r="C1258" s="7"/>
      <c r="D1258" s="7"/>
      <c r="E1258" s="7"/>
      <c r="F1258" t="s">
        <v>67</v>
      </c>
      <c r="G1258" t="s">
        <v>10931</v>
      </c>
      <c r="H1258" t="s">
        <v>69</v>
      </c>
      <c r="I1258" t="s">
        <v>69</v>
      </c>
      <c r="J1258" t="s">
        <v>69</v>
      </c>
      <c r="K1258" t="s">
        <v>10932</v>
      </c>
      <c r="L1258" t="s">
        <v>69</v>
      </c>
      <c r="M1258" t="s">
        <v>69</v>
      </c>
      <c r="N1258" t="s">
        <v>10933</v>
      </c>
      <c r="O1258" t="s">
        <v>10934</v>
      </c>
      <c r="P1258" t="s">
        <v>69</v>
      </c>
      <c r="Q1258" t="s">
        <v>69</v>
      </c>
      <c r="R1258" t="s">
        <v>8505</v>
      </c>
      <c r="S1258" t="s">
        <v>8506</v>
      </c>
      <c r="T1258" t="s">
        <v>69</v>
      </c>
      <c r="U1258" t="s">
        <v>69</v>
      </c>
      <c r="V1258" t="s">
        <v>69</v>
      </c>
      <c r="W1258" t="s">
        <v>69</v>
      </c>
      <c r="X1258" t="s">
        <v>69</v>
      </c>
      <c r="Y1258" t="s">
        <v>10935</v>
      </c>
      <c r="Z1258" t="s">
        <v>10936</v>
      </c>
      <c r="AA1258" t="s">
        <v>10937</v>
      </c>
      <c r="AB1258" t="s">
        <v>10938</v>
      </c>
      <c r="AC1258" t="s">
        <v>69</v>
      </c>
      <c r="AD1258" t="s">
        <v>10939</v>
      </c>
      <c r="AE1258" t="s">
        <v>10940</v>
      </c>
      <c r="AF1258" t="s">
        <v>10941</v>
      </c>
      <c r="AG1258" t="s">
        <v>10942</v>
      </c>
      <c r="AH1258" t="s">
        <v>10943</v>
      </c>
      <c r="AI1258" t="s">
        <v>10944</v>
      </c>
      <c r="AJ1258" t="s">
        <v>10945</v>
      </c>
      <c r="AK1258" t="s">
        <v>69</v>
      </c>
      <c r="AL1258">
        <v>35</v>
      </c>
      <c r="AM1258">
        <v>0</v>
      </c>
      <c r="AN1258">
        <v>0</v>
      </c>
      <c r="AO1258">
        <v>0</v>
      </c>
      <c r="AP1258">
        <v>1</v>
      </c>
      <c r="AQ1258" t="s">
        <v>10946</v>
      </c>
      <c r="AR1258" t="s">
        <v>10947</v>
      </c>
      <c r="AS1258" t="s">
        <v>10948</v>
      </c>
      <c r="AT1258" t="s">
        <v>10949</v>
      </c>
      <c r="AU1258" t="s">
        <v>10950</v>
      </c>
      <c r="AV1258" t="s">
        <v>69</v>
      </c>
      <c r="AW1258" t="s">
        <v>10951</v>
      </c>
      <c r="AX1258" t="s">
        <v>10952</v>
      </c>
      <c r="AY1258" t="s">
        <v>274</v>
      </c>
      <c r="AZ1258">
        <v>2021</v>
      </c>
      <c r="BA1258">
        <v>5</v>
      </c>
      <c r="BB1258">
        <v>2</v>
      </c>
      <c r="BC1258" t="s">
        <v>69</v>
      </c>
      <c r="BD1258" t="s">
        <v>69</v>
      </c>
      <c r="BE1258" t="s">
        <v>69</v>
      </c>
      <c r="BF1258" t="s">
        <v>69</v>
      </c>
      <c r="BG1258">
        <v>199</v>
      </c>
      <c r="BH1258">
        <v>208</v>
      </c>
      <c r="BI1258" t="s">
        <v>69</v>
      </c>
      <c r="BJ1258" t="s">
        <v>10953</v>
      </c>
      <c r="BK1258" t="str">
        <f>HYPERLINK("http://dx.doi.org/10.24259/fs.v5i2.13451","http://dx.doi.org/10.24259/fs.v5i2.13451")</f>
        <v>http://dx.doi.org/10.24259/fs.v5i2.13451</v>
      </c>
      <c r="BL1258" t="s">
        <v>69</v>
      </c>
      <c r="BM1258" t="s">
        <v>69</v>
      </c>
      <c r="BN1258">
        <v>10</v>
      </c>
      <c r="BO1258" t="s">
        <v>8453</v>
      </c>
      <c r="BP1258" t="s">
        <v>8573</v>
      </c>
      <c r="BQ1258" t="s">
        <v>8453</v>
      </c>
      <c r="BR1258" t="s">
        <v>10954</v>
      </c>
      <c r="BS1258" t="s">
        <v>10955</v>
      </c>
      <c r="BT1258" t="s">
        <v>69</v>
      </c>
      <c r="BU1258" t="s">
        <v>8931</v>
      </c>
      <c r="BV1258" t="s">
        <v>69</v>
      </c>
      <c r="BW1258" t="s">
        <v>69</v>
      </c>
      <c r="BX1258" t="s">
        <v>8526</v>
      </c>
      <c r="BY1258" t="str">
        <f>HYPERLINK("https%3A%2F%2Fwww.webofscience.com%2Fwos%2Fwoscc%2Ffull-record%2FWOS:000677616300001","View Full Record in Web of Science")</f>
        <v>View Full Record in Web of Science</v>
      </c>
    </row>
    <row r="1259" spans="1:77" ht="12.5" x14ac:dyDescent="0.25">
      <c r="A1259" t="s">
        <v>8495</v>
      </c>
      <c r="B1259" s="22" t="s">
        <v>32931</v>
      </c>
      <c r="C1259" s="7"/>
      <c r="D1259" s="7"/>
      <c r="E1259" s="7"/>
      <c r="F1259" t="s">
        <v>67</v>
      </c>
      <c r="G1259" t="s">
        <v>26125</v>
      </c>
      <c r="H1259" t="s">
        <v>69</v>
      </c>
      <c r="I1259" t="s">
        <v>69</v>
      </c>
      <c r="J1259" t="s">
        <v>69</v>
      </c>
      <c r="K1259" t="s">
        <v>26126</v>
      </c>
      <c r="L1259" t="s">
        <v>69</v>
      </c>
      <c r="M1259" t="s">
        <v>69</v>
      </c>
      <c r="N1259" t="s">
        <v>26127</v>
      </c>
      <c r="O1259" t="s">
        <v>21578</v>
      </c>
      <c r="P1259" t="s">
        <v>69</v>
      </c>
      <c r="Q1259" t="s">
        <v>69</v>
      </c>
      <c r="R1259" t="s">
        <v>8505</v>
      </c>
      <c r="S1259" t="s">
        <v>8506</v>
      </c>
      <c r="T1259" t="s">
        <v>69</v>
      </c>
      <c r="U1259" t="s">
        <v>69</v>
      </c>
      <c r="V1259" t="s">
        <v>69</v>
      </c>
      <c r="W1259" t="s">
        <v>69</v>
      </c>
      <c r="X1259" t="s">
        <v>69</v>
      </c>
      <c r="Y1259" t="s">
        <v>69</v>
      </c>
      <c r="Z1259" t="s">
        <v>26128</v>
      </c>
      <c r="AA1259" t="s">
        <v>26129</v>
      </c>
      <c r="AB1259" t="s">
        <v>26130</v>
      </c>
      <c r="AC1259" t="s">
        <v>69</v>
      </c>
      <c r="AD1259" t="s">
        <v>26131</v>
      </c>
      <c r="AE1259" t="s">
        <v>69</v>
      </c>
      <c r="AF1259" t="s">
        <v>26132</v>
      </c>
      <c r="AG1259" t="s">
        <v>26133</v>
      </c>
      <c r="AH1259" t="s">
        <v>69</v>
      </c>
      <c r="AI1259" t="s">
        <v>69</v>
      </c>
      <c r="AJ1259" t="s">
        <v>69</v>
      </c>
      <c r="AK1259" t="s">
        <v>69</v>
      </c>
      <c r="AL1259">
        <v>80</v>
      </c>
      <c r="AM1259">
        <v>5</v>
      </c>
      <c r="AN1259">
        <v>5</v>
      </c>
      <c r="AO1259">
        <v>0</v>
      </c>
      <c r="AP1259">
        <v>23</v>
      </c>
      <c r="AQ1259" t="s">
        <v>21583</v>
      </c>
      <c r="AR1259" t="s">
        <v>8693</v>
      </c>
      <c r="AS1259" t="s">
        <v>21584</v>
      </c>
      <c r="AT1259" t="s">
        <v>21585</v>
      </c>
      <c r="AU1259" t="s">
        <v>69</v>
      </c>
      <c r="AV1259" t="s">
        <v>69</v>
      </c>
      <c r="AW1259" t="s">
        <v>21587</v>
      </c>
      <c r="AX1259" t="s">
        <v>21588</v>
      </c>
      <c r="AY1259" t="s">
        <v>94</v>
      </c>
      <c r="AZ1259">
        <v>2012</v>
      </c>
      <c r="BA1259">
        <v>114</v>
      </c>
      <c r="BB1259">
        <v>3</v>
      </c>
      <c r="BC1259" t="s">
        <v>69</v>
      </c>
      <c r="BD1259" t="s">
        <v>69</v>
      </c>
      <c r="BE1259" t="s">
        <v>69</v>
      </c>
      <c r="BF1259" t="s">
        <v>69</v>
      </c>
      <c r="BG1259" t="s">
        <v>69</v>
      </c>
      <c r="BH1259" t="s">
        <v>69</v>
      </c>
      <c r="BI1259">
        <v>30301</v>
      </c>
      <c r="BJ1259" t="s">
        <v>69</v>
      </c>
      <c r="BK1259" t="s">
        <v>69</v>
      </c>
      <c r="BL1259" t="s">
        <v>69</v>
      </c>
      <c r="BM1259" t="s">
        <v>69</v>
      </c>
      <c r="BN1259">
        <v>41</v>
      </c>
      <c r="BO1259" t="s">
        <v>9290</v>
      </c>
      <c r="BP1259" t="s">
        <v>8661</v>
      </c>
      <c r="BQ1259" t="s">
        <v>9290</v>
      </c>
      <c r="BR1259" t="s">
        <v>26134</v>
      </c>
      <c r="BS1259" t="s">
        <v>26135</v>
      </c>
      <c r="BT1259" t="s">
        <v>69</v>
      </c>
      <c r="BU1259" t="s">
        <v>69</v>
      </c>
      <c r="BV1259" t="s">
        <v>69</v>
      </c>
      <c r="BW1259" t="s">
        <v>69</v>
      </c>
      <c r="BX1259" t="s">
        <v>8526</v>
      </c>
      <c r="BY1259" t="str">
        <f>HYPERLINK("https%3A%2F%2Fwww.webofscience.com%2Fwos%2Fwoscc%2Ffull-record%2FWOS:000303209200001","View Full Record in Web of Science")</f>
        <v>View Full Record in Web of Science</v>
      </c>
    </row>
    <row r="1260" spans="1:77" x14ac:dyDescent="0.3">
      <c r="A1260" t="s">
        <v>8495</v>
      </c>
      <c r="B1260" s="10" t="s">
        <v>33015</v>
      </c>
      <c r="F1260" t="s">
        <v>67</v>
      </c>
      <c r="G1260" t="s">
        <v>5547</v>
      </c>
      <c r="H1260" t="s">
        <v>69</v>
      </c>
      <c r="I1260" t="s">
        <v>69</v>
      </c>
      <c r="J1260" t="s">
        <v>69</v>
      </c>
      <c r="K1260" s="2" t="s">
        <v>5547</v>
      </c>
      <c r="L1260" t="s">
        <v>69</v>
      </c>
      <c r="M1260" t="s">
        <v>69</v>
      </c>
      <c r="N1260" t="s">
        <v>5548</v>
      </c>
      <c r="O1260" t="s">
        <v>5549</v>
      </c>
      <c r="P1260" t="s">
        <v>69</v>
      </c>
      <c r="Q1260" t="s">
        <v>69</v>
      </c>
      <c r="R1260" t="s">
        <v>8505</v>
      </c>
      <c r="S1260" t="s">
        <v>8506</v>
      </c>
      <c r="T1260" t="s">
        <v>69</v>
      </c>
      <c r="U1260" t="s">
        <v>69</v>
      </c>
      <c r="V1260" t="s">
        <v>69</v>
      </c>
      <c r="W1260" t="s">
        <v>69</v>
      </c>
      <c r="X1260" t="s">
        <v>69</v>
      </c>
      <c r="Y1260" t="s">
        <v>69</v>
      </c>
      <c r="Z1260" t="s">
        <v>32656</v>
      </c>
      <c r="AA1260" t="s">
        <v>5550</v>
      </c>
      <c r="AB1260" t="s">
        <v>69</v>
      </c>
      <c r="AC1260" t="s">
        <v>69</v>
      </c>
      <c r="AD1260" t="s">
        <v>32657</v>
      </c>
      <c r="AE1260" t="s">
        <v>69</v>
      </c>
      <c r="AF1260" t="s">
        <v>69</v>
      </c>
      <c r="AG1260" t="s">
        <v>69</v>
      </c>
      <c r="AH1260" t="s">
        <v>69</v>
      </c>
      <c r="AI1260" t="s">
        <v>69</v>
      </c>
      <c r="AJ1260" t="s">
        <v>69</v>
      </c>
      <c r="AK1260" t="s">
        <v>69</v>
      </c>
      <c r="AL1260">
        <v>53</v>
      </c>
      <c r="AM1260">
        <v>29</v>
      </c>
      <c r="AN1260">
        <v>29</v>
      </c>
      <c r="AO1260">
        <v>0</v>
      </c>
      <c r="AP1260">
        <v>13</v>
      </c>
      <c r="AQ1260" t="s">
        <v>9554</v>
      </c>
      <c r="AR1260" t="s">
        <v>9555</v>
      </c>
      <c r="AS1260" t="s">
        <v>9556</v>
      </c>
      <c r="AT1260" t="s">
        <v>5551</v>
      </c>
      <c r="AU1260" t="s">
        <v>5552</v>
      </c>
      <c r="AV1260" t="s">
        <v>69</v>
      </c>
      <c r="AW1260" t="s">
        <v>32658</v>
      </c>
      <c r="AX1260" t="s">
        <v>32659</v>
      </c>
      <c r="AY1260" t="s">
        <v>255</v>
      </c>
      <c r="AZ1260">
        <v>1994</v>
      </c>
      <c r="BA1260">
        <v>16</v>
      </c>
      <c r="BB1260">
        <v>1</v>
      </c>
      <c r="BC1260" t="s">
        <v>69</v>
      </c>
      <c r="BD1260" t="s">
        <v>69</v>
      </c>
      <c r="BE1260" t="s">
        <v>69</v>
      </c>
      <c r="BF1260" t="s">
        <v>69</v>
      </c>
      <c r="BG1260">
        <v>11</v>
      </c>
      <c r="BH1260">
        <v>42</v>
      </c>
      <c r="BI1260" t="s">
        <v>69</v>
      </c>
      <c r="BJ1260" t="s">
        <v>5553</v>
      </c>
      <c r="BK1260" t="str">
        <f>HYPERLINK("http://dx.doi.org/10.1177/0164025994016001002","http://dx.doi.org/10.1177/0164025994016001002")</f>
        <v>http://dx.doi.org/10.1177/0164025994016001002</v>
      </c>
      <c r="BL1260" t="s">
        <v>69</v>
      </c>
      <c r="BM1260" t="s">
        <v>69</v>
      </c>
      <c r="BN1260">
        <v>32</v>
      </c>
      <c r="BO1260" t="s">
        <v>8443</v>
      </c>
      <c r="BP1260" t="s">
        <v>8661</v>
      </c>
      <c r="BQ1260" t="s">
        <v>8443</v>
      </c>
      <c r="BR1260" t="s">
        <v>32660</v>
      </c>
      <c r="BS1260" t="s">
        <v>5554</v>
      </c>
      <c r="BT1260" t="s">
        <v>69</v>
      </c>
      <c r="BU1260" t="s">
        <v>69</v>
      </c>
      <c r="BV1260" t="s">
        <v>69</v>
      </c>
      <c r="BW1260" t="s">
        <v>69</v>
      </c>
      <c r="BX1260" t="s">
        <v>8526</v>
      </c>
      <c r="BY1260" t="str">
        <f>HYPERLINK("https%3A%2F%2Fwww.webofscience.com%2Fwos%2Fwoscc%2Ffull-record%2FWOS:A1994PU79000002","View Full Record in Web of Science")</f>
        <v>View Full Record in Web of Science</v>
      </c>
    </row>
    <row r="1261" spans="1:77" ht="12.5" x14ac:dyDescent="0.25">
      <c r="A1261" t="s">
        <v>8495</v>
      </c>
      <c r="B1261" s="22" t="s">
        <v>32931</v>
      </c>
      <c r="C1261" s="7"/>
      <c r="D1261" s="7"/>
      <c r="E1261" s="7"/>
      <c r="F1261" t="s">
        <v>67</v>
      </c>
      <c r="G1261" t="s">
        <v>13540</v>
      </c>
      <c r="H1261" t="s">
        <v>69</v>
      </c>
      <c r="I1261" t="s">
        <v>69</v>
      </c>
      <c r="J1261" t="s">
        <v>69</v>
      </c>
      <c r="K1261" t="s">
        <v>13541</v>
      </c>
      <c r="L1261" t="s">
        <v>69</v>
      </c>
      <c r="M1261" t="s">
        <v>69</v>
      </c>
      <c r="N1261" t="s">
        <v>13542</v>
      </c>
      <c r="O1261" t="s">
        <v>13543</v>
      </c>
      <c r="P1261" t="s">
        <v>69</v>
      </c>
      <c r="Q1261" t="s">
        <v>69</v>
      </c>
      <c r="R1261" t="s">
        <v>8505</v>
      </c>
      <c r="S1261" t="s">
        <v>8506</v>
      </c>
      <c r="T1261" t="s">
        <v>69</v>
      </c>
      <c r="U1261" t="s">
        <v>69</v>
      </c>
      <c r="V1261" t="s">
        <v>69</v>
      </c>
      <c r="W1261" t="s">
        <v>69</v>
      </c>
      <c r="X1261" t="s">
        <v>69</v>
      </c>
      <c r="Y1261" t="s">
        <v>13544</v>
      </c>
      <c r="Z1261" t="s">
        <v>13545</v>
      </c>
      <c r="AA1261" t="s">
        <v>13546</v>
      </c>
      <c r="AB1261" t="s">
        <v>13547</v>
      </c>
      <c r="AC1261" t="s">
        <v>69</v>
      </c>
      <c r="AD1261" t="s">
        <v>13548</v>
      </c>
      <c r="AE1261" t="s">
        <v>13549</v>
      </c>
      <c r="AF1261" t="s">
        <v>13550</v>
      </c>
      <c r="AG1261" t="s">
        <v>13551</v>
      </c>
      <c r="AH1261" t="s">
        <v>69</v>
      </c>
      <c r="AI1261" t="s">
        <v>69</v>
      </c>
      <c r="AJ1261" t="s">
        <v>69</v>
      </c>
      <c r="AK1261" t="s">
        <v>69</v>
      </c>
      <c r="AL1261">
        <v>49</v>
      </c>
      <c r="AM1261">
        <v>3</v>
      </c>
      <c r="AN1261">
        <v>3</v>
      </c>
      <c r="AO1261">
        <v>5</v>
      </c>
      <c r="AP1261">
        <v>5</v>
      </c>
      <c r="AQ1261" t="s">
        <v>13552</v>
      </c>
      <c r="AR1261" t="s">
        <v>13553</v>
      </c>
      <c r="AS1261" t="s">
        <v>13554</v>
      </c>
      <c r="AT1261" t="s">
        <v>13555</v>
      </c>
      <c r="AU1261" t="s">
        <v>13556</v>
      </c>
      <c r="AV1261" t="s">
        <v>69</v>
      </c>
      <c r="AW1261" t="s">
        <v>13543</v>
      </c>
      <c r="AX1261" t="s">
        <v>13557</v>
      </c>
      <c r="AY1261" t="s">
        <v>69</v>
      </c>
      <c r="AZ1261">
        <v>2021</v>
      </c>
      <c r="BA1261">
        <v>17</v>
      </c>
      <c r="BB1261">
        <v>4</v>
      </c>
      <c r="BC1261" t="s">
        <v>69</v>
      </c>
      <c r="BD1261" t="s">
        <v>69</v>
      </c>
      <c r="BE1261" t="s">
        <v>69</v>
      </c>
      <c r="BF1261" t="s">
        <v>69</v>
      </c>
      <c r="BG1261">
        <v>519</v>
      </c>
      <c r="BH1261">
        <v>529</v>
      </c>
      <c r="BI1261" t="s">
        <v>69</v>
      </c>
      <c r="BJ1261" t="s">
        <v>13558</v>
      </c>
      <c r="BK1261" t="str">
        <f>HYPERLINK("http://dx.doi.org/10.17270/J.LOG.2021.624","http://dx.doi.org/10.17270/J.LOG.2021.624")</f>
        <v>http://dx.doi.org/10.17270/J.LOG.2021.624</v>
      </c>
      <c r="BL1261" t="s">
        <v>69</v>
      </c>
      <c r="BM1261" t="s">
        <v>69</v>
      </c>
      <c r="BN1261">
        <v>11</v>
      </c>
      <c r="BO1261" t="s">
        <v>9410</v>
      </c>
      <c r="BP1261" t="s">
        <v>8573</v>
      </c>
      <c r="BQ1261" t="s">
        <v>8594</v>
      </c>
      <c r="BR1261" t="s">
        <v>13559</v>
      </c>
      <c r="BS1261" t="s">
        <v>13560</v>
      </c>
      <c r="BT1261" t="s">
        <v>69</v>
      </c>
      <c r="BU1261" t="s">
        <v>69</v>
      </c>
      <c r="BV1261" t="s">
        <v>69</v>
      </c>
      <c r="BW1261" t="s">
        <v>69</v>
      </c>
      <c r="BX1261" t="s">
        <v>8526</v>
      </c>
      <c r="BY1261" t="str">
        <f>HYPERLINK("https%3A%2F%2Fwww.webofscience.com%2Fwos%2Fwoscc%2Ffull-record%2FWOS:000708023000005","View Full Record in Web of Science")</f>
        <v>View Full Record in Web of Science</v>
      </c>
    </row>
    <row r="1262" spans="1:77" ht="12.5" x14ac:dyDescent="0.25">
      <c r="A1262" t="s">
        <v>8495</v>
      </c>
      <c r="B1262" s="22" t="s">
        <v>32931</v>
      </c>
      <c r="C1262" s="7"/>
      <c r="D1262" s="7"/>
      <c r="E1262" s="7"/>
      <c r="F1262" t="s">
        <v>67</v>
      </c>
      <c r="G1262" t="s">
        <v>29646</v>
      </c>
      <c r="H1262" t="s">
        <v>69</v>
      </c>
      <c r="I1262" t="s">
        <v>69</v>
      </c>
      <c r="J1262" t="s">
        <v>69</v>
      </c>
      <c r="K1262" t="s">
        <v>29647</v>
      </c>
      <c r="L1262" t="s">
        <v>69</v>
      </c>
      <c r="M1262" t="s">
        <v>69</v>
      </c>
      <c r="N1262" t="s">
        <v>29648</v>
      </c>
      <c r="O1262" t="s">
        <v>29649</v>
      </c>
      <c r="P1262" t="s">
        <v>69</v>
      </c>
      <c r="Q1262" t="s">
        <v>69</v>
      </c>
      <c r="R1262" t="s">
        <v>8505</v>
      </c>
      <c r="S1262" t="s">
        <v>8506</v>
      </c>
      <c r="T1262" t="s">
        <v>69</v>
      </c>
      <c r="U1262" t="s">
        <v>69</v>
      </c>
      <c r="V1262" t="s">
        <v>69</v>
      </c>
      <c r="W1262" t="s">
        <v>69</v>
      </c>
      <c r="X1262" t="s">
        <v>69</v>
      </c>
      <c r="Y1262" t="s">
        <v>29650</v>
      </c>
      <c r="Z1262" t="s">
        <v>69</v>
      </c>
      <c r="AA1262" t="s">
        <v>29651</v>
      </c>
      <c r="AB1262" t="s">
        <v>29652</v>
      </c>
      <c r="AC1262" t="s">
        <v>69</v>
      </c>
      <c r="AD1262" t="s">
        <v>29653</v>
      </c>
      <c r="AE1262" t="s">
        <v>29654</v>
      </c>
      <c r="AF1262" t="s">
        <v>29655</v>
      </c>
      <c r="AG1262" t="s">
        <v>29656</v>
      </c>
      <c r="AH1262" t="s">
        <v>29657</v>
      </c>
      <c r="AI1262" t="s">
        <v>12574</v>
      </c>
      <c r="AJ1262" t="s">
        <v>29658</v>
      </c>
      <c r="AK1262" t="s">
        <v>69</v>
      </c>
      <c r="AL1262">
        <v>12</v>
      </c>
      <c r="AM1262">
        <v>5</v>
      </c>
      <c r="AN1262">
        <v>5</v>
      </c>
      <c r="AO1262">
        <v>0</v>
      </c>
      <c r="AP1262">
        <v>0</v>
      </c>
      <c r="AQ1262" t="s">
        <v>10352</v>
      </c>
      <c r="AR1262" t="s">
        <v>8637</v>
      </c>
      <c r="AS1262" t="s">
        <v>10353</v>
      </c>
      <c r="AT1262" t="s">
        <v>29659</v>
      </c>
      <c r="AU1262" t="s">
        <v>29660</v>
      </c>
      <c r="AV1262" t="s">
        <v>69</v>
      </c>
      <c r="AW1262" t="s">
        <v>29661</v>
      </c>
      <c r="AX1262" t="s">
        <v>69</v>
      </c>
      <c r="AY1262" t="s">
        <v>84</v>
      </c>
      <c r="AZ1262">
        <v>2007</v>
      </c>
      <c r="BA1262">
        <v>2</v>
      </c>
      <c r="BB1262">
        <v>3</v>
      </c>
      <c r="BC1262" t="s">
        <v>69</v>
      </c>
      <c r="BD1262" t="s">
        <v>69</v>
      </c>
      <c r="BE1262" t="s">
        <v>69</v>
      </c>
      <c r="BF1262" t="s">
        <v>69</v>
      </c>
      <c r="BG1262">
        <v>250</v>
      </c>
      <c r="BH1262">
        <v>261</v>
      </c>
      <c r="BI1262" t="s">
        <v>69</v>
      </c>
      <c r="BJ1262" t="s">
        <v>69</v>
      </c>
      <c r="BK1262" t="s">
        <v>69</v>
      </c>
      <c r="BL1262" t="s">
        <v>69</v>
      </c>
      <c r="BM1262" t="s">
        <v>69</v>
      </c>
      <c r="BN1262">
        <v>12</v>
      </c>
      <c r="BO1262" t="s">
        <v>9392</v>
      </c>
      <c r="BP1262" t="s">
        <v>8573</v>
      </c>
      <c r="BQ1262" t="s">
        <v>9392</v>
      </c>
      <c r="BR1262" t="s">
        <v>29662</v>
      </c>
      <c r="BS1262" t="s">
        <v>29663</v>
      </c>
      <c r="BT1262" t="s">
        <v>69</v>
      </c>
      <c r="BU1262" t="s">
        <v>69</v>
      </c>
      <c r="BV1262" t="s">
        <v>69</v>
      </c>
      <c r="BW1262" t="s">
        <v>69</v>
      </c>
      <c r="BX1262" t="s">
        <v>8526</v>
      </c>
      <c r="BY1262" t="str">
        <f>HYPERLINK("https%3A%2F%2Fwww.webofscience.com%2Fwos%2Fwoscc%2Ffull-record%2FWOS:000215305800003","View Full Record in Web of Science")</f>
        <v>View Full Record in Web of Science</v>
      </c>
    </row>
    <row r="1263" spans="1:77" ht="12.5" x14ac:dyDescent="0.25">
      <c r="A1263" t="s">
        <v>8495</v>
      </c>
      <c r="B1263" s="22" t="s">
        <v>32931</v>
      </c>
      <c r="C1263" s="7"/>
      <c r="D1263" s="7"/>
      <c r="E1263" s="7"/>
      <c r="F1263" t="s">
        <v>67</v>
      </c>
      <c r="G1263" t="s">
        <v>20277</v>
      </c>
      <c r="H1263" t="s">
        <v>69</v>
      </c>
      <c r="I1263" t="s">
        <v>69</v>
      </c>
      <c r="J1263" t="s">
        <v>69</v>
      </c>
      <c r="K1263" t="s">
        <v>20278</v>
      </c>
      <c r="L1263" t="s">
        <v>69</v>
      </c>
      <c r="M1263" t="s">
        <v>69</v>
      </c>
      <c r="N1263" t="s">
        <v>20279</v>
      </c>
      <c r="O1263" t="s">
        <v>20280</v>
      </c>
      <c r="P1263" t="s">
        <v>69</v>
      </c>
      <c r="Q1263" t="s">
        <v>69</v>
      </c>
      <c r="R1263" t="s">
        <v>8505</v>
      </c>
      <c r="S1263" t="s">
        <v>8506</v>
      </c>
      <c r="T1263" t="s">
        <v>69</v>
      </c>
      <c r="U1263" t="s">
        <v>69</v>
      </c>
      <c r="V1263" t="s">
        <v>69</v>
      </c>
      <c r="W1263" t="s">
        <v>69</v>
      </c>
      <c r="X1263" t="s">
        <v>69</v>
      </c>
      <c r="Y1263" t="s">
        <v>20281</v>
      </c>
      <c r="Z1263" t="s">
        <v>20282</v>
      </c>
      <c r="AA1263" t="s">
        <v>20283</v>
      </c>
      <c r="AB1263" t="s">
        <v>20284</v>
      </c>
      <c r="AC1263" t="s">
        <v>69</v>
      </c>
      <c r="AD1263" t="s">
        <v>20285</v>
      </c>
      <c r="AE1263" t="s">
        <v>20286</v>
      </c>
      <c r="AF1263" t="s">
        <v>69</v>
      </c>
      <c r="AG1263" t="s">
        <v>69</v>
      </c>
      <c r="AH1263" t="s">
        <v>69</v>
      </c>
      <c r="AI1263" t="s">
        <v>69</v>
      </c>
      <c r="AJ1263" t="s">
        <v>69</v>
      </c>
      <c r="AK1263" t="s">
        <v>69</v>
      </c>
      <c r="AL1263">
        <v>70</v>
      </c>
      <c r="AM1263">
        <v>56</v>
      </c>
      <c r="AN1263">
        <v>56</v>
      </c>
      <c r="AO1263">
        <v>4</v>
      </c>
      <c r="AP1263">
        <v>19</v>
      </c>
      <c r="AQ1263" t="s">
        <v>8516</v>
      </c>
      <c r="AR1263" t="s">
        <v>8517</v>
      </c>
      <c r="AS1263" t="s">
        <v>8518</v>
      </c>
      <c r="AT1263" t="s">
        <v>20287</v>
      </c>
      <c r="AU1263" t="s">
        <v>20288</v>
      </c>
      <c r="AV1263" t="s">
        <v>69</v>
      </c>
      <c r="AW1263" t="s">
        <v>20289</v>
      </c>
      <c r="AX1263" t="s">
        <v>20290</v>
      </c>
      <c r="AY1263" t="s">
        <v>155</v>
      </c>
      <c r="AZ1263">
        <v>2017</v>
      </c>
      <c r="BA1263">
        <v>31</v>
      </c>
      <c r="BB1263" t="s">
        <v>69</v>
      </c>
      <c r="BC1263" t="s">
        <v>69</v>
      </c>
      <c r="BD1263" t="s">
        <v>69</v>
      </c>
      <c r="BE1263" t="s">
        <v>69</v>
      </c>
      <c r="BF1263" t="s">
        <v>69</v>
      </c>
      <c r="BG1263">
        <v>189</v>
      </c>
      <c r="BH1263">
        <v>196</v>
      </c>
      <c r="BI1263" t="s">
        <v>69</v>
      </c>
      <c r="BJ1263" t="s">
        <v>20291</v>
      </c>
      <c r="BK1263" t="str">
        <f>HYPERLINK("http://dx.doi.org/10.1016/j.jhtm.2017.01.001","http://dx.doi.org/10.1016/j.jhtm.2017.01.001")</f>
        <v>http://dx.doi.org/10.1016/j.jhtm.2017.01.001</v>
      </c>
      <c r="BL1263" t="s">
        <v>69</v>
      </c>
      <c r="BM1263" t="s">
        <v>69</v>
      </c>
      <c r="BN1263">
        <v>8</v>
      </c>
      <c r="BO1263" t="s">
        <v>20292</v>
      </c>
      <c r="BP1263" t="s">
        <v>8661</v>
      </c>
      <c r="BQ1263" t="s">
        <v>20293</v>
      </c>
      <c r="BR1263" t="s">
        <v>20294</v>
      </c>
      <c r="BS1263" t="s">
        <v>20295</v>
      </c>
      <c r="BT1263" t="s">
        <v>69</v>
      </c>
      <c r="BU1263" t="s">
        <v>69</v>
      </c>
      <c r="BV1263" t="s">
        <v>69</v>
      </c>
      <c r="BW1263" t="s">
        <v>69</v>
      </c>
      <c r="BX1263" t="s">
        <v>8526</v>
      </c>
      <c r="BY1263" t="str">
        <f>HYPERLINK("https%3A%2F%2Fwww.webofscience.com%2Fwos%2Fwoscc%2Ffull-record%2FWOS:000405614200021","View Full Record in Web of Science")</f>
        <v>View Full Record in Web of Science</v>
      </c>
    </row>
    <row r="1264" spans="1:77" ht="12.5" x14ac:dyDescent="0.25">
      <c r="A1264" t="s">
        <v>8495</v>
      </c>
      <c r="B1264" s="22" t="s">
        <v>32931</v>
      </c>
      <c r="C1264" s="7"/>
      <c r="D1264" s="7"/>
      <c r="E1264" s="7"/>
      <c r="F1264" t="s">
        <v>67</v>
      </c>
      <c r="G1264" t="s">
        <v>29846</v>
      </c>
      <c r="H1264" t="s">
        <v>69</v>
      </c>
      <c r="I1264" t="s">
        <v>69</v>
      </c>
      <c r="J1264" t="s">
        <v>69</v>
      </c>
      <c r="K1264" t="s">
        <v>29847</v>
      </c>
      <c r="L1264" t="s">
        <v>69</v>
      </c>
      <c r="M1264" t="s">
        <v>69</v>
      </c>
      <c r="N1264" t="s">
        <v>29848</v>
      </c>
      <c r="O1264" t="s">
        <v>29849</v>
      </c>
      <c r="P1264" t="s">
        <v>69</v>
      </c>
      <c r="Q1264" t="s">
        <v>69</v>
      </c>
      <c r="R1264" t="s">
        <v>8505</v>
      </c>
      <c r="S1264" t="s">
        <v>15797</v>
      </c>
      <c r="T1264" t="s">
        <v>29850</v>
      </c>
      <c r="U1264" t="s">
        <v>29851</v>
      </c>
      <c r="V1264" t="s">
        <v>29852</v>
      </c>
      <c r="W1264" t="s">
        <v>69</v>
      </c>
      <c r="X1264" t="s">
        <v>29853</v>
      </c>
      <c r="Y1264" t="s">
        <v>29854</v>
      </c>
      <c r="Z1264" t="s">
        <v>69</v>
      </c>
      <c r="AA1264" t="s">
        <v>29855</v>
      </c>
      <c r="AB1264" t="s">
        <v>29856</v>
      </c>
      <c r="AC1264" t="s">
        <v>69</v>
      </c>
      <c r="AD1264" t="s">
        <v>29857</v>
      </c>
      <c r="AE1264" t="s">
        <v>69</v>
      </c>
      <c r="AF1264" t="s">
        <v>69</v>
      </c>
      <c r="AG1264" t="s">
        <v>69</v>
      </c>
      <c r="AH1264" t="s">
        <v>69</v>
      </c>
      <c r="AI1264" t="s">
        <v>69</v>
      </c>
      <c r="AJ1264" t="s">
        <v>69</v>
      </c>
      <c r="AK1264" t="s">
        <v>69</v>
      </c>
      <c r="AL1264">
        <v>0</v>
      </c>
      <c r="AM1264">
        <v>38</v>
      </c>
      <c r="AN1264">
        <v>40</v>
      </c>
      <c r="AO1264">
        <v>0</v>
      </c>
      <c r="AP1264">
        <v>12</v>
      </c>
      <c r="AQ1264" t="s">
        <v>29858</v>
      </c>
      <c r="AR1264" t="s">
        <v>28570</v>
      </c>
      <c r="AS1264" t="s">
        <v>29859</v>
      </c>
      <c r="AT1264" t="s">
        <v>29860</v>
      </c>
      <c r="AU1264" t="s">
        <v>69</v>
      </c>
      <c r="AV1264" t="s">
        <v>69</v>
      </c>
      <c r="AW1264" t="s">
        <v>29861</v>
      </c>
      <c r="AX1264" t="s">
        <v>29862</v>
      </c>
      <c r="AY1264" t="s">
        <v>69</v>
      </c>
      <c r="AZ1264">
        <v>2007</v>
      </c>
      <c r="BA1264">
        <v>51</v>
      </c>
      <c r="BB1264">
        <v>1</v>
      </c>
      <c r="BC1264" t="s">
        <v>69</v>
      </c>
      <c r="BD1264" t="s">
        <v>627</v>
      </c>
      <c r="BE1264" t="s">
        <v>69</v>
      </c>
      <c r="BF1264" t="s">
        <v>69</v>
      </c>
      <c r="BG1264">
        <v>461</v>
      </c>
      <c r="BH1264">
        <v>462</v>
      </c>
      <c r="BI1264" t="s">
        <v>69</v>
      </c>
      <c r="BJ1264" t="s">
        <v>29863</v>
      </c>
      <c r="BK1264" t="str">
        <f>HYPERLINK("http://dx.doi.org/10.1637/7564-033106R.1","http://dx.doi.org/10.1637/7564-033106R.1")</f>
        <v>http://dx.doi.org/10.1637/7564-033106R.1</v>
      </c>
      <c r="BL1264" t="s">
        <v>69</v>
      </c>
      <c r="BM1264" t="s">
        <v>69</v>
      </c>
      <c r="BN1264">
        <v>2</v>
      </c>
      <c r="BO1264" t="s">
        <v>14769</v>
      </c>
      <c r="BP1264" t="s">
        <v>29550</v>
      </c>
      <c r="BQ1264" t="s">
        <v>14769</v>
      </c>
      <c r="BR1264" t="s">
        <v>29864</v>
      </c>
      <c r="BS1264" t="s">
        <v>29865</v>
      </c>
      <c r="BT1264">
        <v>17494607</v>
      </c>
      <c r="BU1264" t="s">
        <v>69</v>
      </c>
      <c r="BV1264" t="s">
        <v>69</v>
      </c>
      <c r="BW1264" t="s">
        <v>69</v>
      </c>
      <c r="BX1264" t="s">
        <v>8526</v>
      </c>
      <c r="BY1264" t="str">
        <f>HYPERLINK("https%3A%2F%2Fwww.webofscience.com%2Fwos%2Fwoscc%2Ffull-record%2FWOS:000245474100063","View Full Record in Web of Science")</f>
        <v>View Full Record in Web of Science</v>
      </c>
    </row>
    <row r="1265" spans="1:77" ht="12.5" x14ac:dyDescent="0.25">
      <c r="A1265" t="s">
        <v>8495</v>
      </c>
      <c r="B1265" s="22" t="s">
        <v>32931</v>
      </c>
      <c r="C1265" s="7"/>
      <c r="D1265" s="7"/>
      <c r="E1265" s="7"/>
      <c r="F1265" t="s">
        <v>67</v>
      </c>
      <c r="G1265" t="s">
        <v>27841</v>
      </c>
      <c r="H1265" t="s">
        <v>69</v>
      </c>
      <c r="I1265" t="s">
        <v>69</v>
      </c>
      <c r="J1265" t="s">
        <v>69</v>
      </c>
      <c r="K1265" t="s">
        <v>27842</v>
      </c>
      <c r="L1265" t="s">
        <v>69</v>
      </c>
      <c r="M1265" t="s">
        <v>69</v>
      </c>
      <c r="N1265" t="s">
        <v>27843</v>
      </c>
      <c r="O1265" t="s">
        <v>27844</v>
      </c>
      <c r="P1265" t="s">
        <v>69</v>
      </c>
      <c r="Q1265" t="s">
        <v>69</v>
      </c>
      <c r="R1265" t="s">
        <v>8505</v>
      </c>
      <c r="S1265" t="s">
        <v>8506</v>
      </c>
      <c r="T1265" t="s">
        <v>69</v>
      </c>
      <c r="U1265" t="s">
        <v>69</v>
      </c>
      <c r="V1265" t="s">
        <v>69</v>
      </c>
      <c r="W1265" t="s">
        <v>69</v>
      </c>
      <c r="X1265" t="s">
        <v>69</v>
      </c>
      <c r="Y1265" t="s">
        <v>69</v>
      </c>
      <c r="Z1265" t="s">
        <v>27845</v>
      </c>
      <c r="AA1265" t="s">
        <v>27846</v>
      </c>
      <c r="AB1265" t="s">
        <v>27847</v>
      </c>
      <c r="AC1265" t="s">
        <v>69</v>
      </c>
      <c r="AD1265" t="s">
        <v>27848</v>
      </c>
      <c r="AE1265" t="s">
        <v>27849</v>
      </c>
      <c r="AF1265" t="s">
        <v>69</v>
      </c>
      <c r="AG1265" t="s">
        <v>69</v>
      </c>
      <c r="AH1265" t="s">
        <v>69</v>
      </c>
      <c r="AI1265" t="s">
        <v>69</v>
      </c>
      <c r="AJ1265" t="s">
        <v>69</v>
      </c>
      <c r="AK1265" t="s">
        <v>69</v>
      </c>
      <c r="AL1265">
        <v>45</v>
      </c>
      <c r="AM1265">
        <v>9</v>
      </c>
      <c r="AN1265">
        <v>9</v>
      </c>
      <c r="AO1265">
        <v>0</v>
      </c>
      <c r="AP1265">
        <v>0</v>
      </c>
      <c r="AQ1265" t="s">
        <v>8865</v>
      </c>
      <c r="AR1265" t="s">
        <v>8612</v>
      </c>
      <c r="AS1265" t="s">
        <v>8866</v>
      </c>
      <c r="AT1265" t="s">
        <v>27850</v>
      </c>
      <c r="AU1265" t="s">
        <v>27851</v>
      </c>
      <c r="AV1265" t="s">
        <v>69</v>
      </c>
      <c r="AW1265" t="s">
        <v>27852</v>
      </c>
      <c r="AX1265" t="s">
        <v>27853</v>
      </c>
      <c r="AY1265" t="s">
        <v>94</v>
      </c>
      <c r="AZ1265">
        <v>2010</v>
      </c>
      <c r="BA1265">
        <v>47</v>
      </c>
      <c r="BB1265">
        <v>1</v>
      </c>
      <c r="BC1265" t="s">
        <v>69</v>
      </c>
      <c r="BD1265" t="s">
        <v>69</v>
      </c>
      <c r="BE1265" t="s">
        <v>69</v>
      </c>
      <c r="BF1265" t="s">
        <v>69</v>
      </c>
      <c r="BG1265">
        <v>26</v>
      </c>
      <c r="BH1265">
        <v>36</v>
      </c>
      <c r="BI1265" t="s">
        <v>69</v>
      </c>
      <c r="BJ1265" t="s">
        <v>27854</v>
      </c>
      <c r="BK1265" t="str">
        <f>HYPERLINK("http://dx.doi.org/10.1080/07293680903579951","http://dx.doi.org/10.1080/07293680903579951")</f>
        <v>http://dx.doi.org/10.1080/07293680903579951</v>
      </c>
      <c r="BL1265" t="s">
        <v>69</v>
      </c>
      <c r="BM1265" t="s">
        <v>69</v>
      </c>
      <c r="BN1265">
        <v>11</v>
      </c>
      <c r="BO1265" t="s">
        <v>14187</v>
      </c>
      <c r="BP1265" t="s">
        <v>8573</v>
      </c>
      <c r="BQ1265" t="s">
        <v>12182</v>
      </c>
      <c r="BR1265" t="s">
        <v>27855</v>
      </c>
      <c r="BS1265" t="s">
        <v>27856</v>
      </c>
      <c r="BT1265" t="s">
        <v>69</v>
      </c>
      <c r="BU1265" t="s">
        <v>69</v>
      </c>
      <c r="BV1265" t="s">
        <v>69</v>
      </c>
      <c r="BW1265" t="s">
        <v>69</v>
      </c>
      <c r="BX1265" t="s">
        <v>8526</v>
      </c>
      <c r="BY1265" t="str">
        <f>HYPERLINK("https%3A%2F%2Fwww.webofscience.com%2Fwos%2Fwoscc%2Ffull-record%2FWOS:000210616600003","View Full Record in Web of Science")</f>
        <v>View Full Record in Web of Science</v>
      </c>
    </row>
    <row r="1266" spans="1:77" x14ac:dyDescent="0.3">
      <c r="A1266" t="s">
        <v>8495</v>
      </c>
      <c r="B1266" s="9" t="s">
        <v>32954</v>
      </c>
      <c r="C1266" s="9" t="s">
        <v>33074</v>
      </c>
      <c r="D1266" s="9" t="s">
        <v>8491</v>
      </c>
      <c r="E1266" s="9" t="s">
        <v>8490</v>
      </c>
      <c r="F1266" t="s">
        <v>67</v>
      </c>
      <c r="G1266" t="s">
        <v>29593</v>
      </c>
      <c r="H1266" t="s">
        <v>69</v>
      </c>
      <c r="I1266" t="s">
        <v>69</v>
      </c>
      <c r="J1266" t="s">
        <v>69</v>
      </c>
      <c r="K1266" t="s">
        <v>29594</v>
      </c>
      <c r="L1266" t="s">
        <v>69</v>
      </c>
      <c r="M1266" t="s">
        <v>69</v>
      </c>
      <c r="N1266" t="s">
        <v>29595</v>
      </c>
      <c r="O1266" t="s">
        <v>833</v>
      </c>
      <c r="P1266" t="s">
        <v>69</v>
      </c>
      <c r="Q1266" t="s">
        <v>69</v>
      </c>
      <c r="R1266" t="s">
        <v>8505</v>
      </c>
      <c r="S1266" t="s">
        <v>8506</v>
      </c>
      <c r="T1266" t="s">
        <v>69</v>
      </c>
      <c r="U1266" t="s">
        <v>69</v>
      </c>
      <c r="V1266" t="s">
        <v>69</v>
      </c>
      <c r="W1266" t="s">
        <v>69</v>
      </c>
      <c r="X1266" t="s">
        <v>69</v>
      </c>
      <c r="Y1266" t="s">
        <v>69</v>
      </c>
      <c r="Z1266" t="s">
        <v>29596</v>
      </c>
      <c r="AA1266" t="s">
        <v>29597</v>
      </c>
      <c r="AB1266" t="s">
        <v>29598</v>
      </c>
      <c r="AC1266" t="s">
        <v>69</v>
      </c>
      <c r="AD1266" t="s">
        <v>29599</v>
      </c>
      <c r="AE1266" t="s">
        <v>69</v>
      </c>
      <c r="AF1266" t="s">
        <v>29600</v>
      </c>
      <c r="AG1266" t="s">
        <v>29601</v>
      </c>
      <c r="AH1266" t="s">
        <v>69</v>
      </c>
      <c r="AI1266" t="s">
        <v>69</v>
      </c>
      <c r="AJ1266" t="s">
        <v>69</v>
      </c>
      <c r="AK1266" t="s">
        <v>69</v>
      </c>
      <c r="AL1266">
        <v>25</v>
      </c>
      <c r="AM1266">
        <v>11</v>
      </c>
      <c r="AN1266">
        <v>11</v>
      </c>
      <c r="AO1266">
        <v>0</v>
      </c>
      <c r="AP1266">
        <v>2</v>
      </c>
      <c r="AQ1266" t="s">
        <v>8865</v>
      </c>
      <c r="AR1266" t="s">
        <v>8612</v>
      </c>
      <c r="AS1266" t="s">
        <v>8866</v>
      </c>
      <c r="AT1266" t="s">
        <v>835</v>
      </c>
      <c r="AU1266" t="s">
        <v>836</v>
      </c>
      <c r="AV1266" t="s">
        <v>69</v>
      </c>
      <c r="AW1266" t="s">
        <v>15984</v>
      </c>
      <c r="AX1266" t="s">
        <v>15985</v>
      </c>
      <c r="AY1266" t="s">
        <v>255</v>
      </c>
      <c r="AZ1266">
        <v>2007</v>
      </c>
      <c r="BA1266">
        <v>27</v>
      </c>
      <c r="BB1266">
        <v>4</v>
      </c>
      <c r="BC1266" t="s">
        <v>69</v>
      </c>
      <c r="BD1266" t="s">
        <v>69</v>
      </c>
      <c r="BE1266" t="s">
        <v>69</v>
      </c>
      <c r="BF1266" t="s">
        <v>69</v>
      </c>
      <c r="BG1266">
        <v>273</v>
      </c>
      <c r="BH1266">
        <v>280</v>
      </c>
      <c r="BI1266" t="s">
        <v>69</v>
      </c>
      <c r="BJ1266" t="s">
        <v>29602</v>
      </c>
      <c r="BK1266" t="str">
        <f>HYPERLINK("http://dx.doi.org/10.1111/j.1467-9302.2007.00594.x","http://dx.doi.org/10.1111/j.1467-9302.2007.00594.x")</f>
        <v>http://dx.doi.org/10.1111/j.1467-9302.2007.00594.x</v>
      </c>
      <c r="BL1266" t="s">
        <v>69</v>
      </c>
      <c r="BM1266" t="s">
        <v>69</v>
      </c>
      <c r="BN1266">
        <v>8</v>
      </c>
      <c r="BO1266" t="s">
        <v>12182</v>
      </c>
      <c r="BP1266" t="s">
        <v>8661</v>
      </c>
      <c r="BQ1266" t="s">
        <v>12182</v>
      </c>
      <c r="BR1266" t="s">
        <v>29603</v>
      </c>
      <c r="BS1266" t="s">
        <v>29604</v>
      </c>
      <c r="BT1266" t="s">
        <v>69</v>
      </c>
      <c r="BU1266" t="s">
        <v>69</v>
      </c>
      <c r="BV1266" t="s">
        <v>69</v>
      </c>
      <c r="BW1266" t="s">
        <v>69</v>
      </c>
      <c r="BX1266" t="s">
        <v>8526</v>
      </c>
      <c r="BY1266" t="str">
        <f>HYPERLINK("https%3A%2F%2Fwww.webofscience.com%2Fwos%2Fwoscc%2Ffull-record%2FWOS:000249196000011","View Full Record in Web of Science")</f>
        <v>View Full Record in Web of Science</v>
      </c>
    </row>
    <row r="1267" spans="1:77" ht="12.5" x14ac:dyDescent="0.25">
      <c r="A1267" t="s">
        <v>8495</v>
      </c>
      <c r="B1267" s="7" t="s">
        <v>32933</v>
      </c>
      <c r="C1267" s="7"/>
      <c r="D1267" s="7"/>
      <c r="E1267" s="7"/>
      <c r="F1267" t="s">
        <v>67</v>
      </c>
      <c r="G1267" t="s">
        <v>5416</v>
      </c>
      <c r="H1267" t="s">
        <v>69</v>
      </c>
      <c r="I1267" t="s">
        <v>69</v>
      </c>
      <c r="J1267" t="s">
        <v>69</v>
      </c>
      <c r="K1267" t="s">
        <v>5417</v>
      </c>
      <c r="L1267" t="s">
        <v>69</v>
      </c>
      <c r="M1267" t="s">
        <v>69</v>
      </c>
      <c r="N1267" t="s">
        <v>5418</v>
      </c>
      <c r="O1267" t="s">
        <v>100</v>
      </c>
      <c r="P1267" t="s">
        <v>69</v>
      </c>
      <c r="Q1267" t="s">
        <v>69</v>
      </c>
      <c r="R1267" t="s">
        <v>8505</v>
      </c>
      <c r="S1267" t="s">
        <v>8506</v>
      </c>
      <c r="T1267" t="s">
        <v>69</v>
      </c>
      <c r="U1267" t="s">
        <v>69</v>
      </c>
      <c r="V1267" t="s">
        <v>69</v>
      </c>
      <c r="W1267" t="s">
        <v>69</v>
      </c>
      <c r="X1267" t="s">
        <v>69</v>
      </c>
      <c r="Y1267" t="s">
        <v>19009</v>
      </c>
      <c r="Z1267" t="s">
        <v>19010</v>
      </c>
      <c r="AA1267" t="s">
        <v>5419</v>
      </c>
      <c r="AB1267" t="s">
        <v>19011</v>
      </c>
      <c r="AC1267" t="s">
        <v>69</v>
      </c>
      <c r="AD1267" t="s">
        <v>19012</v>
      </c>
      <c r="AE1267" t="s">
        <v>19013</v>
      </c>
      <c r="AF1267" t="s">
        <v>19014</v>
      </c>
      <c r="AG1267" t="s">
        <v>19015</v>
      </c>
      <c r="AH1267" t="s">
        <v>19016</v>
      </c>
      <c r="AI1267" t="s">
        <v>19016</v>
      </c>
      <c r="AJ1267" t="s">
        <v>19017</v>
      </c>
      <c r="AK1267" t="s">
        <v>69</v>
      </c>
      <c r="AL1267">
        <v>29</v>
      </c>
      <c r="AM1267">
        <v>4</v>
      </c>
      <c r="AN1267">
        <v>4</v>
      </c>
      <c r="AO1267">
        <v>2</v>
      </c>
      <c r="AP1267">
        <v>13</v>
      </c>
      <c r="AQ1267" t="s">
        <v>9091</v>
      </c>
      <c r="AR1267" t="s">
        <v>8763</v>
      </c>
      <c r="AS1267" t="s">
        <v>15468</v>
      </c>
      <c r="AT1267" t="s">
        <v>102</v>
      </c>
      <c r="AU1267" t="s">
        <v>103</v>
      </c>
      <c r="AV1267" t="s">
        <v>69</v>
      </c>
      <c r="AW1267" t="s">
        <v>15469</v>
      </c>
      <c r="AX1267" t="s">
        <v>15470</v>
      </c>
      <c r="AY1267" t="s">
        <v>246</v>
      </c>
      <c r="AZ1267">
        <v>2018</v>
      </c>
      <c r="BA1267" t="s">
        <v>69</v>
      </c>
      <c r="BB1267">
        <v>1</v>
      </c>
      <c r="BC1267" t="s">
        <v>69</v>
      </c>
      <c r="BD1267" t="s">
        <v>69</v>
      </c>
      <c r="BE1267" t="s">
        <v>69</v>
      </c>
      <c r="BF1267" t="s">
        <v>69</v>
      </c>
      <c r="BG1267">
        <v>256</v>
      </c>
      <c r="BH1267">
        <v>269</v>
      </c>
      <c r="BI1267" t="s">
        <v>69</v>
      </c>
      <c r="BJ1267" t="s">
        <v>5420</v>
      </c>
      <c r="BK1267" t="str">
        <f>HYPERLINK("http://dx.doi.org/10.2166/wst.2018.109","http://dx.doi.org/10.2166/wst.2018.109")</f>
        <v>http://dx.doi.org/10.2166/wst.2018.109</v>
      </c>
      <c r="BL1267" t="s">
        <v>69</v>
      </c>
      <c r="BM1267" t="s">
        <v>69</v>
      </c>
      <c r="BN1267">
        <v>14</v>
      </c>
      <c r="BO1267" t="s">
        <v>10687</v>
      </c>
      <c r="BP1267" t="s">
        <v>8548</v>
      </c>
      <c r="BQ1267" t="s">
        <v>10688</v>
      </c>
      <c r="BR1267" t="s">
        <v>19018</v>
      </c>
      <c r="BS1267" t="s">
        <v>5421</v>
      </c>
      <c r="BT1267">
        <v>29698240</v>
      </c>
      <c r="BU1267" t="s">
        <v>19019</v>
      </c>
      <c r="BV1267" t="s">
        <v>69</v>
      </c>
      <c r="BW1267" t="s">
        <v>69</v>
      </c>
      <c r="BX1267" t="s">
        <v>8526</v>
      </c>
      <c r="BY1267" t="str">
        <f>HYPERLINK("https%3A%2F%2Fwww.webofscience.com%2Fwos%2Fwoscc%2Ffull-record%2FWOS:000435664600026","View Full Record in Web of Science")</f>
        <v>View Full Record in Web of Science</v>
      </c>
    </row>
    <row r="1268" spans="1:77" ht="12.5" x14ac:dyDescent="0.25">
      <c r="A1268" t="s">
        <v>8495</v>
      </c>
      <c r="B1268" s="22" t="s">
        <v>32931</v>
      </c>
      <c r="C1268" s="7"/>
      <c r="D1268" s="7"/>
      <c r="E1268" s="7"/>
      <c r="F1268" t="s">
        <v>67</v>
      </c>
      <c r="G1268" t="s">
        <v>27260</v>
      </c>
      <c r="H1268" t="s">
        <v>69</v>
      </c>
      <c r="I1268" t="s">
        <v>69</v>
      </c>
      <c r="J1268" t="s">
        <v>69</v>
      </c>
      <c r="K1268" t="s">
        <v>27261</v>
      </c>
      <c r="L1268" t="s">
        <v>69</v>
      </c>
      <c r="M1268" t="s">
        <v>69</v>
      </c>
      <c r="N1268" t="s">
        <v>27262</v>
      </c>
      <c r="O1268" t="s">
        <v>27263</v>
      </c>
      <c r="P1268" t="s">
        <v>69</v>
      </c>
      <c r="Q1268" t="s">
        <v>69</v>
      </c>
      <c r="R1268" t="s">
        <v>8505</v>
      </c>
      <c r="S1268" t="s">
        <v>8506</v>
      </c>
      <c r="T1268" t="s">
        <v>69</v>
      </c>
      <c r="U1268" t="s">
        <v>69</v>
      </c>
      <c r="V1268" t="s">
        <v>69</v>
      </c>
      <c r="W1268" t="s">
        <v>69</v>
      </c>
      <c r="X1268" t="s">
        <v>69</v>
      </c>
      <c r="Y1268" t="s">
        <v>27264</v>
      </c>
      <c r="Z1268" t="s">
        <v>69</v>
      </c>
      <c r="AA1268" t="s">
        <v>27265</v>
      </c>
      <c r="AB1268" t="s">
        <v>27266</v>
      </c>
      <c r="AC1268" t="s">
        <v>69</v>
      </c>
      <c r="AD1268" t="s">
        <v>27267</v>
      </c>
      <c r="AE1268" t="s">
        <v>27268</v>
      </c>
      <c r="AF1268" t="s">
        <v>27269</v>
      </c>
      <c r="AG1268" t="s">
        <v>27270</v>
      </c>
      <c r="AH1268" t="s">
        <v>69</v>
      </c>
      <c r="AI1268" t="s">
        <v>69</v>
      </c>
      <c r="AJ1268" t="s">
        <v>69</v>
      </c>
      <c r="AK1268" t="s">
        <v>69</v>
      </c>
      <c r="AL1268">
        <v>9</v>
      </c>
      <c r="AM1268">
        <v>0</v>
      </c>
      <c r="AN1268">
        <v>0</v>
      </c>
      <c r="AO1268">
        <v>0</v>
      </c>
      <c r="AP1268">
        <v>0</v>
      </c>
      <c r="AQ1268" t="s">
        <v>27271</v>
      </c>
      <c r="AR1268" t="s">
        <v>26412</v>
      </c>
      <c r="AS1268" t="s">
        <v>27272</v>
      </c>
      <c r="AT1268" t="s">
        <v>27273</v>
      </c>
      <c r="AU1268" t="s">
        <v>27274</v>
      </c>
      <c r="AV1268" t="s">
        <v>69</v>
      </c>
      <c r="AW1268" t="s">
        <v>27263</v>
      </c>
      <c r="AX1268" t="s">
        <v>27275</v>
      </c>
      <c r="AY1268" t="s">
        <v>69</v>
      </c>
      <c r="AZ1268">
        <v>2011</v>
      </c>
      <c r="BA1268">
        <v>18</v>
      </c>
      <c r="BB1268">
        <v>2</v>
      </c>
      <c r="BC1268" t="s">
        <v>69</v>
      </c>
      <c r="BD1268" t="s">
        <v>69</v>
      </c>
      <c r="BE1268" t="s">
        <v>69</v>
      </c>
      <c r="BF1268" t="s">
        <v>69</v>
      </c>
      <c r="BG1268">
        <v>64</v>
      </c>
      <c r="BH1268">
        <v>79</v>
      </c>
      <c r="BI1268" t="s">
        <v>69</v>
      </c>
      <c r="BJ1268" t="s">
        <v>69</v>
      </c>
      <c r="BK1268" t="s">
        <v>69</v>
      </c>
      <c r="BL1268" t="s">
        <v>69</v>
      </c>
      <c r="BM1268" t="s">
        <v>69</v>
      </c>
      <c r="BN1268">
        <v>16</v>
      </c>
      <c r="BO1268" t="s">
        <v>9410</v>
      </c>
      <c r="BP1268" t="s">
        <v>8573</v>
      </c>
      <c r="BQ1268" t="s">
        <v>8594</v>
      </c>
      <c r="BR1268" t="s">
        <v>27276</v>
      </c>
      <c r="BS1268" t="s">
        <v>27277</v>
      </c>
      <c r="BT1268" t="s">
        <v>69</v>
      </c>
      <c r="BU1268" t="s">
        <v>69</v>
      </c>
      <c r="BV1268" t="s">
        <v>69</v>
      </c>
      <c r="BW1268" t="s">
        <v>69</v>
      </c>
      <c r="BX1268" t="s">
        <v>8526</v>
      </c>
      <c r="BY1268" t="str">
        <f>HYPERLINK("https%3A%2F%2Fwww.webofscience.com%2Fwos%2Fwoscc%2Ffull-record%2FWOS:000214324300004","View Full Record in Web of Science")</f>
        <v>View Full Record in Web of Science</v>
      </c>
    </row>
    <row r="1269" spans="1:77" ht="12.5" x14ac:dyDescent="0.25">
      <c r="A1269" t="s">
        <v>8495</v>
      </c>
      <c r="B1269" s="22" t="s">
        <v>32931</v>
      </c>
      <c r="C1269" s="7"/>
      <c r="D1269" s="7"/>
      <c r="E1269" s="7"/>
      <c r="F1269" t="s">
        <v>67</v>
      </c>
      <c r="G1269" t="s">
        <v>13909</v>
      </c>
      <c r="H1269" t="s">
        <v>69</v>
      </c>
      <c r="I1269" t="s">
        <v>69</v>
      </c>
      <c r="J1269" t="s">
        <v>69</v>
      </c>
      <c r="K1269" t="s">
        <v>13910</v>
      </c>
      <c r="L1269" t="s">
        <v>69</v>
      </c>
      <c r="M1269" t="s">
        <v>69</v>
      </c>
      <c r="N1269" t="s">
        <v>13911</v>
      </c>
      <c r="O1269" t="s">
        <v>12317</v>
      </c>
      <c r="P1269" t="s">
        <v>69</v>
      </c>
      <c r="Q1269" t="s">
        <v>69</v>
      </c>
      <c r="R1269" t="s">
        <v>8505</v>
      </c>
      <c r="S1269" t="s">
        <v>8506</v>
      </c>
      <c r="T1269" t="s">
        <v>69</v>
      </c>
      <c r="U1269" t="s">
        <v>69</v>
      </c>
      <c r="V1269" t="s">
        <v>69</v>
      </c>
      <c r="W1269" t="s">
        <v>69</v>
      </c>
      <c r="X1269" t="s">
        <v>69</v>
      </c>
      <c r="Y1269" t="s">
        <v>13912</v>
      </c>
      <c r="Z1269" t="s">
        <v>13913</v>
      </c>
      <c r="AA1269" t="s">
        <v>13914</v>
      </c>
      <c r="AB1269" t="s">
        <v>13915</v>
      </c>
      <c r="AC1269" t="s">
        <v>69</v>
      </c>
      <c r="AD1269" t="s">
        <v>13916</v>
      </c>
      <c r="AE1269" t="s">
        <v>13917</v>
      </c>
      <c r="AF1269" t="s">
        <v>13918</v>
      </c>
      <c r="AG1269" t="s">
        <v>13919</v>
      </c>
      <c r="AH1269" t="s">
        <v>13920</v>
      </c>
      <c r="AI1269" t="s">
        <v>13921</v>
      </c>
      <c r="AJ1269" t="s">
        <v>13922</v>
      </c>
      <c r="AK1269" t="s">
        <v>69</v>
      </c>
      <c r="AL1269">
        <v>39</v>
      </c>
      <c r="AM1269">
        <v>0</v>
      </c>
      <c r="AN1269">
        <v>0</v>
      </c>
      <c r="AO1269">
        <v>0</v>
      </c>
      <c r="AP1269">
        <v>0</v>
      </c>
      <c r="AQ1269" t="s">
        <v>9203</v>
      </c>
      <c r="AR1269" t="s">
        <v>8763</v>
      </c>
      <c r="AS1269" t="s">
        <v>9204</v>
      </c>
      <c r="AT1269" t="s">
        <v>69</v>
      </c>
      <c r="AU1269" t="s">
        <v>12325</v>
      </c>
      <c r="AV1269" t="s">
        <v>69</v>
      </c>
      <c r="AW1269" t="s">
        <v>12326</v>
      </c>
      <c r="AX1269" t="s">
        <v>12327</v>
      </c>
      <c r="AY1269" t="s">
        <v>13923</v>
      </c>
      <c r="AZ1269">
        <v>2020</v>
      </c>
      <c r="BA1269">
        <v>20</v>
      </c>
      <c r="BB1269">
        <v>1</v>
      </c>
      <c r="BC1269" t="s">
        <v>69</v>
      </c>
      <c r="BD1269" t="s">
        <v>69</v>
      </c>
      <c r="BE1269" t="s">
        <v>69</v>
      </c>
      <c r="BF1269" t="s">
        <v>69</v>
      </c>
      <c r="BG1269" t="s">
        <v>69</v>
      </c>
      <c r="BH1269" t="s">
        <v>69</v>
      </c>
      <c r="BI1269">
        <v>1129</v>
      </c>
      <c r="BJ1269" t="s">
        <v>13924</v>
      </c>
      <c r="BK1269" t="str">
        <f>HYPERLINK("http://dx.doi.org/10.1186/s12913-020-05981-1","http://dx.doi.org/10.1186/s12913-020-05981-1")</f>
        <v>http://dx.doi.org/10.1186/s12913-020-05981-1</v>
      </c>
      <c r="BL1269" t="s">
        <v>69</v>
      </c>
      <c r="BM1269" t="s">
        <v>69</v>
      </c>
      <c r="BN1269">
        <v>11</v>
      </c>
      <c r="BO1269" t="s">
        <v>9209</v>
      </c>
      <c r="BP1269" t="s">
        <v>8523</v>
      </c>
      <c r="BQ1269" t="s">
        <v>9209</v>
      </c>
      <c r="BR1269" t="s">
        <v>13925</v>
      </c>
      <c r="BS1269" t="s">
        <v>13926</v>
      </c>
      <c r="BT1269">
        <v>33287801</v>
      </c>
      <c r="BU1269" t="s">
        <v>9352</v>
      </c>
      <c r="BV1269" t="s">
        <v>69</v>
      </c>
      <c r="BW1269" t="s">
        <v>69</v>
      </c>
      <c r="BX1269" t="s">
        <v>8526</v>
      </c>
      <c r="BY1269" t="str">
        <f>HYPERLINK("https%3A%2F%2Fwww.webofscience.com%2Fwos%2Fwoscc%2Ffull-record%2FWOS:000598039300003","View Full Record in Web of Science")</f>
        <v>View Full Record in Web of Science</v>
      </c>
    </row>
    <row r="1270" spans="1:77" ht="12.5" x14ac:dyDescent="0.25">
      <c r="A1270" t="s">
        <v>8495</v>
      </c>
      <c r="B1270" s="7" t="s">
        <v>32933</v>
      </c>
      <c r="C1270" s="7"/>
      <c r="D1270" s="7"/>
      <c r="E1270" s="7"/>
      <c r="F1270" t="s">
        <v>67</v>
      </c>
      <c r="G1270" t="s">
        <v>3764</v>
      </c>
      <c r="H1270" t="s">
        <v>69</v>
      </c>
      <c r="I1270" t="s">
        <v>69</v>
      </c>
      <c r="J1270" t="s">
        <v>69</v>
      </c>
      <c r="K1270" t="s">
        <v>3765</v>
      </c>
      <c r="L1270" t="s">
        <v>69</v>
      </c>
      <c r="M1270" t="s">
        <v>69</v>
      </c>
      <c r="N1270" t="s">
        <v>3766</v>
      </c>
      <c r="O1270" t="s">
        <v>3767</v>
      </c>
      <c r="P1270" t="s">
        <v>69</v>
      </c>
      <c r="Q1270" t="s">
        <v>69</v>
      </c>
      <c r="R1270" t="s">
        <v>8505</v>
      </c>
      <c r="S1270" t="s">
        <v>15797</v>
      </c>
      <c r="T1270" t="s">
        <v>3768</v>
      </c>
      <c r="U1270" t="s">
        <v>3769</v>
      </c>
      <c r="V1270" t="s">
        <v>3770</v>
      </c>
      <c r="W1270" t="s">
        <v>69</v>
      </c>
      <c r="X1270" t="s">
        <v>3771</v>
      </c>
      <c r="Y1270" t="s">
        <v>69</v>
      </c>
      <c r="Z1270" t="s">
        <v>29837</v>
      </c>
      <c r="AA1270" t="s">
        <v>3772</v>
      </c>
      <c r="AB1270" t="s">
        <v>29838</v>
      </c>
      <c r="AC1270" t="s">
        <v>69</v>
      </c>
      <c r="AD1270" t="s">
        <v>29839</v>
      </c>
      <c r="AE1270" t="s">
        <v>29840</v>
      </c>
      <c r="AF1270" t="s">
        <v>69</v>
      </c>
      <c r="AG1270" t="s">
        <v>69</v>
      </c>
      <c r="AH1270" t="s">
        <v>69</v>
      </c>
      <c r="AI1270" t="s">
        <v>69</v>
      </c>
      <c r="AJ1270" t="s">
        <v>69</v>
      </c>
      <c r="AK1270" t="s">
        <v>69</v>
      </c>
      <c r="AL1270">
        <v>27</v>
      </c>
      <c r="AM1270">
        <v>7</v>
      </c>
      <c r="AN1270">
        <v>7</v>
      </c>
      <c r="AO1270">
        <v>1</v>
      </c>
      <c r="AP1270">
        <v>8</v>
      </c>
      <c r="AQ1270" t="s">
        <v>8826</v>
      </c>
      <c r="AR1270" t="s">
        <v>29841</v>
      </c>
      <c r="AS1270" t="s">
        <v>29842</v>
      </c>
      <c r="AT1270" t="s">
        <v>3773</v>
      </c>
      <c r="AU1270" t="s">
        <v>69</v>
      </c>
      <c r="AV1270" t="s">
        <v>69</v>
      </c>
      <c r="AW1270" t="s">
        <v>29843</v>
      </c>
      <c r="AX1270" t="s">
        <v>29844</v>
      </c>
      <c r="AY1270" t="s">
        <v>69</v>
      </c>
      <c r="AZ1270">
        <v>2007</v>
      </c>
      <c r="BA1270">
        <v>47</v>
      </c>
      <c r="BB1270">
        <v>3</v>
      </c>
      <c r="BC1270" t="s">
        <v>69</v>
      </c>
      <c r="BD1270" t="s">
        <v>69</v>
      </c>
      <c r="BE1270" t="s">
        <v>69</v>
      </c>
      <c r="BF1270" t="s">
        <v>69</v>
      </c>
      <c r="BG1270">
        <v>367</v>
      </c>
      <c r="BH1270">
        <v>377</v>
      </c>
      <c r="BI1270" t="s">
        <v>69</v>
      </c>
      <c r="BJ1270" t="s">
        <v>3774</v>
      </c>
      <c r="BK1270" t="str">
        <f>HYPERLINK("http://dx.doi.org/10.1071/EA06030","http://dx.doi.org/10.1071/EA06030")</f>
        <v>http://dx.doi.org/10.1071/EA06030</v>
      </c>
      <c r="BL1270" t="s">
        <v>69</v>
      </c>
      <c r="BM1270" t="s">
        <v>69</v>
      </c>
      <c r="BN1270">
        <v>11</v>
      </c>
      <c r="BO1270" t="s">
        <v>17664</v>
      </c>
      <c r="BP1270" t="s">
        <v>15808</v>
      </c>
      <c r="BQ1270" t="s">
        <v>8450</v>
      </c>
      <c r="BR1270" t="s">
        <v>29845</v>
      </c>
      <c r="BS1270" t="s">
        <v>3775</v>
      </c>
      <c r="BT1270" t="s">
        <v>69</v>
      </c>
      <c r="BU1270" t="s">
        <v>69</v>
      </c>
      <c r="BV1270" t="s">
        <v>69</v>
      </c>
      <c r="BW1270" t="s">
        <v>69</v>
      </c>
      <c r="BX1270" t="s">
        <v>8526</v>
      </c>
      <c r="BY1270" t="str">
        <f>HYPERLINK("https%3A%2F%2Fwww.webofscience.com%2Fwos%2Fwoscc%2Ffull-record%2FWOS:000244118500014","View Full Record in Web of Science")</f>
        <v>View Full Record in Web of Science</v>
      </c>
    </row>
    <row r="1271" spans="1:77" ht="12.5" x14ac:dyDescent="0.25">
      <c r="A1271" t="s">
        <v>8495</v>
      </c>
      <c r="B1271" s="22" t="s">
        <v>32931</v>
      </c>
      <c r="C1271" s="7"/>
      <c r="D1271" s="7"/>
      <c r="E1271" s="7"/>
      <c r="F1271" t="s">
        <v>67</v>
      </c>
      <c r="G1271" t="s">
        <v>23867</v>
      </c>
      <c r="H1271" t="s">
        <v>69</v>
      </c>
      <c r="I1271" t="s">
        <v>69</v>
      </c>
      <c r="J1271" t="s">
        <v>69</v>
      </c>
      <c r="K1271" t="s">
        <v>23868</v>
      </c>
      <c r="L1271" t="s">
        <v>69</v>
      </c>
      <c r="M1271" t="s">
        <v>69</v>
      </c>
      <c r="N1271" t="s">
        <v>23869</v>
      </c>
      <c r="O1271" t="s">
        <v>23870</v>
      </c>
      <c r="P1271" t="s">
        <v>69</v>
      </c>
      <c r="Q1271" t="s">
        <v>69</v>
      </c>
      <c r="R1271" t="s">
        <v>8505</v>
      </c>
      <c r="S1271" t="s">
        <v>8506</v>
      </c>
      <c r="T1271" t="s">
        <v>69</v>
      </c>
      <c r="U1271" t="s">
        <v>69</v>
      </c>
      <c r="V1271" t="s">
        <v>69</v>
      </c>
      <c r="W1271" t="s">
        <v>69</v>
      </c>
      <c r="X1271" t="s">
        <v>69</v>
      </c>
      <c r="Y1271" t="s">
        <v>23871</v>
      </c>
      <c r="Z1271" t="s">
        <v>23872</v>
      </c>
      <c r="AA1271" t="s">
        <v>23873</v>
      </c>
      <c r="AB1271" t="s">
        <v>23874</v>
      </c>
      <c r="AC1271" t="s">
        <v>69</v>
      </c>
      <c r="AD1271" t="s">
        <v>23875</v>
      </c>
      <c r="AE1271" t="s">
        <v>69</v>
      </c>
      <c r="AF1271" t="s">
        <v>23876</v>
      </c>
      <c r="AG1271" t="s">
        <v>23877</v>
      </c>
      <c r="AH1271" t="s">
        <v>23878</v>
      </c>
      <c r="AI1271" t="s">
        <v>23878</v>
      </c>
      <c r="AJ1271" t="s">
        <v>23879</v>
      </c>
      <c r="AK1271" t="s">
        <v>69</v>
      </c>
      <c r="AL1271">
        <v>35</v>
      </c>
      <c r="AM1271">
        <v>24</v>
      </c>
      <c r="AN1271">
        <v>24</v>
      </c>
      <c r="AO1271">
        <v>10</v>
      </c>
      <c r="AP1271">
        <v>56</v>
      </c>
      <c r="AQ1271" t="s">
        <v>23880</v>
      </c>
      <c r="AR1271" t="s">
        <v>23881</v>
      </c>
      <c r="AS1271" t="s">
        <v>23882</v>
      </c>
      <c r="AT1271" t="s">
        <v>23883</v>
      </c>
      <c r="AU1271" t="s">
        <v>23884</v>
      </c>
      <c r="AV1271" t="s">
        <v>69</v>
      </c>
      <c r="AW1271" t="s">
        <v>23885</v>
      </c>
      <c r="AX1271" t="s">
        <v>23886</v>
      </c>
      <c r="AY1271" t="s">
        <v>94</v>
      </c>
      <c r="AZ1271">
        <v>2014</v>
      </c>
      <c r="BA1271">
        <v>28</v>
      </c>
      <c r="BB1271">
        <v>1</v>
      </c>
      <c r="BC1271" t="s">
        <v>69</v>
      </c>
      <c r="BD1271" t="s">
        <v>69</v>
      </c>
      <c r="BE1271" t="s">
        <v>69</v>
      </c>
      <c r="BF1271" t="s">
        <v>69</v>
      </c>
      <c r="BG1271">
        <v>91</v>
      </c>
      <c r="BH1271">
        <v>102</v>
      </c>
      <c r="BI1271" t="s">
        <v>69</v>
      </c>
      <c r="BJ1271" t="s">
        <v>23887</v>
      </c>
      <c r="BK1271" t="str">
        <f>HYPERLINK("http://dx.doi.org/10.1123/pes.2013-0015","http://dx.doi.org/10.1123/pes.2013-0015")</f>
        <v>http://dx.doi.org/10.1123/pes.2013-0015</v>
      </c>
      <c r="BL1271" t="s">
        <v>69</v>
      </c>
      <c r="BM1271" t="s">
        <v>69</v>
      </c>
      <c r="BN1271">
        <v>12</v>
      </c>
      <c r="BO1271" t="s">
        <v>10399</v>
      </c>
      <c r="BP1271" t="s">
        <v>8523</v>
      </c>
      <c r="BQ1271" t="s">
        <v>10400</v>
      </c>
      <c r="BR1271" t="s">
        <v>23888</v>
      </c>
      <c r="BS1271" t="s">
        <v>23889</v>
      </c>
      <c r="BT1271" t="s">
        <v>69</v>
      </c>
      <c r="BU1271" t="s">
        <v>69</v>
      </c>
      <c r="BV1271" t="s">
        <v>69</v>
      </c>
      <c r="BW1271" t="s">
        <v>69</v>
      </c>
      <c r="BX1271" t="s">
        <v>8526</v>
      </c>
      <c r="BY1271" t="str">
        <f>HYPERLINK("https%3A%2F%2Fwww.webofscience.com%2Fwos%2Fwoscc%2Ffull-record%2FWOS:000334900200008","View Full Record in Web of Science")</f>
        <v>View Full Record in Web of Science</v>
      </c>
    </row>
    <row r="1272" spans="1:77" ht="12.5" x14ac:dyDescent="0.25">
      <c r="A1272" t="s">
        <v>8495</v>
      </c>
      <c r="B1272" s="22" t="s">
        <v>32931</v>
      </c>
      <c r="C1272" s="7"/>
      <c r="D1272" s="7"/>
      <c r="E1272" s="7"/>
      <c r="F1272" t="s">
        <v>67</v>
      </c>
      <c r="G1272" t="s">
        <v>28421</v>
      </c>
      <c r="H1272" t="s">
        <v>69</v>
      </c>
      <c r="I1272" t="s">
        <v>69</v>
      </c>
      <c r="J1272" t="s">
        <v>69</v>
      </c>
      <c r="K1272" t="s">
        <v>28422</v>
      </c>
      <c r="L1272" t="s">
        <v>69</v>
      </c>
      <c r="M1272" t="s">
        <v>69</v>
      </c>
      <c r="N1272" t="s">
        <v>28423</v>
      </c>
      <c r="O1272" t="s">
        <v>12498</v>
      </c>
      <c r="P1272" t="s">
        <v>69</v>
      </c>
      <c r="Q1272" t="s">
        <v>69</v>
      </c>
      <c r="R1272" t="s">
        <v>12534</v>
      </c>
      <c r="S1272" t="s">
        <v>8506</v>
      </c>
      <c r="T1272" t="s">
        <v>69</v>
      </c>
      <c r="U1272" t="s">
        <v>69</v>
      </c>
      <c r="V1272" t="s">
        <v>69</v>
      </c>
      <c r="W1272" t="s">
        <v>69</v>
      </c>
      <c r="X1272" t="s">
        <v>69</v>
      </c>
      <c r="Y1272" t="s">
        <v>69</v>
      </c>
      <c r="Z1272" t="s">
        <v>69</v>
      </c>
      <c r="AA1272" t="s">
        <v>28424</v>
      </c>
      <c r="AB1272" t="s">
        <v>28425</v>
      </c>
      <c r="AC1272" t="s">
        <v>69</v>
      </c>
      <c r="AD1272" t="s">
        <v>28426</v>
      </c>
      <c r="AE1272" t="s">
        <v>69</v>
      </c>
      <c r="AF1272" t="s">
        <v>69</v>
      </c>
      <c r="AG1272" t="s">
        <v>69</v>
      </c>
      <c r="AH1272" t="s">
        <v>69</v>
      </c>
      <c r="AI1272" t="s">
        <v>69</v>
      </c>
      <c r="AJ1272" t="s">
        <v>69</v>
      </c>
      <c r="AK1272" t="s">
        <v>69</v>
      </c>
      <c r="AL1272">
        <v>0</v>
      </c>
      <c r="AM1272">
        <v>0</v>
      </c>
      <c r="AN1272">
        <v>0</v>
      </c>
      <c r="AO1272">
        <v>0</v>
      </c>
      <c r="AP1272">
        <v>0</v>
      </c>
      <c r="AQ1272" t="s">
        <v>12503</v>
      </c>
      <c r="AR1272" t="s">
        <v>11361</v>
      </c>
      <c r="AS1272" t="s">
        <v>28427</v>
      </c>
      <c r="AT1272" t="s">
        <v>12505</v>
      </c>
      <c r="AU1272" t="s">
        <v>69</v>
      </c>
      <c r="AV1272" t="s">
        <v>69</v>
      </c>
      <c r="AW1272" t="s">
        <v>12506</v>
      </c>
      <c r="AX1272" t="s">
        <v>12507</v>
      </c>
      <c r="AY1272" t="s">
        <v>155</v>
      </c>
      <c r="AZ1272">
        <v>2009</v>
      </c>
      <c r="BA1272">
        <v>54</v>
      </c>
      <c r="BB1272">
        <v>6</v>
      </c>
      <c r="BC1272" t="s">
        <v>69</v>
      </c>
      <c r="BD1272" t="s">
        <v>69</v>
      </c>
      <c r="BE1272" t="s">
        <v>69</v>
      </c>
      <c r="BF1272" t="s">
        <v>69</v>
      </c>
      <c r="BG1272">
        <v>373</v>
      </c>
      <c r="BH1272" t="s">
        <v>219</v>
      </c>
      <c r="BI1272" t="s">
        <v>69</v>
      </c>
      <c r="BJ1272" t="s">
        <v>69</v>
      </c>
      <c r="BK1272" t="s">
        <v>69</v>
      </c>
      <c r="BL1272" t="s">
        <v>69</v>
      </c>
      <c r="BM1272" t="s">
        <v>69</v>
      </c>
      <c r="BN1272">
        <v>7</v>
      </c>
      <c r="BO1272" t="s">
        <v>12508</v>
      </c>
      <c r="BP1272" t="s">
        <v>8548</v>
      </c>
      <c r="BQ1272" t="s">
        <v>12508</v>
      </c>
      <c r="BR1272" t="s">
        <v>28428</v>
      </c>
      <c r="BS1272" t="s">
        <v>28429</v>
      </c>
      <c r="BT1272" t="s">
        <v>69</v>
      </c>
      <c r="BU1272" t="s">
        <v>69</v>
      </c>
      <c r="BV1272" t="s">
        <v>69</v>
      </c>
      <c r="BW1272" t="s">
        <v>69</v>
      </c>
      <c r="BX1272" t="s">
        <v>8526</v>
      </c>
      <c r="BY1272" t="str">
        <f>HYPERLINK("https%3A%2F%2Fwww.webofscience.com%2Fwos%2Fwoscc%2Ffull-record%2FWOS:000270579500007","View Full Record in Web of Science")</f>
        <v>View Full Record in Web of Science</v>
      </c>
    </row>
    <row r="1273" spans="1:77" ht="12.5" x14ac:dyDescent="0.25">
      <c r="A1273" t="s">
        <v>8495</v>
      </c>
      <c r="B1273" s="22" t="s">
        <v>32931</v>
      </c>
      <c r="C1273" s="7"/>
      <c r="D1273" s="7"/>
      <c r="E1273" s="7"/>
      <c r="F1273" t="s">
        <v>67</v>
      </c>
      <c r="G1273" t="s">
        <v>14328</v>
      </c>
      <c r="H1273" t="s">
        <v>69</v>
      </c>
      <c r="I1273" t="s">
        <v>69</v>
      </c>
      <c r="J1273" t="s">
        <v>69</v>
      </c>
      <c r="K1273" t="s">
        <v>14329</v>
      </c>
      <c r="L1273" t="s">
        <v>69</v>
      </c>
      <c r="M1273" t="s">
        <v>69</v>
      </c>
      <c r="N1273" t="s">
        <v>14330</v>
      </c>
      <c r="O1273" t="s">
        <v>14331</v>
      </c>
      <c r="P1273" t="s">
        <v>69</v>
      </c>
      <c r="Q1273" t="s">
        <v>69</v>
      </c>
      <c r="R1273" t="s">
        <v>8505</v>
      </c>
      <c r="S1273" t="s">
        <v>8506</v>
      </c>
      <c r="T1273" t="s">
        <v>69</v>
      </c>
      <c r="U1273" t="s">
        <v>69</v>
      </c>
      <c r="V1273" t="s">
        <v>69</v>
      </c>
      <c r="W1273" t="s">
        <v>69</v>
      </c>
      <c r="X1273" t="s">
        <v>69</v>
      </c>
      <c r="Y1273" t="s">
        <v>14332</v>
      </c>
      <c r="Z1273" t="s">
        <v>14333</v>
      </c>
      <c r="AA1273" t="s">
        <v>14334</v>
      </c>
      <c r="AB1273" t="s">
        <v>14335</v>
      </c>
      <c r="AC1273" t="s">
        <v>69</v>
      </c>
      <c r="AD1273" t="s">
        <v>14336</v>
      </c>
      <c r="AE1273" t="s">
        <v>14337</v>
      </c>
      <c r="AF1273" t="s">
        <v>69</v>
      </c>
      <c r="AG1273" t="s">
        <v>14338</v>
      </c>
      <c r="AH1273" t="s">
        <v>14339</v>
      </c>
      <c r="AI1273" t="s">
        <v>14340</v>
      </c>
      <c r="AJ1273" t="s">
        <v>14341</v>
      </c>
      <c r="AK1273" t="s">
        <v>69</v>
      </c>
      <c r="AL1273">
        <v>40</v>
      </c>
      <c r="AM1273">
        <v>3</v>
      </c>
      <c r="AN1273">
        <v>3</v>
      </c>
      <c r="AO1273">
        <v>1</v>
      </c>
      <c r="AP1273">
        <v>3</v>
      </c>
      <c r="AQ1273" t="s">
        <v>10923</v>
      </c>
      <c r="AR1273" t="s">
        <v>10924</v>
      </c>
      <c r="AS1273" t="s">
        <v>10925</v>
      </c>
      <c r="AT1273" t="s">
        <v>14342</v>
      </c>
      <c r="AU1273" t="s">
        <v>14343</v>
      </c>
      <c r="AV1273" t="s">
        <v>69</v>
      </c>
      <c r="AW1273" t="s">
        <v>14344</v>
      </c>
      <c r="AX1273" t="s">
        <v>14345</v>
      </c>
      <c r="AY1273" t="s">
        <v>255</v>
      </c>
      <c r="AZ1273">
        <v>2020</v>
      </c>
      <c r="BA1273">
        <v>62</v>
      </c>
      <c r="BB1273">
        <v>9</v>
      </c>
      <c r="BC1273" t="s">
        <v>69</v>
      </c>
      <c r="BD1273" t="s">
        <v>69</v>
      </c>
      <c r="BE1273" t="s">
        <v>69</v>
      </c>
      <c r="BF1273" t="s">
        <v>69</v>
      </c>
      <c r="BG1273">
        <v>680</v>
      </c>
      <c r="BH1273">
        <v>685</v>
      </c>
      <c r="BI1273" t="s">
        <v>69</v>
      </c>
      <c r="BJ1273" t="s">
        <v>14346</v>
      </c>
      <c r="BK1273" t="str">
        <f>HYPERLINK("http://dx.doi.org/10.1097/JOM.0000000000001913","http://dx.doi.org/10.1097/JOM.0000000000001913")</f>
        <v>http://dx.doi.org/10.1097/JOM.0000000000001913</v>
      </c>
      <c r="BL1273" t="s">
        <v>69</v>
      </c>
      <c r="BM1273" t="s">
        <v>69</v>
      </c>
      <c r="BN1273">
        <v>6</v>
      </c>
      <c r="BO1273" t="s">
        <v>8810</v>
      </c>
      <c r="BP1273" t="s">
        <v>8523</v>
      </c>
      <c r="BQ1273" t="s">
        <v>8810</v>
      </c>
      <c r="BR1273" t="s">
        <v>14347</v>
      </c>
      <c r="BS1273" t="s">
        <v>14348</v>
      </c>
      <c r="BT1273">
        <v>32890204</v>
      </c>
      <c r="BU1273" t="s">
        <v>69</v>
      </c>
      <c r="BV1273" t="s">
        <v>69</v>
      </c>
      <c r="BW1273" t="s">
        <v>69</v>
      </c>
      <c r="BX1273" t="s">
        <v>8526</v>
      </c>
      <c r="BY1273" t="str">
        <f>HYPERLINK("https%3A%2F%2Fwww.webofscience.com%2Fwos%2Fwoscc%2Ffull-record%2FWOS:000618897000016","View Full Record in Web of Science")</f>
        <v>View Full Record in Web of Science</v>
      </c>
    </row>
    <row r="1274" spans="1:77" ht="12.5" x14ac:dyDescent="0.25">
      <c r="A1274" t="s">
        <v>8495</v>
      </c>
      <c r="B1274" s="7" t="s">
        <v>32933</v>
      </c>
      <c r="C1274" s="7"/>
      <c r="D1274" s="7"/>
      <c r="E1274" s="7"/>
      <c r="F1274" t="s">
        <v>67</v>
      </c>
      <c r="G1274" t="s">
        <v>6559</v>
      </c>
      <c r="H1274" t="s">
        <v>69</v>
      </c>
      <c r="I1274" t="s">
        <v>69</v>
      </c>
      <c r="J1274" t="s">
        <v>69</v>
      </c>
      <c r="K1274" t="s">
        <v>6560</v>
      </c>
      <c r="L1274" t="s">
        <v>69</v>
      </c>
      <c r="M1274" t="s">
        <v>69</v>
      </c>
      <c r="N1274" t="s">
        <v>6561</v>
      </c>
      <c r="O1274" t="s">
        <v>6562</v>
      </c>
      <c r="P1274" t="s">
        <v>69</v>
      </c>
      <c r="Q1274" t="s">
        <v>69</v>
      </c>
      <c r="R1274" t="s">
        <v>8505</v>
      </c>
      <c r="S1274" t="s">
        <v>8506</v>
      </c>
      <c r="T1274" t="s">
        <v>69</v>
      </c>
      <c r="U1274" t="s">
        <v>69</v>
      </c>
      <c r="V1274" t="s">
        <v>69</v>
      </c>
      <c r="W1274" t="s">
        <v>69</v>
      </c>
      <c r="X1274" t="s">
        <v>69</v>
      </c>
      <c r="Y1274" t="s">
        <v>18335</v>
      </c>
      <c r="Z1274" t="s">
        <v>18336</v>
      </c>
      <c r="AA1274" t="s">
        <v>6563</v>
      </c>
      <c r="AB1274" t="s">
        <v>18337</v>
      </c>
      <c r="AC1274" t="s">
        <v>69</v>
      </c>
      <c r="AD1274" t="s">
        <v>18338</v>
      </c>
      <c r="AE1274" t="s">
        <v>18339</v>
      </c>
      <c r="AF1274" t="s">
        <v>18340</v>
      </c>
      <c r="AG1274" t="s">
        <v>18341</v>
      </c>
      <c r="AH1274" t="s">
        <v>69</v>
      </c>
      <c r="AI1274" t="s">
        <v>69</v>
      </c>
      <c r="AJ1274" t="s">
        <v>69</v>
      </c>
      <c r="AK1274" t="s">
        <v>69</v>
      </c>
      <c r="AL1274">
        <v>51</v>
      </c>
      <c r="AM1274">
        <v>3</v>
      </c>
      <c r="AN1274">
        <v>3</v>
      </c>
      <c r="AO1274">
        <v>1</v>
      </c>
      <c r="AP1274">
        <v>10</v>
      </c>
      <c r="AQ1274" t="s">
        <v>18342</v>
      </c>
      <c r="AR1274" t="s">
        <v>18343</v>
      </c>
      <c r="AS1274" t="s">
        <v>18344</v>
      </c>
      <c r="AT1274" t="s">
        <v>6564</v>
      </c>
      <c r="AU1274" t="s">
        <v>6565</v>
      </c>
      <c r="AV1274" t="s">
        <v>69</v>
      </c>
      <c r="AW1274" t="s">
        <v>18345</v>
      </c>
      <c r="AX1274" t="s">
        <v>18346</v>
      </c>
      <c r="AY1274" t="s">
        <v>255</v>
      </c>
      <c r="AZ1274">
        <v>2018</v>
      </c>
      <c r="BA1274">
        <v>17</v>
      </c>
      <c r="BB1274">
        <v>3</v>
      </c>
      <c r="BC1274" t="s">
        <v>69</v>
      </c>
      <c r="BD1274" t="s">
        <v>69</v>
      </c>
      <c r="BE1274" t="s">
        <v>69</v>
      </c>
      <c r="BF1274" t="s">
        <v>69</v>
      </c>
      <c r="BG1274">
        <v>333</v>
      </c>
      <c r="BH1274">
        <v>351</v>
      </c>
      <c r="BI1274" t="s">
        <v>69</v>
      </c>
      <c r="BJ1274" t="s">
        <v>6566</v>
      </c>
      <c r="BK1274" t="str">
        <f>HYPERLINK("http://dx.doi.org/10.1142/S0219686718500208","http://dx.doi.org/10.1142/S0219686718500208")</f>
        <v>http://dx.doi.org/10.1142/S0219686718500208</v>
      </c>
      <c r="BL1274" t="s">
        <v>69</v>
      </c>
      <c r="BM1274" t="s">
        <v>69</v>
      </c>
      <c r="BN1274">
        <v>19</v>
      </c>
      <c r="BO1274" t="s">
        <v>8572</v>
      </c>
      <c r="BP1274" t="s">
        <v>8573</v>
      </c>
      <c r="BQ1274" t="s">
        <v>8445</v>
      </c>
      <c r="BR1274" t="s">
        <v>18347</v>
      </c>
      <c r="BS1274" t="s">
        <v>6567</v>
      </c>
      <c r="BT1274" t="s">
        <v>69</v>
      </c>
      <c r="BU1274" t="s">
        <v>69</v>
      </c>
      <c r="BV1274" t="s">
        <v>69</v>
      </c>
      <c r="BW1274" t="s">
        <v>69</v>
      </c>
      <c r="BX1274" t="s">
        <v>8526</v>
      </c>
      <c r="BY1274" t="str">
        <f>HYPERLINK("https%3A%2F%2Fwww.webofscience.com%2Fwos%2Fwoscc%2Ffull-record%2FWOS:000440167800004","View Full Record in Web of Science")</f>
        <v>View Full Record in Web of Science</v>
      </c>
    </row>
    <row r="1275" spans="1:77" x14ac:dyDescent="0.3">
      <c r="A1275" t="s">
        <v>8495</v>
      </c>
      <c r="B1275" s="10" t="s">
        <v>32957</v>
      </c>
      <c r="F1275" t="s">
        <v>67</v>
      </c>
      <c r="G1275" t="s">
        <v>6250</v>
      </c>
      <c r="H1275" t="s">
        <v>69</v>
      </c>
      <c r="I1275" t="s">
        <v>69</v>
      </c>
      <c r="J1275" t="s">
        <v>69</v>
      </c>
      <c r="K1275" s="2" t="s">
        <v>6251</v>
      </c>
      <c r="L1275" t="s">
        <v>69</v>
      </c>
      <c r="M1275" t="s">
        <v>69</v>
      </c>
      <c r="N1275" s="2" t="s">
        <v>6252</v>
      </c>
      <c r="O1275" t="s">
        <v>6253</v>
      </c>
      <c r="P1275" t="s">
        <v>69</v>
      </c>
      <c r="Q1275" t="s">
        <v>69</v>
      </c>
      <c r="R1275" t="s">
        <v>8505</v>
      </c>
      <c r="S1275" t="s">
        <v>8506</v>
      </c>
      <c r="T1275" t="s">
        <v>69</v>
      </c>
      <c r="U1275" t="s">
        <v>69</v>
      </c>
      <c r="V1275" t="s">
        <v>69</v>
      </c>
      <c r="W1275" t="s">
        <v>69</v>
      </c>
      <c r="X1275" t="s">
        <v>69</v>
      </c>
      <c r="Y1275" t="s">
        <v>13840</v>
      </c>
      <c r="Z1275" t="s">
        <v>13841</v>
      </c>
      <c r="AA1275" t="s">
        <v>6254</v>
      </c>
      <c r="AB1275" t="s">
        <v>13842</v>
      </c>
      <c r="AC1275" t="s">
        <v>69</v>
      </c>
      <c r="AD1275" t="s">
        <v>13843</v>
      </c>
      <c r="AE1275" t="s">
        <v>13844</v>
      </c>
      <c r="AF1275" t="s">
        <v>69</v>
      </c>
      <c r="AG1275" t="s">
        <v>13845</v>
      </c>
      <c r="AH1275" t="s">
        <v>69</v>
      </c>
      <c r="AI1275" t="s">
        <v>69</v>
      </c>
      <c r="AJ1275" t="s">
        <v>69</v>
      </c>
      <c r="AK1275" t="s">
        <v>69</v>
      </c>
      <c r="AL1275">
        <v>63</v>
      </c>
      <c r="AM1275">
        <v>2</v>
      </c>
      <c r="AN1275">
        <v>2</v>
      </c>
      <c r="AO1275">
        <v>0</v>
      </c>
      <c r="AP1275">
        <v>7</v>
      </c>
      <c r="AQ1275" t="s">
        <v>8846</v>
      </c>
      <c r="AR1275" t="s">
        <v>8847</v>
      </c>
      <c r="AS1275" t="s">
        <v>8848</v>
      </c>
      <c r="AT1275" t="s">
        <v>6255</v>
      </c>
      <c r="AU1275" t="s">
        <v>6256</v>
      </c>
      <c r="AV1275" t="s">
        <v>69</v>
      </c>
      <c r="AW1275" t="s">
        <v>11971</v>
      </c>
      <c r="AX1275" t="s">
        <v>11972</v>
      </c>
      <c r="AY1275" t="s">
        <v>373</v>
      </c>
      <c r="AZ1275">
        <v>2021</v>
      </c>
      <c r="BA1275">
        <v>15</v>
      </c>
      <c r="BB1275">
        <v>1</v>
      </c>
      <c r="BC1275" t="s">
        <v>69</v>
      </c>
      <c r="BD1275" t="s">
        <v>69</v>
      </c>
      <c r="BE1275" t="s">
        <v>69</v>
      </c>
      <c r="BF1275" t="s">
        <v>69</v>
      </c>
      <c r="BG1275">
        <v>226</v>
      </c>
      <c r="BH1275">
        <v>242</v>
      </c>
      <c r="BI1275" t="s">
        <v>69</v>
      </c>
      <c r="BJ1275" t="s">
        <v>6257</v>
      </c>
      <c r="BK1275" t="str">
        <f>HYPERLINK("http://dx.doi.org/10.1111/rego.12284","http://dx.doi.org/10.1111/rego.12284")</f>
        <v>http://dx.doi.org/10.1111/rego.12284</v>
      </c>
      <c r="BL1275" t="s">
        <v>69</v>
      </c>
      <c r="BM1275" t="s">
        <v>69</v>
      </c>
      <c r="BN1275">
        <v>17</v>
      </c>
      <c r="BO1275" t="s">
        <v>11974</v>
      </c>
      <c r="BP1275" t="s">
        <v>8661</v>
      </c>
      <c r="BQ1275" t="s">
        <v>10440</v>
      </c>
      <c r="BR1275" t="s">
        <v>13846</v>
      </c>
      <c r="BS1275" t="s">
        <v>6258</v>
      </c>
      <c r="BT1275" t="s">
        <v>69</v>
      </c>
      <c r="BU1275" t="s">
        <v>8746</v>
      </c>
      <c r="BV1275" t="s">
        <v>69</v>
      </c>
      <c r="BW1275" t="s">
        <v>69</v>
      </c>
      <c r="BX1275" t="s">
        <v>8526</v>
      </c>
      <c r="BY1275" t="str">
        <f>HYPERLINK("https%3A%2F%2Fwww.webofscience.com%2Fwos%2Fwoscc%2Ffull-record%2FWOS:000604196300013","View Full Record in Web of Science")</f>
        <v>View Full Record in Web of Science</v>
      </c>
    </row>
    <row r="1276" spans="1:77" ht="12.5" x14ac:dyDescent="0.25">
      <c r="A1276" t="s">
        <v>8495</v>
      </c>
      <c r="B1276" s="11" t="s">
        <v>33016</v>
      </c>
      <c r="C1276" s="7"/>
      <c r="D1276" s="7"/>
      <c r="E1276" s="7"/>
      <c r="F1276" t="s">
        <v>67</v>
      </c>
      <c r="G1276" t="s">
        <v>7959</v>
      </c>
      <c r="H1276" t="s">
        <v>69</v>
      </c>
      <c r="I1276" t="s">
        <v>69</v>
      </c>
      <c r="J1276" t="s">
        <v>69</v>
      </c>
      <c r="K1276" s="2" t="s">
        <v>7960</v>
      </c>
      <c r="L1276" t="s">
        <v>69</v>
      </c>
      <c r="M1276" t="s">
        <v>69</v>
      </c>
      <c r="N1276" s="2" t="s">
        <v>7961</v>
      </c>
      <c r="O1276" t="s">
        <v>3421</v>
      </c>
      <c r="P1276" t="s">
        <v>69</v>
      </c>
      <c r="Q1276" t="s">
        <v>69</v>
      </c>
      <c r="R1276" t="s">
        <v>8505</v>
      </c>
      <c r="S1276" t="s">
        <v>8506</v>
      </c>
      <c r="T1276" t="s">
        <v>69</v>
      </c>
      <c r="U1276" t="s">
        <v>69</v>
      </c>
      <c r="V1276" t="s">
        <v>69</v>
      </c>
      <c r="W1276" t="s">
        <v>69</v>
      </c>
      <c r="X1276" t="s">
        <v>69</v>
      </c>
      <c r="Y1276" t="s">
        <v>16868</v>
      </c>
      <c r="Z1276" t="s">
        <v>16869</v>
      </c>
      <c r="AA1276" t="s">
        <v>7962</v>
      </c>
      <c r="AB1276" t="s">
        <v>16870</v>
      </c>
      <c r="AC1276" t="s">
        <v>69</v>
      </c>
      <c r="AD1276" t="s">
        <v>16871</v>
      </c>
      <c r="AE1276" t="s">
        <v>16872</v>
      </c>
      <c r="AF1276" t="s">
        <v>16873</v>
      </c>
      <c r="AG1276" t="s">
        <v>16874</v>
      </c>
      <c r="AH1276" t="s">
        <v>16875</v>
      </c>
      <c r="AI1276" t="s">
        <v>16876</v>
      </c>
      <c r="AJ1276" t="s">
        <v>16877</v>
      </c>
      <c r="AK1276" t="s">
        <v>69</v>
      </c>
      <c r="AL1276">
        <v>59</v>
      </c>
      <c r="AM1276">
        <v>1</v>
      </c>
      <c r="AN1276">
        <v>1</v>
      </c>
      <c r="AO1276">
        <v>3</v>
      </c>
      <c r="AP1276">
        <v>12</v>
      </c>
      <c r="AQ1276" t="s">
        <v>8865</v>
      </c>
      <c r="AR1276" t="s">
        <v>8612</v>
      </c>
      <c r="AS1276" t="s">
        <v>8866</v>
      </c>
      <c r="AT1276" t="s">
        <v>3424</v>
      </c>
      <c r="AU1276" t="s">
        <v>4993</v>
      </c>
      <c r="AV1276" t="s">
        <v>69</v>
      </c>
      <c r="AW1276" t="s">
        <v>16878</v>
      </c>
      <c r="AX1276" t="s">
        <v>16879</v>
      </c>
      <c r="AY1276" t="s">
        <v>7963</v>
      </c>
      <c r="AZ1276">
        <v>2019</v>
      </c>
      <c r="BA1276">
        <v>62</v>
      </c>
      <c r="BB1276">
        <v>10</v>
      </c>
      <c r="BC1276" t="s">
        <v>69</v>
      </c>
      <c r="BD1276" t="s">
        <v>69</v>
      </c>
      <c r="BE1276" t="s">
        <v>69</v>
      </c>
      <c r="BF1276" t="s">
        <v>69</v>
      </c>
      <c r="BG1276">
        <v>1693</v>
      </c>
      <c r="BH1276">
        <v>1713</v>
      </c>
      <c r="BI1276" t="s">
        <v>69</v>
      </c>
      <c r="BJ1276" t="s">
        <v>7964</v>
      </c>
      <c r="BK1276" t="str">
        <f>HYPERLINK("http://dx.doi.org/10.1080/09640568.2018.1462774","http://dx.doi.org/10.1080/09640568.2018.1462774")</f>
        <v>http://dx.doi.org/10.1080/09640568.2018.1462774</v>
      </c>
      <c r="BL1276" t="s">
        <v>69</v>
      </c>
      <c r="BM1276" t="s">
        <v>69</v>
      </c>
      <c r="BN1276">
        <v>21</v>
      </c>
      <c r="BO1276" t="s">
        <v>14686</v>
      </c>
      <c r="BP1276" t="s">
        <v>8661</v>
      </c>
      <c r="BQ1276" t="s">
        <v>14687</v>
      </c>
      <c r="BR1276" t="s">
        <v>16880</v>
      </c>
      <c r="BS1276" t="s">
        <v>7965</v>
      </c>
      <c r="BT1276" t="s">
        <v>69</v>
      </c>
      <c r="BU1276" t="s">
        <v>69</v>
      </c>
      <c r="BV1276" t="s">
        <v>69</v>
      </c>
      <c r="BW1276" t="s">
        <v>69</v>
      </c>
      <c r="BX1276" t="s">
        <v>8526</v>
      </c>
      <c r="BY1276" t="str">
        <f>HYPERLINK("https%3A%2F%2Fwww.webofscience.com%2Fwos%2Fwoscc%2Ffull-record%2FWOS:000487657700002","View Full Record in Web of Science")</f>
        <v>View Full Record in Web of Science</v>
      </c>
    </row>
    <row r="1277" spans="1:77" ht="12.5" x14ac:dyDescent="0.25">
      <c r="A1277" t="s">
        <v>8495</v>
      </c>
      <c r="B1277" s="7" t="s">
        <v>32933</v>
      </c>
      <c r="C1277" s="7"/>
      <c r="D1277" s="7"/>
      <c r="E1277" s="7"/>
      <c r="F1277" t="s">
        <v>67</v>
      </c>
      <c r="G1277" t="s">
        <v>589</v>
      </c>
      <c r="H1277" t="s">
        <v>69</v>
      </c>
      <c r="I1277" t="s">
        <v>69</v>
      </c>
      <c r="J1277" t="s">
        <v>69</v>
      </c>
      <c r="K1277" t="s">
        <v>589</v>
      </c>
      <c r="L1277" t="s">
        <v>69</v>
      </c>
      <c r="M1277" t="s">
        <v>69</v>
      </c>
      <c r="N1277" t="s">
        <v>590</v>
      </c>
      <c r="O1277" t="s">
        <v>591</v>
      </c>
      <c r="P1277" t="s">
        <v>69</v>
      </c>
      <c r="Q1277" t="s">
        <v>69</v>
      </c>
      <c r="R1277" t="s">
        <v>8505</v>
      </c>
      <c r="S1277" t="s">
        <v>8506</v>
      </c>
      <c r="T1277" t="s">
        <v>69</v>
      </c>
      <c r="U1277" t="s">
        <v>69</v>
      </c>
      <c r="V1277" t="s">
        <v>69</v>
      </c>
      <c r="W1277" t="s">
        <v>69</v>
      </c>
      <c r="X1277" t="s">
        <v>69</v>
      </c>
      <c r="Y1277" t="s">
        <v>32032</v>
      </c>
      <c r="Z1277" t="s">
        <v>69</v>
      </c>
      <c r="AA1277" t="s">
        <v>592</v>
      </c>
      <c r="AB1277" t="s">
        <v>32033</v>
      </c>
      <c r="AC1277" t="s">
        <v>69</v>
      </c>
      <c r="AD1277" t="s">
        <v>32034</v>
      </c>
      <c r="AE1277" t="s">
        <v>32035</v>
      </c>
      <c r="AF1277" t="s">
        <v>69</v>
      </c>
      <c r="AG1277" t="s">
        <v>69</v>
      </c>
      <c r="AH1277" t="s">
        <v>69</v>
      </c>
      <c r="AI1277" t="s">
        <v>69</v>
      </c>
      <c r="AJ1277" t="s">
        <v>69</v>
      </c>
      <c r="AK1277" t="s">
        <v>69</v>
      </c>
      <c r="AL1277">
        <v>35</v>
      </c>
      <c r="AM1277">
        <v>8</v>
      </c>
      <c r="AN1277">
        <v>10</v>
      </c>
      <c r="AO1277">
        <v>0</v>
      </c>
      <c r="AP1277">
        <v>12</v>
      </c>
      <c r="AQ1277" t="s">
        <v>15611</v>
      </c>
      <c r="AR1277" t="s">
        <v>10924</v>
      </c>
      <c r="AS1277" t="s">
        <v>15612</v>
      </c>
      <c r="AT1277" t="s">
        <v>593</v>
      </c>
      <c r="AU1277" t="s">
        <v>594</v>
      </c>
      <c r="AV1277" t="s">
        <v>69</v>
      </c>
      <c r="AW1277" t="s">
        <v>32036</v>
      </c>
      <c r="AX1277" t="s">
        <v>32037</v>
      </c>
      <c r="AY1277" t="s">
        <v>69</v>
      </c>
      <c r="AZ1277">
        <v>1999</v>
      </c>
      <c r="BA1277">
        <v>14</v>
      </c>
      <c r="BB1277">
        <v>1</v>
      </c>
      <c r="BC1277" t="s">
        <v>69</v>
      </c>
      <c r="BD1277" t="s">
        <v>69</v>
      </c>
      <c r="BE1277" t="s">
        <v>69</v>
      </c>
      <c r="BF1277" t="s">
        <v>69</v>
      </c>
      <c r="BG1277">
        <v>59</v>
      </c>
      <c r="BH1277">
        <v>71</v>
      </c>
      <c r="BI1277" t="s">
        <v>69</v>
      </c>
      <c r="BJ1277" t="s">
        <v>595</v>
      </c>
      <c r="BK1277" t="str">
        <f>HYPERLINK("http://dx.doi.org/10.1300/J064v14n01_06","http://dx.doi.org/10.1300/J064v14n01_06")</f>
        <v>http://dx.doi.org/10.1300/J064v14n01_06</v>
      </c>
      <c r="BL1277" t="s">
        <v>69</v>
      </c>
      <c r="BM1277" t="s">
        <v>69</v>
      </c>
      <c r="BN1277">
        <v>13</v>
      </c>
      <c r="BO1277" t="s">
        <v>17664</v>
      </c>
      <c r="BP1277" t="s">
        <v>8523</v>
      </c>
      <c r="BQ1277" t="s">
        <v>8450</v>
      </c>
      <c r="BR1277" t="s">
        <v>32038</v>
      </c>
      <c r="BS1277" t="s">
        <v>596</v>
      </c>
      <c r="BT1277" t="s">
        <v>69</v>
      </c>
      <c r="BU1277" t="s">
        <v>69</v>
      </c>
      <c r="BV1277" t="s">
        <v>69</v>
      </c>
      <c r="BW1277" t="s">
        <v>69</v>
      </c>
      <c r="BX1277" t="s">
        <v>8526</v>
      </c>
      <c r="BY1277" t="str">
        <f>HYPERLINK("https%3A%2F%2Fwww.webofscience.com%2Fwos%2Fwoscc%2Ffull-record%2FWOS:000082060300005","View Full Record in Web of Science")</f>
        <v>View Full Record in Web of Science</v>
      </c>
    </row>
    <row r="1278" spans="1:77" ht="12.5" x14ac:dyDescent="0.25">
      <c r="A1278" t="s">
        <v>8495</v>
      </c>
      <c r="B1278" s="7" t="s">
        <v>32933</v>
      </c>
      <c r="C1278" s="7"/>
      <c r="D1278" s="7"/>
      <c r="E1278" s="7"/>
      <c r="F1278" t="s">
        <v>67</v>
      </c>
      <c r="G1278" t="s">
        <v>5188</v>
      </c>
      <c r="H1278" t="s">
        <v>69</v>
      </c>
      <c r="I1278" t="s">
        <v>69</v>
      </c>
      <c r="J1278" t="s">
        <v>69</v>
      </c>
      <c r="K1278" t="s">
        <v>5189</v>
      </c>
      <c r="L1278" t="s">
        <v>69</v>
      </c>
      <c r="M1278" t="s">
        <v>69</v>
      </c>
      <c r="N1278" t="s">
        <v>5190</v>
      </c>
      <c r="O1278" t="s">
        <v>5191</v>
      </c>
      <c r="P1278" t="s">
        <v>69</v>
      </c>
      <c r="Q1278" t="s">
        <v>69</v>
      </c>
      <c r="R1278" t="s">
        <v>8505</v>
      </c>
      <c r="S1278" t="s">
        <v>8506</v>
      </c>
      <c r="T1278" t="s">
        <v>69</v>
      </c>
      <c r="U1278" t="s">
        <v>69</v>
      </c>
      <c r="V1278" t="s">
        <v>69</v>
      </c>
      <c r="W1278" t="s">
        <v>69</v>
      </c>
      <c r="X1278" t="s">
        <v>69</v>
      </c>
      <c r="Y1278" t="s">
        <v>69</v>
      </c>
      <c r="Z1278" t="s">
        <v>69</v>
      </c>
      <c r="AA1278" t="s">
        <v>5192</v>
      </c>
      <c r="AB1278" t="s">
        <v>13879</v>
      </c>
      <c r="AC1278" t="s">
        <v>69</v>
      </c>
      <c r="AD1278" t="s">
        <v>13880</v>
      </c>
      <c r="AE1278" t="s">
        <v>13881</v>
      </c>
      <c r="AF1278" t="s">
        <v>69</v>
      </c>
      <c r="AG1278" t="s">
        <v>13882</v>
      </c>
      <c r="AH1278" t="s">
        <v>69</v>
      </c>
      <c r="AI1278" t="s">
        <v>69</v>
      </c>
      <c r="AJ1278" t="s">
        <v>69</v>
      </c>
      <c r="AK1278" t="s">
        <v>69</v>
      </c>
      <c r="AL1278">
        <v>36</v>
      </c>
      <c r="AM1278">
        <v>0</v>
      </c>
      <c r="AN1278">
        <v>0</v>
      </c>
      <c r="AO1278">
        <v>1</v>
      </c>
      <c r="AP1278">
        <v>5</v>
      </c>
      <c r="AQ1278" t="s">
        <v>8865</v>
      </c>
      <c r="AR1278" t="s">
        <v>8612</v>
      </c>
      <c r="AS1278" t="s">
        <v>8866</v>
      </c>
      <c r="AT1278" t="s">
        <v>5193</v>
      </c>
      <c r="AU1278" t="s">
        <v>5194</v>
      </c>
      <c r="AV1278" t="s">
        <v>69</v>
      </c>
      <c r="AW1278" t="s">
        <v>13883</v>
      </c>
      <c r="AX1278" t="s">
        <v>13884</v>
      </c>
      <c r="AY1278" t="s">
        <v>13885</v>
      </c>
      <c r="AZ1278">
        <v>2022</v>
      </c>
      <c r="BA1278">
        <v>37</v>
      </c>
      <c r="BB1278">
        <v>6</v>
      </c>
      <c r="BC1278" t="s">
        <v>69</v>
      </c>
      <c r="BD1278" t="s">
        <v>69</v>
      </c>
      <c r="BE1278" t="s">
        <v>69</v>
      </c>
      <c r="BF1278" t="s">
        <v>69</v>
      </c>
      <c r="BG1278">
        <v>717</v>
      </c>
      <c r="BH1278">
        <v>725</v>
      </c>
      <c r="BI1278" t="s">
        <v>69</v>
      </c>
      <c r="BJ1278" t="s">
        <v>5195</v>
      </c>
      <c r="BK1278" t="str">
        <f>HYPERLINK("http://dx.doi.org/10.1080/10410236.2020.1864891","http://dx.doi.org/10.1080/10410236.2020.1864891")</f>
        <v>http://dx.doi.org/10.1080/10410236.2020.1864891</v>
      </c>
      <c r="BL1278" t="s">
        <v>69</v>
      </c>
      <c r="BM1278" t="s">
        <v>1852</v>
      </c>
      <c r="BN1278">
        <v>9</v>
      </c>
      <c r="BO1278" t="s">
        <v>13886</v>
      </c>
      <c r="BP1278" t="s">
        <v>8661</v>
      </c>
      <c r="BQ1278" t="s">
        <v>13887</v>
      </c>
      <c r="BR1278" t="s">
        <v>13888</v>
      </c>
      <c r="BS1278" t="s">
        <v>5196</v>
      </c>
      <c r="BT1278">
        <v>33349051</v>
      </c>
      <c r="BU1278" t="s">
        <v>69</v>
      </c>
      <c r="BV1278" t="s">
        <v>69</v>
      </c>
      <c r="BW1278" t="s">
        <v>69</v>
      </c>
      <c r="BX1278" t="s">
        <v>8526</v>
      </c>
      <c r="BY1278" t="str">
        <f>HYPERLINK("https%3A%2F%2Fwww.webofscience.com%2Fwos%2Fwoscc%2Ffull-record%2FWOS:000600741900001","View Full Record in Web of Science")</f>
        <v>View Full Record in Web of Science</v>
      </c>
    </row>
    <row r="1279" spans="1:77" ht="12.5" x14ac:dyDescent="0.25">
      <c r="A1279" t="s">
        <v>8495</v>
      </c>
      <c r="B1279" s="22" t="s">
        <v>32931</v>
      </c>
      <c r="C1279" s="7"/>
      <c r="D1279" s="7"/>
      <c r="E1279" s="7"/>
      <c r="F1279" t="s">
        <v>67</v>
      </c>
      <c r="G1279" t="s">
        <v>16731</v>
      </c>
      <c r="H1279" t="s">
        <v>69</v>
      </c>
      <c r="I1279" t="s">
        <v>69</v>
      </c>
      <c r="J1279" t="s">
        <v>69</v>
      </c>
      <c r="K1279" t="s">
        <v>16732</v>
      </c>
      <c r="L1279" t="s">
        <v>69</v>
      </c>
      <c r="M1279" t="s">
        <v>69</v>
      </c>
      <c r="N1279" t="s">
        <v>16733</v>
      </c>
      <c r="O1279" t="s">
        <v>1642</v>
      </c>
      <c r="P1279" t="s">
        <v>69</v>
      </c>
      <c r="Q1279" t="s">
        <v>69</v>
      </c>
      <c r="R1279" t="s">
        <v>8505</v>
      </c>
      <c r="S1279" t="s">
        <v>8506</v>
      </c>
      <c r="T1279" t="s">
        <v>69</v>
      </c>
      <c r="U1279" t="s">
        <v>69</v>
      </c>
      <c r="V1279" t="s">
        <v>69</v>
      </c>
      <c r="W1279" t="s">
        <v>69</v>
      </c>
      <c r="X1279" t="s">
        <v>69</v>
      </c>
      <c r="Y1279" t="s">
        <v>16734</v>
      </c>
      <c r="Z1279" t="s">
        <v>16735</v>
      </c>
      <c r="AA1279" t="s">
        <v>16736</v>
      </c>
      <c r="AB1279" t="s">
        <v>16737</v>
      </c>
      <c r="AC1279" t="s">
        <v>69</v>
      </c>
      <c r="AD1279" t="s">
        <v>16738</v>
      </c>
      <c r="AE1279" t="s">
        <v>16739</v>
      </c>
      <c r="AF1279" t="s">
        <v>16740</v>
      </c>
      <c r="AG1279" t="s">
        <v>16741</v>
      </c>
      <c r="AH1279" t="s">
        <v>16742</v>
      </c>
      <c r="AI1279" t="s">
        <v>16742</v>
      </c>
      <c r="AJ1279" t="s">
        <v>16743</v>
      </c>
      <c r="AK1279" t="s">
        <v>69</v>
      </c>
      <c r="AL1279">
        <v>38</v>
      </c>
      <c r="AM1279">
        <v>4</v>
      </c>
      <c r="AN1279">
        <v>4</v>
      </c>
      <c r="AO1279">
        <v>0</v>
      </c>
      <c r="AP1279">
        <v>5</v>
      </c>
      <c r="AQ1279" t="s">
        <v>8636</v>
      </c>
      <c r="AR1279" t="s">
        <v>8637</v>
      </c>
      <c r="AS1279" t="s">
        <v>8638</v>
      </c>
      <c r="AT1279" t="s">
        <v>1644</v>
      </c>
      <c r="AU1279" t="s">
        <v>1645</v>
      </c>
      <c r="AV1279" t="s">
        <v>69</v>
      </c>
      <c r="AW1279" t="s">
        <v>16744</v>
      </c>
      <c r="AX1279" t="s">
        <v>16745</v>
      </c>
      <c r="AY1279" t="s">
        <v>255</v>
      </c>
      <c r="AZ1279">
        <v>2019</v>
      </c>
      <c r="BA1279">
        <v>237</v>
      </c>
      <c r="BB1279" t="s">
        <v>69</v>
      </c>
      <c r="BC1279" t="s">
        <v>69</v>
      </c>
      <c r="BD1279" t="s">
        <v>69</v>
      </c>
      <c r="BE1279" t="s">
        <v>69</v>
      </c>
      <c r="BF1279" t="s">
        <v>69</v>
      </c>
      <c r="BG1279">
        <v>248</v>
      </c>
      <c r="BH1279">
        <v>252</v>
      </c>
      <c r="BI1279" t="s">
        <v>69</v>
      </c>
      <c r="BJ1279" t="s">
        <v>16746</v>
      </c>
      <c r="BK1279" t="str">
        <f>HYPERLINK("http://dx.doi.org/10.1016/j.biocon.2019.07.006","http://dx.doi.org/10.1016/j.biocon.2019.07.006")</f>
        <v>http://dx.doi.org/10.1016/j.biocon.2019.07.006</v>
      </c>
      <c r="BL1279" t="s">
        <v>69</v>
      </c>
      <c r="BM1279" t="s">
        <v>69</v>
      </c>
      <c r="BN1279">
        <v>5</v>
      </c>
      <c r="BO1279" t="s">
        <v>16747</v>
      </c>
      <c r="BP1279" t="s">
        <v>8523</v>
      </c>
      <c r="BQ1279" t="s">
        <v>15452</v>
      </c>
      <c r="BR1279" t="s">
        <v>16748</v>
      </c>
      <c r="BS1279" t="s">
        <v>16749</v>
      </c>
      <c r="BT1279" t="s">
        <v>69</v>
      </c>
      <c r="BU1279" t="s">
        <v>11793</v>
      </c>
      <c r="BV1279" t="s">
        <v>69</v>
      </c>
      <c r="BW1279" t="s">
        <v>69</v>
      </c>
      <c r="BX1279" t="s">
        <v>8526</v>
      </c>
      <c r="BY1279" t="str">
        <f>HYPERLINK("https%3A%2F%2Fwww.webofscience.com%2Fwos%2Fwoscc%2Ffull-record%2FWOS:000488314700028","View Full Record in Web of Science")</f>
        <v>View Full Record in Web of Science</v>
      </c>
    </row>
    <row r="1280" spans="1:77" ht="12.5" x14ac:dyDescent="0.25">
      <c r="A1280" t="s">
        <v>8495</v>
      </c>
      <c r="B1280" s="22" t="s">
        <v>32931</v>
      </c>
      <c r="C1280" s="7"/>
      <c r="D1280" s="7"/>
      <c r="E1280" s="7"/>
      <c r="F1280" t="s">
        <v>67</v>
      </c>
      <c r="G1280" t="s">
        <v>18089</v>
      </c>
      <c r="H1280" t="s">
        <v>69</v>
      </c>
      <c r="I1280" t="s">
        <v>69</v>
      </c>
      <c r="J1280" t="s">
        <v>69</v>
      </c>
      <c r="K1280" t="s">
        <v>18090</v>
      </c>
      <c r="L1280" t="s">
        <v>69</v>
      </c>
      <c r="M1280" t="s">
        <v>69</v>
      </c>
      <c r="N1280" t="s">
        <v>18091</v>
      </c>
      <c r="O1280" t="s">
        <v>18092</v>
      </c>
      <c r="P1280" t="s">
        <v>69</v>
      </c>
      <c r="Q1280" t="s">
        <v>69</v>
      </c>
      <c r="R1280" t="s">
        <v>8505</v>
      </c>
      <c r="S1280" t="s">
        <v>8506</v>
      </c>
      <c r="T1280" t="s">
        <v>69</v>
      </c>
      <c r="U1280" t="s">
        <v>69</v>
      </c>
      <c r="V1280" t="s">
        <v>69</v>
      </c>
      <c r="W1280" t="s">
        <v>69</v>
      </c>
      <c r="X1280" t="s">
        <v>69</v>
      </c>
      <c r="Y1280" t="s">
        <v>18093</v>
      </c>
      <c r="Z1280" t="s">
        <v>18094</v>
      </c>
      <c r="AA1280" t="s">
        <v>18095</v>
      </c>
      <c r="AB1280" t="s">
        <v>18096</v>
      </c>
      <c r="AC1280" t="s">
        <v>69</v>
      </c>
      <c r="AD1280" t="s">
        <v>18097</v>
      </c>
      <c r="AE1280" t="s">
        <v>18098</v>
      </c>
      <c r="AF1280" t="s">
        <v>18099</v>
      </c>
      <c r="AG1280" t="s">
        <v>69</v>
      </c>
      <c r="AH1280" t="s">
        <v>69</v>
      </c>
      <c r="AI1280" t="s">
        <v>69</v>
      </c>
      <c r="AJ1280" t="s">
        <v>69</v>
      </c>
      <c r="AK1280" t="s">
        <v>69</v>
      </c>
      <c r="AL1280">
        <v>54</v>
      </c>
      <c r="AM1280">
        <v>5</v>
      </c>
      <c r="AN1280">
        <v>5</v>
      </c>
      <c r="AO1280">
        <v>5</v>
      </c>
      <c r="AP1280">
        <v>31</v>
      </c>
      <c r="AQ1280" t="s">
        <v>8586</v>
      </c>
      <c r="AR1280" t="s">
        <v>8587</v>
      </c>
      <c r="AS1280" t="s">
        <v>8588</v>
      </c>
      <c r="AT1280" t="s">
        <v>18100</v>
      </c>
      <c r="AU1280" t="s">
        <v>18101</v>
      </c>
      <c r="AV1280" t="s">
        <v>69</v>
      </c>
      <c r="AW1280" t="s">
        <v>18102</v>
      </c>
      <c r="AX1280" t="s">
        <v>18103</v>
      </c>
      <c r="AY1280" t="s">
        <v>10795</v>
      </c>
      <c r="AZ1280">
        <v>2018</v>
      </c>
      <c r="BA1280">
        <v>67</v>
      </c>
      <c r="BB1280">
        <v>9</v>
      </c>
      <c r="BC1280" t="s">
        <v>69</v>
      </c>
      <c r="BD1280" t="s">
        <v>69</v>
      </c>
      <c r="BE1280" t="s">
        <v>69</v>
      </c>
      <c r="BF1280" t="s">
        <v>69</v>
      </c>
      <c r="BG1280">
        <v>1918</v>
      </c>
      <c r="BH1280">
        <v>1939</v>
      </c>
      <c r="BI1280" t="s">
        <v>69</v>
      </c>
      <c r="BJ1280" t="s">
        <v>18104</v>
      </c>
      <c r="BK1280" t="str">
        <f>HYPERLINK("http://dx.doi.org/10.1108/IJPPM-12-2017-0350","http://dx.doi.org/10.1108/IJPPM-12-2017-0350")</f>
        <v>http://dx.doi.org/10.1108/IJPPM-12-2017-0350</v>
      </c>
      <c r="BL1280" t="s">
        <v>69</v>
      </c>
      <c r="BM1280" t="s">
        <v>69</v>
      </c>
      <c r="BN1280">
        <v>22</v>
      </c>
      <c r="BO1280" t="s">
        <v>9410</v>
      </c>
      <c r="BP1280" t="s">
        <v>8573</v>
      </c>
      <c r="BQ1280" t="s">
        <v>8594</v>
      </c>
      <c r="BR1280" t="s">
        <v>18105</v>
      </c>
      <c r="BS1280" t="s">
        <v>18106</v>
      </c>
      <c r="BT1280" t="s">
        <v>69</v>
      </c>
      <c r="BU1280" t="s">
        <v>69</v>
      </c>
      <c r="BV1280" t="s">
        <v>69</v>
      </c>
      <c r="BW1280" t="s">
        <v>69</v>
      </c>
      <c r="BX1280" t="s">
        <v>8526</v>
      </c>
      <c r="BY1280" t="str">
        <f>HYPERLINK("https%3A%2F%2Fwww.webofscience.com%2Fwos%2Fwoscc%2Ffull-record%2FWOS:000451336200025","View Full Record in Web of Science")</f>
        <v>View Full Record in Web of Science</v>
      </c>
    </row>
    <row r="1281" spans="1:77" ht="12.5" x14ac:dyDescent="0.25">
      <c r="A1281" t="s">
        <v>8495</v>
      </c>
      <c r="B1281" s="7" t="s">
        <v>32933</v>
      </c>
      <c r="C1281" s="7"/>
      <c r="D1281" s="7"/>
      <c r="E1281" s="7"/>
      <c r="F1281" t="s">
        <v>67</v>
      </c>
      <c r="G1281" t="s">
        <v>7742</v>
      </c>
      <c r="H1281" t="s">
        <v>69</v>
      </c>
      <c r="I1281" t="s">
        <v>69</v>
      </c>
      <c r="J1281" t="s">
        <v>69</v>
      </c>
      <c r="K1281" t="s">
        <v>7743</v>
      </c>
      <c r="L1281" t="s">
        <v>69</v>
      </c>
      <c r="M1281" t="s">
        <v>7744</v>
      </c>
      <c r="N1281" t="s">
        <v>7745</v>
      </c>
      <c r="O1281" t="s">
        <v>7746</v>
      </c>
      <c r="P1281" t="s">
        <v>69</v>
      </c>
      <c r="Q1281" t="s">
        <v>69</v>
      </c>
      <c r="R1281" t="s">
        <v>8505</v>
      </c>
      <c r="S1281" t="s">
        <v>8506</v>
      </c>
      <c r="T1281" t="s">
        <v>69</v>
      </c>
      <c r="U1281" t="s">
        <v>69</v>
      </c>
      <c r="V1281" t="s">
        <v>69</v>
      </c>
      <c r="W1281" t="s">
        <v>69</v>
      </c>
      <c r="X1281" t="s">
        <v>69</v>
      </c>
      <c r="Y1281" t="s">
        <v>28545</v>
      </c>
      <c r="Z1281" t="s">
        <v>28546</v>
      </c>
      <c r="AA1281" t="s">
        <v>7747</v>
      </c>
      <c r="AB1281" t="s">
        <v>28547</v>
      </c>
      <c r="AC1281" t="s">
        <v>69</v>
      </c>
      <c r="AD1281" t="s">
        <v>28548</v>
      </c>
      <c r="AE1281" t="s">
        <v>28549</v>
      </c>
      <c r="AF1281" t="s">
        <v>69</v>
      </c>
      <c r="AG1281" t="s">
        <v>69</v>
      </c>
      <c r="AH1281" t="s">
        <v>69</v>
      </c>
      <c r="AI1281" t="s">
        <v>69</v>
      </c>
      <c r="AJ1281" t="s">
        <v>69</v>
      </c>
      <c r="AK1281" t="s">
        <v>69</v>
      </c>
      <c r="AL1281">
        <v>38</v>
      </c>
      <c r="AM1281">
        <v>41</v>
      </c>
      <c r="AN1281">
        <v>42</v>
      </c>
      <c r="AO1281">
        <v>0</v>
      </c>
      <c r="AP1281">
        <v>13</v>
      </c>
      <c r="AQ1281" t="s">
        <v>10352</v>
      </c>
      <c r="AR1281" t="s">
        <v>8637</v>
      </c>
      <c r="AS1281" t="s">
        <v>10353</v>
      </c>
      <c r="AT1281" t="s">
        <v>7748</v>
      </c>
      <c r="AU1281" t="s">
        <v>7749</v>
      </c>
      <c r="AV1281" t="s">
        <v>69</v>
      </c>
      <c r="AW1281" t="s">
        <v>28550</v>
      </c>
      <c r="AX1281" t="s">
        <v>28551</v>
      </c>
      <c r="AY1281" t="s">
        <v>94</v>
      </c>
      <c r="AZ1281">
        <v>2009</v>
      </c>
      <c r="BA1281">
        <v>24</v>
      </c>
      <c r="BB1281">
        <v>2</v>
      </c>
      <c r="BC1281" t="s">
        <v>69</v>
      </c>
      <c r="BD1281" t="s">
        <v>69</v>
      </c>
      <c r="BE1281" t="s">
        <v>69</v>
      </c>
      <c r="BF1281" t="s">
        <v>69</v>
      </c>
      <c r="BG1281">
        <v>127</v>
      </c>
      <c r="BH1281">
        <v>135</v>
      </c>
      <c r="BI1281" t="s">
        <v>69</v>
      </c>
      <c r="BJ1281" t="s">
        <v>7750</v>
      </c>
      <c r="BK1281" t="str">
        <f>HYPERLINK("http://dx.doi.org/10.1093/arclin/acp016","http://dx.doi.org/10.1093/arclin/acp016")</f>
        <v>http://dx.doi.org/10.1093/arclin/acp016</v>
      </c>
      <c r="BL1281" t="s">
        <v>69</v>
      </c>
      <c r="BM1281" t="s">
        <v>69</v>
      </c>
      <c r="BN1281">
        <v>9</v>
      </c>
      <c r="BO1281" t="s">
        <v>28552</v>
      </c>
      <c r="BP1281" t="s">
        <v>8523</v>
      </c>
      <c r="BQ1281" t="s">
        <v>9001</v>
      </c>
      <c r="BR1281" t="s">
        <v>28553</v>
      </c>
      <c r="BS1281" t="s">
        <v>7751</v>
      </c>
      <c r="BT1281">
        <v>19395349</v>
      </c>
      <c r="BU1281" t="s">
        <v>9374</v>
      </c>
      <c r="BV1281" t="s">
        <v>69</v>
      </c>
      <c r="BW1281" t="s">
        <v>69</v>
      </c>
      <c r="BX1281" t="s">
        <v>8526</v>
      </c>
      <c r="BY1281" t="str">
        <f>HYPERLINK("https%3A%2F%2Fwww.webofscience.com%2Fwos%2Fwoscc%2Ffull-record%2FWOS:000266705500001","View Full Record in Web of Science")</f>
        <v>View Full Record in Web of Science</v>
      </c>
    </row>
    <row r="1282" spans="1:77" ht="12.5" x14ac:dyDescent="0.25">
      <c r="A1282" t="s">
        <v>8495</v>
      </c>
      <c r="B1282" s="22" t="s">
        <v>32931</v>
      </c>
      <c r="C1282" s="7"/>
      <c r="D1282" s="7"/>
      <c r="E1282" s="7"/>
      <c r="F1282" t="s">
        <v>67</v>
      </c>
      <c r="G1282" t="s">
        <v>30023</v>
      </c>
      <c r="H1282" t="s">
        <v>69</v>
      </c>
      <c r="I1282" t="s">
        <v>69</v>
      </c>
      <c r="J1282" t="s">
        <v>69</v>
      </c>
      <c r="K1282" t="s">
        <v>30024</v>
      </c>
      <c r="L1282" t="s">
        <v>69</v>
      </c>
      <c r="M1282" t="s">
        <v>69</v>
      </c>
      <c r="N1282" t="s">
        <v>30025</v>
      </c>
      <c r="O1282" t="s">
        <v>30026</v>
      </c>
      <c r="P1282" t="s">
        <v>69</v>
      </c>
      <c r="Q1282" t="s">
        <v>69</v>
      </c>
      <c r="R1282" t="s">
        <v>9357</v>
      </c>
      <c r="S1282" t="s">
        <v>8506</v>
      </c>
      <c r="T1282" t="s">
        <v>69</v>
      </c>
      <c r="U1282" t="s">
        <v>69</v>
      </c>
      <c r="V1282" t="s">
        <v>69</v>
      </c>
      <c r="W1282" t="s">
        <v>69</v>
      </c>
      <c r="X1282" t="s">
        <v>69</v>
      </c>
      <c r="Y1282" t="s">
        <v>30027</v>
      </c>
      <c r="Z1282" t="s">
        <v>69</v>
      </c>
      <c r="AA1282" t="s">
        <v>30028</v>
      </c>
      <c r="AB1282" t="s">
        <v>30029</v>
      </c>
      <c r="AC1282" t="s">
        <v>69</v>
      </c>
      <c r="AD1282" t="s">
        <v>30030</v>
      </c>
      <c r="AE1282" t="s">
        <v>30031</v>
      </c>
      <c r="AF1282" t="s">
        <v>69</v>
      </c>
      <c r="AG1282" t="s">
        <v>69</v>
      </c>
      <c r="AH1282" t="s">
        <v>69</v>
      </c>
      <c r="AI1282" t="s">
        <v>69</v>
      </c>
      <c r="AJ1282" t="s">
        <v>69</v>
      </c>
      <c r="AK1282" t="s">
        <v>69</v>
      </c>
      <c r="AL1282">
        <v>0</v>
      </c>
      <c r="AM1282">
        <v>1</v>
      </c>
      <c r="AN1282">
        <v>1</v>
      </c>
      <c r="AO1282">
        <v>0</v>
      </c>
      <c r="AP1282">
        <v>1</v>
      </c>
      <c r="AQ1282" t="s">
        <v>30032</v>
      </c>
      <c r="AR1282" t="s">
        <v>30033</v>
      </c>
      <c r="AS1282" t="s">
        <v>30034</v>
      </c>
      <c r="AT1282" t="s">
        <v>30035</v>
      </c>
      <c r="AU1282" t="s">
        <v>30036</v>
      </c>
      <c r="AV1282" t="s">
        <v>69</v>
      </c>
      <c r="AW1282" t="s">
        <v>30037</v>
      </c>
      <c r="AX1282" t="s">
        <v>30038</v>
      </c>
      <c r="AY1282" t="s">
        <v>69</v>
      </c>
      <c r="AZ1282">
        <v>2007</v>
      </c>
      <c r="BA1282">
        <v>2</v>
      </c>
      <c r="BB1282" t="s">
        <v>69</v>
      </c>
      <c r="BC1282" t="s">
        <v>69</v>
      </c>
      <c r="BD1282" t="s">
        <v>69</v>
      </c>
      <c r="BE1282" t="s">
        <v>69</v>
      </c>
      <c r="BF1282" t="s">
        <v>69</v>
      </c>
      <c r="BG1282">
        <v>101</v>
      </c>
      <c r="BH1282">
        <v>110</v>
      </c>
      <c r="BI1282" t="s">
        <v>69</v>
      </c>
      <c r="BJ1282" t="s">
        <v>69</v>
      </c>
      <c r="BK1282" t="s">
        <v>69</v>
      </c>
      <c r="BL1282" t="s">
        <v>69</v>
      </c>
      <c r="BM1282" t="s">
        <v>69</v>
      </c>
      <c r="BN1282">
        <v>10</v>
      </c>
      <c r="BO1282" t="s">
        <v>9290</v>
      </c>
      <c r="BP1282" t="s">
        <v>8573</v>
      </c>
      <c r="BQ1282" t="s">
        <v>9290</v>
      </c>
      <c r="BR1282" t="s">
        <v>30039</v>
      </c>
      <c r="BS1282" t="s">
        <v>30040</v>
      </c>
      <c r="BT1282" t="s">
        <v>69</v>
      </c>
      <c r="BU1282" t="s">
        <v>69</v>
      </c>
      <c r="BV1282" t="s">
        <v>69</v>
      </c>
      <c r="BW1282" t="s">
        <v>69</v>
      </c>
      <c r="BX1282" t="s">
        <v>8526</v>
      </c>
      <c r="BY1282" t="str">
        <f>HYPERLINK("https%3A%2F%2Fwww.webofscience.com%2Fwos%2Fwoscc%2Ffull-record%2FWOS:000453455700015","View Full Record in Web of Science")</f>
        <v>View Full Record in Web of Science</v>
      </c>
    </row>
    <row r="1283" spans="1:77" ht="12.5" x14ac:dyDescent="0.25">
      <c r="A1283" t="s">
        <v>8495</v>
      </c>
      <c r="B1283" s="7" t="s">
        <v>32933</v>
      </c>
      <c r="C1283" s="7"/>
      <c r="D1283" s="7"/>
      <c r="E1283" s="7"/>
      <c r="F1283" t="s">
        <v>67</v>
      </c>
      <c r="G1283" t="s">
        <v>3375</v>
      </c>
      <c r="H1283" t="s">
        <v>69</v>
      </c>
      <c r="I1283" t="s">
        <v>69</v>
      </c>
      <c r="J1283" t="s">
        <v>69</v>
      </c>
      <c r="K1283" t="s">
        <v>3376</v>
      </c>
      <c r="L1283" t="s">
        <v>69</v>
      </c>
      <c r="M1283" t="s">
        <v>69</v>
      </c>
      <c r="N1283" t="s">
        <v>3377</v>
      </c>
      <c r="O1283" t="s">
        <v>3378</v>
      </c>
      <c r="P1283" t="s">
        <v>69</v>
      </c>
      <c r="Q1283" t="s">
        <v>69</v>
      </c>
      <c r="R1283" t="s">
        <v>8505</v>
      </c>
      <c r="S1283" t="s">
        <v>8506</v>
      </c>
      <c r="T1283" t="s">
        <v>69</v>
      </c>
      <c r="U1283" t="s">
        <v>69</v>
      </c>
      <c r="V1283" t="s">
        <v>69</v>
      </c>
      <c r="W1283" t="s">
        <v>69</v>
      </c>
      <c r="X1283" t="s">
        <v>69</v>
      </c>
      <c r="Y1283" t="s">
        <v>69</v>
      </c>
      <c r="Z1283" t="s">
        <v>25867</v>
      </c>
      <c r="AA1283" t="s">
        <v>3379</v>
      </c>
      <c r="AB1283" t="s">
        <v>25868</v>
      </c>
      <c r="AC1283" t="s">
        <v>69</v>
      </c>
      <c r="AD1283" t="s">
        <v>25869</v>
      </c>
      <c r="AE1283" t="s">
        <v>25870</v>
      </c>
      <c r="AF1283" t="s">
        <v>69</v>
      </c>
      <c r="AG1283" t="s">
        <v>69</v>
      </c>
      <c r="AH1283" t="s">
        <v>25871</v>
      </c>
      <c r="AI1283" t="s">
        <v>25871</v>
      </c>
      <c r="AJ1283" t="s">
        <v>25872</v>
      </c>
      <c r="AK1283" t="s">
        <v>69</v>
      </c>
      <c r="AL1283">
        <v>92</v>
      </c>
      <c r="AM1283">
        <v>23</v>
      </c>
      <c r="AN1283">
        <v>23</v>
      </c>
      <c r="AO1283">
        <v>0</v>
      </c>
      <c r="AP1283">
        <v>25</v>
      </c>
      <c r="AQ1283" t="s">
        <v>25873</v>
      </c>
      <c r="AR1283" t="s">
        <v>8735</v>
      </c>
      <c r="AS1283" t="s">
        <v>25874</v>
      </c>
      <c r="AT1283" t="s">
        <v>3380</v>
      </c>
      <c r="AU1283" t="s">
        <v>3381</v>
      </c>
      <c r="AV1283" t="s">
        <v>69</v>
      </c>
      <c r="AW1283" t="s">
        <v>25875</v>
      </c>
      <c r="AX1283" t="s">
        <v>25876</v>
      </c>
      <c r="AY1283" t="s">
        <v>201</v>
      </c>
      <c r="AZ1283">
        <v>2012</v>
      </c>
      <c r="BA1283">
        <v>63</v>
      </c>
      <c r="BB1283">
        <v>8</v>
      </c>
      <c r="BC1283" t="s">
        <v>69</v>
      </c>
      <c r="BD1283" t="s">
        <v>69</v>
      </c>
      <c r="BE1283" t="s">
        <v>69</v>
      </c>
      <c r="BF1283" t="s">
        <v>69</v>
      </c>
      <c r="BG1283">
        <v>743</v>
      </c>
      <c r="BH1283">
        <v>750</v>
      </c>
      <c r="BI1283" t="s">
        <v>69</v>
      </c>
      <c r="BJ1283" t="s">
        <v>3382</v>
      </c>
      <c r="BK1283" t="str">
        <f>HYPERLINK("http://dx.doi.org/10.1176/appi.ps.201100015","http://dx.doi.org/10.1176/appi.ps.201100015")</f>
        <v>http://dx.doi.org/10.1176/appi.ps.201100015</v>
      </c>
      <c r="BL1283" t="s">
        <v>69</v>
      </c>
      <c r="BM1283" t="s">
        <v>69</v>
      </c>
      <c r="BN1283">
        <v>8</v>
      </c>
      <c r="BO1283" t="s">
        <v>25877</v>
      </c>
      <c r="BP1283" t="s">
        <v>8523</v>
      </c>
      <c r="BQ1283" t="s">
        <v>25878</v>
      </c>
      <c r="BR1283" t="s">
        <v>25879</v>
      </c>
      <c r="BS1283" t="s">
        <v>3383</v>
      </c>
      <c r="BT1283">
        <v>22508406</v>
      </c>
      <c r="BU1283" t="s">
        <v>69</v>
      </c>
      <c r="BV1283" t="s">
        <v>69</v>
      </c>
      <c r="BW1283" t="s">
        <v>69</v>
      </c>
      <c r="BX1283" t="s">
        <v>8526</v>
      </c>
      <c r="BY1283" t="str">
        <f>HYPERLINK("https%3A%2F%2Fwww.webofscience.com%2Fwos%2Fwoscc%2Ffull-record%2FWOS:000307204600003","View Full Record in Web of Science")</f>
        <v>View Full Record in Web of Science</v>
      </c>
    </row>
    <row r="1284" spans="1:77" ht="12.5" x14ac:dyDescent="0.25">
      <c r="A1284" t="s">
        <v>8495</v>
      </c>
      <c r="B1284" s="7" t="s">
        <v>32933</v>
      </c>
      <c r="C1284" s="7"/>
      <c r="D1284" s="7"/>
      <c r="E1284" s="7"/>
      <c r="F1284" t="s">
        <v>67</v>
      </c>
      <c r="G1284" t="s">
        <v>5422</v>
      </c>
      <c r="H1284" t="s">
        <v>69</v>
      </c>
      <c r="I1284" t="s">
        <v>69</v>
      </c>
      <c r="J1284" t="s">
        <v>69</v>
      </c>
      <c r="K1284" t="s">
        <v>5423</v>
      </c>
      <c r="L1284" t="s">
        <v>69</v>
      </c>
      <c r="M1284" t="s">
        <v>69</v>
      </c>
      <c r="N1284" t="s">
        <v>5424</v>
      </c>
      <c r="O1284" t="s">
        <v>5425</v>
      </c>
      <c r="P1284" t="s">
        <v>69</v>
      </c>
      <c r="Q1284" t="s">
        <v>69</v>
      </c>
      <c r="R1284" t="s">
        <v>8505</v>
      </c>
      <c r="S1284" t="s">
        <v>8506</v>
      </c>
      <c r="T1284" t="s">
        <v>69</v>
      </c>
      <c r="U1284" t="s">
        <v>69</v>
      </c>
      <c r="V1284" t="s">
        <v>69</v>
      </c>
      <c r="W1284" t="s">
        <v>69</v>
      </c>
      <c r="X1284" t="s">
        <v>69</v>
      </c>
      <c r="Y1284" t="s">
        <v>21460</v>
      </c>
      <c r="Z1284" t="s">
        <v>69</v>
      </c>
      <c r="AA1284" t="s">
        <v>5426</v>
      </c>
      <c r="AB1284" t="s">
        <v>21461</v>
      </c>
      <c r="AC1284" t="s">
        <v>69</v>
      </c>
      <c r="AD1284" t="s">
        <v>21462</v>
      </c>
      <c r="AE1284" t="s">
        <v>21463</v>
      </c>
      <c r="AF1284" t="s">
        <v>69</v>
      </c>
      <c r="AG1284" t="s">
        <v>69</v>
      </c>
      <c r="AH1284" t="s">
        <v>21464</v>
      </c>
      <c r="AI1284" t="s">
        <v>9925</v>
      </c>
      <c r="AJ1284" t="s">
        <v>21465</v>
      </c>
      <c r="AK1284" t="s">
        <v>69</v>
      </c>
      <c r="AL1284">
        <v>115</v>
      </c>
      <c r="AM1284">
        <v>6</v>
      </c>
      <c r="AN1284">
        <v>7</v>
      </c>
      <c r="AO1284">
        <v>2</v>
      </c>
      <c r="AP1284">
        <v>62</v>
      </c>
      <c r="AQ1284" t="s">
        <v>21466</v>
      </c>
      <c r="AR1284" t="s">
        <v>21467</v>
      </c>
      <c r="AS1284" t="s">
        <v>21468</v>
      </c>
      <c r="AT1284" t="s">
        <v>5427</v>
      </c>
      <c r="AU1284" t="s">
        <v>5428</v>
      </c>
      <c r="AV1284" t="s">
        <v>69</v>
      </c>
      <c r="AW1284" t="s">
        <v>21469</v>
      </c>
      <c r="AX1284" t="s">
        <v>21470</v>
      </c>
      <c r="AY1284" t="s">
        <v>201</v>
      </c>
      <c r="AZ1284">
        <v>2016</v>
      </c>
      <c r="BA1284">
        <v>26</v>
      </c>
      <c r="BB1284">
        <v>8</v>
      </c>
      <c r="BC1284" t="s">
        <v>69</v>
      </c>
      <c r="BD1284" t="s">
        <v>69</v>
      </c>
      <c r="BE1284" t="s">
        <v>69</v>
      </c>
      <c r="BF1284" t="s">
        <v>69</v>
      </c>
      <c r="BG1284">
        <v>1019</v>
      </c>
      <c r="BH1284">
        <v>1040</v>
      </c>
      <c r="BI1284" t="s">
        <v>69</v>
      </c>
      <c r="BJ1284" t="s">
        <v>5429</v>
      </c>
      <c r="BK1284" t="str">
        <f>HYPERLINK("http://dx.doi.org/10.1007/s11442-016-1313-0","http://dx.doi.org/10.1007/s11442-016-1313-0")</f>
        <v>http://dx.doi.org/10.1007/s11442-016-1313-0</v>
      </c>
      <c r="BL1284" t="s">
        <v>69</v>
      </c>
      <c r="BM1284" t="s">
        <v>69</v>
      </c>
      <c r="BN1284">
        <v>22</v>
      </c>
      <c r="BO1284" t="s">
        <v>21471</v>
      </c>
      <c r="BP1284" t="s">
        <v>8548</v>
      </c>
      <c r="BQ1284" t="s">
        <v>21472</v>
      </c>
      <c r="BR1284" t="s">
        <v>21473</v>
      </c>
      <c r="BS1284" t="s">
        <v>5430</v>
      </c>
      <c r="BT1284" t="s">
        <v>69</v>
      </c>
      <c r="BU1284" t="s">
        <v>10423</v>
      </c>
      <c r="BV1284" t="s">
        <v>69</v>
      </c>
      <c r="BW1284" t="s">
        <v>69</v>
      </c>
      <c r="BX1284" t="s">
        <v>8526</v>
      </c>
      <c r="BY1284" t="str">
        <f>HYPERLINK("https%3A%2F%2Fwww.webofscience.com%2Fwos%2Fwoscc%2Ffull-record%2FWOS:000379342100003","View Full Record in Web of Science")</f>
        <v>View Full Record in Web of Science</v>
      </c>
    </row>
    <row r="1285" spans="1:77" ht="12.5" x14ac:dyDescent="0.25">
      <c r="A1285" t="s">
        <v>8495</v>
      </c>
      <c r="B1285" s="7" t="s">
        <v>32933</v>
      </c>
      <c r="C1285" s="7"/>
      <c r="D1285" s="7"/>
      <c r="E1285" s="7"/>
      <c r="F1285" t="s">
        <v>67</v>
      </c>
      <c r="G1285" t="s">
        <v>675</v>
      </c>
      <c r="H1285" t="s">
        <v>69</v>
      </c>
      <c r="I1285" t="s">
        <v>69</v>
      </c>
      <c r="J1285" t="s">
        <v>69</v>
      </c>
      <c r="K1285" t="s">
        <v>676</v>
      </c>
      <c r="L1285" t="s">
        <v>69</v>
      </c>
      <c r="M1285" t="s">
        <v>69</v>
      </c>
      <c r="N1285" t="s">
        <v>677</v>
      </c>
      <c r="O1285" t="s">
        <v>678</v>
      </c>
      <c r="P1285" t="s">
        <v>69</v>
      </c>
      <c r="Q1285" t="s">
        <v>69</v>
      </c>
      <c r="R1285" t="s">
        <v>8505</v>
      </c>
      <c r="S1285" t="s">
        <v>8506</v>
      </c>
      <c r="T1285" t="s">
        <v>69</v>
      </c>
      <c r="U1285" t="s">
        <v>69</v>
      </c>
      <c r="V1285" t="s">
        <v>69</v>
      </c>
      <c r="W1285" t="s">
        <v>69</v>
      </c>
      <c r="X1285" t="s">
        <v>69</v>
      </c>
      <c r="Y1285" t="s">
        <v>14304</v>
      </c>
      <c r="Z1285" t="s">
        <v>14305</v>
      </c>
      <c r="AA1285" t="s">
        <v>679</v>
      </c>
      <c r="AB1285" t="s">
        <v>14306</v>
      </c>
      <c r="AC1285" t="s">
        <v>69</v>
      </c>
      <c r="AD1285" t="s">
        <v>14307</v>
      </c>
      <c r="AE1285" t="s">
        <v>14308</v>
      </c>
      <c r="AF1285" t="s">
        <v>69</v>
      </c>
      <c r="AG1285" t="s">
        <v>69</v>
      </c>
      <c r="AH1285" t="s">
        <v>69</v>
      </c>
      <c r="AI1285" t="s">
        <v>69</v>
      </c>
      <c r="AJ1285" t="s">
        <v>69</v>
      </c>
      <c r="AK1285" t="s">
        <v>69</v>
      </c>
      <c r="AL1285">
        <v>74</v>
      </c>
      <c r="AM1285">
        <v>3</v>
      </c>
      <c r="AN1285">
        <v>3</v>
      </c>
      <c r="AO1285">
        <v>1</v>
      </c>
      <c r="AP1285">
        <v>14</v>
      </c>
      <c r="AQ1285" t="s">
        <v>8586</v>
      </c>
      <c r="AR1285" t="s">
        <v>8587</v>
      </c>
      <c r="AS1285" t="s">
        <v>8588</v>
      </c>
      <c r="AT1285" t="s">
        <v>680</v>
      </c>
      <c r="AU1285" t="s">
        <v>681</v>
      </c>
      <c r="AV1285" t="s">
        <v>69</v>
      </c>
      <c r="AW1285" t="s">
        <v>14309</v>
      </c>
      <c r="AX1285" t="s">
        <v>14310</v>
      </c>
      <c r="AY1285" t="s">
        <v>14311</v>
      </c>
      <c r="AZ1285">
        <v>2021</v>
      </c>
      <c r="BA1285">
        <v>14</v>
      </c>
      <c r="BB1285">
        <v>3</v>
      </c>
      <c r="BC1285" t="s">
        <v>69</v>
      </c>
      <c r="BD1285" t="s">
        <v>69</v>
      </c>
      <c r="BE1285" t="s">
        <v>69</v>
      </c>
      <c r="BF1285" t="s">
        <v>69</v>
      </c>
      <c r="BG1285">
        <v>767</v>
      </c>
      <c r="BH1285">
        <v>787</v>
      </c>
      <c r="BI1285" t="s">
        <v>69</v>
      </c>
      <c r="BJ1285" t="s">
        <v>682</v>
      </c>
      <c r="BK1285" t="str">
        <f>HYPERLINK("http://dx.doi.org/10.1108/IJMPB-03-2020-0087","http://dx.doi.org/10.1108/IJMPB-03-2020-0087")</f>
        <v>http://dx.doi.org/10.1108/IJMPB-03-2020-0087</v>
      </c>
      <c r="BL1285" t="s">
        <v>69</v>
      </c>
      <c r="BM1285" t="s">
        <v>683</v>
      </c>
      <c r="BN1285">
        <v>21</v>
      </c>
      <c r="BO1285" t="s">
        <v>8791</v>
      </c>
      <c r="BP1285" t="s">
        <v>8661</v>
      </c>
      <c r="BQ1285" t="s">
        <v>8594</v>
      </c>
      <c r="BR1285" t="s">
        <v>14312</v>
      </c>
      <c r="BS1285" t="s">
        <v>684</v>
      </c>
      <c r="BT1285" t="s">
        <v>69</v>
      </c>
      <c r="BU1285" t="s">
        <v>69</v>
      </c>
      <c r="BV1285" t="s">
        <v>69</v>
      </c>
      <c r="BW1285" t="s">
        <v>69</v>
      </c>
      <c r="BX1285" t="s">
        <v>8526</v>
      </c>
      <c r="BY1285" t="str">
        <f>HYPERLINK("https%3A%2F%2Fwww.webofscience.com%2Fwos%2Fwoscc%2Ffull-record%2FWOS:000568048500001","View Full Record in Web of Science")</f>
        <v>View Full Record in Web of Science</v>
      </c>
    </row>
    <row r="1286" spans="1:77" x14ac:dyDescent="0.3">
      <c r="A1286" t="s">
        <v>8495</v>
      </c>
      <c r="B1286" s="9" t="s">
        <v>32954</v>
      </c>
      <c r="E1286" s="9" t="s">
        <v>33053</v>
      </c>
      <c r="F1286" t="s">
        <v>67</v>
      </c>
      <c r="G1286" t="s">
        <v>31839</v>
      </c>
      <c r="H1286" t="s">
        <v>69</v>
      </c>
      <c r="I1286" t="s">
        <v>69</v>
      </c>
      <c r="J1286" t="s">
        <v>69</v>
      </c>
      <c r="K1286" t="s">
        <v>31839</v>
      </c>
      <c r="L1286" t="s">
        <v>69</v>
      </c>
      <c r="M1286" t="s">
        <v>69</v>
      </c>
      <c r="N1286" t="s">
        <v>31840</v>
      </c>
      <c r="O1286" t="s">
        <v>31841</v>
      </c>
      <c r="P1286" t="s">
        <v>69</v>
      </c>
      <c r="Q1286" t="s">
        <v>69</v>
      </c>
      <c r="R1286" t="s">
        <v>8505</v>
      </c>
      <c r="S1286" t="s">
        <v>8506</v>
      </c>
      <c r="T1286" t="s">
        <v>69</v>
      </c>
      <c r="U1286" t="s">
        <v>69</v>
      </c>
      <c r="V1286" t="s">
        <v>69</v>
      </c>
      <c r="W1286" t="s">
        <v>69</v>
      </c>
      <c r="X1286" t="s">
        <v>69</v>
      </c>
      <c r="Y1286" t="s">
        <v>31842</v>
      </c>
      <c r="Z1286" t="s">
        <v>69</v>
      </c>
      <c r="AA1286" t="s">
        <v>31843</v>
      </c>
      <c r="AB1286" t="s">
        <v>69</v>
      </c>
      <c r="AC1286" t="s">
        <v>69</v>
      </c>
      <c r="AD1286" t="s">
        <v>69</v>
      </c>
      <c r="AE1286" t="s">
        <v>69</v>
      </c>
      <c r="AF1286" t="s">
        <v>69</v>
      </c>
      <c r="AG1286" t="s">
        <v>69</v>
      </c>
      <c r="AH1286" t="s">
        <v>69</v>
      </c>
      <c r="AI1286" t="s">
        <v>69</v>
      </c>
      <c r="AJ1286" t="s">
        <v>69</v>
      </c>
      <c r="AK1286" t="s">
        <v>69</v>
      </c>
      <c r="AL1286">
        <v>0</v>
      </c>
      <c r="AM1286">
        <v>0</v>
      </c>
      <c r="AN1286">
        <v>1</v>
      </c>
      <c r="AO1286">
        <v>0</v>
      </c>
      <c r="AP1286">
        <v>0</v>
      </c>
      <c r="AQ1286" t="s">
        <v>31418</v>
      </c>
      <c r="AR1286" t="s">
        <v>8763</v>
      </c>
      <c r="AS1286" t="s">
        <v>31844</v>
      </c>
      <c r="AT1286" t="s">
        <v>31845</v>
      </c>
      <c r="AU1286" t="s">
        <v>69</v>
      </c>
      <c r="AV1286" t="s">
        <v>69</v>
      </c>
      <c r="AW1286" t="s">
        <v>31846</v>
      </c>
      <c r="AX1286" t="s">
        <v>31847</v>
      </c>
      <c r="AY1286" t="s">
        <v>586</v>
      </c>
      <c r="AZ1286">
        <v>2000</v>
      </c>
      <c r="BA1286">
        <v>138</v>
      </c>
      <c r="BB1286" t="s">
        <v>69</v>
      </c>
      <c r="BC1286" t="s">
        <v>69</v>
      </c>
      <c r="BD1286" t="s">
        <v>69</v>
      </c>
      <c r="BE1286">
        <v>1</v>
      </c>
      <c r="BF1286" t="s">
        <v>69</v>
      </c>
      <c r="BG1286">
        <v>19</v>
      </c>
      <c r="BH1286">
        <v>23</v>
      </c>
      <c r="BI1286" t="s">
        <v>69</v>
      </c>
      <c r="BJ1286" t="s">
        <v>31848</v>
      </c>
      <c r="BK1286" t="str">
        <f>HYPERLINK("http://dx.doi.org/10.1680/cien.2000.138.5.19","http://dx.doi.org/10.1680/cien.2000.138.5.19")</f>
        <v>http://dx.doi.org/10.1680/cien.2000.138.5.19</v>
      </c>
      <c r="BL1286" t="s">
        <v>69</v>
      </c>
      <c r="BM1286" t="s">
        <v>69</v>
      </c>
      <c r="BN1286">
        <v>5</v>
      </c>
      <c r="BO1286" t="s">
        <v>13537</v>
      </c>
      <c r="BP1286" t="s">
        <v>8548</v>
      </c>
      <c r="BQ1286" t="s">
        <v>8445</v>
      </c>
      <c r="BR1286" t="s">
        <v>31849</v>
      </c>
      <c r="BS1286" t="s">
        <v>31850</v>
      </c>
      <c r="BT1286" t="s">
        <v>69</v>
      </c>
      <c r="BU1286" t="s">
        <v>69</v>
      </c>
      <c r="BV1286" t="s">
        <v>69</v>
      </c>
      <c r="BW1286" t="s">
        <v>69</v>
      </c>
      <c r="BX1286" t="s">
        <v>8526</v>
      </c>
      <c r="BY1286" t="str">
        <f>HYPERLINK("https%3A%2F%2Fwww.webofscience.com%2Fwos%2Fwoscc%2Ffull-record%2FWOS:000087095200005","View Full Record in Web of Science")</f>
        <v>View Full Record in Web of Science</v>
      </c>
    </row>
    <row r="1287" spans="1:77" ht="12.5" x14ac:dyDescent="0.25">
      <c r="A1287" t="s">
        <v>8495</v>
      </c>
      <c r="B1287" s="22" t="s">
        <v>32931</v>
      </c>
      <c r="C1287" s="7"/>
      <c r="D1287" s="7"/>
      <c r="E1287" s="7"/>
      <c r="F1287" t="s">
        <v>67</v>
      </c>
      <c r="G1287" t="s">
        <v>11756</v>
      </c>
      <c r="H1287" t="s">
        <v>69</v>
      </c>
      <c r="I1287" t="s">
        <v>69</v>
      </c>
      <c r="J1287" t="s">
        <v>69</v>
      </c>
      <c r="K1287" t="s">
        <v>11757</v>
      </c>
      <c r="L1287" t="s">
        <v>69</v>
      </c>
      <c r="M1287" t="s">
        <v>69</v>
      </c>
      <c r="N1287" t="s">
        <v>11758</v>
      </c>
      <c r="O1287" t="s">
        <v>11759</v>
      </c>
      <c r="P1287" t="s">
        <v>69</v>
      </c>
      <c r="Q1287" t="s">
        <v>69</v>
      </c>
      <c r="R1287" t="s">
        <v>8505</v>
      </c>
      <c r="S1287" t="s">
        <v>8506</v>
      </c>
      <c r="T1287" t="s">
        <v>69</v>
      </c>
      <c r="U1287" t="s">
        <v>69</v>
      </c>
      <c r="V1287" t="s">
        <v>69</v>
      </c>
      <c r="W1287" t="s">
        <v>69</v>
      </c>
      <c r="X1287" t="s">
        <v>69</v>
      </c>
      <c r="Y1287" t="s">
        <v>11760</v>
      </c>
      <c r="Z1287" t="s">
        <v>11761</v>
      </c>
      <c r="AA1287" t="s">
        <v>11762</v>
      </c>
      <c r="AB1287" t="s">
        <v>11763</v>
      </c>
      <c r="AC1287" t="s">
        <v>69</v>
      </c>
      <c r="AD1287" t="s">
        <v>11764</v>
      </c>
      <c r="AE1287" t="s">
        <v>11765</v>
      </c>
      <c r="AF1287" t="s">
        <v>69</v>
      </c>
      <c r="AG1287" t="s">
        <v>69</v>
      </c>
      <c r="AH1287" t="s">
        <v>69</v>
      </c>
      <c r="AI1287" t="s">
        <v>69</v>
      </c>
      <c r="AJ1287" t="s">
        <v>69</v>
      </c>
      <c r="AK1287" t="s">
        <v>69</v>
      </c>
      <c r="AL1287">
        <v>58</v>
      </c>
      <c r="AM1287">
        <v>3</v>
      </c>
      <c r="AN1287">
        <v>3</v>
      </c>
      <c r="AO1287">
        <v>2</v>
      </c>
      <c r="AP1287">
        <v>8</v>
      </c>
      <c r="AQ1287" t="s">
        <v>8539</v>
      </c>
      <c r="AR1287" t="s">
        <v>8540</v>
      </c>
      <c r="AS1287" t="s">
        <v>8541</v>
      </c>
      <c r="AT1287" t="s">
        <v>11766</v>
      </c>
      <c r="AU1287" t="s">
        <v>11767</v>
      </c>
      <c r="AV1287" t="s">
        <v>69</v>
      </c>
      <c r="AW1287" t="s">
        <v>11768</v>
      </c>
      <c r="AX1287" t="s">
        <v>11769</v>
      </c>
      <c r="AY1287" t="s">
        <v>3297</v>
      </c>
      <c r="AZ1287">
        <v>2021</v>
      </c>
      <c r="BA1287">
        <v>35</v>
      </c>
      <c r="BB1287">
        <v>4</v>
      </c>
      <c r="BC1287" t="s">
        <v>69</v>
      </c>
      <c r="BD1287" t="s">
        <v>69</v>
      </c>
      <c r="BE1287" t="s">
        <v>69</v>
      </c>
      <c r="BF1287" t="s">
        <v>69</v>
      </c>
      <c r="BG1287" t="s">
        <v>69</v>
      </c>
      <c r="BH1287" t="s">
        <v>69</v>
      </c>
      <c r="BI1287">
        <v>4021032</v>
      </c>
      <c r="BJ1287" t="s">
        <v>11770</v>
      </c>
      <c r="BK1287" t="str">
        <f>HYPERLINK("http://dx.doi.org/10.1061/(ASCE)CF.1943-5509.0001603","http://dx.doi.org/10.1061/(ASCE)CF.1943-5509.0001603")</f>
        <v>http://dx.doi.org/10.1061/(ASCE)CF.1943-5509.0001603</v>
      </c>
      <c r="BL1287" t="s">
        <v>69</v>
      </c>
      <c r="BM1287" t="s">
        <v>69</v>
      </c>
      <c r="BN1287">
        <v>11</v>
      </c>
      <c r="BO1287" t="s">
        <v>11242</v>
      </c>
      <c r="BP1287" t="s">
        <v>8548</v>
      </c>
      <c r="BQ1287" t="s">
        <v>8549</v>
      </c>
      <c r="BR1287" t="s">
        <v>11771</v>
      </c>
      <c r="BS1287" t="s">
        <v>11772</v>
      </c>
      <c r="BT1287" t="s">
        <v>69</v>
      </c>
      <c r="BU1287" t="s">
        <v>69</v>
      </c>
      <c r="BV1287" t="s">
        <v>69</v>
      </c>
      <c r="BW1287" t="s">
        <v>69</v>
      </c>
      <c r="BX1287" t="s">
        <v>8526</v>
      </c>
      <c r="BY1287" t="str">
        <f>HYPERLINK("https%3A%2F%2Fwww.webofscience.com%2Fwos%2Fwoscc%2Ffull-record%2FWOS:000671884100025","View Full Record in Web of Science")</f>
        <v>View Full Record in Web of Science</v>
      </c>
    </row>
    <row r="1288" spans="1:77" ht="12.5" x14ac:dyDescent="0.25">
      <c r="A1288" t="s">
        <v>8495</v>
      </c>
      <c r="B1288" s="7" t="s">
        <v>32933</v>
      </c>
      <c r="C1288" s="7"/>
      <c r="D1288" s="7"/>
      <c r="E1288" s="7"/>
      <c r="F1288" t="s">
        <v>67</v>
      </c>
      <c r="G1288" t="s">
        <v>1219</v>
      </c>
      <c r="H1288" t="s">
        <v>69</v>
      </c>
      <c r="I1288" t="s">
        <v>69</v>
      </c>
      <c r="J1288" t="s">
        <v>69</v>
      </c>
      <c r="K1288" t="s">
        <v>1220</v>
      </c>
      <c r="L1288" t="s">
        <v>69</v>
      </c>
      <c r="M1288" t="s">
        <v>69</v>
      </c>
      <c r="N1288" t="s">
        <v>1221</v>
      </c>
      <c r="O1288" t="s">
        <v>1222</v>
      </c>
      <c r="P1288" t="s">
        <v>69</v>
      </c>
      <c r="Q1288" t="s">
        <v>69</v>
      </c>
      <c r="R1288" t="s">
        <v>8505</v>
      </c>
      <c r="S1288" t="s">
        <v>8506</v>
      </c>
      <c r="T1288" t="s">
        <v>69</v>
      </c>
      <c r="U1288" t="s">
        <v>69</v>
      </c>
      <c r="V1288" t="s">
        <v>69</v>
      </c>
      <c r="W1288" t="s">
        <v>69</v>
      </c>
      <c r="X1288" t="s">
        <v>69</v>
      </c>
      <c r="Y1288" t="s">
        <v>21488</v>
      </c>
      <c r="Z1288" t="s">
        <v>21489</v>
      </c>
      <c r="AA1288" t="s">
        <v>1223</v>
      </c>
      <c r="AB1288" t="s">
        <v>21490</v>
      </c>
      <c r="AC1288" t="s">
        <v>69</v>
      </c>
      <c r="AD1288" t="s">
        <v>21491</v>
      </c>
      <c r="AE1288" t="s">
        <v>21492</v>
      </c>
      <c r="AF1288" t="s">
        <v>69</v>
      </c>
      <c r="AG1288" t="s">
        <v>69</v>
      </c>
      <c r="AH1288" t="s">
        <v>21493</v>
      </c>
      <c r="AI1288" t="s">
        <v>21494</v>
      </c>
      <c r="AJ1288" t="s">
        <v>21495</v>
      </c>
      <c r="AK1288" t="s">
        <v>69</v>
      </c>
      <c r="AL1288">
        <v>25</v>
      </c>
      <c r="AM1288">
        <v>6</v>
      </c>
      <c r="AN1288">
        <v>6</v>
      </c>
      <c r="AO1288">
        <v>0</v>
      </c>
      <c r="AP1288">
        <v>15</v>
      </c>
      <c r="AQ1288" t="s">
        <v>10923</v>
      </c>
      <c r="AR1288" t="s">
        <v>10924</v>
      </c>
      <c r="AS1288" t="s">
        <v>10925</v>
      </c>
      <c r="AT1288" t="s">
        <v>1224</v>
      </c>
      <c r="AU1288" t="s">
        <v>1225</v>
      </c>
      <c r="AV1288" t="s">
        <v>69</v>
      </c>
      <c r="AW1288" t="s">
        <v>10926</v>
      </c>
      <c r="AX1288" t="s">
        <v>10927</v>
      </c>
      <c r="AY1288" t="s">
        <v>1226</v>
      </c>
      <c r="AZ1288">
        <v>2016</v>
      </c>
      <c r="BA1288">
        <v>22</v>
      </c>
      <c r="BB1288">
        <v>4</v>
      </c>
      <c r="BC1288" t="s">
        <v>69</v>
      </c>
      <c r="BD1288" t="s">
        <v>69</v>
      </c>
      <c r="BE1288" t="s">
        <v>69</v>
      </c>
      <c r="BF1288" t="s">
        <v>69</v>
      </c>
      <c r="BG1288">
        <v>348</v>
      </c>
      <c r="BH1288">
        <v>359</v>
      </c>
      <c r="BI1288" t="s">
        <v>69</v>
      </c>
      <c r="BJ1288" t="s">
        <v>1227</v>
      </c>
      <c r="BK1288" t="str">
        <f>HYPERLINK("http://dx.doi.org/10.1097/PHH.0000000000000313","http://dx.doi.org/10.1097/PHH.0000000000000313")</f>
        <v>http://dx.doi.org/10.1097/PHH.0000000000000313</v>
      </c>
      <c r="BL1288" t="s">
        <v>69</v>
      </c>
      <c r="BM1288" t="s">
        <v>69</v>
      </c>
      <c r="BN1288">
        <v>12</v>
      </c>
      <c r="BO1288" t="s">
        <v>8810</v>
      </c>
      <c r="BP1288" t="s">
        <v>8661</v>
      </c>
      <c r="BQ1288" t="s">
        <v>8810</v>
      </c>
      <c r="BR1288" t="s">
        <v>21496</v>
      </c>
      <c r="BS1288" t="s">
        <v>1228</v>
      </c>
      <c r="BT1288">
        <v>26214696</v>
      </c>
      <c r="BU1288" t="s">
        <v>69</v>
      </c>
      <c r="BV1288" t="s">
        <v>69</v>
      </c>
      <c r="BW1288" t="s">
        <v>69</v>
      </c>
      <c r="BX1288" t="s">
        <v>8526</v>
      </c>
      <c r="BY1288" t="str">
        <f>HYPERLINK("https%3A%2F%2Fwww.webofscience.com%2Fwos%2Fwoscc%2Ffull-record%2FWOS:000380833100009","View Full Record in Web of Science")</f>
        <v>View Full Record in Web of Science</v>
      </c>
    </row>
    <row r="1289" spans="1:77" ht="12.5" x14ac:dyDescent="0.25">
      <c r="A1289" t="s">
        <v>8495</v>
      </c>
      <c r="B1289" s="7" t="s">
        <v>32933</v>
      </c>
      <c r="C1289" s="7"/>
      <c r="D1289" s="7"/>
      <c r="E1289" s="7"/>
      <c r="F1289" t="s">
        <v>67</v>
      </c>
      <c r="G1289" t="s">
        <v>3744</v>
      </c>
      <c r="H1289" t="s">
        <v>69</v>
      </c>
      <c r="I1289" t="s">
        <v>69</v>
      </c>
      <c r="J1289" t="s">
        <v>69</v>
      </c>
      <c r="K1289" t="s">
        <v>3745</v>
      </c>
      <c r="L1289" t="s">
        <v>69</v>
      </c>
      <c r="M1289" t="s">
        <v>69</v>
      </c>
      <c r="N1289" t="s">
        <v>3746</v>
      </c>
      <c r="O1289" t="s">
        <v>3747</v>
      </c>
      <c r="P1289" t="s">
        <v>69</v>
      </c>
      <c r="Q1289" t="s">
        <v>69</v>
      </c>
      <c r="R1289" t="s">
        <v>8505</v>
      </c>
      <c r="S1289" t="s">
        <v>15797</v>
      </c>
      <c r="T1289" t="s">
        <v>3748</v>
      </c>
      <c r="U1289" t="s">
        <v>3749</v>
      </c>
      <c r="V1289" t="s">
        <v>3750</v>
      </c>
      <c r="W1289" t="s">
        <v>69</v>
      </c>
      <c r="X1289" t="s">
        <v>69</v>
      </c>
      <c r="Y1289" t="s">
        <v>29758</v>
      </c>
      <c r="Z1289" t="s">
        <v>69</v>
      </c>
      <c r="AA1289" t="s">
        <v>3751</v>
      </c>
      <c r="AB1289" t="s">
        <v>29759</v>
      </c>
      <c r="AC1289" t="s">
        <v>69</v>
      </c>
      <c r="AD1289" t="s">
        <v>29760</v>
      </c>
      <c r="AE1289" t="s">
        <v>29761</v>
      </c>
      <c r="AF1289" t="s">
        <v>69</v>
      </c>
      <c r="AG1289" t="s">
        <v>69</v>
      </c>
      <c r="AH1289" t="s">
        <v>69</v>
      </c>
      <c r="AI1289" t="s">
        <v>69</v>
      </c>
      <c r="AJ1289" t="s">
        <v>69</v>
      </c>
      <c r="AK1289" t="s">
        <v>69</v>
      </c>
      <c r="AL1289">
        <v>15</v>
      </c>
      <c r="AM1289">
        <v>13</v>
      </c>
      <c r="AN1289">
        <v>13</v>
      </c>
      <c r="AO1289">
        <v>0</v>
      </c>
      <c r="AP1289">
        <v>17</v>
      </c>
      <c r="AQ1289" t="s">
        <v>17140</v>
      </c>
      <c r="AR1289" t="s">
        <v>8517</v>
      </c>
      <c r="AS1289" t="s">
        <v>17141</v>
      </c>
      <c r="AT1289" t="s">
        <v>3752</v>
      </c>
      <c r="AU1289" t="s">
        <v>3753</v>
      </c>
      <c r="AV1289" t="s">
        <v>69</v>
      </c>
      <c r="AW1289" t="s">
        <v>29762</v>
      </c>
      <c r="AX1289" t="s">
        <v>29763</v>
      </c>
      <c r="AY1289" t="s">
        <v>94</v>
      </c>
      <c r="AZ1289">
        <v>2007</v>
      </c>
      <c r="BA1289">
        <v>84</v>
      </c>
      <c r="BB1289">
        <v>1</v>
      </c>
      <c r="BC1289" t="s">
        <v>69</v>
      </c>
      <c r="BD1289" t="s">
        <v>69</v>
      </c>
      <c r="BE1289" t="s">
        <v>114</v>
      </c>
      <c r="BF1289" t="s">
        <v>69</v>
      </c>
      <c r="BG1289">
        <v>119</v>
      </c>
      <c r="BH1289">
        <v>127</v>
      </c>
      <c r="BI1289" t="s">
        <v>69</v>
      </c>
      <c r="BJ1289" t="s">
        <v>3754</v>
      </c>
      <c r="BK1289" t="str">
        <f>HYPERLINK("http://dx.doi.org/10.1016/j.fishres.2006.11.020","http://dx.doi.org/10.1016/j.fishres.2006.11.020")</f>
        <v>http://dx.doi.org/10.1016/j.fishres.2006.11.020</v>
      </c>
      <c r="BL1289" t="s">
        <v>69</v>
      </c>
      <c r="BM1289" t="s">
        <v>69</v>
      </c>
      <c r="BN1289">
        <v>9</v>
      </c>
      <c r="BO1289" t="s">
        <v>22091</v>
      </c>
      <c r="BP1289" t="s">
        <v>29764</v>
      </c>
      <c r="BQ1289" t="s">
        <v>22091</v>
      </c>
      <c r="BR1289" t="s">
        <v>29765</v>
      </c>
      <c r="BS1289" t="s">
        <v>3755</v>
      </c>
      <c r="BT1289" t="s">
        <v>69</v>
      </c>
      <c r="BU1289" t="s">
        <v>69</v>
      </c>
      <c r="BV1289" t="s">
        <v>69</v>
      </c>
      <c r="BW1289" t="s">
        <v>69</v>
      </c>
      <c r="BX1289" t="s">
        <v>8526</v>
      </c>
      <c r="BY1289" t="str">
        <f>HYPERLINK("https%3A%2F%2Fwww.webofscience.com%2Fwos%2Fwoscc%2Ffull-record%2FWOS:000244822500017","View Full Record in Web of Science")</f>
        <v>View Full Record in Web of Science</v>
      </c>
    </row>
    <row r="1290" spans="1:77" ht="12.5" x14ac:dyDescent="0.25">
      <c r="A1290" t="s">
        <v>8495</v>
      </c>
      <c r="B1290" s="7" t="s">
        <v>32933</v>
      </c>
      <c r="C1290" s="7"/>
      <c r="D1290" s="7"/>
      <c r="E1290" s="7"/>
      <c r="F1290" t="s">
        <v>67</v>
      </c>
      <c r="G1290" t="s">
        <v>5306</v>
      </c>
      <c r="H1290" t="s">
        <v>69</v>
      </c>
      <c r="I1290" t="s">
        <v>69</v>
      </c>
      <c r="J1290" t="s">
        <v>69</v>
      </c>
      <c r="K1290" t="s">
        <v>5306</v>
      </c>
      <c r="L1290" t="s">
        <v>69</v>
      </c>
      <c r="M1290" t="s">
        <v>69</v>
      </c>
      <c r="N1290" t="s">
        <v>5307</v>
      </c>
      <c r="O1290" t="s">
        <v>1902</v>
      </c>
      <c r="P1290" t="s">
        <v>69</v>
      </c>
      <c r="Q1290" t="s">
        <v>69</v>
      </c>
      <c r="R1290" t="s">
        <v>8505</v>
      </c>
      <c r="S1290" t="s">
        <v>8506</v>
      </c>
      <c r="T1290" t="s">
        <v>69</v>
      </c>
      <c r="U1290" t="s">
        <v>69</v>
      </c>
      <c r="V1290" t="s">
        <v>69</v>
      </c>
      <c r="W1290" t="s">
        <v>69</v>
      </c>
      <c r="X1290" t="s">
        <v>69</v>
      </c>
      <c r="Y1290" t="s">
        <v>69</v>
      </c>
      <c r="Z1290" t="s">
        <v>69</v>
      </c>
      <c r="AA1290" t="s">
        <v>5308</v>
      </c>
      <c r="AB1290" t="s">
        <v>31783</v>
      </c>
      <c r="AC1290" t="s">
        <v>69</v>
      </c>
      <c r="AD1290" t="s">
        <v>31784</v>
      </c>
      <c r="AE1290" t="s">
        <v>31785</v>
      </c>
      <c r="AF1290" t="s">
        <v>31786</v>
      </c>
      <c r="AG1290" t="s">
        <v>31787</v>
      </c>
      <c r="AH1290" t="s">
        <v>69</v>
      </c>
      <c r="AI1290" t="s">
        <v>69</v>
      </c>
      <c r="AJ1290" t="s">
        <v>69</v>
      </c>
      <c r="AK1290" t="s">
        <v>69</v>
      </c>
      <c r="AL1290">
        <v>4</v>
      </c>
      <c r="AM1290">
        <v>11</v>
      </c>
      <c r="AN1290">
        <v>11</v>
      </c>
      <c r="AO1290">
        <v>1</v>
      </c>
      <c r="AP1290">
        <v>5</v>
      </c>
      <c r="AQ1290" t="s">
        <v>9145</v>
      </c>
      <c r="AR1290" t="s">
        <v>8637</v>
      </c>
      <c r="AS1290" t="s">
        <v>9146</v>
      </c>
      <c r="AT1290" t="s">
        <v>1906</v>
      </c>
      <c r="AU1290" t="s">
        <v>69</v>
      </c>
      <c r="AV1290" t="s">
        <v>69</v>
      </c>
      <c r="AW1290" t="s">
        <v>9928</v>
      </c>
      <c r="AX1290" t="s">
        <v>9929</v>
      </c>
      <c r="AY1290" t="s">
        <v>84</v>
      </c>
      <c r="AZ1290">
        <v>2000</v>
      </c>
      <c r="BA1290">
        <v>20</v>
      </c>
      <c r="BB1290">
        <v>3</v>
      </c>
      <c r="BC1290" t="s">
        <v>69</v>
      </c>
      <c r="BD1290" t="s">
        <v>69</v>
      </c>
      <c r="BE1290" t="s">
        <v>69</v>
      </c>
      <c r="BF1290" t="s">
        <v>69</v>
      </c>
      <c r="BG1290">
        <v>289</v>
      </c>
      <c r="BH1290">
        <v>304</v>
      </c>
      <c r="BI1290" t="s">
        <v>69</v>
      </c>
      <c r="BJ1290" t="s">
        <v>5309</v>
      </c>
      <c r="BK1290" t="str">
        <f>HYPERLINK("http://dx.doi.org/10.1016/S0960-1481(99)00111-1","http://dx.doi.org/10.1016/S0960-1481(99)00111-1")</f>
        <v>http://dx.doi.org/10.1016/S0960-1481(99)00111-1</v>
      </c>
      <c r="BL1290" t="s">
        <v>69</v>
      </c>
      <c r="BM1290" t="s">
        <v>69</v>
      </c>
      <c r="BN1290">
        <v>16</v>
      </c>
      <c r="BO1290" t="s">
        <v>9931</v>
      </c>
      <c r="BP1290" t="s">
        <v>8548</v>
      </c>
      <c r="BQ1290" t="s">
        <v>9932</v>
      </c>
      <c r="BR1290" t="s">
        <v>31788</v>
      </c>
      <c r="BS1290" t="s">
        <v>5310</v>
      </c>
      <c r="BT1290" t="s">
        <v>69</v>
      </c>
      <c r="BU1290" t="s">
        <v>69</v>
      </c>
      <c r="BV1290" t="s">
        <v>69</v>
      </c>
      <c r="BW1290" t="s">
        <v>69</v>
      </c>
      <c r="BX1290" t="s">
        <v>8526</v>
      </c>
      <c r="BY1290" t="str">
        <f>HYPERLINK("https%3A%2F%2Fwww.webofscience.com%2Fwos%2Fwoscc%2Ffull-record%2FWOS:000085639700003","View Full Record in Web of Science")</f>
        <v>View Full Record in Web of Science</v>
      </c>
    </row>
    <row r="1291" spans="1:77" ht="12.5" x14ac:dyDescent="0.25">
      <c r="A1291" t="s">
        <v>8495</v>
      </c>
      <c r="B1291" s="7" t="s">
        <v>32933</v>
      </c>
      <c r="C1291" s="7"/>
      <c r="D1291" s="7"/>
      <c r="E1291" s="7"/>
      <c r="F1291" t="s">
        <v>67</v>
      </c>
      <c r="G1291" t="s">
        <v>1607</v>
      </c>
      <c r="H1291" t="s">
        <v>69</v>
      </c>
      <c r="I1291" t="s">
        <v>69</v>
      </c>
      <c r="J1291" t="s">
        <v>69</v>
      </c>
      <c r="K1291" t="s">
        <v>1608</v>
      </c>
      <c r="L1291" t="s">
        <v>69</v>
      </c>
      <c r="M1291" t="s">
        <v>69</v>
      </c>
      <c r="N1291" t="s">
        <v>1609</v>
      </c>
      <c r="O1291" t="s">
        <v>1610</v>
      </c>
      <c r="P1291" t="s">
        <v>69</v>
      </c>
      <c r="Q1291" t="s">
        <v>69</v>
      </c>
      <c r="R1291" t="s">
        <v>8505</v>
      </c>
      <c r="S1291" t="s">
        <v>8506</v>
      </c>
      <c r="T1291" t="s">
        <v>69</v>
      </c>
      <c r="U1291" t="s">
        <v>69</v>
      </c>
      <c r="V1291" t="s">
        <v>69</v>
      </c>
      <c r="W1291" t="s">
        <v>69</v>
      </c>
      <c r="X1291" t="s">
        <v>69</v>
      </c>
      <c r="Y1291" t="s">
        <v>29812</v>
      </c>
      <c r="Z1291" t="s">
        <v>69</v>
      </c>
      <c r="AA1291" t="s">
        <v>1611</v>
      </c>
      <c r="AB1291" t="s">
        <v>29813</v>
      </c>
      <c r="AC1291" t="s">
        <v>69</v>
      </c>
      <c r="AD1291" t="s">
        <v>29814</v>
      </c>
      <c r="AE1291" t="s">
        <v>29815</v>
      </c>
      <c r="AF1291" t="s">
        <v>69</v>
      </c>
      <c r="AG1291" t="s">
        <v>69</v>
      </c>
      <c r="AH1291" t="s">
        <v>69</v>
      </c>
      <c r="AI1291" t="s">
        <v>69</v>
      </c>
      <c r="AJ1291" t="s">
        <v>69</v>
      </c>
      <c r="AK1291" t="s">
        <v>69</v>
      </c>
      <c r="AL1291">
        <v>39</v>
      </c>
      <c r="AM1291">
        <v>0</v>
      </c>
      <c r="AN1291">
        <v>0</v>
      </c>
      <c r="AO1291">
        <v>0</v>
      </c>
      <c r="AP1291">
        <v>7</v>
      </c>
      <c r="AQ1291" t="s">
        <v>29816</v>
      </c>
      <c r="AR1291" t="s">
        <v>29817</v>
      </c>
      <c r="AS1291" t="s">
        <v>29818</v>
      </c>
      <c r="AT1291" t="s">
        <v>1612</v>
      </c>
      <c r="AU1291" t="s">
        <v>69</v>
      </c>
      <c r="AV1291" t="s">
        <v>69</v>
      </c>
      <c r="AW1291" t="s">
        <v>29819</v>
      </c>
      <c r="AX1291" t="s">
        <v>29820</v>
      </c>
      <c r="AY1291" t="s">
        <v>69</v>
      </c>
      <c r="AZ1291">
        <v>2007</v>
      </c>
      <c r="BA1291">
        <v>13</v>
      </c>
      <c r="BB1291">
        <v>3</v>
      </c>
      <c r="BC1291" t="s">
        <v>69</v>
      </c>
      <c r="BD1291" t="s">
        <v>69</v>
      </c>
      <c r="BE1291" t="s">
        <v>69</v>
      </c>
      <c r="BF1291" t="s">
        <v>69</v>
      </c>
      <c r="BG1291">
        <v>88</v>
      </c>
      <c r="BH1291">
        <v>100</v>
      </c>
      <c r="BI1291" t="s">
        <v>69</v>
      </c>
      <c r="BJ1291" t="s">
        <v>69</v>
      </c>
      <c r="BK1291" t="s">
        <v>69</v>
      </c>
      <c r="BL1291" t="s">
        <v>69</v>
      </c>
      <c r="BM1291" t="s">
        <v>69</v>
      </c>
      <c r="BN1291">
        <v>13</v>
      </c>
      <c r="BO1291" t="s">
        <v>21513</v>
      </c>
      <c r="BP1291" t="s">
        <v>8548</v>
      </c>
      <c r="BQ1291" t="s">
        <v>8450</v>
      </c>
      <c r="BR1291" t="s">
        <v>29821</v>
      </c>
      <c r="BS1291" t="s">
        <v>1613</v>
      </c>
      <c r="BT1291" t="s">
        <v>69</v>
      </c>
      <c r="BU1291" t="s">
        <v>69</v>
      </c>
      <c r="BV1291" t="s">
        <v>69</v>
      </c>
      <c r="BW1291" t="s">
        <v>69</v>
      </c>
      <c r="BX1291" t="s">
        <v>8526</v>
      </c>
      <c r="BY1291" t="str">
        <f>HYPERLINK("https%3A%2F%2Fwww.webofscience.com%2Fwos%2Fwoscc%2Ffull-record%2FWOS:000254705000004","View Full Record in Web of Science")</f>
        <v>View Full Record in Web of Science</v>
      </c>
    </row>
    <row r="1292" spans="1:77" ht="12.5" x14ac:dyDescent="0.25">
      <c r="A1292" t="s">
        <v>8495</v>
      </c>
      <c r="B1292" s="22" t="s">
        <v>32931</v>
      </c>
      <c r="C1292" s="7"/>
      <c r="D1292" s="7"/>
      <c r="E1292" s="7"/>
      <c r="F1292" t="s">
        <v>67</v>
      </c>
      <c r="G1292" t="s">
        <v>32758</v>
      </c>
      <c r="H1292" t="s">
        <v>69</v>
      </c>
      <c r="I1292" t="s">
        <v>69</v>
      </c>
      <c r="J1292" t="s">
        <v>69</v>
      </c>
      <c r="K1292" t="s">
        <v>32758</v>
      </c>
      <c r="L1292" t="s">
        <v>69</v>
      </c>
      <c r="M1292" t="s">
        <v>69</v>
      </c>
      <c r="N1292" t="s">
        <v>32759</v>
      </c>
      <c r="O1292" t="s">
        <v>32760</v>
      </c>
      <c r="P1292" t="s">
        <v>69</v>
      </c>
      <c r="Q1292" t="s">
        <v>69</v>
      </c>
      <c r="R1292" t="s">
        <v>8505</v>
      </c>
      <c r="S1292" t="s">
        <v>8506</v>
      </c>
      <c r="T1292" t="s">
        <v>69</v>
      </c>
      <c r="U1292" t="s">
        <v>69</v>
      </c>
      <c r="V1292" t="s">
        <v>69</v>
      </c>
      <c r="W1292" t="s">
        <v>69</v>
      </c>
      <c r="X1292" t="s">
        <v>69</v>
      </c>
      <c r="Y1292" t="s">
        <v>69</v>
      </c>
      <c r="Z1292" t="s">
        <v>69</v>
      </c>
      <c r="AA1292" t="s">
        <v>32761</v>
      </c>
      <c r="AB1292" t="s">
        <v>32762</v>
      </c>
      <c r="AC1292" t="s">
        <v>69</v>
      </c>
      <c r="AD1292" t="s">
        <v>32763</v>
      </c>
      <c r="AE1292" t="s">
        <v>69</v>
      </c>
      <c r="AF1292" t="s">
        <v>32764</v>
      </c>
      <c r="AG1292" t="s">
        <v>32765</v>
      </c>
      <c r="AH1292" t="s">
        <v>69</v>
      </c>
      <c r="AI1292" t="s">
        <v>69</v>
      </c>
      <c r="AJ1292" t="s">
        <v>69</v>
      </c>
      <c r="AK1292" t="s">
        <v>69</v>
      </c>
      <c r="AL1292">
        <v>8</v>
      </c>
      <c r="AM1292">
        <v>6</v>
      </c>
      <c r="AN1292">
        <v>6</v>
      </c>
      <c r="AO1292">
        <v>0</v>
      </c>
      <c r="AP1292">
        <v>4</v>
      </c>
      <c r="AQ1292" t="s">
        <v>10315</v>
      </c>
      <c r="AR1292" t="s">
        <v>8693</v>
      </c>
      <c r="AS1292" t="s">
        <v>32766</v>
      </c>
      <c r="AT1292" t="s">
        <v>32767</v>
      </c>
      <c r="AU1292" t="s">
        <v>69</v>
      </c>
      <c r="AV1292" t="s">
        <v>69</v>
      </c>
      <c r="AW1292" t="s">
        <v>32768</v>
      </c>
      <c r="AX1292" t="s">
        <v>32769</v>
      </c>
      <c r="AY1292" t="s">
        <v>255</v>
      </c>
      <c r="AZ1292">
        <v>1993</v>
      </c>
      <c r="BA1292">
        <v>8</v>
      </c>
      <c r="BB1292">
        <v>3</v>
      </c>
      <c r="BC1292" t="s">
        <v>69</v>
      </c>
      <c r="BD1292" t="s">
        <v>69</v>
      </c>
      <c r="BE1292" t="s">
        <v>69</v>
      </c>
      <c r="BF1292" t="s">
        <v>69</v>
      </c>
      <c r="BG1292">
        <v>566</v>
      </c>
      <c r="BH1292">
        <v>575</v>
      </c>
      <c r="BI1292" t="s">
        <v>69</v>
      </c>
      <c r="BJ1292" t="s">
        <v>32770</v>
      </c>
      <c r="BK1292" t="str">
        <f>HYPERLINK("http://dx.doi.org/10.1109/60.257075","http://dx.doi.org/10.1109/60.257075")</f>
        <v>http://dx.doi.org/10.1109/60.257075</v>
      </c>
      <c r="BL1292" t="s">
        <v>69</v>
      </c>
      <c r="BM1292" t="s">
        <v>69</v>
      </c>
      <c r="BN1292">
        <v>10</v>
      </c>
      <c r="BO1292" t="s">
        <v>32771</v>
      </c>
      <c r="BP1292" t="s">
        <v>8548</v>
      </c>
      <c r="BQ1292" t="s">
        <v>19142</v>
      </c>
      <c r="BR1292" t="s">
        <v>32772</v>
      </c>
      <c r="BS1292" t="s">
        <v>32773</v>
      </c>
      <c r="BT1292" t="s">
        <v>69</v>
      </c>
      <c r="BU1292" t="s">
        <v>69</v>
      </c>
      <c r="BV1292" t="s">
        <v>69</v>
      </c>
      <c r="BW1292" t="s">
        <v>69</v>
      </c>
      <c r="BX1292" t="s">
        <v>8526</v>
      </c>
      <c r="BY1292" t="str">
        <f>HYPERLINK("https%3A%2F%2Fwww.webofscience.com%2Fwos%2Fwoscc%2Ffull-record%2FWOS:A1993ME99700034","View Full Record in Web of Science")</f>
        <v>View Full Record in Web of Science</v>
      </c>
    </row>
    <row r="1293" spans="1:77" ht="12.5" x14ac:dyDescent="0.25">
      <c r="A1293" t="s">
        <v>8495</v>
      </c>
      <c r="B1293" s="22" t="s">
        <v>32931</v>
      </c>
      <c r="C1293" s="7"/>
      <c r="D1293" s="7"/>
      <c r="E1293" s="7"/>
      <c r="F1293" t="s">
        <v>67</v>
      </c>
      <c r="G1293" t="s">
        <v>13133</v>
      </c>
      <c r="H1293" t="s">
        <v>69</v>
      </c>
      <c r="I1293" t="s">
        <v>69</v>
      </c>
      <c r="J1293" t="s">
        <v>69</v>
      </c>
      <c r="K1293" t="s">
        <v>13134</v>
      </c>
      <c r="L1293" t="s">
        <v>69</v>
      </c>
      <c r="M1293" t="s">
        <v>69</v>
      </c>
      <c r="N1293" t="s">
        <v>13135</v>
      </c>
      <c r="O1293" t="s">
        <v>13136</v>
      </c>
      <c r="P1293" t="s">
        <v>69</v>
      </c>
      <c r="Q1293" t="s">
        <v>69</v>
      </c>
      <c r="R1293" t="s">
        <v>8505</v>
      </c>
      <c r="S1293" t="s">
        <v>8506</v>
      </c>
      <c r="T1293" t="s">
        <v>69</v>
      </c>
      <c r="U1293" t="s">
        <v>69</v>
      </c>
      <c r="V1293" t="s">
        <v>69</v>
      </c>
      <c r="W1293" t="s">
        <v>69</v>
      </c>
      <c r="X1293" t="s">
        <v>69</v>
      </c>
      <c r="Y1293" t="s">
        <v>13137</v>
      </c>
      <c r="Z1293" t="s">
        <v>69</v>
      </c>
      <c r="AA1293" t="s">
        <v>13138</v>
      </c>
      <c r="AB1293" t="s">
        <v>13139</v>
      </c>
      <c r="AC1293" t="s">
        <v>69</v>
      </c>
      <c r="AD1293" t="s">
        <v>13140</v>
      </c>
      <c r="AE1293" t="s">
        <v>13141</v>
      </c>
      <c r="AF1293" t="s">
        <v>69</v>
      </c>
      <c r="AG1293" t="s">
        <v>69</v>
      </c>
      <c r="AH1293" t="s">
        <v>69</v>
      </c>
      <c r="AI1293" t="s">
        <v>69</v>
      </c>
      <c r="AJ1293" t="s">
        <v>69</v>
      </c>
      <c r="AK1293" t="s">
        <v>69</v>
      </c>
      <c r="AL1293">
        <v>26</v>
      </c>
      <c r="AM1293">
        <v>0</v>
      </c>
      <c r="AN1293">
        <v>0</v>
      </c>
      <c r="AO1293">
        <v>0</v>
      </c>
      <c r="AP1293">
        <v>1</v>
      </c>
      <c r="AQ1293" t="s">
        <v>9305</v>
      </c>
      <c r="AR1293" t="s">
        <v>8763</v>
      </c>
      <c r="AS1293" t="s">
        <v>9306</v>
      </c>
      <c r="AT1293" t="s">
        <v>13142</v>
      </c>
      <c r="AU1293" t="s">
        <v>13143</v>
      </c>
      <c r="AV1293" t="s">
        <v>69</v>
      </c>
      <c r="AW1293" t="s">
        <v>13144</v>
      </c>
      <c r="AX1293" t="s">
        <v>13145</v>
      </c>
      <c r="AY1293" t="s">
        <v>191</v>
      </c>
      <c r="AZ1293">
        <v>2022</v>
      </c>
      <c r="BA1293">
        <v>16</v>
      </c>
      <c r="BB1293">
        <v>1</v>
      </c>
      <c r="BC1293" t="s">
        <v>69</v>
      </c>
      <c r="BD1293" t="s">
        <v>69</v>
      </c>
      <c r="BE1293" t="s">
        <v>69</v>
      </c>
      <c r="BF1293" t="s">
        <v>69</v>
      </c>
      <c r="BG1293">
        <v>65</v>
      </c>
      <c r="BH1293">
        <v>71</v>
      </c>
      <c r="BI1293" t="s">
        <v>69</v>
      </c>
      <c r="BJ1293" t="s">
        <v>13146</v>
      </c>
      <c r="BK1293" t="str">
        <f>HYPERLINK("http://dx.doi.org/10.1007/s11701-021-01207-6","http://dx.doi.org/10.1007/s11701-021-01207-6")</f>
        <v>http://dx.doi.org/10.1007/s11701-021-01207-6</v>
      </c>
      <c r="BL1293" t="s">
        <v>69</v>
      </c>
      <c r="BM1293" t="s">
        <v>13029</v>
      </c>
      <c r="BN1293">
        <v>7</v>
      </c>
      <c r="BO1293" t="s">
        <v>11956</v>
      </c>
      <c r="BP1293" t="s">
        <v>8548</v>
      </c>
      <c r="BQ1293" t="s">
        <v>11956</v>
      </c>
      <c r="BR1293" t="s">
        <v>13147</v>
      </c>
      <c r="BS1293" t="s">
        <v>13148</v>
      </c>
      <c r="BT1293">
        <v>33575862</v>
      </c>
      <c r="BU1293" t="s">
        <v>69</v>
      </c>
      <c r="BV1293" t="s">
        <v>69</v>
      </c>
      <c r="BW1293" t="s">
        <v>69</v>
      </c>
      <c r="BX1293" t="s">
        <v>8526</v>
      </c>
      <c r="BY1293" t="str">
        <f>HYPERLINK("https%3A%2F%2Fwww.webofscience.com%2Fwos%2Fwoscc%2Ffull-record%2FWOS:000617115700001","View Full Record in Web of Science")</f>
        <v>View Full Record in Web of Science</v>
      </c>
    </row>
    <row r="1294" spans="1:77" ht="12.5" x14ac:dyDescent="0.25">
      <c r="A1294" t="s">
        <v>8495</v>
      </c>
      <c r="B1294" s="7" t="s">
        <v>32933</v>
      </c>
      <c r="C1294" s="7"/>
      <c r="D1294" s="7"/>
      <c r="E1294" s="7"/>
      <c r="F1294" t="s">
        <v>67</v>
      </c>
      <c r="G1294" t="s">
        <v>7512</v>
      </c>
      <c r="H1294" t="s">
        <v>69</v>
      </c>
      <c r="I1294" t="s">
        <v>69</v>
      </c>
      <c r="J1294" t="s">
        <v>69</v>
      </c>
      <c r="K1294" t="s">
        <v>7513</v>
      </c>
      <c r="L1294" t="s">
        <v>69</v>
      </c>
      <c r="M1294" t="s">
        <v>69</v>
      </c>
      <c r="N1294" s="3" t="s">
        <v>7514</v>
      </c>
      <c r="O1294" t="s">
        <v>7515</v>
      </c>
      <c r="P1294" t="s">
        <v>69</v>
      </c>
      <c r="Q1294" t="s">
        <v>69</v>
      </c>
      <c r="R1294" t="s">
        <v>9357</v>
      </c>
      <c r="S1294" t="s">
        <v>8506</v>
      </c>
      <c r="T1294" t="s">
        <v>69</v>
      </c>
      <c r="U1294" t="s">
        <v>69</v>
      </c>
      <c r="V1294" t="s">
        <v>69</v>
      </c>
      <c r="W1294" t="s">
        <v>69</v>
      </c>
      <c r="X1294" t="s">
        <v>69</v>
      </c>
      <c r="Y1294" t="s">
        <v>14825</v>
      </c>
      <c r="Z1294" t="s">
        <v>69</v>
      </c>
      <c r="AA1294" t="s">
        <v>7516</v>
      </c>
      <c r="AB1294" t="s">
        <v>14826</v>
      </c>
      <c r="AC1294" t="s">
        <v>69</v>
      </c>
      <c r="AD1294" t="s">
        <v>14827</v>
      </c>
      <c r="AE1294" t="s">
        <v>14828</v>
      </c>
      <c r="AF1294" t="s">
        <v>69</v>
      </c>
      <c r="AG1294" t="s">
        <v>69</v>
      </c>
      <c r="AH1294" t="s">
        <v>69</v>
      </c>
      <c r="AI1294" t="s">
        <v>69</v>
      </c>
      <c r="AJ1294" t="s">
        <v>69</v>
      </c>
      <c r="AK1294" t="s">
        <v>69</v>
      </c>
      <c r="AL1294">
        <v>33</v>
      </c>
      <c r="AM1294">
        <v>0</v>
      </c>
      <c r="AN1294">
        <v>2</v>
      </c>
      <c r="AO1294">
        <v>0</v>
      </c>
      <c r="AP1294">
        <v>2</v>
      </c>
      <c r="AQ1294" t="s">
        <v>9366</v>
      </c>
      <c r="AR1294" t="s">
        <v>9367</v>
      </c>
      <c r="AS1294" t="s">
        <v>9368</v>
      </c>
      <c r="AT1294" t="s">
        <v>7517</v>
      </c>
      <c r="AU1294" t="s">
        <v>69</v>
      </c>
      <c r="AV1294" t="s">
        <v>69</v>
      </c>
      <c r="AW1294" t="s">
        <v>9369</v>
      </c>
      <c r="AX1294" t="s">
        <v>9370</v>
      </c>
      <c r="AY1294" t="s">
        <v>84</v>
      </c>
      <c r="AZ1294">
        <v>2020</v>
      </c>
      <c r="BA1294">
        <v>64</v>
      </c>
      <c r="BB1294">
        <v>7</v>
      </c>
      <c r="BC1294" t="s">
        <v>69</v>
      </c>
      <c r="BD1294" t="s">
        <v>69</v>
      </c>
      <c r="BE1294" t="s">
        <v>69</v>
      </c>
      <c r="BF1294" t="s">
        <v>69</v>
      </c>
      <c r="BG1294">
        <v>89</v>
      </c>
      <c r="BH1294">
        <v>99</v>
      </c>
      <c r="BI1294" t="s">
        <v>69</v>
      </c>
      <c r="BJ1294" t="s">
        <v>7518</v>
      </c>
      <c r="BK1294" t="str">
        <f>HYPERLINK("http://dx.doi.org/10.20542/0131-2227-2020-64-7-89-99","http://dx.doi.org/10.20542/0131-2227-2020-64-7-89-99")</f>
        <v>http://dx.doi.org/10.20542/0131-2227-2020-64-7-89-99</v>
      </c>
      <c r="BL1294" t="s">
        <v>69</v>
      </c>
      <c r="BM1294" t="s">
        <v>69</v>
      </c>
      <c r="BN1294">
        <v>11</v>
      </c>
      <c r="BO1294" t="s">
        <v>9372</v>
      </c>
      <c r="BP1294" t="s">
        <v>8573</v>
      </c>
      <c r="BQ1294" t="s">
        <v>9372</v>
      </c>
      <c r="BR1294" t="s">
        <v>14829</v>
      </c>
      <c r="BS1294" t="s">
        <v>7519</v>
      </c>
      <c r="BT1294" t="s">
        <v>69</v>
      </c>
      <c r="BU1294" t="s">
        <v>9374</v>
      </c>
      <c r="BV1294" t="s">
        <v>69</v>
      </c>
      <c r="BW1294" t="s">
        <v>69</v>
      </c>
      <c r="BX1294" t="s">
        <v>8526</v>
      </c>
      <c r="BY1294" t="str">
        <f>HYPERLINK("https%3A%2F%2Fwww.webofscience.com%2Fwos%2Fwoscc%2Ffull-record%2FWOS:000549579900010","View Full Record in Web of Science")</f>
        <v>View Full Record in Web of Science</v>
      </c>
    </row>
    <row r="1295" spans="1:77" x14ac:dyDescent="0.3">
      <c r="A1295" t="s">
        <v>8495</v>
      </c>
      <c r="B1295" s="10" t="s">
        <v>32953</v>
      </c>
      <c r="F1295" t="s">
        <v>67</v>
      </c>
      <c r="G1295" t="s">
        <v>5636</v>
      </c>
      <c r="H1295" t="s">
        <v>69</v>
      </c>
      <c r="I1295" t="s">
        <v>69</v>
      </c>
      <c r="J1295" t="s">
        <v>69</v>
      </c>
      <c r="K1295" s="2" t="s">
        <v>5637</v>
      </c>
      <c r="L1295" t="s">
        <v>69</v>
      </c>
      <c r="M1295" t="s">
        <v>69</v>
      </c>
      <c r="N1295" s="2" t="s">
        <v>5638</v>
      </c>
      <c r="O1295" t="s">
        <v>4543</v>
      </c>
      <c r="P1295" t="s">
        <v>69</v>
      </c>
      <c r="Q1295" t="s">
        <v>69</v>
      </c>
      <c r="R1295" t="s">
        <v>8505</v>
      </c>
      <c r="S1295" t="s">
        <v>8506</v>
      </c>
      <c r="T1295" t="s">
        <v>69</v>
      </c>
      <c r="U1295" t="s">
        <v>69</v>
      </c>
      <c r="V1295" t="s">
        <v>69</v>
      </c>
      <c r="W1295" t="s">
        <v>69</v>
      </c>
      <c r="X1295" t="s">
        <v>69</v>
      </c>
      <c r="Y1295" t="s">
        <v>22465</v>
      </c>
      <c r="Z1295" t="s">
        <v>22466</v>
      </c>
      <c r="AA1295" t="s">
        <v>5639</v>
      </c>
      <c r="AB1295" t="s">
        <v>22467</v>
      </c>
      <c r="AC1295" t="s">
        <v>69</v>
      </c>
      <c r="AD1295" t="s">
        <v>22468</v>
      </c>
      <c r="AE1295" t="s">
        <v>22469</v>
      </c>
      <c r="AF1295" t="s">
        <v>69</v>
      </c>
      <c r="AG1295" t="s">
        <v>69</v>
      </c>
      <c r="AH1295" t="s">
        <v>69</v>
      </c>
      <c r="AI1295" t="s">
        <v>69</v>
      </c>
      <c r="AJ1295" t="s">
        <v>69</v>
      </c>
      <c r="AK1295" t="s">
        <v>69</v>
      </c>
      <c r="AL1295">
        <v>63</v>
      </c>
      <c r="AM1295">
        <v>4</v>
      </c>
      <c r="AN1295">
        <v>4</v>
      </c>
      <c r="AO1295">
        <v>1</v>
      </c>
      <c r="AP1295">
        <v>8</v>
      </c>
      <c r="AQ1295" t="s">
        <v>14856</v>
      </c>
      <c r="AR1295" t="s">
        <v>11131</v>
      </c>
      <c r="AS1295" t="s">
        <v>14857</v>
      </c>
      <c r="AT1295" t="s">
        <v>4545</v>
      </c>
      <c r="AU1295" t="s">
        <v>4546</v>
      </c>
      <c r="AV1295" t="s">
        <v>69</v>
      </c>
      <c r="AW1295" t="s">
        <v>22470</v>
      </c>
      <c r="AX1295" t="s">
        <v>22471</v>
      </c>
      <c r="AY1295" t="s">
        <v>1774</v>
      </c>
      <c r="AZ1295">
        <v>2015</v>
      </c>
      <c r="BA1295">
        <v>25</v>
      </c>
      <c r="BB1295">
        <v>5</v>
      </c>
      <c r="BC1295" t="s">
        <v>69</v>
      </c>
      <c r="BD1295" t="s">
        <v>69</v>
      </c>
      <c r="BE1295" t="s">
        <v>69</v>
      </c>
      <c r="BF1295" t="s">
        <v>69</v>
      </c>
      <c r="BG1295">
        <v>356</v>
      </c>
      <c r="BH1295">
        <v>371</v>
      </c>
      <c r="BI1295" t="s">
        <v>69</v>
      </c>
      <c r="BJ1295" t="s">
        <v>5640</v>
      </c>
      <c r="BK1295" t="str">
        <f>HYPERLINK("http://dx.doi.org/10.1002/eet.1677","http://dx.doi.org/10.1002/eet.1677")</f>
        <v>http://dx.doi.org/10.1002/eet.1677</v>
      </c>
      <c r="BL1295" t="s">
        <v>69</v>
      </c>
      <c r="BM1295" t="s">
        <v>69</v>
      </c>
      <c r="BN1295">
        <v>16</v>
      </c>
      <c r="BO1295" t="s">
        <v>8660</v>
      </c>
      <c r="BP1295" t="s">
        <v>8661</v>
      </c>
      <c r="BQ1295" t="s">
        <v>8662</v>
      </c>
      <c r="BR1295" t="s">
        <v>22472</v>
      </c>
      <c r="BS1295" t="s">
        <v>5641</v>
      </c>
      <c r="BT1295" t="s">
        <v>69</v>
      </c>
      <c r="BU1295" t="s">
        <v>9292</v>
      </c>
      <c r="BV1295" t="s">
        <v>69</v>
      </c>
      <c r="BW1295" t="s">
        <v>69</v>
      </c>
      <c r="BX1295" t="s">
        <v>8526</v>
      </c>
      <c r="BY1295" t="str">
        <f>HYPERLINK("https%3A%2F%2Fwww.webofscience.com%2Fwos%2Fwoscc%2Ffull-record%2FWOS:000363279100005","View Full Record in Web of Science")</f>
        <v>View Full Record in Web of Science</v>
      </c>
    </row>
    <row r="1296" spans="1:77" ht="12.5" x14ac:dyDescent="0.25">
      <c r="A1296" t="s">
        <v>8495</v>
      </c>
      <c r="B1296" s="7" t="s">
        <v>32933</v>
      </c>
      <c r="C1296" s="7"/>
      <c r="D1296" s="7"/>
      <c r="E1296" s="7"/>
      <c r="F1296" t="s">
        <v>67</v>
      </c>
      <c r="G1296" t="s">
        <v>2362</v>
      </c>
      <c r="H1296" t="s">
        <v>69</v>
      </c>
      <c r="I1296" t="s">
        <v>69</v>
      </c>
      <c r="J1296" t="s">
        <v>69</v>
      </c>
      <c r="K1296" t="s">
        <v>2363</v>
      </c>
      <c r="L1296" t="s">
        <v>69</v>
      </c>
      <c r="M1296" t="s">
        <v>69</v>
      </c>
      <c r="N1296" t="s">
        <v>2364</v>
      </c>
      <c r="O1296" t="s">
        <v>2365</v>
      </c>
      <c r="P1296" t="s">
        <v>69</v>
      </c>
      <c r="Q1296" t="s">
        <v>69</v>
      </c>
      <c r="R1296" t="s">
        <v>8505</v>
      </c>
      <c r="S1296" t="s">
        <v>8506</v>
      </c>
      <c r="T1296" t="s">
        <v>69</v>
      </c>
      <c r="U1296" t="s">
        <v>69</v>
      </c>
      <c r="V1296" t="s">
        <v>69</v>
      </c>
      <c r="W1296" t="s">
        <v>69</v>
      </c>
      <c r="X1296" t="s">
        <v>69</v>
      </c>
      <c r="Y1296" t="s">
        <v>18209</v>
      </c>
      <c r="Z1296" t="s">
        <v>18210</v>
      </c>
      <c r="AA1296" t="s">
        <v>2366</v>
      </c>
      <c r="AB1296" t="s">
        <v>18211</v>
      </c>
      <c r="AC1296" t="s">
        <v>69</v>
      </c>
      <c r="AD1296" t="s">
        <v>18212</v>
      </c>
      <c r="AE1296" t="s">
        <v>18213</v>
      </c>
      <c r="AF1296" t="s">
        <v>2367</v>
      </c>
      <c r="AG1296" t="s">
        <v>18214</v>
      </c>
      <c r="AH1296" t="s">
        <v>69</v>
      </c>
      <c r="AI1296" t="s">
        <v>69</v>
      </c>
      <c r="AJ1296" t="s">
        <v>69</v>
      </c>
      <c r="AK1296" t="s">
        <v>69</v>
      </c>
      <c r="AL1296">
        <v>101</v>
      </c>
      <c r="AM1296">
        <v>15</v>
      </c>
      <c r="AN1296">
        <v>16</v>
      </c>
      <c r="AO1296">
        <v>3</v>
      </c>
      <c r="AP1296">
        <v>21</v>
      </c>
      <c r="AQ1296" t="s">
        <v>8636</v>
      </c>
      <c r="AR1296" t="s">
        <v>8637</v>
      </c>
      <c r="AS1296" t="s">
        <v>8638</v>
      </c>
      <c r="AT1296" t="s">
        <v>2368</v>
      </c>
      <c r="AU1296" t="s">
        <v>2369</v>
      </c>
      <c r="AV1296" t="s">
        <v>69</v>
      </c>
      <c r="AW1296" t="s">
        <v>12397</v>
      </c>
      <c r="AX1296" t="s">
        <v>12398</v>
      </c>
      <c r="AY1296" t="s">
        <v>274</v>
      </c>
      <c r="AZ1296">
        <v>2018</v>
      </c>
      <c r="BA1296">
        <v>5</v>
      </c>
      <c r="BB1296">
        <v>4</v>
      </c>
      <c r="BC1296" t="s">
        <v>69</v>
      </c>
      <c r="BD1296" t="s">
        <v>69</v>
      </c>
      <c r="BE1296" t="s">
        <v>69</v>
      </c>
      <c r="BF1296" t="s">
        <v>69</v>
      </c>
      <c r="BG1296">
        <v>481</v>
      </c>
      <c r="BH1296">
        <v>489</v>
      </c>
      <c r="BI1296" t="s">
        <v>69</v>
      </c>
      <c r="BJ1296" t="s">
        <v>2370</v>
      </c>
      <c r="BK1296" t="str">
        <f>HYPERLINK("http://dx.doi.org/10.1016/j.exis.2018.06.010","http://dx.doi.org/10.1016/j.exis.2018.06.010")</f>
        <v>http://dx.doi.org/10.1016/j.exis.2018.06.010</v>
      </c>
      <c r="BL1296" t="s">
        <v>69</v>
      </c>
      <c r="BM1296" t="s">
        <v>69</v>
      </c>
      <c r="BN1296">
        <v>9</v>
      </c>
      <c r="BO1296" t="s">
        <v>8660</v>
      </c>
      <c r="BP1296" t="s">
        <v>8661</v>
      </c>
      <c r="BQ1296" t="s">
        <v>8662</v>
      </c>
      <c r="BR1296" t="s">
        <v>18215</v>
      </c>
      <c r="BS1296" t="s">
        <v>2371</v>
      </c>
      <c r="BT1296" t="s">
        <v>69</v>
      </c>
      <c r="BU1296" t="s">
        <v>69</v>
      </c>
      <c r="BV1296" t="s">
        <v>69</v>
      </c>
      <c r="BW1296" t="s">
        <v>69</v>
      </c>
      <c r="BX1296" t="s">
        <v>8526</v>
      </c>
      <c r="BY1296" t="str">
        <f>HYPERLINK("https%3A%2F%2Fwww.webofscience.com%2Fwos%2Fwoscc%2Ffull-record%2FWOS:000450354300008","View Full Record in Web of Science")</f>
        <v>View Full Record in Web of Science</v>
      </c>
    </row>
    <row r="1297" spans="1:77" ht="12.5" x14ac:dyDescent="0.25">
      <c r="A1297" t="s">
        <v>8495</v>
      </c>
      <c r="B1297" s="7" t="s">
        <v>32933</v>
      </c>
      <c r="C1297" s="7"/>
      <c r="D1297" s="7"/>
      <c r="E1297" s="7"/>
      <c r="F1297" t="s">
        <v>67</v>
      </c>
      <c r="G1297" t="s">
        <v>2821</v>
      </c>
      <c r="H1297" t="s">
        <v>69</v>
      </c>
      <c r="I1297" t="s">
        <v>69</v>
      </c>
      <c r="J1297" t="s">
        <v>69</v>
      </c>
      <c r="K1297" t="s">
        <v>2822</v>
      </c>
      <c r="L1297" t="s">
        <v>69</v>
      </c>
      <c r="M1297" t="s">
        <v>69</v>
      </c>
      <c r="N1297" t="s">
        <v>2823</v>
      </c>
      <c r="O1297" t="s">
        <v>2824</v>
      </c>
      <c r="P1297" t="s">
        <v>69</v>
      </c>
      <c r="Q1297" t="s">
        <v>69</v>
      </c>
      <c r="R1297" t="s">
        <v>8505</v>
      </c>
      <c r="S1297" t="s">
        <v>8506</v>
      </c>
      <c r="T1297" t="s">
        <v>69</v>
      </c>
      <c r="U1297" t="s">
        <v>69</v>
      </c>
      <c r="V1297" t="s">
        <v>69</v>
      </c>
      <c r="W1297" t="s">
        <v>69</v>
      </c>
      <c r="X1297" t="s">
        <v>69</v>
      </c>
      <c r="Y1297" t="s">
        <v>21356</v>
      </c>
      <c r="Z1297" t="s">
        <v>21357</v>
      </c>
      <c r="AA1297" t="s">
        <v>2825</v>
      </c>
      <c r="AB1297" t="s">
        <v>21358</v>
      </c>
      <c r="AC1297" t="s">
        <v>69</v>
      </c>
      <c r="AD1297" t="s">
        <v>21359</v>
      </c>
      <c r="AE1297" t="s">
        <v>21360</v>
      </c>
      <c r="AF1297" t="s">
        <v>69</v>
      </c>
      <c r="AG1297" t="s">
        <v>69</v>
      </c>
      <c r="AH1297" t="s">
        <v>69</v>
      </c>
      <c r="AI1297" t="s">
        <v>69</v>
      </c>
      <c r="AJ1297" t="s">
        <v>69</v>
      </c>
      <c r="AK1297" t="s">
        <v>69</v>
      </c>
      <c r="AL1297">
        <v>28</v>
      </c>
      <c r="AM1297">
        <v>6</v>
      </c>
      <c r="AN1297">
        <v>6</v>
      </c>
      <c r="AO1297">
        <v>1</v>
      </c>
      <c r="AP1297">
        <v>23</v>
      </c>
      <c r="AQ1297" t="s">
        <v>10315</v>
      </c>
      <c r="AR1297" t="s">
        <v>10316</v>
      </c>
      <c r="AS1297" t="s">
        <v>10317</v>
      </c>
      <c r="AT1297" t="s">
        <v>2826</v>
      </c>
      <c r="AU1297" t="s">
        <v>2827</v>
      </c>
      <c r="AV1297" t="s">
        <v>69</v>
      </c>
      <c r="AW1297" t="s">
        <v>21361</v>
      </c>
      <c r="AX1297" t="s">
        <v>21362</v>
      </c>
      <c r="AY1297" t="s">
        <v>255</v>
      </c>
      <c r="AZ1297">
        <v>2016</v>
      </c>
      <c r="BA1297">
        <v>59</v>
      </c>
      <c r="BB1297">
        <v>3</v>
      </c>
      <c r="BC1297" t="s">
        <v>69</v>
      </c>
      <c r="BD1297" t="s">
        <v>69</v>
      </c>
      <c r="BE1297" t="s">
        <v>69</v>
      </c>
      <c r="BF1297" t="s">
        <v>69</v>
      </c>
      <c r="BG1297">
        <v>245</v>
      </c>
      <c r="BH1297">
        <v>260</v>
      </c>
      <c r="BI1297" t="s">
        <v>69</v>
      </c>
      <c r="BJ1297" t="s">
        <v>2828</v>
      </c>
      <c r="BK1297" t="str">
        <f>HYPERLINK("http://dx.doi.org/10.1109/TPC.2016.2583278","http://dx.doi.org/10.1109/TPC.2016.2583278")</f>
        <v>http://dx.doi.org/10.1109/TPC.2016.2583278</v>
      </c>
      <c r="BL1297" t="s">
        <v>69</v>
      </c>
      <c r="BM1297" t="s">
        <v>69</v>
      </c>
      <c r="BN1297">
        <v>16</v>
      </c>
      <c r="BO1297" t="s">
        <v>21363</v>
      </c>
      <c r="BP1297" t="s">
        <v>8661</v>
      </c>
      <c r="BQ1297" t="s">
        <v>21364</v>
      </c>
      <c r="BR1297" t="s">
        <v>21365</v>
      </c>
      <c r="BS1297" t="s">
        <v>2829</v>
      </c>
      <c r="BT1297" t="s">
        <v>69</v>
      </c>
      <c r="BU1297" t="s">
        <v>69</v>
      </c>
      <c r="BV1297" t="s">
        <v>69</v>
      </c>
      <c r="BW1297" t="s">
        <v>69</v>
      </c>
      <c r="BX1297" t="s">
        <v>8526</v>
      </c>
      <c r="BY1297" t="str">
        <f>HYPERLINK("https%3A%2F%2Fwww.webofscience.com%2Fwos%2Fwoscc%2Ffull-record%2FWOS:000383891400005","View Full Record in Web of Science")</f>
        <v>View Full Record in Web of Science</v>
      </c>
    </row>
    <row r="1298" spans="1:77" x14ac:dyDescent="0.3">
      <c r="A1298" t="s">
        <v>8495</v>
      </c>
      <c r="B1298" s="9" t="s">
        <v>32954</v>
      </c>
      <c r="C1298" s="9" t="s">
        <v>33159</v>
      </c>
      <c r="D1298" s="9" t="s">
        <v>8491</v>
      </c>
      <c r="E1298" s="9" t="s">
        <v>8490</v>
      </c>
      <c r="F1298" t="s">
        <v>67</v>
      </c>
      <c r="G1298" t="s">
        <v>29887</v>
      </c>
      <c r="H1298" t="s">
        <v>69</v>
      </c>
      <c r="I1298" t="s">
        <v>69</v>
      </c>
      <c r="J1298" t="s">
        <v>69</v>
      </c>
      <c r="K1298" t="s">
        <v>29888</v>
      </c>
      <c r="L1298" t="s">
        <v>69</v>
      </c>
      <c r="M1298" t="s">
        <v>69</v>
      </c>
      <c r="N1298" t="s">
        <v>29889</v>
      </c>
      <c r="O1298" t="s">
        <v>3759</v>
      </c>
      <c r="P1298" t="s">
        <v>69</v>
      </c>
      <c r="Q1298" t="s">
        <v>69</v>
      </c>
      <c r="R1298" t="s">
        <v>8505</v>
      </c>
      <c r="S1298" t="s">
        <v>8506</v>
      </c>
      <c r="T1298" t="s">
        <v>69</v>
      </c>
      <c r="U1298" t="s">
        <v>69</v>
      </c>
      <c r="V1298" t="s">
        <v>69</v>
      </c>
      <c r="W1298" t="s">
        <v>69</v>
      </c>
      <c r="X1298" t="s">
        <v>69</v>
      </c>
      <c r="Y1298" t="s">
        <v>29890</v>
      </c>
      <c r="Z1298" t="s">
        <v>69</v>
      </c>
      <c r="AA1298" t="s">
        <v>29891</v>
      </c>
      <c r="AB1298" t="s">
        <v>29892</v>
      </c>
      <c r="AC1298" t="s">
        <v>69</v>
      </c>
      <c r="AD1298" t="s">
        <v>29893</v>
      </c>
      <c r="AE1298" t="s">
        <v>29894</v>
      </c>
      <c r="AF1298" t="s">
        <v>69</v>
      </c>
      <c r="AG1298" t="s">
        <v>69</v>
      </c>
      <c r="AH1298" t="s">
        <v>69</v>
      </c>
      <c r="AI1298" t="s">
        <v>69</v>
      </c>
      <c r="AJ1298" t="s">
        <v>69</v>
      </c>
      <c r="AK1298" t="s">
        <v>69</v>
      </c>
      <c r="AL1298">
        <v>34</v>
      </c>
      <c r="AM1298">
        <v>38</v>
      </c>
      <c r="AN1298">
        <v>39</v>
      </c>
      <c r="AO1298">
        <v>2</v>
      </c>
      <c r="AP1298">
        <v>34</v>
      </c>
      <c r="AQ1298" t="s">
        <v>8865</v>
      </c>
      <c r="AR1298" t="s">
        <v>8612</v>
      </c>
      <c r="AS1298" t="s">
        <v>22341</v>
      </c>
      <c r="AT1298" t="s">
        <v>3761</v>
      </c>
      <c r="AU1298" t="s">
        <v>69</v>
      </c>
      <c r="AV1298" t="s">
        <v>69</v>
      </c>
      <c r="AW1298" t="s">
        <v>29895</v>
      </c>
      <c r="AX1298" t="s">
        <v>29896</v>
      </c>
      <c r="AY1298" t="s">
        <v>69</v>
      </c>
      <c r="AZ1298">
        <v>2007</v>
      </c>
      <c r="BA1298">
        <v>1</v>
      </c>
      <c r="BB1298">
        <v>1</v>
      </c>
      <c r="BC1298" t="s">
        <v>69</v>
      </c>
      <c r="BD1298" t="s">
        <v>69</v>
      </c>
      <c r="BE1298" t="s">
        <v>69</v>
      </c>
      <c r="BF1298" t="s">
        <v>69</v>
      </c>
      <c r="BG1298">
        <v>99</v>
      </c>
      <c r="BH1298">
        <v>110</v>
      </c>
      <c r="BI1298" t="s">
        <v>69</v>
      </c>
      <c r="BJ1298" t="s">
        <v>29897</v>
      </c>
      <c r="BK1298" t="str">
        <f>HYPERLINK("http://dx.doi.org/10.1080/17524030701334342","http://dx.doi.org/10.1080/17524030701334342")</f>
        <v>http://dx.doi.org/10.1080/17524030701334342</v>
      </c>
      <c r="BL1298" t="s">
        <v>69</v>
      </c>
      <c r="BM1298" t="s">
        <v>69</v>
      </c>
      <c r="BN1298">
        <v>12</v>
      </c>
      <c r="BO1298" t="s">
        <v>29898</v>
      </c>
      <c r="BP1298" t="s">
        <v>8661</v>
      </c>
      <c r="BQ1298" t="s">
        <v>29899</v>
      </c>
      <c r="BR1298" t="s">
        <v>29900</v>
      </c>
      <c r="BS1298" t="s">
        <v>29901</v>
      </c>
      <c r="BT1298" t="s">
        <v>69</v>
      </c>
      <c r="BU1298" t="s">
        <v>69</v>
      </c>
      <c r="BV1298" t="s">
        <v>69</v>
      </c>
      <c r="BW1298" t="s">
        <v>69</v>
      </c>
      <c r="BX1298" t="s">
        <v>8526</v>
      </c>
      <c r="BY1298" t="str">
        <f>HYPERLINK("https%3A%2F%2Fwww.webofscience.com%2Fwos%2Fwoscc%2Ffull-record%2FWOS:000207484700010","View Full Record in Web of Science")</f>
        <v>View Full Record in Web of Science</v>
      </c>
    </row>
    <row r="1299" spans="1:77" ht="12.5" x14ac:dyDescent="0.25">
      <c r="A1299" t="s">
        <v>8495</v>
      </c>
      <c r="B1299" s="7" t="s">
        <v>32933</v>
      </c>
      <c r="C1299" s="7"/>
      <c r="D1299" s="7"/>
      <c r="E1299" s="7"/>
      <c r="F1299" t="s">
        <v>67</v>
      </c>
      <c r="G1299" t="s">
        <v>8106</v>
      </c>
      <c r="H1299" t="s">
        <v>69</v>
      </c>
      <c r="I1299" t="s">
        <v>69</v>
      </c>
      <c r="J1299" t="s">
        <v>69</v>
      </c>
      <c r="K1299" t="s">
        <v>8107</v>
      </c>
      <c r="L1299" t="s">
        <v>69</v>
      </c>
      <c r="M1299" t="s">
        <v>69</v>
      </c>
      <c r="N1299" t="s">
        <v>8108</v>
      </c>
      <c r="O1299" t="s">
        <v>4552</v>
      </c>
      <c r="P1299" t="s">
        <v>69</v>
      </c>
      <c r="Q1299" t="s">
        <v>69</v>
      </c>
      <c r="R1299" t="s">
        <v>8505</v>
      </c>
      <c r="S1299" t="s">
        <v>8506</v>
      </c>
      <c r="T1299" t="s">
        <v>69</v>
      </c>
      <c r="U1299" t="s">
        <v>69</v>
      </c>
      <c r="V1299" t="s">
        <v>69</v>
      </c>
      <c r="W1299" t="s">
        <v>69</v>
      </c>
      <c r="X1299" t="s">
        <v>69</v>
      </c>
      <c r="Y1299" t="s">
        <v>20560</v>
      </c>
      <c r="Z1299" t="s">
        <v>20561</v>
      </c>
      <c r="AA1299" t="s">
        <v>8109</v>
      </c>
      <c r="AB1299" t="s">
        <v>20562</v>
      </c>
      <c r="AC1299" t="s">
        <v>69</v>
      </c>
      <c r="AD1299" t="s">
        <v>20563</v>
      </c>
      <c r="AE1299" t="s">
        <v>20564</v>
      </c>
      <c r="AF1299" t="s">
        <v>8110</v>
      </c>
      <c r="AG1299" t="s">
        <v>8111</v>
      </c>
      <c r="AH1299" t="s">
        <v>69</v>
      </c>
      <c r="AI1299" t="s">
        <v>69</v>
      </c>
      <c r="AJ1299" t="s">
        <v>69</v>
      </c>
      <c r="AK1299" t="s">
        <v>69</v>
      </c>
      <c r="AL1299">
        <v>42</v>
      </c>
      <c r="AM1299">
        <v>7</v>
      </c>
      <c r="AN1299">
        <v>7</v>
      </c>
      <c r="AO1299">
        <v>0</v>
      </c>
      <c r="AP1299">
        <v>23</v>
      </c>
      <c r="AQ1299" t="s">
        <v>9091</v>
      </c>
      <c r="AR1299" t="s">
        <v>8763</v>
      </c>
      <c r="AS1299" t="s">
        <v>15468</v>
      </c>
      <c r="AT1299" t="s">
        <v>4556</v>
      </c>
      <c r="AU1299" t="s">
        <v>69</v>
      </c>
      <c r="AV1299" t="s">
        <v>69</v>
      </c>
      <c r="AW1299" t="s">
        <v>4552</v>
      </c>
      <c r="AX1299" t="s">
        <v>9094</v>
      </c>
      <c r="AY1299" t="s">
        <v>191</v>
      </c>
      <c r="AZ1299">
        <v>2017</v>
      </c>
      <c r="BA1299">
        <v>19</v>
      </c>
      <c r="BB1299">
        <v>1</v>
      </c>
      <c r="BC1299" t="s">
        <v>69</v>
      </c>
      <c r="BD1299" t="s">
        <v>69</v>
      </c>
      <c r="BE1299" t="s">
        <v>69</v>
      </c>
      <c r="BF1299" t="s">
        <v>69</v>
      </c>
      <c r="BG1299">
        <v>115</v>
      </c>
      <c r="BH1299">
        <v>127</v>
      </c>
      <c r="BI1299" t="s">
        <v>69</v>
      </c>
      <c r="BJ1299" t="s">
        <v>8112</v>
      </c>
      <c r="BK1299" t="str">
        <f>HYPERLINK("http://dx.doi.org/10.2166/wp.2016.253","http://dx.doi.org/10.2166/wp.2016.253")</f>
        <v>http://dx.doi.org/10.2166/wp.2016.253</v>
      </c>
      <c r="BL1299" t="s">
        <v>69</v>
      </c>
      <c r="BM1299" t="s">
        <v>69</v>
      </c>
      <c r="BN1299">
        <v>13</v>
      </c>
      <c r="BO1299" t="s">
        <v>9096</v>
      </c>
      <c r="BP1299" t="s">
        <v>8523</v>
      </c>
      <c r="BQ1299" t="s">
        <v>9096</v>
      </c>
      <c r="BR1299" t="s">
        <v>20565</v>
      </c>
      <c r="BS1299" t="s">
        <v>8113</v>
      </c>
      <c r="BT1299" t="s">
        <v>69</v>
      </c>
      <c r="BU1299" t="s">
        <v>69</v>
      </c>
      <c r="BV1299" t="s">
        <v>69</v>
      </c>
      <c r="BW1299" t="s">
        <v>69</v>
      </c>
      <c r="BX1299" t="s">
        <v>8526</v>
      </c>
      <c r="BY1299" t="str">
        <f>HYPERLINK("https%3A%2F%2Fwww.webofscience.com%2Fwos%2Fwoscc%2Ffull-record%2FWOS:000394341200008","View Full Record in Web of Science")</f>
        <v>View Full Record in Web of Science</v>
      </c>
    </row>
    <row r="1300" spans="1:77" ht="12.5" x14ac:dyDescent="0.25">
      <c r="A1300" t="s">
        <v>8495</v>
      </c>
      <c r="B1300" s="7" t="s">
        <v>32933</v>
      </c>
      <c r="C1300" s="7"/>
      <c r="D1300" s="7"/>
      <c r="E1300" s="7"/>
      <c r="F1300" t="s">
        <v>67</v>
      </c>
      <c r="G1300" t="s">
        <v>943</v>
      </c>
      <c r="H1300" t="s">
        <v>69</v>
      </c>
      <c r="I1300" t="s">
        <v>69</v>
      </c>
      <c r="J1300" t="s">
        <v>69</v>
      </c>
      <c r="K1300" t="s">
        <v>944</v>
      </c>
      <c r="L1300" t="s">
        <v>69</v>
      </c>
      <c r="M1300" t="s">
        <v>69</v>
      </c>
      <c r="N1300" t="s">
        <v>945</v>
      </c>
      <c r="O1300" t="s">
        <v>946</v>
      </c>
      <c r="P1300" t="s">
        <v>69</v>
      </c>
      <c r="Q1300" t="s">
        <v>69</v>
      </c>
      <c r="R1300" t="s">
        <v>8505</v>
      </c>
      <c r="S1300" t="s">
        <v>8506</v>
      </c>
      <c r="T1300" t="s">
        <v>69</v>
      </c>
      <c r="U1300" t="s">
        <v>69</v>
      </c>
      <c r="V1300" t="s">
        <v>69</v>
      </c>
      <c r="W1300" t="s">
        <v>69</v>
      </c>
      <c r="X1300" t="s">
        <v>69</v>
      </c>
      <c r="Y1300" t="s">
        <v>17257</v>
      </c>
      <c r="Z1300" t="s">
        <v>69</v>
      </c>
      <c r="AA1300" t="s">
        <v>947</v>
      </c>
      <c r="AB1300" t="s">
        <v>17258</v>
      </c>
      <c r="AC1300" t="s">
        <v>69</v>
      </c>
      <c r="AD1300" t="s">
        <v>17259</v>
      </c>
      <c r="AE1300" t="s">
        <v>69</v>
      </c>
      <c r="AF1300" t="s">
        <v>69</v>
      </c>
      <c r="AG1300" t="s">
        <v>69</v>
      </c>
      <c r="AH1300" t="s">
        <v>69</v>
      </c>
      <c r="AI1300" t="s">
        <v>69</v>
      </c>
      <c r="AJ1300" t="s">
        <v>69</v>
      </c>
      <c r="AK1300" t="s">
        <v>69</v>
      </c>
      <c r="AL1300">
        <v>34</v>
      </c>
      <c r="AM1300">
        <v>0</v>
      </c>
      <c r="AN1300">
        <v>0</v>
      </c>
      <c r="AO1300">
        <v>0</v>
      </c>
      <c r="AP1300">
        <v>1</v>
      </c>
      <c r="AQ1300" t="s">
        <v>10118</v>
      </c>
      <c r="AR1300" t="s">
        <v>10119</v>
      </c>
      <c r="AS1300" t="s">
        <v>17260</v>
      </c>
      <c r="AT1300" t="s">
        <v>948</v>
      </c>
      <c r="AU1300" t="s">
        <v>949</v>
      </c>
      <c r="AV1300" t="s">
        <v>69</v>
      </c>
      <c r="AW1300" t="s">
        <v>17261</v>
      </c>
      <c r="AX1300" t="s">
        <v>17262</v>
      </c>
      <c r="AY1300" t="s">
        <v>586</v>
      </c>
      <c r="AZ1300">
        <v>2019</v>
      </c>
      <c r="BA1300">
        <v>67</v>
      </c>
      <c r="BB1300">
        <v>2</v>
      </c>
      <c r="BC1300" t="s">
        <v>69</v>
      </c>
      <c r="BD1300" t="s">
        <v>69</v>
      </c>
      <c r="BE1300" t="s">
        <v>69</v>
      </c>
      <c r="BF1300" t="s">
        <v>69</v>
      </c>
      <c r="BG1300">
        <v>95</v>
      </c>
      <c r="BH1300">
        <v>112</v>
      </c>
      <c r="BI1300" t="s">
        <v>69</v>
      </c>
      <c r="BJ1300" t="s">
        <v>950</v>
      </c>
      <c r="BK1300" t="str">
        <f>HYPERLINK("http://dx.doi.org/10.2478/admin-2019-0015","http://dx.doi.org/10.2478/admin-2019-0015")</f>
        <v>http://dx.doi.org/10.2478/admin-2019-0015</v>
      </c>
      <c r="BL1300" t="s">
        <v>69</v>
      </c>
      <c r="BM1300" t="s">
        <v>69</v>
      </c>
      <c r="BN1300">
        <v>18</v>
      </c>
      <c r="BO1300" t="s">
        <v>12182</v>
      </c>
      <c r="BP1300" t="s">
        <v>8573</v>
      </c>
      <c r="BQ1300" t="s">
        <v>12182</v>
      </c>
      <c r="BR1300" t="s">
        <v>17263</v>
      </c>
      <c r="BS1300" t="s">
        <v>951</v>
      </c>
      <c r="BT1300" t="s">
        <v>69</v>
      </c>
      <c r="BU1300" t="s">
        <v>11853</v>
      </c>
      <c r="BV1300" t="s">
        <v>69</v>
      </c>
      <c r="BW1300" t="s">
        <v>69</v>
      </c>
      <c r="BX1300" t="s">
        <v>8526</v>
      </c>
      <c r="BY1300" t="str">
        <f>HYPERLINK("https%3A%2F%2Fwww.webofscience.com%2Fwos%2Fwoscc%2Ffull-record%2FWOS:000471188800005","View Full Record in Web of Science")</f>
        <v>View Full Record in Web of Science</v>
      </c>
    </row>
    <row r="1301" spans="1:77" ht="12.5" x14ac:dyDescent="0.25">
      <c r="A1301" t="s">
        <v>8495</v>
      </c>
      <c r="B1301" s="22" t="s">
        <v>32931</v>
      </c>
      <c r="C1301" s="7"/>
      <c r="D1301" s="7"/>
      <c r="E1301" s="7"/>
      <c r="F1301" t="s">
        <v>67</v>
      </c>
      <c r="G1301" t="s">
        <v>28677</v>
      </c>
      <c r="H1301" t="s">
        <v>69</v>
      </c>
      <c r="I1301" t="s">
        <v>69</v>
      </c>
      <c r="J1301" t="s">
        <v>69</v>
      </c>
      <c r="K1301" t="s">
        <v>28678</v>
      </c>
      <c r="L1301" t="s">
        <v>69</v>
      </c>
      <c r="M1301" t="s">
        <v>69</v>
      </c>
      <c r="N1301" t="s">
        <v>28679</v>
      </c>
      <c r="O1301" t="s">
        <v>28680</v>
      </c>
      <c r="P1301" t="s">
        <v>69</v>
      </c>
      <c r="Q1301" t="s">
        <v>69</v>
      </c>
      <c r="R1301" t="s">
        <v>8505</v>
      </c>
      <c r="S1301" t="s">
        <v>8506</v>
      </c>
      <c r="T1301" t="s">
        <v>69</v>
      </c>
      <c r="U1301" t="s">
        <v>69</v>
      </c>
      <c r="V1301" t="s">
        <v>69</v>
      </c>
      <c r="W1301" t="s">
        <v>69</v>
      </c>
      <c r="X1301" t="s">
        <v>69</v>
      </c>
      <c r="Y1301" t="s">
        <v>28681</v>
      </c>
      <c r="Z1301" t="s">
        <v>69</v>
      </c>
      <c r="AA1301" t="s">
        <v>28682</v>
      </c>
      <c r="AB1301" t="s">
        <v>28683</v>
      </c>
      <c r="AC1301" t="s">
        <v>69</v>
      </c>
      <c r="AD1301" t="s">
        <v>28684</v>
      </c>
      <c r="AE1301" t="s">
        <v>28685</v>
      </c>
      <c r="AF1301" t="s">
        <v>28686</v>
      </c>
      <c r="AG1301" t="s">
        <v>28687</v>
      </c>
      <c r="AH1301" t="s">
        <v>28688</v>
      </c>
      <c r="AI1301" t="s">
        <v>28689</v>
      </c>
      <c r="AJ1301" t="s">
        <v>28690</v>
      </c>
      <c r="AK1301" t="s">
        <v>69</v>
      </c>
      <c r="AL1301">
        <v>52</v>
      </c>
      <c r="AM1301">
        <v>15</v>
      </c>
      <c r="AN1301">
        <v>15</v>
      </c>
      <c r="AO1301">
        <v>3</v>
      </c>
      <c r="AP1301">
        <v>5</v>
      </c>
      <c r="AQ1301" t="s">
        <v>8611</v>
      </c>
      <c r="AR1301" t="s">
        <v>8612</v>
      </c>
      <c r="AS1301" t="s">
        <v>8613</v>
      </c>
      <c r="AT1301" t="s">
        <v>28691</v>
      </c>
      <c r="AU1301" t="s">
        <v>28692</v>
      </c>
      <c r="AV1301" t="s">
        <v>69</v>
      </c>
      <c r="AW1301" t="s">
        <v>28693</v>
      </c>
      <c r="AX1301" t="s">
        <v>28694</v>
      </c>
      <c r="AY1301" t="s">
        <v>69</v>
      </c>
      <c r="AZ1301">
        <v>2009</v>
      </c>
      <c r="BA1301">
        <v>5</v>
      </c>
      <c r="BB1301" t="s">
        <v>336</v>
      </c>
      <c r="BC1301" t="s">
        <v>69</v>
      </c>
      <c r="BD1301" t="s">
        <v>69</v>
      </c>
      <c r="BE1301" t="s">
        <v>69</v>
      </c>
      <c r="BF1301" t="s">
        <v>69</v>
      </c>
      <c r="BG1301">
        <v>24</v>
      </c>
      <c r="BH1301">
        <v>35</v>
      </c>
      <c r="BI1301" t="s">
        <v>69</v>
      </c>
      <c r="BJ1301" t="s">
        <v>28695</v>
      </c>
      <c r="BK1301" t="str">
        <f>HYPERLINK("http://dx.doi.org/10.3763/aedm.2009.0903","http://dx.doi.org/10.3763/aedm.2009.0903")</f>
        <v>http://dx.doi.org/10.3763/aedm.2009.0903</v>
      </c>
      <c r="BL1301" t="s">
        <v>69</v>
      </c>
      <c r="BM1301" t="s">
        <v>69</v>
      </c>
      <c r="BN1301">
        <v>12</v>
      </c>
      <c r="BO1301" t="s">
        <v>11242</v>
      </c>
      <c r="BP1301" t="s">
        <v>8573</v>
      </c>
      <c r="BQ1301" t="s">
        <v>8549</v>
      </c>
      <c r="BR1301" t="s">
        <v>28696</v>
      </c>
      <c r="BS1301" t="s">
        <v>28697</v>
      </c>
      <c r="BT1301" t="s">
        <v>69</v>
      </c>
      <c r="BU1301" t="s">
        <v>69</v>
      </c>
      <c r="BV1301" t="s">
        <v>69</v>
      </c>
      <c r="BW1301" t="s">
        <v>69</v>
      </c>
      <c r="BX1301" t="s">
        <v>8526</v>
      </c>
      <c r="BY1301" t="str">
        <f>HYPERLINK("https%3A%2F%2Fwww.webofscience.com%2Fwos%2Fwoscc%2Ffull-record%2FWOS:000213067300003","View Full Record in Web of Science")</f>
        <v>View Full Record in Web of Science</v>
      </c>
    </row>
    <row r="1302" spans="1:77" ht="12.5" x14ac:dyDescent="0.25">
      <c r="A1302" t="s">
        <v>8495</v>
      </c>
      <c r="B1302" s="22" t="s">
        <v>32931</v>
      </c>
      <c r="C1302" s="7"/>
      <c r="D1302" s="7"/>
      <c r="E1302" s="7"/>
      <c r="F1302" t="s">
        <v>67</v>
      </c>
      <c r="G1302" t="s">
        <v>25574</v>
      </c>
      <c r="H1302" t="s">
        <v>69</v>
      </c>
      <c r="I1302" t="s">
        <v>69</v>
      </c>
      <c r="J1302" t="s">
        <v>69</v>
      </c>
      <c r="K1302" t="s">
        <v>25575</v>
      </c>
      <c r="L1302" t="s">
        <v>69</v>
      </c>
      <c r="M1302" t="s">
        <v>69</v>
      </c>
      <c r="N1302" t="s">
        <v>25576</v>
      </c>
      <c r="O1302" t="s">
        <v>25577</v>
      </c>
      <c r="P1302" t="s">
        <v>69</v>
      </c>
      <c r="Q1302" t="s">
        <v>69</v>
      </c>
      <c r="R1302" t="s">
        <v>9357</v>
      </c>
      <c r="S1302" t="s">
        <v>8506</v>
      </c>
      <c r="T1302" t="s">
        <v>69</v>
      </c>
      <c r="U1302" t="s">
        <v>69</v>
      </c>
      <c r="V1302" t="s">
        <v>69</v>
      </c>
      <c r="W1302" t="s">
        <v>69</v>
      </c>
      <c r="X1302" t="s">
        <v>69</v>
      </c>
      <c r="Y1302" t="s">
        <v>25578</v>
      </c>
      <c r="Z1302" t="s">
        <v>69</v>
      </c>
      <c r="AA1302" t="s">
        <v>25579</v>
      </c>
      <c r="AB1302" t="s">
        <v>25580</v>
      </c>
      <c r="AC1302" t="s">
        <v>69</v>
      </c>
      <c r="AD1302" t="s">
        <v>25581</v>
      </c>
      <c r="AE1302" t="s">
        <v>25582</v>
      </c>
      <c r="AF1302" t="s">
        <v>69</v>
      </c>
      <c r="AG1302" t="s">
        <v>69</v>
      </c>
      <c r="AH1302" t="s">
        <v>69</v>
      </c>
      <c r="AI1302" t="s">
        <v>69</v>
      </c>
      <c r="AJ1302" t="s">
        <v>69</v>
      </c>
      <c r="AK1302" t="s">
        <v>69</v>
      </c>
      <c r="AL1302">
        <v>9</v>
      </c>
      <c r="AM1302">
        <v>0</v>
      </c>
      <c r="AN1302">
        <v>0</v>
      </c>
      <c r="AO1302">
        <v>0</v>
      </c>
      <c r="AP1302">
        <v>0</v>
      </c>
      <c r="AQ1302" t="s">
        <v>25583</v>
      </c>
      <c r="AR1302" t="s">
        <v>9367</v>
      </c>
      <c r="AS1302" t="s">
        <v>25584</v>
      </c>
      <c r="AT1302" t="s">
        <v>25585</v>
      </c>
      <c r="AU1302" t="s">
        <v>69</v>
      </c>
      <c r="AV1302" t="s">
        <v>69</v>
      </c>
      <c r="AW1302" t="s">
        <v>25586</v>
      </c>
      <c r="AX1302" t="s">
        <v>25587</v>
      </c>
      <c r="AY1302" t="s">
        <v>69</v>
      </c>
      <c r="AZ1302">
        <v>2013</v>
      </c>
      <c r="BA1302" t="s">
        <v>69</v>
      </c>
      <c r="BB1302">
        <v>1</v>
      </c>
      <c r="BC1302" t="s">
        <v>69</v>
      </c>
      <c r="BD1302" t="s">
        <v>69</v>
      </c>
      <c r="BE1302" t="s">
        <v>69</v>
      </c>
      <c r="BF1302" t="s">
        <v>69</v>
      </c>
      <c r="BG1302">
        <v>206</v>
      </c>
      <c r="BH1302">
        <v>224</v>
      </c>
      <c r="BI1302" t="s">
        <v>69</v>
      </c>
      <c r="BJ1302" t="s">
        <v>69</v>
      </c>
      <c r="BK1302" t="s">
        <v>69</v>
      </c>
      <c r="BL1302" t="s">
        <v>69</v>
      </c>
      <c r="BM1302" t="s">
        <v>69</v>
      </c>
      <c r="BN1302">
        <v>19</v>
      </c>
      <c r="BO1302" t="s">
        <v>12182</v>
      </c>
      <c r="BP1302" t="s">
        <v>8573</v>
      </c>
      <c r="BQ1302" t="s">
        <v>12182</v>
      </c>
      <c r="BR1302" t="s">
        <v>25588</v>
      </c>
      <c r="BS1302" t="s">
        <v>25589</v>
      </c>
      <c r="BT1302" t="s">
        <v>69</v>
      </c>
      <c r="BU1302" t="s">
        <v>69</v>
      </c>
      <c r="BV1302" t="s">
        <v>69</v>
      </c>
      <c r="BW1302" t="s">
        <v>69</v>
      </c>
      <c r="BX1302" t="s">
        <v>8526</v>
      </c>
      <c r="BY1302" t="str">
        <f>HYPERLINK("https%3A%2F%2Fwww.webofscience.com%2Fwos%2Fwoscc%2Ffull-record%2FWOS:000421296600010","View Full Record in Web of Science")</f>
        <v>View Full Record in Web of Science</v>
      </c>
    </row>
    <row r="1303" spans="1:77" ht="12.5" x14ac:dyDescent="0.25">
      <c r="A1303" t="s">
        <v>8495</v>
      </c>
      <c r="B1303" s="7" t="s">
        <v>32933</v>
      </c>
      <c r="C1303" s="7"/>
      <c r="D1303" s="7"/>
      <c r="E1303" s="7"/>
      <c r="F1303" t="s">
        <v>67</v>
      </c>
      <c r="G1303" t="s">
        <v>4301</v>
      </c>
      <c r="H1303" t="s">
        <v>69</v>
      </c>
      <c r="I1303" t="s">
        <v>69</v>
      </c>
      <c r="J1303" t="s">
        <v>69</v>
      </c>
      <c r="K1303" t="s">
        <v>4301</v>
      </c>
      <c r="L1303" t="s">
        <v>69</v>
      </c>
      <c r="M1303" t="s">
        <v>69</v>
      </c>
      <c r="N1303" t="s">
        <v>4302</v>
      </c>
      <c r="O1303" t="s">
        <v>4303</v>
      </c>
      <c r="P1303" t="s">
        <v>69</v>
      </c>
      <c r="Q1303" t="s">
        <v>69</v>
      </c>
      <c r="R1303" t="s">
        <v>8505</v>
      </c>
      <c r="S1303" t="s">
        <v>8506</v>
      </c>
      <c r="T1303" t="s">
        <v>69</v>
      </c>
      <c r="U1303" t="s">
        <v>69</v>
      </c>
      <c r="V1303" t="s">
        <v>69</v>
      </c>
      <c r="W1303" t="s">
        <v>69</v>
      </c>
      <c r="X1303" t="s">
        <v>69</v>
      </c>
      <c r="Y1303" t="s">
        <v>69</v>
      </c>
      <c r="Z1303" t="s">
        <v>69</v>
      </c>
      <c r="AA1303" t="s">
        <v>4304</v>
      </c>
      <c r="AB1303" t="s">
        <v>32651</v>
      </c>
      <c r="AC1303" t="s">
        <v>69</v>
      </c>
      <c r="AD1303" t="s">
        <v>32652</v>
      </c>
      <c r="AE1303" t="s">
        <v>69</v>
      </c>
      <c r="AF1303" t="s">
        <v>69</v>
      </c>
      <c r="AG1303" t="s">
        <v>69</v>
      </c>
      <c r="AH1303" t="s">
        <v>69</v>
      </c>
      <c r="AI1303" t="s">
        <v>69</v>
      </c>
      <c r="AJ1303" t="s">
        <v>69</v>
      </c>
      <c r="AK1303" t="s">
        <v>69</v>
      </c>
      <c r="AL1303">
        <v>4</v>
      </c>
      <c r="AM1303">
        <v>2</v>
      </c>
      <c r="AN1303">
        <v>2</v>
      </c>
      <c r="AO1303">
        <v>0</v>
      </c>
      <c r="AP1303">
        <v>0</v>
      </c>
      <c r="AQ1303" t="s">
        <v>32181</v>
      </c>
      <c r="AR1303" t="s">
        <v>16417</v>
      </c>
      <c r="AS1303" t="s">
        <v>32182</v>
      </c>
      <c r="AT1303" t="s">
        <v>4305</v>
      </c>
      <c r="AU1303" t="s">
        <v>69</v>
      </c>
      <c r="AV1303" t="s">
        <v>69</v>
      </c>
      <c r="AW1303" t="s">
        <v>4303</v>
      </c>
      <c r="AX1303" t="s">
        <v>32653</v>
      </c>
      <c r="AY1303" t="s">
        <v>255</v>
      </c>
      <c r="AZ1303">
        <v>1994</v>
      </c>
      <c r="BA1303">
        <v>108</v>
      </c>
      <c r="BB1303">
        <v>5</v>
      </c>
      <c r="BC1303" t="s">
        <v>69</v>
      </c>
      <c r="BD1303" t="s">
        <v>69</v>
      </c>
      <c r="BE1303" t="s">
        <v>69</v>
      </c>
      <c r="BF1303" t="s">
        <v>69</v>
      </c>
      <c r="BG1303">
        <v>313</v>
      </c>
      <c r="BH1303">
        <v>318</v>
      </c>
      <c r="BI1303" t="s">
        <v>69</v>
      </c>
      <c r="BJ1303" t="s">
        <v>4306</v>
      </c>
      <c r="BK1303" t="str">
        <f>HYPERLINK("http://dx.doi.org/10.1016/S0033-3506(05)80066-6","http://dx.doi.org/10.1016/S0033-3506(05)80066-6")</f>
        <v>http://dx.doi.org/10.1016/S0033-3506(05)80066-6</v>
      </c>
      <c r="BL1303" t="s">
        <v>69</v>
      </c>
      <c r="BM1303" t="s">
        <v>69</v>
      </c>
      <c r="BN1303">
        <v>6</v>
      </c>
      <c r="BO1303" t="s">
        <v>8810</v>
      </c>
      <c r="BP1303" t="s">
        <v>32654</v>
      </c>
      <c r="BQ1303" t="s">
        <v>8810</v>
      </c>
      <c r="BR1303" t="s">
        <v>32655</v>
      </c>
      <c r="BS1303" t="s">
        <v>4307</v>
      </c>
      <c r="BT1303">
        <v>7972671</v>
      </c>
      <c r="BU1303" t="s">
        <v>69</v>
      </c>
      <c r="BV1303" t="s">
        <v>69</v>
      </c>
      <c r="BW1303" t="s">
        <v>69</v>
      </c>
      <c r="BX1303" t="s">
        <v>8526</v>
      </c>
      <c r="BY1303" t="str">
        <f>HYPERLINK("https%3A%2F%2Fwww.webofscience.com%2Fwos%2Fwoscc%2Ffull-record%2FWOS:A1994PF87000002","View Full Record in Web of Science")</f>
        <v>View Full Record in Web of Science</v>
      </c>
    </row>
    <row r="1304" spans="1:77" ht="12.5" x14ac:dyDescent="0.25">
      <c r="A1304" t="s">
        <v>8495</v>
      </c>
      <c r="B1304" s="22" t="s">
        <v>32931</v>
      </c>
      <c r="C1304" s="7"/>
      <c r="D1304" s="7"/>
      <c r="E1304" s="7"/>
      <c r="F1304" t="s">
        <v>67</v>
      </c>
      <c r="G1304" t="s">
        <v>12707</v>
      </c>
      <c r="H1304" t="s">
        <v>69</v>
      </c>
      <c r="I1304" t="s">
        <v>69</v>
      </c>
      <c r="J1304" t="s">
        <v>69</v>
      </c>
      <c r="K1304" t="s">
        <v>12708</v>
      </c>
      <c r="L1304" t="s">
        <v>69</v>
      </c>
      <c r="M1304" t="s">
        <v>69</v>
      </c>
      <c r="N1304" t="s">
        <v>12709</v>
      </c>
      <c r="O1304" t="s">
        <v>12710</v>
      </c>
      <c r="P1304" t="s">
        <v>69</v>
      </c>
      <c r="Q1304" t="s">
        <v>69</v>
      </c>
      <c r="R1304" t="s">
        <v>8505</v>
      </c>
      <c r="S1304" t="s">
        <v>8506</v>
      </c>
      <c r="T1304" t="s">
        <v>69</v>
      </c>
      <c r="U1304" t="s">
        <v>69</v>
      </c>
      <c r="V1304" t="s">
        <v>69</v>
      </c>
      <c r="W1304" t="s">
        <v>69</v>
      </c>
      <c r="X1304" t="s">
        <v>69</v>
      </c>
      <c r="Y1304" t="s">
        <v>12711</v>
      </c>
      <c r="Z1304" t="s">
        <v>69</v>
      </c>
      <c r="AA1304" t="s">
        <v>12712</v>
      </c>
      <c r="AB1304" t="s">
        <v>12713</v>
      </c>
      <c r="AC1304" t="s">
        <v>69</v>
      </c>
      <c r="AD1304" t="s">
        <v>12714</v>
      </c>
      <c r="AE1304" t="s">
        <v>12715</v>
      </c>
      <c r="AF1304" t="s">
        <v>69</v>
      </c>
      <c r="AG1304" t="s">
        <v>12716</v>
      </c>
      <c r="AH1304" t="s">
        <v>69</v>
      </c>
      <c r="AI1304" t="s">
        <v>69</v>
      </c>
      <c r="AJ1304" t="s">
        <v>69</v>
      </c>
      <c r="AK1304" t="s">
        <v>69</v>
      </c>
      <c r="AL1304">
        <v>82</v>
      </c>
      <c r="AM1304">
        <v>2</v>
      </c>
      <c r="AN1304">
        <v>2</v>
      </c>
      <c r="AO1304">
        <v>4</v>
      </c>
      <c r="AP1304">
        <v>10</v>
      </c>
      <c r="AQ1304" t="s">
        <v>8846</v>
      </c>
      <c r="AR1304" t="s">
        <v>8847</v>
      </c>
      <c r="AS1304" t="s">
        <v>8848</v>
      </c>
      <c r="AT1304" t="s">
        <v>12717</v>
      </c>
      <c r="AU1304" t="s">
        <v>12718</v>
      </c>
      <c r="AV1304" t="s">
        <v>69</v>
      </c>
      <c r="AW1304" t="s">
        <v>12719</v>
      </c>
      <c r="AX1304" t="s">
        <v>12720</v>
      </c>
      <c r="AY1304" t="s">
        <v>586</v>
      </c>
      <c r="AZ1304">
        <v>2021</v>
      </c>
      <c r="BA1304">
        <v>63</v>
      </c>
      <c r="BB1304">
        <v>3</v>
      </c>
      <c r="BC1304" t="s">
        <v>69</v>
      </c>
      <c r="BD1304" t="s">
        <v>69</v>
      </c>
      <c r="BE1304" t="s">
        <v>69</v>
      </c>
      <c r="BF1304" t="s">
        <v>69</v>
      </c>
      <c r="BG1304">
        <v>369</v>
      </c>
      <c r="BH1304">
        <v>379</v>
      </c>
      <c r="BI1304" t="s">
        <v>69</v>
      </c>
      <c r="BJ1304" t="s">
        <v>12721</v>
      </c>
      <c r="BK1304" t="str">
        <f>HYPERLINK("http://dx.doi.org/10.1002/tie.22194","http://dx.doi.org/10.1002/tie.22194")</f>
        <v>http://dx.doi.org/10.1002/tie.22194</v>
      </c>
      <c r="BL1304" t="s">
        <v>69</v>
      </c>
      <c r="BM1304" t="s">
        <v>12704</v>
      </c>
      <c r="BN1304">
        <v>11</v>
      </c>
      <c r="BO1304" t="s">
        <v>8444</v>
      </c>
      <c r="BP1304" t="s">
        <v>8573</v>
      </c>
      <c r="BQ1304" t="s">
        <v>8594</v>
      </c>
      <c r="BR1304" t="s">
        <v>12722</v>
      </c>
      <c r="BS1304" t="s">
        <v>12723</v>
      </c>
      <c r="BT1304" t="s">
        <v>69</v>
      </c>
      <c r="BU1304" t="s">
        <v>69</v>
      </c>
      <c r="BV1304" t="s">
        <v>69</v>
      </c>
      <c r="BW1304" t="s">
        <v>69</v>
      </c>
      <c r="BX1304" t="s">
        <v>8526</v>
      </c>
      <c r="BY1304" t="str">
        <f>HYPERLINK("https%3A%2F%2Fwww.webofscience.com%2Fwos%2Fwoscc%2Ffull-record%2FWOS:000630171200001","View Full Record in Web of Science")</f>
        <v>View Full Record in Web of Science</v>
      </c>
    </row>
    <row r="1305" spans="1:77" x14ac:dyDescent="0.3">
      <c r="A1305" t="s">
        <v>8495</v>
      </c>
      <c r="B1305" s="13" t="s">
        <v>33017</v>
      </c>
      <c r="F1305" t="s">
        <v>67</v>
      </c>
      <c r="G1305" t="s">
        <v>5933</v>
      </c>
      <c r="H1305" t="s">
        <v>69</v>
      </c>
      <c r="I1305" t="s">
        <v>69</v>
      </c>
      <c r="J1305" t="s">
        <v>69</v>
      </c>
      <c r="K1305" s="4" t="s">
        <v>5933</v>
      </c>
      <c r="L1305" t="s">
        <v>69</v>
      </c>
      <c r="M1305" t="s">
        <v>69</v>
      </c>
      <c r="N1305" s="2" t="s">
        <v>5934</v>
      </c>
      <c r="O1305" t="s">
        <v>5935</v>
      </c>
      <c r="P1305" t="s">
        <v>69</v>
      </c>
      <c r="Q1305" t="s">
        <v>69</v>
      </c>
      <c r="R1305" t="s">
        <v>8505</v>
      </c>
      <c r="S1305" t="s">
        <v>8506</v>
      </c>
      <c r="T1305" t="s">
        <v>69</v>
      </c>
      <c r="U1305" t="s">
        <v>69</v>
      </c>
      <c r="V1305" t="s">
        <v>69</v>
      </c>
      <c r="W1305" t="s">
        <v>69</v>
      </c>
      <c r="X1305" t="s">
        <v>69</v>
      </c>
      <c r="Y1305" t="s">
        <v>69</v>
      </c>
      <c r="Z1305" t="s">
        <v>69</v>
      </c>
      <c r="AA1305" t="s">
        <v>5936</v>
      </c>
      <c r="AB1305" t="s">
        <v>32708</v>
      </c>
      <c r="AC1305" t="s">
        <v>69</v>
      </c>
      <c r="AD1305" t="s">
        <v>32709</v>
      </c>
      <c r="AE1305" t="s">
        <v>69</v>
      </c>
      <c r="AF1305" t="s">
        <v>69</v>
      </c>
      <c r="AG1305" t="s">
        <v>69</v>
      </c>
      <c r="AH1305" t="s">
        <v>69</v>
      </c>
      <c r="AI1305" t="s">
        <v>69</v>
      </c>
      <c r="AJ1305" t="s">
        <v>69</v>
      </c>
      <c r="AK1305" t="s">
        <v>69</v>
      </c>
      <c r="AL1305">
        <v>63</v>
      </c>
      <c r="AM1305">
        <v>9</v>
      </c>
      <c r="AN1305">
        <v>9</v>
      </c>
      <c r="AO1305">
        <v>1</v>
      </c>
      <c r="AP1305">
        <v>25</v>
      </c>
      <c r="AQ1305" t="s">
        <v>32710</v>
      </c>
      <c r="AR1305" t="s">
        <v>10518</v>
      </c>
      <c r="AS1305" t="s">
        <v>32711</v>
      </c>
      <c r="AT1305" t="s">
        <v>5937</v>
      </c>
      <c r="AU1305" t="s">
        <v>69</v>
      </c>
      <c r="AV1305" t="s">
        <v>69</v>
      </c>
      <c r="AW1305" t="s">
        <v>32712</v>
      </c>
      <c r="AX1305" t="s">
        <v>32713</v>
      </c>
      <c r="AY1305" t="s">
        <v>1710</v>
      </c>
      <c r="AZ1305">
        <v>1993</v>
      </c>
      <c r="BA1305">
        <v>36</v>
      </c>
      <c r="BB1305">
        <v>4</v>
      </c>
      <c r="BC1305" t="s">
        <v>69</v>
      </c>
      <c r="BD1305" t="s">
        <v>69</v>
      </c>
      <c r="BE1305" t="s">
        <v>69</v>
      </c>
      <c r="BF1305" t="s">
        <v>69</v>
      </c>
      <c r="BG1305">
        <v>499</v>
      </c>
      <c r="BH1305">
        <v>529</v>
      </c>
      <c r="BI1305" t="s">
        <v>69</v>
      </c>
      <c r="BJ1305" t="s">
        <v>5938</v>
      </c>
      <c r="BK1305" t="str">
        <f>HYPERLINK("http://dx.doi.org/10.1111/j.1754-7121.1993.tb00831.x","http://dx.doi.org/10.1111/j.1754-7121.1993.tb00831.x")</f>
        <v>http://dx.doi.org/10.1111/j.1754-7121.1993.tb00831.x</v>
      </c>
      <c r="BL1305" t="s">
        <v>69</v>
      </c>
      <c r="BM1305" t="s">
        <v>69</v>
      </c>
      <c r="BN1305">
        <v>31</v>
      </c>
      <c r="BO1305" t="s">
        <v>12182</v>
      </c>
      <c r="BP1305" t="s">
        <v>8661</v>
      </c>
      <c r="BQ1305" t="s">
        <v>12182</v>
      </c>
      <c r="BR1305" t="s">
        <v>32714</v>
      </c>
      <c r="BS1305" t="s">
        <v>5939</v>
      </c>
      <c r="BT1305" t="s">
        <v>69</v>
      </c>
      <c r="BU1305" t="s">
        <v>69</v>
      </c>
      <c r="BV1305" t="s">
        <v>69</v>
      </c>
      <c r="BW1305" t="s">
        <v>69</v>
      </c>
      <c r="BX1305" t="s">
        <v>8526</v>
      </c>
      <c r="BY1305" t="str">
        <f>HYPERLINK("https%3A%2F%2Fwww.webofscience.com%2Fwos%2Fwoscc%2Ffull-record%2FWOS:A1993MX75400003","View Full Record in Web of Science")</f>
        <v>View Full Record in Web of Science</v>
      </c>
    </row>
    <row r="1306" spans="1:77" ht="12.5" x14ac:dyDescent="0.25">
      <c r="A1306" t="s">
        <v>8495</v>
      </c>
      <c r="B1306" s="7" t="s">
        <v>32933</v>
      </c>
      <c r="C1306" s="7"/>
      <c r="D1306" s="7"/>
      <c r="E1306" s="7"/>
      <c r="F1306" t="s">
        <v>67</v>
      </c>
      <c r="G1306" t="s">
        <v>7311</v>
      </c>
      <c r="H1306" t="s">
        <v>69</v>
      </c>
      <c r="I1306" t="s">
        <v>69</v>
      </c>
      <c r="J1306" t="s">
        <v>69</v>
      </c>
      <c r="K1306" t="s">
        <v>7312</v>
      </c>
      <c r="L1306" t="s">
        <v>69</v>
      </c>
      <c r="M1306" t="s">
        <v>69</v>
      </c>
      <c r="N1306" t="s">
        <v>7313</v>
      </c>
      <c r="O1306" t="s">
        <v>859</v>
      </c>
      <c r="P1306" t="s">
        <v>69</v>
      </c>
      <c r="Q1306" t="s">
        <v>69</v>
      </c>
      <c r="R1306" t="s">
        <v>8505</v>
      </c>
      <c r="S1306" t="s">
        <v>8506</v>
      </c>
      <c r="T1306" t="s">
        <v>69</v>
      </c>
      <c r="U1306" t="s">
        <v>69</v>
      </c>
      <c r="V1306" t="s">
        <v>69</v>
      </c>
      <c r="W1306" t="s">
        <v>69</v>
      </c>
      <c r="X1306" t="s">
        <v>69</v>
      </c>
      <c r="Y1306" t="s">
        <v>69</v>
      </c>
      <c r="Z1306" t="s">
        <v>18498</v>
      </c>
      <c r="AA1306" t="s">
        <v>7314</v>
      </c>
      <c r="AB1306" t="s">
        <v>18499</v>
      </c>
      <c r="AC1306" t="s">
        <v>69</v>
      </c>
      <c r="AD1306" t="s">
        <v>18500</v>
      </c>
      <c r="AE1306" t="s">
        <v>18501</v>
      </c>
      <c r="AF1306" t="s">
        <v>69</v>
      </c>
      <c r="AG1306" t="s">
        <v>7315</v>
      </c>
      <c r="AH1306" t="s">
        <v>18502</v>
      </c>
      <c r="AI1306" t="s">
        <v>18503</v>
      </c>
      <c r="AJ1306" t="s">
        <v>18504</v>
      </c>
      <c r="AK1306" t="s">
        <v>69</v>
      </c>
      <c r="AL1306">
        <v>43</v>
      </c>
      <c r="AM1306">
        <v>7</v>
      </c>
      <c r="AN1306">
        <v>7</v>
      </c>
      <c r="AO1306">
        <v>0</v>
      </c>
      <c r="AP1306">
        <v>6</v>
      </c>
      <c r="AQ1306" t="s">
        <v>11130</v>
      </c>
      <c r="AR1306" t="s">
        <v>11131</v>
      </c>
      <c r="AS1306" t="s">
        <v>11132</v>
      </c>
      <c r="AT1306" t="s">
        <v>862</v>
      </c>
      <c r="AU1306" t="s">
        <v>69</v>
      </c>
      <c r="AV1306" t="s">
        <v>69</v>
      </c>
      <c r="AW1306" t="s">
        <v>859</v>
      </c>
      <c r="AX1306" t="s">
        <v>11133</v>
      </c>
      <c r="AY1306" t="s">
        <v>3297</v>
      </c>
      <c r="AZ1306">
        <v>2018</v>
      </c>
      <c r="BA1306">
        <v>13</v>
      </c>
      <c r="BB1306">
        <v>8</v>
      </c>
      <c r="BC1306" t="s">
        <v>69</v>
      </c>
      <c r="BD1306" t="s">
        <v>69</v>
      </c>
      <c r="BE1306" t="s">
        <v>69</v>
      </c>
      <c r="BF1306" t="s">
        <v>69</v>
      </c>
      <c r="BG1306" t="s">
        <v>69</v>
      </c>
      <c r="BH1306" t="s">
        <v>69</v>
      </c>
      <c r="BI1306" t="s">
        <v>7316</v>
      </c>
      <c r="BJ1306" t="s">
        <v>7317</v>
      </c>
      <c r="BK1306" t="str">
        <f>HYPERLINK("http://dx.doi.org/10.1371/journal.pone.0201145","http://dx.doi.org/10.1371/journal.pone.0201145")</f>
        <v>http://dx.doi.org/10.1371/journal.pone.0201145</v>
      </c>
      <c r="BL1306" t="s">
        <v>69</v>
      </c>
      <c r="BM1306" t="s">
        <v>69</v>
      </c>
      <c r="BN1306">
        <v>18</v>
      </c>
      <c r="BO1306" t="s">
        <v>8619</v>
      </c>
      <c r="BP1306" t="s">
        <v>8548</v>
      </c>
      <c r="BQ1306" t="s">
        <v>8620</v>
      </c>
      <c r="BR1306" t="s">
        <v>18505</v>
      </c>
      <c r="BS1306" t="s">
        <v>7318</v>
      </c>
      <c r="BT1306">
        <v>30067802</v>
      </c>
      <c r="BU1306" t="s">
        <v>10482</v>
      </c>
      <c r="BV1306" t="s">
        <v>69</v>
      </c>
      <c r="BW1306" t="s">
        <v>69</v>
      </c>
      <c r="BX1306" t="s">
        <v>8526</v>
      </c>
      <c r="BY1306" t="str">
        <f>HYPERLINK("https%3A%2F%2Fwww.webofscience.com%2Fwos%2Fwoscc%2Ffull-record%2FWOS:000440415500077","View Full Record in Web of Science")</f>
        <v>View Full Record in Web of Science</v>
      </c>
    </row>
    <row r="1307" spans="1:77" ht="12.5" x14ac:dyDescent="0.25">
      <c r="A1307" t="s">
        <v>8495</v>
      </c>
      <c r="B1307" s="7" t="s">
        <v>32933</v>
      </c>
      <c r="C1307" s="7"/>
      <c r="D1307" s="7"/>
      <c r="E1307" s="7"/>
      <c r="F1307" t="s">
        <v>67</v>
      </c>
      <c r="G1307" t="s">
        <v>7378</v>
      </c>
      <c r="H1307" t="s">
        <v>69</v>
      </c>
      <c r="I1307" t="s">
        <v>69</v>
      </c>
      <c r="J1307" t="s">
        <v>69</v>
      </c>
      <c r="K1307" t="s">
        <v>7379</v>
      </c>
      <c r="L1307" t="s">
        <v>69</v>
      </c>
      <c r="M1307" t="s">
        <v>69</v>
      </c>
      <c r="N1307" t="s">
        <v>7380</v>
      </c>
      <c r="O1307" t="s">
        <v>7381</v>
      </c>
      <c r="P1307" t="s">
        <v>69</v>
      </c>
      <c r="Q1307" t="s">
        <v>69</v>
      </c>
      <c r="R1307" t="s">
        <v>10071</v>
      </c>
      <c r="S1307" t="s">
        <v>8506</v>
      </c>
      <c r="T1307" t="s">
        <v>69</v>
      </c>
      <c r="U1307" t="s">
        <v>69</v>
      </c>
      <c r="V1307" t="s">
        <v>69</v>
      </c>
      <c r="W1307" t="s">
        <v>69</v>
      </c>
      <c r="X1307" t="s">
        <v>69</v>
      </c>
      <c r="Y1307" t="s">
        <v>22586</v>
      </c>
      <c r="Z1307" t="s">
        <v>69</v>
      </c>
      <c r="AA1307" t="s">
        <v>7382</v>
      </c>
      <c r="AB1307" t="s">
        <v>22587</v>
      </c>
      <c r="AC1307" t="s">
        <v>69</v>
      </c>
      <c r="AD1307" t="s">
        <v>22588</v>
      </c>
      <c r="AE1307" t="s">
        <v>22589</v>
      </c>
      <c r="AF1307" t="s">
        <v>69</v>
      </c>
      <c r="AG1307" t="s">
        <v>7383</v>
      </c>
      <c r="AH1307" t="s">
        <v>69</v>
      </c>
      <c r="AI1307" t="s">
        <v>69</v>
      </c>
      <c r="AJ1307" t="s">
        <v>69</v>
      </c>
      <c r="AK1307" t="s">
        <v>69</v>
      </c>
      <c r="AL1307">
        <v>24</v>
      </c>
      <c r="AM1307">
        <v>0</v>
      </c>
      <c r="AN1307">
        <v>0</v>
      </c>
      <c r="AO1307">
        <v>0</v>
      </c>
      <c r="AP1307">
        <v>2</v>
      </c>
      <c r="AQ1307" t="s">
        <v>22590</v>
      </c>
      <c r="AR1307" t="s">
        <v>16078</v>
      </c>
      <c r="AS1307" t="s">
        <v>22591</v>
      </c>
      <c r="AT1307" t="s">
        <v>7384</v>
      </c>
      <c r="AU1307" t="s">
        <v>7385</v>
      </c>
      <c r="AV1307" t="s">
        <v>69</v>
      </c>
      <c r="AW1307" t="s">
        <v>22592</v>
      </c>
      <c r="AX1307" t="s">
        <v>22593</v>
      </c>
      <c r="AY1307" t="s">
        <v>6479</v>
      </c>
      <c r="AZ1307">
        <v>2015</v>
      </c>
      <c r="BA1307">
        <v>38</v>
      </c>
      <c r="BB1307">
        <v>2</v>
      </c>
      <c r="BC1307" t="s">
        <v>69</v>
      </c>
      <c r="BD1307" t="s">
        <v>69</v>
      </c>
      <c r="BE1307" t="s">
        <v>69</v>
      </c>
      <c r="BF1307" t="s">
        <v>69</v>
      </c>
      <c r="BG1307">
        <v>139</v>
      </c>
      <c r="BH1307">
        <v>165</v>
      </c>
      <c r="BI1307" t="s">
        <v>69</v>
      </c>
      <c r="BJ1307" t="s">
        <v>7386</v>
      </c>
      <c r="BK1307" t="str">
        <f>HYPERLINK("http://dx.doi.org/10.15446/rcs.v38n2.55551","http://dx.doi.org/10.15446/rcs.v38n2.55551")</f>
        <v>http://dx.doi.org/10.15446/rcs.v38n2.55551</v>
      </c>
      <c r="BL1307" t="s">
        <v>69</v>
      </c>
      <c r="BM1307" t="s">
        <v>69</v>
      </c>
      <c r="BN1307">
        <v>27</v>
      </c>
      <c r="BO1307" t="s">
        <v>12930</v>
      </c>
      <c r="BP1307" t="s">
        <v>8573</v>
      </c>
      <c r="BQ1307" t="s">
        <v>12930</v>
      </c>
      <c r="BR1307" t="s">
        <v>22594</v>
      </c>
      <c r="BS1307" t="s">
        <v>7387</v>
      </c>
      <c r="BT1307" t="s">
        <v>69</v>
      </c>
      <c r="BU1307" t="s">
        <v>10765</v>
      </c>
      <c r="BV1307" t="s">
        <v>69</v>
      </c>
      <c r="BW1307" t="s">
        <v>69</v>
      </c>
      <c r="BX1307" t="s">
        <v>8526</v>
      </c>
      <c r="BY1307" t="str">
        <f>HYPERLINK("https%3A%2F%2Fwww.webofscience.com%2Fwos%2Fwoscc%2Ffull-record%2FWOS:000439514300007","View Full Record in Web of Science")</f>
        <v>View Full Record in Web of Science</v>
      </c>
    </row>
    <row r="1308" spans="1:77" ht="12.5" x14ac:dyDescent="0.25">
      <c r="A1308" t="s">
        <v>8495</v>
      </c>
      <c r="B1308" s="7" t="s">
        <v>32933</v>
      </c>
      <c r="C1308" s="7"/>
      <c r="D1308" s="7"/>
      <c r="E1308" s="7"/>
      <c r="F1308" t="s">
        <v>67</v>
      </c>
      <c r="G1308" t="s">
        <v>8170</v>
      </c>
      <c r="H1308" t="s">
        <v>69</v>
      </c>
      <c r="I1308" t="s">
        <v>69</v>
      </c>
      <c r="J1308" t="s">
        <v>69</v>
      </c>
      <c r="K1308" t="s">
        <v>8171</v>
      </c>
      <c r="L1308" t="s">
        <v>69</v>
      </c>
      <c r="M1308" t="s">
        <v>69</v>
      </c>
      <c r="N1308" t="s">
        <v>8172</v>
      </c>
      <c r="O1308" t="s">
        <v>8173</v>
      </c>
      <c r="P1308" t="s">
        <v>69</v>
      </c>
      <c r="Q1308" t="s">
        <v>69</v>
      </c>
      <c r="R1308" t="s">
        <v>8505</v>
      </c>
      <c r="S1308" t="s">
        <v>8506</v>
      </c>
      <c r="T1308" t="s">
        <v>69</v>
      </c>
      <c r="U1308" t="s">
        <v>69</v>
      </c>
      <c r="V1308" t="s">
        <v>69</v>
      </c>
      <c r="W1308" t="s">
        <v>69</v>
      </c>
      <c r="X1308" t="s">
        <v>69</v>
      </c>
      <c r="Y1308" t="s">
        <v>28383</v>
      </c>
      <c r="Z1308" t="s">
        <v>28384</v>
      </c>
      <c r="AA1308" t="s">
        <v>8174</v>
      </c>
      <c r="AB1308" t="s">
        <v>28385</v>
      </c>
      <c r="AC1308" t="s">
        <v>69</v>
      </c>
      <c r="AD1308" t="s">
        <v>28386</v>
      </c>
      <c r="AE1308" t="s">
        <v>69</v>
      </c>
      <c r="AF1308" t="s">
        <v>69</v>
      </c>
      <c r="AG1308" t="s">
        <v>8175</v>
      </c>
      <c r="AH1308" t="s">
        <v>69</v>
      </c>
      <c r="AI1308" t="s">
        <v>69</v>
      </c>
      <c r="AJ1308" t="s">
        <v>69</v>
      </c>
      <c r="AK1308" t="s">
        <v>69</v>
      </c>
      <c r="AL1308">
        <v>46</v>
      </c>
      <c r="AM1308">
        <v>3</v>
      </c>
      <c r="AN1308">
        <v>3</v>
      </c>
      <c r="AO1308">
        <v>0</v>
      </c>
      <c r="AP1308">
        <v>28</v>
      </c>
      <c r="AQ1308" t="s">
        <v>8762</v>
      </c>
      <c r="AR1308" t="s">
        <v>8763</v>
      </c>
      <c r="AS1308" t="s">
        <v>8764</v>
      </c>
      <c r="AT1308" t="s">
        <v>8176</v>
      </c>
      <c r="AU1308" t="s">
        <v>8177</v>
      </c>
      <c r="AV1308" t="s">
        <v>69</v>
      </c>
      <c r="AW1308" t="s">
        <v>28387</v>
      </c>
      <c r="AX1308" t="s">
        <v>28388</v>
      </c>
      <c r="AY1308" t="s">
        <v>255</v>
      </c>
      <c r="AZ1308">
        <v>2009</v>
      </c>
      <c r="BA1308">
        <v>75</v>
      </c>
      <c r="BB1308">
        <v>3</v>
      </c>
      <c r="BC1308" t="s">
        <v>69</v>
      </c>
      <c r="BD1308" t="s">
        <v>69</v>
      </c>
      <c r="BE1308" t="s">
        <v>69</v>
      </c>
      <c r="BF1308" t="s">
        <v>69</v>
      </c>
      <c r="BG1308">
        <v>419</v>
      </c>
      <c r="BH1308">
        <v>435</v>
      </c>
      <c r="BI1308" t="s">
        <v>69</v>
      </c>
      <c r="BJ1308" t="s">
        <v>8178</v>
      </c>
      <c r="BK1308" t="str">
        <f>HYPERLINK("http://dx.doi.org/10.1177/0020852309341332","http://dx.doi.org/10.1177/0020852309341332")</f>
        <v>http://dx.doi.org/10.1177/0020852309341332</v>
      </c>
      <c r="BL1308" t="s">
        <v>69</v>
      </c>
      <c r="BM1308" t="s">
        <v>69</v>
      </c>
      <c r="BN1308">
        <v>17</v>
      </c>
      <c r="BO1308" t="s">
        <v>12182</v>
      </c>
      <c r="BP1308" t="s">
        <v>8661</v>
      </c>
      <c r="BQ1308" t="s">
        <v>12182</v>
      </c>
      <c r="BR1308" t="s">
        <v>28389</v>
      </c>
      <c r="BS1308" t="s">
        <v>8179</v>
      </c>
      <c r="BT1308" t="s">
        <v>69</v>
      </c>
      <c r="BU1308" t="s">
        <v>69</v>
      </c>
      <c r="BV1308" t="s">
        <v>69</v>
      </c>
      <c r="BW1308" t="s">
        <v>69</v>
      </c>
      <c r="BX1308" t="s">
        <v>8526</v>
      </c>
      <c r="BY1308" t="str">
        <f>HYPERLINK("https%3A%2F%2Fwww.webofscience.com%2Fwos%2Fwoscc%2Ffull-record%2FWOS:000270465500004","View Full Record in Web of Science")</f>
        <v>View Full Record in Web of Science</v>
      </c>
    </row>
    <row r="1309" spans="1:77" ht="12.5" x14ac:dyDescent="0.25">
      <c r="A1309" t="s">
        <v>8495</v>
      </c>
      <c r="B1309" s="22" t="s">
        <v>32931</v>
      </c>
      <c r="C1309" s="7"/>
      <c r="D1309" s="7"/>
      <c r="E1309" s="7"/>
      <c r="F1309" t="s">
        <v>67</v>
      </c>
      <c r="G1309" t="s">
        <v>9167</v>
      </c>
      <c r="H1309" t="s">
        <v>69</v>
      </c>
      <c r="I1309" t="s">
        <v>69</v>
      </c>
      <c r="J1309" t="s">
        <v>69</v>
      </c>
      <c r="K1309" t="s">
        <v>9168</v>
      </c>
      <c r="L1309" t="s">
        <v>69</v>
      </c>
      <c r="M1309" t="s">
        <v>69</v>
      </c>
      <c r="N1309" t="s">
        <v>9169</v>
      </c>
      <c r="O1309" t="s">
        <v>9170</v>
      </c>
      <c r="P1309" t="s">
        <v>69</v>
      </c>
      <c r="Q1309" t="s">
        <v>69</v>
      </c>
      <c r="R1309" t="s">
        <v>8505</v>
      </c>
      <c r="S1309" t="s">
        <v>8506</v>
      </c>
      <c r="T1309" t="s">
        <v>69</v>
      </c>
      <c r="U1309" t="s">
        <v>69</v>
      </c>
      <c r="V1309" t="s">
        <v>69</v>
      </c>
      <c r="W1309" t="s">
        <v>69</v>
      </c>
      <c r="X1309" t="s">
        <v>69</v>
      </c>
      <c r="Y1309" t="s">
        <v>9171</v>
      </c>
      <c r="Z1309" t="s">
        <v>69</v>
      </c>
      <c r="AA1309" t="s">
        <v>9172</v>
      </c>
      <c r="AB1309" t="s">
        <v>9173</v>
      </c>
      <c r="AC1309" t="s">
        <v>69</v>
      </c>
      <c r="AD1309" t="s">
        <v>9174</v>
      </c>
      <c r="AE1309" t="s">
        <v>9175</v>
      </c>
      <c r="AF1309" t="s">
        <v>69</v>
      </c>
      <c r="AG1309" t="s">
        <v>69</v>
      </c>
      <c r="AH1309" t="s">
        <v>9176</v>
      </c>
      <c r="AI1309" t="s">
        <v>9176</v>
      </c>
      <c r="AJ1309" t="s">
        <v>9177</v>
      </c>
      <c r="AK1309" t="s">
        <v>69</v>
      </c>
      <c r="AL1309">
        <v>14</v>
      </c>
      <c r="AM1309">
        <v>0</v>
      </c>
      <c r="AN1309">
        <v>0</v>
      </c>
      <c r="AO1309">
        <v>1</v>
      </c>
      <c r="AP1309">
        <v>1</v>
      </c>
      <c r="AQ1309" t="s">
        <v>9178</v>
      </c>
      <c r="AR1309" t="s">
        <v>8763</v>
      </c>
      <c r="AS1309" t="s">
        <v>9179</v>
      </c>
      <c r="AT1309" t="s">
        <v>69</v>
      </c>
      <c r="AU1309" t="s">
        <v>9180</v>
      </c>
      <c r="AV1309" t="s">
        <v>69</v>
      </c>
      <c r="AW1309" t="s">
        <v>9181</v>
      </c>
      <c r="AX1309" t="s">
        <v>9182</v>
      </c>
      <c r="AY1309" t="s">
        <v>586</v>
      </c>
      <c r="AZ1309">
        <v>2022</v>
      </c>
      <c r="BA1309">
        <v>11</v>
      </c>
      <c r="BB1309" t="s">
        <v>9183</v>
      </c>
      <c r="BC1309" t="s">
        <v>69</v>
      </c>
      <c r="BD1309">
        <v>1</v>
      </c>
      <c r="BE1309" t="s">
        <v>69</v>
      </c>
      <c r="BF1309" t="s">
        <v>69</v>
      </c>
      <c r="BG1309" t="s">
        <v>69</v>
      </c>
      <c r="BH1309" t="s">
        <v>69</v>
      </c>
      <c r="BI1309" t="s">
        <v>9184</v>
      </c>
      <c r="BJ1309" t="s">
        <v>9185</v>
      </c>
      <c r="BK1309" t="str">
        <f>HYPERLINK("http://dx.doi.org/10.1136/bmjoq-2021-001775","http://dx.doi.org/10.1136/bmjoq-2021-001775")</f>
        <v>http://dx.doi.org/10.1136/bmjoq-2021-001775</v>
      </c>
      <c r="BL1309" t="s">
        <v>69</v>
      </c>
      <c r="BM1309" t="s">
        <v>69</v>
      </c>
      <c r="BN1309">
        <v>6</v>
      </c>
      <c r="BO1309" t="s">
        <v>9186</v>
      </c>
      <c r="BP1309" t="s">
        <v>8573</v>
      </c>
      <c r="BQ1309" t="s">
        <v>9187</v>
      </c>
      <c r="BR1309" t="s">
        <v>9188</v>
      </c>
      <c r="BS1309" t="s">
        <v>9189</v>
      </c>
      <c r="BT1309">
        <v>35545274</v>
      </c>
      <c r="BU1309" t="s">
        <v>8812</v>
      </c>
      <c r="BV1309" t="s">
        <v>69</v>
      </c>
      <c r="BW1309" t="s">
        <v>69</v>
      </c>
      <c r="BX1309" t="s">
        <v>8526</v>
      </c>
      <c r="BY1309" t="str">
        <f>HYPERLINK("https%3A%2F%2Fwww.webofscience.com%2Fwos%2Fwoscc%2Ffull-record%2FWOS:000793935700008","View Full Record in Web of Science")</f>
        <v>View Full Record in Web of Science</v>
      </c>
    </row>
    <row r="1310" spans="1:77" ht="12.5" x14ac:dyDescent="0.25">
      <c r="A1310" t="s">
        <v>8495</v>
      </c>
      <c r="B1310" s="7" t="s">
        <v>32933</v>
      </c>
      <c r="C1310" s="7"/>
      <c r="D1310" s="7"/>
      <c r="E1310" s="7"/>
      <c r="F1310" t="s">
        <v>67</v>
      </c>
      <c r="G1310" t="s">
        <v>5555</v>
      </c>
      <c r="H1310" t="s">
        <v>69</v>
      </c>
      <c r="I1310" t="s">
        <v>69</v>
      </c>
      <c r="J1310" t="s">
        <v>69</v>
      </c>
      <c r="K1310" t="s">
        <v>5556</v>
      </c>
      <c r="L1310" t="s">
        <v>69</v>
      </c>
      <c r="M1310" t="s">
        <v>69</v>
      </c>
      <c r="N1310" t="s">
        <v>7162</v>
      </c>
      <c r="O1310" t="s">
        <v>7163</v>
      </c>
      <c r="P1310" t="s">
        <v>69</v>
      </c>
      <c r="Q1310" t="s">
        <v>69</v>
      </c>
      <c r="R1310" t="s">
        <v>8505</v>
      </c>
      <c r="S1310" t="s">
        <v>8506</v>
      </c>
      <c r="T1310" t="s">
        <v>69</v>
      </c>
      <c r="U1310" t="s">
        <v>69</v>
      </c>
      <c r="V1310" t="s">
        <v>69</v>
      </c>
      <c r="W1310" t="s">
        <v>69</v>
      </c>
      <c r="X1310" t="s">
        <v>69</v>
      </c>
      <c r="Y1310" t="s">
        <v>27278</v>
      </c>
      <c r="Z1310" t="s">
        <v>27279</v>
      </c>
      <c r="AA1310" t="s">
        <v>7164</v>
      </c>
      <c r="AB1310" t="s">
        <v>27280</v>
      </c>
      <c r="AC1310" t="s">
        <v>69</v>
      </c>
      <c r="AD1310" t="s">
        <v>27281</v>
      </c>
      <c r="AE1310" t="s">
        <v>27282</v>
      </c>
      <c r="AF1310" t="s">
        <v>25000</v>
      </c>
      <c r="AG1310" t="s">
        <v>25001</v>
      </c>
      <c r="AH1310" t="s">
        <v>69</v>
      </c>
      <c r="AI1310" t="s">
        <v>69</v>
      </c>
      <c r="AJ1310" t="s">
        <v>69</v>
      </c>
      <c r="AK1310" t="s">
        <v>69</v>
      </c>
      <c r="AL1310">
        <v>20</v>
      </c>
      <c r="AM1310">
        <v>34</v>
      </c>
      <c r="AN1310">
        <v>34</v>
      </c>
      <c r="AO1310">
        <v>0</v>
      </c>
      <c r="AP1310">
        <v>11</v>
      </c>
      <c r="AQ1310" t="s">
        <v>27283</v>
      </c>
      <c r="AR1310" t="s">
        <v>27284</v>
      </c>
      <c r="AS1310" t="s">
        <v>27285</v>
      </c>
      <c r="AT1310" t="s">
        <v>7165</v>
      </c>
      <c r="AU1310" t="s">
        <v>7166</v>
      </c>
      <c r="AV1310" t="s">
        <v>69</v>
      </c>
      <c r="AW1310" t="s">
        <v>27286</v>
      </c>
      <c r="AX1310" t="s">
        <v>27287</v>
      </c>
      <c r="AY1310" t="s">
        <v>69</v>
      </c>
      <c r="AZ1310">
        <v>2011</v>
      </c>
      <c r="BA1310">
        <v>18</v>
      </c>
      <c r="BB1310">
        <v>2</v>
      </c>
      <c r="BC1310" t="s">
        <v>69</v>
      </c>
      <c r="BD1310" t="s">
        <v>69</v>
      </c>
      <c r="BE1310" t="s">
        <v>69</v>
      </c>
      <c r="BF1310" t="s">
        <v>69</v>
      </c>
      <c r="BG1310">
        <v>429</v>
      </c>
      <c r="BH1310">
        <v>432</v>
      </c>
      <c r="BI1310" t="s">
        <v>69</v>
      </c>
      <c r="BJ1310" t="s">
        <v>69</v>
      </c>
      <c r="BK1310" t="s">
        <v>69</v>
      </c>
      <c r="BL1310" t="s">
        <v>69</v>
      </c>
      <c r="BM1310" t="s">
        <v>69</v>
      </c>
      <c r="BN1310">
        <v>4</v>
      </c>
      <c r="BO1310" t="s">
        <v>10595</v>
      </c>
      <c r="BP1310" t="s">
        <v>8523</v>
      </c>
      <c r="BQ1310" t="s">
        <v>10596</v>
      </c>
      <c r="BR1310" t="s">
        <v>27288</v>
      </c>
      <c r="BS1310" t="s">
        <v>7167</v>
      </c>
      <c r="BT1310">
        <v>22216824</v>
      </c>
      <c r="BU1310" t="s">
        <v>69</v>
      </c>
      <c r="BV1310" t="s">
        <v>69</v>
      </c>
      <c r="BW1310" t="s">
        <v>69</v>
      </c>
      <c r="BX1310" t="s">
        <v>8526</v>
      </c>
      <c r="BY1310" t="str">
        <f>HYPERLINK("https%3A%2F%2Fwww.webofscience.com%2Fwos%2Fwoscc%2Ffull-record%2FWOS:000298829200045","View Full Record in Web of Science")</f>
        <v>View Full Record in Web of Science</v>
      </c>
    </row>
    <row r="1311" spans="1:77" ht="12.5" x14ac:dyDescent="0.25">
      <c r="A1311" t="s">
        <v>8495</v>
      </c>
      <c r="B1311" s="7" t="s">
        <v>32933</v>
      </c>
      <c r="C1311" s="7"/>
      <c r="D1311" s="7"/>
      <c r="E1311" s="7"/>
      <c r="F1311" t="s">
        <v>67</v>
      </c>
      <c r="G1311" t="s">
        <v>5555</v>
      </c>
      <c r="H1311" t="s">
        <v>69</v>
      </c>
      <c r="I1311" t="s">
        <v>69</v>
      </c>
      <c r="J1311" t="s">
        <v>69</v>
      </c>
      <c r="K1311" t="s">
        <v>5556</v>
      </c>
      <c r="L1311" t="s">
        <v>69</v>
      </c>
      <c r="M1311" t="s">
        <v>69</v>
      </c>
      <c r="N1311" t="s">
        <v>5557</v>
      </c>
      <c r="O1311" t="s">
        <v>5558</v>
      </c>
      <c r="P1311" t="s">
        <v>69</v>
      </c>
      <c r="Q1311" t="s">
        <v>69</v>
      </c>
      <c r="R1311" t="s">
        <v>8505</v>
      </c>
      <c r="S1311" t="s">
        <v>8506</v>
      </c>
      <c r="T1311" t="s">
        <v>69</v>
      </c>
      <c r="U1311" t="s">
        <v>69</v>
      </c>
      <c r="V1311" t="s">
        <v>69</v>
      </c>
      <c r="W1311" t="s">
        <v>69</v>
      </c>
      <c r="X1311" t="s">
        <v>69</v>
      </c>
      <c r="Y1311" t="s">
        <v>24995</v>
      </c>
      <c r="Z1311" t="s">
        <v>24996</v>
      </c>
      <c r="AA1311" t="s">
        <v>5559</v>
      </c>
      <c r="AB1311" t="s">
        <v>24997</v>
      </c>
      <c r="AC1311" t="s">
        <v>69</v>
      </c>
      <c r="AD1311" t="s">
        <v>24998</v>
      </c>
      <c r="AE1311" t="s">
        <v>24999</v>
      </c>
      <c r="AF1311" t="s">
        <v>25000</v>
      </c>
      <c r="AG1311" t="s">
        <v>25001</v>
      </c>
      <c r="AH1311" t="s">
        <v>69</v>
      </c>
      <c r="AI1311" t="s">
        <v>69</v>
      </c>
      <c r="AJ1311" t="s">
        <v>69</v>
      </c>
      <c r="AK1311" t="s">
        <v>69</v>
      </c>
      <c r="AL1311">
        <v>21</v>
      </c>
      <c r="AM1311">
        <v>1</v>
      </c>
      <c r="AN1311">
        <v>1</v>
      </c>
      <c r="AO1311">
        <v>0</v>
      </c>
      <c r="AP1311">
        <v>6</v>
      </c>
      <c r="AQ1311" t="s">
        <v>8762</v>
      </c>
      <c r="AR1311" t="s">
        <v>8763</v>
      </c>
      <c r="AS1311" t="s">
        <v>8764</v>
      </c>
      <c r="AT1311" t="s">
        <v>5560</v>
      </c>
      <c r="AU1311" t="s">
        <v>5561</v>
      </c>
      <c r="AV1311" t="s">
        <v>69</v>
      </c>
      <c r="AW1311" t="s">
        <v>25002</v>
      </c>
      <c r="AX1311" t="s">
        <v>25003</v>
      </c>
      <c r="AY1311" t="s">
        <v>586</v>
      </c>
      <c r="AZ1311">
        <v>2013</v>
      </c>
      <c r="BA1311">
        <v>59</v>
      </c>
      <c r="BB1311">
        <v>3</v>
      </c>
      <c r="BC1311" t="s">
        <v>69</v>
      </c>
      <c r="BD1311" t="s">
        <v>69</v>
      </c>
      <c r="BE1311" t="s">
        <v>69</v>
      </c>
      <c r="BF1311" t="s">
        <v>69</v>
      </c>
      <c r="BG1311">
        <v>296</v>
      </c>
      <c r="BH1311">
        <v>300</v>
      </c>
      <c r="BI1311" t="s">
        <v>69</v>
      </c>
      <c r="BJ1311" t="s">
        <v>5562</v>
      </c>
      <c r="BK1311" t="str">
        <f>HYPERLINK("http://dx.doi.org/10.1177/0020764012440676","http://dx.doi.org/10.1177/0020764012440676")</f>
        <v>http://dx.doi.org/10.1177/0020764012440676</v>
      </c>
      <c r="BL1311" t="s">
        <v>69</v>
      </c>
      <c r="BM1311" t="s">
        <v>69</v>
      </c>
      <c r="BN1311">
        <v>5</v>
      </c>
      <c r="BO1311" t="s">
        <v>9332</v>
      </c>
      <c r="BP1311" t="s">
        <v>8661</v>
      </c>
      <c r="BQ1311" t="s">
        <v>9332</v>
      </c>
      <c r="BR1311" t="s">
        <v>25004</v>
      </c>
      <c r="BS1311" t="s">
        <v>5563</v>
      </c>
      <c r="BT1311">
        <v>22491757</v>
      </c>
      <c r="BU1311" t="s">
        <v>69</v>
      </c>
      <c r="BV1311" t="s">
        <v>69</v>
      </c>
      <c r="BW1311" t="s">
        <v>69</v>
      </c>
      <c r="BX1311" t="s">
        <v>8526</v>
      </c>
      <c r="BY1311" t="str">
        <f>HYPERLINK("https%3A%2F%2Fwww.webofscience.com%2Fwos%2Fwoscc%2Ffull-record%2FWOS:000329069400014","View Full Record in Web of Science")</f>
        <v>View Full Record in Web of Science</v>
      </c>
    </row>
    <row r="1312" spans="1:77" ht="12.5" x14ac:dyDescent="0.25">
      <c r="A1312" t="s">
        <v>8495</v>
      </c>
      <c r="B1312" s="7" t="s">
        <v>32933</v>
      </c>
      <c r="C1312" s="7"/>
      <c r="D1312" s="7"/>
      <c r="E1312" s="7"/>
      <c r="F1312" t="s">
        <v>67</v>
      </c>
      <c r="G1312" t="s">
        <v>3271</v>
      </c>
      <c r="H1312" t="s">
        <v>69</v>
      </c>
      <c r="I1312" t="s">
        <v>69</v>
      </c>
      <c r="J1312" t="s">
        <v>69</v>
      </c>
      <c r="K1312" t="s">
        <v>3272</v>
      </c>
      <c r="L1312" t="s">
        <v>69</v>
      </c>
      <c r="M1312" t="s">
        <v>69</v>
      </c>
      <c r="N1312" t="s">
        <v>3273</v>
      </c>
      <c r="O1312" t="s">
        <v>3274</v>
      </c>
      <c r="P1312" t="s">
        <v>69</v>
      </c>
      <c r="Q1312" t="s">
        <v>69</v>
      </c>
      <c r="R1312" t="s">
        <v>8505</v>
      </c>
      <c r="S1312" t="s">
        <v>8506</v>
      </c>
      <c r="T1312" t="s">
        <v>69</v>
      </c>
      <c r="U1312" t="s">
        <v>69</v>
      </c>
      <c r="V1312" t="s">
        <v>69</v>
      </c>
      <c r="W1312" t="s">
        <v>69</v>
      </c>
      <c r="X1312" t="s">
        <v>69</v>
      </c>
      <c r="Y1312" t="s">
        <v>24536</v>
      </c>
      <c r="Z1312" t="s">
        <v>24537</v>
      </c>
      <c r="AA1312" t="s">
        <v>3275</v>
      </c>
      <c r="AB1312" t="s">
        <v>24538</v>
      </c>
      <c r="AC1312" t="s">
        <v>69</v>
      </c>
      <c r="AD1312" t="s">
        <v>24539</v>
      </c>
      <c r="AE1312" t="s">
        <v>24540</v>
      </c>
      <c r="AF1312" t="s">
        <v>24541</v>
      </c>
      <c r="AG1312" t="s">
        <v>24542</v>
      </c>
      <c r="AH1312" t="s">
        <v>24543</v>
      </c>
      <c r="AI1312" t="s">
        <v>24544</v>
      </c>
      <c r="AJ1312" t="s">
        <v>24545</v>
      </c>
      <c r="AK1312" t="s">
        <v>69</v>
      </c>
      <c r="AL1312">
        <v>43</v>
      </c>
      <c r="AM1312">
        <v>111</v>
      </c>
      <c r="AN1312">
        <v>114</v>
      </c>
      <c r="AO1312">
        <v>5</v>
      </c>
      <c r="AP1312">
        <v>115</v>
      </c>
      <c r="AQ1312" t="s">
        <v>8516</v>
      </c>
      <c r="AR1312" t="s">
        <v>8517</v>
      </c>
      <c r="AS1312" t="s">
        <v>8518</v>
      </c>
      <c r="AT1312" t="s">
        <v>3276</v>
      </c>
      <c r="AU1312" t="s">
        <v>3277</v>
      </c>
      <c r="AV1312" t="s">
        <v>69</v>
      </c>
      <c r="AW1312" t="s">
        <v>24546</v>
      </c>
      <c r="AX1312" t="s">
        <v>24547</v>
      </c>
      <c r="AY1312" t="s">
        <v>3278</v>
      </c>
      <c r="AZ1312">
        <v>2013</v>
      </c>
      <c r="BA1312">
        <v>262</v>
      </c>
      <c r="BB1312" t="s">
        <v>69</v>
      </c>
      <c r="BC1312" t="s">
        <v>69</v>
      </c>
      <c r="BD1312" t="s">
        <v>69</v>
      </c>
      <c r="BE1312" t="s">
        <v>69</v>
      </c>
      <c r="BF1312" t="s">
        <v>69</v>
      </c>
      <c r="BG1312">
        <v>1213</v>
      </c>
      <c r="BH1312">
        <v>1222</v>
      </c>
      <c r="BI1312" t="s">
        <v>69</v>
      </c>
      <c r="BJ1312" t="s">
        <v>3279</v>
      </c>
      <c r="BK1312" t="str">
        <f>HYPERLINK("http://dx.doi.org/10.1016/j.jhazmat.2012.07.001","http://dx.doi.org/10.1016/j.jhazmat.2012.07.001")</f>
        <v>http://dx.doi.org/10.1016/j.jhazmat.2012.07.001</v>
      </c>
      <c r="BL1312" t="s">
        <v>69</v>
      </c>
      <c r="BM1312" t="s">
        <v>69</v>
      </c>
      <c r="BN1312">
        <v>10</v>
      </c>
      <c r="BO1312" t="s">
        <v>8743</v>
      </c>
      <c r="BP1312" t="s">
        <v>8548</v>
      </c>
      <c r="BQ1312" t="s">
        <v>8744</v>
      </c>
      <c r="BR1312" t="s">
        <v>24548</v>
      </c>
      <c r="BS1312" t="s">
        <v>3280</v>
      </c>
      <c r="BT1312">
        <v>22819961</v>
      </c>
      <c r="BU1312" t="s">
        <v>69</v>
      </c>
      <c r="BV1312" t="s">
        <v>69</v>
      </c>
      <c r="BW1312" t="s">
        <v>69</v>
      </c>
      <c r="BX1312" t="s">
        <v>8526</v>
      </c>
      <c r="BY1312" t="str">
        <f>HYPERLINK("https%3A%2F%2Fwww.webofscience.com%2Fwos%2Fwoscc%2Ffull-record%2FWOS:000329595500145","View Full Record in Web of Science")</f>
        <v>View Full Record in Web of Science</v>
      </c>
    </row>
    <row r="1313" spans="1:77" x14ac:dyDescent="0.3">
      <c r="A1313" t="s">
        <v>8495</v>
      </c>
      <c r="B1313" s="12" t="s">
        <v>32966</v>
      </c>
      <c r="F1313" t="s">
        <v>67</v>
      </c>
      <c r="G1313" t="s">
        <v>3044</v>
      </c>
      <c r="H1313" t="s">
        <v>69</v>
      </c>
      <c r="I1313" t="s">
        <v>69</v>
      </c>
      <c r="J1313" t="s">
        <v>69</v>
      </c>
      <c r="K1313" t="s">
        <v>3045</v>
      </c>
      <c r="L1313" t="s">
        <v>69</v>
      </c>
      <c r="M1313" t="s">
        <v>69</v>
      </c>
      <c r="N1313" s="2" t="s">
        <v>3046</v>
      </c>
      <c r="O1313" t="s">
        <v>3047</v>
      </c>
      <c r="P1313" t="s">
        <v>69</v>
      </c>
      <c r="Q1313" t="s">
        <v>69</v>
      </c>
      <c r="R1313" t="s">
        <v>8505</v>
      </c>
      <c r="S1313" t="s">
        <v>8506</v>
      </c>
      <c r="T1313" t="s">
        <v>69</v>
      </c>
      <c r="U1313" t="s">
        <v>69</v>
      </c>
      <c r="V1313" t="s">
        <v>69</v>
      </c>
      <c r="W1313" t="s">
        <v>69</v>
      </c>
      <c r="X1313" t="s">
        <v>69</v>
      </c>
      <c r="Y1313" t="s">
        <v>22893</v>
      </c>
      <c r="Z1313" t="s">
        <v>69</v>
      </c>
      <c r="AA1313" t="s">
        <v>3048</v>
      </c>
      <c r="AB1313" t="s">
        <v>22894</v>
      </c>
      <c r="AC1313" t="s">
        <v>69</v>
      </c>
      <c r="AD1313" t="s">
        <v>22895</v>
      </c>
      <c r="AE1313" t="s">
        <v>22896</v>
      </c>
      <c r="AF1313" t="s">
        <v>69</v>
      </c>
      <c r="AG1313" t="s">
        <v>69</v>
      </c>
      <c r="AH1313" t="s">
        <v>69</v>
      </c>
      <c r="AI1313" t="s">
        <v>69</v>
      </c>
      <c r="AJ1313" t="s">
        <v>69</v>
      </c>
      <c r="AK1313" t="s">
        <v>69</v>
      </c>
      <c r="AL1313">
        <v>67</v>
      </c>
      <c r="AM1313">
        <v>4</v>
      </c>
      <c r="AN1313">
        <v>4</v>
      </c>
      <c r="AO1313">
        <v>0</v>
      </c>
      <c r="AP1313">
        <v>15</v>
      </c>
      <c r="AQ1313" t="s">
        <v>18342</v>
      </c>
      <c r="AR1313" t="s">
        <v>18343</v>
      </c>
      <c r="AS1313" t="s">
        <v>18344</v>
      </c>
      <c r="AT1313" t="s">
        <v>3049</v>
      </c>
      <c r="AU1313" t="s">
        <v>3050</v>
      </c>
      <c r="AV1313" t="s">
        <v>69</v>
      </c>
      <c r="AW1313" t="s">
        <v>22897</v>
      </c>
      <c r="AX1313" t="s">
        <v>22898</v>
      </c>
      <c r="AY1313" t="s">
        <v>191</v>
      </c>
      <c r="AZ1313">
        <v>2015</v>
      </c>
      <c r="BA1313">
        <v>19</v>
      </c>
      <c r="BB1313">
        <v>1</v>
      </c>
      <c r="BC1313" t="s">
        <v>69</v>
      </c>
      <c r="BD1313" t="s">
        <v>69</v>
      </c>
      <c r="BE1313" t="s">
        <v>69</v>
      </c>
      <c r="BF1313" t="s">
        <v>69</v>
      </c>
      <c r="BG1313" t="s">
        <v>69</v>
      </c>
      <c r="BH1313" t="s">
        <v>69</v>
      </c>
      <c r="BI1313" t="s">
        <v>3051</v>
      </c>
      <c r="BJ1313" t="s">
        <v>3052</v>
      </c>
      <c r="BK1313" t="str">
        <f>HYPERLINK("http://dx.doi.org/10.1142/S1363919615500048","http://dx.doi.org/10.1142/S1363919615500048")</f>
        <v>http://dx.doi.org/10.1142/S1363919615500048</v>
      </c>
      <c r="BL1313" t="s">
        <v>69</v>
      </c>
      <c r="BM1313" t="s">
        <v>69</v>
      </c>
      <c r="BN1313">
        <v>22</v>
      </c>
      <c r="BO1313" t="s">
        <v>9410</v>
      </c>
      <c r="BP1313" t="s">
        <v>8573</v>
      </c>
      <c r="BQ1313" t="s">
        <v>8594</v>
      </c>
      <c r="BR1313" t="s">
        <v>22899</v>
      </c>
      <c r="BS1313" t="s">
        <v>3053</v>
      </c>
      <c r="BT1313" t="s">
        <v>69</v>
      </c>
      <c r="BU1313" t="s">
        <v>69</v>
      </c>
      <c r="BV1313" t="s">
        <v>69</v>
      </c>
      <c r="BW1313" t="s">
        <v>69</v>
      </c>
      <c r="BX1313" t="s">
        <v>8526</v>
      </c>
      <c r="BY1313" t="str">
        <f>HYPERLINK("https%3A%2F%2Fwww.webofscience.com%2Fwos%2Fwoscc%2Ffull-record%2FWOS:000216510100004","View Full Record in Web of Science")</f>
        <v>View Full Record in Web of Science</v>
      </c>
    </row>
    <row r="1314" spans="1:77" ht="12.5" x14ac:dyDescent="0.25">
      <c r="A1314" t="s">
        <v>8495</v>
      </c>
      <c r="B1314" s="22" t="s">
        <v>32931</v>
      </c>
      <c r="C1314" s="7"/>
      <c r="D1314" s="7"/>
      <c r="E1314" s="7"/>
      <c r="F1314" t="s">
        <v>67</v>
      </c>
      <c r="G1314" t="s">
        <v>22034</v>
      </c>
      <c r="H1314" t="s">
        <v>69</v>
      </c>
      <c r="I1314" t="s">
        <v>69</v>
      </c>
      <c r="J1314" t="s">
        <v>69</v>
      </c>
      <c r="K1314" t="s">
        <v>22035</v>
      </c>
      <c r="L1314" t="s">
        <v>69</v>
      </c>
      <c r="M1314" t="s">
        <v>69</v>
      </c>
      <c r="N1314" t="s">
        <v>22036</v>
      </c>
      <c r="O1314" t="s">
        <v>5798</v>
      </c>
      <c r="P1314" t="s">
        <v>69</v>
      </c>
      <c r="Q1314" t="s">
        <v>69</v>
      </c>
      <c r="R1314" t="s">
        <v>8505</v>
      </c>
      <c r="S1314" t="s">
        <v>8506</v>
      </c>
      <c r="T1314" t="s">
        <v>69</v>
      </c>
      <c r="U1314" t="s">
        <v>69</v>
      </c>
      <c r="V1314" t="s">
        <v>69</v>
      </c>
      <c r="W1314" t="s">
        <v>69</v>
      </c>
      <c r="X1314" t="s">
        <v>69</v>
      </c>
      <c r="Y1314" t="s">
        <v>22037</v>
      </c>
      <c r="Z1314" t="s">
        <v>22038</v>
      </c>
      <c r="AA1314" t="s">
        <v>22039</v>
      </c>
      <c r="AB1314" t="s">
        <v>22040</v>
      </c>
      <c r="AC1314" t="s">
        <v>69</v>
      </c>
      <c r="AD1314" t="s">
        <v>22041</v>
      </c>
      <c r="AE1314" t="s">
        <v>69</v>
      </c>
      <c r="AF1314" t="s">
        <v>69</v>
      </c>
      <c r="AG1314" t="s">
        <v>69</v>
      </c>
      <c r="AH1314" t="s">
        <v>69</v>
      </c>
      <c r="AI1314" t="s">
        <v>69</v>
      </c>
      <c r="AJ1314" t="s">
        <v>69</v>
      </c>
      <c r="AK1314" t="s">
        <v>69</v>
      </c>
      <c r="AL1314">
        <v>51</v>
      </c>
      <c r="AM1314">
        <v>5</v>
      </c>
      <c r="AN1314">
        <v>5</v>
      </c>
      <c r="AO1314">
        <v>0</v>
      </c>
      <c r="AP1314">
        <v>33</v>
      </c>
      <c r="AQ1314" t="s">
        <v>8586</v>
      </c>
      <c r="AR1314" t="s">
        <v>8587</v>
      </c>
      <c r="AS1314" t="s">
        <v>8588</v>
      </c>
      <c r="AT1314" t="s">
        <v>5800</v>
      </c>
      <c r="AU1314" t="s">
        <v>5801</v>
      </c>
      <c r="AV1314" t="s">
        <v>69</v>
      </c>
      <c r="AW1314" t="s">
        <v>15021</v>
      </c>
      <c r="AX1314" t="s">
        <v>15022</v>
      </c>
      <c r="AY1314" t="s">
        <v>69</v>
      </c>
      <c r="AZ1314">
        <v>2016</v>
      </c>
      <c r="BA1314">
        <v>35</v>
      </c>
      <c r="BB1314">
        <v>3</v>
      </c>
      <c r="BC1314" t="s">
        <v>69</v>
      </c>
      <c r="BD1314" t="s">
        <v>69</v>
      </c>
      <c r="BE1314" t="s">
        <v>69</v>
      </c>
      <c r="BF1314" t="s">
        <v>69</v>
      </c>
      <c r="BG1314">
        <v>304</v>
      </c>
      <c r="BH1314">
        <v>325</v>
      </c>
      <c r="BI1314" t="s">
        <v>69</v>
      </c>
      <c r="BJ1314" t="s">
        <v>22042</v>
      </c>
      <c r="BK1314" t="str">
        <f>HYPERLINK("http://dx.doi.org/10.1108/JMD-01-2015-0005","http://dx.doi.org/10.1108/JMD-01-2015-0005")</f>
        <v>http://dx.doi.org/10.1108/JMD-01-2015-0005</v>
      </c>
      <c r="BL1314" t="s">
        <v>69</v>
      </c>
      <c r="BM1314" t="s">
        <v>69</v>
      </c>
      <c r="BN1314">
        <v>22</v>
      </c>
      <c r="BO1314" t="s">
        <v>9410</v>
      </c>
      <c r="BP1314" t="s">
        <v>8573</v>
      </c>
      <c r="BQ1314" t="s">
        <v>8594</v>
      </c>
      <c r="BR1314" t="s">
        <v>22043</v>
      </c>
      <c r="BS1314" t="s">
        <v>22044</v>
      </c>
      <c r="BT1314" t="s">
        <v>69</v>
      </c>
      <c r="BU1314" t="s">
        <v>69</v>
      </c>
      <c r="BV1314" t="s">
        <v>69</v>
      </c>
      <c r="BW1314" t="s">
        <v>69</v>
      </c>
      <c r="BX1314" t="s">
        <v>8526</v>
      </c>
      <c r="BY1314" t="str">
        <f>HYPERLINK("https%3A%2F%2Fwww.webofscience.com%2Fwos%2Fwoscc%2Ffull-record%2FWOS:000379683200002","View Full Record in Web of Science")</f>
        <v>View Full Record in Web of Science</v>
      </c>
    </row>
    <row r="1315" spans="1:77" ht="12.5" x14ac:dyDescent="0.25">
      <c r="A1315" t="s">
        <v>8495</v>
      </c>
      <c r="B1315" s="22" t="s">
        <v>32931</v>
      </c>
      <c r="C1315" s="7"/>
      <c r="D1315" s="7"/>
      <c r="E1315" s="7"/>
      <c r="F1315" t="s">
        <v>67</v>
      </c>
      <c r="G1315" t="s">
        <v>32598</v>
      </c>
      <c r="H1315" t="s">
        <v>69</v>
      </c>
      <c r="I1315" t="s">
        <v>69</v>
      </c>
      <c r="J1315" t="s">
        <v>69</v>
      </c>
      <c r="K1315" t="s">
        <v>32598</v>
      </c>
      <c r="L1315" t="s">
        <v>69</v>
      </c>
      <c r="M1315" t="s">
        <v>69</v>
      </c>
      <c r="N1315" t="s">
        <v>32599</v>
      </c>
      <c r="O1315" t="s">
        <v>11160</v>
      </c>
      <c r="P1315" t="s">
        <v>69</v>
      </c>
      <c r="Q1315" t="s">
        <v>69</v>
      </c>
      <c r="R1315" t="s">
        <v>8505</v>
      </c>
      <c r="S1315" t="s">
        <v>8506</v>
      </c>
      <c r="T1315" t="s">
        <v>69</v>
      </c>
      <c r="U1315" t="s">
        <v>69</v>
      </c>
      <c r="V1315" t="s">
        <v>69</v>
      </c>
      <c r="W1315" t="s">
        <v>69</v>
      </c>
      <c r="X1315" t="s">
        <v>69</v>
      </c>
      <c r="Y1315" t="s">
        <v>69</v>
      </c>
      <c r="Z1315" t="s">
        <v>69</v>
      </c>
      <c r="AA1315" t="s">
        <v>32600</v>
      </c>
      <c r="AB1315" t="s">
        <v>69</v>
      </c>
      <c r="AC1315" t="s">
        <v>69</v>
      </c>
      <c r="AD1315" t="s">
        <v>32601</v>
      </c>
      <c r="AE1315" t="s">
        <v>69</v>
      </c>
      <c r="AF1315" t="s">
        <v>69</v>
      </c>
      <c r="AG1315" t="s">
        <v>69</v>
      </c>
      <c r="AH1315" t="s">
        <v>69</v>
      </c>
      <c r="AI1315" t="s">
        <v>69</v>
      </c>
      <c r="AJ1315" t="s">
        <v>69</v>
      </c>
      <c r="AK1315" t="s">
        <v>69</v>
      </c>
      <c r="AL1315">
        <v>0</v>
      </c>
      <c r="AM1315">
        <v>1</v>
      </c>
      <c r="AN1315">
        <v>1</v>
      </c>
      <c r="AO1315">
        <v>0</v>
      </c>
      <c r="AP1315">
        <v>2</v>
      </c>
      <c r="AQ1315" t="s">
        <v>32602</v>
      </c>
      <c r="AR1315" t="s">
        <v>27916</v>
      </c>
      <c r="AS1315" t="s">
        <v>32603</v>
      </c>
      <c r="AT1315" t="s">
        <v>11165</v>
      </c>
      <c r="AU1315" t="s">
        <v>69</v>
      </c>
      <c r="AV1315" t="s">
        <v>69</v>
      </c>
      <c r="AW1315" t="s">
        <v>11167</v>
      </c>
      <c r="AX1315" t="s">
        <v>11168</v>
      </c>
      <c r="AY1315" t="s">
        <v>94</v>
      </c>
      <c r="AZ1315">
        <v>1995</v>
      </c>
      <c r="BA1315">
        <v>160</v>
      </c>
      <c r="BB1315">
        <v>3</v>
      </c>
      <c r="BC1315" t="s">
        <v>69</v>
      </c>
      <c r="BD1315" t="s">
        <v>69</v>
      </c>
      <c r="BE1315" t="s">
        <v>69</v>
      </c>
      <c r="BF1315" t="s">
        <v>69</v>
      </c>
      <c r="BG1315">
        <v>115</v>
      </c>
      <c r="BH1315">
        <v>120</v>
      </c>
      <c r="BI1315" t="s">
        <v>69</v>
      </c>
      <c r="BJ1315" t="s">
        <v>69</v>
      </c>
      <c r="BK1315" t="s">
        <v>69</v>
      </c>
      <c r="BL1315" t="s">
        <v>69</v>
      </c>
      <c r="BM1315" t="s">
        <v>69</v>
      </c>
      <c r="BN1315">
        <v>6</v>
      </c>
      <c r="BO1315" t="s">
        <v>9450</v>
      </c>
      <c r="BP1315" t="s">
        <v>8548</v>
      </c>
      <c r="BQ1315" t="s">
        <v>9451</v>
      </c>
      <c r="BR1315" t="s">
        <v>32604</v>
      </c>
      <c r="BS1315" t="s">
        <v>32605</v>
      </c>
      <c r="BT1315">
        <v>7783932</v>
      </c>
      <c r="BU1315" t="s">
        <v>69</v>
      </c>
      <c r="BV1315" t="s">
        <v>69</v>
      </c>
      <c r="BW1315" t="s">
        <v>69</v>
      </c>
      <c r="BX1315" t="s">
        <v>8526</v>
      </c>
      <c r="BY1315" t="str">
        <f>HYPERLINK("https%3A%2F%2Fwww.webofscience.com%2Fwos%2Fwoscc%2Ffull-record%2FWOS:A1995QY95000006","View Full Record in Web of Science")</f>
        <v>View Full Record in Web of Science</v>
      </c>
    </row>
    <row r="1316" spans="1:77" ht="12.5" x14ac:dyDescent="0.25">
      <c r="A1316" t="s">
        <v>8495</v>
      </c>
      <c r="B1316" s="7" t="s">
        <v>32933</v>
      </c>
      <c r="C1316" s="7"/>
      <c r="D1316" s="7"/>
      <c r="E1316" s="7"/>
      <c r="F1316" t="s">
        <v>67</v>
      </c>
      <c r="G1316" t="s">
        <v>6855</v>
      </c>
      <c r="H1316" t="s">
        <v>69</v>
      </c>
      <c r="I1316" t="s">
        <v>69</v>
      </c>
      <c r="J1316" t="s">
        <v>69</v>
      </c>
      <c r="K1316" t="s">
        <v>6855</v>
      </c>
      <c r="L1316" t="s">
        <v>69</v>
      </c>
      <c r="M1316" t="s">
        <v>69</v>
      </c>
      <c r="N1316" t="s">
        <v>6856</v>
      </c>
      <c r="O1316" t="s">
        <v>2720</v>
      </c>
      <c r="P1316" t="s">
        <v>69</v>
      </c>
      <c r="Q1316" t="s">
        <v>69</v>
      </c>
      <c r="R1316" t="s">
        <v>8505</v>
      </c>
      <c r="S1316" t="s">
        <v>8506</v>
      </c>
      <c r="T1316" t="s">
        <v>69</v>
      </c>
      <c r="U1316" t="s">
        <v>69</v>
      </c>
      <c r="V1316" t="s">
        <v>69</v>
      </c>
      <c r="W1316" t="s">
        <v>69</v>
      </c>
      <c r="X1316" t="s">
        <v>69</v>
      </c>
      <c r="Y1316" t="s">
        <v>30931</v>
      </c>
      <c r="Z1316" t="s">
        <v>69</v>
      </c>
      <c r="AA1316" t="s">
        <v>6857</v>
      </c>
      <c r="AB1316" t="s">
        <v>30932</v>
      </c>
      <c r="AC1316" t="s">
        <v>69</v>
      </c>
      <c r="AD1316" t="s">
        <v>30933</v>
      </c>
      <c r="AE1316" t="s">
        <v>30934</v>
      </c>
      <c r="AF1316" t="s">
        <v>6858</v>
      </c>
      <c r="AG1316" t="s">
        <v>6859</v>
      </c>
      <c r="AH1316" t="s">
        <v>69</v>
      </c>
      <c r="AI1316" t="s">
        <v>69</v>
      </c>
      <c r="AJ1316" t="s">
        <v>69</v>
      </c>
      <c r="AK1316" t="s">
        <v>69</v>
      </c>
      <c r="AL1316">
        <v>24</v>
      </c>
      <c r="AM1316">
        <v>28</v>
      </c>
      <c r="AN1316">
        <v>28</v>
      </c>
      <c r="AO1316">
        <v>1</v>
      </c>
      <c r="AP1316">
        <v>21</v>
      </c>
      <c r="AQ1316" t="s">
        <v>8586</v>
      </c>
      <c r="AR1316" t="s">
        <v>8587</v>
      </c>
      <c r="AS1316" t="s">
        <v>8588</v>
      </c>
      <c r="AT1316" t="s">
        <v>2724</v>
      </c>
      <c r="AU1316" t="s">
        <v>2725</v>
      </c>
      <c r="AV1316" t="s">
        <v>69</v>
      </c>
      <c r="AW1316" t="s">
        <v>20625</v>
      </c>
      <c r="AX1316" t="s">
        <v>20626</v>
      </c>
      <c r="AY1316" t="s">
        <v>69</v>
      </c>
      <c r="AZ1316">
        <v>2005</v>
      </c>
      <c r="BA1316">
        <v>18</v>
      </c>
      <c r="BB1316">
        <v>5</v>
      </c>
      <c r="BC1316" t="s">
        <v>69</v>
      </c>
      <c r="BD1316" t="s">
        <v>69</v>
      </c>
      <c r="BE1316" t="s">
        <v>69</v>
      </c>
      <c r="BF1316" t="s">
        <v>69</v>
      </c>
      <c r="BG1316">
        <v>451</v>
      </c>
      <c r="BH1316">
        <v>468</v>
      </c>
      <c r="BI1316" t="s">
        <v>69</v>
      </c>
      <c r="BJ1316" t="s">
        <v>6860</v>
      </c>
      <c r="BK1316" t="str">
        <f>HYPERLINK("http://dx.doi.org/10.1108/09534810510614940","http://dx.doi.org/10.1108/09534810510614940")</f>
        <v>http://dx.doi.org/10.1108/09534810510614940</v>
      </c>
      <c r="BL1316" t="s">
        <v>69</v>
      </c>
      <c r="BM1316" t="s">
        <v>69</v>
      </c>
      <c r="BN1316">
        <v>18</v>
      </c>
      <c r="BO1316" t="s">
        <v>9410</v>
      </c>
      <c r="BP1316" t="s">
        <v>8661</v>
      </c>
      <c r="BQ1316" t="s">
        <v>8594</v>
      </c>
      <c r="BR1316" t="s">
        <v>30935</v>
      </c>
      <c r="BS1316" t="s">
        <v>6861</v>
      </c>
      <c r="BT1316" t="s">
        <v>69</v>
      </c>
      <c r="BU1316" t="s">
        <v>69</v>
      </c>
      <c r="BV1316" t="s">
        <v>69</v>
      </c>
      <c r="BW1316" t="s">
        <v>69</v>
      </c>
      <c r="BX1316" t="s">
        <v>8526</v>
      </c>
      <c r="BY1316" t="str">
        <f>HYPERLINK("https%3A%2F%2Fwww.webofscience.com%2Fwos%2Fwoscc%2Ffull-record%2FWOS:000232516400005","View Full Record in Web of Science")</f>
        <v>View Full Record in Web of Science</v>
      </c>
    </row>
    <row r="1317" spans="1:77" ht="12.5" x14ac:dyDescent="0.25">
      <c r="A1317" t="s">
        <v>8495</v>
      </c>
      <c r="B1317" s="7" t="s">
        <v>32933</v>
      </c>
      <c r="C1317" s="7"/>
      <c r="D1317" s="7"/>
      <c r="E1317" s="7"/>
      <c r="F1317" t="s">
        <v>67</v>
      </c>
      <c r="G1317" t="s">
        <v>2785</v>
      </c>
      <c r="H1317" t="s">
        <v>69</v>
      </c>
      <c r="I1317" t="s">
        <v>69</v>
      </c>
      <c r="J1317" t="s">
        <v>69</v>
      </c>
      <c r="K1317" t="s">
        <v>2786</v>
      </c>
      <c r="L1317" t="s">
        <v>69</v>
      </c>
      <c r="M1317" t="s">
        <v>69</v>
      </c>
      <c r="N1317" t="s">
        <v>2787</v>
      </c>
      <c r="O1317" t="s">
        <v>2788</v>
      </c>
      <c r="P1317" t="s">
        <v>69</v>
      </c>
      <c r="Q1317" t="s">
        <v>69</v>
      </c>
      <c r="R1317" t="s">
        <v>8505</v>
      </c>
      <c r="S1317" t="s">
        <v>8506</v>
      </c>
      <c r="T1317" t="s">
        <v>69</v>
      </c>
      <c r="U1317" t="s">
        <v>69</v>
      </c>
      <c r="V1317" t="s">
        <v>69</v>
      </c>
      <c r="W1317" t="s">
        <v>69</v>
      </c>
      <c r="X1317" t="s">
        <v>69</v>
      </c>
      <c r="Y1317" t="s">
        <v>21195</v>
      </c>
      <c r="Z1317" t="s">
        <v>69</v>
      </c>
      <c r="AA1317" t="s">
        <v>2789</v>
      </c>
      <c r="AB1317" t="s">
        <v>21196</v>
      </c>
      <c r="AC1317" t="s">
        <v>69</v>
      </c>
      <c r="AD1317" t="s">
        <v>21197</v>
      </c>
      <c r="AE1317" t="s">
        <v>21198</v>
      </c>
      <c r="AF1317" t="s">
        <v>69</v>
      </c>
      <c r="AG1317" t="s">
        <v>69</v>
      </c>
      <c r="AH1317" t="s">
        <v>69</v>
      </c>
      <c r="AI1317" t="s">
        <v>69</v>
      </c>
      <c r="AJ1317" t="s">
        <v>69</v>
      </c>
      <c r="AK1317" t="s">
        <v>69</v>
      </c>
      <c r="AL1317">
        <v>9</v>
      </c>
      <c r="AM1317">
        <v>5</v>
      </c>
      <c r="AN1317">
        <v>5</v>
      </c>
      <c r="AO1317">
        <v>1</v>
      </c>
      <c r="AP1317">
        <v>13</v>
      </c>
      <c r="AQ1317" t="s">
        <v>13195</v>
      </c>
      <c r="AR1317" t="s">
        <v>13196</v>
      </c>
      <c r="AS1317" t="s">
        <v>13197</v>
      </c>
      <c r="AT1317" t="s">
        <v>2790</v>
      </c>
      <c r="AU1317" t="s">
        <v>2791</v>
      </c>
      <c r="AV1317" t="s">
        <v>69</v>
      </c>
      <c r="AW1317" t="s">
        <v>21199</v>
      </c>
      <c r="AX1317" t="s">
        <v>21200</v>
      </c>
      <c r="AY1317" t="s">
        <v>274</v>
      </c>
      <c r="AZ1317">
        <v>2016</v>
      </c>
      <c r="BA1317">
        <v>169</v>
      </c>
      <c r="BB1317">
        <v>4</v>
      </c>
      <c r="BC1317" t="s">
        <v>69</v>
      </c>
      <c r="BD1317" t="s">
        <v>69</v>
      </c>
      <c r="BE1317" t="s">
        <v>69</v>
      </c>
      <c r="BF1317" t="s">
        <v>69</v>
      </c>
      <c r="BG1317" t="s">
        <v>69</v>
      </c>
      <c r="BH1317" t="s">
        <v>69</v>
      </c>
      <c r="BI1317" t="s">
        <v>2792</v>
      </c>
      <c r="BJ1317" t="s">
        <v>2793</v>
      </c>
      <c r="BK1317" t="str">
        <f>HYPERLINK("http://dx.doi.org/10.1680/jfoen.16.00008","http://dx.doi.org/10.1680/jfoen.16.00008")</f>
        <v>http://dx.doi.org/10.1680/jfoen.16.00008</v>
      </c>
      <c r="BL1317" t="s">
        <v>69</v>
      </c>
      <c r="BM1317" t="s">
        <v>69</v>
      </c>
      <c r="BN1317">
        <v>10</v>
      </c>
      <c r="BO1317" t="s">
        <v>13537</v>
      </c>
      <c r="BP1317" t="s">
        <v>8573</v>
      </c>
      <c r="BQ1317" t="s">
        <v>8445</v>
      </c>
      <c r="BR1317" t="s">
        <v>21201</v>
      </c>
      <c r="BS1317" t="s">
        <v>2794</v>
      </c>
      <c r="BT1317" t="s">
        <v>69</v>
      </c>
      <c r="BU1317" t="s">
        <v>69</v>
      </c>
      <c r="BV1317" t="s">
        <v>69</v>
      </c>
      <c r="BW1317" t="s">
        <v>69</v>
      </c>
      <c r="BX1317" t="s">
        <v>8526</v>
      </c>
      <c r="BY1317" t="str">
        <f>HYPERLINK("https%3A%2F%2Fwww.webofscience.com%2Fwos%2Fwoscc%2Ffull-record%2FWOS:000385653500004","View Full Record in Web of Science")</f>
        <v>View Full Record in Web of Science</v>
      </c>
    </row>
    <row r="1318" spans="1:77" ht="12.5" x14ac:dyDescent="0.25">
      <c r="A1318" t="s">
        <v>8495</v>
      </c>
      <c r="B1318" s="22" t="s">
        <v>32931</v>
      </c>
      <c r="C1318" s="7"/>
      <c r="D1318" s="7"/>
      <c r="E1318" s="7"/>
      <c r="F1318" t="s">
        <v>67</v>
      </c>
      <c r="G1318" t="s">
        <v>28818</v>
      </c>
      <c r="H1318" t="s">
        <v>69</v>
      </c>
      <c r="I1318" t="s">
        <v>69</v>
      </c>
      <c r="J1318" t="s">
        <v>69</v>
      </c>
      <c r="K1318" t="s">
        <v>28819</v>
      </c>
      <c r="L1318" t="s">
        <v>69</v>
      </c>
      <c r="M1318" t="s">
        <v>69</v>
      </c>
      <c r="N1318" t="s">
        <v>28820</v>
      </c>
      <c r="O1318" t="s">
        <v>28821</v>
      </c>
      <c r="P1318" t="s">
        <v>69</v>
      </c>
      <c r="Q1318" t="s">
        <v>69</v>
      </c>
      <c r="R1318" t="s">
        <v>8505</v>
      </c>
      <c r="S1318" t="s">
        <v>8506</v>
      </c>
      <c r="T1318" t="s">
        <v>69</v>
      </c>
      <c r="U1318" t="s">
        <v>69</v>
      </c>
      <c r="V1318" t="s">
        <v>69</v>
      </c>
      <c r="W1318" t="s">
        <v>69</v>
      </c>
      <c r="X1318" t="s">
        <v>69</v>
      </c>
      <c r="Y1318" t="s">
        <v>69</v>
      </c>
      <c r="Z1318" t="s">
        <v>69</v>
      </c>
      <c r="AA1318" t="s">
        <v>28822</v>
      </c>
      <c r="AB1318" t="s">
        <v>28823</v>
      </c>
      <c r="AC1318" t="s">
        <v>69</v>
      </c>
      <c r="AD1318" t="s">
        <v>28824</v>
      </c>
      <c r="AE1318" t="s">
        <v>28825</v>
      </c>
      <c r="AF1318" t="s">
        <v>28826</v>
      </c>
      <c r="AG1318" t="s">
        <v>28827</v>
      </c>
      <c r="AH1318" t="s">
        <v>69</v>
      </c>
      <c r="AI1318" t="s">
        <v>69</v>
      </c>
      <c r="AJ1318" t="s">
        <v>69</v>
      </c>
      <c r="AK1318" t="s">
        <v>69</v>
      </c>
      <c r="AL1318">
        <v>18</v>
      </c>
      <c r="AM1318">
        <v>18</v>
      </c>
      <c r="AN1318">
        <v>18</v>
      </c>
      <c r="AO1318">
        <v>0</v>
      </c>
      <c r="AP1318">
        <v>0</v>
      </c>
      <c r="AQ1318" t="s">
        <v>8611</v>
      </c>
      <c r="AR1318" t="s">
        <v>8612</v>
      </c>
      <c r="AS1318" t="s">
        <v>8613</v>
      </c>
      <c r="AT1318" t="s">
        <v>28828</v>
      </c>
      <c r="AU1318" t="s">
        <v>28829</v>
      </c>
      <c r="AV1318" t="s">
        <v>69</v>
      </c>
      <c r="AW1318" t="s">
        <v>28830</v>
      </c>
      <c r="AX1318" t="s">
        <v>28831</v>
      </c>
      <c r="AY1318" t="s">
        <v>69</v>
      </c>
      <c r="AZ1318">
        <v>2009</v>
      </c>
      <c r="BA1318">
        <v>12</v>
      </c>
      <c r="BB1318">
        <v>1</v>
      </c>
      <c r="BC1318" t="s">
        <v>69</v>
      </c>
      <c r="BD1318" t="s">
        <v>69</v>
      </c>
      <c r="BE1318" t="s">
        <v>69</v>
      </c>
      <c r="BF1318" t="s">
        <v>69</v>
      </c>
      <c r="BG1318">
        <v>35</v>
      </c>
      <c r="BH1318">
        <v>49</v>
      </c>
      <c r="BI1318" t="s">
        <v>69</v>
      </c>
      <c r="BJ1318" t="s">
        <v>28832</v>
      </c>
      <c r="BK1318" t="str">
        <f>HYPERLINK("http://dx.doi.org/10.1080/13603120802452532","http://dx.doi.org/10.1080/13603120802452532")</f>
        <v>http://dx.doi.org/10.1080/13603120802452532</v>
      </c>
      <c r="BL1318" t="s">
        <v>69</v>
      </c>
      <c r="BM1318" t="s">
        <v>69</v>
      </c>
      <c r="BN1318">
        <v>15</v>
      </c>
      <c r="BO1318" t="s">
        <v>9290</v>
      </c>
      <c r="BP1318" t="s">
        <v>8573</v>
      </c>
      <c r="BQ1318" t="s">
        <v>9290</v>
      </c>
      <c r="BR1318" t="s">
        <v>28833</v>
      </c>
      <c r="BS1318" t="s">
        <v>28834</v>
      </c>
      <c r="BT1318" t="s">
        <v>69</v>
      </c>
      <c r="BU1318" t="s">
        <v>69</v>
      </c>
      <c r="BV1318" t="s">
        <v>69</v>
      </c>
      <c r="BW1318" t="s">
        <v>69</v>
      </c>
      <c r="BX1318" t="s">
        <v>8526</v>
      </c>
      <c r="BY1318" t="str">
        <f>HYPERLINK("https%3A%2F%2Fwww.webofscience.com%2Fwos%2Fwoscc%2Ffull-record%2FWOS:000409662900003","View Full Record in Web of Science")</f>
        <v>View Full Record in Web of Science</v>
      </c>
    </row>
    <row r="1319" spans="1:77" ht="12.5" x14ac:dyDescent="0.25">
      <c r="A1319" t="s">
        <v>8495</v>
      </c>
      <c r="B1319" s="7" t="s">
        <v>32933</v>
      </c>
      <c r="C1319" s="7"/>
      <c r="D1319" s="7"/>
      <c r="E1319" s="7"/>
      <c r="F1319" t="s">
        <v>67</v>
      </c>
      <c r="G1319" t="s">
        <v>8053</v>
      </c>
      <c r="H1319" t="s">
        <v>69</v>
      </c>
      <c r="I1319" t="s">
        <v>69</v>
      </c>
      <c r="J1319" t="s">
        <v>69</v>
      </c>
      <c r="K1319" t="s">
        <v>8054</v>
      </c>
      <c r="L1319" t="s">
        <v>69</v>
      </c>
      <c r="M1319" t="s">
        <v>69</v>
      </c>
      <c r="N1319" t="s">
        <v>8055</v>
      </c>
      <c r="O1319" t="s">
        <v>8056</v>
      </c>
      <c r="P1319" t="s">
        <v>69</v>
      </c>
      <c r="Q1319" t="s">
        <v>69</v>
      </c>
      <c r="R1319" t="s">
        <v>8505</v>
      </c>
      <c r="S1319" t="s">
        <v>8506</v>
      </c>
      <c r="T1319" t="s">
        <v>69</v>
      </c>
      <c r="U1319" t="s">
        <v>69</v>
      </c>
      <c r="V1319" t="s">
        <v>69</v>
      </c>
      <c r="W1319" t="s">
        <v>69</v>
      </c>
      <c r="X1319" t="s">
        <v>69</v>
      </c>
      <c r="Y1319" t="s">
        <v>14574</v>
      </c>
      <c r="Z1319" t="s">
        <v>14575</v>
      </c>
      <c r="AA1319" t="s">
        <v>8057</v>
      </c>
      <c r="AB1319" t="s">
        <v>14576</v>
      </c>
      <c r="AC1319" t="s">
        <v>69</v>
      </c>
      <c r="AD1319" t="s">
        <v>14577</v>
      </c>
      <c r="AE1319" t="s">
        <v>14578</v>
      </c>
      <c r="AF1319" t="s">
        <v>14579</v>
      </c>
      <c r="AG1319" t="s">
        <v>14580</v>
      </c>
      <c r="AH1319" t="s">
        <v>14581</v>
      </c>
      <c r="AI1319" t="s">
        <v>14582</v>
      </c>
      <c r="AJ1319" t="s">
        <v>14583</v>
      </c>
      <c r="AK1319" t="s">
        <v>69</v>
      </c>
      <c r="AL1319">
        <v>76</v>
      </c>
      <c r="AM1319">
        <v>4</v>
      </c>
      <c r="AN1319">
        <v>4</v>
      </c>
      <c r="AO1319">
        <v>2</v>
      </c>
      <c r="AP1319">
        <v>11</v>
      </c>
      <c r="AQ1319" t="s">
        <v>9047</v>
      </c>
      <c r="AR1319" t="s">
        <v>9048</v>
      </c>
      <c r="AS1319" t="s">
        <v>9049</v>
      </c>
      <c r="AT1319" t="s">
        <v>8058</v>
      </c>
      <c r="AU1319" t="s">
        <v>8059</v>
      </c>
      <c r="AV1319" t="s">
        <v>69</v>
      </c>
      <c r="AW1319" t="s">
        <v>14584</v>
      </c>
      <c r="AX1319" t="s">
        <v>14585</v>
      </c>
      <c r="AY1319" t="s">
        <v>75</v>
      </c>
      <c r="AZ1319">
        <v>2020</v>
      </c>
      <c r="BA1319">
        <v>12</v>
      </c>
      <c r="BB1319">
        <v>4</v>
      </c>
      <c r="BC1319" t="s">
        <v>69</v>
      </c>
      <c r="BD1319" t="s">
        <v>69</v>
      </c>
      <c r="BE1319" t="s">
        <v>69</v>
      </c>
      <c r="BF1319" t="s">
        <v>69</v>
      </c>
      <c r="BG1319">
        <v>691</v>
      </c>
      <c r="BH1319">
        <v>700</v>
      </c>
      <c r="BI1319" t="s">
        <v>69</v>
      </c>
      <c r="BJ1319" t="s">
        <v>8060</v>
      </c>
      <c r="BK1319" t="str">
        <f>HYPERLINK("http://dx.doi.org/10.1007/s12686-020-01165-5","http://dx.doi.org/10.1007/s12686-020-01165-5")</f>
        <v>http://dx.doi.org/10.1007/s12686-020-01165-5</v>
      </c>
      <c r="BL1319" t="s">
        <v>69</v>
      </c>
      <c r="BM1319" t="s">
        <v>1917</v>
      </c>
      <c r="BN1319">
        <v>10</v>
      </c>
      <c r="BO1319" t="s">
        <v>14586</v>
      </c>
      <c r="BP1319" t="s">
        <v>8548</v>
      </c>
      <c r="BQ1319" t="s">
        <v>14587</v>
      </c>
      <c r="BR1319" t="s">
        <v>14588</v>
      </c>
      <c r="BS1319" t="s">
        <v>8061</v>
      </c>
      <c r="BT1319" t="s">
        <v>69</v>
      </c>
      <c r="BU1319" t="s">
        <v>14589</v>
      </c>
      <c r="BV1319" t="s">
        <v>69</v>
      </c>
      <c r="BW1319" t="s">
        <v>69</v>
      </c>
      <c r="BX1319" t="s">
        <v>8526</v>
      </c>
      <c r="BY1319" t="str">
        <f>HYPERLINK("https%3A%2F%2Fwww.webofscience.com%2Fwos%2Fwoscc%2Ffull-record%2FWOS:000560406700001","View Full Record in Web of Science")</f>
        <v>View Full Record in Web of Science</v>
      </c>
    </row>
    <row r="1320" spans="1:77" ht="12.5" x14ac:dyDescent="0.25">
      <c r="A1320" t="s">
        <v>8495</v>
      </c>
      <c r="B1320" s="22" t="s">
        <v>32931</v>
      </c>
      <c r="C1320" s="7"/>
      <c r="D1320" s="7"/>
      <c r="E1320" s="7"/>
      <c r="F1320" t="s">
        <v>67</v>
      </c>
      <c r="G1320" t="s">
        <v>32285</v>
      </c>
      <c r="H1320" t="s">
        <v>69</v>
      </c>
      <c r="I1320" t="s">
        <v>69</v>
      </c>
      <c r="J1320" t="s">
        <v>69</v>
      </c>
      <c r="K1320" t="s">
        <v>32285</v>
      </c>
      <c r="L1320" t="s">
        <v>69</v>
      </c>
      <c r="M1320" t="s">
        <v>69</v>
      </c>
      <c r="N1320" t="s">
        <v>32286</v>
      </c>
      <c r="O1320" t="s">
        <v>32287</v>
      </c>
      <c r="P1320" t="s">
        <v>69</v>
      </c>
      <c r="Q1320" t="s">
        <v>69</v>
      </c>
      <c r="R1320" t="s">
        <v>8505</v>
      </c>
      <c r="S1320" t="s">
        <v>8506</v>
      </c>
      <c r="T1320" t="s">
        <v>69</v>
      </c>
      <c r="U1320" t="s">
        <v>69</v>
      </c>
      <c r="V1320" t="s">
        <v>69</v>
      </c>
      <c r="W1320" t="s">
        <v>69</v>
      </c>
      <c r="X1320" t="s">
        <v>69</v>
      </c>
      <c r="Y1320" t="s">
        <v>69</v>
      </c>
      <c r="Z1320" t="s">
        <v>69</v>
      </c>
      <c r="AA1320" t="s">
        <v>32288</v>
      </c>
      <c r="AB1320" t="s">
        <v>32289</v>
      </c>
      <c r="AC1320" t="s">
        <v>69</v>
      </c>
      <c r="AD1320" t="s">
        <v>69</v>
      </c>
      <c r="AE1320" t="s">
        <v>69</v>
      </c>
      <c r="AF1320" t="s">
        <v>69</v>
      </c>
      <c r="AG1320" t="s">
        <v>69</v>
      </c>
      <c r="AH1320" t="s">
        <v>69</v>
      </c>
      <c r="AI1320" t="s">
        <v>69</v>
      </c>
      <c r="AJ1320" t="s">
        <v>69</v>
      </c>
      <c r="AK1320" t="s">
        <v>69</v>
      </c>
      <c r="AL1320">
        <v>0</v>
      </c>
      <c r="AM1320">
        <v>12</v>
      </c>
      <c r="AN1320">
        <v>12</v>
      </c>
      <c r="AO1320">
        <v>0</v>
      </c>
      <c r="AP1320">
        <v>4</v>
      </c>
      <c r="AQ1320" t="s">
        <v>32290</v>
      </c>
      <c r="AR1320" t="s">
        <v>28929</v>
      </c>
      <c r="AS1320" t="s">
        <v>32291</v>
      </c>
      <c r="AT1320" t="s">
        <v>32292</v>
      </c>
      <c r="AU1320" t="s">
        <v>69</v>
      </c>
      <c r="AV1320" t="s">
        <v>69</v>
      </c>
      <c r="AW1320" t="s">
        <v>32293</v>
      </c>
      <c r="AX1320" t="s">
        <v>32294</v>
      </c>
      <c r="AY1320" t="s">
        <v>94</v>
      </c>
      <c r="AZ1320">
        <v>1997</v>
      </c>
      <c r="BA1320">
        <v>47</v>
      </c>
      <c r="BB1320">
        <v>3</v>
      </c>
      <c r="BC1320" t="s">
        <v>69</v>
      </c>
      <c r="BD1320" t="s">
        <v>69</v>
      </c>
      <c r="BE1320" t="s">
        <v>69</v>
      </c>
      <c r="BF1320" t="s">
        <v>69</v>
      </c>
      <c r="BG1320">
        <v>426</v>
      </c>
      <c r="BH1320">
        <v>438</v>
      </c>
      <c r="BI1320" t="s">
        <v>69</v>
      </c>
      <c r="BJ1320" t="s">
        <v>32295</v>
      </c>
      <c r="BK1320" t="str">
        <f>HYPERLINK("http://dx.doi.org/10.1080/10473289.1997.10464435","http://dx.doi.org/10.1080/10473289.1997.10464435")</f>
        <v>http://dx.doi.org/10.1080/10473289.1997.10464435</v>
      </c>
      <c r="BL1320" t="s">
        <v>69</v>
      </c>
      <c r="BM1320" t="s">
        <v>69</v>
      </c>
      <c r="BN1320">
        <v>13</v>
      </c>
      <c r="BO1320" t="s">
        <v>32296</v>
      </c>
      <c r="BP1320" t="s">
        <v>8548</v>
      </c>
      <c r="BQ1320" t="s">
        <v>32297</v>
      </c>
      <c r="BR1320" t="s">
        <v>32298</v>
      </c>
      <c r="BS1320" t="s">
        <v>32299</v>
      </c>
      <c r="BT1320">
        <v>29081287</v>
      </c>
      <c r="BU1320" t="s">
        <v>69</v>
      </c>
      <c r="BV1320" t="s">
        <v>69</v>
      </c>
      <c r="BW1320" t="s">
        <v>69</v>
      </c>
      <c r="BX1320" t="s">
        <v>8526</v>
      </c>
      <c r="BY1320" t="str">
        <f>HYPERLINK("https%3A%2F%2Fwww.webofscience.com%2Fwos%2Fwoscc%2Ffull-record%2FWOS:A1997WQ33500015","View Full Record in Web of Science")</f>
        <v>View Full Record in Web of Science</v>
      </c>
    </row>
    <row r="1321" spans="1:77" ht="12.5" x14ac:dyDescent="0.25">
      <c r="A1321" t="s">
        <v>8495</v>
      </c>
      <c r="B1321" s="7" t="s">
        <v>32933</v>
      </c>
      <c r="C1321" s="7"/>
      <c r="D1321" s="7"/>
      <c r="E1321" s="7"/>
      <c r="F1321" t="s">
        <v>67</v>
      </c>
      <c r="G1321" t="s">
        <v>148</v>
      </c>
      <c r="H1321" t="s">
        <v>69</v>
      </c>
      <c r="I1321" t="s">
        <v>69</v>
      </c>
      <c r="J1321" t="s">
        <v>69</v>
      </c>
      <c r="K1321" t="s">
        <v>149</v>
      </c>
      <c r="L1321" t="s">
        <v>69</v>
      </c>
      <c r="M1321" t="s">
        <v>69</v>
      </c>
      <c r="N1321" t="s">
        <v>150</v>
      </c>
      <c r="O1321" t="s">
        <v>151</v>
      </c>
      <c r="P1321" t="s">
        <v>69</v>
      </c>
      <c r="Q1321" t="s">
        <v>69</v>
      </c>
      <c r="R1321" t="s">
        <v>8505</v>
      </c>
      <c r="S1321" t="s">
        <v>8442</v>
      </c>
      <c r="T1321" t="s">
        <v>69</v>
      </c>
      <c r="U1321" t="s">
        <v>69</v>
      </c>
      <c r="V1321" t="s">
        <v>69</v>
      </c>
      <c r="W1321" t="s">
        <v>69</v>
      </c>
      <c r="X1321" t="s">
        <v>69</v>
      </c>
      <c r="Y1321" t="s">
        <v>20358</v>
      </c>
      <c r="Z1321" t="s">
        <v>20359</v>
      </c>
      <c r="AA1321" t="s">
        <v>152</v>
      </c>
      <c r="AB1321" t="s">
        <v>20360</v>
      </c>
      <c r="AC1321" t="s">
        <v>69</v>
      </c>
      <c r="AD1321" t="s">
        <v>20361</v>
      </c>
      <c r="AE1321" t="s">
        <v>20362</v>
      </c>
      <c r="AF1321" t="s">
        <v>20363</v>
      </c>
      <c r="AG1321" t="s">
        <v>153</v>
      </c>
      <c r="AH1321" t="s">
        <v>69</v>
      </c>
      <c r="AI1321" t="s">
        <v>69</v>
      </c>
      <c r="AJ1321" t="s">
        <v>69</v>
      </c>
      <c r="AK1321" t="s">
        <v>69</v>
      </c>
      <c r="AL1321">
        <v>37</v>
      </c>
      <c r="AM1321">
        <v>22</v>
      </c>
      <c r="AN1321">
        <v>22</v>
      </c>
      <c r="AO1321">
        <v>1</v>
      </c>
      <c r="AP1321">
        <v>9</v>
      </c>
      <c r="AQ1321" t="s">
        <v>9145</v>
      </c>
      <c r="AR1321" t="s">
        <v>8637</v>
      </c>
      <c r="AS1321" t="s">
        <v>9146</v>
      </c>
      <c r="AT1321" t="s">
        <v>154</v>
      </c>
      <c r="AU1321" t="s">
        <v>69</v>
      </c>
      <c r="AV1321" t="s">
        <v>69</v>
      </c>
      <c r="AW1321" t="s">
        <v>12762</v>
      </c>
      <c r="AX1321" t="s">
        <v>12763</v>
      </c>
      <c r="AY1321" t="s">
        <v>155</v>
      </c>
      <c r="AZ1321">
        <v>2017</v>
      </c>
      <c r="BA1321">
        <v>73</v>
      </c>
      <c r="BB1321" t="s">
        <v>69</v>
      </c>
      <c r="BC1321" t="s">
        <v>69</v>
      </c>
      <c r="BD1321" t="s">
        <v>69</v>
      </c>
      <c r="BE1321" t="s">
        <v>69</v>
      </c>
      <c r="BF1321" t="s">
        <v>69</v>
      </c>
      <c r="BG1321">
        <v>196</v>
      </c>
      <c r="BH1321">
        <v>204</v>
      </c>
      <c r="BI1321" t="s">
        <v>69</v>
      </c>
      <c r="BJ1321" t="s">
        <v>156</v>
      </c>
      <c r="BK1321" t="str">
        <f>HYPERLINK("http://dx.doi.org/10.1016/j.rser.2017.01.040","http://dx.doi.org/10.1016/j.rser.2017.01.040")</f>
        <v>http://dx.doi.org/10.1016/j.rser.2017.01.040</v>
      </c>
      <c r="BL1321" t="s">
        <v>69</v>
      </c>
      <c r="BM1321" t="s">
        <v>69</v>
      </c>
      <c r="BN1321">
        <v>9</v>
      </c>
      <c r="BO1321" t="s">
        <v>9931</v>
      </c>
      <c r="BP1321" t="s">
        <v>8548</v>
      </c>
      <c r="BQ1321" t="s">
        <v>9932</v>
      </c>
      <c r="BR1321" t="s">
        <v>20364</v>
      </c>
      <c r="BS1321" t="s">
        <v>157</v>
      </c>
      <c r="BT1321" t="s">
        <v>69</v>
      </c>
      <c r="BU1321" t="s">
        <v>69</v>
      </c>
      <c r="BV1321" t="s">
        <v>69</v>
      </c>
      <c r="BW1321" t="s">
        <v>69</v>
      </c>
      <c r="BX1321" t="s">
        <v>8526</v>
      </c>
      <c r="BY1321" t="str">
        <f>HYPERLINK("https%3A%2F%2Fwww.webofscience.com%2Fwos%2Fwoscc%2Ffull-record%2FWOS:000401204700017","View Full Record in Web of Science")</f>
        <v>View Full Record in Web of Science</v>
      </c>
    </row>
    <row r="1322" spans="1:77" ht="12.5" x14ac:dyDescent="0.25">
      <c r="A1322" t="s">
        <v>8495</v>
      </c>
      <c r="B1322" s="7" t="s">
        <v>32933</v>
      </c>
      <c r="C1322" s="7"/>
      <c r="D1322" s="7"/>
      <c r="E1322" s="7"/>
      <c r="F1322" t="s">
        <v>67</v>
      </c>
      <c r="G1322" t="s">
        <v>900</v>
      </c>
      <c r="H1322" t="s">
        <v>69</v>
      </c>
      <c r="I1322" t="s">
        <v>69</v>
      </c>
      <c r="J1322" t="s">
        <v>69</v>
      </c>
      <c r="K1322" t="s">
        <v>901</v>
      </c>
      <c r="L1322" t="s">
        <v>69</v>
      </c>
      <c r="M1322" t="s">
        <v>69</v>
      </c>
      <c r="N1322" t="s">
        <v>902</v>
      </c>
      <c r="O1322" t="s">
        <v>352</v>
      </c>
      <c r="P1322" t="s">
        <v>69</v>
      </c>
      <c r="Q1322" t="s">
        <v>69</v>
      </c>
      <c r="R1322" t="s">
        <v>8505</v>
      </c>
      <c r="S1322" t="s">
        <v>8506</v>
      </c>
      <c r="T1322" t="s">
        <v>69</v>
      </c>
      <c r="U1322" t="s">
        <v>69</v>
      </c>
      <c r="V1322" t="s">
        <v>69</v>
      </c>
      <c r="W1322" t="s">
        <v>69</v>
      </c>
      <c r="X1322" t="s">
        <v>69</v>
      </c>
      <c r="Y1322" t="s">
        <v>16651</v>
      </c>
      <c r="Z1322" t="s">
        <v>16652</v>
      </c>
      <c r="AA1322" t="s">
        <v>903</v>
      </c>
      <c r="AB1322" t="s">
        <v>16653</v>
      </c>
      <c r="AC1322" t="s">
        <v>69</v>
      </c>
      <c r="AD1322" t="s">
        <v>16654</v>
      </c>
      <c r="AE1322" t="s">
        <v>16655</v>
      </c>
      <c r="AF1322" t="s">
        <v>69</v>
      </c>
      <c r="AG1322" t="s">
        <v>69</v>
      </c>
      <c r="AH1322" t="s">
        <v>69</v>
      </c>
      <c r="AI1322" t="s">
        <v>69</v>
      </c>
      <c r="AJ1322" t="s">
        <v>69</v>
      </c>
      <c r="AK1322" t="s">
        <v>69</v>
      </c>
      <c r="AL1322">
        <v>37</v>
      </c>
      <c r="AM1322">
        <v>0</v>
      </c>
      <c r="AN1322">
        <v>0</v>
      </c>
      <c r="AO1322">
        <v>2</v>
      </c>
      <c r="AP1322">
        <v>9</v>
      </c>
      <c r="AQ1322" t="s">
        <v>8924</v>
      </c>
      <c r="AR1322" t="s">
        <v>8925</v>
      </c>
      <c r="AS1322" t="s">
        <v>8926</v>
      </c>
      <c r="AT1322" t="s">
        <v>69</v>
      </c>
      <c r="AU1322" t="s">
        <v>354</v>
      </c>
      <c r="AV1322" t="s">
        <v>69</v>
      </c>
      <c r="AW1322" t="s">
        <v>8958</v>
      </c>
      <c r="AX1322" t="s">
        <v>8434</v>
      </c>
      <c r="AY1322" t="s">
        <v>904</v>
      </c>
      <c r="AZ1322">
        <v>2019</v>
      </c>
      <c r="BA1322">
        <v>11</v>
      </c>
      <c r="BB1322">
        <v>19</v>
      </c>
      <c r="BC1322" t="s">
        <v>69</v>
      </c>
      <c r="BD1322" t="s">
        <v>69</v>
      </c>
      <c r="BE1322" t="s">
        <v>69</v>
      </c>
      <c r="BF1322" t="s">
        <v>69</v>
      </c>
      <c r="BG1322" t="s">
        <v>69</v>
      </c>
      <c r="BH1322" t="s">
        <v>69</v>
      </c>
      <c r="BI1322">
        <v>5473</v>
      </c>
      <c r="BJ1322" t="s">
        <v>905</v>
      </c>
      <c r="BK1322" t="str">
        <f>HYPERLINK("http://dx.doi.org/10.3390/su11195473","http://dx.doi.org/10.3390/su11195473")</f>
        <v>http://dx.doi.org/10.3390/su11195473</v>
      </c>
      <c r="BL1322" t="s">
        <v>69</v>
      </c>
      <c r="BM1322" t="s">
        <v>69</v>
      </c>
      <c r="BN1322">
        <v>19</v>
      </c>
      <c r="BO1322" t="s">
        <v>8960</v>
      </c>
      <c r="BP1322" t="s">
        <v>8523</v>
      </c>
      <c r="BQ1322" t="s">
        <v>8961</v>
      </c>
      <c r="BR1322" t="s">
        <v>16656</v>
      </c>
      <c r="BS1322" t="s">
        <v>906</v>
      </c>
      <c r="BT1322" t="s">
        <v>69</v>
      </c>
      <c r="BU1322" t="s">
        <v>8812</v>
      </c>
      <c r="BV1322" t="s">
        <v>69</v>
      </c>
      <c r="BW1322" t="s">
        <v>69</v>
      </c>
      <c r="BX1322" t="s">
        <v>8526</v>
      </c>
      <c r="BY1322" t="str">
        <f>HYPERLINK("https%3A%2F%2Fwww.webofscience.com%2Fwos%2Fwoscc%2Ffull-record%2FWOS:000493525500332","View Full Record in Web of Science")</f>
        <v>View Full Record in Web of Science</v>
      </c>
    </row>
    <row r="1323" spans="1:77" ht="12.5" x14ac:dyDescent="0.25">
      <c r="A1323" t="s">
        <v>8495</v>
      </c>
      <c r="B1323" s="7" t="s">
        <v>32933</v>
      </c>
      <c r="C1323" s="7"/>
      <c r="D1323" s="7"/>
      <c r="E1323" s="7"/>
      <c r="F1323" t="s">
        <v>67</v>
      </c>
      <c r="G1323" t="s">
        <v>2985</v>
      </c>
      <c r="H1323" t="s">
        <v>69</v>
      </c>
      <c r="I1323" t="s">
        <v>69</v>
      </c>
      <c r="J1323" t="s">
        <v>69</v>
      </c>
      <c r="K1323" t="s">
        <v>2986</v>
      </c>
      <c r="L1323" t="s">
        <v>69</v>
      </c>
      <c r="M1323" t="s">
        <v>69</v>
      </c>
      <c r="N1323" t="s">
        <v>2987</v>
      </c>
      <c r="O1323" t="s">
        <v>2988</v>
      </c>
      <c r="P1323" t="s">
        <v>69</v>
      </c>
      <c r="Q1323" t="s">
        <v>69</v>
      </c>
      <c r="R1323" t="s">
        <v>8505</v>
      </c>
      <c r="S1323" t="s">
        <v>8506</v>
      </c>
      <c r="T1323" t="s">
        <v>69</v>
      </c>
      <c r="U1323" t="s">
        <v>69</v>
      </c>
      <c r="V1323" t="s">
        <v>69</v>
      </c>
      <c r="W1323" t="s">
        <v>69</v>
      </c>
      <c r="X1323" t="s">
        <v>69</v>
      </c>
      <c r="Y1323" t="s">
        <v>22421</v>
      </c>
      <c r="Z1323" t="s">
        <v>69</v>
      </c>
      <c r="AA1323" t="s">
        <v>2989</v>
      </c>
      <c r="AB1323" t="s">
        <v>22422</v>
      </c>
      <c r="AC1323" t="s">
        <v>69</v>
      </c>
      <c r="AD1323" t="s">
        <v>22423</v>
      </c>
      <c r="AE1323" t="s">
        <v>22424</v>
      </c>
      <c r="AF1323" t="s">
        <v>69</v>
      </c>
      <c r="AG1323" t="s">
        <v>22425</v>
      </c>
      <c r="AH1323" t="s">
        <v>69</v>
      </c>
      <c r="AI1323" t="s">
        <v>69</v>
      </c>
      <c r="AJ1323" t="s">
        <v>69</v>
      </c>
      <c r="AK1323" t="s">
        <v>69</v>
      </c>
      <c r="AL1323">
        <v>12</v>
      </c>
      <c r="AM1323">
        <v>9</v>
      </c>
      <c r="AN1323">
        <v>9</v>
      </c>
      <c r="AO1323">
        <v>0</v>
      </c>
      <c r="AP1323">
        <v>14</v>
      </c>
      <c r="AQ1323" t="s">
        <v>8762</v>
      </c>
      <c r="AR1323" t="s">
        <v>8763</v>
      </c>
      <c r="AS1323" t="s">
        <v>8764</v>
      </c>
      <c r="AT1323" t="s">
        <v>2990</v>
      </c>
      <c r="AU1323" t="s">
        <v>2991</v>
      </c>
      <c r="AV1323" t="s">
        <v>69</v>
      </c>
      <c r="AW1323" t="s">
        <v>22426</v>
      </c>
      <c r="AX1323" t="s">
        <v>22427</v>
      </c>
      <c r="AY1323" t="s">
        <v>381</v>
      </c>
      <c r="AZ1323">
        <v>2015</v>
      </c>
      <c r="BA1323">
        <v>23</v>
      </c>
      <c r="BB1323">
        <v>5</v>
      </c>
      <c r="BC1323" t="s">
        <v>69</v>
      </c>
      <c r="BD1323" t="s">
        <v>69</v>
      </c>
      <c r="BE1323" t="s">
        <v>69</v>
      </c>
      <c r="BF1323" t="s">
        <v>69</v>
      </c>
      <c r="BG1323">
        <v>524</v>
      </c>
      <c r="BH1323">
        <v>527</v>
      </c>
      <c r="BI1323" t="s">
        <v>69</v>
      </c>
      <c r="BJ1323" t="s">
        <v>2992</v>
      </c>
      <c r="BK1323" t="str">
        <f>HYPERLINK("http://dx.doi.org/10.1177/1039856215593397","http://dx.doi.org/10.1177/1039856215593397")</f>
        <v>http://dx.doi.org/10.1177/1039856215593397</v>
      </c>
      <c r="BL1323" t="s">
        <v>69</v>
      </c>
      <c r="BM1323" t="s">
        <v>69</v>
      </c>
      <c r="BN1323">
        <v>4</v>
      </c>
      <c r="BO1323" t="s">
        <v>9332</v>
      </c>
      <c r="BP1323" t="s">
        <v>8523</v>
      </c>
      <c r="BQ1323" t="s">
        <v>9332</v>
      </c>
      <c r="BR1323" t="s">
        <v>22428</v>
      </c>
      <c r="BS1323" t="s">
        <v>2993</v>
      </c>
      <c r="BT1323">
        <v>26148737</v>
      </c>
      <c r="BU1323" t="s">
        <v>69</v>
      </c>
      <c r="BV1323" t="s">
        <v>69</v>
      </c>
      <c r="BW1323" t="s">
        <v>69</v>
      </c>
      <c r="BX1323" t="s">
        <v>8526</v>
      </c>
      <c r="BY1323" t="str">
        <f>HYPERLINK("https%3A%2F%2Fwww.webofscience.com%2Fwos%2Fwoscc%2Ffull-record%2FWOS:000361906700014","View Full Record in Web of Science")</f>
        <v>View Full Record in Web of Science</v>
      </c>
    </row>
    <row r="1324" spans="1:77" ht="12.5" x14ac:dyDescent="0.25">
      <c r="A1324" t="s">
        <v>8495</v>
      </c>
      <c r="B1324" s="22" t="s">
        <v>32931</v>
      </c>
      <c r="C1324" s="7"/>
      <c r="D1324" s="7"/>
      <c r="E1324" s="7"/>
      <c r="F1324" t="s">
        <v>67</v>
      </c>
      <c r="G1324" t="s">
        <v>30636</v>
      </c>
      <c r="H1324" t="s">
        <v>69</v>
      </c>
      <c r="I1324" t="s">
        <v>69</v>
      </c>
      <c r="J1324" t="s">
        <v>69</v>
      </c>
      <c r="K1324" t="s">
        <v>30636</v>
      </c>
      <c r="L1324" t="s">
        <v>69</v>
      </c>
      <c r="M1324" t="s">
        <v>69</v>
      </c>
      <c r="N1324" t="s">
        <v>30637</v>
      </c>
      <c r="O1324" t="s">
        <v>30638</v>
      </c>
      <c r="P1324" t="s">
        <v>69</v>
      </c>
      <c r="Q1324" t="s">
        <v>69</v>
      </c>
      <c r="R1324" t="s">
        <v>8505</v>
      </c>
      <c r="S1324" t="s">
        <v>8506</v>
      </c>
      <c r="T1324" t="s">
        <v>69</v>
      </c>
      <c r="U1324" t="s">
        <v>69</v>
      </c>
      <c r="V1324" t="s">
        <v>69</v>
      </c>
      <c r="W1324" t="s">
        <v>69</v>
      </c>
      <c r="X1324" t="s">
        <v>69</v>
      </c>
      <c r="Y1324" t="s">
        <v>69</v>
      </c>
      <c r="Z1324" t="s">
        <v>30639</v>
      </c>
      <c r="AA1324" t="s">
        <v>30640</v>
      </c>
      <c r="AB1324" t="s">
        <v>30641</v>
      </c>
      <c r="AC1324" t="s">
        <v>69</v>
      </c>
      <c r="AD1324" t="s">
        <v>30642</v>
      </c>
      <c r="AE1324" t="s">
        <v>30643</v>
      </c>
      <c r="AF1324" t="s">
        <v>69</v>
      </c>
      <c r="AG1324" t="s">
        <v>69</v>
      </c>
      <c r="AH1324" t="s">
        <v>69</v>
      </c>
      <c r="AI1324" t="s">
        <v>69</v>
      </c>
      <c r="AJ1324" t="s">
        <v>69</v>
      </c>
      <c r="AK1324" t="s">
        <v>69</v>
      </c>
      <c r="AL1324">
        <v>35</v>
      </c>
      <c r="AM1324">
        <v>5</v>
      </c>
      <c r="AN1324">
        <v>5</v>
      </c>
      <c r="AO1324">
        <v>0</v>
      </c>
      <c r="AP1324">
        <v>13</v>
      </c>
      <c r="AQ1324" t="s">
        <v>30644</v>
      </c>
      <c r="AR1324" t="s">
        <v>11277</v>
      </c>
      <c r="AS1324" t="s">
        <v>30645</v>
      </c>
      <c r="AT1324" t="s">
        <v>30646</v>
      </c>
      <c r="AU1324" t="s">
        <v>69</v>
      </c>
      <c r="AV1324" t="s">
        <v>69</v>
      </c>
      <c r="AW1324" t="s">
        <v>30647</v>
      </c>
      <c r="AX1324" t="s">
        <v>30648</v>
      </c>
      <c r="AY1324" t="s">
        <v>586</v>
      </c>
      <c r="AZ1324">
        <v>2005</v>
      </c>
      <c r="BA1324">
        <v>31</v>
      </c>
      <c r="BB1324">
        <v>5</v>
      </c>
      <c r="BC1324" t="s">
        <v>69</v>
      </c>
      <c r="BD1324" t="s">
        <v>69</v>
      </c>
      <c r="BE1324" t="s">
        <v>69</v>
      </c>
      <c r="BF1324" t="s">
        <v>69</v>
      </c>
      <c r="BG1324">
        <v>385</v>
      </c>
      <c r="BH1324">
        <v>403</v>
      </c>
      <c r="BI1324" t="s">
        <v>69</v>
      </c>
      <c r="BJ1324" t="s">
        <v>30649</v>
      </c>
      <c r="BK1324" t="str">
        <f>HYPERLINK("http://dx.doi.org/10.1080/03601270590921663","http://dx.doi.org/10.1080/03601270590921663")</f>
        <v>http://dx.doi.org/10.1080/03601270590921663</v>
      </c>
      <c r="BL1324" t="s">
        <v>69</v>
      </c>
      <c r="BM1324" t="s">
        <v>69</v>
      </c>
      <c r="BN1324">
        <v>19</v>
      </c>
      <c r="BO1324" t="s">
        <v>30650</v>
      </c>
      <c r="BP1324" t="s">
        <v>8661</v>
      </c>
      <c r="BQ1324" t="s">
        <v>30651</v>
      </c>
      <c r="BR1324" t="s">
        <v>30652</v>
      </c>
      <c r="BS1324" t="s">
        <v>30653</v>
      </c>
      <c r="BT1324" t="s">
        <v>69</v>
      </c>
      <c r="BU1324" t="s">
        <v>69</v>
      </c>
      <c r="BV1324" t="s">
        <v>69</v>
      </c>
      <c r="BW1324" t="s">
        <v>69</v>
      </c>
      <c r="BX1324" t="s">
        <v>8526</v>
      </c>
      <c r="BY1324" t="str">
        <f>HYPERLINK("https%3A%2F%2Fwww.webofscience.com%2Fwos%2Fwoscc%2Ffull-record%2FWOS:000228921200004","View Full Record in Web of Science")</f>
        <v>View Full Record in Web of Science</v>
      </c>
    </row>
    <row r="1325" spans="1:77" ht="12.5" x14ac:dyDescent="0.25">
      <c r="A1325" t="s">
        <v>8495</v>
      </c>
      <c r="B1325" s="7" t="s">
        <v>32933</v>
      </c>
      <c r="C1325" s="7"/>
      <c r="D1325" s="7"/>
      <c r="E1325" s="7"/>
      <c r="F1325" t="s">
        <v>67</v>
      </c>
      <c r="G1325" t="s">
        <v>1193</v>
      </c>
      <c r="H1325" t="s">
        <v>69</v>
      </c>
      <c r="I1325" t="s">
        <v>69</v>
      </c>
      <c r="J1325" t="s">
        <v>69</v>
      </c>
      <c r="K1325" t="s">
        <v>1194</v>
      </c>
      <c r="L1325" t="s">
        <v>69</v>
      </c>
      <c r="M1325" t="s">
        <v>69</v>
      </c>
      <c r="N1325" t="s">
        <v>1195</v>
      </c>
      <c r="O1325" t="s">
        <v>1196</v>
      </c>
      <c r="P1325" t="s">
        <v>69</v>
      </c>
      <c r="Q1325" t="s">
        <v>69</v>
      </c>
      <c r="R1325" t="s">
        <v>8505</v>
      </c>
      <c r="S1325" t="s">
        <v>8506</v>
      </c>
      <c r="T1325" t="s">
        <v>69</v>
      </c>
      <c r="U1325" t="s">
        <v>69</v>
      </c>
      <c r="V1325" t="s">
        <v>69</v>
      </c>
      <c r="W1325" t="s">
        <v>69</v>
      </c>
      <c r="X1325" t="s">
        <v>69</v>
      </c>
      <c r="Y1325" t="s">
        <v>21101</v>
      </c>
      <c r="Z1325" t="s">
        <v>21102</v>
      </c>
      <c r="AA1325" t="s">
        <v>1197</v>
      </c>
      <c r="AB1325" t="s">
        <v>21103</v>
      </c>
      <c r="AC1325" t="s">
        <v>69</v>
      </c>
      <c r="AD1325" t="s">
        <v>21104</v>
      </c>
      <c r="AE1325" t="s">
        <v>21105</v>
      </c>
      <c r="AF1325" t="s">
        <v>21106</v>
      </c>
      <c r="AG1325" t="s">
        <v>21107</v>
      </c>
      <c r="AH1325" t="s">
        <v>21108</v>
      </c>
      <c r="AI1325" t="s">
        <v>21108</v>
      </c>
      <c r="AJ1325" t="s">
        <v>21109</v>
      </c>
      <c r="AK1325" t="s">
        <v>69</v>
      </c>
      <c r="AL1325">
        <v>56</v>
      </c>
      <c r="AM1325">
        <v>16</v>
      </c>
      <c r="AN1325">
        <v>16</v>
      </c>
      <c r="AO1325">
        <v>0</v>
      </c>
      <c r="AP1325">
        <v>12</v>
      </c>
      <c r="AQ1325" t="s">
        <v>21110</v>
      </c>
      <c r="AR1325" t="s">
        <v>8847</v>
      </c>
      <c r="AS1325" t="s">
        <v>8848</v>
      </c>
      <c r="AT1325" t="s">
        <v>1198</v>
      </c>
      <c r="AU1325" t="s">
        <v>1199</v>
      </c>
      <c r="AV1325" t="s">
        <v>69</v>
      </c>
      <c r="AW1325" t="s">
        <v>21111</v>
      </c>
      <c r="AX1325" t="s">
        <v>21112</v>
      </c>
      <c r="AY1325" t="s">
        <v>75</v>
      </c>
      <c r="AZ1325">
        <v>2016</v>
      </c>
      <c r="BA1325">
        <v>57</v>
      </c>
      <c r="BB1325">
        <v>3</v>
      </c>
      <c r="BC1325" t="s">
        <v>69</v>
      </c>
      <c r="BD1325" t="s">
        <v>69</v>
      </c>
      <c r="BE1325" t="s">
        <v>114</v>
      </c>
      <c r="BF1325" t="s">
        <v>69</v>
      </c>
      <c r="BG1325">
        <v>393</v>
      </c>
      <c r="BH1325">
        <v>405</v>
      </c>
      <c r="BI1325" t="s">
        <v>69</v>
      </c>
      <c r="BJ1325" t="s">
        <v>1200</v>
      </c>
      <c r="BK1325" t="str">
        <f>HYPERLINK("http://dx.doi.org/10.1111/apv.12134","http://dx.doi.org/10.1111/apv.12134")</f>
        <v>http://dx.doi.org/10.1111/apv.12134</v>
      </c>
      <c r="BL1325" t="s">
        <v>69</v>
      </c>
      <c r="BM1325" t="s">
        <v>69</v>
      </c>
      <c r="BN1325">
        <v>13</v>
      </c>
      <c r="BO1325" t="s">
        <v>21113</v>
      </c>
      <c r="BP1325" t="s">
        <v>8661</v>
      </c>
      <c r="BQ1325" t="s">
        <v>21113</v>
      </c>
      <c r="BR1325" t="s">
        <v>21114</v>
      </c>
      <c r="BS1325" t="s">
        <v>1201</v>
      </c>
      <c r="BT1325" t="s">
        <v>69</v>
      </c>
      <c r="BU1325" t="s">
        <v>69</v>
      </c>
      <c r="BV1325" t="s">
        <v>69</v>
      </c>
      <c r="BW1325" t="s">
        <v>69</v>
      </c>
      <c r="BX1325" t="s">
        <v>8526</v>
      </c>
      <c r="BY1325" t="str">
        <f>HYPERLINK("https%3A%2F%2Fwww.webofscience.com%2Fwos%2Fwoscc%2Ffull-record%2FWOS:000393066800009","View Full Record in Web of Science")</f>
        <v>View Full Record in Web of Science</v>
      </c>
    </row>
    <row r="1326" spans="1:77" ht="12.5" x14ac:dyDescent="0.25">
      <c r="A1326" t="s">
        <v>8495</v>
      </c>
      <c r="B1326" s="7" t="s">
        <v>32933</v>
      </c>
      <c r="C1326" s="7"/>
      <c r="D1326" s="7"/>
      <c r="E1326" s="7"/>
      <c r="F1326" t="s">
        <v>67</v>
      </c>
      <c r="G1326" t="s">
        <v>7574</v>
      </c>
      <c r="H1326" t="s">
        <v>69</v>
      </c>
      <c r="I1326" t="s">
        <v>69</v>
      </c>
      <c r="J1326" t="s">
        <v>69</v>
      </c>
      <c r="K1326" t="s">
        <v>7574</v>
      </c>
      <c r="L1326" t="s">
        <v>69</v>
      </c>
      <c r="M1326" t="s">
        <v>69</v>
      </c>
      <c r="N1326" t="s">
        <v>7575</v>
      </c>
      <c r="O1326" t="s">
        <v>1212</v>
      </c>
      <c r="P1326" t="s">
        <v>69</v>
      </c>
      <c r="Q1326" t="s">
        <v>69</v>
      </c>
      <c r="R1326" t="s">
        <v>8505</v>
      </c>
      <c r="S1326" t="s">
        <v>15797</v>
      </c>
      <c r="T1326" t="s">
        <v>7576</v>
      </c>
      <c r="U1326" t="s">
        <v>7577</v>
      </c>
      <c r="V1326" t="s">
        <v>7578</v>
      </c>
      <c r="W1326" t="s">
        <v>69</v>
      </c>
      <c r="X1326" t="s">
        <v>7579</v>
      </c>
      <c r="Y1326" t="s">
        <v>31585</v>
      </c>
      <c r="Z1326" t="s">
        <v>69</v>
      </c>
      <c r="AA1326" t="s">
        <v>7580</v>
      </c>
      <c r="AB1326" t="s">
        <v>69</v>
      </c>
      <c r="AC1326" t="s">
        <v>69</v>
      </c>
      <c r="AD1326" t="s">
        <v>31586</v>
      </c>
      <c r="AE1326" t="s">
        <v>69</v>
      </c>
      <c r="AF1326" t="s">
        <v>31587</v>
      </c>
      <c r="AG1326" t="s">
        <v>69</v>
      </c>
      <c r="AH1326" t="s">
        <v>69</v>
      </c>
      <c r="AI1326" t="s">
        <v>69</v>
      </c>
      <c r="AJ1326" t="s">
        <v>69</v>
      </c>
      <c r="AK1326" t="s">
        <v>69</v>
      </c>
      <c r="AL1326">
        <v>9</v>
      </c>
      <c r="AM1326">
        <v>7</v>
      </c>
      <c r="AN1326">
        <v>7</v>
      </c>
      <c r="AO1326">
        <v>0</v>
      </c>
      <c r="AP1326">
        <v>18</v>
      </c>
      <c r="AQ1326" t="s">
        <v>30740</v>
      </c>
      <c r="AR1326" t="s">
        <v>8637</v>
      </c>
      <c r="AS1326" t="s">
        <v>30741</v>
      </c>
      <c r="AT1326" t="s">
        <v>1215</v>
      </c>
      <c r="AU1326" t="s">
        <v>69</v>
      </c>
      <c r="AV1326" t="s">
        <v>69</v>
      </c>
      <c r="AW1326" t="s">
        <v>31588</v>
      </c>
      <c r="AX1326" t="s">
        <v>21311</v>
      </c>
      <c r="AY1326" t="s">
        <v>84</v>
      </c>
      <c r="AZ1326">
        <v>2001</v>
      </c>
      <c r="BA1326">
        <v>9</v>
      </c>
      <c r="BB1326">
        <v>3</v>
      </c>
      <c r="BC1326" t="s">
        <v>69</v>
      </c>
      <c r="BD1326" t="s">
        <v>69</v>
      </c>
      <c r="BE1326" t="s">
        <v>69</v>
      </c>
      <c r="BF1326" t="s">
        <v>69</v>
      </c>
      <c r="BG1326">
        <v>142</v>
      </c>
      <c r="BH1326">
        <v>147</v>
      </c>
      <c r="BI1326" t="s">
        <v>69</v>
      </c>
      <c r="BJ1326" t="s">
        <v>7581</v>
      </c>
      <c r="BK1326" t="str">
        <f>HYPERLINK("http://dx.doi.org/10.1111/1467-8683.00241","http://dx.doi.org/10.1111/1467-8683.00241")</f>
        <v>http://dx.doi.org/10.1111/1467-8683.00241</v>
      </c>
      <c r="BL1326" t="s">
        <v>69</v>
      </c>
      <c r="BM1326" t="s">
        <v>69</v>
      </c>
      <c r="BN1326">
        <v>6</v>
      </c>
      <c r="BO1326" t="s">
        <v>21312</v>
      </c>
      <c r="BP1326" t="s">
        <v>31324</v>
      </c>
      <c r="BQ1326" t="s">
        <v>8594</v>
      </c>
      <c r="BR1326" t="s">
        <v>31589</v>
      </c>
      <c r="BS1326" t="s">
        <v>7582</v>
      </c>
      <c r="BT1326" t="s">
        <v>69</v>
      </c>
      <c r="BU1326" t="s">
        <v>69</v>
      </c>
      <c r="BV1326" t="s">
        <v>69</v>
      </c>
      <c r="BW1326" t="s">
        <v>69</v>
      </c>
      <c r="BX1326" t="s">
        <v>8526</v>
      </c>
      <c r="BY1326" t="str">
        <f>HYPERLINK("https%3A%2F%2Fwww.webofscience.com%2Fwos%2Fwoscc%2Ffull-record%2FWOS:000169695900002","View Full Record in Web of Science")</f>
        <v>View Full Record in Web of Science</v>
      </c>
    </row>
    <row r="1327" spans="1:77" ht="12.5" x14ac:dyDescent="0.25">
      <c r="A1327" t="s">
        <v>8495</v>
      </c>
      <c r="B1327" s="22" t="s">
        <v>32931</v>
      </c>
      <c r="C1327" s="7"/>
      <c r="D1327" s="7"/>
      <c r="E1327" s="7"/>
      <c r="F1327" t="s">
        <v>67</v>
      </c>
      <c r="G1327" t="s">
        <v>11390</v>
      </c>
      <c r="H1327" t="s">
        <v>69</v>
      </c>
      <c r="I1327" t="s">
        <v>69</v>
      </c>
      <c r="J1327" t="s">
        <v>69</v>
      </c>
      <c r="K1327" t="s">
        <v>11391</v>
      </c>
      <c r="L1327" t="s">
        <v>69</v>
      </c>
      <c r="M1327" t="s">
        <v>69</v>
      </c>
      <c r="N1327" t="s">
        <v>11392</v>
      </c>
      <c r="O1327" t="s">
        <v>11393</v>
      </c>
      <c r="P1327" t="s">
        <v>69</v>
      </c>
      <c r="Q1327" t="s">
        <v>69</v>
      </c>
      <c r="R1327" t="s">
        <v>8505</v>
      </c>
      <c r="S1327" t="s">
        <v>8506</v>
      </c>
      <c r="T1327" t="s">
        <v>69</v>
      </c>
      <c r="U1327" t="s">
        <v>69</v>
      </c>
      <c r="V1327" t="s">
        <v>69</v>
      </c>
      <c r="W1327" t="s">
        <v>69</v>
      </c>
      <c r="X1327" t="s">
        <v>69</v>
      </c>
      <c r="Y1327" t="s">
        <v>11394</v>
      </c>
      <c r="Z1327" t="s">
        <v>69</v>
      </c>
      <c r="AA1327" t="s">
        <v>11395</v>
      </c>
      <c r="AB1327" t="s">
        <v>11396</v>
      </c>
      <c r="AC1327" t="s">
        <v>69</v>
      </c>
      <c r="AD1327" t="s">
        <v>11397</v>
      </c>
      <c r="AE1327" t="s">
        <v>11398</v>
      </c>
      <c r="AF1327" t="s">
        <v>69</v>
      </c>
      <c r="AG1327" t="s">
        <v>11399</v>
      </c>
      <c r="AH1327" t="s">
        <v>69</v>
      </c>
      <c r="AI1327" t="s">
        <v>69</v>
      </c>
      <c r="AJ1327" t="s">
        <v>69</v>
      </c>
      <c r="AK1327" t="s">
        <v>69</v>
      </c>
      <c r="AL1327">
        <v>25</v>
      </c>
      <c r="AM1327">
        <v>0</v>
      </c>
      <c r="AN1327">
        <v>0</v>
      </c>
      <c r="AO1327">
        <v>0</v>
      </c>
      <c r="AP1327">
        <v>0</v>
      </c>
      <c r="AQ1327" t="s">
        <v>8865</v>
      </c>
      <c r="AR1327" t="s">
        <v>8612</v>
      </c>
      <c r="AS1327" t="s">
        <v>8866</v>
      </c>
      <c r="AT1327" t="s">
        <v>11400</v>
      </c>
      <c r="AU1327" t="s">
        <v>11401</v>
      </c>
      <c r="AV1327" t="s">
        <v>69</v>
      </c>
      <c r="AW1327" t="s">
        <v>11402</v>
      </c>
      <c r="AX1327" t="s">
        <v>11403</v>
      </c>
      <c r="AY1327" t="s">
        <v>11404</v>
      </c>
      <c r="AZ1327">
        <v>2021</v>
      </c>
      <c r="BA1327">
        <v>53</v>
      </c>
      <c r="BB1327">
        <v>3</v>
      </c>
      <c r="BC1327" t="s">
        <v>69</v>
      </c>
      <c r="BD1327" t="s">
        <v>69</v>
      </c>
      <c r="BE1327" t="s">
        <v>69</v>
      </c>
      <c r="BF1327" t="s">
        <v>69</v>
      </c>
      <c r="BG1327">
        <v>383</v>
      </c>
      <c r="BH1327">
        <v>396</v>
      </c>
      <c r="BI1327" t="s">
        <v>69</v>
      </c>
      <c r="BJ1327" t="s">
        <v>11405</v>
      </c>
      <c r="BK1327" t="str">
        <f>HYPERLINK("http://dx.doi.org/10.1080/07329113.2021.2016266","http://dx.doi.org/10.1080/07329113.2021.2016266")</f>
        <v>http://dx.doi.org/10.1080/07329113.2021.2016266</v>
      </c>
      <c r="BL1327" t="s">
        <v>69</v>
      </c>
      <c r="BM1327" t="s">
        <v>69</v>
      </c>
      <c r="BN1327">
        <v>14</v>
      </c>
      <c r="BO1327" t="s">
        <v>8452</v>
      </c>
      <c r="BP1327" t="s">
        <v>8573</v>
      </c>
      <c r="BQ1327" t="s">
        <v>10084</v>
      </c>
      <c r="BR1327" t="s">
        <v>11406</v>
      </c>
      <c r="BS1327" t="s">
        <v>11407</v>
      </c>
      <c r="BT1327" t="s">
        <v>69</v>
      </c>
      <c r="BU1327" t="s">
        <v>69</v>
      </c>
      <c r="BV1327" t="s">
        <v>69</v>
      </c>
      <c r="BW1327" t="s">
        <v>69</v>
      </c>
      <c r="BX1327" t="s">
        <v>8526</v>
      </c>
      <c r="BY1327" t="str">
        <f>HYPERLINK("https%3A%2F%2Fwww.webofscience.com%2Fwos%2Fwoscc%2Ffull-record%2FWOS:000740524600006","View Full Record in Web of Science")</f>
        <v>View Full Record in Web of Science</v>
      </c>
    </row>
    <row r="1328" spans="1:77" ht="12.5" x14ac:dyDescent="0.25">
      <c r="A1328" t="s">
        <v>8495</v>
      </c>
      <c r="B1328" s="22" t="s">
        <v>32931</v>
      </c>
      <c r="C1328" s="7"/>
      <c r="D1328" s="7"/>
      <c r="E1328" s="7"/>
      <c r="F1328" t="s">
        <v>67</v>
      </c>
      <c r="G1328" t="s">
        <v>31279</v>
      </c>
      <c r="H1328" t="s">
        <v>69</v>
      </c>
      <c r="I1328" t="s">
        <v>69</v>
      </c>
      <c r="J1328" t="s">
        <v>69</v>
      </c>
      <c r="K1328" t="s">
        <v>31279</v>
      </c>
      <c r="L1328" t="s">
        <v>69</v>
      </c>
      <c r="M1328" t="s">
        <v>69</v>
      </c>
      <c r="N1328" t="s">
        <v>31280</v>
      </c>
      <c r="O1328" t="s">
        <v>30105</v>
      </c>
      <c r="P1328" t="s">
        <v>69</v>
      </c>
      <c r="Q1328" t="s">
        <v>69</v>
      </c>
      <c r="R1328" t="s">
        <v>8505</v>
      </c>
      <c r="S1328" t="s">
        <v>8506</v>
      </c>
      <c r="T1328" t="s">
        <v>69</v>
      </c>
      <c r="U1328" t="s">
        <v>69</v>
      </c>
      <c r="V1328" t="s">
        <v>69</v>
      </c>
      <c r="W1328" t="s">
        <v>69</v>
      </c>
      <c r="X1328" t="s">
        <v>69</v>
      </c>
      <c r="Y1328" t="s">
        <v>31281</v>
      </c>
      <c r="Z1328" t="s">
        <v>31282</v>
      </c>
      <c r="AA1328" t="s">
        <v>31283</v>
      </c>
      <c r="AB1328" t="s">
        <v>31284</v>
      </c>
      <c r="AC1328" t="s">
        <v>69</v>
      </c>
      <c r="AD1328" t="s">
        <v>31285</v>
      </c>
      <c r="AE1328" t="s">
        <v>69</v>
      </c>
      <c r="AF1328" t="s">
        <v>69</v>
      </c>
      <c r="AG1328" t="s">
        <v>69</v>
      </c>
      <c r="AH1328" t="s">
        <v>69</v>
      </c>
      <c r="AI1328" t="s">
        <v>69</v>
      </c>
      <c r="AJ1328" t="s">
        <v>69</v>
      </c>
      <c r="AK1328" t="s">
        <v>69</v>
      </c>
      <c r="AL1328">
        <v>37</v>
      </c>
      <c r="AM1328">
        <v>36</v>
      </c>
      <c r="AN1328">
        <v>36</v>
      </c>
      <c r="AO1328">
        <v>1</v>
      </c>
      <c r="AP1328">
        <v>11</v>
      </c>
      <c r="AQ1328" t="s">
        <v>31076</v>
      </c>
      <c r="AR1328" t="s">
        <v>8637</v>
      </c>
      <c r="AS1328" t="s">
        <v>31286</v>
      </c>
      <c r="AT1328" t="s">
        <v>30112</v>
      </c>
      <c r="AU1328" t="s">
        <v>69</v>
      </c>
      <c r="AV1328" t="s">
        <v>69</v>
      </c>
      <c r="AW1328" t="s">
        <v>30114</v>
      </c>
      <c r="AX1328" t="s">
        <v>30115</v>
      </c>
      <c r="AY1328" t="s">
        <v>373</v>
      </c>
      <c r="AZ1328">
        <v>2003</v>
      </c>
      <c r="BA1328">
        <v>12</v>
      </c>
      <c r="BB1328">
        <v>1</v>
      </c>
      <c r="BC1328" t="s">
        <v>69</v>
      </c>
      <c r="BD1328" t="s">
        <v>69</v>
      </c>
      <c r="BE1328" t="s">
        <v>69</v>
      </c>
      <c r="BF1328" t="s">
        <v>69</v>
      </c>
      <c r="BG1328">
        <v>28</v>
      </c>
      <c r="BH1328">
        <v>36</v>
      </c>
      <c r="BI1328" t="s">
        <v>69</v>
      </c>
      <c r="BJ1328" t="s">
        <v>31287</v>
      </c>
      <c r="BK1328" t="str">
        <f>HYPERLINK("http://dx.doi.org/10.1046/j.1365-2702.2003.00682.x","http://dx.doi.org/10.1046/j.1365-2702.2003.00682.x")</f>
        <v>http://dx.doi.org/10.1046/j.1365-2702.2003.00682.x</v>
      </c>
      <c r="BL1328" t="s">
        <v>69</v>
      </c>
      <c r="BM1328" t="s">
        <v>69</v>
      </c>
      <c r="BN1328">
        <v>9</v>
      </c>
      <c r="BO1328" t="s">
        <v>16902</v>
      </c>
      <c r="BP1328" t="s">
        <v>8523</v>
      </c>
      <c r="BQ1328" t="s">
        <v>16902</v>
      </c>
      <c r="BR1328" t="s">
        <v>31288</v>
      </c>
      <c r="BS1328" t="s">
        <v>31289</v>
      </c>
      <c r="BT1328">
        <v>12519247</v>
      </c>
      <c r="BU1328" t="s">
        <v>69</v>
      </c>
      <c r="BV1328" t="s">
        <v>69</v>
      </c>
      <c r="BW1328" t="s">
        <v>69</v>
      </c>
      <c r="BX1328" t="s">
        <v>8526</v>
      </c>
      <c r="BY1328" t="str">
        <f>HYPERLINK("https%3A%2F%2Fwww.webofscience.com%2Fwos%2Fwoscc%2Ffull-record%2FWOS:000179945800005","View Full Record in Web of Science")</f>
        <v>View Full Record in Web of Science</v>
      </c>
    </row>
    <row r="1329" spans="1:77" ht="12.5" x14ac:dyDescent="0.25">
      <c r="A1329" t="s">
        <v>8495</v>
      </c>
      <c r="B1329" s="22" t="s">
        <v>32931</v>
      </c>
      <c r="C1329" s="7"/>
      <c r="D1329" s="7"/>
      <c r="E1329" s="7"/>
      <c r="F1329" t="s">
        <v>67</v>
      </c>
      <c r="G1329" t="s">
        <v>32472</v>
      </c>
      <c r="H1329" t="s">
        <v>69</v>
      </c>
      <c r="I1329" t="s">
        <v>69</v>
      </c>
      <c r="J1329" t="s">
        <v>69</v>
      </c>
      <c r="K1329" t="s">
        <v>32472</v>
      </c>
      <c r="L1329" t="s">
        <v>69</v>
      </c>
      <c r="M1329" t="s">
        <v>69</v>
      </c>
      <c r="N1329" t="s">
        <v>32473</v>
      </c>
      <c r="O1329" t="s">
        <v>32474</v>
      </c>
      <c r="P1329" t="s">
        <v>69</v>
      </c>
      <c r="Q1329" t="s">
        <v>69</v>
      </c>
      <c r="R1329" t="s">
        <v>8505</v>
      </c>
      <c r="S1329" t="s">
        <v>10174</v>
      </c>
      <c r="T1329" t="s">
        <v>69</v>
      </c>
      <c r="U1329" t="s">
        <v>69</v>
      </c>
      <c r="V1329" t="s">
        <v>69</v>
      </c>
      <c r="W1329" t="s">
        <v>69</v>
      </c>
      <c r="X1329" t="s">
        <v>69</v>
      </c>
      <c r="Y1329" t="s">
        <v>69</v>
      </c>
      <c r="Z1329" t="s">
        <v>32475</v>
      </c>
      <c r="AA1329" t="s">
        <v>32476</v>
      </c>
      <c r="AB1329" t="s">
        <v>69</v>
      </c>
      <c r="AC1329" t="s">
        <v>69</v>
      </c>
      <c r="AD1329" t="s">
        <v>32477</v>
      </c>
      <c r="AE1329" t="s">
        <v>69</v>
      </c>
      <c r="AF1329" t="s">
        <v>69</v>
      </c>
      <c r="AG1329" t="s">
        <v>69</v>
      </c>
      <c r="AH1329" t="s">
        <v>69</v>
      </c>
      <c r="AI1329" t="s">
        <v>69</v>
      </c>
      <c r="AJ1329" t="s">
        <v>69</v>
      </c>
      <c r="AK1329" t="s">
        <v>69</v>
      </c>
      <c r="AL1329">
        <v>31</v>
      </c>
      <c r="AM1329">
        <v>14</v>
      </c>
      <c r="AN1329">
        <v>14</v>
      </c>
      <c r="AO1329">
        <v>0</v>
      </c>
      <c r="AP1329">
        <v>0</v>
      </c>
      <c r="AQ1329" t="s">
        <v>32478</v>
      </c>
      <c r="AR1329" t="s">
        <v>10924</v>
      </c>
      <c r="AS1329" t="s">
        <v>32479</v>
      </c>
      <c r="AT1329" t="s">
        <v>32480</v>
      </c>
      <c r="AU1329" t="s">
        <v>32481</v>
      </c>
      <c r="AV1329" t="s">
        <v>69</v>
      </c>
      <c r="AW1329" t="s">
        <v>32482</v>
      </c>
      <c r="AX1329" t="s">
        <v>32483</v>
      </c>
      <c r="AY1329" t="s">
        <v>8207</v>
      </c>
      <c r="AZ1329">
        <v>1996</v>
      </c>
      <c r="BA1329">
        <v>124</v>
      </c>
      <c r="BB1329">
        <v>6</v>
      </c>
      <c r="BC1329" t="s">
        <v>69</v>
      </c>
      <c r="BD1329" t="s">
        <v>69</v>
      </c>
      <c r="BE1329" t="s">
        <v>69</v>
      </c>
      <c r="BF1329" t="s">
        <v>69</v>
      </c>
      <c r="BG1329">
        <v>600</v>
      </c>
      <c r="BH1329">
        <v>603</v>
      </c>
      <c r="BI1329" t="s">
        <v>69</v>
      </c>
      <c r="BJ1329" t="s">
        <v>32484</v>
      </c>
      <c r="BK1329" t="str">
        <f>HYPERLINK("http://dx.doi.org/10.7326/0003-4819-124-6-199603150-00009","http://dx.doi.org/10.7326/0003-4819-124-6-199603150-00009")</f>
        <v>http://dx.doi.org/10.7326/0003-4819-124-6-199603150-00009</v>
      </c>
      <c r="BL1329" t="s">
        <v>69</v>
      </c>
      <c r="BM1329" t="s">
        <v>69</v>
      </c>
      <c r="BN1329">
        <v>4</v>
      </c>
      <c r="BO1329" t="s">
        <v>9450</v>
      </c>
      <c r="BP1329" t="s">
        <v>8548</v>
      </c>
      <c r="BQ1329" t="s">
        <v>9451</v>
      </c>
      <c r="BR1329" t="s">
        <v>32485</v>
      </c>
      <c r="BS1329" t="s">
        <v>32486</v>
      </c>
      <c r="BT1329">
        <v>8597324</v>
      </c>
      <c r="BU1329" t="s">
        <v>69</v>
      </c>
      <c r="BV1329" t="s">
        <v>69</v>
      </c>
      <c r="BW1329" t="s">
        <v>69</v>
      </c>
      <c r="BX1329" t="s">
        <v>8526</v>
      </c>
      <c r="BY1329" t="str">
        <f>HYPERLINK("https%3A%2F%2Fwww.webofscience.com%2Fwos%2Fwoscc%2Ffull-record%2FWOS:A1996TZ52900010","View Full Record in Web of Science")</f>
        <v>View Full Record in Web of Science</v>
      </c>
    </row>
    <row r="1330" spans="1:77" ht="12.5" x14ac:dyDescent="0.25">
      <c r="A1330" t="s">
        <v>8495</v>
      </c>
      <c r="B1330" s="22" t="s">
        <v>32931</v>
      </c>
      <c r="C1330" s="7"/>
      <c r="D1330" s="7"/>
      <c r="E1330" s="7"/>
      <c r="F1330" t="s">
        <v>67</v>
      </c>
      <c r="G1330" t="s">
        <v>19670</v>
      </c>
      <c r="H1330" t="s">
        <v>69</v>
      </c>
      <c r="I1330" t="s">
        <v>69</v>
      </c>
      <c r="J1330" t="s">
        <v>69</v>
      </c>
      <c r="K1330" t="s">
        <v>19671</v>
      </c>
      <c r="L1330" t="s">
        <v>69</v>
      </c>
      <c r="M1330" t="s">
        <v>69</v>
      </c>
      <c r="N1330" t="s">
        <v>19672</v>
      </c>
      <c r="O1330" t="s">
        <v>19673</v>
      </c>
      <c r="P1330" t="s">
        <v>69</v>
      </c>
      <c r="Q1330" t="s">
        <v>69</v>
      </c>
      <c r="R1330" t="s">
        <v>8505</v>
      </c>
      <c r="S1330" t="s">
        <v>10174</v>
      </c>
      <c r="T1330" t="s">
        <v>69</v>
      </c>
      <c r="U1330" t="s">
        <v>69</v>
      </c>
      <c r="V1330" t="s">
        <v>69</v>
      </c>
      <c r="W1330" t="s">
        <v>69</v>
      </c>
      <c r="X1330" t="s">
        <v>69</v>
      </c>
      <c r="Y1330" t="s">
        <v>19674</v>
      </c>
      <c r="Z1330" t="s">
        <v>69</v>
      </c>
      <c r="AA1330" t="s">
        <v>19675</v>
      </c>
      <c r="AB1330" t="s">
        <v>19676</v>
      </c>
      <c r="AC1330" t="s">
        <v>69</v>
      </c>
      <c r="AD1330" t="s">
        <v>19677</v>
      </c>
      <c r="AE1330" t="s">
        <v>19678</v>
      </c>
      <c r="AF1330" t="s">
        <v>69</v>
      </c>
      <c r="AG1330" t="s">
        <v>69</v>
      </c>
      <c r="AH1330" t="s">
        <v>69</v>
      </c>
      <c r="AI1330" t="s">
        <v>69</v>
      </c>
      <c r="AJ1330" t="s">
        <v>69</v>
      </c>
      <c r="AK1330" t="s">
        <v>69</v>
      </c>
      <c r="AL1330">
        <v>0</v>
      </c>
      <c r="AM1330">
        <v>0</v>
      </c>
      <c r="AN1330">
        <v>0</v>
      </c>
      <c r="AO1330">
        <v>0</v>
      </c>
      <c r="AP1330">
        <v>4</v>
      </c>
      <c r="AQ1330" t="s">
        <v>8586</v>
      </c>
      <c r="AR1330" t="s">
        <v>8587</v>
      </c>
      <c r="AS1330" t="s">
        <v>8588</v>
      </c>
      <c r="AT1330" t="s">
        <v>19679</v>
      </c>
      <c r="AU1330" t="s">
        <v>19680</v>
      </c>
      <c r="AV1330" t="s">
        <v>69</v>
      </c>
      <c r="AW1330" t="s">
        <v>19681</v>
      </c>
      <c r="AX1330" t="s">
        <v>19682</v>
      </c>
      <c r="AY1330" t="s">
        <v>69</v>
      </c>
      <c r="AZ1330">
        <v>2018</v>
      </c>
      <c r="BA1330">
        <v>10</v>
      </c>
      <c r="BB1330">
        <v>5</v>
      </c>
      <c r="BC1330" t="s">
        <v>69</v>
      </c>
      <c r="BD1330" t="s">
        <v>69</v>
      </c>
      <c r="BE1330" t="s">
        <v>114</v>
      </c>
      <c r="BF1330" t="s">
        <v>69</v>
      </c>
      <c r="BG1330">
        <v>623</v>
      </c>
      <c r="BH1330">
        <v>628</v>
      </c>
      <c r="BI1330" t="s">
        <v>69</v>
      </c>
      <c r="BJ1330" t="s">
        <v>19683</v>
      </c>
      <c r="BK1330" t="str">
        <f>HYPERLINK("http://dx.doi.org/10.1108/WHATT-06-2018-0040","http://dx.doi.org/10.1108/WHATT-06-2018-0040")</f>
        <v>http://dx.doi.org/10.1108/WHATT-06-2018-0040</v>
      </c>
      <c r="BL1330" t="s">
        <v>69</v>
      </c>
      <c r="BM1330" t="s">
        <v>69</v>
      </c>
      <c r="BN1330">
        <v>6</v>
      </c>
      <c r="BO1330" t="s">
        <v>10278</v>
      </c>
      <c r="BP1330" t="s">
        <v>8573</v>
      </c>
      <c r="BQ1330" t="s">
        <v>10279</v>
      </c>
      <c r="BR1330" t="s">
        <v>19684</v>
      </c>
      <c r="BS1330" t="s">
        <v>19685</v>
      </c>
      <c r="BT1330" t="s">
        <v>69</v>
      </c>
      <c r="BU1330" t="s">
        <v>69</v>
      </c>
      <c r="BV1330" t="s">
        <v>69</v>
      </c>
      <c r="BW1330" t="s">
        <v>69</v>
      </c>
      <c r="BX1330" t="s">
        <v>8526</v>
      </c>
      <c r="BY1330" t="str">
        <f>HYPERLINK("https%3A%2F%2Fwww.webofscience.com%2Fwos%2Fwoscc%2Ffull-record%2FWOS:000448813500010","View Full Record in Web of Science")</f>
        <v>View Full Record in Web of Science</v>
      </c>
    </row>
    <row r="1331" spans="1:77" ht="12.5" x14ac:dyDescent="0.25">
      <c r="A1331" t="s">
        <v>8495</v>
      </c>
      <c r="B1331" s="22" t="s">
        <v>32931</v>
      </c>
      <c r="C1331" s="7"/>
      <c r="D1331" s="7"/>
      <c r="E1331" s="7"/>
      <c r="F1331" t="s">
        <v>67</v>
      </c>
      <c r="G1331" t="s">
        <v>12595</v>
      </c>
      <c r="H1331" t="s">
        <v>69</v>
      </c>
      <c r="I1331" t="s">
        <v>69</v>
      </c>
      <c r="J1331" t="s">
        <v>69</v>
      </c>
      <c r="K1331" t="s">
        <v>12596</v>
      </c>
      <c r="L1331" t="s">
        <v>69</v>
      </c>
      <c r="M1331" t="s">
        <v>69</v>
      </c>
      <c r="N1331" t="s">
        <v>12597</v>
      </c>
      <c r="O1331" t="s">
        <v>352</v>
      </c>
      <c r="P1331" t="s">
        <v>69</v>
      </c>
      <c r="Q1331" t="s">
        <v>69</v>
      </c>
      <c r="R1331" t="s">
        <v>8505</v>
      </c>
      <c r="S1331" t="s">
        <v>8506</v>
      </c>
      <c r="T1331" t="s">
        <v>69</v>
      </c>
      <c r="U1331" t="s">
        <v>69</v>
      </c>
      <c r="V1331" t="s">
        <v>69</v>
      </c>
      <c r="W1331" t="s">
        <v>69</v>
      </c>
      <c r="X1331" t="s">
        <v>69</v>
      </c>
      <c r="Y1331" t="s">
        <v>12598</v>
      </c>
      <c r="Z1331" t="s">
        <v>69</v>
      </c>
      <c r="AA1331" t="s">
        <v>12599</v>
      </c>
      <c r="AB1331" t="s">
        <v>12600</v>
      </c>
      <c r="AC1331" t="s">
        <v>69</v>
      </c>
      <c r="AD1331" t="s">
        <v>12601</v>
      </c>
      <c r="AE1331" t="s">
        <v>12602</v>
      </c>
      <c r="AF1331" t="s">
        <v>69</v>
      </c>
      <c r="AG1331" t="s">
        <v>12603</v>
      </c>
      <c r="AH1331" t="s">
        <v>12604</v>
      </c>
      <c r="AI1331" t="s">
        <v>12604</v>
      </c>
      <c r="AJ1331" t="s">
        <v>12605</v>
      </c>
      <c r="AK1331" t="s">
        <v>69</v>
      </c>
      <c r="AL1331">
        <v>51</v>
      </c>
      <c r="AM1331">
        <v>0</v>
      </c>
      <c r="AN1331">
        <v>0</v>
      </c>
      <c r="AO1331">
        <v>2</v>
      </c>
      <c r="AP1331">
        <v>3</v>
      </c>
      <c r="AQ1331" t="s">
        <v>8924</v>
      </c>
      <c r="AR1331" t="s">
        <v>8925</v>
      </c>
      <c r="AS1331" t="s">
        <v>8926</v>
      </c>
      <c r="AT1331" t="s">
        <v>69</v>
      </c>
      <c r="AU1331" t="s">
        <v>354</v>
      </c>
      <c r="AV1331" t="s">
        <v>69</v>
      </c>
      <c r="AW1331" t="s">
        <v>8958</v>
      </c>
      <c r="AX1331" t="s">
        <v>8434</v>
      </c>
      <c r="AY1331" t="s">
        <v>246</v>
      </c>
      <c r="AZ1331">
        <v>2021</v>
      </c>
      <c r="BA1331">
        <v>13</v>
      </c>
      <c r="BB1331">
        <v>7</v>
      </c>
      <c r="BC1331" t="s">
        <v>69</v>
      </c>
      <c r="BD1331" t="s">
        <v>69</v>
      </c>
      <c r="BE1331" t="s">
        <v>69</v>
      </c>
      <c r="BF1331" t="s">
        <v>69</v>
      </c>
      <c r="BG1331" t="s">
        <v>69</v>
      </c>
      <c r="BH1331" t="s">
        <v>69</v>
      </c>
      <c r="BI1331">
        <v>3811</v>
      </c>
      <c r="BJ1331" t="s">
        <v>12606</v>
      </c>
      <c r="BK1331" t="str">
        <f>HYPERLINK("http://dx.doi.org/10.3390/su13073811","http://dx.doi.org/10.3390/su13073811")</f>
        <v>http://dx.doi.org/10.3390/su13073811</v>
      </c>
      <c r="BL1331" t="s">
        <v>69</v>
      </c>
      <c r="BM1331" t="s">
        <v>69</v>
      </c>
      <c r="BN1331">
        <v>22</v>
      </c>
      <c r="BO1331" t="s">
        <v>8960</v>
      </c>
      <c r="BP1331" t="s">
        <v>8523</v>
      </c>
      <c r="BQ1331" t="s">
        <v>8961</v>
      </c>
      <c r="BR1331" t="s">
        <v>12607</v>
      </c>
      <c r="BS1331" t="s">
        <v>12608</v>
      </c>
      <c r="BT1331" t="s">
        <v>69</v>
      </c>
      <c r="BU1331" t="s">
        <v>8812</v>
      </c>
      <c r="BV1331" t="s">
        <v>69</v>
      </c>
      <c r="BW1331" t="s">
        <v>69</v>
      </c>
      <c r="BX1331" t="s">
        <v>8526</v>
      </c>
      <c r="BY1331" t="str">
        <f>HYPERLINK("https%3A%2F%2Fwww.webofscience.com%2Fwos%2Fwoscc%2Ffull-record%2FWOS:000638900800001","View Full Record in Web of Science")</f>
        <v>View Full Record in Web of Science</v>
      </c>
    </row>
    <row r="1332" spans="1:77" ht="12.5" x14ac:dyDescent="0.25">
      <c r="A1332" t="s">
        <v>8495</v>
      </c>
      <c r="B1332" s="22" t="s">
        <v>32931</v>
      </c>
      <c r="C1332" s="7"/>
      <c r="D1332" s="7"/>
      <c r="E1332" s="7"/>
      <c r="F1332" t="s">
        <v>67</v>
      </c>
      <c r="G1332" t="s">
        <v>12205</v>
      </c>
      <c r="H1332" t="s">
        <v>69</v>
      </c>
      <c r="I1332" t="s">
        <v>69</v>
      </c>
      <c r="J1332" t="s">
        <v>69</v>
      </c>
      <c r="K1332" t="s">
        <v>12206</v>
      </c>
      <c r="L1332" t="s">
        <v>69</v>
      </c>
      <c r="M1332" t="s">
        <v>69</v>
      </c>
      <c r="N1332" t="s">
        <v>12207</v>
      </c>
      <c r="O1332" t="s">
        <v>352</v>
      </c>
      <c r="P1332" t="s">
        <v>69</v>
      </c>
      <c r="Q1332" t="s">
        <v>69</v>
      </c>
      <c r="R1332" t="s">
        <v>8505</v>
      </c>
      <c r="S1332" t="s">
        <v>8506</v>
      </c>
      <c r="T1332" t="s">
        <v>69</v>
      </c>
      <c r="U1332" t="s">
        <v>69</v>
      </c>
      <c r="V1332" t="s">
        <v>69</v>
      </c>
      <c r="W1332" t="s">
        <v>69</v>
      </c>
      <c r="X1332" t="s">
        <v>69</v>
      </c>
      <c r="Y1332" t="s">
        <v>12208</v>
      </c>
      <c r="Z1332" t="s">
        <v>69</v>
      </c>
      <c r="AA1332" t="s">
        <v>12209</v>
      </c>
      <c r="AB1332" t="s">
        <v>12210</v>
      </c>
      <c r="AC1332" t="s">
        <v>69</v>
      </c>
      <c r="AD1332" t="s">
        <v>12211</v>
      </c>
      <c r="AE1332" t="s">
        <v>12212</v>
      </c>
      <c r="AF1332" t="s">
        <v>12213</v>
      </c>
      <c r="AG1332" t="s">
        <v>12214</v>
      </c>
      <c r="AH1332" t="s">
        <v>12215</v>
      </c>
      <c r="AI1332" t="s">
        <v>12216</v>
      </c>
      <c r="AJ1332" t="s">
        <v>12217</v>
      </c>
      <c r="AK1332" t="s">
        <v>69</v>
      </c>
      <c r="AL1332">
        <v>49</v>
      </c>
      <c r="AM1332">
        <v>1</v>
      </c>
      <c r="AN1332">
        <v>1</v>
      </c>
      <c r="AO1332">
        <v>4</v>
      </c>
      <c r="AP1332">
        <v>11</v>
      </c>
      <c r="AQ1332" t="s">
        <v>8924</v>
      </c>
      <c r="AR1332" t="s">
        <v>8925</v>
      </c>
      <c r="AS1332" t="s">
        <v>8926</v>
      </c>
      <c r="AT1332" t="s">
        <v>69</v>
      </c>
      <c r="AU1332" t="s">
        <v>354</v>
      </c>
      <c r="AV1332" t="s">
        <v>69</v>
      </c>
      <c r="AW1332" t="s">
        <v>8958</v>
      </c>
      <c r="AX1332" t="s">
        <v>8434</v>
      </c>
      <c r="AY1332" t="s">
        <v>586</v>
      </c>
      <c r="AZ1332">
        <v>2021</v>
      </c>
      <c r="BA1332">
        <v>13</v>
      </c>
      <c r="BB1332">
        <v>10</v>
      </c>
      <c r="BC1332" t="s">
        <v>69</v>
      </c>
      <c r="BD1332" t="s">
        <v>69</v>
      </c>
      <c r="BE1332" t="s">
        <v>69</v>
      </c>
      <c r="BF1332" t="s">
        <v>69</v>
      </c>
      <c r="BG1332" t="s">
        <v>69</v>
      </c>
      <c r="BH1332" t="s">
        <v>69</v>
      </c>
      <c r="BI1332">
        <v>5461</v>
      </c>
      <c r="BJ1332" t="s">
        <v>12218</v>
      </c>
      <c r="BK1332" t="str">
        <f>HYPERLINK("http://dx.doi.org/10.3390/su13105461","http://dx.doi.org/10.3390/su13105461")</f>
        <v>http://dx.doi.org/10.3390/su13105461</v>
      </c>
      <c r="BL1332" t="s">
        <v>69</v>
      </c>
      <c r="BM1332" t="s">
        <v>69</v>
      </c>
      <c r="BN1332">
        <v>16</v>
      </c>
      <c r="BO1332" t="s">
        <v>8960</v>
      </c>
      <c r="BP1332" t="s">
        <v>8523</v>
      </c>
      <c r="BQ1332" t="s">
        <v>8961</v>
      </c>
      <c r="BR1332" t="s">
        <v>12219</v>
      </c>
      <c r="BS1332" t="s">
        <v>12221</v>
      </c>
      <c r="BT1332" t="s">
        <v>69</v>
      </c>
      <c r="BU1332" t="s">
        <v>12220</v>
      </c>
      <c r="BV1332" t="s">
        <v>69</v>
      </c>
      <c r="BW1332" t="s">
        <v>69</v>
      </c>
      <c r="BX1332" t="s">
        <v>8526</v>
      </c>
      <c r="BY1332" t="str">
        <f>HYPERLINK("https%3A%2F%2Fwww.webofscience.com%2Fwos%2Fwoscc%2Ffull-record%2FWOS:000662664200001","View Full Record in Web of Science")</f>
        <v>View Full Record in Web of Science</v>
      </c>
    </row>
    <row r="1333" spans="1:77" ht="12.5" x14ac:dyDescent="0.25">
      <c r="A1333" t="s">
        <v>8495</v>
      </c>
      <c r="B1333" s="7" t="s">
        <v>32933</v>
      </c>
      <c r="C1333" s="7"/>
      <c r="D1333" s="7"/>
      <c r="E1333" s="7"/>
      <c r="F1333" t="s">
        <v>67</v>
      </c>
      <c r="G1333" t="s">
        <v>212</v>
      </c>
      <c r="H1333" t="s">
        <v>69</v>
      </c>
      <c r="I1333" t="s">
        <v>69</v>
      </c>
      <c r="J1333" t="s">
        <v>69</v>
      </c>
      <c r="K1333" t="s">
        <v>213</v>
      </c>
      <c r="L1333" t="s">
        <v>69</v>
      </c>
      <c r="M1333" t="s">
        <v>69</v>
      </c>
      <c r="N1333" t="s">
        <v>214</v>
      </c>
      <c r="O1333" t="s">
        <v>215</v>
      </c>
      <c r="P1333" t="s">
        <v>69</v>
      </c>
      <c r="Q1333" t="s">
        <v>69</v>
      </c>
      <c r="R1333" t="s">
        <v>8505</v>
      </c>
      <c r="S1333" t="s">
        <v>8442</v>
      </c>
      <c r="T1333" t="s">
        <v>69</v>
      </c>
      <c r="U1333" t="s">
        <v>69</v>
      </c>
      <c r="V1333" t="s">
        <v>69</v>
      </c>
      <c r="W1333" t="s">
        <v>69</v>
      </c>
      <c r="X1333" t="s">
        <v>69</v>
      </c>
      <c r="Y1333" t="s">
        <v>69</v>
      </c>
      <c r="Z1333" t="s">
        <v>30537</v>
      </c>
      <c r="AA1333" t="s">
        <v>216</v>
      </c>
      <c r="AB1333" t="s">
        <v>30538</v>
      </c>
      <c r="AC1333" t="s">
        <v>69</v>
      </c>
      <c r="AD1333" t="s">
        <v>30539</v>
      </c>
      <c r="AE1333" t="s">
        <v>30540</v>
      </c>
      <c r="AF1333" t="s">
        <v>217</v>
      </c>
      <c r="AG1333" t="s">
        <v>69</v>
      </c>
      <c r="AH1333" t="s">
        <v>69</v>
      </c>
      <c r="AI1333" t="s">
        <v>69</v>
      </c>
      <c r="AJ1333" t="s">
        <v>69</v>
      </c>
      <c r="AK1333" t="s">
        <v>69</v>
      </c>
      <c r="AL1333">
        <v>85</v>
      </c>
      <c r="AM1333">
        <v>2</v>
      </c>
      <c r="AN1333">
        <v>3</v>
      </c>
      <c r="AO1333">
        <v>2</v>
      </c>
      <c r="AP1333">
        <v>31</v>
      </c>
      <c r="AQ1333" t="s">
        <v>9145</v>
      </c>
      <c r="AR1333" t="s">
        <v>8637</v>
      </c>
      <c r="AS1333" t="s">
        <v>9146</v>
      </c>
      <c r="AT1333" t="s">
        <v>218</v>
      </c>
      <c r="AU1333" t="s">
        <v>30541</v>
      </c>
      <c r="AV1333" t="s">
        <v>69</v>
      </c>
      <c r="AW1333" t="s">
        <v>15240</v>
      </c>
      <c r="AX1333" t="s">
        <v>15241</v>
      </c>
      <c r="AY1333" t="s">
        <v>69</v>
      </c>
      <c r="AZ1333">
        <v>2006</v>
      </c>
      <c r="BA1333">
        <v>65</v>
      </c>
      <c r="BB1333" t="s">
        <v>69</v>
      </c>
      <c r="BC1333">
        <v>3</v>
      </c>
      <c r="BD1333" t="s">
        <v>69</v>
      </c>
      <c r="BE1333" t="s">
        <v>69</v>
      </c>
      <c r="BF1333" t="s">
        <v>69</v>
      </c>
      <c r="BG1333">
        <v>131</v>
      </c>
      <c r="BH1333" t="s">
        <v>219</v>
      </c>
      <c r="BI1333" t="s">
        <v>69</v>
      </c>
      <c r="BJ1333" t="s">
        <v>220</v>
      </c>
      <c r="BK1333" t="str">
        <f>HYPERLINK("http://dx.doi.org/10.1016/j.progress.2006.03.004","http://dx.doi.org/10.1016/j.progress.2006.03.004")</f>
        <v>http://dx.doi.org/10.1016/j.progress.2006.03.004</v>
      </c>
      <c r="BL1333" t="s">
        <v>69</v>
      </c>
      <c r="BM1333" t="s">
        <v>69</v>
      </c>
      <c r="BN1333">
        <v>71</v>
      </c>
      <c r="BO1333" t="s">
        <v>15242</v>
      </c>
      <c r="BP1333" t="s">
        <v>8661</v>
      </c>
      <c r="BQ1333" t="s">
        <v>15243</v>
      </c>
      <c r="BR1333" t="s">
        <v>30542</v>
      </c>
      <c r="BS1333" t="s">
        <v>221</v>
      </c>
      <c r="BT1333" t="s">
        <v>69</v>
      </c>
      <c r="BU1333" t="s">
        <v>69</v>
      </c>
      <c r="BV1333" t="s">
        <v>69</v>
      </c>
      <c r="BW1333" t="s">
        <v>69</v>
      </c>
      <c r="BX1333" t="s">
        <v>8526</v>
      </c>
      <c r="BY1333" t="str">
        <f>HYPERLINK("https%3A%2F%2Fwww.webofscience.com%2Fwos%2Fwoscc%2Ffull-record%2FWOS:000238237200001","View Full Record in Web of Science")</f>
        <v>View Full Record in Web of Science</v>
      </c>
    </row>
    <row r="1334" spans="1:77" ht="12.5" x14ac:dyDescent="0.25">
      <c r="A1334" t="s">
        <v>8495</v>
      </c>
      <c r="B1334" s="7" t="s">
        <v>32933</v>
      </c>
      <c r="C1334" s="7"/>
      <c r="D1334" s="7"/>
      <c r="E1334" s="7"/>
      <c r="F1334" t="s">
        <v>67</v>
      </c>
      <c r="G1334" t="s">
        <v>3919</v>
      </c>
      <c r="H1334" t="s">
        <v>69</v>
      </c>
      <c r="I1334" t="s">
        <v>69</v>
      </c>
      <c r="J1334" t="s">
        <v>69</v>
      </c>
      <c r="K1334" t="s">
        <v>3919</v>
      </c>
      <c r="L1334" t="s">
        <v>69</v>
      </c>
      <c r="M1334" t="s">
        <v>69</v>
      </c>
      <c r="N1334" t="s">
        <v>3920</v>
      </c>
      <c r="O1334" t="s">
        <v>3921</v>
      </c>
      <c r="P1334" t="s">
        <v>69</v>
      </c>
      <c r="Q1334" t="s">
        <v>69</v>
      </c>
      <c r="R1334" t="s">
        <v>8505</v>
      </c>
      <c r="S1334" t="s">
        <v>8506</v>
      </c>
      <c r="T1334" t="s">
        <v>69</v>
      </c>
      <c r="U1334" t="s">
        <v>69</v>
      </c>
      <c r="V1334" t="s">
        <v>69</v>
      </c>
      <c r="W1334" t="s">
        <v>69</v>
      </c>
      <c r="X1334" t="s">
        <v>69</v>
      </c>
      <c r="Y1334" t="s">
        <v>31000</v>
      </c>
      <c r="Z1334" t="s">
        <v>31001</v>
      </c>
      <c r="AA1334" t="s">
        <v>3922</v>
      </c>
      <c r="AB1334" t="s">
        <v>31002</v>
      </c>
      <c r="AC1334" t="s">
        <v>69</v>
      </c>
      <c r="AD1334" t="s">
        <v>31003</v>
      </c>
      <c r="AE1334" t="s">
        <v>31004</v>
      </c>
      <c r="AF1334" t="s">
        <v>69</v>
      </c>
      <c r="AG1334" t="s">
        <v>3923</v>
      </c>
      <c r="AH1334" t="s">
        <v>69</v>
      </c>
      <c r="AI1334" t="s">
        <v>69</v>
      </c>
      <c r="AJ1334" t="s">
        <v>69</v>
      </c>
      <c r="AK1334" t="s">
        <v>69</v>
      </c>
      <c r="AL1334">
        <v>46</v>
      </c>
      <c r="AM1334">
        <v>3</v>
      </c>
      <c r="AN1334">
        <v>3</v>
      </c>
      <c r="AO1334">
        <v>0</v>
      </c>
      <c r="AP1334">
        <v>3</v>
      </c>
      <c r="AQ1334" t="s">
        <v>30740</v>
      </c>
      <c r="AR1334" t="s">
        <v>8637</v>
      </c>
      <c r="AS1334" t="s">
        <v>30741</v>
      </c>
      <c r="AT1334" t="s">
        <v>3924</v>
      </c>
      <c r="AU1334" t="s">
        <v>69</v>
      </c>
      <c r="AV1334" t="s">
        <v>69</v>
      </c>
      <c r="AW1334" t="s">
        <v>31005</v>
      </c>
      <c r="AX1334" t="s">
        <v>31006</v>
      </c>
      <c r="AY1334" t="s">
        <v>69</v>
      </c>
      <c r="AZ1334">
        <v>2005</v>
      </c>
      <c r="BA1334">
        <v>96</v>
      </c>
      <c r="BB1334">
        <v>2</v>
      </c>
      <c r="BC1334" t="s">
        <v>69</v>
      </c>
      <c r="BD1334" t="s">
        <v>69</v>
      </c>
      <c r="BE1334" t="s">
        <v>69</v>
      </c>
      <c r="BF1334" t="s">
        <v>69</v>
      </c>
      <c r="BG1334">
        <v>168</v>
      </c>
      <c r="BH1334">
        <v>183</v>
      </c>
      <c r="BI1334" t="s">
        <v>69</v>
      </c>
      <c r="BJ1334" t="s">
        <v>3925</v>
      </c>
      <c r="BK1334" t="str">
        <f>HYPERLINK("http://dx.doi.org/10.1111/j.1467-9663.2005.00448.x","http://dx.doi.org/10.1111/j.1467-9663.2005.00448.x")</f>
        <v>http://dx.doi.org/10.1111/j.1467-9663.2005.00448.x</v>
      </c>
      <c r="BL1334" t="s">
        <v>69</v>
      </c>
      <c r="BM1334" t="s">
        <v>69</v>
      </c>
      <c r="BN1334">
        <v>16</v>
      </c>
      <c r="BO1334" t="s">
        <v>21269</v>
      </c>
      <c r="BP1334" t="s">
        <v>8661</v>
      </c>
      <c r="BQ1334" t="s">
        <v>21270</v>
      </c>
      <c r="BR1334" t="s">
        <v>31007</v>
      </c>
      <c r="BS1334" t="s">
        <v>3926</v>
      </c>
      <c r="BT1334" t="s">
        <v>69</v>
      </c>
      <c r="BU1334" t="s">
        <v>69</v>
      </c>
      <c r="BV1334" t="s">
        <v>69</v>
      </c>
      <c r="BW1334" t="s">
        <v>69</v>
      </c>
      <c r="BX1334" t="s">
        <v>8526</v>
      </c>
      <c r="BY1334" t="str">
        <f>HYPERLINK("https%3A%2F%2Fwww.webofscience.com%2Fwos%2Fwoscc%2Ffull-record%2FWOS:000229154200003","View Full Record in Web of Science")</f>
        <v>View Full Record in Web of Science</v>
      </c>
    </row>
    <row r="1335" spans="1:77" ht="12.5" x14ac:dyDescent="0.25">
      <c r="A1335" t="s">
        <v>8495</v>
      </c>
      <c r="B1335" s="7" t="s">
        <v>32933</v>
      </c>
      <c r="C1335" s="7"/>
      <c r="D1335" s="7"/>
      <c r="E1335" s="7"/>
      <c r="F1335" t="s">
        <v>67</v>
      </c>
      <c r="G1335" t="s">
        <v>3958</v>
      </c>
      <c r="H1335" t="s">
        <v>69</v>
      </c>
      <c r="I1335" t="s">
        <v>69</v>
      </c>
      <c r="J1335" t="s">
        <v>69</v>
      </c>
      <c r="K1335" t="s">
        <v>3958</v>
      </c>
      <c r="L1335" t="s">
        <v>69</v>
      </c>
      <c r="M1335" t="s">
        <v>69</v>
      </c>
      <c r="N1335" t="s">
        <v>3959</v>
      </c>
      <c r="O1335" t="s">
        <v>3960</v>
      </c>
      <c r="P1335" t="s">
        <v>69</v>
      </c>
      <c r="Q1335" t="s">
        <v>69</v>
      </c>
      <c r="R1335" t="s">
        <v>8505</v>
      </c>
      <c r="S1335" t="s">
        <v>8506</v>
      </c>
      <c r="T1335" t="s">
        <v>69</v>
      </c>
      <c r="U1335" t="s">
        <v>69</v>
      </c>
      <c r="V1335" t="s">
        <v>69</v>
      </c>
      <c r="W1335" t="s">
        <v>69</v>
      </c>
      <c r="X1335" t="s">
        <v>69</v>
      </c>
      <c r="Y1335" t="s">
        <v>31176</v>
      </c>
      <c r="Z1335" t="s">
        <v>31177</v>
      </c>
      <c r="AA1335" t="s">
        <v>3961</v>
      </c>
      <c r="AB1335" t="s">
        <v>31178</v>
      </c>
      <c r="AC1335" t="s">
        <v>69</v>
      </c>
      <c r="AD1335" t="s">
        <v>31179</v>
      </c>
      <c r="AE1335" t="s">
        <v>69</v>
      </c>
      <c r="AF1335" t="s">
        <v>31180</v>
      </c>
      <c r="AG1335" t="s">
        <v>3962</v>
      </c>
      <c r="AH1335" t="s">
        <v>69</v>
      </c>
      <c r="AI1335" t="s">
        <v>69</v>
      </c>
      <c r="AJ1335" t="s">
        <v>69</v>
      </c>
      <c r="AK1335" t="s">
        <v>69</v>
      </c>
      <c r="AL1335">
        <v>40</v>
      </c>
      <c r="AM1335">
        <v>69</v>
      </c>
      <c r="AN1335">
        <v>71</v>
      </c>
      <c r="AO1335">
        <v>2</v>
      </c>
      <c r="AP1335">
        <v>36</v>
      </c>
      <c r="AQ1335" t="s">
        <v>31181</v>
      </c>
      <c r="AR1335" t="s">
        <v>8612</v>
      </c>
      <c r="AS1335" t="s">
        <v>22341</v>
      </c>
      <c r="AT1335" t="s">
        <v>3963</v>
      </c>
      <c r="AU1335" t="s">
        <v>69</v>
      </c>
      <c r="AV1335" t="s">
        <v>69</v>
      </c>
      <c r="AW1335" t="s">
        <v>30664</v>
      </c>
      <c r="AX1335" t="s">
        <v>30665</v>
      </c>
      <c r="AY1335" t="s">
        <v>3964</v>
      </c>
      <c r="AZ1335">
        <v>2003</v>
      </c>
      <c r="BA1335">
        <v>15</v>
      </c>
      <c r="BB1335">
        <v>4</v>
      </c>
      <c r="BC1335" t="s">
        <v>69</v>
      </c>
      <c r="BD1335" t="s">
        <v>69</v>
      </c>
      <c r="BE1335" t="s">
        <v>69</v>
      </c>
      <c r="BF1335" t="s">
        <v>69</v>
      </c>
      <c r="BG1335">
        <v>351</v>
      </c>
      <c r="BH1335">
        <v>370</v>
      </c>
      <c r="BI1335" t="s">
        <v>69</v>
      </c>
      <c r="BJ1335" t="s">
        <v>3965</v>
      </c>
      <c r="BK1335" t="str">
        <f>HYPERLINK("http://dx.doi.org/10.1080/0898562032000058923","http://dx.doi.org/10.1080/0898562032000058923")</f>
        <v>http://dx.doi.org/10.1080/0898562032000058923</v>
      </c>
      <c r="BL1335" t="s">
        <v>69</v>
      </c>
      <c r="BM1335" t="s">
        <v>69</v>
      </c>
      <c r="BN1335">
        <v>20</v>
      </c>
      <c r="BO1335" t="s">
        <v>30667</v>
      </c>
      <c r="BP1335" t="s">
        <v>8661</v>
      </c>
      <c r="BQ1335" t="s">
        <v>30668</v>
      </c>
      <c r="BR1335" t="s">
        <v>31182</v>
      </c>
      <c r="BS1335" t="s">
        <v>3966</v>
      </c>
      <c r="BT1335" t="s">
        <v>69</v>
      </c>
      <c r="BU1335" t="s">
        <v>69</v>
      </c>
      <c r="BV1335" t="s">
        <v>69</v>
      </c>
      <c r="BW1335" t="s">
        <v>69</v>
      </c>
      <c r="BX1335" t="s">
        <v>8526</v>
      </c>
      <c r="BY1335" t="str">
        <f>HYPERLINK("https%3A%2F%2Fwww.webofscience.com%2Fwos%2Fwoscc%2Ffull-record%2FWOS:000186632000005","View Full Record in Web of Science")</f>
        <v>View Full Record in Web of Science</v>
      </c>
    </row>
    <row r="1336" spans="1:77" ht="12.5" x14ac:dyDescent="0.25">
      <c r="A1336" t="s">
        <v>8495</v>
      </c>
      <c r="B1336" s="22" t="s">
        <v>32931</v>
      </c>
      <c r="C1336" s="7"/>
      <c r="D1336" s="7"/>
      <c r="E1336" s="7"/>
      <c r="F1336" t="s">
        <v>67</v>
      </c>
      <c r="G1336" t="s">
        <v>29931</v>
      </c>
      <c r="H1336" t="s">
        <v>69</v>
      </c>
      <c r="I1336" t="s">
        <v>69</v>
      </c>
      <c r="J1336" t="s">
        <v>69</v>
      </c>
      <c r="K1336" t="s">
        <v>29932</v>
      </c>
      <c r="L1336" t="s">
        <v>69</v>
      </c>
      <c r="M1336" t="s">
        <v>69</v>
      </c>
      <c r="N1336" t="s">
        <v>29933</v>
      </c>
      <c r="O1336" t="s">
        <v>29410</v>
      </c>
      <c r="P1336" t="s">
        <v>69</v>
      </c>
      <c r="Q1336" t="s">
        <v>69</v>
      </c>
      <c r="R1336" t="s">
        <v>8505</v>
      </c>
      <c r="S1336" t="s">
        <v>8506</v>
      </c>
      <c r="T1336" t="s">
        <v>69</v>
      </c>
      <c r="U1336" t="s">
        <v>69</v>
      </c>
      <c r="V1336" t="s">
        <v>69</v>
      </c>
      <c r="W1336" t="s">
        <v>69</v>
      </c>
      <c r="X1336" t="s">
        <v>69</v>
      </c>
      <c r="Y1336" t="s">
        <v>29934</v>
      </c>
      <c r="Z1336" t="s">
        <v>69</v>
      </c>
      <c r="AA1336" t="s">
        <v>29935</v>
      </c>
      <c r="AB1336" t="s">
        <v>29936</v>
      </c>
      <c r="AC1336" t="s">
        <v>69</v>
      </c>
      <c r="AD1336" t="s">
        <v>29937</v>
      </c>
      <c r="AE1336" t="s">
        <v>29938</v>
      </c>
      <c r="AF1336" t="s">
        <v>69</v>
      </c>
      <c r="AG1336" t="s">
        <v>69</v>
      </c>
      <c r="AH1336" t="s">
        <v>69</v>
      </c>
      <c r="AI1336" t="s">
        <v>69</v>
      </c>
      <c r="AJ1336" t="s">
        <v>69</v>
      </c>
      <c r="AK1336" t="s">
        <v>69</v>
      </c>
      <c r="AL1336">
        <v>39</v>
      </c>
      <c r="AM1336">
        <v>15</v>
      </c>
      <c r="AN1336">
        <v>15</v>
      </c>
      <c r="AO1336">
        <v>0</v>
      </c>
      <c r="AP1336">
        <v>0</v>
      </c>
      <c r="AQ1336" t="s">
        <v>8586</v>
      </c>
      <c r="AR1336" t="s">
        <v>8587</v>
      </c>
      <c r="AS1336" t="s">
        <v>8588</v>
      </c>
      <c r="AT1336" t="s">
        <v>29418</v>
      </c>
      <c r="AU1336" t="s">
        <v>29419</v>
      </c>
      <c r="AV1336" t="s">
        <v>69</v>
      </c>
      <c r="AW1336" t="s">
        <v>29420</v>
      </c>
      <c r="AX1336" t="s">
        <v>29421</v>
      </c>
      <c r="AY1336" t="s">
        <v>69</v>
      </c>
      <c r="AZ1336">
        <v>2007</v>
      </c>
      <c r="BA1336">
        <v>20</v>
      </c>
      <c r="BB1336">
        <v>6</v>
      </c>
      <c r="BC1336" t="s">
        <v>69</v>
      </c>
      <c r="BD1336" t="s">
        <v>69</v>
      </c>
      <c r="BE1336" t="s">
        <v>69</v>
      </c>
      <c r="BF1336" t="s">
        <v>69</v>
      </c>
      <c r="BG1336">
        <v>548</v>
      </c>
      <c r="BH1336" t="s">
        <v>219</v>
      </c>
      <c r="BI1336" t="s">
        <v>69</v>
      </c>
      <c r="BJ1336" t="s">
        <v>29939</v>
      </c>
      <c r="BK1336" t="str">
        <f>HYPERLINK("http://dx.doi.org/10.1108/09513550710818412","http://dx.doi.org/10.1108/09513550710818412")</f>
        <v>http://dx.doi.org/10.1108/09513550710818412</v>
      </c>
      <c r="BL1336" t="s">
        <v>69</v>
      </c>
      <c r="BM1336" t="s">
        <v>69</v>
      </c>
      <c r="BN1336">
        <v>20</v>
      </c>
      <c r="BO1336" t="s">
        <v>29423</v>
      </c>
      <c r="BP1336" t="s">
        <v>8573</v>
      </c>
      <c r="BQ1336" t="s">
        <v>10993</v>
      </c>
      <c r="BR1336" t="s">
        <v>29940</v>
      </c>
      <c r="BS1336" t="s">
        <v>29941</v>
      </c>
      <c r="BT1336" t="s">
        <v>69</v>
      </c>
      <c r="BU1336" t="s">
        <v>69</v>
      </c>
      <c r="BV1336" t="s">
        <v>69</v>
      </c>
      <c r="BW1336" t="s">
        <v>69</v>
      </c>
      <c r="BX1336" t="s">
        <v>8526</v>
      </c>
      <c r="BY1336" t="str">
        <f>HYPERLINK("https%3A%2F%2Fwww.webofscience.com%2Fwos%2Fwoscc%2Ffull-record%2FWOS:000211490900006","View Full Record in Web of Science")</f>
        <v>View Full Record in Web of Science</v>
      </c>
    </row>
    <row r="1337" spans="1:77" ht="12.5" x14ac:dyDescent="0.25">
      <c r="A1337" t="s">
        <v>8495</v>
      </c>
      <c r="B1337" s="22" t="s">
        <v>32931</v>
      </c>
      <c r="C1337" s="7"/>
      <c r="D1337" s="7"/>
      <c r="E1337" s="7"/>
      <c r="F1337" t="s">
        <v>67</v>
      </c>
      <c r="G1337" t="s">
        <v>32214</v>
      </c>
      <c r="H1337" t="s">
        <v>69</v>
      </c>
      <c r="I1337" t="s">
        <v>69</v>
      </c>
      <c r="J1337" t="s">
        <v>69</v>
      </c>
      <c r="K1337" t="s">
        <v>32214</v>
      </c>
      <c r="L1337" t="s">
        <v>69</v>
      </c>
      <c r="M1337" t="s">
        <v>69</v>
      </c>
      <c r="N1337" t="s">
        <v>32215</v>
      </c>
      <c r="O1337" t="s">
        <v>32216</v>
      </c>
      <c r="P1337" t="s">
        <v>69</v>
      </c>
      <c r="Q1337" t="s">
        <v>69</v>
      </c>
      <c r="R1337" t="s">
        <v>8505</v>
      </c>
      <c r="S1337" t="s">
        <v>8506</v>
      </c>
      <c r="T1337" t="s">
        <v>69</v>
      </c>
      <c r="U1337" t="s">
        <v>69</v>
      </c>
      <c r="V1337" t="s">
        <v>69</v>
      </c>
      <c r="W1337" t="s">
        <v>69</v>
      </c>
      <c r="X1337" t="s">
        <v>69</v>
      </c>
      <c r="Y1337" t="s">
        <v>69</v>
      </c>
      <c r="Z1337" t="s">
        <v>32217</v>
      </c>
      <c r="AA1337" t="s">
        <v>32218</v>
      </c>
      <c r="AB1337" t="s">
        <v>32219</v>
      </c>
      <c r="AC1337" t="s">
        <v>69</v>
      </c>
      <c r="AD1337" t="s">
        <v>32220</v>
      </c>
      <c r="AE1337" t="s">
        <v>69</v>
      </c>
      <c r="AF1337" t="s">
        <v>69</v>
      </c>
      <c r="AG1337" t="s">
        <v>32221</v>
      </c>
      <c r="AH1337" t="s">
        <v>69</v>
      </c>
      <c r="AI1337" t="s">
        <v>69</v>
      </c>
      <c r="AJ1337" t="s">
        <v>69</v>
      </c>
      <c r="AK1337" t="s">
        <v>69</v>
      </c>
      <c r="AL1337">
        <v>34</v>
      </c>
      <c r="AM1337">
        <v>33</v>
      </c>
      <c r="AN1337">
        <v>33</v>
      </c>
      <c r="AO1337">
        <v>1</v>
      </c>
      <c r="AP1337">
        <v>4</v>
      </c>
      <c r="AQ1337" t="s">
        <v>32222</v>
      </c>
      <c r="AR1337" t="s">
        <v>10141</v>
      </c>
      <c r="AS1337" t="s">
        <v>32223</v>
      </c>
      <c r="AT1337" t="s">
        <v>32224</v>
      </c>
      <c r="AU1337" t="s">
        <v>69</v>
      </c>
      <c r="AV1337" t="s">
        <v>69</v>
      </c>
      <c r="AW1337" t="s">
        <v>32225</v>
      </c>
      <c r="AX1337" t="s">
        <v>32226</v>
      </c>
      <c r="AY1337" t="s">
        <v>3297</v>
      </c>
      <c r="AZ1337">
        <v>1997</v>
      </c>
      <c r="BA1337">
        <v>157</v>
      </c>
      <c r="BB1337">
        <v>3</v>
      </c>
      <c r="BC1337" t="s">
        <v>69</v>
      </c>
      <c r="BD1337" t="s">
        <v>69</v>
      </c>
      <c r="BE1337" t="s">
        <v>69</v>
      </c>
      <c r="BF1337" t="s">
        <v>69</v>
      </c>
      <c r="BG1337">
        <v>265</v>
      </c>
      <c r="BH1337">
        <v>272</v>
      </c>
      <c r="BI1337" t="s">
        <v>69</v>
      </c>
      <c r="BJ1337" t="s">
        <v>69</v>
      </c>
      <c r="BK1337" t="s">
        <v>69</v>
      </c>
      <c r="BL1337" t="s">
        <v>69</v>
      </c>
      <c r="BM1337" t="s">
        <v>69</v>
      </c>
      <c r="BN1337">
        <v>8</v>
      </c>
      <c r="BO1337" t="s">
        <v>9450</v>
      </c>
      <c r="BP1337" t="s">
        <v>8523</v>
      </c>
      <c r="BQ1337" t="s">
        <v>9451</v>
      </c>
      <c r="BR1337" t="s">
        <v>32227</v>
      </c>
      <c r="BS1337" t="s">
        <v>32228</v>
      </c>
      <c r="BT1337">
        <v>9269196</v>
      </c>
      <c r="BU1337" t="s">
        <v>69</v>
      </c>
      <c r="BV1337" t="s">
        <v>69</v>
      </c>
      <c r="BW1337" t="s">
        <v>69</v>
      </c>
      <c r="BX1337" t="s">
        <v>8526</v>
      </c>
      <c r="BY1337" t="str">
        <f>HYPERLINK("https%3A%2F%2Fwww.webofscience.com%2Fwos%2Fwoscc%2Ffull-record%2FWOS:A1997XN58400030","View Full Record in Web of Science")</f>
        <v>View Full Record in Web of Science</v>
      </c>
    </row>
    <row r="1338" spans="1:77" ht="12.5" x14ac:dyDescent="0.25">
      <c r="A1338" t="s">
        <v>8495</v>
      </c>
      <c r="B1338" s="7" t="s">
        <v>32933</v>
      </c>
      <c r="C1338" s="7"/>
      <c r="D1338" s="7"/>
      <c r="E1338" s="7"/>
      <c r="F1338" t="s">
        <v>67</v>
      </c>
      <c r="G1338" t="s">
        <v>3441</v>
      </c>
      <c r="H1338" t="s">
        <v>69</v>
      </c>
      <c r="I1338" t="s">
        <v>69</v>
      </c>
      <c r="J1338" t="s">
        <v>69</v>
      </c>
      <c r="K1338" t="s">
        <v>3442</v>
      </c>
      <c r="L1338" t="s">
        <v>69</v>
      </c>
      <c r="M1338" t="s">
        <v>69</v>
      </c>
      <c r="N1338" t="s">
        <v>3443</v>
      </c>
      <c r="O1338" t="s">
        <v>3444</v>
      </c>
      <c r="P1338" t="s">
        <v>69</v>
      </c>
      <c r="Q1338" t="s">
        <v>69</v>
      </c>
      <c r="R1338" t="s">
        <v>8505</v>
      </c>
      <c r="S1338" t="s">
        <v>8506</v>
      </c>
      <c r="T1338" t="s">
        <v>69</v>
      </c>
      <c r="U1338" t="s">
        <v>69</v>
      </c>
      <c r="V1338" t="s">
        <v>69</v>
      </c>
      <c r="W1338" t="s">
        <v>69</v>
      </c>
      <c r="X1338" t="s">
        <v>69</v>
      </c>
      <c r="Y1338" t="s">
        <v>26849</v>
      </c>
      <c r="Z1338" t="s">
        <v>26850</v>
      </c>
      <c r="AA1338" t="s">
        <v>3445</v>
      </c>
      <c r="AB1338" t="s">
        <v>26851</v>
      </c>
      <c r="AC1338" t="s">
        <v>69</v>
      </c>
      <c r="AD1338" t="s">
        <v>26852</v>
      </c>
      <c r="AE1338" t="s">
        <v>26853</v>
      </c>
      <c r="AF1338" t="s">
        <v>3446</v>
      </c>
      <c r="AG1338" t="s">
        <v>3447</v>
      </c>
      <c r="AH1338" t="s">
        <v>26854</v>
      </c>
      <c r="AI1338" t="s">
        <v>26854</v>
      </c>
      <c r="AJ1338" t="s">
        <v>26855</v>
      </c>
      <c r="AK1338" t="s">
        <v>69</v>
      </c>
      <c r="AL1338">
        <v>44</v>
      </c>
      <c r="AM1338">
        <v>19</v>
      </c>
      <c r="AN1338">
        <v>20</v>
      </c>
      <c r="AO1338">
        <v>0</v>
      </c>
      <c r="AP1338">
        <v>15</v>
      </c>
      <c r="AQ1338" t="s">
        <v>26856</v>
      </c>
      <c r="AR1338" t="s">
        <v>26857</v>
      </c>
      <c r="AS1338" t="s">
        <v>26858</v>
      </c>
      <c r="AT1338" t="s">
        <v>3448</v>
      </c>
      <c r="AU1338" t="s">
        <v>26859</v>
      </c>
      <c r="AV1338" t="s">
        <v>69</v>
      </c>
      <c r="AW1338" t="s">
        <v>26860</v>
      </c>
      <c r="AX1338" t="s">
        <v>26861</v>
      </c>
      <c r="AY1338" t="s">
        <v>201</v>
      </c>
      <c r="AZ1338">
        <v>2011</v>
      </c>
      <c r="BA1338">
        <v>19</v>
      </c>
      <c r="BB1338">
        <v>2</v>
      </c>
      <c r="BC1338" t="s">
        <v>69</v>
      </c>
      <c r="BD1338" t="s">
        <v>69</v>
      </c>
      <c r="BE1338" t="s">
        <v>114</v>
      </c>
      <c r="BF1338" t="s">
        <v>69</v>
      </c>
      <c r="BG1338">
        <v>488</v>
      </c>
      <c r="BH1338">
        <v>497</v>
      </c>
      <c r="BI1338" t="s">
        <v>69</v>
      </c>
      <c r="BJ1338" t="s">
        <v>3449</v>
      </c>
      <c r="BK1338" t="str">
        <f>HYPERLINK("http://dx.doi.org/10.4001/003.019.0215","http://dx.doi.org/10.4001/003.019.0215")</f>
        <v>http://dx.doi.org/10.4001/003.019.0215</v>
      </c>
      <c r="BL1338" t="s">
        <v>69</v>
      </c>
      <c r="BM1338" t="s">
        <v>69</v>
      </c>
      <c r="BN1338">
        <v>10</v>
      </c>
      <c r="BO1338" t="s">
        <v>26862</v>
      </c>
      <c r="BP1338" t="s">
        <v>8548</v>
      </c>
      <c r="BQ1338" t="s">
        <v>26862</v>
      </c>
      <c r="BR1338" t="s">
        <v>26863</v>
      </c>
      <c r="BS1338" t="s">
        <v>3450</v>
      </c>
      <c r="BT1338" t="s">
        <v>69</v>
      </c>
      <c r="BU1338" t="s">
        <v>69</v>
      </c>
      <c r="BV1338" t="s">
        <v>69</v>
      </c>
      <c r="BW1338" t="s">
        <v>69</v>
      </c>
      <c r="BX1338" t="s">
        <v>8526</v>
      </c>
      <c r="BY1338" t="str">
        <f>HYPERLINK("https%3A%2F%2Fwww.webofscience.com%2Fwos%2Fwoscc%2Ffull-record%2FWOS:000296416500026","View Full Record in Web of Science")</f>
        <v>View Full Record in Web of Science</v>
      </c>
    </row>
    <row r="1339" spans="1:77" ht="12.5" x14ac:dyDescent="0.25">
      <c r="A1339" t="s">
        <v>8495</v>
      </c>
      <c r="B1339" s="7" t="s">
        <v>32933</v>
      </c>
      <c r="C1339" s="7"/>
      <c r="D1339" s="7"/>
      <c r="E1339" s="7"/>
      <c r="F1339" t="s">
        <v>67</v>
      </c>
      <c r="G1339" t="s">
        <v>3945</v>
      </c>
      <c r="H1339" t="s">
        <v>69</v>
      </c>
      <c r="I1339" t="s">
        <v>69</v>
      </c>
      <c r="J1339" t="s">
        <v>69</v>
      </c>
      <c r="K1339" t="s">
        <v>3945</v>
      </c>
      <c r="L1339" t="s">
        <v>69</v>
      </c>
      <c r="M1339" t="s">
        <v>69</v>
      </c>
      <c r="N1339" t="s">
        <v>3946</v>
      </c>
      <c r="O1339" t="s">
        <v>3947</v>
      </c>
      <c r="P1339" t="s">
        <v>69</v>
      </c>
      <c r="Q1339" t="s">
        <v>69</v>
      </c>
      <c r="R1339" t="s">
        <v>8505</v>
      </c>
      <c r="S1339" t="s">
        <v>8506</v>
      </c>
      <c r="T1339" t="s">
        <v>69</v>
      </c>
      <c r="U1339" t="s">
        <v>69</v>
      </c>
      <c r="V1339" t="s">
        <v>69</v>
      </c>
      <c r="W1339" t="s">
        <v>69</v>
      </c>
      <c r="X1339" t="s">
        <v>69</v>
      </c>
      <c r="Y1339" t="s">
        <v>31084</v>
      </c>
      <c r="Z1339" t="s">
        <v>31085</v>
      </c>
      <c r="AA1339" t="s">
        <v>3948</v>
      </c>
      <c r="AB1339" t="s">
        <v>31086</v>
      </c>
      <c r="AC1339" t="s">
        <v>69</v>
      </c>
      <c r="AD1339" t="s">
        <v>31087</v>
      </c>
      <c r="AE1339" t="s">
        <v>31088</v>
      </c>
      <c r="AF1339" t="s">
        <v>69</v>
      </c>
      <c r="AG1339" t="s">
        <v>3949</v>
      </c>
      <c r="AH1339" t="s">
        <v>69</v>
      </c>
      <c r="AI1339" t="s">
        <v>69</v>
      </c>
      <c r="AJ1339" t="s">
        <v>69</v>
      </c>
      <c r="AK1339" t="s">
        <v>69</v>
      </c>
      <c r="AL1339">
        <v>38</v>
      </c>
      <c r="AM1339">
        <v>31</v>
      </c>
      <c r="AN1339">
        <v>31</v>
      </c>
      <c r="AO1339">
        <v>1</v>
      </c>
      <c r="AP1339">
        <v>10</v>
      </c>
      <c r="AQ1339" t="s">
        <v>9145</v>
      </c>
      <c r="AR1339" t="s">
        <v>8637</v>
      </c>
      <c r="AS1339" t="s">
        <v>9146</v>
      </c>
      <c r="AT1339" t="s">
        <v>3950</v>
      </c>
      <c r="AU1339" t="s">
        <v>69</v>
      </c>
      <c r="AV1339" t="s">
        <v>69</v>
      </c>
      <c r="AW1339" t="s">
        <v>31089</v>
      </c>
      <c r="AX1339" t="s">
        <v>31090</v>
      </c>
      <c r="AY1339" t="s">
        <v>155</v>
      </c>
      <c r="AZ1339">
        <v>2004</v>
      </c>
      <c r="BA1339">
        <v>58</v>
      </c>
      <c r="BB1339">
        <v>11</v>
      </c>
      <c r="BC1339" t="s">
        <v>69</v>
      </c>
      <c r="BD1339" t="s">
        <v>69</v>
      </c>
      <c r="BE1339" t="s">
        <v>69</v>
      </c>
      <c r="BF1339" t="s">
        <v>69</v>
      </c>
      <c r="BG1339">
        <v>2181</v>
      </c>
      <c r="BH1339">
        <v>2191</v>
      </c>
      <c r="BI1339" t="s">
        <v>69</v>
      </c>
      <c r="BJ1339" t="s">
        <v>3951</v>
      </c>
      <c r="BK1339" t="str">
        <f>HYPERLINK("http://dx.doi.org/10.1016/j.socscimed.2003.08.016","http://dx.doi.org/10.1016/j.socscimed.2003.08.016")</f>
        <v>http://dx.doi.org/10.1016/j.socscimed.2003.08.016</v>
      </c>
      <c r="BL1339" t="s">
        <v>69</v>
      </c>
      <c r="BM1339" t="s">
        <v>69</v>
      </c>
      <c r="BN1339">
        <v>11</v>
      </c>
      <c r="BO1339" t="s">
        <v>31091</v>
      </c>
      <c r="BP1339" t="s">
        <v>8661</v>
      </c>
      <c r="BQ1339" t="s">
        <v>31092</v>
      </c>
      <c r="BR1339" t="s">
        <v>31093</v>
      </c>
      <c r="BS1339" t="s">
        <v>3952</v>
      </c>
      <c r="BT1339">
        <v>15047076</v>
      </c>
      <c r="BU1339" t="s">
        <v>69</v>
      </c>
      <c r="BV1339" t="s">
        <v>69</v>
      </c>
      <c r="BW1339" t="s">
        <v>69</v>
      </c>
      <c r="BX1339" t="s">
        <v>8526</v>
      </c>
      <c r="BY1339" t="str">
        <f>HYPERLINK("https%3A%2F%2Fwww.webofscience.com%2Fwos%2Fwoscc%2Ffull-record%2FWOS:000220786100008","View Full Record in Web of Science")</f>
        <v>View Full Record in Web of Science</v>
      </c>
    </row>
    <row r="1340" spans="1:77" ht="12.5" x14ac:dyDescent="0.25">
      <c r="A1340" t="s">
        <v>8495</v>
      </c>
      <c r="B1340" s="7" t="s">
        <v>32933</v>
      </c>
      <c r="C1340" s="7"/>
      <c r="D1340" s="7"/>
      <c r="E1340" s="7"/>
      <c r="F1340" t="s">
        <v>67</v>
      </c>
      <c r="G1340" t="s">
        <v>4046</v>
      </c>
      <c r="H1340" t="s">
        <v>69</v>
      </c>
      <c r="I1340" t="s">
        <v>69</v>
      </c>
      <c r="J1340" t="s">
        <v>69</v>
      </c>
      <c r="K1340" t="s">
        <v>4046</v>
      </c>
      <c r="L1340" t="s">
        <v>69</v>
      </c>
      <c r="M1340" t="s">
        <v>69</v>
      </c>
      <c r="N1340" t="s">
        <v>4047</v>
      </c>
      <c r="O1340" t="s">
        <v>3969</v>
      </c>
      <c r="P1340" t="s">
        <v>69</v>
      </c>
      <c r="Q1340" t="s">
        <v>69</v>
      </c>
      <c r="R1340" t="s">
        <v>8505</v>
      </c>
      <c r="S1340" t="s">
        <v>8442</v>
      </c>
      <c r="T1340" t="s">
        <v>69</v>
      </c>
      <c r="U1340" t="s">
        <v>69</v>
      </c>
      <c r="V1340" t="s">
        <v>69</v>
      </c>
      <c r="W1340" t="s">
        <v>69</v>
      </c>
      <c r="X1340" t="s">
        <v>69</v>
      </c>
      <c r="Y1340" t="s">
        <v>69</v>
      </c>
      <c r="Z1340" t="s">
        <v>31538</v>
      </c>
      <c r="AA1340" t="s">
        <v>4048</v>
      </c>
      <c r="AB1340" t="s">
        <v>31539</v>
      </c>
      <c r="AC1340" t="s">
        <v>69</v>
      </c>
      <c r="AD1340" t="s">
        <v>31540</v>
      </c>
      <c r="AE1340" t="s">
        <v>69</v>
      </c>
      <c r="AF1340" t="s">
        <v>31541</v>
      </c>
      <c r="AG1340" t="s">
        <v>69</v>
      </c>
      <c r="AH1340" t="s">
        <v>69</v>
      </c>
      <c r="AI1340" t="s">
        <v>69</v>
      </c>
      <c r="AJ1340" t="s">
        <v>69</v>
      </c>
      <c r="AK1340" t="s">
        <v>69</v>
      </c>
      <c r="AL1340">
        <v>106</v>
      </c>
      <c r="AM1340">
        <v>14</v>
      </c>
      <c r="AN1340">
        <v>14</v>
      </c>
      <c r="AO1340">
        <v>2</v>
      </c>
      <c r="AP1340">
        <v>11</v>
      </c>
      <c r="AQ1340" t="s">
        <v>31542</v>
      </c>
      <c r="AR1340" t="s">
        <v>10316</v>
      </c>
      <c r="AS1340" t="s">
        <v>31543</v>
      </c>
      <c r="AT1340" t="s">
        <v>3971</v>
      </c>
      <c r="AU1340" t="s">
        <v>69</v>
      </c>
      <c r="AV1340" t="s">
        <v>69</v>
      </c>
      <c r="AW1340" t="s">
        <v>10435</v>
      </c>
      <c r="AX1340" t="s">
        <v>10436</v>
      </c>
      <c r="AY1340" t="s">
        <v>381</v>
      </c>
      <c r="AZ1340">
        <v>2001</v>
      </c>
      <c r="BA1340">
        <v>11</v>
      </c>
      <c r="BB1340">
        <v>4</v>
      </c>
      <c r="BC1340" t="s">
        <v>69</v>
      </c>
      <c r="BD1340" t="s">
        <v>69</v>
      </c>
      <c r="BE1340" t="s">
        <v>69</v>
      </c>
      <c r="BF1340" t="s">
        <v>69</v>
      </c>
      <c r="BG1340">
        <v>471</v>
      </c>
      <c r="BH1340">
        <v>508</v>
      </c>
      <c r="BI1340" t="s">
        <v>69</v>
      </c>
      <c r="BJ1340" t="s">
        <v>4049</v>
      </c>
      <c r="BK1340" t="str">
        <f>HYPERLINK("http://dx.doi.org/10.1093/oxfordjournals.jpart.a003512","http://dx.doi.org/10.1093/oxfordjournals.jpart.a003512")</f>
        <v>http://dx.doi.org/10.1093/oxfordjournals.jpart.a003512</v>
      </c>
      <c r="BL1340" t="s">
        <v>69</v>
      </c>
      <c r="BM1340" t="s">
        <v>69</v>
      </c>
      <c r="BN1340">
        <v>38</v>
      </c>
      <c r="BO1340" t="s">
        <v>10439</v>
      </c>
      <c r="BP1340" t="s">
        <v>8661</v>
      </c>
      <c r="BQ1340" t="s">
        <v>10440</v>
      </c>
      <c r="BR1340" t="s">
        <v>31544</v>
      </c>
      <c r="BS1340" t="s">
        <v>4050</v>
      </c>
      <c r="BT1340" t="s">
        <v>69</v>
      </c>
      <c r="BU1340" t="s">
        <v>10995</v>
      </c>
      <c r="BV1340" t="s">
        <v>69</v>
      </c>
      <c r="BW1340" t="s">
        <v>69</v>
      </c>
      <c r="BX1340" t="s">
        <v>8526</v>
      </c>
      <c r="BY1340" t="str">
        <f>HYPERLINK("https%3A%2F%2Fwww.webofscience.com%2Fwos%2Fwoscc%2Ffull-record%2FWOS:000172135700003","View Full Record in Web of Science")</f>
        <v>View Full Record in Web of Science</v>
      </c>
    </row>
    <row r="1341" spans="1:77" x14ac:dyDescent="0.3">
      <c r="A1341" t="s">
        <v>8495</v>
      </c>
      <c r="B1341" s="10" t="s">
        <v>33018</v>
      </c>
      <c r="F1341" t="s">
        <v>67</v>
      </c>
      <c r="G1341" t="s">
        <v>7583</v>
      </c>
      <c r="H1341" t="s">
        <v>69</v>
      </c>
      <c r="I1341" t="s">
        <v>69</v>
      </c>
      <c r="J1341" t="s">
        <v>69</v>
      </c>
      <c r="K1341" s="2" t="s">
        <v>7584</v>
      </c>
      <c r="L1341" t="s">
        <v>69</v>
      </c>
      <c r="M1341" t="s">
        <v>69</v>
      </c>
      <c r="N1341" s="2" t="s">
        <v>7585</v>
      </c>
      <c r="O1341" t="s">
        <v>7586</v>
      </c>
      <c r="P1341" t="s">
        <v>69</v>
      </c>
      <c r="Q1341" t="s">
        <v>69</v>
      </c>
      <c r="R1341" t="s">
        <v>8505</v>
      </c>
      <c r="S1341" t="s">
        <v>8506</v>
      </c>
      <c r="T1341" t="s">
        <v>69</v>
      </c>
      <c r="U1341" t="s">
        <v>69</v>
      </c>
      <c r="V1341" t="s">
        <v>69</v>
      </c>
      <c r="W1341" t="s">
        <v>69</v>
      </c>
      <c r="X1341" t="s">
        <v>69</v>
      </c>
      <c r="Y1341" t="s">
        <v>26800</v>
      </c>
      <c r="Z1341" t="s">
        <v>26801</v>
      </c>
      <c r="AA1341" t="s">
        <v>7587</v>
      </c>
      <c r="AB1341" t="s">
        <v>26802</v>
      </c>
      <c r="AC1341" t="s">
        <v>69</v>
      </c>
      <c r="AD1341" t="s">
        <v>26803</v>
      </c>
      <c r="AE1341" t="s">
        <v>26804</v>
      </c>
      <c r="AF1341" t="s">
        <v>7588</v>
      </c>
      <c r="AG1341" t="s">
        <v>7589</v>
      </c>
      <c r="AH1341" t="s">
        <v>69</v>
      </c>
      <c r="AI1341" t="s">
        <v>69</v>
      </c>
      <c r="AJ1341" t="s">
        <v>69</v>
      </c>
      <c r="AK1341" t="s">
        <v>69</v>
      </c>
      <c r="AL1341">
        <v>31</v>
      </c>
      <c r="AM1341">
        <v>19</v>
      </c>
      <c r="AN1341">
        <v>19</v>
      </c>
      <c r="AO1341">
        <v>3</v>
      </c>
      <c r="AP1341">
        <v>29</v>
      </c>
      <c r="AQ1341" t="s">
        <v>9554</v>
      </c>
      <c r="AR1341" t="s">
        <v>9555</v>
      </c>
      <c r="AS1341" t="s">
        <v>9556</v>
      </c>
      <c r="AT1341" t="s">
        <v>7590</v>
      </c>
      <c r="AU1341" t="s">
        <v>7591</v>
      </c>
      <c r="AV1341" t="s">
        <v>69</v>
      </c>
      <c r="AW1341" t="s">
        <v>26805</v>
      </c>
      <c r="AX1341" t="s">
        <v>26806</v>
      </c>
      <c r="AY1341" t="s">
        <v>263</v>
      </c>
      <c r="AZ1341">
        <v>2011</v>
      </c>
      <c r="BA1341">
        <v>54</v>
      </c>
      <c r="BB1341">
        <v>1</v>
      </c>
      <c r="BC1341" t="s">
        <v>69</v>
      </c>
      <c r="BD1341" t="s">
        <v>69</v>
      </c>
      <c r="BE1341" t="s">
        <v>69</v>
      </c>
      <c r="BF1341" t="s">
        <v>69</v>
      </c>
      <c r="BG1341">
        <v>88</v>
      </c>
      <c r="BH1341" t="s">
        <v>219</v>
      </c>
      <c r="BI1341" t="s">
        <v>69</v>
      </c>
      <c r="BJ1341" t="s">
        <v>7592</v>
      </c>
      <c r="BK1341" t="str">
        <f>HYPERLINK("http://dx.doi.org/10.1525/cmr.2011.54.1.88","http://dx.doi.org/10.1525/cmr.2011.54.1.88")</f>
        <v>http://dx.doi.org/10.1525/cmr.2011.54.1.88</v>
      </c>
      <c r="BL1341" t="s">
        <v>69</v>
      </c>
      <c r="BM1341" t="s">
        <v>69</v>
      </c>
      <c r="BN1341">
        <v>20</v>
      </c>
      <c r="BO1341" t="s">
        <v>8791</v>
      </c>
      <c r="BP1341" t="s">
        <v>8661</v>
      </c>
      <c r="BQ1341" t="s">
        <v>8594</v>
      </c>
      <c r="BR1341" t="s">
        <v>26807</v>
      </c>
      <c r="BS1341" t="s">
        <v>7593</v>
      </c>
      <c r="BT1341" t="s">
        <v>69</v>
      </c>
      <c r="BU1341" t="s">
        <v>26808</v>
      </c>
      <c r="BV1341" t="s">
        <v>69</v>
      </c>
      <c r="BW1341" t="s">
        <v>69</v>
      </c>
      <c r="BX1341" t="s">
        <v>8526</v>
      </c>
      <c r="BY1341" t="str">
        <f>HYPERLINK("https%3A%2F%2Fwww.webofscience.com%2Fwos%2Fwoscc%2Ffull-record%2FWOS:000297389500005","View Full Record in Web of Science")</f>
        <v>View Full Record in Web of Science</v>
      </c>
    </row>
    <row r="1342" spans="1:77" ht="12.5" x14ac:dyDescent="0.25">
      <c r="A1342" t="s">
        <v>8495</v>
      </c>
      <c r="B1342" s="22" t="s">
        <v>32931</v>
      </c>
      <c r="C1342" s="7"/>
      <c r="D1342" s="7"/>
      <c r="E1342" s="7"/>
      <c r="F1342" t="s">
        <v>67</v>
      </c>
      <c r="G1342" t="s">
        <v>8794</v>
      </c>
      <c r="H1342" t="s">
        <v>69</v>
      </c>
      <c r="I1342" t="s">
        <v>69</v>
      </c>
      <c r="J1342" t="s">
        <v>69</v>
      </c>
      <c r="K1342" t="s">
        <v>8795</v>
      </c>
      <c r="L1342" t="s">
        <v>69</v>
      </c>
      <c r="M1342" t="s">
        <v>69</v>
      </c>
      <c r="N1342" t="s">
        <v>8796</v>
      </c>
      <c r="O1342" t="s">
        <v>8797</v>
      </c>
      <c r="P1342" t="s">
        <v>69</v>
      </c>
      <c r="Q1342" t="s">
        <v>69</v>
      </c>
      <c r="R1342" t="s">
        <v>8505</v>
      </c>
      <c r="S1342" t="s">
        <v>8506</v>
      </c>
      <c r="T1342" t="s">
        <v>69</v>
      </c>
      <c r="U1342" t="s">
        <v>69</v>
      </c>
      <c r="V1342" t="s">
        <v>69</v>
      </c>
      <c r="W1342" t="s">
        <v>69</v>
      </c>
      <c r="X1342" t="s">
        <v>69</v>
      </c>
      <c r="Y1342" t="s">
        <v>69</v>
      </c>
      <c r="Z1342" t="s">
        <v>69</v>
      </c>
      <c r="AA1342" t="s">
        <v>8798</v>
      </c>
      <c r="AB1342" t="s">
        <v>8799</v>
      </c>
      <c r="AC1342" t="s">
        <v>69</v>
      </c>
      <c r="AD1342" t="s">
        <v>8800</v>
      </c>
      <c r="AE1342" t="s">
        <v>8801</v>
      </c>
      <c r="AF1342" t="s">
        <v>69</v>
      </c>
      <c r="AG1342" t="s">
        <v>69</v>
      </c>
      <c r="AH1342" t="s">
        <v>69</v>
      </c>
      <c r="AI1342" t="s">
        <v>69</v>
      </c>
      <c r="AJ1342" t="s">
        <v>69</v>
      </c>
      <c r="AK1342" t="s">
        <v>69</v>
      </c>
      <c r="AL1342">
        <v>21</v>
      </c>
      <c r="AM1342">
        <v>0</v>
      </c>
      <c r="AN1342">
        <v>0</v>
      </c>
      <c r="AO1342">
        <v>6</v>
      </c>
      <c r="AP1342">
        <v>6</v>
      </c>
      <c r="AQ1342" t="s">
        <v>8802</v>
      </c>
      <c r="AR1342" t="s">
        <v>8763</v>
      </c>
      <c r="AS1342" t="s">
        <v>8803</v>
      </c>
      <c r="AT1342" t="s">
        <v>8804</v>
      </c>
      <c r="AU1342" t="s">
        <v>8805</v>
      </c>
      <c r="AV1342" t="s">
        <v>69</v>
      </c>
      <c r="AW1342" t="s">
        <v>8806</v>
      </c>
      <c r="AX1342" t="s">
        <v>8807</v>
      </c>
      <c r="AY1342" t="s">
        <v>8808</v>
      </c>
      <c r="AZ1342">
        <v>2022</v>
      </c>
      <c r="BA1342">
        <v>2022</v>
      </c>
      <c r="BB1342" t="s">
        <v>69</v>
      </c>
      <c r="BC1342" t="s">
        <v>69</v>
      </c>
      <c r="BD1342" t="s">
        <v>69</v>
      </c>
      <c r="BE1342" t="s">
        <v>69</v>
      </c>
      <c r="BF1342" t="s">
        <v>69</v>
      </c>
      <c r="BG1342" t="s">
        <v>69</v>
      </c>
      <c r="BH1342" t="s">
        <v>69</v>
      </c>
      <c r="BI1342">
        <v>2431428</v>
      </c>
      <c r="BJ1342" t="s">
        <v>8809</v>
      </c>
      <c r="BK1342" t="str">
        <f>HYPERLINK("http://dx.doi.org/10.1155/2022/2431428","http://dx.doi.org/10.1155/2022/2431428")</f>
        <v>http://dx.doi.org/10.1155/2022/2431428</v>
      </c>
      <c r="BL1342" t="s">
        <v>69</v>
      </c>
      <c r="BM1342" t="s">
        <v>69</v>
      </c>
      <c r="BN1342">
        <v>10</v>
      </c>
      <c r="BO1342" t="s">
        <v>8810</v>
      </c>
      <c r="BP1342" t="s">
        <v>8523</v>
      </c>
      <c r="BQ1342" t="s">
        <v>8810</v>
      </c>
      <c r="BR1342" t="s">
        <v>8811</v>
      </c>
      <c r="BS1342" t="s">
        <v>8813</v>
      </c>
      <c r="BT1342">
        <v>35733979</v>
      </c>
      <c r="BU1342" t="s">
        <v>8812</v>
      </c>
      <c r="BV1342" t="s">
        <v>69</v>
      </c>
      <c r="BW1342" t="s">
        <v>69</v>
      </c>
      <c r="BX1342" t="s">
        <v>8526</v>
      </c>
      <c r="BY1342" t="str">
        <f>HYPERLINK("https%3A%2F%2Fwww.webofscience.com%2Fwos%2Fwoscc%2Ffull-record%2FWOS:000817569800005","View Full Record in Web of Science")</f>
        <v>View Full Record in Web of Science</v>
      </c>
    </row>
    <row r="1343" spans="1:77" ht="12.5" x14ac:dyDescent="0.25">
      <c r="A1343" t="s">
        <v>8495</v>
      </c>
      <c r="B1343" s="7" t="s">
        <v>32933</v>
      </c>
      <c r="C1343" s="7"/>
      <c r="D1343" s="7"/>
      <c r="E1343" s="7"/>
      <c r="F1343" t="s">
        <v>67</v>
      </c>
      <c r="G1343" t="s">
        <v>6952</v>
      </c>
      <c r="H1343" t="s">
        <v>69</v>
      </c>
      <c r="I1343" t="s">
        <v>69</v>
      </c>
      <c r="J1343" t="s">
        <v>69</v>
      </c>
      <c r="K1343" t="s">
        <v>6953</v>
      </c>
      <c r="L1343" t="s">
        <v>69</v>
      </c>
      <c r="M1343" t="s">
        <v>69</v>
      </c>
      <c r="N1343" t="s">
        <v>6954</v>
      </c>
      <c r="O1343" t="s">
        <v>1446</v>
      </c>
      <c r="P1343" t="s">
        <v>69</v>
      </c>
      <c r="Q1343" t="s">
        <v>69</v>
      </c>
      <c r="R1343" t="s">
        <v>16378</v>
      </c>
      <c r="S1343" t="s">
        <v>8506</v>
      </c>
      <c r="T1343" t="s">
        <v>69</v>
      </c>
      <c r="U1343" t="s">
        <v>69</v>
      </c>
      <c r="V1343" t="s">
        <v>69</v>
      </c>
      <c r="W1343" t="s">
        <v>69</v>
      </c>
      <c r="X1343" t="s">
        <v>69</v>
      </c>
      <c r="Y1343" t="s">
        <v>16379</v>
      </c>
      <c r="Z1343" t="s">
        <v>69</v>
      </c>
      <c r="AA1343" t="s">
        <v>6955</v>
      </c>
      <c r="AB1343" t="s">
        <v>16380</v>
      </c>
      <c r="AC1343" t="s">
        <v>69</v>
      </c>
      <c r="AD1343" t="s">
        <v>16381</v>
      </c>
      <c r="AE1343" t="s">
        <v>16382</v>
      </c>
      <c r="AF1343" t="s">
        <v>69</v>
      </c>
      <c r="AG1343" t="s">
        <v>69</v>
      </c>
      <c r="AH1343" t="s">
        <v>69</v>
      </c>
      <c r="AI1343" t="s">
        <v>69</v>
      </c>
      <c r="AJ1343" t="s">
        <v>69</v>
      </c>
      <c r="AK1343" t="s">
        <v>69</v>
      </c>
      <c r="AL1343">
        <v>23</v>
      </c>
      <c r="AM1343">
        <v>0</v>
      </c>
      <c r="AN1343">
        <v>0</v>
      </c>
      <c r="AO1343">
        <v>2</v>
      </c>
      <c r="AP1343">
        <v>10</v>
      </c>
      <c r="AQ1343" t="s">
        <v>16383</v>
      </c>
      <c r="AR1343" t="s">
        <v>16384</v>
      </c>
      <c r="AS1343" t="s">
        <v>16385</v>
      </c>
      <c r="AT1343" t="s">
        <v>1448</v>
      </c>
      <c r="AU1343" t="s">
        <v>69</v>
      </c>
      <c r="AV1343" t="s">
        <v>69</v>
      </c>
      <c r="AW1343" t="s">
        <v>16386</v>
      </c>
      <c r="AX1343" t="s">
        <v>16387</v>
      </c>
      <c r="AY1343" t="s">
        <v>75</v>
      </c>
      <c r="AZ1343">
        <v>2019</v>
      </c>
      <c r="BA1343">
        <v>59</v>
      </c>
      <c r="BB1343">
        <v>4</v>
      </c>
      <c r="BC1343" t="s">
        <v>69</v>
      </c>
      <c r="BD1343" t="s">
        <v>69</v>
      </c>
      <c r="BE1343" t="s">
        <v>69</v>
      </c>
      <c r="BF1343" t="s">
        <v>69</v>
      </c>
      <c r="BG1343">
        <v>599</v>
      </c>
      <c r="BH1343">
        <v>610</v>
      </c>
      <c r="BI1343" t="s">
        <v>69</v>
      </c>
      <c r="BJ1343" t="s">
        <v>6956</v>
      </c>
      <c r="BK1343" t="str">
        <f>HYPERLINK("http://dx.doi.org/10.17159/2224-7912/2019/v59n4a10","http://dx.doi.org/10.17159/2224-7912/2019/v59n4a10")</f>
        <v>http://dx.doi.org/10.17159/2224-7912/2019/v59n4a10</v>
      </c>
      <c r="BL1343" t="s">
        <v>69</v>
      </c>
      <c r="BM1343" t="s">
        <v>69</v>
      </c>
      <c r="BN1343">
        <v>12</v>
      </c>
      <c r="BO1343" t="s">
        <v>13650</v>
      </c>
      <c r="BP1343" t="s">
        <v>8661</v>
      </c>
      <c r="BQ1343" t="s">
        <v>13650</v>
      </c>
      <c r="BR1343" t="s">
        <v>16388</v>
      </c>
      <c r="BS1343" t="s">
        <v>6957</v>
      </c>
      <c r="BT1343" t="s">
        <v>69</v>
      </c>
      <c r="BU1343" t="s">
        <v>8931</v>
      </c>
      <c r="BV1343" t="s">
        <v>69</v>
      </c>
      <c r="BW1343" t="s">
        <v>69</v>
      </c>
      <c r="BX1343" t="s">
        <v>8526</v>
      </c>
      <c r="BY1343" t="str">
        <f>HYPERLINK("https%3A%2F%2Fwww.webofscience.com%2Fwos%2Fwoscc%2Ffull-record%2FWOS:000507387400010","View Full Record in Web of Science")</f>
        <v>View Full Record in Web of Science</v>
      </c>
    </row>
    <row r="1344" spans="1:77" ht="12.5" x14ac:dyDescent="0.25">
      <c r="A1344" t="s">
        <v>8495</v>
      </c>
      <c r="B1344" s="22" t="s">
        <v>32931</v>
      </c>
      <c r="C1344" s="7"/>
      <c r="D1344" s="7"/>
      <c r="E1344" s="7"/>
      <c r="F1344" t="s">
        <v>67</v>
      </c>
      <c r="G1344" t="s">
        <v>11408</v>
      </c>
      <c r="H1344" t="s">
        <v>69</v>
      </c>
      <c r="I1344" t="s">
        <v>69</v>
      </c>
      <c r="J1344" t="s">
        <v>69</v>
      </c>
      <c r="K1344" t="s">
        <v>11409</v>
      </c>
      <c r="L1344" t="s">
        <v>69</v>
      </c>
      <c r="M1344" t="s">
        <v>69</v>
      </c>
      <c r="N1344" t="s">
        <v>11410</v>
      </c>
      <c r="O1344" t="s">
        <v>9437</v>
      </c>
      <c r="P1344" t="s">
        <v>69</v>
      </c>
      <c r="Q1344" t="s">
        <v>69</v>
      </c>
      <c r="R1344" t="s">
        <v>8505</v>
      </c>
      <c r="S1344" t="s">
        <v>8506</v>
      </c>
      <c r="T1344" t="s">
        <v>69</v>
      </c>
      <c r="U1344" t="s">
        <v>69</v>
      </c>
      <c r="V1344" t="s">
        <v>69</v>
      </c>
      <c r="W1344" t="s">
        <v>69</v>
      </c>
      <c r="X1344" t="s">
        <v>69</v>
      </c>
      <c r="Y1344" t="s">
        <v>11411</v>
      </c>
      <c r="Z1344" t="s">
        <v>11412</v>
      </c>
      <c r="AA1344" t="s">
        <v>11413</v>
      </c>
      <c r="AB1344" t="s">
        <v>11414</v>
      </c>
      <c r="AC1344" t="s">
        <v>69</v>
      </c>
      <c r="AD1344" t="s">
        <v>11415</v>
      </c>
      <c r="AE1344" t="s">
        <v>9442</v>
      </c>
      <c r="AF1344" t="s">
        <v>69</v>
      </c>
      <c r="AG1344" t="s">
        <v>9443</v>
      </c>
      <c r="AH1344" t="s">
        <v>9444</v>
      </c>
      <c r="AI1344" t="s">
        <v>9444</v>
      </c>
      <c r="AJ1344" t="s">
        <v>11416</v>
      </c>
      <c r="AK1344" t="s">
        <v>69</v>
      </c>
      <c r="AL1344">
        <v>17</v>
      </c>
      <c r="AM1344">
        <v>0</v>
      </c>
      <c r="AN1344">
        <v>0</v>
      </c>
      <c r="AO1344">
        <v>2</v>
      </c>
      <c r="AP1344">
        <v>3</v>
      </c>
      <c r="AQ1344" t="s">
        <v>9178</v>
      </c>
      <c r="AR1344" t="s">
        <v>8763</v>
      </c>
      <c r="AS1344" t="s">
        <v>9179</v>
      </c>
      <c r="AT1344" t="s">
        <v>9446</v>
      </c>
      <c r="AU1344" t="s">
        <v>69</v>
      </c>
      <c r="AV1344" t="s">
        <v>69</v>
      </c>
      <c r="AW1344" t="s">
        <v>9437</v>
      </c>
      <c r="AX1344" t="s">
        <v>9447</v>
      </c>
      <c r="AY1344" t="s">
        <v>255</v>
      </c>
      <c r="AZ1344">
        <v>2021</v>
      </c>
      <c r="BA1344">
        <v>11</v>
      </c>
      <c r="BB1344">
        <v>9</v>
      </c>
      <c r="BC1344" t="s">
        <v>69</v>
      </c>
      <c r="BD1344" t="s">
        <v>69</v>
      </c>
      <c r="BE1344" t="s">
        <v>69</v>
      </c>
      <c r="BF1344" t="s">
        <v>69</v>
      </c>
      <c r="BG1344" t="s">
        <v>69</v>
      </c>
      <c r="BH1344" t="s">
        <v>69</v>
      </c>
      <c r="BI1344" t="s">
        <v>11417</v>
      </c>
      <c r="BJ1344" t="s">
        <v>11418</v>
      </c>
      <c r="BK1344" t="str">
        <f>HYPERLINK("http://dx.doi.org/10.1136/bmjopen-2021-053014","http://dx.doi.org/10.1136/bmjopen-2021-053014")</f>
        <v>http://dx.doi.org/10.1136/bmjopen-2021-053014</v>
      </c>
      <c r="BL1344" t="s">
        <v>69</v>
      </c>
      <c r="BM1344" t="s">
        <v>69</v>
      </c>
      <c r="BN1344">
        <v>10</v>
      </c>
      <c r="BO1344" t="s">
        <v>9450</v>
      </c>
      <c r="BP1344" t="s">
        <v>8523</v>
      </c>
      <c r="BQ1344" t="s">
        <v>9451</v>
      </c>
      <c r="BR1344" t="s">
        <v>11419</v>
      </c>
      <c r="BS1344" t="s">
        <v>11420</v>
      </c>
      <c r="BT1344">
        <v>34593506</v>
      </c>
      <c r="BU1344" t="s">
        <v>8812</v>
      </c>
      <c r="BV1344" t="s">
        <v>69</v>
      </c>
      <c r="BW1344" t="s">
        <v>69</v>
      </c>
      <c r="BX1344" t="s">
        <v>8526</v>
      </c>
      <c r="BY1344" t="str">
        <f>HYPERLINK("https%3A%2F%2Fwww.webofscience.com%2Fwos%2Fwoscc%2Ffull-record%2FWOS:000703167900009","View Full Record in Web of Science")</f>
        <v>View Full Record in Web of Science</v>
      </c>
    </row>
    <row r="1345" spans="1:77" ht="12.5" x14ac:dyDescent="0.25">
      <c r="A1345" t="s">
        <v>8495</v>
      </c>
      <c r="B1345" s="7" t="s">
        <v>32933</v>
      </c>
      <c r="C1345" s="7"/>
      <c r="D1345" s="7"/>
      <c r="E1345" s="7"/>
      <c r="F1345" t="s">
        <v>67</v>
      </c>
      <c r="G1345" t="s">
        <v>7467</v>
      </c>
      <c r="H1345" t="s">
        <v>69</v>
      </c>
      <c r="I1345" t="s">
        <v>69</v>
      </c>
      <c r="J1345" t="s">
        <v>69</v>
      </c>
      <c r="K1345" t="s">
        <v>7468</v>
      </c>
      <c r="L1345" t="s">
        <v>69</v>
      </c>
      <c r="M1345" t="s">
        <v>69</v>
      </c>
      <c r="N1345" t="s">
        <v>7469</v>
      </c>
      <c r="O1345" t="s">
        <v>3877</v>
      </c>
      <c r="P1345" t="s">
        <v>69</v>
      </c>
      <c r="Q1345" t="s">
        <v>69</v>
      </c>
      <c r="R1345" t="s">
        <v>8505</v>
      </c>
      <c r="S1345" t="s">
        <v>8506</v>
      </c>
      <c r="T1345" t="s">
        <v>69</v>
      </c>
      <c r="U1345" t="s">
        <v>69</v>
      </c>
      <c r="V1345" t="s">
        <v>69</v>
      </c>
      <c r="W1345" t="s">
        <v>69</v>
      </c>
      <c r="X1345" t="s">
        <v>69</v>
      </c>
      <c r="Y1345" t="s">
        <v>69</v>
      </c>
      <c r="Z1345" t="s">
        <v>25680</v>
      </c>
      <c r="AA1345" t="s">
        <v>7470</v>
      </c>
      <c r="AB1345" t="s">
        <v>25681</v>
      </c>
      <c r="AC1345" t="s">
        <v>69</v>
      </c>
      <c r="AD1345" t="s">
        <v>25682</v>
      </c>
      <c r="AE1345" t="s">
        <v>25683</v>
      </c>
      <c r="AF1345" t="s">
        <v>69</v>
      </c>
      <c r="AG1345" t="s">
        <v>69</v>
      </c>
      <c r="AH1345" t="s">
        <v>69</v>
      </c>
      <c r="AI1345" t="s">
        <v>69</v>
      </c>
      <c r="AJ1345" t="s">
        <v>69</v>
      </c>
      <c r="AK1345" t="s">
        <v>69</v>
      </c>
      <c r="AL1345">
        <v>50</v>
      </c>
      <c r="AM1345">
        <v>13</v>
      </c>
      <c r="AN1345">
        <v>13</v>
      </c>
      <c r="AO1345">
        <v>0</v>
      </c>
      <c r="AP1345">
        <v>27</v>
      </c>
      <c r="AQ1345" t="s">
        <v>8846</v>
      </c>
      <c r="AR1345" t="s">
        <v>8847</v>
      </c>
      <c r="AS1345" t="s">
        <v>8848</v>
      </c>
      <c r="AT1345" t="s">
        <v>3880</v>
      </c>
      <c r="AU1345" t="s">
        <v>3881</v>
      </c>
      <c r="AV1345" t="s">
        <v>69</v>
      </c>
      <c r="AW1345" t="s">
        <v>25684</v>
      </c>
      <c r="AX1345" t="s">
        <v>25685</v>
      </c>
      <c r="AY1345" t="s">
        <v>75</v>
      </c>
      <c r="AZ1345">
        <v>2012</v>
      </c>
      <c r="BA1345">
        <v>23</v>
      </c>
      <c r="BB1345">
        <v>4</v>
      </c>
      <c r="BC1345" t="s">
        <v>69</v>
      </c>
      <c r="BD1345" t="s">
        <v>69</v>
      </c>
      <c r="BE1345" t="s">
        <v>69</v>
      </c>
      <c r="BF1345" t="s">
        <v>69</v>
      </c>
      <c r="BG1345">
        <v>502</v>
      </c>
      <c r="BH1345">
        <v>517</v>
      </c>
      <c r="BI1345" t="s">
        <v>69</v>
      </c>
      <c r="BJ1345" t="s">
        <v>7471</v>
      </c>
      <c r="BK1345" t="str">
        <f>HYPERLINK("http://dx.doi.org/10.1111/j.1467-8551.2011.00779.x","http://dx.doi.org/10.1111/j.1467-8551.2011.00779.x")</f>
        <v>http://dx.doi.org/10.1111/j.1467-8551.2011.00779.x</v>
      </c>
      <c r="BL1345" t="s">
        <v>69</v>
      </c>
      <c r="BM1345" t="s">
        <v>69</v>
      </c>
      <c r="BN1345">
        <v>16</v>
      </c>
      <c r="BO1345" t="s">
        <v>8791</v>
      </c>
      <c r="BP1345" t="s">
        <v>8661</v>
      </c>
      <c r="BQ1345" t="s">
        <v>8594</v>
      </c>
      <c r="BR1345" t="s">
        <v>25686</v>
      </c>
      <c r="BS1345" t="s">
        <v>7472</v>
      </c>
      <c r="BT1345" t="s">
        <v>69</v>
      </c>
      <c r="BU1345" t="s">
        <v>69</v>
      </c>
      <c r="BV1345" t="s">
        <v>69</v>
      </c>
      <c r="BW1345" t="s">
        <v>69</v>
      </c>
      <c r="BX1345" t="s">
        <v>8526</v>
      </c>
      <c r="BY1345" t="str">
        <f>HYPERLINK("https%3A%2F%2Fwww.webofscience.com%2Fwos%2Fwoscc%2Ffull-record%2FWOS:000311389700005","View Full Record in Web of Science")</f>
        <v>View Full Record in Web of Science</v>
      </c>
    </row>
    <row r="1346" spans="1:77" ht="12.5" x14ac:dyDescent="0.25">
      <c r="A1346" t="s">
        <v>8495</v>
      </c>
      <c r="B1346" s="7" t="s">
        <v>32933</v>
      </c>
      <c r="C1346" s="7"/>
      <c r="D1346" s="7"/>
      <c r="E1346" s="7"/>
      <c r="F1346" t="s">
        <v>67</v>
      </c>
      <c r="G1346" t="s">
        <v>4979</v>
      </c>
      <c r="H1346" t="s">
        <v>69</v>
      </c>
      <c r="I1346" t="s">
        <v>69</v>
      </c>
      <c r="J1346" t="s">
        <v>69</v>
      </c>
      <c r="K1346" t="s">
        <v>4980</v>
      </c>
      <c r="L1346" t="s">
        <v>69</v>
      </c>
      <c r="M1346" t="s">
        <v>69</v>
      </c>
      <c r="N1346" t="s">
        <v>4981</v>
      </c>
      <c r="O1346" t="s">
        <v>4982</v>
      </c>
      <c r="P1346" t="s">
        <v>69</v>
      </c>
      <c r="Q1346" t="s">
        <v>69</v>
      </c>
      <c r="R1346" t="s">
        <v>8505</v>
      </c>
      <c r="S1346" t="s">
        <v>8506</v>
      </c>
      <c r="T1346" t="s">
        <v>69</v>
      </c>
      <c r="U1346" t="s">
        <v>69</v>
      </c>
      <c r="V1346" t="s">
        <v>69</v>
      </c>
      <c r="W1346" t="s">
        <v>69</v>
      </c>
      <c r="X1346" t="s">
        <v>69</v>
      </c>
      <c r="Y1346" t="s">
        <v>21115</v>
      </c>
      <c r="Z1346" t="s">
        <v>21116</v>
      </c>
      <c r="AA1346" t="s">
        <v>4983</v>
      </c>
      <c r="AB1346" t="s">
        <v>21117</v>
      </c>
      <c r="AC1346" t="s">
        <v>69</v>
      </c>
      <c r="AD1346" t="s">
        <v>21118</v>
      </c>
      <c r="AE1346" t="s">
        <v>69</v>
      </c>
      <c r="AF1346" t="s">
        <v>69</v>
      </c>
      <c r="AG1346" t="s">
        <v>4984</v>
      </c>
      <c r="AH1346" t="s">
        <v>69</v>
      </c>
      <c r="AI1346" t="s">
        <v>69</v>
      </c>
      <c r="AJ1346" t="s">
        <v>69</v>
      </c>
      <c r="AK1346" t="s">
        <v>69</v>
      </c>
      <c r="AL1346">
        <v>77</v>
      </c>
      <c r="AM1346">
        <v>1</v>
      </c>
      <c r="AN1346">
        <v>1</v>
      </c>
      <c r="AO1346">
        <v>0</v>
      </c>
      <c r="AP1346">
        <v>13</v>
      </c>
      <c r="AQ1346" t="s">
        <v>21110</v>
      </c>
      <c r="AR1346" t="s">
        <v>8847</v>
      </c>
      <c r="AS1346" t="s">
        <v>8848</v>
      </c>
      <c r="AT1346" t="s">
        <v>4985</v>
      </c>
      <c r="AU1346" t="s">
        <v>4986</v>
      </c>
      <c r="AV1346" t="s">
        <v>69</v>
      </c>
      <c r="AW1346" t="s">
        <v>21119</v>
      </c>
      <c r="AX1346" t="s">
        <v>21120</v>
      </c>
      <c r="AY1346" t="s">
        <v>75</v>
      </c>
      <c r="AZ1346">
        <v>2016</v>
      </c>
      <c r="BA1346">
        <v>7</v>
      </c>
      <c r="BB1346">
        <v>2</v>
      </c>
      <c r="BC1346" t="s">
        <v>69</v>
      </c>
      <c r="BD1346" t="s">
        <v>69</v>
      </c>
      <c r="BE1346" t="s">
        <v>69</v>
      </c>
      <c r="BF1346" t="s">
        <v>69</v>
      </c>
      <c r="BG1346">
        <v>399</v>
      </c>
      <c r="BH1346">
        <v>430</v>
      </c>
      <c r="BI1346" t="s">
        <v>69</v>
      </c>
      <c r="BJ1346" t="s">
        <v>4987</v>
      </c>
      <c r="BK1346" t="str">
        <f>HYPERLINK("http://dx.doi.org/10.1111/lamp.12103","http://dx.doi.org/10.1111/lamp.12103")</f>
        <v>http://dx.doi.org/10.1111/lamp.12103</v>
      </c>
      <c r="BL1346" t="s">
        <v>69</v>
      </c>
      <c r="BM1346" t="s">
        <v>69</v>
      </c>
      <c r="BN1346">
        <v>32</v>
      </c>
      <c r="BO1346" t="s">
        <v>13241</v>
      </c>
      <c r="BP1346" t="s">
        <v>8573</v>
      </c>
      <c r="BQ1346" t="s">
        <v>10084</v>
      </c>
      <c r="BR1346" t="s">
        <v>21121</v>
      </c>
      <c r="BS1346" t="s">
        <v>4988</v>
      </c>
      <c r="BT1346" t="s">
        <v>69</v>
      </c>
      <c r="BU1346" t="s">
        <v>69</v>
      </c>
      <c r="BV1346" t="s">
        <v>69</v>
      </c>
      <c r="BW1346" t="s">
        <v>69</v>
      </c>
      <c r="BX1346" t="s">
        <v>8526</v>
      </c>
      <c r="BY1346" t="str">
        <f>HYPERLINK("https%3A%2F%2Fwww.webofscience.com%2Fwos%2Fwoscc%2Ffull-record%2FWOS:000391088500012","View Full Record in Web of Science")</f>
        <v>View Full Record in Web of Science</v>
      </c>
    </row>
    <row r="1347" spans="1:77" ht="12.5" x14ac:dyDescent="0.25">
      <c r="A1347" t="s">
        <v>8495</v>
      </c>
      <c r="B1347" s="7" t="s">
        <v>32933</v>
      </c>
      <c r="C1347" s="7"/>
      <c r="D1347" s="7"/>
      <c r="E1347" s="7"/>
      <c r="F1347" t="s">
        <v>67</v>
      </c>
      <c r="G1347" t="s">
        <v>1428</v>
      </c>
      <c r="H1347" t="s">
        <v>69</v>
      </c>
      <c r="I1347" t="s">
        <v>69</v>
      </c>
      <c r="J1347" t="s">
        <v>69</v>
      </c>
      <c r="K1347" t="s">
        <v>1429</v>
      </c>
      <c r="L1347" t="s">
        <v>69</v>
      </c>
      <c r="M1347" t="s">
        <v>69</v>
      </c>
      <c r="N1347" t="s">
        <v>1430</v>
      </c>
      <c r="O1347" t="s">
        <v>1431</v>
      </c>
      <c r="P1347" t="s">
        <v>69</v>
      </c>
      <c r="Q1347" t="s">
        <v>69</v>
      </c>
      <c r="R1347" t="s">
        <v>8505</v>
      </c>
      <c r="S1347" t="s">
        <v>8506</v>
      </c>
      <c r="T1347" t="s">
        <v>69</v>
      </c>
      <c r="U1347" t="s">
        <v>69</v>
      </c>
      <c r="V1347" t="s">
        <v>69</v>
      </c>
      <c r="W1347" t="s">
        <v>69</v>
      </c>
      <c r="X1347" t="s">
        <v>69</v>
      </c>
      <c r="Y1347" t="s">
        <v>25624</v>
      </c>
      <c r="Z1347" t="s">
        <v>25625</v>
      </c>
      <c r="AA1347" t="s">
        <v>1432</v>
      </c>
      <c r="AB1347" t="s">
        <v>25626</v>
      </c>
      <c r="AC1347" t="s">
        <v>69</v>
      </c>
      <c r="AD1347" t="s">
        <v>25627</v>
      </c>
      <c r="AE1347" t="s">
        <v>25628</v>
      </c>
      <c r="AF1347" t="s">
        <v>25629</v>
      </c>
      <c r="AG1347" t="s">
        <v>25630</v>
      </c>
      <c r="AH1347" t="s">
        <v>25631</v>
      </c>
      <c r="AI1347" t="s">
        <v>25632</v>
      </c>
      <c r="AJ1347" t="s">
        <v>25633</v>
      </c>
      <c r="AK1347" t="s">
        <v>69</v>
      </c>
      <c r="AL1347">
        <v>56</v>
      </c>
      <c r="AM1347">
        <v>12</v>
      </c>
      <c r="AN1347">
        <v>12</v>
      </c>
      <c r="AO1347">
        <v>0</v>
      </c>
      <c r="AP1347">
        <v>16</v>
      </c>
      <c r="AQ1347" t="s">
        <v>25634</v>
      </c>
      <c r="AR1347" t="s">
        <v>25635</v>
      </c>
      <c r="AS1347" t="s">
        <v>25636</v>
      </c>
      <c r="AT1347" t="s">
        <v>1433</v>
      </c>
      <c r="AU1347" t="s">
        <v>69</v>
      </c>
      <c r="AV1347" t="s">
        <v>69</v>
      </c>
      <c r="AW1347" t="s">
        <v>1431</v>
      </c>
      <c r="AX1347" t="s">
        <v>25637</v>
      </c>
      <c r="AY1347" t="s">
        <v>75</v>
      </c>
      <c r="AZ1347">
        <v>2012</v>
      </c>
      <c r="BA1347">
        <v>65</v>
      </c>
      <c r="BB1347">
        <v>4</v>
      </c>
      <c r="BC1347" t="s">
        <v>69</v>
      </c>
      <c r="BD1347" t="s">
        <v>69</v>
      </c>
      <c r="BE1347" t="s">
        <v>69</v>
      </c>
      <c r="BF1347" t="s">
        <v>69</v>
      </c>
      <c r="BG1347">
        <v>465</v>
      </c>
      <c r="BH1347">
        <v>475</v>
      </c>
      <c r="BI1347" t="s">
        <v>69</v>
      </c>
      <c r="BJ1347" t="s">
        <v>69</v>
      </c>
      <c r="BK1347" t="s">
        <v>69</v>
      </c>
      <c r="BL1347" t="s">
        <v>69</v>
      </c>
      <c r="BM1347" t="s">
        <v>69</v>
      </c>
      <c r="BN1347">
        <v>11</v>
      </c>
      <c r="BO1347" t="s">
        <v>25017</v>
      </c>
      <c r="BP1347" t="s">
        <v>8548</v>
      </c>
      <c r="BQ1347" t="s">
        <v>25018</v>
      </c>
      <c r="BR1347" t="s">
        <v>25638</v>
      </c>
      <c r="BS1347" t="s">
        <v>1434</v>
      </c>
      <c r="BT1347" t="s">
        <v>69</v>
      </c>
      <c r="BU1347" t="s">
        <v>69</v>
      </c>
      <c r="BV1347" t="s">
        <v>69</v>
      </c>
      <c r="BW1347" t="s">
        <v>69</v>
      </c>
      <c r="BX1347" t="s">
        <v>8526</v>
      </c>
      <c r="BY1347" t="str">
        <f>HYPERLINK("https%3A%2F%2Fwww.webofscience.com%2Fwos%2Fwoscc%2Ffull-record%2FWOS:000313598700010","View Full Record in Web of Science")</f>
        <v>View Full Record in Web of Science</v>
      </c>
    </row>
    <row r="1348" spans="1:77" ht="12.5" x14ac:dyDescent="0.25">
      <c r="A1348" t="s">
        <v>8495</v>
      </c>
      <c r="B1348" s="22" t="s">
        <v>32931</v>
      </c>
      <c r="C1348" s="7"/>
      <c r="D1348" s="7"/>
      <c r="E1348" s="7"/>
      <c r="F1348" t="s">
        <v>67</v>
      </c>
      <c r="G1348" t="s">
        <v>10635</v>
      </c>
      <c r="H1348" t="s">
        <v>69</v>
      </c>
      <c r="I1348" t="s">
        <v>69</v>
      </c>
      <c r="J1348" t="s">
        <v>69</v>
      </c>
      <c r="K1348" t="s">
        <v>10636</v>
      </c>
      <c r="L1348" t="s">
        <v>69</v>
      </c>
      <c r="M1348" t="s">
        <v>69</v>
      </c>
      <c r="N1348" t="s">
        <v>10637</v>
      </c>
      <c r="O1348" t="s">
        <v>5400</v>
      </c>
      <c r="P1348" t="s">
        <v>69</v>
      </c>
      <c r="Q1348" t="s">
        <v>69</v>
      </c>
      <c r="R1348" t="s">
        <v>8505</v>
      </c>
      <c r="S1348" t="s">
        <v>8506</v>
      </c>
      <c r="T1348" t="s">
        <v>69</v>
      </c>
      <c r="U1348" t="s">
        <v>69</v>
      </c>
      <c r="V1348" t="s">
        <v>69</v>
      </c>
      <c r="W1348" t="s">
        <v>69</v>
      </c>
      <c r="X1348" t="s">
        <v>69</v>
      </c>
      <c r="Y1348" t="s">
        <v>10638</v>
      </c>
      <c r="Z1348" t="s">
        <v>10639</v>
      </c>
      <c r="AA1348" t="s">
        <v>10640</v>
      </c>
      <c r="AB1348" t="s">
        <v>10641</v>
      </c>
      <c r="AC1348" t="s">
        <v>69</v>
      </c>
      <c r="AD1348" t="s">
        <v>10642</v>
      </c>
      <c r="AE1348" t="s">
        <v>10643</v>
      </c>
      <c r="AF1348" t="s">
        <v>10644</v>
      </c>
      <c r="AG1348" t="s">
        <v>69</v>
      </c>
      <c r="AH1348" t="s">
        <v>69</v>
      </c>
      <c r="AI1348" t="s">
        <v>69</v>
      </c>
      <c r="AJ1348" t="s">
        <v>69</v>
      </c>
      <c r="AK1348" t="s">
        <v>69</v>
      </c>
      <c r="AL1348">
        <v>67</v>
      </c>
      <c r="AM1348">
        <v>2</v>
      </c>
      <c r="AN1348">
        <v>2</v>
      </c>
      <c r="AO1348">
        <v>3</v>
      </c>
      <c r="AP1348">
        <v>5</v>
      </c>
      <c r="AQ1348" t="s">
        <v>8516</v>
      </c>
      <c r="AR1348" t="s">
        <v>8517</v>
      </c>
      <c r="AS1348" t="s">
        <v>8518</v>
      </c>
      <c r="AT1348" t="s">
        <v>5402</v>
      </c>
      <c r="AU1348" t="s">
        <v>5403</v>
      </c>
      <c r="AV1348" t="s">
        <v>69</v>
      </c>
      <c r="AW1348" t="s">
        <v>8974</v>
      </c>
      <c r="AX1348" t="s">
        <v>8975</v>
      </c>
      <c r="AY1348" t="s">
        <v>94</v>
      </c>
      <c r="AZ1348">
        <v>2022</v>
      </c>
      <c r="BA1348">
        <v>85</v>
      </c>
      <c r="BB1348" t="s">
        <v>69</v>
      </c>
      <c r="BC1348" t="s">
        <v>69</v>
      </c>
      <c r="BD1348" t="s">
        <v>69</v>
      </c>
      <c r="BE1348" t="s">
        <v>69</v>
      </c>
      <c r="BF1348" t="s">
        <v>69</v>
      </c>
      <c r="BG1348" t="s">
        <v>69</v>
      </c>
      <c r="BH1348" t="s">
        <v>69</v>
      </c>
      <c r="BI1348">
        <v>102406</v>
      </c>
      <c r="BJ1348" t="s">
        <v>10645</v>
      </c>
      <c r="BK1348" t="str">
        <f>HYPERLINK("http://dx.doi.org/10.1016/j.erss.2021.102406","http://dx.doi.org/10.1016/j.erss.2021.102406")</f>
        <v>http://dx.doi.org/10.1016/j.erss.2021.102406</v>
      </c>
      <c r="BL1348" t="s">
        <v>69</v>
      </c>
      <c r="BM1348" t="s">
        <v>10646</v>
      </c>
      <c r="BN1348">
        <v>12</v>
      </c>
      <c r="BO1348" t="s">
        <v>8660</v>
      </c>
      <c r="BP1348" t="s">
        <v>8661</v>
      </c>
      <c r="BQ1348" t="s">
        <v>8662</v>
      </c>
      <c r="BR1348" t="s">
        <v>10647</v>
      </c>
      <c r="BS1348" t="s">
        <v>10649</v>
      </c>
      <c r="BT1348" t="s">
        <v>69</v>
      </c>
      <c r="BU1348" t="s">
        <v>10648</v>
      </c>
      <c r="BV1348" t="s">
        <v>69</v>
      </c>
      <c r="BW1348" t="s">
        <v>69</v>
      </c>
      <c r="BX1348" t="s">
        <v>8526</v>
      </c>
      <c r="BY1348" t="str">
        <f>HYPERLINK("https%3A%2F%2Fwww.webofscience.com%2Fwos%2Fwoscc%2Ffull-record%2FWOS:000737084500002","View Full Record in Web of Science")</f>
        <v>View Full Record in Web of Science</v>
      </c>
    </row>
    <row r="1349" spans="1:77" ht="12.5" x14ac:dyDescent="0.25">
      <c r="A1349" t="s">
        <v>8495</v>
      </c>
      <c r="B1349" s="7" t="s">
        <v>32933</v>
      </c>
      <c r="C1349" s="7"/>
      <c r="D1349" s="7"/>
      <c r="E1349" s="7"/>
      <c r="F1349" t="s">
        <v>67</v>
      </c>
      <c r="G1349" t="s">
        <v>1804</v>
      </c>
      <c r="H1349" t="s">
        <v>69</v>
      </c>
      <c r="I1349" t="s">
        <v>69</v>
      </c>
      <c r="J1349" t="s">
        <v>69</v>
      </c>
      <c r="K1349" t="s">
        <v>1804</v>
      </c>
      <c r="L1349" t="s">
        <v>69</v>
      </c>
      <c r="M1349" t="s">
        <v>69</v>
      </c>
      <c r="N1349" t="s">
        <v>1805</v>
      </c>
      <c r="O1349" t="s">
        <v>1806</v>
      </c>
      <c r="P1349" t="s">
        <v>69</v>
      </c>
      <c r="Q1349" t="s">
        <v>69</v>
      </c>
      <c r="R1349" t="s">
        <v>8505</v>
      </c>
      <c r="S1349" t="s">
        <v>15797</v>
      </c>
      <c r="T1349" t="s">
        <v>1807</v>
      </c>
      <c r="U1349" t="s">
        <v>1808</v>
      </c>
      <c r="V1349" t="s">
        <v>1809</v>
      </c>
      <c r="W1349" t="s">
        <v>69</v>
      </c>
      <c r="X1349" t="s">
        <v>69</v>
      </c>
      <c r="Y1349" t="s">
        <v>69</v>
      </c>
      <c r="Z1349" t="s">
        <v>32745</v>
      </c>
      <c r="AA1349" t="s">
        <v>1810</v>
      </c>
      <c r="AB1349" t="s">
        <v>69</v>
      </c>
      <c r="AC1349" t="s">
        <v>69</v>
      </c>
      <c r="AD1349" t="s">
        <v>32746</v>
      </c>
      <c r="AE1349" t="s">
        <v>69</v>
      </c>
      <c r="AF1349" t="s">
        <v>69</v>
      </c>
      <c r="AG1349" t="s">
        <v>69</v>
      </c>
      <c r="AH1349" t="s">
        <v>69</v>
      </c>
      <c r="AI1349" t="s">
        <v>69</v>
      </c>
      <c r="AJ1349" t="s">
        <v>69</v>
      </c>
      <c r="AK1349" t="s">
        <v>69</v>
      </c>
      <c r="AL1349">
        <v>44</v>
      </c>
      <c r="AM1349">
        <v>12</v>
      </c>
      <c r="AN1349">
        <v>12</v>
      </c>
      <c r="AO1349">
        <v>0</v>
      </c>
      <c r="AP1349">
        <v>11</v>
      </c>
      <c r="AQ1349" t="s">
        <v>17140</v>
      </c>
      <c r="AR1349" t="s">
        <v>8517</v>
      </c>
      <c r="AS1349" t="s">
        <v>17141</v>
      </c>
      <c r="AT1349" t="s">
        <v>1811</v>
      </c>
      <c r="AU1349" t="s">
        <v>69</v>
      </c>
      <c r="AV1349" t="s">
        <v>69</v>
      </c>
      <c r="AW1349" t="s">
        <v>32663</v>
      </c>
      <c r="AX1349" t="s">
        <v>32664</v>
      </c>
      <c r="AY1349" t="s">
        <v>255</v>
      </c>
      <c r="AZ1349">
        <v>1993</v>
      </c>
      <c r="BA1349">
        <v>46</v>
      </c>
      <c r="BB1349" t="s">
        <v>1812</v>
      </c>
      <c r="BC1349" t="s">
        <v>69</v>
      </c>
      <c r="BD1349" t="s">
        <v>69</v>
      </c>
      <c r="BE1349" t="s">
        <v>69</v>
      </c>
      <c r="BF1349" t="s">
        <v>69</v>
      </c>
      <c r="BG1349">
        <v>245</v>
      </c>
      <c r="BH1349">
        <v>256</v>
      </c>
      <c r="BI1349" t="s">
        <v>69</v>
      </c>
      <c r="BJ1349" t="s">
        <v>1813</v>
      </c>
      <c r="BK1349" t="str">
        <f>HYPERLINK("http://dx.doi.org/10.1016/0167-8809(93)90028-N","http://dx.doi.org/10.1016/0167-8809(93)90028-N")</f>
        <v>http://dx.doi.org/10.1016/0167-8809(93)90028-N</v>
      </c>
      <c r="BL1349" t="s">
        <v>69</v>
      </c>
      <c r="BM1349" t="s">
        <v>69</v>
      </c>
      <c r="BN1349">
        <v>12</v>
      </c>
      <c r="BO1349" t="s">
        <v>32665</v>
      </c>
      <c r="BP1349" t="s">
        <v>29550</v>
      </c>
      <c r="BQ1349" t="s">
        <v>32666</v>
      </c>
      <c r="BR1349" t="s">
        <v>32747</v>
      </c>
      <c r="BS1349" t="s">
        <v>1814</v>
      </c>
      <c r="BT1349" t="s">
        <v>69</v>
      </c>
      <c r="BU1349" t="s">
        <v>69</v>
      </c>
      <c r="BV1349" t="s">
        <v>69</v>
      </c>
      <c r="BW1349" t="s">
        <v>69</v>
      </c>
      <c r="BX1349" t="s">
        <v>8526</v>
      </c>
      <c r="BY1349" t="str">
        <f>HYPERLINK("https%3A%2F%2Fwww.webofscience.com%2Fwos%2Fwoscc%2Ffull-record%2FWOS:A1993LZ67900020","View Full Record in Web of Science")</f>
        <v>View Full Record in Web of Science</v>
      </c>
    </row>
    <row r="1350" spans="1:77" ht="12.5" x14ac:dyDescent="0.25">
      <c r="A1350" t="s">
        <v>8495</v>
      </c>
      <c r="B1350" s="7" t="s">
        <v>32933</v>
      </c>
      <c r="C1350" s="7"/>
      <c r="D1350" s="7"/>
      <c r="E1350" s="7"/>
      <c r="F1350" t="s">
        <v>67</v>
      </c>
      <c r="G1350" t="s">
        <v>5747</v>
      </c>
      <c r="H1350" t="s">
        <v>69</v>
      </c>
      <c r="I1350" t="s">
        <v>69</v>
      </c>
      <c r="J1350" t="s">
        <v>69</v>
      </c>
      <c r="K1350" t="s">
        <v>5748</v>
      </c>
      <c r="L1350" t="s">
        <v>69</v>
      </c>
      <c r="M1350" t="s">
        <v>69</v>
      </c>
      <c r="N1350" t="s">
        <v>5749</v>
      </c>
      <c r="O1350" t="s">
        <v>352</v>
      </c>
      <c r="P1350" t="s">
        <v>69</v>
      </c>
      <c r="Q1350" t="s">
        <v>69</v>
      </c>
      <c r="R1350" t="s">
        <v>8505</v>
      </c>
      <c r="S1350" t="s">
        <v>8506</v>
      </c>
      <c r="T1350" t="s">
        <v>69</v>
      </c>
      <c r="U1350" t="s">
        <v>69</v>
      </c>
      <c r="V1350" t="s">
        <v>69</v>
      </c>
      <c r="W1350" t="s">
        <v>69</v>
      </c>
      <c r="X1350" t="s">
        <v>69</v>
      </c>
      <c r="Y1350" t="s">
        <v>14500</v>
      </c>
      <c r="Z1350" t="s">
        <v>14501</v>
      </c>
      <c r="AA1350" t="s">
        <v>5750</v>
      </c>
      <c r="AB1350" t="s">
        <v>14502</v>
      </c>
      <c r="AC1350" t="s">
        <v>69</v>
      </c>
      <c r="AD1350" t="s">
        <v>14503</v>
      </c>
      <c r="AE1350" t="s">
        <v>14504</v>
      </c>
      <c r="AF1350" t="s">
        <v>5751</v>
      </c>
      <c r="AG1350" t="s">
        <v>5752</v>
      </c>
      <c r="AH1350" t="s">
        <v>14505</v>
      </c>
      <c r="AI1350" t="s">
        <v>14506</v>
      </c>
      <c r="AJ1350" t="s">
        <v>14507</v>
      </c>
      <c r="AK1350" t="s">
        <v>69</v>
      </c>
      <c r="AL1350">
        <v>183</v>
      </c>
      <c r="AM1350">
        <v>5</v>
      </c>
      <c r="AN1350">
        <v>5</v>
      </c>
      <c r="AO1350">
        <v>8</v>
      </c>
      <c r="AP1350">
        <v>18</v>
      </c>
      <c r="AQ1350" t="s">
        <v>8924</v>
      </c>
      <c r="AR1350" t="s">
        <v>8925</v>
      </c>
      <c r="AS1350" t="s">
        <v>8926</v>
      </c>
      <c r="AT1350" t="s">
        <v>69</v>
      </c>
      <c r="AU1350" t="s">
        <v>354</v>
      </c>
      <c r="AV1350" t="s">
        <v>69</v>
      </c>
      <c r="AW1350" t="s">
        <v>8958</v>
      </c>
      <c r="AX1350" t="s">
        <v>8434</v>
      </c>
      <c r="AY1350" t="s">
        <v>255</v>
      </c>
      <c r="AZ1350">
        <v>2020</v>
      </c>
      <c r="BA1350">
        <v>12</v>
      </c>
      <c r="BB1350">
        <v>17</v>
      </c>
      <c r="BC1350" t="s">
        <v>69</v>
      </c>
      <c r="BD1350" t="s">
        <v>69</v>
      </c>
      <c r="BE1350" t="s">
        <v>69</v>
      </c>
      <c r="BF1350" t="s">
        <v>69</v>
      </c>
      <c r="BG1350" t="s">
        <v>69</v>
      </c>
      <c r="BH1350" t="s">
        <v>69</v>
      </c>
      <c r="BI1350">
        <v>7055</v>
      </c>
      <c r="BJ1350" t="s">
        <v>5753</v>
      </c>
      <c r="BK1350" t="str">
        <f>HYPERLINK("http://dx.doi.org/10.3390/su12177055","http://dx.doi.org/10.3390/su12177055")</f>
        <v>http://dx.doi.org/10.3390/su12177055</v>
      </c>
      <c r="BL1350" t="s">
        <v>69</v>
      </c>
      <c r="BM1350" t="s">
        <v>69</v>
      </c>
      <c r="BN1350">
        <v>25</v>
      </c>
      <c r="BO1350" t="s">
        <v>8960</v>
      </c>
      <c r="BP1350" t="s">
        <v>8523</v>
      </c>
      <c r="BQ1350" t="s">
        <v>8961</v>
      </c>
      <c r="BR1350" t="s">
        <v>14508</v>
      </c>
      <c r="BS1350" t="s">
        <v>5754</v>
      </c>
      <c r="BT1350" t="s">
        <v>69</v>
      </c>
      <c r="BU1350" t="s">
        <v>8812</v>
      </c>
      <c r="BV1350" t="s">
        <v>69</v>
      </c>
      <c r="BW1350" t="s">
        <v>69</v>
      </c>
      <c r="BX1350" t="s">
        <v>8526</v>
      </c>
      <c r="BY1350" t="str">
        <f>HYPERLINK("https%3A%2F%2Fwww.webofscience.com%2Fwos%2Fwoscc%2Ffull-record%2FWOS:000569678900001","View Full Record in Web of Science")</f>
        <v>View Full Record in Web of Science</v>
      </c>
    </row>
    <row r="1351" spans="1:77" ht="12.5" x14ac:dyDescent="0.25">
      <c r="A1351" t="s">
        <v>8495</v>
      </c>
      <c r="B1351" s="7" t="s">
        <v>32933</v>
      </c>
      <c r="C1351" s="7"/>
      <c r="D1351" s="7"/>
      <c r="E1351" s="7"/>
      <c r="F1351" t="s">
        <v>67</v>
      </c>
      <c r="G1351" t="s">
        <v>2104</v>
      </c>
      <c r="H1351" t="s">
        <v>69</v>
      </c>
      <c r="I1351" t="s">
        <v>69</v>
      </c>
      <c r="J1351" t="s">
        <v>69</v>
      </c>
      <c r="K1351" t="s">
        <v>2105</v>
      </c>
      <c r="L1351" t="s">
        <v>69</v>
      </c>
      <c r="M1351" t="s">
        <v>69</v>
      </c>
      <c r="N1351" t="s">
        <v>2106</v>
      </c>
      <c r="O1351" t="s">
        <v>2107</v>
      </c>
      <c r="P1351" t="s">
        <v>69</v>
      </c>
      <c r="Q1351" t="s">
        <v>69</v>
      </c>
      <c r="R1351" t="s">
        <v>8505</v>
      </c>
      <c r="S1351" t="s">
        <v>8506</v>
      </c>
      <c r="T1351" t="s">
        <v>69</v>
      </c>
      <c r="U1351" t="s">
        <v>69</v>
      </c>
      <c r="V1351" t="s">
        <v>69</v>
      </c>
      <c r="W1351" t="s">
        <v>69</v>
      </c>
      <c r="X1351" t="s">
        <v>69</v>
      </c>
      <c r="Y1351" t="s">
        <v>16369</v>
      </c>
      <c r="Z1351" t="s">
        <v>16370</v>
      </c>
      <c r="AA1351" t="s">
        <v>2108</v>
      </c>
      <c r="AB1351" t="s">
        <v>16371</v>
      </c>
      <c r="AC1351" t="s">
        <v>69</v>
      </c>
      <c r="AD1351" t="s">
        <v>16372</v>
      </c>
      <c r="AE1351" t="s">
        <v>16373</v>
      </c>
      <c r="AF1351" t="s">
        <v>69</v>
      </c>
      <c r="AG1351" t="s">
        <v>2109</v>
      </c>
      <c r="AH1351" t="s">
        <v>16374</v>
      </c>
      <c r="AI1351" t="s">
        <v>16375</v>
      </c>
      <c r="AJ1351" t="s">
        <v>16376</v>
      </c>
      <c r="AK1351" t="s">
        <v>69</v>
      </c>
      <c r="AL1351">
        <v>61</v>
      </c>
      <c r="AM1351">
        <v>5</v>
      </c>
      <c r="AN1351">
        <v>5</v>
      </c>
      <c r="AO1351">
        <v>2</v>
      </c>
      <c r="AP1351">
        <v>5</v>
      </c>
      <c r="AQ1351" t="s">
        <v>8924</v>
      </c>
      <c r="AR1351" t="s">
        <v>8925</v>
      </c>
      <c r="AS1351" t="s">
        <v>8926</v>
      </c>
      <c r="AT1351" t="s">
        <v>69</v>
      </c>
      <c r="AU1351" t="s">
        <v>2110</v>
      </c>
      <c r="AV1351" t="s">
        <v>69</v>
      </c>
      <c r="AW1351" t="s">
        <v>10592</v>
      </c>
      <c r="AX1351" t="s">
        <v>10593</v>
      </c>
      <c r="AY1351" t="s">
        <v>75</v>
      </c>
      <c r="AZ1351">
        <v>2019</v>
      </c>
      <c r="BA1351">
        <v>16</v>
      </c>
      <c r="BB1351">
        <v>23</v>
      </c>
      <c r="BC1351" t="s">
        <v>69</v>
      </c>
      <c r="BD1351" t="s">
        <v>69</v>
      </c>
      <c r="BE1351" t="s">
        <v>69</v>
      </c>
      <c r="BF1351" t="s">
        <v>69</v>
      </c>
      <c r="BG1351" t="s">
        <v>69</v>
      </c>
      <c r="BH1351" t="s">
        <v>69</v>
      </c>
      <c r="BI1351">
        <v>4786</v>
      </c>
      <c r="BJ1351" t="s">
        <v>2111</v>
      </c>
      <c r="BK1351" t="str">
        <f>HYPERLINK("http://dx.doi.org/10.3390/ijerph16234786","http://dx.doi.org/10.3390/ijerph16234786")</f>
        <v>http://dx.doi.org/10.3390/ijerph16234786</v>
      </c>
      <c r="BL1351" t="s">
        <v>69</v>
      </c>
      <c r="BM1351" t="s">
        <v>69</v>
      </c>
      <c r="BN1351">
        <v>15</v>
      </c>
      <c r="BO1351" t="s">
        <v>10595</v>
      </c>
      <c r="BP1351" t="s">
        <v>8523</v>
      </c>
      <c r="BQ1351" t="s">
        <v>10596</v>
      </c>
      <c r="BR1351" t="s">
        <v>16377</v>
      </c>
      <c r="BS1351" t="s">
        <v>2112</v>
      </c>
      <c r="BT1351">
        <v>31795314</v>
      </c>
      <c r="BU1351" t="s">
        <v>9352</v>
      </c>
      <c r="BV1351" t="s">
        <v>69</v>
      </c>
      <c r="BW1351" t="s">
        <v>69</v>
      </c>
      <c r="BX1351" t="s">
        <v>8526</v>
      </c>
      <c r="BY1351" t="str">
        <f>HYPERLINK("https%3A%2F%2Fwww.webofscience.com%2Fwos%2Fwoscc%2Ffull-record%2FWOS:000507275700033","View Full Record in Web of Science")</f>
        <v>View Full Record in Web of Science</v>
      </c>
    </row>
    <row r="1352" spans="1:77" ht="12.5" x14ac:dyDescent="0.25">
      <c r="A1352" t="s">
        <v>8495</v>
      </c>
      <c r="B1352" s="7" t="s">
        <v>32933</v>
      </c>
      <c r="C1352" s="7"/>
      <c r="D1352" s="7"/>
      <c r="E1352" s="7"/>
      <c r="F1352" t="s">
        <v>67</v>
      </c>
      <c r="G1352" t="s">
        <v>621</v>
      </c>
      <c r="H1352" t="s">
        <v>69</v>
      </c>
      <c r="I1352" t="s">
        <v>69</v>
      </c>
      <c r="J1352" t="s">
        <v>69</v>
      </c>
      <c r="K1352" t="s">
        <v>621</v>
      </c>
      <c r="L1352" t="s">
        <v>69</v>
      </c>
      <c r="M1352" t="s">
        <v>69</v>
      </c>
      <c r="N1352" t="s">
        <v>622</v>
      </c>
      <c r="O1352" t="s">
        <v>623</v>
      </c>
      <c r="P1352" t="s">
        <v>69</v>
      </c>
      <c r="Q1352" t="s">
        <v>69</v>
      </c>
      <c r="R1352" t="s">
        <v>8505</v>
      </c>
      <c r="S1352" t="s">
        <v>8442</v>
      </c>
      <c r="T1352" t="s">
        <v>69</v>
      </c>
      <c r="U1352" t="s">
        <v>69</v>
      </c>
      <c r="V1352" t="s">
        <v>69</v>
      </c>
      <c r="W1352" t="s">
        <v>69</v>
      </c>
      <c r="X1352" t="s">
        <v>69</v>
      </c>
      <c r="Y1352" t="s">
        <v>69</v>
      </c>
      <c r="Z1352" t="s">
        <v>31222</v>
      </c>
      <c r="AA1352" t="s">
        <v>624</v>
      </c>
      <c r="AB1352" t="s">
        <v>31223</v>
      </c>
      <c r="AC1352" t="s">
        <v>69</v>
      </c>
      <c r="AD1352" t="s">
        <v>31224</v>
      </c>
      <c r="AE1352" t="s">
        <v>69</v>
      </c>
      <c r="AF1352" t="s">
        <v>69</v>
      </c>
      <c r="AG1352" t="s">
        <v>69</v>
      </c>
      <c r="AH1352" t="s">
        <v>69</v>
      </c>
      <c r="AI1352" t="s">
        <v>69</v>
      </c>
      <c r="AJ1352" t="s">
        <v>69</v>
      </c>
      <c r="AK1352" t="s">
        <v>69</v>
      </c>
      <c r="AL1352">
        <v>117</v>
      </c>
      <c r="AM1352">
        <v>365</v>
      </c>
      <c r="AN1352">
        <v>377</v>
      </c>
      <c r="AO1352">
        <v>3</v>
      </c>
      <c r="AP1352">
        <v>240</v>
      </c>
      <c r="AQ1352" t="s">
        <v>31225</v>
      </c>
      <c r="AR1352" t="s">
        <v>31226</v>
      </c>
      <c r="AS1352" t="s">
        <v>31227</v>
      </c>
      <c r="AT1352" t="s">
        <v>625</v>
      </c>
      <c r="AU1352" t="s">
        <v>626</v>
      </c>
      <c r="AV1352" t="s">
        <v>69</v>
      </c>
      <c r="AW1352" t="s">
        <v>623</v>
      </c>
      <c r="AX1352" t="s">
        <v>12687</v>
      </c>
      <c r="AY1352" t="s">
        <v>155</v>
      </c>
      <c r="AZ1352">
        <v>2003</v>
      </c>
      <c r="BA1352">
        <v>111</v>
      </c>
      <c r="BB1352">
        <v>6</v>
      </c>
      <c r="BC1352" t="s">
        <v>69</v>
      </c>
      <c r="BD1352" t="s">
        <v>627</v>
      </c>
      <c r="BE1352" t="s">
        <v>69</v>
      </c>
      <c r="BF1352" t="s">
        <v>69</v>
      </c>
      <c r="BG1352">
        <v>1541</v>
      </c>
      <c r="BH1352">
        <v>1571</v>
      </c>
      <c r="BI1352" t="s">
        <v>69</v>
      </c>
      <c r="BJ1352" t="s">
        <v>69</v>
      </c>
      <c r="BK1352" t="s">
        <v>69</v>
      </c>
      <c r="BL1352" t="s">
        <v>69</v>
      </c>
      <c r="BM1352" t="s">
        <v>69</v>
      </c>
      <c r="BN1352">
        <v>31</v>
      </c>
      <c r="BO1352" t="s">
        <v>12687</v>
      </c>
      <c r="BP1352" t="s">
        <v>8523</v>
      </c>
      <c r="BQ1352" t="s">
        <v>12687</v>
      </c>
      <c r="BR1352" t="s">
        <v>31228</v>
      </c>
      <c r="BS1352" t="s">
        <v>628</v>
      </c>
      <c r="BT1352">
        <v>12777595</v>
      </c>
      <c r="BU1352" t="s">
        <v>69</v>
      </c>
      <c r="BV1352" t="s">
        <v>69</v>
      </c>
      <c r="BW1352" t="s">
        <v>69</v>
      </c>
      <c r="BX1352" t="s">
        <v>8526</v>
      </c>
      <c r="BY1352" t="str">
        <f>HYPERLINK("https%3A%2F%2Fwww.webofscience.com%2Fwos%2Fwoscc%2Ffull-record%2FWOS:000183696300002","View Full Record in Web of Science")</f>
        <v>View Full Record in Web of Science</v>
      </c>
    </row>
    <row r="1353" spans="1:77" ht="12.5" x14ac:dyDescent="0.25">
      <c r="A1353" t="s">
        <v>8495</v>
      </c>
      <c r="B1353" s="22" t="s">
        <v>32931</v>
      </c>
      <c r="C1353" s="7"/>
      <c r="D1353" s="7"/>
      <c r="E1353" s="7"/>
      <c r="F1353" t="s">
        <v>67</v>
      </c>
      <c r="G1353" t="s">
        <v>29483</v>
      </c>
      <c r="H1353" t="s">
        <v>69</v>
      </c>
      <c r="I1353" t="s">
        <v>69</v>
      </c>
      <c r="J1353" t="s">
        <v>69</v>
      </c>
      <c r="K1353" t="s">
        <v>29484</v>
      </c>
      <c r="L1353" t="s">
        <v>69</v>
      </c>
      <c r="M1353" t="s">
        <v>69</v>
      </c>
      <c r="N1353" t="s">
        <v>29485</v>
      </c>
      <c r="O1353" t="s">
        <v>29486</v>
      </c>
      <c r="P1353" t="s">
        <v>69</v>
      </c>
      <c r="Q1353" t="s">
        <v>69</v>
      </c>
      <c r="R1353" t="s">
        <v>8505</v>
      </c>
      <c r="S1353" t="s">
        <v>8506</v>
      </c>
      <c r="T1353" t="s">
        <v>69</v>
      </c>
      <c r="U1353" t="s">
        <v>69</v>
      </c>
      <c r="V1353" t="s">
        <v>69</v>
      </c>
      <c r="W1353" t="s">
        <v>69</v>
      </c>
      <c r="X1353" t="s">
        <v>69</v>
      </c>
      <c r="Y1353" t="s">
        <v>29487</v>
      </c>
      <c r="Z1353" t="s">
        <v>69</v>
      </c>
      <c r="AA1353" t="s">
        <v>29488</v>
      </c>
      <c r="AB1353" t="s">
        <v>29489</v>
      </c>
      <c r="AC1353" t="s">
        <v>69</v>
      </c>
      <c r="AD1353" t="s">
        <v>29490</v>
      </c>
      <c r="AE1353" t="s">
        <v>29491</v>
      </c>
      <c r="AF1353" t="s">
        <v>69</v>
      </c>
      <c r="AG1353" t="s">
        <v>69</v>
      </c>
      <c r="AH1353" t="s">
        <v>69</v>
      </c>
      <c r="AI1353" t="s">
        <v>69</v>
      </c>
      <c r="AJ1353" t="s">
        <v>69</v>
      </c>
      <c r="AK1353" t="s">
        <v>69</v>
      </c>
      <c r="AL1353">
        <v>83</v>
      </c>
      <c r="AM1353">
        <v>30</v>
      </c>
      <c r="AN1353">
        <v>31</v>
      </c>
      <c r="AO1353">
        <v>0</v>
      </c>
      <c r="AP1353">
        <v>16</v>
      </c>
      <c r="AQ1353" t="s">
        <v>8865</v>
      </c>
      <c r="AR1353" t="s">
        <v>8612</v>
      </c>
      <c r="AS1353" t="s">
        <v>8866</v>
      </c>
      <c r="AT1353" t="s">
        <v>29492</v>
      </c>
      <c r="AU1353" t="s">
        <v>29493</v>
      </c>
      <c r="AV1353" t="s">
        <v>69</v>
      </c>
      <c r="AW1353" t="s">
        <v>29494</v>
      </c>
      <c r="AX1353" t="s">
        <v>29495</v>
      </c>
      <c r="AY1353" t="s">
        <v>69</v>
      </c>
      <c r="AZ1353">
        <v>2008</v>
      </c>
      <c r="BA1353">
        <v>10</v>
      </c>
      <c r="BB1353">
        <v>3</v>
      </c>
      <c r="BC1353" t="s">
        <v>69</v>
      </c>
      <c r="BD1353" t="s">
        <v>69</v>
      </c>
      <c r="BE1353" t="s">
        <v>69</v>
      </c>
      <c r="BF1353" t="s">
        <v>69</v>
      </c>
      <c r="BG1353">
        <v>285</v>
      </c>
      <c r="BH1353">
        <v>311</v>
      </c>
      <c r="BI1353" t="s">
        <v>69</v>
      </c>
      <c r="BJ1353" t="s">
        <v>29496</v>
      </c>
      <c r="BK1353" t="str">
        <f>HYPERLINK("http://dx.doi.org/10.1080/14616680802236295","http://dx.doi.org/10.1080/14616680802236295")</f>
        <v>http://dx.doi.org/10.1080/14616680802236295</v>
      </c>
      <c r="BL1353" t="s">
        <v>69</v>
      </c>
      <c r="BM1353" t="s">
        <v>69</v>
      </c>
      <c r="BN1353">
        <v>27</v>
      </c>
      <c r="BO1353" t="s">
        <v>10278</v>
      </c>
      <c r="BP1353" t="s">
        <v>8661</v>
      </c>
      <c r="BQ1353" t="s">
        <v>10279</v>
      </c>
      <c r="BR1353" t="s">
        <v>29497</v>
      </c>
      <c r="BS1353" t="s">
        <v>29498</v>
      </c>
      <c r="BT1353" t="s">
        <v>69</v>
      </c>
      <c r="BU1353" t="s">
        <v>69</v>
      </c>
      <c r="BV1353" t="s">
        <v>69</v>
      </c>
      <c r="BW1353" t="s">
        <v>69</v>
      </c>
      <c r="BX1353" t="s">
        <v>8526</v>
      </c>
      <c r="BY1353" t="str">
        <f>HYPERLINK("https%3A%2F%2Fwww.webofscience.com%2Fwos%2Fwoscc%2Ffull-record%2FWOS:000258007200002","View Full Record in Web of Science")</f>
        <v>View Full Record in Web of Science</v>
      </c>
    </row>
    <row r="1354" spans="1:77" ht="12.5" x14ac:dyDescent="0.25">
      <c r="A1354" t="s">
        <v>8495</v>
      </c>
      <c r="B1354" s="22" t="s">
        <v>32931</v>
      </c>
      <c r="C1354" s="7"/>
      <c r="D1354" s="7"/>
      <c r="E1354" s="7"/>
      <c r="F1354" t="s">
        <v>67</v>
      </c>
      <c r="G1354" t="s">
        <v>31702</v>
      </c>
      <c r="H1354" t="s">
        <v>69</v>
      </c>
      <c r="I1354" t="s">
        <v>69</v>
      </c>
      <c r="J1354" t="s">
        <v>69</v>
      </c>
      <c r="K1354" t="s">
        <v>31702</v>
      </c>
      <c r="L1354" t="s">
        <v>69</v>
      </c>
      <c r="M1354" t="s">
        <v>69</v>
      </c>
      <c r="N1354" t="s">
        <v>31703</v>
      </c>
      <c r="O1354" t="s">
        <v>31704</v>
      </c>
      <c r="P1354" t="s">
        <v>69</v>
      </c>
      <c r="Q1354" t="s">
        <v>69</v>
      </c>
      <c r="R1354" t="s">
        <v>12534</v>
      </c>
      <c r="S1354" t="s">
        <v>8506</v>
      </c>
      <c r="T1354" t="s">
        <v>69</v>
      </c>
      <c r="U1354" t="s">
        <v>69</v>
      </c>
      <c r="V1354" t="s">
        <v>69</v>
      </c>
      <c r="W1354" t="s">
        <v>69</v>
      </c>
      <c r="X1354" t="s">
        <v>69</v>
      </c>
      <c r="Y1354" t="s">
        <v>69</v>
      </c>
      <c r="Z1354" t="s">
        <v>69</v>
      </c>
      <c r="AA1354" t="s">
        <v>31705</v>
      </c>
      <c r="AB1354" t="s">
        <v>31706</v>
      </c>
      <c r="AC1354" t="s">
        <v>69</v>
      </c>
      <c r="AD1354" t="s">
        <v>31707</v>
      </c>
      <c r="AE1354" t="s">
        <v>69</v>
      </c>
      <c r="AF1354" t="s">
        <v>69</v>
      </c>
      <c r="AG1354" t="s">
        <v>69</v>
      </c>
      <c r="AH1354" t="s">
        <v>69</v>
      </c>
      <c r="AI1354" t="s">
        <v>69</v>
      </c>
      <c r="AJ1354" t="s">
        <v>69</v>
      </c>
      <c r="AK1354" t="s">
        <v>69</v>
      </c>
      <c r="AL1354">
        <v>7</v>
      </c>
      <c r="AM1354">
        <v>0</v>
      </c>
      <c r="AN1354">
        <v>0</v>
      </c>
      <c r="AO1354">
        <v>0</v>
      </c>
      <c r="AP1354">
        <v>0</v>
      </c>
      <c r="AQ1354" t="s">
        <v>30767</v>
      </c>
      <c r="AR1354" t="s">
        <v>30768</v>
      </c>
      <c r="AS1354" t="s">
        <v>30769</v>
      </c>
      <c r="AT1354" t="s">
        <v>12505</v>
      </c>
      <c r="AU1354" t="s">
        <v>69</v>
      </c>
      <c r="AV1354" t="s">
        <v>69</v>
      </c>
      <c r="AW1354" t="s">
        <v>31708</v>
      </c>
      <c r="AX1354" t="s">
        <v>31709</v>
      </c>
      <c r="AY1354" t="s">
        <v>75</v>
      </c>
      <c r="AZ1354">
        <v>2000</v>
      </c>
      <c r="BA1354">
        <v>45</v>
      </c>
      <c r="BB1354">
        <v>12</v>
      </c>
      <c r="BC1354" t="s">
        <v>69</v>
      </c>
      <c r="BD1354" t="s">
        <v>69</v>
      </c>
      <c r="BE1354" t="s">
        <v>69</v>
      </c>
      <c r="BF1354" t="s">
        <v>69</v>
      </c>
      <c r="BG1354">
        <v>750</v>
      </c>
      <c r="BH1354" t="s">
        <v>219</v>
      </c>
      <c r="BI1354" t="s">
        <v>69</v>
      </c>
      <c r="BJ1354" t="s">
        <v>69</v>
      </c>
      <c r="BK1354" t="s">
        <v>69</v>
      </c>
      <c r="BL1354" t="s">
        <v>69</v>
      </c>
      <c r="BM1354" t="s">
        <v>69</v>
      </c>
      <c r="BN1354">
        <v>5</v>
      </c>
      <c r="BO1354" t="s">
        <v>12508</v>
      </c>
      <c r="BP1354" t="s">
        <v>8548</v>
      </c>
      <c r="BQ1354" t="s">
        <v>12508</v>
      </c>
      <c r="BR1354" t="s">
        <v>31710</v>
      </c>
      <c r="BS1354" t="s">
        <v>31711</v>
      </c>
      <c r="BT1354" t="s">
        <v>69</v>
      </c>
      <c r="BU1354" t="s">
        <v>69</v>
      </c>
      <c r="BV1354" t="s">
        <v>69</v>
      </c>
      <c r="BW1354" t="s">
        <v>69</v>
      </c>
      <c r="BX1354" t="s">
        <v>8526</v>
      </c>
      <c r="BY1354" t="str">
        <f>HYPERLINK("https%3A%2F%2Fwww.webofscience.com%2Fwos%2Fwoscc%2Ffull-record%2FWOS:000166258400006","View Full Record in Web of Science")</f>
        <v>View Full Record in Web of Science</v>
      </c>
    </row>
    <row r="1355" spans="1:77" ht="12.5" x14ac:dyDescent="0.25">
      <c r="A1355" t="s">
        <v>8495</v>
      </c>
      <c r="B1355" s="22" t="s">
        <v>32931</v>
      </c>
      <c r="C1355" s="7"/>
      <c r="D1355" s="7"/>
      <c r="E1355" s="7"/>
      <c r="F1355" t="s">
        <v>67</v>
      </c>
      <c r="G1355" t="s">
        <v>8814</v>
      </c>
      <c r="H1355" t="s">
        <v>69</v>
      </c>
      <c r="I1355" t="s">
        <v>69</v>
      </c>
      <c r="J1355" t="s">
        <v>69</v>
      </c>
      <c r="K1355" t="s">
        <v>8815</v>
      </c>
      <c r="L1355" t="s">
        <v>69</v>
      </c>
      <c r="M1355" t="s">
        <v>69</v>
      </c>
      <c r="N1355" t="s">
        <v>8816</v>
      </c>
      <c r="O1355" t="s">
        <v>8817</v>
      </c>
      <c r="P1355" t="s">
        <v>69</v>
      </c>
      <c r="Q1355" t="s">
        <v>69</v>
      </c>
      <c r="R1355" t="s">
        <v>8505</v>
      </c>
      <c r="S1355" t="s">
        <v>8556</v>
      </c>
      <c r="T1355" t="s">
        <v>69</v>
      </c>
      <c r="U1355" t="s">
        <v>69</v>
      </c>
      <c r="V1355" t="s">
        <v>69</v>
      </c>
      <c r="W1355" t="s">
        <v>69</v>
      </c>
      <c r="X1355" t="s">
        <v>69</v>
      </c>
      <c r="Y1355" t="s">
        <v>8818</v>
      </c>
      <c r="Z1355" t="s">
        <v>8819</v>
      </c>
      <c r="AA1355" t="s">
        <v>8820</v>
      </c>
      <c r="AB1355" t="s">
        <v>8821</v>
      </c>
      <c r="AC1355" t="s">
        <v>69</v>
      </c>
      <c r="AD1355" t="s">
        <v>8822</v>
      </c>
      <c r="AE1355" t="s">
        <v>8823</v>
      </c>
      <c r="AF1355" t="s">
        <v>69</v>
      </c>
      <c r="AG1355" t="s">
        <v>69</v>
      </c>
      <c r="AH1355" t="s">
        <v>8824</v>
      </c>
      <c r="AI1355" t="s">
        <v>8824</v>
      </c>
      <c r="AJ1355" t="s">
        <v>8825</v>
      </c>
      <c r="AK1355" t="s">
        <v>69</v>
      </c>
      <c r="AL1355">
        <v>70</v>
      </c>
      <c r="AM1355">
        <v>0</v>
      </c>
      <c r="AN1355">
        <v>0</v>
      </c>
      <c r="AO1355">
        <v>2</v>
      </c>
      <c r="AP1355">
        <v>2</v>
      </c>
      <c r="AQ1355" t="s">
        <v>8826</v>
      </c>
      <c r="AR1355" t="s">
        <v>8827</v>
      </c>
      <c r="AS1355" t="s">
        <v>8828</v>
      </c>
      <c r="AT1355" t="s">
        <v>8829</v>
      </c>
      <c r="AU1355" t="s">
        <v>8830</v>
      </c>
      <c r="AV1355" t="s">
        <v>69</v>
      </c>
      <c r="AW1355" t="s">
        <v>8831</v>
      </c>
      <c r="AX1355" t="s">
        <v>8832</v>
      </c>
      <c r="AY1355" t="s">
        <v>69</v>
      </c>
      <c r="AZ1355" t="s">
        <v>69</v>
      </c>
      <c r="BA1355" t="s">
        <v>69</v>
      </c>
      <c r="BB1355" t="s">
        <v>69</v>
      </c>
      <c r="BC1355" t="s">
        <v>69</v>
      </c>
      <c r="BD1355" t="s">
        <v>69</v>
      </c>
      <c r="BE1355" t="s">
        <v>69</v>
      </c>
      <c r="BF1355" t="s">
        <v>69</v>
      </c>
      <c r="BG1355" t="s">
        <v>69</v>
      </c>
      <c r="BH1355" t="s">
        <v>69</v>
      </c>
      <c r="BI1355" t="s">
        <v>69</v>
      </c>
      <c r="BJ1355" t="s">
        <v>8833</v>
      </c>
      <c r="BK1355" t="str">
        <f>HYPERLINK("http://dx.doi.org/10.1071/AM21042","http://dx.doi.org/10.1071/AM21042")</f>
        <v>http://dx.doi.org/10.1071/AM21042</v>
      </c>
      <c r="BL1355" t="s">
        <v>69</v>
      </c>
      <c r="BM1355" t="s">
        <v>8742</v>
      </c>
      <c r="BN1355">
        <v>12</v>
      </c>
      <c r="BO1355" t="s">
        <v>8834</v>
      </c>
      <c r="BP1355" t="s">
        <v>8548</v>
      </c>
      <c r="BQ1355" t="s">
        <v>8834</v>
      </c>
      <c r="BR1355" t="s">
        <v>8835</v>
      </c>
      <c r="BS1355" t="s">
        <v>8836</v>
      </c>
      <c r="BT1355" t="s">
        <v>69</v>
      </c>
      <c r="BU1355" t="s">
        <v>69</v>
      </c>
      <c r="BV1355" t="s">
        <v>69</v>
      </c>
      <c r="BW1355" t="s">
        <v>69</v>
      </c>
      <c r="BX1355" t="s">
        <v>8526</v>
      </c>
      <c r="BY1355" t="str">
        <f>HYPERLINK("https%3A%2F%2Fwww.webofscience.com%2Fwos%2Fwoscc%2Ffull-record%2FWOS:000809182000001","View Full Record in Web of Science")</f>
        <v>View Full Record in Web of Science</v>
      </c>
    </row>
    <row r="1356" spans="1:77" ht="12.5" x14ac:dyDescent="0.25">
      <c r="A1356" t="s">
        <v>8495</v>
      </c>
      <c r="B1356" s="22" t="s">
        <v>32931</v>
      </c>
      <c r="C1356" s="7"/>
      <c r="D1356" s="7"/>
      <c r="E1356" s="7"/>
      <c r="F1356" t="s">
        <v>67</v>
      </c>
      <c r="G1356" t="s">
        <v>32164</v>
      </c>
      <c r="H1356" t="s">
        <v>69</v>
      </c>
      <c r="I1356" t="s">
        <v>69</v>
      </c>
      <c r="J1356" t="s">
        <v>69</v>
      </c>
      <c r="K1356" t="s">
        <v>32164</v>
      </c>
      <c r="L1356" t="s">
        <v>69</v>
      </c>
      <c r="M1356" t="s">
        <v>69</v>
      </c>
      <c r="N1356" t="s">
        <v>32165</v>
      </c>
      <c r="O1356" t="s">
        <v>32166</v>
      </c>
      <c r="P1356" t="s">
        <v>69</v>
      </c>
      <c r="Q1356" t="s">
        <v>69</v>
      </c>
      <c r="R1356" t="s">
        <v>8505</v>
      </c>
      <c r="S1356" t="s">
        <v>8506</v>
      </c>
      <c r="T1356" t="s">
        <v>69</v>
      </c>
      <c r="U1356" t="s">
        <v>69</v>
      </c>
      <c r="V1356" t="s">
        <v>69</v>
      </c>
      <c r="W1356" t="s">
        <v>69</v>
      </c>
      <c r="X1356" t="s">
        <v>69</v>
      </c>
      <c r="Y1356" t="s">
        <v>69</v>
      </c>
      <c r="Z1356" t="s">
        <v>32167</v>
      </c>
      <c r="AA1356" t="s">
        <v>32168</v>
      </c>
      <c r="AB1356" t="s">
        <v>32169</v>
      </c>
      <c r="AC1356" t="s">
        <v>69</v>
      </c>
      <c r="AD1356" t="s">
        <v>32170</v>
      </c>
      <c r="AE1356" t="s">
        <v>69</v>
      </c>
      <c r="AF1356" t="s">
        <v>69</v>
      </c>
      <c r="AG1356" t="s">
        <v>69</v>
      </c>
      <c r="AH1356" t="s">
        <v>69</v>
      </c>
      <c r="AI1356" t="s">
        <v>69</v>
      </c>
      <c r="AJ1356" t="s">
        <v>69</v>
      </c>
      <c r="AK1356" t="s">
        <v>69</v>
      </c>
      <c r="AL1356">
        <v>25</v>
      </c>
      <c r="AM1356">
        <v>5</v>
      </c>
      <c r="AN1356">
        <v>5</v>
      </c>
      <c r="AO1356">
        <v>0</v>
      </c>
      <c r="AP1356">
        <v>4</v>
      </c>
      <c r="AQ1356" t="s">
        <v>10352</v>
      </c>
      <c r="AR1356" t="s">
        <v>8637</v>
      </c>
      <c r="AS1356" t="s">
        <v>10353</v>
      </c>
      <c r="AT1356" t="s">
        <v>32171</v>
      </c>
      <c r="AU1356" t="s">
        <v>69</v>
      </c>
      <c r="AV1356" t="s">
        <v>69</v>
      </c>
      <c r="AW1356" t="s">
        <v>32172</v>
      </c>
      <c r="AX1356" t="s">
        <v>32173</v>
      </c>
      <c r="AY1356" t="s">
        <v>75</v>
      </c>
      <c r="AZ1356">
        <v>1997</v>
      </c>
      <c r="BA1356">
        <v>12</v>
      </c>
      <c r="BB1356">
        <v>4</v>
      </c>
      <c r="BC1356" t="s">
        <v>69</v>
      </c>
      <c r="BD1356" t="s">
        <v>69</v>
      </c>
      <c r="BE1356" t="s">
        <v>69</v>
      </c>
      <c r="BF1356" t="s">
        <v>69</v>
      </c>
      <c r="BG1356">
        <v>449</v>
      </c>
      <c r="BH1356">
        <v>460</v>
      </c>
      <c r="BI1356" t="s">
        <v>69</v>
      </c>
      <c r="BJ1356" t="s">
        <v>32174</v>
      </c>
      <c r="BK1356" t="str">
        <f>HYPERLINK("http://dx.doi.org/10.1093/her/12.4.449","http://dx.doi.org/10.1093/her/12.4.449")</f>
        <v>http://dx.doi.org/10.1093/her/12.4.449</v>
      </c>
      <c r="BL1356" t="s">
        <v>69</v>
      </c>
      <c r="BM1356" t="s">
        <v>69</v>
      </c>
      <c r="BN1356">
        <v>12</v>
      </c>
      <c r="BO1356" t="s">
        <v>32175</v>
      </c>
      <c r="BP1356" t="s">
        <v>8661</v>
      </c>
      <c r="BQ1356" t="s">
        <v>32175</v>
      </c>
      <c r="BR1356" t="s">
        <v>32176</v>
      </c>
      <c r="BS1356" t="s">
        <v>32177</v>
      </c>
      <c r="BT1356" t="s">
        <v>69</v>
      </c>
      <c r="BU1356" t="s">
        <v>10995</v>
      </c>
      <c r="BV1356" t="s">
        <v>69</v>
      </c>
      <c r="BW1356" t="s">
        <v>69</v>
      </c>
      <c r="BX1356" t="s">
        <v>8526</v>
      </c>
      <c r="BY1356" t="str">
        <f>HYPERLINK("https%3A%2F%2Fwww.webofscience.com%2Fwos%2Fwoscc%2Ffull-record%2FWOS:000071177800006","View Full Record in Web of Science")</f>
        <v>View Full Record in Web of Science</v>
      </c>
    </row>
    <row r="1357" spans="1:77" ht="12.5" x14ac:dyDescent="0.25">
      <c r="A1357" t="s">
        <v>8495</v>
      </c>
      <c r="B1357" s="22" t="s">
        <v>32931</v>
      </c>
      <c r="C1357" s="7"/>
      <c r="D1357" s="7"/>
      <c r="E1357" s="7"/>
      <c r="F1357" t="s">
        <v>67</v>
      </c>
      <c r="G1357" t="s">
        <v>19501</v>
      </c>
      <c r="H1357" t="s">
        <v>69</v>
      </c>
      <c r="I1357" t="s">
        <v>69</v>
      </c>
      <c r="J1357" t="s">
        <v>69</v>
      </c>
      <c r="K1357" t="s">
        <v>19502</v>
      </c>
      <c r="L1357" t="s">
        <v>69</v>
      </c>
      <c r="M1357" t="s">
        <v>69</v>
      </c>
      <c r="N1357" t="s">
        <v>19503</v>
      </c>
      <c r="O1357" t="s">
        <v>19504</v>
      </c>
      <c r="P1357" t="s">
        <v>69</v>
      </c>
      <c r="Q1357" t="s">
        <v>69</v>
      </c>
      <c r="R1357" t="s">
        <v>8505</v>
      </c>
      <c r="S1357" t="s">
        <v>8506</v>
      </c>
      <c r="T1357" t="s">
        <v>69</v>
      </c>
      <c r="U1357" t="s">
        <v>69</v>
      </c>
      <c r="V1357" t="s">
        <v>69</v>
      </c>
      <c r="W1357" t="s">
        <v>69</v>
      </c>
      <c r="X1357" t="s">
        <v>69</v>
      </c>
      <c r="Y1357" t="s">
        <v>19505</v>
      </c>
      <c r="Z1357" t="s">
        <v>19506</v>
      </c>
      <c r="AA1357" t="s">
        <v>19507</v>
      </c>
      <c r="AB1357" t="s">
        <v>19508</v>
      </c>
      <c r="AC1357" t="s">
        <v>69</v>
      </c>
      <c r="AD1357" t="s">
        <v>19509</v>
      </c>
      <c r="AE1357" t="s">
        <v>19510</v>
      </c>
      <c r="AF1357" t="s">
        <v>19511</v>
      </c>
      <c r="AG1357" t="s">
        <v>19512</v>
      </c>
      <c r="AH1357" t="s">
        <v>69</v>
      </c>
      <c r="AI1357" t="s">
        <v>69</v>
      </c>
      <c r="AJ1357" t="s">
        <v>69</v>
      </c>
      <c r="AK1357" t="s">
        <v>69</v>
      </c>
      <c r="AL1357">
        <v>61</v>
      </c>
      <c r="AM1357">
        <v>5</v>
      </c>
      <c r="AN1357">
        <v>5</v>
      </c>
      <c r="AO1357">
        <v>0</v>
      </c>
      <c r="AP1357">
        <v>12</v>
      </c>
      <c r="AQ1357" t="s">
        <v>8865</v>
      </c>
      <c r="AR1357" t="s">
        <v>8612</v>
      </c>
      <c r="AS1357" t="s">
        <v>8866</v>
      </c>
      <c r="AT1357" t="s">
        <v>19513</v>
      </c>
      <c r="AU1357" t="s">
        <v>19514</v>
      </c>
      <c r="AV1357" t="s">
        <v>69</v>
      </c>
      <c r="AW1357" t="s">
        <v>19515</v>
      </c>
      <c r="AX1357" t="s">
        <v>19516</v>
      </c>
      <c r="AY1357" t="s">
        <v>69</v>
      </c>
      <c r="AZ1357">
        <v>2018</v>
      </c>
      <c r="BA1357">
        <v>18</v>
      </c>
      <c r="BB1357">
        <v>2</v>
      </c>
      <c r="BC1357" t="s">
        <v>69</v>
      </c>
      <c r="BD1357" t="s">
        <v>69</v>
      </c>
      <c r="BE1357" t="s">
        <v>114</v>
      </c>
      <c r="BF1357" t="s">
        <v>69</v>
      </c>
      <c r="BG1357">
        <v>266</v>
      </c>
      <c r="BH1357">
        <v>289</v>
      </c>
      <c r="BI1357" t="s">
        <v>69</v>
      </c>
      <c r="BJ1357" t="s">
        <v>19517</v>
      </c>
      <c r="BK1357" t="str">
        <f>HYPERLINK("http://dx.doi.org/10.1080/14616718.2016.1219648","http://dx.doi.org/10.1080/14616718.2016.1219648")</f>
        <v>http://dx.doi.org/10.1080/14616718.2016.1219648</v>
      </c>
      <c r="BL1357" t="s">
        <v>69</v>
      </c>
      <c r="BM1357" t="s">
        <v>69</v>
      </c>
      <c r="BN1357">
        <v>24</v>
      </c>
      <c r="BO1357" t="s">
        <v>15726</v>
      </c>
      <c r="BP1357" t="s">
        <v>8661</v>
      </c>
      <c r="BQ1357" t="s">
        <v>15727</v>
      </c>
      <c r="BR1357" t="s">
        <v>19518</v>
      </c>
      <c r="BS1357" t="s">
        <v>19519</v>
      </c>
      <c r="BT1357" t="s">
        <v>69</v>
      </c>
      <c r="BU1357" t="s">
        <v>69</v>
      </c>
      <c r="BV1357" t="s">
        <v>69</v>
      </c>
      <c r="BW1357" t="s">
        <v>69</v>
      </c>
      <c r="BX1357" t="s">
        <v>8526</v>
      </c>
      <c r="BY1357" t="str">
        <f>HYPERLINK("https%3A%2F%2Fwww.webofscience.com%2Fwos%2Fwoscc%2Ffull-record%2FWOS:000436531700005","View Full Record in Web of Science")</f>
        <v>View Full Record in Web of Science</v>
      </c>
    </row>
    <row r="1358" spans="1:77" x14ac:dyDescent="0.3">
      <c r="A1358" t="s">
        <v>8495</v>
      </c>
      <c r="B1358" s="10" t="s">
        <v>33019</v>
      </c>
      <c r="F1358" t="s">
        <v>67</v>
      </c>
      <c r="G1358" t="s">
        <v>4455</v>
      </c>
      <c r="H1358" t="s">
        <v>69</v>
      </c>
      <c r="I1358" t="s">
        <v>69</v>
      </c>
      <c r="J1358" t="s">
        <v>69</v>
      </c>
      <c r="K1358" s="2" t="s">
        <v>4456</v>
      </c>
      <c r="L1358" t="s">
        <v>69</v>
      </c>
      <c r="M1358" t="s">
        <v>69</v>
      </c>
      <c r="N1358" s="2" t="s">
        <v>4457</v>
      </c>
      <c r="O1358" t="s">
        <v>3312</v>
      </c>
      <c r="P1358" t="s">
        <v>69</v>
      </c>
      <c r="Q1358" t="s">
        <v>69</v>
      </c>
      <c r="R1358" t="s">
        <v>8505</v>
      </c>
      <c r="S1358" t="s">
        <v>8506</v>
      </c>
      <c r="T1358" t="s">
        <v>69</v>
      </c>
      <c r="U1358" t="s">
        <v>69</v>
      </c>
      <c r="V1358" t="s">
        <v>69</v>
      </c>
      <c r="W1358" t="s">
        <v>69</v>
      </c>
      <c r="X1358" t="s">
        <v>69</v>
      </c>
      <c r="Y1358" t="s">
        <v>17513</v>
      </c>
      <c r="Z1358" t="s">
        <v>17514</v>
      </c>
      <c r="AA1358" t="s">
        <v>4458</v>
      </c>
      <c r="AB1358" t="s">
        <v>17515</v>
      </c>
      <c r="AC1358" t="s">
        <v>69</v>
      </c>
      <c r="AD1358" t="s">
        <v>17516</v>
      </c>
      <c r="AE1358" t="s">
        <v>17517</v>
      </c>
      <c r="AF1358" t="s">
        <v>4459</v>
      </c>
      <c r="AG1358" t="s">
        <v>4460</v>
      </c>
      <c r="AH1358" t="s">
        <v>69</v>
      </c>
      <c r="AI1358" t="s">
        <v>69</v>
      </c>
      <c r="AJ1358" t="s">
        <v>69</v>
      </c>
      <c r="AK1358" t="s">
        <v>69</v>
      </c>
      <c r="AL1358">
        <v>104</v>
      </c>
      <c r="AM1358">
        <v>18</v>
      </c>
      <c r="AN1358">
        <v>18</v>
      </c>
      <c r="AO1358">
        <v>1</v>
      </c>
      <c r="AP1358">
        <v>16</v>
      </c>
      <c r="AQ1358" t="s">
        <v>8846</v>
      </c>
      <c r="AR1358" t="s">
        <v>8847</v>
      </c>
      <c r="AS1358" t="s">
        <v>8848</v>
      </c>
      <c r="AT1358" t="s">
        <v>3314</v>
      </c>
      <c r="AU1358" t="s">
        <v>3315</v>
      </c>
      <c r="AV1358" t="s">
        <v>69</v>
      </c>
      <c r="AW1358" t="s">
        <v>17518</v>
      </c>
      <c r="AX1358" t="s">
        <v>17519</v>
      </c>
      <c r="AY1358" t="s">
        <v>94</v>
      </c>
      <c r="AZ1358">
        <v>2019</v>
      </c>
      <c r="BA1358">
        <v>43</v>
      </c>
      <c r="BB1358">
        <v>2</v>
      </c>
      <c r="BC1358" t="s">
        <v>69</v>
      </c>
      <c r="BD1358" t="s">
        <v>69</v>
      </c>
      <c r="BE1358" t="s">
        <v>69</v>
      </c>
      <c r="BF1358" t="s">
        <v>69</v>
      </c>
      <c r="BG1358">
        <v>273</v>
      </c>
      <c r="BH1358">
        <v>291</v>
      </c>
      <c r="BI1358" t="s">
        <v>69</v>
      </c>
      <c r="BJ1358" t="s">
        <v>4461</v>
      </c>
      <c r="BK1358" t="str">
        <f>HYPERLINK("http://dx.doi.org/10.1111/1468-2427.12743","http://dx.doi.org/10.1111/1468-2427.12743")</f>
        <v>http://dx.doi.org/10.1111/1468-2427.12743</v>
      </c>
      <c r="BL1358" t="s">
        <v>69</v>
      </c>
      <c r="BM1358" t="s">
        <v>69</v>
      </c>
      <c r="BN1358">
        <v>19</v>
      </c>
      <c r="BO1358" t="s">
        <v>17520</v>
      </c>
      <c r="BP1358" t="s">
        <v>8661</v>
      </c>
      <c r="BQ1358" t="s">
        <v>17521</v>
      </c>
      <c r="BR1358" t="s">
        <v>17522</v>
      </c>
      <c r="BS1358" t="s">
        <v>4462</v>
      </c>
      <c r="BT1358" t="s">
        <v>69</v>
      </c>
      <c r="BU1358" t="s">
        <v>69</v>
      </c>
      <c r="BV1358" t="s">
        <v>69</v>
      </c>
      <c r="BW1358" t="s">
        <v>69</v>
      </c>
      <c r="BX1358" t="s">
        <v>8526</v>
      </c>
      <c r="BY1358" t="str">
        <f>HYPERLINK("https%3A%2F%2Fwww.webofscience.com%2Fwos%2Fwoscc%2Ffull-record%2FWOS:000459939600004","View Full Record in Web of Science")</f>
        <v>View Full Record in Web of Science</v>
      </c>
    </row>
    <row r="1359" spans="1:77" ht="12.5" x14ac:dyDescent="0.25">
      <c r="A1359" t="s">
        <v>8495</v>
      </c>
      <c r="B1359" s="22" t="s">
        <v>32931</v>
      </c>
      <c r="C1359" s="7"/>
      <c r="D1359" s="7"/>
      <c r="E1359" s="7"/>
      <c r="F1359" t="s">
        <v>67</v>
      </c>
      <c r="G1359" t="s">
        <v>13149</v>
      </c>
      <c r="H1359" t="s">
        <v>69</v>
      </c>
      <c r="I1359" t="s">
        <v>69</v>
      </c>
      <c r="J1359" t="s">
        <v>69</v>
      </c>
      <c r="K1359" t="s">
        <v>13150</v>
      </c>
      <c r="L1359" t="s">
        <v>69</v>
      </c>
      <c r="M1359" t="s">
        <v>69</v>
      </c>
      <c r="N1359" t="s">
        <v>13151</v>
      </c>
      <c r="O1359" t="s">
        <v>13152</v>
      </c>
      <c r="P1359" t="s">
        <v>69</v>
      </c>
      <c r="Q1359" t="s">
        <v>69</v>
      </c>
      <c r="R1359" t="s">
        <v>8505</v>
      </c>
      <c r="S1359" t="s">
        <v>8506</v>
      </c>
      <c r="T1359" t="s">
        <v>69</v>
      </c>
      <c r="U1359" t="s">
        <v>69</v>
      </c>
      <c r="V1359" t="s">
        <v>69</v>
      </c>
      <c r="W1359" t="s">
        <v>69</v>
      </c>
      <c r="X1359" t="s">
        <v>69</v>
      </c>
      <c r="Y1359" t="s">
        <v>69</v>
      </c>
      <c r="Z1359" t="s">
        <v>13153</v>
      </c>
      <c r="AA1359" t="s">
        <v>13154</v>
      </c>
      <c r="AB1359" t="s">
        <v>13155</v>
      </c>
      <c r="AC1359" t="s">
        <v>69</v>
      </c>
      <c r="AD1359" t="s">
        <v>13156</v>
      </c>
      <c r="AE1359" t="s">
        <v>13157</v>
      </c>
      <c r="AF1359" t="s">
        <v>69</v>
      </c>
      <c r="AG1359" t="s">
        <v>13158</v>
      </c>
      <c r="AH1359" t="s">
        <v>69</v>
      </c>
      <c r="AI1359" t="s">
        <v>69</v>
      </c>
      <c r="AJ1359" t="s">
        <v>69</v>
      </c>
      <c r="AK1359" t="s">
        <v>69</v>
      </c>
      <c r="AL1359">
        <v>108</v>
      </c>
      <c r="AM1359">
        <v>19</v>
      </c>
      <c r="AN1359">
        <v>19</v>
      </c>
      <c r="AO1359">
        <v>47</v>
      </c>
      <c r="AP1359">
        <v>122</v>
      </c>
      <c r="AQ1359" t="s">
        <v>13159</v>
      </c>
      <c r="AR1359" t="s">
        <v>13160</v>
      </c>
      <c r="AS1359" t="s">
        <v>13161</v>
      </c>
      <c r="AT1359" t="s">
        <v>13162</v>
      </c>
      <c r="AU1359" t="s">
        <v>13163</v>
      </c>
      <c r="AV1359" t="s">
        <v>69</v>
      </c>
      <c r="AW1359" t="s">
        <v>13164</v>
      </c>
      <c r="AX1359" t="s">
        <v>13165</v>
      </c>
      <c r="AY1359" t="s">
        <v>191</v>
      </c>
      <c r="AZ1359">
        <v>2021</v>
      </c>
      <c r="BA1359">
        <v>64</v>
      </c>
      <c r="BB1359">
        <v>1</v>
      </c>
      <c r="BC1359" t="s">
        <v>69</v>
      </c>
      <c r="BD1359" t="s">
        <v>69</v>
      </c>
      <c r="BE1359" t="s">
        <v>69</v>
      </c>
      <c r="BF1359" t="s">
        <v>69</v>
      </c>
      <c r="BG1359">
        <v>38</v>
      </c>
      <c r="BH1359">
        <v>62</v>
      </c>
      <c r="BI1359" t="s">
        <v>69</v>
      </c>
      <c r="BJ1359" t="s">
        <v>13166</v>
      </c>
      <c r="BK1359" t="str">
        <f>HYPERLINK("http://dx.doi.org/10.5465/amj.2017.1258","http://dx.doi.org/10.5465/amj.2017.1258")</f>
        <v>http://dx.doi.org/10.5465/amj.2017.1258</v>
      </c>
      <c r="BL1359" t="s">
        <v>69</v>
      </c>
      <c r="BM1359" t="s">
        <v>69</v>
      </c>
      <c r="BN1359">
        <v>25</v>
      </c>
      <c r="BO1359" t="s">
        <v>8791</v>
      </c>
      <c r="BP1359" t="s">
        <v>8661</v>
      </c>
      <c r="BQ1359" t="s">
        <v>8594</v>
      </c>
      <c r="BR1359" t="s">
        <v>13167</v>
      </c>
      <c r="BS1359" t="s">
        <v>13168</v>
      </c>
      <c r="BT1359" t="s">
        <v>69</v>
      </c>
      <c r="BU1359" t="s">
        <v>69</v>
      </c>
      <c r="BV1359" t="s">
        <v>69</v>
      </c>
      <c r="BW1359" t="s">
        <v>69</v>
      </c>
      <c r="BX1359" t="s">
        <v>8526</v>
      </c>
      <c r="BY1359" t="str">
        <f>HYPERLINK("https%3A%2F%2Fwww.webofscience.com%2Fwos%2Fwoscc%2Ffull-record%2FWOS:000632236900002","View Full Record in Web of Science")</f>
        <v>View Full Record in Web of Science</v>
      </c>
    </row>
    <row r="1360" spans="1:77" ht="12.5" x14ac:dyDescent="0.25">
      <c r="A1360" t="s">
        <v>8495</v>
      </c>
      <c r="B1360" s="22" t="s">
        <v>32931</v>
      </c>
      <c r="C1360" s="7"/>
      <c r="D1360" s="7"/>
      <c r="E1360" s="7"/>
      <c r="F1360" t="s">
        <v>67</v>
      </c>
      <c r="G1360" t="s">
        <v>21252</v>
      </c>
      <c r="H1360" t="s">
        <v>69</v>
      </c>
      <c r="I1360" t="s">
        <v>69</v>
      </c>
      <c r="J1360" t="s">
        <v>69</v>
      </c>
      <c r="K1360" t="s">
        <v>21253</v>
      </c>
      <c r="L1360" t="s">
        <v>69</v>
      </c>
      <c r="M1360" t="s">
        <v>69</v>
      </c>
      <c r="N1360" t="s">
        <v>21254</v>
      </c>
      <c r="O1360" t="s">
        <v>3303</v>
      </c>
      <c r="P1360" t="s">
        <v>69</v>
      </c>
      <c r="Q1360" t="s">
        <v>69</v>
      </c>
      <c r="R1360" t="s">
        <v>8505</v>
      </c>
      <c r="S1360" t="s">
        <v>8506</v>
      </c>
      <c r="T1360" t="s">
        <v>69</v>
      </c>
      <c r="U1360" t="s">
        <v>69</v>
      </c>
      <c r="V1360" t="s">
        <v>69</v>
      </c>
      <c r="W1360" t="s">
        <v>69</v>
      </c>
      <c r="X1360" t="s">
        <v>69</v>
      </c>
      <c r="Y1360" t="s">
        <v>21255</v>
      </c>
      <c r="Z1360" t="s">
        <v>21256</v>
      </c>
      <c r="AA1360" t="s">
        <v>21257</v>
      </c>
      <c r="AB1360" t="s">
        <v>21258</v>
      </c>
      <c r="AC1360" t="s">
        <v>69</v>
      </c>
      <c r="AD1360" t="s">
        <v>21259</v>
      </c>
      <c r="AE1360" t="s">
        <v>21260</v>
      </c>
      <c r="AF1360" t="s">
        <v>21261</v>
      </c>
      <c r="AG1360" t="s">
        <v>21262</v>
      </c>
      <c r="AH1360" t="s">
        <v>21263</v>
      </c>
      <c r="AI1360" t="s">
        <v>21264</v>
      </c>
      <c r="AJ1360" t="s">
        <v>21265</v>
      </c>
      <c r="AK1360" t="s">
        <v>69</v>
      </c>
      <c r="AL1360">
        <v>63</v>
      </c>
      <c r="AM1360">
        <v>2</v>
      </c>
      <c r="AN1360">
        <v>2</v>
      </c>
      <c r="AO1360">
        <v>4</v>
      </c>
      <c r="AP1360">
        <v>37</v>
      </c>
      <c r="AQ1360" t="s">
        <v>8611</v>
      </c>
      <c r="AR1360" t="s">
        <v>8612</v>
      </c>
      <c r="AS1360" t="s">
        <v>8613</v>
      </c>
      <c r="AT1360" t="s">
        <v>3305</v>
      </c>
      <c r="AU1360" t="s">
        <v>3306</v>
      </c>
      <c r="AV1360" t="s">
        <v>69</v>
      </c>
      <c r="AW1360" t="s">
        <v>21266</v>
      </c>
      <c r="AX1360" t="s">
        <v>21267</v>
      </c>
      <c r="AY1360" t="s">
        <v>381</v>
      </c>
      <c r="AZ1360">
        <v>2016</v>
      </c>
      <c r="BA1360">
        <v>92</v>
      </c>
      <c r="BB1360">
        <v>4</v>
      </c>
      <c r="BC1360" t="s">
        <v>69</v>
      </c>
      <c r="BD1360" t="s">
        <v>69</v>
      </c>
      <c r="BE1360" t="s">
        <v>69</v>
      </c>
      <c r="BF1360" t="s">
        <v>69</v>
      </c>
      <c r="BG1360">
        <v>430</v>
      </c>
      <c r="BH1360">
        <v>454</v>
      </c>
      <c r="BI1360" t="s">
        <v>69</v>
      </c>
      <c r="BJ1360" t="s">
        <v>21268</v>
      </c>
      <c r="BK1360" t="str">
        <f>HYPERLINK("http://dx.doi.org/10.1080/00130095.2016.1178569","http://dx.doi.org/10.1080/00130095.2016.1178569")</f>
        <v>http://dx.doi.org/10.1080/00130095.2016.1178569</v>
      </c>
      <c r="BL1360" t="s">
        <v>69</v>
      </c>
      <c r="BM1360" t="s">
        <v>69</v>
      </c>
      <c r="BN1360">
        <v>25</v>
      </c>
      <c r="BO1360" t="s">
        <v>21269</v>
      </c>
      <c r="BP1360" t="s">
        <v>8661</v>
      </c>
      <c r="BQ1360" t="s">
        <v>21270</v>
      </c>
      <c r="BR1360" t="s">
        <v>21271</v>
      </c>
      <c r="BS1360" t="s">
        <v>21272</v>
      </c>
      <c r="BT1360" t="s">
        <v>69</v>
      </c>
      <c r="BU1360" t="s">
        <v>10363</v>
      </c>
      <c r="BV1360" t="s">
        <v>69</v>
      </c>
      <c r="BW1360" t="s">
        <v>69</v>
      </c>
      <c r="BX1360" t="s">
        <v>8526</v>
      </c>
      <c r="BY1360" t="str">
        <f>HYPERLINK("https%3A%2F%2Fwww.webofscience.com%2Fwos%2Fwoscc%2Ffull-record%2FWOS:000384350300004","View Full Record in Web of Science")</f>
        <v>View Full Record in Web of Science</v>
      </c>
    </row>
    <row r="1361" spans="1:77" ht="12.5" x14ac:dyDescent="0.25">
      <c r="A1361" t="s">
        <v>8495</v>
      </c>
      <c r="B1361" s="22" t="s">
        <v>32931</v>
      </c>
      <c r="C1361" s="7"/>
      <c r="D1361" s="7"/>
      <c r="E1361" s="7"/>
      <c r="F1361" t="s">
        <v>67</v>
      </c>
      <c r="G1361" t="s">
        <v>7986</v>
      </c>
      <c r="H1361" t="s">
        <v>69</v>
      </c>
      <c r="I1361" t="s">
        <v>69</v>
      </c>
      <c r="J1361" t="s">
        <v>69</v>
      </c>
      <c r="K1361" t="s">
        <v>7986</v>
      </c>
      <c r="L1361" t="s">
        <v>69</v>
      </c>
      <c r="M1361" t="s">
        <v>69</v>
      </c>
      <c r="N1361" t="s">
        <v>32555</v>
      </c>
      <c r="O1361" t="s">
        <v>28578</v>
      </c>
      <c r="P1361" t="s">
        <v>69</v>
      </c>
      <c r="Q1361" t="s">
        <v>69</v>
      </c>
      <c r="R1361" t="s">
        <v>8505</v>
      </c>
      <c r="S1361" t="s">
        <v>8506</v>
      </c>
      <c r="T1361" t="s">
        <v>69</v>
      </c>
      <c r="U1361" t="s">
        <v>69</v>
      </c>
      <c r="V1361" t="s">
        <v>69</v>
      </c>
      <c r="W1361" t="s">
        <v>69</v>
      </c>
      <c r="X1361" t="s">
        <v>69</v>
      </c>
      <c r="Y1361" t="s">
        <v>69</v>
      </c>
      <c r="Z1361" t="s">
        <v>69</v>
      </c>
      <c r="AA1361" t="s">
        <v>32556</v>
      </c>
      <c r="AB1361" t="s">
        <v>69</v>
      </c>
      <c r="AC1361" t="s">
        <v>69</v>
      </c>
      <c r="AD1361" t="s">
        <v>69</v>
      </c>
      <c r="AE1361" t="s">
        <v>69</v>
      </c>
      <c r="AF1361" t="s">
        <v>69</v>
      </c>
      <c r="AG1361" t="s">
        <v>69</v>
      </c>
      <c r="AH1361" t="s">
        <v>69</v>
      </c>
      <c r="AI1361" t="s">
        <v>69</v>
      </c>
      <c r="AJ1361" t="s">
        <v>69</v>
      </c>
      <c r="AK1361" t="s">
        <v>69</v>
      </c>
      <c r="AL1361">
        <v>0</v>
      </c>
      <c r="AM1361">
        <v>0</v>
      </c>
      <c r="AN1361">
        <v>0</v>
      </c>
      <c r="AO1361">
        <v>0</v>
      </c>
      <c r="AP1361">
        <v>0</v>
      </c>
      <c r="AQ1361" t="s">
        <v>32557</v>
      </c>
      <c r="AR1361" t="s">
        <v>32558</v>
      </c>
      <c r="AS1361" t="s">
        <v>32559</v>
      </c>
      <c r="AT1361" t="s">
        <v>28582</v>
      </c>
      <c r="AU1361" t="s">
        <v>69</v>
      </c>
      <c r="AV1361" t="s">
        <v>69</v>
      </c>
      <c r="AW1361" t="s">
        <v>18492</v>
      </c>
      <c r="AX1361" t="s">
        <v>18493</v>
      </c>
      <c r="AY1361" t="s">
        <v>619</v>
      </c>
      <c r="AZ1361">
        <v>1995</v>
      </c>
      <c r="BA1361">
        <v>95</v>
      </c>
      <c r="BB1361">
        <v>7</v>
      </c>
      <c r="BC1361" t="s">
        <v>69</v>
      </c>
      <c r="BD1361" t="s">
        <v>69</v>
      </c>
      <c r="BE1361" t="s">
        <v>69</v>
      </c>
      <c r="BF1361" t="s">
        <v>69</v>
      </c>
      <c r="BG1361">
        <v>335</v>
      </c>
      <c r="BH1361">
        <v>336</v>
      </c>
      <c r="BI1361" t="s">
        <v>69</v>
      </c>
      <c r="BJ1361" t="s">
        <v>69</v>
      </c>
      <c r="BK1361" t="s">
        <v>69</v>
      </c>
      <c r="BL1361" t="s">
        <v>69</v>
      </c>
      <c r="BM1361" t="s">
        <v>69</v>
      </c>
      <c r="BN1361">
        <v>2</v>
      </c>
      <c r="BO1361" t="s">
        <v>18495</v>
      </c>
      <c r="BP1361" t="s">
        <v>8548</v>
      </c>
      <c r="BQ1361" t="s">
        <v>18495</v>
      </c>
      <c r="BR1361" t="s">
        <v>32560</v>
      </c>
      <c r="BS1361" t="s">
        <v>32561</v>
      </c>
      <c r="BT1361" t="s">
        <v>69</v>
      </c>
      <c r="BU1361" t="s">
        <v>69</v>
      </c>
      <c r="BV1361" t="s">
        <v>69</v>
      </c>
      <c r="BW1361" t="s">
        <v>69</v>
      </c>
      <c r="BX1361" t="s">
        <v>8526</v>
      </c>
      <c r="BY1361" t="str">
        <f>HYPERLINK("https%3A%2F%2Fwww.webofscience.com%2Fwos%2Fwoscc%2Ffull-record%2FWOS:A1995TH86600005","View Full Record in Web of Science")</f>
        <v>View Full Record in Web of Science</v>
      </c>
    </row>
    <row r="1362" spans="1:77" ht="12.5" x14ac:dyDescent="0.25">
      <c r="A1362" t="s">
        <v>8495</v>
      </c>
      <c r="B1362" s="7" t="s">
        <v>32933</v>
      </c>
      <c r="C1362" s="7"/>
      <c r="D1362" s="7"/>
      <c r="E1362" s="7"/>
      <c r="F1362" t="s">
        <v>67</v>
      </c>
      <c r="G1362" t="s">
        <v>6645</v>
      </c>
      <c r="H1362" t="s">
        <v>69</v>
      </c>
      <c r="I1362" t="s">
        <v>69</v>
      </c>
      <c r="J1362" t="s">
        <v>69</v>
      </c>
      <c r="K1362" t="s">
        <v>6646</v>
      </c>
      <c r="L1362" t="s">
        <v>69</v>
      </c>
      <c r="M1362" t="s">
        <v>69</v>
      </c>
      <c r="N1362" t="s">
        <v>6647</v>
      </c>
      <c r="O1362" t="s">
        <v>6648</v>
      </c>
      <c r="P1362" t="s">
        <v>69</v>
      </c>
      <c r="Q1362" t="s">
        <v>69</v>
      </c>
      <c r="R1362" t="s">
        <v>8505</v>
      </c>
      <c r="S1362" t="s">
        <v>8506</v>
      </c>
      <c r="T1362" t="s">
        <v>69</v>
      </c>
      <c r="U1362" t="s">
        <v>69</v>
      </c>
      <c r="V1362" t="s">
        <v>69</v>
      </c>
      <c r="W1362" t="s">
        <v>69</v>
      </c>
      <c r="X1362" t="s">
        <v>69</v>
      </c>
      <c r="Y1362" t="s">
        <v>29398</v>
      </c>
      <c r="Z1362" t="s">
        <v>69</v>
      </c>
      <c r="AA1362" t="s">
        <v>6649</v>
      </c>
      <c r="AB1362" t="s">
        <v>29399</v>
      </c>
      <c r="AC1362" t="s">
        <v>69</v>
      </c>
      <c r="AD1362" t="s">
        <v>29400</v>
      </c>
      <c r="AE1362" t="s">
        <v>29401</v>
      </c>
      <c r="AF1362" t="s">
        <v>6650</v>
      </c>
      <c r="AG1362" t="s">
        <v>6651</v>
      </c>
      <c r="AH1362" t="s">
        <v>69</v>
      </c>
      <c r="AI1362" t="s">
        <v>69</v>
      </c>
      <c r="AJ1362" t="s">
        <v>69</v>
      </c>
      <c r="AK1362" t="s">
        <v>69</v>
      </c>
      <c r="AL1362">
        <v>26</v>
      </c>
      <c r="AM1362">
        <v>7</v>
      </c>
      <c r="AN1362">
        <v>7</v>
      </c>
      <c r="AO1362">
        <v>0</v>
      </c>
      <c r="AP1362">
        <v>0</v>
      </c>
      <c r="AQ1362" t="s">
        <v>29402</v>
      </c>
      <c r="AR1362" t="s">
        <v>8925</v>
      </c>
      <c r="AS1362" t="s">
        <v>29403</v>
      </c>
      <c r="AT1362" t="s">
        <v>6652</v>
      </c>
      <c r="AU1362" t="s">
        <v>6653</v>
      </c>
      <c r="AV1362" t="s">
        <v>69</v>
      </c>
      <c r="AW1362" t="s">
        <v>29404</v>
      </c>
      <c r="AX1362" t="s">
        <v>29405</v>
      </c>
      <c r="AY1362" t="s">
        <v>69</v>
      </c>
      <c r="AZ1362">
        <v>2008</v>
      </c>
      <c r="BA1362">
        <v>53</v>
      </c>
      <c r="BB1362">
        <v>3</v>
      </c>
      <c r="BC1362" t="s">
        <v>69</v>
      </c>
      <c r="BD1362" t="s">
        <v>69</v>
      </c>
      <c r="BE1362" t="s">
        <v>69</v>
      </c>
      <c r="BF1362" t="s">
        <v>69</v>
      </c>
      <c r="BG1362">
        <v>150</v>
      </c>
      <c r="BH1362">
        <v>159</v>
      </c>
      <c r="BI1362" t="s">
        <v>69</v>
      </c>
      <c r="BJ1362" t="s">
        <v>6654</v>
      </c>
      <c r="BK1362" t="str">
        <f>HYPERLINK("http://dx.doi.org/10.1007/s00038-008-7032-2","http://dx.doi.org/10.1007/s00038-008-7032-2")</f>
        <v>http://dx.doi.org/10.1007/s00038-008-7032-2</v>
      </c>
      <c r="BL1362" t="s">
        <v>69</v>
      </c>
      <c r="BM1362" t="s">
        <v>69</v>
      </c>
      <c r="BN1362">
        <v>10</v>
      </c>
      <c r="BO1362" t="s">
        <v>8810</v>
      </c>
      <c r="BP1362" t="s">
        <v>8523</v>
      </c>
      <c r="BQ1362" t="s">
        <v>8810</v>
      </c>
      <c r="BR1362" t="s">
        <v>29406</v>
      </c>
      <c r="BS1362" t="s">
        <v>6655</v>
      </c>
      <c r="BT1362">
        <v>19127888</v>
      </c>
      <c r="BU1362" t="s">
        <v>69</v>
      </c>
      <c r="BV1362" t="s">
        <v>69</v>
      </c>
      <c r="BW1362" t="s">
        <v>69</v>
      </c>
      <c r="BX1362" t="s">
        <v>8526</v>
      </c>
      <c r="BY1362" t="str">
        <f>HYPERLINK("https%3A%2F%2Fwww.webofscience.com%2Fwos%2Fwoscc%2Ffull-record%2FWOS:000257285700005","View Full Record in Web of Science")</f>
        <v>View Full Record in Web of Science</v>
      </c>
    </row>
    <row r="1363" spans="1:77" ht="12.5" x14ac:dyDescent="0.25">
      <c r="A1363" t="s">
        <v>8495</v>
      </c>
      <c r="B1363" s="22" t="s">
        <v>32931</v>
      </c>
      <c r="C1363" s="7"/>
      <c r="D1363" s="7"/>
      <c r="E1363" s="7"/>
      <c r="F1363" t="s">
        <v>67</v>
      </c>
      <c r="G1363" t="s">
        <v>32774</v>
      </c>
      <c r="H1363" t="s">
        <v>69</v>
      </c>
      <c r="I1363" t="s">
        <v>69</v>
      </c>
      <c r="J1363" t="s">
        <v>69</v>
      </c>
      <c r="K1363" t="s">
        <v>32774</v>
      </c>
      <c r="L1363" t="s">
        <v>69</v>
      </c>
      <c r="M1363" t="s">
        <v>69</v>
      </c>
      <c r="N1363" t="s">
        <v>32775</v>
      </c>
      <c r="O1363" t="s">
        <v>32776</v>
      </c>
      <c r="P1363" t="s">
        <v>69</v>
      </c>
      <c r="Q1363" t="s">
        <v>69</v>
      </c>
      <c r="R1363" t="s">
        <v>8505</v>
      </c>
      <c r="S1363" t="s">
        <v>8506</v>
      </c>
      <c r="T1363" t="s">
        <v>69</v>
      </c>
      <c r="U1363" t="s">
        <v>69</v>
      </c>
      <c r="V1363" t="s">
        <v>69</v>
      </c>
      <c r="W1363" t="s">
        <v>69</v>
      </c>
      <c r="X1363" t="s">
        <v>69</v>
      </c>
      <c r="Y1363" t="s">
        <v>69</v>
      </c>
      <c r="Z1363" t="s">
        <v>32777</v>
      </c>
      <c r="AA1363" t="s">
        <v>32778</v>
      </c>
      <c r="AB1363" t="s">
        <v>32779</v>
      </c>
      <c r="AC1363" t="s">
        <v>69</v>
      </c>
      <c r="AD1363" t="s">
        <v>32780</v>
      </c>
      <c r="AE1363" t="s">
        <v>69</v>
      </c>
      <c r="AF1363" t="s">
        <v>69</v>
      </c>
      <c r="AG1363" t="s">
        <v>69</v>
      </c>
      <c r="AH1363" t="s">
        <v>69</v>
      </c>
      <c r="AI1363" t="s">
        <v>69</v>
      </c>
      <c r="AJ1363" t="s">
        <v>69</v>
      </c>
      <c r="AK1363" t="s">
        <v>69</v>
      </c>
      <c r="AL1363">
        <v>67</v>
      </c>
      <c r="AM1363">
        <v>15</v>
      </c>
      <c r="AN1363">
        <v>16</v>
      </c>
      <c r="AO1363">
        <v>0</v>
      </c>
      <c r="AP1363">
        <v>0</v>
      </c>
      <c r="AQ1363" t="s">
        <v>32537</v>
      </c>
      <c r="AR1363" t="s">
        <v>8637</v>
      </c>
      <c r="AS1363" t="s">
        <v>32538</v>
      </c>
      <c r="AT1363" t="s">
        <v>32781</v>
      </c>
      <c r="AU1363" t="s">
        <v>69</v>
      </c>
      <c r="AV1363" t="s">
        <v>69</v>
      </c>
      <c r="AW1363" t="s">
        <v>32782</v>
      </c>
      <c r="AX1363" t="s">
        <v>32783</v>
      </c>
      <c r="AY1363" t="s">
        <v>201</v>
      </c>
      <c r="AZ1363">
        <v>1993</v>
      </c>
      <c r="BA1363">
        <v>86</v>
      </c>
      <c r="BB1363">
        <v>8</v>
      </c>
      <c r="BC1363" t="s">
        <v>69</v>
      </c>
      <c r="BD1363" t="s">
        <v>69</v>
      </c>
      <c r="BE1363" t="s">
        <v>69</v>
      </c>
      <c r="BF1363" t="s">
        <v>69</v>
      </c>
      <c r="BG1363">
        <v>535</v>
      </c>
      <c r="BH1363">
        <v>542</v>
      </c>
      <c r="BI1363" t="s">
        <v>69</v>
      </c>
      <c r="BJ1363" t="s">
        <v>69</v>
      </c>
      <c r="BK1363" t="s">
        <v>69</v>
      </c>
      <c r="BL1363" t="s">
        <v>69</v>
      </c>
      <c r="BM1363" t="s">
        <v>69</v>
      </c>
      <c r="BN1363">
        <v>8</v>
      </c>
      <c r="BO1363" t="s">
        <v>9450</v>
      </c>
      <c r="BP1363" t="s">
        <v>8548</v>
      </c>
      <c r="BQ1363" t="s">
        <v>9451</v>
      </c>
      <c r="BR1363" t="s">
        <v>32784</v>
      </c>
      <c r="BS1363" t="s">
        <v>32785</v>
      </c>
      <c r="BT1363">
        <v>8210310</v>
      </c>
      <c r="BU1363" t="s">
        <v>69</v>
      </c>
      <c r="BV1363" t="s">
        <v>69</v>
      </c>
      <c r="BW1363" t="s">
        <v>69</v>
      </c>
      <c r="BX1363" t="s">
        <v>8526</v>
      </c>
      <c r="BY1363" t="str">
        <f>HYPERLINK("https%3A%2F%2Fwww.webofscience.com%2Fwos%2Fwoscc%2Ffull-record%2FWOS:A1993LT07100009","View Full Record in Web of Science")</f>
        <v>View Full Record in Web of Science</v>
      </c>
    </row>
    <row r="1364" spans="1:77" ht="12.5" x14ac:dyDescent="0.25">
      <c r="A1364" t="s">
        <v>8495</v>
      </c>
      <c r="B1364" s="22" t="s">
        <v>32931</v>
      </c>
      <c r="C1364" s="7"/>
      <c r="D1364" s="7"/>
      <c r="E1364" s="7"/>
      <c r="F1364" t="s">
        <v>67</v>
      </c>
      <c r="G1364" t="s">
        <v>30915</v>
      </c>
      <c r="H1364" t="s">
        <v>69</v>
      </c>
      <c r="I1364" t="s">
        <v>69</v>
      </c>
      <c r="J1364" t="s">
        <v>69</v>
      </c>
      <c r="K1364" t="s">
        <v>30916</v>
      </c>
      <c r="L1364" t="s">
        <v>69</v>
      </c>
      <c r="M1364" t="s">
        <v>69</v>
      </c>
      <c r="N1364" t="s">
        <v>30917</v>
      </c>
      <c r="O1364" t="s">
        <v>29945</v>
      </c>
      <c r="P1364" t="s">
        <v>69</v>
      </c>
      <c r="Q1364" t="s">
        <v>69</v>
      </c>
      <c r="R1364" t="s">
        <v>8505</v>
      </c>
      <c r="S1364" t="s">
        <v>8506</v>
      </c>
      <c r="T1364" t="s">
        <v>69</v>
      </c>
      <c r="U1364" t="s">
        <v>69</v>
      </c>
      <c r="V1364" t="s">
        <v>69</v>
      </c>
      <c r="W1364" t="s">
        <v>69</v>
      </c>
      <c r="X1364" t="s">
        <v>69</v>
      </c>
      <c r="Y1364" t="s">
        <v>30918</v>
      </c>
      <c r="Z1364" t="s">
        <v>69</v>
      </c>
      <c r="AA1364" t="s">
        <v>30919</v>
      </c>
      <c r="AB1364" t="s">
        <v>30920</v>
      </c>
      <c r="AC1364" t="s">
        <v>69</v>
      </c>
      <c r="AD1364" t="s">
        <v>30921</v>
      </c>
      <c r="AE1364" t="s">
        <v>69</v>
      </c>
      <c r="AF1364" t="s">
        <v>69</v>
      </c>
      <c r="AG1364" t="s">
        <v>69</v>
      </c>
      <c r="AH1364" t="s">
        <v>69</v>
      </c>
      <c r="AI1364" t="s">
        <v>69</v>
      </c>
      <c r="AJ1364" t="s">
        <v>69</v>
      </c>
      <c r="AK1364" t="s">
        <v>69</v>
      </c>
      <c r="AL1364">
        <v>9</v>
      </c>
      <c r="AM1364">
        <v>44</v>
      </c>
      <c r="AN1364">
        <v>44</v>
      </c>
      <c r="AO1364">
        <v>0</v>
      </c>
      <c r="AP1364">
        <v>0</v>
      </c>
      <c r="AQ1364" t="s">
        <v>8586</v>
      </c>
      <c r="AR1364" t="s">
        <v>8587</v>
      </c>
      <c r="AS1364" t="s">
        <v>8588</v>
      </c>
      <c r="AT1364" t="s">
        <v>29951</v>
      </c>
      <c r="AU1364" t="s">
        <v>29952</v>
      </c>
      <c r="AV1364" t="s">
        <v>69</v>
      </c>
      <c r="AW1364" t="s">
        <v>29953</v>
      </c>
      <c r="AX1364" t="s">
        <v>29954</v>
      </c>
      <c r="AY1364" t="s">
        <v>69</v>
      </c>
      <c r="AZ1364">
        <v>2005</v>
      </c>
      <c r="BA1364">
        <v>33</v>
      </c>
      <c r="BB1364">
        <v>3</v>
      </c>
      <c r="BC1364" t="s">
        <v>69</v>
      </c>
      <c r="BD1364" t="s">
        <v>69</v>
      </c>
      <c r="BE1364" t="s">
        <v>69</v>
      </c>
      <c r="BF1364" t="s">
        <v>69</v>
      </c>
      <c r="BG1364">
        <v>207</v>
      </c>
      <c r="BH1364" t="s">
        <v>219</v>
      </c>
      <c r="BI1364" t="s">
        <v>69</v>
      </c>
      <c r="BJ1364" t="s">
        <v>30922</v>
      </c>
      <c r="BK1364" t="str">
        <f>HYPERLINK("http://dx.doi.org/10.1108/09590550510588370","http://dx.doi.org/10.1108/09590550510588370")</f>
        <v>http://dx.doi.org/10.1108/09590550510588370</v>
      </c>
      <c r="BL1364" t="s">
        <v>69</v>
      </c>
      <c r="BM1364" t="s">
        <v>69</v>
      </c>
      <c r="BN1364">
        <v>11</v>
      </c>
      <c r="BO1364" t="s">
        <v>8791</v>
      </c>
      <c r="BP1364" t="s">
        <v>8573</v>
      </c>
      <c r="BQ1364" t="s">
        <v>8594</v>
      </c>
      <c r="BR1364" t="s">
        <v>30923</v>
      </c>
      <c r="BS1364" t="s">
        <v>30924</v>
      </c>
      <c r="BT1364" t="s">
        <v>69</v>
      </c>
      <c r="BU1364" t="s">
        <v>69</v>
      </c>
      <c r="BV1364" t="s">
        <v>69</v>
      </c>
      <c r="BW1364" t="s">
        <v>69</v>
      </c>
      <c r="BX1364" t="s">
        <v>8526</v>
      </c>
      <c r="BY1364" t="str">
        <f>HYPERLINK("https%3A%2F%2Fwww.webofscience.com%2Fwos%2Fwoscc%2Ffull-record%2FWOS:000211798900003","View Full Record in Web of Science")</f>
        <v>View Full Record in Web of Science</v>
      </c>
    </row>
    <row r="1365" spans="1:77" ht="12.5" x14ac:dyDescent="0.25">
      <c r="A1365" t="s">
        <v>8495</v>
      </c>
      <c r="B1365" s="7" t="s">
        <v>32933</v>
      </c>
      <c r="C1365" s="7"/>
      <c r="D1365" s="7"/>
      <c r="E1365" s="7"/>
      <c r="F1365" t="s">
        <v>67</v>
      </c>
      <c r="G1365" t="s">
        <v>4387</v>
      </c>
      <c r="H1365" t="s">
        <v>69</v>
      </c>
      <c r="I1365" t="s">
        <v>69</v>
      </c>
      <c r="J1365" t="s">
        <v>69</v>
      </c>
      <c r="K1365" t="s">
        <v>4388</v>
      </c>
      <c r="L1365" t="s">
        <v>69</v>
      </c>
      <c r="M1365" t="s">
        <v>69</v>
      </c>
      <c r="N1365" t="s">
        <v>4389</v>
      </c>
      <c r="O1365" t="s">
        <v>3798</v>
      </c>
      <c r="P1365" t="s">
        <v>69</v>
      </c>
      <c r="Q1365" t="s">
        <v>69</v>
      </c>
      <c r="R1365" t="s">
        <v>8505</v>
      </c>
      <c r="S1365" t="s">
        <v>15797</v>
      </c>
      <c r="T1365" t="s">
        <v>4390</v>
      </c>
      <c r="U1365" t="s">
        <v>4391</v>
      </c>
      <c r="V1365" t="s">
        <v>4392</v>
      </c>
      <c r="W1365" t="s">
        <v>18837</v>
      </c>
      <c r="X1365" t="s">
        <v>69</v>
      </c>
      <c r="Y1365" t="s">
        <v>18838</v>
      </c>
      <c r="Z1365" t="s">
        <v>4337</v>
      </c>
      <c r="AA1365" t="s">
        <v>4393</v>
      </c>
      <c r="AB1365" t="s">
        <v>18839</v>
      </c>
      <c r="AC1365" t="s">
        <v>69</v>
      </c>
      <c r="AD1365" t="s">
        <v>18840</v>
      </c>
      <c r="AE1365" t="s">
        <v>18841</v>
      </c>
      <c r="AF1365" t="s">
        <v>69</v>
      </c>
      <c r="AG1365" t="s">
        <v>18842</v>
      </c>
      <c r="AH1365" t="s">
        <v>18843</v>
      </c>
      <c r="AI1365" t="s">
        <v>9838</v>
      </c>
      <c r="AJ1365" t="s">
        <v>18844</v>
      </c>
      <c r="AK1365" t="s">
        <v>69</v>
      </c>
      <c r="AL1365">
        <v>14</v>
      </c>
      <c r="AM1365">
        <v>1</v>
      </c>
      <c r="AN1365">
        <v>1</v>
      </c>
      <c r="AO1365">
        <v>5</v>
      </c>
      <c r="AP1365">
        <v>30</v>
      </c>
      <c r="AQ1365" t="s">
        <v>18845</v>
      </c>
      <c r="AR1365" t="s">
        <v>18846</v>
      </c>
      <c r="AS1365" t="s">
        <v>18847</v>
      </c>
      <c r="AT1365" t="s">
        <v>3801</v>
      </c>
      <c r="AU1365" t="s">
        <v>3802</v>
      </c>
      <c r="AV1365" t="s">
        <v>69</v>
      </c>
      <c r="AW1365" t="s">
        <v>18848</v>
      </c>
      <c r="AX1365" t="s">
        <v>18849</v>
      </c>
      <c r="AY1365" t="s">
        <v>586</v>
      </c>
      <c r="AZ1365">
        <v>2018</v>
      </c>
      <c r="BA1365" t="s">
        <v>69</v>
      </c>
      <c r="BB1365" t="s">
        <v>69</v>
      </c>
      <c r="BC1365" t="s">
        <v>69</v>
      </c>
      <c r="BD1365" t="s">
        <v>69</v>
      </c>
      <c r="BE1365">
        <v>85</v>
      </c>
      <c r="BF1365" t="s">
        <v>69</v>
      </c>
      <c r="BG1365">
        <v>1521</v>
      </c>
      <c r="BH1365">
        <v>1525</v>
      </c>
      <c r="BI1365" t="s">
        <v>69</v>
      </c>
      <c r="BJ1365" t="s">
        <v>4394</v>
      </c>
      <c r="BK1365" t="str">
        <f>HYPERLINK("http://dx.doi.org/10.2112/SI85-305.1","http://dx.doi.org/10.2112/SI85-305.1")</f>
        <v>http://dx.doi.org/10.2112/SI85-305.1</v>
      </c>
      <c r="BL1365" t="s">
        <v>69</v>
      </c>
      <c r="BM1365" t="s">
        <v>69</v>
      </c>
      <c r="BN1365">
        <v>5</v>
      </c>
      <c r="BO1365" t="s">
        <v>18850</v>
      </c>
      <c r="BP1365" t="s">
        <v>15808</v>
      </c>
      <c r="BQ1365" t="s">
        <v>18851</v>
      </c>
      <c r="BR1365" t="s">
        <v>18852</v>
      </c>
      <c r="BS1365" t="s">
        <v>4395</v>
      </c>
      <c r="BT1365" t="s">
        <v>69</v>
      </c>
      <c r="BU1365" t="s">
        <v>69</v>
      </c>
      <c r="BV1365" t="s">
        <v>69</v>
      </c>
      <c r="BW1365" t="s">
        <v>69</v>
      </c>
      <c r="BX1365" t="s">
        <v>8526</v>
      </c>
      <c r="BY1365" t="str">
        <f>HYPERLINK("https%3A%2F%2Fwww.webofscience.com%2Fwos%2Fwoscc%2Ffull-record%2FWOS:000441173100305","View Full Record in Web of Science")</f>
        <v>View Full Record in Web of Science</v>
      </c>
    </row>
    <row r="1366" spans="1:77" ht="12.5" x14ac:dyDescent="0.25">
      <c r="A1366" t="s">
        <v>8495</v>
      </c>
      <c r="B1366" s="22" t="s">
        <v>32931</v>
      </c>
      <c r="C1366" s="7"/>
      <c r="D1366" s="7"/>
      <c r="E1366" s="7"/>
      <c r="F1366" t="s">
        <v>67</v>
      </c>
      <c r="G1366" t="s">
        <v>26825</v>
      </c>
      <c r="H1366" t="s">
        <v>69</v>
      </c>
      <c r="I1366" t="s">
        <v>69</v>
      </c>
      <c r="J1366" t="s">
        <v>69</v>
      </c>
      <c r="K1366" t="s">
        <v>26826</v>
      </c>
      <c r="L1366" t="s">
        <v>69</v>
      </c>
      <c r="M1366" t="s">
        <v>69</v>
      </c>
      <c r="N1366" t="s">
        <v>26827</v>
      </c>
      <c r="O1366" t="s">
        <v>4800</v>
      </c>
      <c r="P1366" t="s">
        <v>69</v>
      </c>
      <c r="Q1366" t="s">
        <v>69</v>
      </c>
      <c r="R1366" t="s">
        <v>19054</v>
      </c>
      <c r="S1366" t="s">
        <v>8506</v>
      </c>
      <c r="T1366" t="s">
        <v>69</v>
      </c>
      <c r="U1366" t="s">
        <v>69</v>
      </c>
      <c r="V1366" t="s">
        <v>69</v>
      </c>
      <c r="W1366" t="s">
        <v>69</v>
      </c>
      <c r="X1366" t="s">
        <v>69</v>
      </c>
      <c r="Y1366" t="s">
        <v>69</v>
      </c>
      <c r="Z1366" t="s">
        <v>69</v>
      </c>
      <c r="AA1366" t="s">
        <v>26828</v>
      </c>
      <c r="AB1366" t="s">
        <v>26829</v>
      </c>
      <c r="AC1366" t="s">
        <v>69</v>
      </c>
      <c r="AD1366" t="s">
        <v>26830</v>
      </c>
      <c r="AE1366" t="s">
        <v>26831</v>
      </c>
      <c r="AF1366" t="s">
        <v>26832</v>
      </c>
      <c r="AG1366" t="s">
        <v>26833</v>
      </c>
      <c r="AH1366" t="s">
        <v>69</v>
      </c>
      <c r="AI1366" t="s">
        <v>69</v>
      </c>
      <c r="AJ1366" t="s">
        <v>69</v>
      </c>
      <c r="AK1366" t="s">
        <v>69</v>
      </c>
      <c r="AL1366">
        <v>15</v>
      </c>
      <c r="AM1366">
        <v>0</v>
      </c>
      <c r="AN1366">
        <v>0</v>
      </c>
      <c r="AO1366">
        <v>0</v>
      </c>
      <c r="AP1366">
        <v>0</v>
      </c>
      <c r="AQ1366" t="s">
        <v>22941</v>
      </c>
      <c r="AR1366" t="s">
        <v>22942</v>
      </c>
      <c r="AS1366" t="s">
        <v>22943</v>
      </c>
      <c r="AT1366" t="s">
        <v>4803</v>
      </c>
      <c r="AU1366" t="s">
        <v>4804</v>
      </c>
      <c r="AV1366" t="s">
        <v>69</v>
      </c>
      <c r="AW1366" t="s">
        <v>22944</v>
      </c>
      <c r="AX1366" t="s">
        <v>22945</v>
      </c>
      <c r="AY1366" t="s">
        <v>255</v>
      </c>
      <c r="AZ1366">
        <v>2011</v>
      </c>
      <c r="BA1366">
        <v>4</v>
      </c>
      <c r="BB1366">
        <v>3</v>
      </c>
      <c r="BC1366" t="s">
        <v>69</v>
      </c>
      <c r="BD1366" t="s">
        <v>69</v>
      </c>
      <c r="BE1366" t="s">
        <v>69</v>
      </c>
      <c r="BF1366" t="s">
        <v>69</v>
      </c>
      <c r="BG1366">
        <v>43</v>
      </c>
      <c r="BH1366">
        <v>52</v>
      </c>
      <c r="BI1366" t="s">
        <v>69</v>
      </c>
      <c r="BJ1366" t="s">
        <v>69</v>
      </c>
      <c r="BK1366" t="s">
        <v>69</v>
      </c>
      <c r="BL1366" t="s">
        <v>69</v>
      </c>
      <c r="BM1366" t="s">
        <v>69</v>
      </c>
      <c r="BN1366">
        <v>10</v>
      </c>
      <c r="BO1366" t="s">
        <v>8475</v>
      </c>
      <c r="BP1366" t="s">
        <v>8573</v>
      </c>
      <c r="BQ1366" t="s">
        <v>8475</v>
      </c>
      <c r="BR1366" t="s">
        <v>26834</v>
      </c>
      <c r="BS1366" t="s">
        <v>26835</v>
      </c>
      <c r="BT1366" t="s">
        <v>69</v>
      </c>
      <c r="BU1366" t="s">
        <v>69</v>
      </c>
      <c r="BV1366" t="s">
        <v>69</v>
      </c>
      <c r="BW1366" t="s">
        <v>69</v>
      </c>
      <c r="BX1366" t="s">
        <v>8526</v>
      </c>
      <c r="BY1366" t="str">
        <f>HYPERLINK("https%3A%2F%2Fwww.webofscience.com%2Fwos%2Fwoscc%2Ffull-record%2FWOS:000217130200005","View Full Record in Web of Science")</f>
        <v>View Full Record in Web of Science</v>
      </c>
    </row>
    <row r="1367" spans="1:77" ht="12.5" x14ac:dyDescent="0.25">
      <c r="A1367" t="s">
        <v>8495</v>
      </c>
      <c r="B1367" s="7" t="s">
        <v>32933</v>
      </c>
      <c r="C1367" s="7"/>
      <c r="D1367" s="7"/>
      <c r="E1367" s="7"/>
      <c r="F1367" t="s">
        <v>67</v>
      </c>
      <c r="G1367" t="s">
        <v>6392</v>
      </c>
      <c r="H1367" t="s">
        <v>69</v>
      </c>
      <c r="I1367" t="s">
        <v>69</v>
      </c>
      <c r="J1367" t="s">
        <v>69</v>
      </c>
      <c r="K1367" t="s">
        <v>6393</v>
      </c>
      <c r="L1367" t="s">
        <v>69</v>
      </c>
      <c r="M1367" t="s">
        <v>69</v>
      </c>
      <c r="N1367" t="s">
        <v>6394</v>
      </c>
      <c r="O1367" t="s">
        <v>582</v>
      </c>
      <c r="P1367" t="s">
        <v>69</v>
      </c>
      <c r="Q1367" t="s">
        <v>69</v>
      </c>
      <c r="R1367" t="s">
        <v>8505</v>
      </c>
      <c r="S1367" t="s">
        <v>25919</v>
      </c>
      <c r="T1367" t="s">
        <v>69</v>
      </c>
      <c r="U1367" t="s">
        <v>69</v>
      </c>
      <c r="V1367" t="s">
        <v>69</v>
      </c>
      <c r="W1367" t="s">
        <v>69</v>
      </c>
      <c r="X1367" t="s">
        <v>69</v>
      </c>
      <c r="Y1367" t="s">
        <v>25920</v>
      </c>
      <c r="Z1367" t="s">
        <v>20696</v>
      </c>
      <c r="AA1367" t="s">
        <v>6395</v>
      </c>
      <c r="AB1367" t="s">
        <v>25921</v>
      </c>
      <c r="AC1367" t="s">
        <v>69</v>
      </c>
      <c r="AD1367" t="s">
        <v>25922</v>
      </c>
      <c r="AE1367" t="s">
        <v>25923</v>
      </c>
      <c r="AF1367" t="s">
        <v>69</v>
      </c>
      <c r="AG1367" t="s">
        <v>69</v>
      </c>
      <c r="AH1367" t="s">
        <v>69</v>
      </c>
      <c r="AI1367" t="s">
        <v>69</v>
      </c>
      <c r="AJ1367" t="s">
        <v>69</v>
      </c>
      <c r="AK1367" t="s">
        <v>69</v>
      </c>
      <c r="AL1367">
        <v>54</v>
      </c>
      <c r="AM1367">
        <v>33</v>
      </c>
      <c r="AN1367">
        <v>37</v>
      </c>
      <c r="AO1367">
        <v>0</v>
      </c>
      <c r="AP1367">
        <v>31</v>
      </c>
      <c r="AQ1367" t="s">
        <v>8692</v>
      </c>
      <c r="AR1367" t="s">
        <v>8693</v>
      </c>
      <c r="AS1367" t="s">
        <v>18139</v>
      </c>
      <c r="AT1367" t="s">
        <v>584</v>
      </c>
      <c r="AU1367" t="s">
        <v>585</v>
      </c>
      <c r="AV1367" t="s">
        <v>69</v>
      </c>
      <c r="AW1367" t="s">
        <v>8695</v>
      </c>
      <c r="AX1367" t="s">
        <v>8696</v>
      </c>
      <c r="AY1367" t="s">
        <v>84</v>
      </c>
      <c r="AZ1367">
        <v>2012</v>
      </c>
      <c r="BA1367">
        <v>35</v>
      </c>
      <c r="BB1367" t="s">
        <v>69</v>
      </c>
      <c r="BC1367" t="s">
        <v>69</v>
      </c>
      <c r="BD1367" t="s">
        <v>69</v>
      </c>
      <c r="BE1367" t="s">
        <v>69</v>
      </c>
      <c r="BF1367" t="s">
        <v>69</v>
      </c>
      <c r="BG1367">
        <v>23</v>
      </c>
      <c r="BH1367">
        <v>36</v>
      </c>
      <c r="BI1367" t="s">
        <v>69</v>
      </c>
      <c r="BJ1367" t="s">
        <v>6396</v>
      </c>
      <c r="BK1367" t="str">
        <f>HYPERLINK("http://dx.doi.org/10.1016/j.eiar.2012.01.005","http://dx.doi.org/10.1016/j.eiar.2012.01.005")</f>
        <v>http://dx.doi.org/10.1016/j.eiar.2012.01.005</v>
      </c>
      <c r="BL1367" t="s">
        <v>69</v>
      </c>
      <c r="BM1367" t="s">
        <v>69</v>
      </c>
      <c r="BN1367">
        <v>14</v>
      </c>
      <c r="BO1367" t="s">
        <v>8660</v>
      </c>
      <c r="BP1367" t="s">
        <v>8661</v>
      </c>
      <c r="BQ1367" t="s">
        <v>8662</v>
      </c>
      <c r="BR1367" t="s">
        <v>25924</v>
      </c>
      <c r="BS1367" t="s">
        <v>6397</v>
      </c>
      <c r="BT1367" t="s">
        <v>69</v>
      </c>
      <c r="BU1367" t="s">
        <v>69</v>
      </c>
      <c r="BV1367" t="s">
        <v>69</v>
      </c>
      <c r="BW1367" t="s">
        <v>69</v>
      </c>
      <c r="BX1367" t="s">
        <v>8526</v>
      </c>
      <c r="BY1367" t="str">
        <f>HYPERLINK("https%3A%2F%2Fwww.webofscience.com%2Fwos%2Fwoscc%2Ffull-record%2FWOS:000304217400003","View Full Record in Web of Science")</f>
        <v>View Full Record in Web of Science</v>
      </c>
    </row>
    <row r="1368" spans="1:77" ht="12.5" x14ac:dyDescent="0.25">
      <c r="A1368" t="s">
        <v>8495</v>
      </c>
      <c r="B1368" s="7" t="s">
        <v>32933</v>
      </c>
      <c r="C1368" s="7"/>
      <c r="D1368" s="7"/>
      <c r="E1368" s="7"/>
      <c r="F1368" t="s">
        <v>67</v>
      </c>
      <c r="G1368" t="s">
        <v>4952</v>
      </c>
      <c r="H1368" t="s">
        <v>69</v>
      </c>
      <c r="I1368" t="s">
        <v>69</v>
      </c>
      <c r="J1368" t="s">
        <v>69</v>
      </c>
      <c r="K1368" t="s">
        <v>4953</v>
      </c>
      <c r="L1368" t="s">
        <v>69</v>
      </c>
      <c r="M1368" t="s">
        <v>69</v>
      </c>
      <c r="N1368" t="s">
        <v>4954</v>
      </c>
      <c r="O1368" t="s">
        <v>4955</v>
      </c>
      <c r="P1368" t="s">
        <v>69</v>
      </c>
      <c r="Q1368" t="s">
        <v>69</v>
      </c>
      <c r="R1368" t="s">
        <v>8505</v>
      </c>
      <c r="S1368" t="s">
        <v>8442</v>
      </c>
      <c r="T1368" t="s">
        <v>69</v>
      </c>
      <c r="U1368" t="s">
        <v>69</v>
      </c>
      <c r="V1368" t="s">
        <v>69</v>
      </c>
      <c r="W1368" t="s">
        <v>69</v>
      </c>
      <c r="X1368" t="s">
        <v>69</v>
      </c>
      <c r="Y1368" t="s">
        <v>21640</v>
      </c>
      <c r="Z1368" t="s">
        <v>21641</v>
      </c>
      <c r="AA1368" t="s">
        <v>4956</v>
      </c>
      <c r="AB1368" t="s">
        <v>21642</v>
      </c>
      <c r="AC1368" t="s">
        <v>69</v>
      </c>
      <c r="AD1368" t="s">
        <v>21643</v>
      </c>
      <c r="AE1368" t="s">
        <v>21644</v>
      </c>
      <c r="AF1368" t="s">
        <v>4957</v>
      </c>
      <c r="AG1368" t="s">
        <v>21645</v>
      </c>
      <c r="AH1368" t="s">
        <v>21646</v>
      </c>
      <c r="AI1368" t="s">
        <v>21646</v>
      </c>
      <c r="AJ1368" t="s">
        <v>21647</v>
      </c>
      <c r="AK1368" t="s">
        <v>69</v>
      </c>
      <c r="AL1368">
        <v>70</v>
      </c>
      <c r="AM1368">
        <v>14</v>
      </c>
      <c r="AN1368">
        <v>15</v>
      </c>
      <c r="AO1368">
        <v>2</v>
      </c>
      <c r="AP1368">
        <v>9</v>
      </c>
      <c r="AQ1368" t="s">
        <v>21648</v>
      </c>
      <c r="AR1368" t="s">
        <v>21649</v>
      </c>
      <c r="AS1368" t="s">
        <v>21650</v>
      </c>
      <c r="AT1368" t="s">
        <v>4958</v>
      </c>
      <c r="AU1368" t="s">
        <v>4959</v>
      </c>
      <c r="AV1368" t="s">
        <v>69</v>
      </c>
      <c r="AW1368" t="s">
        <v>21651</v>
      </c>
      <c r="AX1368" t="s">
        <v>21652</v>
      </c>
      <c r="AY1368" t="s">
        <v>155</v>
      </c>
      <c r="AZ1368">
        <v>2016</v>
      </c>
      <c r="BA1368" t="s">
        <v>69</v>
      </c>
      <c r="BB1368">
        <v>79</v>
      </c>
      <c r="BC1368" t="s">
        <v>69</v>
      </c>
      <c r="BD1368" t="s">
        <v>69</v>
      </c>
      <c r="BE1368" t="s">
        <v>69</v>
      </c>
      <c r="BF1368" t="s">
        <v>69</v>
      </c>
      <c r="BG1368">
        <v>174</v>
      </c>
      <c r="BH1368">
        <v>184</v>
      </c>
      <c r="BI1368" t="s">
        <v>69</v>
      </c>
      <c r="BJ1368" t="s">
        <v>4960</v>
      </c>
      <c r="BK1368" t="str">
        <f>HYPERLINK("http://dx.doi.org/10.17533/udea.redin.n79a16","http://dx.doi.org/10.17533/udea.redin.n79a16")</f>
        <v>http://dx.doi.org/10.17533/udea.redin.n79a16</v>
      </c>
      <c r="BL1368" t="s">
        <v>69</v>
      </c>
      <c r="BM1368" t="s">
        <v>69</v>
      </c>
      <c r="BN1368">
        <v>11</v>
      </c>
      <c r="BO1368" t="s">
        <v>9891</v>
      </c>
      <c r="BP1368" t="s">
        <v>8573</v>
      </c>
      <c r="BQ1368" t="s">
        <v>8445</v>
      </c>
      <c r="BR1368" t="s">
        <v>21653</v>
      </c>
      <c r="BS1368" t="s">
        <v>4961</v>
      </c>
      <c r="BT1368" t="s">
        <v>69</v>
      </c>
      <c r="BU1368" t="s">
        <v>12297</v>
      </c>
      <c r="BV1368" t="s">
        <v>69</v>
      </c>
      <c r="BW1368" t="s">
        <v>69</v>
      </c>
      <c r="BX1368" t="s">
        <v>8526</v>
      </c>
      <c r="BY1368" t="str">
        <f>HYPERLINK("https%3A%2F%2Fwww.webofscience.com%2Fwos%2Fwoscc%2Ffull-record%2FWOS:000417474000016","View Full Record in Web of Science")</f>
        <v>View Full Record in Web of Science</v>
      </c>
    </row>
    <row r="1369" spans="1:77" ht="12.5" x14ac:dyDescent="0.25">
      <c r="A1369" t="s">
        <v>8495</v>
      </c>
      <c r="B1369" s="7" t="s">
        <v>32933</v>
      </c>
      <c r="C1369" s="7"/>
      <c r="D1369" s="7"/>
      <c r="E1369" s="7"/>
      <c r="F1369" t="s">
        <v>67</v>
      </c>
      <c r="G1369" t="s">
        <v>3326</v>
      </c>
      <c r="H1369" t="s">
        <v>69</v>
      </c>
      <c r="I1369" t="s">
        <v>69</v>
      </c>
      <c r="J1369" t="s">
        <v>69</v>
      </c>
      <c r="K1369" t="s">
        <v>3327</v>
      </c>
      <c r="L1369" t="s">
        <v>69</v>
      </c>
      <c r="M1369" t="s">
        <v>69</v>
      </c>
      <c r="N1369" t="s">
        <v>3328</v>
      </c>
      <c r="O1369" t="s">
        <v>3329</v>
      </c>
      <c r="P1369" t="s">
        <v>69</v>
      </c>
      <c r="Q1369" t="s">
        <v>69</v>
      </c>
      <c r="R1369" t="s">
        <v>8505</v>
      </c>
      <c r="S1369" t="s">
        <v>8506</v>
      </c>
      <c r="T1369" t="s">
        <v>69</v>
      </c>
      <c r="U1369" t="s">
        <v>69</v>
      </c>
      <c r="V1369" t="s">
        <v>69</v>
      </c>
      <c r="W1369" t="s">
        <v>69</v>
      </c>
      <c r="X1369" t="s">
        <v>69</v>
      </c>
      <c r="Y1369" t="s">
        <v>25049</v>
      </c>
      <c r="Z1369" t="s">
        <v>25050</v>
      </c>
      <c r="AA1369" t="s">
        <v>3330</v>
      </c>
      <c r="AB1369" t="s">
        <v>25051</v>
      </c>
      <c r="AC1369" t="s">
        <v>69</v>
      </c>
      <c r="AD1369" t="s">
        <v>25052</v>
      </c>
      <c r="AE1369" t="s">
        <v>69</v>
      </c>
      <c r="AF1369" t="s">
        <v>25053</v>
      </c>
      <c r="AG1369" t="s">
        <v>25054</v>
      </c>
      <c r="AH1369" t="s">
        <v>69</v>
      </c>
      <c r="AI1369" t="s">
        <v>69</v>
      </c>
      <c r="AJ1369" t="s">
        <v>69</v>
      </c>
      <c r="AK1369" t="s">
        <v>69</v>
      </c>
      <c r="AL1369">
        <v>53</v>
      </c>
      <c r="AM1369">
        <v>2</v>
      </c>
      <c r="AN1369">
        <v>2</v>
      </c>
      <c r="AO1369">
        <v>0</v>
      </c>
      <c r="AP1369">
        <v>19</v>
      </c>
      <c r="AQ1369" t="s">
        <v>25055</v>
      </c>
      <c r="AR1369" t="s">
        <v>25056</v>
      </c>
      <c r="AS1369" t="s">
        <v>25057</v>
      </c>
      <c r="AT1369" t="s">
        <v>3331</v>
      </c>
      <c r="AU1369" t="s">
        <v>69</v>
      </c>
      <c r="AV1369" t="s">
        <v>69</v>
      </c>
      <c r="AW1369" t="s">
        <v>25058</v>
      </c>
      <c r="AX1369" t="s">
        <v>25059</v>
      </c>
      <c r="AY1369" t="s">
        <v>246</v>
      </c>
      <c r="AZ1369">
        <v>2013</v>
      </c>
      <c r="BA1369">
        <v>18</v>
      </c>
      <c r="BB1369">
        <v>2</v>
      </c>
      <c r="BC1369" t="s">
        <v>69</v>
      </c>
      <c r="BD1369" t="s">
        <v>69</v>
      </c>
      <c r="BE1369" t="s">
        <v>69</v>
      </c>
      <c r="BF1369" t="s">
        <v>69</v>
      </c>
      <c r="BG1369">
        <v>69</v>
      </c>
      <c r="BH1369">
        <v>76</v>
      </c>
      <c r="BI1369" t="s">
        <v>69</v>
      </c>
      <c r="BJ1369" t="s">
        <v>69</v>
      </c>
      <c r="BK1369" t="s">
        <v>69</v>
      </c>
      <c r="BL1369" t="s">
        <v>69</v>
      </c>
      <c r="BM1369" t="s">
        <v>69</v>
      </c>
      <c r="BN1369">
        <v>8</v>
      </c>
      <c r="BO1369" t="s">
        <v>12687</v>
      </c>
      <c r="BP1369" t="s">
        <v>8548</v>
      </c>
      <c r="BQ1369" t="s">
        <v>12687</v>
      </c>
      <c r="BR1369" t="s">
        <v>25060</v>
      </c>
      <c r="BS1369" t="s">
        <v>3332</v>
      </c>
      <c r="BT1369" t="s">
        <v>69</v>
      </c>
      <c r="BU1369" t="s">
        <v>69</v>
      </c>
      <c r="BV1369" t="s">
        <v>69</v>
      </c>
      <c r="BW1369" t="s">
        <v>69</v>
      </c>
      <c r="BX1369" t="s">
        <v>8526</v>
      </c>
      <c r="BY1369" t="str">
        <f>HYPERLINK("https%3A%2F%2Fwww.webofscience.com%2Fwos%2Fwoscc%2Ffull-record%2FWOS:000323802700003","View Full Record in Web of Science")</f>
        <v>View Full Record in Web of Science</v>
      </c>
    </row>
    <row r="1370" spans="1:77" ht="12.5" x14ac:dyDescent="0.25">
      <c r="A1370" t="s">
        <v>8495</v>
      </c>
      <c r="B1370" s="22" t="s">
        <v>32931</v>
      </c>
      <c r="C1370" s="7"/>
      <c r="D1370" s="7"/>
      <c r="E1370" s="7"/>
      <c r="F1370" t="s">
        <v>67</v>
      </c>
      <c r="G1370" t="s">
        <v>9117</v>
      </c>
      <c r="H1370" t="s">
        <v>69</v>
      </c>
      <c r="I1370" t="s">
        <v>69</v>
      </c>
      <c r="J1370" t="s">
        <v>69</v>
      </c>
      <c r="K1370" t="s">
        <v>9118</v>
      </c>
      <c r="L1370" t="s">
        <v>69</v>
      </c>
      <c r="M1370" t="s">
        <v>69</v>
      </c>
      <c r="N1370" t="s">
        <v>9119</v>
      </c>
      <c r="O1370" t="s">
        <v>408</v>
      </c>
      <c r="P1370" t="s">
        <v>69</v>
      </c>
      <c r="Q1370" t="s">
        <v>69</v>
      </c>
      <c r="R1370" t="s">
        <v>8505</v>
      </c>
      <c r="S1370" t="s">
        <v>9035</v>
      </c>
      <c r="T1370" t="s">
        <v>69</v>
      </c>
      <c r="U1370" t="s">
        <v>69</v>
      </c>
      <c r="V1370" t="s">
        <v>69</v>
      </c>
      <c r="W1370" t="s">
        <v>69</v>
      </c>
      <c r="X1370" t="s">
        <v>69</v>
      </c>
      <c r="Y1370" t="s">
        <v>9120</v>
      </c>
      <c r="Z1370" t="s">
        <v>69</v>
      </c>
      <c r="AA1370" t="s">
        <v>9121</v>
      </c>
      <c r="AB1370" t="s">
        <v>9122</v>
      </c>
      <c r="AC1370" t="s">
        <v>69</v>
      </c>
      <c r="AD1370" t="s">
        <v>9123</v>
      </c>
      <c r="AE1370" t="s">
        <v>9124</v>
      </c>
      <c r="AF1370" t="s">
        <v>69</v>
      </c>
      <c r="AG1370" t="s">
        <v>69</v>
      </c>
      <c r="AH1370" t="s">
        <v>69</v>
      </c>
      <c r="AI1370" t="s">
        <v>69</v>
      </c>
      <c r="AJ1370" t="s">
        <v>69</v>
      </c>
      <c r="AK1370" t="s">
        <v>69</v>
      </c>
      <c r="AL1370">
        <v>124</v>
      </c>
      <c r="AM1370">
        <v>0</v>
      </c>
      <c r="AN1370">
        <v>0</v>
      </c>
      <c r="AO1370">
        <v>4</v>
      </c>
      <c r="AP1370">
        <v>4</v>
      </c>
      <c r="AQ1370" t="s">
        <v>8586</v>
      </c>
      <c r="AR1370" t="s">
        <v>8587</v>
      </c>
      <c r="AS1370" t="s">
        <v>8588</v>
      </c>
      <c r="AT1370" t="s">
        <v>410</v>
      </c>
      <c r="AU1370" t="s">
        <v>411</v>
      </c>
      <c r="AV1370" t="s">
        <v>69</v>
      </c>
      <c r="AW1370" t="s">
        <v>9125</v>
      </c>
      <c r="AX1370" t="s">
        <v>9126</v>
      </c>
      <c r="AY1370" t="s">
        <v>69</v>
      </c>
      <c r="AZ1370" t="s">
        <v>69</v>
      </c>
      <c r="BA1370" t="s">
        <v>69</v>
      </c>
      <c r="BB1370" t="s">
        <v>69</v>
      </c>
      <c r="BC1370" t="s">
        <v>69</v>
      </c>
      <c r="BD1370" t="s">
        <v>69</v>
      </c>
      <c r="BE1370" t="s">
        <v>69</v>
      </c>
      <c r="BF1370" t="s">
        <v>69</v>
      </c>
      <c r="BG1370" t="s">
        <v>69</v>
      </c>
      <c r="BH1370" t="s">
        <v>69</v>
      </c>
      <c r="BI1370" t="s">
        <v>69</v>
      </c>
      <c r="BJ1370" t="s">
        <v>9127</v>
      </c>
      <c r="BK1370" t="str">
        <f>HYPERLINK("http://dx.doi.org/10.1108/ECAM-07-2021-0664","http://dx.doi.org/10.1108/ECAM-07-2021-0664")</f>
        <v>http://dx.doi.org/10.1108/ECAM-07-2021-0664</v>
      </c>
      <c r="BL1370" t="s">
        <v>69</v>
      </c>
      <c r="BM1370" t="s">
        <v>9025</v>
      </c>
      <c r="BN1370">
        <v>24</v>
      </c>
      <c r="BO1370" t="s">
        <v>9128</v>
      </c>
      <c r="BP1370" t="s">
        <v>8523</v>
      </c>
      <c r="BQ1370" t="s">
        <v>9129</v>
      </c>
      <c r="BR1370" t="s">
        <v>9130</v>
      </c>
      <c r="BS1370" t="s">
        <v>9131</v>
      </c>
      <c r="BT1370" t="s">
        <v>69</v>
      </c>
      <c r="BU1370" t="s">
        <v>69</v>
      </c>
      <c r="BV1370" t="s">
        <v>69</v>
      </c>
      <c r="BW1370" t="s">
        <v>69</v>
      </c>
      <c r="BX1370" t="s">
        <v>8526</v>
      </c>
      <c r="BY1370" t="str">
        <f>HYPERLINK("https%3A%2F%2Fwww.webofscience.com%2Fwos%2Fwoscc%2Ffull-record%2FWOS:000788447700001","View Full Record in Web of Science")</f>
        <v>View Full Record in Web of Science</v>
      </c>
    </row>
    <row r="1371" spans="1:77" ht="12.5" x14ac:dyDescent="0.25">
      <c r="A1371" t="s">
        <v>8495</v>
      </c>
      <c r="B1371" s="7" t="s">
        <v>32933</v>
      </c>
      <c r="C1371" s="7"/>
      <c r="D1371" s="7"/>
      <c r="E1371" s="7"/>
      <c r="F1371" t="s">
        <v>627</v>
      </c>
      <c r="G1371" t="s">
        <v>645</v>
      </c>
      <c r="H1371" t="s">
        <v>69</v>
      </c>
      <c r="I1371" t="s">
        <v>646</v>
      </c>
      <c r="J1371" t="s">
        <v>69</v>
      </c>
      <c r="K1371" t="s">
        <v>647</v>
      </c>
      <c r="L1371" t="s">
        <v>69</v>
      </c>
      <c r="M1371" t="s">
        <v>69</v>
      </c>
      <c r="N1371" t="s">
        <v>648</v>
      </c>
      <c r="O1371" t="s">
        <v>649</v>
      </c>
      <c r="P1371" t="s">
        <v>650</v>
      </c>
      <c r="Q1371" t="s">
        <v>69</v>
      </c>
      <c r="R1371" t="s">
        <v>8505</v>
      </c>
      <c r="S1371" t="s">
        <v>17635</v>
      </c>
      <c r="T1371" t="s">
        <v>69</v>
      </c>
      <c r="U1371" t="s">
        <v>69</v>
      </c>
      <c r="V1371" t="s">
        <v>69</v>
      </c>
      <c r="W1371" t="s">
        <v>69</v>
      </c>
      <c r="X1371" t="s">
        <v>69</v>
      </c>
      <c r="Y1371" t="s">
        <v>69</v>
      </c>
      <c r="Z1371" t="s">
        <v>17636</v>
      </c>
      <c r="AA1371" t="s">
        <v>651</v>
      </c>
      <c r="AB1371" t="s">
        <v>17637</v>
      </c>
      <c r="AC1371" t="s">
        <v>69</v>
      </c>
      <c r="AD1371" t="s">
        <v>17638</v>
      </c>
      <c r="AE1371" t="s">
        <v>17639</v>
      </c>
      <c r="AF1371" t="s">
        <v>69</v>
      </c>
      <c r="AG1371" t="s">
        <v>17640</v>
      </c>
      <c r="AH1371" t="s">
        <v>69</v>
      </c>
      <c r="AI1371" t="s">
        <v>69</v>
      </c>
      <c r="AJ1371" t="s">
        <v>69</v>
      </c>
      <c r="AK1371" t="s">
        <v>69</v>
      </c>
      <c r="AL1371">
        <v>830</v>
      </c>
      <c r="AM1371">
        <v>35</v>
      </c>
      <c r="AN1371">
        <v>35</v>
      </c>
      <c r="AO1371">
        <v>11</v>
      </c>
      <c r="AP1371">
        <v>58</v>
      </c>
      <c r="AQ1371" t="s">
        <v>17641</v>
      </c>
      <c r="AR1371" t="s">
        <v>8763</v>
      </c>
      <c r="AS1371" t="s">
        <v>17642</v>
      </c>
      <c r="AT1371" t="s">
        <v>652</v>
      </c>
      <c r="AU1371" t="s">
        <v>17643</v>
      </c>
      <c r="AV1371" t="s">
        <v>653</v>
      </c>
      <c r="AW1371" t="s">
        <v>17644</v>
      </c>
      <c r="AX1371" t="s">
        <v>17645</v>
      </c>
      <c r="AY1371" t="s">
        <v>69</v>
      </c>
      <c r="AZ1371">
        <v>2019</v>
      </c>
      <c r="BA1371">
        <v>158</v>
      </c>
      <c r="BB1371" t="s">
        <v>69</v>
      </c>
      <c r="BC1371" t="s">
        <v>69</v>
      </c>
      <c r="BD1371" t="s">
        <v>69</v>
      </c>
      <c r="BE1371" t="s">
        <v>69</v>
      </c>
      <c r="BF1371" t="s">
        <v>69</v>
      </c>
      <c r="BG1371">
        <v>1</v>
      </c>
      <c r="BH1371">
        <v>130</v>
      </c>
      <c r="BI1371" t="s">
        <v>69</v>
      </c>
      <c r="BJ1371" t="s">
        <v>654</v>
      </c>
      <c r="BK1371" t="str">
        <f>HYPERLINK("http://dx.doi.org/10.1016/bs.agron.2019.07.001","http://dx.doi.org/10.1016/bs.agron.2019.07.001")</f>
        <v>http://dx.doi.org/10.1016/bs.agron.2019.07.001</v>
      </c>
      <c r="BL1371" t="s">
        <v>69</v>
      </c>
      <c r="BM1371" t="s">
        <v>69</v>
      </c>
      <c r="BN1371">
        <v>130</v>
      </c>
      <c r="BO1371" t="s">
        <v>17646</v>
      </c>
      <c r="BP1371" t="s">
        <v>17647</v>
      </c>
      <c r="BQ1371" t="s">
        <v>8450</v>
      </c>
      <c r="BR1371" t="s">
        <v>17648</v>
      </c>
      <c r="BS1371" t="s">
        <v>655</v>
      </c>
      <c r="BT1371" t="s">
        <v>69</v>
      </c>
      <c r="BU1371" t="s">
        <v>10423</v>
      </c>
      <c r="BV1371" t="s">
        <v>69</v>
      </c>
      <c r="BW1371" t="s">
        <v>69</v>
      </c>
      <c r="BX1371" t="s">
        <v>8526</v>
      </c>
      <c r="BY1371" t="str">
        <f>HYPERLINK("https%3A%2F%2Fwww.webofscience.com%2Fwos%2Fwoscc%2Ffull-record%2FWOS:000516525800002","View Full Record in Web of Science")</f>
        <v>View Full Record in Web of Science</v>
      </c>
    </row>
    <row r="1372" spans="1:77" ht="12.5" x14ac:dyDescent="0.25">
      <c r="A1372" t="s">
        <v>8495</v>
      </c>
      <c r="B1372" s="22" t="s">
        <v>32931</v>
      </c>
      <c r="C1372" s="7"/>
      <c r="D1372" s="7"/>
      <c r="E1372" s="7"/>
      <c r="F1372" t="s">
        <v>67</v>
      </c>
      <c r="G1372" t="s">
        <v>11656</v>
      </c>
      <c r="H1372" t="s">
        <v>69</v>
      </c>
      <c r="I1372" t="s">
        <v>69</v>
      </c>
      <c r="J1372" t="s">
        <v>69</v>
      </c>
      <c r="K1372" t="s">
        <v>11657</v>
      </c>
      <c r="L1372" t="s">
        <v>69</v>
      </c>
      <c r="M1372" t="s">
        <v>69</v>
      </c>
      <c r="N1372" t="s">
        <v>11658</v>
      </c>
      <c r="O1372" t="s">
        <v>11659</v>
      </c>
      <c r="P1372" t="s">
        <v>69</v>
      </c>
      <c r="Q1372" t="s">
        <v>69</v>
      </c>
      <c r="R1372" t="s">
        <v>8505</v>
      </c>
      <c r="S1372" t="s">
        <v>8442</v>
      </c>
      <c r="T1372" t="s">
        <v>69</v>
      </c>
      <c r="U1372" t="s">
        <v>69</v>
      </c>
      <c r="V1372" t="s">
        <v>69</v>
      </c>
      <c r="W1372" t="s">
        <v>69</v>
      </c>
      <c r="X1372" t="s">
        <v>69</v>
      </c>
      <c r="Y1372" t="s">
        <v>11660</v>
      </c>
      <c r="Z1372" t="s">
        <v>11661</v>
      </c>
      <c r="AA1372" t="s">
        <v>11662</v>
      </c>
      <c r="AB1372" t="s">
        <v>11663</v>
      </c>
      <c r="AC1372" t="s">
        <v>69</v>
      </c>
      <c r="AD1372" t="s">
        <v>11664</v>
      </c>
      <c r="AE1372" t="s">
        <v>11665</v>
      </c>
      <c r="AF1372" t="s">
        <v>69</v>
      </c>
      <c r="AG1372" t="s">
        <v>69</v>
      </c>
      <c r="AH1372" t="s">
        <v>69</v>
      </c>
      <c r="AI1372" t="s">
        <v>69</v>
      </c>
      <c r="AJ1372" t="s">
        <v>69</v>
      </c>
      <c r="AK1372" t="s">
        <v>69</v>
      </c>
      <c r="AL1372">
        <v>59</v>
      </c>
      <c r="AM1372">
        <v>1</v>
      </c>
      <c r="AN1372">
        <v>1</v>
      </c>
      <c r="AO1372">
        <v>6</v>
      </c>
      <c r="AP1372">
        <v>7</v>
      </c>
      <c r="AQ1372" t="s">
        <v>11666</v>
      </c>
      <c r="AR1372" t="s">
        <v>11667</v>
      </c>
      <c r="AS1372" t="s">
        <v>11668</v>
      </c>
      <c r="AT1372" t="s">
        <v>11669</v>
      </c>
      <c r="AU1372" t="s">
        <v>11670</v>
      </c>
      <c r="AV1372" t="s">
        <v>69</v>
      </c>
      <c r="AW1372" t="s">
        <v>11671</v>
      </c>
      <c r="AX1372" t="s">
        <v>11672</v>
      </c>
      <c r="AY1372" t="s">
        <v>201</v>
      </c>
      <c r="AZ1372">
        <v>2021</v>
      </c>
      <c r="BA1372">
        <v>33</v>
      </c>
      <c r="BB1372">
        <v>3</v>
      </c>
      <c r="BC1372" t="s">
        <v>69</v>
      </c>
      <c r="BD1372" t="s">
        <v>69</v>
      </c>
      <c r="BE1372" t="s">
        <v>69</v>
      </c>
      <c r="BF1372" t="s">
        <v>69</v>
      </c>
      <c r="BG1372">
        <v>503</v>
      </c>
      <c r="BH1372">
        <v>515</v>
      </c>
      <c r="BI1372" t="s">
        <v>69</v>
      </c>
      <c r="BJ1372" t="s">
        <v>11673</v>
      </c>
      <c r="BK1372" t="str">
        <f>HYPERLINK("http://dx.doi.org/10.17576/jkukm-2021-33(3)-12","http://dx.doi.org/10.17576/jkukm-2021-33(3)-12")</f>
        <v>http://dx.doi.org/10.17576/jkukm-2021-33(3)-12</v>
      </c>
      <c r="BL1372" t="s">
        <v>69</v>
      </c>
      <c r="BM1372" t="s">
        <v>69</v>
      </c>
      <c r="BN1372">
        <v>13</v>
      </c>
      <c r="BO1372" t="s">
        <v>9891</v>
      </c>
      <c r="BP1372" t="s">
        <v>8573</v>
      </c>
      <c r="BQ1372" t="s">
        <v>8445</v>
      </c>
      <c r="BR1372" t="s">
        <v>11674</v>
      </c>
      <c r="BS1372" t="s">
        <v>11675</v>
      </c>
      <c r="BT1372" t="s">
        <v>69</v>
      </c>
      <c r="BU1372" t="s">
        <v>69</v>
      </c>
      <c r="BV1372" t="s">
        <v>69</v>
      </c>
      <c r="BW1372" t="s">
        <v>69</v>
      </c>
      <c r="BX1372" t="s">
        <v>8526</v>
      </c>
      <c r="BY1372" t="str">
        <f>HYPERLINK("https%3A%2F%2Fwww.webofscience.com%2Fwos%2Fwoscc%2Ffull-record%2FWOS:000690883700011","View Full Record in Web of Science")</f>
        <v>View Full Record in Web of Science</v>
      </c>
    </row>
    <row r="1373" spans="1:77" ht="12.5" x14ac:dyDescent="0.25">
      <c r="A1373" t="s">
        <v>8495</v>
      </c>
      <c r="B1373" s="22" t="s">
        <v>32931</v>
      </c>
      <c r="C1373" s="7"/>
      <c r="D1373" s="7"/>
      <c r="E1373" s="7"/>
      <c r="F1373" t="s">
        <v>67</v>
      </c>
      <c r="G1373" t="s">
        <v>17550</v>
      </c>
      <c r="H1373" t="s">
        <v>69</v>
      </c>
      <c r="I1373" t="s">
        <v>69</v>
      </c>
      <c r="J1373" t="s">
        <v>69</v>
      </c>
      <c r="K1373" t="s">
        <v>17551</v>
      </c>
      <c r="L1373" t="s">
        <v>69</v>
      </c>
      <c r="M1373" t="s">
        <v>69</v>
      </c>
      <c r="N1373" t="s">
        <v>17552</v>
      </c>
      <c r="O1373" t="s">
        <v>17553</v>
      </c>
      <c r="P1373" t="s">
        <v>69</v>
      </c>
      <c r="Q1373" t="s">
        <v>69</v>
      </c>
      <c r="R1373" t="s">
        <v>8505</v>
      </c>
      <c r="S1373" t="s">
        <v>8442</v>
      </c>
      <c r="T1373" t="s">
        <v>69</v>
      </c>
      <c r="U1373" t="s">
        <v>69</v>
      </c>
      <c r="V1373" t="s">
        <v>69</v>
      </c>
      <c r="W1373" t="s">
        <v>69</v>
      </c>
      <c r="X1373" t="s">
        <v>69</v>
      </c>
      <c r="Y1373" t="s">
        <v>17554</v>
      </c>
      <c r="Z1373" t="s">
        <v>17555</v>
      </c>
      <c r="AA1373" t="s">
        <v>17556</v>
      </c>
      <c r="AB1373" t="s">
        <v>17557</v>
      </c>
      <c r="AC1373" t="s">
        <v>69</v>
      </c>
      <c r="AD1373" t="s">
        <v>17558</v>
      </c>
      <c r="AE1373" t="s">
        <v>17559</v>
      </c>
      <c r="AF1373" t="s">
        <v>17560</v>
      </c>
      <c r="AG1373" t="s">
        <v>17561</v>
      </c>
      <c r="AH1373" t="s">
        <v>17562</v>
      </c>
      <c r="AI1373" t="s">
        <v>17563</v>
      </c>
      <c r="AJ1373" t="s">
        <v>17564</v>
      </c>
      <c r="AK1373" t="s">
        <v>69</v>
      </c>
      <c r="AL1373">
        <v>86</v>
      </c>
      <c r="AM1373">
        <v>2</v>
      </c>
      <c r="AN1373">
        <v>2</v>
      </c>
      <c r="AO1373">
        <v>0</v>
      </c>
      <c r="AP1373">
        <v>3</v>
      </c>
      <c r="AQ1373" t="s">
        <v>8692</v>
      </c>
      <c r="AR1373" t="s">
        <v>8693</v>
      </c>
      <c r="AS1373" t="s">
        <v>8694</v>
      </c>
      <c r="AT1373" t="s">
        <v>17565</v>
      </c>
      <c r="AU1373" t="s">
        <v>17566</v>
      </c>
      <c r="AV1373" t="s">
        <v>69</v>
      </c>
      <c r="AW1373" t="s">
        <v>17567</v>
      </c>
      <c r="AX1373" t="s">
        <v>17568</v>
      </c>
      <c r="AY1373" t="s">
        <v>191</v>
      </c>
      <c r="AZ1373">
        <v>2019</v>
      </c>
      <c r="BA1373">
        <v>35</v>
      </c>
      <c r="BB1373">
        <v>1</v>
      </c>
      <c r="BC1373" t="s">
        <v>69</v>
      </c>
      <c r="BD1373" t="s">
        <v>69</v>
      </c>
      <c r="BE1373" t="s">
        <v>69</v>
      </c>
      <c r="BF1373" t="s">
        <v>69</v>
      </c>
      <c r="BG1373">
        <v>114</v>
      </c>
      <c r="BH1373">
        <v>129</v>
      </c>
      <c r="BI1373" t="s">
        <v>69</v>
      </c>
      <c r="BJ1373" t="s">
        <v>17569</v>
      </c>
      <c r="BK1373" t="str">
        <f>HYPERLINK("http://dx.doi.org/10.15232/aas.2018-01753","http://dx.doi.org/10.15232/aas.2018-01753")</f>
        <v>http://dx.doi.org/10.15232/aas.2018-01753</v>
      </c>
      <c r="BL1373" t="s">
        <v>69</v>
      </c>
      <c r="BM1373" t="s">
        <v>69</v>
      </c>
      <c r="BN1373">
        <v>16</v>
      </c>
      <c r="BO1373" t="s">
        <v>9683</v>
      </c>
      <c r="BP1373" t="s">
        <v>8573</v>
      </c>
      <c r="BQ1373" t="s">
        <v>8450</v>
      </c>
      <c r="BR1373" t="s">
        <v>17570</v>
      </c>
      <c r="BS1373" t="s">
        <v>17571</v>
      </c>
      <c r="BT1373" t="s">
        <v>69</v>
      </c>
      <c r="BU1373" t="s">
        <v>69</v>
      </c>
      <c r="BV1373" t="s">
        <v>69</v>
      </c>
      <c r="BW1373" t="s">
        <v>69</v>
      </c>
      <c r="BX1373" t="s">
        <v>8526</v>
      </c>
      <c r="BY1373" t="str">
        <f>HYPERLINK("https%3A%2F%2Fwww.webofscience.com%2Fwos%2Fwoscc%2Ffull-record%2FWOS:000538171600014","View Full Record in Web of Science")</f>
        <v>View Full Record in Web of Science</v>
      </c>
    </row>
    <row r="1374" spans="1:77" x14ac:dyDescent="0.3">
      <c r="A1374" t="s">
        <v>8495</v>
      </c>
      <c r="B1374" s="9" t="s">
        <v>32954</v>
      </c>
      <c r="C1374" s="9" t="s">
        <v>33160</v>
      </c>
      <c r="D1374" s="9" t="s">
        <v>8491</v>
      </c>
      <c r="E1374" s="9" t="s">
        <v>8490</v>
      </c>
      <c r="F1374" t="s">
        <v>67</v>
      </c>
      <c r="G1374" t="s">
        <v>13673</v>
      </c>
      <c r="H1374" t="s">
        <v>69</v>
      </c>
      <c r="I1374" t="s">
        <v>69</v>
      </c>
      <c r="J1374" t="s">
        <v>69</v>
      </c>
      <c r="K1374" t="s">
        <v>13674</v>
      </c>
      <c r="L1374" t="s">
        <v>69</v>
      </c>
      <c r="M1374" t="s">
        <v>69</v>
      </c>
      <c r="N1374" t="s">
        <v>13675</v>
      </c>
      <c r="O1374" t="s">
        <v>13676</v>
      </c>
      <c r="P1374" t="s">
        <v>69</v>
      </c>
      <c r="Q1374" t="s">
        <v>69</v>
      </c>
      <c r="R1374" t="s">
        <v>8505</v>
      </c>
      <c r="S1374" t="s">
        <v>8506</v>
      </c>
      <c r="T1374" t="s">
        <v>69</v>
      </c>
      <c r="U1374" t="s">
        <v>69</v>
      </c>
      <c r="V1374" t="s">
        <v>69</v>
      </c>
      <c r="W1374" t="s">
        <v>69</v>
      </c>
      <c r="X1374" t="s">
        <v>69</v>
      </c>
      <c r="Y1374" t="s">
        <v>13677</v>
      </c>
      <c r="Z1374" t="s">
        <v>13678</v>
      </c>
      <c r="AA1374" t="s">
        <v>13679</v>
      </c>
      <c r="AB1374" t="s">
        <v>13680</v>
      </c>
      <c r="AC1374" t="s">
        <v>69</v>
      </c>
      <c r="AD1374" t="s">
        <v>13681</v>
      </c>
      <c r="AE1374" t="s">
        <v>13682</v>
      </c>
      <c r="AF1374" t="s">
        <v>69</v>
      </c>
      <c r="AG1374" t="s">
        <v>69</v>
      </c>
      <c r="AH1374" t="s">
        <v>13683</v>
      </c>
      <c r="AI1374" t="s">
        <v>13683</v>
      </c>
      <c r="AJ1374" t="s">
        <v>13684</v>
      </c>
      <c r="AK1374" t="s">
        <v>69</v>
      </c>
      <c r="AL1374">
        <v>30</v>
      </c>
      <c r="AM1374">
        <v>0</v>
      </c>
      <c r="AN1374">
        <v>0</v>
      </c>
      <c r="AO1374">
        <v>0</v>
      </c>
      <c r="AP1374">
        <v>3</v>
      </c>
      <c r="AQ1374" t="s">
        <v>13685</v>
      </c>
      <c r="AR1374" t="s">
        <v>8763</v>
      </c>
      <c r="AS1374" t="s">
        <v>13686</v>
      </c>
      <c r="AT1374" t="s">
        <v>69</v>
      </c>
      <c r="AU1374" t="s">
        <v>13687</v>
      </c>
      <c r="AV1374" t="s">
        <v>69</v>
      </c>
      <c r="AW1374" t="s">
        <v>13688</v>
      </c>
      <c r="AX1374" t="s">
        <v>13689</v>
      </c>
      <c r="AY1374" t="s">
        <v>69</v>
      </c>
      <c r="AZ1374">
        <v>2021</v>
      </c>
      <c r="BA1374">
        <v>19</v>
      </c>
      <c r="BB1374">
        <v>1</v>
      </c>
      <c r="BC1374" t="s">
        <v>69</v>
      </c>
      <c r="BD1374" t="s">
        <v>69</v>
      </c>
      <c r="BE1374" t="s">
        <v>114</v>
      </c>
      <c r="BF1374" t="s">
        <v>69</v>
      </c>
      <c r="BG1374" t="s">
        <v>69</v>
      </c>
      <c r="BH1374" t="s">
        <v>69</v>
      </c>
      <c r="BI1374">
        <v>3</v>
      </c>
      <c r="BJ1374" t="s">
        <v>13690</v>
      </c>
      <c r="BK1374" t="str">
        <f>HYPERLINK("http://dx.doi.org/10.14324/111.444.amps.2021v19i1.003","http://dx.doi.org/10.14324/111.444.amps.2021v19i1.003")</f>
        <v>http://dx.doi.org/10.14324/111.444.amps.2021v19i1.003</v>
      </c>
      <c r="BL1374" t="s">
        <v>69</v>
      </c>
      <c r="BM1374" t="s">
        <v>69</v>
      </c>
      <c r="BN1374">
        <v>12</v>
      </c>
      <c r="BO1374" t="s">
        <v>8449</v>
      </c>
      <c r="BP1374" t="s">
        <v>8573</v>
      </c>
      <c r="BQ1374" t="s">
        <v>8449</v>
      </c>
      <c r="BR1374" t="s">
        <v>13691</v>
      </c>
      <c r="BS1374" t="s">
        <v>13692</v>
      </c>
      <c r="BT1374" t="s">
        <v>69</v>
      </c>
      <c r="BU1374" t="s">
        <v>8931</v>
      </c>
      <c r="BV1374" t="s">
        <v>69</v>
      </c>
      <c r="BW1374" t="s">
        <v>69</v>
      </c>
      <c r="BX1374" t="s">
        <v>8526</v>
      </c>
      <c r="BY1374" t="str">
        <f>HYPERLINK("https%3A%2F%2Fwww.webofscience.com%2Fwos%2Fwoscc%2Ffull-record%2FWOS:000662244100003","View Full Record in Web of Science")</f>
        <v>View Full Record in Web of Science</v>
      </c>
    </row>
    <row r="1375" spans="1:77" ht="12.5" x14ac:dyDescent="0.25">
      <c r="A1375" t="s">
        <v>8495</v>
      </c>
      <c r="B1375" s="22" t="s">
        <v>32931</v>
      </c>
      <c r="C1375" s="7"/>
      <c r="D1375" s="7"/>
      <c r="E1375" s="7"/>
      <c r="F1375" t="s">
        <v>67</v>
      </c>
      <c r="G1375" t="s">
        <v>26018</v>
      </c>
      <c r="H1375" t="s">
        <v>69</v>
      </c>
      <c r="I1375" t="s">
        <v>69</v>
      </c>
      <c r="J1375" t="s">
        <v>69</v>
      </c>
      <c r="K1375" t="s">
        <v>26019</v>
      </c>
      <c r="L1375" t="s">
        <v>69</v>
      </c>
      <c r="M1375" t="s">
        <v>69</v>
      </c>
      <c r="N1375" t="s">
        <v>26020</v>
      </c>
      <c r="O1375" t="s">
        <v>26021</v>
      </c>
      <c r="P1375" t="s">
        <v>69</v>
      </c>
      <c r="Q1375" t="s">
        <v>69</v>
      </c>
      <c r="R1375" t="s">
        <v>8505</v>
      </c>
      <c r="S1375" t="s">
        <v>8506</v>
      </c>
      <c r="T1375" t="s">
        <v>69</v>
      </c>
      <c r="U1375" t="s">
        <v>69</v>
      </c>
      <c r="V1375" t="s">
        <v>69</v>
      </c>
      <c r="W1375" t="s">
        <v>69</v>
      </c>
      <c r="X1375" t="s">
        <v>69</v>
      </c>
      <c r="Y1375" t="s">
        <v>26022</v>
      </c>
      <c r="Z1375" t="s">
        <v>26023</v>
      </c>
      <c r="AA1375" t="s">
        <v>26024</v>
      </c>
      <c r="AB1375" t="s">
        <v>26025</v>
      </c>
      <c r="AC1375" t="s">
        <v>69</v>
      </c>
      <c r="AD1375" t="s">
        <v>26026</v>
      </c>
      <c r="AE1375" t="s">
        <v>26027</v>
      </c>
      <c r="AF1375" t="s">
        <v>69</v>
      </c>
      <c r="AG1375" t="s">
        <v>69</v>
      </c>
      <c r="AH1375" t="s">
        <v>69</v>
      </c>
      <c r="AI1375" t="s">
        <v>69</v>
      </c>
      <c r="AJ1375" t="s">
        <v>69</v>
      </c>
      <c r="AK1375" t="s">
        <v>69</v>
      </c>
      <c r="AL1375">
        <v>56</v>
      </c>
      <c r="AM1375">
        <v>154</v>
      </c>
      <c r="AN1375">
        <v>167</v>
      </c>
      <c r="AO1375">
        <v>9</v>
      </c>
      <c r="AP1375">
        <v>116</v>
      </c>
      <c r="AQ1375" t="s">
        <v>8636</v>
      </c>
      <c r="AR1375" t="s">
        <v>8637</v>
      </c>
      <c r="AS1375" t="s">
        <v>8638</v>
      </c>
      <c r="AT1375" t="s">
        <v>26028</v>
      </c>
      <c r="AU1375" t="s">
        <v>26029</v>
      </c>
      <c r="AV1375" t="s">
        <v>69</v>
      </c>
      <c r="AW1375" t="s">
        <v>26030</v>
      </c>
      <c r="AX1375" t="s">
        <v>26031</v>
      </c>
      <c r="AY1375" t="s">
        <v>586</v>
      </c>
      <c r="AZ1375">
        <v>2012</v>
      </c>
      <c r="BA1375">
        <v>25</v>
      </c>
      <c r="BB1375">
        <v>3</v>
      </c>
      <c r="BC1375" t="s">
        <v>69</v>
      </c>
      <c r="BD1375" t="s">
        <v>69</v>
      </c>
      <c r="BE1375" t="s">
        <v>69</v>
      </c>
      <c r="BF1375" t="s">
        <v>69</v>
      </c>
      <c r="BG1375">
        <v>505</v>
      </c>
      <c r="BH1375">
        <v>523</v>
      </c>
      <c r="BI1375" t="s">
        <v>69</v>
      </c>
      <c r="BJ1375" t="s">
        <v>26032</v>
      </c>
      <c r="BK1375" t="str">
        <f>HYPERLINK("http://dx.doi.org/10.1016/j.jlp.2011.12.007","http://dx.doi.org/10.1016/j.jlp.2011.12.007")</f>
        <v>http://dx.doi.org/10.1016/j.jlp.2011.12.007</v>
      </c>
      <c r="BL1375" t="s">
        <v>69</v>
      </c>
      <c r="BM1375" t="s">
        <v>69</v>
      </c>
      <c r="BN1375">
        <v>19</v>
      </c>
      <c r="BO1375" t="s">
        <v>15229</v>
      </c>
      <c r="BP1375" t="s">
        <v>8548</v>
      </c>
      <c r="BQ1375" t="s">
        <v>8445</v>
      </c>
      <c r="BR1375" t="s">
        <v>26033</v>
      </c>
      <c r="BS1375" t="s">
        <v>26034</v>
      </c>
      <c r="BT1375" t="s">
        <v>69</v>
      </c>
      <c r="BU1375" t="s">
        <v>69</v>
      </c>
      <c r="BV1375" t="s">
        <v>69</v>
      </c>
      <c r="BW1375" t="s">
        <v>69</v>
      </c>
      <c r="BX1375" t="s">
        <v>8526</v>
      </c>
      <c r="BY1375" t="str">
        <f>HYPERLINK("https%3A%2F%2Fwww.webofscience.com%2Fwos%2Fwoscc%2Ffull-record%2FWOS:000303083600010","View Full Record in Web of Science")</f>
        <v>View Full Record in Web of Science</v>
      </c>
    </row>
    <row r="1376" spans="1:77" ht="12.5" x14ac:dyDescent="0.25">
      <c r="A1376" t="s">
        <v>8495</v>
      </c>
      <c r="B1376" s="7" t="s">
        <v>32933</v>
      </c>
      <c r="C1376" s="7"/>
      <c r="D1376" s="7"/>
      <c r="E1376" s="7"/>
      <c r="F1376" t="s">
        <v>67</v>
      </c>
      <c r="G1376" t="s">
        <v>6713</v>
      </c>
      <c r="H1376" t="s">
        <v>69</v>
      </c>
      <c r="I1376" t="s">
        <v>69</v>
      </c>
      <c r="J1376" t="s">
        <v>69</v>
      </c>
      <c r="K1376" t="s">
        <v>6714</v>
      </c>
      <c r="L1376" t="s">
        <v>69</v>
      </c>
      <c r="M1376" t="s">
        <v>69</v>
      </c>
      <c r="N1376" t="s">
        <v>6715</v>
      </c>
      <c r="O1376" t="s">
        <v>6716</v>
      </c>
      <c r="P1376" t="s">
        <v>69</v>
      </c>
      <c r="Q1376" t="s">
        <v>69</v>
      </c>
      <c r="R1376" t="s">
        <v>8505</v>
      </c>
      <c r="S1376" t="s">
        <v>8506</v>
      </c>
      <c r="T1376" t="s">
        <v>69</v>
      </c>
      <c r="U1376" t="s">
        <v>69</v>
      </c>
      <c r="V1376" t="s">
        <v>69</v>
      </c>
      <c r="W1376" t="s">
        <v>69</v>
      </c>
      <c r="X1376" t="s">
        <v>69</v>
      </c>
      <c r="Y1376" t="s">
        <v>19391</v>
      </c>
      <c r="Z1376" t="s">
        <v>19392</v>
      </c>
      <c r="AA1376" t="s">
        <v>6717</v>
      </c>
      <c r="AB1376" t="s">
        <v>19393</v>
      </c>
      <c r="AC1376" t="s">
        <v>69</v>
      </c>
      <c r="AD1376" t="s">
        <v>19394</v>
      </c>
      <c r="AE1376" t="s">
        <v>19395</v>
      </c>
      <c r="AF1376" t="s">
        <v>69</v>
      </c>
      <c r="AG1376" t="s">
        <v>69</v>
      </c>
      <c r="AH1376" t="s">
        <v>69</v>
      </c>
      <c r="AI1376" t="s">
        <v>69</v>
      </c>
      <c r="AJ1376" t="s">
        <v>69</v>
      </c>
      <c r="AK1376" t="s">
        <v>69</v>
      </c>
      <c r="AL1376">
        <v>52</v>
      </c>
      <c r="AM1376">
        <v>20</v>
      </c>
      <c r="AN1376">
        <v>21</v>
      </c>
      <c r="AO1376">
        <v>8</v>
      </c>
      <c r="AP1376">
        <v>64</v>
      </c>
      <c r="AQ1376" t="s">
        <v>8865</v>
      </c>
      <c r="AR1376" t="s">
        <v>8612</v>
      </c>
      <c r="AS1376" t="s">
        <v>8866</v>
      </c>
      <c r="AT1376" t="s">
        <v>6718</v>
      </c>
      <c r="AU1376" t="s">
        <v>6719</v>
      </c>
      <c r="AV1376" t="s">
        <v>69</v>
      </c>
      <c r="AW1376" t="s">
        <v>19396</v>
      </c>
      <c r="AX1376" t="s">
        <v>19397</v>
      </c>
      <c r="AY1376" t="s">
        <v>69</v>
      </c>
      <c r="AZ1376">
        <v>2018</v>
      </c>
      <c r="BA1376">
        <v>21</v>
      </c>
      <c r="BB1376">
        <v>8</v>
      </c>
      <c r="BC1376" t="s">
        <v>69</v>
      </c>
      <c r="BD1376" t="s">
        <v>69</v>
      </c>
      <c r="BE1376" t="s">
        <v>69</v>
      </c>
      <c r="BF1376" t="s">
        <v>69</v>
      </c>
      <c r="BG1376">
        <v>952</v>
      </c>
      <c r="BH1376">
        <v>973</v>
      </c>
      <c r="BI1376" t="s">
        <v>69</v>
      </c>
      <c r="BJ1376" t="s">
        <v>6720</v>
      </c>
      <c r="BK1376" t="str">
        <f>HYPERLINK("http://dx.doi.org/10.1080/13669877.2016.1264451","http://dx.doi.org/10.1080/13669877.2016.1264451")</f>
        <v>http://dx.doi.org/10.1080/13669877.2016.1264451</v>
      </c>
      <c r="BL1376" t="s">
        <v>69</v>
      </c>
      <c r="BM1376" t="s">
        <v>69</v>
      </c>
      <c r="BN1376">
        <v>22</v>
      </c>
      <c r="BO1376" t="s">
        <v>10299</v>
      </c>
      <c r="BP1376" t="s">
        <v>8661</v>
      </c>
      <c r="BQ1376" t="s">
        <v>10279</v>
      </c>
      <c r="BR1376" t="s">
        <v>19398</v>
      </c>
      <c r="BS1376" t="s">
        <v>6721</v>
      </c>
      <c r="BT1376" t="s">
        <v>69</v>
      </c>
      <c r="BU1376" t="s">
        <v>69</v>
      </c>
      <c r="BV1376" t="s">
        <v>69</v>
      </c>
      <c r="BW1376" t="s">
        <v>69</v>
      </c>
      <c r="BX1376" t="s">
        <v>8526</v>
      </c>
      <c r="BY1376" t="str">
        <f>HYPERLINK("https%3A%2F%2Fwww.webofscience.com%2Fwos%2Fwoscc%2Ffull-record%2FWOS:000442291400002","View Full Record in Web of Science")</f>
        <v>View Full Record in Web of Science</v>
      </c>
    </row>
    <row r="1377" spans="1:77" ht="12.5" x14ac:dyDescent="0.25">
      <c r="A1377" t="s">
        <v>8495</v>
      </c>
      <c r="B1377" s="7" t="s">
        <v>32933</v>
      </c>
      <c r="C1377" s="7"/>
      <c r="D1377" s="7"/>
      <c r="E1377" s="7"/>
      <c r="F1377" t="s">
        <v>67</v>
      </c>
      <c r="G1377" t="s">
        <v>3168</v>
      </c>
      <c r="H1377" t="s">
        <v>69</v>
      </c>
      <c r="I1377" t="s">
        <v>69</v>
      </c>
      <c r="J1377" t="s">
        <v>69</v>
      </c>
      <c r="K1377" t="s">
        <v>3169</v>
      </c>
      <c r="L1377" t="s">
        <v>69</v>
      </c>
      <c r="M1377" t="s">
        <v>69</v>
      </c>
      <c r="N1377" t="s">
        <v>3170</v>
      </c>
      <c r="O1377" t="s">
        <v>3171</v>
      </c>
      <c r="P1377" t="s">
        <v>69</v>
      </c>
      <c r="Q1377" t="s">
        <v>69</v>
      </c>
      <c r="R1377" t="s">
        <v>8505</v>
      </c>
      <c r="S1377" t="s">
        <v>8506</v>
      </c>
      <c r="T1377" t="s">
        <v>69</v>
      </c>
      <c r="U1377" t="s">
        <v>69</v>
      </c>
      <c r="V1377" t="s">
        <v>69</v>
      </c>
      <c r="W1377" t="s">
        <v>69</v>
      </c>
      <c r="X1377" t="s">
        <v>69</v>
      </c>
      <c r="Y1377" t="s">
        <v>23594</v>
      </c>
      <c r="Z1377" t="s">
        <v>69</v>
      </c>
      <c r="AA1377" t="s">
        <v>3172</v>
      </c>
      <c r="AB1377" t="s">
        <v>23595</v>
      </c>
      <c r="AC1377" t="s">
        <v>69</v>
      </c>
      <c r="AD1377" t="s">
        <v>23596</v>
      </c>
      <c r="AE1377" t="s">
        <v>23597</v>
      </c>
      <c r="AF1377" t="s">
        <v>69</v>
      </c>
      <c r="AG1377" t="s">
        <v>69</v>
      </c>
      <c r="AH1377" t="s">
        <v>69</v>
      </c>
      <c r="AI1377" t="s">
        <v>69</v>
      </c>
      <c r="AJ1377" t="s">
        <v>69</v>
      </c>
      <c r="AK1377" t="s">
        <v>69</v>
      </c>
      <c r="AL1377">
        <v>10</v>
      </c>
      <c r="AM1377">
        <v>5</v>
      </c>
      <c r="AN1377">
        <v>5</v>
      </c>
      <c r="AO1377">
        <v>0</v>
      </c>
      <c r="AP1377">
        <v>8</v>
      </c>
      <c r="AQ1377" t="s">
        <v>17140</v>
      </c>
      <c r="AR1377" t="s">
        <v>8517</v>
      </c>
      <c r="AS1377" t="s">
        <v>17141</v>
      </c>
      <c r="AT1377" t="s">
        <v>3173</v>
      </c>
      <c r="AU1377" t="s">
        <v>3174</v>
      </c>
      <c r="AV1377" t="s">
        <v>69</v>
      </c>
      <c r="AW1377" t="s">
        <v>23598</v>
      </c>
      <c r="AX1377" t="s">
        <v>23599</v>
      </c>
      <c r="AY1377" t="s">
        <v>255</v>
      </c>
      <c r="AZ1377">
        <v>2014</v>
      </c>
      <c r="BA1377">
        <v>144</v>
      </c>
      <c r="BB1377" t="s">
        <v>69</v>
      </c>
      <c r="BC1377" t="s">
        <v>3175</v>
      </c>
      <c r="BD1377" t="s">
        <v>69</v>
      </c>
      <c r="BE1377" t="s">
        <v>114</v>
      </c>
      <c r="BF1377" t="s">
        <v>69</v>
      </c>
      <c r="BG1377">
        <v>572</v>
      </c>
      <c r="BH1377">
        <v>580</v>
      </c>
      <c r="BI1377" t="s">
        <v>69</v>
      </c>
      <c r="BJ1377" t="s">
        <v>3176</v>
      </c>
      <c r="BK1377" t="str">
        <f>HYPERLINK("http://dx.doi.org/10.1016/j.gexplo.2014.05.009","http://dx.doi.org/10.1016/j.gexplo.2014.05.009")</f>
        <v>http://dx.doi.org/10.1016/j.gexplo.2014.05.009</v>
      </c>
      <c r="BL1377" t="s">
        <v>69</v>
      </c>
      <c r="BM1377" t="s">
        <v>69</v>
      </c>
      <c r="BN1377">
        <v>9</v>
      </c>
      <c r="BO1377" t="s">
        <v>23600</v>
      </c>
      <c r="BP1377" t="s">
        <v>8548</v>
      </c>
      <c r="BQ1377" t="s">
        <v>23600</v>
      </c>
      <c r="BR1377" t="s">
        <v>23601</v>
      </c>
      <c r="BS1377" t="s">
        <v>3177</v>
      </c>
      <c r="BT1377" t="s">
        <v>69</v>
      </c>
      <c r="BU1377" t="s">
        <v>69</v>
      </c>
      <c r="BV1377" t="s">
        <v>69</v>
      </c>
      <c r="BW1377" t="s">
        <v>69</v>
      </c>
      <c r="BX1377" t="s">
        <v>8526</v>
      </c>
      <c r="BY1377" t="str">
        <f>HYPERLINK("https%3A%2F%2Fwww.webofscience.com%2Fwos%2Fwoscc%2Ffull-record%2FWOS:000342247800018","View Full Record in Web of Science")</f>
        <v>View Full Record in Web of Science</v>
      </c>
    </row>
    <row r="1378" spans="1:77" ht="12.5" x14ac:dyDescent="0.25">
      <c r="A1378" t="s">
        <v>8495</v>
      </c>
      <c r="B1378" s="22" t="s">
        <v>32931</v>
      </c>
      <c r="C1378" s="7"/>
      <c r="D1378" s="7"/>
      <c r="E1378" s="7"/>
      <c r="F1378" t="s">
        <v>67</v>
      </c>
      <c r="G1378" t="s">
        <v>26972</v>
      </c>
      <c r="H1378" t="s">
        <v>69</v>
      </c>
      <c r="I1378" t="s">
        <v>69</v>
      </c>
      <c r="J1378" t="s">
        <v>69</v>
      </c>
      <c r="K1378" t="s">
        <v>26973</v>
      </c>
      <c r="L1378" t="s">
        <v>69</v>
      </c>
      <c r="M1378" t="s">
        <v>69</v>
      </c>
      <c r="N1378" t="s">
        <v>26974</v>
      </c>
      <c r="O1378" t="s">
        <v>26975</v>
      </c>
      <c r="P1378" t="s">
        <v>69</v>
      </c>
      <c r="Q1378" t="s">
        <v>69</v>
      </c>
      <c r="R1378" t="s">
        <v>26976</v>
      </c>
      <c r="S1378" t="s">
        <v>8506</v>
      </c>
      <c r="T1378" t="s">
        <v>69</v>
      </c>
      <c r="U1378" t="s">
        <v>69</v>
      </c>
      <c r="V1378" t="s">
        <v>69</v>
      </c>
      <c r="W1378" t="s">
        <v>69</v>
      </c>
      <c r="X1378" t="s">
        <v>69</v>
      </c>
      <c r="Y1378" t="s">
        <v>26977</v>
      </c>
      <c r="Z1378" t="s">
        <v>69</v>
      </c>
      <c r="AA1378" t="s">
        <v>26978</v>
      </c>
      <c r="AB1378" t="s">
        <v>26979</v>
      </c>
      <c r="AC1378" t="s">
        <v>69</v>
      </c>
      <c r="AD1378" t="s">
        <v>26980</v>
      </c>
      <c r="AE1378" t="s">
        <v>26981</v>
      </c>
      <c r="AF1378" t="s">
        <v>69</v>
      </c>
      <c r="AG1378" t="s">
        <v>26982</v>
      </c>
      <c r="AH1378" t="s">
        <v>69</v>
      </c>
      <c r="AI1378" t="s">
        <v>69</v>
      </c>
      <c r="AJ1378" t="s">
        <v>69</v>
      </c>
      <c r="AK1378" t="s">
        <v>69</v>
      </c>
      <c r="AL1378">
        <v>22</v>
      </c>
      <c r="AM1378">
        <v>47</v>
      </c>
      <c r="AN1378">
        <v>89</v>
      </c>
      <c r="AO1378">
        <v>1</v>
      </c>
      <c r="AP1378">
        <v>7</v>
      </c>
      <c r="AQ1378" t="s">
        <v>21466</v>
      </c>
      <c r="AR1378" t="s">
        <v>21467</v>
      </c>
      <c r="AS1378" t="s">
        <v>21468</v>
      </c>
      <c r="AT1378" t="s">
        <v>26983</v>
      </c>
      <c r="AU1378" t="s">
        <v>69</v>
      </c>
      <c r="AV1378" t="s">
        <v>69</v>
      </c>
      <c r="AW1378" t="s">
        <v>26984</v>
      </c>
      <c r="AX1378" t="s">
        <v>26985</v>
      </c>
      <c r="AY1378" t="s">
        <v>155</v>
      </c>
      <c r="AZ1378">
        <v>2011</v>
      </c>
      <c r="BA1378">
        <v>32</v>
      </c>
      <c r="BB1378">
        <v>6</v>
      </c>
      <c r="BC1378" t="s">
        <v>69</v>
      </c>
      <c r="BD1378" t="s">
        <v>69</v>
      </c>
      <c r="BE1378" t="s">
        <v>69</v>
      </c>
      <c r="BF1378" t="s">
        <v>69</v>
      </c>
      <c r="BG1378">
        <v>1757</v>
      </c>
      <c r="BH1378" t="s">
        <v>26986</v>
      </c>
      <c r="BI1378" t="s">
        <v>69</v>
      </c>
      <c r="BJ1378" t="s">
        <v>69</v>
      </c>
      <c r="BK1378" t="s">
        <v>69</v>
      </c>
      <c r="BL1378" t="s">
        <v>69</v>
      </c>
      <c r="BM1378" t="s">
        <v>69</v>
      </c>
      <c r="BN1378">
        <v>11</v>
      </c>
      <c r="BO1378" t="s">
        <v>12079</v>
      </c>
      <c r="BP1378" t="s">
        <v>8573</v>
      </c>
      <c r="BQ1378" t="s">
        <v>8445</v>
      </c>
      <c r="BR1378" t="s">
        <v>26987</v>
      </c>
      <c r="BS1378" t="s">
        <v>26988</v>
      </c>
      <c r="BT1378" t="s">
        <v>69</v>
      </c>
      <c r="BU1378" t="s">
        <v>69</v>
      </c>
      <c r="BV1378" t="s">
        <v>69</v>
      </c>
      <c r="BW1378" t="s">
        <v>69</v>
      </c>
      <c r="BX1378" t="s">
        <v>8526</v>
      </c>
      <c r="BY1378" t="str">
        <f>HYPERLINK("https%3A%2F%2Fwww.webofscience.com%2Fwos%2Fwoscc%2Ffull-record%2FWOS:000410710500027","View Full Record in Web of Science")</f>
        <v>View Full Record in Web of Science</v>
      </c>
    </row>
    <row r="1379" spans="1:77" x14ac:dyDescent="0.3">
      <c r="A1379" t="s">
        <v>8495</v>
      </c>
      <c r="B1379" s="10" t="s">
        <v>33020</v>
      </c>
      <c r="F1379" t="s">
        <v>67</v>
      </c>
      <c r="G1379" t="s">
        <v>7594</v>
      </c>
      <c r="H1379" t="s">
        <v>69</v>
      </c>
      <c r="I1379" t="s">
        <v>69</v>
      </c>
      <c r="J1379" t="s">
        <v>69</v>
      </c>
      <c r="K1379" s="2" t="s">
        <v>7595</v>
      </c>
      <c r="L1379" t="s">
        <v>69</v>
      </c>
      <c r="M1379" t="s">
        <v>69</v>
      </c>
      <c r="N1379" s="2" t="s">
        <v>7596</v>
      </c>
      <c r="O1379" t="s">
        <v>6716</v>
      </c>
      <c r="P1379" t="s">
        <v>69</v>
      </c>
      <c r="Q1379" t="s">
        <v>69</v>
      </c>
      <c r="R1379" t="s">
        <v>8505</v>
      </c>
      <c r="S1379" t="s">
        <v>8506</v>
      </c>
      <c r="T1379" t="s">
        <v>69</v>
      </c>
      <c r="U1379" t="s">
        <v>69</v>
      </c>
      <c r="V1379" t="s">
        <v>69</v>
      </c>
      <c r="W1379" t="s">
        <v>69</v>
      </c>
      <c r="X1379" t="s">
        <v>69</v>
      </c>
      <c r="Y1379" t="s">
        <v>22232</v>
      </c>
      <c r="Z1379" t="s">
        <v>10571</v>
      </c>
      <c r="AA1379" t="s">
        <v>7597</v>
      </c>
      <c r="AB1379" t="s">
        <v>22233</v>
      </c>
      <c r="AC1379" t="s">
        <v>69</v>
      </c>
      <c r="AD1379" t="s">
        <v>22234</v>
      </c>
      <c r="AE1379" t="s">
        <v>21788</v>
      </c>
      <c r="AF1379" t="s">
        <v>21789</v>
      </c>
      <c r="AG1379" t="s">
        <v>7432</v>
      </c>
      <c r="AH1379" t="s">
        <v>22174</v>
      </c>
      <c r="AI1379" t="s">
        <v>22174</v>
      </c>
      <c r="AJ1379" t="s">
        <v>22235</v>
      </c>
      <c r="AK1379" t="s">
        <v>69</v>
      </c>
      <c r="AL1379">
        <v>39</v>
      </c>
      <c r="AM1379">
        <v>26</v>
      </c>
      <c r="AN1379">
        <v>26</v>
      </c>
      <c r="AO1379">
        <v>2</v>
      </c>
      <c r="AP1379">
        <v>5</v>
      </c>
      <c r="AQ1379" t="s">
        <v>8865</v>
      </c>
      <c r="AR1379" t="s">
        <v>8612</v>
      </c>
      <c r="AS1379" t="s">
        <v>8866</v>
      </c>
      <c r="AT1379" t="s">
        <v>6718</v>
      </c>
      <c r="AU1379" t="s">
        <v>6719</v>
      </c>
      <c r="AV1379" t="s">
        <v>69</v>
      </c>
      <c r="AW1379" t="s">
        <v>19396</v>
      </c>
      <c r="AX1379" t="s">
        <v>19397</v>
      </c>
      <c r="AY1379" t="s">
        <v>69</v>
      </c>
      <c r="AZ1379">
        <v>2016</v>
      </c>
      <c r="BA1379">
        <v>19</v>
      </c>
      <c r="BB1379">
        <v>10</v>
      </c>
      <c r="BC1379" t="s">
        <v>69</v>
      </c>
      <c r="BD1379" t="s">
        <v>69</v>
      </c>
      <c r="BE1379" t="s">
        <v>114</v>
      </c>
      <c r="BF1379" t="s">
        <v>69</v>
      </c>
      <c r="BG1379">
        <v>1275</v>
      </c>
      <c r="BH1379">
        <v>1290</v>
      </c>
      <c r="BI1379" t="s">
        <v>69</v>
      </c>
      <c r="BJ1379" t="s">
        <v>7598</v>
      </c>
      <c r="BK1379" t="str">
        <f>HYPERLINK("http://dx.doi.org/10.1080/13669877.2015.1043570","http://dx.doi.org/10.1080/13669877.2015.1043570")</f>
        <v>http://dx.doi.org/10.1080/13669877.2015.1043570</v>
      </c>
      <c r="BL1379" t="s">
        <v>69</v>
      </c>
      <c r="BM1379" t="s">
        <v>69</v>
      </c>
      <c r="BN1379">
        <v>16</v>
      </c>
      <c r="BO1379" t="s">
        <v>10299</v>
      </c>
      <c r="BP1379" t="s">
        <v>8661</v>
      </c>
      <c r="BQ1379" t="s">
        <v>10279</v>
      </c>
      <c r="BR1379" t="s">
        <v>22236</v>
      </c>
      <c r="BS1379" t="s">
        <v>7599</v>
      </c>
      <c r="BT1379" t="s">
        <v>69</v>
      </c>
      <c r="BU1379" t="s">
        <v>10363</v>
      </c>
      <c r="BV1379" t="s">
        <v>69</v>
      </c>
      <c r="BW1379" t="s">
        <v>69</v>
      </c>
      <c r="BX1379" t="s">
        <v>8526</v>
      </c>
      <c r="BY1379" t="str">
        <f>HYPERLINK("https%3A%2F%2Fwww.webofscience.com%2Fwos%2Fwoscc%2Ffull-record%2FWOS:000390681000006","View Full Record in Web of Science")</f>
        <v>View Full Record in Web of Science</v>
      </c>
    </row>
    <row r="1380" spans="1:77" ht="12.5" x14ac:dyDescent="0.25">
      <c r="A1380" t="s">
        <v>8495</v>
      </c>
      <c r="B1380" s="22" t="s">
        <v>32931</v>
      </c>
      <c r="C1380" s="7"/>
      <c r="D1380" s="7"/>
      <c r="E1380" s="7"/>
      <c r="F1380" t="s">
        <v>67</v>
      </c>
      <c r="G1380" t="s">
        <v>11302</v>
      </c>
      <c r="H1380" t="s">
        <v>69</v>
      </c>
      <c r="I1380" t="s">
        <v>69</v>
      </c>
      <c r="J1380" t="s">
        <v>69</v>
      </c>
      <c r="K1380" t="s">
        <v>11303</v>
      </c>
      <c r="L1380" t="s">
        <v>69</v>
      </c>
      <c r="M1380" t="s">
        <v>69</v>
      </c>
      <c r="N1380" t="s">
        <v>11304</v>
      </c>
      <c r="O1380" t="s">
        <v>316</v>
      </c>
      <c r="P1380" t="s">
        <v>69</v>
      </c>
      <c r="Q1380" t="s">
        <v>69</v>
      </c>
      <c r="R1380" t="s">
        <v>8505</v>
      </c>
      <c r="S1380" t="s">
        <v>8556</v>
      </c>
      <c r="T1380" t="s">
        <v>69</v>
      </c>
      <c r="U1380" t="s">
        <v>69</v>
      </c>
      <c r="V1380" t="s">
        <v>69</v>
      </c>
      <c r="W1380" t="s">
        <v>69</v>
      </c>
      <c r="X1380" t="s">
        <v>69</v>
      </c>
      <c r="Y1380" t="s">
        <v>11305</v>
      </c>
      <c r="Z1380" t="s">
        <v>11306</v>
      </c>
      <c r="AA1380" t="s">
        <v>11307</v>
      </c>
      <c r="AB1380" t="s">
        <v>11308</v>
      </c>
      <c r="AC1380" t="s">
        <v>69</v>
      </c>
      <c r="AD1380" t="s">
        <v>11309</v>
      </c>
      <c r="AE1380" t="s">
        <v>11310</v>
      </c>
      <c r="AF1380" t="s">
        <v>11311</v>
      </c>
      <c r="AG1380" t="s">
        <v>11312</v>
      </c>
      <c r="AH1380" t="s">
        <v>69</v>
      </c>
      <c r="AI1380" t="s">
        <v>69</v>
      </c>
      <c r="AJ1380" t="s">
        <v>69</v>
      </c>
      <c r="AK1380" t="s">
        <v>69</v>
      </c>
      <c r="AL1380">
        <v>25</v>
      </c>
      <c r="AM1380">
        <v>0</v>
      </c>
      <c r="AN1380">
        <v>0</v>
      </c>
      <c r="AO1380">
        <v>2</v>
      </c>
      <c r="AP1380">
        <v>4</v>
      </c>
      <c r="AQ1380" t="s">
        <v>8586</v>
      </c>
      <c r="AR1380" t="s">
        <v>8587</v>
      </c>
      <c r="AS1380" t="s">
        <v>8588</v>
      </c>
      <c r="AT1380" t="s">
        <v>318</v>
      </c>
      <c r="AU1380" t="s">
        <v>319</v>
      </c>
      <c r="AV1380" t="s">
        <v>69</v>
      </c>
      <c r="AW1380" t="s">
        <v>11313</v>
      </c>
      <c r="AX1380" t="s">
        <v>11314</v>
      </c>
      <c r="AY1380" t="s">
        <v>69</v>
      </c>
      <c r="AZ1380" t="s">
        <v>69</v>
      </c>
      <c r="BA1380" t="s">
        <v>69</v>
      </c>
      <c r="BB1380" t="s">
        <v>69</v>
      </c>
      <c r="BC1380" t="s">
        <v>69</v>
      </c>
      <c r="BD1380" t="s">
        <v>69</v>
      </c>
      <c r="BE1380" t="s">
        <v>69</v>
      </c>
      <c r="BF1380" t="s">
        <v>69</v>
      </c>
      <c r="BG1380" t="s">
        <v>69</v>
      </c>
      <c r="BH1380" t="s">
        <v>69</v>
      </c>
      <c r="BI1380" t="s">
        <v>69</v>
      </c>
      <c r="BJ1380" t="s">
        <v>11315</v>
      </c>
      <c r="BK1380" t="str">
        <f>HYPERLINK("http://dx.doi.org/10.1108/CI-04-2021-0073","http://dx.doi.org/10.1108/CI-04-2021-0073")</f>
        <v>http://dx.doi.org/10.1108/CI-04-2021-0073</v>
      </c>
      <c r="BL1380" t="s">
        <v>69</v>
      </c>
      <c r="BM1380" t="s">
        <v>11299</v>
      </c>
      <c r="BN1380">
        <v>18</v>
      </c>
      <c r="BO1380" t="s">
        <v>10105</v>
      </c>
      <c r="BP1380" t="s">
        <v>8573</v>
      </c>
      <c r="BQ1380" t="s">
        <v>10105</v>
      </c>
      <c r="BR1380" t="s">
        <v>11316</v>
      </c>
      <c r="BS1380" t="s">
        <v>11317</v>
      </c>
      <c r="BT1380" t="s">
        <v>69</v>
      </c>
      <c r="BU1380" t="s">
        <v>69</v>
      </c>
      <c r="BV1380" t="s">
        <v>69</v>
      </c>
      <c r="BW1380" t="s">
        <v>69</v>
      </c>
      <c r="BX1380" t="s">
        <v>8526</v>
      </c>
      <c r="BY1380" t="str">
        <f>HYPERLINK("https%3A%2F%2Fwww.webofscience.com%2Fwos%2Fwoscc%2Ffull-record%2FWOS:000700868900001","View Full Record in Web of Science")</f>
        <v>View Full Record in Web of Science</v>
      </c>
    </row>
    <row r="1381" spans="1:77" ht="12.5" x14ac:dyDescent="0.25">
      <c r="A1381" t="s">
        <v>8495</v>
      </c>
      <c r="B1381" s="7" t="s">
        <v>32933</v>
      </c>
      <c r="C1381" s="7"/>
      <c r="D1381" s="7"/>
      <c r="E1381" s="7"/>
      <c r="F1381" t="s">
        <v>67</v>
      </c>
      <c r="G1381" t="s">
        <v>7623</v>
      </c>
      <c r="H1381" t="s">
        <v>69</v>
      </c>
      <c r="I1381" t="s">
        <v>69</v>
      </c>
      <c r="J1381" t="s">
        <v>69</v>
      </c>
      <c r="K1381" t="s">
        <v>7624</v>
      </c>
      <c r="L1381" t="s">
        <v>69</v>
      </c>
      <c r="M1381" t="s">
        <v>69</v>
      </c>
      <c r="N1381" t="s">
        <v>7625</v>
      </c>
      <c r="O1381" t="s">
        <v>4552</v>
      </c>
      <c r="P1381" t="s">
        <v>69</v>
      </c>
      <c r="Q1381" t="s">
        <v>69</v>
      </c>
      <c r="R1381" t="s">
        <v>8505</v>
      </c>
      <c r="S1381" t="s">
        <v>8506</v>
      </c>
      <c r="T1381" t="s">
        <v>69</v>
      </c>
      <c r="U1381" t="s">
        <v>69</v>
      </c>
      <c r="V1381" t="s">
        <v>69</v>
      </c>
      <c r="W1381" t="s">
        <v>69</v>
      </c>
      <c r="X1381" t="s">
        <v>69</v>
      </c>
      <c r="Y1381" t="s">
        <v>28298</v>
      </c>
      <c r="Z1381" t="s">
        <v>28299</v>
      </c>
      <c r="AA1381" t="s">
        <v>7626</v>
      </c>
      <c r="AB1381" t="s">
        <v>28300</v>
      </c>
      <c r="AC1381" t="s">
        <v>69</v>
      </c>
      <c r="AD1381" t="s">
        <v>28301</v>
      </c>
      <c r="AE1381" t="s">
        <v>28302</v>
      </c>
      <c r="AF1381" t="s">
        <v>28303</v>
      </c>
      <c r="AG1381" t="s">
        <v>69</v>
      </c>
      <c r="AH1381" t="s">
        <v>28304</v>
      </c>
      <c r="AI1381" t="s">
        <v>28305</v>
      </c>
      <c r="AJ1381" t="s">
        <v>28306</v>
      </c>
      <c r="AK1381" t="s">
        <v>69</v>
      </c>
      <c r="AL1381">
        <v>91</v>
      </c>
      <c r="AM1381">
        <v>20</v>
      </c>
      <c r="AN1381">
        <v>23</v>
      </c>
      <c r="AO1381">
        <v>0</v>
      </c>
      <c r="AP1381">
        <v>29</v>
      </c>
      <c r="AQ1381" t="s">
        <v>9091</v>
      </c>
      <c r="AR1381" t="s">
        <v>8763</v>
      </c>
      <c r="AS1381" t="s">
        <v>15468</v>
      </c>
      <c r="AT1381" t="s">
        <v>4556</v>
      </c>
      <c r="AU1381" t="s">
        <v>69</v>
      </c>
      <c r="AV1381" t="s">
        <v>69</v>
      </c>
      <c r="AW1381" t="s">
        <v>4552</v>
      </c>
      <c r="AX1381" t="s">
        <v>9094</v>
      </c>
      <c r="AY1381" t="s">
        <v>69</v>
      </c>
      <c r="AZ1381">
        <v>2010</v>
      </c>
      <c r="BA1381">
        <v>12</v>
      </c>
      <c r="BB1381">
        <v>4</v>
      </c>
      <c r="BC1381" t="s">
        <v>69</v>
      </c>
      <c r="BD1381" t="s">
        <v>69</v>
      </c>
      <c r="BE1381" t="s">
        <v>69</v>
      </c>
      <c r="BF1381" t="s">
        <v>69</v>
      </c>
      <c r="BG1381">
        <v>461</v>
      </c>
      <c r="BH1381">
        <v>478</v>
      </c>
      <c r="BI1381" t="s">
        <v>69</v>
      </c>
      <c r="BJ1381" t="s">
        <v>7627</v>
      </c>
      <c r="BK1381" t="str">
        <f>HYPERLINK("http://dx.doi.org/10.2166/wp.2010.111","http://dx.doi.org/10.2166/wp.2010.111")</f>
        <v>http://dx.doi.org/10.2166/wp.2010.111</v>
      </c>
      <c r="BL1381" t="s">
        <v>69</v>
      </c>
      <c r="BM1381" t="s">
        <v>69</v>
      </c>
      <c r="BN1381">
        <v>18</v>
      </c>
      <c r="BO1381" t="s">
        <v>9096</v>
      </c>
      <c r="BP1381" t="s">
        <v>8523</v>
      </c>
      <c r="BQ1381" t="s">
        <v>9096</v>
      </c>
      <c r="BR1381" t="s">
        <v>28307</v>
      </c>
      <c r="BS1381" t="s">
        <v>7628</v>
      </c>
      <c r="BT1381" t="s">
        <v>69</v>
      </c>
      <c r="BU1381" t="s">
        <v>69</v>
      </c>
      <c r="BV1381" t="s">
        <v>69</v>
      </c>
      <c r="BW1381" t="s">
        <v>69</v>
      </c>
      <c r="BX1381" t="s">
        <v>8526</v>
      </c>
      <c r="BY1381" t="str">
        <f>HYPERLINK("https%3A%2F%2Fwww.webofscience.com%2Fwos%2Fwoscc%2Ffull-record%2FWOS:000280882100001","View Full Record in Web of Science")</f>
        <v>View Full Record in Web of Science</v>
      </c>
    </row>
    <row r="1382" spans="1:77" ht="12.5" x14ac:dyDescent="0.25">
      <c r="A1382" t="s">
        <v>8495</v>
      </c>
      <c r="B1382" s="7" t="s">
        <v>32933</v>
      </c>
      <c r="C1382" s="7"/>
      <c r="D1382" s="7"/>
      <c r="E1382" s="7"/>
      <c r="F1382" t="s">
        <v>67</v>
      </c>
      <c r="G1382" t="s">
        <v>964</v>
      </c>
      <c r="H1382" t="s">
        <v>69</v>
      </c>
      <c r="I1382" t="s">
        <v>69</v>
      </c>
      <c r="J1382" t="s">
        <v>69</v>
      </c>
      <c r="K1382" t="s">
        <v>965</v>
      </c>
      <c r="L1382" t="s">
        <v>69</v>
      </c>
      <c r="M1382" t="s">
        <v>69</v>
      </c>
      <c r="N1382" t="s">
        <v>966</v>
      </c>
      <c r="O1382" t="s">
        <v>967</v>
      </c>
      <c r="P1382" t="s">
        <v>69</v>
      </c>
      <c r="Q1382" t="s">
        <v>69</v>
      </c>
      <c r="R1382" t="s">
        <v>8505</v>
      </c>
      <c r="S1382" t="s">
        <v>8506</v>
      </c>
      <c r="T1382" t="s">
        <v>69</v>
      </c>
      <c r="U1382" t="s">
        <v>69</v>
      </c>
      <c r="V1382" t="s">
        <v>69</v>
      </c>
      <c r="W1382" t="s">
        <v>69</v>
      </c>
      <c r="X1382" t="s">
        <v>69</v>
      </c>
      <c r="Y1382" t="s">
        <v>69</v>
      </c>
      <c r="Z1382" t="s">
        <v>17462</v>
      </c>
      <c r="AA1382" t="s">
        <v>968</v>
      </c>
      <c r="AB1382" t="s">
        <v>17463</v>
      </c>
      <c r="AC1382" t="s">
        <v>69</v>
      </c>
      <c r="AD1382" t="s">
        <v>17464</v>
      </c>
      <c r="AE1382" t="s">
        <v>17465</v>
      </c>
      <c r="AF1382" t="s">
        <v>69</v>
      </c>
      <c r="AG1382" t="s">
        <v>69</v>
      </c>
      <c r="AH1382" t="s">
        <v>17466</v>
      </c>
      <c r="AI1382" t="s">
        <v>17466</v>
      </c>
      <c r="AJ1382" t="s">
        <v>17467</v>
      </c>
      <c r="AK1382" t="s">
        <v>69</v>
      </c>
      <c r="AL1382">
        <v>54</v>
      </c>
      <c r="AM1382">
        <v>12</v>
      </c>
      <c r="AN1382">
        <v>12</v>
      </c>
      <c r="AO1382">
        <v>0</v>
      </c>
      <c r="AP1382">
        <v>10</v>
      </c>
      <c r="AQ1382" t="s">
        <v>8865</v>
      </c>
      <c r="AR1382" t="s">
        <v>8612</v>
      </c>
      <c r="AS1382" t="s">
        <v>8866</v>
      </c>
      <c r="AT1382" t="s">
        <v>969</v>
      </c>
      <c r="AU1382" t="s">
        <v>970</v>
      </c>
      <c r="AV1382" t="s">
        <v>69</v>
      </c>
      <c r="AW1382" t="s">
        <v>8867</v>
      </c>
      <c r="AX1382" t="s">
        <v>8868</v>
      </c>
      <c r="AY1382" t="s">
        <v>971</v>
      </c>
      <c r="AZ1382">
        <v>2019</v>
      </c>
      <c r="BA1382">
        <v>109</v>
      </c>
      <c r="BB1382">
        <v>2</v>
      </c>
      <c r="BC1382" t="s">
        <v>69</v>
      </c>
      <c r="BD1382" t="s">
        <v>69</v>
      </c>
      <c r="BE1382" t="s">
        <v>114</v>
      </c>
      <c r="BF1382" t="s">
        <v>69</v>
      </c>
      <c r="BG1382">
        <v>556</v>
      </c>
      <c r="BH1382">
        <v>567</v>
      </c>
      <c r="BI1382" t="s">
        <v>69</v>
      </c>
      <c r="BJ1382" t="s">
        <v>972</v>
      </c>
      <c r="BK1382" t="str">
        <f>HYPERLINK("http://dx.doi.org/10.1080/24694452.2018.1507817","http://dx.doi.org/10.1080/24694452.2018.1507817")</f>
        <v>http://dx.doi.org/10.1080/24694452.2018.1507817</v>
      </c>
      <c r="BL1382" t="s">
        <v>69</v>
      </c>
      <c r="BM1382" t="s">
        <v>69</v>
      </c>
      <c r="BN1382">
        <v>12</v>
      </c>
      <c r="BO1382" t="s">
        <v>8446</v>
      </c>
      <c r="BP1382" t="s">
        <v>8661</v>
      </c>
      <c r="BQ1382" t="s">
        <v>8446</v>
      </c>
      <c r="BR1382" t="s">
        <v>17468</v>
      </c>
      <c r="BS1382" t="s">
        <v>973</v>
      </c>
      <c r="BT1382" t="s">
        <v>69</v>
      </c>
      <c r="BU1382" t="s">
        <v>69</v>
      </c>
      <c r="BV1382" t="s">
        <v>69</v>
      </c>
      <c r="BW1382" t="s">
        <v>69</v>
      </c>
      <c r="BX1382" t="s">
        <v>8526</v>
      </c>
      <c r="BY1382" t="str">
        <f>HYPERLINK("https%3A%2F%2Fwww.webofscience.com%2Fwos%2Fwoscc%2Ffull-record%2FWOS:000461894800023","View Full Record in Web of Science")</f>
        <v>View Full Record in Web of Science</v>
      </c>
    </row>
    <row r="1383" spans="1:77" x14ac:dyDescent="0.3">
      <c r="A1383" t="s">
        <v>8495</v>
      </c>
      <c r="B1383" s="9" t="s">
        <v>32954</v>
      </c>
      <c r="C1383" s="9" t="s">
        <v>33161</v>
      </c>
      <c r="D1383" s="10" t="s">
        <v>8490</v>
      </c>
      <c r="E1383" s="9" t="s">
        <v>8490</v>
      </c>
      <c r="F1383" t="s">
        <v>67</v>
      </c>
      <c r="G1383" t="s">
        <v>12154</v>
      </c>
      <c r="H1383" t="s">
        <v>69</v>
      </c>
      <c r="I1383" t="s">
        <v>69</v>
      </c>
      <c r="J1383" t="s">
        <v>69</v>
      </c>
      <c r="K1383" t="s">
        <v>12155</v>
      </c>
      <c r="L1383" t="s">
        <v>69</v>
      </c>
      <c r="M1383" t="s">
        <v>69</v>
      </c>
      <c r="N1383" t="s">
        <v>12156</v>
      </c>
      <c r="O1383" t="s">
        <v>582</v>
      </c>
      <c r="P1383" t="s">
        <v>69</v>
      </c>
      <c r="Q1383" t="s">
        <v>69</v>
      </c>
      <c r="R1383" t="s">
        <v>8505</v>
      </c>
      <c r="S1383" t="s">
        <v>8506</v>
      </c>
      <c r="T1383" t="s">
        <v>69</v>
      </c>
      <c r="U1383" t="s">
        <v>69</v>
      </c>
      <c r="V1383" t="s">
        <v>69</v>
      </c>
      <c r="W1383" t="s">
        <v>69</v>
      </c>
      <c r="X1383" t="s">
        <v>69</v>
      </c>
      <c r="Y1383" t="s">
        <v>12157</v>
      </c>
      <c r="Z1383" t="s">
        <v>12158</v>
      </c>
      <c r="AA1383" t="s">
        <v>12159</v>
      </c>
      <c r="AB1383" t="s">
        <v>12160</v>
      </c>
      <c r="AC1383" t="s">
        <v>69</v>
      </c>
      <c r="AD1383" t="s">
        <v>12161</v>
      </c>
      <c r="AE1383" t="s">
        <v>12162</v>
      </c>
      <c r="AF1383" t="s">
        <v>69</v>
      </c>
      <c r="AG1383" t="s">
        <v>69</v>
      </c>
      <c r="AH1383" t="s">
        <v>69</v>
      </c>
      <c r="AI1383" t="s">
        <v>69</v>
      </c>
      <c r="AJ1383" t="s">
        <v>69</v>
      </c>
      <c r="AK1383" t="s">
        <v>69</v>
      </c>
      <c r="AL1383">
        <v>98</v>
      </c>
      <c r="AM1383">
        <v>3</v>
      </c>
      <c r="AN1383">
        <v>3</v>
      </c>
      <c r="AO1383">
        <v>7</v>
      </c>
      <c r="AP1383">
        <v>27</v>
      </c>
      <c r="AQ1383" t="s">
        <v>8692</v>
      </c>
      <c r="AR1383" t="s">
        <v>8693</v>
      </c>
      <c r="AS1383" t="s">
        <v>8694</v>
      </c>
      <c r="AT1383" t="s">
        <v>584</v>
      </c>
      <c r="AU1383" t="s">
        <v>585</v>
      </c>
      <c r="AV1383" t="s">
        <v>69</v>
      </c>
      <c r="AW1383" t="s">
        <v>8695</v>
      </c>
      <c r="AX1383" t="s">
        <v>8696</v>
      </c>
      <c r="AY1383" t="s">
        <v>255</v>
      </c>
      <c r="AZ1383">
        <v>2021</v>
      </c>
      <c r="BA1383">
        <v>90</v>
      </c>
      <c r="BB1383" t="s">
        <v>69</v>
      </c>
      <c r="BC1383" t="s">
        <v>69</v>
      </c>
      <c r="BD1383" t="s">
        <v>69</v>
      </c>
      <c r="BE1383" t="s">
        <v>69</v>
      </c>
      <c r="BF1383" t="s">
        <v>69</v>
      </c>
      <c r="BG1383" t="s">
        <v>69</v>
      </c>
      <c r="BH1383" t="s">
        <v>69</v>
      </c>
      <c r="BI1383">
        <v>106606</v>
      </c>
      <c r="BJ1383" t="s">
        <v>12163</v>
      </c>
      <c r="BK1383" t="str">
        <f>HYPERLINK("http://dx.doi.org/10.1016/j.eiar.2021.106606","http://dx.doi.org/10.1016/j.eiar.2021.106606")</f>
        <v>http://dx.doi.org/10.1016/j.eiar.2021.106606</v>
      </c>
      <c r="BL1383" t="s">
        <v>69</v>
      </c>
      <c r="BM1383" t="s">
        <v>12111</v>
      </c>
      <c r="BN1383">
        <v>12</v>
      </c>
      <c r="BO1383" t="s">
        <v>8660</v>
      </c>
      <c r="BP1383" t="s">
        <v>8661</v>
      </c>
      <c r="BQ1383" t="s">
        <v>8662</v>
      </c>
      <c r="BR1383" t="s">
        <v>12164</v>
      </c>
      <c r="BS1383" t="s">
        <v>12165</v>
      </c>
      <c r="BT1383" t="s">
        <v>69</v>
      </c>
      <c r="BU1383" t="s">
        <v>69</v>
      </c>
      <c r="BV1383" t="s">
        <v>69</v>
      </c>
      <c r="BW1383" t="s">
        <v>69</v>
      </c>
      <c r="BX1383" t="s">
        <v>8526</v>
      </c>
      <c r="BY1383" t="str">
        <f>HYPERLINK("https%3A%2F%2Fwww.webofscience.com%2Fwos%2Fwoscc%2Ffull-record%2FWOS:000677502300011","View Full Record in Web of Science")</f>
        <v>View Full Record in Web of Science</v>
      </c>
    </row>
    <row r="1384" spans="1:77" ht="12.5" x14ac:dyDescent="0.25">
      <c r="A1384" t="s">
        <v>8495</v>
      </c>
      <c r="B1384" s="22" t="s">
        <v>32931</v>
      </c>
      <c r="C1384" s="7"/>
      <c r="D1384" s="7"/>
      <c r="E1384" s="7"/>
      <c r="F1384" t="s">
        <v>67</v>
      </c>
      <c r="G1384" t="s">
        <v>15794</v>
      </c>
      <c r="H1384" t="s">
        <v>69</v>
      </c>
      <c r="I1384" t="s">
        <v>69</v>
      </c>
      <c r="J1384" t="s">
        <v>69</v>
      </c>
      <c r="K1384" t="s">
        <v>15795</v>
      </c>
      <c r="L1384" t="s">
        <v>69</v>
      </c>
      <c r="M1384" t="s">
        <v>69</v>
      </c>
      <c r="N1384" t="s">
        <v>15796</v>
      </c>
      <c r="O1384" t="s">
        <v>10856</v>
      </c>
      <c r="P1384" t="s">
        <v>69</v>
      </c>
      <c r="Q1384" t="s">
        <v>69</v>
      </c>
      <c r="R1384" t="s">
        <v>8505</v>
      </c>
      <c r="S1384" t="s">
        <v>15797</v>
      </c>
      <c r="T1384" t="s">
        <v>15798</v>
      </c>
      <c r="U1384" t="s">
        <v>15799</v>
      </c>
      <c r="V1384" t="s">
        <v>15800</v>
      </c>
      <c r="W1384" t="s">
        <v>15801</v>
      </c>
      <c r="X1384" t="s">
        <v>69</v>
      </c>
      <c r="Y1384" t="s">
        <v>15802</v>
      </c>
      <c r="Z1384" t="s">
        <v>69</v>
      </c>
      <c r="AA1384" t="s">
        <v>15803</v>
      </c>
      <c r="AB1384" t="s">
        <v>15804</v>
      </c>
      <c r="AC1384" t="s">
        <v>69</v>
      </c>
      <c r="AD1384" t="s">
        <v>15805</v>
      </c>
      <c r="AE1384" t="s">
        <v>15806</v>
      </c>
      <c r="AF1384" t="s">
        <v>69</v>
      </c>
      <c r="AG1384" t="s">
        <v>69</v>
      </c>
      <c r="AH1384" t="s">
        <v>69</v>
      </c>
      <c r="AI1384" t="s">
        <v>69</v>
      </c>
      <c r="AJ1384" t="s">
        <v>69</v>
      </c>
      <c r="AK1384" t="s">
        <v>69</v>
      </c>
      <c r="AL1384">
        <v>2</v>
      </c>
      <c r="AM1384">
        <v>0</v>
      </c>
      <c r="AN1384">
        <v>0</v>
      </c>
      <c r="AO1384">
        <v>1</v>
      </c>
      <c r="AP1384">
        <v>5</v>
      </c>
      <c r="AQ1384" t="s">
        <v>10862</v>
      </c>
      <c r="AR1384" t="s">
        <v>10863</v>
      </c>
      <c r="AS1384" t="s">
        <v>10864</v>
      </c>
      <c r="AT1384" t="s">
        <v>10865</v>
      </c>
      <c r="AU1384" t="s">
        <v>10866</v>
      </c>
      <c r="AV1384" t="s">
        <v>69</v>
      </c>
      <c r="AW1384" t="s">
        <v>10867</v>
      </c>
      <c r="AX1384" t="s">
        <v>10868</v>
      </c>
      <c r="AY1384" t="s">
        <v>191</v>
      </c>
      <c r="AZ1384">
        <v>2020</v>
      </c>
      <c r="BA1384">
        <v>176</v>
      </c>
      <c r="BB1384" t="s">
        <v>69</v>
      </c>
      <c r="BC1384" t="s">
        <v>69</v>
      </c>
      <c r="BD1384" t="s">
        <v>69</v>
      </c>
      <c r="BE1384" t="s">
        <v>69</v>
      </c>
      <c r="BF1384" t="s">
        <v>69</v>
      </c>
      <c r="BG1384">
        <v>399</v>
      </c>
      <c r="BH1384">
        <v>405</v>
      </c>
      <c r="BI1384" t="s">
        <v>69</v>
      </c>
      <c r="BJ1384" t="s">
        <v>15807</v>
      </c>
      <c r="BK1384" t="str">
        <f>HYPERLINK("http://dx.doi.org/10.5004/dwt.2020.25551","http://dx.doi.org/10.5004/dwt.2020.25551")</f>
        <v>http://dx.doi.org/10.5004/dwt.2020.25551</v>
      </c>
      <c r="BL1384" t="s">
        <v>69</v>
      </c>
      <c r="BM1384" t="s">
        <v>69</v>
      </c>
      <c r="BN1384">
        <v>7</v>
      </c>
      <c r="BO1384" t="s">
        <v>10870</v>
      </c>
      <c r="BP1384" t="s">
        <v>15808</v>
      </c>
      <c r="BQ1384" t="s">
        <v>9230</v>
      </c>
      <c r="BR1384" t="s">
        <v>15809</v>
      </c>
      <c r="BS1384" t="s">
        <v>15810</v>
      </c>
      <c r="BT1384" t="s">
        <v>69</v>
      </c>
      <c r="BU1384" t="s">
        <v>69</v>
      </c>
      <c r="BV1384" t="s">
        <v>69</v>
      </c>
      <c r="BW1384" t="s">
        <v>69</v>
      </c>
      <c r="BX1384" t="s">
        <v>8526</v>
      </c>
      <c r="BY1384" t="str">
        <f>HYPERLINK("https%3A%2F%2Fwww.webofscience.com%2Fwos%2Fwoscc%2Ffull-record%2FWOS:000544992300063","View Full Record in Web of Science")</f>
        <v>View Full Record in Web of Science</v>
      </c>
    </row>
    <row r="1385" spans="1:77" ht="12.5" x14ac:dyDescent="0.25">
      <c r="A1385" t="s">
        <v>8495</v>
      </c>
      <c r="B1385" s="22" t="s">
        <v>32931</v>
      </c>
      <c r="C1385" s="7"/>
      <c r="D1385" s="7"/>
      <c r="E1385" s="7"/>
      <c r="F1385" t="s">
        <v>67</v>
      </c>
      <c r="G1385" t="s">
        <v>29780</v>
      </c>
      <c r="H1385" t="s">
        <v>69</v>
      </c>
      <c r="I1385" t="s">
        <v>69</v>
      </c>
      <c r="J1385" t="s">
        <v>69</v>
      </c>
      <c r="K1385" t="s">
        <v>29781</v>
      </c>
      <c r="L1385" t="s">
        <v>69</v>
      </c>
      <c r="M1385" t="s">
        <v>69</v>
      </c>
      <c r="N1385" t="s">
        <v>29782</v>
      </c>
      <c r="O1385" t="s">
        <v>29783</v>
      </c>
      <c r="P1385" t="s">
        <v>69</v>
      </c>
      <c r="Q1385" t="s">
        <v>69</v>
      </c>
      <c r="R1385" t="s">
        <v>8505</v>
      </c>
      <c r="S1385" t="s">
        <v>8506</v>
      </c>
      <c r="T1385" t="s">
        <v>69</v>
      </c>
      <c r="U1385" t="s">
        <v>69</v>
      </c>
      <c r="V1385" t="s">
        <v>69</v>
      </c>
      <c r="W1385" t="s">
        <v>69</v>
      </c>
      <c r="X1385" t="s">
        <v>69</v>
      </c>
      <c r="Y1385" t="s">
        <v>29784</v>
      </c>
      <c r="Z1385" t="s">
        <v>69</v>
      </c>
      <c r="AA1385" t="s">
        <v>29785</v>
      </c>
      <c r="AB1385" t="s">
        <v>29786</v>
      </c>
      <c r="AC1385" t="s">
        <v>69</v>
      </c>
      <c r="AD1385" t="s">
        <v>29787</v>
      </c>
      <c r="AE1385" t="s">
        <v>29788</v>
      </c>
      <c r="AF1385" t="s">
        <v>69</v>
      </c>
      <c r="AG1385" t="s">
        <v>69</v>
      </c>
      <c r="AH1385" t="s">
        <v>69</v>
      </c>
      <c r="AI1385" t="s">
        <v>69</v>
      </c>
      <c r="AJ1385" t="s">
        <v>69</v>
      </c>
      <c r="AK1385" t="s">
        <v>69</v>
      </c>
      <c r="AL1385">
        <v>52</v>
      </c>
      <c r="AM1385">
        <v>0</v>
      </c>
      <c r="AN1385">
        <v>0</v>
      </c>
      <c r="AO1385">
        <v>0</v>
      </c>
      <c r="AP1385">
        <v>0</v>
      </c>
      <c r="AQ1385" t="s">
        <v>8762</v>
      </c>
      <c r="AR1385" t="s">
        <v>8763</v>
      </c>
      <c r="AS1385" t="s">
        <v>8764</v>
      </c>
      <c r="AT1385" t="s">
        <v>29789</v>
      </c>
      <c r="AU1385" t="s">
        <v>29790</v>
      </c>
      <c r="AV1385" t="s">
        <v>69</v>
      </c>
      <c r="AW1385" t="s">
        <v>29791</v>
      </c>
      <c r="AX1385" t="s">
        <v>29792</v>
      </c>
      <c r="AY1385" t="s">
        <v>191</v>
      </c>
      <c r="AZ1385">
        <v>2007</v>
      </c>
      <c r="BA1385">
        <v>21</v>
      </c>
      <c r="BB1385">
        <v>1</v>
      </c>
      <c r="BC1385" t="s">
        <v>69</v>
      </c>
      <c r="BD1385" t="s">
        <v>69</v>
      </c>
      <c r="BE1385" t="s">
        <v>69</v>
      </c>
      <c r="BF1385" t="s">
        <v>69</v>
      </c>
      <c r="BG1385">
        <v>31</v>
      </c>
      <c r="BH1385">
        <v>42</v>
      </c>
      <c r="BI1385" t="s">
        <v>69</v>
      </c>
      <c r="BJ1385" t="s">
        <v>29793</v>
      </c>
      <c r="BK1385" t="str">
        <f>HYPERLINK("http://dx.doi.org/10.5367/000000007780222741","http://dx.doi.org/10.5367/000000007780222741")</f>
        <v>http://dx.doi.org/10.5367/000000007780222741</v>
      </c>
      <c r="BL1385" t="s">
        <v>69</v>
      </c>
      <c r="BM1385" t="s">
        <v>69</v>
      </c>
      <c r="BN1385">
        <v>12</v>
      </c>
      <c r="BO1385" t="s">
        <v>9290</v>
      </c>
      <c r="BP1385" t="s">
        <v>8573</v>
      </c>
      <c r="BQ1385" t="s">
        <v>9290</v>
      </c>
      <c r="BR1385" t="s">
        <v>29794</v>
      </c>
      <c r="BS1385" t="s">
        <v>29795</v>
      </c>
      <c r="BT1385" t="s">
        <v>69</v>
      </c>
      <c r="BU1385" t="s">
        <v>69</v>
      </c>
      <c r="BV1385" t="s">
        <v>69</v>
      </c>
      <c r="BW1385" t="s">
        <v>69</v>
      </c>
      <c r="BX1385" t="s">
        <v>8526</v>
      </c>
      <c r="BY1385" t="str">
        <f>HYPERLINK("https%3A%2F%2Fwww.webofscience.com%2Fwos%2Fwoscc%2Ffull-record%2FWOS:000442230200009","View Full Record in Web of Science")</f>
        <v>View Full Record in Web of Science</v>
      </c>
    </row>
    <row r="1386" spans="1:77" ht="12.5" x14ac:dyDescent="0.25">
      <c r="A1386" t="s">
        <v>8495</v>
      </c>
      <c r="B1386" s="7" t="s">
        <v>32933</v>
      </c>
      <c r="C1386" s="7"/>
      <c r="D1386" s="7"/>
      <c r="E1386" s="7"/>
      <c r="F1386" t="s">
        <v>67</v>
      </c>
      <c r="G1386" t="s">
        <v>6309</v>
      </c>
      <c r="H1386" t="s">
        <v>69</v>
      </c>
      <c r="I1386" t="s">
        <v>69</v>
      </c>
      <c r="J1386" t="s">
        <v>69</v>
      </c>
      <c r="K1386" t="s">
        <v>6310</v>
      </c>
      <c r="L1386" t="s">
        <v>69</v>
      </c>
      <c r="M1386" t="s">
        <v>69</v>
      </c>
      <c r="N1386" s="3" t="s">
        <v>6311</v>
      </c>
      <c r="O1386" t="s">
        <v>436</v>
      </c>
      <c r="P1386" t="s">
        <v>69</v>
      </c>
      <c r="Q1386" t="s">
        <v>69</v>
      </c>
      <c r="R1386" t="s">
        <v>8505</v>
      </c>
      <c r="S1386" t="s">
        <v>8506</v>
      </c>
      <c r="T1386" t="s">
        <v>69</v>
      </c>
      <c r="U1386" t="s">
        <v>69</v>
      </c>
      <c r="V1386" t="s">
        <v>69</v>
      </c>
      <c r="W1386" t="s">
        <v>69</v>
      </c>
      <c r="X1386" t="s">
        <v>69</v>
      </c>
      <c r="Y1386" t="s">
        <v>18011</v>
      </c>
      <c r="Z1386" t="s">
        <v>18012</v>
      </c>
      <c r="AA1386" t="s">
        <v>6312</v>
      </c>
      <c r="AB1386" t="s">
        <v>18013</v>
      </c>
      <c r="AC1386" t="s">
        <v>69</v>
      </c>
      <c r="AD1386" t="s">
        <v>18014</v>
      </c>
      <c r="AE1386" t="s">
        <v>18015</v>
      </c>
      <c r="AF1386" t="s">
        <v>69</v>
      </c>
      <c r="AG1386" t="s">
        <v>69</v>
      </c>
      <c r="AH1386" t="s">
        <v>18016</v>
      </c>
      <c r="AI1386" t="s">
        <v>18017</v>
      </c>
      <c r="AJ1386" t="s">
        <v>18018</v>
      </c>
      <c r="AK1386" t="s">
        <v>69</v>
      </c>
      <c r="AL1386">
        <v>45</v>
      </c>
      <c r="AM1386">
        <v>45</v>
      </c>
      <c r="AN1386">
        <v>46</v>
      </c>
      <c r="AO1386">
        <v>6</v>
      </c>
      <c r="AP1386">
        <v>48</v>
      </c>
      <c r="AQ1386" t="s">
        <v>8636</v>
      </c>
      <c r="AR1386" t="s">
        <v>8637</v>
      </c>
      <c r="AS1386" t="s">
        <v>8638</v>
      </c>
      <c r="AT1386" t="s">
        <v>440</v>
      </c>
      <c r="AU1386" t="s">
        <v>441</v>
      </c>
      <c r="AV1386" t="s">
        <v>69</v>
      </c>
      <c r="AW1386" t="s">
        <v>8639</v>
      </c>
      <c r="AX1386" t="s">
        <v>8640</v>
      </c>
      <c r="AY1386" t="s">
        <v>6313</v>
      </c>
      <c r="AZ1386">
        <v>2018</v>
      </c>
      <c r="BA1386">
        <v>205</v>
      </c>
      <c r="BB1386" t="s">
        <v>69</v>
      </c>
      <c r="BC1386" t="s">
        <v>69</v>
      </c>
      <c r="BD1386" t="s">
        <v>69</v>
      </c>
      <c r="BE1386" t="s">
        <v>69</v>
      </c>
      <c r="BF1386" t="s">
        <v>69</v>
      </c>
      <c r="BG1386">
        <v>1006</v>
      </c>
      <c r="BH1386">
        <v>1016</v>
      </c>
      <c r="BI1386" t="s">
        <v>69</v>
      </c>
      <c r="BJ1386" t="s">
        <v>6314</v>
      </c>
      <c r="BK1386" t="str">
        <f>HYPERLINK("http://dx.doi.org/10.1016/j.jclepro.2018.09.132","http://dx.doi.org/10.1016/j.jclepro.2018.09.132")</f>
        <v>http://dx.doi.org/10.1016/j.jclepro.2018.09.132</v>
      </c>
      <c r="BL1386" t="s">
        <v>69</v>
      </c>
      <c r="BM1386" t="s">
        <v>69</v>
      </c>
      <c r="BN1386">
        <v>11</v>
      </c>
      <c r="BO1386" t="s">
        <v>8643</v>
      </c>
      <c r="BP1386" t="s">
        <v>8523</v>
      </c>
      <c r="BQ1386" t="s">
        <v>8644</v>
      </c>
      <c r="BR1386" t="s">
        <v>18019</v>
      </c>
      <c r="BS1386" t="s">
        <v>6315</v>
      </c>
      <c r="BT1386" t="s">
        <v>69</v>
      </c>
      <c r="BU1386" t="s">
        <v>69</v>
      </c>
      <c r="BV1386" t="s">
        <v>69</v>
      </c>
      <c r="BW1386" t="s">
        <v>69</v>
      </c>
      <c r="BX1386" t="s">
        <v>8526</v>
      </c>
      <c r="BY1386" t="str">
        <f>HYPERLINK("https%3A%2F%2Fwww.webofscience.com%2Fwos%2Fwoscc%2Ffull-record%2FWOS:000449133300081","View Full Record in Web of Science")</f>
        <v>View Full Record in Web of Science</v>
      </c>
    </row>
    <row r="1387" spans="1:77" ht="12.5" x14ac:dyDescent="0.25">
      <c r="A1387" t="s">
        <v>8495</v>
      </c>
      <c r="B1387" s="15" t="s">
        <v>33011</v>
      </c>
      <c r="C1387" s="7"/>
      <c r="D1387" s="7"/>
      <c r="E1387" s="7"/>
      <c r="F1387" t="s">
        <v>67</v>
      </c>
      <c r="G1387" t="s">
        <v>7812</v>
      </c>
      <c r="H1387" t="s">
        <v>69</v>
      </c>
      <c r="I1387" t="s">
        <v>69</v>
      </c>
      <c r="J1387" t="s">
        <v>69</v>
      </c>
      <c r="K1387" s="3" t="s">
        <v>7812</v>
      </c>
      <c r="L1387" t="s">
        <v>69</v>
      </c>
      <c r="M1387" t="s">
        <v>69</v>
      </c>
      <c r="N1387" s="11" t="s">
        <v>7813</v>
      </c>
      <c r="O1387" t="s">
        <v>7814</v>
      </c>
      <c r="P1387" t="s">
        <v>69</v>
      </c>
      <c r="Q1387" t="s">
        <v>69</v>
      </c>
      <c r="R1387" t="s">
        <v>8505</v>
      </c>
      <c r="S1387" t="s">
        <v>8506</v>
      </c>
      <c r="T1387" t="s">
        <v>69</v>
      </c>
      <c r="U1387" t="s">
        <v>69</v>
      </c>
      <c r="V1387" t="s">
        <v>69</v>
      </c>
      <c r="W1387" t="s">
        <v>69</v>
      </c>
      <c r="X1387" t="s">
        <v>69</v>
      </c>
      <c r="Y1387" t="s">
        <v>69</v>
      </c>
      <c r="Z1387" t="s">
        <v>69</v>
      </c>
      <c r="AA1387" t="s">
        <v>7815</v>
      </c>
      <c r="AB1387" t="s">
        <v>69</v>
      </c>
      <c r="AC1387" t="s">
        <v>69</v>
      </c>
      <c r="AD1387" t="s">
        <v>32715</v>
      </c>
      <c r="AE1387" t="s">
        <v>69</v>
      </c>
      <c r="AF1387" t="s">
        <v>69</v>
      </c>
      <c r="AG1387" t="s">
        <v>69</v>
      </c>
      <c r="AH1387" t="s">
        <v>69</v>
      </c>
      <c r="AI1387" t="s">
        <v>69</v>
      </c>
      <c r="AJ1387" t="s">
        <v>69</v>
      </c>
      <c r="AK1387" t="s">
        <v>69</v>
      </c>
      <c r="AL1387">
        <v>6</v>
      </c>
      <c r="AM1387">
        <v>2</v>
      </c>
      <c r="AN1387">
        <v>2</v>
      </c>
      <c r="AO1387">
        <v>0</v>
      </c>
      <c r="AP1387">
        <v>0</v>
      </c>
      <c r="AQ1387" t="s">
        <v>32716</v>
      </c>
      <c r="AR1387" t="s">
        <v>8693</v>
      </c>
      <c r="AS1387" t="s">
        <v>32717</v>
      </c>
      <c r="AT1387" t="s">
        <v>7816</v>
      </c>
      <c r="AU1387" t="s">
        <v>69</v>
      </c>
      <c r="AV1387" t="s">
        <v>69</v>
      </c>
      <c r="AW1387" t="s">
        <v>7814</v>
      </c>
      <c r="AX1387" t="s">
        <v>32718</v>
      </c>
      <c r="AY1387" t="s">
        <v>1710</v>
      </c>
      <c r="AZ1387">
        <v>1993</v>
      </c>
      <c r="BA1387">
        <v>17</v>
      </c>
      <c r="BB1387">
        <v>4</v>
      </c>
      <c r="BC1387" t="s">
        <v>69</v>
      </c>
      <c r="BD1387" t="s">
        <v>69</v>
      </c>
      <c r="BE1387" t="s">
        <v>69</v>
      </c>
      <c r="BF1387" t="s">
        <v>69</v>
      </c>
      <c r="BG1387">
        <v>245</v>
      </c>
      <c r="BH1387">
        <v>253</v>
      </c>
      <c r="BI1387" t="s">
        <v>69</v>
      </c>
      <c r="BJ1387" t="s">
        <v>7817</v>
      </c>
      <c r="BK1387" t="str">
        <f>HYPERLINK("http://dx.doi.org/10.1007/BF01419722","http://dx.doi.org/10.1007/BF01419722")</f>
        <v>http://dx.doi.org/10.1007/BF01419722</v>
      </c>
      <c r="BL1387" t="s">
        <v>69</v>
      </c>
      <c r="BM1387" t="s">
        <v>69</v>
      </c>
      <c r="BN1387">
        <v>9</v>
      </c>
      <c r="BO1387" t="s">
        <v>30877</v>
      </c>
      <c r="BP1387" t="s">
        <v>8661</v>
      </c>
      <c r="BQ1387" t="s">
        <v>9001</v>
      </c>
      <c r="BR1387" t="s">
        <v>32719</v>
      </c>
      <c r="BS1387" t="s">
        <v>7818</v>
      </c>
      <c r="BT1387" t="s">
        <v>69</v>
      </c>
      <c r="BU1387" t="s">
        <v>69</v>
      </c>
      <c r="BV1387" t="s">
        <v>69</v>
      </c>
      <c r="BW1387" t="s">
        <v>69</v>
      </c>
      <c r="BX1387" t="s">
        <v>8526</v>
      </c>
      <c r="BY1387" t="str">
        <f>HYPERLINK("https%3A%2F%2Fwww.webofscience.com%2Fwos%2Fwoscc%2Ffull-record%2FWOS:A1993MQ81200005","View Full Record in Web of Science")</f>
        <v>View Full Record in Web of Science</v>
      </c>
    </row>
    <row r="1388" spans="1:77" ht="12.5" x14ac:dyDescent="0.25">
      <c r="A1388" t="s">
        <v>8495</v>
      </c>
      <c r="B1388" s="7" t="s">
        <v>32933</v>
      </c>
      <c r="C1388" s="7"/>
      <c r="D1388" s="7"/>
      <c r="E1388" s="7"/>
      <c r="F1388" t="s">
        <v>67</v>
      </c>
      <c r="G1388" t="s">
        <v>1741</v>
      </c>
      <c r="H1388" t="s">
        <v>69</v>
      </c>
      <c r="I1388" t="s">
        <v>69</v>
      </c>
      <c r="J1388" t="s">
        <v>69</v>
      </c>
      <c r="K1388" t="s">
        <v>1741</v>
      </c>
      <c r="L1388" t="s">
        <v>69</v>
      </c>
      <c r="M1388" t="s">
        <v>69</v>
      </c>
      <c r="N1388" t="s">
        <v>1742</v>
      </c>
      <c r="O1388" t="s">
        <v>1743</v>
      </c>
      <c r="P1388" t="s">
        <v>69</v>
      </c>
      <c r="Q1388" t="s">
        <v>69</v>
      </c>
      <c r="R1388" t="s">
        <v>8505</v>
      </c>
      <c r="S1388" t="s">
        <v>8506</v>
      </c>
      <c r="T1388" t="s">
        <v>69</v>
      </c>
      <c r="U1388" t="s">
        <v>69</v>
      </c>
      <c r="V1388" t="s">
        <v>69</v>
      </c>
      <c r="W1388" t="s">
        <v>69</v>
      </c>
      <c r="X1388" t="s">
        <v>69</v>
      </c>
      <c r="Y1388" t="s">
        <v>69</v>
      </c>
      <c r="Z1388" t="s">
        <v>26594</v>
      </c>
      <c r="AA1388" t="s">
        <v>1744</v>
      </c>
      <c r="AB1388" t="s">
        <v>31789</v>
      </c>
      <c r="AC1388" t="s">
        <v>69</v>
      </c>
      <c r="AD1388" t="s">
        <v>31790</v>
      </c>
      <c r="AE1388" t="s">
        <v>69</v>
      </c>
      <c r="AF1388" t="s">
        <v>69</v>
      </c>
      <c r="AG1388" t="s">
        <v>69</v>
      </c>
      <c r="AH1388" t="s">
        <v>69</v>
      </c>
      <c r="AI1388" t="s">
        <v>69</v>
      </c>
      <c r="AJ1388" t="s">
        <v>69</v>
      </c>
      <c r="AK1388" t="s">
        <v>69</v>
      </c>
      <c r="AL1388">
        <v>30</v>
      </c>
      <c r="AM1388">
        <v>9</v>
      </c>
      <c r="AN1388">
        <v>9</v>
      </c>
      <c r="AO1388">
        <v>0</v>
      </c>
      <c r="AP1388">
        <v>1</v>
      </c>
      <c r="AQ1388" t="s">
        <v>30740</v>
      </c>
      <c r="AR1388" t="s">
        <v>8637</v>
      </c>
      <c r="AS1388" t="s">
        <v>30741</v>
      </c>
      <c r="AT1388" t="s">
        <v>1745</v>
      </c>
      <c r="AU1388" t="s">
        <v>69</v>
      </c>
      <c r="AV1388" t="s">
        <v>69</v>
      </c>
      <c r="AW1388" t="s">
        <v>31791</v>
      </c>
      <c r="AX1388" t="s">
        <v>31792</v>
      </c>
      <c r="AY1388" t="s">
        <v>84</v>
      </c>
      <c r="AZ1388">
        <v>2000</v>
      </c>
      <c r="BA1388">
        <v>21</v>
      </c>
      <c r="BB1388">
        <v>2</v>
      </c>
      <c r="BC1388" t="s">
        <v>69</v>
      </c>
      <c r="BD1388" t="s">
        <v>69</v>
      </c>
      <c r="BE1388" t="s">
        <v>69</v>
      </c>
      <c r="BF1388" t="s">
        <v>69</v>
      </c>
      <c r="BG1388">
        <v>183</v>
      </c>
      <c r="BH1388">
        <v>199</v>
      </c>
      <c r="BI1388" t="s">
        <v>69</v>
      </c>
      <c r="BJ1388" t="s">
        <v>1746</v>
      </c>
      <c r="BK1388" t="str">
        <f>HYPERLINK("http://dx.doi.org/10.1111/1467-9493.00074","http://dx.doi.org/10.1111/1467-9493.00074")</f>
        <v>http://dx.doi.org/10.1111/1467-9493.00074</v>
      </c>
      <c r="BL1388" t="s">
        <v>69</v>
      </c>
      <c r="BM1388" t="s">
        <v>69</v>
      </c>
      <c r="BN1388">
        <v>17</v>
      </c>
      <c r="BO1388" t="s">
        <v>8446</v>
      </c>
      <c r="BP1388" t="s">
        <v>8661</v>
      </c>
      <c r="BQ1388" t="s">
        <v>8446</v>
      </c>
      <c r="BR1388" t="s">
        <v>31793</v>
      </c>
      <c r="BS1388" t="s">
        <v>1747</v>
      </c>
      <c r="BT1388" t="s">
        <v>69</v>
      </c>
      <c r="BU1388" t="s">
        <v>69</v>
      </c>
      <c r="BV1388" t="s">
        <v>69</v>
      </c>
      <c r="BW1388" t="s">
        <v>69</v>
      </c>
      <c r="BX1388" t="s">
        <v>8526</v>
      </c>
      <c r="BY1388" t="str">
        <f>HYPERLINK("https%3A%2F%2Fwww.webofscience.com%2Fwos%2Fwoscc%2Ffull-record%2FWOS:000088974100005","View Full Record in Web of Science")</f>
        <v>View Full Record in Web of Science</v>
      </c>
    </row>
    <row r="1389" spans="1:77" ht="12.5" x14ac:dyDescent="0.25">
      <c r="A1389" t="s">
        <v>8495</v>
      </c>
      <c r="B1389" s="7" t="s">
        <v>32933</v>
      </c>
      <c r="C1389" s="7"/>
      <c r="D1389" s="7"/>
      <c r="E1389" s="7"/>
      <c r="F1389" t="s">
        <v>67</v>
      </c>
      <c r="G1389" t="s">
        <v>3860</v>
      </c>
      <c r="H1389" t="s">
        <v>69</v>
      </c>
      <c r="I1389" t="s">
        <v>69</v>
      </c>
      <c r="J1389" t="s">
        <v>69</v>
      </c>
      <c r="K1389" t="s">
        <v>3861</v>
      </c>
      <c r="L1389" t="s">
        <v>69</v>
      </c>
      <c r="M1389" t="s">
        <v>69</v>
      </c>
      <c r="N1389" t="s">
        <v>3862</v>
      </c>
      <c r="O1389" t="s">
        <v>2720</v>
      </c>
      <c r="P1389" t="s">
        <v>69</v>
      </c>
      <c r="Q1389" t="s">
        <v>69</v>
      </c>
      <c r="R1389" t="s">
        <v>8505</v>
      </c>
      <c r="S1389" t="s">
        <v>8506</v>
      </c>
      <c r="T1389" t="s">
        <v>69</v>
      </c>
      <c r="U1389" t="s">
        <v>69</v>
      </c>
      <c r="V1389" t="s">
        <v>69</v>
      </c>
      <c r="W1389" t="s">
        <v>69</v>
      </c>
      <c r="X1389" t="s">
        <v>69</v>
      </c>
      <c r="Y1389" t="s">
        <v>30518</v>
      </c>
      <c r="Z1389" t="s">
        <v>69</v>
      </c>
      <c r="AA1389" t="s">
        <v>3863</v>
      </c>
      <c r="AB1389" t="s">
        <v>30519</v>
      </c>
      <c r="AC1389" t="s">
        <v>69</v>
      </c>
      <c r="AD1389" t="s">
        <v>30520</v>
      </c>
      <c r="AE1389" t="s">
        <v>69</v>
      </c>
      <c r="AF1389" t="s">
        <v>3864</v>
      </c>
      <c r="AG1389" t="s">
        <v>3865</v>
      </c>
      <c r="AH1389" t="s">
        <v>69</v>
      </c>
      <c r="AI1389" t="s">
        <v>69</v>
      </c>
      <c r="AJ1389" t="s">
        <v>69</v>
      </c>
      <c r="AK1389" t="s">
        <v>69</v>
      </c>
      <c r="AL1389">
        <v>15</v>
      </c>
      <c r="AM1389">
        <v>5</v>
      </c>
      <c r="AN1389">
        <v>5</v>
      </c>
      <c r="AO1389">
        <v>0</v>
      </c>
      <c r="AP1389">
        <v>19</v>
      </c>
      <c r="AQ1389" t="s">
        <v>8586</v>
      </c>
      <c r="AR1389" t="s">
        <v>8587</v>
      </c>
      <c r="AS1389" t="s">
        <v>8588</v>
      </c>
      <c r="AT1389" t="s">
        <v>2724</v>
      </c>
      <c r="AU1389" t="s">
        <v>2725</v>
      </c>
      <c r="AV1389" t="s">
        <v>69</v>
      </c>
      <c r="AW1389" t="s">
        <v>20625</v>
      </c>
      <c r="AX1389" t="s">
        <v>20626</v>
      </c>
      <c r="AY1389" t="s">
        <v>69</v>
      </c>
      <c r="AZ1389">
        <v>2006</v>
      </c>
      <c r="BA1389">
        <v>19</v>
      </c>
      <c r="BB1389">
        <v>6</v>
      </c>
      <c r="BC1389" t="s">
        <v>69</v>
      </c>
      <c r="BD1389" t="s">
        <v>69</v>
      </c>
      <c r="BE1389" t="s">
        <v>69</v>
      </c>
      <c r="BF1389" t="s">
        <v>69</v>
      </c>
      <c r="BG1389">
        <v>760</v>
      </c>
      <c r="BH1389">
        <v>765</v>
      </c>
      <c r="BI1389" t="s">
        <v>69</v>
      </c>
      <c r="BJ1389" t="s">
        <v>3866</v>
      </c>
      <c r="BK1389" t="str">
        <f>HYPERLINK("http://dx.doi.org/10.1108/09534810610708413","http://dx.doi.org/10.1108/09534810610708413")</f>
        <v>http://dx.doi.org/10.1108/09534810610708413</v>
      </c>
      <c r="BL1389" t="s">
        <v>69</v>
      </c>
      <c r="BM1389" t="s">
        <v>69</v>
      </c>
      <c r="BN1389">
        <v>6</v>
      </c>
      <c r="BO1389" t="s">
        <v>9410</v>
      </c>
      <c r="BP1389" t="s">
        <v>8661</v>
      </c>
      <c r="BQ1389" t="s">
        <v>8594</v>
      </c>
      <c r="BR1389" t="s">
        <v>30521</v>
      </c>
      <c r="BS1389" t="s">
        <v>3867</v>
      </c>
      <c r="BT1389" t="s">
        <v>69</v>
      </c>
      <c r="BU1389" t="s">
        <v>69</v>
      </c>
      <c r="BV1389" t="s">
        <v>69</v>
      </c>
      <c r="BW1389" t="s">
        <v>69</v>
      </c>
      <c r="BX1389" t="s">
        <v>8526</v>
      </c>
      <c r="BY1389" t="str">
        <f>HYPERLINK("https%3A%2F%2Fwww.webofscience.com%2Fwos%2Fwoscc%2Ffull-record%2FWOS:000242523900009","View Full Record in Web of Science")</f>
        <v>View Full Record in Web of Science</v>
      </c>
    </row>
    <row r="1390" spans="1:77" ht="12.5" x14ac:dyDescent="0.25">
      <c r="A1390" t="s">
        <v>8495</v>
      </c>
      <c r="B1390" s="22" t="s">
        <v>32931</v>
      </c>
      <c r="C1390" s="7"/>
      <c r="D1390" s="7"/>
      <c r="E1390" s="7"/>
      <c r="F1390" t="s">
        <v>67</v>
      </c>
      <c r="G1390" t="s">
        <v>11335</v>
      </c>
      <c r="H1390" t="s">
        <v>69</v>
      </c>
      <c r="I1390" t="s">
        <v>69</v>
      </c>
      <c r="J1390" t="s">
        <v>69</v>
      </c>
      <c r="K1390" t="s">
        <v>11336</v>
      </c>
      <c r="L1390" t="s">
        <v>69</v>
      </c>
      <c r="M1390" t="s">
        <v>69</v>
      </c>
      <c r="N1390" t="s">
        <v>11337</v>
      </c>
      <c r="O1390" t="s">
        <v>5400</v>
      </c>
      <c r="P1390" t="s">
        <v>69</v>
      </c>
      <c r="Q1390" t="s">
        <v>69</v>
      </c>
      <c r="R1390" t="s">
        <v>8505</v>
      </c>
      <c r="S1390" t="s">
        <v>8506</v>
      </c>
      <c r="T1390" t="s">
        <v>69</v>
      </c>
      <c r="U1390" t="s">
        <v>69</v>
      </c>
      <c r="V1390" t="s">
        <v>69</v>
      </c>
      <c r="W1390" t="s">
        <v>69</v>
      </c>
      <c r="X1390" t="s">
        <v>69</v>
      </c>
      <c r="Y1390" t="s">
        <v>11338</v>
      </c>
      <c r="Z1390" t="s">
        <v>11339</v>
      </c>
      <c r="AA1390" t="s">
        <v>11340</v>
      </c>
      <c r="AB1390" t="s">
        <v>11341</v>
      </c>
      <c r="AC1390" t="s">
        <v>69</v>
      </c>
      <c r="AD1390" t="s">
        <v>11342</v>
      </c>
      <c r="AE1390" t="s">
        <v>11343</v>
      </c>
      <c r="AF1390" t="s">
        <v>69</v>
      </c>
      <c r="AG1390" t="s">
        <v>69</v>
      </c>
      <c r="AH1390" t="s">
        <v>11344</v>
      </c>
      <c r="AI1390" t="s">
        <v>11345</v>
      </c>
      <c r="AJ1390" t="s">
        <v>11346</v>
      </c>
      <c r="AK1390" t="s">
        <v>69</v>
      </c>
      <c r="AL1390">
        <v>94</v>
      </c>
      <c r="AM1390">
        <v>0</v>
      </c>
      <c r="AN1390">
        <v>0</v>
      </c>
      <c r="AO1390">
        <v>3</v>
      </c>
      <c r="AP1390">
        <v>5</v>
      </c>
      <c r="AQ1390" t="s">
        <v>8516</v>
      </c>
      <c r="AR1390" t="s">
        <v>8517</v>
      </c>
      <c r="AS1390" t="s">
        <v>8518</v>
      </c>
      <c r="AT1390" t="s">
        <v>5402</v>
      </c>
      <c r="AU1390" t="s">
        <v>5403</v>
      </c>
      <c r="AV1390" t="s">
        <v>69</v>
      </c>
      <c r="AW1390" t="s">
        <v>8974</v>
      </c>
      <c r="AX1390" t="s">
        <v>8975</v>
      </c>
      <c r="AY1390" t="s">
        <v>75</v>
      </c>
      <c r="AZ1390">
        <v>2021</v>
      </c>
      <c r="BA1390">
        <v>82</v>
      </c>
      <c r="BB1390" t="s">
        <v>69</v>
      </c>
      <c r="BC1390" t="s">
        <v>69</v>
      </c>
      <c r="BD1390" t="s">
        <v>69</v>
      </c>
      <c r="BE1390" t="s">
        <v>69</v>
      </c>
      <c r="BF1390" t="s">
        <v>69</v>
      </c>
      <c r="BG1390" t="s">
        <v>69</v>
      </c>
      <c r="BH1390" t="s">
        <v>69</v>
      </c>
      <c r="BI1390">
        <v>102308</v>
      </c>
      <c r="BJ1390" t="s">
        <v>11347</v>
      </c>
      <c r="BK1390" t="str">
        <f>HYPERLINK("http://dx.doi.org/10.1016/j.erss.2021.102308","http://dx.doi.org/10.1016/j.erss.2021.102308")</f>
        <v>http://dx.doi.org/10.1016/j.erss.2021.102308</v>
      </c>
      <c r="BL1390" t="s">
        <v>69</v>
      </c>
      <c r="BM1390" t="s">
        <v>11299</v>
      </c>
      <c r="BN1390">
        <v>10</v>
      </c>
      <c r="BO1390" t="s">
        <v>8660</v>
      </c>
      <c r="BP1390" t="s">
        <v>8661</v>
      </c>
      <c r="BQ1390" t="s">
        <v>8662</v>
      </c>
      <c r="BR1390" t="s">
        <v>11348</v>
      </c>
      <c r="BS1390" t="s">
        <v>11349</v>
      </c>
      <c r="BT1390" t="s">
        <v>69</v>
      </c>
      <c r="BU1390" t="s">
        <v>69</v>
      </c>
      <c r="BV1390" t="s">
        <v>69</v>
      </c>
      <c r="BW1390" t="s">
        <v>69</v>
      </c>
      <c r="BX1390" t="s">
        <v>8526</v>
      </c>
      <c r="BY1390" t="str">
        <f>HYPERLINK("https%3A%2F%2Fwww.webofscience.com%2Fwos%2Fwoscc%2Ffull-record%2FWOS:000722894900011","View Full Record in Web of Science")</f>
        <v>View Full Record in Web of Science</v>
      </c>
    </row>
    <row r="1391" spans="1:77" ht="12.5" x14ac:dyDescent="0.25">
      <c r="A1391" t="s">
        <v>8495</v>
      </c>
      <c r="B1391" s="7" t="s">
        <v>32933</v>
      </c>
      <c r="C1391" s="7"/>
      <c r="D1391" s="7"/>
      <c r="E1391" s="7"/>
      <c r="F1391" t="s">
        <v>67</v>
      </c>
      <c r="G1391" t="s">
        <v>230</v>
      </c>
      <c r="H1391" t="s">
        <v>69</v>
      </c>
      <c r="I1391" t="s">
        <v>69</v>
      </c>
      <c r="J1391" t="s">
        <v>69</v>
      </c>
      <c r="K1391" t="s">
        <v>230</v>
      </c>
      <c r="L1391" t="s">
        <v>69</v>
      </c>
      <c r="M1391" t="s">
        <v>69</v>
      </c>
      <c r="N1391" t="s">
        <v>231</v>
      </c>
      <c r="O1391" t="s">
        <v>232</v>
      </c>
      <c r="P1391" t="s">
        <v>69</v>
      </c>
      <c r="Q1391" t="s">
        <v>69</v>
      </c>
      <c r="R1391" t="s">
        <v>8505</v>
      </c>
      <c r="S1391" t="s">
        <v>8506</v>
      </c>
      <c r="T1391" t="s">
        <v>69</v>
      </c>
      <c r="U1391" t="s">
        <v>69</v>
      </c>
      <c r="V1391" t="s">
        <v>69</v>
      </c>
      <c r="W1391" t="s">
        <v>69</v>
      </c>
      <c r="X1391" t="s">
        <v>69</v>
      </c>
      <c r="Y1391" t="s">
        <v>69</v>
      </c>
      <c r="Z1391" t="s">
        <v>69</v>
      </c>
      <c r="AA1391" t="s">
        <v>233</v>
      </c>
      <c r="AB1391" t="s">
        <v>69</v>
      </c>
      <c r="AC1391" t="s">
        <v>69</v>
      </c>
      <c r="AD1391" t="s">
        <v>32241</v>
      </c>
      <c r="AE1391" t="s">
        <v>69</v>
      </c>
      <c r="AF1391" t="s">
        <v>69</v>
      </c>
      <c r="AG1391" t="s">
        <v>69</v>
      </c>
      <c r="AH1391" t="s">
        <v>69</v>
      </c>
      <c r="AI1391" t="s">
        <v>69</v>
      </c>
      <c r="AJ1391" t="s">
        <v>69</v>
      </c>
      <c r="AK1391" t="s">
        <v>69</v>
      </c>
      <c r="AL1391">
        <v>7</v>
      </c>
      <c r="AM1391">
        <v>0</v>
      </c>
      <c r="AN1391">
        <v>0</v>
      </c>
      <c r="AO1391">
        <v>0</v>
      </c>
      <c r="AP1391">
        <v>0</v>
      </c>
      <c r="AQ1391" t="s">
        <v>32242</v>
      </c>
      <c r="AR1391" t="s">
        <v>32243</v>
      </c>
      <c r="AS1391" t="s">
        <v>32244</v>
      </c>
      <c r="AT1391" t="s">
        <v>234</v>
      </c>
      <c r="AU1391" t="s">
        <v>69</v>
      </c>
      <c r="AV1391" t="s">
        <v>69</v>
      </c>
      <c r="AW1391" t="s">
        <v>232</v>
      </c>
      <c r="AX1391" t="s">
        <v>32245</v>
      </c>
      <c r="AY1391" t="s">
        <v>155</v>
      </c>
      <c r="AZ1391">
        <v>1997</v>
      </c>
      <c r="BA1391">
        <v>39</v>
      </c>
      <c r="BB1391">
        <v>6</v>
      </c>
      <c r="BC1391" t="s">
        <v>69</v>
      </c>
      <c r="BD1391" t="s">
        <v>69</v>
      </c>
      <c r="BE1391" t="s">
        <v>69</v>
      </c>
      <c r="BF1391" t="s">
        <v>69</v>
      </c>
      <c r="BG1391">
        <v>409</v>
      </c>
      <c r="BH1391">
        <v>412</v>
      </c>
      <c r="BI1391" t="s">
        <v>69</v>
      </c>
      <c r="BJ1391" t="s">
        <v>69</v>
      </c>
      <c r="BK1391" t="s">
        <v>69</v>
      </c>
      <c r="BL1391" t="s">
        <v>69</v>
      </c>
      <c r="BM1391" t="s">
        <v>69</v>
      </c>
      <c r="BN1391">
        <v>4</v>
      </c>
      <c r="BO1391" t="s">
        <v>32246</v>
      </c>
      <c r="BP1391" t="s">
        <v>8548</v>
      </c>
      <c r="BQ1391" t="s">
        <v>32247</v>
      </c>
      <c r="BR1391" t="s">
        <v>32248</v>
      </c>
      <c r="BS1391" t="s">
        <v>235</v>
      </c>
      <c r="BT1391" t="s">
        <v>69</v>
      </c>
      <c r="BU1391" t="s">
        <v>69</v>
      </c>
      <c r="BV1391" t="s">
        <v>69</v>
      </c>
      <c r="BW1391" t="s">
        <v>69</v>
      </c>
      <c r="BX1391" t="s">
        <v>8526</v>
      </c>
      <c r="BY1391" t="str">
        <f>HYPERLINK("https%3A%2F%2Fwww.webofscience.com%2Fwos%2Fwoscc%2Ffull-record%2FWOS:A1997XD47700028","View Full Record in Web of Science")</f>
        <v>View Full Record in Web of Science</v>
      </c>
    </row>
    <row r="1392" spans="1:77" ht="12.5" x14ac:dyDescent="0.25">
      <c r="A1392" t="s">
        <v>8495</v>
      </c>
      <c r="B1392" s="7" t="s">
        <v>32933</v>
      </c>
      <c r="C1392" s="7"/>
      <c r="D1392" s="7"/>
      <c r="E1392" s="7"/>
      <c r="F1392" t="s">
        <v>67</v>
      </c>
      <c r="G1392" t="s">
        <v>5490</v>
      </c>
      <c r="H1392" t="s">
        <v>69</v>
      </c>
      <c r="I1392" t="s">
        <v>69</v>
      </c>
      <c r="J1392" t="s">
        <v>69</v>
      </c>
      <c r="K1392" t="s">
        <v>5491</v>
      </c>
      <c r="L1392" t="s">
        <v>69</v>
      </c>
      <c r="M1392" t="s">
        <v>69</v>
      </c>
      <c r="N1392" t="s">
        <v>5492</v>
      </c>
      <c r="O1392" t="s">
        <v>5493</v>
      </c>
      <c r="P1392" t="s">
        <v>69</v>
      </c>
      <c r="Q1392" t="s">
        <v>69</v>
      </c>
      <c r="R1392" t="s">
        <v>8505</v>
      </c>
      <c r="S1392" t="s">
        <v>8506</v>
      </c>
      <c r="T1392" t="s">
        <v>69</v>
      </c>
      <c r="U1392" t="s">
        <v>69</v>
      </c>
      <c r="V1392" t="s">
        <v>69</v>
      </c>
      <c r="W1392" t="s">
        <v>69</v>
      </c>
      <c r="X1392" t="s">
        <v>69</v>
      </c>
      <c r="Y1392" t="s">
        <v>20676</v>
      </c>
      <c r="Z1392" t="s">
        <v>20677</v>
      </c>
      <c r="AA1392" t="s">
        <v>5494</v>
      </c>
      <c r="AB1392" t="s">
        <v>20678</v>
      </c>
      <c r="AC1392" t="s">
        <v>69</v>
      </c>
      <c r="AD1392" t="s">
        <v>20679</v>
      </c>
      <c r="AE1392" t="s">
        <v>20680</v>
      </c>
      <c r="AF1392" t="s">
        <v>5495</v>
      </c>
      <c r="AG1392" t="s">
        <v>5496</v>
      </c>
      <c r="AH1392" t="s">
        <v>69</v>
      </c>
      <c r="AI1392" t="s">
        <v>69</v>
      </c>
      <c r="AJ1392" t="s">
        <v>69</v>
      </c>
      <c r="AK1392" t="s">
        <v>69</v>
      </c>
      <c r="AL1392">
        <v>18</v>
      </c>
      <c r="AM1392">
        <v>2</v>
      </c>
      <c r="AN1392">
        <v>3</v>
      </c>
      <c r="AO1392">
        <v>0</v>
      </c>
      <c r="AP1392">
        <v>4</v>
      </c>
      <c r="AQ1392" t="s">
        <v>13645</v>
      </c>
      <c r="AR1392" t="s">
        <v>9367</v>
      </c>
      <c r="AS1392" t="s">
        <v>13646</v>
      </c>
      <c r="AT1392" t="s">
        <v>5497</v>
      </c>
      <c r="AU1392" t="s">
        <v>69</v>
      </c>
      <c r="AV1392" t="s">
        <v>69</v>
      </c>
      <c r="AW1392" t="s">
        <v>13647</v>
      </c>
      <c r="AX1392" t="s">
        <v>13648</v>
      </c>
      <c r="AY1392" t="s">
        <v>69</v>
      </c>
      <c r="AZ1392">
        <v>2017</v>
      </c>
      <c r="BA1392">
        <v>15</v>
      </c>
      <c r="BB1392">
        <v>3</v>
      </c>
      <c r="BC1392" t="s">
        <v>69</v>
      </c>
      <c r="BD1392" t="s">
        <v>69</v>
      </c>
      <c r="BE1392" t="s">
        <v>69</v>
      </c>
      <c r="BF1392" t="s">
        <v>69</v>
      </c>
      <c r="BG1392">
        <v>395</v>
      </c>
      <c r="BH1392">
        <v>406</v>
      </c>
      <c r="BI1392" t="s">
        <v>69</v>
      </c>
      <c r="BJ1392" t="s">
        <v>5498</v>
      </c>
      <c r="BK1392" t="str">
        <f>HYPERLINK("http://dx.doi.org/10.17323/727-0634-2017-15-3-395-406","http://dx.doi.org/10.17323/727-0634-2017-15-3-395-406")</f>
        <v>http://dx.doi.org/10.17323/727-0634-2017-15-3-395-406</v>
      </c>
      <c r="BL1392" t="s">
        <v>69</v>
      </c>
      <c r="BM1392" t="s">
        <v>69</v>
      </c>
      <c r="BN1392">
        <v>12</v>
      </c>
      <c r="BO1392" t="s">
        <v>13650</v>
      </c>
      <c r="BP1392" t="s">
        <v>8573</v>
      </c>
      <c r="BQ1392" t="s">
        <v>13650</v>
      </c>
      <c r="BR1392" t="s">
        <v>20681</v>
      </c>
      <c r="BS1392" t="s">
        <v>5499</v>
      </c>
      <c r="BT1392" t="s">
        <v>69</v>
      </c>
      <c r="BU1392" t="s">
        <v>9374</v>
      </c>
      <c r="BV1392" t="s">
        <v>69</v>
      </c>
      <c r="BW1392" t="s">
        <v>69</v>
      </c>
      <c r="BX1392" t="s">
        <v>8526</v>
      </c>
      <c r="BY1392" t="str">
        <f>HYPERLINK("https%3A%2F%2Fwww.webofscience.com%2Fwos%2Fwoscc%2Ffull-record%2FWOS:000423947200005","View Full Record in Web of Science")</f>
        <v>View Full Record in Web of Science</v>
      </c>
    </row>
    <row r="1393" spans="1:77" ht="12.5" x14ac:dyDescent="0.25">
      <c r="A1393" t="s">
        <v>8495</v>
      </c>
      <c r="B1393" s="7" t="s">
        <v>33048</v>
      </c>
      <c r="C1393" s="7"/>
      <c r="D1393" s="7"/>
      <c r="E1393" s="7"/>
      <c r="F1393" t="s">
        <v>67</v>
      </c>
      <c r="G1393" t="s">
        <v>68</v>
      </c>
      <c r="H1393" t="s">
        <v>69</v>
      </c>
      <c r="I1393" t="s">
        <v>69</v>
      </c>
      <c r="J1393" t="s">
        <v>69</v>
      </c>
      <c r="K1393" t="s">
        <v>70</v>
      </c>
      <c r="L1393" t="s">
        <v>69</v>
      </c>
      <c r="M1393" t="s">
        <v>69</v>
      </c>
      <c r="N1393" s="1" t="s">
        <v>71</v>
      </c>
      <c r="O1393" t="s">
        <v>72</v>
      </c>
      <c r="P1393" t="s">
        <v>69</v>
      </c>
      <c r="Q1393" t="s">
        <v>69</v>
      </c>
      <c r="R1393" t="s">
        <v>8505</v>
      </c>
      <c r="S1393" t="s">
        <v>8506</v>
      </c>
      <c r="T1393" t="s">
        <v>69</v>
      </c>
      <c r="U1393" t="s">
        <v>69</v>
      </c>
      <c r="V1393" t="s">
        <v>69</v>
      </c>
      <c r="W1393" t="s">
        <v>69</v>
      </c>
      <c r="X1393" t="s">
        <v>69</v>
      </c>
      <c r="Y1393" t="s">
        <v>22303</v>
      </c>
      <c r="Z1393" t="s">
        <v>69</v>
      </c>
      <c r="AA1393" t="s">
        <v>73</v>
      </c>
      <c r="AB1393" t="s">
        <v>69</v>
      </c>
      <c r="AC1393" t="s">
        <v>69</v>
      </c>
      <c r="AD1393" t="s">
        <v>69</v>
      </c>
      <c r="AE1393" t="s">
        <v>69</v>
      </c>
      <c r="AF1393" t="s">
        <v>69</v>
      </c>
      <c r="AG1393" t="s">
        <v>69</v>
      </c>
      <c r="AH1393" t="s">
        <v>69</v>
      </c>
      <c r="AI1393" t="s">
        <v>69</v>
      </c>
      <c r="AJ1393" t="s">
        <v>69</v>
      </c>
      <c r="AK1393" t="s">
        <v>69</v>
      </c>
      <c r="AL1393">
        <v>33</v>
      </c>
      <c r="AM1393">
        <v>1</v>
      </c>
      <c r="AN1393">
        <v>1</v>
      </c>
      <c r="AO1393">
        <v>2</v>
      </c>
      <c r="AP1393">
        <v>25</v>
      </c>
      <c r="AQ1393" t="s">
        <v>16022</v>
      </c>
      <c r="AR1393" t="s">
        <v>16023</v>
      </c>
      <c r="AS1393" t="s">
        <v>16024</v>
      </c>
      <c r="AT1393" t="s">
        <v>74</v>
      </c>
      <c r="AU1393" t="s">
        <v>69</v>
      </c>
      <c r="AV1393" t="s">
        <v>69</v>
      </c>
      <c r="AW1393" t="s">
        <v>16022</v>
      </c>
      <c r="AX1393" t="s">
        <v>16025</v>
      </c>
      <c r="AY1393" t="s">
        <v>75</v>
      </c>
      <c r="AZ1393">
        <v>2015</v>
      </c>
      <c r="BA1393">
        <v>40</v>
      </c>
      <c r="BB1393">
        <v>4</v>
      </c>
      <c r="BC1393" t="s">
        <v>69</v>
      </c>
      <c r="BD1393" t="s">
        <v>69</v>
      </c>
      <c r="BE1393" t="s">
        <v>69</v>
      </c>
      <c r="BF1393" t="s">
        <v>69</v>
      </c>
      <c r="BG1393">
        <v>5</v>
      </c>
      <c r="BH1393">
        <v>9</v>
      </c>
      <c r="BI1393" t="s">
        <v>69</v>
      </c>
      <c r="BJ1393" t="s">
        <v>69</v>
      </c>
      <c r="BK1393" t="s">
        <v>69</v>
      </c>
      <c r="BL1393" t="s">
        <v>69</v>
      </c>
      <c r="BM1393" t="s">
        <v>69</v>
      </c>
      <c r="BN1393">
        <v>5</v>
      </c>
      <c r="BO1393" t="s">
        <v>16026</v>
      </c>
      <c r="BP1393" t="s">
        <v>12201</v>
      </c>
      <c r="BQ1393" t="s">
        <v>16027</v>
      </c>
      <c r="BR1393" t="s">
        <v>22304</v>
      </c>
      <c r="BS1393" t="s">
        <v>76</v>
      </c>
      <c r="BT1393" t="s">
        <v>69</v>
      </c>
      <c r="BU1393" t="s">
        <v>69</v>
      </c>
      <c r="BV1393" t="s">
        <v>69</v>
      </c>
      <c r="BW1393" t="s">
        <v>69</v>
      </c>
      <c r="BX1393" t="s">
        <v>8526</v>
      </c>
      <c r="BY1393" t="str">
        <f>HYPERLINK("https%3A%2F%2Fwww.webofscience.com%2Fwos%2Fwoscc%2Ffull-record%2FWOS:000373433800002","View Full Record in Web of Science")</f>
        <v>View Full Record in Web of Science</v>
      </c>
    </row>
    <row r="1394" spans="1:77" ht="12.5" x14ac:dyDescent="0.25">
      <c r="A1394" t="s">
        <v>8495</v>
      </c>
      <c r="B1394" s="7" t="s">
        <v>32933</v>
      </c>
      <c r="C1394" s="7"/>
      <c r="D1394" s="7"/>
      <c r="E1394" s="7"/>
      <c r="F1394" t="s">
        <v>67</v>
      </c>
      <c r="G1394" t="s">
        <v>7372</v>
      </c>
      <c r="H1394" t="s">
        <v>69</v>
      </c>
      <c r="I1394" t="s">
        <v>69</v>
      </c>
      <c r="J1394" t="s">
        <v>69</v>
      </c>
      <c r="K1394" t="s">
        <v>7373</v>
      </c>
      <c r="L1394" t="s">
        <v>69</v>
      </c>
      <c r="M1394" t="s">
        <v>69</v>
      </c>
      <c r="N1394" t="s">
        <v>7374</v>
      </c>
      <c r="O1394" t="s">
        <v>2886</v>
      </c>
      <c r="P1394" t="s">
        <v>69</v>
      </c>
      <c r="Q1394" t="s">
        <v>69</v>
      </c>
      <c r="R1394" t="s">
        <v>8505</v>
      </c>
      <c r="S1394" t="s">
        <v>8506</v>
      </c>
      <c r="T1394" t="s">
        <v>69</v>
      </c>
      <c r="U1394" t="s">
        <v>69</v>
      </c>
      <c r="V1394" t="s">
        <v>69</v>
      </c>
      <c r="W1394" t="s">
        <v>69</v>
      </c>
      <c r="X1394" t="s">
        <v>69</v>
      </c>
      <c r="Y1394" t="s">
        <v>13003</v>
      </c>
      <c r="Z1394" t="s">
        <v>13004</v>
      </c>
      <c r="AA1394" t="s">
        <v>7375</v>
      </c>
      <c r="AB1394" t="s">
        <v>13005</v>
      </c>
      <c r="AC1394" t="s">
        <v>69</v>
      </c>
      <c r="AD1394" t="s">
        <v>13006</v>
      </c>
      <c r="AE1394" t="s">
        <v>13007</v>
      </c>
      <c r="AF1394" t="s">
        <v>69</v>
      </c>
      <c r="AG1394" t="s">
        <v>69</v>
      </c>
      <c r="AH1394" t="s">
        <v>69</v>
      </c>
      <c r="AI1394" t="s">
        <v>69</v>
      </c>
      <c r="AJ1394" t="s">
        <v>69</v>
      </c>
      <c r="AK1394" t="s">
        <v>69</v>
      </c>
      <c r="AL1394">
        <v>57</v>
      </c>
      <c r="AM1394">
        <v>3</v>
      </c>
      <c r="AN1394">
        <v>3</v>
      </c>
      <c r="AO1394">
        <v>10</v>
      </c>
      <c r="AP1394">
        <v>41</v>
      </c>
      <c r="AQ1394" t="s">
        <v>8516</v>
      </c>
      <c r="AR1394" t="s">
        <v>8517</v>
      </c>
      <c r="AS1394" t="s">
        <v>8518</v>
      </c>
      <c r="AT1394" t="s">
        <v>2890</v>
      </c>
      <c r="AU1394" t="s">
        <v>2891</v>
      </c>
      <c r="AV1394" t="s">
        <v>69</v>
      </c>
      <c r="AW1394" t="s">
        <v>13008</v>
      </c>
      <c r="AX1394" t="s">
        <v>13009</v>
      </c>
      <c r="AY1394" t="s">
        <v>94</v>
      </c>
      <c r="AZ1394">
        <v>2021</v>
      </c>
      <c r="BA1394">
        <v>135</v>
      </c>
      <c r="BB1394" t="s">
        <v>69</v>
      </c>
      <c r="BC1394" t="s">
        <v>69</v>
      </c>
      <c r="BD1394" t="s">
        <v>69</v>
      </c>
      <c r="BE1394" t="s">
        <v>69</v>
      </c>
      <c r="BF1394" t="s">
        <v>69</v>
      </c>
      <c r="BG1394" t="s">
        <v>69</v>
      </c>
      <c r="BH1394" t="s">
        <v>69</v>
      </c>
      <c r="BI1394">
        <v>105063</v>
      </c>
      <c r="BJ1394" t="s">
        <v>7376</v>
      </c>
      <c r="BK1394" t="str">
        <f>HYPERLINK("http://dx.doi.org/10.1016/j.ssci.2020.105063","http://dx.doi.org/10.1016/j.ssci.2020.105063")</f>
        <v>http://dx.doi.org/10.1016/j.ssci.2020.105063</v>
      </c>
      <c r="BL1394" t="s">
        <v>69</v>
      </c>
      <c r="BM1394" t="s">
        <v>69</v>
      </c>
      <c r="BN1394">
        <v>8</v>
      </c>
      <c r="BO1394" t="s">
        <v>13010</v>
      </c>
      <c r="BP1394" t="s">
        <v>8523</v>
      </c>
      <c r="BQ1394" t="s">
        <v>13011</v>
      </c>
      <c r="BR1394" t="s">
        <v>13012</v>
      </c>
      <c r="BS1394" t="s">
        <v>7377</v>
      </c>
      <c r="BT1394" t="s">
        <v>69</v>
      </c>
      <c r="BU1394" t="s">
        <v>9374</v>
      </c>
      <c r="BV1394" t="s">
        <v>69</v>
      </c>
      <c r="BW1394" t="s">
        <v>69</v>
      </c>
      <c r="BX1394" t="s">
        <v>8526</v>
      </c>
      <c r="BY1394" t="str">
        <f>HYPERLINK("https%3A%2F%2Fwww.webofscience.com%2Fwos%2Fwoscc%2Ffull-record%2FWOS:000610188700001","View Full Record in Web of Science")</f>
        <v>View Full Record in Web of Science</v>
      </c>
    </row>
    <row r="1395" spans="1:77" ht="12.5" x14ac:dyDescent="0.25">
      <c r="A1395" t="s">
        <v>8495</v>
      </c>
      <c r="B1395" s="7" t="s">
        <v>32933</v>
      </c>
      <c r="C1395" s="7"/>
      <c r="D1395" s="7"/>
      <c r="E1395" s="7"/>
      <c r="F1395" t="s">
        <v>67</v>
      </c>
      <c r="G1395" t="s">
        <v>4213</v>
      </c>
      <c r="H1395" t="s">
        <v>69</v>
      </c>
      <c r="I1395" t="s">
        <v>69</v>
      </c>
      <c r="J1395" t="s">
        <v>69</v>
      </c>
      <c r="K1395" t="s">
        <v>4213</v>
      </c>
      <c r="L1395" t="s">
        <v>69</v>
      </c>
      <c r="M1395" t="s">
        <v>69</v>
      </c>
      <c r="N1395" t="s">
        <v>4214</v>
      </c>
      <c r="O1395" t="s">
        <v>3976</v>
      </c>
      <c r="P1395" t="s">
        <v>69</v>
      </c>
      <c r="Q1395" t="s">
        <v>69</v>
      </c>
      <c r="R1395" t="s">
        <v>8505</v>
      </c>
      <c r="S1395" t="s">
        <v>15797</v>
      </c>
      <c r="T1395" t="s">
        <v>4215</v>
      </c>
      <c r="U1395" t="s">
        <v>4216</v>
      </c>
      <c r="V1395" t="s">
        <v>4217</v>
      </c>
      <c r="W1395" t="s">
        <v>32411</v>
      </c>
      <c r="X1395" t="s">
        <v>69</v>
      </c>
      <c r="Y1395" t="s">
        <v>32412</v>
      </c>
      <c r="Z1395" t="s">
        <v>69</v>
      </c>
      <c r="AA1395" t="s">
        <v>4218</v>
      </c>
      <c r="AB1395" t="s">
        <v>69</v>
      </c>
      <c r="AC1395" t="s">
        <v>69</v>
      </c>
      <c r="AD1395" t="s">
        <v>32413</v>
      </c>
      <c r="AE1395" t="s">
        <v>69</v>
      </c>
      <c r="AF1395" t="s">
        <v>69</v>
      </c>
      <c r="AG1395" t="s">
        <v>69</v>
      </c>
      <c r="AH1395" t="s">
        <v>69</v>
      </c>
      <c r="AI1395" t="s">
        <v>69</v>
      </c>
      <c r="AJ1395" t="s">
        <v>69</v>
      </c>
      <c r="AK1395" t="s">
        <v>69</v>
      </c>
      <c r="AL1395">
        <v>1</v>
      </c>
      <c r="AM1395">
        <v>6</v>
      </c>
      <c r="AN1395">
        <v>6</v>
      </c>
      <c r="AO1395">
        <v>1</v>
      </c>
      <c r="AP1395">
        <v>5</v>
      </c>
      <c r="AQ1395" t="s">
        <v>32414</v>
      </c>
      <c r="AR1395" t="s">
        <v>13024</v>
      </c>
      <c r="AS1395" t="s">
        <v>32415</v>
      </c>
      <c r="AT1395" t="s">
        <v>3982</v>
      </c>
      <c r="AU1395" t="s">
        <v>69</v>
      </c>
      <c r="AV1395" t="s">
        <v>69</v>
      </c>
      <c r="AW1395" t="s">
        <v>31240</v>
      </c>
      <c r="AX1395" t="s">
        <v>31241</v>
      </c>
      <c r="AY1395" t="s">
        <v>274</v>
      </c>
      <c r="AZ1395">
        <v>1996</v>
      </c>
      <c r="BA1395">
        <v>88</v>
      </c>
      <c r="BB1395" t="s">
        <v>4219</v>
      </c>
      <c r="BC1395" t="s">
        <v>69</v>
      </c>
      <c r="BD1395" t="s">
        <v>69</v>
      </c>
      <c r="BE1395" t="s">
        <v>69</v>
      </c>
      <c r="BF1395" t="s">
        <v>69</v>
      </c>
      <c r="BG1395">
        <v>365</v>
      </c>
      <c r="BH1395">
        <v>368</v>
      </c>
      <c r="BI1395" t="s">
        <v>69</v>
      </c>
      <c r="BJ1395" t="s">
        <v>4220</v>
      </c>
      <c r="BK1395" t="str">
        <f>HYPERLINK("http://dx.doi.org/10.1016/0378-4274(96)03763-0","http://dx.doi.org/10.1016/0378-4274(96)03763-0")</f>
        <v>http://dx.doi.org/10.1016/0378-4274(96)03763-0</v>
      </c>
      <c r="BL1395" t="s">
        <v>69</v>
      </c>
      <c r="BM1395" t="s">
        <v>69</v>
      </c>
      <c r="BN1395">
        <v>4</v>
      </c>
      <c r="BO1395" t="s">
        <v>31242</v>
      </c>
      <c r="BP1395" t="s">
        <v>29550</v>
      </c>
      <c r="BQ1395" t="s">
        <v>31242</v>
      </c>
      <c r="BR1395" t="s">
        <v>32416</v>
      </c>
      <c r="BS1395" t="s">
        <v>4221</v>
      </c>
      <c r="BT1395">
        <v>8920762</v>
      </c>
      <c r="BU1395" t="s">
        <v>69</v>
      </c>
      <c r="BV1395" t="s">
        <v>69</v>
      </c>
      <c r="BW1395" t="s">
        <v>69</v>
      </c>
      <c r="BX1395" t="s">
        <v>8526</v>
      </c>
      <c r="BY1395" t="str">
        <f>HYPERLINK("https%3A%2F%2Fwww.webofscience.com%2Fwos%2Fwoscc%2Ffull-record%2FWOS:A1996VR05900055","View Full Record in Web of Science")</f>
        <v>View Full Record in Web of Science</v>
      </c>
    </row>
    <row r="1396" spans="1:77" ht="12.5" x14ac:dyDescent="0.25">
      <c r="A1396" t="s">
        <v>8495</v>
      </c>
      <c r="B1396" s="7" t="s">
        <v>32933</v>
      </c>
      <c r="C1396" s="7"/>
      <c r="D1396" s="7"/>
      <c r="E1396" s="7"/>
      <c r="F1396" t="s">
        <v>67</v>
      </c>
      <c r="G1396" t="s">
        <v>3713</v>
      </c>
      <c r="H1396" t="s">
        <v>69</v>
      </c>
      <c r="I1396" t="s">
        <v>69</v>
      </c>
      <c r="J1396" t="s">
        <v>69</v>
      </c>
      <c r="K1396" t="s">
        <v>3714</v>
      </c>
      <c r="L1396" t="s">
        <v>69</v>
      </c>
      <c r="M1396" t="s">
        <v>69</v>
      </c>
      <c r="N1396" t="s">
        <v>3715</v>
      </c>
      <c r="O1396" t="s">
        <v>2233</v>
      </c>
      <c r="P1396" t="s">
        <v>69</v>
      </c>
      <c r="Q1396" t="s">
        <v>69</v>
      </c>
      <c r="R1396" t="s">
        <v>8505</v>
      </c>
      <c r="S1396" t="s">
        <v>8506</v>
      </c>
      <c r="T1396" t="s">
        <v>69</v>
      </c>
      <c r="U1396" t="s">
        <v>69</v>
      </c>
      <c r="V1396" t="s">
        <v>69</v>
      </c>
      <c r="W1396" t="s">
        <v>69</v>
      </c>
      <c r="X1396" t="s">
        <v>69</v>
      </c>
      <c r="Y1396" t="s">
        <v>29552</v>
      </c>
      <c r="Z1396" t="s">
        <v>29553</v>
      </c>
      <c r="AA1396" t="s">
        <v>3716</v>
      </c>
      <c r="AB1396" t="s">
        <v>29554</v>
      </c>
      <c r="AC1396" t="s">
        <v>69</v>
      </c>
      <c r="AD1396" t="s">
        <v>29555</v>
      </c>
      <c r="AE1396" t="s">
        <v>29556</v>
      </c>
      <c r="AF1396" t="s">
        <v>69</v>
      </c>
      <c r="AG1396" t="s">
        <v>69</v>
      </c>
      <c r="AH1396" t="s">
        <v>69</v>
      </c>
      <c r="AI1396" t="s">
        <v>69</v>
      </c>
      <c r="AJ1396" t="s">
        <v>69</v>
      </c>
      <c r="AK1396" t="s">
        <v>69</v>
      </c>
      <c r="AL1396">
        <v>32</v>
      </c>
      <c r="AM1396">
        <v>121</v>
      </c>
      <c r="AN1396">
        <v>122</v>
      </c>
      <c r="AO1396">
        <v>0</v>
      </c>
      <c r="AP1396">
        <v>78</v>
      </c>
      <c r="AQ1396" t="s">
        <v>9047</v>
      </c>
      <c r="AR1396" t="s">
        <v>9048</v>
      </c>
      <c r="AS1396" t="s">
        <v>9049</v>
      </c>
      <c r="AT1396" t="s">
        <v>2240</v>
      </c>
      <c r="AU1396" t="s">
        <v>2241</v>
      </c>
      <c r="AV1396" t="s">
        <v>69</v>
      </c>
      <c r="AW1396" t="s">
        <v>17229</v>
      </c>
      <c r="AX1396" t="s">
        <v>17230</v>
      </c>
      <c r="AY1396" t="s">
        <v>255</v>
      </c>
      <c r="AZ1396">
        <v>2007</v>
      </c>
      <c r="BA1396">
        <v>24</v>
      </c>
      <c r="BB1396">
        <v>3</v>
      </c>
      <c r="BC1396" t="s">
        <v>69</v>
      </c>
      <c r="BD1396" t="s">
        <v>69</v>
      </c>
      <c r="BE1396" t="s">
        <v>69</v>
      </c>
      <c r="BF1396" t="s">
        <v>69</v>
      </c>
      <c r="BG1396">
        <v>389</v>
      </c>
      <c r="BH1396">
        <v>398</v>
      </c>
      <c r="BI1396" t="s">
        <v>69</v>
      </c>
      <c r="BJ1396" t="s">
        <v>3717</v>
      </c>
      <c r="BK1396" t="str">
        <f>HYPERLINK("http://dx.doi.org/10.1007/s10460-006-9040-2","http://dx.doi.org/10.1007/s10460-006-9040-2")</f>
        <v>http://dx.doi.org/10.1007/s10460-006-9040-2</v>
      </c>
      <c r="BL1396" t="s">
        <v>69</v>
      </c>
      <c r="BM1396" t="s">
        <v>69</v>
      </c>
      <c r="BN1396">
        <v>10</v>
      </c>
      <c r="BO1396" t="s">
        <v>17231</v>
      </c>
      <c r="BP1396" t="s">
        <v>8523</v>
      </c>
      <c r="BQ1396" t="s">
        <v>17233</v>
      </c>
      <c r="BR1396" t="s">
        <v>29557</v>
      </c>
      <c r="BS1396" t="s">
        <v>3718</v>
      </c>
      <c r="BT1396" t="s">
        <v>69</v>
      </c>
      <c r="BU1396" t="s">
        <v>69</v>
      </c>
      <c r="BV1396" t="s">
        <v>69</v>
      </c>
      <c r="BW1396" t="s">
        <v>69</v>
      </c>
      <c r="BX1396" t="s">
        <v>8526</v>
      </c>
      <c r="BY1396" t="str">
        <f>HYPERLINK("https%3A%2F%2Fwww.webofscience.com%2Fwos%2Fwoscc%2Ffull-record%2FWOS:000248623300008","View Full Record in Web of Science")</f>
        <v>View Full Record in Web of Science</v>
      </c>
    </row>
    <row r="1397" spans="1:77" ht="12.5" x14ac:dyDescent="0.25">
      <c r="A1397" t="s">
        <v>8495</v>
      </c>
      <c r="B1397" s="7" t="s">
        <v>32933</v>
      </c>
      <c r="C1397" s="7"/>
      <c r="D1397" s="7"/>
      <c r="E1397" s="7"/>
      <c r="F1397" t="s">
        <v>67</v>
      </c>
      <c r="G1397" t="s">
        <v>5851</v>
      </c>
      <c r="H1397" t="s">
        <v>69</v>
      </c>
      <c r="I1397" t="s">
        <v>69</v>
      </c>
      <c r="J1397" t="s">
        <v>69</v>
      </c>
      <c r="K1397" t="s">
        <v>5852</v>
      </c>
      <c r="L1397" t="s">
        <v>69</v>
      </c>
      <c r="M1397" t="s">
        <v>69</v>
      </c>
      <c r="N1397" t="s">
        <v>5853</v>
      </c>
      <c r="O1397" t="s">
        <v>5854</v>
      </c>
      <c r="P1397" t="s">
        <v>69</v>
      </c>
      <c r="Q1397" t="s">
        <v>69</v>
      </c>
      <c r="R1397" t="s">
        <v>8505</v>
      </c>
      <c r="S1397" t="s">
        <v>8506</v>
      </c>
      <c r="T1397" t="s">
        <v>69</v>
      </c>
      <c r="U1397" t="s">
        <v>69</v>
      </c>
      <c r="V1397" t="s">
        <v>69</v>
      </c>
      <c r="W1397" t="s">
        <v>69</v>
      </c>
      <c r="X1397" t="s">
        <v>69</v>
      </c>
      <c r="Y1397" t="s">
        <v>17902</v>
      </c>
      <c r="Z1397" t="s">
        <v>17903</v>
      </c>
      <c r="AA1397" t="s">
        <v>5855</v>
      </c>
      <c r="AB1397" t="s">
        <v>17904</v>
      </c>
      <c r="AC1397" t="s">
        <v>69</v>
      </c>
      <c r="AD1397" t="s">
        <v>17905</v>
      </c>
      <c r="AE1397" t="s">
        <v>17906</v>
      </c>
      <c r="AF1397" t="s">
        <v>17907</v>
      </c>
      <c r="AG1397" t="s">
        <v>17908</v>
      </c>
      <c r="AH1397" t="s">
        <v>17909</v>
      </c>
      <c r="AI1397" t="s">
        <v>17910</v>
      </c>
      <c r="AJ1397" t="s">
        <v>17911</v>
      </c>
      <c r="AK1397" t="s">
        <v>69</v>
      </c>
      <c r="AL1397">
        <v>54</v>
      </c>
      <c r="AM1397">
        <v>22</v>
      </c>
      <c r="AN1397">
        <v>22</v>
      </c>
      <c r="AO1397">
        <v>1</v>
      </c>
      <c r="AP1397">
        <v>28</v>
      </c>
      <c r="AQ1397" t="s">
        <v>17912</v>
      </c>
      <c r="AR1397" t="s">
        <v>17913</v>
      </c>
      <c r="AS1397" t="s">
        <v>17914</v>
      </c>
      <c r="AT1397" t="s">
        <v>5856</v>
      </c>
      <c r="AU1397" t="s">
        <v>5857</v>
      </c>
      <c r="AV1397" t="s">
        <v>69</v>
      </c>
      <c r="AW1397" t="s">
        <v>17915</v>
      </c>
      <c r="AX1397" t="s">
        <v>17916</v>
      </c>
      <c r="AY1397" t="s">
        <v>373</v>
      </c>
      <c r="AZ1397">
        <v>2019</v>
      </c>
      <c r="BA1397">
        <v>14</v>
      </c>
      <c r="BB1397">
        <v>1</v>
      </c>
      <c r="BC1397" t="s">
        <v>69</v>
      </c>
      <c r="BD1397" t="s">
        <v>69</v>
      </c>
      <c r="BE1397" t="s">
        <v>69</v>
      </c>
      <c r="BF1397" t="s">
        <v>69</v>
      </c>
      <c r="BG1397">
        <v>221</v>
      </c>
      <c r="BH1397">
        <v>240</v>
      </c>
      <c r="BI1397" t="s">
        <v>69</v>
      </c>
      <c r="BJ1397" t="s">
        <v>5858</v>
      </c>
      <c r="BK1397" t="str">
        <f>HYPERLINK("http://dx.doi.org/10.1007/s11625-018-0642-6","http://dx.doi.org/10.1007/s11625-018-0642-6")</f>
        <v>http://dx.doi.org/10.1007/s11625-018-0642-6</v>
      </c>
      <c r="BL1397" t="s">
        <v>69</v>
      </c>
      <c r="BM1397" t="s">
        <v>69</v>
      </c>
      <c r="BN1397">
        <v>20</v>
      </c>
      <c r="BO1397" t="s">
        <v>17917</v>
      </c>
      <c r="BP1397" t="s">
        <v>8548</v>
      </c>
      <c r="BQ1397" t="s">
        <v>8961</v>
      </c>
      <c r="BR1397" t="s">
        <v>17918</v>
      </c>
      <c r="BS1397" t="s">
        <v>5859</v>
      </c>
      <c r="BT1397" t="s">
        <v>69</v>
      </c>
      <c r="BU1397" t="s">
        <v>69</v>
      </c>
      <c r="BV1397" t="s">
        <v>69</v>
      </c>
      <c r="BW1397" t="s">
        <v>69</v>
      </c>
      <c r="BX1397" t="s">
        <v>8526</v>
      </c>
      <c r="BY1397" t="str">
        <f>HYPERLINK("https%3A%2F%2Fwww.webofscience.com%2Fwos%2Fwoscc%2Ffull-record%2FWOS:000456977800017","View Full Record in Web of Science")</f>
        <v>View Full Record in Web of Science</v>
      </c>
    </row>
    <row r="1398" spans="1:77" ht="12.5" x14ac:dyDescent="0.25">
      <c r="A1398" t="s">
        <v>8495</v>
      </c>
      <c r="B1398" s="22" t="s">
        <v>32931</v>
      </c>
      <c r="C1398" s="7"/>
      <c r="D1398" s="7"/>
      <c r="E1398" s="7"/>
      <c r="F1398" t="s">
        <v>67</v>
      </c>
      <c r="G1398" t="s">
        <v>17770</v>
      </c>
      <c r="H1398" t="s">
        <v>69</v>
      </c>
      <c r="I1398" t="s">
        <v>69</v>
      </c>
      <c r="J1398" t="s">
        <v>69</v>
      </c>
      <c r="K1398" t="s">
        <v>17771</v>
      </c>
      <c r="L1398" t="s">
        <v>69</v>
      </c>
      <c r="M1398" t="s">
        <v>69</v>
      </c>
      <c r="N1398" t="s">
        <v>17772</v>
      </c>
      <c r="O1398" t="s">
        <v>109</v>
      </c>
      <c r="P1398" t="s">
        <v>69</v>
      </c>
      <c r="Q1398" t="s">
        <v>69</v>
      </c>
      <c r="R1398" t="s">
        <v>8505</v>
      </c>
      <c r="S1398" t="s">
        <v>8506</v>
      </c>
      <c r="T1398" t="s">
        <v>69</v>
      </c>
      <c r="U1398" t="s">
        <v>69</v>
      </c>
      <c r="V1398" t="s">
        <v>69</v>
      </c>
      <c r="W1398" t="s">
        <v>69</v>
      </c>
      <c r="X1398" t="s">
        <v>69</v>
      </c>
      <c r="Y1398" t="s">
        <v>17773</v>
      </c>
      <c r="Z1398" t="s">
        <v>17774</v>
      </c>
      <c r="AA1398" t="s">
        <v>17775</v>
      </c>
      <c r="AB1398" t="s">
        <v>17776</v>
      </c>
      <c r="AC1398" t="s">
        <v>69</v>
      </c>
      <c r="AD1398" t="s">
        <v>17777</v>
      </c>
      <c r="AE1398" t="s">
        <v>17778</v>
      </c>
      <c r="AF1398" t="s">
        <v>17779</v>
      </c>
      <c r="AG1398" t="s">
        <v>17780</v>
      </c>
      <c r="AH1398" t="s">
        <v>17781</v>
      </c>
      <c r="AI1398" t="s">
        <v>17782</v>
      </c>
      <c r="AJ1398" t="s">
        <v>17783</v>
      </c>
      <c r="AK1398" t="s">
        <v>69</v>
      </c>
      <c r="AL1398">
        <v>31</v>
      </c>
      <c r="AM1398">
        <v>4</v>
      </c>
      <c r="AN1398">
        <v>4</v>
      </c>
      <c r="AO1398">
        <v>1</v>
      </c>
      <c r="AP1398">
        <v>7</v>
      </c>
      <c r="AQ1398" t="s">
        <v>8611</v>
      </c>
      <c r="AR1398" t="s">
        <v>8612</v>
      </c>
      <c r="AS1398" t="s">
        <v>8613</v>
      </c>
      <c r="AT1398" t="s">
        <v>112</v>
      </c>
      <c r="AU1398" t="s">
        <v>113</v>
      </c>
      <c r="AV1398" t="s">
        <v>69</v>
      </c>
      <c r="AW1398" t="s">
        <v>17784</v>
      </c>
      <c r="AX1398" t="s">
        <v>17785</v>
      </c>
      <c r="AY1398" t="s">
        <v>69</v>
      </c>
      <c r="AZ1398">
        <v>2019</v>
      </c>
      <c r="BA1398">
        <v>17</v>
      </c>
      <c r="BB1398">
        <v>2</v>
      </c>
      <c r="BC1398" t="s">
        <v>69</v>
      </c>
      <c r="BD1398" t="s">
        <v>69</v>
      </c>
      <c r="BE1398" t="s">
        <v>69</v>
      </c>
      <c r="BF1398" t="s">
        <v>69</v>
      </c>
      <c r="BG1398">
        <v>219</v>
      </c>
      <c r="BH1398">
        <v>227</v>
      </c>
      <c r="BI1398" t="s">
        <v>69</v>
      </c>
      <c r="BJ1398" t="s">
        <v>17786</v>
      </c>
      <c r="BK1398" t="str">
        <f>HYPERLINK("http://dx.doi.org/10.1080/15715124.2018.1461106","http://dx.doi.org/10.1080/15715124.2018.1461106")</f>
        <v>http://dx.doi.org/10.1080/15715124.2018.1461106</v>
      </c>
      <c r="BL1398" t="s">
        <v>69</v>
      </c>
      <c r="BM1398" t="s">
        <v>69</v>
      </c>
      <c r="BN1398">
        <v>9</v>
      </c>
      <c r="BO1398" t="s">
        <v>9096</v>
      </c>
      <c r="BP1398" t="s">
        <v>8573</v>
      </c>
      <c r="BQ1398" t="s">
        <v>9096</v>
      </c>
      <c r="BR1398" t="s">
        <v>17787</v>
      </c>
      <c r="BS1398" t="s">
        <v>17788</v>
      </c>
      <c r="BT1398" t="s">
        <v>69</v>
      </c>
      <c r="BU1398" t="s">
        <v>10995</v>
      </c>
      <c r="BV1398" t="s">
        <v>69</v>
      </c>
      <c r="BW1398" t="s">
        <v>69</v>
      </c>
      <c r="BX1398" t="s">
        <v>8526</v>
      </c>
      <c r="BY1398" t="str">
        <f>HYPERLINK("https%3A%2F%2Fwww.webofscience.com%2Fwos%2Fwoscc%2Ffull-record%2FWOS:000469853400007","View Full Record in Web of Science")</f>
        <v>View Full Record in Web of Science</v>
      </c>
    </row>
    <row r="1399" spans="1:77" ht="12.5" x14ac:dyDescent="0.25">
      <c r="A1399" t="s">
        <v>8495</v>
      </c>
      <c r="B1399" s="7" t="s">
        <v>32933</v>
      </c>
      <c r="C1399" s="7"/>
      <c r="D1399" s="7"/>
      <c r="E1399" s="7"/>
      <c r="F1399" t="s">
        <v>67</v>
      </c>
      <c r="G1399" t="s">
        <v>6568</v>
      </c>
      <c r="H1399" t="s">
        <v>69</v>
      </c>
      <c r="I1399" t="s">
        <v>69</v>
      </c>
      <c r="J1399" t="s">
        <v>69</v>
      </c>
      <c r="K1399" t="s">
        <v>6569</v>
      </c>
      <c r="L1399" t="s">
        <v>69</v>
      </c>
      <c r="M1399" t="s">
        <v>69</v>
      </c>
      <c r="N1399" t="s">
        <v>6570</v>
      </c>
      <c r="O1399" t="s">
        <v>6571</v>
      </c>
      <c r="P1399" t="s">
        <v>69</v>
      </c>
      <c r="Q1399" t="s">
        <v>69</v>
      </c>
      <c r="R1399" t="s">
        <v>8505</v>
      </c>
      <c r="S1399" t="s">
        <v>8506</v>
      </c>
      <c r="T1399" t="s">
        <v>69</v>
      </c>
      <c r="U1399" t="s">
        <v>69</v>
      </c>
      <c r="V1399" t="s">
        <v>69</v>
      </c>
      <c r="W1399" t="s">
        <v>69</v>
      </c>
      <c r="X1399" t="s">
        <v>69</v>
      </c>
      <c r="Y1399" t="s">
        <v>23602</v>
      </c>
      <c r="Z1399" t="s">
        <v>23603</v>
      </c>
      <c r="AA1399" t="s">
        <v>6572</v>
      </c>
      <c r="AB1399" t="s">
        <v>23604</v>
      </c>
      <c r="AC1399" t="s">
        <v>69</v>
      </c>
      <c r="AD1399" t="s">
        <v>23605</v>
      </c>
      <c r="AE1399" t="s">
        <v>23606</v>
      </c>
      <c r="AF1399" t="s">
        <v>23607</v>
      </c>
      <c r="AG1399" t="s">
        <v>23608</v>
      </c>
      <c r="AH1399" t="s">
        <v>69</v>
      </c>
      <c r="AI1399" t="s">
        <v>69</v>
      </c>
      <c r="AJ1399" t="s">
        <v>69</v>
      </c>
      <c r="AK1399" t="s">
        <v>69</v>
      </c>
      <c r="AL1399">
        <v>83</v>
      </c>
      <c r="AM1399">
        <v>19</v>
      </c>
      <c r="AN1399">
        <v>19</v>
      </c>
      <c r="AO1399">
        <v>1</v>
      </c>
      <c r="AP1399">
        <v>42</v>
      </c>
      <c r="AQ1399" t="s">
        <v>8692</v>
      </c>
      <c r="AR1399" t="s">
        <v>8693</v>
      </c>
      <c r="AS1399" t="s">
        <v>8694</v>
      </c>
      <c r="AT1399" t="s">
        <v>6573</v>
      </c>
      <c r="AU1399" t="s">
        <v>6574</v>
      </c>
      <c r="AV1399" t="s">
        <v>69</v>
      </c>
      <c r="AW1399" t="s">
        <v>10988</v>
      </c>
      <c r="AX1399" t="s">
        <v>10989</v>
      </c>
      <c r="AY1399" t="s">
        <v>255</v>
      </c>
      <c r="AZ1399">
        <v>2014</v>
      </c>
      <c r="BA1399">
        <v>87</v>
      </c>
      <c r="BB1399" t="s">
        <v>69</v>
      </c>
      <c r="BC1399" t="s">
        <v>69</v>
      </c>
      <c r="BD1399" t="s">
        <v>69</v>
      </c>
      <c r="BE1399" t="s">
        <v>69</v>
      </c>
      <c r="BF1399" t="s">
        <v>69</v>
      </c>
      <c r="BG1399">
        <v>205</v>
      </c>
      <c r="BH1399">
        <v>223</v>
      </c>
      <c r="BI1399" t="s">
        <v>69</v>
      </c>
      <c r="BJ1399" t="s">
        <v>6575</v>
      </c>
      <c r="BK1399" t="str">
        <f>HYPERLINK("http://dx.doi.org/10.1016/j.techfore.2013.12.010","http://dx.doi.org/10.1016/j.techfore.2013.12.010")</f>
        <v>http://dx.doi.org/10.1016/j.techfore.2013.12.010</v>
      </c>
      <c r="BL1399" t="s">
        <v>69</v>
      </c>
      <c r="BM1399" t="s">
        <v>69</v>
      </c>
      <c r="BN1399">
        <v>19</v>
      </c>
      <c r="BO1399" t="s">
        <v>10992</v>
      </c>
      <c r="BP1399" t="s">
        <v>8661</v>
      </c>
      <c r="BQ1399" t="s">
        <v>10993</v>
      </c>
      <c r="BR1399" t="s">
        <v>23609</v>
      </c>
      <c r="BS1399" t="s">
        <v>6576</v>
      </c>
      <c r="BT1399" t="s">
        <v>69</v>
      </c>
      <c r="BU1399" t="s">
        <v>69</v>
      </c>
      <c r="BV1399" t="s">
        <v>69</v>
      </c>
      <c r="BW1399" t="s">
        <v>69</v>
      </c>
      <c r="BX1399" t="s">
        <v>8526</v>
      </c>
      <c r="BY1399" t="str">
        <f>HYPERLINK("https%3A%2F%2Fwww.webofscience.com%2Fwos%2Fwoscc%2Ffull-record%2FWOS:000340862600016","View Full Record in Web of Science")</f>
        <v>View Full Record in Web of Science</v>
      </c>
    </row>
    <row r="1400" spans="1:77" ht="12.5" x14ac:dyDescent="0.25">
      <c r="A1400" t="s">
        <v>8495</v>
      </c>
      <c r="B1400" s="7" t="s">
        <v>32933</v>
      </c>
      <c r="C1400" s="7"/>
      <c r="D1400" s="7"/>
      <c r="E1400" s="7"/>
      <c r="F1400" t="s">
        <v>67</v>
      </c>
      <c r="G1400" t="s">
        <v>3655</v>
      </c>
      <c r="H1400" t="s">
        <v>69</v>
      </c>
      <c r="I1400" t="s">
        <v>69</v>
      </c>
      <c r="J1400" t="s">
        <v>69</v>
      </c>
      <c r="K1400" t="s">
        <v>3656</v>
      </c>
      <c r="L1400" t="s">
        <v>69</v>
      </c>
      <c r="M1400" t="s">
        <v>69</v>
      </c>
      <c r="N1400" t="s">
        <v>3657</v>
      </c>
      <c r="O1400" t="s">
        <v>3658</v>
      </c>
      <c r="P1400" t="s">
        <v>69</v>
      </c>
      <c r="Q1400" t="s">
        <v>69</v>
      </c>
      <c r="R1400" t="s">
        <v>8505</v>
      </c>
      <c r="S1400" t="s">
        <v>8506</v>
      </c>
      <c r="T1400" t="s">
        <v>69</v>
      </c>
      <c r="U1400" t="s">
        <v>69</v>
      </c>
      <c r="V1400" t="s">
        <v>69</v>
      </c>
      <c r="W1400" t="s">
        <v>69</v>
      </c>
      <c r="X1400" t="s">
        <v>69</v>
      </c>
      <c r="Y1400" t="s">
        <v>69</v>
      </c>
      <c r="Z1400" t="s">
        <v>28883</v>
      </c>
      <c r="AA1400" t="s">
        <v>3659</v>
      </c>
      <c r="AB1400" t="s">
        <v>28884</v>
      </c>
      <c r="AC1400" t="s">
        <v>69</v>
      </c>
      <c r="AD1400" t="s">
        <v>28885</v>
      </c>
      <c r="AE1400" t="s">
        <v>28886</v>
      </c>
      <c r="AF1400" t="s">
        <v>69</v>
      </c>
      <c r="AG1400" t="s">
        <v>28887</v>
      </c>
      <c r="AH1400" t="s">
        <v>69</v>
      </c>
      <c r="AI1400" t="s">
        <v>69</v>
      </c>
      <c r="AJ1400" t="s">
        <v>69</v>
      </c>
      <c r="AK1400" t="s">
        <v>69</v>
      </c>
      <c r="AL1400">
        <v>66</v>
      </c>
      <c r="AM1400">
        <v>14</v>
      </c>
      <c r="AN1400">
        <v>14</v>
      </c>
      <c r="AO1400">
        <v>0</v>
      </c>
      <c r="AP1400">
        <v>4</v>
      </c>
      <c r="AQ1400" t="s">
        <v>8865</v>
      </c>
      <c r="AR1400" t="s">
        <v>8612</v>
      </c>
      <c r="AS1400" t="s">
        <v>8866</v>
      </c>
      <c r="AT1400" t="s">
        <v>3660</v>
      </c>
      <c r="AU1400" t="s">
        <v>3661</v>
      </c>
      <c r="AV1400" t="s">
        <v>69</v>
      </c>
      <c r="AW1400" t="s">
        <v>17632</v>
      </c>
      <c r="AX1400" t="s">
        <v>17633</v>
      </c>
      <c r="AY1400" t="s">
        <v>69</v>
      </c>
      <c r="AZ1400">
        <v>2009</v>
      </c>
      <c r="BA1400">
        <v>19</v>
      </c>
      <c r="BB1400">
        <v>1</v>
      </c>
      <c r="BC1400" t="s">
        <v>69</v>
      </c>
      <c r="BD1400" t="s">
        <v>69</v>
      </c>
      <c r="BE1400" t="s">
        <v>69</v>
      </c>
      <c r="BF1400" t="s">
        <v>69</v>
      </c>
      <c r="BG1400">
        <v>26</v>
      </c>
      <c r="BH1400">
        <v>44</v>
      </c>
      <c r="BI1400" t="s">
        <v>3662</v>
      </c>
      <c r="BJ1400" t="s">
        <v>3663</v>
      </c>
      <c r="BK1400" t="str">
        <f>HYPERLINK("http://dx.doi.org/10.1080/10474410802462769","http://dx.doi.org/10.1080/10474410802462769")</f>
        <v>http://dx.doi.org/10.1080/10474410802462769</v>
      </c>
      <c r="BL1400" t="s">
        <v>69</v>
      </c>
      <c r="BM1400" t="s">
        <v>69</v>
      </c>
      <c r="BN1400">
        <v>19</v>
      </c>
      <c r="BO1400" t="s">
        <v>11114</v>
      </c>
      <c r="BP1400" t="s">
        <v>8661</v>
      </c>
      <c r="BQ1400" t="s">
        <v>9001</v>
      </c>
      <c r="BR1400" t="s">
        <v>28888</v>
      </c>
      <c r="BS1400" t="s">
        <v>3664</v>
      </c>
      <c r="BT1400" t="s">
        <v>69</v>
      </c>
      <c r="BU1400" t="s">
        <v>69</v>
      </c>
      <c r="BV1400" t="s">
        <v>69</v>
      </c>
      <c r="BW1400" t="s">
        <v>69</v>
      </c>
      <c r="BX1400" t="s">
        <v>8526</v>
      </c>
      <c r="BY1400" t="str">
        <f>HYPERLINK("https%3A%2F%2Fwww.webofscience.com%2Fwos%2Fwoscc%2Ffull-record%2FWOS:000263645800003","View Full Record in Web of Science")</f>
        <v>View Full Record in Web of Science</v>
      </c>
    </row>
    <row r="1401" spans="1:77" ht="12.5" x14ac:dyDescent="0.25">
      <c r="A1401" t="s">
        <v>8495</v>
      </c>
      <c r="B1401" s="22" t="s">
        <v>32931</v>
      </c>
      <c r="C1401" s="7"/>
      <c r="D1401" s="7"/>
      <c r="E1401" s="7"/>
      <c r="F1401" t="s">
        <v>67</v>
      </c>
      <c r="G1401" t="s">
        <v>9271</v>
      </c>
      <c r="H1401" t="s">
        <v>69</v>
      </c>
      <c r="I1401" t="s">
        <v>69</v>
      </c>
      <c r="J1401" t="s">
        <v>69</v>
      </c>
      <c r="K1401" t="s">
        <v>9272</v>
      </c>
      <c r="L1401" t="s">
        <v>69</v>
      </c>
      <c r="M1401" t="s">
        <v>69</v>
      </c>
      <c r="N1401" t="s">
        <v>9273</v>
      </c>
      <c r="O1401" t="s">
        <v>9274</v>
      </c>
      <c r="P1401" t="s">
        <v>69</v>
      </c>
      <c r="Q1401" t="s">
        <v>69</v>
      </c>
      <c r="R1401" t="s">
        <v>8505</v>
      </c>
      <c r="S1401" t="s">
        <v>8556</v>
      </c>
      <c r="T1401" t="s">
        <v>69</v>
      </c>
      <c r="U1401" t="s">
        <v>69</v>
      </c>
      <c r="V1401" t="s">
        <v>69</v>
      </c>
      <c r="W1401" t="s">
        <v>69</v>
      </c>
      <c r="X1401" t="s">
        <v>69</v>
      </c>
      <c r="Y1401" t="s">
        <v>9275</v>
      </c>
      <c r="Z1401" t="s">
        <v>9276</v>
      </c>
      <c r="AA1401" t="s">
        <v>9277</v>
      </c>
      <c r="AB1401" t="s">
        <v>9278</v>
      </c>
      <c r="AC1401" t="s">
        <v>69</v>
      </c>
      <c r="AD1401" t="s">
        <v>9279</v>
      </c>
      <c r="AE1401" t="s">
        <v>9280</v>
      </c>
      <c r="AF1401" t="s">
        <v>9281</v>
      </c>
      <c r="AG1401" t="s">
        <v>9282</v>
      </c>
      <c r="AH1401" t="s">
        <v>9283</v>
      </c>
      <c r="AI1401" t="s">
        <v>9283</v>
      </c>
      <c r="AJ1401" t="s">
        <v>9284</v>
      </c>
      <c r="AK1401" t="s">
        <v>69</v>
      </c>
      <c r="AL1401">
        <v>51</v>
      </c>
      <c r="AM1401">
        <v>0</v>
      </c>
      <c r="AN1401">
        <v>0</v>
      </c>
      <c r="AO1401">
        <v>2</v>
      </c>
      <c r="AP1401">
        <v>2</v>
      </c>
      <c r="AQ1401" t="s">
        <v>8865</v>
      </c>
      <c r="AR1401" t="s">
        <v>8612</v>
      </c>
      <c r="AS1401" t="s">
        <v>8866</v>
      </c>
      <c r="AT1401" t="s">
        <v>9285</v>
      </c>
      <c r="AU1401" t="s">
        <v>9286</v>
      </c>
      <c r="AV1401" t="s">
        <v>69</v>
      </c>
      <c r="AW1401" t="s">
        <v>9287</v>
      </c>
      <c r="AX1401" t="s">
        <v>9288</v>
      </c>
      <c r="AY1401" t="s">
        <v>69</v>
      </c>
      <c r="AZ1401" t="s">
        <v>69</v>
      </c>
      <c r="BA1401" t="s">
        <v>69</v>
      </c>
      <c r="BB1401" t="s">
        <v>69</v>
      </c>
      <c r="BC1401" t="s">
        <v>69</v>
      </c>
      <c r="BD1401" t="s">
        <v>69</v>
      </c>
      <c r="BE1401" t="s">
        <v>69</v>
      </c>
      <c r="BF1401" t="s">
        <v>69</v>
      </c>
      <c r="BG1401" t="s">
        <v>69</v>
      </c>
      <c r="BH1401" t="s">
        <v>69</v>
      </c>
      <c r="BI1401" t="s">
        <v>69</v>
      </c>
      <c r="BJ1401" t="s">
        <v>9289</v>
      </c>
      <c r="BK1401" t="str">
        <f>HYPERLINK("http://dx.doi.org/10.1080/13540602.2022.2062748","http://dx.doi.org/10.1080/13540602.2022.2062748")</f>
        <v>http://dx.doi.org/10.1080/13540602.2022.2062748</v>
      </c>
      <c r="BL1401" t="s">
        <v>69</v>
      </c>
      <c r="BM1401" t="s">
        <v>9228</v>
      </c>
      <c r="BN1401">
        <v>15</v>
      </c>
      <c r="BO1401" t="s">
        <v>9290</v>
      </c>
      <c r="BP1401" t="s">
        <v>8661</v>
      </c>
      <c r="BQ1401" t="s">
        <v>9290</v>
      </c>
      <c r="BR1401" t="s">
        <v>9291</v>
      </c>
      <c r="BS1401" t="s">
        <v>9293</v>
      </c>
      <c r="BT1401" t="s">
        <v>69</v>
      </c>
      <c r="BU1401" t="s">
        <v>9292</v>
      </c>
      <c r="BV1401" t="s">
        <v>69</v>
      </c>
      <c r="BW1401" t="s">
        <v>69</v>
      </c>
      <c r="BX1401" t="s">
        <v>8526</v>
      </c>
      <c r="BY1401" t="str">
        <f>HYPERLINK("https%3A%2F%2Fwww.webofscience.com%2Fwos%2Fwoscc%2Ffull-record%2FWOS:000782341600001","View Full Record in Web of Science")</f>
        <v>View Full Record in Web of Science</v>
      </c>
    </row>
    <row r="1402" spans="1:77" ht="12.5" x14ac:dyDescent="0.25">
      <c r="A1402" t="s">
        <v>8495</v>
      </c>
      <c r="B1402" s="22" t="s">
        <v>32931</v>
      </c>
      <c r="C1402" s="7"/>
      <c r="D1402" s="7"/>
      <c r="E1402" s="7"/>
      <c r="F1402" t="s">
        <v>67</v>
      </c>
      <c r="G1402" t="s">
        <v>12096</v>
      </c>
      <c r="H1402" t="s">
        <v>69</v>
      </c>
      <c r="I1402" t="s">
        <v>69</v>
      </c>
      <c r="J1402" t="s">
        <v>69</v>
      </c>
      <c r="K1402" t="s">
        <v>12097</v>
      </c>
      <c r="L1402" t="s">
        <v>69</v>
      </c>
      <c r="M1402" t="s">
        <v>69</v>
      </c>
      <c r="N1402" t="s">
        <v>12098</v>
      </c>
      <c r="O1402" t="s">
        <v>782</v>
      </c>
      <c r="P1402" t="s">
        <v>69</v>
      </c>
      <c r="Q1402" t="s">
        <v>69</v>
      </c>
      <c r="R1402" t="s">
        <v>8505</v>
      </c>
      <c r="S1402" t="s">
        <v>8506</v>
      </c>
      <c r="T1402" t="s">
        <v>69</v>
      </c>
      <c r="U1402" t="s">
        <v>69</v>
      </c>
      <c r="V1402" t="s">
        <v>69</v>
      </c>
      <c r="W1402" t="s">
        <v>69</v>
      </c>
      <c r="X1402" t="s">
        <v>69</v>
      </c>
      <c r="Y1402" t="s">
        <v>12099</v>
      </c>
      <c r="Z1402" t="s">
        <v>69</v>
      </c>
      <c r="AA1402" t="s">
        <v>12100</v>
      </c>
      <c r="AB1402" t="s">
        <v>12101</v>
      </c>
      <c r="AC1402" t="s">
        <v>69</v>
      </c>
      <c r="AD1402" t="s">
        <v>12102</v>
      </c>
      <c r="AE1402" t="s">
        <v>12103</v>
      </c>
      <c r="AF1402" t="s">
        <v>69</v>
      </c>
      <c r="AG1402" t="s">
        <v>12104</v>
      </c>
      <c r="AH1402" t="s">
        <v>12105</v>
      </c>
      <c r="AI1402" t="s">
        <v>12106</v>
      </c>
      <c r="AJ1402" t="s">
        <v>12107</v>
      </c>
      <c r="AK1402" t="s">
        <v>69</v>
      </c>
      <c r="AL1402">
        <v>13</v>
      </c>
      <c r="AM1402">
        <v>0</v>
      </c>
      <c r="AN1402">
        <v>0</v>
      </c>
      <c r="AO1402">
        <v>0</v>
      </c>
      <c r="AP1402">
        <v>4</v>
      </c>
      <c r="AQ1402" t="s">
        <v>8516</v>
      </c>
      <c r="AR1402" t="s">
        <v>8517</v>
      </c>
      <c r="AS1402" t="s">
        <v>8518</v>
      </c>
      <c r="AT1402" t="s">
        <v>784</v>
      </c>
      <c r="AU1402" t="s">
        <v>69</v>
      </c>
      <c r="AV1402" t="s">
        <v>69</v>
      </c>
      <c r="AW1402" t="s">
        <v>12108</v>
      </c>
      <c r="AX1402" t="s">
        <v>12109</v>
      </c>
      <c r="AY1402" t="s">
        <v>201</v>
      </c>
      <c r="AZ1402">
        <v>2021</v>
      </c>
      <c r="BA1402">
        <v>37</v>
      </c>
      <c r="BB1402" t="s">
        <v>69</v>
      </c>
      <c r="BC1402" t="s">
        <v>69</v>
      </c>
      <c r="BD1402" t="s">
        <v>69</v>
      </c>
      <c r="BE1402" t="s">
        <v>69</v>
      </c>
      <c r="BF1402" t="s">
        <v>69</v>
      </c>
      <c r="BG1402" t="s">
        <v>69</v>
      </c>
      <c r="BH1402" t="s">
        <v>69</v>
      </c>
      <c r="BI1402">
        <v>107162</v>
      </c>
      <c r="BJ1402" t="s">
        <v>12110</v>
      </c>
      <c r="BK1402" t="str">
        <f>HYPERLINK("http://dx.doi.org/10.1016/j.dib.2021.107162","http://dx.doi.org/10.1016/j.dib.2021.107162")</f>
        <v>http://dx.doi.org/10.1016/j.dib.2021.107162</v>
      </c>
      <c r="BL1402" t="s">
        <v>69</v>
      </c>
      <c r="BM1402" t="s">
        <v>12111</v>
      </c>
      <c r="BN1402">
        <v>14</v>
      </c>
      <c r="BO1402" t="s">
        <v>8619</v>
      </c>
      <c r="BP1402" t="s">
        <v>8573</v>
      </c>
      <c r="BQ1402" t="s">
        <v>8620</v>
      </c>
      <c r="BR1402" t="s">
        <v>12112</v>
      </c>
      <c r="BS1402" t="s">
        <v>12113</v>
      </c>
      <c r="BT1402">
        <v>34136598</v>
      </c>
      <c r="BU1402" t="s">
        <v>8812</v>
      </c>
      <c r="BV1402" t="s">
        <v>69</v>
      </c>
      <c r="BW1402" t="s">
        <v>69</v>
      </c>
      <c r="BX1402" t="s">
        <v>8526</v>
      </c>
      <c r="BY1402" t="str">
        <f>HYPERLINK("https%3A%2F%2Fwww.webofscience.com%2Fwos%2Fwoscc%2Ffull-record%2FWOS:000689353400027","View Full Record in Web of Science")</f>
        <v>View Full Record in Web of Science</v>
      </c>
    </row>
    <row r="1403" spans="1:77" ht="12.5" x14ac:dyDescent="0.25">
      <c r="A1403" t="s">
        <v>8495</v>
      </c>
      <c r="B1403" s="11" t="s">
        <v>33021</v>
      </c>
      <c r="C1403" s="7"/>
      <c r="D1403" s="7"/>
      <c r="E1403" s="7"/>
      <c r="F1403" t="s">
        <v>67</v>
      </c>
      <c r="G1403" t="s">
        <v>8357</v>
      </c>
      <c r="H1403" t="s">
        <v>69</v>
      </c>
      <c r="I1403" t="s">
        <v>69</v>
      </c>
      <c r="J1403" t="s">
        <v>69</v>
      </c>
      <c r="K1403" s="2" t="s">
        <v>8357</v>
      </c>
      <c r="L1403" t="s">
        <v>69</v>
      </c>
      <c r="M1403" t="s">
        <v>69</v>
      </c>
      <c r="N1403" s="11" t="s">
        <v>8358</v>
      </c>
      <c r="O1403" t="s">
        <v>4711</v>
      </c>
      <c r="P1403" t="s">
        <v>69</v>
      </c>
      <c r="Q1403" t="s">
        <v>69</v>
      </c>
      <c r="R1403" t="s">
        <v>8505</v>
      </c>
      <c r="S1403" t="s">
        <v>8506</v>
      </c>
      <c r="T1403" t="s">
        <v>69</v>
      </c>
      <c r="U1403" t="s">
        <v>69</v>
      </c>
      <c r="V1403" t="s">
        <v>69</v>
      </c>
      <c r="W1403" t="s">
        <v>69</v>
      </c>
      <c r="X1403" t="s">
        <v>69</v>
      </c>
      <c r="Y1403" t="s">
        <v>69</v>
      </c>
      <c r="Z1403" t="s">
        <v>69</v>
      </c>
      <c r="AA1403" t="s">
        <v>8359</v>
      </c>
      <c r="AB1403" t="s">
        <v>69</v>
      </c>
      <c r="AC1403" t="s">
        <v>69</v>
      </c>
      <c r="AD1403" t="s">
        <v>32754</v>
      </c>
      <c r="AE1403" t="s">
        <v>69</v>
      </c>
      <c r="AF1403" t="s">
        <v>8360</v>
      </c>
      <c r="AG1403" t="s">
        <v>69</v>
      </c>
      <c r="AH1403" t="s">
        <v>69</v>
      </c>
      <c r="AI1403" t="s">
        <v>69</v>
      </c>
      <c r="AJ1403" t="s">
        <v>69</v>
      </c>
      <c r="AK1403" t="s">
        <v>69</v>
      </c>
      <c r="AL1403">
        <v>21</v>
      </c>
      <c r="AM1403">
        <v>2094</v>
      </c>
      <c r="AN1403">
        <v>2167</v>
      </c>
      <c r="AO1403">
        <v>8</v>
      </c>
      <c r="AP1403">
        <v>208</v>
      </c>
      <c r="AQ1403" t="s">
        <v>32755</v>
      </c>
      <c r="AR1403" t="s">
        <v>8637</v>
      </c>
      <c r="AS1403" t="s">
        <v>32756</v>
      </c>
      <c r="AT1403" t="s">
        <v>4714</v>
      </c>
      <c r="AU1403" t="s">
        <v>69</v>
      </c>
      <c r="AV1403" t="s">
        <v>69</v>
      </c>
      <c r="AW1403" t="s">
        <v>4711</v>
      </c>
      <c r="AX1403" t="s">
        <v>8487</v>
      </c>
      <c r="AY1403" t="s">
        <v>255</v>
      </c>
      <c r="AZ1403">
        <v>1993</v>
      </c>
      <c r="BA1403">
        <v>25</v>
      </c>
      <c r="BB1403">
        <v>7</v>
      </c>
      <c r="BC1403" t="s">
        <v>69</v>
      </c>
      <c r="BD1403" t="s">
        <v>69</v>
      </c>
      <c r="BE1403" t="s">
        <v>69</v>
      </c>
      <c r="BF1403" t="s">
        <v>69</v>
      </c>
      <c r="BG1403">
        <v>739</v>
      </c>
      <c r="BH1403">
        <v>755</v>
      </c>
      <c r="BI1403" t="s">
        <v>69</v>
      </c>
      <c r="BJ1403" t="s">
        <v>8361</v>
      </c>
      <c r="BK1403" t="str">
        <f>HYPERLINK("http://dx.doi.org/10.1016/0016-3287(93)90022-L","http://dx.doi.org/10.1016/0016-3287(93)90022-L")</f>
        <v>http://dx.doi.org/10.1016/0016-3287(93)90022-L</v>
      </c>
      <c r="BL1403" t="s">
        <v>69</v>
      </c>
      <c r="BM1403" t="s">
        <v>69</v>
      </c>
      <c r="BN1403">
        <v>17</v>
      </c>
      <c r="BO1403" t="s">
        <v>25762</v>
      </c>
      <c r="BP1403" t="s">
        <v>8661</v>
      </c>
      <c r="BQ1403" t="s">
        <v>10993</v>
      </c>
      <c r="BR1403" t="s">
        <v>32757</v>
      </c>
      <c r="BS1403" t="s">
        <v>8362</v>
      </c>
      <c r="BT1403" t="s">
        <v>69</v>
      </c>
      <c r="BU1403" t="s">
        <v>69</v>
      </c>
      <c r="BV1403" t="s">
        <v>69</v>
      </c>
      <c r="BW1403" t="s">
        <v>69</v>
      </c>
      <c r="BX1403" t="s">
        <v>8526</v>
      </c>
      <c r="BY1403" t="str">
        <f>HYPERLINK("https%3A%2F%2Fwww.webofscience.com%2Fwos%2Fwoscc%2Ffull-record%2FWOS:A1993LZ96700001","View Full Record in Web of Science")</f>
        <v>View Full Record in Web of Science</v>
      </c>
    </row>
    <row r="1404" spans="1:77" ht="12.5" x14ac:dyDescent="0.25">
      <c r="A1404" t="s">
        <v>8495</v>
      </c>
      <c r="B1404" s="22" t="s">
        <v>32931</v>
      </c>
      <c r="C1404" s="7"/>
      <c r="D1404" s="7"/>
      <c r="E1404" s="7"/>
      <c r="F1404" t="s">
        <v>67</v>
      </c>
      <c r="G1404" t="s">
        <v>24969</v>
      </c>
      <c r="H1404" t="s">
        <v>69</v>
      </c>
      <c r="I1404" t="s">
        <v>69</v>
      </c>
      <c r="J1404" t="s">
        <v>69</v>
      </c>
      <c r="K1404" t="s">
        <v>24970</v>
      </c>
      <c r="L1404" t="s">
        <v>69</v>
      </c>
      <c r="M1404" t="s">
        <v>69</v>
      </c>
      <c r="N1404" t="s">
        <v>24971</v>
      </c>
      <c r="O1404" t="s">
        <v>21086</v>
      </c>
      <c r="P1404" t="s">
        <v>69</v>
      </c>
      <c r="Q1404" t="s">
        <v>69</v>
      </c>
      <c r="R1404" t="s">
        <v>9357</v>
      </c>
      <c r="S1404" t="s">
        <v>8506</v>
      </c>
      <c r="T1404" t="s">
        <v>69</v>
      </c>
      <c r="U1404" t="s">
        <v>69</v>
      </c>
      <c r="V1404" t="s">
        <v>69</v>
      </c>
      <c r="W1404" t="s">
        <v>69</v>
      </c>
      <c r="X1404" t="s">
        <v>69</v>
      </c>
      <c r="Y1404" t="s">
        <v>24972</v>
      </c>
      <c r="Z1404" t="s">
        <v>69</v>
      </c>
      <c r="AA1404" t="s">
        <v>24973</v>
      </c>
      <c r="AB1404" t="s">
        <v>24974</v>
      </c>
      <c r="AC1404" t="s">
        <v>69</v>
      </c>
      <c r="AD1404" t="s">
        <v>24975</v>
      </c>
      <c r="AE1404" t="s">
        <v>24976</v>
      </c>
      <c r="AF1404" t="s">
        <v>69</v>
      </c>
      <c r="AG1404" t="s">
        <v>69</v>
      </c>
      <c r="AH1404" t="s">
        <v>69</v>
      </c>
      <c r="AI1404" t="s">
        <v>69</v>
      </c>
      <c r="AJ1404" t="s">
        <v>69</v>
      </c>
      <c r="AK1404" t="s">
        <v>69</v>
      </c>
      <c r="AL1404">
        <v>4</v>
      </c>
      <c r="AM1404">
        <v>0</v>
      </c>
      <c r="AN1404">
        <v>0</v>
      </c>
      <c r="AO1404">
        <v>0</v>
      </c>
      <c r="AP1404">
        <v>0</v>
      </c>
      <c r="AQ1404" t="s">
        <v>21091</v>
      </c>
      <c r="AR1404" t="s">
        <v>21092</v>
      </c>
      <c r="AS1404" t="s">
        <v>21093</v>
      </c>
      <c r="AT1404" t="s">
        <v>21094</v>
      </c>
      <c r="AU1404" t="s">
        <v>21095</v>
      </c>
      <c r="AV1404" t="s">
        <v>69</v>
      </c>
      <c r="AW1404" t="s">
        <v>24977</v>
      </c>
      <c r="AX1404" t="s">
        <v>21097</v>
      </c>
      <c r="AY1404" t="s">
        <v>155</v>
      </c>
      <c r="AZ1404">
        <v>2013</v>
      </c>
      <c r="BA1404">
        <v>22</v>
      </c>
      <c r="BB1404">
        <v>2</v>
      </c>
      <c r="BC1404" t="s">
        <v>69</v>
      </c>
      <c r="BD1404" t="s">
        <v>69</v>
      </c>
      <c r="BE1404" t="s">
        <v>69</v>
      </c>
      <c r="BF1404" t="s">
        <v>69</v>
      </c>
      <c r="BG1404">
        <v>28</v>
      </c>
      <c r="BH1404" t="s">
        <v>219</v>
      </c>
      <c r="BI1404" t="s">
        <v>69</v>
      </c>
      <c r="BJ1404" t="s">
        <v>69</v>
      </c>
      <c r="BK1404" t="s">
        <v>69</v>
      </c>
      <c r="BL1404" t="s">
        <v>69</v>
      </c>
      <c r="BM1404" t="s">
        <v>69</v>
      </c>
      <c r="BN1404">
        <v>7</v>
      </c>
      <c r="BO1404" t="s">
        <v>10299</v>
      </c>
      <c r="BP1404" t="s">
        <v>8573</v>
      </c>
      <c r="BQ1404" t="s">
        <v>10279</v>
      </c>
      <c r="BR1404" t="s">
        <v>24978</v>
      </c>
      <c r="BS1404" t="s">
        <v>24979</v>
      </c>
      <c r="BT1404" t="s">
        <v>69</v>
      </c>
      <c r="BU1404" t="s">
        <v>69</v>
      </c>
      <c r="BV1404" t="s">
        <v>69</v>
      </c>
      <c r="BW1404" t="s">
        <v>69</v>
      </c>
      <c r="BX1404" t="s">
        <v>8526</v>
      </c>
      <c r="BY1404" t="str">
        <f>HYPERLINK("https%3A%2F%2Fwww.webofscience.com%2Fwos%2Fwoscc%2Ffull-record%2FWOS:000440859100004","View Full Record in Web of Science")</f>
        <v>View Full Record in Web of Science</v>
      </c>
    </row>
    <row r="1405" spans="1:77" ht="12.5" x14ac:dyDescent="0.25">
      <c r="A1405" t="s">
        <v>8495</v>
      </c>
      <c r="B1405" s="22" t="s">
        <v>32931</v>
      </c>
      <c r="C1405" s="7"/>
      <c r="D1405" s="7"/>
      <c r="E1405" s="7"/>
      <c r="F1405" t="s">
        <v>67</v>
      </c>
      <c r="G1405" t="s">
        <v>21083</v>
      </c>
      <c r="H1405" t="s">
        <v>69</v>
      </c>
      <c r="I1405" t="s">
        <v>69</v>
      </c>
      <c r="J1405" t="s">
        <v>69</v>
      </c>
      <c r="K1405" t="s">
        <v>21084</v>
      </c>
      <c r="L1405" t="s">
        <v>69</v>
      </c>
      <c r="M1405" t="s">
        <v>69</v>
      </c>
      <c r="N1405" t="s">
        <v>21085</v>
      </c>
      <c r="O1405" t="s">
        <v>21086</v>
      </c>
      <c r="P1405" t="s">
        <v>69</v>
      </c>
      <c r="Q1405" t="s">
        <v>69</v>
      </c>
      <c r="R1405" t="s">
        <v>9357</v>
      </c>
      <c r="S1405" t="s">
        <v>8506</v>
      </c>
      <c r="T1405" t="s">
        <v>69</v>
      </c>
      <c r="U1405" t="s">
        <v>69</v>
      </c>
      <c r="V1405" t="s">
        <v>69</v>
      </c>
      <c r="W1405" t="s">
        <v>69</v>
      </c>
      <c r="X1405" t="s">
        <v>69</v>
      </c>
      <c r="Y1405" t="s">
        <v>21087</v>
      </c>
      <c r="Z1405" t="s">
        <v>69</v>
      </c>
      <c r="AA1405" t="s">
        <v>21088</v>
      </c>
      <c r="AB1405" t="s">
        <v>21089</v>
      </c>
      <c r="AC1405" t="s">
        <v>69</v>
      </c>
      <c r="AD1405" t="s">
        <v>21090</v>
      </c>
      <c r="AE1405" t="s">
        <v>69</v>
      </c>
      <c r="AF1405" t="s">
        <v>69</v>
      </c>
      <c r="AG1405" t="s">
        <v>69</v>
      </c>
      <c r="AH1405" t="s">
        <v>69</v>
      </c>
      <c r="AI1405" t="s">
        <v>69</v>
      </c>
      <c r="AJ1405" t="s">
        <v>69</v>
      </c>
      <c r="AK1405" t="s">
        <v>69</v>
      </c>
      <c r="AL1405">
        <v>20</v>
      </c>
      <c r="AM1405">
        <v>0</v>
      </c>
      <c r="AN1405">
        <v>0</v>
      </c>
      <c r="AO1405">
        <v>0</v>
      </c>
      <c r="AP1405">
        <v>4</v>
      </c>
      <c r="AQ1405" t="s">
        <v>21091</v>
      </c>
      <c r="AR1405" t="s">
        <v>21092</v>
      </c>
      <c r="AS1405" t="s">
        <v>21093</v>
      </c>
      <c r="AT1405" t="s">
        <v>21094</v>
      </c>
      <c r="AU1405" t="s">
        <v>21095</v>
      </c>
      <c r="AV1405" t="s">
        <v>69</v>
      </c>
      <c r="AW1405" t="s">
        <v>21096</v>
      </c>
      <c r="AX1405" t="s">
        <v>21097</v>
      </c>
      <c r="AY1405" t="s">
        <v>75</v>
      </c>
      <c r="AZ1405">
        <v>2016</v>
      </c>
      <c r="BA1405">
        <v>36</v>
      </c>
      <c r="BB1405">
        <v>4</v>
      </c>
      <c r="BC1405" t="s">
        <v>69</v>
      </c>
      <c r="BD1405" t="s">
        <v>69</v>
      </c>
      <c r="BE1405" t="s">
        <v>69</v>
      </c>
      <c r="BF1405" t="s">
        <v>69</v>
      </c>
      <c r="BG1405">
        <v>351</v>
      </c>
      <c r="BH1405">
        <v>368</v>
      </c>
      <c r="BI1405" t="s">
        <v>69</v>
      </c>
      <c r="BJ1405" t="s">
        <v>21098</v>
      </c>
      <c r="BK1405" t="str">
        <f>HYPERLINK("http://dx.doi.org/10.17223/1998863X/36/35","http://dx.doi.org/10.17223/1998863X/36/35")</f>
        <v>http://dx.doi.org/10.17223/1998863X/36/35</v>
      </c>
      <c r="BL1405" t="s">
        <v>69</v>
      </c>
      <c r="BM1405" t="s">
        <v>69</v>
      </c>
      <c r="BN1405">
        <v>18</v>
      </c>
      <c r="BO1405" t="s">
        <v>10299</v>
      </c>
      <c r="BP1405" t="s">
        <v>8573</v>
      </c>
      <c r="BQ1405" t="s">
        <v>10279</v>
      </c>
      <c r="BR1405" t="s">
        <v>21099</v>
      </c>
      <c r="BS1405" t="s">
        <v>21100</v>
      </c>
      <c r="BT1405" t="s">
        <v>69</v>
      </c>
      <c r="BU1405" t="s">
        <v>9374</v>
      </c>
      <c r="BV1405" t="s">
        <v>69</v>
      </c>
      <c r="BW1405" t="s">
        <v>69</v>
      </c>
      <c r="BX1405" t="s">
        <v>8526</v>
      </c>
      <c r="BY1405" t="str">
        <f>HYPERLINK("https%3A%2F%2Fwww.webofscience.com%2Fwos%2Fwoscc%2Ffull-record%2FWOS:000407567600035","View Full Record in Web of Science")</f>
        <v>View Full Record in Web of Science</v>
      </c>
    </row>
    <row r="1406" spans="1:77" ht="12.5" x14ac:dyDescent="0.25">
      <c r="A1406" t="s">
        <v>8495</v>
      </c>
      <c r="B1406" s="7" t="s">
        <v>32933</v>
      </c>
      <c r="C1406" s="7"/>
      <c r="D1406" s="7"/>
      <c r="E1406" s="7"/>
      <c r="F1406" t="s">
        <v>67</v>
      </c>
      <c r="G1406" t="s">
        <v>7943</v>
      </c>
      <c r="H1406" t="s">
        <v>69</v>
      </c>
      <c r="I1406" t="s">
        <v>69</v>
      </c>
      <c r="J1406" t="s">
        <v>69</v>
      </c>
      <c r="K1406" t="s">
        <v>7944</v>
      </c>
      <c r="L1406" t="s">
        <v>69</v>
      </c>
      <c r="M1406" t="s">
        <v>69</v>
      </c>
      <c r="N1406" t="s">
        <v>7945</v>
      </c>
      <c r="O1406" t="s">
        <v>294</v>
      </c>
      <c r="P1406" t="s">
        <v>69</v>
      </c>
      <c r="Q1406" t="s">
        <v>69</v>
      </c>
      <c r="R1406" t="s">
        <v>8505</v>
      </c>
      <c r="S1406" t="s">
        <v>8506</v>
      </c>
      <c r="T1406" t="s">
        <v>69</v>
      </c>
      <c r="U1406" t="s">
        <v>69</v>
      </c>
      <c r="V1406" t="s">
        <v>69</v>
      </c>
      <c r="W1406" t="s">
        <v>69</v>
      </c>
      <c r="X1406" t="s">
        <v>69</v>
      </c>
      <c r="Y1406" t="s">
        <v>24069</v>
      </c>
      <c r="Z1406" t="s">
        <v>24070</v>
      </c>
      <c r="AA1406" t="s">
        <v>7946</v>
      </c>
      <c r="AB1406" t="s">
        <v>24071</v>
      </c>
      <c r="AC1406" t="s">
        <v>69</v>
      </c>
      <c r="AD1406" t="s">
        <v>24072</v>
      </c>
      <c r="AE1406" t="s">
        <v>24073</v>
      </c>
      <c r="AF1406" t="s">
        <v>7947</v>
      </c>
      <c r="AG1406" t="s">
        <v>7948</v>
      </c>
      <c r="AH1406" t="s">
        <v>69</v>
      </c>
      <c r="AI1406" t="s">
        <v>69</v>
      </c>
      <c r="AJ1406" t="s">
        <v>69</v>
      </c>
      <c r="AK1406" t="s">
        <v>69</v>
      </c>
      <c r="AL1406">
        <v>63</v>
      </c>
      <c r="AM1406">
        <v>49</v>
      </c>
      <c r="AN1406">
        <v>50</v>
      </c>
      <c r="AO1406">
        <v>2</v>
      </c>
      <c r="AP1406">
        <v>55</v>
      </c>
      <c r="AQ1406" t="s">
        <v>8563</v>
      </c>
      <c r="AR1406" t="s">
        <v>8564</v>
      </c>
      <c r="AS1406" t="s">
        <v>8565</v>
      </c>
      <c r="AT1406" t="s">
        <v>297</v>
      </c>
      <c r="AU1406" t="s">
        <v>298</v>
      </c>
      <c r="AV1406" t="s">
        <v>69</v>
      </c>
      <c r="AW1406" t="s">
        <v>13428</v>
      </c>
      <c r="AX1406" t="s">
        <v>13429</v>
      </c>
      <c r="AY1406" t="s">
        <v>373</v>
      </c>
      <c r="AZ1406">
        <v>2014</v>
      </c>
      <c r="BA1406">
        <v>21</v>
      </c>
      <c r="BB1406">
        <v>1</v>
      </c>
      <c r="BC1406" t="s">
        <v>69</v>
      </c>
      <c r="BD1406" t="s">
        <v>69</v>
      </c>
      <c r="BE1406" t="s">
        <v>69</v>
      </c>
      <c r="BF1406" t="s">
        <v>69</v>
      </c>
      <c r="BG1406">
        <v>17</v>
      </c>
      <c r="BH1406">
        <v>27</v>
      </c>
      <c r="BI1406" t="s">
        <v>69</v>
      </c>
      <c r="BJ1406" t="s">
        <v>7949</v>
      </c>
      <c r="BK1406" t="str">
        <f>HYPERLINK("http://dx.doi.org/10.1007/s11356-013-1778-7","http://dx.doi.org/10.1007/s11356-013-1778-7")</f>
        <v>http://dx.doi.org/10.1007/s11356-013-1778-7</v>
      </c>
      <c r="BL1406" t="s">
        <v>69</v>
      </c>
      <c r="BM1406" t="s">
        <v>69</v>
      </c>
      <c r="BN1406">
        <v>11</v>
      </c>
      <c r="BO1406" t="s">
        <v>8717</v>
      </c>
      <c r="BP1406" t="s">
        <v>8548</v>
      </c>
      <c r="BQ1406" t="s">
        <v>8662</v>
      </c>
      <c r="BR1406" t="s">
        <v>24074</v>
      </c>
      <c r="BS1406" t="s">
        <v>7950</v>
      </c>
      <c r="BT1406">
        <v>23673922</v>
      </c>
      <c r="BU1406" t="s">
        <v>69</v>
      </c>
      <c r="BV1406" t="s">
        <v>69</v>
      </c>
      <c r="BW1406" t="s">
        <v>69</v>
      </c>
      <c r="BX1406" t="s">
        <v>8526</v>
      </c>
      <c r="BY1406" t="str">
        <f>HYPERLINK("https%3A%2F%2Fwww.webofscience.com%2Fwos%2Fwoscc%2Ffull-record%2FWOS:000329095300003","View Full Record in Web of Science")</f>
        <v>View Full Record in Web of Science</v>
      </c>
    </row>
    <row r="1407" spans="1:77" ht="12.5" x14ac:dyDescent="0.25">
      <c r="A1407" t="s">
        <v>8495</v>
      </c>
      <c r="B1407" s="22" t="s">
        <v>32931</v>
      </c>
      <c r="C1407" s="7"/>
      <c r="D1407" s="7"/>
      <c r="E1407" s="7"/>
      <c r="F1407" t="s">
        <v>67</v>
      </c>
      <c r="G1407" t="s">
        <v>11587</v>
      </c>
      <c r="H1407" t="s">
        <v>69</v>
      </c>
      <c r="I1407" t="s">
        <v>69</v>
      </c>
      <c r="J1407" t="s">
        <v>69</v>
      </c>
      <c r="K1407" t="s">
        <v>11588</v>
      </c>
      <c r="L1407" t="s">
        <v>69</v>
      </c>
      <c r="M1407" t="s">
        <v>69</v>
      </c>
      <c r="N1407" t="s">
        <v>11589</v>
      </c>
      <c r="O1407" t="s">
        <v>10712</v>
      </c>
      <c r="P1407" t="s">
        <v>69</v>
      </c>
      <c r="Q1407" t="s">
        <v>69</v>
      </c>
      <c r="R1407" t="s">
        <v>8505</v>
      </c>
      <c r="S1407" t="s">
        <v>8556</v>
      </c>
      <c r="T1407" t="s">
        <v>69</v>
      </c>
      <c r="U1407" t="s">
        <v>69</v>
      </c>
      <c r="V1407" t="s">
        <v>69</v>
      </c>
      <c r="W1407" t="s">
        <v>69</v>
      </c>
      <c r="X1407" t="s">
        <v>69</v>
      </c>
      <c r="Y1407" t="s">
        <v>69</v>
      </c>
      <c r="Z1407" t="s">
        <v>11590</v>
      </c>
      <c r="AA1407" t="s">
        <v>11591</v>
      </c>
      <c r="AB1407" t="s">
        <v>11592</v>
      </c>
      <c r="AC1407" t="s">
        <v>69</v>
      </c>
      <c r="AD1407" t="s">
        <v>11593</v>
      </c>
      <c r="AE1407" t="s">
        <v>11594</v>
      </c>
      <c r="AF1407" t="s">
        <v>69</v>
      </c>
      <c r="AG1407" t="s">
        <v>11595</v>
      </c>
      <c r="AH1407" t="s">
        <v>11596</v>
      </c>
      <c r="AI1407" t="s">
        <v>11597</v>
      </c>
      <c r="AJ1407" t="s">
        <v>11598</v>
      </c>
      <c r="AK1407" t="s">
        <v>69</v>
      </c>
      <c r="AL1407">
        <v>125</v>
      </c>
      <c r="AM1407">
        <v>2</v>
      </c>
      <c r="AN1407">
        <v>2</v>
      </c>
      <c r="AO1407">
        <v>5</v>
      </c>
      <c r="AP1407">
        <v>8</v>
      </c>
      <c r="AQ1407" t="s">
        <v>8846</v>
      </c>
      <c r="AR1407" t="s">
        <v>8847</v>
      </c>
      <c r="AS1407" t="s">
        <v>8848</v>
      </c>
      <c r="AT1407" t="s">
        <v>10718</v>
      </c>
      <c r="AU1407" t="s">
        <v>10719</v>
      </c>
      <c r="AV1407" t="s">
        <v>69</v>
      </c>
      <c r="AW1407" t="s">
        <v>10720</v>
      </c>
      <c r="AX1407" t="s">
        <v>10721</v>
      </c>
      <c r="AY1407" t="s">
        <v>69</v>
      </c>
      <c r="AZ1407" t="s">
        <v>69</v>
      </c>
      <c r="BA1407" t="s">
        <v>69</v>
      </c>
      <c r="BB1407" t="s">
        <v>69</v>
      </c>
      <c r="BC1407" t="s">
        <v>69</v>
      </c>
      <c r="BD1407" t="s">
        <v>69</v>
      </c>
      <c r="BE1407" t="s">
        <v>69</v>
      </c>
      <c r="BF1407" t="s">
        <v>69</v>
      </c>
      <c r="BG1407" t="s">
        <v>69</v>
      </c>
      <c r="BH1407" t="s">
        <v>69</v>
      </c>
      <c r="BI1407" t="s">
        <v>69</v>
      </c>
      <c r="BJ1407" t="s">
        <v>11599</v>
      </c>
      <c r="BK1407" t="str">
        <f>HYPERLINK("http://dx.doi.org/10.1111/padm.12773","http://dx.doi.org/10.1111/padm.12773")</f>
        <v>http://dx.doi.org/10.1111/padm.12773</v>
      </c>
      <c r="BL1407" t="s">
        <v>69</v>
      </c>
      <c r="BM1407" t="s">
        <v>11486</v>
      </c>
      <c r="BN1407">
        <v>16</v>
      </c>
      <c r="BO1407" t="s">
        <v>10439</v>
      </c>
      <c r="BP1407" t="s">
        <v>8661</v>
      </c>
      <c r="BQ1407" t="s">
        <v>10440</v>
      </c>
      <c r="BR1407" t="s">
        <v>11600</v>
      </c>
      <c r="BS1407" t="s">
        <v>11601</v>
      </c>
      <c r="BT1407" t="s">
        <v>69</v>
      </c>
      <c r="BU1407" t="s">
        <v>8746</v>
      </c>
      <c r="BV1407" t="s">
        <v>69</v>
      </c>
      <c r="BW1407" t="s">
        <v>69</v>
      </c>
      <c r="BX1407" t="s">
        <v>8526</v>
      </c>
      <c r="BY1407" t="str">
        <f>HYPERLINK("https%3A%2F%2Fwww.webofscience.com%2Fwos%2Fwoscc%2Ffull-record%2FWOS:000685687800001","View Full Record in Web of Science")</f>
        <v>View Full Record in Web of Science</v>
      </c>
    </row>
    <row r="1408" spans="1:77" ht="12.5" x14ac:dyDescent="0.25">
      <c r="A1408" t="s">
        <v>8495</v>
      </c>
      <c r="B1408" s="22" t="s">
        <v>32931</v>
      </c>
      <c r="C1408" s="7"/>
      <c r="D1408" s="7"/>
      <c r="E1408" s="7"/>
      <c r="F1408" t="s">
        <v>67</v>
      </c>
      <c r="G1408" t="s">
        <v>9843</v>
      </c>
      <c r="H1408" t="s">
        <v>69</v>
      </c>
      <c r="I1408" t="s">
        <v>69</v>
      </c>
      <c r="J1408" t="s">
        <v>69</v>
      </c>
      <c r="K1408" t="s">
        <v>9844</v>
      </c>
      <c r="L1408" t="s">
        <v>69</v>
      </c>
      <c r="M1408" t="s">
        <v>69</v>
      </c>
      <c r="N1408" t="s">
        <v>9845</v>
      </c>
      <c r="O1408" t="s">
        <v>9846</v>
      </c>
      <c r="P1408" t="s">
        <v>69</v>
      </c>
      <c r="Q1408" t="s">
        <v>69</v>
      </c>
      <c r="R1408" t="s">
        <v>8505</v>
      </c>
      <c r="S1408" t="s">
        <v>8506</v>
      </c>
      <c r="T1408" t="s">
        <v>69</v>
      </c>
      <c r="U1408" t="s">
        <v>69</v>
      </c>
      <c r="V1408" t="s">
        <v>69</v>
      </c>
      <c r="W1408" t="s">
        <v>69</v>
      </c>
      <c r="X1408" t="s">
        <v>69</v>
      </c>
      <c r="Y1408" t="s">
        <v>9847</v>
      </c>
      <c r="Z1408" t="s">
        <v>9848</v>
      </c>
      <c r="AA1408" t="s">
        <v>9849</v>
      </c>
      <c r="AB1408" t="s">
        <v>9850</v>
      </c>
      <c r="AC1408" t="s">
        <v>69</v>
      </c>
      <c r="AD1408" t="s">
        <v>9851</v>
      </c>
      <c r="AE1408" t="s">
        <v>9852</v>
      </c>
      <c r="AF1408" t="s">
        <v>69</v>
      </c>
      <c r="AG1408" t="s">
        <v>69</v>
      </c>
      <c r="AH1408" t="s">
        <v>9853</v>
      </c>
      <c r="AI1408" t="s">
        <v>9853</v>
      </c>
      <c r="AJ1408" t="s">
        <v>9854</v>
      </c>
      <c r="AK1408" t="s">
        <v>69</v>
      </c>
      <c r="AL1408">
        <v>66</v>
      </c>
      <c r="AM1408">
        <v>0</v>
      </c>
      <c r="AN1408">
        <v>0</v>
      </c>
      <c r="AO1408">
        <v>0</v>
      </c>
      <c r="AP1408">
        <v>0</v>
      </c>
      <c r="AQ1408" t="s">
        <v>8586</v>
      </c>
      <c r="AR1408" t="s">
        <v>8587</v>
      </c>
      <c r="AS1408" t="s">
        <v>8588</v>
      </c>
      <c r="AT1408" t="s">
        <v>9855</v>
      </c>
      <c r="AU1408" t="s">
        <v>9856</v>
      </c>
      <c r="AV1408" t="s">
        <v>69</v>
      </c>
      <c r="AW1408" t="s">
        <v>9857</v>
      </c>
      <c r="AX1408" t="s">
        <v>9858</v>
      </c>
      <c r="AY1408" t="s">
        <v>3848</v>
      </c>
      <c r="AZ1408">
        <v>2022</v>
      </c>
      <c r="BA1408">
        <v>13</v>
      </c>
      <c r="BB1408">
        <v>2</v>
      </c>
      <c r="BC1408" t="s">
        <v>69</v>
      </c>
      <c r="BD1408" t="s">
        <v>69</v>
      </c>
      <c r="BE1408" t="s">
        <v>114</v>
      </c>
      <c r="BF1408" t="s">
        <v>69</v>
      </c>
      <c r="BG1408">
        <v>211</v>
      </c>
      <c r="BH1408">
        <v>232</v>
      </c>
      <c r="BI1408" t="s">
        <v>69</v>
      </c>
      <c r="BJ1408" t="s">
        <v>9859</v>
      </c>
      <c r="BK1408" t="str">
        <f>HYPERLINK("http://dx.doi.org/10.1108/IJDRBE-10-2021-0135","http://dx.doi.org/10.1108/IJDRBE-10-2021-0135")</f>
        <v>http://dx.doi.org/10.1108/IJDRBE-10-2021-0135</v>
      </c>
      <c r="BL1408" t="s">
        <v>69</v>
      </c>
      <c r="BM1408" t="s">
        <v>9808</v>
      </c>
      <c r="BN1408">
        <v>22</v>
      </c>
      <c r="BO1408" t="s">
        <v>8660</v>
      </c>
      <c r="BP1408" t="s">
        <v>8573</v>
      </c>
      <c r="BQ1408" t="s">
        <v>8662</v>
      </c>
      <c r="BR1408" t="s">
        <v>9860</v>
      </c>
      <c r="BS1408" t="s">
        <v>9861</v>
      </c>
      <c r="BT1408" t="s">
        <v>69</v>
      </c>
      <c r="BU1408" t="s">
        <v>69</v>
      </c>
      <c r="BV1408" t="s">
        <v>69</v>
      </c>
      <c r="BW1408" t="s">
        <v>69</v>
      </c>
      <c r="BX1408" t="s">
        <v>8526</v>
      </c>
      <c r="BY1408" t="str">
        <f>HYPERLINK("https%3A%2F%2Fwww.webofscience.com%2Fwos%2Fwoscc%2Ffull-record%2FWOS:000759526300001","View Full Record in Web of Science")</f>
        <v>View Full Record in Web of Science</v>
      </c>
    </row>
    <row r="1409" spans="1:77" ht="12.5" x14ac:dyDescent="0.25">
      <c r="A1409" t="s">
        <v>8495</v>
      </c>
      <c r="B1409" s="7" t="s">
        <v>32933</v>
      </c>
      <c r="C1409" s="7"/>
      <c r="D1409" s="7"/>
      <c r="E1409" s="7"/>
      <c r="F1409" t="s">
        <v>67</v>
      </c>
      <c r="G1409" t="s">
        <v>6707</v>
      </c>
      <c r="H1409" t="s">
        <v>69</v>
      </c>
      <c r="I1409" t="s">
        <v>69</v>
      </c>
      <c r="J1409" t="s">
        <v>69</v>
      </c>
      <c r="K1409" t="s">
        <v>6708</v>
      </c>
      <c r="L1409" t="s">
        <v>69</v>
      </c>
      <c r="M1409" t="s">
        <v>69</v>
      </c>
      <c r="N1409" t="s">
        <v>6709</v>
      </c>
      <c r="O1409" t="s">
        <v>151</v>
      </c>
      <c r="P1409" t="s">
        <v>69</v>
      </c>
      <c r="Q1409" t="s">
        <v>69</v>
      </c>
      <c r="R1409" t="s">
        <v>8505</v>
      </c>
      <c r="S1409" t="s">
        <v>8442</v>
      </c>
      <c r="T1409" t="s">
        <v>69</v>
      </c>
      <c r="U1409" t="s">
        <v>69</v>
      </c>
      <c r="V1409" t="s">
        <v>69</v>
      </c>
      <c r="W1409" t="s">
        <v>69</v>
      </c>
      <c r="X1409" t="s">
        <v>69</v>
      </c>
      <c r="Y1409" t="s">
        <v>27484</v>
      </c>
      <c r="Z1409" t="s">
        <v>27485</v>
      </c>
      <c r="AA1409" t="s">
        <v>6710</v>
      </c>
      <c r="AB1409" t="s">
        <v>27486</v>
      </c>
      <c r="AC1409" t="s">
        <v>69</v>
      </c>
      <c r="AD1409" t="s">
        <v>27487</v>
      </c>
      <c r="AE1409" t="s">
        <v>27488</v>
      </c>
      <c r="AF1409" t="s">
        <v>69</v>
      </c>
      <c r="AG1409" t="s">
        <v>69</v>
      </c>
      <c r="AH1409" t="s">
        <v>27489</v>
      </c>
      <c r="AI1409" t="s">
        <v>27490</v>
      </c>
      <c r="AJ1409" t="s">
        <v>27491</v>
      </c>
      <c r="AK1409" t="s">
        <v>69</v>
      </c>
      <c r="AL1409">
        <v>41</v>
      </c>
      <c r="AM1409">
        <v>46</v>
      </c>
      <c r="AN1409">
        <v>46</v>
      </c>
      <c r="AO1409">
        <v>2</v>
      </c>
      <c r="AP1409">
        <v>14</v>
      </c>
      <c r="AQ1409" t="s">
        <v>9145</v>
      </c>
      <c r="AR1409" t="s">
        <v>8637</v>
      </c>
      <c r="AS1409" t="s">
        <v>9146</v>
      </c>
      <c r="AT1409" t="s">
        <v>154</v>
      </c>
      <c r="AU1409" t="s">
        <v>69</v>
      </c>
      <c r="AV1409" t="s">
        <v>69</v>
      </c>
      <c r="AW1409" t="s">
        <v>12762</v>
      </c>
      <c r="AX1409" t="s">
        <v>12763</v>
      </c>
      <c r="AY1409" t="s">
        <v>373</v>
      </c>
      <c r="AZ1409">
        <v>2011</v>
      </c>
      <c r="BA1409">
        <v>15</v>
      </c>
      <c r="BB1409">
        <v>1</v>
      </c>
      <c r="BC1409" t="s">
        <v>69</v>
      </c>
      <c r="BD1409" t="s">
        <v>69</v>
      </c>
      <c r="BE1409" t="s">
        <v>69</v>
      </c>
      <c r="BF1409" t="s">
        <v>69</v>
      </c>
      <c r="BG1409">
        <v>554</v>
      </c>
      <c r="BH1409">
        <v>563</v>
      </c>
      <c r="BI1409" t="s">
        <v>69</v>
      </c>
      <c r="BJ1409" t="s">
        <v>6711</v>
      </c>
      <c r="BK1409" t="str">
        <f>HYPERLINK("http://dx.doi.org/10.1016/j.rser.2010.08.021","http://dx.doi.org/10.1016/j.rser.2010.08.021")</f>
        <v>http://dx.doi.org/10.1016/j.rser.2010.08.021</v>
      </c>
      <c r="BL1409" t="s">
        <v>69</v>
      </c>
      <c r="BM1409" t="s">
        <v>69</v>
      </c>
      <c r="BN1409">
        <v>10</v>
      </c>
      <c r="BO1409" t="s">
        <v>9931</v>
      </c>
      <c r="BP1409" t="s">
        <v>8548</v>
      </c>
      <c r="BQ1409" t="s">
        <v>9932</v>
      </c>
      <c r="BR1409" t="s">
        <v>27492</v>
      </c>
      <c r="BS1409" t="s">
        <v>6712</v>
      </c>
      <c r="BT1409" t="s">
        <v>69</v>
      </c>
      <c r="BU1409" t="s">
        <v>69</v>
      </c>
      <c r="BV1409" t="s">
        <v>69</v>
      </c>
      <c r="BW1409" t="s">
        <v>69</v>
      </c>
      <c r="BX1409" t="s">
        <v>8526</v>
      </c>
      <c r="BY1409" t="str">
        <f>HYPERLINK("https%3A%2F%2Fwww.webofscience.com%2Fwos%2Fwoscc%2Ffull-record%2FWOS:000284863100039","View Full Record in Web of Science")</f>
        <v>View Full Record in Web of Science</v>
      </c>
    </row>
    <row r="1410" spans="1:77" ht="12.5" x14ac:dyDescent="0.25">
      <c r="A1410" t="s">
        <v>8495</v>
      </c>
      <c r="B1410" s="7" t="s">
        <v>32933</v>
      </c>
      <c r="C1410" s="7"/>
      <c r="D1410" s="7"/>
      <c r="E1410" s="7"/>
      <c r="F1410" t="s">
        <v>67</v>
      </c>
      <c r="G1410" t="s">
        <v>5642</v>
      </c>
      <c r="H1410" t="s">
        <v>69</v>
      </c>
      <c r="I1410" t="s">
        <v>69</v>
      </c>
      <c r="J1410" t="s">
        <v>69</v>
      </c>
      <c r="K1410" t="s">
        <v>5643</v>
      </c>
      <c r="L1410" t="s">
        <v>69</v>
      </c>
      <c r="M1410" t="s">
        <v>69</v>
      </c>
      <c r="N1410" t="s">
        <v>5644</v>
      </c>
      <c r="O1410" t="s">
        <v>5645</v>
      </c>
      <c r="P1410" t="s">
        <v>69</v>
      </c>
      <c r="Q1410" t="s">
        <v>69</v>
      </c>
      <c r="R1410" t="s">
        <v>8505</v>
      </c>
      <c r="S1410" t="s">
        <v>8506</v>
      </c>
      <c r="T1410" t="s">
        <v>69</v>
      </c>
      <c r="U1410" t="s">
        <v>69</v>
      </c>
      <c r="V1410" t="s">
        <v>69</v>
      </c>
      <c r="W1410" t="s">
        <v>69</v>
      </c>
      <c r="X1410" t="s">
        <v>69</v>
      </c>
      <c r="Y1410" t="s">
        <v>29386</v>
      </c>
      <c r="Z1410" t="s">
        <v>29387</v>
      </c>
      <c r="AA1410" t="s">
        <v>5646</v>
      </c>
      <c r="AB1410" t="s">
        <v>29388</v>
      </c>
      <c r="AC1410" t="s">
        <v>69</v>
      </c>
      <c r="AD1410" t="s">
        <v>29389</v>
      </c>
      <c r="AE1410" t="s">
        <v>29390</v>
      </c>
      <c r="AF1410" t="s">
        <v>29391</v>
      </c>
      <c r="AG1410" t="s">
        <v>5647</v>
      </c>
      <c r="AH1410" t="s">
        <v>69</v>
      </c>
      <c r="AI1410" t="s">
        <v>69</v>
      </c>
      <c r="AJ1410" t="s">
        <v>69</v>
      </c>
      <c r="AK1410" t="s">
        <v>69</v>
      </c>
      <c r="AL1410">
        <v>40</v>
      </c>
      <c r="AM1410">
        <v>24</v>
      </c>
      <c r="AN1410">
        <v>26</v>
      </c>
      <c r="AO1410">
        <v>0</v>
      </c>
      <c r="AP1410">
        <v>14</v>
      </c>
      <c r="AQ1410" t="s">
        <v>29392</v>
      </c>
      <c r="AR1410" t="s">
        <v>29393</v>
      </c>
      <c r="AS1410" t="s">
        <v>29394</v>
      </c>
      <c r="AT1410" t="s">
        <v>5648</v>
      </c>
      <c r="AU1410" t="s">
        <v>5649</v>
      </c>
      <c r="AV1410" t="s">
        <v>69</v>
      </c>
      <c r="AW1410" t="s">
        <v>29395</v>
      </c>
      <c r="AX1410" t="s">
        <v>29396</v>
      </c>
      <c r="AY1410" t="s">
        <v>69</v>
      </c>
      <c r="AZ1410">
        <v>2008</v>
      </c>
      <c r="BA1410">
        <v>21</v>
      </c>
      <c r="BB1410">
        <v>4</v>
      </c>
      <c r="BC1410" t="s">
        <v>69</v>
      </c>
      <c r="BD1410" t="s">
        <v>69</v>
      </c>
      <c r="BE1410" t="s">
        <v>69</v>
      </c>
      <c r="BF1410" t="s">
        <v>69</v>
      </c>
      <c r="BG1410">
        <v>309</v>
      </c>
      <c r="BH1410">
        <v>317</v>
      </c>
      <c r="BI1410" t="s">
        <v>69</v>
      </c>
      <c r="BJ1410" t="s">
        <v>5650</v>
      </c>
      <c r="BK1410" t="str">
        <f>HYPERLINK("http://dx.doi.org/10.2478/v10001-008-0034-8","http://dx.doi.org/10.2478/v10001-008-0034-8")</f>
        <v>http://dx.doi.org/10.2478/v10001-008-0034-8</v>
      </c>
      <c r="BL1410" t="s">
        <v>69</v>
      </c>
      <c r="BM1410" t="s">
        <v>69</v>
      </c>
      <c r="BN1410">
        <v>9</v>
      </c>
      <c r="BO1410" t="s">
        <v>8810</v>
      </c>
      <c r="BP1410" t="s">
        <v>8548</v>
      </c>
      <c r="BQ1410" t="s">
        <v>8810</v>
      </c>
      <c r="BR1410" t="s">
        <v>29397</v>
      </c>
      <c r="BS1410" t="s">
        <v>5651</v>
      </c>
      <c r="BT1410">
        <v>19158071</v>
      </c>
      <c r="BU1410" t="s">
        <v>10995</v>
      </c>
      <c r="BV1410" t="s">
        <v>69</v>
      </c>
      <c r="BW1410" t="s">
        <v>69</v>
      </c>
      <c r="BX1410" t="s">
        <v>8526</v>
      </c>
      <c r="BY1410" t="str">
        <f>HYPERLINK("https%3A%2F%2Fwww.webofscience.com%2Fwos%2Fwoscc%2Ffull-record%2FWOS:000264445400006","View Full Record in Web of Science")</f>
        <v>View Full Record in Web of Science</v>
      </c>
    </row>
    <row r="1411" spans="1:77" ht="12.5" x14ac:dyDescent="0.25">
      <c r="A1411" t="s">
        <v>8495</v>
      </c>
      <c r="B1411" s="22" t="s">
        <v>32931</v>
      </c>
      <c r="C1411" s="7"/>
      <c r="D1411" s="7"/>
      <c r="E1411" s="7"/>
      <c r="F1411" t="s">
        <v>67</v>
      </c>
      <c r="G1411" t="s">
        <v>24225</v>
      </c>
      <c r="H1411" t="s">
        <v>69</v>
      </c>
      <c r="I1411" t="s">
        <v>69</v>
      </c>
      <c r="J1411" t="s">
        <v>69</v>
      </c>
      <c r="K1411" t="s">
        <v>24226</v>
      </c>
      <c r="L1411" t="s">
        <v>69</v>
      </c>
      <c r="M1411" t="s">
        <v>69</v>
      </c>
      <c r="N1411" t="s">
        <v>24227</v>
      </c>
      <c r="O1411" t="s">
        <v>24228</v>
      </c>
      <c r="P1411" t="s">
        <v>69</v>
      </c>
      <c r="Q1411" t="s">
        <v>69</v>
      </c>
      <c r="R1411" t="s">
        <v>8505</v>
      </c>
      <c r="S1411" t="s">
        <v>8506</v>
      </c>
      <c r="T1411" t="s">
        <v>69</v>
      </c>
      <c r="U1411" t="s">
        <v>69</v>
      </c>
      <c r="V1411" t="s">
        <v>69</v>
      </c>
      <c r="W1411" t="s">
        <v>69</v>
      </c>
      <c r="X1411" t="s">
        <v>69</v>
      </c>
      <c r="Y1411" t="s">
        <v>24229</v>
      </c>
      <c r="Z1411" t="s">
        <v>69</v>
      </c>
      <c r="AA1411" t="s">
        <v>24230</v>
      </c>
      <c r="AB1411" t="s">
        <v>24231</v>
      </c>
      <c r="AC1411" t="s">
        <v>69</v>
      </c>
      <c r="AD1411" t="s">
        <v>24232</v>
      </c>
      <c r="AE1411" t="s">
        <v>24233</v>
      </c>
      <c r="AF1411" t="s">
        <v>69</v>
      </c>
      <c r="AG1411" t="s">
        <v>69</v>
      </c>
      <c r="AH1411" t="s">
        <v>69</v>
      </c>
      <c r="AI1411" t="s">
        <v>69</v>
      </c>
      <c r="AJ1411" t="s">
        <v>69</v>
      </c>
      <c r="AK1411" t="s">
        <v>69</v>
      </c>
      <c r="AL1411">
        <v>38</v>
      </c>
      <c r="AM1411">
        <v>16</v>
      </c>
      <c r="AN1411">
        <v>16</v>
      </c>
      <c r="AO1411">
        <v>0</v>
      </c>
      <c r="AP1411">
        <v>2</v>
      </c>
      <c r="AQ1411" t="s">
        <v>24234</v>
      </c>
      <c r="AR1411" t="s">
        <v>24235</v>
      </c>
      <c r="AS1411" t="s">
        <v>24236</v>
      </c>
      <c r="AT1411" t="s">
        <v>24237</v>
      </c>
      <c r="AU1411" t="s">
        <v>69</v>
      </c>
      <c r="AV1411" t="s">
        <v>69</v>
      </c>
      <c r="AW1411" t="s">
        <v>24238</v>
      </c>
      <c r="AX1411" t="s">
        <v>24239</v>
      </c>
      <c r="AY1411" t="s">
        <v>69</v>
      </c>
      <c r="AZ1411">
        <v>2014</v>
      </c>
      <c r="BA1411">
        <v>1</v>
      </c>
      <c r="BB1411">
        <v>2</v>
      </c>
      <c r="BC1411" t="s">
        <v>69</v>
      </c>
      <c r="BD1411" t="s">
        <v>69</v>
      </c>
      <c r="BE1411" t="s">
        <v>69</v>
      </c>
      <c r="BF1411" t="s">
        <v>69</v>
      </c>
      <c r="BG1411">
        <v>35</v>
      </c>
      <c r="BH1411">
        <v>50</v>
      </c>
      <c r="BI1411" t="s">
        <v>69</v>
      </c>
      <c r="BJ1411" t="s">
        <v>24240</v>
      </c>
      <c r="BK1411" t="str">
        <f>HYPERLINK("http://dx.doi.org/10.17083/ijsg.v1i2.9","http://dx.doi.org/10.17083/ijsg.v1i2.9")</f>
        <v>http://dx.doi.org/10.17083/ijsg.v1i2.9</v>
      </c>
      <c r="BL1411" t="s">
        <v>69</v>
      </c>
      <c r="BM1411" t="s">
        <v>69</v>
      </c>
      <c r="BN1411">
        <v>16</v>
      </c>
      <c r="BO1411" t="s">
        <v>9290</v>
      </c>
      <c r="BP1411" t="s">
        <v>8573</v>
      </c>
      <c r="BQ1411" t="s">
        <v>9290</v>
      </c>
      <c r="BR1411" t="s">
        <v>24241</v>
      </c>
      <c r="BS1411" t="s">
        <v>24242</v>
      </c>
      <c r="BT1411" t="s">
        <v>69</v>
      </c>
      <c r="BU1411" t="s">
        <v>12220</v>
      </c>
      <c r="BV1411" t="s">
        <v>69</v>
      </c>
      <c r="BW1411" t="s">
        <v>69</v>
      </c>
      <c r="BX1411" t="s">
        <v>8526</v>
      </c>
      <c r="BY1411" t="str">
        <f>HYPERLINK("https%3A%2F%2Fwww.webofscience.com%2Fwos%2Fwoscc%2Ffull-record%2FWOS:000218557000004","View Full Record in Web of Science")</f>
        <v>View Full Record in Web of Science</v>
      </c>
    </row>
    <row r="1412" spans="1:77" ht="12.5" x14ac:dyDescent="0.25">
      <c r="A1412" t="s">
        <v>8495</v>
      </c>
      <c r="B1412" s="22" t="s">
        <v>32931</v>
      </c>
      <c r="C1412" s="7"/>
      <c r="D1412" s="7"/>
      <c r="E1412" s="7"/>
      <c r="F1412" t="s">
        <v>67</v>
      </c>
      <c r="G1412" t="s">
        <v>15773</v>
      </c>
      <c r="H1412" t="s">
        <v>69</v>
      </c>
      <c r="I1412" t="s">
        <v>69</v>
      </c>
      <c r="J1412" t="s">
        <v>69</v>
      </c>
      <c r="K1412" t="s">
        <v>15774</v>
      </c>
      <c r="L1412" t="s">
        <v>69</v>
      </c>
      <c r="M1412" t="s">
        <v>69</v>
      </c>
      <c r="N1412" t="s">
        <v>15775</v>
      </c>
      <c r="O1412" t="s">
        <v>15776</v>
      </c>
      <c r="P1412" t="s">
        <v>69</v>
      </c>
      <c r="Q1412" t="s">
        <v>69</v>
      </c>
      <c r="R1412" t="s">
        <v>8505</v>
      </c>
      <c r="S1412" t="s">
        <v>8506</v>
      </c>
      <c r="T1412" t="s">
        <v>69</v>
      </c>
      <c r="U1412" t="s">
        <v>69</v>
      </c>
      <c r="V1412" t="s">
        <v>69</v>
      </c>
      <c r="W1412" t="s">
        <v>69</v>
      </c>
      <c r="X1412" t="s">
        <v>69</v>
      </c>
      <c r="Y1412" t="s">
        <v>15777</v>
      </c>
      <c r="Z1412" t="s">
        <v>15778</v>
      </c>
      <c r="AA1412" t="s">
        <v>15779</v>
      </c>
      <c r="AB1412" t="s">
        <v>15780</v>
      </c>
      <c r="AC1412" t="s">
        <v>69</v>
      </c>
      <c r="AD1412" t="s">
        <v>15781</v>
      </c>
      <c r="AE1412" t="s">
        <v>15782</v>
      </c>
      <c r="AF1412" t="s">
        <v>69</v>
      </c>
      <c r="AG1412" t="s">
        <v>15783</v>
      </c>
      <c r="AH1412" t="s">
        <v>15784</v>
      </c>
      <c r="AI1412" t="s">
        <v>15785</v>
      </c>
      <c r="AJ1412" t="s">
        <v>15786</v>
      </c>
      <c r="AK1412" t="s">
        <v>69</v>
      </c>
      <c r="AL1412">
        <v>51</v>
      </c>
      <c r="AM1412">
        <v>2</v>
      </c>
      <c r="AN1412">
        <v>2</v>
      </c>
      <c r="AO1412">
        <v>0</v>
      </c>
      <c r="AP1412">
        <v>6</v>
      </c>
      <c r="AQ1412" t="s">
        <v>15611</v>
      </c>
      <c r="AR1412" t="s">
        <v>10924</v>
      </c>
      <c r="AS1412" t="s">
        <v>15612</v>
      </c>
      <c r="AT1412" t="s">
        <v>15787</v>
      </c>
      <c r="AU1412" t="s">
        <v>15788</v>
      </c>
      <c r="AV1412" t="s">
        <v>69</v>
      </c>
      <c r="AW1412" t="s">
        <v>15789</v>
      </c>
      <c r="AX1412" t="s">
        <v>15790</v>
      </c>
      <c r="AY1412" t="s">
        <v>69</v>
      </c>
      <c r="AZ1412">
        <v>2020</v>
      </c>
      <c r="BA1412">
        <v>59</v>
      </c>
      <c r="BB1412">
        <v>3</v>
      </c>
      <c r="BC1412" t="s">
        <v>69</v>
      </c>
      <c r="BD1412" t="s">
        <v>69</v>
      </c>
      <c r="BE1412" t="s">
        <v>69</v>
      </c>
      <c r="BF1412" t="s">
        <v>69</v>
      </c>
      <c r="BG1412">
        <v>311</v>
      </c>
      <c r="BH1412">
        <v>328</v>
      </c>
      <c r="BI1412" t="s">
        <v>69</v>
      </c>
      <c r="BJ1412" t="s">
        <v>15791</v>
      </c>
      <c r="BK1412" t="str">
        <f>HYPERLINK("http://dx.doi.org/10.1080/03670244.2020.1722948","http://dx.doi.org/10.1080/03670244.2020.1722948")</f>
        <v>http://dx.doi.org/10.1080/03670244.2020.1722948</v>
      </c>
      <c r="BL1412" t="s">
        <v>69</v>
      </c>
      <c r="BM1412" t="s">
        <v>7867</v>
      </c>
      <c r="BN1412">
        <v>18</v>
      </c>
      <c r="BO1412" t="s">
        <v>10908</v>
      </c>
      <c r="BP1412" t="s">
        <v>8523</v>
      </c>
      <c r="BQ1412" t="s">
        <v>10908</v>
      </c>
      <c r="BR1412" t="s">
        <v>15792</v>
      </c>
      <c r="BS1412" t="s">
        <v>15793</v>
      </c>
      <c r="BT1412">
        <v>32024393</v>
      </c>
      <c r="BU1412" t="s">
        <v>10423</v>
      </c>
      <c r="BV1412" t="s">
        <v>69</v>
      </c>
      <c r="BW1412" t="s">
        <v>69</v>
      </c>
      <c r="BX1412" t="s">
        <v>8526</v>
      </c>
      <c r="BY1412" t="str">
        <f>HYPERLINK("https%3A%2F%2Fwww.webofscience.com%2Fwos%2Fwoscc%2Ffull-record%2FWOS:000512930800001","View Full Record in Web of Science")</f>
        <v>View Full Record in Web of Science</v>
      </c>
    </row>
    <row r="1413" spans="1:77" x14ac:dyDescent="0.3">
      <c r="A1413" t="s">
        <v>8495</v>
      </c>
      <c r="B1413" s="9" t="s">
        <v>32954</v>
      </c>
      <c r="C1413" s="9" t="s">
        <v>33162</v>
      </c>
      <c r="D1413" s="9" t="s">
        <v>8491</v>
      </c>
      <c r="E1413" s="9" t="s">
        <v>8490</v>
      </c>
      <c r="F1413" t="s">
        <v>67</v>
      </c>
      <c r="G1413" t="s">
        <v>32395</v>
      </c>
      <c r="H1413" t="s">
        <v>69</v>
      </c>
      <c r="I1413" t="s">
        <v>69</v>
      </c>
      <c r="J1413" t="s">
        <v>69</v>
      </c>
      <c r="K1413" t="s">
        <v>32395</v>
      </c>
      <c r="L1413" t="s">
        <v>69</v>
      </c>
      <c r="M1413" t="s">
        <v>69</v>
      </c>
      <c r="N1413" t="s">
        <v>32396</v>
      </c>
      <c r="O1413" t="s">
        <v>32397</v>
      </c>
      <c r="P1413" t="s">
        <v>69</v>
      </c>
      <c r="Q1413" t="s">
        <v>69</v>
      </c>
      <c r="R1413" t="s">
        <v>8505</v>
      </c>
      <c r="S1413" t="s">
        <v>8506</v>
      </c>
      <c r="T1413" t="s">
        <v>69</v>
      </c>
      <c r="U1413" t="s">
        <v>69</v>
      </c>
      <c r="V1413" t="s">
        <v>69</v>
      </c>
      <c r="W1413" t="s">
        <v>69</v>
      </c>
      <c r="X1413" t="s">
        <v>69</v>
      </c>
      <c r="Y1413" t="s">
        <v>32398</v>
      </c>
      <c r="Z1413" t="s">
        <v>32399</v>
      </c>
      <c r="AA1413" t="s">
        <v>32400</v>
      </c>
      <c r="AB1413" t="s">
        <v>69</v>
      </c>
      <c r="AC1413" t="s">
        <v>69</v>
      </c>
      <c r="AD1413" t="s">
        <v>32401</v>
      </c>
      <c r="AE1413" t="s">
        <v>69</v>
      </c>
      <c r="AF1413" t="s">
        <v>32402</v>
      </c>
      <c r="AG1413" t="s">
        <v>32403</v>
      </c>
      <c r="AH1413" t="s">
        <v>69</v>
      </c>
      <c r="AI1413" t="s">
        <v>69</v>
      </c>
      <c r="AJ1413" t="s">
        <v>69</v>
      </c>
      <c r="AK1413" t="s">
        <v>69</v>
      </c>
      <c r="AL1413">
        <v>34</v>
      </c>
      <c r="AM1413">
        <v>14</v>
      </c>
      <c r="AN1413">
        <v>15</v>
      </c>
      <c r="AO1413">
        <v>0</v>
      </c>
      <c r="AP1413">
        <v>4</v>
      </c>
      <c r="AQ1413" t="s">
        <v>27667</v>
      </c>
      <c r="AR1413" t="s">
        <v>27668</v>
      </c>
      <c r="AS1413" t="s">
        <v>32404</v>
      </c>
      <c r="AT1413" t="s">
        <v>32405</v>
      </c>
      <c r="AU1413" t="s">
        <v>69</v>
      </c>
      <c r="AV1413" t="s">
        <v>69</v>
      </c>
      <c r="AW1413" t="s">
        <v>32406</v>
      </c>
      <c r="AX1413" t="s">
        <v>32407</v>
      </c>
      <c r="AY1413" t="s">
        <v>274</v>
      </c>
      <c r="AZ1413">
        <v>1996</v>
      </c>
      <c r="BA1413">
        <v>29</v>
      </c>
      <c r="BB1413" t="s">
        <v>69</v>
      </c>
      <c r="BC1413">
        <v>4</v>
      </c>
      <c r="BD1413" t="s">
        <v>69</v>
      </c>
      <c r="BE1413" t="s">
        <v>69</v>
      </c>
      <c r="BF1413" t="s">
        <v>69</v>
      </c>
      <c r="BG1413">
        <v>341</v>
      </c>
      <c r="BH1413">
        <v>355</v>
      </c>
      <c r="BI1413" t="s">
        <v>69</v>
      </c>
      <c r="BJ1413" t="s">
        <v>32408</v>
      </c>
      <c r="BK1413" t="str">
        <f>HYPERLINK("http://dx.doi.org/10.1144/GSL.QJEGH.1996.029.P4.07","http://dx.doi.org/10.1144/GSL.QJEGH.1996.029.P4.07")</f>
        <v>http://dx.doi.org/10.1144/GSL.QJEGH.1996.029.P4.07</v>
      </c>
      <c r="BL1413" t="s">
        <v>69</v>
      </c>
      <c r="BM1413" t="s">
        <v>69</v>
      </c>
      <c r="BN1413">
        <v>15</v>
      </c>
      <c r="BO1413" t="s">
        <v>31173</v>
      </c>
      <c r="BP1413" t="s">
        <v>8548</v>
      </c>
      <c r="BQ1413" t="s">
        <v>29172</v>
      </c>
      <c r="BR1413" t="s">
        <v>32409</v>
      </c>
      <c r="BS1413" t="s">
        <v>32410</v>
      </c>
      <c r="BT1413" t="s">
        <v>69</v>
      </c>
      <c r="BU1413" t="s">
        <v>69</v>
      </c>
      <c r="BV1413" t="s">
        <v>69</v>
      </c>
      <c r="BW1413" t="s">
        <v>69</v>
      </c>
      <c r="BX1413" t="s">
        <v>8526</v>
      </c>
      <c r="BY1413" t="str">
        <f>HYPERLINK("https%3A%2F%2Fwww.webofscience.com%2Fwos%2Fwoscc%2Ffull-record%2FWOS:A1996VX72400007","View Full Record in Web of Science")</f>
        <v>View Full Record in Web of Science</v>
      </c>
    </row>
    <row r="1414" spans="1:77" x14ac:dyDescent="0.3">
      <c r="A1414" t="s">
        <v>8495</v>
      </c>
      <c r="B1414" s="12" t="s">
        <v>33022</v>
      </c>
      <c r="F1414" t="s">
        <v>67</v>
      </c>
      <c r="G1414" t="s">
        <v>5607</v>
      </c>
      <c r="H1414" t="s">
        <v>69</v>
      </c>
      <c r="I1414" t="s">
        <v>69</v>
      </c>
      <c r="J1414" t="s">
        <v>69</v>
      </c>
      <c r="K1414" s="3" t="s">
        <v>5608</v>
      </c>
      <c r="L1414" t="s">
        <v>69</v>
      </c>
      <c r="M1414" t="s">
        <v>69</v>
      </c>
      <c r="N1414" s="2" t="s">
        <v>5609</v>
      </c>
      <c r="O1414" t="s">
        <v>5610</v>
      </c>
      <c r="P1414" t="s">
        <v>69</v>
      </c>
      <c r="Q1414" t="s">
        <v>69</v>
      </c>
      <c r="R1414" t="s">
        <v>8505</v>
      </c>
      <c r="S1414" t="s">
        <v>8506</v>
      </c>
      <c r="T1414" t="s">
        <v>69</v>
      </c>
      <c r="U1414" t="s">
        <v>69</v>
      </c>
      <c r="V1414" t="s">
        <v>69</v>
      </c>
      <c r="W1414" t="s">
        <v>69</v>
      </c>
      <c r="X1414" t="s">
        <v>69</v>
      </c>
      <c r="Y1414" t="s">
        <v>69</v>
      </c>
      <c r="Z1414" t="s">
        <v>69</v>
      </c>
      <c r="AA1414" t="s">
        <v>5611</v>
      </c>
      <c r="AB1414" t="s">
        <v>23002</v>
      </c>
      <c r="AC1414" t="s">
        <v>69</v>
      </c>
      <c r="AD1414" t="s">
        <v>23003</v>
      </c>
      <c r="AE1414" t="s">
        <v>69</v>
      </c>
      <c r="AF1414" t="s">
        <v>69</v>
      </c>
      <c r="AG1414" t="s">
        <v>69</v>
      </c>
      <c r="AH1414" t="s">
        <v>69</v>
      </c>
      <c r="AI1414" t="s">
        <v>69</v>
      </c>
      <c r="AJ1414" t="s">
        <v>69</v>
      </c>
      <c r="AK1414" t="s">
        <v>69</v>
      </c>
      <c r="AL1414">
        <v>39</v>
      </c>
      <c r="AM1414">
        <v>0</v>
      </c>
      <c r="AN1414">
        <v>0</v>
      </c>
      <c r="AO1414">
        <v>0</v>
      </c>
      <c r="AP1414">
        <v>2</v>
      </c>
      <c r="AQ1414" t="s">
        <v>23004</v>
      </c>
      <c r="AR1414" t="s">
        <v>23005</v>
      </c>
      <c r="AS1414" t="s">
        <v>23006</v>
      </c>
      <c r="AT1414" t="s">
        <v>5612</v>
      </c>
      <c r="AU1414" t="s">
        <v>69</v>
      </c>
      <c r="AV1414" t="s">
        <v>69</v>
      </c>
      <c r="AW1414" t="s">
        <v>23007</v>
      </c>
      <c r="AX1414" t="s">
        <v>23008</v>
      </c>
      <c r="AY1414" t="s">
        <v>69</v>
      </c>
      <c r="AZ1414">
        <v>2015</v>
      </c>
      <c r="BA1414">
        <v>42</v>
      </c>
      <c r="BB1414">
        <v>3</v>
      </c>
      <c r="BC1414" t="s">
        <v>69</v>
      </c>
      <c r="BD1414" t="s">
        <v>69</v>
      </c>
      <c r="BE1414" t="s">
        <v>69</v>
      </c>
      <c r="BF1414" t="s">
        <v>69</v>
      </c>
      <c r="BG1414">
        <v>609</v>
      </c>
      <c r="BH1414">
        <v>650</v>
      </c>
      <c r="BI1414" t="s">
        <v>69</v>
      </c>
      <c r="BJ1414" t="s">
        <v>69</v>
      </c>
      <c r="BK1414" t="s">
        <v>69</v>
      </c>
      <c r="BL1414" t="s">
        <v>69</v>
      </c>
      <c r="BM1414" t="s">
        <v>69</v>
      </c>
      <c r="BN1414">
        <v>42</v>
      </c>
      <c r="BO1414" t="s">
        <v>23009</v>
      </c>
      <c r="BP1414" t="s">
        <v>8661</v>
      </c>
      <c r="BQ1414" t="s">
        <v>11544</v>
      </c>
      <c r="BR1414" t="s">
        <v>23010</v>
      </c>
      <c r="BS1414" t="s">
        <v>5613</v>
      </c>
      <c r="BT1414" t="s">
        <v>69</v>
      </c>
      <c r="BU1414" t="s">
        <v>69</v>
      </c>
      <c r="BV1414" t="s">
        <v>69</v>
      </c>
      <c r="BW1414" t="s">
        <v>69</v>
      </c>
      <c r="BX1414" t="s">
        <v>8526</v>
      </c>
      <c r="BY1414" t="str">
        <f>HYPERLINK("https%3A%2F%2Fwww.webofscience.com%2Fwos%2Fwoscc%2Ffull-record%2FWOS:000367501700002","View Full Record in Web of Science")</f>
        <v>View Full Record in Web of Science</v>
      </c>
    </row>
    <row r="1415" spans="1:77" ht="12.5" x14ac:dyDescent="0.25">
      <c r="A1415" t="s">
        <v>8495</v>
      </c>
      <c r="B1415" s="7" t="s">
        <v>32933</v>
      </c>
      <c r="C1415" s="7"/>
      <c r="D1415" s="7"/>
      <c r="E1415" s="7"/>
      <c r="F1415" t="s">
        <v>67</v>
      </c>
      <c r="G1415" t="s">
        <v>6674</v>
      </c>
      <c r="H1415" t="s">
        <v>69</v>
      </c>
      <c r="I1415" t="s">
        <v>69</v>
      </c>
      <c r="J1415" t="s">
        <v>69</v>
      </c>
      <c r="K1415" t="s">
        <v>6675</v>
      </c>
      <c r="L1415" t="s">
        <v>69</v>
      </c>
      <c r="M1415" t="s">
        <v>69</v>
      </c>
      <c r="N1415" t="s">
        <v>6676</v>
      </c>
      <c r="O1415" t="s">
        <v>6677</v>
      </c>
      <c r="P1415" t="s">
        <v>69</v>
      </c>
      <c r="Q1415" t="s">
        <v>69</v>
      </c>
      <c r="R1415" t="s">
        <v>8505</v>
      </c>
      <c r="S1415" t="s">
        <v>8506</v>
      </c>
      <c r="T1415" t="s">
        <v>69</v>
      </c>
      <c r="U1415" t="s">
        <v>69</v>
      </c>
      <c r="V1415" t="s">
        <v>69</v>
      </c>
      <c r="W1415" t="s">
        <v>69</v>
      </c>
      <c r="X1415" t="s">
        <v>69</v>
      </c>
      <c r="Y1415" t="s">
        <v>24617</v>
      </c>
      <c r="Z1415" t="s">
        <v>24618</v>
      </c>
      <c r="AA1415" t="s">
        <v>6678</v>
      </c>
      <c r="AB1415" t="s">
        <v>24619</v>
      </c>
      <c r="AC1415" t="s">
        <v>69</v>
      </c>
      <c r="AD1415" t="s">
        <v>24620</v>
      </c>
      <c r="AE1415" t="s">
        <v>24621</v>
      </c>
      <c r="AF1415" t="s">
        <v>69</v>
      </c>
      <c r="AG1415" t="s">
        <v>69</v>
      </c>
      <c r="AH1415" t="s">
        <v>69</v>
      </c>
      <c r="AI1415" t="s">
        <v>69</v>
      </c>
      <c r="AJ1415" t="s">
        <v>69</v>
      </c>
      <c r="AK1415" t="s">
        <v>69</v>
      </c>
      <c r="AL1415">
        <v>37</v>
      </c>
      <c r="AM1415">
        <v>5</v>
      </c>
      <c r="AN1415">
        <v>5</v>
      </c>
      <c r="AO1415">
        <v>0</v>
      </c>
      <c r="AP1415">
        <v>10</v>
      </c>
      <c r="AQ1415" t="s">
        <v>9203</v>
      </c>
      <c r="AR1415" t="s">
        <v>8763</v>
      </c>
      <c r="AS1415" t="s">
        <v>9204</v>
      </c>
      <c r="AT1415" t="s">
        <v>69</v>
      </c>
      <c r="AU1415" t="s">
        <v>6679</v>
      </c>
      <c r="AV1415" t="s">
        <v>69</v>
      </c>
      <c r="AW1415" t="s">
        <v>24622</v>
      </c>
      <c r="AX1415" t="s">
        <v>24623</v>
      </c>
      <c r="AY1415" t="s">
        <v>6680</v>
      </c>
      <c r="AZ1415">
        <v>2013</v>
      </c>
      <c r="BA1415">
        <v>9</v>
      </c>
      <c r="BB1415" t="s">
        <v>69</v>
      </c>
      <c r="BC1415" t="s">
        <v>69</v>
      </c>
      <c r="BD1415" t="s">
        <v>69</v>
      </c>
      <c r="BE1415" t="s">
        <v>69</v>
      </c>
      <c r="BF1415" t="s">
        <v>69</v>
      </c>
      <c r="BG1415" t="s">
        <v>69</v>
      </c>
      <c r="BH1415" t="s">
        <v>69</v>
      </c>
      <c r="BI1415">
        <v>51</v>
      </c>
      <c r="BJ1415" t="s">
        <v>6681</v>
      </c>
      <c r="BK1415" t="str">
        <f>HYPERLINK("http://dx.doi.org/10.1186/1744-8603-9-51","http://dx.doi.org/10.1186/1744-8603-9-51")</f>
        <v>http://dx.doi.org/10.1186/1744-8603-9-51</v>
      </c>
      <c r="BL1415" t="s">
        <v>69</v>
      </c>
      <c r="BM1415" t="s">
        <v>69</v>
      </c>
      <c r="BN1415">
        <v>10</v>
      </c>
      <c r="BO1415" t="s">
        <v>8810</v>
      </c>
      <c r="BP1415" t="s">
        <v>8523</v>
      </c>
      <c r="BQ1415" t="s">
        <v>8810</v>
      </c>
      <c r="BR1415" t="s">
        <v>24624</v>
      </c>
      <c r="BS1415" t="s">
        <v>6682</v>
      </c>
      <c r="BT1415">
        <v>24160168</v>
      </c>
      <c r="BU1415" t="s">
        <v>9352</v>
      </c>
      <c r="BV1415" t="s">
        <v>69</v>
      </c>
      <c r="BW1415" t="s">
        <v>69</v>
      </c>
      <c r="BX1415" t="s">
        <v>8526</v>
      </c>
      <c r="BY1415" t="str">
        <f>HYPERLINK("https%3A%2F%2Fwww.webofscience.com%2Fwos%2Fwoscc%2Ffull-record%2FWOS:000326539900001","View Full Record in Web of Science")</f>
        <v>View Full Record in Web of Science</v>
      </c>
    </row>
    <row r="1416" spans="1:77" ht="12.5" x14ac:dyDescent="0.25">
      <c r="A1416" t="s">
        <v>8495</v>
      </c>
      <c r="B1416" s="22" t="s">
        <v>32931</v>
      </c>
      <c r="C1416" s="7"/>
      <c r="D1416" s="7"/>
      <c r="E1416" s="7"/>
      <c r="F1416" t="s">
        <v>67</v>
      </c>
      <c r="G1416" t="s">
        <v>24595</v>
      </c>
      <c r="H1416" t="s">
        <v>69</v>
      </c>
      <c r="I1416" t="s">
        <v>69</v>
      </c>
      <c r="J1416" t="s">
        <v>69</v>
      </c>
      <c r="K1416" t="s">
        <v>24596</v>
      </c>
      <c r="L1416" t="s">
        <v>69</v>
      </c>
      <c r="M1416" t="s">
        <v>69</v>
      </c>
      <c r="N1416" t="s">
        <v>24597</v>
      </c>
      <c r="O1416" t="s">
        <v>24598</v>
      </c>
      <c r="P1416" t="s">
        <v>69</v>
      </c>
      <c r="Q1416" t="s">
        <v>69</v>
      </c>
      <c r="R1416" t="s">
        <v>8505</v>
      </c>
      <c r="S1416" t="s">
        <v>8506</v>
      </c>
      <c r="T1416" t="s">
        <v>69</v>
      </c>
      <c r="U1416" t="s">
        <v>69</v>
      </c>
      <c r="V1416" t="s">
        <v>69</v>
      </c>
      <c r="W1416" t="s">
        <v>69</v>
      </c>
      <c r="X1416" t="s">
        <v>69</v>
      </c>
      <c r="Y1416" t="s">
        <v>24599</v>
      </c>
      <c r="Z1416" t="s">
        <v>24600</v>
      </c>
      <c r="AA1416" t="s">
        <v>24601</v>
      </c>
      <c r="AB1416" t="s">
        <v>24602</v>
      </c>
      <c r="AC1416" t="s">
        <v>69</v>
      </c>
      <c r="AD1416" t="s">
        <v>24603</v>
      </c>
      <c r="AE1416" t="s">
        <v>24604</v>
      </c>
      <c r="AF1416" t="s">
        <v>24605</v>
      </c>
      <c r="AG1416" t="s">
        <v>24606</v>
      </c>
      <c r="AH1416" t="s">
        <v>24607</v>
      </c>
      <c r="AI1416" t="s">
        <v>24608</v>
      </c>
      <c r="AJ1416" t="s">
        <v>24609</v>
      </c>
      <c r="AK1416" t="s">
        <v>69</v>
      </c>
      <c r="AL1416">
        <v>32</v>
      </c>
      <c r="AM1416">
        <v>61</v>
      </c>
      <c r="AN1416">
        <v>61</v>
      </c>
      <c r="AO1416">
        <v>1</v>
      </c>
      <c r="AP1416">
        <v>60</v>
      </c>
      <c r="AQ1416" t="s">
        <v>17140</v>
      </c>
      <c r="AR1416" t="s">
        <v>8517</v>
      </c>
      <c r="AS1416" t="s">
        <v>17141</v>
      </c>
      <c r="AT1416" t="s">
        <v>24610</v>
      </c>
      <c r="AU1416" t="s">
        <v>24611</v>
      </c>
      <c r="AV1416" t="s">
        <v>69</v>
      </c>
      <c r="AW1416" t="s">
        <v>24612</v>
      </c>
      <c r="AX1416" t="s">
        <v>24613</v>
      </c>
      <c r="AY1416" t="s">
        <v>1206</v>
      </c>
      <c r="AZ1416">
        <v>2013</v>
      </c>
      <c r="BA1416">
        <v>112</v>
      </c>
      <c r="BB1416" t="s">
        <v>145</v>
      </c>
      <c r="BC1416" t="s">
        <v>69</v>
      </c>
      <c r="BD1416" t="s">
        <v>69</v>
      </c>
      <c r="BE1416" t="s">
        <v>69</v>
      </c>
      <c r="BF1416" t="s">
        <v>69</v>
      </c>
      <c r="BG1416">
        <v>370</v>
      </c>
      <c r="BH1416">
        <v>377</v>
      </c>
      <c r="BI1416" t="s">
        <v>69</v>
      </c>
      <c r="BJ1416" t="s">
        <v>24614</v>
      </c>
      <c r="BK1416" t="str">
        <f>HYPERLINK("http://dx.doi.org/10.1016/j.prevetmed.2013.09.009","http://dx.doi.org/10.1016/j.prevetmed.2013.09.009")</f>
        <v>http://dx.doi.org/10.1016/j.prevetmed.2013.09.009</v>
      </c>
      <c r="BL1416" t="s">
        <v>69</v>
      </c>
      <c r="BM1416" t="s">
        <v>69</v>
      </c>
      <c r="BN1416">
        <v>8</v>
      </c>
      <c r="BO1416" t="s">
        <v>14769</v>
      </c>
      <c r="BP1416" t="s">
        <v>8548</v>
      </c>
      <c r="BQ1416" t="s">
        <v>14769</v>
      </c>
      <c r="BR1416" t="s">
        <v>24615</v>
      </c>
      <c r="BS1416" t="s">
        <v>24616</v>
      </c>
      <c r="BT1416">
        <v>24120236</v>
      </c>
      <c r="BU1416" t="s">
        <v>10363</v>
      </c>
      <c r="BV1416" t="s">
        <v>69</v>
      </c>
      <c r="BW1416" t="s">
        <v>69</v>
      </c>
      <c r="BX1416" t="s">
        <v>8526</v>
      </c>
      <c r="BY1416" t="str">
        <f>HYPERLINK("https%3A%2F%2Fwww.webofscience.com%2Fwos%2Fwoscc%2Ffull-record%2FWOS:000327228100021","View Full Record in Web of Science")</f>
        <v>View Full Record in Web of Science</v>
      </c>
    </row>
    <row r="1417" spans="1:77" ht="12.5" x14ac:dyDescent="0.25">
      <c r="A1417" t="s">
        <v>8495</v>
      </c>
      <c r="B1417" s="22" t="s">
        <v>32931</v>
      </c>
      <c r="C1417" s="7"/>
      <c r="D1417" s="7"/>
      <c r="E1417" s="7"/>
      <c r="F1417" t="s">
        <v>67</v>
      </c>
      <c r="G1417" t="s">
        <v>29028</v>
      </c>
      <c r="H1417" t="s">
        <v>69</v>
      </c>
      <c r="I1417" t="s">
        <v>69</v>
      </c>
      <c r="J1417" t="s">
        <v>69</v>
      </c>
      <c r="K1417" t="s">
        <v>29029</v>
      </c>
      <c r="L1417" t="s">
        <v>69</v>
      </c>
      <c r="M1417" t="s">
        <v>69</v>
      </c>
      <c r="N1417" t="s">
        <v>29030</v>
      </c>
      <c r="O1417" t="s">
        <v>14711</v>
      </c>
      <c r="P1417" t="s">
        <v>69</v>
      </c>
      <c r="Q1417" t="s">
        <v>69</v>
      </c>
      <c r="R1417" t="s">
        <v>8505</v>
      </c>
      <c r="S1417" t="s">
        <v>8506</v>
      </c>
      <c r="T1417" t="s">
        <v>69</v>
      </c>
      <c r="U1417" t="s">
        <v>69</v>
      </c>
      <c r="V1417" t="s">
        <v>69</v>
      </c>
      <c r="W1417" t="s">
        <v>69</v>
      </c>
      <c r="X1417" t="s">
        <v>69</v>
      </c>
      <c r="Y1417" t="s">
        <v>69</v>
      </c>
      <c r="Z1417" t="s">
        <v>29031</v>
      </c>
      <c r="AA1417" t="s">
        <v>29032</v>
      </c>
      <c r="AB1417" t="s">
        <v>29033</v>
      </c>
      <c r="AC1417" t="s">
        <v>69</v>
      </c>
      <c r="AD1417" t="s">
        <v>29034</v>
      </c>
      <c r="AE1417" t="s">
        <v>29035</v>
      </c>
      <c r="AF1417" t="s">
        <v>69</v>
      </c>
      <c r="AG1417" t="s">
        <v>69</v>
      </c>
      <c r="AH1417" t="s">
        <v>69</v>
      </c>
      <c r="AI1417" t="s">
        <v>69</v>
      </c>
      <c r="AJ1417" t="s">
        <v>69</v>
      </c>
      <c r="AK1417" t="s">
        <v>69</v>
      </c>
      <c r="AL1417">
        <v>54</v>
      </c>
      <c r="AM1417">
        <v>5</v>
      </c>
      <c r="AN1417">
        <v>5</v>
      </c>
      <c r="AO1417">
        <v>0</v>
      </c>
      <c r="AP1417">
        <v>5</v>
      </c>
      <c r="AQ1417" t="s">
        <v>8865</v>
      </c>
      <c r="AR1417" t="s">
        <v>8612</v>
      </c>
      <c r="AS1417" t="s">
        <v>8866</v>
      </c>
      <c r="AT1417" t="s">
        <v>14720</v>
      </c>
      <c r="AU1417" t="s">
        <v>14721</v>
      </c>
      <c r="AV1417" t="s">
        <v>69</v>
      </c>
      <c r="AW1417" t="s">
        <v>14722</v>
      </c>
      <c r="AX1417" t="s">
        <v>14723</v>
      </c>
      <c r="AY1417" t="s">
        <v>619</v>
      </c>
      <c r="AZ1417">
        <v>2008</v>
      </c>
      <c r="BA1417">
        <v>19</v>
      </c>
      <c r="BB1417">
        <v>6</v>
      </c>
      <c r="BC1417" t="s">
        <v>69</v>
      </c>
      <c r="BD1417" t="s">
        <v>69</v>
      </c>
      <c r="BE1417" t="s">
        <v>114</v>
      </c>
      <c r="BF1417" t="s">
        <v>69</v>
      </c>
      <c r="BG1417">
        <v>907</v>
      </c>
      <c r="BH1417">
        <v>940</v>
      </c>
      <c r="BI1417" t="s">
        <v>69</v>
      </c>
      <c r="BJ1417" t="s">
        <v>29036</v>
      </c>
      <c r="BK1417" t="str">
        <f>HYPERLINK("http://dx.doi.org/10.1080/10409280802356653","http://dx.doi.org/10.1080/10409280802356653")</f>
        <v>http://dx.doi.org/10.1080/10409280802356653</v>
      </c>
      <c r="BL1417" t="s">
        <v>69</v>
      </c>
      <c r="BM1417" t="s">
        <v>69</v>
      </c>
      <c r="BN1417">
        <v>34</v>
      </c>
      <c r="BO1417" t="s">
        <v>14725</v>
      </c>
      <c r="BP1417" t="s">
        <v>8661</v>
      </c>
      <c r="BQ1417" t="s">
        <v>14726</v>
      </c>
      <c r="BR1417" t="s">
        <v>29037</v>
      </c>
      <c r="BS1417" t="s">
        <v>29038</v>
      </c>
      <c r="BT1417" t="s">
        <v>69</v>
      </c>
      <c r="BU1417" t="s">
        <v>69</v>
      </c>
      <c r="BV1417" t="s">
        <v>69</v>
      </c>
      <c r="BW1417" t="s">
        <v>69</v>
      </c>
      <c r="BX1417" t="s">
        <v>8526</v>
      </c>
      <c r="BY1417" t="str">
        <f>HYPERLINK("https%3A%2F%2Fwww.webofscience.com%2Fwos%2Fwoscc%2Ffull-record%2FWOS:000262740400005","View Full Record in Web of Science")</f>
        <v>View Full Record in Web of Science</v>
      </c>
    </row>
    <row r="1418" spans="1:77" ht="12.5" x14ac:dyDescent="0.25">
      <c r="A1418" t="s">
        <v>8495</v>
      </c>
      <c r="B1418" s="7" t="s">
        <v>32933</v>
      </c>
      <c r="C1418" s="7"/>
      <c r="D1418" s="7"/>
      <c r="E1418" s="7"/>
      <c r="F1418" t="s">
        <v>67</v>
      </c>
      <c r="G1418" t="s">
        <v>7666</v>
      </c>
      <c r="H1418" t="s">
        <v>69</v>
      </c>
      <c r="I1418" t="s">
        <v>69</v>
      </c>
      <c r="J1418" t="s">
        <v>69</v>
      </c>
      <c r="K1418" t="s">
        <v>7667</v>
      </c>
      <c r="L1418" t="s">
        <v>69</v>
      </c>
      <c r="M1418" t="s">
        <v>69</v>
      </c>
      <c r="N1418" t="s">
        <v>7668</v>
      </c>
      <c r="O1418" t="s">
        <v>5162</v>
      </c>
      <c r="P1418" t="s">
        <v>69</v>
      </c>
      <c r="Q1418" t="s">
        <v>69</v>
      </c>
      <c r="R1418" t="s">
        <v>8505</v>
      </c>
      <c r="S1418" t="s">
        <v>8506</v>
      </c>
      <c r="T1418" t="s">
        <v>69</v>
      </c>
      <c r="U1418" t="s">
        <v>69</v>
      </c>
      <c r="V1418" t="s">
        <v>69</v>
      </c>
      <c r="W1418" t="s">
        <v>69</v>
      </c>
      <c r="X1418" t="s">
        <v>69</v>
      </c>
      <c r="Y1418" t="s">
        <v>69</v>
      </c>
      <c r="Z1418" t="s">
        <v>16294</v>
      </c>
      <c r="AA1418" t="s">
        <v>7669</v>
      </c>
      <c r="AB1418" t="s">
        <v>16295</v>
      </c>
      <c r="AC1418" t="s">
        <v>69</v>
      </c>
      <c r="AD1418" t="s">
        <v>16296</v>
      </c>
      <c r="AE1418" t="s">
        <v>16297</v>
      </c>
      <c r="AF1418" t="s">
        <v>69</v>
      </c>
      <c r="AG1418" t="s">
        <v>69</v>
      </c>
      <c r="AH1418" t="s">
        <v>69</v>
      </c>
      <c r="AI1418" t="s">
        <v>69</v>
      </c>
      <c r="AJ1418" t="s">
        <v>69</v>
      </c>
      <c r="AK1418" t="s">
        <v>69</v>
      </c>
      <c r="AL1418">
        <v>50</v>
      </c>
      <c r="AM1418">
        <v>7</v>
      </c>
      <c r="AN1418">
        <v>7</v>
      </c>
      <c r="AO1418">
        <v>1</v>
      </c>
      <c r="AP1418">
        <v>14</v>
      </c>
      <c r="AQ1418" t="s">
        <v>8636</v>
      </c>
      <c r="AR1418" t="s">
        <v>8637</v>
      </c>
      <c r="AS1418" t="s">
        <v>8638</v>
      </c>
      <c r="AT1418" t="s">
        <v>5164</v>
      </c>
      <c r="AU1418" t="s">
        <v>5165</v>
      </c>
      <c r="AV1418" t="s">
        <v>69</v>
      </c>
      <c r="AW1418" t="s">
        <v>11987</v>
      </c>
      <c r="AX1418" t="s">
        <v>11988</v>
      </c>
      <c r="AY1418" t="s">
        <v>373</v>
      </c>
      <c r="AZ1418">
        <v>2020</v>
      </c>
      <c r="BA1418">
        <v>111</v>
      </c>
      <c r="BB1418" t="s">
        <v>69</v>
      </c>
      <c r="BC1418" t="s">
        <v>69</v>
      </c>
      <c r="BD1418" t="s">
        <v>69</v>
      </c>
      <c r="BE1418" t="s">
        <v>69</v>
      </c>
      <c r="BF1418" t="s">
        <v>69</v>
      </c>
      <c r="BG1418" t="s">
        <v>69</v>
      </c>
      <c r="BH1418" t="s">
        <v>69</v>
      </c>
      <c r="BI1418">
        <v>102689</v>
      </c>
      <c r="BJ1418" t="s">
        <v>7670</v>
      </c>
      <c r="BK1418" t="str">
        <f>HYPERLINK("http://dx.doi.org/10.1016/j.marpol.2017.03.009","http://dx.doi.org/10.1016/j.marpol.2017.03.009")</f>
        <v>http://dx.doi.org/10.1016/j.marpol.2017.03.009</v>
      </c>
      <c r="BL1418" t="s">
        <v>69</v>
      </c>
      <c r="BM1418" t="s">
        <v>69</v>
      </c>
      <c r="BN1418">
        <v>10</v>
      </c>
      <c r="BO1418" t="s">
        <v>11990</v>
      </c>
      <c r="BP1418" t="s">
        <v>8661</v>
      </c>
      <c r="BQ1418" t="s">
        <v>11991</v>
      </c>
      <c r="BR1418" t="s">
        <v>16298</v>
      </c>
      <c r="BS1418" t="s">
        <v>7671</v>
      </c>
      <c r="BT1418" t="s">
        <v>69</v>
      </c>
      <c r="BU1418" t="s">
        <v>9292</v>
      </c>
      <c r="BV1418" t="s">
        <v>69</v>
      </c>
      <c r="BW1418" t="s">
        <v>69</v>
      </c>
      <c r="BX1418" t="s">
        <v>8526</v>
      </c>
      <c r="BY1418" t="str">
        <f>HYPERLINK("https%3A%2F%2Fwww.webofscience.com%2Fwos%2Fwoscc%2Ffull-record%2FWOS:000503319000017","View Full Record in Web of Science")</f>
        <v>View Full Record in Web of Science</v>
      </c>
    </row>
    <row r="1419" spans="1:77" ht="12.5" x14ac:dyDescent="0.25">
      <c r="A1419" t="s">
        <v>8495</v>
      </c>
      <c r="B1419" s="7" t="s">
        <v>32933</v>
      </c>
      <c r="C1419" s="7"/>
      <c r="D1419" s="7"/>
      <c r="E1419" s="7"/>
      <c r="F1419" t="s">
        <v>67</v>
      </c>
      <c r="G1419" t="s">
        <v>4014</v>
      </c>
      <c r="H1419" t="s">
        <v>69</v>
      </c>
      <c r="I1419" t="s">
        <v>69</v>
      </c>
      <c r="J1419" t="s">
        <v>69</v>
      </c>
      <c r="K1419" t="s">
        <v>4014</v>
      </c>
      <c r="L1419" t="s">
        <v>69</v>
      </c>
      <c r="M1419" t="s">
        <v>69</v>
      </c>
      <c r="N1419" t="s">
        <v>4015</v>
      </c>
      <c r="O1419" t="s">
        <v>4016</v>
      </c>
      <c r="P1419" t="s">
        <v>69</v>
      </c>
      <c r="Q1419" t="s">
        <v>69</v>
      </c>
      <c r="R1419" t="s">
        <v>8505</v>
      </c>
      <c r="S1419" t="s">
        <v>8442</v>
      </c>
      <c r="T1419" t="s">
        <v>69</v>
      </c>
      <c r="U1419" t="s">
        <v>69</v>
      </c>
      <c r="V1419" t="s">
        <v>69</v>
      </c>
      <c r="W1419" t="s">
        <v>69</v>
      </c>
      <c r="X1419" t="s">
        <v>69</v>
      </c>
      <c r="Y1419" t="s">
        <v>31415</v>
      </c>
      <c r="Z1419" t="s">
        <v>69</v>
      </c>
      <c r="AA1419" t="s">
        <v>4017</v>
      </c>
      <c r="AB1419" t="s">
        <v>31416</v>
      </c>
      <c r="AC1419" t="s">
        <v>69</v>
      </c>
      <c r="AD1419" t="s">
        <v>31417</v>
      </c>
      <c r="AE1419" t="s">
        <v>69</v>
      </c>
      <c r="AF1419" t="s">
        <v>69</v>
      </c>
      <c r="AG1419" t="s">
        <v>4018</v>
      </c>
      <c r="AH1419" t="s">
        <v>69</v>
      </c>
      <c r="AI1419" t="s">
        <v>69</v>
      </c>
      <c r="AJ1419" t="s">
        <v>69</v>
      </c>
      <c r="AK1419" t="s">
        <v>69</v>
      </c>
      <c r="AL1419">
        <v>12</v>
      </c>
      <c r="AM1419">
        <v>31</v>
      </c>
      <c r="AN1419">
        <v>31</v>
      </c>
      <c r="AO1419">
        <v>0</v>
      </c>
      <c r="AP1419">
        <v>16</v>
      </c>
      <c r="AQ1419" t="s">
        <v>31418</v>
      </c>
      <c r="AR1419" t="s">
        <v>8763</v>
      </c>
      <c r="AS1419" t="s">
        <v>29591</v>
      </c>
      <c r="AT1419" t="s">
        <v>4019</v>
      </c>
      <c r="AU1419" t="s">
        <v>69</v>
      </c>
      <c r="AV1419" t="s">
        <v>69</v>
      </c>
      <c r="AW1419" t="s">
        <v>31419</v>
      </c>
      <c r="AX1419" t="s">
        <v>31420</v>
      </c>
      <c r="AY1419" t="s">
        <v>255</v>
      </c>
      <c r="AZ1419">
        <v>2002</v>
      </c>
      <c r="BA1419">
        <v>154</v>
      </c>
      <c r="BB1419">
        <v>3</v>
      </c>
      <c r="BC1419" t="s">
        <v>69</v>
      </c>
      <c r="BD1419" t="s">
        <v>69</v>
      </c>
      <c r="BE1419" t="s">
        <v>69</v>
      </c>
      <c r="BF1419" t="s">
        <v>69</v>
      </c>
      <c r="BG1419">
        <v>221</v>
      </c>
      <c r="BH1419">
        <v>228</v>
      </c>
      <c r="BI1419" t="s">
        <v>69</v>
      </c>
      <c r="BJ1419" t="s">
        <v>69</v>
      </c>
      <c r="BK1419" t="s">
        <v>69</v>
      </c>
      <c r="BL1419" t="s">
        <v>69</v>
      </c>
      <c r="BM1419" t="s">
        <v>69</v>
      </c>
      <c r="BN1419">
        <v>8</v>
      </c>
      <c r="BO1419" t="s">
        <v>31421</v>
      </c>
      <c r="BP1419" t="s">
        <v>8548</v>
      </c>
      <c r="BQ1419" t="s">
        <v>31422</v>
      </c>
      <c r="BR1419" t="s">
        <v>31423</v>
      </c>
      <c r="BS1419" t="s">
        <v>4020</v>
      </c>
      <c r="BT1419" t="s">
        <v>69</v>
      </c>
      <c r="BU1419" t="s">
        <v>69</v>
      </c>
      <c r="BV1419" t="s">
        <v>69</v>
      </c>
      <c r="BW1419" t="s">
        <v>69</v>
      </c>
      <c r="BX1419" t="s">
        <v>8526</v>
      </c>
      <c r="BY1419" t="str">
        <f>HYPERLINK("https%3A%2F%2Fwww.webofscience.com%2Fwos%2Fwoscc%2Ffull-record%2FWOS:000178803100008","View Full Record in Web of Science")</f>
        <v>View Full Record in Web of Science</v>
      </c>
    </row>
    <row r="1420" spans="1:77" ht="12.5" x14ac:dyDescent="0.25">
      <c r="A1420" t="s">
        <v>8495</v>
      </c>
      <c r="B1420" s="22" t="s">
        <v>32931</v>
      </c>
      <c r="C1420" s="7"/>
      <c r="D1420" s="7"/>
      <c r="E1420" s="7"/>
      <c r="F1420" t="s">
        <v>67</v>
      </c>
      <c r="G1420" t="s">
        <v>29567</v>
      </c>
      <c r="H1420" t="s">
        <v>69</v>
      </c>
      <c r="I1420" t="s">
        <v>69</v>
      </c>
      <c r="J1420" t="s">
        <v>69</v>
      </c>
      <c r="K1420" t="s">
        <v>29568</v>
      </c>
      <c r="L1420" t="s">
        <v>69</v>
      </c>
      <c r="M1420" t="s">
        <v>69</v>
      </c>
      <c r="N1420" t="s">
        <v>29569</v>
      </c>
      <c r="O1420" t="s">
        <v>29570</v>
      </c>
      <c r="P1420" t="s">
        <v>69</v>
      </c>
      <c r="Q1420" t="s">
        <v>69</v>
      </c>
      <c r="R1420" t="s">
        <v>8505</v>
      </c>
      <c r="S1420" t="s">
        <v>8506</v>
      </c>
      <c r="T1420" t="s">
        <v>69</v>
      </c>
      <c r="U1420" t="s">
        <v>69</v>
      </c>
      <c r="V1420" t="s">
        <v>69</v>
      </c>
      <c r="W1420" t="s">
        <v>69</v>
      </c>
      <c r="X1420" t="s">
        <v>69</v>
      </c>
      <c r="Y1420" t="s">
        <v>29571</v>
      </c>
      <c r="Z1420" t="s">
        <v>29572</v>
      </c>
      <c r="AA1420" t="s">
        <v>29573</v>
      </c>
      <c r="AB1420" t="s">
        <v>29574</v>
      </c>
      <c r="AC1420" t="s">
        <v>69</v>
      </c>
      <c r="AD1420" t="s">
        <v>29575</v>
      </c>
      <c r="AE1420" t="s">
        <v>29576</v>
      </c>
      <c r="AF1420" t="s">
        <v>29577</v>
      </c>
      <c r="AG1420" t="s">
        <v>29578</v>
      </c>
      <c r="AH1420" t="s">
        <v>69</v>
      </c>
      <c r="AI1420" t="s">
        <v>69</v>
      </c>
      <c r="AJ1420" t="s">
        <v>69</v>
      </c>
      <c r="AK1420" t="s">
        <v>69</v>
      </c>
      <c r="AL1420">
        <v>35</v>
      </c>
      <c r="AM1420">
        <v>33</v>
      </c>
      <c r="AN1420">
        <v>33</v>
      </c>
      <c r="AO1420">
        <v>0</v>
      </c>
      <c r="AP1420">
        <v>2</v>
      </c>
      <c r="AQ1420" t="s">
        <v>29579</v>
      </c>
      <c r="AR1420" t="s">
        <v>8693</v>
      </c>
      <c r="AS1420" t="s">
        <v>16643</v>
      </c>
      <c r="AT1420" t="s">
        <v>29580</v>
      </c>
      <c r="AU1420" t="s">
        <v>69</v>
      </c>
      <c r="AV1420" t="s">
        <v>69</v>
      </c>
      <c r="AW1420" t="s">
        <v>29581</v>
      </c>
      <c r="AX1420" t="s">
        <v>29582</v>
      </c>
      <c r="AY1420" t="s">
        <v>255</v>
      </c>
      <c r="AZ1420">
        <v>2007</v>
      </c>
      <c r="BA1420">
        <v>17</v>
      </c>
      <c r="BB1420">
        <v>3</v>
      </c>
      <c r="BC1420" t="s">
        <v>69</v>
      </c>
      <c r="BD1420" t="s">
        <v>69</v>
      </c>
      <c r="BE1420" t="s">
        <v>69</v>
      </c>
      <c r="BF1420" t="s">
        <v>69</v>
      </c>
      <c r="BG1420">
        <v>398</v>
      </c>
      <c r="BH1420">
        <v>408</v>
      </c>
      <c r="BI1420" t="s">
        <v>69</v>
      </c>
      <c r="BJ1420" t="s">
        <v>29583</v>
      </c>
      <c r="BK1420" t="str">
        <f>HYPERLINK("http://dx.doi.org/10.1007/s10926-007-9090-3","http://dx.doi.org/10.1007/s10926-007-9090-3")</f>
        <v>http://dx.doi.org/10.1007/s10926-007-9090-3</v>
      </c>
      <c r="BL1420" t="s">
        <v>69</v>
      </c>
      <c r="BM1420" t="s">
        <v>69</v>
      </c>
      <c r="BN1420">
        <v>11</v>
      </c>
      <c r="BO1420" t="s">
        <v>29584</v>
      </c>
      <c r="BP1420" t="s">
        <v>8661</v>
      </c>
      <c r="BQ1420" t="s">
        <v>29584</v>
      </c>
      <c r="BR1420" t="s">
        <v>29585</v>
      </c>
      <c r="BS1420" t="s">
        <v>29586</v>
      </c>
      <c r="BT1420">
        <v>17610050</v>
      </c>
      <c r="BU1420" t="s">
        <v>69</v>
      </c>
      <c r="BV1420" t="s">
        <v>69</v>
      </c>
      <c r="BW1420" t="s">
        <v>69</v>
      </c>
      <c r="BX1420" t="s">
        <v>8526</v>
      </c>
      <c r="BY1420" t="str">
        <f>HYPERLINK("https%3A%2F%2Fwww.webofscience.com%2Fwos%2Fwoscc%2Ffull-record%2FWOS:000249120600004","View Full Record in Web of Science")</f>
        <v>View Full Record in Web of Science</v>
      </c>
    </row>
    <row r="1421" spans="1:77" ht="12.5" x14ac:dyDescent="0.25">
      <c r="A1421" t="s">
        <v>8495</v>
      </c>
      <c r="B1421" s="22" t="s">
        <v>32931</v>
      </c>
      <c r="C1421" s="7"/>
      <c r="D1421" s="7"/>
      <c r="E1421" s="7"/>
      <c r="F1421" t="s">
        <v>67</v>
      </c>
      <c r="G1421" t="s">
        <v>12166</v>
      </c>
      <c r="H1421" t="s">
        <v>69</v>
      </c>
      <c r="I1421" t="s">
        <v>69</v>
      </c>
      <c r="J1421" t="s">
        <v>69</v>
      </c>
      <c r="K1421" t="s">
        <v>12167</v>
      </c>
      <c r="L1421" t="s">
        <v>69</v>
      </c>
      <c r="M1421" t="s">
        <v>69</v>
      </c>
      <c r="N1421" t="s">
        <v>12168</v>
      </c>
      <c r="O1421" t="s">
        <v>12169</v>
      </c>
      <c r="P1421" t="s">
        <v>69</v>
      </c>
      <c r="Q1421" t="s">
        <v>69</v>
      </c>
      <c r="R1421" t="s">
        <v>8505</v>
      </c>
      <c r="S1421" t="s">
        <v>8506</v>
      </c>
      <c r="T1421" t="s">
        <v>69</v>
      </c>
      <c r="U1421" t="s">
        <v>69</v>
      </c>
      <c r="V1421" t="s">
        <v>69</v>
      </c>
      <c r="W1421" t="s">
        <v>69</v>
      </c>
      <c r="X1421" t="s">
        <v>69</v>
      </c>
      <c r="Y1421" t="s">
        <v>12170</v>
      </c>
      <c r="Z1421" t="s">
        <v>12171</v>
      </c>
      <c r="AA1421" t="s">
        <v>12172</v>
      </c>
      <c r="AB1421" t="s">
        <v>12173</v>
      </c>
      <c r="AC1421" t="s">
        <v>69</v>
      </c>
      <c r="AD1421" t="s">
        <v>12174</v>
      </c>
      <c r="AE1421" t="s">
        <v>12175</v>
      </c>
      <c r="AF1421" t="s">
        <v>69</v>
      </c>
      <c r="AG1421" t="s">
        <v>69</v>
      </c>
      <c r="AH1421" t="s">
        <v>69</v>
      </c>
      <c r="AI1421" t="s">
        <v>69</v>
      </c>
      <c r="AJ1421" t="s">
        <v>69</v>
      </c>
      <c r="AK1421" t="s">
        <v>69</v>
      </c>
      <c r="AL1421">
        <v>83</v>
      </c>
      <c r="AM1421">
        <v>0</v>
      </c>
      <c r="AN1421">
        <v>0</v>
      </c>
      <c r="AO1421">
        <v>5</v>
      </c>
      <c r="AP1421">
        <v>19</v>
      </c>
      <c r="AQ1421" t="s">
        <v>8586</v>
      </c>
      <c r="AR1421" t="s">
        <v>8587</v>
      </c>
      <c r="AS1421" t="s">
        <v>8588</v>
      </c>
      <c r="AT1421" t="s">
        <v>12176</v>
      </c>
      <c r="AU1421" t="s">
        <v>12177</v>
      </c>
      <c r="AV1421" t="s">
        <v>69</v>
      </c>
      <c r="AW1421" t="s">
        <v>12178</v>
      </c>
      <c r="AX1421" t="s">
        <v>12179</v>
      </c>
      <c r="AY1421" t="s">
        <v>12180</v>
      </c>
      <c r="AZ1421">
        <v>2021</v>
      </c>
      <c r="BA1421">
        <v>21</v>
      </c>
      <c r="BB1421">
        <v>2</v>
      </c>
      <c r="BC1421" t="s">
        <v>69</v>
      </c>
      <c r="BD1421" t="s">
        <v>69</v>
      </c>
      <c r="BE1421" t="s">
        <v>69</v>
      </c>
      <c r="BF1421" t="s">
        <v>69</v>
      </c>
      <c r="BG1421">
        <v>97</v>
      </c>
      <c r="BH1421">
        <v>118</v>
      </c>
      <c r="BI1421" t="s">
        <v>69</v>
      </c>
      <c r="BJ1421" t="s">
        <v>12181</v>
      </c>
      <c r="BK1421" t="str">
        <f>HYPERLINK("http://dx.doi.org/10.1108/JOPP-07-2019-0039","http://dx.doi.org/10.1108/JOPP-07-2019-0039")</f>
        <v>http://dx.doi.org/10.1108/JOPP-07-2019-0039</v>
      </c>
      <c r="BL1421" t="s">
        <v>69</v>
      </c>
      <c r="BM1421" t="s">
        <v>12111</v>
      </c>
      <c r="BN1421">
        <v>22</v>
      </c>
      <c r="BO1421" t="s">
        <v>12182</v>
      </c>
      <c r="BP1421" t="s">
        <v>8573</v>
      </c>
      <c r="BQ1421" t="s">
        <v>12182</v>
      </c>
      <c r="BR1421" t="s">
        <v>12183</v>
      </c>
      <c r="BS1421" t="s">
        <v>12184</v>
      </c>
      <c r="BT1421" t="s">
        <v>69</v>
      </c>
      <c r="BU1421" t="s">
        <v>69</v>
      </c>
      <c r="BV1421" t="s">
        <v>69</v>
      </c>
      <c r="BW1421" t="s">
        <v>69</v>
      </c>
      <c r="BX1421" t="s">
        <v>8526</v>
      </c>
      <c r="BY1421" t="str">
        <f>HYPERLINK("https%3A%2F%2Fwww.webofscience.com%2Fwos%2Fwoscc%2Ffull-record%2FWOS:000649445300001","View Full Record in Web of Science")</f>
        <v>View Full Record in Web of Science</v>
      </c>
    </row>
    <row r="1422" spans="1:77" ht="12.5" x14ac:dyDescent="0.25">
      <c r="A1422" t="s">
        <v>8495</v>
      </c>
      <c r="B1422" s="22" t="s">
        <v>32931</v>
      </c>
      <c r="C1422" s="7"/>
      <c r="D1422" s="7"/>
      <c r="E1422" s="7"/>
      <c r="F1422" t="s">
        <v>67</v>
      </c>
      <c r="G1422" t="s">
        <v>27466</v>
      </c>
      <c r="H1422" t="s">
        <v>69</v>
      </c>
      <c r="I1422" t="s">
        <v>69</v>
      </c>
      <c r="J1422" t="s">
        <v>69</v>
      </c>
      <c r="K1422" t="s">
        <v>27467</v>
      </c>
      <c r="L1422" t="s">
        <v>69</v>
      </c>
      <c r="M1422" t="s">
        <v>69</v>
      </c>
      <c r="N1422" t="s">
        <v>27468</v>
      </c>
      <c r="O1422" t="s">
        <v>27469</v>
      </c>
      <c r="P1422" t="s">
        <v>69</v>
      </c>
      <c r="Q1422" t="s">
        <v>69</v>
      </c>
      <c r="R1422" t="s">
        <v>8505</v>
      </c>
      <c r="S1422" t="s">
        <v>8506</v>
      </c>
      <c r="T1422" t="s">
        <v>69</v>
      </c>
      <c r="U1422" t="s">
        <v>69</v>
      </c>
      <c r="V1422" t="s">
        <v>69</v>
      </c>
      <c r="W1422" t="s">
        <v>69</v>
      </c>
      <c r="X1422" t="s">
        <v>69</v>
      </c>
      <c r="Y1422" t="s">
        <v>27470</v>
      </c>
      <c r="Z1422" t="s">
        <v>27471</v>
      </c>
      <c r="AA1422" t="s">
        <v>27472</v>
      </c>
      <c r="AB1422" t="s">
        <v>27473</v>
      </c>
      <c r="AC1422" t="s">
        <v>69</v>
      </c>
      <c r="AD1422" t="s">
        <v>27474</v>
      </c>
      <c r="AE1422" t="s">
        <v>27475</v>
      </c>
      <c r="AF1422" t="s">
        <v>69</v>
      </c>
      <c r="AG1422" t="s">
        <v>69</v>
      </c>
      <c r="AH1422" t="s">
        <v>69</v>
      </c>
      <c r="AI1422" t="s">
        <v>69</v>
      </c>
      <c r="AJ1422" t="s">
        <v>69</v>
      </c>
      <c r="AK1422" t="s">
        <v>69</v>
      </c>
      <c r="AL1422">
        <v>80</v>
      </c>
      <c r="AM1422">
        <v>5</v>
      </c>
      <c r="AN1422">
        <v>5</v>
      </c>
      <c r="AO1422">
        <v>0</v>
      </c>
      <c r="AP1422">
        <v>0</v>
      </c>
      <c r="AQ1422" t="s">
        <v>8865</v>
      </c>
      <c r="AR1422" t="s">
        <v>8612</v>
      </c>
      <c r="AS1422" t="s">
        <v>8866</v>
      </c>
      <c r="AT1422" t="s">
        <v>27476</v>
      </c>
      <c r="AU1422" t="s">
        <v>27477</v>
      </c>
      <c r="AV1422" t="s">
        <v>69</v>
      </c>
      <c r="AW1422" t="s">
        <v>27478</v>
      </c>
      <c r="AX1422" t="s">
        <v>27479</v>
      </c>
      <c r="AY1422" t="s">
        <v>69</v>
      </c>
      <c r="AZ1422">
        <v>2011</v>
      </c>
      <c r="BA1422">
        <v>17</v>
      </c>
      <c r="BB1422">
        <v>3</v>
      </c>
      <c r="BC1422" t="s">
        <v>69</v>
      </c>
      <c r="BD1422" t="s">
        <v>69</v>
      </c>
      <c r="BE1422" t="s">
        <v>114</v>
      </c>
      <c r="BF1422" t="s">
        <v>69</v>
      </c>
      <c r="BG1422">
        <v>273</v>
      </c>
      <c r="BH1422">
        <v>289</v>
      </c>
      <c r="BI1422" t="s">
        <v>69</v>
      </c>
      <c r="BJ1422" t="s">
        <v>27480</v>
      </c>
      <c r="BK1422" t="str">
        <f>HYPERLINK("http://dx.doi.org/10.1080/14753634.2011.587606","http://dx.doi.org/10.1080/14753634.2011.587606")</f>
        <v>http://dx.doi.org/10.1080/14753634.2011.587606</v>
      </c>
      <c r="BL1422" t="s">
        <v>69</v>
      </c>
      <c r="BM1422" t="s">
        <v>69</v>
      </c>
      <c r="BN1422">
        <v>17</v>
      </c>
      <c r="BO1422" t="s">
        <v>27481</v>
      </c>
      <c r="BP1422" t="s">
        <v>8573</v>
      </c>
      <c r="BQ1422" t="s">
        <v>9001</v>
      </c>
      <c r="BR1422" t="s">
        <v>27482</v>
      </c>
      <c r="BS1422" t="s">
        <v>27483</v>
      </c>
      <c r="BT1422" t="s">
        <v>69</v>
      </c>
      <c r="BU1422" t="s">
        <v>69</v>
      </c>
      <c r="BV1422" t="s">
        <v>69</v>
      </c>
      <c r="BW1422" t="s">
        <v>69</v>
      </c>
      <c r="BX1422" t="s">
        <v>8526</v>
      </c>
      <c r="BY1422" t="str">
        <f>HYPERLINK("https%3A%2F%2Fwww.webofscience.com%2Fwos%2Fwoscc%2Ffull-record%2FWOS:000212206300004","View Full Record in Web of Science")</f>
        <v>View Full Record in Web of Science</v>
      </c>
    </row>
    <row r="1423" spans="1:77" ht="12.5" x14ac:dyDescent="0.25">
      <c r="A1423" t="s">
        <v>8495</v>
      </c>
      <c r="B1423" s="7" t="s">
        <v>32933</v>
      </c>
      <c r="C1423" s="7"/>
      <c r="D1423" s="7"/>
      <c r="E1423" s="7"/>
      <c r="F1423" t="s">
        <v>67</v>
      </c>
      <c r="G1423" t="s">
        <v>1899</v>
      </c>
      <c r="H1423" t="s">
        <v>69</v>
      </c>
      <c r="I1423" t="s">
        <v>69</v>
      </c>
      <c r="J1423" t="s">
        <v>69</v>
      </c>
      <c r="K1423" t="s">
        <v>1900</v>
      </c>
      <c r="L1423" t="s">
        <v>69</v>
      </c>
      <c r="M1423" t="s">
        <v>69</v>
      </c>
      <c r="N1423" t="s">
        <v>1901</v>
      </c>
      <c r="O1423" t="s">
        <v>1902</v>
      </c>
      <c r="P1423" t="s">
        <v>69</v>
      </c>
      <c r="Q1423" t="s">
        <v>69</v>
      </c>
      <c r="R1423" t="s">
        <v>8505</v>
      </c>
      <c r="S1423" t="s">
        <v>8506</v>
      </c>
      <c r="T1423" t="s">
        <v>69</v>
      </c>
      <c r="U1423" t="s">
        <v>69</v>
      </c>
      <c r="V1423" t="s">
        <v>69</v>
      </c>
      <c r="W1423" t="s">
        <v>69</v>
      </c>
      <c r="X1423" t="s">
        <v>69</v>
      </c>
      <c r="Y1423" t="s">
        <v>14530</v>
      </c>
      <c r="Z1423" t="s">
        <v>14531</v>
      </c>
      <c r="AA1423" t="s">
        <v>1903</v>
      </c>
      <c r="AB1423" t="s">
        <v>14532</v>
      </c>
      <c r="AC1423" t="s">
        <v>69</v>
      </c>
      <c r="AD1423" t="s">
        <v>14533</v>
      </c>
      <c r="AE1423" t="s">
        <v>14534</v>
      </c>
      <c r="AF1423" t="s">
        <v>1904</v>
      </c>
      <c r="AG1423" t="s">
        <v>1905</v>
      </c>
      <c r="AH1423" t="s">
        <v>14535</v>
      </c>
      <c r="AI1423" t="s">
        <v>14535</v>
      </c>
      <c r="AJ1423" t="s">
        <v>14536</v>
      </c>
      <c r="AK1423" t="s">
        <v>69</v>
      </c>
      <c r="AL1423">
        <v>44</v>
      </c>
      <c r="AM1423">
        <v>4</v>
      </c>
      <c r="AN1423">
        <v>4</v>
      </c>
      <c r="AO1423">
        <v>0</v>
      </c>
      <c r="AP1423">
        <v>7</v>
      </c>
      <c r="AQ1423" t="s">
        <v>9145</v>
      </c>
      <c r="AR1423" t="s">
        <v>8637</v>
      </c>
      <c r="AS1423" t="s">
        <v>9146</v>
      </c>
      <c r="AT1423" t="s">
        <v>1906</v>
      </c>
      <c r="AU1423" t="s">
        <v>69</v>
      </c>
      <c r="AV1423" t="s">
        <v>69</v>
      </c>
      <c r="AW1423" t="s">
        <v>9928</v>
      </c>
      <c r="AX1423" t="s">
        <v>9929</v>
      </c>
      <c r="AY1423" t="s">
        <v>255</v>
      </c>
      <c r="AZ1423">
        <v>2020</v>
      </c>
      <c r="BA1423">
        <v>157</v>
      </c>
      <c r="BB1423" t="s">
        <v>69</v>
      </c>
      <c r="BC1423" t="s">
        <v>69</v>
      </c>
      <c r="BD1423" t="s">
        <v>69</v>
      </c>
      <c r="BE1423" t="s">
        <v>69</v>
      </c>
      <c r="BF1423" t="s">
        <v>69</v>
      </c>
      <c r="BG1423">
        <v>1185</v>
      </c>
      <c r="BH1423">
        <v>1202</v>
      </c>
      <c r="BI1423" t="s">
        <v>69</v>
      </c>
      <c r="BJ1423" t="s">
        <v>1907</v>
      </c>
      <c r="BK1423" t="str">
        <f>HYPERLINK("http://dx.doi.org/10.1016/j.renene.2020.04.157","http://dx.doi.org/10.1016/j.renene.2020.04.157")</f>
        <v>http://dx.doi.org/10.1016/j.renene.2020.04.157</v>
      </c>
      <c r="BL1423" t="s">
        <v>69</v>
      </c>
      <c r="BM1423" t="s">
        <v>69</v>
      </c>
      <c r="BN1423">
        <v>18</v>
      </c>
      <c r="BO1423" t="s">
        <v>9931</v>
      </c>
      <c r="BP1423" t="s">
        <v>8548</v>
      </c>
      <c r="BQ1423" t="s">
        <v>9932</v>
      </c>
      <c r="BR1423" t="s">
        <v>14537</v>
      </c>
      <c r="BS1423" t="s">
        <v>1908</v>
      </c>
      <c r="BT1423" t="s">
        <v>69</v>
      </c>
      <c r="BU1423" t="s">
        <v>10648</v>
      </c>
      <c r="BV1423" t="s">
        <v>69</v>
      </c>
      <c r="BW1423" t="s">
        <v>69</v>
      </c>
      <c r="BX1423" t="s">
        <v>8526</v>
      </c>
      <c r="BY1423" t="str">
        <f>HYPERLINK("https%3A%2F%2Fwww.webofscience.com%2Fwos%2Fwoscc%2Ffull-record%2FWOS:000541747100098","View Full Record in Web of Science")</f>
        <v>View Full Record in Web of Science</v>
      </c>
    </row>
    <row r="1424" spans="1:77" ht="12.5" x14ac:dyDescent="0.25">
      <c r="A1424" t="s">
        <v>8495</v>
      </c>
      <c r="B1424" s="22" t="s">
        <v>32931</v>
      </c>
      <c r="C1424" s="7"/>
      <c r="D1424" s="7"/>
      <c r="E1424" s="7"/>
      <c r="F1424" t="s">
        <v>67</v>
      </c>
      <c r="G1424" t="s">
        <v>29184</v>
      </c>
      <c r="H1424" t="s">
        <v>69</v>
      </c>
      <c r="I1424" t="s">
        <v>69</v>
      </c>
      <c r="J1424" t="s">
        <v>69</v>
      </c>
      <c r="K1424" t="s">
        <v>29185</v>
      </c>
      <c r="L1424" t="s">
        <v>69</v>
      </c>
      <c r="M1424" t="s">
        <v>69</v>
      </c>
      <c r="N1424" t="s">
        <v>29186</v>
      </c>
      <c r="O1424" t="s">
        <v>10959</v>
      </c>
      <c r="P1424" t="s">
        <v>69</v>
      </c>
      <c r="Q1424" t="s">
        <v>69</v>
      </c>
      <c r="R1424" t="s">
        <v>8505</v>
      </c>
      <c r="S1424" t="s">
        <v>8506</v>
      </c>
      <c r="T1424" t="s">
        <v>69</v>
      </c>
      <c r="U1424" t="s">
        <v>69</v>
      </c>
      <c r="V1424" t="s">
        <v>69</v>
      </c>
      <c r="W1424" t="s">
        <v>69</v>
      </c>
      <c r="X1424" t="s">
        <v>69</v>
      </c>
      <c r="Y1424" t="s">
        <v>29187</v>
      </c>
      <c r="Z1424" t="s">
        <v>69</v>
      </c>
      <c r="AA1424" t="s">
        <v>29188</v>
      </c>
      <c r="AB1424" t="s">
        <v>29189</v>
      </c>
      <c r="AC1424" t="s">
        <v>69</v>
      </c>
      <c r="AD1424" t="s">
        <v>29190</v>
      </c>
      <c r="AE1424" t="s">
        <v>69</v>
      </c>
      <c r="AF1424" t="s">
        <v>69</v>
      </c>
      <c r="AG1424" t="s">
        <v>69</v>
      </c>
      <c r="AH1424" t="s">
        <v>69</v>
      </c>
      <c r="AI1424" t="s">
        <v>69</v>
      </c>
      <c r="AJ1424" t="s">
        <v>69</v>
      </c>
      <c r="AK1424" t="s">
        <v>69</v>
      </c>
      <c r="AL1424">
        <v>16</v>
      </c>
      <c r="AM1424">
        <v>0</v>
      </c>
      <c r="AN1424">
        <v>0</v>
      </c>
      <c r="AO1424">
        <v>0</v>
      </c>
      <c r="AP1424">
        <v>0</v>
      </c>
      <c r="AQ1424" t="s">
        <v>10967</v>
      </c>
      <c r="AR1424" t="s">
        <v>10968</v>
      </c>
      <c r="AS1424" t="s">
        <v>10969</v>
      </c>
      <c r="AT1424" t="s">
        <v>10970</v>
      </c>
      <c r="AU1424" t="s">
        <v>69</v>
      </c>
      <c r="AV1424" t="s">
        <v>69</v>
      </c>
      <c r="AW1424" t="s">
        <v>10971</v>
      </c>
      <c r="AX1424" t="s">
        <v>10972</v>
      </c>
      <c r="AY1424" t="s">
        <v>29191</v>
      </c>
      <c r="AZ1424">
        <v>2008</v>
      </c>
      <c r="BA1424">
        <v>8</v>
      </c>
      <c r="BB1424">
        <v>7</v>
      </c>
      <c r="BC1424" t="s">
        <v>69</v>
      </c>
      <c r="BD1424" t="s">
        <v>69</v>
      </c>
      <c r="BE1424" t="s">
        <v>69</v>
      </c>
      <c r="BF1424" t="s">
        <v>69</v>
      </c>
      <c r="BG1424">
        <v>282</v>
      </c>
      <c r="BH1424">
        <v>291</v>
      </c>
      <c r="BI1424" t="s">
        <v>69</v>
      </c>
      <c r="BJ1424" t="s">
        <v>69</v>
      </c>
      <c r="BK1424" t="s">
        <v>69</v>
      </c>
      <c r="BL1424" t="s">
        <v>69</v>
      </c>
      <c r="BM1424" t="s">
        <v>69</v>
      </c>
      <c r="BN1424">
        <v>10</v>
      </c>
      <c r="BO1424" t="s">
        <v>10975</v>
      </c>
      <c r="BP1424" t="s">
        <v>8573</v>
      </c>
      <c r="BQ1424" t="s">
        <v>10976</v>
      </c>
      <c r="BR1424" t="s">
        <v>29192</v>
      </c>
      <c r="BS1424" t="s">
        <v>29193</v>
      </c>
      <c r="BT1424" t="s">
        <v>69</v>
      </c>
      <c r="BU1424" t="s">
        <v>69</v>
      </c>
      <c r="BV1424" t="s">
        <v>69</v>
      </c>
      <c r="BW1424" t="s">
        <v>69</v>
      </c>
      <c r="BX1424" t="s">
        <v>8526</v>
      </c>
      <c r="BY1424" t="str">
        <f>HYPERLINK("https%3A%2F%2Fwww.webofscience.com%2Fwos%2Fwoscc%2Ffull-record%2FWOS:000217154000039","View Full Record in Web of Science")</f>
        <v>View Full Record in Web of Science</v>
      </c>
    </row>
    <row r="1425" spans="1:77" ht="12.5" x14ac:dyDescent="0.25">
      <c r="A1425" t="s">
        <v>8495</v>
      </c>
      <c r="B1425" s="22" t="s">
        <v>32931</v>
      </c>
      <c r="C1425" s="7"/>
      <c r="D1425" s="7"/>
      <c r="E1425" s="7"/>
      <c r="F1425" t="s">
        <v>67</v>
      </c>
      <c r="G1425" t="s">
        <v>32720</v>
      </c>
      <c r="H1425" t="s">
        <v>69</v>
      </c>
      <c r="I1425" t="s">
        <v>69</v>
      </c>
      <c r="J1425" t="s">
        <v>69</v>
      </c>
      <c r="K1425" t="s">
        <v>32720</v>
      </c>
      <c r="L1425" t="s">
        <v>69</v>
      </c>
      <c r="M1425" t="s">
        <v>69</v>
      </c>
      <c r="N1425" t="s">
        <v>32721</v>
      </c>
      <c r="O1425" t="s">
        <v>5077</v>
      </c>
      <c r="P1425" t="s">
        <v>69</v>
      </c>
      <c r="Q1425" t="s">
        <v>69</v>
      </c>
      <c r="R1425" t="s">
        <v>8505</v>
      </c>
      <c r="S1425" t="s">
        <v>8506</v>
      </c>
      <c r="T1425" t="s">
        <v>69</v>
      </c>
      <c r="U1425" t="s">
        <v>69</v>
      </c>
      <c r="V1425" t="s">
        <v>69</v>
      </c>
      <c r="W1425" t="s">
        <v>69</v>
      </c>
      <c r="X1425" t="s">
        <v>69</v>
      </c>
      <c r="Y1425" t="s">
        <v>32722</v>
      </c>
      <c r="Z1425" t="s">
        <v>32723</v>
      </c>
      <c r="AA1425" t="s">
        <v>32724</v>
      </c>
      <c r="AB1425" t="s">
        <v>32725</v>
      </c>
      <c r="AC1425" t="s">
        <v>69</v>
      </c>
      <c r="AD1425" t="s">
        <v>32726</v>
      </c>
      <c r="AE1425" t="s">
        <v>69</v>
      </c>
      <c r="AF1425" t="s">
        <v>32727</v>
      </c>
      <c r="AG1425" t="s">
        <v>69</v>
      </c>
      <c r="AH1425" t="s">
        <v>69</v>
      </c>
      <c r="AI1425" t="s">
        <v>69</v>
      </c>
      <c r="AJ1425" t="s">
        <v>69</v>
      </c>
      <c r="AK1425" t="s">
        <v>69</v>
      </c>
      <c r="AL1425">
        <v>58</v>
      </c>
      <c r="AM1425">
        <v>18</v>
      </c>
      <c r="AN1425">
        <v>20</v>
      </c>
      <c r="AO1425">
        <v>1</v>
      </c>
      <c r="AP1425">
        <v>8</v>
      </c>
      <c r="AQ1425" t="s">
        <v>27795</v>
      </c>
      <c r="AR1425" t="s">
        <v>26039</v>
      </c>
      <c r="AS1425" t="s">
        <v>32728</v>
      </c>
      <c r="AT1425" t="s">
        <v>5081</v>
      </c>
      <c r="AU1425" t="s">
        <v>69</v>
      </c>
      <c r="AV1425" t="s">
        <v>69</v>
      </c>
      <c r="AW1425" t="s">
        <v>32729</v>
      </c>
      <c r="AX1425" t="s">
        <v>32730</v>
      </c>
      <c r="AY1425" t="s">
        <v>274</v>
      </c>
      <c r="AZ1425">
        <v>1993</v>
      </c>
      <c r="BA1425">
        <v>47</v>
      </c>
      <c r="BB1425">
        <v>4</v>
      </c>
      <c r="BC1425" t="s">
        <v>69</v>
      </c>
      <c r="BD1425" t="s">
        <v>69</v>
      </c>
      <c r="BE1425" t="s">
        <v>69</v>
      </c>
      <c r="BF1425" t="s">
        <v>69</v>
      </c>
      <c r="BG1425">
        <v>280</v>
      </c>
      <c r="BH1425">
        <v>292</v>
      </c>
      <c r="BI1425" t="s">
        <v>69</v>
      </c>
      <c r="BJ1425" t="s">
        <v>32731</v>
      </c>
      <c r="BK1425" t="str">
        <f>HYPERLINK("http://dx.doi.org/10.2307/2685288","http://dx.doi.org/10.2307/2685288")</f>
        <v>http://dx.doi.org/10.2307/2685288</v>
      </c>
      <c r="BL1425" t="s">
        <v>69</v>
      </c>
      <c r="BM1425" t="s">
        <v>69</v>
      </c>
      <c r="BN1425">
        <v>13</v>
      </c>
      <c r="BO1425" t="s">
        <v>25853</v>
      </c>
      <c r="BP1425" t="s">
        <v>8548</v>
      </c>
      <c r="BQ1425" t="s">
        <v>25854</v>
      </c>
      <c r="BR1425" t="s">
        <v>32732</v>
      </c>
      <c r="BS1425" t="s">
        <v>32733</v>
      </c>
      <c r="BT1425" t="s">
        <v>69</v>
      </c>
      <c r="BU1425" t="s">
        <v>69</v>
      </c>
      <c r="BV1425" t="s">
        <v>69</v>
      </c>
      <c r="BW1425" t="s">
        <v>69</v>
      </c>
      <c r="BX1425" t="s">
        <v>8526</v>
      </c>
      <c r="BY1425" t="str">
        <f>HYPERLINK("https%3A%2F%2Fwww.webofscience.com%2Fwos%2Fwoscc%2Ffull-record%2FWOS:A1993MD36200008","View Full Record in Web of Science")</f>
        <v>View Full Record in Web of Science</v>
      </c>
    </row>
    <row r="1426" spans="1:77" ht="12.5" x14ac:dyDescent="0.25">
      <c r="A1426" t="s">
        <v>8495</v>
      </c>
      <c r="B1426" s="11" t="s">
        <v>33023</v>
      </c>
      <c r="C1426" s="7"/>
      <c r="D1426" s="7"/>
      <c r="E1426" s="7"/>
      <c r="F1426" t="s">
        <v>67</v>
      </c>
      <c r="G1426" t="s">
        <v>8377</v>
      </c>
      <c r="H1426" t="s">
        <v>69</v>
      </c>
      <c r="I1426" t="s">
        <v>69</v>
      </c>
      <c r="J1426" t="s">
        <v>69</v>
      </c>
      <c r="K1426" s="2" t="s">
        <v>8377</v>
      </c>
      <c r="L1426" t="s">
        <v>69</v>
      </c>
      <c r="M1426" t="s">
        <v>69</v>
      </c>
      <c r="N1426" s="11" t="s">
        <v>8378</v>
      </c>
      <c r="O1426" t="s">
        <v>8379</v>
      </c>
      <c r="P1426" t="s">
        <v>69</v>
      </c>
      <c r="Q1426" t="s">
        <v>69</v>
      </c>
      <c r="R1426" t="s">
        <v>8505</v>
      </c>
      <c r="S1426" t="s">
        <v>8506</v>
      </c>
      <c r="T1426" t="s">
        <v>69</v>
      </c>
      <c r="U1426" t="s">
        <v>69</v>
      </c>
      <c r="V1426" t="s">
        <v>69</v>
      </c>
      <c r="W1426" t="s">
        <v>69</v>
      </c>
      <c r="X1426" t="s">
        <v>69</v>
      </c>
      <c r="Y1426" t="s">
        <v>69</v>
      </c>
      <c r="Z1426" t="s">
        <v>69</v>
      </c>
      <c r="AA1426" t="s">
        <v>8380</v>
      </c>
      <c r="AB1426" t="s">
        <v>32846</v>
      </c>
      <c r="AC1426" t="s">
        <v>69</v>
      </c>
      <c r="AD1426" t="s">
        <v>69</v>
      </c>
      <c r="AE1426" t="s">
        <v>69</v>
      </c>
      <c r="AF1426" t="s">
        <v>69</v>
      </c>
      <c r="AG1426" t="s">
        <v>69</v>
      </c>
      <c r="AH1426" t="s">
        <v>69</v>
      </c>
      <c r="AI1426" t="s">
        <v>69</v>
      </c>
      <c r="AJ1426" t="s">
        <v>69</v>
      </c>
      <c r="AK1426" t="s">
        <v>69</v>
      </c>
      <c r="AL1426">
        <v>19</v>
      </c>
      <c r="AM1426">
        <v>3</v>
      </c>
      <c r="AN1426">
        <v>3</v>
      </c>
      <c r="AO1426">
        <v>0</v>
      </c>
      <c r="AP1426">
        <v>1</v>
      </c>
      <c r="AQ1426" t="s">
        <v>8762</v>
      </c>
      <c r="AR1426" t="s">
        <v>8763</v>
      </c>
      <c r="AS1426" t="s">
        <v>32847</v>
      </c>
      <c r="AT1426" t="s">
        <v>8381</v>
      </c>
      <c r="AU1426" t="s">
        <v>69</v>
      </c>
      <c r="AV1426" t="s">
        <v>69</v>
      </c>
      <c r="AW1426" t="s">
        <v>32848</v>
      </c>
      <c r="AX1426" t="s">
        <v>32849</v>
      </c>
      <c r="AY1426" t="s">
        <v>201</v>
      </c>
      <c r="AZ1426">
        <v>1992</v>
      </c>
      <c r="BA1426">
        <v>22</v>
      </c>
      <c r="BB1426">
        <v>3</v>
      </c>
      <c r="BC1426" t="s">
        <v>69</v>
      </c>
      <c r="BD1426" t="s">
        <v>69</v>
      </c>
      <c r="BE1426" t="s">
        <v>69</v>
      </c>
      <c r="BF1426" t="s">
        <v>69</v>
      </c>
      <c r="BG1426">
        <v>435</v>
      </c>
      <c r="BH1426">
        <v>453</v>
      </c>
      <c r="BI1426" t="s">
        <v>69</v>
      </c>
      <c r="BJ1426" t="s">
        <v>8382</v>
      </c>
      <c r="BK1426" t="str">
        <f>HYPERLINK("http://dx.doi.org/10.1177/0306312792022003001","http://dx.doi.org/10.1177/0306312792022003001")</f>
        <v>http://dx.doi.org/10.1177/0306312792022003001</v>
      </c>
      <c r="BL1426" t="s">
        <v>69</v>
      </c>
      <c r="BM1426" t="s">
        <v>69</v>
      </c>
      <c r="BN1426">
        <v>19</v>
      </c>
      <c r="BO1426" t="s">
        <v>16099</v>
      </c>
      <c r="BP1426" t="s">
        <v>32850</v>
      </c>
      <c r="BQ1426" t="s">
        <v>16101</v>
      </c>
      <c r="BR1426" t="s">
        <v>32851</v>
      </c>
      <c r="BS1426" t="s">
        <v>8383</v>
      </c>
      <c r="BT1426" t="s">
        <v>69</v>
      </c>
      <c r="BU1426" t="s">
        <v>69</v>
      </c>
      <c r="BV1426" t="s">
        <v>69</v>
      </c>
      <c r="BW1426" t="s">
        <v>69</v>
      </c>
      <c r="BX1426" t="s">
        <v>8526</v>
      </c>
      <c r="BY1426" t="str">
        <f>HYPERLINK("https%3A%2F%2Fwww.webofscience.com%2Fwos%2Fwoscc%2Ffull-record%2FWOS:A1992JM92100001","View Full Record in Web of Science")</f>
        <v>View Full Record in Web of Science</v>
      </c>
    </row>
    <row r="1427" spans="1:77" ht="12.5" x14ac:dyDescent="0.25">
      <c r="A1427" t="s">
        <v>8495</v>
      </c>
      <c r="B1427" s="22" t="s">
        <v>32931</v>
      </c>
      <c r="C1427" s="7"/>
      <c r="D1427" s="7"/>
      <c r="E1427" s="7"/>
      <c r="F1427" t="s">
        <v>67</v>
      </c>
      <c r="G1427" t="s">
        <v>22511</v>
      </c>
      <c r="H1427" t="s">
        <v>69</v>
      </c>
      <c r="I1427" t="s">
        <v>69</v>
      </c>
      <c r="J1427" t="s">
        <v>69</v>
      </c>
      <c r="K1427" t="s">
        <v>22512</v>
      </c>
      <c r="L1427" t="s">
        <v>69</v>
      </c>
      <c r="M1427" t="s">
        <v>69</v>
      </c>
      <c r="N1427" t="s">
        <v>22513</v>
      </c>
      <c r="O1427" t="s">
        <v>19128</v>
      </c>
      <c r="P1427" t="s">
        <v>69</v>
      </c>
      <c r="Q1427" t="s">
        <v>69</v>
      </c>
      <c r="R1427" t="s">
        <v>8505</v>
      </c>
      <c r="S1427" t="s">
        <v>8506</v>
      </c>
      <c r="T1427" t="s">
        <v>69</v>
      </c>
      <c r="U1427" t="s">
        <v>69</v>
      </c>
      <c r="V1427" t="s">
        <v>69</v>
      </c>
      <c r="W1427" t="s">
        <v>69</v>
      </c>
      <c r="X1427" t="s">
        <v>69</v>
      </c>
      <c r="Y1427" t="s">
        <v>22514</v>
      </c>
      <c r="Z1427" t="s">
        <v>69</v>
      </c>
      <c r="AA1427" t="s">
        <v>22515</v>
      </c>
      <c r="AB1427" t="s">
        <v>22516</v>
      </c>
      <c r="AC1427" t="s">
        <v>69</v>
      </c>
      <c r="AD1427" t="s">
        <v>22517</v>
      </c>
      <c r="AE1427" t="s">
        <v>22518</v>
      </c>
      <c r="AF1427" t="s">
        <v>69</v>
      </c>
      <c r="AG1427" t="s">
        <v>69</v>
      </c>
      <c r="AH1427" t="s">
        <v>69</v>
      </c>
      <c r="AI1427" t="s">
        <v>69</v>
      </c>
      <c r="AJ1427" t="s">
        <v>69</v>
      </c>
      <c r="AK1427" t="s">
        <v>69</v>
      </c>
      <c r="AL1427">
        <v>40</v>
      </c>
      <c r="AM1427">
        <v>36</v>
      </c>
      <c r="AN1427">
        <v>37</v>
      </c>
      <c r="AO1427">
        <v>0</v>
      </c>
      <c r="AP1427">
        <v>19</v>
      </c>
      <c r="AQ1427" t="s">
        <v>8636</v>
      </c>
      <c r="AR1427" t="s">
        <v>8637</v>
      </c>
      <c r="AS1427" t="s">
        <v>8638</v>
      </c>
      <c r="AT1427" t="s">
        <v>19136</v>
      </c>
      <c r="AU1427" t="s">
        <v>19137</v>
      </c>
      <c r="AV1427" t="s">
        <v>69</v>
      </c>
      <c r="AW1427" t="s">
        <v>19138</v>
      </c>
      <c r="AX1427" t="s">
        <v>19139</v>
      </c>
      <c r="AY1427" t="s">
        <v>5604</v>
      </c>
      <c r="AZ1427">
        <v>2015</v>
      </c>
      <c r="BA1427">
        <v>152</v>
      </c>
      <c r="BB1427" t="s">
        <v>69</v>
      </c>
      <c r="BC1427" t="s">
        <v>69</v>
      </c>
      <c r="BD1427" t="s">
        <v>69</v>
      </c>
      <c r="BE1427" t="s">
        <v>69</v>
      </c>
      <c r="BF1427" t="s">
        <v>69</v>
      </c>
      <c r="BG1427">
        <v>207</v>
      </c>
      <c r="BH1427">
        <v>216</v>
      </c>
      <c r="BI1427" t="s">
        <v>69</v>
      </c>
      <c r="BJ1427" t="s">
        <v>22519</v>
      </c>
      <c r="BK1427" t="str">
        <f>HYPERLINK("http://dx.doi.org/10.1016/j.apenergy.2014.11.063","http://dx.doi.org/10.1016/j.apenergy.2014.11.063")</f>
        <v>http://dx.doi.org/10.1016/j.apenergy.2014.11.063</v>
      </c>
      <c r="BL1427" t="s">
        <v>69</v>
      </c>
      <c r="BM1427" t="s">
        <v>69</v>
      </c>
      <c r="BN1427">
        <v>10</v>
      </c>
      <c r="BO1427" t="s">
        <v>19141</v>
      </c>
      <c r="BP1427" t="s">
        <v>8548</v>
      </c>
      <c r="BQ1427" t="s">
        <v>19142</v>
      </c>
      <c r="BR1427" t="s">
        <v>22520</v>
      </c>
      <c r="BS1427" t="s">
        <v>22521</v>
      </c>
      <c r="BT1427" t="s">
        <v>69</v>
      </c>
      <c r="BU1427" t="s">
        <v>69</v>
      </c>
      <c r="BV1427" t="s">
        <v>69</v>
      </c>
      <c r="BW1427" t="s">
        <v>69</v>
      </c>
      <c r="BX1427" t="s">
        <v>8526</v>
      </c>
      <c r="BY1427" t="str">
        <f>HYPERLINK("https%3A%2F%2Fwww.webofscience.com%2Fwos%2Fwoscc%2Ffull-record%2FWOS:000356745200021","View Full Record in Web of Science")</f>
        <v>View Full Record in Web of Science</v>
      </c>
    </row>
    <row r="1428" spans="1:77" ht="12.5" x14ac:dyDescent="0.25">
      <c r="A1428" t="s">
        <v>8495</v>
      </c>
      <c r="B1428" s="7" t="s">
        <v>32933</v>
      </c>
      <c r="C1428" s="7"/>
      <c r="D1428" s="7"/>
      <c r="E1428" s="7"/>
      <c r="F1428" t="s">
        <v>67</v>
      </c>
      <c r="G1428" t="s">
        <v>4172</v>
      </c>
      <c r="H1428" t="s">
        <v>69</v>
      </c>
      <c r="I1428" t="s">
        <v>69</v>
      </c>
      <c r="J1428" t="s">
        <v>69</v>
      </c>
      <c r="K1428" t="s">
        <v>4172</v>
      </c>
      <c r="L1428" t="s">
        <v>69</v>
      </c>
      <c r="M1428" t="s">
        <v>69</v>
      </c>
      <c r="N1428" t="s">
        <v>4173</v>
      </c>
      <c r="O1428" t="s">
        <v>4174</v>
      </c>
      <c r="P1428" t="s">
        <v>69</v>
      </c>
      <c r="Q1428" t="s">
        <v>69</v>
      </c>
      <c r="R1428" t="s">
        <v>14800</v>
      </c>
      <c r="S1428" t="s">
        <v>8506</v>
      </c>
      <c r="T1428" t="s">
        <v>69</v>
      </c>
      <c r="U1428" t="s">
        <v>69</v>
      </c>
      <c r="V1428" t="s">
        <v>69</v>
      </c>
      <c r="W1428" t="s">
        <v>69</v>
      </c>
      <c r="X1428" t="s">
        <v>69</v>
      </c>
      <c r="Y1428" t="s">
        <v>69</v>
      </c>
      <c r="Z1428" t="s">
        <v>69</v>
      </c>
      <c r="AA1428" t="s">
        <v>4175</v>
      </c>
      <c r="AB1428" t="s">
        <v>32127</v>
      </c>
      <c r="AC1428" t="s">
        <v>69</v>
      </c>
      <c r="AD1428" t="s">
        <v>32128</v>
      </c>
      <c r="AE1428" t="s">
        <v>69</v>
      </c>
      <c r="AF1428" t="s">
        <v>69</v>
      </c>
      <c r="AG1428" t="s">
        <v>69</v>
      </c>
      <c r="AH1428" t="s">
        <v>69</v>
      </c>
      <c r="AI1428" t="s">
        <v>69</v>
      </c>
      <c r="AJ1428" t="s">
        <v>69</v>
      </c>
      <c r="AK1428" t="s">
        <v>69</v>
      </c>
      <c r="AL1428">
        <v>0</v>
      </c>
      <c r="AM1428">
        <v>1</v>
      </c>
      <c r="AN1428">
        <v>1</v>
      </c>
      <c r="AO1428">
        <v>0</v>
      </c>
      <c r="AP1428">
        <v>0</v>
      </c>
      <c r="AQ1428" t="s">
        <v>32129</v>
      </c>
      <c r="AR1428" t="s">
        <v>32130</v>
      </c>
      <c r="AS1428" t="s">
        <v>32131</v>
      </c>
      <c r="AT1428" t="s">
        <v>4176</v>
      </c>
      <c r="AU1428" t="s">
        <v>69</v>
      </c>
      <c r="AV1428" t="s">
        <v>69</v>
      </c>
      <c r="AW1428" t="s">
        <v>20261</v>
      </c>
      <c r="AX1428" t="s">
        <v>20262</v>
      </c>
      <c r="AY1428" t="s">
        <v>69</v>
      </c>
      <c r="AZ1428">
        <v>1998</v>
      </c>
      <c r="BA1428">
        <v>53</v>
      </c>
      <c r="BB1428">
        <v>8</v>
      </c>
      <c r="BC1428" t="s">
        <v>69</v>
      </c>
      <c r="BD1428" t="s">
        <v>69</v>
      </c>
      <c r="BE1428" t="s">
        <v>69</v>
      </c>
      <c r="BF1428" t="s">
        <v>69</v>
      </c>
      <c r="BG1428">
        <v>31</v>
      </c>
      <c r="BH1428">
        <v>33</v>
      </c>
      <c r="BI1428" t="s">
        <v>69</v>
      </c>
      <c r="BJ1428" t="s">
        <v>69</v>
      </c>
      <c r="BK1428" t="s">
        <v>69</v>
      </c>
      <c r="BL1428" t="s">
        <v>69</v>
      </c>
      <c r="BM1428" t="s">
        <v>69</v>
      </c>
      <c r="BN1428">
        <v>3</v>
      </c>
      <c r="BO1428" t="s">
        <v>9096</v>
      </c>
      <c r="BP1428" t="s">
        <v>8548</v>
      </c>
      <c r="BQ1428" t="s">
        <v>9096</v>
      </c>
      <c r="BR1428" t="s">
        <v>32132</v>
      </c>
      <c r="BS1428" t="s">
        <v>4177</v>
      </c>
      <c r="BT1428" t="s">
        <v>69</v>
      </c>
      <c r="BU1428" t="s">
        <v>69</v>
      </c>
      <c r="BV1428" t="s">
        <v>69</v>
      </c>
      <c r="BW1428" t="s">
        <v>69</v>
      </c>
      <c r="BX1428" t="s">
        <v>8526</v>
      </c>
      <c r="BY1428" t="str">
        <f>HYPERLINK("https%3A%2F%2Fwww.webofscience.com%2Fwos%2Fwoscc%2Ffull-record%2FWOS:000077533300005","View Full Record in Web of Science")</f>
        <v>View Full Record in Web of Science</v>
      </c>
    </row>
    <row r="1429" spans="1:77" ht="12.5" x14ac:dyDescent="0.25">
      <c r="A1429" t="s">
        <v>8495</v>
      </c>
      <c r="B1429" s="7" t="s">
        <v>32933</v>
      </c>
      <c r="C1429" s="7"/>
      <c r="D1429" s="7"/>
      <c r="E1429" s="7"/>
      <c r="F1429" t="s">
        <v>67</v>
      </c>
      <c r="G1429" t="s">
        <v>2856</v>
      </c>
      <c r="H1429" t="s">
        <v>69</v>
      </c>
      <c r="I1429" t="s">
        <v>69</v>
      </c>
      <c r="J1429" t="s">
        <v>69</v>
      </c>
      <c r="K1429" t="s">
        <v>2857</v>
      </c>
      <c r="L1429" t="s">
        <v>69</v>
      </c>
      <c r="M1429" t="s">
        <v>69</v>
      </c>
      <c r="N1429" t="s">
        <v>2858</v>
      </c>
      <c r="O1429" t="s">
        <v>2859</v>
      </c>
      <c r="P1429" t="s">
        <v>69</v>
      </c>
      <c r="Q1429" t="s">
        <v>69</v>
      </c>
      <c r="R1429" t="s">
        <v>8505</v>
      </c>
      <c r="S1429" t="s">
        <v>8442</v>
      </c>
      <c r="T1429" t="s">
        <v>69</v>
      </c>
      <c r="U1429" t="s">
        <v>69</v>
      </c>
      <c r="V1429" t="s">
        <v>69</v>
      </c>
      <c r="W1429" t="s">
        <v>69</v>
      </c>
      <c r="X1429" t="s">
        <v>69</v>
      </c>
      <c r="Y1429" t="s">
        <v>21654</v>
      </c>
      <c r="Z1429" t="s">
        <v>21655</v>
      </c>
      <c r="AA1429" t="s">
        <v>2860</v>
      </c>
      <c r="AB1429" t="s">
        <v>21656</v>
      </c>
      <c r="AC1429" t="s">
        <v>69</v>
      </c>
      <c r="AD1429" t="s">
        <v>21657</v>
      </c>
      <c r="AE1429" t="s">
        <v>21658</v>
      </c>
      <c r="AF1429" t="s">
        <v>69</v>
      </c>
      <c r="AG1429" t="s">
        <v>21659</v>
      </c>
      <c r="AH1429" t="s">
        <v>21660</v>
      </c>
      <c r="AI1429" t="s">
        <v>21661</v>
      </c>
      <c r="AJ1429" t="s">
        <v>21662</v>
      </c>
      <c r="AK1429" t="s">
        <v>69</v>
      </c>
      <c r="AL1429">
        <v>12</v>
      </c>
      <c r="AM1429">
        <v>3</v>
      </c>
      <c r="AN1429">
        <v>3</v>
      </c>
      <c r="AO1429">
        <v>0</v>
      </c>
      <c r="AP1429">
        <v>1</v>
      </c>
      <c r="AQ1429" t="s">
        <v>18749</v>
      </c>
      <c r="AR1429" t="s">
        <v>8763</v>
      </c>
      <c r="AS1429" t="s">
        <v>18750</v>
      </c>
      <c r="AT1429" t="s">
        <v>2861</v>
      </c>
      <c r="AU1429" t="s">
        <v>69</v>
      </c>
      <c r="AV1429" t="s">
        <v>69</v>
      </c>
      <c r="AW1429" t="s">
        <v>21663</v>
      </c>
      <c r="AX1429" t="s">
        <v>21664</v>
      </c>
      <c r="AY1429" t="s">
        <v>2862</v>
      </c>
      <c r="AZ1429">
        <v>2016</v>
      </c>
      <c r="BA1429">
        <v>17</v>
      </c>
      <c r="BB1429" t="s">
        <v>69</v>
      </c>
      <c r="BC1429" t="s">
        <v>69</v>
      </c>
      <c r="BD1429" t="s">
        <v>69</v>
      </c>
      <c r="BE1429" t="s">
        <v>69</v>
      </c>
      <c r="BF1429" t="s">
        <v>69</v>
      </c>
      <c r="BG1429" t="s">
        <v>69</v>
      </c>
      <c r="BH1429" t="s">
        <v>69</v>
      </c>
      <c r="BI1429">
        <v>27</v>
      </c>
      <c r="BJ1429" t="s">
        <v>2863</v>
      </c>
      <c r="BK1429" t="str">
        <f>HYPERLINK("http://dx.doi.org/10.1186/s12910-016-0110-8","http://dx.doi.org/10.1186/s12910-016-0110-8")</f>
        <v>http://dx.doi.org/10.1186/s12910-016-0110-8</v>
      </c>
      <c r="BL1429" t="s">
        <v>69</v>
      </c>
      <c r="BM1429" t="s">
        <v>69</v>
      </c>
      <c r="BN1429">
        <v>10</v>
      </c>
      <c r="BO1429" t="s">
        <v>21665</v>
      </c>
      <c r="BP1429" t="s">
        <v>8523</v>
      </c>
      <c r="BQ1429" t="s">
        <v>21666</v>
      </c>
      <c r="BR1429" t="s">
        <v>21667</v>
      </c>
      <c r="BS1429" t="s">
        <v>2864</v>
      </c>
      <c r="BT1429">
        <v>27178053</v>
      </c>
      <c r="BU1429" t="s">
        <v>9352</v>
      </c>
      <c r="BV1429" t="s">
        <v>69</v>
      </c>
      <c r="BW1429" t="s">
        <v>69</v>
      </c>
      <c r="BX1429" t="s">
        <v>8526</v>
      </c>
      <c r="BY1429" t="str">
        <f>HYPERLINK("https%3A%2F%2Fwww.webofscience.com%2Fwos%2Fwoscc%2Ffull-record%2FWOS:000376361000001","View Full Record in Web of Science")</f>
        <v>View Full Record in Web of Science</v>
      </c>
    </row>
    <row r="1430" spans="1:77" ht="12.5" x14ac:dyDescent="0.25">
      <c r="A1430" t="s">
        <v>8495</v>
      </c>
      <c r="B1430" s="7" t="s">
        <v>32933</v>
      </c>
      <c r="C1430" s="7"/>
      <c r="D1430" s="7"/>
      <c r="E1430" s="7"/>
      <c r="F1430" t="s">
        <v>67</v>
      </c>
      <c r="G1430" t="s">
        <v>3263</v>
      </c>
      <c r="H1430" t="s">
        <v>69</v>
      </c>
      <c r="I1430" t="s">
        <v>69</v>
      </c>
      <c r="J1430" t="s">
        <v>69</v>
      </c>
      <c r="K1430" t="s">
        <v>3264</v>
      </c>
      <c r="L1430" t="s">
        <v>69</v>
      </c>
      <c r="M1430" t="s">
        <v>69</v>
      </c>
      <c r="N1430" t="s">
        <v>3265</v>
      </c>
      <c r="O1430" t="s">
        <v>3266</v>
      </c>
      <c r="P1430" t="s">
        <v>69</v>
      </c>
      <c r="Q1430" t="s">
        <v>69</v>
      </c>
      <c r="R1430" t="s">
        <v>8505</v>
      </c>
      <c r="S1430" t="s">
        <v>8506</v>
      </c>
      <c r="T1430" t="s">
        <v>69</v>
      </c>
      <c r="U1430" t="s">
        <v>69</v>
      </c>
      <c r="V1430" t="s">
        <v>69</v>
      </c>
      <c r="W1430" t="s">
        <v>69</v>
      </c>
      <c r="X1430" t="s">
        <v>69</v>
      </c>
      <c r="Y1430" t="s">
        <v>69</v>
      </c>
      <c r="Z1430" t="s">
        <v>24518</v>
      </c>
      <c r="AA1430" t="s">
        <v>3267</v>
      </c>
      <c r="AB1430" t="s">
        <v>24519</v>
      </c>
      <c r="AC1430" t="s">
        <v>69</v>
      </c>
      <c r="AD1430" t="s">
        <v>24520</v>
      </c>
      <c r="AE1430" t="s">
        <v>24521</v>
      </c>
      <c r="AF1430" t="s">
        <v>69</v>
      </c>
      <c r="AG1430" t="s">
        <v>69</v>
      </c>
      <c r="AH1430" t="s">
        <v>69</v>
      </c>
      <c r="AI1430" t="s">
        <v>69</v>
      </c>
      <c r="AJ1430" t="s">
        <v>69</v>
      </c>
      <c r="AK1430" t="s">
        <v>69</v>
      </c>
      <c r="AL1430">
        <v>44</v>
      </c>
      <c r="AM1430">
        <v>15</v>
      </c>
      <c r="AN1430">
        <v>15</v>
      </c>
      <c r="AO1430">
        <v>3</v>
      </c>
      <c r="AP1430">
        <v>11</v>
      </c>
      <c r="AQ1430" t="s">
        <v>18730</v>
      </c>
      <c r="AR1430" t="s">
        <v>18731</v>
      </c>
      <c r="AS1430" t="s">
        <v>18732</v>
      </c>
      <c r="AT1430" t="s">
        <v>3268</v>
      </c>
      <c r="AU1430" t="s">
        <v>3269</v>
      </c>
      <c r="AV1430" t="s">
        <v>69</v>
      </c>
      <c r="AW1430" t="s">
        <v>24522</v>
      </c>
      <c r="AX1430" t="s">
        <v>24523</v>
      </c>
      <c r="AY1430" t="s">
        <v>75</v>
      </c>
      <c r="AZ1430">
        <v>2013</v>
      </c>
      <c r="BA1430">
        <v>44</v>
      </c>
      <c r="BB1430">
        <v>4</v>
      </c>
      <c r="BC1430" t="s">
        <v>69</v>
      </c>
      <c r="BD1430" t="s">
        <v>69</v>
      </c>
      <c r="BE1430" t="s">
        <v>69</v>
      </c>
      <c r="BF1430" t="s">
        <v>69</v>
      </c>
      <c r="BG1430">
        <v>13</v>
      </c>
      <c r="BH1430">
        <v>24</v>
      </c>
      <c r="BI1430" t="s">
        <v>69</v>
      </c>
      <c r="BJ1430" t="s">
        <v>24524</v>
      </c>
      <c r="BK1430" t="str">
        <f>HYPERLINK("http://dx.doi.org/10.4102/sajbm.v44i4.165","http://dx.doi.org/10.4102/sajbm.v44i4.165")</f>
        <v>http://dx.doi.org/10.4102/sajbm.v44i4.165</v>
      </c>
      <c r="BL1430" t="s">
        <v>69</v>
      </c>
      <c r="BM1430" t="s">
        <v>69</v>
      </c>
      <c r="BN1430">
        <v>12</v>
      </c>
      <c r="BO1430" t="s">
        <v>8791</v>
      </c>
      <c r="BP1430" t="s">
        <v>8661</v>
      </c>
      <c r="BQ1430" t="s">
        <v>8594</v>
      </c>
      <c r="BR1430" t="s">
        <v>24525</v>
      </c>
      <c r="BS1430" t="s">
        <v>3270</v>
      </c>
      <c r="BT1430" t="s">
        <v>69</v>
      </c>
      <c r="BU1430" t="s">
        <v>12220</v>
      </c>
      <c r="BV1430" t="s">
        <v>69</v>
      </c>
      <c r="BW1430" t="s">
        <v>69</v>
      </c>
      <c r="BX1430" t="s">
        <v>8526</v>
      </c>
      <c r="BY1430" t="str">
        <f>HYPERLINK("https%3A%2F%2Fwww.webofscience.com%2Fwos%2Fwoscc%2Ffull-record%2FWOS:000341170600002","View Full Record in Web of Science")</f>
        <v>View Full Record in Web of Science</v>
      </c>
    </row>
    <row r="1431" spans="1:77" ht="12.5" x14ac:dyDescent="0.25">
      <c r="A1431" t="s">
        <v>8495</v>
      </c>
      <c r="B1431" s="22" t="s">
        <v>32931</v>
      </c>
      <c r="C1431" s="7"/>
      <c r="D1431" s="7"/>
      <c r="E1431" s="7"/>
      <c r="F1431" t="s">
        <v>67</v>
      </c>
      <c r="G1431" t="s">
        <v>24138</v>
      </c>
      <c r="H1431" t="s">
        <v>69</v>
      </c>
      <c r="I1431" t="s">
        <v>69</v>
      </c>
      <c r="J1431" t="s">
        <v>69</v>
      </c>
      <c r="K1431" t="s">
        <v>24139</v>
      </c>
      <c r="L1431" t="s">
        <v>69</v>
      </c>
      <c r="M1431" t="s">
        <v>69</v>
      </c>
      <c r="N1431" t="s">
        <v>24140</v>
      </c>
      <c r="O1431" t="s">
        <v>4899</v>
      </c>
      <c r="P1431" t="s">
        <v>69</v>
      </c>
      <c r="Q1431" t="s">
        <v>69</v>
      </c>
      <c r="R1431" t="s">
        <v>8505</v>
      </c>
      <c r="S1431" t="s">
        <v>8506</v>
      </c>
      <c r="T1431" t="s">
        <v>69</v>
      </c>
      <c r="U1431" t="s">
        <v>69</v>
      </c>
      <c r="V1431" t="s">
        <v>69</v>
      </c>
      <c r="W1431" t="s">
        <v>69</v>
      </c>
      <c r="X1431" t="s">
        <v>69</v>
      </c>
      <c r="Y1431" t="s">
        <v>24141</v>
      </c>
      <c r="Z1431" t="s">
        <v>24142</v>
      </c>
      <c r="AA1431" t="s">
        <v>24143</v>
      </c>
      <c r="AB1431" t="s">
        <v>24144</v>
      </c>
      <c r="AC1431" t="s">
        <v>69</v>
      </c>
      <c r="AD1431" t="s">
        <v>24145</v>
      </c>
      <c r="AE1431" t="s">
        <v>24146</v>
      </c>
      <c r="AF1431" t="s">
        <v>69</v>
      </c>
      <c r="AG1431" t="s">
        <v>69</v>
      </c>
      <c r="AH1431" t="s">
        <v>24147</v>
      </c>
      <c r="AI1431" t="s">
        <v>24148</v>
      </c>
      <c r="AJ1431" t="s">
        <v>24149</v>
      </c>
      <c r="AK1431" t="s">
        <v>69</v>
      </c>
      <c r="AL1431">
        <v>59</v>
      </c>
      <c r="AM1431">
        <v>5</v>
      </c>
      <c r="AN1431">
        <v>6</v>
      </c>
      <c r="AO1431">
        <v>0</v>
      </c>
      <c r="AP1431">
        <v>0</v>
      </c>
      <c r="AQ1431" t="s">
        <v>9203</v>
      </c>
      <c r="AR1431" t="s">
        <v>8763</v>
      </c>
      <c r="AS1431" t="s">
        <v>9204</v>
      </c>
      <c r="AT1431" t="s">
        <v>4901</v>
      </c>
      <c r="AU1431" t="s">
        <v>69</v>
      </c>
      <c r="AV1431" t="s">
        <v>69</v>
      </c>
      <c r="AW1431" t="s">
        <v>19911</v>
      </c>
      <c r="AX1431" t="s">
        <v>19912</v>
      </c>
      <c r="AY1431" t="s">
        <v>69</v>
      </c>
      <c r="AZ1431">
        <v>2014</v>
      </c>
      <c r="BA1431">
        <v>4</v>
      </c>
      <c r="BB1431" t="s">
        <v>69</v>
      </c>
      <c r="BC1431" t="s">
        <v>69</v>
      </c>
      <c r="BD1431" t="s">
        <v>69</v>
      </c>
      <c r="BE1431" t="s">
        <v>69</v>
      </c>
      <c r="BF1431" t="s">
        <v>69</v>
      </c>
      <c r="BG1431" t="s">
        <v>69</v>
      </c>
      <c r="BH1431" t="s">
        <v>69</v>
      </c>
      <c r="BI1431">
        <v>26</v>
      </c>
      <c r="BJ1431" t="s">
        <v>24150</v>
      </c>
      <c r="BK1431" t="str">
        <f>HYPERLINK("http://dx.doi.org/10.1186/s13705-014-0026-4","http://dx.doi.org/10.1186/s13705-014-0026-4")</f>
        <v>http://dx.doi.org/10.1186/s13705-014-0026-4</v>
      </c>
      <c r="BL1431" t="s">
        <v>69</v>
      </c>
      <c r="BM1431" t="s">
        <v>69</v>
      </c>
      <c r="BN1431">
        <v>14</v>
      </c>
      <c r="BO1431" t="s">
        <v>9931</v>
      </c>
      <c r="BP1431" t="s">
        <v>8573</v>
      </c>
      <c r="BQ1431" t="s">
        <v>9932</v>
      </c>
      <c r="BR1431" t="s">
        <v>24151</v>
      </c>
      <c r="BS1431" t="s">
        <v>24152</v>
      </c>
      <c r="BT1431" t="s">
        <v>69</v>
      </c>
      <c r="BU1431" t="s">
        <v>8931</v>
      </c>
      <c r="BV1431" t="s">
        <v>69</v>
      </c>
      <c r="BW1431" t="s">
        <v>69</v>
      </c>
      <c r="BX1431" t="s">
        <v>8526</v>
      </c>
      <c r="BY1431" t="str">
        <f>HYPERLINK("https%3A%2F%2Fwww.webofscience.com%2Fwos%2Fwoscc%2Ffull-record%2FWOS:000215299800025","View Full Record in Web of Science")</f>
        <v>View Full Record in Web of Science</v>
      </c>
    </row>
    <row r="1432" spans="1:77" ht="12.5" x14ac:dyDescent="0.25">
      <c r="A1432" t="s">
        <v>8495</v>
      </c>
      <c r="B1432" s="7" t="s">
        <v>32933</v>
      </c>
      <c r="C1432" s="7"/>
      <c r="D1432" s="7"/>
      <c r="E1432" s="7"/>
      <c r="F1432" t="s">
        <v>67</v>
      </c>
      <c r="G1432" t="s">
        <v>2147</v>
      </c>
      <c r="H1432" t="s">
        <v>69</v>
      </c>
      <c r="I1432" t="s">
        <v>69</v>
      </c>
      <c r="J1432" t="s">
        <v>69</v>
      </c>
      <c r="K1432" t="s">
        <v>2148</v>
      </c>
      <c r="L1432" t="s">
        <v>69</v>
      </c>
      <c r="M1432" t="s">
        <v>69</v>
      </c>
      <c r="N1432" t="s">
        <v>2149</v>
      </c>
      <c r="O1432" t="s">
        <v>2150</v>
      </c>
      <c r="P1432" t="s">
        <v>69</v>
      </c>
      <c r="Q1432" t="s">
        <v>69</v>
      </c>
      <c r="R1432" t="s">
        <v>8505</v>
      </c>
      <c r="S1432" t="s">
        <v>8506</v>
      </c>
      <c r="T1432" t="s">
        <v>69</v>
      </c>
      <c r="U1432" t="s">
        <v>69</v>
      </c>
      <c r="V1432" t="s">
        <v>69</v>
      </c>
      <c r="W1432" t="s">
        <v>69</v>
      </c>
      <c r="X1432" t="s">
        <v>69</v>
      </c>
      <c r="Y1432" t="s">
        <v>16782</v>
      </c>
      <c r="Z1432" t="s">
        <v>16783</v>
      </c>
      <c r="AA1432" t="s">
        <v>2151</v>
      </c>
      <c r="AB1432" t="s">
        <v>16784</v>
      </c>
      <c r="AC1432" t="s">
        <v>69</v>
      </c>
      <c r="AD1432" t="s">
        <v>16785</v>
      </c>
      <c r="AE1432" t="s">
        <v>16786</v>
      </c>
      <c r="AF1432" t="s">
        <v>2152</v>
      </c>
      <c r="AG1432" t="s">
        <v>2153</v>
      </c>
      <c r="AH1432" t="s">
        <v>16787</v>
      </c>
      <c r="AI1432" t="s">
        <v>16788</v>
      </c>
      <c r="AJ1432" t="s">
        <v>16789</v>
      </c>
      <c r="AK1432" t="s">
        <v>69</v>
      </c>
      <c r="AL1432">
        <v>48</v>
      </c>
      <c r="AM1432">
        <v>5</v>
      </c>
      <c r="AN1432">
        <v>5</v>
      </c>
      <c r="AO1432">
        <v>2</v>
      </c>
      <c r="AP1432">
        <v>5</v>
      </c>
      <c r="AQ1432" t="s">
        <v>8924</v>
      </c>
      <c r="AR1432" t="s">
        <v>8925</v>
      </c>
      <c r="AS1432" t="s">
        <v>8926</v>
      </c>
      <c r="AT1432" t="s">
        <v>69</v>
      </c>
      <c r="AU1432" t="s">
        <v>2154</v>
      </c>
      <c r="AV1432" t="s">
        <v>69</v>
      </c>
      <c r="AW1432" t="s">
        <v>16790</v>
      </c>
      <c r="AX1432" t="s">
        <v>16791</v>
      </c>
      <c r="AY1432" t="s">
        <v>255</v>
      </c>
      <c r="AZ1432">
        <v>2019</v>
      </c>
      <c r="BA1432">
        <v>9</v>
      </c>
      <c r="BB1432">
        <v>3</v>
      </c>
      <c r="BC1432" t="s">
        <v>69</v>
      </c>
      <c r="BD1432" t="s">
        <v>69</v>
      </c>
      <c r="BE1432" t="s">
        <v>69</v>
      </c>
      <c r="BF1432" t="s">
        <v>69</v>
      </c>
      <c r="BG1432" t="s">
        <v>69</v>
      </c>
      <c r="BH1432" t="s">
        <v>69</v>
      </c>
      <c r="BI1432">
        <v>52</v>
      </c>
      <c r="BJ1432" t="s">
        <v>2155</v>
      </c>
      <c r="BK1432" t="str">
        <f>HYPERLINK("http://dx.doi.org/10.3390/admsci9030052","http://dx.doi.org/10.3390/admsci9030052")</f>
        <v>http://dx.doi.org/10.3390/admsci9030052</v>
      </c>
      <c r="BL1432" t="s">
        <v>69</v>
      </c>
      <c r="BM1432" t="s">
        <v>69</v>
      </c>
      <c r="BN1432">
        <v>16</v>
      </c>
      <c r="BO1432" t="s">
        <v>9410</v>
      </c>
      <c r="BP1432" t="s">
        <v>8573</v>
      </c>
      <c r="BQ1432" t="s">
        <v>8594</v>
      </c>
      <c r="BR1432" t="s">
        <v>16792</v>
      </c>
      <c r="BS1432" t="s">
        <v>2156</v>
      </c>
      <c r="BT1432" t="s">
        <v>69</v>
      </c>
      <c r="BU1432" t="s">
        <v>16793</v>
      </c>
      <c r="BV1432" t="s">
        <v>69</v>
      </c>
      <c r="BW1432" t="s">
        <v>69</v>
      </c>
      <c r="BX1432" t="s">
        <v>8526</v>
      </c>
      <c r="BY1432" t="str">
        <f>HYPERLINK("https%3A%2F%2Fwww.webofscience.com%2Fwos%2Fwoscc%2Ffull-record%2FWOS:000487987200020","View Full Record in Web of Science")</f>
        <v>View Full Record in Web of Science</v>
      </c>
    </row>
    <row r="1433" spans="1:77" ht="12.5" x14ac:dyDescent="0.25">
      <c r="A1433" t="s">
        <v>8495</v>
      </c>
      <c r="B1433" s="22" t="s">
        <v>32931</v>
      </c>
      <c r="C1433" s="7"/>
      <c r="D1433" s="7"/>
      <c r="E1433" s="7"/>
      <c r="F1433" t="s">
        <v>67</v>
      </c>
      <c r="G1433" t="s">
        <v>14934</v>
      </c>
      <c r="H1433" t="s">
        <v>69</v>
      </c>
      <c r="I1433" t="s">
        <v>69</v>
      </c>
      <c r="J1433" t="s">
        <v>69</v>
      </c>
      <c r="K1433" t="s">
        <v>14935</v>
      </c>
      <c r="L1433" t="s">
        <v>69</v>
      </c>
      <c r="M1433" t="s">
        <v>69</v>
      </c>
      <c r="N1433" t="s">
        <v>14936</v>
      </c>
      <c r="O1433" t="s">
        <v>14937</v>
      </c>
      <c r="P1433" t="s">
        <v>69</v>
      </c>
      <c r="Q1433" t="s">
        <v>69</v>
      </c>
      <c r="R1433" t="s">
        <v>8505</v>
      </c>
      <c r="S1433" t="s">
        <v>8506</v>
      </c>
      <c r="T1433" t="s">
        <v>69</v>
      </c>
      <c r="U1433" t="s">
        <v>69</v>
      </c>
      <c r="V1433" t="s">
        <v>69</v>
      </c>
      <c r="W1433" t="s">
        <v>69</v>
      </c>
      <c r="X1433" t="s">
        <v>69</v>
      </c>
      <c r="Y1433" t="s">
        <v>14938</v>
      </c>
      <c r="Z1433" t="s">
        <v>14939</v>
      </c>
      <c r="AA1433" t="s">
        <v>14940</v>
      </c>
      <c r="AB1433" t="s">
        <v>14941</v>
      </c>
      <c r="AC1433" t="s">
        <v>69</v>
      </c>
      <c r="AD1433" t="s">
        <v>14942</v>
      </c>
      <c r="AE1433" t="s">
        <v>14943</v>
      </c>
      <c r="AF1433" t="s">
        <v>14944</v>
      </c>
      <c r="AG1433" t="s">
        <v>14945</v>
      </c>
      <c r="AH1433" t="s">
        <v>69</v>
      </c>
      <c r="AI1433" t="s">
        <v>69</v>
      </c>
      <c r="AJ1433" t="s">
        <v>69</v>
      </c>
      <c r="AK1433" t="s">
        <v>69</v>
      </c>
      <c r="AL1433">
        <v>45</v>
      </c>
      <c r="AM1433">
        <v>2</v>
      </c>
      <c r="AN1433">
        <v>2</v>
      </c>
      <c r="AO1433">
        <v>4</v>
      </c>
      <c r="AP1433">
        <v>9</v>
      </c>
      <c r="AQ1433" t="s">
        <v>8611</v>
      </c>
      <c r="AR1433" t="s">
        <v>8612</v>
      </c>
      <c r="AS1433" t="s">
        <v>8613</v>
      </c>
      <c r="AT1433" t="s">
        <v>14946</v>
      </c>
      <c r="AU1433" t="s">
        <v>14947</v>
      </c>
      <c r="AV1433" t="s">
        <v>69</v>
      </c>
      <c r="AW1433" t="s">
        <v>14948</v>
      </c>
      <c r="AX1433" t="s">
        <v>14949</v>
      </c>
      <c r="AY1433" t="s">
        <v>14950</v>
      </c>
      <c r="AZ1433">
        <v>2020</v>
      </c>
      <c r="BA1433">
        <v>39</v>
      </c>
      <c r="BB1433">
        <v>10</v>
      </c>
      <c r="BC1433" t="s">
        <v>69</v>
      </c>
      <c r="BD1433" t="s">
        <v>69</v>
      </c>
      <c r="BE1433" t="s">
        <v>69</v>
      </c>
      <c r="BF1433" t="s">
        <v>69</v>
      </c>
      <c r="BG1433">
        <v>951</v>
      </c>
      <c r="BH1433">
        <v>963</v>
      </c>
      <c r="BI1433" t="s">
        <v>69</v>
      </c>
      <c r="BJ1433" t="s">
        <v>14951</v>
      </c>
      <c r="BK1433" t="str">
        <f>HYPERLINK("http://dx.doi.org/10.1080/14786451.2020.1781852","http://dx.doi.org/10.1080/14786451.2020.1781852")</f>
        <v>http://dx.doi.org/10.1080/14786451.2020.1781852</v>
      </c>
      <c r="BL1433" t="s">
        <v>69</v>
      </c>
      <c r="BM1433" t="s">
        <v>4582</v>
      </c>
      <c r="BN1433">
        <v>13</v>
      </c>
      <c r="BO1433" t="s">
        <v>9164</v>
      </c>
      <c r="BP1433" t="s">
        <v>8573</v>
      </c>
      <c r="BQ1433" t="s">
        <v>9164</v>
      </c>
      <c r="BR1433" t="s">
        <v>14952</v>
      </c>
      <c r="BS1433" t="s">
        <v>14953</v>
      </c>
      <c r="BT1433" t="s">
        <v>69</v>
      </c>
      <c r="BU1433" t="s">
        <v>10363</v>
      </c>
      <c r="BV1433" t="s">
        <v>69</v>
      </c>
      <c r="BW1433" t="s">
        <v>69</v>
      </c>
      <c r="BX1433" t="s">
        <v>8526</v>
      </c>
      <c r="BY1433" t="str">
        <f>HYPERLINK("https%3A%2F%2Fwww.webofscience.com%2Fwos%2Fwoscc%2Ffull-record%2FWOS:000547979600001","View Full Record in Web of Science")</f>
        <v>View Full Record in Web of Science</v>
      </c>
    </row>
    <row r="1434" spans="1:77" ht="12.5" x14ac:dyDescent="0.25">
      <c r="A1434" t="s">
        <v>8495</v>
      </c>
      <c r="B1434" s="7" t="s">
        <v>32933</v>
      </c>
      <c r="C1434" s="7"/>
      <c r="D1434" s="7"/>
      <c r="E1434" s="7"/>
      <c r="F1434" t="s">
        <v>67</v>
      </c>
      <c r="G1434" t="s">
        <v>6907</v>
      </c>
      <c r="H1434" t="s">
        <v>69</v>
      </c>
      <c r="I1434" t="s">
        <v>69</v>
      </c>
      <c r="J1434" t="s">
        <v>69</v>
      </c>
      <c r="K1434" t="s">
        <v>6908</v>
      </c>
      <c r="L1434" t="s">
        <v>69</v>
      </c>
      <c r="M1434" t="s">
        <v>69</v>
      </c>
      <c r="N1434" t="s">
        <v>6909</v>
      </c>
      <c r="O1434" t="s">
        <v>6910</v>
      </c>
      <c r="P1434" t="s">
        <v>69</v>
      </c>
      <c r="Q1434" t="s">
        <v>69</v>
      </c>
      <c r="R1434" t="s">
        <v>8505</v>
      </c>
      <c r="S1434" t="s">
        <v>8506</v>
      </c>
      <c r="T1434" t="s">
        <v>69</v>
      </c>
      <c r="U1434" t="s">
        <v>69</v>
      </c>
      <c r="V1434" t="s">
        <v>69</v>
      </c>
      <c r="W1434" t="s">
        <v>69</v>
      </c>
      <c r="X1434" t="s">
        <v>69</v>
      </c>
      <c r="Y1434" t="s">
        <v>17699</v>
      </c>
      <c r="Z1434" t="s">
        <v>17700</v>
      </c>
      <c r="AA1434" t="s">
        <v>6911</v>
      </c>
      <c r="AB1434" t="s">
        <v>17701</v>
      </c>
      <c r="AC1434" t="s">
        <v>69</v>
      </c>
      <c r="AD1434" t="s">
        <v>17702</v>
      </c>
      <c r="AE1434" t="s">
        <v>17703</v>
      </c>
      <c r="AF1434" t="s">
        <v>17704</v>
      </c>
      <c r="AG1434" t="s">
        <v>17705</v>
      </c>
      <c r="AH1434" t="s">
        <v>69</v>
      </c>
      <c r="AI1434" t="s">
        <v>69</v>
      </c>
      <c r="AJ1434" t="s">
        <v>69</v>
      </c>
      <c r="AK1434" t="s">
        <v>69</v>
      </c>
      <c r="AL1434">
        <v>32</v>
      </c>
      <c r="AM1434">
        <v>2</v>
      </c>
      <c r="AN1434">
        <v>2</v>
      </c>
      <c r="AO1434">
        <v>3</v>
      </c>
      <c r="AP1434">
        <v>15</v>
      </c>
      <c r="AQ1434" t="s">
        <v>17706</v>
      </c>
      <c r="AR1434" t="s">
        <v>17707</v>
      </c>
      <c r="AS1434" t="s">
        <v>17708</v>
      </c>
      <c r="AT1434" t="s">
        <v>6912</v>
      </c>
      <c r="AU1434" t="s">
        <v>6913</v>
      </c>
      <c r="AV1434" t="s">
        <v>69</v>
      </c>
      <c r="AW1434" t="s">
        <v>17709</v>
      </c>
      <c r="AX1434" t="s">
        <v>17710</v>
      </c>
      <c r="AY1434" t="s">
        <v>69</v>
      </c>
      <c r="AZ1434">
        <v>2019</v>
      </c>
      <c r="BA1434">
        <v>16</v>
      </c>
      <c r="BB1434">
        <v>3</v>
      </c>
      <c r="BC1434" t="s">
        <v>69</v>
      </c>
      <c r="BD1434" t="s">
        <v>69</v>
      </c>
      <c r="BE1434" t="s">
        <v>69</v>
      </c>
      <c r="BF1434" t="s">
        <v>69</v>
      </c>
      <c r="BG1434" t="s">
        <v>69</v>
      </c>
      <c r="BH1434" t="s">
        <v>69</v>
      </c>
      <c r="BI1434" t="s">
        <v>6914</v>
      </c>
      <c r="BJ1434" t="s">
        <v>6915</v>
      </c>
      <c r="BK1434" t="str">
        <f>HYPERLINK("http://dx.doi.org/10.2427/13128","http://dx.doi.org/10.2427/13128")</f>
        <v>http://dx.doi.org/10.2427/13128</v>
      </c>
      <c r="BL1434" t="s">
        <v>69</v>
      </c>
      <c r="BM1434" t="s">
        <v>69</v>
      </c>
      <c r="BN1434">
        <v>6</v>
      </c>
      <c r="BO1434" t="s">
        <v>8810</v>
      </c>
      <c r="BP1434" t="s">
        <v>8573</v>
      </c>
      <c r="BQ1434" t="s">
        <v>8810</v>
      </c>
      <c r="BR1434" t="s">
        <v>17711</v>
      </c>
      <c r="BS1434" t="s">
        <v>6916</v>
      </c>
      <c r="BT1434" t="s">
        <v>69</v>
      </c>
      <c r="BU1434" t="s">
        <v>69</v>
      </c>
      <c r="BV1434" t="s">
        <v>69</v>
      </c>
      <c r="BW1434" t="s">
        <v>69</v>
      </c>
      <c r="BX1434" t="s">
        <v>8526</v>
      </c>
      <c r="BY1434" t="str">
        <f>HYPERLINK("https%3A%2F%2Fwww.webofscience.com%2Fwos%2Fwoscc%2Ffull-record%2FWOS:000487278800007","View Full Record in Web of Science")</f>
        <v>View Full Record in Web of Science</v>
      </c>
    </row>
    <row r="1435" spans="1:77" ht="12.5" x14ac:dyDescent="0.25">
      <c r="A1435" t="s">
        <v>8495</v>
      </c>
      <c r="B1435" s="7" t="s">
        <v>32933</v>
      </c>
      <c r="C1435" s="7"/>
      <c r="D1435" s="7"/>
      <c r="E1435" s="7"/>
      <c r="F1435" t="s">
        <v>67</v>
      </c>
      <c r="G1435" t="s">
        <v>2604</v>
      </c>
      <c r="H1435" t="s">
        <v>69</v>
      </c>
      <c r="I1435" t="s">
        <v>69</v>
      </c>
      <c r="J1435" t="s">
        <v>69</v>
      </c>
      <c r="K1435" t="s">
        <v>2605</v>
      </c>
      <c r="L1435" t="s">
        <v>69</v>
      </c>
      <c r="M1435" t="s">
        <v>69</v>
      </c>
      <c r="N1435" t="s">
        <v>2606</v>
      </c>
      <c r="O1435" t="s">
        <v>2607</v>
      </c>
      <c r="P1435" t="s">
        <v>69</v>
      </c>
      <c r="Q1435" t="s">
        <v>69</v>
      </c>
      <c r="R1435" t="s">
        <v>8505</v>
      </c>
      <c r="S1435" t="s">
        <v>8506</v>
      </c>
      <c r="T1435" t="s">
        <v>69</v>
      </c>
      <c r="U1435" t="s">
        <v>69</v>
      </c>
      <c r="V1435" t="s">
        <v>69</v>
      </c>
      <c r="W1435" t="s">
        <v>69</v>
      </c>
      <c r="X1435" t="s">
        <v>69</v>
      </c>
      <c r="Y1435" t="s">
        <v>20265</v>
      </c>
      <c r="Z1435" t="s">
        <v>20266</v>
      </c>
      <c r="AA1435" t="s">
        <v>2608</v>
      </c>
      <c r="AB1435" t="s">
        <v>20267</v>
      </c>
      <c r="AC1435" t="s">
        <v>69</v>
      </c>
      <c r="AD1435" t="s">
        <v>20268</v>
      </c>
      <c r="AE1435" t="s">
        <v>20269</v>
      </c>
      <c r="AF1435" t="s">
        <v>2609</v>
      </c>
      <c r="AG1435" t="s">
        <v>20270</v>
      </c>
      <c r="AH1435" t="s">
        <v>69</v>
      </c>
      <c r="AI1435" t="s">
        <v>69</v>
      </c>
      <c r="AJ1435" t="s">
        <v>69</v>
      </c>
      <c r="AK1435" t="s">
        <v>69</v>
      </c>
      <c r="AL1435">
        <v>39</v>
      </c>
      <c r="AM1435">
        <v>3</v>
      </c>
      <c r="AN1435">
        <v>3</v>
      </c>
      <c r="AO1435">
        <v>2</v>
      </c>
      <c r="AP1435">
        <v>13</v>
      </c>
      <c r="AQ1435" t="s">
        <v>20271</v>
      </c>
      <c r="AR1435" t="s">
        <v>13701</v>
      </c>
      <c r="AS1435" t="s">
        <v>20272</v>
      </c>
      <c r="AT1435" t="s">
        <v>2610</v>
      </c>
      <c r="AU1435" t="s">
        <v>69</v>
      </c>
      <c r="AV1435" t="s">
        <v>69</v>
      </c>
      <c r="AW1435" t="s">
        <v>20273</v>
      </c>
      <c r="AX1435" t="s">
        <v>20274</v>
      </c>
      <c r="AY1435" t="s">
        <v>155</v>
      </c>
      <c r="AZ1435">
        <v>2017</v>
      </c>
      <c r="BA1435">
        <v>26</v>
      </c>
      <c r="BB1435">
        <v>2</v>
      </c>
      <c r="BC1435" t="s">
        <v>69</v>
      </c>
      <c r="BD1435" t="s">
        <v>69</v>
      </c>
      <c r="BE1435" t="s">
        <v>69</v>
      </c>
      <c r="BF1435" t="s">
        <v>69</v>
      </c>
      <c r="BG1435">
        <v>143</v>
      </c>
      <c r="BH1435">
        <v>163</v>
      </c>
      <c r="BI1435" t="s">
        <v>69</v>
      </c>
      <c r="BJ1435" t="s">
        <v>2611</v>
      </c>
      <c r="BK1435" t="str">
        <f>HYPERLINK("http://dx.doi.org/10.5559/di.26.2.01","http://dx.doi.org/10.5559/di.26.2.01")</f>
        <v>http://dx.doi.org/10.5559/di.26.2.01</v>
      </c>
      <c r="BL1435" t="s">
        <v>69</v>
      </c>
      <c r="BM1435" t="s">
        <v>69</v>
      </c>
      <c r="BN1435">
        <v>21</v>
      </c>
      <c r="BO1435" t="s">
        <v>20275</v>
      </c>
      <c r="BP1435" t="s">
        <v>8661</v>
      </c>
      <c r="BQ1435" t="s">
        <v>20275</v>
      </c>
      <c r="BR1435" t="s">
        <v>20276</v>
      </c>
      <c r="BS1435" t="s">
        <v>2612</v>
      </c>
      <c r="BT1435" t="s">
        <v>69</v>
      </c>
      <c r="BU1435" t="s">
        <v>9352</v>
      </c>
      <c r="BV1435" t="s">
        <v>69</v>
      </c>
      <c r="BW1435" t="s">
        <v>69</v>
      </c>
      <c r="BX1435" t="s">
        <v>8526</v>
      </c>
      <c r="BY1435" t="str">
        <f>HYPERLINK("https%3A%2F%2Fwww.webofscience.com%2Fwos%2Fwoscc%2Ffull-record%2FWOS:000405183500001","View Full Record in Web of Science")</f>
        <v>View Full Record in Web of Science</v>
      </c>
    </row>
    <row r="1436" spans="1:77" ht="12.5" x14ac:dyDescent="0.25">
      <c r="A1436" t="s">
        <v>8495</v>
      </c>
      <c r="B1436" s="22" t="s">
        <v>32931</v>
      </c>
      <c r="C1436" s="7"/>
      <c r="D1436" s="7"/>
      <c r="E1436" s="7"/>
      <c r="F1436" t="s">
        <v>67</v>
      </c>
      <c r="G1436" t="s">
        <v>24343</v>
      </c>
      <c r="H1436" t="s">
        <v>69</v>
      </c>
      <c r="I1436" t="s">
        <v>69</v>
      </c>
      <c r="J1436" t="s">
        <v>69</v>
      </c>
      <c r="K1436" t="s">
        <v>24344</v>
      </c>
      <c r="L1436" t="s">
        <v>69</v>
      </c>
      <c r="M1436" t="s">
        <v>69</v>
      </c>
      <c r="N1436" t="s">
        <v>24345</v>
      </c>
      <c r="O1436" t="s">
        <v>24346</v>
      </c>
      <c r="P1436" t="s">
        <v>69</v>
      </c>
      <c r="Q1436" t="s">
        <v>69</v>
      </c>
      <c r="R1436" t="s">
        <v>24347</v>
      </c>
      <c r="S1436" t="s">
        <v>8506</v>
      </c>
      <c r="T1436" t="s">
        <v>69</v>
      </c>
      <c r="U1436" t="s">
        <v>69</v>
      </c>
      <c r="V1436" t="s">
        <v>69</v>
      </c>
      <c r="W1436" t="s">
        <v>69</v>
      </c>
      <c r="X1436" t="s">
        <v>69</v>
      </c>
      <c r="Y1436" t="s">
        <v>24348</v>
      </c>
      <c r="Z1436" t="s">
        <v>69</v>
      </c>
      <c r="AA1436" t="s">
        <v>24349</v>
      </c>
      <c r="AB1436" t="s">
        <v>24350</v>
      </c>
      <c r="AC1436" t="s">
        <v>69</v>
      </c>
      <c r="AD1436" t="s">
        <v>24351</v>
      </c>
      <c r="AE1436" t="s">
        <v>24352</v>
      </c>
      <c r="AF1436" t="s">
        <v>69</v>
      </c>
      <c r="AG1436" t="s">
        <v>69</v>
      </c>
      <c r="AH1436" t="s">
        <v>69</v>
      </c>
      <c r="AI1436" t="s">
        <v>69</v>
      </c>
      <c r="AJ1436" t="s">
        <v>69</v>
      </c>
      <c r="AK1436" t="s">
        <v>69</v>
      </c>
      <c r="AL1436">
        <v>40</v>
      </c>
      <c r="AM1436">
        <v>0</v>
      </c>
      <c r="AN1436">
        <v>0</v>
      </c>
      <c r="AO1436">
        <v>0</v>
      </c>
      <c r="AP1436">
        <v>0</v>
      </c>
      <c r="AQ1436" t="s">
        <v>24353</v>
      </c>
      <c r="AR1436" t="s">
        <v>15886</v>
      </c>
      <c r="AS1436" t="s">
        <v>24354</v>
      </c>
      <c r="AT1436" t="s">
        <v>24355</v>
      </c>
      <c r="AU1436" t="s">
        <v>24356</v>
      </c>
      <c r="AV1436" t="s">
        <v>69</v>
      </c>
      <c r="AW1436" t="s">
        <v>24357</v>
      </c>
      <c r="AX1436" t="s">
        <v>24358</v>
      </c>
      <c r="AY1436" t="s">
        <v>69</v>
      </c>
      <c r="AZ1436">
        <v>2014</v>
      </c>
      <c r="BA1436">
        <v>22</v>
      </c>
      <c r="BB1436">
        <v>1</v>
      </c>
      <c r="BC1436" t="s">
        <v>69</v>
      </c>
      <c r="BD1436" t="s">
        <v>69</v>
      </c>
      <c r="BE1436" t="s">
        <v>69</v>
      </c>
      <c r="BF1436" t="s">
        <v>69</v>
      </c>
      <c r="BG1436">
        <v>9</v>
      </c>
      <c r="BH1436">
        <v>28</v>
      </c>
      <c r="BI1436" t="s">
        <v>69</v>
      </c>
      <c r="BJ1436" t="s">
        <v>69</v>
      </c>
      <c r="BK1436" t="s">
        <v>69</v>
      </c>
      <c r="BL1436" t="s">
        <v>69</v>
      </c>
      <c r="BM1436" t="s">
        <v>69</v>
      </c>
      <c r="BN1436">
        <v>20</v>
      </c>
      <c r="BO1436" t="s">
        <v>9290</v>
      </c>
      <c r="BP1436" t="s">
        <v>8573</v>
      </c>
      <c r="BQ1436" t="s">
        <v>9290</v>
      </c>
      <c r="BR1436" t="s">
        <v>24359</v>
      </c>
      <c r="BS1436" t="s">
        <v>24360</v>
      </c>
      <c r="BT1436" t="s">
        <v>69</v>
      </c>
      <c r="BU1436" t="s">
        <v>69</v>
      </c>
      <c r="BV1436" t="s">
        <v>69</v>
      </c>
      <c r="BW1436" t="s">
        <v>69</v>
      </c>
      <c r="BX1436" t="s">
        <v>8526</v>
      </c>
      <c r="BY1436" t="str">
        <f>HYPERLINK("https%3A%2F%2Fwww.webofscience.com%2Fwos%2Fwoscc%2Ffull-record%2FWOS:000438349300001","View Full Record in Web of Science")</f>
        <v>View Full Record in Web of Science</v>
      </c>
    </row>
    <row r="1437" spans="1:77" ht="12.5" x14ac:dyDescent="0.25">
      <c r="A1437" t="s">
        <v>8495</v>
      </c>
      <c r="B1437" s="22" t="s">
        <v>32931</v>
      </c>
      <c r="C1437" s="7"/>
      <c r="D1437" s="7"/>
      <c r="E1437" s="7"/>
      <c r="F1437" t="s">
        <v>67</v>
      </c>
      <c r="G1437" t="s">
        <v>13626</v>
      </c>
      <c r="H1437" t="s">
        <v>69</v>
      </c>
      <c r="I1437" t="s">
        <v>69</v>
      </c>
      <c r="J1437" t="s">
        <v>69</v>
      </c>
      <c r="K1437" t="s">
        <v>13627</v>
      </c>
      <c r="L1437" t="s">
        <v>69</v>
      </c>
      <c r="M1437" t="s">
        <v>69</v>
      </c>
      <c r="N1437" t="s">
        <v>13628</v>
      </c>
      <c r="O1437" t="s">
        <v>13608</v>
      </c>
      <c r="P1437" t="s">
        <v>69</v>
      </c>
      <c r="Q1437" t="s">
        <v>69</v>
      </c>
      <c r="R1437" t="s">
        <v>8505</v>
      </c>
      <c r="S1437" t="s">
        <v>8506</v>
      </c>
      <c r="T1437" t="s">
        <v>69</v>
      </c>
      <c r="U1437" t="s">
        <v>69</v>
      </c>
      <c r="V1437" t="s">
        <v>69</v>
      </c>
      <c r="W1437" t="s">
        <v>69</v>
      </c>
      <c r="X1437" t="s">
        <v>69</v>
      </c>
      <c r="Y1437" t="s">
        <v>13629</v>
      </c>
      <c r="Z1437" t="s">
        <v>69</v>
      </c>
      <c r="AA1437" t="s">
        <v>13630</v>
      </c>
      <c r="AB1437" t="s">
        <v>13631</v>
      </c>
      <c r="AC1437" t="s">
        <v>69</v>
      </c>
      <c r="AD1437" t="s">
        <v>13632</v>
      </c>
      <c r="AE1437" t="s">
        <v>13633</v>
      </c>
      <c r="AF1437" t="s">
        <v>13634</v>
      </c>
      <c r="AG1437" t="s">
        <v>13635</v>
      </c>
      <c r="AH1437" t="s">
        <v>69</v>
      </c>
      <c r="AI1437" t="s">
        <v>69</v>
      </c>
      <c r="AJ1437" t="s">
        <v>69</v>
      </c>
      <c r="AK1437" t="s">
        <v>69</v>
      </c>
      <c r="AL1437">
        <v>10</v>
      </c>
      <c r="AM1437">
        <v>31</v>
      </c>
      <c r="AN1437">
        <v>31</v>
      </c>
      <c r="AO1437">
        <v>0</v>
      </c>
      <c r="AP1437">
        <v>0</v>
      </c>
      <c r="AQ1437" t="s">
        <v>13617</v>
      </c>
      <c r="AR1437" t="s">
        <v>13618</v>
      </c>
      <c r="AS1437" t="s">
        <v>13619</v>
      </c>
      <c r="AT1437" t="s">
        <v>13620</v>
      </c>
      <c r="AU1437" t="s">
        <v>13621</v>
      </c>
      <c r="AV1437" t="s">
        <v>69</v>
      </c>
      <c r="AW1437" t="s">
        <v>13622</v>
      </c>
      <c r="AX1437" t="s">
        <v>13623</v>
      </c>
      <c r="AY1437" t="s">
        <v>69</v>
      </c>
      <c r="AZ1437">
        <v>2021</v>
      </c>
      <c r="BA1437">
        <v>3</v>
      </c>
      <c r="BB1437">
        <v>38</v>
      </c>
      <c r="BC1437" t="s">
        <v>69</v>
      </c>
      <c r="BD1437" t="s">
        <v>69</v>
      </c>
      <c r="BE1437" t="s">
        <v>69</v>
      </c>
      <c r="BF1437" t="s">
        <v>69</v>
      </c>
      <c r="BG1437">
        <v>538</v>
      </c>
      <c r="BH1437">
        <v>548</v>
      </c>
      <c r="BI1437" t="s">
        <v>69</v>
      </c>
      <c r="BJ1437" t="s">
        <v>69</v>
      </c>
      <c r="BK1437" t="s">
        <v>69</v>
      </c>
      <c r="BL1437" t="s">
        <v>69</v>
      </c>
      <c r="BM1437" t="s">
        <v>69</v>
      </c>
      <c r="BN1437">
        <v>11</v>
      </c>
      <c r="BO1437" t="s">
        <v>9749</v>
      </c>
      <c r="BP1437" t="s">
        <v>8573</v>
      </c>
      <c r="BQ1437" t="s">
        <v>8594</v>
      </c>
      <c r="BR1437" t="s">
        <v>13624</v>
      </c>
      <c r="BS1437" t="s">
        <v>13636</v>
      </c>
      <c r="BT1437" t="s">
        <v>69</v>
      </c>
      <c r="BU1437" t="s">
        <v>69</v>
      </c>
      <c r="BV1437" t="s">
        <v>69</v>
      </c>
      <c r="BW1437" t="s">
        <v>69</v>
      </c>
      <c r="BX1437" t="s">
        <v>8526</v>
      </c>
      <c r="BY1437" t="str">
        <f>HYPERLINK("https%3A%2F%2Fwww.webofscience.com%2Fwos%2Fwoscc%2Ffull-record%2FWOS:000674620700053","View Full Record in Web of Science")</f>
        <v>View Full Record in Web of Science</v>
      </c>
    </row>
    <row r="1438" spans="1:77" ht="12.5" x14ac:dyDescent="0.25">
      <c r="A1438" t="s">
        <v>8495</v>
      </c>
      <c r="B1438" s="22" t="s">
        <v>32931</v>
      </c>
      <c r="C1438" s="7"/>
      <c r="D1438" s="7"/>
      <c r="E1438" s="7"/>
      <c r="F1438" t="s">
        <v>67</v>
      </c>
      <c r="G1438" t="s">
        <v>26048</v>
      </c>
      <c r="H1438" t="s">
        <v>69</v>
      </c>
      <c r="I1438" t="s">
        <v>69</v>
      </c>
      <c r="J1438" t="s">
        <v>69</v>
      </c>
      <c r="K1438" t="s">
        <v>26049</v>
      </c>
      <c r="L1438" t="s">
        <v>69</v>
      </c>
      <c r="M1438" t="s">
        <v>69</v>
      </c>
      <c r="N1438" t="s">
        <v>26050</v>
      </c>
      <c r="O1438" t="s">
        <v>3592</v>
      </c>
      <c r="P1438" t="s">
        <v>69</v>
      </c>
      <c r="Q1438" t="s">
        <v>69</v>
      </c>
      <c r="R1438" t="s">
        <v>8505</v>
      </c>
      <c r="S1438" t="s">
        <v>8506</v>
      </c>
      <c r="T1438" t="s">
        <v>69</v>
      </c>
      <c r="U1438" t="s">
        <v>69</v>
      </c>
      <c r="V1438" t="s">
        <v>69</v>
      </c>
      <c r="W1438" t="s">
        <v>69</v>
      </c>
      <c r="X1438" t="s">
        <v>69</v>
      </c>
      <c r="Y1438" t="s">
        <v>26051</v>
      </c>
      <c r="Z1438" t="s">
        <v>26052</v>
      </c>
      <c r="AA1438" t="s">
        <v>26053</v>
      </c>
      <c r="AB1438" t="s">
        <v>26054</v>
      </c>
      <c r="AC1438" t="s">
        <v>69</v>
      </c>
      <c r="AD1438" t="s">
        <v>26055</v>
      </c>
      <c r="AE1438" t="s">
        <v>26056</v>
      </c>
      <c r="AF1438" t="s">
        <v>26057</v>
      </c>
      <c r="AG1438" t="s">
        <v>26058</v>
      </c>
      <c r="AH1438" t="s">
        <v>26059</v>
      </c>
      <c r="AI1438" t="s">
        <v>26060</v>
      </c>
      <c r="AJ1438" t="s">
        <v>26061</v>
      </c>
      <c r="AK1438" t="s">
        <v>69</v>
      </c>
      <c r="AL1438">
        <v>53</v>
      </c>
      <c r="AM1438">
        <v>59</v>
      </c>
      <c r="AN1438">
        <v>60</v>
      </c>
      <c r="AO1438">
        <v>2</v>
      </c>
      <c r="AP1438">
        <v>82</v>
      </c>
      <c r="AQ1438" t="s">
        <v>8516</v>
      </c>
      <c r="AR1438" t="s">
        <v>8517</v>
      </c>
      <c r="AS1438" t="s">
        <v>8518</v>
      </c>
      <c r="AT1438" t="s">
        <v>3594</v>
      </c>
      <c r="AU1438" t="s">
        <v>3595</v>
      </c>
      <c r="AV1438" t="s">
        <v>69</v>
      </c>
      <c r="AW1438" t="s">
        <v>8519</v>
      </c>
      <c r="AX1438" t="s">
        <v>8520</v>
      </c>
      <c r="AY1438" t="s">
        <v>26062</v>
      </c>
      <c r="AZ1438">
        <v>2012</v>
      </c>
      <c r="BA1438">
        <v>105</v>
      </c>
      <c r="BB1438">
        <v>4</v>
      </c>
      <c r="BC1438" t="s">
        <v>69</v>
      </c>
      <c r="BD1438" t="s">
        <v>69</v>
      </c>
      <c r="BE1438" t="s">
        <v>69</v>
      </c>
      <c r="BF1438" t="s">
        <v>69</v>
      </c>
      <c r="BG1438">
        <v>347</v>
      </c>
      <c r="BH1438">
        <v>360</v>
      </c>
      <c r="BI1438" t="s">
        <v>69</v>
      </c>
      <c r="BJ1438" t="s">
        <v>26063</v>
      </c>
      <c r="BK1438" t="str">
        <f>HYPERLINK("http://dx.doi.org/10.1016/j.landurbplan.2011.12.024","http://dx.doi.org/10.1016/j.landurbplan.2011.12.024")</f>
        <v>http://dx.doi.org/10.1016/j.landurbplan.2011.12.024</v>
      </c>
      <c r="BL1438" t="s">
        <v>69</v>
      </c>
      <c r="BM1438" t="s">
        <v>69</v>
      </c>
      <c r="BN1438">
        <v>14</v>
      </c>
      <c r="BO1438" t="s">
        <v>8522</v>
      </c>
      <c r="BP1438" t="s">
        <v>8523</v>
      </c>
      <c r="BQ1438" t="s">
        <v>8524</v>
      </c>
      <c r="BR1438" t="s">
        <v>26064</v>
      </c>
      <c r="BS1438" t="s">
        <v>26065</v>
      </c>
      <c r="BT1438" t="s">
        <v>69</v>
      </c>
      <c r="BU1438" t="s">
        <v>69</v>
      </c>
      <c r="BV1438" t="s">
        <v>69</v>
      </c>
      <c r="BW1438" t="s">
        <v>69</v>
      </c>
      <c r="BX1438" t="s">
        <v>8526</v>
      </c>
      <c r="BY1438" t="str">
        <f>HYPERLINK("https%3A%2F%2Fwww.webofscience.com%2Fwos%2Fwoscc%2Ffull-record%2FWOS:000302518000002","View Full Record in Web of Science")</f>
        <v>View Full Record in Web of Science</v>
      </c>
    </row>
    <row r="1439" spans="1:77" ht="12.5" x14ac:dyDescent="0.25">
      <c r="A1439" t="s">
        <v>8495</v>
      </c>
      <c r="B1439" s="22" t="s">
        <v>32931</v>
      </c>
      <c r="C1439" s="7"/>
      <c r="D1439" s="7"/>
      <c r="E1439" s="7"/>
      <c r="F1439" t="s">
        <v>67</v>
      </c>
      <c r="G1439" t="s">
        <v>8911</v>
      </c>
      <c r="H1439" t="s">
        <v>69</v>
      </c>
      <c r="I1439" t="s">
        <v>69</v>
      </c>
      <c r="J1439" t="s">
        <v>69</v>
      </c>
      <c r="K1439" t="s">
        <v>8912</v>
      </c>
      <c r="L1439" t="s">
        <v>69</v>
      </c>
      <c r="M1439" t="s">
        <v>69</v>
      </c>
      <c r="N1439" t="s">
        <v>8913</v>
      </c>
      <c r="O1439" t="s">
        <v>8256</v>
      </c>
      <c r="P1439" t="s">
        <v>69</v>
      </c>
      <c r="Q1439" t="s">
        <v>69</v>
      </c>
      <c r="R1439" t="s">
        <v>8505</v>
      </c>
      <c r="S1439" t="s">
        <v>8506</v>
      </c>
      <c r="T1439" t="s">
        <v>69</v>
      </c>
      <c r="U1439" t="s">
        <v>69</v>
      </c>
      <c r="V1439" t="s">
        <v>69</v>
      </c>
      <c r="W1439" t="s">
        <v>69</v>
      </c>
      <c r="X1439" t="s">
        <v>69</v>
      </c>
      <c r="Y1439" t="s">
        <v>8914</v>
      </c>
      <c r="Z1439" t="s">
        <v>8915</v>
      </c>
      <c r="AA1439" t="s">
        <v>8916</v>
      </c>
      <c r="AB1439" t="s">
        <v>8917</v>
      </c>
      <c r="AC1439" t="s">
        <v>69</v>
      </c>
      <c r="AD1439" t="s">
        <v>8918</v>
      </c>
      <c r="AE1439" t="s">
        <v>8919</v>
      </c>
      <c r="AF1439" t="s">
        <v>69</v>
      </c>
      <c r="AG1439" t="s">
        <v>8920</v>
      </c>
      <c r="AH1439" t="s">
        <v>8921</v>
      </c>
      <c r="AI1439" t="s">
        <v>8922</v>
      </c>
      <c r="AJ1439" t="s">
        <v>8923</v>
      </c>
      <c r="AK1439" t="s">
        <v>69</v>
      </c>
      <c r="AL1439">
        <v>66</v>
      </c>
      <c r="AM1439">
        <v>0</v>
      </c>
      <c r="AN1439">
        <v>0</v>
      </c>
      <c r="AO1439">
        <v>4</v>
      </c>
      <c r="AP1439">
        <v>4</v>
      </c>
      <c r="AQ1439" t="s">
        <v>8924</v>
      </c>
      <c r="AR1439" t="s">
        <v>8925</v>
      </c>
      <c r="AS1439" t="s">
        <v>8926</v>
      </c>
      <c r="AT1439" t="s">
        <v>69</v>
      </c>
      <c r="AU1439" t="s">
        <v>8258</v>
      </c>
      <c r="AV1439" t="s">
        <v>69</v>
      </c>
      <c r="AW1439" t="s">
        <v>8927</v>
      </c>
      <c r="AX1439" t="s">
        <v>8928</v>
      </c>
      <c r="AY1439" t="s">
        <v>155</v>
      </c>
      <c r="AZ1439">
        <v>2022</v>
      </c>
      <c r="BA1439">
        <v>11</v>
      </c>
      <c r="BB1439">
        <v>6</v>
      </c>
      <c r="BC1439" t="s">
        <v>69</v>
      </c>
      <c r="BD1439" t="s">
        <v>69</v>
      </c>
      <c r="BE1439" t="s">
        <v>69</v>
      </c>
      <c r="BF1439" t="s">
        <v>69</v>
      </c>
      <c r="BG1439" t="s">
        <v>69</v>
      </c>
      <c r="BH1439" t="s">
        <v>69</v>
      </c>
      <c r="BI1439">
        <v>841</v>
      </c>
      <c r="BJ1439" t="s">
        <v>8929</v>
      </c>
      <c r="BK1439" t="str">
        <f>HYPERLINK("http://dx.doi.org/10.3390/land11060841","http://dx.doi.org/10.3390/land11060841")</f>
        <v>http://dx.doi.org/10.3390/land11060841</v>
      </c>
      <c r="BL1439" t="s">
        <v>69</v>
      </c>
      <c r="BM1439" t="s">
        <v>69</v>
      </c>
      <c r="BN1439">
        <v>19</v>
      </c>
      <c r="BO1439" t="s">
        <v>8660</v>
      </c>
      <c r="BP1439" t="s">
        <v>8661</v>
      </c>
      <c r="BQ1439" t="s">
        <v>8662</v>
      </c>
      <c r="BR1439" t="s">
        <v>8930</v>
      </c>
      <c r="BS1439" t="s">
        <v>8932</v>
      </c>
      <c r="BT1439" t="s">
        <v>69</v>
      </c>
      <c r="BU1439" t="s">
        <v>8931</v>
      </c>
      <c r="BV1439" t="s">
        <v>69</v>
      </c>
      <c r="BW1439" t="s">
        <v>69</v>
      </c>
      <c r="BX1439" t="s">
        <v>8526</v>
      </c>
      <c r="BY1439" t="str">
        <f>HYPERLINK("https%3A%2F%2Fwww.webofscience.com%2Fwos%2Fwoscc%2Ffull-record%2FWOS:000816339700001","View Full Record in Web of Science")</f>
        <v>View Full Record in Web of Science</v>
      </c>
    </row>
    <row r="1440" spans="1:77" ht="12.5" x14ac:dyDescent="0.25">
      <c r="A1440" t="s">
        <v>8495</v>
      </c>
      <c r="B1440" s="22" t="s">
        <v>32931</v>
      </c>
      <c r="C1440" s="7"/>
      <c r="D1440" s="7"/>
      <c r="E1440" s="7"/>
      <c r="F1440" t="s">
        <v>67</v>
      </c>
      <c r="G1440" t="s">
        <v>12384</v>
      </c>
      <c r="H1440" t="s">
        <v>69</v>
      </c>
      <c r="I1440" t="s">
        <v>69</v>
      </c>
      <c r="J1440" t="s">
        <v>69</v>
      </c>
      <c r="K1440" t="s">
        <v>12385</v>
      </c>
      <c r="L1440" t="s">
        <v>69</v>
      </c>
      <c r="M1440" t="s">
        <v>69</v>
      </c>
      <c r="N1440" t="s">
        <v>12386</v>
      </c>
      <c r="O1440" t="s">
        <v>2365</v>
      </c>
      <c r="P1440" t="s">
        <v>69</v>
      </c>
      <c r="Q1440" t="s">
        <v>69</v>
      </c>
      <c r="R1440" t="s">
        <v>8505</v>
      </c>
      <c r="S1440" t="s">
        <v>8506</v>
      </c>
      <c r="T1440" t="s">
        <v>69</v>
      </c>
      <c r="U1440" t="s">
        <v>69</v>
      </c>
      <c r="V1440" t="s">
        <v>69</v>
      </c>
      <c r="W1440" t="s">
        <v>69</v>
      </c>
      <c r="X1440" t="s">
        <v>69</v>
      </c>
      <c r="Y1440" t="s">
        <v>12387</v>
      </c>
      <c r="Z1440" t="s">
        <v>12388</v>
      </c>
      <c r="AA1440" t="s">
        <v>12389</v>
      </c>
      <c r="AB1440" t="s">
        <v>12390</v>
      </c>
      <c r="AC1440" t="s">
        <v>69</v>
      </c>
      <c r="AD1440" t="s">
        <v>12391</v>
      </c>
      <c r="AE1440" t="s">
        <v>12392</v>
      </c>
      <c r="AF1440" t="s">
        <v>69</v>
      </c>
      <c r="AG1440" t="s">
        <v>12393</v>
      </c>
      <c r="AH1440" t="s">
        <v>12394</v>
      </c>
      <c r="AI1440" t="s">
        <v>12395</v>
      </c>
      <c r="AJ1440" t="s">
        <v>12396</v>
      </c>
      <c r="AK1440" t="s">
        <v>69</v>
      </c>
      <c r="AL1440">
        <v>34</v>
      </c>
      <c r="AM1440">
        <v>1</v>
      </c>
      <c r="AN1440">
        <v>1</v>
      </c>
      <c r="AO1440">
        <v>1</v>
      </c>
      <c r="AP1440">
        <v>3</v>
      </c>
      <c r="AQ1440" t="s">
        <v>8636</v>
      </c>
      <c r="AR1440" t="s">
        <v>8637</v>
      </c>
      <c r="AS1440" t="s">
        <v>8638</v>
      </c>
      <c r="AT1440" t="s">
        <v>2368</v>
      </c>
      <c r="AU1440" t="s">
        <v>2369</v>
      </c>
      <c r="AV1440" t="s">
        <v>69</v>
      </c>
      <c r="AW1440" t="s">
        <v>12397</v>
      </c>
      <c r="AX1440" t="s">
        <v>12398</v>
      </c>
      <c r="AY1440" t="s">
        <v>155</v>
      </c>
      <c r="AZ1440">
        <v>2021</v>
      </c>
      <c r="BA1440">
        <v>8</v>
      </c>
      <c r="BB1440">
        <v>2</v>
      </c>
      <c r="BC1440" t="s">
        <v>69</v>
      </c>
      <c r="BD1440" t="s">
        <v>69</v>
      </c>
      <c r="BE1440" t="s">
        <v>69</v>
      </c>
      <c r="BF1440" t="s">
        <v>69</v>
      </c>
      <c r="BG1440" t="s">
        <v>69</v>
      </c>
      <c r="BH1440" t="s">
        <v>69</v>
      </c>
      <c r="BI1440">
        <v>100896</v>
      </c>
      <c r="BJ1440" t="s">
        <v>12399</v>
      </c>
      <c r="BK1440" t="str">
        <f>HYPERLINK("http://dx.doi.org/10.1016/j.exis.2021.100896","http://dx.doi.org/10.1016/j.exis.2021.100896")</f>
        <v>http://dx.doi.org/10.1016/j.exis.2021.100896</v>
      </c>
      <c r="BL1440" t="s">
        <v>69</v>
      </c>
      <c r="BM1440" t="s">
        <v>12312</v>
      </c>
      <c r="BN1440">
        <v>4</v>
      </c>
      <c r="BO1440" t="s">
        <v>8660</v>
      </c>
      <c r="BP1440" t="s">
        <v>8661</v>
      </c>
      <c r="BQ1440" t="s">
        <v>8662</v>
      </c>
      <c r="BR1440" t="s">
        <v>12400</v>
      </c>
      <c r="BS1440" t="s">
        <v>12401</v>
      </c>
      <c r="BT1440" t="s">
        <v>69</v>
      </c>
      <c r="BU1440" t="s">
        <v>69</v>
      </c>
      <c r="BV1440" t="s">
        <v>69</v>
      </c>
      <c r="BW1440" t="s">
        <v>69</v>
      </c>
      <c r="BX1440" t="s">
        <v>8526</v>
      </c>
      <c r="BY1440" t="str">
        <f>HYPERLINK("https%3A%2F%2Fwww.webofscience.com%2Fwos%2Fwoscc%2Ffull-record%2FWOS:000644186300001","View Full Record in Web of Science")</f>
        <v>View Full Record in Web of Science</v>
      </c>
    </row>
    <row r="1441" spans="1:77" ht="12.5" x14ac:dyDescent="0.25">
      <c r="A1441" t="s">
        <v>8495</v>
      </c>
      <c r="B1441" s="7" t="s">
        <v>32933</v>
      </c>
      <c r="C1441" s="7"/>
      <c r="D1441" s="7"/>
      <c r="E1441" s="7"/>
      <c r="F1441" t="s">
        <v>67</v>
      </c>
      <c r="G1441" t="s">
        <v>6826</v>
      </c>
      <c r="H1441" t="s">
        <v>69</v>
      </c>
      <c r="I1441" t="s">
        <v>69</v>
      </c>
      <c r="J1441" t="s">
        <v>69</v>
      </c>
      <c r="K1441" t="s">
        <v>6827</v>
      </c>
      <c r="L1441" t="s">
        <v>69</v>
      </c>
      <c r="M1441" t="s">
        <v>69</v>
      </c>
      <c r="N1441" t="s">
        <v>6828</v>
      </c>
      <c r="O1441" t="s">
        <v>436</v>
      </c>
      <c r="P1441" t="s">
        <v>69</v>
      </c>
      <c r="Q1441" t="s">
        <v>69</v>
      </c>
      <c r="R1441" t="s">
        <v>8505</v>
      </c>
      <c r="S1441" t="s">
        <v>8506</v>
      </c>
      <c r="T1441" t="s">
        <v>69</v>
      </c>
      <c r="U1441" t="s">
        <v>69</v>
      </c>
      <c r="V1441" t="s">
        <v>69</v>
      </c>
      <c r="W1441" t="s">
        <v>69</v>
      </c>
      <c r="X1441" t="s">
        <v>69</v>
      </c>
      <c r="Y1441" t="s">
        <v>22783</v>
      </c>
      <c r="Z1441" t="s">
        <v>22784</v>
      </c>
      <c r="AA1441" t="s">
        <v>6829</v>
      </c>
      <c r="AB1441" t="s">
        <v>22785</v>
      </c>
      <c r="AC1441" t="s">
        <v>69</v>
      </c>
      <c r="AD1441" t="s">
        <v>22786</v>
      </c>
      <c r="AE1441" t="s">
        <v>22787</v>
      </c>
      <c r="AF1441" t="s">
        <v>22788</v>
      </c>
      <c r="AG1441" t="s">
        <v>22789</v>
      </c>
      <c r="AH1441" t="s">
        <v>22790</v>
      </c>
      <c r="AI1441" t="s">
        <v>22791</v>
      </c>
      <c r="AJ1441" t="s">
        <v>22792</v>
      </c>
      <c r="AK1441" t="s">
        <v>69</v>
      </c>
      <c r="AL1441">
        <v>45</v>
      </c>
      <c r="AM1441">
        <v>11</v>
      </c>
      <c r="AN1441">
        <v>11</v>
      </c>
      <c r="AO1441">
        <v>2</v>
      </c>
      <c r="AP1441">
        <v>32</v>
      </c>
      <c r="AQ1441" t="s">
        <v>8636</v>
      </c>
      <c r="AR1441" t="s">
        <v>8637</v>
      </c>
      <c r="AS1441" t="s">
        <v>8638</v>
      </c>
      <c r="AT1441" t="s">
        <v>440</v>
      </c>
      <c r="AU1441" t="s">
        <v>441</v>
      </c>
      <c r="AV1441" t="s">
        <v>69</v>
      </c>
      <c r="AW1441" t="s">
        <v>8639</v>
      </c>
      <c r="AX1441" t="s">
        <v>8640</v>
      </c>
      <c r="AY1441" t="s">
        <v>636</v>
      </c>
      <c r="AZ1441">
        <v>2015</v>
      </c>
      <c r="BA1441">
        <v>94</v>
      </c>
      <c r="BB1441" t="s">
        <v>69</v>
      </c>
      <c r="BC1441" t="s">
        <v>69</v>
      </c>
      <c r="BD1441" t="s">
        <v>69</v>
      </c>
      <c r="BE1441" t="s">
        <v>69</v>
      </c>
      <c r="BF1441" t="s">
        <v>69</v>
      </c>
      <c r="BG1441">
        <v>76</v>
      </c>
      <c r="BH1441">
        <v>85</v>
      </c>
      <c r="BI1441" t="s">
        <v>69</v>
      </c>
      <c r="BJ1441" t="s">
        <v>6830</v>
      </c>
      <c r="BK1441" t="str">
        <f>HYPERLINK("http://dx.doi.org/10.1016/j.jclepro.2015.01.078","http://dx.doi.org/10.1016/j.jclepro.2015.01.078")</f>
        <v>http://dx.doi.org/10.1016/j.jclepro.2015.01.078</v>
      </c>
      <c r="BL1441" t="s">
        <v>69</v>
      </c>
      <c r="BM1441" t="s">
        <v>69</v>
      </c>
      <c r="BN1441">
        <v>10</v>
      </c>
      <c r="BO1441" t="s">
        <v>8643</v>
      </c>
      <c r="BP1441" t="s">
        <v>8523</v>
      </c>
      <c r="BQ1441" t="s">
        <v>8644</v>
      </c>
      <c r="BR1441" t="s">
        <v>22793</v>
      </c>
      <c r="BS1441" t="s">
        <v>6831</v>
      </c>
      <c r="BT1441" t="s">
        <v>69</v>
      </c>
      <c r="BU1441" t="s">
        <v>69</v>
      </c>
      <c r="BV1441" t="s">
        <v>69</v>
      </c>
      <c r="BW1441" t="s">
        <v>69</v>
      </c>
      <c r="BX1441" t="s">
        <v>8526</v>
      </c>
      <c r="BY1441" t="str">
        <f>HYPERLINK("https%3A%2F%2Fwww.webofscience.com%2Fwos%2Fwoscc%2Ffull-record%2FWOS:000353741400007","View Full Record in Web of Science")</f>
        <v>View Full Record in Web of Science</v>
      </c>
    </row>
    <row r="1442" spans="1:77" ht="12.5" x14ac:dyDescent="0.25">
      <c r="A1442" t="s">
        <v>8495</v>
      </c>
      <c r="B1442" s="22" t="s">
        <v>32931</v>
      </c>
      <c r="C1442" s="7"/>
      <c r="D1442" s="7"/>
      <c r="E1442" s="7"/>
      <c r="F1442" t="s">
        <v>67</v>
      </c>
      <c r="G1442" t="s">
        <v>25764</v>
      </c>
      <c r="H1442" t="s">
        <v>69</v>
      </c>
      <c r="I1442" t="s">
        <v>69</v>
      </c>
      <c r="J1442" t="s">
        <v>69</v>
      </c>
      <c r="K1442" t="s">
        <v>25765</v>
      </c>
      <c r="L1442" t="s">
        <v>69</v>
      </c>
      <c r="M1442" t="s">
        <v>69</v>
      </c>
      <c r="N1442" t="s">
        <v>25766</v>
      </c>
      <c r="O1442" t="s">
        <v>14711</v>
      </c>
      <c r="P1442" t="s">
        <v>69</v>
      </c>
      <c r="Q1442" t="s">
        <v>69</v>
      </c>
      <c r="R1442" t="s">
        <v>8505</v>
      </c>
      <c r="S1442" t="s">
        <v>8506</v>
      </c>
      <c r="T1442" t="s">
        <v>69</v>
      </c>
      <c r="U1442" t="s">
        <v>69</v>
      </c>
      <c r="V1442" t="s">
        <v>69</v>
      </c>
      <c r="W1442" t="s">
        <v>69</v>
      </c>
      <c r="X1442" t="s">
        <v>69</v>
      </c>
      <c r="Y1442" t="s">
        <v>69</v>
      </c>
      <c r="Z1442" t="s">
        <v>25767</v>
      </c>
      <c r="AA1442" t="s">
        <v>25768</v>
      </c>
      <c r="AB1442" t="s">
        <v>25769</v>
      </c>
      <c r="AC1442" t="s">
        <v>69</v>
      </c>
      <c r="AD1442" t="s">
        <v>25770</v>
      </c>
      <c r="AE1442" t="s">
        <v>25771</v>
      </c>
      <c r="AF1442" t="s">
        <v>69</v>
      </c>
      <c r="AG1442" t="s">
        <v>69</v>
      </c>
      <c r="AH1442" t="s">
        <v>69</v>
      </c>
      <c r="AI1442" t="s">
        <v>69</v>
      </c>
      <c r="AJ1442" t="s">
        <v>69</v>
      </c>
      <c r="AK1442" t="s">
        <v>69</v>
      </c>
      <c r="AL1442">
        <v>37</v>
      </c>
      <c r="AM1442">
        <v>14</v>
      </c>
      <c r="AN1442">
        <v>14</v>
      </c>
      <c r="AO1442">
        <v>2</v>
      </c>
      <c r="AP1442">
        <v>72</v>
      </c>
      <c r="AQ1442" t="s">
        <v>8865</v>
      </c>
      <c r="AR1442" t="s">
        <v>8612</v>
      </c>
      <c r="AS1442" t="s">
        <v>8866</v>
      </c>
      <c r="AT1442" t="s">
        <v>14720</v>
      </c>
      <c r="AU1442" t="s">
        <v>14721</v>
      </c>
      <c r="AV1442" t="s">
        <v>69</v>
      </c>
      <c r="AW1442" t="s">
        <v>14722</v>
      </c>
      <c r="AX1442" t="s">
        <v>14723</v>
      </c>
      <c r="AY1442" t="s">
        <v>1206</v>
      </c>
      <c r="AZ1442">
        <v>2012</v>
      </c>
      <c r="BA1442">
        <v>23</v>
      </c>
      <c r="BB1442">
        <v>6</v>
      </c>
      <c r="BC1442" t="s">
        <v>69</v>
      </c>
      <c r="BD1442" t="s">
        <v>69</v>
      </c>
      <c r="BE1442" t="s">
        <v>69</v>
      </c>
      <c r="BF1442" t="s">
        <v>69</v>
      </c>
      <c r="BG1442">
        <v>919</v>
      </c>
      <c r="BH1442">
        <v>944</v>
      </c>
      <c r="BI1442" t="s">
        <v>69</v>
      </c>
      <c r="BJ1442" t="s">
        <v>25772</v>
      </c>
      <c r="BK1442" t="str">
        <f>HYPERLINK("http://dx.doi.org/10.1080/10409289.2011.626387","http://dx.doi.org/10.1080/10409289.2011.626387")</f>
        <v>http://dx.doi.org/10.1080/10409289.2011.626387</v>
      </c>
      <c r="BL1442" t="s">
        <v>69</v>
      </c>
      <c r="BM1442" t="s">
        <v>69</v>
      </c>
      <c r="BN1442">
        <v>26</v>
      </c>
      <c r="BO1442" t="s">
        <v>14725</v>
      </c>
      <c r="BP1442" t="s">
        <v>8661</v>
      </c>
      <c r="BQ1442" t="s">
        <v>14726</v>
      </c>
      <c r="BR1442" t="s">
        <v>25773</v>
      </c>
      <c r="BS1442" t="s">
        <v>25774</v>
      </c>
      <c r="BT1442" t="s">
        <v>69</v>
      </c>
      <c r="BU1442" t="s">
        <v>69</v>
      </c>
      <c r="BV1442" t="s">
        <v>69</v>
      </c>
      <c r="BW1442" t="s">
        <v>69</v>
      </c>
      <c r="BX1442" t="s">
        <v>8526</v>
      </c>
      <c r="BY1442" t="str">
        <f>HYPERLINK("https%3A%2F%2Fwww.webofscience.com%2Fwos%2Fwoscc%2Ffull-record%2FWOS:000315220400005","View Full Record in Web of Science")</f>
        <v>View Full Record in Web of Science</v>
      </c>
    </row>
    <row r="1443" spans="1:77" ht="12.5" x14ac:dyDescent="0.25">
      <c r="A1443" t="s">
        <v>8495</v>
      </c>
      <c r="B1443" s="22" t="s">
        <v>32931</v>
      </c>
      <c r="C1443" s="7"/>
      <c r="D1443" s="7"/>
      <c r="E1443" s="7"/>
      <c r="F1443" t="s">
        <v>67</v>
      </c>
      <c r="G1443" t="s">
        <v>13586</v>
      </c>
      <c r="H1443" t="s">
        <v>69</v>
      </c>
      <c r="I1443" t="s">
        <v>69</v>
      </c>
      <c r="J1443" t="s">
        <v>69</v>
      </c>
      <c r="K1443" t="s">
        <v>13587</v>
      </c>
      <c r="L1443" t="s">
        <v>69</v>
      </c>
      <c r="M1443" t="s">
        <v>69</v>
      </c>
      <c r="N1443" t="s">
        <v>13588</v>
      </c>
      <c r="O1443" t="s">
        <v>13589</v>
      </c>
      <c r="P1443" t="s">
        <v>69</v>
      </c>
      <c r="Q1443" t="s">
        <v>69</v>
      </c>
      <c r="R1443" t="s">
        <v>8505</v>
      </c>
      <c r="S1443" t="s">
        <v>8506</v>
      </c>
      <c r="T1443" t="s">
        <v>69</v>
      </c>
      <c r="U1443" t="s">
        <v>69</v>
      </c>
      <c r="V1443" t="s">
        <v>69</v>
      </c>
      <c r="W1443" t="s">
        <v>69</v>
      </c>
      <c r="X1443" t="s">
        <v>69</v>
      </c>
      <c r="Y1443" t="s">
        <v>13590</v>
      </c>
      <c r="Z1443" t="s">
        <v>13591</v>
      </c>
      <c r="AA1443" t="s">
        <v>13592</v>
      </c>
      <c r="AB1443" t="s">
        <v>13593</v>
      </c>
      <c r="AC1443" t="s">
        <v>69</v>
      </c>
      <c r="AD1443" t="s">
        <v>13594</v>
      </c>
      <c r="AE1443" t="s">
        <v>13595</v>
      </c>
      <c r="AF1443" t="s">
        <v>13596</v>
      </c>
      <c r="AG1443" t="s">
        <v>13597</v>
      </c>
      <c r="AH1443" t="s">
        <v>69</v>
      </c>
      <c r="AI1443" t="s">
        <v>69</v>
      </c>
      <c r="AJ1443" t="s">
        <v>69</v>
      </c>
      <c r="AK1443" t="s">
        <v>69</v>
      </c>
      <c r="AL1443">
        <v>80</v>
      </c>
      <c r="AM1443">
        <v>11</v>
      </c>
      <c r="AN1443">
        <v>11</v>
      </c>
      <c r="AO1443">
        <v>14</v>
      </c>
      <c r="AP1443">
        <v>21</v>
      </c>
      <c r="AQ1443" t="s">
        <v>8586</v>
      </c>
      <c r="AR1443" t="s">
        <v>8587</v>
      </c>
      <c r="AS1443" t="s">
        <v>8588</v>
      </c>
      <c r="AT1443" t="s">
        <v>13598</v>
      </c>
      <c r="AU1443" t="s">
        <v>13599</v>
      </c>
      <c r="AV1443" t="s">
        <v>69</v>
      </c>
      <c r="AW1443" t="s">
        <v>13600</v>
      </c>
      <c r="AX1443" t="s">
        <v>13601</v>
      </c>
      <c r="AY1443" t="s">
        <v>69</v>
      </c>
      <c r="AZ1443">
        <v>2021</v>
      </c>
      <c r="BA1443">
        <v>33</v>
      </c>
      <c r="BB1443">
        <v>7</v>
      </c>
      <c r="BC1443" t="s">
        <v>69</v>
      </c>
      <c r="BD1443" t="s">
        <v>69</v>
      </c>
      <c r="BE1443" t="s">
        <v>69</v>
      </c>
      <c r="BF1443" t="s">
        <v>69</v>
      </c>
      <c r="BG1443">
        <v>39</v>
      </c>
      <c r="BH1443">
        <v>56</v>
      </c>
      <c r="BI1443" t="s">
        <v>69</v>
      </c>
      <c r="BJ1443" t="s">
        <v>13602</v>
      </c>
      <c r="BK1443" t="str">
        <f>HYPERLINK("http://dx.doi.org/10.1108/TQM-08-2020-0180","http://dx.doi.org/10.1108/TQM-08-2020-0180")</f>
        <v>http://dx.doi.org/10.1108/TQM-08-2020-0180</v>
      </c>
      <c r="BL1443" t="s">
        <v>69</v>
      </c>
      <c r="BM1443" t="s">
        <v>69</v>
      </c>
      <c r="BN1443">
        <v>18</v>
      </c>
      <c r="BO1443" t="s">
        <v>9410</v>
      </c>
      <c r="BP1443" t="s">
        <v>8573</v>
      </c>
      <c r="BQ1443" t="s">
        <v>8594</v>
      </c>
      <c r="BR1443" t="s">
        <v>13603</v>
      </c>
      <c r="BS1443" t="s">
        <v>13604</v>
      </c>
      <c r="BT1443" t="s">
        <v>69</v>
      </c>
      <c r="BU1443" t="s">
        <v>8622</v>
      </c>
      <c r="BV1443" t="s">
        <v>69</v>
      </c>
      <c r="BW1443" t="s">
        <v>69</v>
      </c>
      <c r="BX1443" t="s">
        <v>8526</v>
      </c>
      <c r="BY1443" t="str">
        <f>HYPERLINK("https%3A%2F%2Fwww.webofscience.com%2Fwos%2Fwoscc%2Ffull-record%2FWOS:000680854700002","View Full Record in Web of Science")</f>
        <v>View Full Record in Web of Science</v>
      </c>
    </row>
    <row r="1444" spans="1:77" ht="12.5" x14ac:dyDescent="0.25">
      <c r="A1444" t="s">
        <v>8495</v>
      </c>
      <c r="B1444" s="22" t="s">
        <v>32931</v>
      </c>
      <c r="C1444" s="7"/>
      <c r="D1444" s="7"/>
      <c r="E1444" s="7"/>
      <c r="F1444" t="s">
        <v>67</v>
      </c>
      <c r="G1444" t="s">
        <v>32194</v>
      </c>
      <c r="H1444" t="s">
        <v>69</v>
      </c>
      <c r="I1444" t="s">
        <v>69</v>
      </c>
      <c r="J1444" t="s">
        <v>69</v>
      </c>
      <c r="K1444" t="s">
        <v>32194</v>
      </c>
      <c r="L1444" t="s">
        <v>69</v>
      </c>
      <c r="M1444" t="s">
        <v>69</v>
      </c>
      <c r="N1444" t="s">
        <v>32195</v>
      </c>
      <c r="O1444" t="s">
        <v>32196</v>
      </c>
      <c r="P1444" t="s">
        <v>69</v>
      </c>
      <c r="Q1444" t="s">
        <v>69</v>
      </c>
      <c r="R1444" t="s">
        <v>8505</v>
      </c>
      <c r="S1444" t="s">
        <v>8506</v>
      </c>
      <c r="T1444" t="s">
        <v>69</v>
      </c>
      <c r="U1444" t="s">
        <v>69</v>
      </c>
      <c r="V1444" t="s">
        <v>69</v>
      </c>
      <c r="W1444" t="s">
        <v>69</v>
      </c>
      <c r="X1444" t="s">
        <v>69</v>
      </c>
      <c r="Y1444" t="s">
        <v>69</v>
      </c>
      <c r="Z1444" t="s">
        <v>10571</v>
      </c>
      <c r="AA1444" t="s">
        <v>32197</v>
      </c>
      <c r="AB1444" t="s">
        <v>32198</v>
      </c>
      <c r="AC1444" t="s">
        <v>69</v>
      </c>
      <c r="AD1444" t="s">
        <v>32199</v>
      </c>
      <c r="AE1444" t="s">
        <v>69</v>
      </c>
      <c r="AF1444" t="s">
        <v>69</v>
      </c>
      <c r="AG1444" t="s">
        <v>69</v>
      </c>
      <c r="AH1444" t="s">
        <v>69</v>
      </c>
      <c r="AI1444" t="s">
        <v>69</v>
      </c>
      <c r="AJ1444" t="s">
        <v>69</v>
      </c>
      <c r="AK1444" t="s">
        <v>69</v>
      </c>
      <c r="AL1444">
        <v>79</v>
      </c>
      <c r="AM1444">
        <v>8</v>
      </c>
      <c r="AN1444">
        <v>8</v>
      </c>
      <c r="AO1444">
        <v>1</v>
      </c>
      <c r="AP1444">
        <v>7</v>
      </c>
      <c r="AQ1444" t="s">
        <v>29915</v>
      </c>
      <c r="AR1444" t="s">
        <v>29916</v>
      </c>
      <c r="AS1444" t="s">
        <v>29917</v>
      </c>
      <c r="AT1444" t="s">
        <v>32200</v>
      </c>
      <c r="AU1444" t="s">
        <v>69</v>
      </c>
      <c r="AV1444" t="s">
        <v>69</v>
      </c>
      <c r="AW1444" t="s">
        <v>32201</v>
      </c>
      <c r="AX1444" t="s">
        <v>32202</v>
      </c>
      <c r="AY1444" t="s">
        <v>263</v>
      </c>
      <c r="AZ1444">
        <v>1997</v>
      </c>
      <c r="BA1444">
        <v>22</v>
      </c>
      <c r="BB1444">
        <v>4</v>
      </c>
      <c r="BC1444" t="s">
        <v>69</v>
      </c>
      <c r="BD1444" t="s">
        <v>69</v>
      </c>
      <c r="BE1444" t="s">
        <v>69</v>
      </c>
      <c r="BF1444" t="s">
        <v>69</v>
      </c>
      <c r="BG1444">
        <v>457</v>
      </c>
      <c r="BH1444">
        <v>479</v>
      </c>
      <c r="BI1444" t="s">
        <v>69</v>
      </c>
      <c r="BJ1444" t="s">
        <v>32203</v>
      </c>
      <c r="BK1444" t="str">
        <f>HYPERLINK("http://dx.doi.org/10.2307/3341693","http://dx.doi.org/10.2307/3341693")</f>
        <v>http://dx.doi.org/10.2307/3341693</v>
      </c>
      <c r="BL1444" t="s">
        <v>69</v>
      </c>
      <c r="BM1444" t="s">
        <v>69</v>
      </c>
      <c r="BN1444">
        <v>23</v>
      </c>
      <c r="BO1444" t="s">
        <v>12930</v>
      </c>
      <c r="BP1444" t="s">
        <v>8661</v>
      </c>
      <c r="BQ1444" t="s">
        <v>12930</v>
      </c>
      <c r="BR1444" t="s">
        <v>32204</v>
      </c>
      <c r="BS1444" t="s">
        <v>32205</v>
      </c>
      <c r="BT1444" t="s">
        <v>69</v>
      </c>
      <c r="BU1444" t="s">
        <v>69</v>
      </c>
      <c r="BV1444" t="s">
        <v>69</v>
      </c>
      <c r="BW1444" t="s">
        <v>69</v>
      </c>
      <c r="BX1444" t="s">
        <v>8526</v>
      </c>
      <c r="BY1444" t="str">
        <f>HYPERLINK("https%3A%2F%2Fwww.webofscience.com%2Fwos%2Fwoscc%2Ffull-record%2FWOS:000072022300003","View Full Record in Web of Science")</f>
        <v>View Full Record in Web of Science</v>
      </c>
    </row>
    <row r="1445" spans="1:77" ht="12.5" x14ac:dyDescent="0.25">
      <c r="A1445" t="s">
        <v>8495</v>
      </c>
      <c r="B1445" s="7" t="s">
        <v>32933</v>
      </c>
      <c r="C1445" s="7"/>
      <c r="D1445" s="7"/>
      <c r="E1445" s="7"/>
      <c r="F1445" t="s">
        <v>627</v>
      </c>
      <c r="G1445" t="s">
        <v>1748</v>
      </c>
      <c r="H1445" t="s">
        <v>69</v>
      </c>
      <c r="I1445" t="s">
        <v>1749</v>
      </c>
      <c r="J1445" t="s">
        <v>69</v>
      </c>
      <c r="K1445" t="s">
        <v>1748</v>
      </c>
      <c r="L1445" t="s">
        <v>69</v>
      </c>
      <c r="M1445" t="s">
        <v>69</v>
      </c>
      <c r="N1445" t="s">
        <v>1750</v>
      </c>
      <c r="O1445" t="s">
        <v>1751</v>
      </c>
      <c r="P1445" t="s">
        <v>1752</v>
      </c>
      <c r="Q1445" t="s">
        <v>69</v>
      </c>
      <c r="R1445" t="s">
        <v>8505</v>
      </c>
      <c r="S1445" t="s">
        <v>15797</v>
      </c>
      <c r="T1445" t="s">
        <v>1753</v>
      </c>
      <c r="U1445" t="s">
        <v>1754</v>
      </c>
      <c r="V1445" t="s">
        <v>1755</v>
      </c>
      <c r="W1445" t="s">
        <v>69</v>
      </c>
      <c r="X1445" t="s">
        <v>69</v>
      </c>
      <c r="Y1445" t="s">
        <v>31874</v>
      </c>
      <c r="Z1445" t="s">
        <v>69</v>
      </c>
      <c r="AA1445" t="s">
        <v>1756</v>
      </c>
      <c r="AB1445" t="s">
        <v>31875</v>
      </c>
      <c r="AC1445" t="s">
        <v>69</v>
      </c>
      <c r="AD1445" t="s">
        <v>31876</v>
      </c>
      <c r="AE1445" t="s">
        <v>69</v>
      </c>
      <c r="AF1445" t="s">
        <v>1757</v>
      </c>
      <c r="AG1445" t="s">
        <v>1758</v>
      </c>
      <c r="AH1445" t="s">
        <v>69</v>
      </c>
      <c r="AI1445" t="s">
        <v>69</v>
      </c>
      <c r="AJ1445" t="s">
        <v>69</v>
      </c>
      <c r="AK1445" t="s">
        <v>69</v>
      </c>
      <c r="AL1445">
        <v>20</v>
      </c>
      <c r="AM1445">
        <v>1</v>
      </c>
      <c r="AN1445">
        <v>1</v>
      </c>
      <c r="AO1445">
        <v>0</v>
      </c>
      <c r="AP1445">
        <v>4</v>
      </c>
      <c r="AQ1445" t="s">
        <v>30409</v>
      </c>
      <c r="AR1445" t="s">
        <v>11361</v>
      </c>
      <c r="AS1445" t="s">
        <v>30410</v>
      </c>
      <c r="AT1445" t="s">
        <v>1759</v>
      </c>
      <c r="AU1445" t="s">
        <v>69</v>
      </c>
      <c r="AV1445" t="s">
        <v>1760</v>
      </c>
      <c r="AW1445" t="s">
        <v>31877</v>
      </c>
      <c r="AX1445" t="s">
        <v>69</v>
      </c>
      <c r="AY1445" t="s">
        <v>69</v>
      </c>
      <c r="AZ1445">
        <v>2000</v>
      </c>
      <c r="BA1445">
        <v>487</v>
      </c>
      <c r="BB1445" t="s">
        <v>69</v>
      </c>
      <c r="BC1445" t="s">
        <v>69</v>
      </c>
      <c r="BD1445" t="s">
        <v>69</v>
      </c>
      <c r="BE1445" t="s">
        <v>69</v>
      </c>
      <c r="BF1445" t="s">
        <v>69</v>
      </c>
      <c r="BG1445">
        <v>445</v>
      </c>
      <c r="BH1445">
        <v>457</v>
      </c>
      <c r="BI1445" t="s">
        <v>69</v>
      </c>
      <c r="BJ1445" t="s">
        <v>69</v>
      </c>
      <c r="BK1445" t="s">
        <v>69</v>
      </c>
      <c r="BL1445" t="s">
        <v>69</v>
      </c>
      <c r="BM1445" t="s">
        <v>69</v>
      </c>
      <c r="BN1445">
        <v>13</v>
      </c>
      <c r="BO1445" t="s">
        <v>31878</v>
      </c>
      <c r="BP1445" t="s">
        <v>31879</v>
      </c>
      <c r="BQ1445" t="s">
        <v>31880</v>
      </c>
      <c r="BR1445" t="s">
        <v>31881</v>
      </c>
      <c r="BS1445" t="s">
        <v>1761</v>
      </c>
      <c r="BT1445" t="s">
        <v>69</v>
      </c>
      <c r="BU1445" t="s">
        <v>69</v>
      </c>
      <c r="BV1445" t="s">
        <v>69</v>
      </c>
      <c r="BW1445" t="s">
        <v>69</v>
      </c>
      <c r="BX1445" t="s">
        <v>8526</v>
      </c>
      <c r="BY1445" t="str">
        <f>HYPERLINK("https%3A%2F%2Fwww.webofscience.com%2Fwos%2Fwoscc%2Ffull-record%2FWOS:000089141200039","View Full Record in Web of Science")</f>
        <v>View Full Record in Web of Science</v>
      </c>
    </row>
    <row r="1446" spans="1:77" ht="12.5" x14ac:dyDescent="0.25">
      <c r="A1446" t="s">
        <v>8495</v>
      </c>
      <c r="B1446" s="22" t="s">
        <v>32931</v>
      </c>
      <c r="C1446" s="7"/>
      <c r="D1446" s="7"/>
      <c r="E1446" s="7"/>
      <c r="F1446" t="s">
        <v>67</v>
      </c>
      <c r="G1446" t="s">
        <v>10997</v>
      </c>
      <c r="H1446" t="s">
        <v>69</v>
      </c>
      <c r="I1446" t="s">
        <v>69</v>
      </c>
      <c r="J1446" t="s">
        <v>69</v>
      </c>
      <c r="K1446" t="s">
        <v>10998</v>
      </c>
      <c r="L1446" t="s">
        <v>69</v>
      </c>
      <c r="M1446" t="s">
        <v>69</v>
      </c>
      <c r="N1446" t="s">
        <v>10999</v>
      </c>
      <c r="O1446" t="s">
        <v>2517</v>
      </c>
      <c r="P1446" t="s">
        <v>69</v>
      </c>
      <c r="Q1446" t="s">
        <v>69</v>
      </c>
      <c r="R1446" t="s">
        <v>8505</v>
      </c>
      <c r="S1446" t="s">
        <v>8506</v>
      </c>
      <c r="T1446" t="s">
        <v>69</v>
      </c>
      <c r="U1446" t="s">
        <v>69</v>
      </c>
      <c r="V1446" t="s">
        <v>69</v>
      </c>
      <c r="W1446" t="s">
        <v>69</v>
      </c>
      <c r="X1446" t="s">
        <v>69</v>
      </c>
      <c r="Y1446" t="s">
        <v>11000</v>
      </c>
      <c r="Z1446" t="s">
        <v>11001</v>
      </c>
      <c r="AA1446" t="s">
        <v>11002</v>
      </c>
      <c r="AB1446" t="s">
        <v>11003</v>
      </c>
      <c r="AC1446" t="s">
        <v>69</v>
      </c>
      <c r="AD1446" t="s">
        <v>11004</v>
      </c>
      <c r="AE1446" t="s">
        <v>11005</v>
      </c>
      <c r="AF1446" t="s">
        <v>69</v>
      </c>
      <c r="AG1446" t="s">
        <v>69</v>
      </c>
      <c r="AH1446" t="s">
        <v>69</v>
      </c>
      <c r="AI1446" t="s">
        <v>69</v>
      </c>
      <c r="AJ1446" t="s">
        <v>69</v>
      </c>
      <c r="AK1446" t="s">
        <v>69</v>
      </c>
      <c r="AL1446">
        <v>51</v>
      </c>
      <c r="AM1446">
        <v>1</v>
      </c>
      <c r="AN1446">
        <v>1</v>
      </c>
      <c r="AO1446">
        <v>2</v>
      </c>
      <c r="AP1446">
        <v>2</v>
      </c>
      <c r="AQ1446" t="s">
        <v>8586</v>
      </c>
      <c r="AR1446" t="s">
        <v>8587</v>
      </c>
      <c r="AS1446" t="s">
        <v>8588</v>
      </c>
      <c r="AT1446" t="s">
        <v>2519</v>
      </c>
      <c r="AU1446" t="s">
        <v>2520</v>
      </c>
      <c r="AV1446" t="s">
        <v>69</v>
      </c>
      <c r="AW1446" t="s">
        <v>11006</v>
      </c>
      <c r="AX1446" t="s">
        <v>11007</v>
      </c>
      <c r="AY1446" t="s">
        <v>11008</v>
      </c>
      <c r="AZ1446">
        <v>2021</v>
      </c>
      <c r="BA1446">
        <v>23</v>
      </c>
      <c r="BB1446">
        <v>5</v>
      </c>
      <c r="BC1446" t="s">
        <v>69</v>
      </c>
      <c r="BD1446" t="s">
        <v>69</v>
      </c>
      <c r="BE1446" t="s">
        <v>69</v>
      </c>
      <c r="BF1446" t="s">
        <v>69</v>
      </c>
      <c r="BG1446">
        <v>475</v>
      </c>
      <c r="BH1446">
        <v>488</v>
      </c>
      <c r="BI1446" t="s">
        <v>69</v>
      </c>
      <c r="BJ1446" t="s">
        <v>11009</v>
      </c>
      <c r="BK1446" t="str">
        <f>HYPERLINK("http://dx.doi.org/10.1108/DPRG-03-2021-0047","http://dx.doi.org/10.1108/DPRG-03-2021-0047")</f>
        <v>http://dx.doi.org/10.1108/DPRG-03-2021-0047</v>
      </c>
      <c r="BL1446" t="s">
        <v>69</v>
      </c>
      <c r="BM1446" t="s">
        <v>10991</v>
      </c>
      <c r="BN1446">
        <v>14</v>
      </c>
      <c r="BO1446" t="s">
        <v>11010</v>
      </c>
      <c r="BP1446" t="s">
        <v>8573</v>
      </c>
      <c r="BQ1446" t="s">
        <v>11010</v>
      </c>
      <c r="BR1446" t="s">
        <v>11011</v>
      </c>
      <c r="BS1446" t="s">
        <v>11012</v>
      </c>
      <c r="BT1446" t="s">
        <v>69</v>
      </c>
      <c r="BU1446" t="s">
        <v>69</v>
      </c>
      <c r="BV1446" t="s">
        <v>69</v>
      </c>
      <c r="BW1446" t="s">
        <v>69</v>
      </c>
      <c r="BX1446" t="s">
        <v>8526</v>
      </c>
      <c r="BY1446" t="str">
        <f>HYPERLINK("https%3A%2F%2Fwww.webofscience.com%2Fwos%2Fwoscc%2Ffull-record%2FWOS:000710657400001","View Full Record in Web of Science")</f>
        <v>View Full Record in Web of Science</v>
      </c>
    </row>
    <row r="1447" spans="1:77" ht="12.5" x14ac:dyDescent="0.25">
      <c r="A1447" t="s">
        <v>8495</v>
      </c>
      <c r="B1447" s="7" t="s">
        <v>32933</v>
      </c>
      <c r="C1447" s="7"/>
      <c r="D1447" s="7"/>
      <c r="E1447" s="7"/>
      <c r="F1447" t="s">
        <v>67</v>
      </c>
      <c r="G1447" t="s">
        <v>629</v>
      </c>
      <c r="H1447" t="s">
        <v>69</v>
      </c>
      <c r="I1447" t="s">
        <v>69</v>
      </c>
      <c r="J1447" t="s">
        <v>69</v>
      </c>
      <c r="K1447" t="s">
        <v>630</v>
      </c>
      <c r="L1447" t="s">
        <v>69</v>
      </c>
      <c r="M1447" t="s">
        <v>69</v>
      </c>
      <c r="N1447" t="s">
        <v>631</v>
      </c>
      <c r="O1447" t="s">
        <v>632</v>
      </c>
      <c r="P1447" t="s">
        <v>69</v>
      </c>
      <c r="Q1447" t="s">
        <v>69</v>
      </c>
      <c r="R1447" t="s">
        <v>8505</v>
      </c>
      <c r="S1447" t="s">
        <v>8506</v>
      </c>
      <c r="T1447" t="s">
        <v>69</v>
      </c>
      <c r="U1447" t="s">
        <v>69</v>
      </c>
      <c r="V1447" t="s">
        <v>69</v>
      </c>
      <c r="W1447" t="s">
        <v>69</v>
      </c>
      <c r="X1447" t="s">
        <v>69</v>
      </c>
      <c r="Y1447" t="s">
        <v>18934</v>
      </c>
      <c r="Z1447" t="s">
        <v>69</v>
      </c>
      <c r="AA1447" t="s">
        <v>633</v>
      </c>
      <c r="AB1447" t="s">
        <v>18935</v>
      </c>
      <c r="AC1447" t="s">
        <v>69</v>
      </c>
      <c r="AD1447" t="s">
        <v>18936</v>
      </c>
      <c r="AE1447" t="s">
        <v>18937</v>
      </c>
      <c r="AF1447" t="s">
        <v>18938</v>
      </c>
      <c r="AG1447" t="s">
        <v>18939</v>
      </c>
      <c r="AH1447" t="s">
        <v>18940</v>
      </c>
      <c r="AI1447" t="s">
        <v>18941</v>
      </c>
      <c r="AJ1447" t="s">
        <v>18942</v>
      </c>
      <c r="AK1447" t="s">
        <v>69</v>
      </c>
      <c r="AL1447">
        <v>22</v>
      </c>
      <c r="AM1447">
        <v>4</v>
      </c>
      <c r="AN1447">
        <v>4</v>
      </c>
      <c r="AO1447">
        <v>0</v>
      </c>
      <c r="AP1447">
        <v>16</v>
      </c>
      <c r="AQ1447" t="s">
        <v>8516</v>
      </c>
      <c r="AR1447" t="s">
        <v>8517</v>
      </c>
      <c r="AS1447" t="s">
        <v>8518</v>
      </c>
      <c r="AT1447" t="s">
        <v>634</v>
      </c>
      <c r="AU1447" t="s">
        <v>635</v>
      </c>
      <c r="AV1447" t="s">
        <v>69</v>
      </c>
      <c r="AW1447" t="s">
        <v>8714</v>
      </c>
      <c r="AX1447" t="s">
        <v>8715</v>
      </c>
      <c r="AY1447" t="s">
        <v>636</v>
      </c>
      <c r="AZ1447">
        <v>2018</v>
      </c>
      <c r="BA1447">
        <v>622</v>
      </c>
      <c r="BB1447" t="s">
        <v>69</v>
      </c>
      <c r="BC1447" t="s">
        <v>69</v>
      </c>
      <c r="BD1447" t="s">
        <v>69</v>
      </c>
      <c r="BE1447" t="s">
        <v>69</v>
      </c>
      <c r="BF1447" t="s">
        <v>69</v>
      </c>
      <c r="BG1447">
        <v>1408</v>
      </c>
      <c r="BH1447">
        <v>1416</v>
      </c>
      <c r="BI1447" t="s">
        <v>69</v>
      </c>
      <c r="BJ1447" t="s">
        <v>637</v>
      </c>
      <c r="BK1447" t="str">
        <f>HYPERLINK("http://dx.doi.org/10.1016/j.scitotenv.2017.11.335","http://dx.doi.org/10.1016/j.scitotenv.2017.11.335")</f>
        <v>http://dx.doi.org/10.1016/j.scitotenv.2017.11.335</v>
      </c>
      <c r="BL1447" t="s">
        <v>69</v>
      </c>
      <c r="BM1447" t="s">
        <v>69</v>
      </c>
      <c r="BN1447">
        <v>9</v>
      </c>
      <c r="BO1447" t="s">
        <v>8717</v>
      </c>
      <c r="BP1447" t="s">
        <v>8548</v>
      </c>
      <c r="BQ1447" t="s">
        <v>8662</v>
      </c>
      <c r="BR1447" t="s">
        <v>18943</v>
      </c>
      <c r="BS1447" t="s">
        <v>638</v>
      </c>
      <c r="BT1447">
        <v>29890606</v>
      </c>
      <c r="BU1447" t="s">
        <v>9292</v>
      </c>
      <c r="BV1447" t="s">
        <v>69</v>
      </c>
      <c r="BW1447" t="s">
        <v>69</v>
      </c>
      <c r="BX1447" t="s">
        <v>8526</v>
      </c>
      <c r="BY1447" t="str">
        <f>HYPERLINK("https%3A%2F%2Fwww.webofscience.com%2Fwos%2Fwoscc%2Ffull-record%2FWOS:000426349000137","View Full Record in Web of Science")</f>
        <v>View Full Record in Web of Science</v>
      </c>
    </row>
    <row r="1448" spans="1:77" ht="12.5" x14ac:dyDescent="0.25">
      <c r="A1448" t="s">
        <v>8495</v>
      </c>
      <c r="B1448" s="22" t="s">
        <v>32931</v>
      </c>
      <c r="C1448" s="7"/>
      <c r="D1448" s="7"/>
      <c r="E1448" s="7"/>
      <c r="F1448" t="s">
        <v>67</v>
      </c>
      <c r="G1448" t="s">
        <v>32272</v>
      </c>
      <c r="H1448" t="s">
        <v>69</v>
      </c>
      <c r="I1448" t="s">
        <v>69</v>
      </c>
      <c r="J1448" t="s">
        <v>69</v>
      </c>
      <c r="K1448" t="s">
        <v>32272</v>
      </c>
      <c r="L1448" t="s">
        <v>69</v>
      </c>
      <c r="M1448" t="s">
        <v>69</v>
      </c>
      <c r="N1448" t="s">
        <v>32273</v>
      </c>
      <c r="O1448" t="s">
        <v>32274</v>
      </c>
      <c r="P1448" t="s">
        <v>69</v>
      </c>
      <c r="Q1448" t="s">
        <v>69</v>
      </c>
      <c r="R1448" t="s">
        <v>8505</v>
      </c>
      <c r="S1448" t="s">
        <v>8506</v>
      </c>
      <c r="T1448" t="s">
        <v>69</v>
      </c>
      <c r="U1448" t="s">
        <v>69</v>
      </c>
      <c r="V1448" t="s">
        <v>69</v>
      </c>
      <c r="W1448" t="s">
        <v>69</v>
      </c>
      <c r="X1448" t="s">
        <v>69</v>
      </c>
      <c r="Y1448" t="s">
        <v>69</v>
      </c>
      <c r="Z1448" t="s">
        <v>69</v>
      </c>
      <c r="AA1448" t="s">
        <v>32275</v>
      </c>
      <c r="AB1448" t="s">
        <v>69</v>
      </c>
      <c r="AC1448" t="s">
        <v>69</v>
      </c>
      <c r="AD1448" t="s">
        <v>32276</v>
      </c>
      <c r="AE1448" t="s">
        <v>69</v>
      </c>
      <c r="AF1448" t="s">
        <v>32277</v>
      </c>
      <c r="AG1448" t="s">
        <v>69</v>
      </c>
      <c r="AH1448" t="s">
        <v>69</v>
      </c>
      <c r="AI1448" t="s">
        <v>69</v>
      </c>
      <c r="AJ1448" t="s">
        <v>69</v>
      </c>
      <c r="AK1448" t="s">
        <v>69</v>
      </c>
      <c r="AL1448">
        <v>21</v>
      </c>
      <c r="AM1448">
        <v>2</v>
      </c>
      <c r="AN1448">
        <v>2</v>
      </c>
      <c r="AO1448">
        <v>0</v>
      </c>
      <c r="AP1448">
        <v>1</v>
      </c>
      <c r="AQ1448" t="s">
        <v>32278</v>
      </c>
      <c r="AR1448" t="s">
        <v>8693</v>
      </c>
      <c r="AS1448" t="s">
        <v>32279</v>
      </c>
      <c r="AT1448" t="s">
        <v>32280</v>
      </c>
      <c r="AU1448" t="s">
        <v>69</v>
      </c>
      <c r="AV1448" t="s">
        <v>69</v>
      </c>
      <c r="AW1448" t="s">
        <v>32281</v>
      </c>
      <c r="AX1448" t="s">
        <v>32282</v>
      </c>
      <c r="AY1448" t="s">
        <v>246</v>
      </c>
      <c r="AZ1448">
        <v>1997</v>
      </c>
      <c r="BA1448">
        <v>30</v>
      </c>
      <c r="BB1448">
        <v>4</v>
      </c>
      <c r="BC1448" t="s">
        <v>69</v>
      </c>
      <c r="BD1448" t="s">
        <v>69</v>
      </c>
      <c r="BE1448" t="s">
        <v>69</v>
      </c>
      <c r="BF1448" t="s">
        <v>69</v>
      </c>
      <c r="BG1448">
        <v>454</v>
      </c>
      <c r="BH1448">
        <v>459</v>
      </c>
      <c r="BI1448" t="s">
        <v>69</v>
      </c>
      <c r="BJ1448" t="s">
        <v>69</v>
      </c>
      <c r="BK1448" t="s">
        <v>69</v>
      </c>
      <c r="BL1448" t="s">
        <v>69</v>
      </c>
      <c r="BM1448" t="s">
        <v>69</v>
      </c>
      <c r="BN1448">
        <v>6</v>
      </c>
      <c r="BO1448" t="s">
        <v>17154</v>
      </c>
      <c r="BP1448" t="s">
        <v>8548</v>
      </c>
      <c r="BQ1448" t="s">
        <v>8450</v>
      </c>
      <c r="BR1448" t="s">
        <v>32283</v>
      </c>
      <c r="BS1448" t="s">
        <v>32284</v>
      </c>
      <c r="BT1448" t="s">
        <v>69</v>
      </c>
      <c r="BU1448" t="s">
        <v>69</v>
      </c>
      <c r="BV1448" t="s">
        <v>69</v>
      </c>
      <c r="BW1448" t="s">
        <v>69</v>
      </c>
      <c r="BX1448" t="s">
        <v>8526</v>
      </c>
      <c r="BY1448" t="str">
        <f>HYPERLINK("https%3A%2F%2Fwww.webofscience.com%2Fwos%2Fwoscc%2Ffull-record%2FWOS:A1997XF43700019","View Full Record in Web of Science")</f>
        <v>View Full Record in Web of Science</v>
      </c>
    </row>
    <row r="1449" spans="1:77" ht="12.5" x14ac:dyDescent="0.25">
      <c r="A1449" t="s">
        <v>8495</v>
      </c>
      <c r="B1449" s="7" t="s">
        <v>32933</v>
      </c>
      <c r="C1449" s="7"/>
      <c r="D1449" s="7"/>
      <c r="E1449" s="7"/>
      <c r="F1449" t="s">
        <v>67</v>
      </c>
      <c r="G1449" t="s">
        <v>1115</v>
      </c>
      <c r="H1449" t="s">
        <v>69</v>
      </c>
      <c r="I1449" t="s">
        <v>69</v>
      </c>
      <c r="J1449" t="s">
        <v>69</v>
      </c>
      <c r="K1449" t="s">
        <v>1116</v>
      </c>
      <c r="L1449" t="s">
        <v>69</v>
      </c>
      <c r="M1449" t="s">
        <v>69</v>
      </c>
      <c r="N1449" t="s">
        <v>1117</v>
      </c>
      <c r="O1449" t="s">
        <v>1118</v>
      </c>
      <c r="P1449" t="s">
        <v>69</v>
      </c>
      <c r="Q1449" t="s">
        <v>69</v>
      </c>
      <c r="R1449" t="s">
        <v>8505</v>
      </c>
      <c r="S1449" t="s">
        <v>8506</v>
      </c>
      <c r="T1449" t="s">
        <v>69</v>
      </c>
      <c r="U1449" t="s">
        <v>69</v>
      </c>
      <c r="V1449" t="s">
        <v>69</v>
      </c>
      <c r="W1449" t="s">
        <v>69</v>
      </c>
      <c r="X1449" t="s">
        <v>69</v>
      </c>
      <c r="Y1449" t="s">
        <v>69</v>
      </c>
      <c r="Z1449" t="s">
        <v>19615</v>
      </c>
      <c r="AA1449" t="s">
        <v>1119</v>
      </c>
      <c r="AB1449" t="s">
        <v>19616</v>
      </c>
      <c r="AC1449" t="s">
        <v>69</v>
      </c>
      <c r="AD1449" t="s">
        <v>19617</v>
      </c>
      <c r="AE1449" t="s">
        <v>19618</v>
      </c>
      <c r="AF1449" t="s">
        <v>1120</v>
      </c>
      <c r="AG1449" t="s">
        <v>1121</v>
      </c>
      <c r="AH1449" t="s">
        <v>69</v>
      </c>
      <c r="AI1449" t="s">
        <v>69</v>
      </c>
      <c r="AJ1449" t="s">
        <v>69</v>
      </c>
      <c r="AK1449" t="s">
        <v>69</v>
      </c>
      <c r="AL1449">
        <v>22</v>
      </c>
      <c r="AM1449">
        <v>14</v>
      </c>
      <c r="AN1449">
        <v>14</v>
      </c>
      <c r="AO1449">
        <v>2</v>
      </c>
      <c r="AP1449">
        <v>24</v>
      </c>
      <c r="AQ1449" t="s">
        <v>19619</v>
      </c>
      <c r="AR1449" t="s">
        <v>19620</v>
      </c>
      <c r="AS1449" t="s">
        <v>19621</v>
      </c>
      <c r="AT1449" t="s">
        <v>1122</v>
      </c>
      <c r="AU1449" t="s">
        <v>69</v>
      </c>
      <c r="AV1449" t="s">
        <v>69</v>
      </c>
      <c r="AW1449" t="s">
        <v>19622</v>
      </c>
      <c r="AX1449" t="s">
        <v>19623</v>
      </c>
      <c r="AY1449" t="s">
        <v>373</v>
      </c>
      <c r="AZ1449">
        <v>2018</v>
      </c>
      <c r="BA1449">
        <v>10</v>
      </c>
      <c r="BB1449">
        <v>1</v>
      </c>
      <c r="BC1449" t="s">
        <v>69</v>
      </c>
      <c r="BD1449" t="s">
        <v>69</v>
      </c>
      <c r="BE1449" t="s">
        <v>69</v>
      </c>
      <c r="BF1449" t="s">
        <v>69</v>
      </c>
      <c r="BG1449" t="s">
        <v>69</v>
      </c>
      <c r="BH1449" t="s">
        <v>69</v>
      </c>
      <c r="BI1449">
        <v>13703</v>
      </c>
      <c r="BJ1449" t="s">
        <v>1123</v>
      </c>
      <c r="BK1449" t="str">
        <f>HYPERLINK("http://dx.doi.org/10.1063/1.4997888","http://dx.doi.org/10.1063/1.4997888")</f>
        <v>http://dx.doi.org/10.1063/1.4997888</v>
      </c>
      <c r="BL1449" t="s">
        <v>69</v>
      </c>
      <c r="BM1449" t="s">
        <v>69</v>
      </c>
      <c r="BN1449">
        <v>13</v>
      </c>
      <c r="BO1449" t="s">
        <v>9931</v>
      </c>
      <c r="BP1449" t="s">
        <v>8548</v>
      </c>
      <c r="BQ1449" t="s">
        <v>9932</v>
      </c>
      <c r="BR1449" t="s">
        <v>19624</v>
      </c>
      <c r="BS1449" t="s">
        <v>1124</v>
      </c>
      <c r="BT1449" t="s">
        <v>69</v>
      </c>
      <c r="BU1449" t="s">
        <v>69</v>
      </c>
      <c r="BV1449" t="s">
        <v>69</v>
      </c>
      <c r="BW1449" t="s">
        <v>69</v>
      </c>
      <c r="BX1449" t="s">
        <v>8526</v>
      </c>
      <c r="BY1449" t="str">
        <f>HYPERLINK("https%3A%2F%2Fwww.webofscience.com%2Fwos%2Fwoscc%2Ffull-record%2FWOS:000426032800028","View Full Record in Web of Science")</f>
        <v>View Full Record in Web of Science</v>
      </c>
    </row>
    <row r="1450" spans="1:77" ht="12.5" x14ac:dyDescent="0.25">
      <c r="A1450" t="s">
        <v>8495</v>
      </c>
      <c r="B1450" s="7" t="s">
        <v>32933</v>
      </c>
      <c r="C1450" s="7"/>
      <c r="D1450" s="7"/>
      <c r="E1450" s="7"/>
      <c r="F1450" t="s">
        <v>67</v>
      </c>
      <c r="G1450" t="s">
        <v>5467</v>
      </c>
      <c r="H1450" t="s">
        <v>69</v>
      </c>
      <c r="I1450" t="s">
        <v>69</v>
      </c>
      <c r="J1450" t="s">
        <v>69</v>
      </c>
      <c r="K1450" t="s">
        <v>5468</v>
      </c>
      <c r="L1450" t="s">
        <v>69</v>
      </c>
      <c r="M1450" t="s">
        <v>69</v>
      </c>
      <c r="N1450" t="s">
        <v>5469</v>
      </c>
      <c r="O1450" t="s">
        <v>5470</v>
      </c>
      <c r="P1450" t="s">
        <v>69</v>
      </c>
      <c r="Q1450" t="s">
        <v>69</v>
      </c>
      <c r="R1450" t="s">
        <v>8505</v>
      </c>
      <c r="S1450" t="s">
        <v>8506</v>
      </c>
      <c r="T1450" t="s">
        <v>69</v>
      </c>
      <c r="U1450" t="s">
        <v>69</v>
      </c>
      <c r="V1450" t="s">
        <v>69</v>
      </c>
      <c r="W1450" t="s">
        <v>69</v>
      </c>
      <c r="X1450" t="s">
        <v>69</v>
      </c>
      <c r="Y1450" t="s">
        <v>23268</v>
      </c>
      <c r="Z1450" t="s">
        <v>69</v>
      </c>
      <c r="AA1450" t="s">
        <v>5471</v>
      </c>
      <c r="AB1450" t="s">
        <v>23269</v>
      </c>
      <c r="AC1450" t="s">
        <v>69</v>
      </c>
      <c r="AD1450" t="s">
        <v>23270</v>
      </c>
      <c r="AE1450" t="s">
        <v>23271</v>
      </c>
      <c r="AF1450" t="s">
        <v>69</v>
      </c>
      <c r="AG1450" t="s">
        <v>69</v>
      </c>
      <c r="AH1450" t="s">
        <v>69</v>
      </c>
      <c r="AI1450" t="s">
        <v>69</v>
      </c>
      <c r="AJ1450" t="s">
        <v>69</v>
      </c>
      <c r="AK1450" t="s">
        <v>69</v>
      </c>
      <c r="AL1450">
        <v>1</v>
      </c>
      <c r="AM1450">
        <v>0</v>
      </c>
      <c r="AN1450">
        <v>0</v>
      </c>
      <c r="AO1450">
        <v>0</v>
      </c>
      <c r="AP1450">
        <v>0</v>
      </c>
      <c r="AQ1450" t="s">
        <v>8865</v>
      </c>
      <c r="AR1450" t="s">
        <v>8612</v>
      </c>
      <c r="AS1450" t="s">
        <v>8866</v>
      </c>
      <c r="AT1450" t="s">
        <v>5472</v>
      </c>
      <c r="AU1450" t="s">
        <v>5473</v>
      </c>
      <c r="AV1450" t="s">
        <v>69</v>
      </c>
      <c r="AW1450" t="s">
        <v>20923</v>
      </c>
      <c r="AX1450" t="s">
        <v>20924</v>
      </c>
      <c r="AY1450" t="s">
        <v>69</v>
      </c>
      <c r="AZ1450">
        <v>2015</v>
      </c>
      <c r="BA1450">
        <v>14</v>
      </c>
      <c r="BB1450">
        <v>3</v>
      </c>
      <c r="BC1450" t="s">
        <v>69</v>
      </c>
      <c r="BD1450" t="s">
        <v>69</v>
      </c>
      <c r="BE1450" t="s">
        <v>69</v>
      </c>
      <c r="BF1450" t="s">
        <v>69</v>
      </c>
      <c r="BG1450">
        <v>223</v>
      </c>
      <c r="BH1450">
        <v>228</v>
      </c>
      <c r="BI1450" t="s">
        <v>69</v>
      </c>
      <c r="BJ1450" t="s">
        <v>5474</v>
      </c>
      <c r="BK1450" t="str">
        <f>HYPERLINK("http://dx.doi.org/10.1080/15377857.2015.1061797","http://dx.doi.org/10.1080/15377857.2015.1061797")</f>
        <v>http://dx.doi.org/10.1080/15377857.2015.1061797</v>
      </c>
      <c r="BL1450" t="s">
        <v>69</v>
      </c>
      <c r="BM1450" t="s">
        <v>69</v>
      </c>
      <c r="BN1450">
        <v>6</v>
      </c>
      <c r="BO1450" t="s">
        <v>13241</v>
      </c>
      <c r="BP1450" t="s">
        <v>8573</v>
      </c>
      <c r="BQ1450" t="s">
        <v>10084</v>
      </c>
      <c r="BR1450" t="s">
        <v>23272</v>
      </c>
      <c r="BS1450" t="s">
        <v>5475</v>
      </c>
      <c r="BT1450" t="s">
        <v>69</v>
      </c>
      <c r="BU1450" t="s">
        <v>69</v>
      </c>
      <c r="BV1450" t="s">
        <v>69</v>
      </c>
      <c r="BW1450" t="s">
        <v>69</v>
      </c>
      <c r="BX1450" t="s">
        <v>8526</v>
      </c>
      <c r="BY1450" t="str">
        <f>HYPERLINK("https%3A%2F%2Fwww.webofscience.com%2Fwos%2Fwoscc%2Ffull-record%2FWOS:000212759600001","View Full Record in Web of Science")</f>
        <v>View Full Record in Web of Science</v>
      </c>
    </row>
    <row r="1451" spans="1:77" ht="12.5" x14ac:dyDescent="0.25">
      <c r="A1451" t="s">
        <v>8495</v>
      </c>
      <c r="B1451" s="7" t="s">
        <v>32933</v>
      </c>
      <c r="C1451" s="7"/>
      <c r="D1451" s="7"/>
      <c r="E1451" s="7"/>
      <c r="F1451" t="s">
        <v>67</v>
      </c>
      <c r="G1451" t="s">
        <v>3243</v>
      </c>
      <c r="H1451" t="s">
        <v>69</v>
      </c>
      <c r="I1451" t="s">
        <v>69</v>
      </c>
      <c r="J1451" t="s">
        <v>69</v>
      </c>
      <c r="K1451" t="s">
        <v>3244</v>
      </c>
      <c r="L1451" t="s">
        <v>69</v>
      </c>
      <c r="M1451" t="s">
        <v>69</v>
      </c>
      <c r="N1451" t="s">
        <v>3245</v>
      </c>
      <c r="O1451" t="s">
        <v>3246</v>
      </c>
      <c r="P1451" t="s">
        <v>69</v>
      </c>
      <c r="Q1451" t="s">
        <v>69</v>
      </c>
      <c r="R1451" t="s">
        <v>8505</v>
      </c>
      <c r="S1451" t="s">
        <v>8506</v>
      </c>
      <c r="T1451" t="s">
        <v>69</v>
      </c>
      <c r="U1451" t="s">
        <v>69</v>
      </c>
      <c r="V1451" t="s">
        <v>69</v>
      </c>
      <c r="W1451" t="s">
        <v>69</v>
      </c>
      <c r="X1451" t="s">
        <v>69</v>
      </c>
      <c r="Y1451" t="s">
        <v>24526</v>
      </c>
      <c r="Z1451" t="s">
        <v>69</v>
      </c>
      <c r="AA1451" t="s">
        <v>3247</v>
      </c>
      <c r="AB1451" t="s">
        <v>24527</v>
      </c>
      <c r="AC1451" t="s">
        <v>69</v>
      </c>
      <c r="AD1451" t="s">
        <v>24528</v>
      </c>
      <c r="AE1451" t="s">
        <v>24529</v>
      </c>
      <c r="AF1451" t="s">
        <v>69</v>
      </c>
      <c r="AG1451" t="s">
        <v>3248</v>
      </c>
      <c r="AH1451" t="s">
        <v>24530</v>
      </c>
      <c r="AI1451" t="s">
        <v>11825</v>
      </c>
      <c r="AJ1451" t="s">
        <v>24531</v>
      </c>
      <c r="AK1451" t="s">
        <v>69</v>
      </c>
      <c r="AL1451">
        <v>45</v>
      </c>
      <c r="AM1451">
        <v>19</v>
      </c>
      <c r="AN1451">
        <v>20</v>
      </c>
      <c r="AO1451">
        <v>1</v>
      </c>
      <c r="AP1451">
        <v>19</v>
      </c>
      <c r="AQ1451" t="s">
        <v>17140</v>
      </c>
      <c r="AR1451" t="s">
        <v>8517</v>
      </c>
      <c r="AS1451" t="s">
        <v>17141</v>
      </c>
      <c r="AT1451" t="s">
        <v>3249</v>
      </c>
      <c r="AU1451" t="s">
        <v>3250</v>
      </c>
      <c r="AV1451" t="s">
        <v>69</v>
      </c>
      <c r="AW1451" t="s">
        <v>24532</v>
      </c>
      <c r="AX1451" t="s">
        <v>24533</v>
      </c>
      <c r="AY1451" t="s">
        <v>75</v>
      </c>
      <c r="AZ1451">
        <v>2013</v>
      </c>
      <c r="BA1451">
        <v>35</v>
      </c>
      <c r="BB1451" t="s">
        <v>69</v>
      </c>
      <c r="BC1451" t="s">
        <v>69</v>
      </c>
      <c r="BD1451" t="s">
        <v>69</v>
      </c>
      <c r="BE1451" t="s">
        <v>69</v>
      </c>
      <c r="BF1451" t="s">
        <v>69</v>
      </c>
      <c r="BG1451">
        <v>43</v>
      </c>
      <c r="BH1451">
        <v>51</v>
      </c>
      <c r="BI1451" t="s">
        <v>69</v>
      </c>
      <c r="BJ1451" t="s">
        <v>3251</v>
      </c>
      <c r="BK1451" t="str">
        <f>HYPERLINK("http://dx.doi.org/10.1016/j.ecolind.2012.08.015","http://dx.doi.org/10.1016/j.ecolind.2012.08.015")</f>
        <v>http://dx.doi.org/10.1016/j.ecolind.2012.08.015</v>
      </c>
      <c r="BL1451" t="s">
        <v>69</v>
      </c>
      <c r="BM1451" t="s">
        <v>69</v>
      </c>
      <c r="BN1451">
        <v>9</v>
      </c>
      <c r="BO1451" t="s">
        <v>24534</v>
      </c>
      <c r="BP1451" t="s">
        <v>8523</v>
      </c>
      <c r="BQ1451" t="s">
        <v>15452</v>
      </c>
      <c r="BR1451" t="s">
        <v>24535</v>
      </c>
      <c r="BS1451" t="s">
        <v>3252</v>
      </c>
      <c r="BT1451" t="s">
        <v>69</v>
      </c>
      <c r="BU1451" t="s">
        <v>69</v>
      </c>
      <c r="BV1451" t="s">
        <v>69</v>
      </c>
      <c r="BW1451" t="s">
        <v>69</v>
      </c>
      <c r="BX1451" t="s">
        <v>8526</v>
      </c>
      <c r="BY1451" t="str">
        <f>HYPERLINK("https%3A%2F%2Fwww.webofscience.com%2Fwos%2Fwoscc%2Ffull-record%2FWOS:000325386800006","View Full Record in Web of Science")</f>
        <v>View Full Record in Web of Science</v>
      </c>
    </row>
    <row r="1452" spans="1:77" ht="12.5" x14ac:dyDescent="0.25">
      <c r="A1452" t="s">
        <v>8495</v>
      </c>
      <c r="B1452" s="22" t="s">
        <v>32931</v>
      </c>
      <c r="C1452" s="7"/>
      <c r="D1452" s="7"/>
      <c r="E1452" s="7"/>
      <c r="F1452" t="s">
        <v>67</v>
      </c>
      <c r="G1452" t="s">
        <v>9354</v>
      </c>
      <c r="H1452" t="s">
        <v>69</v>
      </c>
      <c r="I1452" t="s">
        <v>69</v>
      </c>
      <c r="J1452" t="s">
        <v>69</v>
      </c>
      <c r="K1452" t="s">
        <v>9355</v>
      </c>
      <c r="L1452" t="s">
        <v>69</v>
      </c>
      <c r="M1452" t="s">
        <v>69</v>
      </c>
      <c r="N1452" t="s">
        <v>9356</v>
      </c>
      <c r="O1452" t="s">
        <v>7515</v>
      </c>
      <c r="P1452" t="s">
        <v>69</v>
      </c>
      <c r="Q1452" t="s">
        <v>69</v>
      </c>
      <c r="R1452" t="s">
        <v>9357</v>
      </c>
      <c r="S1452" t="s">
        <v>8506</v>
      </c>
      <c r="T1452" t="s">
        <v>69</v>
      </c>
      <c r="U1452" t="s">
        <v>69</v>
      </c>
      <c r="V1452" t="s">
        <v>69</v>
      </c>
      <c r="W1452" t="s">
        <v>69</v>
      </c>
      <c r="X1452" t="s">
        <v>69</v>
      </c>
      <c r="Y1452" t="s">
        <v>9358</v>
      </c>
      <c r="Z1452" t="s">
        <v>69</v>
      </c>
      <c r="AA1452" t="s">
        <v>9359</v>
      </c>
      <c r="AB1452" t="s">
        <v>9360</v>
      </c>
      <c r="AC1452" t="s">
        <v>69</v>
      </c>
      <c r="AD1452" t="s">
        <v>9361</v>
      </c>
      <c r="AE1452" t="s">
        <v>9362</v>
      </c>
      <c r="AF1452" t="s">
        <v>69</v>
      </c>
      <c r="AG1452" t="s">
        <v>69</v>
      </c>
      <c r="AH1452" t="s">
        <v>9363</v>
      </c>
      <c r="AI1452" t="s">
        <v>9364</v>
      </c>
      <c r="AJ1452" t="s">
        <v>9365</v>
      </c>
      <c r="AK1452" t="s">
        <v>69</v>
      </c>
      <c r="AL1452">
        <v>11</v>
      </c>
      <c r="AM1452">
        <v>0</v>
      </c>
      <c r="AN1452">
        <v>0</v>
      </c>
      <c r="AO1452">
        <v>0</v>
      </c>
      <c r="AP1452">
        <v>0</v>
      </c>
      <c r="AQ1452" t="s">
        <v>9366</v>
      </c>
      <c r="AR1452" t="s">
        <v>9367</v>
      </c>
      <c r="AS1452" t="s">
        <v>9368</v>
      </c>
      <c r="AT1452" t="s">
        <v>7517</v>
      </c>
      <c r="AU1452" t="s">
        <v>69</v>
      </c>
      <c r="AV1452" t="s">
        <v>69</v>
      </c>
      <c r="AW1452" t="s">
        <v>9369</v>
      </c>
      <c r="AX1452" t="s">
        <v>9370</v>
      </c>
      <c r="AY1452" t="s">
        <v>246</v>
      </c>
      <c r="AZ1452">
        <v>2022</v>
      </c>
      <c r="BA1452">
        <v>66</v>
      </c>
      <c r="BB1452">
        <v>4</v>
      </c>
      <c r="BC1452" t="s">
        <v>69</v>
      </c>
      <c r="BD1452" t="s">
        <v>69</v>
      </c>
      <c r="BE1452" t="s">
        <v>69</v>
      </c>
      <c r="BF1452" t="s">
        <v>69</v>
      </c>
      <c r="BG1452">
        <v>101</v>
      </c>
      <c r="BH1452">
        <v>110</v>
      </c>
      <c r="BI1452" t="s">
        <v>69</v>
      </c>
      <c r="BJ1452" t="s">
        <v>9371</v>
      </c>
      <c r="BK1452" t="str">
        <f>HYPERLINK("http://dx.doi.org/10.20542/0131-2227-2022-66-4-101-110","http://dx.doi.org/10.20542/0131-2227-2022-66-4-101-110")</f>
        <v>http://dx.doi.org/10.20542/0131-2227-2022-66-4-101-110</v>
      </c>
      <c r="BL1452" t="s">
        <v>69</v>
      </c>
      <c r="BM1452" t="s">
        <v>69</v>
      </c>
      <c r="BN1452">
        <v>10</v>
      </c>
      <c r="BO1452" t="s">
        <v>9372</v>
      </c>
      <c r="BP1452" t="s">
        <v>8573</v>
      </c>
      <c r="BQ1452" t="s">
        <v>9372</v>
      </c>
      <c r="BR1452" t="s">
        <v>9373</v>
      </c>
      <c r="BS1452" t="s">
        <v>9375</v>
      </c>
      <c r="BT1452" t="s">
        <v>69</v>
      </c>
      <c r="BU1452" t="s">
        <v>9374</v>
      </c>
      <c r="BV1452" t="s">
        <v>69</v>
      </c>
      <c r="BW1452" t="s">
        <v>69</v>
      </c>
      <c r="BX1452" t="s">
        <v>8526</v>
      </c>
      <c r="BY1452" t="str">
        <f>HYPERLINK("https%3A%2F%2Fwww.webofscience.com%2Fwos%2Fwoscc%2Ffull-record%2FWOS:000819804900011","View Full Record in Web of Science")</f>
        <v>View Full Record in Web of Science</v>
      </c>
    </row>
    <row r="1453" spans="1:77" ht="12.5" x14ac:dyDescent="0.25">
      <c r="A1453" t="s">
        <v>8495</v>
      </c>
      <c r="B1453" s="22" t="s">
        <v>32931</v>
      </c>
      <c r="C1453" s="7"/>
      <c r="D1453" s="7"/>
      <c r="E1453" s="7"/>
      <c r="F1453" t="s">
        <v>627</v>
      </c>
      <c r="G1453" t="s">
        <v>32335</v>
      </c>
      <c r="H1453" t="s">
        <v>69</v>
      </c>
      <c r="I1453" t="s">
        <v>32336</v>
      </c>
      <c r="J1453" t="s">
        <v>69</v>
      </c>
      <c r="K1453" t="s">
        <v>32335</v>
      </c>
      <c r="L1453" t="s">
        <v>69</v>
      </c>
      <c r="M1453" t="s">
        <v>69</v>
      </c>
      <c r="N1453" t="s">
        <v>32337</v>
      </c>
      <c r="O1453" t="s">
        <v>32338</v>
      </c>
      <c r="P1453" t="s">
        <v>32339</v>
      </c>
      <c r="Q1453" t="s">
        <v>69</v>
      </c>
      <c r="R1453" t="s">
        <v>8505</v>
      </c>
      <c r="S1453" t="s">
        <v>15797</v>
      </c>
      <c r="T1453" t="s">
        <v>32340</v>
      </c>
      <c r="U1453" t="s">
        <v>32341</v>
      </c>
      <c r="V1453" t="s">
        <v>32342</v>
      </c>
      <c r="W1453" t="s">
        <v>32343</v>
      </c>
      <c r="X1453" t="s">
        <v>69</v>
      </c>
      <c r="Y1453" t="s">
        <v>69</v>
      </c>
      <c r="Z1453" t="s">
        <v>69</v>
      </c>
      <c r="AA1453" t="s">
        <v>32344</v>
      </c>
      <c r="AB1453" t="s">
        <v>32345</v>
      </c>
      <c r="AC1453" t="s">
        <v>69</v>
      </c>
      <c r="AD1453" t="s">
        <v>32346</v>
      </c>
      <c r="AE1453" t="s">
        <v>69</v>
      </c>
      <c r="AF1453" t="s">
        <v>69</v>
      </c>
      <c r="AG1453" t="s">
        <v>69</v>
      </c>
      <c r="AH1453" t="s">
        <v>69</v>
      </c>
      <c r="AI1453" t="s">
        <v>69</v>
      </c>
      <c r="AJ1453" t="s">
        <v>69</v>
      </c>
      <c r="AK1453" t="s">
        <v>69</v>
      </c>
      <c r="AL1453">
        <v>6</v>
      </c>
      <c r="AM1453">
        <v>2</v>
      </c>
      <c r="AN1453">
        <v>2</v>
      </c>
      <c r="AO1453">
        <v>0</v>
      </c>
      <c r="AP1453">
        <v>0</v>
      </c>
      <c r="AQ1453" t="s">
        <v>32347</v>
      </c>
      <c r="AR1453" t="s">
        <v>8637</v>
      </c>
      <c r="AS1453" t="s">
        <v>32348</v>
      </c>
      <c r="AT1453" t="s">
        <v>32349</v>
      </c>
      <c r="AU1453" t="s">
        <v>69</v>
      </c>
      <c r="AV1453" t="s">
        <v>32350</v>
      </c>
      <c r="AW1453" t="s">
        <v>32351</v>
      </c>
      <c r="AX1453" t="s">
        <v>69</v>
      </c>
      <c r="AY1453" t="s">
        <v>69</v>
      </c>
      <c r="AZ1453">
        <v>1997</v>
      </c>
      <c r="BA1453">
        <v>20</v>
      </c>
      <c r="BB1453">
        <v>7</v>
      </c>
      <c r="BC1453" t="s">
        <v>69</v>
      </c>
      <c r="BD1453" t="s">
        <v>69</v>
      </c>
      <c r="BE1453" t="s">
        <v>69</v>
      </c>
      <c r="BF1453" t="s">
        <v>69</v>
      </c>
      <c r="BG1453">
        <v>1411</v>
      </c>
      <c r="BH1453">
        <v>1419</v>
      </c>
      <c r="BI1453" t="s">
        <v>69</v>
      </c>
      <c r="BJ1453" t="s">
        <v>32352</v>
      </c>
      <c r="BK1453" t="str">
        <f>HYPERLINK("http://dx.doi.org/10.1016/S0273-1177(97)00740-0","http://dx.doi.org/10.1016/S0273-1177(97)00740-0")</f>
        <v>http://dx.doi.org/10.1016/S0273-1177(97)00740-0</v>
      </c>
      <c r="BL1453" t="s">
        <v>69</v>
      </c>
      <c r="BM1453" t="s">
        <v>69</v>
      </c>
      <c r="BN1453">
        <v>9</v>
      </c>
      <c r="BO1453" t="s">
        <v>32353</v>
      </c>
      <c r="BP1453" t="s">
        <v>29550</v>
      </c>
      <c r="BQ1453" t="s">
        <v>32354</v>
      </c>
      <c r="BR1453" t="s">
        <v>32355</v>
      </c>
      <c r="BS1453" t="s">
        <v>32356</v>
      </c>
      <c r="BT1453" t="s">
        <v>69</v>
      </c>
      <c r="BU1453" t="s">
        <v>69</v>
      </c>
      <c r="BV1453" t="s">
        <v>69</v>
      </c>
      <c r="BW1453" t="s">
        <v>69</v>
      </c>
      <c r="BX1453" t="s">
        <v>8526</v>
      </c>
      <c r="BY1453" t="str">
        <f>HYPERLINK("https%3A%2F%2Fwww.webofscience.com%2Fwos%2Fwoscc%2Ffull-record%2FWOS:000071440300016","View Full Record in Web of Science")</f>
        <v>View Full Record in Web of Science</v>
      </c>
    </row>
    <row r="1454" spans="1:77" ht="12.5" x14ac:dyDescent="0.25">
      <c r="A1454" t="s">
        <v>8495</v>
      </c>
      <c r="B1454" s="7" t="s">
        <v>32933</v>
      </c>
      <c r="C1454" s="7"/>
      <c r="D1454" s="7"/>
      <c r="E1454" s="7"/>
      <c r="F1454" t="s">
        <v>67</v>
      </c>
      <c r="G1454" t="s">
        <v>1066</v>
      </c>
      <c r="H1454" t="s">
        <v>69</v>
      </c>
      <c r="I1454" t="s">
        <v>69</v>
      </c>
      <c r="J1454" t="s">
        <v>69</v>
      </c>
      <c r="K1454" t="s">
        <v>1067</v>
      </c>
      <c r="L1454" t="s">
        <v>69</v>
      </c>
      <c r="M1454" t="s">
        <v>69</v>
      </c>
      <c r="N1454" t="s">
        <v>1068</v>
      </c>
      <c r="O1454" t="s">
        <v>1069</v>
      </c>
      <c r="P1454" t="s">
        <v>69</v>
      </c>
      <c r="Q1454" t="s">
        <v>69</v>
      </c>
      <c r="R1454" t="s">
        <v>8505</v>
      </c>
      <c r="S1454" t="s">
        <v>8506</v>
      </c>
      <c r="T1454" t="s">
        <v>69</v>
      </c>
      <c r="U1454" t="s">
        <v>69</v>
      </c>
      <c r="V1454" t="s">
        <v>69</v>
      </c>
      <c r="W1454" t="s">
        <v>69</v>
      </c>
      <c r="X1454" t="s">
        <v>69</v>
      </c>
      <c r="Y1454" t="s">
        <v>69</v>
      </c>
      <c r="Z1454" t="s">
        <v>18532</v>
      </c>
      <c r="AA1454" t="s">
        <v>1070</v>
      </c>
      <c r="AB1454" t="s">
        <v>18533</v>
      </c>
      <c r="AC1454" t="s">
        <v>69</v>
      </c>
      <c r="AD1454" t="s">
        <v>18534</v>
      </c>
      <c r="AE1454" t="s">
        <v>18535</v>
      </c>
      <c r="AF1454" t="s">
        <v>69</v>
      </c>
      <c r="AG1454" t="s">
        <v>1071</v>
      </c>
      <c r="AH1454" t="s">
        <v>18536</v>
      </c>
      <c r="AI1454" t="s">
        <v>18537</v>
      </c>
      <c r="AJ1454" t="s">
        <v>18538</v>
      </c>
      <c r="AK1454" t="s">
        <v>69</v>
      </c>
      <c r="AL1454">
        <v>117</v>
      </c>
      <c r="AM1454">
        <v>8</v>
      </c>
      <c r="AN1454">
        <v>7</v>
      </c>
      <c r="AO1454">
        <v>2</v>
      </c>
      <c r="AP1454">
        <v>6</v>
      </c>
      <c r="AQ1454" t="s">
        <v>9978</v>
      </c>
      <c r="AR1454" t="s">
        <v>9979</v>
      </c>
      <c r="AS1454" t="s">
        <v>9980</v>
      </c>
      <c r="AT1454" t="s">
        <v>1072</v>
      </c>
      <c r="AU1454" t="s">
        <v>1073</v>
      </c>
      <c r="AV1454" t="s">
        <v>69</v>
      </c>
      <c r="AW1454" t="s">
        <v>18539</v>
      </c>
      <c r="AX1454" t="s">
        <v>18540</v>
      </c>
      <c r="AY1454" t="s">
        <v>84</v>
      </c>
      <c r="AZ1454">
        <v>2018</v>
      </c>
      <c r="BA1454">
        <v>13</v>
      </c>
      <c r="BB1454" t="s">
        <v>145</v>
      </c>
      <c r="BC1454" t="s">
        <v>69</v>
      </c>
      <c r="BD1454" t="s">
        <v>69</v>
      </c>
      <c r="BE1454" t="s">
        <v>114</v>
      </c>
      <c r="BF1454" t="s">
        <v>69</v>
      </c>
      <c r="BG1454">
        <v>226</v>
      </c>
      <c r="BH1454">
        <v>250</v>
      </c>
      <c r="BI1454" t="s">
        <v>69</v>
      </c>
      <c r="BJ1454" t="s">
        <v>1074</v>
      </c>
      <c r="BK1454" t="str">
        <f>HYPERLINK("http://dx.doi.org/10.1017/S1744133117000366","http://dx.doi.org/10.1017/S1744133117000366")</f>
        <v>http://dx.doi.org/10.1017/S1744133117000366</v>
      </c>
      <c r="BL1454" t="s">
        <v>69</v>
      </c>
      <c r="BM1454" t="s">
        <v>69</v>
      </c>
      <c r="BN1454">
        <v>25</v>
      </c>
      <c r="BO1454" t="s">
        <v>9208</v>
      </c>
      <c r="BP1454" t="s">
        <v>8661</v>
      </c>
      <c r="BQ1454" t="s">
        <v>9209</v>
      </c>
      <c r="BR1454" t="s">
        <v>18541</v>
      </c>
      <c r="BS1454" t="s">
        <v>1075</v>
      </c>
      <c r="BT1454">
        <v>29457577</v>
      </c>
      <c r="BU1454" t="s">
        <v>8622</v>
      </c>
      <c r="BV1454" t="s">
        <v>69</v>
      </c>
      <c r="BW1454" t="s">
        <v>69</v>
      </c>
      <c r="BX1454" t="s">
        <v>8526</v>
      </c>
      <c r="BY1454" t="str">
        <f>HYPERLINK("https%3A%2F%2Fwww.webofscience.com%2Fwos%2Fwoscc%2Ffull-record%2FWOS:000456146400002","View Full Record in Web of Science")</f>
        <v>View Full Record in Web of Science</v>
      </c>
    </row>
    <row r="1455" spans="1:77" ht="12.5" x14ac:dyDescent="0.25">
      <c r="A1455" t="s">
        <v>8495</v>
      </c>
      <c r="B1455" s="22" t="s">
        <v>32931</v>
      </c>
      <c r="C1455" s="7"/>
      <c r="D1455" s="7"/>
      <c r="E1455" s="7"/>
      <c r="F1455" t="s">
        <v>67</v>
      </c>
      <c r="G1455" t="s">
        <v>32046</v>
      </c>
      <c r="H1455" t="s">
        <v>69</v>
      </c>
      <c r="I1455" t="s">
        <v>69</v>
      </c>
      <c r="J1455" t="s">
        <v>69</v>
      </c>
      <c r="K1455" t="s">
        <v>32046</v>
      </c>
      <c r="L1455" t="s">
        <v>69</v>
      </c>
      <c r="M1455" t="s">
        <v>69</v>
      </c>
      <c r="N1455" t="s">
        <v>32047</v>
      </c>
      <c r="O1455" t="s">
        <v>32048</v>
      </c>
      <c r="P1455" t="s">
        <v>69</v>
      </c>
      <c r="Q1455" t="s">
        <v>69</v>
      </c>
      <c r="R1455" t="s">
        <v>8505</v>
      </c>
      <c r="S1455" t="s">
        <v>8506</v>
      </c>
      <c r="T1455" t="s">
        <v>69</v>
      </c>
      <c r="U1455" t="s">
        <v>69</v>
      </c>
      <c r="V1455" t="s">
        <v>69</v>
      </c>
      <c r="W1455" t="s">
        <v>69</v>
      </c>
      <c r="X1455" t="s">
        <v>69</v>
      </c>
      <c r="Y1455" t="s">
        <v>32049</v>
      </c>
      <c r="Z1455" t="s">
        <v>69</v>
      </c>
      <c r="AA1455" t="s">
        <v>32050</v>
      </c>
      <c r="AB1455" t="s">
        <v>32051</v>
      </c>
      <c r="AC1455" t="s">
        <v>69</v>
      </c>
      <c r="AD1455" t="s">
        <v>32052</v>
      </c>
      <c r="AE1455" t="s">
        <v>69</v>
      </c>
      <c r="AF1455" t="s">
        <v>69</v>
      </c>
      <c r="AG1455" t="s">
        <v>69</v>
      </c>
      <c r="AH1455" t="s">
        <v>69</v>
      </c>
      <c r="AI1455" t="s">
        <v>69</v>
      </c>
      <c r="AJ1455" t="s">
        <v>69</v>
      </c>
      <c r="AK1455" t="s">
        <v>69</v>
      </c>
      <c r="AL1455">
        <v>6</v>
      </c>
      <c r="AM1455">
        <v>2</v>
      </c>
      <c r="AN1455">
        <v>3</v>
      </c>
      <c r="AO1455">
        <v>0</v>
      </c>
      <c r="AP1455">
        <v>1</v>
      </c>
      <c r="AQ1455" t="s">
        <v>10315</v>
      </c>
      <c r="AR1455" t="s">
        <v>8693</v>
      </c>
      <c r="AS1455" t="s">
        <v>32053</v>
      </c>
      <c r="AT1455" t="s">
        <v>32054</v>
      </c>
      <c r="AU1455" t="s">
        <v>69</v>
      </c>
      <c r="AV1455" t="s">
        <v>69</v>
      </c>
      <c r="AW1455" t="s">
        <v>32055</v>
      </c>
      <c r="AX1455" t="s">
        <v>32056</v>
      </c>
      <c r="AY1455" t="s">
        <v>255</v>
      </c>
      <c r="AZ1455">
        <v>1998</v>
      </c>
      <c r="BA1455">
        <v>47</v>
      </c>
      <c r="BB1455">
        <v>3</v>
      </c>
      <c r="BC1455">
        <v>2</v>
      </c>
      <c r="BD1455" t="s">
        <v>69</v>
      </c>
      <c r="BE1455" t="s">
        <v>114</v>
      </c>
      <c r="BF1455" t="s">
        <v>69</v>
      </c>
      <c r="BG1455">
        <v>355</v>
      </c>
      <c r="BH1455">
        <v>360</v>
      </c>
      <c r="BI1455" t="s">
        <v>69</v>
      </c>
      <c r="BJ1455" t="s">
        <v>69</v>
      </c>
      <c r="BK1455" t="s">
        <v>69</v>
      </c>
      <c r="BL1455" t="s">
        <v>69</v>
      </c>
      <c r="BM1455" t="s">
        <v>69</v>
      </c>
      <c r="BN1455">
        <v>6</v>
      </c>
      <c r="BO1455" t="s">
        <v>32057</v>
      </c>
      <c r="BP1455" t="s">
        <v>8548</v>
      </c>
      <c r="BQ1455" t="s">
        <v>30897</v>
      </c>
      <c r="BR1455" t="s">
        <v>32058</v>
      </c>
      <c r="BS1455" t="s">
        <v>32059</v>
      </c>
      <c r="BT1455" t="s">
        <v>69</v>
      </c>
      <c r="BU1455" t="s">
        <v>69</v>
      </c>
      <c r="BV1455" t="s">
        <v>69</v>
      </c>
      <c r="BW1455" t="s">
        <v>69</v>
      </c>
      <c r="BX1455" t="s">
        <v>8526</v>
      </c>
      <c r="BY1455" t="str">
        <f>HYPERLINK("https%3A%2F%2Fwww.webofscience.com%2Fwos%2Fwoscc%2Ffull-record%2FWOS:000078121900011","View Full Record in Web of Science")</f>
        <v>View Full Record in Web of Science</v>
      </c>
    </row>
    <row r="1456" spans="1:77" ht="12.5" x14ac:dyDescent="0.25">
      <c r="A1456" t="s">
        <v>8495</v>
      </c>
      <c r="B1456" s="7" t="s">
        <v>32933</v>
      </c>
      <c r="C1456" s="7"/>
      <c r="D1456" s="7"/>
      <c r="E1456" s="7"/>
      <c r="F1456" t="s">
        <v>67</v>
      </c>
      <c r="G1456" t="s">
        <v>5940</v>
      </c>
      <c r="H1456" t="s">
        <v>69</v>
      </c>
      <c r="I1456" t="s">
        <v>69</v>
      </c>
      <c r="J1456" t="s">
        <v>69</v>
      </c>
      <c r="K1456" t="s">
        <v>5940</v>
      </c>
      <c r="L1456" t="s">
        <v>69</v>
      </c>
      <c r="M1456" t="s">
        <v>69</v>
      </c>
      <c r="N1456" t="s">
        <v>5941</v>
      </c>
      <c r="O1456" t="s">
        <v>151</v>
      </c>
      <c r="P1456" t="s">
        <v>69</v>
      </c>
      <c r="Q1456" t="s">
        <v>69</v>
      </c>
      <c r="R1456" t="s">
        <v>8505</v>
      </c>
      <c r="S1456" t="s">
        <v>8442</v>
      </c>
      <c r="T1456" t="s">
        <v>69</v>
      </c>
      <c r="U1456" t="s">
        <v>69</v>
      </c>
      <c r="V1456" t="s">
        <v>69</v>
      </c>
      <c r="W1456" t="s">
        <v>69</v>
      </c>
      <c r="X1456" t="s">
        <v>69</v>
      </c>
      <c r="Y1456" t="s">
        <v>31048</v>
      </c>
      <c r="Z1456" t="s">
        <v>69</v>
      </c>
      <c r="AA1456" t="s">
        <v>5942</v>
      </c>
      <c r="AB1456" t="s">
        <v>31049</v>
      </c>
      <c r="AC1456" t="s">
        <v>69</v>
      </c>
      <c r="AD1456" t="s">
        <v>31050</v>
      </c>
      <c r="AE1456" t="s">
        <v>31051</v>
      </c>
      <c r="AF1456" t="s">
        <v>31052</v>
      </c>
      <c r="AG1456" t="s">
        <v>31053</v>
      </c>
      <c r="AH1456" t="s">
        <v>69</v>
      </c>
      <c r="AI1456" t="s">
        <v>69</v>
      </c>
      <c r="AJ1456" t="s">
        <v>69</v>
      </c>
      <c r="AK1456" t="s">
        <v>69</v>
      </c>
      <c r="AL1456">
        <v>1</v>
      </c>
      <c r="AM1456">
        <v>66</v>
      </c>
      <c r="AN1456">
        <v>66</v>
      </c>
      <c r="AO1456">
        <v>4</v>
      </c>
      <c r="AP1456">
        <v>21</v>
      </c>
      <c r="AQ1456" t="s">
        <v>9145</v>
      </c>
      <c r="AR1456" t="s">
        <v>8637</v>
      </c>
      <c r="AS1456" t="s">
        <v>9146</v>
      </c>
      <c r="AT1456" t="s">
        <v>154</v>
      </c>
      <c r="AU1456" t="s">
        <v>69</v>
      </c>
      <c r="AV1456" t="s">
        <v>69</v>
      </c>
      <c r="AW1456" t="s">
        <v>12762</v>
      </c>
      <c r="AX1456" t="s">
        <v>12763</v>
      </c>
      <c r="AY1456" t="s">
        <v>381</v>
      </c>
      <c r="AZ1456">
        <v>2004</v>
      </c>
      <c r="BA1456">
        <v>8</v>
      </c>
      <c r="BB1456">
        <v>5</v>
      </c>
      <c r="BC1456" t="s">
        <v>69</v>
      </c>
      <c r="BD1456" t="s">
        <v>69</v>
      </c>
      <c r="BE1456" t="s">
        <v>69</v>
      </c>
      <c r="BF1456" t="s">
        <v>69</v>
      </c>
      <c r="BG1456">
        <v>483</v>
      </c>
      <c r="BH1456">
        <v>491</v>
      </c>
      <c r="BI1456" t="s">
        <v>69</v>
      </c>
      <c r="BJ1456" t="s">
        <v>5943</v>
      </c>
      <c r="BK1456" t="str">
        <f>HYPERLINK("http://dx.doi.org/10.1016/j.rser.2003.12.009","http://dx.doi.org/10.1016/j.rser.2003.12.009")</f>
        <v>http://dx.doi.org/10.1016/j.rser.2003.12.009</v>
      </c>
      <c r="BL1456" t="s">
        <v>69</v>
      </c>
      <c r="BM1456" t="s">
        <v>69</v>
      </c>
      <c r="BN1456">
        <v>9</v>
      </c>
      <c r="BO1456" t="s">
        <v>9931</v>
      </c>
      <c r="BP1456" t="s">
        <v>8548</v>
      </c>
      <c r="BQ1456" t="s">
        <v>9932</v>
      </c>
      <c r="BR1456" t="s">
        <v>31054</v>
      </c>
      <c r="BS1456" t="s">
        <v>5944</v>
      </c>
      <c r="BT1456" t="s">
        <v>69</v>
      </c>
      <c r="BU1456" t="s">
        <v>69</v>
      </c>
      <c r="BV1456" t="s">
        <v>69</v>
      </c>
      <c r="BW1456" t="s">
        <v>69</v>
      </c>
      <c r="BX1456" t="s">
        <v>8526</v>
      </c>
      <c r="BY1456" t="str">
        <f>HYPERLINK("https%3A%2F%2Fwww.webofscience.com%2Fwos%2Fwoscc%2Ffull-record%2FWOS:000224114100004","View Full Record in Web of Science")</f>
        <v>View Full Record in Web of Science</v>
      </c>
    </row>
    <row r="1457" spans="1:77" ht="12.5" x14ac:dyDescent="0.25">
      <c r="A1457" t="s">
        <v>8495</v>
      </c>
      <c r="B1457" s="7" t="s">
        <v>32933</v>
      </c>
      <c r="C1457" s="7"/>
      <c r="D1457" s="7"/>
      <c r="E1457" s="7"/>
      <c r="F1457" t="s">
        <v>67</v>
      </c>
      <c r="G1457" t="s">
        <v>6042</v>
      </c>
      <c r="H1457" t="s">
        <v>69</v>
      </c>
      <c r="I1457" t="s">
        <v>69</v>
      </c>
      <c r="J1457" t="s">
        <v>69</v>
      </c>
      <c r="K1457" t="s">
        <v>6043</v>
      </c>
      <c r="L1457" t="s">
        <v>69</v>
      </c>
      <c r="M1457" t="s">
        <v>69</v>
      </c>
      <c r="N1457" t="s">
        <v>6044</v>
      </c>
      <c r="O1457" t="s">
        <v>6045</v>
      </c>
      <c r="P1457" t="s">
        <v>69</v>
      </c>
      <c r="Q1457" t="s">
        <v>69</v>
      </c>
      <c r="R1457" t="s">
        <v>10071</v>
      </c>
      <c r="S1457" t="s">
        <v>8506</v>
      </c>
      <c r="T1457" t="s">
        <v>69</v>
      </c>
      <c r="U1457" t="s">
        <v>69</v>
      </c>
      <c r="V1457" t="s">
        <v>69</v>
      </c>
      <c r="W1457" t="s">
        <v>69</v>
      </c>
      <c r="X1457" t="s">
        <v>69</v>
      </c>
      <c r="Y1457" t="s">
        <v>25819</v>
      </c>
      <c r="Z1457" t="s">
        <v>69</v>
      </c>
      <c r="AA1457" t="s">
        <v>6046</v>
      </c>
      <c r="AB1457" t="s">
        <v>25820</v>
      </c>
      <c r="AC1457" t="s">
        <v>69</v>
      </c>
      <c r="AD1457" t="s">
        <v>25821</v>
      </c>
      <c r="AE1457" t="s">
        <v>69</v>
      </c>
      <c r="AF1457" t="s">
        <v>69</v>
      </c>
      <c r="AG1457" t="s">
        <v>69</v>
      </c>
      <c r="AH1457" t="s">
        <v>69</v>
      </c>
      <c r="AI1457" t="s">
        <v>69</v>
      </c>
      <c r="AJ1457" t="s">
        <v>69</v>
      </c>
      <c r="AK1457" t="s">
        <v>69</v>
      </c>
      <c r="AL1457">
        <v>31</v>
      </c>
      <c r="AM1457">
        <v>0</v>
      </c>
      <c r="AN1457">
        <v>0</v>
      </c>
      <c r="AO1457">
        <v>0</v>
      </c>
      <c r="AP1457">
        <v>0</v>
      </c>
      <c r="AQ1457" t="s">
        <v>16203</v>
      </c>
      <c r="AR1457" t="s">
        <v>16204</v>
      </c>
      <c r="AS1457" t="s">
        <v>16205</v>
      </c>
      <c r="AT1457" t="s">
        <v>6047</v>
      </c>
      <c r="AU1457" t="s">
        <v>6048</v>
      </c>
      <c r="AV1457" t="s">
        <v>69</v>
      </c>
      <c r="AW1457" t="s">
        <v>25822</v>
      </c>
      <c r="AX1457" t="s">
        <v>25823</v>
      </c>
      <c r="AY1457" t="s">
        <v>1053</v>
      </c>
      <c r="AZ1457">
        <v>2012</v>
      </c>
      <c r="BA1457">
        <v>72</v>
      </c>
      <c r="BB1457">
        <v>256</v>
      </c>
      <c r="BC1457" t="s">
        <v>69</v>
      </c>
      <c r="BD1457" t="s">
        <v>69</v>
      </c>
      <c r="BE1457" t="s">
        <v>69</v>
      </c>
      <c r="BF1457" t="s">
        <v>69</v>
      </c>
      <c r="BG1457">
        <v>771</v>
      </c>
      <c r="BH1457">
        <v>797</v>
      </c>
      <c r="BI1457" t="s">
        <v>69</v>
      </c>
      <c r="BJ1457" t="s">
        <v>6049</v>
      </c>
      <c r="BK1457" t="str">
        <f>HYPERLINK("http://dx.doi.org/10.3989/revindias.2012.25","http://dx.doi.org/10.3989/revindias.2012.25")</f>
        <v>http://dx.doi.org/10.3989/revindias.2012.25</v>
      </c>
      <c r="BL1457" t="s">
        <v>69</v>
      </c>
      <c r="BM1457" t="s">
        <v>69</v>
      </c>
      <c r="BN1457">
        <v>27</v>
      </c>
      <c r="BO1457" t="s">
        <v>18520</v>
      </c>
      <c r="BP1457" t="s">
        <v>11207</v>
      </c>
      <c r="BQ1457" t="s">
        <v>18520</v>
      </c>
      <c r="BR1457" t="s">
        <v>25824</v>
      </c>
      <c r="BS1457" t="s">
        <v>6050</v>
      </c>
      <c r="BT1457" t="s">
        <v>69</v>
      </c>
      <c r="BU1457" t="s">
        <v>12220</v>
      </c>
      <c r="BV1457" t="s">
        <v>69</v>
      </c>
      <c r="BW1457" t="s">
        <v>69</v>
      </c>
      <c r="BX1457" t="s">
        <v>8526</v>
      </c>
      <c r="BY1457" t="str">
        <f>HYPERLINK("https%3A%2F%2Fwww.webofscience.com%2Fwos%2Fwoscc%2Ffull-record%2FWOS:000209003600006","View Full Record in Web of Science")</f>
        <v>View Full Record in Web of Science</v>
      </c>
    </row>
    <row r="1458" spans="1:77" ht="12.5" x14ac:dyDescent="0.25">
      <c r="A1458" t="s">
        <v>8495</v>
      </c>
      <c r="B1458" s="7" t="s">
        <v>32933</v>
      </c>
      <c r="C1458" s="7"/>
      <c r="D1458" s="7"/>
      <c r="E1458" s="7"/>
      <c r="F1458" t="s">
        <v>67</v>
      </c>
      <c r="G1458" t="s">
        <v>2278</v>
      </c>
      <c r="H1458" t="s">
        <v>69</v>
      </c>
      <c r="I1458" t="s">
        <v>69</v>
      </c>
      <c r="J1458" t="s">
        <v>69</v>
      </c>
      <c r="K1458" t="s">
        <v>2279</v>
      </c>
      <c r="L1458" t="s">
        <v>69</v>
      </c>
      <c r="M1458" t="s">
        <v>69</v>
      </c>
      <c r="N1458" t="s">
        <v>2280</v>
      </c>
      <c r="O1458" t="s">
        <v>352</v>
      </c>
      <c r="P1458" t="s">
        <v>69</v>
      </c>
      <c r="Q1458" t="s">
        <v>69</v>
      </c>
      <c r="R1458" t="s">
        <v>8505</v>
      </c>
      <c r="S1458" t="s">
        <v>8506</v>
      </c>
      <c r="T1458" t="s">
        <v>69</v>
      </c>
      <c r="U1458" t="s">
        <v>69</v>
      </c>
      <c r="V1458" t="s">
        <v>69</v>
      </c>
      <c r="W1458" t="s">
        <v>69</v>
      </c>
      <c r="X1458" t="s">
        <v>69</v>
      </c>
      <c r="Y1458" t="s">
        <v>17351</v>
      </c>
      <c r="Z1458" t="s">
        <v>17352</v>
      </c>
      <c r="AA1458" t="s">
        <v>2281</v>
      </c>
      <c r="AB1458" t="s">
        <v>17353</v>
      </c>
      <c r="AC1458" t="s">
        <v>69</v>
      </c>
      <c r="AD1458" t="s">
        <v>17354</v>
      </c>
      <c r="AE1458" t="s">
        <v>17355</v>
      </c>
      <c r="AF1458" t="s">
        <v>17356</v>
      </c>
      <c r="AG1458" t="s">
        <v>2282</v>
      </c>
      <c r="AH1458" t="s">
        <v>17357</v>
      </c>
      <c r="AI1458" t="s">
        <v>17358</v>
      </c>
      <c r="AJ1458" t="s">
        <v>17359</v>
      </c>
      <c r="AK1458" t="s">
        <v>69</v>
      </c>
      <c r="AL1458">
        <v>51</v>
      </c>
      <c r="AM1458">
        <v>7</v>
      </c>
      <c r="AN1458">
        <v>7</v>
      </c>
      <c r="AO1458">
        <v>9</v>
      </c>
      <c r="AP1458">
        <v>62</v>
      </c>
      <c r="AQ1458" t="s">
        <v>8924</v>
      </c>
      <c r="AR1458" t="s">
        <v>8925</v>
      </c>
      <c r="AS1458" t="s">
        <v>8926</v>
      </c>
      <c r="AT1458" t="s">
        <v>69</v>
      </c>
      <c r="AU1458" t="s">
        <v>354</v>
      </c>
      <c r="AV1458" t="s">
        <v>69</v>
      </c>
      <c r="AW1458" t="s">
        <v>8958</v>
      </c>
      <c r="AX1458" t="s">
        <v>8434</v>
      </c>
      <c r="AY1458" t="s">
        <v>1245</v>
      </c>
      <c r="AZ1458">
        <v>2019</v>
      </c>
      <c r="BA1458">
        <v>11</v>
      </c>
      <c r="BB1458">
        <v>8</v>
      </c>
      <c r="BC1458" t="s">
        <v>69</v>
      </c>
      <c r="BD1458" t="s">
        <v>69</v>
      </c>
      <c r="BE1458" t="s">
        <v>69</v>
      </c>
      <c r="BF1458" t="s">
        <v>69</v>
      </c>
      <c r="BG1458" t="s">
        <v>69</v>
      </c>
      <c r="BH1458" t="s">
        <v>69</v>
      </c>
      <c r="BI1458">
        <v>2216</v>
      </c>
      <c r="BJ1458" t="s">
        <v>2283</v>
      </c>
      <c r="BK1458" t="str">
        <f>HYPERLINK("http://dx.doi.org/10.3390/su11082216","http://dx.doi.org/10.3390/su11082216")</f>
        <v>http://dx.doi.org/10.3390/su11082216</v>
      </c>
      <c r="BL1458" t="s">
        <v>69</v>
      </c>
      <c r="BM1458" t="s">
        <v>69</v>
      </c>
      <c r="BN1458">
        <v>16</v>
      </c>
      <c r="BO1458" t="s">
        <v>8960</v>
      </c>
      <c r="BP1458" t="s">
        <v>8523</v>
      </c>
      <c r="BQ1458" t="s">
        <v>8961</v>
      </c>
      <c r="BR1458" t="s">
        <v>17360</v>
      </c>
      <c r="BS1458" t="s">
        <v>2284</v>
      </c>
      <c r="BT1458" t="s">
        <v>69</v>
      </c>
      <c r="BU1458" t="s">
        <v>17361</v>
      </c>
      <c r="BV1458" t="s">
        <v>69</v>
      </c>
      <c r="BW1458" t="s">
        <v>69</v>
      </c>
      <c r="BX1458" t="s">
        <v>8526</v>
      </c>
      <c r="BY1458" t="str">
        <f>HYPERLINK("https%3A%2F%2Fwww.webofscience.com%2Fwos%2Fwoscc%2Ffull-record%2FWOS:000467752200029","View Full Record in Web of Science")</f>
        <v>View Full Record in Web of Science</v>
      </c>
    </row>
    <row r="1459" spans="1:77" ht="12.5" x14ac:dyDescent="0.25">
      <c r="A1459" t="s">
        <v>8495</v>
      </c>
      <c r="B1459" s="22" t="s">
        <v>32931</v>
      </c>
      <c r="C1459" s="7"/>
      <c r="D1459" s="7"/>
      <c r="E1459" s="7"/>
      <c r="F1459" t="s">
        <v>67</v>
      </c>
      <c r="G1459" t="s">
        <v>11211</v>
      </c>
      <c r="H1459" t="s">
        <v>69</v>
      </c>
      <c r="I1459" t="s">
        <v>69</v>
      </c>
      <c r="J1459" t="s">
        <v>69</v>
      </c>
      <c r="K1459" t="s">
        <v>11212</v>
      </c>
      <c r="L1459" t="s">
        <v>69</v>
      </c>
      <c r="M1459" t="s">
        <v>69</v>
      </c>
      <c r="N1459" t="s">
        <v>11213</v>
      </c>
      <c r="O1459" t="s">
        <v>8256</v>
      </c>
      <c r="P1459" t="s">
        <v>69</v>
      </c>
      <c r="Q1459" t="s">
        <v>69</v>
      </c>
      <c r="R1459" t="s">
        <v>8505</v>
      </c>
      <c r="S1459" t="s">
        <v>8506</v>
      </c>
      <c r="T1459" t="s">
        <v>69</v>
      </c>
      <c r="U1459" t="s">
        <v>69</v>
      </c>
      <c r="V1459" t="s">
        <v>69</v>
      </c>
      <c r="W1459" t="s">
        <v>69</v>
      </c>
      <c r="X1459" t="s">
        <v>69</v>
      </c>
      <c r="Y1459" t="s">
        <v>11214</v>
      </c>
      <c r="Z1459" t="s">
        <v>11215</v>
      </c>
      <c r="AA1459" t="s">
        <v>11216</v>
      </c>
      <c r="AB1459" t="s">
        <v>11217</v>
      </c>
      <c r="AC1459" t="s">
        <v>69</v>
      </c>
      <c r="AD1459" t="s">
        <v>11218</v>
      </c>
      <c r="AE1459" t="s">
        <v>11219</v>
      </c>
      <c r="AF1459" t="s">
        <v>69</v>
      </c>
      <c r="AG1459" t="s">
        <v>11220</v>
      </c>
      <c r="AH1459" t="s">
        <v>11221</v>
      </c>
      <c r="AI1459" t="s">
        <v>11222</v>
      </c>
      <c r="AJ1459" t="s">
        <v>11223</v>
      </c>
      <c r="AK1459" t="s">
        <v>69</v>
      </c>
      <c r="AL1459">
        <v>69</v>
      </c>
      <c r="AM1459">
        <v>6</v>
      </c>
      <c r="AN1459">
        <v>6</v>
      </c>
      <c r="AO1459">
        <v>16</v>
      </c>
      <c r="AP1459">
        <v>25</v>
      </c>
      <c r="AQ1459" t="s">
        <v>8924</v>
      </c>
      <c r="AR1459" t="s">
        <v>8925</v>
      </c>
      <c r="AS1459" t="s">
        <v>8926</v>
      </c>
      <c r="AT1459" t="s">
        <v>69</v>
      </c>
      <c r="AU1459" t="s">
        <v>8258</v>
      </c>
      <c r="AV1459" t="s">
        <v>69</v>
      </c>
      <c r="AW1459" t="s">
        <v>8927</v>
      </c>
      <c r="AX1459" t="s">
        <v>8928</v>
      </c>
      <c r="AY1459" t="s">
        <v>381</v>
      </c>
      <c r="AZ1459">
        <v>2021</v>
      </c>
      <c r="BA1459">
        <v>10</v>
      </c>
      <c r="BB1459">
        <v>10</v>
      </c>
      <c r="BC1459" t="s">
        <v>69</v>
      </c>
      <c r="BD1459" t="s">
        <v>69</v>
      </c>
      <c r="BE1459" t="s">
        <v>69</v>
      </c>
      <c r="BF1459" t="s">
        <v>69</v>
      </c>
      <c r="BG1459" t="s">
        <v>69</v>
      </c>
      <c r="BH1459" t="s">
        <v>69</v>
      </c>
      <c r="BI1459">
        <v>1002</v>
      </c>
      <c r="BJ1459" t="s">
        <v>11224</v>
      </c>
      <c r="BK1459" t="str">
        <f>HYPERLINK("http://dx.doi.org/10.3390/land10101002","http://dx.doi.org/10.3390/land10101002")</f>
        <v>http://dx.doi.org/10.3390/land10101002</v>
      </c>
      <c r="BL1459" t="s">
        <v>69</v>
      </c>
      <c r="BM1459" t="s">
        <v>69</v>
      </c>
      <c r="BN1459">
        <v>29</v>
      </c>
      <c r="BO1459" t="s">
        <v>8660</v>
      </c>
      <c r="BP1459" t="s">
        <v>8661</v>
      </c>
      <c r="BQ1459" t="s">
        <v>8662</v>
      </c>
      <c r="BR1459" t="s">
        <v>11225</v>
      </c>
      <c r="BS1459" t="s">
        <v>11226</v>
      </c>
      <c r="BT1459" t="s">
        <v>69</v>
      </c>
      <c r="BU1459" t="s">
        <v>8931</v>
      </c>
      <c r="BV1459" t="s">
        <v>69</v>
      </c>
      <c r="BW1459" t="s">
        <v>69</v>
      </c>
      <c r="BX1459" t="s">
        <v>8526</v>
      </c>
      <c r="BY1459" t="str">
        <f>HYPERLINK("https%3A%2F%2Fwww.webofscience.com%2Fwos%2Fwoscc%2Ffull-record%2FWOS:000717082300001","View Full Record in Web of Science")</f>
        <v>View Full Record in Web of Science</v>
      </c>
    </row>
    <row r="1460" spans="1:77" ht="12.5" x14ac:dyDescent="0.25">
      <c r="A1460" t="s">
        <v>8495</v>
      </c>
      <c r="B1460" s="22" t="s">
        <v>32931</v>
      </c>
      <c r="C1460" s="7"/>
      <c r="D1460" s="7"/>
      <c r="E1460" s="7"/>
      <c r="F1460" t="s">
        <v>67</v>
      </c>
      <c r="G1460" t="s">
        <v>9752</v>
      </c>
      <c r="H1460" t="s">
        <v>69</v>
      </c>
      <c r="I1460" t="s">
        <v>69</v>
      </c>
      <c r="J1460" t="s">
        <v>69</v>
      </c>
      <c r="K1460" t="s">
        <v>9753</v>
      </c>
      <c r="L1460" t="s">
        <v>69</v>
      </c>
      <c r="M1460" t="s">
        <v>69</v>
      </c>
      <c r="N1460" t="s">
        <v>9754</v>
      </c>
      <c r="O1460" t="s">
        <v>8256</v>
      </c>
      <c r="P1460" t="s">
        <v>69</v>
      </c>
      <c r="Q1460" t="s">
        <v>69</v>
      </c>
      <c r="R1460" t="s">
        <v>8505</v>
      </c>
      <c r="S1460" t="s">
        <v>8506</v>
      </c>
      <c r="T1460" t="s">
        <v>69</v>
      </c>
      <c r="U1460" t="s">
        <v>69</v>
      </c>
      <c r="V1460" t="s">
        <v>69</v>
      </c>
      <c r="W1460" t="s">
        <v>69</v>
      </c>
      <c r="X1460" t="s">
        <v>69</v>
      </c>
      <c r="Y1460" t="s">
        <v>9755</v>
      </c>
      <c r="Z1460" t="s">
        <v>9756</v>
      </c>
      <c r="AA1460" t="s">
        <v>9757</v>
      </c>
      <c r="AB1460" t="s">
        <v>9758</v>
      </c>
      <c r="AC1460" t="s">
        <v>69</v>
      </c>
      <c r="AD1460" t="s">
        <v>9759</v>
      </c>
      <c r="AE1460" t="s">
        <v>9760</v>
      </c>
      <c r="AF1460" t="s">
        <v>69</v>
      </c>
      <c r="AG1460" t="s">
        <v>9761</v>
      </c>
      <c r="AH1460" t="s">
        <v>9762</v>
      </c>
      <c r="AI1460" t="s">
        <v>9763</v>
      </c>
      <c r="AJ1460" t="s">
        <v>9764</v>
      </c>
      <c r="AK1460" t="s">
        <v>69</v>
      </c>
      <c r="AL1460">
        <v>153</v>
      </c>
      <c r="AM1460">
        <v>3</v>
      </c>
      <c r="AN1460">
        <v>3</v>
      </c>
      <c r="AO1460">
        <v>18</v>
      </c>
      <c r="AP1460">
        <v>18</v>
      </c>
      <c r="AQ1460" t="s">
        <v>8924</v>
      </c>
      <c r="AR1460" t="s">
        <v>8925</v>
      </c>
      <c r="AS1460" t="s">
        <v>8926</v>
      </c>
      <c r="AT1460" t="s">
        <v>69</v>
      </c>
      <c r="AU1460" t="s">
        <v>8258</v>
      </c>
      <c r="AV1460" t="s">
        <v>69</v>
      </c>
      <c r="AW1460" t="s">
        <v>8927</v>
      </c>
      <c r="AX1460" t="s">
        <v>8928</v>
      </c>
      <c r="AY1460" t="s">
        <v>94</v>
      </c>
      <c r="AZ1460">
        <v>2022</v>
      </c>
      <c r="BA1460">
        <v>11</v>
      </c>
      <c r="BB1460">
        <v>3</v>
      </c>
      <c r="BC1460" t="s">
        <v>69</v>
      </c>
      <c r="BD1460" t="s">
        <v>69</v>
      </c>
      <c r="BE1460" t="s">
        <v>69</v>
      </c>
      <c r="BF1460" t="s">
        <v>69</v>
      </c>
      <c r="BG1460" t="s">
        <v>69</v>
      </c>
      <c r="BH1460" t="s">
        <v>69</v>
      </c>
      <c r="BI1460">
        <v>415</v>
      </c>
      <c r="BJ1460" t="s">
        <v>9765</v>
      </c>
      <c r="BK1460" t="str">
        <f>HYPERLINK("http://dx.doi.org/10.3390/land11030415","http://dx.doi.org/10.3390/land11030415")</f>
        <v>http://dx.doi.org/10.3390/land11030415</v>
      </c>
      <c r="BL1460" t="s">
        <v>69</v>
      </c>
      <c r="BM1460" t="s">
        <v>69</v>
      </c>
      <c r="BN1460">
        <v>34</v>
      </c>
      <c r="BO1460" t="s">
        <v>8660</v>
      </c>
      <c r="BP1460" t="s">
        <v>8661</v>
      </c>
      <c r="BQ1460" t="s">
        <v>8662</v>
      </c>
      <c r="BR1460" t="s">
        <v>9766</v>
      </c>
      <c r="BS1460" t="s">
        <v>9767</v>
      </c>
      <c r="BT1460" t="s">
        <v>69</v>
      </c>
      <c r="BU1460" t="s">
        <v>8931</v>
      </c>
      <c r="BV1460" t="s">
        <v>69</v>
      </c>
      <c r="BW1460" t="s">
        <v>69</v>
      </c>
      <c r="BX1460" t="s">
        <v>8526</v>
      </c>
      <c r="BY1460" t="str">
        <f>HYPERLINK("https%3A%2F%2Fwww.webofscience.com%2Fwos%2Fwoscc%2Ffull-record%2FWOS:000775021400001","View Full Record in Web of Science")</f>
        <v>View Full Record in Web of Science</v>
      </c>
    </row>
    <row r="1461" spans="1:77" ht="12.5" x14ac:dyDescent="0.25">
      <c r="A1461" t="s">
        <v>8495</v>
      </c>
      <c r="B1461" s="7" t="s">
        <v>32933</v>
      </c>
      <c r="C1461" s="7"/>
      <c r="D1461" s="7"/>
      <c r="E1461" s="7"/>
      <c r="F1461" t="s">
        <v>67</v>
      </c>
      <c r="G1461" t="s">
        <v>6608</v>
      </c>
      <c r="H1461" t="s">
        <v>69</v>
      </c>
      <c r="I1461" t="s">
        <v>69</v>
      </c>
      <c r="J1461" t="s">
        <v>69</v>
      </c>
      <c r="K1461" t="s">
        <v>6609</v>
      </c>
      <c r="L1461" t="s">
        <v>69</v>
      </c>
      <c r="M1461" t="s">
        <v>69</v>
      </c>
      <c r="N1461" t="s">
        <v>6610</v>
      </c>
      <c r="O1461" t="s">
        <v>6611</v>
      </c>
      <c r="P1461" t="s">
        <v>69</v>
      </c>
      <c r="Q1461" t="s">
        <v>69</v>
      </c>
      <c r="R1461" t="s">
        <v>8505</v>
      </c>
      <c r="S1461" t="s">
        <v>8506</v>
      </c>
      <c r="T1461" t="s">
        <v>69</v>
      </c>
      <c r="U1461" t="s">
        <v>69</v>
      </c>
      <c r="V1461" t="s">
        <v>69</v>
      </c>
      <c r="W1461" t="s">
        <v>69</v>
      </c>
      <c r="X1461" t="s">
        <v>69</v>
      </c>
      <c r="Y1461" t="s">
        <v>22559</v>
      </c>
      <c r="Z1461" t="s">
        <v>69</v>
      </c>
      <c r="AA1461" t="s">
        <v>6612</v>
      </c>
      <c r="AB1461" t="s">
        <v>22560</v>
      </c>
      <c r="AC1461" t="s">
        <v>69</v>
      </c>
      <c r="AD1461" t="s">
        <v>22561</v>
      </c>
      <c r="AE1461" t="s">
        <v>22562</v>
      </c>
      <c r="AF1461" t="s">
        <v>69</v>
      </c>
      <c r="AG1461" t="s">
        <v>69</v>
      </c>
      <c r="AH1461" t="s">
        <v>69</v>
      </c>
      <c r="AI1461" t="s">
        <v>69</v>
      </c>
      <c r="AJ1461" t="s">
        <v>69</v>
      </c>
      <c r="AK1461" t="s">
        <v>69</v>
      </c>
      <c r="AL1461">
        <v>10</v>
      </c>
      <c r="AM1461">
        <v>8</v>
      </c>
      <c r="AN1461">
        <v>9</v>
      </c>
      <c r="AO1461">
        <v>1</v>
      </c>
      <c r="AP1461">
        <v>16</v>
      </c>
      <c r="AQ1461" t="s">
        <v>8865</v>
      </c>
      <c r="AR1461" t="s">
        <v>8612</v>
      </c>
      <c r="AS1461" t="s">
        <v>22341</v>
      </c>
      <c r="AT1461" t="s">
        <v>6613</v>
      </c>
      <c r="AU1461" t="s">
        <v>6614</v>
      </c>
      <c r="AV1461" t="s">
        <v>69</v>
      </c>
      <c r="AW1461" t="s">
        <v>6611</v>
      </c>
      <c r="AX1461" t="s">
        <v>22563</v>
      </c>
      <c r="AY1461" t="s">
        <v>933</v>
      </c>
      <c r="AZ1461">
        <v>2015</v>
      </c>
      <c r="BA1461">
        <v>12</v>
      </c>
      <c r="BB1461">
        <v>4</v>
      </c>
      <c r="BC1461" t="s">
        <v>69</v>
      </c>
      <c r="BD1461" t="s">
        <v>69</v>
      </c>
      <c r="BE1461" t="s">
        <v>114</v>
      </c>
      <c r="BF1461" t="s">
        <v>69</v>
      </c>
      <c r="BG1461">
        <v>576</v>
      </c>
      <c r="BH1461">
        <v>580</v>
      </c>
      <c r="BI1461" t="s">
        <v>69</v>
      </c>
      <c r="BJ1461" t="s">
        <v>6615</v>
      </c>
      <c r="BK1461" t="str">
        <f>HYPERLINK("http://dx.doi.org/10.1080/14747731.2015.1033173","http://dx.doi.org/10.1080/14747731.2015.1033173")</f>
        <v>http://dx.doi.org/10.1080/14747731.2015.1033173</v>
      </c>
      <c r="BL1461" t="s">
        <v>69</v>
      </c>
      <c r="BM1461" t="s">
        <v>69</v>
      </c>
      <c r="BN1461">
        <v>5</v>
      </c>
      <c r="BO1461" t="s">
        <v>22564</v>
      </c>
      <c r="BP1461" t="s">
        <v>8661</v>
      </c>
      <c r="BQ1461" t="s">
        <v>22565</v>
      </c>
      <c r="BR1461" t="s">
        <v>22566</v>
      </c>
      <c r="BS1461" t="s">
        <v>6616</v>
      </c>
      <c r="BT1461" t="s">
        <v>69</v>
      </c>
      <c r="BU1461" t="s">
        <v>69</v>
      </c>
      <c r="BV1461" t="s">
        <v>69</v>
      </c>
      <c r="BW1461" t="s">
        <v>69</v>
      </c>
      <c r="BX1461" t="s">
        <v>8526</v>
      </c>
      <c r="BY1461" t="str">
        <f>HYPERLINK("https%3A%2F%2Fwww.webofscience.com%2Fwos%2Fwoscc%2Ffull-record%2FWOS:000356236600011","View Full Record in Web of Science")</f>
        <v>View Full Record in Web of Science</v>
      </c>
    </row>
    <row r="1462" spans="1:77" ht="12.5" x14ac:dyDescent="0.25">
      <c r="A1462" t="s">
        <v>8495</v>
      </c>
      <c r="B1462" s="7" t="s">
        <v>32933</v>
      </c>
      <c r="C1462" s="7"/>
      <c r="D1462" s="7"/>
      <c r="E1462" s="7"/>
      <c r="F1462" t="s">
        <v>67</v>
      </c>
      <c r="G1462" t="s">
        <v>8210</v>
      </c>
      <c r="H1462" t="s">
        <v>69</v>
      </c>
      <c r="I1462" t="s">
        <v>69</v>
      </c>
      <c r="J1462" t="s">
        <v>69</v>
      </c>
      <c r="K1462" t="s">
        <v>8211</v>
      </c>
      <c r="L1462" t="s">
        <v>69</v>
      </c>
      <c r="M1462" t="s">
        <v>69</v>
      </c>
      <c r="N1462" t="s">
        <v>8212</v>
      </c>
      <c r="O1462" t="s">
        <v>2027</v>
      </c>
      <c r="P1462" t="s">
        <v>69</v>
      </c>
      <c r="Q1462" t="s">
        <v>69</v>
      </c>
      <c r="R1462" t="s">
        <v>8505</v>
      </c>
      <c r="S1462" t="s">
        <v>8506</v>
      </c>
      <c r="T1462" t="s">
        <v>69</v>
      </c>
      <c r="U1462" t="s">
        <v>69</v>
      </c>
      <c r="V1462" t="s">
        <v>69</v>
      </c>
      <c r="W1462" t="s">
        <v>69</v>
      </c>
      <c r="X1462" t="s">
        <v>69</v>
      </c>
      <c r="Y1462" t="s">
        <v>29206</v>
      </c>
      <c r="Z1462" t="s">
        <v>29207</v>
      </c>
      <c r="AA1462" t="s">
        <v>8213</v>
      </c>
      <c r="AB1462" t="s">
        <v>29208</v>
      </c>
      <c r="AC1462" t="s">
        <v>69</v>
      </c>
      <c r="AD1462" t="s">
        <v>29209</v>
      </c>
      <c r="AE1462" t="s">
        <v>29210</v>
      </c>
      <c r="AF1462" t="s">
        <v>69</v>
      </c>
      <c r="AG1462" t="s">
        <v>69</v>
      </c>
      <c r="AH1462" t="s">
        <v>69</v>
      </c>
      <c r="AI1462" t="s">
        <v>69</v>
      </c>
      <c r="AJ1462" t="s">
        <v>69</v>
      </c>
      <c r="AK1462" t="s">
        <v>69</v>
      </c>
      <c r="AL1462">
        <v>69</v>
      </c>
      <c r="AM1462">
        <v>85</v>
      </c>
      <c r="AN1462">
        <v>93</v>
      </c>
      <c r="AO1462">
        <v>4</v>
      </c>
      <c r="AP1462">
        <v>94</v>
      </c>
      <c r="AQ1462" t="s">
        <v>17140</v>
      </c>
      <c r="AR1462" t="s">
        <v>8517</v>
      </c>
      <c r="AS1462" t="s">
        <v>17141</v>
      </c>
      <c r="AT1462" t="s">
        <v>2029</v>
      </c>
      <c r="AU1462" t="s">
        <v>69</v>
      </c>
      <c r="AV1462" t="s">
        <v>69</v>
      </c>
      <c r="AW1462" t="s">
        <v>2027</v>
      </c>
      <c r="AX1462" t="s">
        <v>15875</v>
      </c>
      <c r="AY1462" t="s">
        <v>84</v>
      </c>
      <c r="AZ1462">
        <v>2008</v>
      </c>
      <c r="BA1462">
        <v>28</v>
      </c>
      <c r="BB1462">
        <v>7</v>
      </c>
      <c r="BC1462" t="s">
        <v>69</v>
      </c>
      <c r="BD1462" t="s">
        <v>69</v>
      </c>
      <c r="BE1462" t="s">
        <v>69</v>
      </c>
      <c r="BF1462" t="s">
        <v>69</v>
      </c>
      <c r="BG1462">
        <v>436</v>
      </c>
      <c r="BH1462">
        <v>449</v>
      </c>
      <c r="BI1462" t="s">
        <v>69</v>
      </c>
      <c r="BJ1462" t="s">
        <v>8214</v>
      </c>
      <c r="BK1462" t="str">
        <f>HYPERLINK("http://dx.doi.org/10.1016/j.technovation.2008.02.003","http://dx.doi.org/10.1016/j.technovation.2008.02.003")</f>
        <v>http://dx.doi.org/10.1016/j.technovation.2008.02.003</v>
      </c>
      <c r="BL1462" t="s">
        <v>69</v>
      </c>
      <c r="BM1462" t="s">
        <v>69</v>
      </c>
      <c r="BN1462">
        <v>14</v>
      </c>
      <c r="BO1462" t="s">
        <v>15876</v>
      </c>
      <c r="BP1462" t="s">
        <v>8523</v>
      </c>
      <c r="BQ1462" t="s">
        <v>15877</v>
      </c>
      <c r="BR1462" t="s">
        <v>29211</v>
      </c>
      <c r="BS1462" t="s">
        <v>8215</v>
      </c>
      <c r="BT1462" t="s">
        <v>69</v>
      </c>
      <c r="BU1462" t="s">
        <v>69</v>
      </c>
      <c r="BV1462" t="s">
        <v>69</v>
      </c>
      <c r="BW1462" t="s">
        <v>69</v>
      </c>
      <c r="BX1462" t="s">
        <v>8526</v>
      </c>
      <c r="BY1462" t="str">
        <f>HYPERLINK("https%3A%2F%2Fwww.webofscience.com%2Fwos%2Fwoscc%2Ffull-record%2FWOS:000257236200004","View Full Record in Web of Science")</f>
        <v>View Full Record in Web of Science</v>
      </c>
    </row>
    <row r="1463" spans="1:77" ht="12.5" x14ac:dyDescent="0.25">
      <c r="A1463" t="s">
        <v>8495</v>
      </c>
      <c r="B1463" s="22" t="s">
        <v>32931</v>
      </c>
      <c r="C1463" s="7"/>
      <c r="D1463" s="7"/>
      <c r="E1463" s="7"/>
      <c r="F1463" t="s">
        <v>67</v>
      </c>
      <c r="G1463" t="s">
        <v>20339</v>
      </c>
      <c r="H1463" t="s">
        <v>69</v>
      </c>
      <c r="I1463" t="s">
        <v>69</v>
      </c>
      <c r="J1463" t="s">
        <v>69</v>
      </c>
      <c r="K1463" t="s">
        <v>20340</v>
      </c>
      <c r="L1463" t="s">
        <v>69</v>
      </c>
      <c r="M1463" t="s">
        <v>69</v>
      </c>
      <c r="N1463" t="s">
        <v>20341</v>
      </c>
      <c r="O1463" t="s">
        <v>20342</v>
      </c>
      <c r="P1463" t="s">
        <v>69</v>
      </c>
      <c r="Q1463" t="s">
        <v>69</v>
      </c>
      <c r="R1463" t="s">
        <v>8505</v>
      </c>
      <c r="S1463" t="s">
        <v>8506</v>
      </c>
      <c r="T1463" t="s">
        <v>69</v>
      </c>
      <c r="U1463" t="s">
        <v>69</v>
      </c>
      <c r="V1463" t="s">
        <v>69</v>
      </c>
      <c r="W1463" t="s">
        <v>69</v>
      </c>
      <c r="X1463" t="s">
        <v>69</v>
      </c>
      <c r="Y1463" t="s">
        <v>69</v>
      </c>
      <c r="Z1463" t="s">
        <v>20343</v>
      </c>
      <c r="AA1463" t="s">
        <v>20344</v>
      </c>
      <c r="AB1463" t="s">
        <v>20345</v>
      </c>
      <c r="AC1463" t="s">
        <v>69</v>
      </c>
      <c r="AD1463" t="s">
        <v>20346</v>
      </c>
      <c r="AE1463" t="s">
        <v>20347</v>
      </c>
      <c r="AF1463" t="s">
        <v>69</v>
      </c>
      <c r="AG1463" t="s">
        <v>20348</v>
      </c>
      <c r="AH1463" t="s">
        <v>69</v>
      </c>
      <c r="AI1463" t="s">
        <v>69</v>
      </c>
      <c r="AJ1463" t="s">
        <v>69</v>
      </c>
      <c r="AK1463" t="s">
        <v>69</v>
      </c>
      <c r="AL1463">
        <v>10</v>
      </c>
      <c r="AM1463">
        <v>0</v>
      </c>
      <c r="AN1463">
        <v>0</v>
      </c>
      <c r="AO1463">
        <v>1</v>
      </c>
      <c r="AP1463">
        <v>2</v>
      </c>
      <c r="AQ1463" t="s">
        <v>8846</v>
      </c>
      <c r="AR1463" t="s">
        <v>8847</v>
      </c>
      <c r="AS1463" t="s">
        <v>8848</v>
      </c>
      <c r="AT1463" t="s">
        <v>20349</v>
      </c>
      <c r="AU1463" t="s">
        <v>20350</v>
      </c>
      <c r="AV1463" t="s">
        <v>69</v>
      </c>
      <c r="AW1463" t="s">
        <v>20351</v>
      </c>
      <c r="AX1463" t="s">
        <v>20352</v>
      </c>
      <c r="AY1463" t="s">
        <v>155</v>
      </c>
      <c r="AZ1463">
        <v>2017</v>
      </c>
      <c r="BA1463">
        <v>14</v>
      </c>
      <c r="BB1463">
        <v>3</v>
      </c>
      <c r="BC1463" t="s">
        <v>69</v>
      </c>
      <c r="BD1463" t="s">
        <v>69</v>
      </c>
      <c r="BE1463" t="s">
        <v>69</v>
      </c>
      <c r="BF1463" t="s">
        <v>69</v>
      </c>
      <c r="BG1463">
        <v>200</v>
      </c>
      <c r="BH1463">
        <v>204</v>
      </c>
      <c r="BI1463" t="s">
        <v>69</v>
      </c>
      <c r="BJ1463" t="s">
        <v>20353</v>
      </c>
      <c r="BK1463" t="str">
        <f>HYPERLINK("http://dx.doi.org/10.1111/tct.12542","http://dx.doi.org/10.1111/tct.12542")</f>
        <v>http://dx.doi.org/10.1111/tct.12542</v>
      </c>
      <c r="BL1463" t="s">
        <v>69</v>
      </c>
      <c r="BM1463" t="s">
        <v>69</v>
      </c>
      <c r="BN1463">
        <v>5</v>
      </c>
      <c r="BO1463" t="s">
        <v>20354</v>
      </c>
      <c r="BP1463" t="s">
        <v>8573</v>
      </c>
      <c r="BQ1463" t="s">
        <v>20355</v>
      </c>
      <c r="BR1463" t="s">
        <v>20356</v>
      </c>
      <c r="BS1463" t="s">
        <v>20357</v>
      </c>
      <c r="BT1463">
        <v>27325356</v>
      </c>
      <c r="BU1463" t="s">
        <v>69</v>
      </c>
      <c r="BV1463" t="s">
        <v>69</v>
      </c>
      <c r="BW1463" t="s">
        <v>69</v>
      </c>
      <c r="BX1463" t="s">
        <v>8526</v>
      </c>
      <c r="BY1463" t="str">
        <f>HYPERLINK("https%3A%2F%2Fwww.webofscience.com%2Fwos%2Fwoscc%2Ffull-record%2FWOS:000401236600010","View Full Record in Web of Science")</f>
        <v>View Full Record in Web of Science</v>
      </c>
    </row>
    <row r="1464" spans="1:77" ht="12.5" x14ac:dyDescent="0.25">
      <c r="A1464" t="s">
        <v>8495</v>
      </c>
      <c r="B1464" s="22" t="s">
        <v>32931</v>
      </c>
      <c r="C1464" s="7"/>
      <c r="D1464" s="7"/>
      <c r="E1464" s="7"/>
      <c r="F1464" t="s">
        <v>67</v>
      </c>
      <c r="G1464" t="s">
        <v>12255</v>
      </c>
      <c r="H1464" t="s">
        <v>69</v>
      </c>
      <c r="I1464" t="s">
        <v>69</v>
      </c>
      <c r="J1464" t="s">
        <v>69</v>
      </c>
      <c r="K1464" t="s">
        <v>12256</v>
      </c>
      <c r="L1464" t="s">
        <v>69</v>
      </c>
      <c r="M1464" t="s">
        <v>69</v>
      </c>
      <c r="N1464" t="s">
        <v>12257</v>
      </c>
      <c r="O1464" t="s">
        <v>12258</v>
      </c>
      <c r="P1464" t="s">
        <v>69</v>
      </c>
      <c r="Q1464" t="s">
        <v>69</v>
      </c>
      <c r="R1464" t="s">
        <v>8505</v>
      </c>
      <c r="S1464" t="s">
        <v>8506</v>
      </c>
      <c r="T1464" t="s">
        <v>69</v>
      </c>
      <c r="U1464" t="s">
        <v>69</v>
      </c>
      <c r="V1464" t="s">
        <v>69</v>
      </c>
      <c r="W1464" t="s">
        <v>69</v>
      </c>
      <c r="X1464" t="s">
        <v>69</v>
      </c>
      <c r="Y1464" t="s">
        <v>69</v>
      </c>
      <c r="Z1464" t="s">
        <v>12259</v>
      </c>
      <c r="AA1464" t="s">
        <v>12260</v>
      </c>
      <c r="AB1464" t="s">
        <v>12261</v>
      </c>
      <c r="AC1464" t="s">
        <v>69</v>
      </c>
      <c r="AD1464" t="s">
        <v>12262</v>
      </c>
      <c r="AE1464" t="s">
        <v>12263</v>
      </c>
      <c r="AF1464" t="s">
        <v>69</v>
      </c>
      <c r="AG1464" t="s">
        <v>12264</v>
      </c>
      <c r="AH1464" t="s">
        <v>12265</v>
      </c>
      <c r="AI1464" t="s">
        <v>12265</v>
      </c>
      <c r="AJ1464" t="s">
        <v>12266</v>
      </c>
      <c r="AK1464" t="s">
        <v>69</v>
      </c>
      <c r="AL1464">
        <v>114</v>
      </c>
      <c r="AM1464">
        <v>0</v>
      </c>
      <c r="AN1464">
        <v>0</v>
      </c>
      <c r="AO1464">
        <v>6</v>
      </c>
      <c r="AP1464">
        <v>9</v>
      </c>
      <c r="AQ1464" t="s">
        <v>9978</v>
      </c>
      <c r="AR1464" t="s">
        <v>9979</v>
      </c>
      <c r="AS1464" t="s">
        <v>9980</v>
      </c>
      <c r="AT1464" t="s">
        <v>12267</v>
      </c>
      <c r="AU1464" t="s">
        <v>12268</v>
      </c>
      <c r="AV1464" t="s">
        <v>69</v>
      </c>
      <c r="AW1464" t="s">
        <v>12269</v>
      </c>
      <c r="AX1464" t="s">
        <v>12270</v>
      </c>
      <c r="AY1464" t="s">
        <v>586</v>
      </c>
      <c r="AZ1464">
        <v>2021</v>
      </c>
      <c r="BA1464">
        <v>46</v>
      </c>
      <c r="BB1464">
        <v>2</v>
      </c>
      <c r="BC1464" t="s">
        <v>69</v>
      </c>
      <c r="BD1464" t="s">
        <v>69</v>
      </c>
      <c r="BE1464" t="s">
        <v>69</v>
      </c>
      <c r="BF1464" t="s">
        <v>69</v>
      </c>
      <c r="BG1464">
        <v>407</v>
      </c>
      <c r="BH1464">
        <v>434</v>
      </c>
      <c r="BI1464" t="s">
        <v>12271</v>
      </c>
      <c r="BJ1464" t="s">
        <v>12272</v>
      </c>
      <c r="BK1464" t="str">
        <f>HYPERLINK("http://dx.doi.org/10.1017/lsi.2020.36","http://dx.doi.org/10.1017/lsi.2020.36")</f>
        <v>http://dx.doi.org/10.1017/lsi.2020.36</v>
      </c>
      <c r="BL1464" t="s">
        <v>69</v>
      </c>
      <c r="BM1464" t="s">
        <v>69</v>
      </c>
      <c r="BN1464">
        <v>28</v>
      </c>
      <c r="BO1464" t="s">
        <v>8452</v>
      </c>
      <c r="BP1464" t="s">
        <v>8661</v>
      </c>
      <c r="BQ1464" t="s">
        <v>10084</v>
      </c>
      <c r="BR1464" t="s">
        <v>12273</v>
      </c>
      <c r="BS1464" t="s">
        <v>12274</v>
      </c>
      <c r="BT1464" t="s">
        <v>69</v>
      </c>
      <c r="BU1464" t="s">
        <v>69</v>
      </c>
      <c r="BV1464" t="s">
        <v>69</v>
      </c>
      <c r="BW1464" t="s">
        <v>69</v>
      </c>
      <c r="BX1464" t="s">
        <v>8526</v>
      </c>
      <c r="BY1464" t="str">
        <f>HYPERLINK("https%3A%2F%2Fwww.webofscience.com%2Fwos%2Fwoscc%2Ffull-record%2FWOS:000639834700005","View Full Record in Web of Science")</f>
        <v>View Full Record in Web of Science</v>
      </c>
    </row>
    <row r="1465" spans="1:77" ht="12.5" x14ac:dyDescent="0.25">
      <c r="A1465" t="s">
        <v>8495</v>
      </c>
      <c r="B1465" s="22" t="s">
        <v>32931</v>
      </c>
      <c r="C1465" s="7"/>
      <c r="D1465" s="7"/>
      <c r="E1465" s="7"/>
      <c r="F1465" t="s">
        <v>67</v>
      </c>
      <c r="G1465" t="s">
        <v>13319</v>
      </c>
      <c r="H1465" t="s">
        <v>69</v>
      </c>
      <c r="I1465" t="s">
        <v>69</v>
      </c>
      <c r="J1465" t="s">
        <v>69</v>
      </c>
      <c r="K1465" t="s">
        <v>13320</v>
      </c>
      <c r="L1465" t="s">
        <v>69</v>
      </c>
      <c r="M1465" t="s">
        <v>69</v>
      </c>
      <c r="N1465" t="s">
        <v>13321</v>
      </c>
      <c r="O1465" t="s">
        <v>10506</v>
      </c>
      <c r="P1465" t="s">
        <v>69</v>
      </c>
      <c r="Q1465" t="s">
        <v>69</v>
      </c>
      <c r="R1465" t="s">
        <v>8505</v>
      </c>
      <c r="S1465" t="s">
        <v>8442</v>
      </c>
      <c r="T1465" t="s">
        <v>69</v>
      </c>
      <c r="U1465" t="s">
        <v>69</v>
      </c>
      <c r="V1465" t="s">
        <v>69</v>
      </c>
      <c r="W1465" t="s">
        <v>69</v>
      </c>
      <c r="X1465" t="s">
        <v>69</v>
      </c>
      <c r="Y1465" t="s">
        <v>13322</v>
      </c>
      <c r="Z1465" t="s">
        <v>13323</v>
      </c>
      <c r="AA1465" t="s">
        <v>13324</v>
      </c>
      <c r="AB1465" t="s">
        <v>13325</v>
      </c>
      <c r="AC1465" t="s">
        <v>69</v>
      </c>
      <c r="AD1465" t="s">
        <v>13326</v>
      </c>
      <c r="AE1465" t="s">
        <v>13327</v>
      </c>
      <c r="AF1465" t="s">
        <v>13328</v>
      </c>
      <c r="AG1465" t="s">
        <v>13329</v>
      </c>
      <c r="AH1465" t="s">
        <v>13330</v>
      </c>
      <c r="AI1465" t="s">
        <v>13331</v>
      </c>
      <c r="AJ1465" t="s">
        <v>13332</v>
      </c>
      <c r="AK1465" t="s">
        <v>69</v>
      </c>
      <c r="AL1465">
        <v>78</v>
      </c>
      <c r="AM1465">
        <v>16</v>
      </c>
      <c r="AN1465">
        <v>16</v>
      </c>
      <c r="AO1465">
        <v>5</v>
      </c>
      <c r="AP1465">
        <v>24</v>
      </c>
      <c r="AQ1465" t="s">
        <v>10517</v>
      </c>
      <c r="AR1465" t="s">
        <v>10518</v>
      </c>
      <c r="AS1465" t="s">
        <v>10519</v>
      </c>
      <c r="AT1465" t="s">
        <v>10520</v>
      </c>
      <c r="AU1465" t="s">
        <v>69</v>
      </c>
      <c r="AV1465" t="s">
        <v>69</v>
      </c>
      <c r="AW1465" t="s">
        <v>10521</v>
      </c>
      <c r="AX1465" t="s">
        <v>10522</v>
      </c>
      <c r="AY1465" t="s">
        <v>13333</v>
      </c>
      <c r="AZ1465">
        <v>2021</v>
      </c>
      <c r="BA1465">
        <v>23</v>
      </c>
      <c r="BB1465">
        <v>1</v>
      </c>
      <c r="BC1465" t="s">
        <v>69</v>
      </c>
      <c r="BD1465" t="s">
        <v>69</v>
      </c>
      <c r="BE1465" t="s">
        <v>69</v>
      </c>
      <c r="BF1465" t="s">
        <v>69</v>
      </c>
      <c r="BG1465" t="s">
        <v>69</v>
      </c>
      <c r="BH1465" t="s">
        <v>69</v>
      </c>
      <c r="BI1465" t="s">
        <v>13334</v>
      </c>
      <c r="BJ1465" t="s">
        <v>13335</v>
      </c>
      <c r="BK1465" t="str">
        <f>HYPERLINK("http://dx.doi.org/10.2196/23775","http://dx.doi.org/10.2196/23775")</f>
        <v>http://dx.doi.org/10.2196/23775</v>
      </c>
      <c r="BL1465" t="s">
        <v>69</v>
      </c>
      <c r="BM1465" t="s">
        <v>69</v>
      </c>
      <c r="BN1465">
        <v>15</v>
      </c>
      <c r="BO1465" t="s">
        <v>10525</v>
      </c>
      <c r="BP1465" t="s">
        <v>8523</v>
      </c>
      <c r="BQ1465" t="s">
        <v>10525</v>
      </c>
      <c r="BR1465" t="s">
        <v>13336</v>
      </c>
      <c r="BS1465" t="s">
        <v>13337</v>
      </c>
      <c r="BT1465">
        <v>33434141</v>
      </c>
      <c r="BU1465" t="s">
        <v>9352</v>
      </c>
      <c r="BV1465" t="s">
        <v>69</v>
      </c>
      <c r="BW1465" t="s">
        <v>69</v>
      </c>
      <c r="BX1465" t="s">
        <v>8526</v>
      </c>
      <c r="BY1465" t="str">
        <f>HYPERLINK("https%3A%2F%2Fwww.webofscience.com%2Fwos%2Fwoscc%2Ffull-record%2FWOS:000612134900001","View Full Record in Web of Science")</f>
        <v>View Full Record in Web of Science</v>
      </c>
    </row>
    <row r="1466" spans="1:77" ht="12.5" x14ac:dyDescent="0.25">
      <c r="A1466" t="s">
        <v>8495</v>
      </c>
      <c r="B1466" s="7" t="s">
        <v>32933</v>
      </c>
      <c r="C1466" s="7"/>
      <c r="D1466" s="7"/>
      <c r="E1466" s="7"/>
      <c r="F1466" t="s">
        <v>67</v>
      </c>
      <c r="G1466" t="s">
        <v>405</v>
      </c>
      <c r="H1466" t="s">
        <v>69</v>
      </c>
      <c r="I1466" t="s">
        <v>69</v>
      </c>
      <c r="J1466" t="s">
        <v>69</v>
      </c>
      <c r="K1466" t="s">
        <v>406</v>
      </c>
      <c r="L1466" t="s">
        <v>69</v>
      </c>
      <c r="M1466" t="s">
        <v>69</v>
      </c>
      <c r="N1466" t="s">
        <v>407</v>
      </c>
      <c r="O1466" t="s">
        <v>408</v>
      </c>
      <c r="P1466" t="s">
        <v>69</v>
      </c>
      <c r="Q1466" t="s">
        <v>69</v>
      </c>
      <c r="R1466" t="s">
        <v>8505</v>
      </c>
      <c r="S1466" t="s">
        <v>8506</v>
      </c>
      <c r="T1466" t="s">
        <v>69</v>
      </c>
      <c r="U1466" t="s">
        <v>69</v>
      </c>
      <c r="V1466" t="s">
        <v>69</v>
      </c>
      <c r="W1466" t="s">
        <v>69</v>
      </c>
      <c r="X1466" t="s">
        <v>69</v>
      </c>
      <c r="Y1466" t="s">
        <v>19350</v>
      </c>
      <c r="Z1466" t="s">
        <v>19351</v>
      </c>
      <c r="AA1466" t="s">
        <v>409</v>
      </c>
      <c r="AB1466" t="s">
        <v>19352</v>
      </c>
      <c r="AC1466" t="s">
        <v>69</v>
      </c>
      <c r="AD1466" t="s">
        <v>19353</v>
      </c>
      <c r="AE1466" t="s">
        <v>19354</v>
      </c>
      <c r="AF1466" t="s">
        <v>19355</v>
      </c>
      <c r="AG1466" t="s">
        <v>19356</v>
      </c>
      <c r="AH1466" t="s">
        <v>69</v>
      </c>
      <c r="AI1466" t="s">
        <v>69</v>
      </c>
      <c r="AJ1466" t="s">
        <v>69</v>
      </c>
      <c r="AK1466" t="s">
        <v>69</v>
      </c>
      <c r="AL1466">
        <v>60</v>
      </c>
      <c r="AM1466">
        <v>16</v>
      </c>
      <c r="AN1466">
        <v>16</v>
      </c>
      <c r="AO1466">
        <v>10</v>
      </c>
      <c r="AP1466">
        <v>62</v>
      </c>
      <c r="AQ1466" t="s">
        <v>8586</v>
      </c>
      <c r="AR1466" t="s">
        <v>8587</v>
      </c>
      <c r="AS1466" t="s">
        <v>8588</v>
      </c>
      <c r="AT1466" t="s">
        <v>410</v>
      </c>
      <c r="AU1466" t="s">
        <v>411</v>
      </c>
      <c r="AV1466" t="s">
        <v>69</v>
      </c>
      <c r="AW1466" t="s">
        <v>9125</v>
      </c>
      <c r="AX1466" t="s">
        <v>9126</v>
      </c>
      <c r="AY1466" t="s">
        <v>69</v>
      </c>
      <c r="AZ1466">
        <v>2018</v>
      </c>
      <c r="BA1466">
        <v>25</v>
      </c>
      <c r="BB1466">
        <v>11</v>
      </c>
      <c r="BC1466" t="s">
        <v>69</v>
      </c>
      <c r="BD1466" t="s">
        <v>69</v>
      </c>
      <c r="BE1466" t="s">
        <v>69</v>
      </c>
      <c r="BF1466" t="s">
        <v>69</v>
      </c>
      <c r="BG1466">
        <v>1454</v>
      </c>
      <c r="BH1466">
        <v>1474</v>
      </c>
      <c r="BI1466" t="s">
        <v>69</v>
      </c>
      <c r="BJ1466" t="s">
        <v>412</v>
      </c>
      <c r="BK1466" t="str">
        <f>HYPERLINK("http://dx.doi.org/10.1108/ECAM-09-2016-0205","http://dx.doi.org/10.1108/ECAM-09-2016-0205")</f>
        <v>http://dx.doi.org/10.1108/ECAM-09-2016-0205</v>
      </c>
      <c r="BL1466" t="s">
        <v>69</v>
      </c>
      <c r="BM1466" t="s">
        <v>69</v>
      </c>
      <c r="BN1466">
        <v>21</v>
      </c>
      <c r="BO1466" t="s">
        <v>9128</v>
      </c>
      <c r="BP1466" t="s">
        <v>8523</v>
      </c>
      <c r="BQ1466" t="s">
        <v>9129</v>
      </c>
      <c r="BR1466" t="s">
        <v>19357</v>
      </c>
      <c r="BS1466" t="s">
        <v>413</v>
      </c>
      <c r="BT1466" t="s">
        <v>69</v>
      </c>
      <c r="BU1466" t="s">
        <v>69</v>
      </c>
      <c r="BV1466" t="s">
        <v>69</v>
      </c>
      <c r="BW1466" t="s">
        <v>69</v>
      </c>
      <c r="BX1466" t="s">
        <v>8526</v>
      </c>
      <c r="BY1466" t="str">
        <f>HYPERLINK("https%3A%2F%2Fwww.webofscience.com%2Fwos%2Fwoscc%2Ffull-record%2FWOS:000447885000003","View Full Record in Web of Science")</f>
        <v>View Full Record in Web of Science</v>
      </c>
    </row>
    <row r="1467" spans="1:77" ht="12.5" x14ac:dyDescent="0.25">
      <c r="A1467" t="s">
        <v>8495</v>
      </c>
      <c r="B1467" s="7" t="s">
        <v>32933</v>
      </c>
      <c r="C1467" s="7"/>
      <c r="D1467" s="7"/>
      <c r="E1467" s="7"/>
      <c r="F1467" t="s">
        <v>67</v>
      </c>
      <c r="G1467" t="s">
        <v>2630</v>
      </c>
      <c r="H1467" t="s">
        <v>69</v>
      </c>
      <c r="I1467" t="s">
        <v>69</v>
      </c>
      <c r="J1467" t="s">
        <v>69</v>
      </c>
      <c r="K1467" t="s">
        <v>2631</v>
      </c>
      <c r="L1467" t="s">
        <v>69</v>
      </c>
      <c r="M1467" t="s">
        <v>69</v>
      </c>
      <c r="N1467" t="s">
        <v>2632</v>
      </c>
      <c r="O1467" t="s">
        <v>823</v>
      </c>
      <c r="P1467" t="s">
        <v>69</v>
      </c>
      <c r="Q1467" t="s">
        <v>69</v>
      </c>
      <c r="R1467" t="s">
        <v>8505</v>
      </c>
      <c r="S1467" t="s">
        <v>8506</v>
      </c>
      <c r="T1467" t="s">
        <v>69</v>
      </c>
      <c r="U1467" t="s">
        <v>69</v>
      </c>
      <c r="V1467" t="s">
        <v>69</v>
      </c>
      <c r="W1467" t="s">
        <v>69</v>
      </c>
      <c r="X1467" t="s">
        <v>69</v>
      </c>
      <c r="Y1467" t="s">
        <v>20566</v>
      </c>
      <c r="Z1467" t="s">
        <v>20567</v>
      </c>
      <c r="AA1467" t="s">
        <v>2633</v>
      </c>
      <c r="AB1467" t="s">
        <v>20568</v>
      </c>
      <c r="AC1467" t="s">
        <v>69</v>
      </c>
      <c r="AD1467" t="s">
        <v>20569</v>
      </c>
      <c r="AE1467" t="s">
        <v>20570</v>
      </c>
      <c r="AF1467" t="s">
        <v>69</v>
      </c>
      <c r="AG1467" t="s">
        <v>69</v>
      </c>
      <c r="AH1467" t="s">
        <v>20571</v>
      </c>
      <c r="AI1467" t="s">
        <v>20572</v>
      </c>
      <c r="AJ1467" t="s">
        <v>20573</v>
      </c>
      <c r="AK1467" t="s">
        <v>69</v>
      </c>
      <c r="AL1467">
        <v>109</v>
      </c>
      <c r="AM1467">
        <v>3</v>
      </c>
      <c r="AN1467">
        <v>4</v>
      </c>
      <c r="AO1467">
        <v>3</v>
      </c>
      <c r="AP1467">
        <v>32</v>
      </c>
      <c r="AQ1467" t="s">
        <v>9047</v>
      </c>
      <c r="AR1467" t="s">
        <v>9048</v>
      </c>
      <c r="AS1467" t="s">
        <v>9049</v>
      </c>
      <c r="AT1467" t="s">
        <v>825</v>
      </c>
      <c r="AU1467" t="s">
        <v>826</v>
      </c>
      <c r="AV1467" t="s">
        <v>69</v>
      </c>
      <c r="AW1467" t="s">
        <v>15917</v>
      </c>
      <c r="AX1467" t="s">
        <v>15918</v>
      </c>
      <c r="AY1467" t="s">
        <v>191</v>
      </c>
      <c r="AZ1467">
        <v>2017</v>
      </c>
      <c r="BA1467">
        <v>189</v>
      </c>
      <c r="BB1467">
        <v>2</v>
      </c>
      <c r="BC1467" t="s">
        <v>69</v>
      </c>
      <c r="BD1467" t="s">
        <v>69</v>
      </c>
      <c r="BE1467" t="s">
        <v>69</v>
      </c>
      <c r="BF1467" t="s">
        <v>69</v>
      </c>
      <c r="BG1467" t="s">
        <v>69</v>
      </c>
      <c r="BH1467" t="s">
        <v>69</v>
      </c>
      <c r="BI1467">
        <v>60</v>
      </c>
      <c r="BJ1467" t="s">
        <v>2634</v>
      </c>
      <c r="BK1467" t="str">
        <f>HYPERLINK("http://dx.doi.org/10.1007/s10661-016-5731-3","http://dx.doi.org/10.1007/s10661-016-5731-3")</f>
        <v>http://dx.doi.org/10.1007/s10661-016-5731-3</v>
      </c>
      <c r="BL1467" t="s">
        <v>69</v>
      </c>
      <c r="BM1467" t="s">
        <v>69</v>
      </c>
      <c r="BN1467">
        <v>18</v>
      </c>
      <c r="BO1467" t="s">
        <v>8717</v>
      </c>
      <c r="BP1467" t="s">
        <v>8523</v>
      </c>
      <c r="BQ1467" t="s">
        <v>8662</v>
      </c>
      <c r="BR1467" t="s">
        <v>20574</v>
      </c>
      <c r="BS1467" t="s">
        <v>2635</v>
      </c>
      <c r="BT1467">
        <v>28097613</v>
      </c>
      <c r="BU1467" t="s">
        <v>69</v>
      </c>
      <c r="BV1467" t="s">
        <v>69</v>
      </c>
      <c r="BW1467" t="s">
        <v>69</v>
      </c>
      <c r="BX1467" t="s">
        <v>8526</v>
      </c>
      <c r="BY1467" t="str">
        <f>HYPERLINK("https%3A%2F%2Fwww.webofscience.com%2Fwos%2Fwoscc%2Ffull-record%2FWOS:000393645800015","View Full Record in Web of Science")</f>
        <v>View Full Record in Web of Science</v>
      </c>
    </row>
    <row r="1468" spans="1:77" ht="12.5" x14ac:dyDescent="0.25">
      <c r="A1468" t="s">
        <v>8495</v>
      </c>
      <c r="B1468" s="7" t="s">
        <v>32933</v>
      </c>
      <c r="C1468" s="7"/>
      <c r="D1468" s="7"/>
      <c r="E1468" s="7"/>
      <c r="F1468" t="s">
        <v>67</v>
      </c>
      <c r="G1468" t="s">
        <v>2586</v>
      </c>
      <c r="H1468" t="s">
        <v>69</v>
      </c>
      <c r="I1468" t="s">
        <v>69</v>
      </c>
      <c r="J1468" t="s">
        <v>69</v>
      </c>
      <c r="K1468" t="s">
        <v>2587</v>
      </c>
      <c r="L1468" t="s">
        <v>69</v>
      </c>
      <c r="M1468" t="s">
        <v>69</v>
      </c>
      <c r="N1468" t="s">
        <v>2588</v>
      </c>
      <c r="O1468" t="s">
        <v>2589</v>
      </c>
      <c r="P1468" t="s">
        <v>69</v>
      </c>
      <c r="Q1468" t="s">
        <v>69</v>
      </c>
      <c r="R1468" t="s">
        <v>8505</v>
      </c>
      <c r="S1468" t="s">
        <v>8506</v>
      </c>
      <c r="T1468" t="s">
        <v>69</v>
      </c>
      <c r="U1468" t="s">
        <v>69</v>
      </c>
      <c r="V1468" t="s">
        <v>69</v>
      </c>
      <c r="W1468" t="s">
        <v>69</v>
      </c>
      <c r="X1468" t="s">
        <v>69</v>
      </c>
      <c r="Y1468" t="s">
        <v>20158</v>
      </c>
      <c r="Z1468" t="s">
        <v>20159</v>
      </c>
      <c r="AA1468" t="s">
        <v>2590</v>
      </c>
      <c r="AB1468" t="s">
        <v>20160</v>
      </c>
      <c r="AC1468" t="s">
        <v>69</v>
      </c>
      <c r="AD1468" t="s">
        <v>20161</v>
      </c>
      <c r="AE1468" t="s">
        <v>20162</v>
      </c>
      <c r="AF1468" t="s">
        <v>69</v>
      </c>
      <c r="AG1468" t="s">
        <v>69</v>
      </c>
      <c r="AH1468" t="s">
        <v>20163</v>
      </c>
      <c r="AI1468" t="s">
        <v>20164</v>
      </c>
      <c r="AJ1468" t="s">
        <v>20165</v>
      </c>
      <c r="AK1468" t="s">
        <v>69</v>
      </c>
      <c r="AL1468">
        <v>60</v>
      </c>
      <c r="AM1468">
        <v>6</v>
      </c>
      <c r="AN1468">
        <v>6</v>
      </c>
      <c r="AO1468">
        <v>1</v>
      </c>
      <c r="AP1468">
        <v>15</v>
      </c>
      <c r="AQ1468" t="s">
        <v>2589</v>
      </c>
      <c r="AR1468" t="s">
        <v>20166</v>
      </c>
      <c r="AS1468" t="s">
        <v>20167</v>
      </c>
      <c r="AT1468" t="s">
        <v>2591</v>
      </c>
      <c r="AU1468" t="s">
        <v>69</v>
      </c>
      <c r="AV1468" t="s">
        <v>69</v>
      </c>
      <c r="AW1468" t="s">
        <v>20168</v>
      </c>
      <c r="AX1468" t="s">
        <v>20169</v>
      </c>
      <c r="AY1468" t="s">
        <v>84</v>
      </c>
      <c r="AZ1468">
        <v>2017</v>
      </c>
      <c r="BA1468">
        <v>11</v>
      </c>
      <c r="BB1468">
        <v>2</v>
      </c>
      <c r="BC1468" t="s">
        <v>69</v>
      </c>
      <c r="BD1468" t="s">
        <v>69</v>
      </c>
      <c r="BE1468" t="s">
        <v>69</v>
      </c>
      <c r="BF1468" t="s">
        <v>69</v>
      </c>
      <c r="BG1468">
        <v>17</v>
      </c>
      <c r="BH1468">
        <v>32</v>
      </c>
      <c r="BI1468" t="s">
        <v>69</v>
      </c>
      <c r="BJ1468" t="s">
        <v>69</v>
      </c>
      <c r="BK1468" t="s">
        <v>69</v>
      </c>
      <c r="BL1468" t="s">
        <v>69</v>
      </c>
      <c r="BM1468" t="s">
        <v>69</v>
      </c>
      <c r="BN1468">
        <v>16</v>
      </c>
      <c r="BO1468" t="s">
        <v>8834</v>
      </c>
      <c r="BP1468" t="s">
        <v>8548</v>
      </c>
      <c r="BQ1468" t="s">
        <v>8834</v>
      </c>
      <c r="BR1468" t="s">
        <v>20170</v>
      </c>
      <c r="BS1468" t="s">
        <v>2592</v>
      </c>
      <c r="BT1468" t="s">
        <v>69</v>
      </c>
      <c r="BU1468" t="s">
        <v>69</v>
      </c>
      <c r="BV1468" t="s">
        <v>69</v>
      </c>
      <c r="BW1468" t="s">
        <v>69</v>
      </c>
      <c r="BX1468" t="s">
        <v>8526</v>
      </c>
      <c r="BY1468" t="str">
        <f>HYPERLINK("https%3A%2F%2Fwww.webofscience.com%2Fwos%2Fwoscc%2Ffull-record%2FWOS:000412706300003","View Full Record in Web of Science")</f>
        <v>View Full Record in Web of Science</v>
      </c>
    </row>
    <row r="1469" spans="1:77" ht="12.5" x14ac:dyDescent="0.25">
      <c r="A1469" t="s">
        <v>8495</v>
      </c>
      <c r="B1469" s="7" t="s">
        <v>32933</v>
      </c>
      <c r="C1469" s="7"/>
      <c r="D1469" s="7"/>
      <c r="E1469" s="7"/>
      <c r="F1469" t="s">
        <v>67</v>
      </c>
      <c r="G1469" t="s">
        <v>1091</v>
      </c>
      <c r="H1469" t="s">
        <v>69</v>
      </c>
      <c r="I1469" t="s">
        <v>69</v>
      </c>
      <c r="J1469" t="s">
        <v>69</v>
      </c>
      <c r="K1469" t="s">
        <v>1092</v>
      </c>
      <c r="L1469" t="s">
        <v>69</v>
      </c>
      <c r="M1469" t="s">
        <v>69</v>
      </c>
      <c r="N1469" t="s">
        <v>1093</v>
      </c>
      <c r="O1469" t="s">
        <v>715</v>
      </c>
      <c r="P1469" t="s">
        <v>69</v>
      </c>
      <c r="Q1469" t="s">
        <v>69</v>
      </c>
      <c r="R1469" t="s">
        <v>8505</v>
      </c>
      <c r="S1469" t="s">
        <v>8506</v>
      </c>
      <c r="T1469" t="s">
        <v>69</v>
      </c>
      <c r="U1469" t="s">
        <v>69</v>
      </c>
      <c r="V1469" t="s">
        <v>69</v>
      </c>
      <c r="W1469" t="s">
        <v>69</v>
      </c>
      <c r="X1469" t="s">
        <v>69</v>
      </c>
      <c r="Y1469" t="s">
        <v>19042</v>
      </c>
      <c r="Z1469" t="s">
        <v>19043</v>
      </c>
      <c r="AA1469" t="s">
        <v>1094</v>
      </c>
      <c r="AB1469" t="s">
        <v>19044</v>
      </c>
      <c r="AC1469" t="s">
        <v>69</v>
      </c>
      <c r="AD1469" t="s">
        <v>19045</v>
      </c>
      <c r="AE1469" t="s">
        <v>19046</v>
      </c>
      <c r="AF1469" t="s">
        <v>19047</v>
      </c>
      <c r="AG1469" t="s">
        <v>19048</v>
      </c>
      <c r="AH1469" t="s">
        <v>69</v>
      </c>
      <c r="AI1469" t="s">
        <v>69</v>
      </c>
      <c r="AJ1469" t="s">
        <v>69</v>
      </c>
      <c r="AK1469" t="s">
        <v>69</v>
      </c>
      <c r="AL1469">
        <v>85</v>
      </c>
      <c r="AM1469">
        <v>32</v>
      </c>
      <c r="AN1469">
        <v>32</v>
      </c>
      <c r="AO1469">
        <v>4</v>
      </c>
      <c r="AP1469">
        <v>73</v>
      </c>
      <c r="AQ1469" t="s">
        <v>8846</v>
      </c>
      <c r="AR1469" t="s">
        <v>8847</v>
      </c>
      <c r="AS1469" t="s">
        <v>8848</v>
      </c>
      <c r="AT1469" t="s">
        <v>719</v>
      </c>
      <c r="AU1469" t="s">
        <v>720</v>
      </c>
      <c r="AV1469" t="s">
        <v>69</v>
      </c>
      <c r="AW1469" t="s">
        <v>9110</v>
      </c>
      <c r="AX1469" t="s">
        <v>9111</v>
      </c>
      <c r="AY1469" t="s">
        <v>94</v>
      </c>
      <c r="AZ1469">
        <v>2018</v>
      </c>
      <c r="BA1469">
        <v>27</v>
      </c>
      <c r="BB1469">
        <v>3</v>
      </c>
      <c r="BC1469" t="s">
        <v>69</v>
      </c>
      <c r="BD1469" t="s">
        <v>69</v>
      </c>
      <c r="BE1469" t="s">
        <v>69</v>
      </c>
      <c r="BF1469" t="s">
        <v>69</v>
      </c>
      <c r="BG1469">
        <v>282</v>
      </c>
      <c r="BH1469">
        <v>299</v>
      </c>
      <c r="BI1469" t="s">
        <v>69</v>
      </c>
      <c r="BJ1469" t="s">
        <v>1095</v>
      </c>
      <c r="BK1469" t="str">
        <f>HYPERLINK("http://dx.doi.org/10.1002/bse.1999","http://dx.doi.org/10.1002/bse.1999")</f>
        <v>http://dx.doi.org/10.1002/bse.1999</v>
      </c>
      <c r="BL1469" t="s">
        <v>69</v>
      </c>
      <c r="BM1469" t="s">
        <v>69</v>
      </c>
      <c r="BN1469">
        <v>18</v>
      </c>
      <c r="BO1469" t="s">
        <v>9113</v>
      </c>
      <c r="BP1469" t="s">
        <v>8661</v>
      </c>
      <c r="BQ1469" t="s">
        <v>9114</v>
      </c>
      <c r="BR1469" t="s">
        <v>19049</v>
      </c>
      <c r="BS1469" t="s">
        <v>1096</v>
      </c>
      <c r="BT1469" t="s">
        <v>69</v>
      </c>
      <c r="BU1469" t="s">
        <v>69</v>
      </c>
      <c r="BV1469" t="s">
        <v>69</v>
      </c>
      <c r="BW1469" t="s">
        <v>69</v>
      </c>
      <c r="BX1469" t="s">
        <v>8526</v>
      </c>
      <c r="BY1469" t="str">
        <f>HYPERLINK("https%3A%2F%2Fwww.webofscience.com%2Fwos%2Fwoscc%2Ffull-record%2FWOS:000426762900002","View Full Record in Web of Science")</f>
        <v>View Full Record in Web of Science</v>
      </c>
    </row>
    <row r="1470" spans="1:77" ht="12.5" x14ac:dyDescent="0.25">
      <c r="A1470" t="s">
        <v>8495</v>
      </c>
      <c r="B1470" s="7" t="s">
        <v>32933</v>
      </c>
      <c r="C1470" s="7"/>
      <c r="D1470" s="7"/>
      <c r="E1470" s="7"/>
      <c r="F1470" t="s">
        <v>67</v>
      </c>
      <c r="G1470" t="s">
        <v>3103</v>
      </c>
      <c r="H1470" t="s">
        <v>69</v>
      </c>
      <c r="I1470" t="s">
        <v>69</v>
      </c>
      <c r="J1470" t="s">
        <v>69</v>
      </c>
      <c r="K1470" t="s">
        <v>3104</v>
      </c>
      <c r="L1470" t="s">
        <v>69</v>
      </c>
      <c r="M1470" t="s">
        <v>69</v>
      </c>
      <c r="N1470" t="s">
        <v>3105</v>
      </c>
      <c r="O1470" t="s">
        <v>3106</v>
      </c>
      <c r="P1470" t="s">
        <v>69</v>
      </c>
      <c r="Q1470" t="s">
        <v>69</v>
      </c>
      <c r="R1470" t="s">
        <v>8505</v>
      </c>
      <c r="S1470" t="s">
        <v>8506</v>
      </c>
      <c r="T1470" t="s">
        <v>69</v>
      </c>
      <c r="U1470" t="s">
        <v>69</v>
      </c>
      <c r="V1470" t="s">
        <v>69</v>
      </c>
      <c r="W1470" t="s">
        <v>69</v>
      </c>
      <c r="X1470" t="s">
        <v>69</v>
      </c>
      <c r="Y1470" t="s">
        <v>23325</v>
      </c>
      <c r="Z1470" t="s">
        <v>23326</v>
      </c>
      <c r="AA1470" t="s">
        <v>3107</v>
      </c>
      <c r="AB1470" t="s">
        <v>23327</v>
      </c>
      <c r="AC1470" t="s">
        <v>69</v>
      </c>
      <c r="AD1470" t="s">
        <v>23328</v>
      </c>
      <c r="AE1470" t="s">
        <v>23329</v>
      </c>
      <c r="AF1470" t="s">
        <v>69</v>
      </c>
      <c r="AG1470" t="s">
        <v>69</v>
      </c>
      <c r="AH1470" t="s">
        <v>69</v>
      </c>
      <c r="AI1470" t="s">
        <v>69</v>
      </c>
      <c r="AJ1470" t="s">
        <v>69</v>
      </c>
      <c r="AK1470" t="s">
        <v>69</v>
      </c>
      <c r="AL1470">
        <v>161</v>
      </c>
      <c r="AM1470">
        <v>11</v>
      </c>
      <c r="AN1470">
        <v>11</v>
      </c>
      <c r="AO1470">
        <v>1</v>
      </c>
      <c r="AP1470">
        <v>44</v>
      </c>
      <c r="AQ1470" t="s">
        <v>8586</v>
      </c>
      <c r="AR1470" t="s">
        <v>8587</v>
      </c>
      <c r="AS1470" t="s">
        <v>8588</v>
      </c>
      <c r="AT1470" t="s">
        <v>3108</v>
      </c>
      <c r="AU1470" t="s">
        <v>3109</v>
      </c>
      <c r="AV1470" t="s">
        <v>69</v>
      </c>
      <c r="AW1470" t="s">
        <v>9537</v>
      </c>
      <c r="AX1470" t="s">
        <v>9538</v>
      </c>
      <c r="AY1470" t="s">
        <v>69</v>
      </c>
      <c r="AZ1470">
        <v>2015</v>
      </c>
      <c r="BA1470">
        <v>11</v>
      </c>
      <c r="BB1470">
        <v>4</v>
      </c>
      <c r="BC1470" t="s">
        <v>69</v>
      </c>
      <c r="BD1470" t="s">
        <v>69</v>
      </c>
      <c r="BE1470" t="s">
        <v>69</v>
      </c>
      <c r="BF1470" t="s">
        <v>69</v>
      </c>
      <c r="BG1470">
        <v>780</v>
      </c>
      <c r="BH1470" t="s">
        <v>219</v>
      </c>
      <c r="BI1470" t="s">
        <v>69</v>
      </c>
      <c r="BJ1470" t="s">
        <v>3110</v>
      </c>
      <c r="BK1470" t="str">
        <f>HYPERLINK("http://dx.doi.org/10.1108/SRJ-06-2014-0071","http://dx.doi.org/10.1108/SRJ-06-2014-0071")</f>
        <v>http://dx.doi.org/10.1108/SRJ-06-2014-0071</v>
      </c>
      <c r="BL1470" t="s">
        <v>69</v>
      </c>
      <c r="BM1470" t="s">
        <v>69</v>
      </c>
      <c r="BN1470">
        <v>52</v>
      </c>
      <c r="BO1470" t="s">
        <v>9410</v>
      </c>
      <c r="BP1470" t="s">
        <v>8573</v>
      </c>
      <c r="BQ1470" t="s">
        <v>8594</v>
      </c>
      <c r="BR1470" t="s">
        <v>23330</v>
      </c>
      <c r="BS1470" t="s">
        <v>3111</v>
      </c>
      <c r="BT1470" t="s">
        <v>69</v>
      </c>
      <c r="BU1470" t="s">
        <v>10995</v>
      </c>
      <c r="BV1470" t="s">
        <v>69</v>
      </c>
      <c r="BW1470" t="s">
        <v>69</v>
      </c>
      <c r="BX1470" t="s">
        <v>8526</v>
      </c>
      <c r="BY1470" t="str">
        <f>HYPERLINK("https%3A%2F%2Fwww.webofscience.com%2Fwos%2Fwoscc%2Ffull-record%2FWOS:000212543800010","View Full Record in Web of Science")</f>
        <v>View Full Record in Web of Science</v>
      </c>
    </row>
    <row r="1471" spans="1:77" x14ac:dyDescent="0.3">
      <c r="A1471" t="s">
        <v>8495</v>
      </c>
      <c r="B1471" s="13" t="s">
        <v>33024</v>
      </c>
      <c r="F1471" t="s">
        <v>67</v>
      </c>
      <c r="G1471" t="s">
        <v>322</v>
      </c>
      <c r="H1471" t="s">
        <v>69</v>
      </c>
      <c r="I1471" t="s">
        <v>69</v>
      </c>
      <c r="J1471" t="s">
        <v>69</v>
      </c>
      <c r="K1471" t="s">
        <v>323</v>
      </c>
      <c r="L1471" t="s">
        <v>69</v>
      </c>
      <c r="M1471" t="s">
        <v>69</v>
      </c>
      <c r="N1471" s="2" t="s">
        <v>324</v>
      </c>
      <c r="O1471" t="s">
        <v>72</v>
      </c>
      <c r="P1471" t="s">
        <v>69</v>
      </c>
      <c r="Q1471" t="s">
        <v>69</v>
      </c>
      <c r="R1471" t="s">
        <v>8505</v>
      </c>
      <c r="S1471" t="s">
        <v>8506</v>
      </c>
      <c r="T1471" t="s">
        <v>69</v>
      </c>
      <c r="U1471" t="s">
        <v>69</v>
      </c>
      <c r="V1471" t="s">
        <v>69</v>
      </c>
      <c r="W1471" t="s">
        <v>69</v>
      </c>
      <c r="X1471" t="s">
        <v>69</v>
      </c>
      <c r="Y1471" t="s">
        <v>16016</v>
      </c>
      <c r="Z1471" t="s">
        <v>16017</v>
      </c>
      <c r="AA1471" t="s">
        <v>325</v>
      </c>
      <c r="AB1471" t="s">
        <v>16018</v>
      </c>
      <c r="AC1471" t="s">
        <v>69</v>
      </c>
      <c r="AD1471" t="s">
        <v>16019</v>
      </c>
      <c r="AE1471" t="s">
        <v>16020</v>
      </c>
      <c r="AF1471" t="s">
        <v>69</v>
      </c>
      <c r="AG1471" t="s">
        <v>16021</v>
      </c>
      <c r="AH1471" t="s">
        <v>69</v>
      </c>
      <c r="AI1471" t="s">
        <v>69</v>
      </c>
      <c r="AJ1471" t="s">
        <v>69</v>
      </c>
      <c r="AK1471" t="s">
        <v>69</v>
      </c>
      <c r="AL1471">
        <v>32</v>
      </c>
      <c r="AM1471">
        <v>0</v>
      </c>
      <c r="AN1471">
        <v>0</v>
      </c>
      <c r="AO1471">
        <v>2</v>
      </c>
      <c r="AP1471">
        <v>22</v>
      </c>
      <c r="AQ1471" t="s">
        <v>16022</v>
      </c>
      <c r="AR1471" t="s">
        <v>16023</v>
      </c>
      <c r="AS1471" t="s">
        <v>16024</v>
      </c>
      <c r="AT1471" t="s">
        <v>74</v>
      </c>
      <c r="AU1471" t="s">
        <v>326</v>
      </c>
      <c r="AV1471" t="s">
        <v>69</v>
      </c>
      <c r="AW1471" t="s">
        <v>16022</v>
      </c>
      <c r="AX1471" t="s">
        <v>16025</v>
      </c>
      <c r="AY1471" t="s">
        <v>69</v>
      </c>
      <c r="AZ1471">
        <v>2020</v>
      </c>
      <c r="BA1471">
        <v>45</v>
      </c>
      <c r="BB1471">
        <v>4</v>
      </c>
      <c r="BC1471" t="s">
        <v>69</v>
      </c>
      <c r="BD1471" t="s">
        <v>69</v>
      </c>
      <c r="BE1471" t="s">
        <v>69</v>
      </c>
      <c r="BF1471" t="s">
        <v>69</v>
      </c>
      <c r="BG1471">
        <v>373</v>
      </c>
      <c r="BH1471">
        <v>386</v>
      </c>
      <c r="BI1471" t="s">
        <v>69</v>
      </c>
      <c r="BJ1471" t="s">
        <v>327</v>
      </c>
      <c r="BK1471" t="str">
        <f>HYPERLINK("http://dx.doi.org/10.1108/OHI-05-2020-0037","http://dx.doi.org/10.1108/OHI-05-2020-0037")</f>
        <v>http://dx.doi.org/10.1108/OHI-05-2020-0037</v>
      </c>
      <c r="BL1471" t="s">
        <v>69</v>
      </c>
      <c r="BM1471" t="s">
        <v>69</v>
      </c>
      <c r="BN1471">
        <v>14</v>
      </c>
      <c r="BO1471" t="s">
        <v>16026</v>
      </c>
      <c r="BP1471" t="s">
        <v>12201</v>
      </c>
      <c r="BQ1471" t="s">
        <v>16027</v>
      </c>
      <c r="BR1471" t="s">
        <v>16028</v>
      </c>
      <c r="BS1471" t="s">
        <v>328</v>
      </c>
      <c r="BT1471" t="s">
        <v>69</v>
      </c>
      <c r="BU1471" t="s">
        <v>16029</v>
      </c>
      <c r="BV1471" t="s">
        <v>69</v>
      </c>
      <c r="BW1471" t="s">
        <v>69</v>
      </c>
      <c r="BX1471" t="s">
        <v>8526</v>
      </c>
      <c r="BY1471" t="str">
        <f>HYPERLINK("https%3A%2F%2Fwww.webofscience.com%2Fwos%2Fwoscc%2Ffull-record%2FWOS:000603391500002","View Full Record in Web of Science")</f>
        <v>View Full Record in Web of Science</v>
      </c>
    </row>
    <row r="1472" spans="1:77" ht="12.5" x14ac:dyDescent="0.25">
      <c r="A1472" t="s">
        <v>8495</v>
      </c>
      <c r="B1472" s="7" t="s">
        <v>32933</v>
      </c>
      <c r="C1472" s="7"/>
      <c r="D1472" s="7"/>
      <c r="E1472" s="7"/>
      <c r="F1472" t="s">
        <v>67</v>
      </c>
      <c r="G1472" t="s">
        <v>8274</v>
      </c>
      <c r="H1472" t="s">
        <v>69</v>
      </c>
      <c r="I1472" t="s">
        <v>69</v>
      </c>
      <c r="J1472" t="s">
        <v>69</v>
      </c>
      <c r="K1472" t="s">
        <v>8275</v>
      </c>
      <c r="L1472" t="s">
        <v>69</v>
      </c>
      <c r="M1472" t="s">
        <v>69</v>
      </c>
      <c r="N1472" t="s">
        <v>8276</v>
      </c>
      <c r="O1472" t="s">
        <v>179</v>
      </c>
      <c r="P1472" t="s">
        <v>69</v>
      </c>
      <c r="Q1472" t="s">
        <v>69</v>
      </c>
      <c r="R1472" t="s">
        <v>8505</v>
      </c>
      <c r="S1472" t="s">
        <v>8506</v>
      </c>
      <c r="T1472" t="s">
        <v>69</v>
      </c>
      <c r="U1472" t="s">
        <v>69</v>
      </c>
      <c r="V1472" t="s">
        <v>69</v>
      </c>
      <c r="W1472" t="s">
        <v>69</v>
      </c>
      <c r="X1472" t="s">
        <v>69</v>
      </c>
      <c r="Y1472" t="s">
        <v>29499</v>
      </c>
      <c r="Z1472" t="s">
        <v>29500</v>
      </c>
      <c r="AA1472" t="s">
        <v>8277</v>
      </c>
      <c r="AB1472" t="s">
        <v>29501</v>
      </c>
      <c r="AC1472" t="s">
        <v>69</v>
      </c>
      <c r="AD1472" t="s">
        <v>29502</v>
      </c>
      <c r="AE1472" t="s">
        <v>29503</v>
      </c>
      <c r="AF1472" t="s">
        <v>69</v>
      </c>
      <c r="AG1472" t="s">
        <v>69</v>
      </c>
      <c r="AH1472" t="s">
        <v>69</v>
      </c>
      <c r="AI1472" t="s">
        <v>69</v>
      </c>
      <c r="AJ1472" t="s">
        <v>69</v>
      </c>
      <c r="AK1472" t="s">
        <v>69</v>
      </c>
      <c r="AL1472">
        <v>58</v>
      </c>
      <c r="AM1472">
        <v>8</v>
      </c>
      <c r="AN1472">
        <v>8</v>
      </c>
      <c r="AO1472">
        <v>0</v>
      </c>
      <c r="AP1472">
        <v>18</v>
      </c>
      <c r="AQ1472" t="s">
        <v>9047</v>
      </c>
      <c r="AR1472" t="s">
        <v>8693</v>
      </c>
      <c r="AS1472" t="s">
        <v>11784</v>
      </c>
      <c r="AT1472" t="s">
        <v>181</v>
      </c>
      <c r="AU1472" t="s">
        <v>182</v>
      </c>
      <c r="AV1472" t="s">
        <v>69</v>
      </c>
      <c r="AW1472" t="s">
        <v>17432</v>
      </c>
      <c r="AX1472" t="s">
        <v>17433</v>
      </c>
      <c r="AY1472" t="s">
        <v>75</v>
      </c>
      <c r="AZ1472">
        <v>2007</v>
      </c>
      <c r="BA1472">
        <v>40</v>
      </c>
      <c r="BB1472">
        <v>6</v>
      </c>
      <c r="BC1472" t="s">
        <v>69</v>
      </c>
      <c r="BD1472" t="s">
        <v>69</v>
      </c>
      <c r="BE1472" t="s">
        <v>69</v>
      </c>
      <c r="BF1472" t="s">
        <v>69</v>
      </c>
      <c r="BG1472">
        <v>853</v>
      </c>
      <c r="BH1472">
        <v>865</v>
      </c>
      <c r="BI1472" t="s">
        <v>69</v>
      </c>
      <c r="BJ1472" t="s">
        <v>8278</v>
      </c>
      <c r="BK1472" t="str">
        <f>HYPERLINK("http://dx.doi.org/10.1007/s00267-007-9005-2","http://dx.doi.org/10.1007/s00267-007-9005-2")</f>
        <v>http://dx.doi.org/10.1007/s00267-007-9005-2</v>
      </c>
      <c r="BL1472" t="s">
        <v>69</v>
      </c>
      <c r="BM1472" t="s">
        <v>69</v>
      </c>
      <c r="BN1472">
        <v>13</v>
      </c>
      <c r="BO1472" t="s">
        <v>8717</v>
      </c>
      <c r="BP1472" t="s">
        <v>8523</v>
      </c>
      <c r="BQ1472" t="s">
        <v>8662</v>
      </c>
      <c r="BR1472" t="s">
        <v>29504</v>
      </c>
      <c r="BS1472" t="s">
        <v>8279</v>
      </c>
      <c r="BT1472">
        <v>17846831</v>
      </c>
      <c r="BU1472" t="s">
        <v>69</v>
      </c>
      <c r="BV1472" t="s">
        <v>69</v>
      </c>
      <c r="BW1472" t="s">
        <v>69</v>
      </c>
      <c r="BX1472" t="s">
        <v>8526</v>
      </c>
      <c r="BY1472" t="str">
        <f>HYPERLINK("https%3A%2F%2Fwww.webofscience.com%2Fwos%2Fwoscc%2Ffull-record%2FWOS:000251224800004","View Full Record in Web of Science")</f>
        <v>View Full Record in Web of Science</v>
      </c>
    </row>
    <row r="1473" spans="1:77" ht="12.5" x14ac:dyDescent="0.25">
      <c r="A1473" t="s">
        <v>8495</v>
      </c>
      <c r="B1473" s="22" t="s">
        <v>32931</v>
      </c>
      <c r="C1473" s="7"/>
      <c r="D1473" s="7"/>
      <c r="E1473" s="7"/>
      <c r="F1473" t="s">
        <v>67</v>
      </c>
      <c r="G1473" t="s">
        <v>10650</v>
      </c>
      <c r="H1473" t="s">
        <v>69</v>
      </c>
      <c r="I1473" t="s">
        <v>69</v>
      </c>
      <c r="J1473" t="s">
        <v>69</v>
      </c>
      <c r="K1473" t="s">
        <v>10651</v>
      </c>
      <c r="L1473" t="s">
        <v>69</v>
      </c>
      <c r="M1473" t="s">
        <v>69</v>
      </c>
      <c r="N1473" t="s">
        <v>10652</v>
      </c>
      <c r="O1473" t="s">
        <v>10653</v>
      </c>
      <c r="P1473" t="s">
        <v>69</v>
      </c>
      <c r="Q1473" t="s">
        <v>69</v>
      </c>
      <c r="R1473" t="s">
        <v>8505</v>
      </c>
      <c r="S1473" t="s">
        <v>8506</v>
      </c>
      <c r="T1473" t="s">
        <v>69</v>
      </c>
      <c r="U1473" t="s">
        <v>69</v>
      </c>
      <c r="V1473" t="s">
        <v>69</v>
      </c>
      <c r="W1473" t="s">
        <v>69</v>
      </c>
      <c r="X1473" t="s">
        <v>69</v>
      </c>
      <c r="Y1473" t="s">
        <v>10654</v>
      </c>
      <c r="Z1473" t="s">
        <v>10655</v>
      </c>
      <c r="AA1473" t="s">
        <v>10656</v>
      </c>
      <c r="AB1473" t="s">
        <v>10657</v>
      </c>
      <c r="AC1473" t="s">
        <v>69</v>
      </c>
      <c r="AD1473" t="s">
        <v>10658</v>
      </c>
      <c r="AE1473" t="s">
        <v>10659</v>
      </c>
      <c r="AF1473" t="s">
        <v>10660</v>
      </c>
      <c r="AG1473" t="s">
        <v>10661</v>
      </c>
      <c r="AH1473" t="s">
        <v>10662</v>
      </c>
      <c r="AI1473" t="s">
        <v>10662</v>
      </c>
      <c r="AJ1473" t="s">
        <v>10663</v>
      </c>
      <c r="AK1473" t="s">
        <v>69</v>
      </c>
      <c r="AL1473">
        <v>94</v>
      </c>
      <c r="AM1473">
        <v>3</v>
      </c>
      <c r="AN1473">
        <v>3</v>
      </c>
      <c r="AO1473">
        <v>13</v>
      </c>
      <c r="AP1473">
        <v>25</v>
      </c>
      <c r="AQ1473" t="s">
        <v>8516</v>
      </c>
      <c r="AR1473" t="s">
        <v>8517</v>
      </c>
      <c r="AS1473" t="s">
        <v>8518</v>
      </c>
      <c r="AT1473" t="s">
        <v>10664</v>
      </c>
      <c r="AU1473" t="s">
        <v>69</v>
      </c>
      <c r="AV1473" t="s">
        <v>69</v>
      </c>
      <c r="AW1473" t="s">
        <v>10665</v>
      </c>
      <c r="AX1473" t="s">
        <v>10666</v>
      </c>
      <c r="AY1473" t="s">
        <v>191</v>
      </c>
      <c r="AZ1473">
        <v>2022</v>
      </c>
      <c r="BA1473">
        <v>53</v>
      </c>
      <c r="BB1473" t="s">
        <v>69</v>
      </c>
      <c r="BC1473" t="s">
        <v>69</v>
      </c>
      <c r="BD1473" t="s">
        <v>69</v>
      </c>
      <c r="BE1473" t="s">
        <v>69</v>
      </c>
      <c r="BF1473" t="s">
        <v>69</v>
      </c>
      <c r="BG1473" t="s">
        <v>69</v>
      </c>
      <c r="BH1473" t="s">
        <v>69</v>
      </c>
      <c r="BI1473">
        <v>101386</v>
      </c>
      <c r="BJ1473" t="s">
        <v>10667</v>
      </c>
      <c r="BK1473" t="str">
        <f>HYPERLINK("http://dx.doi.org/10.1016/j.ecoser.2021.101386","http://dx.doi.org/10.1016/j.ecoser.2021.101386")</f>
        <v>http://dx.doi.org/10.1016/j.ecoser.2021.101386</v>
      </c>
      <c r="BL1473" t="s">
        <v>69</v>
      </c>
      <c r="BM1473" t="s">
        <v>10646</v>
      </c>
      <c r="BN1473">
        <v>11</v>
      </c>
      <c r="BO1473" t="s">
        <v>10668</v>
      </c>
      <c r="BP1473" t="s">
        <v>8523</v>
      </c>
      <c r="BQ1473" t="s">
        <v>8662</v>
      </c>
      <c r="BR1473" t="s">
        <v>10669</v>
      </c>
      <c r="BS1473" t="s">
        <v>10670</v>
      </c>
      <c r="BT1473" t="s">
        <v>69</v>
      </c>
      <c r="BU1473" t="s">
        <v>8622</v>
      </c>
      <c r="BV1473" t="s">
        <v>69</v>
      </c>
      <c r="BW1473" t="s">
        <v>69</v>
      </c>
      <c r="BX1473" t="s">
        <v>8526</v>
      </c>
      <c r="BY1473" t="str">
        <f>HYPERLINK("https%3A%2F%2Fwww.webofscience.com%2Fwos%2Fwoscc%2Ffull-record%2FWOS:000728755800003","View Full Record in Web of Science")</f>
        <v>View Full Record in Web of Science</v>
      </c>
    </row>
    <row r="1474" spans="1:77" ht="12.5" x14ac:dyDescent="0.25">
      <c r="A1474" t="s">
        <v>8495</v>
      </c>
      <c r="B1474" s="7" t="s">
        <v>32933</v>
      </c>
      <c r="C1474" s="7"/>
      <c r="D1474" s="7"/>
      <c r="E1474" s="7"/>
      <c r="F1474" t="s">
        <v>67</v>
      </c>
      <c r="G1474" t="s">
        <v>8297</v>
      </c>
      <c r="H1474" t="s">
        <v>69</v>
      </c>
      <c r="I1474" t="s">
        <v>69</v>
      </c>
      <c r="J1474" t="s">
        <v>69</v>
      </c>
      <c r="K1474" t="s">
        <v>8298</v>
      </c>
      <c r="L1474" t="s">
        <v>69</v>
      </c>
      <c r="M1474" t="s">
        <v>69</v>
      </c>
      <c r="N1474" t="s">
        <v>8299</v>
      </c>
      <c r="O1474" t="s">
        <v>7713</v>
      </c>
      <c r="P1474" t="s">
        <v>69</v>
      </c>
      <c r="Q1474" t="s">
        <v>69</v>
      </c>
      <c r="R1474" t="s">
        <v>8505</v>
      </c>
      <c r="S1474" t="s">
        <v>8506</v>
      </c>
      <c r="T1474" t="s">
        <v>69</v>
      </c>
      <c r="U1474" t="s">
        <v>69</v>
      </c>
      <c r="V1474" t="s">
        <v>69</v>
      </c>
      <c r="W1474" t="s">
        <v>69</v>
      </c>
      <c r="X1474" t="s">
        <v>69</v>
      </c>
      <c r="Y1474" t="s">
        <v>30064</v>
      </c>
      <c r="Z1474" t="s">
        <v>69</v>
      </c>
      <c r="AA1474" t="s">
        <v>8300</v>
      </c>
      <c r="AB1474" t="s">
        <v>30065</v>
      </c>
      <c r="AC1474" t="s">
        <v>69</v>
      </c>
      <c r="AD1474" t="s">
        <v>30066</v>
      </c>
      <c r="AE1474" t="s">
        <v>69</v>
      </c>
      <c r="AF1474" t="s">
        <v>69</v>
      </c>
      <c r="AG1474" t="s">
        <v>69</v>
      </c>
      <c r="AH1474" t="s">
        <v>69</v>
      </c>
      <c r="AI1474" t="s">
        <v>69</v>
      </c>
      <c r="AJ1474" t="s">
        <v>69</v>
      </c>
      <c r="AK1474" t="s">
        <v>69</v>
      </c>
      <c r="AL1474">
        <v>6</v>
      </c>
      <c r="AM1474">
        <v>3</v>
      </c>
      <c r="AN1474">
        <v>3</v>
      </c>
      <c r="AO1474">
        <v>0</v>
      </c>
      <c r="AP1474">
        <v>3</v>
      </c>
      <c r="AQ1474" t="s">
        <v>9047</v>
      </c>
      <c r="AR1474" t="s">
        <v>9048</v>
      </c>
      <c r="AS1474" t="s">
        <v>9049</v>
      </c>
      <c r="AT1474" t="s">
        <v>7715</v>
      </c>
      <c r="AU1474" t="s">
        <v>69</v>
      </c>
      <c r="AV1474" t="s">
        <v>69</v>
      </c>
      <c r="AW1474" t="s">
        <v>9225</v>
      </c>
      <c r="AX1474" t="s">
        <v>9226</v>
      </c>
      <c r="AY1474" t="s">
        <v>373</v>
      </c>
      <c r="AZ1474">
        <v>2007</v>
      </c>
      <c r="BA1474">
        <v>21</v>
      </c>
      <c r="BB1474">
        <v>1</v>
      </c>
      <c r="BC1474" t="s">
        <v>69</v>
      </c>
      <c r="BD1474" t="s">
        <v>69</v>
      </c>
      <c r="BE1474" t="s">
        <v>69</v>
      </c>
      <c r="BF1474" t="s">
        <v>69</v>
      </c>
      <c r="BG1474">
        <v>63</v>
      </c>
      <c r="BH1474">
        <v>77</v>
      </c>
      <c r="BI1474" t="s">
        <v>69</v>
      </c>
      <c r="BJ1474" t="s">
        <v>8301</v>
      </c>
      <c r="BK1474" t="str">
        <f>HYPERLINK("http://dx.doi.org/10.1007/s11269-006-9041-3","http://dx.doi.org/10.1007/s11269-006-9041-3")</f>
        <v>http://dx.doi.org/10.1007/s11269-006-9041-3</v>
      </c>
      <c r="BL1474" t="s">
        <v>69</v>
      </c>
      <c r="BM1474" t="s">
        <v>69</v>
      </c>
      <c r="BN1474">
        <v>15</v>
      </c>
      <c r="BO1474" t="s">
        <v>9229</v>
      </c>
      <c r="BP1474" t="s">
        <v>8548</v>
      </c>
      <c r="BQ1474" t="s">
        <v>9230</v>
      </c>
      <c r="BR1474" t="s">
        <v>30067</v>
      </c>
      <c r="BS1474" t="s">
        <v>8302</v>
      </c>
      <c r="BT1474" t="s">
        <v>69</v>
      </c>
      <c r="BU1474" t="s">
        <v>69</v>
      </c>
      <c r="BV1474" t="s">
        <v>69</v>
      </c>
      <c r="BW1474" t="s">
        <v>69</v>
      </c>
      <c r="BX1474" t="s">
        <v>8526</v>
      </c>
      <c r="BY1474" t="str">
        <f>HYPERLINK("https%3A%2F%2Fwww.webofscience.com%2Fwos%2Fwoscc%2Ffull-record%2FWOS:000243142400006","View Full Record in Web of Science")</f>
        <v>View Full Record in Web of Science</v>
      </c>
    </row>
    <row r="1475" spans="1:77" ht="12.5" x14ac:dyDescent="0.25">
      <c r="A1475" t="s">
        <v>8495</v>
      </c>
      <c r="B1475" s="7" t="s">
        <v>32933</v>
      </c>
      <c r="C1475" s="7"/>
      <c r="D1475" s="7"/>
      <c r="E1475" s="7"/>
      <c r="F1475" t="s">
        <v>67</v>
      </c>
      <c r="G1475" t="s">
        <v>6150</v>
      </c>
      <c r="H1475" t="s">
        <v>69</v>
      </c>
      <c r="I1475" t="s">
        <v>69</v>
      </c>
      <c r="J1475" t="s">
        <v>69</v>
      </c>
      <c r="K1475" t="s">
        <v>6151</v>
      </c>
      <c r="L1475" t="s">
        <v>69</v>
      </c>
      <c r="M1475" t="s">
        <v>69</v>
      </c>
      <c r="N1475" t="s">
        <v>6152</v>
      </c>
      <c r="O1475" t="s">
        <v>352</v>
      </c>
      <c r="P1475" t="s">
        <v>69</v>
      </c>
      <c r="Q1475" t="s">
        <v>69</v>
      </c>
      <c r="R1475" t="s">
        <v>8505</v>
      </c>
      <c r="S1475" t="s">
        <v>8506</v>
      </c>
      <c r="T1475" t="s">
        <v>69</v>
      </c>
      <c r="U1475" t="s">
        <v>69</v>
      </c>
      <c r="V1475" t="s">
        <v>69</v>
      </c>
      <c r="W1475" t="s">
        <v>69</v>
      </c>
      <c r="X1475" t="s">
        <v>69</v>
      </c>
      <c r="Y1475" t="s">
        <v>20060</v>
      </c>
      <c r="Z1475" t="s">
        <v>20061</v>
      </c>
      <c r="AA1475" t="s">
        <v>6153</v>
      </c>
      <c r="AB1475" t="s">
        <v>20062</v>
      </c>
      <c r="AC1475" t="s">
        <v>69</v>
      </c>
      <c r="AD1475" t="s">
        <v>20063</v>
      </c>
      <c r="AE1475" t="s">
        <v>15717</v>
      </c>
      <c r="AF1475" t="s">
        <v>6154</v>
      </c>
      <c r="AG1475" t="s">
        <v>6155</v>
      </c>
      <c r="AH1475" t="s">
        <v>20064</v>
      </c>
      <c r="AI1475" t="s">
        <v>20065</v>
      </c>
      <c r="AJ1475" t="s">
        <v>20066</v>
      </c>
      <c r="AK1475" t="s">
        <v>69</v>
      </c>
      <c r="AL1475">
        <v>107</v>
      </c>
      <c r="AM1475">
        <v>19</v>
      </c>
      <c r="AN1475">
        <v>19</v>
      </c>
      <c r="AO1475">
        <v>26</v>
      </c>
      <c r="AP1475">
        <v>113</v>
      </c>
      <c r="AQ1475" t="s">
        <v>8924</v>
      </c>
      <c r="AR1475" t="s">
        <v>8925</v>
      </c>
      <c r="AS1475" t="s">
        <v>8926</v>
      </c>
      <c r="AT1475" t="s">
        <v>69</v>
      </c>
      <c r="AU1475" t="s">
        <v>354</v>
      </c>
      <c r="AV1475" t="s">
        <v>69</v>
      </c>
      <c r="AW1475" t="s">
        <v>8958</v>
      </c>
      <c r="AX1475" t="s">
        <v>8434</v>
      </c>
      <c r="AY1475" t="s">
        <v>255</v>
      </c>
      <c r="AZ1475">
        <v>2017</v>
      </c>
      <c r="BA1475">
        <v>9</v>
      </c>
      <c r="BB1475">
        <v>9</v>
      </c>
      <c r="BC1475" t="s">
        <v>69</v>
      </c>
      <c r="BD1475" t="s">
        <v>69</v>
      </c>
      <c r="BE1475" t="s">
        <v>69</v>
      </c>
      <c r="BF1475" t="s">
        <v>69</v>
      </c>
      <c r="BG1475" t="s">
        <v>69</v>
      </c>
      <c r="BH1475" t="s">
        <v>69</v>
      </c>
      <c r="BI1475">
        <v>1640</v>
      </c>
      <c r="BJ1475" t="s">
        <v>6156</v>
      </c>
      <c r="BK1475" t="str">
        <f>HYPERLINK("http://dx.doi.org/10.3390/su9091640","http://dx.doi.org/10.3390/su9091640")</f>
        <v>http://dx.doi.org/10.3390/su9091640</v>
      </c>
      <c r="BL1475" t="s">
        <v>69</v>
      </c>
      <c r="BM1475" t="s">
        <v>69</v>
      </c>
      <c r="BN1475">
        <v>21</v>
      </c>
      <c r="BO1475" t="s">
        <v>8960</v>
      </c>
      <c r="BP1475" t="s">
        <v>8523</v>
      </c>
      <c r="BQ1475" t="s">
        <v>8961</v>
      </c>
      <c r="BR1475" t="s">
        <v>20067</v>
      </c>
      <c r="BS1475" t="s">
        <v>6157</v>
      </c>
      <c r="BT1475" t="s">
        <v>69</v>
      </c>
      <c r="BU1475" t="s">
        <v>11853</v>
      </c>
      <c r="BV1475" t="s">
        <v>69</v>
      </c>
      <c r="BW1475" t="s">
        <v>69</v>
      </c>
      <c r="BX1475" t="s">
        <v>8526</v>
      </c>
      <c r="BY1475" t="str">
        <f>HYPERLINK("https%3A%2F%2Fwww.webofscience.com%2Fwos%2Fwoscc%2Ffull-record%2FWOS:000411621200139","View Full Record in Web of Science")</f>
        <v>View Full Record in Web of Science</v>
      </c>
    </row>
    <row r="1476" spans="1:77" ht="12.5" x14ac:dyDescent="0.25">
      <c r="A1476" t="s">
        <v>8495</v>
      </c>
      <c r="B1476" s="7" t="s">
        <v>32933</v>
      </c>
      <c r="C1476" s="7"/>
      <c r="D1476" s="7"/>
      <c r="E1476" s="7"/>
      <c r="F1476" t="s">
        <v>67</v>
      </c>
      <c r="G1476" t="s">
        <v>249</v>
      </c>
      <c r="H1476" t="s">
        <v>69</v>
      </c>
      <c r="I1476" t="s">
        <v>69</v>
      </c>
      <c r="J1476" t="s">
        <v>69</v>
      </c>
      <c r="K1476" t="s">
        <v>250</v>
      </c>
      <c r="L1476" t="s">
        <v>69</v>
      </c>
      <c r="M1476" t="s">
        <v>69</v>
      </c>
      <c r="N1476" t="s">
        <v>251</v>
      </c>
      <c r="O1476" t="s">
        <v>252</v>
      </c>
      <c r="P1476" t="s">
        <v>69</v>
      </c>
      <c r="Q1476" t="s">
        <v>69</v>
      </c>
      <c r="R1476" t="s">
        <v>8505</v>
      </c>
      <c r="S1476" t="s">
        <v>8506</v>
      </c>
      <c r="T1476" t="s">
        <v>69</v>
      </c>
      <c r="U1476" t="s">
        <v>69</v>
      </c>
      <c r="V1476" t="s">
        <v>69</v>
      </c>
      <c r="W1476" t="s">
        <v>69</v>
      </c>
      <c r="X1476" t="s">
        <v>69</v>
      </c>
      <c r="Y1476" t="s">
        <v>16772</v>
      </c>
      <c r="Z1476" t="s">
        <v>16773</v>
      </c>
      <c r="AA1476" t="s">
        <v>253</v>
      </c>
      <c r="AB1476" t="s">
        <v>16774</v>
      </c>
      <c r="AC1476" t="s">
        <v>69</v>
      </c>
      <c r="AD1476" t="s">
        <v>16775</v>
      </c>
      <c r="AE1476" t="s">
        <v>16776</v>
      </c>
      <c r="AF1476" t="s">
        <v>69</v>
      </c>
      <c r="AG1476" t="s">
        <v>16777</v>
      </c>
      <c r="AH1476" t="s">
        <v>16778</v>
      </c>
      <c r="AI1476" t="s">
        <v>16779</v>
      </c>
      <c r="AJ1476" t="s">
        <v>16780</v>
      </c>
      <c r="AK1476" t="s">
        <v>69</v>
      </c>
      <c r="AL1476">
        <v>40</v>
      </c>
      <c r="AM1476">
        <v>3</v>
      </c>
      <c r="AN1476">
        <v>3</v>
      </c>
      <c r="AO1476">
        <v>0</v>
      </c>
      <c r="AP1476">
        <v>3</v>
      </c>
      <c r="AQ1476" t="s">
        <v>8924</v>
      </c>
      <c r="AR1476" t="s">
        <v>8925</v>
      </c>
      <c r="AS1476" t="s">
        <v>8926</v>
      </c>
      <c r="AT1476" t="s">
        <v>69</v>
      </c>
      <c r="AU1476" t="s">
        <v>254</v>
      </c>
      <c r="AV1476" t="s">
        <v>69</v>
      </c>
      <c r="AW1476" t="s">
        <v>252</v>
      </c>
      <c r="AX1476" t="s">
        <v>12251</v>
      </c>
      <c r="AY1476" t="s">
        <v>255</v>
      </c>
      <c r="AZ1476">
        <v>2019</v>
      </c>
      <c r="BA1476">
        <v>10</v>
      </c>
      <c r="BB1476">
        <v>9</v>
      </c>
      <c r="BC1476" t="s">
        <v>69</v>
      </c>
      <c r="BD1476" t="s">
        <v>69</v>
      </c>
      <c r="BE1476" t="s">
        <v>69</v>
      </c>
      <c r="BF1476" t="s">
        <v>69</v>
      </c>
      <c r="BG1476" t="s">
        <v>69</v>
      </c>
      <c r="BH1476" t="s">
        <v>69</v>
      </c>
      <c r="BI1476">
        <v>801</v>
      </c>
      <c r="BJ1476" t="s">
        <v>256</v>
      </c>
      <c r="BK1476" t="str">
        <f>HYPERLINK("http://dx.doi.org/10.3390/f10090801","http://dx.doi.org/10.3390/f10090801")</f>
        <v>http://dx.doi.org/10.3390/f10090801</v>
      </c>
      <c r="BL1476" t="s">
        <v>69</v>
      </c>
      <c r="BM1476" t="s">
        <v>69</v>
      </c>
      <c r="BN1476">
        <v>16</v>
      </c>
      <c r="BO1476" t="s">
        <v>8453</v>
      </c>
      <c r="BP1476" t="s">
        <v>8548</v>
      </c>
      <c r="BQ1476" t="s">
        <v>8453</v>
      </c>
      <c r="BR1476" t="s">
        <v>16781</v>
      </c>
      <c r="BS1476" t="s">
        <v>257</v>
      </c>
      <c r="BT1476" t="s">
        <v>69</v>
      </c>
      <c r="BU1476" t="s">
        <v>8812</v>
      </c>
      <c r="BV1476" t="s">
        <v>69</v>
      </c>
      <c r="BW1476" t="s">
        <v>69</v>
      </c>
      <c r="BX1476" t="s">
        <v>8526</v>
      </c>
      <c r="BY1476" t="str">
        <f>HYPERLINK("https%3A%2F%2Fwww.webofscience.com%2Fwos%2Fwoscc%2Ffull-record%2FWOS:000487978700016","View Full Record in Web of Science")</f>
        <v>View Full Record in Web of Science</v>
      </c>
    </row>
    <row r="1477" spans="1:77" ht="12.5" x14ac:dyDescent="0.25">
      <c r="A1477" t="s">
        <v>8495</v>
      </c>
      <c r="B1477" s="7" t="s">
        <v>32933</v>
      </c>
      <c r="C1477" s="7"/>
      <c r="D1477" s="7"/>
      <c r="E1477" s="7"/>
      <c r="F1477" t="s">
        <v>67</v>
      </c>
      <c r="G1477" t="s">
        <v>4396</v>
      </c>
      <c r="H1477" t="s">
        <v>69</v>
      </c>
      <c r="I1477" t="s">
        <v>69</v>
      </c>
      <c r="J1477" t="s">
        <v>69</v>
      </c>
      <c r="K1477" t="s">
        <v>4397</v>
      </c>
      <c r="L1477" t="s">
        <v>69</v>
      </c>
      <c r="M1477" t="s">
        <v>69</v>
      </c>
      <c r="N1477" s="3" t="s">
        <v>4398</v>
      </c>
      <c r="O1477" t="s">
        <v>4399</v>
      </c>
      <c r="P1477" t="s">
        <v>69</v>
      </c>
      <c r="Q1477" t="s">
        <v>69</v>
      </c>
      <c r="R1477" t="s">
        <v>8505</v>
      </c>
      <c r="S1477" t="s">
        <v>8506</v>
      </c>
      <c r="T1477" t="s">
        <v>69</v>
      </c>
      <c r="U1477" t="s">
        <v>69</v>
      </c>
      <c r="V1477" t="s">
        <v>69</v>
      </c>
      <c r="W1477" t="s">
        <v>69</v>
      </c>
      <c r="X1477" t="s">
        <v>69</v>
      </c>
      <c r="Y1477" t="s">
        <v>20242</v>
      </c>
      <c r="Z1477" t="s">
        <v>69</v>
      </c>
      <c r="AA1477" t="s">
        <v>4400</v>
      </c>
      <c r="AB1477" t="s">
        <v>20243</v>
      </c>
      <c r="AC1477" t="s">
        <v>69</v>
      </c>
      <c r="AD1477" t="s">
        <v>20244</v>
      </c>
      <c r="AE1477" t="s">
        <v>20245</v>
      </c>
      <c r="AF1477" t="s">
        <v>69</v>
      </c>
      <c r="AG1477" t="s">
        <v>69</v>
      </c>
      <c r="AH1477" t="s">
        <v>69</v>
      </c>
      <c r="AI1477" t="s">
        <v>69</v>
      </c>
      <c r="AJ1477" t="s">
        <v>69</v>
      </c>
      <c r="AK1477" t="s">
        <v>69</v>
      </c>
      <c r="AL1477">
        <v>27</v>
      </c>
      <c r="AM1477">
        <v>5</v>
      </c>
      <c r="AN1477">
        <v>5</v>
      </c>
      <c r="AO1477">
        <v>0</v>
      </c>
      <c r="AP1477">
        <v>11</v>
      </c>
      <c r="AQ1477" t="s">
        <v>13217</v>
      </c>
      <c r="AR1477" t="s">
        <v>13218</v>
      </c>
      <c r="AS1477" t="s">
        <v>13219</v>
      </c>
      <c r="AT1477" t="s">
        <v>4401</v>
      </c>
      <c r="AU1477" t="s">
        <v>69</v>
      </c>
      <c r="AV1477" t="s">
        <v>69</v>
      </c>
      <c r="AW1477" t="s">
        <v>13220</v>
      </c>
      <c r="AX1477" t="s">
        <v>13221</v>
      </c>
      <c r="AY1477" t="s">
        <v>4402</v>
      </c>
      <c r="AZ1477">
        <v>2017</v>
      </c>
      <c r="BA1477">
        <v>10</v>
      </c>
      <c r="BB1477">
        <v>2</v>
      </c>
      <c r="BC1477" t="s">
        <v>69</v>
      </c>
      <c r="BD1477" t="s">
        <v>69</v>
      </c>
      <c r="BE1477" t="s">
        <v>114</v>
      </c>
      <c r="BF1477" t="s">
        <v>69</v>
      </c>
      <c r="BG1477">
        <v>303</v>
      </c>
      <c r="BH1477">
        <v>321</v>
      </c>
      <c r="BI1477" t="s">
        <v>69</v>
      </c>
      <c r="BJ1477" t="s">
        <v>69</v>
      </c>
      <c r="BK1477" t="s">
        <v>69</v>
      </c>
      <c r="BL1477" t="s">
        <v>69</v>
      </c>
      <c r="BM1477" t="s">
        <v>69</v>
      </c>
      <c r="BN1477">
        <v>19</v>
      </c>
      <c r="BO1477" t="s">
        <v>13222</v>
      </c>
      <c r="BP1477" t="s">
        <v>8523</v>
      </c>
      <c r="BQ1477" t="s">
        <v>11438</v>
      </c>
      <c r="BR1477" t="s">
        <v>20241</v>
      </c>
      <c r="BS1477" t="s">
        <v>4403</v>
      </c>
      <c r="BT1477" t="s">
        <v>69</v>
      </c>
      <c r="BU1477" t="s">
        <v>69</v>
      </c>
      <c r="BV1477" t="s">
        <v>69</v>
      </c>
      <c r="BW1477" t="s">
        <v>69</v>
      </c>
      <c r="BX1477" t="s">
        <v>8526</v>
      </c>
      <c r="BY1477" t="str">
        <f>HYPERLINK("https%3A%2F%2Fwww.webofscience.com%2Fwos%2Fwoscc%2Ffull-record%2FWOS:000403232300007","View Full Record in Web of Science")</f>
        <v>View Full Record in Web of Science</v>
      </c>
    </row>
    <row r="1478" spans="1:77" ht="12.5" x14ac:dyDescent="0.25">
      <c r="A1478" t="s">
        <v>8495</v>
      </c>
      <c r="B1478" s="22" t="s">
        <v>32931</v>
      </c>
      <c r="C1478" s="7"/>
      <c r="D1478" s="7"/>
      <c r="E1478" s="7"/>
      <c r="F1478" t="s">
        <v>67</v>
      </c>
      <c r="G1478" t="s">
        <v>12056</v>
      </c>
      <c r="H1478" t="s">
        <v>69</v>
      </c>
      <c r="I1478" t="s">
        <v>69</v>
      </c>
      <c r="J1478" t="s">
        <v>69</v>
      </c>
      <c r="K1478" t="s">
        <v>12057</v>
      </c>
      <c r="L1478" t="s">
        <v>69</v>
      </c>
      <c r="M1478" t="s">
        <v>69</v>
      </c>
      <c r="N1478" t="s">
        <v>12058</v>
      </c>
      <c r="O1478" t="s">
        <v>12038</v>
      </c>
      <c r="P1478" t="s">
        <v>69</v>
      </c>
      <c r="Q1478" t="s">
        <v>69</v>
      </c>
      <c r="R1478" t="s">
        <v>12039</v>
      </c>
      <c r="S1478" t="s">
        <v>8506</v>
      </c>
      <c r="T1478" t="s">
        <v>69</v>
      </c>
      <c r="U1478" t="s">
        <v>69</v>
      </c>
      <c r="V1478" t="s">
        <v>69</v>
      </c>
      <c r="W1478" t="s">
        <v>69</v>
      </c>
      <c r="X1478" t="s">
        <v>69</v>
      </c>
      <c r="Y1478" t="s">
        <v>12059</v>
      </c>
      <c r="Z1478" t="s">
        <v>69</v>
      </c>
      <c r="AA1478" t="s">
        <v>12060</v>
      </c>
      <c r="AB1478" t="s">
        <v>12061</v>
      </c>
      <c r="AC1478" t="s">
        <v>69</v>
      </c>
      <c r="AD1478" t="s">
        <v>12062</v>
      </c>
      <c r="AE1478" t="s">
        <v>12063</v>
      </c>
      <c r="AF1478" t="s">
        <v>69</v>
      </c>
      <c r="AG1478" t="s">
        <v>69</v>
      </c>
      <c r="AH1478" t="s">
        <v>69</v>
      </c>
      <c r="AI1478" t="s">
        <v>69</v>
      </c>
      <c r="AJ1478" t="s">
        <v>69</v>
      </c>
      <c r="AK1478" t="s">
        <v>69</v>
      </c>
      <c r="AL1478">
        <v>7</v>
      </c>
      <c r="AM1478">
        <v>0</v>
      </c>
      <c r="AN1478">
        <v>0</v>
      </c>
      <c r="AO1478">
        <v>1</v>
      </c>
      <c r="AP1478">
        <v>2</v>
      </c>
      <c r="AQ1478" t="s">
        <v>12046</v>
      </c>
      <c r="AR1478" t="s">
        <v>12047</v>
      </c>
      <c r="AS1478" t="s">
        <v>12048</v>
      </c>
      <c r="AT1478" t="s">
        <v>12049</v>
      </c>
      <c r="AU1478" t="s">
        <v>12050</v>
      </c>
      <c r="AV1478" t="s">
        <v>69</v>
      </c>
      <c r="AW1478" t="s">
        <v>12051</v>
      </c>
      <c r="AX1478" t="s">
        <v>12052</v>
      </c>
      <c r="AY1478" t="s">
        <v>155</v>
      </c>
      <c r="AZ1478">
        <v>2021</v>
      </c>
      <c r="BA1478">
        <v>11</v>
      </c>
      <c r="BB1478">
        <v>1</v>
      </c>
      <c r="BC1478" t="s">
        <v>69</v>
      </c>
      <c r="BD1478" t="s">
        <v>69</v>
      </c>
      <c r="BE1478" t="s">
        <v>69</v>
      </c>
      <c r="BF1478" t="s">
        <v>69</v>
      </c>
      <c r="BG1478">
        <v>189</v>
      </c>
      <c r="BH1478">
        <v>200</v>
      </c>
      <c r="BI1478" t="s">
        <v>69</v>
      </c>
      <c r="BJ1478" t="s">
        <v>12064</v>
      </c>
      <c r="BK1478" t="str">
        <f>HYPERLINK("http://dx.doi.org/10.7251/EMC2101189A","http://dx.doi.org/10.7251/EMC2101189A")</f>
        <v>http://dx.doi.org/10.7251/EMC2101189A</v>
      </c>
      <c r="BL1478" t="s">
        <v>69</v>
      </c>
      <c r="BM1478" t="s">
        <v>69</v>
      </c>
      <c r="BN1478">
        <v>12</v>
      </c>
      <c r="BO1478" t="s">
        <v>8444</v>
      </c>
      <c r="BP1478" t="s">
        <v>8573</v>
      </c>
      <c r="BQ1478" t="s">
        <v>8594</v>
      </c>
      <c r="BR1478" t="s">
        <v>12054</v>
      </c>
      <c r="BS1478" t="s">
        <v>12065</v>
      </c>
      <c r="BT1478" t="s">
        <v>69</v>
      </c>
      <c r="BU1478" t="s">
        <v>8931</v>
      </c>
      <c r="BV1478" t="s">
        <v>69</v>
      </c>
      <c r="BW1478" t="s">
        <v>69</v>
      </c>
      <c r="BX1478" t="s">
        <v>8526</v>
      </c>
      <c r="BY1478" t="str">
        <f>HYPERLINK("https%3A%2F%2Fwww.webofscience.com%2Fwos%2Fwoscc%2Ffull-record%2FWOS:000667273000013","View Full Record in Web of Science")</f>
        <v>View Full Record in Web of Science</v>
      </c>
    </row>
    <row r="1479" spans="1:77" ht="12.5" x14ac:dyDescent="0.25">
      <c r="A1479" t="s">
        <v>8495</v>
      </c>
      <c r="B1479" s="22" t="s">
        <v>32931</v>
      </c>
      <c r="C1479" s="7"/>
      <c r="D1479" s="7"/>
      <c r="E1479" s="7"/>
      <c r="F1479" t="s">
        <v>67</v>
      </c>
      <c r="G1479" t="s">
        <v>2775</v>
      </c>
      <c r="H1479" t="s">
        <v>69</v>
      </c>
      <c r="I1479" t="s">
        <v>69</v>
      </c>
      <c r="J1479" t="s">
        <v>69</v>
      </c>
      <c r="K1479" t="s">
        <v>2776</v>
      </c>
      <c r="L1479" t="s">
        <v>69</v>
      </c>
      <c r="M1479" t="s">
        <v>69</v>
      </c>
      <c r="N1479" t="s">
        <v>2777</v>
      </c>
      <c r="O1479" t="s">
        <v>2778</v>
      </c>
      <c r="P1479" t="s">
        <v>69</v>
      </c>
      <c r="Q1479" t="s">
        <v>69</v>
      </c>
      <c r="R1479" t="s">
        <v>8505</v>
      </c>
      <c r="S1479" t="s">
        <v>8442</v>
      </c>
      <c r="T1479" t="s">
        <v>69</v>
      </c>
      <c r="U1479" t="s">
        <v>69</v>
      </c>
      <c r="V1479" t="s">
        <v>69</v>
      </c>
      <c r="W1479" t="s">
        <v>69</v>
      </c>
      <c r="X1479" t="s">
        <v>69</v>
      </c>
      <c r="Y1479" t="s">
        <v>21122</v>
      </c>
      <c r="Z1479" t="s">
        <v>21123</v>
      </c>
      <c r="AA1479" t="s">
        <v>2779</v>
      </c>
      <c r="AB1479" t="s">
        <v>21124</v>
      </c>
      <c r="AC1479" t="s">
        <v>69</v>
      </c>
      <c r="AD1479" t="s">
        <v>21125</v>
      </c>
      <c r="AE1479" t="s">
        <v>21126</v>
      </c>
      <c r="AF1479" t="s">
        <v>2780</v>
      </c>
      <c r="AG1479" t="s">
        <v>2781</v>
      </c>
      <c r="AH1479" t="s">
        <v>69</v>
      </c>
      <c r="AI1479" t="s">
        <v>69</v>
      </c>
      <c r="AJ1479" t="s">
        <v>69</v>
      </c>
      <c r="AK1479" t="s">
        <v>69</v>
      </c>
      <c r="AL1479">
        <v>68</v>
      </c>
      <c r="AM1479">
        <v>19</v>
      </c>
      <c r="AN1479">
        <v>19</v>
      </c>
      <c r="AO1479">
        <v>2</v>
      </c>
      <c r="AP1479">
        <v>31</v>
      </c>
      <c r="AQ1479" t="s">
        <v>21127</v>
      </c>
      <c r="AR1479" t="s">
        <v>8763</v>
      </c>
      <c r="AS1479" t="s">
        <v>21128</v>
      </c>
      <c r="AT1479" t="s">
        <v>2782</v>
      </c>
      <c r="AU1479" t="s">
        <v>69</v>
      </c>
      <c r="AV1479" t="s">
        <v>69</v>
      </c>
      <c r="AW1479" t="s">
        <v>21129</v>
      </c>
      <c r="AX1479" t="s">
        <v>21130</v>
      </c>
      <c r="AY1479" t="s">
        <v>75</v>
      </c>
      <c r="AZ1479">
        <v>2016</v>
      </c>
      <c r="BA1479">
        <v>58</v>
      </c>
      <c r="BB1479" t="s">
        <v>69</v>
      </c>
      <c r="BC1479" t="s">
        <v>69</v>
      </c>
      <c r="BD1479" t="s">
        <v>69</v>
      </c>
      <c r="BE1479" t="s">
        <v>69</v>
      </c>
      <c r="BF1479" t="s">
        <v>69</v>
      </c>
      <c r="BG1479">
        <v>133</v>
      </c>
      <c r="BH1479">
        <v>139</v>
      </c>
      <c r="BI1479" t="s">
        <v>69</v>
      </c>
      <c r="BJ1479" t="s">
        <v>2783</v>
      </c>
      <c r="BK1479" t="str">
        <f>HYPERLINK("http://dx.doi.org/10.1016/j.tifs.2016.10.025","http://dx.doi.org/10.1016/j.tifs.2016.10.025")</f>
        <v>http://dx.doi.org/10.1016/j.tifs.2016.10.025</v>
      </c>
      <c r="BL1479" t="s">
        <v>69</v>
      </c>
      <c r="BM1479" t="s">
        <v>69</v>
      </c>
      <c r="BN1479">
        <v>7</v>
      </c>
      <c r="BO1479" t="s">
        <v>17221</v>
      </c>
      <c r="BP1479" t="s">
        <v>8523</v>
      </c>
      <c r="BQ1479" t="s">
        <v>17221</v>
      </c>
      <c r="BR1479" t="s">
        <v>21131</v>
      </c>
      <c r="BS1479" t="s">
        <v>2784</v>
      </c>
      <c r="BT1479" t="s">
        <v>69</v>
      </c>
      <c r="BU1479" t="s">
        <v>69</v>
      </c>
      <c r="BV1479" t="s">
        <v>69</v>
      </c>
      <c r="BW1479" t="s">
        <v>69</v>
      </c>
      <c r="BX1479" t="s">
        <v>8526</v>
      </c>
      <c r="BY1479" t="str">
        <f>HYPERLINK("https%3A%2F%2Fwww.webofscience.com%2Fwos%2Fwoscc%2Ffull-record%2FWOS:000390728000011","View Full Record in Web of Science")</f>
        <v>View Full Record in Web of Science</v>
      </c>
    </row>
    <row r="1480" spans="1:77" ht="12.5" x14ac:dyDescent="0.25">
      <c r="A1480" t="s">
        <v>8495</v>
      </c>
      <c r="B1480" s="22" t="s">
        <v>32931</v>
      </c>
      <c r="C1480" s="7"/>
      <c r="D1480" s="7"/>
      <c r="E1480" s="7"/>
      <c r="F1480" t="s">
        <v>67</v>
      </c>
      <c r="G1480" t="s">
        <v>3551</v>
      </c>
      <c r="H1480" t="s">
        <v>69</v>
      </c>
      <c r="I1480" t="s">
        <v>69</v>
      </c>
      <c r="J1480" t="s">
        <v>69</v>
      </c>
      <c r="K1480" t="s">
        <v>3552</v>
      </c>
      <c r="L1480" t="s">
        <v>69</v>
      </c>
      <c r="M1480" t="s">
        <v>69</v>
      </c>
      <c r="N1480" t="s">
        <v>3553</v>
      </c>
      <c r="O1480" t="s">
        <v>3554</v>
      </c>
      <c r="P1480" t="s">
        <v>69</v>
      </c>
      <c r="Q1480" t="s">
        <v>69</v>
      </c>
      <c r="R1480" t="s">
        <v>8505</v>
      </c>
      <c r="S1480" t="s">
        <v>8506</v>
      </c>
      <c r="T1480" t="s">
        <v>69</v>
      </c>
      <c r="U1480" t="s">
        <v>69</v>
      </c>
      <c r="V1480" t="s">
        <v>69</v>
      </c>
      <c r="W1480" t="s">
        <v>69</v>
      </c>
      <c r="X1480" t="s">
        <v>69</v>
      </c>
      <c r="Y1480" t="s">
        <v>27791</v>
      </c>
      <c r="Z1480" t="s">
        <v>69</v>
      </c>
      <c r="AA1480" t="s">
        <v>3555</v>
      </c>
      <c r="AB1480" t="s">
        <v>27792</v>
      </c>
      <c r="AC1480" t="s">
        <v>69</v>
      </c>
      <c r="AD1480" t="s">
        <v>27793</v>
      </c>
      <c r="AE1480" t="s">
        <v>27794</v>
      </c>
      <c r="AF1480" t="s">
        <v>3556</v>
      </c>
      <c r="AG1480" t="s">
        <v>3557</v>
      </c>
      <c r="AH1480" t="s">
        <v>69</v>
      </c>
      <c r="AI1480" t="s">
        <v>69</v>
      </c>
      <c r="AJ1480" t="s">
        <v>69</v>
      </c>
      <c r="AK1480" t="s">
        <v>69</v>
      </c>
      <c r="AL1480">
        <v>11</v>
      </c>
      <c r="AM1480">
        <v>6</v>
      </c>
      <c r="AN1480">
        <v>6</v>
      </c>
      <c r="AO1480">
        <v>1</v>
      </c>
      <c r="AP1480">
        <v>5</v>
      </c>
      <c r="AQ1480" t="s">
        <v>27795</v>
      </c>
      <c r="AR1480" t="s">
        <v>26039</v>
      </c>
      <c r="AS1480" t="s">
        <v>27796</v>
      </c>
      <c r="AT1480" t="s">
        <v>3558</v>
      </c>
      <c r="AU1480" t="s">
        <v>69</v>
      </c>
      <c r="AV1480" t="s">
        <v>69</v>
      </c>
      <c r="AW1480" t="s">
        <v>27797</v>
      </c>
      <c r="AX1480" t="s">
        <v>27798</v>
      </c>
      <c r="AY1480" t="s">
        <v>586</v>
      </c>
      <c r="AZ1480">
        <v>2010</v>
      </c>
      <c r="BA1480">
        <v>2</v>
      </c>
      <c r="BB1480">
        <v>2</v>
      </c>
      <c r="BC1480" t="s">
        <v>69</v>
      </c>
      <c r="BD1480" t="s">
        <v>69</v>
      </c>
      <c r="BE1480" t="s">
        <v>69</v>
      </c>
      <c r="BF1480" t="s">
        <v>69</v>
      </c>
      <c r="BG1480">
        <v>145</v>
      </c>
      <c r="BH1480">
        <v>152</v>
      </c>
      <c r="BI1480" t="s">
        <v>69</v>
      </c>
      <c r="BJ1480" t="s">
        <v>3559</v>
      </c>
      <c r="BK1480" t="str">
        <f>HYPERLINK("http://dx.doi.org/10.1198/sbr.2009.0036","http://dx.doi.org/10.1198/sbr.2009.0036")</f>
        <v>http://dx.doi.org/10.1198/sbr.2009.0036</v>
      </c>
      <c r="BL1480" t="s">
        <v>69</v>
      </c>
      <c r="BM1480" t="s">
        <v>69</v>
      </c>
      <c r="BN1480">
        <v>8</v>
      </c>
      <c r="BO1480" t="s">
        <v>27799</v>
      </c>
      <c r="BP1480" t="s">
        <v>8548</v>
      </c>
      <c r="BQ1480" t="s">
        <v>27800</v>
      </c>
      <c r="BR1480" t="s">
        <v>27801</v>
      </c>
      <c r="BS1480" t="s">
        <v>3560</v>
      </c>
      <c r="BT1480" t="s">
        <v>69</v>
      </c>
      <c r="BU1480" t="s">
        <v>69</v>
      </c>
      <c r="BV1480" t="s">
        <v>69</v>
      </c>
      <c r="BW1480" t="s">
        <v>69</v>
      </c>
      <c r="BX1480" t="s">
        <v>8526</v>
      </c>
      <c r="BY1480" t="str">
        <f>HYPERLINK("https%3A%2F%2Fwww.webofscience.com%2Fwos%2Fwoscc%2Ffull-record%2FWOS:000292680300002","View Full Record in Web of Science")</f>
        <v>View Full Record in Web of Science</v>
      </c>
    </row>
    <row r="1481" spans="1:77" ht="12.5" x14ac:dyDescent="0.25">
      <c r="A1481" t="s">
        <v>8495</v>
      </c>
      <c r="B1481" s="22" t="s">
        <v>32931</v>
      </c>
      <c r="C1481" s="7"/>
      <c r="D1481" s="7"/>
      <c r="E1481" s="7"/>
      <c r="F1481" t="s">
        <v>67</v>
      </c>
      <c r="G1481" t="s">
        <v>25839</v>
      </c>
      <c r="H1481" t="s">
        <v>69</v>
      </c>
      <c r="I1481" t="s">
        <v>69</v>
      </c>
      <c r="J1481" t="s">
        <v>69</v>
      </c>
      <c r="K1481" t="s">
        <v>25840</v>
      </c>
      <c r="L1481" t="s">
        <v>69</v>
      </c>
      <c r="M1481" t="s">
        <v>69</v>
      </c>
      <c r="N1481" t="s">
        <v>25841</v>
      </c>
      <c r="O1481" t="s">
        <v>25842</v>
      </c>
      <c r="P1481" t="s">
        <v>69</v>
      </c>
      <c r="Q1481" t="s">
        <v>69</v>
      </c>
      <c r="R1481" t="s">
        <v>8505</v>
      </c>
      <c r="S1481" t="s">
        <v>8506</v>
      </c>
      <c r="T1481" t="s">
        <v>69</v>
      </c>
      <c r="U1481" t="s">
        <v>69</v>
      </c>
      <c r="V1481" t="s">
        <v>69</v>
      </c>
      <c r="W1481" t="s">
        <v>69</v>
      </c>
      <c r="X1481" t="s">
        <v>69</v>
      </c>
      <c r="Y1481" t="s">
        <v>25843</v>
      </c>
      <c r="Z1481" t="s">
        <v>25844</v>
      </c>
      <c r="AA1481" t="s">
        <v>25845</v>
      </c>
      <c r="AB1481" t="s">
        <v>25846</v>
      </c>
      <c r="AC1481" t="s">
        <v>69</v>
      </c>
      <c r="AD1481" t="s">
        <v>25847</v>
      </c>
      <c r="AE1481" t="s">
        <v>25848</v>
      </c>
      <c r="AF1481" t="s">
        <v>69</v>
      </c>
      <c r="AG1481" t="s">
        <v>69</v>
      </c>
      <c r="AH1481" t="s">
        <v>69</v>
      </c>
      <c r="AI1481" t="s">
        <v>69</v>
      </c>
      <c r="AJ1481" t="s">
        <v>69</v>
      </c>
      <c r="AK1481" t="s">
        <v>69</v>
      </c>
      <c r="AL1481">
        <v>35</v>
      </c>
      <c r="AM1481">
        <v>0</v>
      </c>
      <c r="AN1481">
        <v>0</v>
      </c>
      <c r="AO1481">
        <v>1</v>
      </c>
      <c r="AP1481">
        <v>2</v>
      </c>
      <c r="AQ1481" t="s">
        <v>21110</v>
      </c>
      <c r="AR1481" t="s">
        <v>8847</v>
      </c>
      <c r="AS1481" t="s">
        <v>8848</v>
      </c>
      <c r="AT1481" t="s">
        <v>25849</v>
      </c>
      <c r="AU1481" t="s">
        <v>69</v>
      </c>
      <c r="AV1481" t="s">
        <v>69</v>
      </c>
      <c r="AW1481" t="s">
        <v>25850</v>
      </c>
      <c r="AX1481" t="s">
        <v>25851</v>
      </c>
      <c r="AY1481" t="s">
        <v>201</v>
      </c>
      <c r="AZ1481">
        <v>2012</v>
      </c>
      <c r="BA1481">
        <v>80</v>
      </c>
      <c r="BB1481">
        <v>2</v>
      </c>
      <c r="BC1481" t="s">
        <v>69</v>
      </c>
      <c r="BD1481" t="s">
        <v>69</v>
      </c>
      <c r="BE1481" t="s">
        <v>69</v>
      </c>
      <c r="BF1481" t="s">
        <v>69</v>
      </c>
      <c r="BG1481">
        <v>205</v>
      </c>
      <c r="BH1481">
        <v>218</v>
      </c>
      <c r="BI1481" t="s">
        <v>69</v>
      </c>
      <c r="BJ1481" t="s">
        <v>25852</v>
      </c>
      <c r="BK1481" t="str">
        <f>HYPERLINK("http://dx.doi.org/10.1111/j.1751-5823.2011.00165.x","http://dx.doi.org/10.1111/j.1751-5823.2011.00165.x")</f>
        <v>http://dx.doi.org/10.1111/j.1751-5823.2011.00165.x</v>
      </c>
      <c r="BL1481" t="s">
        <v>69</v>
      </c>
      <c r="BM1481" t="s">
        <v>69</v>
      </c>
      <c r="BN1481">
        <v>14</v>
      </c>
      <c r="BO1481" t="s">
        <v>25853</v>
      </c>
      <c r="BP1481" t="s">
        <v>8548</v>
      </c>
      <c r="BQ1481" t="s">
        <v>25854</v>
      </c>
      <c r="BR1481" t="s">
        <v>25855</v>
      </c>
      <c r="BS1481" t="s">
        <v>25856</v>
      </c>
      <c r="BT1481" t="s">
        <v>69</v>
      </c>
      <c r="BU1481" t="s">
        <v>69</v>
      </c>
      <c r="BV1481" t="s">
        <v>69</v>
      </c>
      <c r="BW1481" t="s">
        <v>69</v>
      </c>
      <c r="BX1481" t="s">
        <v>8526</v>
      </c>
      <c r="BY1481" t="str">
        <f>HYPERLINK("https%3A%2F%2Fwww.webofscience.com%2Fwos%2Fwoscc%2Ffull-record%2FWOS:000306999900001","View Full Record in Web of Science")</f>
        <v>View Full Record in Web of Science</v>
      </c>
    </row>
    <row r="1482" spans="1:77" ht="12.5" x14ac:dyDescent="0.25">
      <c r="A1482" t="s">
        <v>8495</v>
      </c>
      <c r="B1482" s="7" t="s">
        <v>32933</v>
      </c>
      <c r="C1482" s="7"/>
      <c r="D1482" s="7"/>
      <c r="E1482" s="7"/>
      <c r="F1482" t="s">
        <v>67</v>
      </c>
      <c r="G1482" t="s">
        <v>5431</v>
      </c>
      <c r="H1482" t="s">
        <v>69</v>
      </c>
      <c r="I1482" t="s">
        <v>69</v>
      </c>
      <c r="J1482" t="s">
        <v>69</v>
      </c>
      <c r="K1482" t="s">
        <v>5432</v>
      </c>
      <c r="L1482" t="s">
        <v>69</v>
      </c>
      <c r="M1482" t="s">
        <v>69</v>
      </c>
      <c r="N1482" t="s">
        <v>5433</v>
      </c>
      <c r="O1482" t="s">
        <v>1522</v>
      </c>
      <c r="P1482" t="s">
        <v>69</v>
      </c>
      <c r="Q1482" t="s">
        <v>69</v>
      </c>
      <c r="R1482" t="s">
        <v>8505</v>
      </c>
      <c r="S1482" t="s">
        <v>8442</v>
      </c>
      <c r="T1482" t="s">
        <v>69</v>
      </c>
      <c r="U1482" t="s">
        <v>69</v>
      </c>
      <c r="V1482" t="s">
        <v>69</v>
      </c>
      <c r="W1482" t="s">
        <v>69</v>
      </c>
      <c r="X1482" t="s">
        <v>69</v>
      </c>
      <c r="Y1482" t="s">
        <v>14025</v>
      </c>
      <c r="Z1482" t="s">
        <v>14026</v>
      </c>
      <c r="AA1482" t="s">
        <v>5434</v>
      </c>
      <c r="AB1482" t="s">
        <v>14027</v>
      </c>
      <c r="AC1482" t="s">
        <v>69</v>
      </c>
      <c r="AD1482" t="s">
        <v>14028</v>
      </c>
      <c r="AE1482" t="s">
        <v>14029</v>
      </c>
      <c r="AF1482" t="s">
        <v>14030</v>
      </c>
      <c r="AG1482" t="s">
        <v>14031</v>
      </c>
      <c r="AH1482" t="s">
        <v>69</v>
      </c>
      <c r="AI1482" t="s">
        <v>69</v>
      </c>
      <c r="AJ1482" t="s">
        <v>69</v>
      </c>
      <c r="AK1482" t="s">
        <v>69</v>
      </c>
      <c r="AL1482">
        <v>108</v>
      </c>
      <c r="AM1482">
        <v>3</v>
      </c>
      <c r="AN1482">
        <v>3</v>
      </c>
      <c r="AO1482">
        <v>2</v>
      </c>
      <c r="AP1482">
        <v>10</v>
      </c>
      <c r="AQ1482" t="s">
        <v>8563</v>
      </c>
      <c r="AR1482" t="s">
        <v>8564</v>
      </c>
      <c r="AS1482" t="s">
        <v>8565</v>
      </c>
      <c r="AT1482" t="s">
        <v>1525</v>
      </c>
      <c r="AU1482" t="s">
        <v>1526</v>
      </c>
      <c r="AV1482" t="s">
        <v>69</v>
      </c>
      <c r="AW1482" t="s">
        <v>14032</v>
      </c>
      <c r="AX1482" t="s">
        <v>14033</v>
      </c>
      <c r="AY1482" t="s">
        <v>373</v>
      </c>
      <c r="AZ1482">
        <v>2021</v>
      </c>
      <c r="BA1482">
        <v>26</v>
      </c>
      <c r="BB1482">
        <v>1</v>
      </c>
      <c r="BC1482" t="s">
        <v>69</v>
      </c>
      <c r="BD1482" t="s">
        <v>69</v>
      </c>
      <c r="BE1482" t="s">
        <v>69</v>
      </c>
      <c r="BF1482" t="s">
        <v>69</v>
      </c>
      <c r="BG1482">
        <v>26</v>
      </c>
      <c r="BH1482">
        <v>49</v>
      </c>
      <c r="BI1482" t="s">
        <v>69</v>
      </c>
      <c r="BJ1482" t="s">
        <v>5435</v>
      </c>
      <c r="BK1482" t="str">
        <f>HYPERLINK("http://dx.doi.org/10.1007/s11367-020-01839-0","http://dx.doi.org/10.1007/s11367-020-01839-0")</f>
        <v>http://dx.doi.org/10.1007/s11367-020-01839-0</v>
      </c>
      <c r="BL1482" t="s">
        <v>69</v>
      </c>
      <c r="BM1482" t="s">
        <v>1867</v>
      </c>
      <c r="BN1482">
        <v>24</v>
      </c>
      <c r="BO1482" t="s">
        <v>8743</v>
      </c>
      <c r="BP1482" t="s">
        <v>8548</v>
      </c>
      <c r="BQ1482" t="s">
        <v>8744</v>
      </c>
      <c r="BR1482" t="s">
        <v>14034</v>
      </c>
      <c r="BS1482" t="s">
        <v>5436</v>
      </c>
      <c r="BT1482" t="s">
        <v>69</v>
      </c>
      <c r="BU1482" t="s">
        <v>69</v>
      </c>
      <c r="BV1482" t="s">
        <v>69</v>
      </c>
      <c r="BW1482" t="s">
        <v>69</v>
      </c>
      <c r="BX1482" t="s">
        <v>8526</v>
      </c>
      <c r="BY1482" t="str">
        <f>HYPERLINK("https%3A%2F%2Fwww.webofscience.com%2Fwos%2Fwoscc%2Ffull-record%2FWOS:000590014300001","View Full Record in Web of Science")</f>
        <v>View Full Record in Web of Science</v>
      </c>
    </row>
    <row r="1483" spans="1:77" ht="12.5" x14ac:dyDescent="0.25">
      <c r="A1483" t="s">
        <v>8495</v>
      </c>
      <c r="B1483" s="22" t="s">
        <v>32931</v>
      </c>
      <c r="C1483" s="7"/>
      <c r="D1483" s="7"/>
      <c r="E1483" s="7"/>
      <c r="F1483" t="s">
        <v>67</v>
      </c>
      <c r="G1483" t="s">
        <v>10725</v>
      </c>
      <c r="H1483" t="s">
        <v>69</v>
      </c>
      <c r="I1483" t="s">
        <v>69</v>
      </c>
      <c r="J1483" t="s">
        <v>69</v>
      </c>
      <c r="K1483" t="s">
        <v>10726</v>
      </c>
      <c r="L1483" t="s">
        <v>69</v>
      </c>
      <c r="M1483" t="s">
        <v>69</v>
      </c>
      <c r="N1483" t="s">
        <v>10727</v>
      </c>
      <c r="O1483" t="s">
        <v>10728</v>
      </c>
      <c r="P1483" t="s">
        <v>69</v>
      </c>
      <c r="Q1483" t="s">
        <v>69</v>
      </c>
      <c r="R1483" t="s">
        <v>8505</v>
      </c>
      <c r="S1483" t="s">
        <v>8556</v>
      </c>
      <c r="T1483" t="s">
        <v>69</v>
      </c>
      <c r="U1483" t="s">
        <v>69</v>
      </c>
      <c r="V1483" t="s">
        <v>69</v>
      </c>
      <c r="W1483" t="s">
        <v>69</v>
      </c>
      <c r="X1483" t="s">
        <v>69</v>
      </c>
      <c r="Y1483" t="s">
        <v>10729</v>
      </c>
      <c r="Z1483" t="s">
        <v>69</v>
      </c>
      <c r="AA1483" t="s">
        <v>10730</v>
      </c>
      <c r="AB1483" t="s">
        <v>10731</v>
      </c>
      <c r="AC1483" t="s">
        <v>69</v>
      </c>
      <c r="AD1483" t="s">
        <v>10732</v>
      </c>
      <c r="AE1483" t="s">
        <v>10733</v>
      </c>
      <c r="AF1483" t="s">
        <v>69</v>
      </c>
      <c r="AG1483" t="s">
        <v>10734</v>
      </c>
      <c r="AH1483" t="s">
        <v>10735</v>
      </c>
      <c r="AI1483" t="s">
        <v>10736</v>
      </c>
      <c r="AJ1483" t="s">
        <v>10737</v>
      </c>
      <c r="AK1483" t="s">
        <v>69</v>
      </c>
      <c r="AL1483">
        <v>54</v>
      </c>
      <c r="AM1483">
        <v>0</v>
      </c>
      <c r="AN1483">
        <v>0</v>
      </c>
      <c r="AO1483">
        <v>1</v>
      </c>
      <c r="AP1483">
        <v>1</v>
      </c>
      <c r="AQ1483" t="s">
        <v>8865</v>
      </c>
      <c r="AR1483" t="s">
        <v>8612</v>
      </c>
      <c r="AS1483" t="s">
        <v>8866</v>
      </c>
      <c r="AT1483" t="s">
        <v>10738</v>
      </c>
      <c r="AU1483" t="s">
        <v>10739</v>
      </c>
      <c r="AV1483" t="s">
        <v>69</v>
      </c>
      <c r="AW1483" t="s">
        <v>10740</v>
      </c>
      <c r="AX1483" t="s">
        <v>10741</v>
      </c>
      <c r="AY1483" t="s">
        <v>69</v>
      </c>
      <c r="AZ1483" t="s">
        <v>69</v>
      </c>
      <c r="BA1483" t="s">
        <v>69</v>
      </c>
      <c r="BB1483" t="s">
        <v>69</v>
      </c>
      <c r="BC1483" t="s">
        <v>69</v>
      </c>
      <c r="BD1483" t="s">
        <v>69</v>
      </c>
      <c r="BE1483" t="s">
        <v>69</v>
      </c>
      <c r="BF1483" t="s">
        <v>69</v>
      </c>
      <c r="BG1483" t="s">
        <v>69</v>
      </c>
      <c r="BH1483" t="s">
        <v>69</v>
      </c>
      <c r="BI1483" t="s">
        <v>69</v>
      </c>
      <c r="BJ1483" t="s">
        <v>10742</v>
      </c>
      <c r="BK1483" t="str">
        <f>HYPERLINK("http://dx.doi.org/10.1080/20421338.2021.1992076","http://dx.doi.org/10.1080/20421338.2021.1992076")</f>
        <v>http://dx.doi.org/10.1080/20421338.2021.1992076</v>
      </c>
      <c r="BL1483" t="s">
        <v>69</v>
      </c>
      <c r="BM1483" t="s">
        <v>10646</v>
      </c>
      <c r="BN1483">
        <v>11</v>
      </c>
      <c r="BO1483" t="s">
        <v>8619</v>
      </c>
      <c r="BP1483" t="s">
        <v>8573</v>
      </c>
      <c r="BQ1483" t="s">
        <v>8620</v>
      </c>
      <c r="BR1483" t="s">
        <v>10743</v>
      </c>
      <c r="BS1483" t="s">
        <v>10744</v>
      </c>
      <c r="BT1483" t="s">
        <v>69</v>
      </c>
      <c r="BU1483" t="s">
        <v>69</v>
      </c>
      <c r="BV1483" t="s">
        <v>69</v>
      </c>
      <c r="BW1483" t="s">
        <v>69</v>
      </c>
      <c r="BX1483" t="s">
        <v>8526</v>
      </c>
      <c r="BY1483" t="str">
        <f>HYPERLINK("https%3A%2F%2Fwww.webofscience.com%2Fwos%2Fwoscc%2Ffull-record%2FWOS:000723045600001","View Full Record in Web of Science")</f>
        <v>View Full Record in Web of Science</v>
      </c>
    </row>
    <row r="1484" spans="1:77" x14ac:dyDescent="0.3">
      <c r="A1484" t="s">
        <v>8495</v>
      </c>
      <c r="B1484" s="13" t="s">
        <v>32985</v>
      </c>
      <c r="F1484" t="s">
        <v>67</v>
      </c>
      <c r="G1484" t="s">
        <v>6924</v>
      </c>
      <c r="H1484" t="s">
        <v>69</v>
      </c>
      <c r="I1484" t="s">
        <v>69</v>
      </c>
      <c r="J1484" t="s">
        <v>69</v>
      </c>
      <c r="K1484" s="4" t="s">
        <v>6925</v>
      </c>
      <c r="L1484" t="s">
        <v>69</v>
      </c>
      <c r="M1484" t="s">
        <v>69</v>
      </c>
      <c r="N1484" s="6" t="s">
        <v>6926</v>
      </c>
      <c r="O1484" t="s">
        <v>6927</v>
      </c>
      <c r="P1484" t="s">
        <v>69</v>
      </c>
      <c r="Q1484" t="s">
        <v>69</v>
      </c>
      <c r="R1484" t="s">
        <v>8505</v>
      </c>
      <c r="S1484" t="s">
        <v>8506</v>
      </c>
      <c r="T1484" t="s">
        <v>69</v>
      </c>
      <c r="U1484" t="s">
        <v>69</v>
      </c>
      <c r="V1484" t="s">
        <v>69</v>
      </c>
      <c r="W1484" t="s">
        <v>69</v>
      </c>
      <c r="X1484" t="s">
        <v>69</v>
      </c>
      <c r="Y1484" t="s">
        <v>14849</v>
      </c>
      <c r="Z1484" t="s">
        <v>69</v>
      </c>
      <c r="AA1484" t="s">
        <v>6928</v>
      </c>
      <c r="AB1484" t="s">
        <v>14850</v>
      </c>
      <c r="AC1484" t="s">
        <v>69</v>
      </c>
      <c r="AD1484" t="s">
        <v>14851</v>
      </c>
      <c r="AE1484" t="s">
        <v>14852</v>
      </c>
      <c r="AF1484" t="s">
        <v>69</v>
      </c>
      <c r="AG1484" t="s">
        <v>69</v>
      </c>
      <c r="AH1484" t="s">
        <v>14853</v>
      </c>
      <c r="AI1484" t="s">
        <v>14854</v>
      </c>
      <c r="AJ1484" t="s">
        <v>14855</v>
      </c>
      <c r="AK1484" t="s">
        <v>69</v>
      </c>
      <c r="AL1484">
        <v>8</v>
      </c>
      <c r="AM1484">
        <v>1</v>
      </c>
      <c r="AN1484">
        <v>1</v>
      </c>
      <c r="AO1484">
        <v>0</v>
      </c>
      <c r="AP1484">
        <v>2</v>
      </c>
      <c r="AQ1484" t="s">
        <v>14856</v>
      </c>
      <c r="AR1484" t="s">
        <v>11131</v>
      </c>
      <c r="AS1484" t="s">
        <v>14857</v>
      </c>
      <c r="AT1484" t="s">
        <v>6929</v>
      </c>
      <c r="AU1484" t="s">
        <v>6930</v>
      </c>
      <c r="AV1484" t="s">
        <v>69</v>
      </c>
      <c r="AW1484" t="s">
        <v>14858</v>
      </c>
      <c r="AX1484" t="s">
        <v>14859</v>
      </c>
      <c r="AY1484" t="s">
        <v>84</v>
      </c>
      <c r="AZ1484">
        <v>2020</v>
      </c>
      <c r="BA1484">
        <v>9</v>
      </c>
      <c r="BB1484">
        <v>4</v>
      </c>
      <c r="BC1484" t="s">
        <v>69</v>
      </c>
      <c r="BD1484" t="s">
        <v>69</v>
      </c>
      <c r="BE1484" t="s">
        <v>69</v>
      </c>
      <c r="BF1484" t="s">
        <v>69</v>
      </c>
      <c r="BG1484" t="s">
        <v>69</v>
      </c>
      <c r="BH1484" t="s">
        <v>69</v>
      </c>
      <c r="BI1484" t="s">
        <v>6931</v>
      </c>
      <c r="BJ1484" t="s">
        <v>6932</v>
      </c>
      <c r="BK1484" t="str">
        <f>HYPERLINK("http://dx.doi.org/10.1002/wene.372","http://dx.doi.org/10.1002/wene.372")</f>
        <v>http://dx.doi.org/10.1002/wene.372</v>
      </c>
      <c r="BL1484" t="s">
        <v>69</v>
      </c>
      <c r="BM1484" t="s">
        <v>69</v>
      </c>
      <c r="BN1484">
        <v>9</v>
      </c>
      <c r="BO1484" t="s">
        <v>9164</v>
      </c>
      <c r="BP1484" t="s">
        <v>8548</v>
      </c>
      <c r="BQ1484" t="s">
        <v>9164</v>
      </c>
      <c r="BR1484" t="s">
        <v>14860</v>
      </c>
      <c r="BS1484" t="s">
        <v>6933</v>
      </c>
      <c r="BT1484" t="s">
        <v>69</v>
      </c>
      <c r="BU1484" t="s">
        <v>69</v>
      </c>
      <c r="BV1484" t="s">
        <v>69</v>
      </c>
      <c r="BW1484" t="s">
        <v>69</v>
      </c>
      <c r="BX1484" t="s">
        <v>8526</v>
      </c>
      <c r="BY1484" t="str">
        <f>HYPERLINK("https%3A%2F%2Fwww.webofscience.com%2Fwos%2Fwoscc%2Ffull-record%2FWOS:000540506700002","View Full Record in Web of Science")</f>
        <v>View Full Record in Web of Science</v>
      </c>
    </row>
    <row r="1485" spans="1:77" ht="12.5" x14ac:dyDescent="0.25">
      <c r="A1485" t="s">
        <v>8495</v>
      </c>
      <c r="B1485" s="22" t="s">
        <v>32931</v>
      </c>
      <c r="C1485" s="7"/>
      <c r="D1485" s="7"/>
      <c r="E1485" s="7"/>
      <c r="F1485" t="s">
        <v>67</v>
      </c>
      <c r="G1485" t="s">
        <v>12639</v>
      </c>
      <c r="H1485" t="s">
        <v>69</v>
      </c>
      <c r="I1485" t="s">
        <v>69</v>
      </c>
      <c r="J1485" t="s">
        <v>69</v>
      </c>
      <c r="K1485" t="s">
        <v>12640</v>
      </c>
      <c r="L1485" t="s">
        <v>69</v>
      </c>
      <c r="M1485" t="s">
        <v>69</v>
      </c>
      <c r="N1485" t="s">
        <v>12641</v>
      </c>
      <c r="O1485" t="s">
        <v>352</v>
      </c>
      <c r="P1485" t="s">
        <v>69</v>
      </c>
      <c r="Q1485" t="s">
        <v>69</v>
      </c>
      <c r="R1485" t="s">
        <v>8505</v>
      </c>
      <c r="S1485" t="s">
        <v>8506</v>
      </c>
      <c r="T1485" t="s">
        <v>69</v>
      </c>
      <c r="U1485" t="s">
        <v>69</v>
      </c>
      <c r="V1485" t="s">
        <v>69</v>
      </c>
      <c r="W1485" t="s">
        <v>69</v>
      </c>
      <c r="X1485" t="s">
        <v>69</v>
      </c>
      <c r="Y1485" t="s">
        <v>12642</v>
      </c>
      <c r="Z1485" t="s">
        <v>69</v>
      </c>
      <c r="AA1485" t="s">
        <v>12643</v>
      </c>
      <c r="AB1485" t="s">
        <v>12644</v>
      </c>
      <c r="AC1485" t="s">
        <v>69</v>
      </c>
      <c r="AD1485" t="s">
        <v>12645</v>
      </c>
      <c r="AE1485" t="s">
        <v>12646</v>
      </c>
      <c r="AF1485" t="s">
        <v>12647</v>
      </c>
      <c r="AG1485" t="s">
        <v>12648</v>
      </c>
      <c r="AH1485" t="s">
        <v>69</v>
      </c>
      <c r="AI1485" t="s">
        <v>69</v>
      </c>
      <c r="AJ1485" t="s">
        <v>69</v>
      </c>
      <c r="AK1485" t="s">
        <v>69</v>
      </c>
      <c r="AL1485">
        <v>39</v>
      </c>
      <c r="AM1485">
        <v>1</v>
      </c>
      <c r="AN1485">
        <v>1</v>
      </c>
      <c r="AO1485">
        <v>3</v>
      </c>
      <c r="AP1485">
        <v>9</v>
      </c>
      <c r="AQ1485" t="s">
        <v>8924</v>
      </c>
      <c r="AR1485" t="s">
        <v>8925</v>
      </c>
      <c r="AS1485" t="s">
        <v>8926</v>
      </c>
      <c r="AT1485" t="s">
        <v>69</v>
      </c>
      <c r="AU1485" t="s">
        <v>354</v>
      </c>
      <c r="AV1485" t="s">
        <v>69</v>
      </c>
      <c r="AW1485" t="s">
        <v>8958</v>
      </c>
      <c r="AX1485" t="s">
        <v>8434</v>
      </c>
      <c r="AY1485" t="s">
        <v>246</v>
      </c>
      <c r="AZ1485">
        <v>2021</v>
      </c>
      <c r="BA1485">
        <v>13</v>
      </c>
      <c r="BB1485">
        <v>7</v>
      </c>
      <c r="BC1485" t="s">
        <v>69</v>
      </c>
      <c r="BD1485" t="s">
        <v>69</v>
      </c>
      <c r="BE1485" t="s">
        <v>69</v>
      </c>
      <c r="BF1485" t="s">
        <v>69</v>
      </c>
      <c r="BG1485" t="s">
        <v>69</v>
      </c>
      <c r="BH1485" t="s">
        <v>69</v>
      </c>
      <c r="BI1485">
        <v>3948</v>
      </c>
      <c r="BJ1485" t="s">
        <v>12649</v>
      </c>
      <c r="BK1485" t="str">
        <f>HYPERLINK("http://dx.doi.org/10.3390/su13073948","http://dx.doi.org/10.3390/su13073948")</f>
        <v>http://dx.doi.org/10.3390/su13073948</v>
      </c>
      <c r="BL1485" t="s">
        <v>69</v>
      </c>
      <c r="BM1485" t="s">
        <v>69</v>
      </c>
      <c r="BN1485">
        <v>16</v>
      </c>
      <c r="BO1485" t="s">
        <v>8960</v>
      </c>
      <c r="BP1485" t="s">
        <v>8523</v>
      </c>
      <c r="BQ1485" t="s">
        <v>8961</v>
      </c>
      <c r="BR1485" t="s">
        <v>12650</v>
      </c>
      <c r="BS1485" t="s">
        <v>12651</v>
      </c>
      <c r="BT1485" t="s">
        <v>69</v>
      </c>
      <c r="BU1485" t="s">
        <v>9352</v>
      </c>
      <c r="BV1485" t="s">
        <v>69</v>
      </c>
      <c r="BW1485" t="s">
        <v>69</v>
      </c>
      <c r="BX1485" t="s">
        <v>8526</v>
      </c>
      <c r="BY1485" t="str">
        <f>HYPERLINK("https%3A%2F%2Fwww.webofscience.com%2Fwos%2Fwoscc%2Ffull-record%2FWOS:000638929300001","View Full Record in Web of Science")</f>
        <v>View Full Record in Web of Science</v>
      </c>
    </row>
    <row r="1486" spans="1:77" ht="12.5" x14ac:dyDescent="0.25">
      <c r="A1486" t="s">
        <v>8495</v>
      </c>
      <c r="B1486" s="7" t="s">
        <v>32933</v>
      </c>
      <c r="C1486" s="7"/>
      <c r="D1486" s="7"/>
      <c r="E1486" s="7"/>
      <c r="F1486" t="s">
        <v>67</v>
      </c>
      <c r="G1486" t="s">
        <v>3665</v>
      </c>
      <c r="H1486" t="s">
        <v>69</v>
      </c>
      <c r="I1486" t="s">
        <v>69</v>
      </c>
      <c r="J1486" t="s">
        <v>69</v>
      </c>
      <c r="K1486" t="s">
        <v>3666</v>
      </c>
      <c r="L1486" t="s">
        <v>69</v>
      </c>
      <c r="M1486" t="s">
        <v>69</v>
      </c>
      <c r="N1486" t="s">
        <v>3667</v>
      </c>
      <c r="O1486" t="s">
        <v>2027</v>
      </c>
      <c r="P1486" t="s">
        <v>69</v>
      </c>
      <c r="Q1486" t="s">
        <v>69</v>
      </c>
      <c r="R1486" t="s">
        <v>8505</v>
      </c>
      <c r="S1486" t="s">
        <v>8506</v>
      </c>
      <c r="T1486" t="s">
        <v>69</v>
      </c>
      <c r="U1486" t="s">
        <v>69</v>
      </c>
      <c r="V1486" t="s">
        <v>69</v>
      </c>
      <c r="W1486" t="s">
        <v>69</v>
      </c>
      <c r="X1486" t="s">
        <v>69</v>
      </c>
      <c r="Y1486" t="s">
        <v>29175</v>
      </c>
      <c r="Z1486" t="s">
        <v>29176</v>
      </c>
      <c r="AA1486" t="s">
        <v>3668</v>
      </c>
      <c r="AB1486" t="s">
        <v>29177</v>
      </c>
      <c r="AC1486" t="s">
        <v>69</v>
      </c>
      <c r="AD1486" t="s">
        <v>29178</v>
      </c>
      <c r="AE1486" t="s">
        <v>29179</v>
      </c>
      <c r="AF1486" t="s">
        <v>3669</v>
      </c>
      <c r="AG1486" t="s">
        <v>3670</v>
      </c>
      <c r="AH1486" t="s">
        <v>29180</v>
      </c>
      <c r="AI1486" t="s">
        <v>29181</v>
      </c>
      <c r="AJ1486" t="s">
        <v>29182</v>
      </c>
      <c r="AK1486" t="s">
        <v>69</v>
      </c>
      <c r="AL1486">
        <v>47</v>
      </c>
      <c r="AM1486">
        <v>39</v>
      </c>
      <c r="AN1486">
        <v>41</v>
      </c>
      <c r="AO1486">
        <v>1</v>
      </c>
      <c r="AP1486">
        <v>28</v>
      </c>
      <c r="AQ1486" t="s">
        <v>8516</v>
      </c>
      <c r="AR1486" t="s">
        <v>8517</v>
      </c>
      <c r="AS1486" t="s">
        <v>8518</v>
      </c>
      <c r="AT1486" t="s">
        <v>2029</v>
      </c>
      <c r="AU1486" t="s">
        <v>2030</v>
      </c>
      <c r="AV1486" t="s">
        <v>69</v>
      </c>
      <c r="AW1486" t="s">
        <v>2027</v>
      </c>
      <c r="AX1486" t="s">
        <v>15875</v>
      </c>
      <c r="AY1486" t="s">
        <v>201</v>
      </c>
      <c r="AZ1486">
        <v>2008</v>
      </c>
      <c r="BA1486">
        <v>28</v>
      </c>
      <c r="BB1486">
        <v>8</v>
      </c>
      <c r="BC1486" t="s">
        <v>69</v>
      </c>
      <c r="BD1486" t="s">
        <v>69</v>
      </c>
      <c r="BE1486" t="s">
        <v>69</v>
      </c>
      <c r="BF1486" t="s">
        <v>69</v>
      </c>
      <c r="BG1486">
        <v>485</v>
      </c>
      <c r="BH1486">
        <v>494</v>
      </c>
      <c r="BI1486" t="s">
        <v>69</v>
      </c>
      <c r="BJ1486" t="s">
        <v>3671</v>
      </c>
      <c r="BK1486" t="str">
        <f>HYPERLINK("http://dx.doi.org/10.1016/j.technovation.2008.02.005","http://dx.doi.org/10.1016/j.technovation.2008.02.005")</f>
        <v>http://dx.doi.org/10.1016/j.technovation.2008.02.005</v>
      </c>
      <c r="BL1486" t="s">
        <v>69</v>
      </c>
      <c r="BM1486" t="s">
        <v>69</v>
      </c>
      <c r="BN1486">
        <v>10</v>
      </c>
      <c r="BO1486" t="s">
        <v>15876</v>
      </c>
      <c r="BP1486" t="s">
        <v>8523</v>
      </c>
      <c r="BQ1486" t="s">
        <v>15877</v>
      </c>
      <c r="BR1486" t="s">
        <v>29183</v>
      </c>
      <c r="BS1486" t="s">
        <v>3672</v>
      </c>
      <c r="BT1486" t="s">
        <v>69</v>
      </c>
      <c r="BU1486" t="s">
        <v>69</v>
      </c>
      <c r="BV1486" t="s">
        <v>69</v>
      </c>
      <c r="BW1486" t="s">
        <v>69</v>
      </c>
      <c r="BX1486" t="s">
        <v>8526</v>
      </c>
      <c r="BY1486" t="str">
        <f>HYPERLINK("https%3A%2F%2Fwww.webofscience.com%2Fwos%2Fwoscc%2Ffull-record%2FWOS:000258707100002","View Full Record in Web of Science")</f>
        <v>View Full Record in Web of Science</v>
      </c>
    </row>
    <row r="1487" spans="1:77" ht="12.5" x14ac:dyDescent="0.25">
      <c r="A1487" t="s">
        <v>8495</v>
      </c>
      <c r="B1487" s="22" t="s">
        <v>32931</v>
      </c>
      <c r="C1487" s="7"/>
      <c r="D1487" s="7"/>
      <c r="E1487" s="7"/>
      <c r="F1487" t="s">
        <v>67</v>
      </c>
      <c r="G1487" t="s">
        <v>13693</v>
      </c>
      <c r="H1487" t="s">
        <v>69</v>
      </c>
      <c r="I1487" t="s">
        <v>69</v>
      </c>
      <c r="J1487" t="s">
        <v>69</v>
      </c>
      <c r="K1487" t="s">
        <v>13694</v>
      </c>
      <c r="L1487" t="s">
        <v>69</v>
      </c>
      <c r="M1487" t="s">
        <v>69</v>
      </c>
      <c r="N1487" t="s">
        <v>13695</v>
      </c>
      <c r="O1487" t="s">
        <v>7133</v>
      </c>
      <c r="P1487" t="s">
        <v>69</v>
      </c>
      <c r="Q1487" t="s">
        <v>69</v>
      </c>
      <c r="R1487" t="s">
        <v>8505</v>
      </c>
      <c r="S1487" t="s">
        <v>8442</v>
      </c>
      <c r="T1487" t="s">
        <v>69</v>
      </c>
      <c r="U1487" t="s">
        <v>69</v>
      </c>
      <c r="V1487" t="s">
        <v>69</v>
      </c>
      <c r="W1487" t="s">
        <v>69</v>
      </c>
      <c r="X1487" t="s">
        <v>69</v>
      </c>
      <c r="Y1487" t="s">
        <v>13696</v>
      </c>
      <c r="Z1487" t="s">
        <v>69</v>
      </c>
      <c r="AA1487" t="s">
        <v>13697</v>
      </c>
      <c r="AB1487" t="s">
        <v>13698</v>
      </c>
      <c r="AC1487" t="s">
        <v>69</v>
      </c>
      <c r="AD1487" t="s">
        <v>13699</v>
      </c>
      <c r="AE1487" t="s">
        <v>69</v>
      </c>
      <c r="AF1487" t="s">
        <v>69</v>
      </c>
      <c r="AG1487" t="s">
        <v>69</v>
      </c>
      <c r="AH1487" t="s">
        <v>69</v>
      </c>
      <c r="AI1487" t="s">
        <v>69</v>
      </c>
      <c r="AJ1487" t="s">
        <v>69</v>
      </c>
      <c r="AK1487" t="s">
        <v>69</v>
      </c>
      <c r="AL1487">
        <v>2</v>
      </c>
      <c r="AM1487">
        <v>0</v>
      </c>
      <c r="AN1487">
        <v>0</v>
      </c>
      <c r="AO1487">
        <v>1</v>
      </c>
      <c r="AP1487">
        <v>4</v>
      </c>
      <c r="AQ1487" t="s">
        <v>13700</v>
      </c>
      <c r="AR1487" t="s">
        <v>13701</v>
      </c>
      <c r="AS1487" t="s">
        <v>13702</v>
      </c>
      <c r="AT1487" t="s">
        <v>7135</v>
      </c>
      <c r="AU1487" t="s">
        <v>69</v>
      </c>
      <c r="AV1487" t="s">
        <v>69</v>
      </c>
      <c r="AW1487" t="s">
        <v>13703</v>
      </c>
      <c r="AX1487" t="s">
        <v>13704</v>
      </c>
      <c r="AY1487" t="s">
        <v>69</v>
      </c>
      <c r="AZ1487">
        <v>2021</v>
      </c>
      <c r="BA1487">
        <v>33</v>
      </c>
      <c r="BB1487" t="s">
        <v>69</v>
      </c>
      <c r="BC1487" t="s">
        <v>69</v>
      </c>
      <c r="BD1487">
        <v>3</v>
      </c>
      <c r="BE1487" t="s">
        <v>69</v>
      </c>
      <c r="BF1487" t="s">
        <v>69</v>
      </c>
      <c r="BG1487">
        <v>107</v>
      </c>
      <c r="BH1487">
        <v>116</v>
      </c>
      <c r="BI1487" t="s">
        <v>69</v>
      </c>
      <c r="BJ1487" t="s">
        <v>69</v>
      </c>
      <c r="BK1487" t="s">
        <v>69</v>
      </c>
      <c r="BL1487" t="s">
        <v>69</v>
      </c>
      <c r="BM1487" t="s">
        <v>69</v>
      </c>
      <c r="BN1487">
        <v>10</v>
      </c>
      <c r="BO1487" t="s">
        <v>9332</v>
      </c>
      <c r="BP1487" t="s">
        <v>8523</v>
      </c>
      <c r="BQ1487" t="s">
        <v>9332</v>
      </c>
      <c r="BR1487" t="s">
        <v>13705</v>
      </c>
      <c r="BS1487" t="s">
        <v>13706</v>
      </c>
      <c r="BT1487">
        <v>34010260</v>
      </c>
      <c r="BU1487" t="s">
        <v>69</v>
      </c>
      <c r="BV1487" t="s">
        <v>69</v>
      </c>
      <c r="BW1487" t="s">
        <v>69</v>
      </c>
      <c r="BX1487" t="s">
        <v>8526</v>
      </c>
      <c r="BY1487" t="str">
        <f>HYPERLINK("https%3A%2F%2Fwww.webofscience.com%2Fwos%2Fwoscc%2Ffull-record%2FWOS:000667177200011","View Full Record in Web of Science")</f>
        <v>View Full Record in Web of Science</v>
      </c>
    </row>
    <row r="1488" spans="1:77" x14ac:dyDescent="0.3">
      <c r="A1488" t="s">
        <v>8495</v>
      </c>
      <c r="B1488" s="12" t="s">
        <v>32966</v>
      </c>
      <c r="F1488" t="s">
        <v>67</v>
      </c>
      <c r="G1488" t="s">
        <v>5013</v>
      </c>
      <c r="H1488" t="s">
        <v>69</v>
      </c>
      <c r="I1488" t="s">
        <v>69</v>
      </c>
      <c r="J1488" t="s">
        <v>69</v>
      </c>
      <c r="K1488" s="3" t="s">
        <v>5014</v>
      </c>
      <c r="L1488" t="s">
        <v>69</v>
      </c>
      <c r="M1488" t="s">
        <v>69</v>
      </c>
      <c r="N1488" s="2" t="s">
        <v>5015</v>
      </c>
      <c r="O1488" t="s">
        <v>5016</v>
      </c>
      <c r="P1488" t="s">
        <v>69</v>
      </c>
      <c r="Q1488" t="s">
        <v>69</v>
      </c>
      <c r="R1488" t="s">
        <v>10071</v>
      </c>
      <c r="S1488" t="s">
        <v>8506</v>
      </c>
      <c r="T1488" t="s">
        <v>69</v>
      </c>
      <c r="U1488" t="s">
        <v>69</v>
      </c>
      <c r="V1488" t="s">
        <v>69</v>
      </c>
      <c r="W1488" t="s">
        <v>69</v>
      </c>
      <c r="X1488" t="s">
        <v>69</v>
      </c>
      <c r="Y1488" t="s">
        <v>26723</v>
      </c>
      <c r="Z1488" t="s">
        <v>69</v>
      </c>
      <c r="AA1488" t="s">
        <v>5017</v>
      </c>
      <c r="AB1488" t="s">
        <v>26724</v>
      </c>
      <c r="AC1488" t="s">
        <v>69</v>
      </c>
      <c r="AD1488" t="s">
        <v>69</v>
      </c>
      <c r="AE1488" t="s">
        <v>26725</v>
      </c>
      <c r="AF1488" t="s">
        <v>69</v>
      </c>
      <c r="AG1488" t="s">
        <v>69</v>
      </c>
      <c r="AH1488" t="s">
        <v>69</v>
      </c>
      <c r="AI1488" t="s">
        <v>69</v>
      </c>
      <c r="AJ1488" t="s">
        <v>69</v>
      </c>
      <c r="AK1488" t="s">
        <v>69</v>
      </c>
      <c r="AL1488">
        <v>4</v>
      </c>
      <c r="AM1488">
        <v>0</v>
      </c>
      <c r="AN1488">
        <v>0</v>
      </c>
      <c r="AO1488">
        <v>0</v>
      </c>
      <c r="AP1488">
        <v>1</v>
      </c>
      <c r="AQ1488" t="s">
        <v>26726</v>
      </c>
      <c r="AR1488" t="s">
        <v>11466</v>
      </c>
      <c r="AS1488" t="s">
        <v>26727</v>
      </c>
      <c r="AT1488" t="s">
        <v>5018</v>
      </c>
      <c r="AU1488" t="s">
        <v>69</v>
      </c>
      <c r="AV1488" t="s">
        <v>69</v>
      </c>
      <c r="AW1488" t="s">
        <v>26728</v>
      </c>
      <c r="AX1488" t="s">
        <v>26729</v>
      </c>
      <c r="AY1488" t="s">
        <v>3964</v>
      </c>
      <c r="AZ1488">
        <v>2011</v>
      </c>
      <c r="BA1488">
        <v>17</v>
      </c>
      <c r="BB1488">
        <v>4</v>
      </c>
      <c r="BC1488" t="s">
        <v>69</v>
      </c>
      <c r="BD1488" t="s">
        <v>69</v>
      </c>
      <c r="BE1488" t="s">
        <v>69</v>
      </c>
      <c r="BF1488" t="s">
        <v>69</v>
      </c>
      <c r="BG1488">
        <v>692</v>
      </c>
      <c r="BH1488">
        <v>707</v>
      </c>
      <c r="BI1488" t="s">
        <v>69</v>
      </c>
      <c r="BJ1488" t="s">
        <v>69</v>
      </c>
      <c r="BK1488" t="s">
        <v>69</v>
      </c>
      <c r="BL1488" t="s">
        <v>69</v>
      </c>
      <c r="BM1488" t="s">
        <v>69</v>
      </c>
      <c r="BN1488">
        <v>16</v>
      </c>
      <c r="BO1488" t="s">
        <v>26730</v>
      </c>
      <c r="BP1488" t="s">
        <v>8661</v>
      </c>
      <c r="BQ1488" t="s">
        <v>8594</v>
      </c>
      <c r="BR1488" t="s">
        <v>26731</v>
      </c>
      <c r="BS1488" t="s">
        <v>5019</v>
      </c>
      <c r="BT1488" t="s">
        <v>69</v>
      </c>
      <c r="BU1488" t="s">
        <v>69</v>
      </c>
      <c r="BV1488" t="s">
        <v>69</v>
      </c>
      <c r="BW1488" t="s">
        <v>69</v>
      </c>
      <c r="BX1488" t="s">
        <v>8526</v>
      </c>
      <c r="BY1488" t="str">
        <f>HYPERLINK("https%3A%2F%2Fwww.webofscience.com%2Fwos%2Fwoscc%2Ffull-record%2FWOS:000305050500010","View Full Record in Web of Science")</f>
        <v>View Full Record in Web of Science</v>
      </c>
    </row>
    <row r="1489" spans="1:77" ht="12.5" x14ac:dyDescent="0.25">
      <c r="A1489" t="s">
        <v>8495</v>
      </c>
      <c r="B1489" s="7" t="s">
        <v>32933</v>
      </c>
      <c r="C1489" s="7"/>
      <c r="D1489" s="7"/>
      <c r="E1489" s="7"/>
      <c r="F1489" t="s">
        <v>67</v>
      </c>
      <c r="G1489" t="s">
        <v>2448</v>
      </c>
      <c r="H1489" t="s">
        <v>69</v>
      </c>
      <c r="I1489" t="s">
        <v>69</v>
      </c>
      <c r="J1489" t="s">
        <v>69</v>
      </c>
      <c r="K1489" t="s">
        <v>2449</v>
      </c>
      <c r="L1489" t="s">
        <v>69</v>
      </c>
      <c r="M1489" t="s">
        <v>69</v>
      </c>
      <c r="N1489" t="s">
        <v>2450</v>
      </c>
      <c r="O1489" t="s">
        <v>1251</v>
      </c>
      <c r="P1489" t="s">
        <v>69</v>
      </c>
      <c r="Q1489" t="s">
        <v>69</v>
      </c>
      <c r="R1489" t="s">
        <v>8505</v>
      </c>
      <c r="S1489" t="s">
        <v>8506</v>
      </c>
      <c r="T1489" t="s">
        <v>69</v>
      </c>
      <c r="U1489" t="s">
        <v>69</v>
      </c>
      <c r="V1489" t="s">
        <v>69</v>
      </c>
      <c r="W1489" t="s">
        <v>69</v>
      </c>
      <c r="X1489" t="s">
        <v>69</v>
      </c>
      <c r="Y1489" t="s">
        <v>19321</v>
      </c>
      <c r="Z1489" t="s">
        <v>19322</v>
      </c>
      <c r="AA1489" t="s">
        <v>2451</v>
      </c>
      <c r="AB1489" t="s">
        <v>19323</v>
      </c>
      <c r="AC1489" t="s">
        <v>69</v>
      </c>
      <c r="AD1489" t="s">
        <v>19324</v>
      </c>
      <c r="AE1489" t="s">
        <v>19325</v>
      </c>
      <c r="AF1489" t="s">
        <v>19326</v>
      </c>
      <c r="AG1489" t="s">
        <v>19327</v>
      </c>
      <c r="AH1489" t="s">
        <v>69</v>
      </c>
      <c r="AI1489" t="s">
        <v>69</v>
      </c>
      <c r="AJ1489" t="s">
        <v>69</v>
      </c>
      <c r="AK1489" t="s">
        <v>69</v>
      </c>
      <c r="AL1489">
        <v>82</v>
      </c>
      <c r="AM1489">
        <v>7</v>
      </c>
      <c r="AN1489">
        <v>7</v>
      </c>
      <c r="AO1489">
        <v>0</v>
      </c>
      <c r="AP1489">
        <v>20</v>
      </c>
      <c r="AQ1489" t="s">
        <v>8586</v>
      </c>
      <c r="AR1489" t="s">
        <v>8587</v>
      </c>
      <c r="AS1489" t="s">
        <v>8588</v>
      </c>
      <c r="AT1489" t="s">
        <v>1254</v>
      </c>
      <c r="AU1489" t="s">
        <v>1255</v>
      </c>
      <c r="AV1489" t="s">
        <v>69</v>
      </c>
      <c r="AW1489" t="s">
        <v>1251</v>
      </c>
      <c r="AX1489" t="s">
        <v>19328</v>
      </c>
      <c r="AY1489" t="s">
        <v>69</v>
      </c>
      <c r="AZ1489">
        <v>2018</v>
      </c>
      <c r="BA1489">
        <v>31</v>
      </c>
      <c r="BB1489">
        <v>2</v>
      </c>
      <c r="BC1489" t="s">
        <v>69</v>
      </c>
      <c r="BD1489" t="s">
        <v>69</v>
      </c>
      <c r="BE1489" t="s">
        <v>69</v>
      </c>
      <c r="BF1489" t="s">
        <v>69</v>
      </c>
      <c r="BG1489">
        <v>114</v>
      </c>
      <c r="BH1489">
        <v>136</v>
      </c>
      <c r="BI1489" t="s">
        <v>69</v>
      </c>
      <c r="BJ1489" t="s">
        <v>2452</v>
      </c>
      <c r="BK1489" t="str">
        <f>HYPERLINK("http://dx.doi.org/10.1108/BL-09-2017-0029","http://dx.doi.org/10.1108/BL-09-2017-0029")</f>
        <v>http://dx.doi.org/10.1108/BL-09-2017-0029</v>
      </c>
      <c r="BL1489" t="s">
        <v>69</v>
      </c>
      <c r="BM1489" t="s">
        <v>69</v>
      </c>
      <c r="BN1489">
        <v>23</v>
      </c>
      <c r="BO1489" t="s">
        <v>11010</v>
      </c>
      <c r="BP1489" t="s">
        <v>8573</v>
      </c>
      <c r="BQ1489" t="s">
        <v>11010</v>
      </c>
      <c r="BR1489" t="s">
        <v>19329</v>
      </c>
      <c r="BS1489" t="s">
        <v>2453</v>
      </c>
      <c r="BT1489" t="s">
        <v>69</v>
      </c>
      <c r="BU1489" t="s">
        <v>9292</v>
      </c>
      <c r="BV1489" t="s">
        <v>69</v>
      </c>
      <c r="BW1489" t="s">
        <v>69</v>
      </c>
      <c r="BX1489" t="s">
        <v>8526</v>
      </c>
      <c r="BY1489" t="str">
        <f>HYPERLINK("https%3A%2F%2Fwww.webofscience.com%2Fwos%2Fwoscc%2Ffull-record%2FWOS:000435558000002","View Full Record in Web of Science")</f>
        <v>View Full Record in Web of Science</v>
      </c>
    </row>
    <row r="1490" spans="1:77" ht="12.5" x14ac:dyDescent="0.25">
      <c r="A1490" t="s">
        <v>8495</v>
      </c>
      <c r="B1490" s="7" t="s">
        <v>32933</v>
      </c>
      <c r="C1490" s="7"/>
      <c r="D1490" s="7"/>
      <c r="E1490" s="7"/>
      <c r="F1490" t="s">
        <v>67</v>
      </c>
      <c r="G1490" t="s">
        <v>445</v>
      </c>
      <c r="H1490" t="s">
        <v>69</v>
      </c>
      <c r="I1490" t="s">
        <v>69</v>
      </c>
      <c r="J1490" t="s">
        <v>69</v>
      </c>
      <c r="K1490" t="s">
        <v>446</v>
      </c>
      <c r="L1490" t="s">
        <v>69</v>
      </c>
      <c r="M1490" t="s">
        <v>69</v>
      </c>
      <c r="N1490" t="s">
        <v>447</v>
      </c>
      <c r="O1490" t="s">
        <v>436</v>
      </c>
      <c r="P1490" t="s">
        <v>69</v>
      </c>
      <c r="Q1490" t="s">
        <v>69</v>
      </c>
      <c r="R1490" t="s">
        <v>8505</v>
      </c>
      <c r="S1490" t="s">
        <v>8506</v>
      </c>
      <c r="T1490" t="s">
        <v>69</v>
      </c>
      <c r="U1490" t="s">
        <v>69</v>
      </c>
      <c r="V1490" t="s">
        <v>69</v>
      </c>
      <c r="W1490" t="s">
        <v>69</v>
      </c>
      <c r="X1490" t="s">
        <v>69</v>
      </c>
      <c r="Y1490" t="s">
        <v>21068</v>
      </c>
      <c r="Z1490" t="s">
        <v>21069</v>
      </c>
      <c r="AA1490" t="s">
        <v>448</v>
      </c>
      <c r="AB1490" t="s">
        <v>21070</v>
      </c>
      <c r="AC1490" t="s">
        <v>69</v>
      </c>
      <c r="AD1490" t="s">
        <v>21071</v>
      </c>
      <c r="AE1490" t="s">
        <v>21072</v>
      </c>
      <c r="AF1490" t="s">
        <v>449</v>
      </c>
      <c r="AG1490" t="s">
        <v>450</v>
      </c>
      <c r="AH1490" t="s">
        <v>69</v>
      </c>
      <c r="AI1490" t="s">
        <v>69</v>
      </c>
      <c r="AJ1490" t="s">
        <v>69</v>
      </c>
      <c r="AK1490" t="s">
        <v>69</v>
      </c>
      <c r="AL1490">
        <v>37</v>
      </c>
      <c r="AM1490">
        <v>108</v>
      </c>
      <c r="AN1490">
        <v>108</v>
      </c>
      <c r="AO1490">
        <v>10</v>
      </c>
      <c r="AP1490">
        <v>196</v>
      </c>
      <c r="AQ1490" t="s">
        <v>8636</v>
      </c>
      <c r="AR1490" t="s">
        <v>8637</v>
      </c>
      <c r="AS1490" t="s">
        <v>8638</v>
      </c>
      <c r="AT1490" t="s">
        <v>440</v>
      </c>
      <c r="AU1490" t="s">
        <v>441</v>
      </c>
      <c r="AV1490" t="s">
        <v>69</v>
      </c>
      <c r="AW1490" t="s">
        <v>8639</v>
      </c>
      <c r="AX1490" t="s">
        <v>8640</v>
      </c>
      <c r="AY1490" t="s">
        <v>451</v>
      </c>
      <c r="AZ1490">
        <v>2017</v>
      </c>
      <c r="BA1490">
        <v>140</v>
      </c>
      <c r="BB1490" t="s">
        <v>69</v>
      </c>
      <c r="BC1490">
        <v>1</v>
      </c>
      <c r="BD1490" t="s">
        <v>69</v>
      </c>
      <c r="BE1490" t="s">
        <v>114</v>
      </c>
      <c r="BF1490" t="s">
        <v>69</v>
      </c>
      <c r="BG1490">
        <v>349</v>
      </c>
      <c r="BH1490">
        <v>358</v>
      </c>
      <c r="BI1490" t="s">
        <v>69</v>
      </c>
      <c r="BJ1490" t="s">
        <v>452</v>
      </c>
      <c r="BK1490" t="str">
        <f>HYPERLINK("http://dx.doi.org/10.1016/j.jclepro.2015.12.085","http://dx.doi.org/10.1016/j.jclepro.2015.12.085")</f>
        <v>http://dx.doi.org/10.1016/j.jclepro.2015.12.085</v>
      </c>
      <c r="BL1490" t="s">
        <v>69</v>
      </c>
      <c r="BM1490" t="s">
        <v>69</v>
      </c>
      <c r="BN1490">
        <v>10</v>
      </c>
      <c r="BO1490" t="s">
        <v>8643</v>
      </c>
      <c r="BP1490" t="s">
        <v>8548</v>
      </c>
      <c r="BQ1490" t="s">
        <v>8644</v>
      </c>
      <c r="BR1490" t="s">
        <v>21073</v>
      </c>
      <c r="BS1490" t="s">
        <v>453</v>
      </c>
      <c r="BT1490" t="s">
        <v>69</v>
      </c>
      <c r="BU1490" t="s">
        <v>9292</v>
      </c>
      <c r="BV1490" t="s">
        <v>69</v>
      </c>
      <c r="BW1490" t="s">
        <v>69</v>
      </c>
      <c r="BX1490" t="s">
        <v>8526</v>
      </c>
      <c r="BY1490" t="str">
        <f>HYPERLINK("https%3A%2F%2Fwww.webofscience.com%2Fwos%2Fwoscc%2Ffull-record%2FWOS:000388775100032","View Full Record in Web of Science")</f>
        <v>View Full Record in Web of Science</v>
      </c>
    </row>
    <row r="1491" spans="1:77" ht="12.5" x14ac:dyDescent="0.25">
      <c r="A1491" t="s">
        <v>8495</v>
      </c>
      <c r="B1491" s="22" t="s">
        <v>32931</v>
      </c>
      <c r="C1491" s="7"/>
      <c r="D1491" s="7"/>
      <c r="E1491" s="7"/>
      <c r="F1491" t="s">
        <v>67</v>
      </c>
      <c r="G1491" t="s">
        <v>9510</v>
      </c>
      <c r="H1491" t="s">
        <v>69</v>
      </c>
      <c r="I1491" t="s">
        <v>69</v>
      </c>
      <c r="J1491" t="s">
        <v>69</v>
      </c>
      <c r="K1491" t="s">
        <v>9511</v>
      </c>
      <c r="L1491" t="s">
        <v>69</v>
      </c>
      <c r="M1491" t="s">
        <v>69</v>
      </c>
      <c r="N1491" t="s">
        <v>9512</v>
      </c>
      <c r="O1491" t="s">
        <v>9513</v>
      </c>
      <c r="P1491" t="s">
        <v>69</v>
      </c>
      <c r="Q1491" t="s">
        <v>69</v>
      </c>
      <c r="R1491" t="s">
        <v>8505</v>
      </c>
      <c r="S1491" t="s">
        <v>8506</v>
      </c>
      <c r="T1491" t="s">
        <v>69</v>
      </c>
      <c r="U1491" t="s">
        <v>69</v>
      </c>
      <c r="V1491" t="s">
        <v>69</v>
      </c>
      <c r="W1491" t="s">
        <v>69</v>
      </c>
      <c r="X1491" t="s">
        <v>69</v>
      </c>
      <c r="Y1491" t="s">
        <v>9514</v>
      </c>
      <c r="Z1491" t="s">
        <v>9515</v>
      </c>
      <c r="AA1491" t="s">
        <v>9516</v>
      </c>
      <c r="AB1491" t="s">
        <v>9517</v>
      </c>
      <c r="AC1491" t="s">
        <v>69</v>
      </c>
      <c r="AD1491" t="s">
        <v>9518</v>
      </c>
      <c r="AE1491" t="s">
        <v>9519</v>
      </c>
      <c r="AF1491" t="s">
        <v>69</v>
      </c>
      <c r="AG1491" t="s">
        <v>9520</v>
      </c>
      <c r="AH1491" t="s">
        <v>69</v>
      </c>
      <c r="AI1491" t="s">
        <v>69</v>
      </c>
      <c r="AJ1491" t="s">
        <v>69</v>
      </c>
      <c r="AK1491" t="s">
        <v>69</v>
      </c>
      <c r="AL1491">
        <v>82</v>
      </c>
      <c r="AM1491">
        <v>1</v>
      </c>
      <c r="AN1491">
        <v>1</v>
      </c>
      <c r="AO1491">
        <v>1</v>
      </c>
      <c r="AP1491">
        <v>1</v>
      </c>
      <c r="AQ1491" t="s">
        <v>8762</v>
      </c>
      <c r="AR1491" t="s">
        <v>8763</v>
      </c>
      <c r="AS1491" t="s">
        <v>8764</v>
      </c>
      <c r="AT1491" t="s">
        <v>9521</v>
      </c>
      <c r="AU1491" t="s">
        <v>9522</v>
      </c>
      <c r="AV1491" t="s">
        <v>69</v>
      </c>
      <c r="AW1491" t="s">
        <v>9523</v>
      </c>
      <c r="AX1491" t="s">
        <v>9524</v>
      </c>
      <c r="AY1491" t="s">
        <v>586</v>
      </c>
      <c r="AZ1491">
        <v>2022</v>
      </c>
      <c r="BA1491">
        <v>11</v>
      </c>
      <c r="BB1491">
        <v>2</v>
      </c>
      <c r="BC1491" t="s">
        <v>69</v>
      </c>
      <c r="BD1491" t="s">
        <v>69</v>
      </c>
      <c r="BE1491" t="s">
        <v>114</v>
      </c>
      <c r="BF1491" t="s">
        <v>69</v>
      </c>
      <c r="BG1491">
        <v>171</v>
      </c>
      <c r="BH1491">
        <v>197</v>
      </c>
      <c r="BI1491" t="s">
        <v>69</v>
      </c>
      <c r="BJ1491" t="s">
        <v>9525</v>
      </c>
      <c r="BK1491" t="str">
        <f>HYPERLINK("http://dx.doi.org/10.1177/2046147X221081178","http://dx.doi.org/10.1177/2046147X221081178")</f>
        <v>http://dx.doi.org/10.1177/2046147X221081178</v>
      </c>
      <c r="BL1491" t="s">
        <v>69</v>
      </c>
      <c r="BM1491" t="s">
        <v>9485</v>
      </c>
      <c r="BN1491">
        <v>27</v>
      </c>
      <c r="BO1491" t="s">
        <v>8443</v>
      </c>
      <c r="BP1491" t="s">
        <v>8573</v>
      </c>
      <c r="BQ1491" t="s">
        <v>8443</v>
      </c>
      <c r="BR1491" t="s">
        <v>9526</v>
      </c>
      <c r="BS1491" t="s">
        <v>9527</v>
      </c>
      <c r="BT1491" t="s">
        <v>69</v>
      </c>
      <c r="BU1491" t="s">
        <v>69</v>
      </c>
      <c r="BV1491" t="s">
        <v>69</v>
      </c>
      <c r="BW1491" t="s">
        <v>69</v>
      </c>
      <c r="BX1491" t="s">
        <v>8526</v>
      </c>
      <c r="BY1491" t="str">
        <f>HYPERLINK("https%3A%2F%2Fwww.webofscience.com%2Fwos%2Fwoscc%2Ffull-record%2FWOS:000775982900001","View Full Record in Web of Science")</f>
        <v>View Full Record in Web of Science</v>
      </c>
    </row>
    <row r="1492" spans="1:77" ht="12.5" x14ac:dyDescent="0.25">
      <c r="A1492" t="s">
        <v>8495</v>
      </c>
      <c r="B1492" s="7" t="s">
        <v>32933</v>
      </c>
      <c r="C1492" s="7"/>
      <c r="D1492" s="7"/>
      <c r="E1492" s="7"/>
      <c r="F1492" t="s">
        <v>67</v>
      </c>
      <c r="G1492" t="s">
        <v>8162</v>
      </c>
      <c r="H1492" t="s">
        <v>69</v>
      </c>
      <c r="I1492" t="s">
        <v>69</v>
      </c>
      <c r="J1492" t="s">
        <v>69</v>
      </c>
      <c r="K1492" t="s">
        <v>8163</v>
      </c>
      <c r="L1492" t="s">
        <v>69</v>
      </c>
      <c r="M1492" t="s">
        <v>69</v>
      </c>
      <c r="N1492" t="s">
        <v>8164</v>
      </c>
      <c r="O1492" t="s">
        <v>8165</v>
      </c>
      <c r="P1492" t="s">
        <v>69</v>
      </c>
      <c r="Q1492" t="s">
        <v>69</v>
      </c>
      <c r="R1492" t="s">
        <v>8505</v>
      </c>
      <c r="S1492" t="s">
        <v>8506</v>
      </c>
      <c r="T1492" t="s">
        <v>69</v>
      </c>
      <c r="U1492" t="s">
        <v>69</v>
      </c>
      <c r="V1492" t="s">
        <v>69</v>
      </c>
      <c r="W1492" t="s">
        <v>69</v>
      </c>
      <c r="X1492" t="s">
        <v>69</v>
      </c>
      <c r="Y1492" t="s">
        <v>27140</v>
      </c>
      <c r="Z1492" t="s">
        <v>69</v>
      </c>
      <c r="AA1492" t="s">
        <v>8166</v>
      </c>
      <c r="AB1492" t="s">
        <v>27141</v>
      </c>
      <c r="AC1492" t="s">
        <v>69</v>
      </c>
      <c r="AD1492" t="s">
        <v>27142</v>
      </c>
      <c r="AE1492" t="s">
        <v>27143</v>
      </c>
      <c r="AF1492" t="s">
        <v>69</v>
      </c>
      <c r="AG1492" t="s">
        <v>69</v>
      </c>
      <c r="AH1492" t="s">
        <v>69</v>
      </c>
      <c r="AI1492" t="s">
        <v>69</v>
      </c>
      <c r="AJ1492" t="s">
        <v>69</v>
      </c>
      <c r="AK1492" t="s">
        <v>69</v>
      </c>
      <c r="AL1492">
        <v>6</v>
      </c>
      <c r="AM1492">
        <v>31</v>
      </c>
      <c r="AN1492">
        <v>33</v>
      </c>
      <c r="AO1492">
        <v>0</v>
      </c>
      <c r="AP1492">
        <v>11</v>
      </c>
      <c r="AQ1492" t="s">
        <v>8563</v>
      </c>
      <c r="AR1492" t="s">
        <v>8564</v>
      </c>
      <c r="AS1492" t="s">
        <v>8565</v>
      </c>
      <c r="AT1492" t="s">
        <v>8167</v>
      </c>
      <c r="AU1492" t="s">
        <v>69</v>
      </c>
      <c r="AV1492" t="s">
        <v>69</v>
      </c>
      <c r="AW1492" t="s">
        <v>27144</v>
      </c>
      <c r="AX1492" t="s">
        <v>27145</v>
      </c>
      <c r="AY1492" t="s">
        <v>94</v>
      </c>
      <c r="AZ1492">
        <v>2011</v>
      </c>
      <c r="BA1492">
        <v>9</v>
      </c>
      <c r="BB1492">
        <v>1</v>
      </c>
      <c r="BC1492" t="s">
        <v>69</v>
      </c>
      <c r="BD1492" t="s">
        <v>69</v>
      </c>
      <c r="BE1492" t="s">
        <v>114</v>
      </c>
      <c r="BF1492" t="s">
        <v>69</v>
      </c>
      <c r="BG1492">
        <v>79</v>
      </c>
      <c r="BH1492">
        <v>88</v>
      </c>
      <c r="BI1492" t="s">
        <v>69</v>
      </c>
      <c r="BJ1492" t="s">
        <v>8168</v>
      </c>
      <c r="BK1492" t="str">
        <f>HYPERLINK("http://dx.doi.org/10.1007/s10333-010-0242-2","http://dx.doi.org/10.1007/s10333-010-0242-2")</f>
        <v>http://dx.doi.org/10.1007/s10333-010-0242-2</v>
      </c>
      <c r="BL1492" t="s">
        <v>69</v>
      </c>
      <c r="BM1492" t="s">
        <v>69</v>
      </c>
      <c r="BN1492">
        <v>10</v>
      </c>
      <c r="BO1492" t="s">
        <v>27146</v>
      </c>
      <c r="BP1492" t="s">
        <v>8548</v>
      </c>
      <c r="BQ1492" t="s">
        <v>8450</v>
      </c>
      <c r="BR1492" t="s">
        <v>27147</v>
      </c>
      <c r="BS1492" t="s">
        <v>8169</v>
      </c>
      <c r="BT1492" t="s">
        <v>69</v>
      </c>
      <c r="BU1492" t="s">
        <v>69</v>
      </c>
      <c r="BV1492" t="s">
        <v>69</v>
      </c>
      <c r="BW1492" t="s">
        <v>69</v>
      </c>
      <c r="BX1492" t="s">
        <v>8526</v>
      </c>
      <c r="BY1492" t="str">
        <f>HYPERLINK("https%3A%2F%2Fwww.webofscience.com%2Fwos%2Fwoscc%2Ffull-record%2FWOS:000288176100009","View Full Record in Web of Science")</f>
        <v>View Full Record in Web of Science</v>
      </c>
    </row>
    <row r="1493" spans="1:77" ht="12.5" x14ac:dyDescent="0.25">
      <c r="A1493" t="s">
        <v>8495</v>
      </c>
      <c r="B1493" s="22" t="s">
        <v>32931</v>
      </c>
      <c r="C1493" s="7"/>
      <c r="D1493" s="7"/>
      <c r="E1493" s="7"/>
      <c r="F1493" t="s">
        <v>67</v>
      </c>
      <c r="G1493" t="s">
        <v>28864</v>
      </c>
      <c r="H1493" t="s">
        <v>69</v>
      </c>
      <c r="I1493" t="s">
        <v>69</v>
      </c>
      <c r="J1493" t="s">
        <v>69</v>
      </c>
      <c r="K1493" t="s">
        <v>28865</v>
      </c>
      <c r="L1493" t="s">
        <v>69</v>
      </c>
      <c r="M1493" t="s">
        <v>69</v>
      </c>
      <c r="N1493" t="s">
        <v>28866</v>
      </c>
      <c r="O1493" t="s">
        <v>28867</v>
      </c>
      <c r="P1493" t="s">
        <v>69</v>
      </c>
      <c r="Q1493" t="s">
        <v>69</v>
      </c>
      <c r="R1493" t="s">
        <v>8505</v>
      </c>
      <c r="S1493" t="s">
        <v>8506</v>
      </c>
      <c r="T1493" t="s">
        <v>69</v>
      </c>
      <c r="U1493" t="s">
        <v>69</v>
      </c>
      <c r="V1493" t="s">
        <v>69</v>
      </c>
      <c r="W1493" t="s">
        <v>69</v>
      </c>
      <c r="X1493" t="s">
        <v>69</v>
      </c>
      <c r="Y1493" t="s">
        <v>28868</v>
      </c>
      <c r="Z1493" t="s">
        <v>69</v>
      </c>
      <c r="AA1493" t="s">
        <v>28869</v>
      </c>
      <c r="AB1493" t="s">
        <v>28870</v>
      </c>
      <c r="AC1493" t="s">
        <v>69</v>
      </c>
      <c r="AD1493" t="s">
        <v>28871</v>
      </c>
      <c r="AE1493" t="s">
        <v>28872</v>
      </c>
      <c r="AF1493" t="s">
        <v>69</v>
      </c>
      <c r="AG1493" t="s">
        <v>28873</v>
      </c>
      <c r="AH1493" t="s">
        <v>69</v>
      </c>
      <c r="AI1493" t="s">
        <v>69</v>
      </c>
      <c r="AJ1493" t="s">
        <v>69</v>
      </c>
      <c r="AK1493" t="s">
        <v>69</v>
      </c>
      <c r="AL1493">
        <v>32</v>
      </c>
      <c r="AM1493">
        <v>7</v>
      </c>
      <c r="AN1493">
        <v>8</v>
      </c>
      <c r="AO1493">
        <v>0</v>
      </c>
      <c r="AP1493">
        <v>1</v>
      </c>
      <c r="AQ1493" t="s">
        <v>15611</v>
      </c>
      <c r="AR1493" t="s">
        <v>10924</v>
      </c>
      <c r="AS1493" t="s">
        <v>15612</v>
      </c>
      <c r="AT1493" t="s">
        <v>28874</v>
      </c>
      <c r="AU1493" t="s">
        <v>28875</v>
      </c>
      <c r="AV1493" t="s">
        <v>69</v>
      </c>
      <c r="AW1493" t="s">
        <v>28876</v>
      </c>
      <c r="AX1493" t="s">
        <v>28877</v>
      </c>
      <c r="AY1493" t="s">
        <v>69</v>
      </c>
      <c r="AZ1493">
        <v>2009</v>
      </c>
      <c r="BA1493">
        <v>23</v>
      </c>
      <c r="BB1493">
        <v>4</v>
      </c>
      <c r="BC1493" t="s">
        <v>69</v>
      </c>
      <c r="BD1493" t="s">
        <v>69</v>
      </c>
      <c r="BE1493" t="s">
        <v>69</v>
      </c>
      <c r="BF1493" t="s">
        <v>69</v>
      </c>
      <c r="BG1493">
        <v>430</v>
      </c>
      <c r="BH1493">
        <v>450</v>
      </c>
      <c r="BI1493" t="s">
        <v>69</v>
      </c>
      <c r="BJ1493" t="s">
        <v>28878</v>
      </c>
      <c r="BK1493" t="str">
        <f>HYPERLINK("http://dx.doi.org/10.1080/15427520903013431","http://dx.doi.org/10.1080/15427520903013431")</f>
        <v>http://dx.doi.org/10.1080/15427520903013431</v>
      </c>
      <c r="BL1493" t="s">
        <v>69</v>
      </c>
      <c r="BM1493" t="s">
        <v>69</v>
      </c>
      <c r="BN1493">
        <v>21</v>
      </c>
      <c r="BO1493" t="s">
        <v>28879</v>
      </c>
      <c r="BP1493" t="s">
        <v>8573</v>
      </c>
      <c r="BQ1493" t="s">
        <v>28880</v>
      </c>
      <c r="BR1493" t="s">
        <v>28881</v>
      </c>
      <c r="BS1493" t="s">
        <v>28882</v>
      </c>
      <c r="BT1493" t="s">
        <v>69</v>
      </c>
      <c r="BU1493" t="s">
        <v>69</v>
      </c>
      <c r="BV1493" t="s">
        <v>69</v>
      </c>
      <c r="BW1493" t="s">
        <v>69</v>
      </c>
      <c r="BX1493" t="s">
        <v>8526</v>
      </c>
      <c r="BY1493" t="str">
        <f>HYPERLINK("https%3A%2F%2Fwww.webofscience.com%2Fwos%2Fwoscc%2Ffull-record%2FWOS:000452690300007","View Full Record in Web of Science")</f>
        <v>View Full Record in Web of Science</v>
      </c>
    </row>
    <row r="1494" spans="1:77" ht="12.5" x14ac:dyDescent="0.25">
      <c r="A1494" t="s">
        <v>8495</v>
      </c>
      <c r="B1494" s="7" t="s">
        <v>32933</v>
      </c>
      <c r="C1494" s="7"/>
      <c r="D1494" s="7"/>
      <c r="E1494" s="7"/>
      <c r="F1494" t="s">
        <v>67</v>
      </c>
      <c r="G1494" t="s">
        <v>2613</v>
      </c>
      <c r="H1494" t="s">
        <v>69</v>
      </c>
      <c r="I1494" t="s">
        <v>69</v>
      </c>
      <c r="J1494" t="s">
        <v>69</v>
      </c>
      <c r="K1494" t="s">
        <v>2614</v>
      </c>
      <c r="L1494" t="s">
        <v>69</v>
      </c>
      <c r="M1494" t="s">
        <v>69</v>
      </c>
      <c r="N1494" t="s">
        <v>2615</v>
      </c>
      <c r="O1494" t="s">
        <v>881</v>
      </c>
      <c r="P1494" t="s">
        <v>69</v>
      </c>
      <c r="Q1494" t="s">
        <v>69</v>
      </c>
      <c r="R1494" t="s">
        <v>8505</v>
      </c>
      <c r="S1494" t="s">
        <v>8506</v>
      </c>
      <c r="T1494" t="s">
        <v>69</v>
      </c>
      <c r="U1494" t="s">
        <v>69</v>
      </c>
      <c r="V1494" t="s">
        <v>69</v>
      </c>
      <c r="W1494" t="s">
        <v>69</v>
      </c>
      <c r="X1494" t="s">
        <v>69</v>
      </c>
      <c r="Y1494" t="s">
        <v>20401</v>
      </c>
      <c r="Z1494" t="s">
        <v>20402</v>
      </c>
      <c r="AA1494" t="s">
        <v>2616</v>
      </c>
      <c r="AB1494" t="s">
        <v>20403</v>
      </c>
      <c r="AC1494" t="s">
        <v>69</v>
      </c>
      <c r="AD1494" t="s">
        <v>20404</v>
      </c>
      <c r="AE1494" t="s">
        <v>20405</v>
      </c>
      <c r="AF1494" t="s">
        <v>2617</v>
      </c>
      <c r="AG1494" t="s">
        <v>2618</v>
      </c>
      <c r="AH1494" t="s">
        <v>20406</v>
      </c>
      <c r="AI1494" t="s">
        <v>20407</v>
      </c>
      <c r="AJ1494" t="s">
        <v>20408</v>
      </c>
      <c r="AK1494" t="s">
        <v>69</v>
      </c>
      <c r="AL1494">
        <v>85</v>
      </c>
      <c r="AM1494">
        <v>65</v>
      </c>
      <c r="AN1494">
        <v>65</v>
      </c>
      <c r="AO1494">
        <v>2</v>
      </c>
      <c r="AP1494">
        <v>62</v>
      </c>
      <c r="AQ1494" t="s">
        <v>8516</v>
      </c>
      <c r="AR1494" t="s">
        <v>8517</v>
      </c>
      <c r="AS1494" t="s">
        <v>8518</v>
      </c>
      <c r="AT1494" t="s">
        <v>883</v>
      </c>
      <c r="AU1494" t="s">
        <v>884</v>
      </c>
      <c r="AV1494" t="s">
        <v>69</v>
      </c>
      <c r="AW1494" t="s">
        <v>12415</v>
      </c>
      <c r="AX1494" t="s">
        <v>12416</v>
      </c>
      <c r="AY1494" t="s">
        <v>586</v>
      </c>
      <c r="AZ1494">
        <v>2017</v>
      </c>
      <c r="BA1494">
        <v>120</v>
      </c>
      <c r="BB1494" t="s">
        <v>69</v>
      </c>
      <c r="BC1494" t="s">
        <v>69</v>
      </c>
      <c r="BD1494" t="s">
        <v>69</v>
      </c>
      <c r="BE1494" t="s">
        <v>69</v>
      </c>
      <c r="BF1494" t="s">
        <v>69</v>
      </c>
      <c r="BG1494">
        <v>219</v>
      </c>
      <c r="BH1494">
        <v>229</v>
      </c>
      <c r="BI1494" t="s">
        <v>69</v>
      </c>
      <c r="BJ1494" t="s">
        <v>2619</v>
      </c>
      <c r="BK1494" t="str">
        <f>HYPERLINK("http://dx.doi.org/10.1016/j.resconrec.2016.12.014","http://dx.doi.org/10.1016/j.resconrec.2016.12.014")</f>
        <v>http://dx.doi.org/10.1016/j.resconrec.2016.12.014</v>
      </c>
      <c r="BL1494" t="s">
        <v>69</v>
      </c>
      <c r="BM1494" t="s">
        <v>69</v>
      </c>
      <c r="BN1494">
        <v>11</v>
      </c>
      <c r="BO1494" t="s">
        <v>8743</v>
      </c>
      <c r="BP1494" t="s">
        <v>8548</v>
      </c>
      <c r="BQ1494" t="s">
        <v>8744</v>
      </c>
      <c r="BR1494" t="s">
        <v>20409</v>
      </c>
      <c r="BS1494" t="s">
        <v>2620</v>
      </c>
      <c r="BT1494" t="s">
        <v>69</v>
      </c>
      <c r="BU1494" t="s">
        <v>69</v>
      </c>
      <c r="BV1494" t="s">
        <v>69</v>
      </c>
      <c r="BW1494" t="s">
        <v>69</v>
      </c>
      <c r="BX1494" t="s">
        <v>8526</v>
      </c>
      <c r="BY1494" t="str">
        <f>HYPERLINK("https%3A%2F%2Fwww.webofscience.com%2Fwos%2Fwoscc%2Ffull-record%2FWOS:000395616300020","View Full Record in Web of Science")</f>
        <v>View Full Record in Web of Science</v>
      </c>
    </row>
    <row r="1495" spans="1:77" x14ac:dyDescent="0.3">
      <c r="A1495" t="s">
        <v>8495</v>
      </c>
      <c r="B1495" s="9" t="s">
        <v>32954</v>
      </c>
      <c r="C1495" s="9" t="s">
        <v>33116</v>
      </c>
      <c r="D1495" s="9" t="s">
        <v>8491</v>
      </c>
      <c r="E1495" s="9" t="s">
        <v>8491</v>
      </c>
      <c r="F1495" t="s">
        <v>67</v>
      </c>
      <c r="G1495" t="s">
        <v>22685</v>
      </c>
      <c r="H1495" t="s">
        <v>69</v>
      </c>
      <c r="I1495" t="s">
        <v>69</v>
      </c>
      <c r="J1495" t="s">
        <v>69</v>
      </c>
      <c r="K1495" t="s">
        <v>22686</v>
      </c>
      <c r="L1495" t="s">
        <v>69</v>
      </c>
      <c r="M1495" t="s">
        <v>69</v>
      </c>
      <c r="N1495" t="s">
        <v>22687</v>
      </c>
      <c r="O1495" t="s">
        <v>22688</v>
      </c>
      <c r="P1495" t="s">
        <v>69</v>
      </c>
      <c r="Q1495" t="s">
        <v>69</v>
      </c>
      <c r="R1495" t="s">
        <v>12534</v>
      </c>
      <c r="S1495" t="s">
        <v>8506</v>
      </c>
      <c r="T1495" t="s">
        <v>69</v>
      </c>
      <c r="U1495" t="s">
        <v>69</v>
      </c>
      <c r="V1495" t="s">
        <v>69</v>
      </c>
      <c r="W1495" t="s">
        <v>69</v>
      </c>
      <c r="X1495" t="s">
        <v>69</v>
      </c>
      <c r="Y1495" t="s">
        <v>22689</v>
      </c>
      <c r="Z1495" t="s">
        <v>69</v>
      </c>
      <c r="AA1495" t="s">
        <v>22690</v>
      </c>
      <c r="AB1495" t="s">
        <v>22691</v>
      </c>
      <c r="AC1495" t="s">
        <v>69</v>
      </c>
      <c r="AD1495" t="s">
        <v>22692</v>
      </c>
      <c r="AE1495" t="s">
        <v>22693</v>
      </c>
      <c r="AF1495" t="s">
        <v>69</v>
      </c>
      <c r="AG1495" t="s">
        <v>69</v>
      </c>
      <c r="AH1495" t="s">
        <v>69</v>
      </c>
      <c r="AI1495" t="s">
        <v>69</v>
      </c>
      <c r="AJ1495" t="s">
        <v>69</v>
      </c>
      <c r="AK1495" t="s">
        <v>69</v>
      </c>
      <c r="AL1495">
        <v>5</v>
      </c>
      <c r="AM1495">
        <v>0</v>
      </c>
      <c r="AN1495">
        <v>0</v>
      </c>
      <c r="AO1495">
        <v>3</v>
      </c>
      <c r="AP1495">
        <v>12</v>
      </c>
      <c r="AQ1495" t="s">
        <v>22694</v>
      </c>
      <c r="AR1495" t="s">
        <v>22695</v>
      </c>
      <c r="AS1495" t="s">
        <v>22696</v>
      </c>
      <c r="AT1495" t="s">
        <v>22697</v>
      </c>
      <c r="AU1495" t="s">
        <v>22698</v>
      </c>
      <c r="AV1495" t="s">
        <v>69</v>
      </c>
      <c r="AW1495" t="s">
        <v>22699</v>
      </c>
      <c r="AX1495" t="s">
        <v>22700</v>
      </c>
      <c r="AY1495" t="s">
        <v>155</v>
      </c>
      <c r="AZ1495">
        <v>2015</v>
      </c>
      <c r="BA1495">
        <v>132</v>
      </c>
      <c r="BB1495">
        <v>3</v>
      </c>
      <c r="BC1495" t="s">
        <v>69</v>
      </c>
      <c r="BD1495" t="s">
        <v>69</v>
      </c>
      <c r="BE1495" t="s">
        <v>69</v>
      </c>
      <c r="BF1495" t="s">
        <v>69</v>
      </c>
      <c r="BG1495">
        <v>185</v>
      </c>
      <c r="BH1495">
        <v>188</v>
      </c>
      <c r="BI1495" t="s">
        <v>69</v>
      </c>
      <c r="BJ1495" t="s">
        <v>22701</v>
      </c>
      <c r="BK1495" t="str">
        <f>HYPERLINK("http://dx.doi.org/10.1007/s00502-015-0295-4","http://dx.doi.org/10.1007/s00502-015-0295-4")</f>
        <v>http://dx.doi.org/10.1007/s00502-015-0295-4</v>
      </c>
      <c r="BL1495" t="s">
        <v>69</v>
      </c>
      <c r="BM1495" t="s">
        <v>69</v>
      </c>
      <c r="BN1495">
        <v>4</v>
      </c>
      <c r="BO1495" t="s">
        <v>22702</v>
      </c>
      <c r="BP1495" t="s">
        <v>8573</v>
      </c>
      <c r="BQ1495" t="s">
        <v>8445</v>
      </c>
      <c r="BR1495" t="s">
        <v>22703</v>
      </c>
      <c r="BS1495" t="s">
        <v>22704</v>
      </c>
      <c r="BT1495" t="s">
        <v>69</v>
      </c>
      <c r="BU1495" t="s">
        <v>69</v>
      </c>
      <c r="BV1495" t="s">
        <v>69</v>
      </c>
      <c r="BW1495" t="s">
        <v>69</v>
      </c>
      <c r="BX1495" t="s">
        <v>8526</v>
      </c>
      <c r="BY1495" t="str">
        <f>HYPERLINK("https%3A%2F%2Fwww.webofscience.com%2Fwos%2Fwoscc%2Ffull-record%2FWOS:000356800600011","View Full Record in Web of Science")</f>
        <v>View Full Record in Web of Science</v>
      </c>
    </row>
    <row r="1496" spans="1:77" ht="12.5" x14ac:dyDescent="0.25">
      <c r="A1496" t="s">
        <v>8495</v>
      </c>
      <c r="B1496" s="7" t="s">
        <v>32933</v>
      </c>
      <c r="C1496" s="7"/>
      <c r="D1496" s="7"/>
      <c r="E1496" s="7"/>
      <c r="F1496" t="s">
        <v>67</v>
      </c>
      <c r="G1496" t="s">
        <v>2917</v>
      </c>
      <c r="H1496" t="s">
        <v>69</v>
      </c>
      <c r="I1496" t="s">
        <v>69</v>
      </c>
      <c r="J1496" t="s">
        <v>69</v>
      </c>
      <c r="K1496" t="s">
        <v>2918</v>
      </c>
      <c r="L1496" t="s">
        <v>69</v>
      </c>
      <c r="M1496" t="s">
        <v>69</v>
      </c>
      <c r="N1496" t="s">
        <v>2919</v>
      </c>
      <c r="O1496" t="s">
        <v>2920</v>
      </c>
      <c r="P1496" t="s">
        <v>69</v>
      </c>
      <c r="Q1496" t="s">
        <v>69</v>
      </c>
      <c r="R1496" t="s">
        <v>8505</v>
      </c>
      <c r="S1496" t="s">
        <v>8506</v>
      </c>
      <c r="T1496" t="s">
        <v>69</v>
      </c>
      <c r="U1496" t="s">
        <v>69</v>
      </c>
      <c r="V1496" t="s">
        <v>69</v>
      </c>
      <c r="W1496" t="s">
        <v>69</v>
      </c>
      <c r="X1496" t="s">
        <v>69</v>
      </c>
      <c r="Y1496" t="s">
        <v>21962</v>
      </c>
      <c r="Z1496" t="s">
        <v>21963</v>
      </c>
      <c r="AA1496" t="s">
        <v>2921</v>
      </c>
      <c r="AB1496" t="s">
        <v>21964</v>
      </c>
      <c r="AC1496" t="s">
        <v>69</v>
      </c>
      <c r="AD1496" t="s">
        <v>21965</v>
      </c>
      <c r="AE1496" t="s">
        <v>21966</v>
      </c>
      <c r="AF1496" t="s">
        <v>69</v>
      </c>
      <c r="AG1496" t="s">
        <v>69</v>
      </c>
      <c r="AH1496" t="s">
        <v>69</v>
      </c>
      <c r="AI1496" t="s">
        <v>69</v>
      </c>
      <c r="AJ1496" t="s">
        <v>69</v>
      </c>
      <c r="AK1496" t="s">
        <v>69</v>
      </c>
      <c r="AL1496">
        <v>90</v>
      </c>
      <c r="AM1496">
        <v>2</v>
      </c>
      <c r="AN1496">
        <v>2</v>
      </c>
      <c r="AO1496">
        <v>0</v>
      </c>
      <c r="AP1496">
        <v>8</v>
      </c>
      <c r="AQ1496" t="s">
        <v>8586</v>
      </c>
      <c r="AR1496" t="s">
        <v>8587</v>
      </c>
      <c r="AS1496" t="s">
        <v>8588</v>
      </c>
      <c r="AT1496" t="s">
        <v>2922</v>
      </c>
      <c r="AU1496" t="s">
        <v>2923</v>
      </c>
      <c r="AV1496" t="s">
        <v>69</v>
      </c>
      <c r="AW1496" t="s">
        <v>21967</v>
      </c>
      <c r="AX1496" t="s">
        <v>21968</v>
      </c>
      <c r="AY1496" t="s">
        <v>69</v>
      </c>
      <c r="AZ1496">
        <v>2016</v>
      </c>
      <c r="BA1496">
        <v>18</v>
      </c>
      <c r="BB1496">
        <v>2</v>
      </c>
      <c r="BC1496" t="s">
        <v>69</v>
      </c>
      <c r="BD1496" t="s">
        <v>69</v>
      </c>
      <c r="BE1496" t="s">
        <v>69</v>
      </c>
      <c r="BF1496" t="s">
        <v>69</v>
      </c>
      <c r="BG1496">
        <v>211</v>
      </c>
      <c r="BH1496">
        <v>231</v>
      </c>
      <c r="BI1496" t="s">
        <v>69</v>
      </c>
      <c r="BJ1496" t="s">
        <v>2924</v>
      </c>
      <c r="BK1496" t="str">
        <f>HYPERLINK("http://dx.doi.org/10.1108/JRME-07-2015-0037","http://dx.doi.org/10.1108/JRME-07-2015-0037")</f>
        <v>http://dx.doi.org/10.1108/JRME-07-2015-0037</v>
      </c>
      <c r="BL1496" t="s">
        <v>69</v>
      </c>
      <c r="BM1496" t="s">
        <v>69</v>
      </c>
      <c r="BN1496">
        <v>21</v>
      </c>
      <c r="BO1496" t="s">
        <v>8444</v>
      </c>
      <c r="BP1496" t="s">
        <v>8573</v>
      </c>
      <c r="BQ1496" t="s">
        <v>8594</v>
      </c>
      <c r="BR1496" t="s">
        <v>21969</v>
      </c>
      <c r="BS1496" t="s">
        <v>2925</v>
      </c>
      <c r="BT1496" t="s">
        <v>69</v>
      </c>
      <c r="BU1496" t="s">
        <v>9292</v>
      </c>
      <c r="BV1496" t="s">
        <v>69</v>
      </c>
      <c r="BW1496" t="s">
        <v>69</v>
      </c>
      <c r="BX1496" t="s">
        <v>8526</v>
      </c>
      <c r="BY1496" t="str">
        <f>HYPERLINK("https%3A%2F%2Fwww.webofscience.com%2Fwos%2Fwoscc%2Ffull-record%2FWOS:000392185100004","View Full Record in Web of Science")</f>
        <v>View Full Record in Web of Science</v>
      </c>
    </row>
    <row r="1497" spans="1:77" ht="12.5" x14ac:dyDescent="0.25">
      <c r="A1497" t="s">
        <v>8495</v>
      </c>
      <c r="B1497" s="22" t="s">
        <v>32931</v>
      </c>
      <c r="C1497" s="7"/>
      <c r="D1497" s="7"/>
      <c r="E1497" s="7"/>
      <c r="F1497" t="s">
        <v>67</v>
      </c>
      <c r="G1497" t="s">
        <v>24803</v>
      </c>
      <c r="H1497" t="s">
        <v>69</v>
      </c>
      <c r="I1497" t="s">
        <v>69</v>
      </c>
      <c r="J1497" t="s">
        <v>69</v>
      </c>
      <c r="K1497" t="s">
        <v>24804</v>
      </c>
      <c r="L1497" t="s">
        <v>69</v>
      </c>
      <c r="M1497" t="s">
        <v>69</v>
      </c>
      <c r="N1497" t="s">
        <v>24805</v>
      </c>
      <c r="O1497" t="s">
        <v>24806</v>
      </c>
      <c r="P1497" t="s">
        <v>69</v>
      </c>
      <c r="Q1497" t="s">
        <v>69</v>
      </c>
      <c r="R1497" t="s">
        <v>8505</v>
      </c>
      <c r="S1497" t="s">
        <v>8506</v>
      </c>
      <c r="T1497" t="s">
        <v>69</v>
      </c>
      <c r="U1497" t="s">
        <v>69</v>
      </c>
      <c r="V1497" t="s">
        <v>69</v>
      </c>
      <c r="W1497" t="s">
        <v>69</v>
      </c>
      <c r="X1497" t="s">
        <v>69</v>
      </c>
      <c r="Y1497" t="s">
        <v>69</v>
      </c>
      <c r="Z1497" t="s">
        <v>24807</v>
      </c>
      <c r="AA1497" t="s">
        <v>24808</v>
      </c>
      <c r="AB1497" t="s">
        <v>24809</v>
      </c>
      <c r="AC1497" t="s">
        <v>69</v>
      </c>
      <c r="AD1497" t="s">
        <v>24810</v>
      </c>
      <c r="AE1497" t="s">
        <v>24811</v>
      </c>
      <c r="AF1497" t="s">
        <v>69</v>
      </c>
      <c r="AG1497" t="s">
        <v>69</v>
      </c>
      <c r="AH1497" t="s">
        <v>24812</v>
      </c>
      <c r="AI1497" t="s">
        <v>24813</v>
      </c>
      <c r="AJ1497" t="s">
        <v>24814</v>
      </c>
      <c r="AK1497" t="s">
        <v>69</v>
      </c>
      <c r="AL1497">
        <v>33</v>
      </c>
      <c r="AM1497">
        <v>8</v>
      </c>
      <c r="AN1497">
        <v>8</v>
      </c>
      <c r="AO1497">
        <v>0</v>
      </c>
      <c r="AP1497">
        <v>9</v>
      </c>
      <c r="AQ1497" t="s">
        <v>21242</v>
      </c>
      <c r="AR1497" t="s">
        <v>21243</v>
      </c>
      <c r="AS1497" t="s">
        <v>21244</v>
      </c>
      <c r="AT1497" t="s">
        <v>24815</v>
      </c>
      <c r="AU1497" t="s">
        <v>24816</v>
      </c>
      <c r="AV1497" t="s">
        <v>69</v>
      </c>
      <c r="AW1497" t="s">
        <v>24817</v>
      </c>
      <c r="AX1497" t="s">
        <v>24818</v>
      </c>
      <c r="AY1497" t="s">
        <v>84</v>
      </c>
      <c r="AZ1497">
        <v>2013</v>
      </c>
      <c r="BA1497">
        <v>6</v>
      </c>
      <c r="BB1497">
        <v>3</v>
      </c>
      <c r="BC1497" t="s">
        <v>69</v>
      </c>
      <c r="BD1497" t="s">
        <v>69</v>
      </c>
      <c r="BE1497" t="s">
        <v>69</v>
      </c>
      <c r="BF1497" t="s">
        <v>69</v>
      </c>
      <c r="BG1497">
        <v>161</v>
      </c>
      <c r="BH1497">
        <v>170</v>
      </c>
      <c r="BI1497" t="s">
        <v>69</v>
      </c>
      <c r="BJ1497" t="s">
        <v>24819</v>
      </c>
      <c r="BK1497" t="str">
        <f>HYPERLINK("http://dx.doi.org/10.3928/19404921-20130122-01","http://dx.doi.org/10.3928/19404921-20130122-01")</f>
        <v>http://dx.doi.org/10.3928/19404921-20130122-01</v>
      </c>
      <c r="BL1497" t="s">
        <v>69</v>
      </c>
      <c r="BM1497" t="s">
        <v>69</v>
      </c>
      <c r="BN1497">
        <v>10</v>
      </c>
      <c r="BO1497" t="s">
        <v>16902</v>
      </c>
      <c r="BP1497" t="s">
        <v>8523</v>
      </c>
      <c r="BQ1497" t="s">
        <v>16902</v>
      </c>
      <c r="BR1497" t="s">
        <v>24820</v>
      </c>
      <c r="BS1497" t="s">
        <v>24821</v>
      </c>
      <c r="BT1497">
        <v>23350535</v>
      </c>
      <c r="BU1497" t="s">
        <v>69</v>
      </c>
      <c r="BV1497" t="s">
        <v>69</v>
      </c>
      <c r="BW1497" t="s">
        <v>69</v>
      </c>
      <c r="BX1497" t="s">
        <v>8526</v>
      </c>
      <c r="BY1497" t="str">
        <f>HYPERLINK("https%3A%2F%2Fwww.webofscience.com%2Fwos%2Fwoscc%2Ffull-record%2FWOS:000328201900003","View Full Record in Web of Science")</f>
        <v>View Full Record in Web of Science</v>
      </c>
    </row>
    <row r="1498" spans="1:77" ht="12.5" x14ac:dyDescent="0.25">
      <c r="A1498" t="s">
        <v>8495</v>
      </c>
      <c r="B1498" s="7" t="s">
        <v>32933</v>
      </c>
      <c r="C1498" s="7"/>
      <c r="D1498" s="7"/>
      <c r="E1498" s="7"/>
      <c r="F1498" t="s">
        <v>67</v>
      </c>
      <c r="G1498" t="s">
        <v>734</v>
      </c>
      <c r="H1498" t="s">
        <v>69</v>
      </c>
      <c r="I1498" t="s">
        <v>69</v>
      </c>
      <c r="J1498" t="s">
        <v>69</v>
      </c>
      <c r="K1498" t="s">
        <v>735</v>
      </c>
      <c r="L1498" t="s">
        <v>69</v>
      </c>
      <c r="M1498" t="s">
        <v>69</v>
      </c>
      <c r="N1498" t="s">
        <v>736</v>
      </c>
      <c r="O1498" t="s">
        <v>632</v>
      </c>
      <c r="P1498" t="s">
        <v>69</v>
      </c>
      <c r="Q1498" t="s">
        <v>69</v>
      </c>
      <c r="R1498" t="s">
        <v>8505</v>
      </c>
      <c r="S1498" t="s">
        <v>8506</v>
      </c>
      <c r="T1498" t="s">
        <v>69</v>
      </c>
      <c r="U1498" t="s">
        <v>69</v>
      </c>
      <c r="V1498" t="s">
        <v>69</v>
      </c>
      <c r="W1498" t="s">
        <v>69</v>
      </c>
      <c r="X1498" t="s">
        <v>69</v>
      </c>
      <c r="Y1498" t="s">
        <v>15205</v>
      </c>
      <c r="Z1498" t="s">
        <v>15206</v>
      </c>
      <c r="AA1498" t="s">
        <v>737</v>
      </c>
      <c r="AB1498" t="s">
        <v>15207</v>
      </c>
      <c r="AC1498" t="s">
        <v>69</v>
      </c>
      <c r="AD1498" t="s">
        <v>15208</v>
      </c>
      <c r="AE1498" t="s">
        <v>15209</v>
      </c>
      <c r="AF1498" t="s">
        <v>738</v>
      </c>
      <c r="AG1498" t="s">
        <v>739</v>
      </c>
      <c r="AH1498" t="s">
        <v>69</v>
      </c>
      <c r="AI1498" t="s">
        <v>69</v>
      </c>
      <c r="AJ1498" t="s">
        <v>69</v>
      </c>
      <c r="AK1498" t="s">
        <v>69</v>
      </c>
      <c r="AL1498">
        <v>100</v>
      </c>
      <c r="AM1498">
        <v>72</v>
      </c>
      <c r="AN1498">
        <v>72</v>
      </c>
      <c r="AO1498">
        <v>24</v>
      </c>
      <c r="AP1498">
        <v>131</v>
      </c>
      <c r="AQ1498" t="s">
        <v>8516</v>
      </c>
      <c r="AR1498" t="s">
        <v>8517</v>
      </c>
      <c r="AS1498" t="s">
        <v>8518</v>
      </c>
      <c r="AT1498" t="s">
        <v>634</v>
      </c>
      <c r="AU1498" t="s">
        <v>635</v>
      </c>
      <c r="AV1498" t="s">
        <v>69</v>
      </c>
      <c r="AW1498" t="s">
        <v>8714</v>
      </c>
      <c r="AX1498" t="s">
        <v>8715</v>
      </c>
      <c r="AY1498" t="s">
        <v>740</v>
      </c>
      <c r="AZ1498">
        <v>2020</v>
      </c>
      <c r="BA1498">
        <v>716</v>
      </c>
      <c r="BB1498" t="s">
        <v>69</v>
      </c>
      <c r="BC1498" t="s">
        <v>69</v>
      </c>
      <c r="BD1498" t="s">
        <v>69</v>
      </c>
      <c r="BE1498" t="s">
        <v>69</v>
      </c>
      <c r="BF1498" t="s">
        <v>69</v>
      </c>
      <c r="BG1498" t="s">
        <v>69</v>
      </c>
      <c r="BH1498" t="s">
        <v>69</v>
      </c>
      <c r="BI1498">
        <v>137088</v>
      </c>
      <c r="BJ1498" t="s">
        <v>741</v>
      </c>
      <c r="BK1498" t="str">
        <f>HYPERLINK("http://dx.doi.org/10.1016/j.scitotenv.2020.137088","http://dx.doi.org/10.1016/j.scitotenv.2020.137088")</f>
        <v>http://dx.doi.org/10.1016/j.scitotenv.2020.137088</v>
      </c>
      <c r="BL1498" t="s">
        <v>69</v>
      </c>
      <c r="BM1498" t="s">
        <v>69</v>
      </c>
      <c r="BN1498">
        <v>13</v>
      </c>
      <c r="BO1498" t="s">
        <v>8717</v>
      </c>
      <c r="BP1498" t="s">
        <v>8523</v>
      </c>
      <c r="BQ1498" t="s">
        <v>8662</v>
      </c>
      <c r="BR1498" t="s">
        <v>15210</v>
      </c>
      <c r="BS1498" t="s">
        <v>742</v>
      </c>
      <c r="BT1498">
        <v>32059326</v>
      </c>
      <c r="BU1498" t="s">
        <v>69</v>
      </c>
      <c r="BV1498" t="s">
        <v>15211</v>
      </c>
      <c r="BW1498" t="s">
        <v>15212</v>
      </c>
      <c r="BX1498" t="s">
        <v>8526</v>
      </c>
      <c r="BY1498" t="str">
        <f>HYPERLINK("https%3A%2F%2Fwww.webofscience.com%2Fwos%2Fwoscc%2Ffull-record%2FWOS:000519987300132","View Full Record in Web of Science")</f>
        <v>View Full Record in Web of Science</v>
      </c>
    </row>
    <row r="1499" spans="1:77" ht="12.5" x14ac:dyDescent="0.25">
      <c r="A1499" t="s">
        <v>8495</v>
      </c>
      <c r="B1499" s="22" t="s">
        <v>32931</v>
      </c>
      <c r="C1499" s="7"/>
      <c r="D1499" s="7"/>
      <c r="E1499" s="7"/>
      <c r="F1499" t="s">
        <v>67</v>
      </c>
      <c r="G1499" t="s">
        <v>18168</v>
      </c>
      <c r="H1499" t="s">
        <v>69</v>
      </c>
      <c r="I1499" t="s">
        <v>69</v>
      </c>
      <c r="J1499" t="s">
        <v>69</v>
      </c>
      <c r="K1499" t="s">
        <v>18169</v>
      </c>
      <c r="L1499" t="s">
        <v>69</v>
      </c>
      <c r="M1499" t="s">
        <v>69</v>
      </c>
      <c r="N1499" t="s">
        <v>18170</v>
      </c>
      <c r="O1499" t="s">
        <v>18171</v>
      </c>
      <c r="P1499" t="s">
        <v>69</v>
      </c>
      <c r="Q1499" t="s">
        <v>69</v>
      </c>
      <c r="R1499" t="s">
        <v>8505</v>
      </c>
      <c r="S1499" t="s">
        <v>8506</v>
      </c>
      <c r="T1499" t="s">
        <v>69</v>
      </c>
      <c r="U1499" t="s">
        <v>69</v>
      </c>
      <c r="V1499" t="s">
        <v>69</v>
      </c>
      <c r="W1499" t="s">
        <v>69</v>
      </c>
      <c r="X1499" t="s">
        <v>69</v>
      </c>
      <c r="Y1499" t="s">
        <v>18172</v>
      </c>
      <c r="Z1499" t="s">
        <v>69</v>
      </c>
      <c r="AA1499" t="s">
        <v>18173</v>
      </c>
      <c r="AB1499" t="s">
        <v>18174</v>
      </c>
      <c r="AC1499" t="s">
        <v>69</v>
      </c>
      <c r="AD1499" t="s">
        <v>18175</v>
      </c>
      <c r="AE1499" t="s">
        <v>18176</v>
      </c>
      <c r="AF1499" t="s">
        <v>18177</v>
      </c>
      <c r="AG1499" t="s">
        <v>18178</v>
      </c>
      <c r="AH1499" t="s">
        <v>18179</v>
      </c>
      <c r="AI1499" t="s">
        <v>18180</v>
      </c>
      <c r="AJ1499" t="s">
        <v>18181</v>
      </c>
      <c r="AK1499" t="s">
        <v>69</v>
      </c>
      <c r="AL1499">
        <v>20</v>
      </c>
      <c r="AM1499">
        <v>18</v>
      </c>
      <c r="AN1499">
        <v>18</v>
      </c>
      <c r="AO1499">
        <v>2</v>
      </c>
      <c r="AP1499">
        <v>40</v>
      </c>
      <c r="AQ1499" t="s">
        <v>8734</v>
      </c>
      <c r="AR1499" t="s">
        <v>8735</v>
      </c>
      <c r="AS1499" t="s">
        <v>8736</v>
      </c>
      <c r="AT1499" t="s">
        <v>18182</v>
      </c>
      <c r="AU1499" t="s">
        <v>18183</v>
      </c>
      <c r="AV1499" t="s">
        <v>69</v>
      </c>
      <c r="AW1499" t="s">
        <v>18184</v>
      </c>
      <c r="AX1499" t="s">
        <v>18185</v>
      </c>
      <c r="AY1499" t="s">
        <v>274</v>
      </c>
      <c r="AZ1499">
        <v>2018</v>
      </c>
      <c r="BA1499">
        <v>95</v>
      </c>
      <c r="BB1499">
        <v>11</v>
      </c>
      <c r="BC1499" t="s">
        <v>69</v>
      </c>
      <c r="BD1499" t="s">
        <v>69</v>
      </c>
      <c r="BE1499" t="s">
        <v>69</v>
      </c>
      <c r="BF1499" t="s">
        <v>69</v>
      </c>
      <c r="BG1499">
        <v>1939</v>
      </c>
      <c r="BH1499">
        <v>1946</v>
      </c>
      <c r="BI1499" t="s">
        <v>69</v>
      </c>
      <c r="BJ1499" t="s">
        <v>18186</v>
      </c>
      <c r="BK1499" t="str">
        <f>HYPERLINK("http://dx.doi.org/10.1021/acs.jchemed.8b00188","http://dx.doi.org/10.1021/acs.jchemed.8b00188")</f>
        <v>http://dx.doi.org/10.1021/acs.jchemed.8b00188</v>
      </c>
      <c r="BL1499" t="s">
        <v>69</v>
      </c>
      <c r="BM1499" t="s">
        <v>69</v>
      </c>
      <c r="BN1499">
        <v>8</v>
      </c>
      <c r="BO1499" t="s">
        <v>18187</v>
      </c>
      <c r="BP1499" t="s">
        <v>8523</v>
      </c>
      <c r="BQ1499" t="s">
        <v>18188</v>
      </c>
      <c r="BR1499" t="s">
        <v>18189</v>
      </c>
      <c r="BS1499" t="s">
        <v>18190</v>
      </c>
      <c r="BT1499" t="s">
        <v>69</v>
      </c>
      <c r="BU1499" t="s">
        <v>69</v>
      </c>
      <c r="BV1499" t="s">
        <v>69</v>
      </c>
      <c r="BW1499" t="s">
        <v>69</v>
      </c>
      <c r="BX1499" t="s">
        <v>8526</v>
      </c>
      <c r="BY1499" t="str">
        <f>HYPERLINK("https%3A%2F%2Fwww.webofscience.com%2Fwos%2Fwoscc%2Ffull-record%2FWOS:000451246800005","View Full Record in Web of Science")</f>
        <v>View Full Record in Web of Science</v>
      </c>
    </row>
    <row r="1500" spans="1:77" ht="12.5" x14ac:dyDescent="0.25">
      <c r="A1500" t="s">
        <v>8495</v>
      </c>
      <c r="B1500" s="7" t="s">
        <v>32933</v>
      </c>
      <c r="C1500" s="7"/>
      <c r="D1500" s="7"/>
      <c r="E1500" s="7"/>
      <c r="F1500" t="s">
        <v>67</v>
      </c>
      <c r="G1500" t="s">
        <v>2769</v>
      </c>
      <c r="H1500" t="s">
        <v>69</v>
      </c>
      <c r="I1500" t="s">
        <v>69</v>
      </c>
      <c r="J1500" t="s">
        <v>69</v>
      </c>
      <c r="K1500" t="s">
        <v>2770</v>
      </c>
      <c r="L1500" t="s">
        <v>69</v>
      </c>
      <c r="M1500" t="s">
        <v>69</v>
      </c>
      <c r="N1500" t="s">
        <v>2771</v>
      </c>
      <c r="O1500" t="s">
        <v>1602</v>
      </c>
      <c r="P1500" t="s">
        <v>69</v>
      </c>
      <c r="Q1500" t="s">
        <v>69</v>
      </c>
      <c r="R1500" t="s">
        <v>8505</v>
      </c>
      <c r="S1500" t="s">
        <v>8506</v>
      </c>
      <c r="T1500" t="s">
        <v>69</v>
      </c>
      <c r="U1500" t="s">
        <v>69</v>
      </c>
      <c r="V1500" t="s">
        <v>69</v>
      </c>
      <c r="W1500" t="s">
        <v>69</v>
      </c>
      <c r="X1500" t="s">
        <v>69</v>
      </c>
      <c r="Y1500" t="s">
        <v>21178</v>
      </c>
      <c r="Z1500" t="s">
        <v>21179</v>
      </c>
      <c r="AA1500" t="s">
        <v>2772</v>
      </c>
      <c r="AB1500" t="s">
        <v>21180</v>
      </c>
      <c r="AC1500" t="s">
        <v>69</v>
      </c>
      <c r="AD1500" t="s">
        <v>21181</v>
      </c>
      <c r="AE1500" t="s">
        <v>21182</v>
      </c>
      <c r="AF1500" t="s">
        <v>69</v>
      </c>
      <c r="AG1500" t="s">
        <v>69</v>
      </c>
      <c r="AH1500" t="s">
        <v>21183</v>
      </c>
      <c r="AI1500" t="s">
        <v>21183</v>
      </c>
      <c r="AJ1500" t="s">
        <v>21184</v>
      </c>
      <c r="AK1500" t="s">
        <v>69</v>
      </c>
      <c r="AL1500">
        <v>53</v>
      </c>
      <c r="AM1500">
        <v>11</v>
      </c>
      <c r="AN1500">
        <v>11</v>
      </c>
      <c r="AO1500">
        <v>2</v>
      </c>
      <c r="AP1500">
        <v>15</v>
      </c>
      <c r="AQ1500" t="s">
        <v>8762</v>
      </c>
      <c r="AR1500" t="s">
        <v>8763</v>
      </c>
      <c r="AS1500" t="s">
        <v>8764</v>
      </c>
      <c r="AT1500" t="s">
        <v>1604</v>
      </c>
      <c r="AU1500" t="s">
        <v>2269</v>
      </c>
      <c r="AV1500" t="s">
        <v>69</v>
      </c>
      <c r="AW1500" t="s">
        <v>15091</v>
      </c>
      <c r="AX1500" t="s">
        <v>15092</v>
      </c>
      <c r="AY1500" t="s">
        <v>75</v>
      </c>
      <c r="AZ1500">
        <v>2016</v>
      </c>
      <c r="BA1500">
        <v>53</v>
      </c>
      <c r="BB1500">
        <v>16</v>
      </c>
      <c r="BC1500" t="s">
        <v>69</v>
      </c>
      <c r="BD1500" t="s">
        <v>69</v>
      </c>
      <c r="BE1500" t="s">
        <v>69</v>
      </c>
      <c r="BF1500" t="s">
        <v>69</v>
      </c>
      <c r="BG1500">
        <v>3423</v>
      </c>
      <c r="BH1500">
        <v>3438</v>
      </c>
      <c r="BI1500" t="s">
        <v>69</v>
      </c>
      <c r="BJ1500" t="s">
        <v>2773</v>
      </c>
      <c r="BK1500" t="str">
        <f>HYPERLINK("http://dx.doi.org/10.1177/0042098015613206","http://dx.doi.org/10.1177/0042098015613206")</f>
        <v>http://dx.doi.org/10.1177/0042098015613206</v>
      </c>
      <c r="BL1500" t="s">
        <v>69</v>
      </c>
      <c r="BM1500" t="s">
        <v>69</v>
      </c>
      <c r="BN1500">
        <v>16</v>
      </c>
      <c r="BO1500" t="s">
        <v>15093</v>
      </c>
      <c r="BP1500" t="s">
        <v>8661</v>
      </c>
      <c r="BQ1500" t="s">
        <v>15094</v>
      </c>
      <c r="BR1500" t="s">
        <v>21185</v>
      </c>
      <c r="BS1500" t="s">
        <v>2774</v>
      </c>
      <c r="BT1500" t="s">
        <v>69</v>
      </c>
      <c r="BU1500" t="s">
        <v>69</v>
      </c>
      <c r="BV1500" t="s">
        <v>69</v>
      </c>
      <c r="BW1500" t="s">
        <v>69</v>
      </c>
      <c r="BX1500" t="s">
        <v>8526</v>
      </c>
      <c r="BY1500" t="str">
        <f>HYPERLINK("https%3A%2F%2Fwww.webofscience.com%2Fwos%2Fwoscc%2Ffull-record%2FWOS:000387499700004","View Full Record in Web of Science")</f>
        <v>View Full Record in Web of Science</v>
      </c>
    </row>
    <row r="1501" spans="1:77" ht="12.5" x14ac:dyDescent="0.25">
      <c r="A1501" t="s">
        <v>8495</v>
      </c>
      <c r="B1501" s="22" t="s">
        <v>32931</v>
      </c>
      <c r="C1501" s="7"/>
      <c r="D1501" s="7"/>
      <c r="E1501" s="7"/>
      <c r="F1501" t="s">
        <v>67</v>
      </c>
      <c r="G1501" t="s">
        <v>12275</v>
      </c>
      <c r="H1501" t="s">
        <v>69</v>
      </c>
      <c r="I1501" t="s">
        <v>69</v>
      </c>
      <c r="J1501" t="s">
        <v>69</v>
      </c>
      <c r="K1501" t="s">
        <v>12276</v>
      </c>
      <c r="L1501" t="s">
        <v>69</v>
      </c>
      <c r="M1501" t="s">
        <v>69</v>
      </c>
      <c r="N1501" t="s">
        <v>12277</v>
      </c>
      <c r="O1501" t="s">
        <v>12278</v>
      </c>
      <c r="P1501" t="s">
        <v>69</v>
      </c>
      <c r="Q1501" t="s">
        <v>69</v>
      </c>
      <c r="R1501" t="s">
        <v>8505</v>
      </c>
      <c r="S1501" t="s">
        <v>8506</v>
      </c>
      <c r="T1501" t="s">
        <v>69</v>
      </c>
      <c r="U1501" t="s">
        <v>69</v>
      </c>
      <c r="V1501" t="s">
        <v>69</v>
      </c>
      <c r="W1501" t="s">
        <v>69</v>
      </c>
      <c r="X1501" t="s">
        <v>69</v>
      </c>
      <c r="Y1501" t="s">
        <v>12279</v>
      </c>
      <c r="Z1501" t="s">
        <v>12280</v>
      </c>
      <c r="AA1501" t="s">
        <v>12281</v>
      </c>
      <c r="AB1501" t="s">
        <v>12282</v>
      </c>
      <c r="AC1501" t="s">
        <v>69</v>
      </c>
      <c r="AD1501" t="s">
        <v>12283</v>
      </c>
      <c r="AE1501" t="s">
        <v>12284</v>
      </c>
      <c r="AF1501" t="s">
        <v>12285</v>
      </c>
      <c r="AG1501" t="s">
        <v>12286</v>
      </c>
      <c r="AH1501" t="s">
        <v>69</v>
      </c>
      <c r="AI1501" t="s">
        <v>69</v>
      </c>
      <c r="AJ1501" t="s">
        <v>69</v>
      </c>
      <c r="AK1501" t="s">
        <v>69</v>
      </c>
      <c r="AL1501">
        <v>31</v>
      </c>
      <c r="AM1501">
        <v>0</v>
      </c>
      <c r="AN1501">
        <v>0</v>
      </c>
      <c r="AO1501">
        <v>2</v>
      </c>
      <c r="AP1501">
        <v>13</v>
      </c>
      <c r="AQ1501" t="s">
        <v>12287</v>
      </c>
      <c r="AR1501" t="s">
        <v>12288</v>
      </c>
      <c r="AS1501" t="s">
        <v>12289</v>
      </c>
      <c r="AT1501" t="s">
        <v>12290</v>
      </c>
      <c r="AU1501" t="s">
        <v>12291</v>
      </c>
      <c r="AV1501" t="s">
        <v>69</v>
      </c>
      <c r="AW1501" t="s">
        <v>12292</v>
      </c>
      <c r="AX1501" t="s">
        <v>12293</v>
      </c>
      <c r="AY1501" t="s">
        <v>586</v>
      </c>
      <c r="AZ1501">
        <v>2021</v>
      </c>
      <c r="BA1501">
        <v>9</v>
      </c>
      <c r="BB1501" t="s">
        <v>69</v>
      </c>
      <c r="BC1501" t="s">
        <v>69</v>
      </c>
      <c r="BD1501" t="s">
        <v>69</v>
      </c>
      <c r="BE1501" t="s">
        <v>114</v>
      </c>
      <c r="BF1501" t="s">
        <v>69</v>
      </c>
      <c r="BG1501" t="s">
        <v>69</v>
      </c>
      <c r="BH1501" t="s">
        <v>69</v>
      </c>
      <c r="BI1501" t="s">
        <v>12294</v>
      </c>
      <c r="BJ1501" t="s">
        <v>12295</v>
      </c>
      <c r="BK1501" t="str">
        <f>HYPERLINK("http://dx.doi.org/10.20511/pyr2021.v9nSPE3.1135","http://dx.doi.org/10.20511/pyr2021.v9nSPE3.1135")</f>
        <v>http://dx.doi.org/10.20511/pyr2021.v9nSPE3.1135</v>
      </c>
      <c r="BL1501" t="s">
        <v>69</v>
      </c>
      <c r="BM1501" t="s">
        <v>69</v>
      </c>
      <c r="BN1501">
        <v>8</v>
      </c>
      <c r="BO1501" t="s">
        <v>11114</v>
      </c>
      <c r="BP1501" t="s">
        <v>8573</v>
      </c>
      <c r="BQ1501" t="s">
        <v>9001</v>
      </c>
      <c r="BR1501" t="s">
        <v>12296</v>
      </c>
      <c r="BS1501" t="s">
        <v>12298</v>
      </c>
      <c r="BT1501" t="s">
        <v>69</v>
      </c>
      <c r="BU1501" t="s">
        <v>12297</v>
      </c>
      <c r="BV1501" t="s">
        <v>69</v>
      </c>
      <c r="BW1501" t="s">
        <v>69</v>
      </c>
      <c r="BX1501" t="s">
        <v>8526</v>
      </c>
      <c r="BY1501" t="str">
        <f>HYPERLINK("https%3A%2F%2Fwww.webofscience.com%2Fwos%2Fwoscc%2Ffull-record%2FWOS:000631706900012","View Full Record in Web of Science")</f>
        <v>View Full Record in Web of Science</v>
      </c>
    </row>
    <row r="1502" spans="1:77" ht="12.5" x14ac:dyDescent="0.25">
      <c r="A1502" t="s">
        <v>8495</v>
      </c>
      <c r="B1502" s="22" t="s">
        <v>32931</v>
      </c>
      <c r="C1502" s="7"/>
      <c r="D1502" s="7"/>
      <c r="E1502" s="7"/>
      <c r="F1502" t="s">
        <v>67</v>
      </c>
      <c r="G1502" t="s">
        <v>29194</v>
      </c>
      <c r="H1502" t="s">
        <v>69</v>
      </c>
      <c r="I1502" t="s">
        <v>69</v>
      </c>
      <c r="J1502" t="s">
        <v>69</v>
      </c>
      <c r="K1502" t="s">
        <v>29195</v>
      </c>
      <c r="L1502" t="s">
        <v>69</v>
      </c>
      <c r="M1502" t="s">
        <v>69</v>
      </c>
      <c r="N1502" t="s">
        <v>29196</v>
      </c>
      <c r="O1502" t="s">
        <v>14732</v>
      </c>
      <c r="P1502" t="s">
        <v>69</v>
      </c>
      <c r="Q1502" t="s">
        <v>69</v>
      </c>
      <c r="R1502" t="s">
        <v>8505</v>
      </c>
      <c r="S1502" t="s">
        <v>8506</v>
      </c>
      <c r="T1502" t="s">
        <v>69</v>
      </c>
      <c r="U1502" t="s">
        <v>69</v>
      </c>
      <c r="V1502" t="s">
        <v>69</v>
      </c>
      <c r="W1502" t="s">
        <v>69</v>
      </c>
      <c r="X1502" t="s">
        <v>69</v>
      </c>
      <c r="Y1502" t="s">
        <v>29197</v>
      </c>
      <c r="Z1502" t="s">
        <v>29198</v>
      </c>
      <c r="AA1502" t="s">
        <v>29199</v>
      </c>
      <c r="AB1502" t="s">
        <v>29200</v>
      </c>
      <c r="AC1502" t="s">
        <v>69</v>
      </c>
      <c r="AD1502" t="s">
        <v>29201</v>
      </c>
      <c r="AE1502" t="s">
        <v>29202</v>
      </c>
      <c r="AF1502" t="s">
        <v>69</v>
      </c>
      <c r="AG1502" t="s">
        <v>69</v>
      </c>
      <c r="AH1502" t="s">
        <v>69</v>
      </c>
      <c r="AI1502" t="s">
        <v>69</v>
      </c>
      <c r="AJ1502" t="s">
        <v>69</v>
      </c>
      <c r="AK1502" t="s">
        <v>69</v>
      </c>
      <c r="AL1502">
        <v>34</v>
      </c>
      <c r="AM1502">
        <v>4</v>
      </c>
      <c r="AN1502">
        <v>5</v>
      </c>
      <c r="AO1502">
        <v>0</v>
      </c>
      <c r="AP1502">
        <v>4</v>
      </c>
      <c r="AQ1502" t="s">
        <v>8846</v>
      </c>
      <c r="AR1502" t="s">
        <v>8847</v>
      </c>
      <c r="AS1502" t="s">
        <v>8848</v>
      </c>
      <c r="AT1502" t="s">
        <v>14741</v>
      </c>
      <c r="AU1502" t="s">
        <v>14742</v>
      </c>
      <c r="AV1502" t="s">
        <v>69</v>
      </c>
      <c r="AW1502" t="s">
        <v>14743</v>
      </c>
      <c r="AX1502" t="s">
        <v>14744</v>
      </c>
      <c r="AY1502" t="s">
        <v>84</v>
      </c>
      <c r="AZ1502">
        <v>2008</v>
      </c>
      <c r="BA1502">
        <v>78</v>
      </c>
      <c r="BB1502">
        <v>7</v>
      </c>
      <c r="BC1502" t="s">
        <v>69</v>
      </c>
      <c r="BD1502" t="s">
        <v>69</v>
      </c>
      <c r="BE1502" t="s">
        <v>69</v>
      </c>
      <c r="BF1502" t="s">
        <v>69</v>
      </c>
      <c r="BG1502">
        <v>389</v>
      </c>
      <c r="BH1502">
        <v>396</v>
      </c>
      <c r="BI1502" t="s">
        <v>69</v>
      </c>
      <c r="BJ1502" t="s">
        <v>29203</v>
      </c>
      <c r="BK1502" t="str">
        <f>HYPERLINK("http://dx.doi.org/10.1111/j.1746-1561.2008.00319.x","http://dx.doi.org/10.1111/j.1746-1561.2008.00319.x")</f>
        <v>http://dx.doi.org/10.1111/j.1746-1561.2008.00319.x</v>
      </c>
      <c r="BL1502" t="s">
        <v>69</v>
      </c>
      <c r="BM1502" t="s">
        <v>69</v>
      </c>
      <c r="BN1502">
        <v>8</v>
      </c>
      <c r="BO1502" t="s">
        <v>14746</v>
      </c>
      <c r="BP1502" t="s">
        <v>8523</v>
      </c>
      <c r="BQ1502" t="s">
        <v>14747</v>
      </c>
      <c r="BR1502" t="s">
        <v>29204</v>
      </c>
      <c r="BS1502" t="s">
        <v>29205</v>
      </c>
      <c r="BT1502">
        <v>18611214</v>
      </c>
      <c r="BU1502" t="s">
        <v>69</v>
      </c>
      <c r="BV1502" t="s">
        <v>69</v>
      </c>
      <c r="BW1502" t="s">
        <v>69</v>
      </c>
      <c r="BX1502" t="s">
        <v>8526</v>
      </c>
      <c r="BY1502" t="str">
        <f>HYPERLINK("https%3A%2F%2Fwww.webofscience.com%2Fwos%2Fwoscc%2Ffull-record%2FWOS:000256971100005","View Full Record in Web of Science")</f>
        <v>View Full Record in Web of Science</v>
      </c>
    </row>
    <row r="1503" spans="1:77" ht="12.5" x14ac:dyDescent="0.25">
      <c r="A1503" t="s">
        <v>8495</v>
      </c>
      <c r="B1503" s="22" t="s">
        <v>32931</v>
      </c>
      <c r="C1503" s="7"/>
      <c r="D1503" s="7"/>
      <c r="E1503" s="7"/>
      <c r="F1503" t="s">
        <v>67</v>
      </c>
      <c r="G1503" t="s">
        <v>11350</v>
      </c>
      <c r="H1503" t="s">
        <v>69</v>
      </c>
      <c r="I1503" t="s">
        <v>69</v>
      </c>
      <c r="J1503" t="s">
        <v>69</v>
      </c>
      <c r="K1503" t="s">
        <v>11351</v>
      </c>
      <c r="L1503" t="s">
        <v>69</v>
      </c>
      <c r="M1503" t="s">
        <v>69</v>
      </c>
      <c r="N1503" t="s">
        <v>11352</v>
      </c>
      <c r="O1503" t="s">
        <v>11353</v>
      </c>
      <c r="P1503" t="s">
        <v>69</v>
      </c>
      <c r="Q1503" t="s">
        <v>69</v>
      </c>
      <c r="R1503" t="s">
        <v>8505</v>
      </c>
      <c r="S1503" t="s">
        <v>9035</v>
      </c>
      <c r="T1503" t="s">
        <v>69</v>
      </c>
      <c r="U1503" t="s">
        <v>69</v>
      </c>
      <c r="V1503" t="s">
        <v>69</v>
      </c>
      <c r="W1503" t="s">
        <v>69</v>
      </c>
      <c r="X1503" t="s">
        <v>69</v>
      </c>
      <c r="Y1503" t="s">
        <v>11354</v>
      </c>
      <c r="Z1503" t="s">
        <v>69</v>
      </c>
      <c r="AA1503" t="s">
        <v>11355</v>
      </c>
      <c r="AB1503" t="s">
        <v>11356</v>
      </c>
      <c r="AC1503" t="s">
        <v>69</v>
      </c>
      <c r="AD1503" t="s">
        <v>11357</v>
      </c>
      <c r="AE1503" t="s">
        <v>11358</v>
      </c>
      <c r="AF1503" t="s">
        <v>69</v>
      </c>
      <c r="AG1503" t="s">
        <v>11359</v>
      </c>
      <c r="AH1503" t="s">
        <v>69</v>
      </c>
      <c r="AI1503" t="s">
        <v>69</v>
      </c>
      <c r="AJ1503" t="s">
        <v>69</v>
      </c>
      <c r="AK1503" t="s">
        <v>69</v>
      </c>
      <c r="AL1503">
        <v>52</v>
      </c>
      <c r="AM1503">
        <v>1</v>
      </c>
      <c r="AN1503">
        <v>1</v>
      </c>
      <c r="AO1503">
        <v>24</v>
      </c>
      <c r="AP1503">
        <v>32</v>
      </c>
      <c r="AQ1503" t="s">
        <v>11360</v>
      </c>
      <c r="AR1503" t="s">
        <v>11361</v>
      </c>
      <c r="AS1503" t="s">
        <v>11362</v>
      </c>
      <c r="AT1503" t="s">
        <v>11363</v>
      </c>
      <c r="AU1503" t="s">
        <v>11364</v>
      </c>
      <c r="AV1503" t="s">
        <v>69</v>
      </c>
      <c r="AW1503" t="s">
        <v>11365</v>
      </c>
      <c r="AX1503" t="s">
        <v>11366</v>
      </c>
      <c r="AY1503" t="s">
        <v>69</v>
      </c>
      <c r="AZ1503" t="s">
        <v>69</v>
      </c>
      <c r="BA1503" t="s">
        <v>69</v>
      </c>
      <c r="BB1503" t="s">
        <v>69</v>
      </c>
      <c r="BC1503" t="s">
        <v>69</v>
      </c>
      <c r="BD1503" t="s">
        <v>69</v>
      </c>
      <c r="BE1503" t="s">
        <v>69</v>
      </c>
      <c r="BF1503" t="s">
        <v>69</v>
      </c>
      <c r="BG1503" t="s">
        <v>69</v>
      </c>
      <c r="BH1503" t="s">
        <v>69</v>
      </c>
      <c r="BI1503" t="s">
        <v>69</v>
      </c>
      <c r="BJ1503" t="s">
        <v>11367</v>
      </c>
      <c r="BK1503" t="str">
        <f>HYPERLINK("http://dx.doi.org/10.1515/reveh-2021-0092","http://dx.doi.org/10.1515/reveh-2021-0092")</f>
        <v>http://dx.doi.org/10.1515/reveh-2021-0092</v>
      </c>
      <c r="BL1503" t="s">
        <v>69</v>
      </c>
      <c r="BM1503" t="s">
        <v>11299</v>
      </c>
      <c r="BN1503">
        <v>8</v>
      </c>
      <c r="BO1503" t="s">
        <v>10595</v>
      </c>
      <c r="BP1503" t="s">
        <v>8548</v>
      </c>
      <c r="BQ1503" t="s">
        <v>10596</v>
      </c>
      <c r="BR1503" t="s">
        <v>11368</v>
      </c>
      <c r="BS1503" t="s">
        <v>11369</v>
      </c>
      <c r="BT1503">
        <v>34529904</v>
      </c>
      <c r="BU1503" t="s">
        <v>69</v>
      </c>
      <c r="BV1503" t="s">
        <v>69</v>
      </c>
      <c r="BW1503" t="s">
        <v>69</v>
      </c>
      <c r="BX1503" t="s">
        <v>8526</v>
      </c>
      <c r="BY1503" t="str">
        <f>HYPERLINK("https%3A%2F%2Fwww.webofscience.com%2Fwos%2Fwoscc%2Ffull-record%2FWOS:000739610900001","View Full Record in Web of Science")</f>
        <v>View Full Record in Web of Science</v>
      </c>
    </row>
    <row r="1504" spans="1:77" ht="12.5" x14ac:dyDescent="0.25">
      <c r="A1504" t="s">
        <v>8495</v>
      </c>
      <c r="B1504" s="22" t="s">
        <v>32931</v>
      </c>
      <c r="C1504" s="7"/>
      <c r="D1504" s="7"/>
      <c r="E1504" s="7"/>
      <c r="F1504" t="s">
        <v>67</v>
      </c>
      <c r="G1504" t="s">
        <v>31441</v>
      </c>
      <c r="H1504" t="s">
        <v>69</v>
      </c>
      <c r="I1504" t="s">
        <v>69</v>
      </c>
      <c r="J1504" t="s">
        <v>69</v>
      </c>
      <c r="K1504" t="s">
        <v>31441</v>
      </c>
      <c r="L1504" t="s">
        <v>69</v>
      </c>
      <c r="M1504" t="s">
        <v>69</v>
      </c>
      <c r="N1504" t="s">
        <v>31442</v>
      </c>
      <c r="O1504" t="s">
        <v>31443</v>
      </c>
      <c r="P1504" t="s">
        <v>69</v>
      </c>
      <c r="Q1504" t="s">
        <v>69</v>
      </c>
      <c r="R1504" t="s">
        <v>8505</v>
      </c>
      <c r="S1504" t="s">
        <v>8506</v>
      </c>
      <c r="T1504" t="s">
        <v>69</v>
      </c>
      <c r="U1504" t="s">
        <v>69</v>
      </c>
      <c r="V1504" t="s">
        <v>69</v>
      </c>
      <c r="W1504" t="s">
        <v>69</v>
      </c>
      <c r="X1504" t="s">
        <v>69</v>
      </c>
      <c r="Y1504" t="s">
        <v>69</v>
      </c>
      <c r="Z1504" t="s">
        <v>69</v>
      </c>
      <c r="AA1504" t="s">
        <v>31444</v>
      </c>
      <c r="AB1504" t="s">
        <v>69</v>
      </c>
      <c r="AC1504" t="s">
        <v>69</v>
      </c>
      <c r="AD1504" t="s">
        <v>69</v>
      </c>
      <c r="AE1504" t="s">
        <v>69</v>
      </c>
      <c r="AF1504" t="s">
        <v>69</v>
      </c>
      <c r="AG1504" t="s">
        <v>69</v>
      </c>
      <c r="AH1504" t="s">
        <v>69</v>
      </c>
      <c r="AI1504" t="s">
        <v>69</v>
      </c>
      <c r="AJ1504" t="s">
        <v>69</v>
      </c>
      <c r="AK1504" t="s">
        <v>69</v>
      </c>
      <c r="AL1504">
        <v>8</v>
      </c>
      <c r="AM1504">
        <v>0</v>
      </c>
      <c r="AN1504">
        <v>0</v>
      </c>
      <c r="AO1504">
        <v>0</v>
      </c>
      <c r="AP1504">
        <v>0</v>
      </c>
      <c r="AQ1504" t="s">
        <v>31445</v>
      </c>
      <c r="AR1504" t="s">
        <v>31446</v>
      </c>
      <c r="AS1504" t="s">
        <v>31447</v>
      </c>
      <c r="AT1504" t="s">
        <v>31448</v>
      </c>
      <c r="AU1504" t="s">
        <v>69</v>
      </c>
      <c r="AV1504" t="s">
        <v>69</v>
      </c>
      <c r="AW1504" t="s">
        <v>31449</v>
      </c>
      <c r="AX1504" t="s">
        <v>31450</v>
      </c>
      <c r="AY1504" t="s">
        <v>155</v>
      </c>
      <c r="AZ1504">
        <v>2002</v>
      </c>
      <c r="BA1504">
        <v>41</v>
      </c>
      <c r="BB1504">
        <v>3</v>
      </c>
      <c r="BC1504" t="s">
        <v>69</v>
      </c>
      <c r="BD1504" t="s">
        <v>69</v>
      </c>
      <c r="BE1504" t="s">
        <v>69</v>
      </c>
      <c r="BF1504" t="s">
        <v>69</v>
      </c>
      <c r="BG1504">
        <v>179</v>
      </c>
      <c r="BH1504">
        <v>186</v>
      </c>
      <c r="BI1504" t="s">
        <v>69</v>
      </c>
      <c r="BJ1504" t="s">
        <v>69</v>
      </c>
      <c r="BK1504" t="s">
        <v>69</v>
      </c>
      <c r="BL1504" t="s">
        <v>69</v>
      </c>
      <c r="BM1504" t="s">
        <v>69</v>
      </c>
      <c r="BN1504">
        <v>8</v>
      </c>
      <c r="BO1504" t="s">
        <v>12508</v>
      </c>
      <c r="BP1504" t="s">
        <v>8548</v>
      </c>
      <c r="BQ1504" t="s">
        <v>12508</v>
      </c>
      <c r="BR1504" t="s">
        <v>31451</v>
      </c>
      <c r="BS1504" t="s">
        <v>31452</v>
      </c>
      <c r="BT1504" t="s">
        <v>69</v>
      </c>
      <c r="BU1504" t="s">
        <v>69</v>
      </c>
      <c r="BV1504" t="s">
        <v>69</v>
      </c>
      <c r="BW1504" t="s">
        <v>69</v>
      </c>
      <c r="BX1504" t="s">
        <v>8526</v>
      </c>
      <c r="BY1504" t="str">
        <f>HYPERLINK("https%3A%2F%2Fwww.webofscience.com%2Fwos%2Fwoscc%2Ffull-record%2FWOS:000176765400011","View Full Record in Web of Science")</f>
        <v>View Full Record in Web of Science</v>
      </c>
    </row>
    <row r="1505" spans="1:77" ht="12.5" x14ac:dyDescent="0.25">
      <c r="A1505" t="s">
        <v>8495</v>
      </c>
      <c r="B1505" s="22" t="s">
        <v>32931</v>
      </c>
      <c r="C1505" s="7"/>
      <c r="D1505" s="7"/>
      <c r="E1505" s="7"/>
      <c r="F1505" t="s">
        <v>67</v>
      </c>
      <c r="G1505" t="s">
        <v>10767</v>
      </c>
      <c r="H1505" t="s">
        <v>69</v>
      </c>
      <c r="I1505" t="s">
        <v>69</v>
      </c>
      <c r="J1505" t="s">
        <v>69</v>
      </c>
      <c r="K1505" t="s">
        <v>10768</v>
      </c>
      <c r="L1505" t="s">
        <v>69</v>
      </c>
      <c r="M1505" t="s">
        <v>69</v>
      </c>
      <c r="N1505" t="s">
        <v>10769</v>
      </c>
      <c r="O1505" t="s">
        <v>2475</v>
      </c>
      <c r="P1505" t="s">
        <v>69</v>
      </c>
      <c r="Q1505" t="s">
        <v>69</v>
      </c>
      <c r="R1505" t="s">
        <v>8505</v>
      </c>
      <c r="S1505" t="s">
        <v>8556</v>
      </c>
      <c r="T1505" t="s">
        <v>69</v>
      </c>
      <c r="U1505" t="s">
        <v>69</v>
      </c>
      <c r="V1505" t="s">
        <v>69</v>
      </c>
      <c r="W1505" t="s">
        <v>69</v>
      </c>
      <c r="X1505" t="s">
        <v>69</v>
      </c>
      <c r="Y1505" t="s">
        <v>10770</v>
      </c>
      <c r="Z1505" t="s">
        <v>10771</v>
      </c>
      <c r="AA1505" t="s">
        <v>10772</v>
      </c>
      <c r="AB1505" t="s">
        <v>10773</v>
      </c>
      <c r="AC1505" t="s">
        <v>69</v>
      </c>
      <c r="AD1505" t="s">
        <v>10774</v>
      </c>
      <c r="AE1505" t="s">
        <v>10775</v>
      </c>
      <c r="AF1505" t="s">
        <v>69</v>
      </c>
      <c r="AG1505" t="s">
        <v>69</v>
      </c>
      <c r="AH1505" t="s">
        <v>69</v>
      </c>
      <c r="AI1505" t="s">
        <v>69</v>
      </c>
      <c r="AJ1505" t="s">
        <v>69</v>
      </c>
      <c r="AK1505" t="s">
        <v>69</v>
      </c>
      <c r="AL1505">
        <v>82</v>
      </c>
      <c r="AM1505">
        <v>1</v>
      </c>
      <c r="AN1505">
        <v>1</v>
      </c>
      <c r="AO1505">
        <v>3</v>
      </c>
      <c r="AP1505">
        <v>6</v>
      </c>
      <c r="AQ1505" t="s">
        <v>8586</v>
      </c>
      <c r="AR1505" t="s">
        <v>8587</v>
      </c>
      <c r="AS1505" t="s">
        <v>8588</v>
      </c>
      <c r="AT1505" t="s">
        <v>2479</v>
      </c>
      <c r="AU1505" t="s">
        <v>69</v>
      </c>
      <c r="AV1505" t="s">
        <v>69</v>
      </c>
      <c r="AW1505" t="s">
        <v>9888</v>
      </c>
      <c r="AX1505" t="s">
        <v>9889</v>
      </c>
      <c r="AY1505" t="s">
        <v>69</v>
      </c>
      <c r="AZ1505" t="s">
        <v>69</v>
      </c>
      <c r="BA1505" t="s">
        <v>69</v>
      </c>
      <c r="BB1505" t="s">
        <v>69</v>
      </c>
      <c r="BC1505" t="s">
        <v>69</v>
      </c>
      <c r="BD1505" t="s">
        <v>69</v>
      </c>
      <c r="BE1505" t="s">
        <v>69</v>
      </c>
      <c r="BF1505" t="s">
        <v>69</v>
      </c>
      <c r="BG1505" t="s">
        <v>69</v>
      </c>
      <c r="BH1505" t="s">
        <v>69</v>
      </c>
      <c r="BI1505" t="s">
        <v>69</v>
      </c>
      <c r="BJ1505" t="s">
        <v>10776</v>
      </c>
      <c r="BK1505" t="str">
        <f>HYPERLINK("http://dx.doi.org/10.1108/JEDT-09-2021-0458","http://dx.doi.org/10.1108/JEDT-09-2021-0458")</f>
        <v>http://dx.doi.org/10.1108/JEDT-09-2021-0458</v>
      </c>
      <c r="BL1505" t="s">
        <v>69</v>
      </c>
      <c r="BM1505" t="s">
        <v>10646</v>
      </c>
      <c r="BN1505">
        <v>24</v>
      </c>
      <c r="BO1505" t="s">
        <v>9891</v>
      </c>
      <c r="BP1505" t="s">
        <v>8573</v>
      </c>
      <c r="BQ1505" t="s">
        <v>8445</v>
      </c>
      <c r="BR1505" t="s">
        <v>10777</v>
      </c>
      <c r="BS1505" t="s">
        <v>10778</v>
      </c>
      <c r="BT1505" t="s">
        <v>69</v>
      </c>
      <c r="BU1505" t="s">
        <v>69</v>
      </c>
      <c r="BV1505" t="s">
        <v>69</v>
      </c>
      <c r="BW1505" t="s">
        <v>69</v>
      </c>
      <c r="BX1505" t="s">
        <v>8526</v>
      </c>
      <c r="BY1505" t="str">
        <f>HYPERLINK("https%3A%2F%2Fwww.webofscience.com%2Fwos%2Fwoscc%2Ffull-record%2FWOS:000721977500001","View Full Record in Web of Science")</f>
        <v>View Full Record in Web of Science</v>
      </c>
    </row>
    <row r="1506" spans="1:77" ht="12.5" x14ac:dyDescent="0.25">
      <c r="A1506" t="s">
        <v>8495</v>
      </c>
      <c r="B1506" s="7" t="s">
        <v>32933</v>
      </c>
      <c r="C1506" s="7"/>
      <c r="D1506" s="7"/>
      <c r="E1506" s="7"/>
      <c r="F1506" t="s">
        <v>67</v>
      </c>
      <c r="G1506" t="s">
        <v>433</v>
      </c>
      <c r="H1506" t="s">
        <v>69</v>
      </c>
      <c r="I1506" t="s">
        <v>69</v>
      </c>
      <c r="J1506" t="s">
        <v>69</v>
      </c>
      <c r="K1506" t="s">
        <v>434</v>
      </c>
      <c r="L1506" t="s">
        <v>69</v>
      </c>
      <c r="M1506" t="s">
        <v>69</v>
      </c>
      <c r="N1506" t="s">
        <v>435</v>
      </c>
      <c r="O1506" t="s">
        <v>436</v>
      </c>
      <c r="P1506" t="s">
        <v>69</v>
      </c>
      <c r="Q1506" t="s">
        <v>69</v>
      </c>
      <c r="R1506" t="s">
        <v>8505</v>
      </c>
      <c r="S1506" t="s">
        <v>8506</v>
      </c>
      <c r="T1506" t="s">
        <v>69</v>
      </c>
      <c r="U1506" t="s">
        <v>69</v>
      </c>
      <c r="V1506" t="s">
        <v>69</v>
      </c>
      <c r="W1506" t="s">
        <v>69</v>
      </c>
      <c r="X1506" t="s">
        <v>69</v>
      </c>
      <c r="Y1506" t="s">
        <v>20595</v>
      </c>
      <c r="Z1506" t="s">
        <v>20596</v>
      </c>
      <c r="AA1506" t="s">
        <v>437</v>
      </c>
      <c r="AB1506" t="s">
        <v>20597</v>
      </c>
      <c r="AC1506" t="s">
        <v>69</v>
      </c>
      <c r="AD1506" t="s">
        <v>20598</v>
      </c>
      <c r="AE1506" t="s">
        <v>20599</v>
      </c>
      <c r="AF1506" t="s">
        <v>438</v>
      </c>
      <c r="AG1506" t="s">
        <v>439</v>
      </c>
      <c r="AH1506" t="s">
        <v>20600</v>
      </c>
      <c r="AI1506" t="s">
        <v>20600</v>
      </c>
      <c r="AJ1506" t="s">
        <v>20601</v>
      </c>
      <c r="AK1506" t="s">
        <v>69</v>
      </c>
      <c r="AL1506">
        <v>67</v>
      </c>
      <c r="AM1506">
        <v>38</v>
      </c>
      <c r="AN1506">
        <v>38</v>
      </c>
      <c r="AO1506">
        <v>12</v>
      </c>
      <c r="AP1506">
        <v>135</v>
      </c>
      <c r="AQ1506" t="s">
        <v>8636</v>
      </c>
      <c r="AR1506" t="s">
        <v>8637</v>
      </c>
      <c r="AS1506" t="s">
        <v>8638</v>
      </c>
      <c r="AT1506" t="s">
        <v>440</v>
      </c>
      <c r="AU1506" t="s">
        <v>441</v>
      </c>
      <c r="AV1506" t="s">
        <v>69</v>
      </c>
      <c r="AW1506" t="s">
        <v>8639</v>
      </c>
      <c r="AX1506" t="s">
        <v>8640</v>
      </c>
      <c r="AY1506" t="s">
        <v>442</v>
      </c>
      <c r="AZ1506">
        <v>2017</v>
      </c>
      <c r="BA1506">
        <v>142</v>
      </c>
      <c r="BB1506" t="s">
        <v>69</v>
      </c>
      <c r="BC1506">
        <v>4</v>
      </c>
      <c r="BD1506" t="s">
        <v>69</v>
      </c>
      <c r="BE1506" t="s">
        <v>69</v>
      </c>
      <c r="BF1506" t="s">
        <v>69</v>
      </c>
      <c r="BG1506">
        <v>2925</v>
      </c>
      <c r="BH1506">
        <v>2934</v>
      </c>
      <c r="BI1506" t="s">
        <v>69</v>
      </c>
      <c r="BJ1506" t="s">
        <v>443</v>
      </c>
      <c r="BK1506" t="str">
        <f>HYPERLINK("http://dx.doi.org/10.1016/j.jclepro.2016.10.178","http://dx.doi.org/10.1016/j.jclepro.2016.10.178")</f>
        <v>http://dx.doi.org/10.1016/j.jclepro.2016.10.178</v>
      </c>
      <c r="BL1506" t="s">
        <v>69</v>
      </c>
      <c r="BM1506" t="s">
        <v>69</v>
      </c>
      <c r="BN1506">
        <v>10</v>
      </c>
      <c r="BO1506" t="s">
        <v>8643</v>
      </c>
      <c r="BP1506" t="s">
        <v>8523</v>
      </c>
      <c r="BQ1506" t="s">
        <v>8644</v>
      </c>
      <c r="BR1506" t="s">
        <v>20602</v>
      </c>
      <c r="BS1506" t="s">
        <v>444</v>
      </c>
      <c r="BT1506" t="s">
        <v>69</v>
      </c>
      <c r="BU1506" t="s">
        <v>69</v>
      </c>
      <c r="BV1506" t="s">
        <v>69</v>
      </c>
      <c r="BW1506" t="s">
        <v>69</v>
      </c>
      <c r="BX1506" t="s">
        <v>8526</v>
      </c>
      <c r="BY1506" t="str">
        <f>HYPERLINK("https%3A%2F%2Fwww.webofscience.com%2Fwos%2Fwoscc%2Ffull-record%2FWOS:000391516300048","View Full Record in Web of Science")</f>
        <v>View Full Record in Web of Science</v>
      </c>
    </row>
    <row r="1507" spans="1:77" ht="12.5" x14ac:dyDescent="0.25">
      <c r="A1507" t="s">
        <v>8495</v>
      </c>
      <c r="B1507" s="7" t="s">
        <v>32933</v>
      </c>
      <c r="C1507" s="7"/>
      <c r="D1507" s="7"/>
      <c r="E1507" s="7"/>
      <c r="F1507" t="s">
        <v>67</v>
      </c>
      <c r="G1507" t="s">
        <v>5102</v>
      </c>
      <c r="H1507" t="s">
        <v>69</v>
      </c>
      <c r="I1507" t="s">
        <v>69</v>
      </c>
      <c r="J1507" t="s">
        <v>69</v>
      </c>
      <c r="K1507" t="s">
        <v>5103</v>
      </c>
      <c r="L1507" t="s">
        <v>69</v>
      </c>
      <c r="M1507" t="s">
        <v>69</v>
      </c>
      <c r="N1507" t="s">
        <v>5104</v>
      </c>
      <c r="O1507" t="s">
        <v>5105</v>
      </c>
      <c r="P1507" t="s">
        <v>69</v>
      </c>
      <c r="Q1507" t="s">
        <v>69</v>
      </c>
      <c r="R1507" t="s">
        <v>8505</v>
      </c>
      <c r="S1507" t="s">
        <v>8506</v>
      </c>
      <c r="T1507" t="s">
        <v>69</v>
      </c>
      <c r="U1507" t="s">
        <v>69</v>
      </c>
      <c r="V1507" t="s">
        <v>69</v>
      </c>
      <c r="W1507" t="s">
        <v>69</v>
      </c>
      <c r="X1507" t="s">
        <v>69</v>
      </c>
      <c r="Y1507" t="s">
        <v>23770</v>
      </c>
      <c r="Z1507" t="s">
        <v>69</v>
      </c>
      <c r="AA1507" t="s">
        <v>5106</v>
      </c>
      <c r="AB1507" t="s">
        <v>23771</v>
      </c>
      <c r="AC1507" t="s">
        <v>69</v>
      </c>
      <c r="AD1507" t="s">
        <v>23772</v>
      </c>
      <c r="AE1507" t="s">
        <v>23773</v>
      </c>
      <c r="AF1507" t="s">
        <v>69</v>
      </c>
      <c r="AG1507" t="s">
        <v>69</v>
      </c>
      <c r="AH1507" t="s">
        <v>69</v>
      </c>
      <c r="AI1507" t="s">
        <v>69</v>
      </c>
      <c r="AJ1507" t="s">
        <v>69</v>
      </c>
      <c r="AK1507" t="s">
        <v>69</v>
      </c>
      <c r="AL1507">
        <v>24</v>
      </c>
      <c r="AM1507">
        <v>2</v>
      </c>
      <c r="AN1507">
        <v>2</v>
      </c>
      <c r="AO1507">
        <v>3</v>
      </c>
      <c r="AP1507">
        <v>30</v>
      </c>
      <c r="AQ1507" t="s">
        <v>9047</v>
      </c>
      <c r="AR1507" t="s">
        <v>8693</v>
      </c>
      <c r="AS1507" t="s">
        <v>16643</v>
      </c>
      <c r="AT1507" t="s">
        <v>5107</v>
      </c>
      <c r="AU1507" t="s">
        <v>5108</v>
      </c>
      <c r="AV1507" t="s">
        <v>69</v>
      </c>
      <c r="AW1507" t="s">
        <v>23774</v>
      </c>
      <c r="AX1507" t="s">
        <v>23775</v>
      </c>
      <c r="AY1507" t="s">
        <v>155</v>
      </c>
      <c r="AZ1507">
        <v>2014</v>
      </c>
      <c r="BA1507">
        <v>18</v>
      </c>
      <c r="BB1507">
        <v>3</v>
      </c>
      <c r="BC1507" t="s">
        <v>69</v>
      </c>
      <c r="BD1507" t="s">
        <v>69</v>
      </c>
      <c r="BE1507" t="s">
        <v>69</v>
      </c>
      <c r="BF1507" t="s">
        <v>69</v>
      </c>
      <c r="BG1507">
        <v>227</v>
      </c>
      <c r="BH1507">
        <v>247</v>
      </c>
      <c r="BI1507" t="s">
        <v>69</v>
      </c>
      <c r="BJ1507" t="s">
        <v>5109</v>
      </c>
      <c r="BK1507" t="str">
        <f>HYPERLINK("http://dx.doi.org/10.1007/s11852-014-0310-7","http://dx.doi.org/10.1007/s11852-014-0310-7")</f>
        <v>http://dx.doi.org/10.1007/s11852-014-0310-7</v>
      </c>
      <c r="BL1507" t="s">
        <v>69</v>
      </c>
      <c r="BM1507" t="s">
        <v>69</v>
      </c>
      <c r="BN1507">
        <v>21</v>
      </c>
      <c r="BO1507" t="s">
        <v>23776</v>
      </c>
      <c r="BP1507" t="s">
        <v>8548</v>
      </c>
      <c r="BQ1507" t="s">
        <v>23777</v>
      </c>
      <c r="BR1507" t="s">
        <v>23778</v>
      </c>
      <c r="BS1507" t="s">
        <v>5110</v>
      </c>
      <c r="BT1507" t="s">
        <v>69</v>
      </c>
      <c r="BU1507" t="s">
        <v>69</v>
      </c>
      <c r="BV1507" t="s">
        <v>69</v>
      </c>
      <c r="BW1507" t="s">
        <v>69</v>
      </c>
      <c r="BX1507" t="s">
        <v>8526</v>
      </c>
      <c r="BY1507" t="str">
        <f>HYPERLINK("https%3A%2F%2Fwww.webofscience.com%2Fwos%2Fwoscc%2Ffull-record%2FWOS:000336739500008","View Full Record in Web of Science")</f>
        <v>View Full Record in Web of Science</v>
      </c>
    </row>
    <row r="1508" spans="1:77" x14ac:dyDescent="0.3">
      <c r="A1508" t="s">
        <v>8495</v>
      </c>
      <c r="B1508" s="9" t="s">
        <v>32954</v>
      </c>
      <c r="C1508" s="9" t="s">
        <v>33137</v>
      </c>
      <c r="D1508" s="9" t="s">
        <v>8491</v>
      </c>
      <c r="E1508" s="9" t="s">
        <v>8490</v>
      </c>
      <c r="F1508" t="s">
        <v>67</v>
      </c>
      <c r="G1508" t="s">
        <v>19336</v>
      </c>
      <c r="H1508" t="s">
        <v>69</v>
      </c>
      <c r="I1508" t="s">
        <v>69</v>
      </c>
      <c r="J1508" t="s">
        <v>69</v>
      </c>
      <c r="K1508" t="s">
        <v>19337</v>
      </c>
      <c r="L1508" t="s">
        <v>69</v>
      </c>
      <c r="M1508" t="s">
        <v>69</v>
      </c>
      <c r="N1508" t="s">
        <v>19338</v>
      </c>
      <c r="O1508" t="s">
        <v>715</v>
      </c>
      <c r="P1508" t="s">
        <v>69</v>
      </c>
      <c r="Q1508" t="s">
        <v>69</v>
      </c>
      <c r="R1508" t="s">
        <v>8505</v>
      </c>
      <c r="S1508" t="s">
        <v>8506</v>
      </c>
      <c r="T1508" t="s">
        <v>69</v>
      </c>
      <c r="U1508" t="s">
        <v>69</v>
      </c>
      <c r="V1508" t="s">
        <v>69</v>
      </c>
      <c r="W1508" t="s">
        <v>69</v>
      </c>
      <c r="X1508" t="s">
        <v>69</v>
      </c>
      <c r="Y1508" t="s">
        <v>19339</v>
      </c>
      <c r="Z1508" t="s">
        <v>19340</v>
      </c>
      <c r="AA1508" t="s">
        <v>19341</v>
      </c>
      <c r="AB1508" t="s">
        <v>19342</v>
      </c>
      <c r="AC1508" t="s">
        <v>69</v>
      </c>
      <c r="AD1508" t="s">
        <v>19343</v>
      </c>
      <c r="AE1508" t="s">
        <v>19344</v>
      </c>
      <c r="AF1508" t="s">
        <v>19345</v>
      </c>
      <c r="AG1508" t="s">
        <v>19346</v>
      </c>
      <c r="AH1508" t="s">
        <v>69</v>
      </c>
      <c r="AI1508" t="s">
        <v>69</v>
      </c>
      <c r="AJ1508" t="s">
        <v>69</v>
      </c>
      <c r="AK1508" t="s">
        <v>69</v>
      </c>
      <c r="AL1508">
        <v>50</v>
      </c>
      <c r="AM1508">
        <v>38</v>
      </c>
      <c r="AN1508">
        <v>38</v>
      </c>
      <c r="AO1508">
        <v>3</v>
      </c>
      <c r="AP1508">
        <v>44</v>
      </c>
      <c r="AQ1508" t="s">
        <v>8846</v>
      </c>
      <c r="AR1508" t="s">
        <v>8847</v>
      </c>
      <c r="AS1508" t="s">
        <v>8848</v>
      </c>
      <c r="AT1508" t="s">
        <v>719</v>
      </c>
      <c r="AU1508" t="s">
        <v>720</v>
      </c>
      <c r="AV1508" t="s">
        <v>69</v>
      </c>
      <c r="AW1508" t="s">
        <v>9110</v>
      </c>
      <c r="AX1508" t="s">
        <v>9111</v>
      </c>
      <c r="AY1508" t="s">
        <v>373</v>
      </c>
      <c r="AZ1508">
        <v>2018</v>
      </c>
      <c r="BA1508">
        <v>27</v>
      </c>
      <c r="BB1508">
        <v>1</v>
      </c>
      <c r="BC1508" t="s">
        <v>69</v>
      </c>
      <c r="BD1508" t="s">
        <v>69</v>
      </c>
      <c r="BE1508" t="s">
        <v>69</v>
      </c>
      <c r="BF1508" t="s">
        <v>69</v>
      </c>
      <c r="BG1508">
        <v>100</v>
      </c>
      <c r="BH1508">
        <v>116</v>
      </c>
      <c r="BI1508" t="s">
        <v>69</v>
      </c>
      <c r="BJ1508" t="s">
        <v>19347</v>
      </c>
      <c r="BK1508" t="str">
        <f>HYPERLINK("http://dx.doi.org/10.1002/bse.1987","http://dx.doi.org/10.1002/bse.1987")</f>
        <v>http://dx.doi.org/10.1002/bse.1987</v>
      </c>
      <c r="BL1508" t="s">
        <v>69</v>
      </c>
      <c r="BM1508" t="s">
        <v>69</v>
      </c>
      <c r="BN1508">
        <v>17</v>
      </c>
      <c r="BO1508" t="s">
        <v>9113</v>
      </c>
      <c r="BP1508" t="s">
        <v>8661</v>
      </c>
      <c r="BQ1508" t="s">
        <v>9114</v>
      </c>
      <c r="BR1508" t="s">
        <v>19348</v>
      </c>
      <c r="BS1508" t="s">
        <v>19349</v>
      </c>
      <c r="BT1508" t="s">
        <v>69</v>
      </c>
      <c r="BU1508" t="s">
        <v>9292</v>
      </c>
      <c r="BV1508" t="s">
        <v>69</v>
      </c>
      <c r="BW1508" t="s">
        <v>69</v>
      </c>
      <c r="BX1508" t="s">
        <v>8526</v>
      </c>
      <c r="BY1508" t="str">
        <f>HYPERLINK("https%3A%2F%2Fwww.webofscience.com%2Fwos%2Fwoscc%2Ffull-record%2FWOS:000425820100007","View Full Record in Web of Science")</f>
        <v>View Full Record in Web of Science</v>
      </c>
    </row>
    <row r="1509" spans="1:77" ht="12.5" x14ac:dyDescent="0.25">
      <c r="A1509" t="s">
        <v>8495</v>
      </c>
      <c r="B1509" s="7" t="s">
        <v>32933</v>
      </c>
      <c r="C1509" s="7"/>
      <c r="D1509" s="7"/>
      <c r="E1509" s="7"/>
      <c r="F1509" t="s">
        <v>67</v>
      </c>
      <c r="G1509" t="s">
        <v>7354</v>
      </c>
      <c r="H1509" t="s">
        <v>69</v>
      </c>
      <c r="I1509" t="s">
        <v>69</v>
      </c>
      <c r="J1509" t="s">
        <v>69</v>
      </c>
      <c r="K1509" t="s">
        <v>7355</v>
      </c>
      <c r="L1509" t="s">
        <v>69</v>
      </c>
      <c r="M1509" t="s">
        <v>69</v>
      </c>
      <c r="N1509" t="s">
        <v>7356</v>
      </c>
      <c r="O1509" t="s">
        <v>7357</v>
      </c>
      <c r="P1509" t="s">
        <v>69</v>
      </c>
      <c r="Q1509" t="s">
        <v>69</v>
      </c>
      <c r="R1509" t="s">
        <v>8505</v>
      </c>
      <c r="S1509" t="s">
        <v>8506</v>
      </c>
      <c r="T1509" t="s">
        <v>69</v>
      </c>
      <c r="U1509" t="s">
        <v>69</v>
      </c>
      <c r="V1509" t="s">
        <v>69</v>
      </c>
      <c r="W1509" t="s">
        <v>69</v>
      </c>
      <c r="X1509" t="s">
        <v>69</v>
      </c>
      <c r="Y1509" t="s">
        <v>17677</v>
      </c>
      <c r="Z1509" t="s">
        <v>17678</v>
      </c>
      <c r="AA1509" t="s">
        <v>7358</v>
      </c>
      <c r="AB1509" t="s">
        <v>17679</v>
      </c>
      <c r="AC1509" t="s">
        <v>69</v>
      </c>
      <c r="AD1509" t="s">
        <v>17680</v>
      </c>
      <c r="AE1509" t="s">
        <v>17681</v>
      </c>
      <c r="AF1509" t="s">
        <v>69</v>
      </c>
      <c r="AG1509" t="s">
        <v>69</v>
      </c>
      <c r="AH1509" t="s">
        <v>69</v>
      </c>
      <c r="AI1509" t="s">
        <v>69</v>
      </c>
      <c r="AJ1509" t="s">
        <v>69</v>
      </c>
      <c r="AK1509" t="s">
        <v>69</v>
      </c>
      <c r="AL1509">
        <v>20</v>
      </c>
      <c r="AM1509">
        <v>0</v>
      </c>
      <c r="AN1509">
        <v>0</v>
      </c>
      <c r="AO1509">
        <v>2</v>
      </c>
      <c r="AP1509">
        <v>14</v>
      </c>
      <c r="AQ1509" t="s">
        <v>17682</v>
      </c>
      <c r="AR1509" t="s">
        <v>17683</v>
      </c>
      <c r="AS1509" t="s">
        <v>17684</v>
      </c>
      <c r="AT1509" t="s">
        <v>7359</v>
      </c>
      <c r="AU1509" t="s">
        <v>7360</v>
      </c>
      <c r="AV1509" t="s">
        <v>69</v>
      </c>
      <c r="AW1509" t="s">
        <v>17685</v>
      </c>
      <c r="AX1509" t="s">
        <v>17686</v>
      </c>
      <c r="AY1509" t="s">
        <v>69</v>
      </c>
      <c r="AZ1509">
        <v>2019</v>
      </c>
      <c r="BA1509">
        <v>10</v>
      </c>
      <c r="BB1509">
        <v>15</v>
      </c>
      <c r="BC1509" t="s">
        <v>69</v>
      </c>
      <c r="BD1509" t="s">
        <v>69</v>
      </c>
      <c r="BE1509" t="s">
        <v>69</v>
      </c>
      <c r="BF1509" t="s">
        <v>69</v>
      </c>
      <c r="BG1509" t="s">
        <v>69</v>
      </c>
      <c r="BH1509" t="s">
        <v>69</v>
      </c>
      <c r="BI1509" t="s">
        <v>7361</v>
      </c>
      <c r="BJ1509" t="s">
        <v>7362</v>
      </c>
      <c r="BK1509" t="str">
        <f>HYPERLINK("http://dx.doi.org/10.14456/ITJEMAST.2019.209","http://dx.doi.org/10.14456/ITJEMAST.2019.209")</f>
        <v>http://dx.doi.org/10.14456/ITJEMAST.2019.209</v>
      </c>
      <c r="BL1509" t="s">
        <v>69</v>
      </c>
      <c r="BM1509" t="s">
        <v>69</v>
      </c>
      <c r="BN1509">
        <v>15</v>
      </c>
      <c r="BO1509" t="s">
        <v>8619</v>
      </c>
      <c r="BP1509" t="s">
        <v>8573</v>
      </c>
      <c r="BQ1509" t="s">
        <v>8620</v>
      </c>
      <c r="BR1509" t="s">
        <v>17687</v>
      </c>
      <c r="BS1509" t="s">
        <v>7363</v>
      </c>
      <c r="BT1509" t="s">
        <v>69</v>
      </c>
      <c r="BU1509" t="s">
        <v>69</v>
      </c>
      <c r="BV1509" t="s">
        <v>69</v>
      </c>
      <c r="BW1509" t="s">
        <v>69</v>
      </c>
      <c r="BX1509" t="s">
        <v>8526</v>
      </c>
      <c r="BY1509" t="str">
        <f>HYPERLINK("https%3A%2F%2Fwww.webofscience.com%2Fwos%2Fwoscc%2Ffull-record%2FWOS:000494643500015","View Full Record in Web of Science")</f>
        <v>View Full Record in Web of Science</v>
      </c>
    </row>
    <row r="1510" spans="1:77" ht="12.5" x14ac:dyDescent="0.25">
      <c r="A1510" t="s">
        <v>8495</v>
      </c>
      <c r="B1510" s="7" t="s">
        <v>32933</v>
      </c>
      <c r="C1510" s="7"/>
      <c r="D1510" s="7"/>
      <c r="E1510" s="7"/>
      <c r="F1510" t="s">
        <v>67</v>
      </c>
      <c r="G1510" t="s">
        <v>3500</v>
      </c>
      <c r="H1510" t="s">
        <v>69</v>
      </c>
      <c r="I1510" t="s">
        <v>69</v>
      </c>
      <c r="J1510" t="s">
        <v>69</v>
      </c>
      <c r="K1510" t="s">
        <v>3501</v>
      </c>
      <c r="L1510" t="s">
        <v>69</v>
      </c>
      <c r="M1510" t="s">
        <v>69</v>
      </c>
      <c r="N1510" t="s">
        <v>3502</v>
      </c>
      <c r="O1510" t="s">
        <v>3503</v>
      </c>
      <c r="P1510" t="s">
        <v>69</v>
      </c>
      <c r="Q1510" t="s">
        <v>69</v>
      </c>
      <c r="R1510" t="s">
        <v>8505</v>
      </c>
      <c r="S1510" t="s">
        <v>8506</v>
      </c>
      <c r="T1510" t="s">
        <v>69</v>
      </c>
      <c r="U1510" t="s">
        <v>69</v>
      </c>
      <c r="V1510" t="s">
        <v>69</v>
      </c>
      <c r="W1510" t="s">
        <v>69</v>
      </c>
      <c r="X1510" t="s">
        <v>69</v>
      </c>
      <c r="Y1510" t="s">
        <v>69</v>
      </c>
      <c r="Z1510" t="s">
        <v>27572</v>
      </c>
      <c r="AA1510" t="s">
        <v>3504</v>
      </c>
      <c r="AB1510" t="s">
        <v>27573</v>
      </c>
      <c r="AC1510" t="s">
        <v>69</v>
      </c>
      <c r="AD1510" t="s">
        <v>27574</v>
      </c>
      <c r="AE1510" t="s">
        <v>27575</v>
      </c>
      <c r="AF1510" t="s">
        <v>3505</v>
      </c>
      <c r="AG1510" t="s">
        <v>3506</v>
      </c>
      <c r="AH1510" t="s">
        <v>27576</v>
      </c>
      <c r="AI1510" t="s">
        <v>27577</v>
      </c>
      <c r="AJ1510" t="s">
        <v>27578</v>
      </c>
      <c r="AK1510" t="s">
        <v>69</v>
      </c>
      <c r="AL1510">
        <v>17</v>
      </c>
      <c r="AM1510">
        <v>19</v>
      </c>
      <c r="AN1510">
        <v>19</v>
      </c>
      <c r="AO1510">
        <v>0</v>
      </c>
      <c r="AP1510">
        <v>0</v>
      </c>
      <c r="AQ1510" t="s">
        <v>27579</v>
      </c>
      <c r="AR1510" t="s">
        <v>8763</v>
      </c>
      <c r="AS1510" t="s">
        <v>9179</v>
      </c>
      <c r="AT1510" t="s">
        <v>3507</v>
      </c>
      <c r="AU1510" t="s">
        <v>69</v>
      </c>
      <c r="AV1510" t="s">
        <v>69</v>
      </c>
      <c r="AW1510" t="s">
        <v>21379</v>
      </c>
      <c r="AX1510" t="s">
        <v>21380</v>
      </c>
      <c r="AY1510" t="s">
        <v>75</v>
      </c>
      <c r="AZ1510">
        <v>2010</v>
      </c>
      <c r="BA1510">
        <v>36</v>
      </c>
      <c r="BB1510">
        <v>12</v>
      </c>
      <c r="BC1510" t="s">
        <v>69</v>
      </c>
      <c r="BD1510" t="s">
        <v>69</v>
      </c>
      <c r="BE1510" t="s">
        <v>69</v>
      </c>
      <c r="BF1510" t="s">
        <v>69</v>
      </c>
      <c r="BG1510">
        <v>741</v>
      </c>
      <c r="BH1510">
        <v>745</v>
      </c>
      <c r="BI1510" t="s">
        <v>69</v>
      </c>
      <c r="BJ1510" t="s">
        <v>3508</v>
      </c>
      <c r="BK1510" t="str">
        <f>HYPERLINK("http://dx.doi.org/10.1136/jme.2010.037440","http://dx.doi.org/10.1136/jme.2010.037440")</f>
        <v>http://dx.doi.org/10.1136/jme.2010.037440</v>
      </c>
      <c r="BL1510" t="s">
        <v>69</v>
      </c>
      <c r="BM1510" t="s">
        <v>69</v>
      </c>
      <c r="BN1510">
        <v>5</v>
      </c>
      <c r="BO1510" t="s">
        <v>21382</v>
      </c>
      <c r="BP1510" t="s">
        <v>8523</v>
      </c>
      <c r="BQ1510" t="s">
        <v>21383</v>
      </c>
      <c r="BR1510" t="s">
        <v>27580</v>
      </c>
      <c r="BS1510" t="s">
        <v>3509</v>
      </c>
      <c r="BT1510">
        <v>20940174</v>
      </c>
      <c r="BU1510" t="s">
        <v>9292</v>
      </c>
      <c r="BV1510" t="s">
        <v>69</v>
      </c>
      <c r="BW1510" t="s">
        <v>69</v>
      </c>
      <c r="BX1510" t="s">
        <v>8526</v>
      </c>
      <c r="BY1510" t="str">
        <f>HYPERLINK("https%3A%2F%2Fwww.webofscience.com%2Fwos%2Fwoscc%2Ffull-record%2FWOS:000285190000005","View Full Record in Web of Science")</f>
        <v>View Full Record in Web of Science</v>
      </c>
    </row>
    <row r="1511" spans="1:77" ht="12.5" x14ac:dyDescent="0.25">
      <c r="A1511" t="s">
        <v>8495</v>
      </c>
      <c r="B1511" s="7" t="s">
        <v>32933</v>
      </c>
      <c r="C1511" s="7"/>
      <c r="D1511" s="7"/>
      <c r="E1511" s="7"/>
      <c r="F1511" t="s">
        <v>67</v>
      </c>
      <c r="G1511" t="s">
        <v>1266</v>
      </c>
      <c r="H1511" t="s">
        <v>69</v>
      </c>
      <c r="I1511" t="s">
        <v>69</v>
      </c>
      <c r="J1511" t="s">
        <v>69</v>
      </c>
      <c r="K1511" t="s">
        <v>1267</v>
      </c>
      <c r="L1511" t="s">
        <v>69</v>
      </c>
      <c r="M1511" t="s">
        <v>69</v>
      </c>
      <c r="N1511" t="s">
        <v>1268</v>
      </c>
      <c r="O1511" t="s">
        <v>417</v>
      </c>
      <c r="P1511" t="s">
        <v>69</v>
      </c>
      <c r="Q1511" t="s">
        <v>69</v>
      </c>
      <c r="R1511" t="s">
        <v>8505</v>
      </c>
      <c r="S1511" t="s">
        <v>8506</v>
      </c>
      <c r="T1511" t="s">
        <v>69</v>
      </c>
      <c r="U1511" t="s">
        <v>69</v>
      </c>
      <c r="V1511" t="s">
        <v>69</v>
      </c>
      <c r="W1511" t="s">
        <v>69</v>
      </c>
      <c r="X1511" t="s">
        <v>69</v>
      </c>
      <c r="Y1511" t="s">
        <v>22538</v>
      </c>
      <c r="Z1511" t="s">
        <v>22539</v>
      </c>
      <c r="AA1511" t="s">
        <v>1269</v>
      </c>
      <c r="AB1511" t="s">
        <v>22540</v>
      </c>
      <c r="AC1511" t="s">
        <v>69</v>
      </c>
      <c r="AD1511" t="s">
        <v>22541</v>
      </c>
      <c r="AE1511" t="s">
        <v>22542</v>
      </c>
      <c r="AF1511" t="s">
        <v>69</v>
      </c>
      <c r="AG1511" t="s">
        <v>69</v>
      </c>
      <c r="AH1511" t="s">
        <v>22543</v>
      </c>
      <c r="AI1511" t="s">
        <v>22543</v>
      </c>
      <c r="AJ1511" t="s">
        <v>22544</v>
      </c>
      <c r="AK1511" t="s">
        <v>69</v>
      </c>
      <c r="AL1511">
        <v>129</v>
      </c>
      <c r="AM1511">
        <v>9</v>
      </c>
      <c r="AN1511">
        <v>9</v>
      </c>
      <c r="AO1511">
        <v>3</v>
      </c>
      <c r="AP1511">
        <v>22</v>
      </c>
      <c r="AQ1511" t="s">
        <v>9145</v>
      </c>
      <c r="AR1511" t="s">
        <v>8637</v>
      </c>
      <c r="AS1511" t="s">
        <v>9146</v>
      </c>
      <c r="AT1511" t="s">
        <v>419</v>
      </c>
      <c r="AU1511" t="s">
        <v>420</v>
      </c>
      <c r="AV1511" t="s">
        <v>69</v>
      </c>
      <c r="AW1511" t="s">
        <v>417</v>
      </c>
      <c r="AX1511" t="s">
        <v>8482</v>
      </c>
      <c r="AY1511" t="s">
        <v>201</v>
      </c>
      <c r="AZ1511">
        <v>2015</v>
      </c>
      <c r="BA1511">
        <v>64</v>
      </c>
      <c r="BB1511" t="s">
        <v>69</v>
      </c>
      <c r="BC1511" t="s">
        <v>69</v>
      </c>
      <c r="BD1511" t="s">
        <v>69</v>
      </c>
      <c r="BE1511" t="s">
        <v>69</v>
      </c>
      <c r="BF1511" t="s">
        <v>69</v>
      </c>
      <c r="BG1511">
        <v>168</v>
      </c>
      <c r="BH1511">
        <v>181</v>
      </c>
      <c r="BI1511" t="s">
        <v>69</v>
      </c>
      <c r="BJ1511" t="s">
        <v>1270</v>
      </c>
      <c r="BK1511" t="str">
        <f>HYPERLINK("http://dx.doi.org/10.1016/j.geoforum.2015.06.020","http://dx.doi.org/10.1016/j.geoforum.2015.06.020")</f>
        <v>http://dx.doi.org/10.1016/j.geoforum.2015.06.020</v>
      </c>
      <c r="BL1511" t="s">
        <v>69</v>
      </c>
      <c r="BM1511" t="s">
        <v>69</v>
      </c>
      <c r="BN1511">
        <v>14</v>
      </c>
      <c r="BO1511" t="s">
        <v>8446</v>
      </c>
      <c r="BP1511" t="s">
        <v>8661</v>
      </c>
      <c r="BQ1511" t="s">
        <v>8446</v>
      </c>
      <c r="BR1511" t="s">
        <v>22545</v>
      </c>
      <c r="BS1511" t="s">
        <v>1271</v>
      </c>
      <c r="BT1511" t="s">
        <v>69</v>
      </c>
      <c r="BU1511" t="s">
        <v>69</v>
      </c>
      <c r="BV1511" t="s">
        <v>69</v>
      </c>
      <c r="BW1511" t="s">
        <v>69</v>
      </c>
      <c r="BX1511" t="s">
        <v>8526</v>
      </c>
      <c r="BY1511" t="str">
        <f>HYPERLINK("https%3A%2F%2Fwww.webofscience.com%2Fwos%2Fwoscc%2Ffull-record%2FWOS:000359887800017","View Full Record in Web of Science")</f>
        <v>View Full Record in Web of Science</v>
      </c>
    </row>
    <row r="1512" spans="1:77" ht="12.5" x14ac:dyDescent="0.25">
      <c r="A1512" t="s">
        <v>8495</v>
      </c>
      <c r="B1512" s="22" t="s">
        <v>32931</v>
      </c>
      <c r="C1512" s="7"/>
      <c r="D1512" s="7"/>
      <c r="E1512" s="7"/>
      <c r="F1512" t="s">
        <v>67</v>
      </c>
      <c r="G1512" t="s">
        <v>10853</v>
      </c>
      <c r="H1512" t="s">
        <v>69</v>
      </c>
      <c r="I1512" t="s">
        <v>69</v>
      </c>
      <c r="J1512" t="s">
        <v>69</v>
      </c>
      <c r="K1512" t="s">
        <v>10854</v>
      </c>
      <c r="L1512" t="s">
        <v>69</v>
      </c>
      <c r="M1512" t="s">
        <v>69</v>
      </c>
      <c r="N1512" t="s">
        <v>10855</v>
      </c>
      <c r="O1512" t="s">
        <v>10856</v>
      </c>
      <c r="P1512" t="s">
        <v>69</v>
      </c>
      <c r="Q1512" t="s">
        <v>69</v>
      </c>
      <c r="R1512" t="s">
        <v>8505</v>
      </c>
      <c r="S1512" t="s">
        <v>8506</v>
      </c>
      <c r="T1512" t="s">
        <v>69</v>
      </c>
      <c r="U1512" t="s">
        <v>69</v>
      </c>
      <c r="V1512" t="s">
        <v>69</v>
      </c>
      <c r="W1512" t="s">
        <v>69</v>
      </c>
      <c r="X1512" t="s">
        <v>69</v>
      </c>
      <c r="Y1512" t="s">
        <v>10857</v>
      </c>
      <c r="Z1512" t="s">
        <v>69</v>
      </c>
      <c r="AA1512" t="s">
        <v>10858</v>
      </c>
      <c r="AB1512" t="s">
        <v>10859</v>
      </c>
      <c r="AC1512" t="s">
        <v>69</v>
      </c>
      <c r="AD1512" t="s">
        <v>10860</v>
      </c>
      <c r="AE1512" t="s">
        <v>10861</v>
      </c>
      <c r="AF1512" t="s">
        <v>69</v>
      </c>
      <c r="AG1512" t="s">
        <v>69</v>
      </c>
      <c r="AH1512" t="s">
        <v>69</v>
      </c>
      <c r="AI1512" t="s">
        <v>69</v>
      </c>
      <c r="AJ1512" t="s">
        <v>69</v>
      </c>
      <c r="AK1512" t="s">
        <v>69</v>
      </c>
      <c r="AL1512">
        <v>13</v>
      </c>
      <c r="AM1512">
        <v>0</v>
      </c>
      <c r="AN1512">
        <v>0</v>
      </c>
      <c r="AO1512">
        <v>5</v>
      </c>
      <c r="AP1512">
        <v>5</v>
      </c>
      <c r="AQ1512" t="s">
        <v>10862</v>
      </c>
      <c r="AR1512" t="s">
        <v>10863</v>
      </c>
      <c r="AS1512" t="s">
        <v>10864</v>
      </c>
      <c r="AT1512" t="s">
        <v>10865</v>
      </c>
      <c r="AU1512" t="s">
        <v>10866</v>
      </c>
      <c r="AV1512" t="s">
        <v>69</v>
      </c>
      <c r="AW1512" t="s">
        <v>10867</v>
      </c>
      <c r="AX1512" t="s">
        <v>10868</v>
      </c>
      <c r="AY1512" t="s">
        <v>274</v>
      </c>
      <c r="AZ1512">
        <v>2021</v>
      </c>
      <c r="BA1512">
        <v>241</v>
      </c>
      <c r="BB1512" t="s">
        <v>69</v>
      </c>
      <c r="BC1512" t="s">
        <v>69</v>
      </c>
      <c r="BD1512" t="s">
        <v>69</v>
      </c>
      <c r="BE1512" t="s">
        <v>69</v>
      </c>
      <c r="BF1512" t="s">
        <v>69</v>
      </c>
      <c r="BG1512">
        <v>294</v>
      </c>
      <c r="BH1512">
        <v>303</v>
      </c>
      <c r="BI1512" t="s">
        <v>69</v>
      </c>
      <c r="BJ1512" t="s">
        <v>10869</v>
      </c>
      <c r="BK1512" t="str">
        <f>HYPERLINK("http://dx.doi.org/10.5004/dwt.2021.27783","http://dx.doi.org/10.5004/dwt.2021.27783")</f>
        <v>http://dx.doi.org/10.5004/dwt.2021.27783</v>
      </c>
      <c r="BL1512" t="s">
        <v>69</v>
      </c>
      <c r="BM1512" t="s">
        <v>69</v>
      </c>
      <c r="BN1512">
        <v>10</v>
      </c>
      <c r="BO1512" t="s">
        <v>10870</v>
      </c>
      <c r="BP1512" t="s">
        <v>8548</v>
      </c>
      <c r="BQ1512" t="s">
        <v>9230</v>
      </c>
      <c r="BR1512" t="s">
        <v>10871</v>
      </c>
      <c r="BS1512" t="s">
        <v>10872</v>
      </c>
      <c r="BT1512" t="s">
        <v>69</v>
      </c>
      <c r="BU1512" t="s">
        <v>69</v>
      </c>
      <c r="BV1512" t="s">
        <v>69</v>
      </c>
      <c r="BW1512" t="s">
        <v>69</v>
      </c>
      <c r="BX1512" t="s">
        <v>8526</v>
      </c>
      <c r="BY1512" t="str">
        <f>HYPERLINK("https%3A%2F%2Fwww.webofscience.com%2Fwos%2Fwoscc%2Ffull-record%2FWOS:000747867400035","View Full Record in Web of Science")</f>
        <v>View Full Record in Web of Science</v>
      </c>
    </row>
    <row r="1513" spans="1:77" ht="12.5" x14ac:dyDescent="0.25">
      <c r="A1513" t="s">
        <v>8495</v>
      </c>
      <c r="B1513" s="22" t="s">
        <v>32931</v>
      </c>
      <c r="C1513" s="7"/>
      <c r="D1513" s="7"/>
      <c r="E1513" s="7"/>
      <c r="F1513" t="s">
        <v>67</v>
      </c>
      <c r="G1513" t="s">
        <v>21553</v>
      </c>
      <c r="H1513" t="s">
        <v>69</v>
      </c>
      <c r="I1513" t="s">
        <v>69</v>
      </c>
      <c r="J1513" t="s">
        <v>69</v>
      </c>
      <c r="K1513" t="s">
        <v>21554</v>
      </c>
      <c r="L1513" t="s">
        <v>69</v>
      </c>
      <c r="M1513" t="s">
        <v>69</v>
      </c>
      <c r="N1513" t="s">
        <v>21555</v>
      </c>
      <c r="O1513" t="s">
        <v>21556</v>
      </c>
      <c r="P1513" t="s">
        <v>69</v>
      </c>
      <c r="Q1513" t="s">
        <v>69</v>
      </c>
      <c r="R1513" t="s">
        <v>10071</v>
      </c>
      <c r="S1513" t="s">
        <v>8506</v>
      </c>
      <c r="T1513" t="s">
        <v>69</v>
      </c>
      <c r="U1513" t="s">
        <v>69</v>
      </c>
      <c r="V1513" t="s">
        <v>69</v>
      </c>
      <c r="W1513" t="s">
        <v>69</v>
      </c>
      <c r="X1513" t="s">
        <v>69</v>
      </c>
      <c r="Y1513" t="s">
        <v>21557</v>
      </c>
      <c r="Z1513" t="s">
        <v>21558</v>
      </c>
      <c r="AA1513" t="s">
        <v>21559</v>
      </c>
      <c r="AB1513" t="s">
        <v>21560</v>
      </c>
      <c r="AC1513" t="s">
        <v>69</v>
      </c>
      <c r="AD1513" t="s">
        <v>21561</v>
      </c>
      <c r="AE1513" t="s">
        <v>21562</v>
      </c>
      <c r="AF1513" t="s">
        <v>21563</v>
      </c>
      <c r="AG1513" t="s">
        <v>21564</v>
      </c>
      <c r="AH1513" t="s">
        <v>69</v>
      </c>
      <c r="AI1513" t="s">
        <v>69</v>
      </c>
      <c r="AJ1513" t="s">
        <v>69</v>
      </c>
      <c r="AK1513" t="s">
        <v>69</v>
      </c>
      <c r="AL1513">
        <v>30</v>
      </c>
      <c r="AM1513">
        <v>1</v>
      </c>
      <c r="AN1513">
        <v>1</v>
      </c>
      <c r="AO1513">
        <v>0</v>
      </c>
      <c r="AP1513">
        <v>8</v>
      </c>
      <c r="AQ1513" t="s">
        <v>21565</v>
      </c>
      <c r="AR1513" t="s">
        <v>21566</v>
      </c>
      <c r="AS1513" t="s">
        <v>21567</v>
      </c>
      <c r="AT1513" t="s">
        <v>21568</v>
      </c>
      <c r="AU1513" t="s">
        <v>21569</v>
      </c>
      <c r="AV1513" t="s">
        <v>69</v>
      </c>
      <c r="AW1513" t="s">
        <v>21570</v>
      </c>
      <c r="AX1513" t="s">
        <v>21571</v>
      </c>
      <c r="AY1513" t="s">
        <v>84</v>
      </c>
      <c r="AZ1513">
        <v>2016</v>
      </c>
      <c r="BA1513">
        <v>44</v>
      </c>
      <c r="BB1513">
        <v>3</v>
      </c>
      <c r="BC1513" t="s">
        <v>69</v>
      </c>
      <c r="BD1513" t="s">
        <v>69</v>
      </c>
      <c r="BE1513" t="s">
        <v>69</v>
      </c>
      <c r="BF1513" t="s">
        <v>69</v>
      </c>
      <c r="BG1513">
        <v>649</v>
      </c>
      <c r="BH1513">
        <v>656</v>
      </c>
      <c r="BI1513" t="s">
        <v>69</v>
      </c>
      <c r="BJ1513" t="s">
        <v>21572</v>
      </c>
      <c r="BK1513" t="str">
        <f>HYPERLINK("http://dx.doi.org/10.3856/vol44-issue3-fulltext-24","http://dx.doi.org/10.3856/vol44-issue3-fulltext-24")</f>
        <v>http://dx.doi.org/10.3856/vol44-issue3-fulltext-24</v>
      </c>
      <c r="BL1513" t="s">
        <v>69</v>
      </c>
      <c r="BM1513" t="s">
        <v>69</v>
      </c>
      <c r="BN1513">
        <v>8</v>
      </c>
      <c r="BO1513" t="s">
        <v>9055</v>
      </c>
      <c r="BP1513" t="s">
        <v>8548</v>
      </c>
      <c r="BQ1513" t="s">
        <v>9055</v>
      </c>
      <c r="BR1513" t="s">
        <v>21573</v>
      </c>
      <c r="BS1513" t="s">
        <v>21574</v>
      </c>
      <c r="BT1513" t="s">
        <v>69</v>
      </c>
      <c r="BU1513" t="s">
        <v>8931</v>
      </c>
      <c r="BV1513" t="s">
        <v>69</v>
      </c>
      <c r="BW1513" t="s">
        <v>69</v>
      </c>
      <c r="BX1513" t="s">
        <v>8526</v>
      </c>
      <c r="BY1513" t="str">
        <f>HYPERLINK("https%3A%2F%2Fwww.webofscience.com%2Fwos%2Fwoscc%2Ffull-record%2FWOS:000383769200024","View Full Record in Web of Science")</f>
        <v>View Full Record in Web of Science</v>
      </c>
    </row>
    <row r="1514" spans="1:77" ht="12.5" x14ac:dyDescent="0.25">
      <c r="A1514" t="s">
        <v>8495</v>
      </c>
      <c r="B1514" s="7" t="s">
        <v>32933</v>
      </c>
      <c r="C1514" s="7"/>
      <c r="D1514" s="7"/>
      <c r="E1514" s="7"/>
      <c r="F1514" t="s">
        <v>67</v>
      </c>
      <c r="G1514" t="s">
        <v>1776</v>
      </c>
      <c r="H1514" t="s">
        <v>69</v>
      </c>
      <c r="I1514" t="s">
        <v>69</v>
      </c>
      <c r="J1514" t="s">
        <v>69</v>
      </c>
      <c r="K1514" t="s">
        <v>1776</v>
      </c>
      <c r="L1514" t="s">
        <v>69</v>
      </c>
      <c r="M1514" t="s">
        <v>69</v>
      </c>
      <c r="N1514" t="s">
        <v>1777</v>
      </c>
      <c r="O1514" t="s">
        <v>1506</v>
      </c>
      <c r="P1514" t="s">
        <v>69</v>
      </c>
      <c r="Q1514" t="s">
        <v>69</v>
      </c>
      <c r="R1514" t="s">
        <v>8505</v>
      </c>
      <c r="S1514" t="s">
        <v>15797</v>
      </c>
      <c r="T1514" t="s">
        <v>1778</v>
      </c>
      <c r="U1514" t="s">
        <v>1779</v>
      </c>
      <c r="V1514" t="s">
        <v>1780</v>
      </c>
      <c r="W1514" t="s">
        <v>69</v>
      </c>
      <c r="X1514" t="s">
        <v>1781</v>
      </c>
      <c r="Y1514" t="s">
        <v>69</v>
      </c>
      <c r="Z1514" t="s">
        <v>69</v>
      </c>
      <c r="AA1514" t="s">
        <v>1782</v>
      </c>
      <c r="AB1514" t="s">
        <v>32044</v>
      </c>
      <c r="AC1514" t="s">
        <v>69</v>
      </c>
      <c r="AD1514" t="s">
        <v>69</v>
      </c>
      <c r="AE1514" t="s">
        <v>69</v>
      </c>
      <c r="AF1514" t="s">
        <v>69</v>
      </c>
      <c r="AG1514" t="s">
        <v>69</v>
      </c>
      <c r="AH1514" t="s">
        <v>69</v>
      </c>
      <c r="AI1514" t="s">
        <v>69</v>
      </c>
      <c r="AJ1514" t="s">
        <v>69</v>
      </c>
      <c r="AK1514" t="s">
        <v>69</v>
      </c>
      <c r="AL1514">
        <v>10</v>
      </c>
      <c r="AM1514">
        <v>27</v>
      </c>
      <c r="AN1514">
        <v>27</v>
      </c>
      <c r="AO1514">
        <v>1</v>
      </c>
      <c r="AP1514">
        <v>26</v>
      </c>
      <c r="AQ1514" t="s">
        <v>31715</v>
      </c>
      <c r="AR1514" t="s">
        <v>9048</v>
      </c>
      <c r="AS1514" t="s">
        <v>31716</v>
      </c>
      <c r="AT1514" t="s">
        <v>1508</v>
      </c>
      <c r="AU1514" t="s">
        <v>69</v>
      </c>
      <c r="AV1514" t="s">
        <v>69</v>
      </c>
      <c r="AW1514" t="s">
        <v>15520</v>
      </c>
      <c r="AX1514" t="s">
        <v>15521</v>
      </c>
      <c r="AY1514" t="s">
        <v>381</v>
      </c>
      <c r="AZ1514">
        <v>1998</v>
      </c>
      <c r="BA1514">
        <v>17</v>
      </c>
      <c r="BB1514">
        <v>13</v>
      </c>
      <c r="BC1514" t="s">
        <v>69</v>
      </c>
      <c r="BD1514" t="s">
        <v>69</v>
      </c>
      <c r="BE1514" t="s">
        <v>69</v>
      </c>
      <c r="BF1514" t="s">
        <v>69</v>
      </c>
      <c r="BG1514">
        <v>1499</v>
      </c>
      <c r="BH1514">
        <v>1507</v>
      </c>
      <c r="BI1514" t="s">
        <v>69</v>
      </c>
      <c r="BJ1514" t="s">
        <v>1783</v>
      </c>
      <c r="BK1514" t="str">
        <f>HYPERLINK("http://dx.doi.org/10.1023/A:1006044130990","http://dx.doi.org/10.1023/A:1006044130990")</f>
        <v>http://dx.doi.org/10.1023/A:1006044130990</v>
      </c>
      <c r="BL1514" t="s">
        <v>69</v>
      </c>
      <c r="BM1514" t="s">
        <v>69</v>
      </c>
      <c r="BN1514">
        <v>9</v>
      </c>
      <c r="BO1514" t="s">
        <v>15523</v>
      </c>
      <c r="BP1514" t="s">
        <v>31324</v>
      </c>
      <c r="BQ1514" t="s">
        <v>15524</v>
      </c>
      <c r="BR1514" t="s">
        <v>32045</v>
      </c>
      <c r="BS1514" t="s">
        <v>1784</v>
      </c>
      <c r="BT1514" t="s">
        <v>69</v>
      </c>
      <c r="BU1514" t="s">
        <v>69</v>
      </c>
      <c r="BV1514" t="s">
        <v>69</v>
      </c>
      <c r="BW1514" t="s">
        <v>69</v>
      </c>
      <c r="BX1514" t="s">
        <v>8526</v>
      </c>
      <c r="BY1514" t="str">
        <f>HYPERLINK("https%3A%2F%2Fwww.webofscience.com%2Fwos%2Fwoscc%2Ffull-record%2FWOS:000076350700010","View Full Record in Web of Science")</f>
        <v>View Full Record in Web of Science</v>
      </c>
    </row>
    <row r="1515" spans="1:77" ht="12.5" x14ac:dyDescent="0.25">
      <c r="A1515" t="s">
        <v>8495</v>
      </c>
      <c r="B1515" s="7" t="s">
        <v>32933</v>
      </c>
      <c r="C1515" s="7"/>
      <c r="D1515" s="7"/>
      <c r="E1515" s="7"/>
      <c r="F1515" t="s">
        <v>67</v>
      </c>
      <c r="G1515" t="s">
        <v>974</v>
      </c>
      <c r="H1515" t="s">
        <v>69</v>
      </c>
      <c r="I1515" t="s">
        <v>69</v>
      </c>
      <c r="J1515" t="s">
        <v>69</v>
      </c>
      <c r="K1515" t="s">
        <v>975</v>
      </c>
      <c r="L1515" t="s">
        <v>69</v>
      </c>
      <c r="M1515" t="s">
        <v>69</v>
      </c>
      <c r="N1515" t="s">
        <v>976</v>
      </c>
      <c r="O1515" t="s">
        <v>977</v>
      </c>
      <c r="P1515" t="s">
        <v>69</v>
      </c>
      <c r="Q1515" t="s">
        <v>69</v>
      </c>
      <c r="R1515" t="s">
        <v>8505</v>
      </c>
      <c r="S1515" t="s">
        <v>8506</v>
      </c>
      <c r="T1515" t="s">
        <v>69</v>
      </c>
      <c r="U1515" t="s">
        <v>69</v>
      </c>
      <c r="V1515" t="s">
        <v>69</v>
      </c>
      <c r="W1515" t="s">
        <v>69</v>
      </c>
      <c r="X1515" t="s">
        <v>69</v>
      </c>
      <c r="Y1515" t="s">
        <v>17618</v>
      </c>
      <c r="Z1515" t="s">
        <v>69</v>
      </c>
      <c r="AA1515" t="s">
        <v>978</v>
      </c>
      <c r="AB1515" t="s">
        <v>17619</v>
      </c>
      <c r="AC1515" t="s">
        <v>69</v>
      </c>
      <c r="AD1515" t="s">
        <v>17620</v>
      </c>
      <c r="AE1515" t="s">
        <v>17621</v>
      </c>
      <c r="AF1515" t="s">
        <v>979</v>
      </c>
      <c r="AG1515" t="s">
        <v>980</v>
      </c>
      <c r="AH1515" t="s">
        <v>69</v>
      </c>
      <c r="AI1515" t="s">
        <v>69</v>
      </c>
      <c r="AJ1515" t="s">
        <v>69</v>
      </c>
      <c r="AK1515" t="s">
        <v>69</v>
      </c>
      <c r="AL1515">
        <v>12</v>
      </c>
      <c r="AM1515">
        <v>3</v>
      </c>
      <c r="AN1515">
        <v>3</v>
      </c>
      <c r="AO1515">
        <v>0</v>
      </c>
      <c r="AP1515">
        <v>6</v>
      </c>
      <c r="AQ1515" t="s">
        <v>8865</v>
      </c>
      <c r="AR1515" t="s">
        <v>8612</v>
      </c>
      <c r="AS1515" t="s">
        <v>8866</v>
      </c>
      <c r="AT1515" t="s">
        <v>981</v>
      </c>
      <c r="AU1515" t="s">
        <v>982</v>
      </c>
      <c r="AV1515" t="s">
        <v>69</v>
      </c>
      <c r="AW1515" t="s">
        <v>17622</v>
      </c>
      <c r="AX1515" t="s">
        <v>17623</v>
      </c>
      <c r="AY1515" t="s">
        <v>837</v>
      </c>
      <c r="AZ1515">
        <v>2019</v>
      </c>
      <c r="BA1515">
        <v>29</v>
      </c>
      <c r="BB1515">
        <v>1</v>
      </c>
      <c r="BC1515" t="s">
        <v>69</v>
      </c>
      <c r="BD1515" t="s">
        <v>69</v>
      </c>
      <c r="BE1515" t="s">
        <v>114</v>
      </c>
      <c r="BF1515" t="s">
        <v>69</v>
      </c>
      <c r="BG1515">
        <v>1</v>
      </c>
      <c r="BH1515">
        <v>6</v>
      </c>
      <c r="BI1515" t="s">
        <v>69</v>
      </c>
      <c r="BJ1515" t="s">
        <v>983</v>
      </c>
      <c r="BK1515" t="str">
        <f>HYPERLINK("http://dx.doi.org/10.1080/21639159.2018.1552533","http://dx.doi.org/10.1080/21639159.2018.1552533")</f>
        <v>http://dx.doi.org/10.1080/21639159.2018.1552533</v>
      </c>
      <c r="BL1515" t="s">
        <v>69</v>
      </c>
      <c r="BM1515" t="s">
        <v>69</v>
      </c>
      <c r="BN1515">
        <v>6</v>
      </c>
      <c r="BO1515" t="s">
        <v>8444</v>
      </c>
      <c r="BP1515" t="s">
        <v>8573</v>
      </c>
      <c r="BQ1515" t="s">
        <v>8594</v>
      </c>
      <c r="BR1515" t="s">
        <v>17624</v>
      </c>
      <c r="BS1515" t="s">
        <v>984</v>
      </c>
      <c r="BT1515" t="s">
        <v>69</v>
      </c>
      <c r="BU1515" t="s">
        <v>69</v>
      </c>
      <c r="BV1515" t="s">
        <v>69</v>
      </c>
      <c r="BW1515" t="s">
        <v>69</v>
      </c>
      <c r="BX1515" t="s">
        <v>8526</v>
      </c>
      <c r="BY1515" t="str">
        <f>HYPERLINK("https%3A%2F%2Fwww.webofscience.com%2Fwos%2Fwoscc%2Ffull-record%2FWOS:000455851500001","View Full Record in Web of Science")</f>
        <v>View Full Record in Web of Science</v>
      </c>
    </row>
    <row r="1516" spans="1:77" x14ac:dyDescent="0.3">
      <c r="A1516" t="s">
        <v>8495</v>
      </c>
      <c r="B1516" s="9" t="s">
        <v>32954</v>
      </c>
      <c r="C1516" s="9" t="s">
        <v>33163</v>
      </c>
      <c r="D1516" s="9" t="s">
        <v>8491</v>
      </c>
      <c r="E1516" s="9" t="s">
        <v>8490</v>
      </c>
      <c r="F1516" t="s">
        <v>67</v>
      </c>
      <c r="G1516" t="s">
        <v>24558</v>
      </c>
      <c r="H1516" t="s">
        <v>69</v>
      </c>
      <c r="I1516" t="s">
        <v>69</v>
      </c>
      <c r="J1516" t="s">
        <v>69</v>
      </c>
      <c r="K1516" t="s">
        <v>24559</v>
      </c>
      <c r="L1516" t="s">
        <v>69</v>
      </c>
      <c r="M1516" t="s">
        <v>69</v>
      </c>
      <c r="N1516" t="s">
        <v>24560</v>
      </c>
      <c r="O1516" t="s">
        <v>715</v>
      </c>
      <c r="P1516" t="s">
        <v>69</v>
      </c>
      <c r="Q1516" t="s">
        <v>69</v>
      </c>
      <c r="R1516" t="s">
        <v>8505</v>
      </c>
      <c r="S1516" t="s">
        <v>8506</v>
      </c>
      <c r="T1516" t="s">
        <v>69</v>
      </c>
      <c r="U1516" t="s">
        <v>69</v>
      </c>
      <c r="V1516" t="s">
        <v>69</v>
      </c>
      <c r="W1516" t="s">
        <v>69</v>
      </c>
      <c r="X1516" t="s">
        <v>69</v>
      </c>
      <c r="Y1516" t="s">
        <v>24561</v>
      </c>
      <c r="Z1516" t="s">
        <v>24562</v>
      </c>
      <c r="AA1516" t="s">
        <v>24563</v>
      </c>
      <c r="AB1516" t="s">
        <v>24564</v>
      </c>
      <c r="AC1516" t="s">
        <v>69</v>
      </c>
      <c r="AD1516" t="s">
        <v>24565</v>
      </c>
      <c r="AE1516" t="s">
        <v>24566</v>
      </c>
      <c r="AF1516" t="s">
        <v>24567</v>
      </c>
      <c r="AG1516" t="s">
        <v>24568</v>
      </c>
      <c r="AH1516" t="s">
        <v>69</v>
      </c>
      <c r="AI1516" t="s">
        <v>69</v>
      </c>
      <c r="AJ1516" t="s">
        <v>69</v>
      </c>
      <c r="AK1516" t="s">
        <v>69</v>
      </c>
      <c r="AL1516">
        <v>58</v>
      </c>
      <c r="AM1516">
        <v>125</v>
      </c>
      <c r="AN1516">
        <v>130</v>
      </c>
      <c r="AO1516">
        <v>4</v>
      </c>
      <c r="AP1516">
        <v>68</v>
      </c>
      <c r="AQ1516" t="s">
        <v>8846</v>
      </c>
      <c r="AR1516" t="s">
        <v>8847</v>
      </c>
      <c r="AS1516" t="s">
        <v>8848</v>
      </c>
      <c r="AT1516" t="s">
        <v>719</v>
      </c>
      <c r="AU1516" t="s">
        <v>720</v>
      </c>
      <c r="AV1516" t="s">
        <v>69</v>
      </c>
      <c r="AW1516" t="s">
        <v>9110</v>
      </c>
      <c r="AX1516" t="s">
        <v>9111</v>
      </c>
      <c r="AY1516" t="s">
        <v>274</v>
      </c>
      <c r="AZ1516">
        <v>2013</v>
      </c>
      <c r="BA1516">
        <v>22</v>
      </c>
      <c r="BB1516">
        <v>7</v>
      </c>
      <c r="BC1516" t="s">
        <v>69</v>
      </c>
      <c r="BD1516" t="s">
        <v>69</v>
      </c>
      <c r="BE1516" t="s">
        <v>69</v>
      </c>
      <c r="BF1516" t="s">
        <v>69</v>
      </c>
      <c r="BG1516">
        <v>484</v>
      </c>
      <c r="BH1516">
        <v>500</v>
      </c>
      <c r="BI1516" t="s">
        <v>69</v>
      </c>
      <c r="BJ1516" t="s">
        <v>24569</v>
      </c>
      <c r="BK1516" t="str">
        <f>HYPERLINK("http://dx.doi.org/10.1002/bse.1764","http://dx.doi.org/10.1002/bse.1764")</f>
        <v>http://dx.doi.org/10.1002/bse.1764</v>
      </c>
      <c r="BL1516" t="s">
        <v>69</v>
      </c>
      <c r="BM1516" t="s">
        <v>69</v>
      </c>
      <c r="BN1516">
        <v>17</v>
      </c>
      <c r="BO1516" t="s">
        <v>9113</v>
      </c>
      <c r="BP1516" t="s">
        <v>8661</v>
      </c>
      <c r="BQ1516" t="s">
        <v>9114</v>
      </c>
      <c r="BR1516" t="s">
        <v>24570</v>
      </c>
      <c r="BS1516" t="s">
        <v>24571</v>
      </c>
      <c r="BT1516" t="s">
        <v>69</v>
      </c>
      <c r="BU1516" t="s">
        <v>69</v>
      </c>
      <c r="BV1516" t="s">
        <v>69</v>
      </c>
      <c r="BW1516" t="s">
        <v>69</v>
      </c>
      <c r="BX1516" t="s">
        <v>8526</v>
      </c>
      <c r="BY1516" t="str">
        <f>HYPERLINK("https%3A%2F%2Fwww.webofscience.com%2Fwos%2Fwoscc%2Ffull-record%2FWOS:000326969500005","View Full Record in Web of Science")</f>
        <v>View Full Record in Web of Science</v>
      </c>
    </row>
    <row r="1517" spans="1:77" ht="12.5" x14ac:dyDescent="0.25">
      <c r="A1517" t="s">
        <v>8495</v>
      </c>
      <c r="B1517" s="22" t="s">
        <v>32931</v>
      </c>
      <c r="C1517" s="7"/>
      <c r="D1517" s="7"/>
      <c r="E1517" s="7"/>
      <c r="F1517" t="s">
        <v>67</v>
      </c>
      <c r="G1517" t="s">
        <v>10198</v>
      </c>
      <c r="H1517" t="s">
        <v>69</v>
      </c>
      <c r="I1517" t="s">
        <v>69</v>
      </c>
      <c r="J1517" t="s">
        <v>69</v>
      </c>
      <c r="K1517" t="s">
        <v>10199</v>
      </c>
      <c r="L1517" t="s">
        <v>69</v>
      </c>
      <c r="M1517" t="s">
        <v>69</v>
      </c>
      <c r="N1517" t="s">
        <v>10200</v>
      </c>
      <c r="O1517" t="s">
        <v>10201</v>
      </c>
      <c r="P1517" t="s">
        <v>69</v>
      </c>
      <c r="Q1517" t="s">
        <v>69</v>
      </c>
      <c r="R1517" t="s">
        <v>8505</v>
      </c>
      <c r="S1517" t="s">
        <v>8506</v>
      </c>
      <c r="T1517" t="s">
        <v>69</v>
      </c>
      <c r="U1517" t="s">
        <v>69</v>
      </c>
      <c r="V1517" t="s">
        <v>69</v>
      </c>
      <c r="W1517" t="s">
        <v>69</v>
      </c>
      <c r="X1517" t="s">
        <v>69</v>
      </c>
      <c r="Y1517" t="s">
        <v>10202</v>
      </c>
      <c r="Z1517" t="s">
        <v>10203</v>
      </c>
      <c r="AA1517" t="s">
        <v>10204</v>
      </c>
      <c r="AB1517" t="s">
        <v>10205</v>
      </c>
      <c r="AC1517" t="s">
        <v>69</v>
      </c>
      <c r="AD1517" t="s">
        <v>10206</v>
      </c>
      <c r="AE1517" t="s">
        <v>10207</v>
      </c>
      <c r="AF1517" t="s">
        <v>69</v>
      </c>
      <c r="AG1517" t="s">
        <v>10208</v>
      </c>
      <c r="AH1517" t="s">
        <v>10209</v>
      </c>
      <c r="AI1517" t="s">
        <v>10210</v>
      </c>
      <c r="AJ1517" t="s">
        <v>10211</v>
      </c>
      <c r="AK1517" t="s">
        <v>69</v>
      </c>
      <c r="AL1517">
        <v>36</v>
      </c>
      <c r="AM1517">
        <v>0</v>
      </c>
      <c r="AN1517">
        <v>0</v>
      </c>
      <c r="AO1517">
        <v>1</v>
      </c>
      <c r="AP1517">
        <v>1</v>
      </c>
      <c r="AQ1517" t="s">
        <v>10212</v>
      </c>
      <c r="AR1517" t="s">
        <v>10213</v>
      </c>
      <c r="AS1517" t="s">
        <v>10214</v>
      </c>
      <c r="AT1517" t="s">
        <v>10215</v>
      </c>
      <c r="AU1517" t="s">
        <v>10216</v>
      </c>
      <c r="AV1517" t="s">
        <v>69</v>
      </c>
      <c r="AW1517" t="s">
        <v>10217</v>
      </c>
      <c r="AX1517" t="s">
        <v>10218</v>
      </c>
      <c r="AY1517" t="s">
        <v>69</v>
      </c>
      <c r="AZ1517">
        <v>2022</v>
      </c>
      <c r="BA1517">
        <v>51</v>
      </c>
      <c r="BB1517" t="s">
        <v>69</v>
      </c>
      <c r="BC1517" t="s">
        <v>69</v>
      </c>
      <c r="BD1517" t="s">
        <v>69</v>
      </c>
      <c r="BE1517" t="s">
        <v>69</v>
      </c>
      <c r="BF1517" t="s">
        <v>69</v>
      </c>
      <c r="BG1517" t="s">
        <v>69</v>
      </c>
      <c r="BH1517" t="s">
        <v>69</v>
      </c>
      <c r="BI1517" t="s">
        <v>10219</v>
      </c>
      <c r="BJ1517" t="s">
        <v>10220</v>
      </c>
      <c r="BK1517" t="str">
        <f>HYPERLINK("http://dx.doi.org/10.37496/rbz5120210049","http://dx.doi.org/10.37496/rbz5120210049")</f>
        <v>http://dx.doi.org/10.37496/rbz5120210049</v>
      </c>
      <c r="BL1517" t="s">
        <v>69</v>
      </c>
      <c r="BM1517" t="s">
        <v>69</v>
      </c>
      <c r="BN1517">
        <v>15</v>
      </c>
      <c r="BO1517" t="s">
        <v>10221</v>
      </c>
      <c r="BP1517" t="s">
        <v>8548</v>
      </c>
      <c r="BQ1517" t="s">
        <v>10222</v>
      </c>
      <c r="BR1517" t="s">
        <v>10223</v>
      </c>
      <c r="BS1517" t="s">
        <v>10224</v>
      </c>
      <c r="BT1517" t="s">
        <v>69</v>
      </c>
      <c r="BU1517" t="s">
        <v>8931</v>
      </c>
      <c r="BV1517" t="s">
        <v>69</v>
      </c>
      <c r="BW1517" t="s">
        <v>69</v>
      </c>
      <c r="BX1517" t="s">
        <v>8526</v>
      </c>
      <c r="BY1517" t="str">
        <f>HYPERLINK("https%3A%2F%2Fwww.webofscience.com%2Fwos%2Fwoscc%2Ffull-record%2FWOS:000797011400001","View Full Record in Web of Science")</f>
        <v>View Full Record in Web of Science</v>
      </c>
    </row>
    <row r="1518" spans="1:77" ht="12.5" x14ac:dyDescent="0.25">
      <c r="A1518" t="s">
        <v>8495</v>
      </c>
      <c r="B1518" s="7" t="s">
        <v>32933</v>
      </c>
      <c r="C1518" s="7"/>
      <c r="D1518" s="7"/>
      <c r="E1518" s="7"/>
      <c r="F1518" t="s">
        <v>67</v>
      </c>
      <c r="G1518" t="s">
        <v>5540</v>
      </c>
      <c r="H1518" t="s">
        <v>69</v>
      </c>
      <c r="I1518" t="s">
        <v>69</v>
      </c>
      <c r="J1518" t="s">
        <v>69</v>
      </c>
      <c r="K1518" t="s">
        <v>5541</v>
      </c>
      <c r="L1518" t="s">
        <v>69</v>
      </c>
      <c r="M1518" t="s">
        <v>69</v>
      </c>
      <c r="N1518" t="s">
        <v>5542</v>
      </c>
      <c r="O1518" t="s">
        <v>5543</v>
      </c>
      <c r="P1518" t="s">
        <v>69</v>
      </c>
      <c r="Q1518" t="s">
        <v>69</v>
      </c>
      <c r="R1518" t="s">
        <v>8505</v>
      </c>
      <c r="S1518" t="s">
        <v>8506</v>
      </c>
      <c r="T1518" t="s">
        <v>69</v>
      </c>
      <c r="U1518" t="s">
        <v>69</v>
      </c>
      <c r="V1518" t="s">
        <v>69</v>
      </c>
      <c r="W1518" t="s">
        <v>69</v>
      </c>
      <c r="X1518" t="s">
        <v>69</v>
      </c>
      <c r="Y1518" t="s">
        <v>69</v>
      </c>
      <c r="Z1518" t="s">
        <v>69</v>
      </c>
      <c r="AA1518" t="s">
        <v>5544</v>
      </c>
      <c r="AB1518" t="s">
        <v>25745</v>
      </c>
      <c r="AC1518" t="s">
        <v>69</v>
      </c>
      <c r="AD1518" t="s">
        <v>69</v>
      </c>
      <c r="AE1518" t="s">
        <v>69</v>
      </c>
      <c r="AF1518" t="s">
        <v>69</v>
      </c>
      <c r="AG1518" t="s">
        <v>69</v>
      </c>
      <c r="AH1518" t="s">
        <v>69</v>
      </c>
      <c r="AI1518" t="s">
        <v>69</v>
      </c>
      <c r="AJ1518" t="s">
        <v>69</v>
      </c>
      <c r="AK1518" t="s">
        <v>69</v>
      </c>
      <c r="AL1518">
        <v>7</v>
      </c>
      <c r="AM1518">
        <v>145</v>
      </c>
      <c r="AN1518">
        <v>147</v>
      </c>
      <c r="AO1518">
        <v>8</v>
      </c>
      <c r="AP1518">
        <v>88</v>
      </c>
      <c r="AQ1518" t="s">
        <v>25746</v>
      </c>
      <c r="AR1518" t="s">
        <v>9979</v>
      </c>
      <c r="AS1518" t="s">
        <v>25747</v>
      </c>
      <c r="AT1518" t="s">
        <v>5545</v>
      </c>
      <c r="AU1518" t="s">
        <v>69</v>
      </c>
      <c r="AV1518" t="s">
        <v>69</v>
      </c>
      <c r="AW1518" t="s">
        <v>25748</v>
      </c>
      <c r="AX1518" t="s">
        <v>25749</v>
      </c>
      <c r="AY1518" t="s">
        <v>1710</v>
      </c>
      <c r="AZ1518">
        <v>2012</v>
      </c>
      <c r="BA1518">
        <v>53</v>
      </c>
      <c r="BB1518">
        <v>2</v>
      </c>
      <c r="BC1518" t="s">
        <v>69</v>
      </c>
      <c r="BD1518" t="s">
        <v>69</v>
      </c>
      <c r="BE1518" t="s">
        <v>69</v>
      </c>
      <c r="BF1518" t="s">
        <v>69</v>
      </c>
      <c r="BG1518">
        <v>69</v>
      </c>
      <c r="BH1518" t="s">
        <v>219</v>
      </c>
      <c r="BI1518" t="s">
        <v>69</v>
      </c>
      <c r="BJ1518" t="s">
        <v>69</v>
      </c>
      <c r="BK1518" t="s">
        <v>69</v>
      </c>
      <c r="BL1518" t="s">
        <v>69</v>
      </c>
      <c r="BM1518" t="s">
        <v>69</v>
      </c>
      <c r="BN1518">
        <v>8</v>
      </c>
      <c r="BO1518" t="s">
        <v>8791</v>
      </c>
      <c r="BP1518" t="s">
        <v>8661</v>
      </c>
      <c r="BQ1518" t="s">
        <v>8594</v>
      </c>
      <c r="BR1518" t="s">
        <v>25750</v>
      </c>
      <c r="BS1518" t="s">
        <v>5546</v>
      </c>
      <c r="BT1518" t="s">
        <v>69</v>
      </c>
      <c r="BU1518" t="s">
        <v>69</v>
      </c>
      <c r="BV1518" t="s">
        <v>69</v>
      </c>
      <c r="BW1518" t="s">
        <v>69</v>
      </c>
      <c r="BX1518" t="s">
        <v>8526</v>
      </c>
      <c r="BY1518" t="str">
        <f>HYPERLINK("https%3A%2F%2Fwww.webofscience.com%2Fwos%2Fwoscc%2Ffull-record%2FWOS:000299025000011","View Full Record in Web of Science")</f>
        <v>View Full Record in Web of Science</v>
      </c>
    </row>
    <row r="1519" spans="1:77" ht="12.5" x14ac:dyDescent="0.25">
      <c r="A1519" t="s">
        <v>8495</v>
      </c>
      <c r="B1519" s="22" t="s">
        <v>32931</v>
      </c>
      <c r="C1519" s="7"/>
      <c r="D1519" s="7"/>
      <c r="E1519" s="7"/>
      <c r="F1519" t="s">
        <v>67</v>
      </c>
      <c r="G1519" t="s">
        <v>25512</v>
      </c>
      <c r="H1519" t="s">
        <v>69</v>
      </c>
      <c r="I1519" t="s">
        <v>69</v>
      </c>
      <c r="J1519" t="s">
        <v>69</v>
      </c>
      <c r="K1519" t="s">
        <v>25513</v>
      </c>
      <c r="L1519" t="s">
        <v>69</v>
      </c>
      <c r="M1519" t="s">
        <v>69</v>
      </c>
      <c r="N1519" t="s">
        <v>25514</v>
      </c>
      <c r="O1519" t="s">
        <v>25515</v>
      </c>
      <c r="P1519" t="s">
        <v>69</v>
      </c>
      <c r="Q1519" t="s">
        <v>69</v>
      </c>
      <c r="R1519" t="s">
        <v>10071</v>
      </c>
      <c r="S1519" t="s">
        <v>8506</v>
      </c>
      <c r="T1519" t="s">
        <v>69</v>
      </c>
      <c r="U1519" t="s">
        <v>69</v>
      </c>
      <c r="V1519" t="s">
        <v>69</v>
      </c>
      <c r="W1519" t="s">
        <v>69</v>
      </c>
      <c r="X1519" t="s">
        <v>69</v>
      </c>
      <c r="Y1519" t="s">
        <v>25516</v>
      </c>
      <c r="Z1519" t="s">
        <v>69</v>
      </c>
      <c r="AA1519" t="s">
        <v>25517</v>
      </c>
      <c r="AB1519" t="s">
        <v>25518</v>
      </c>
      <c r="AC1519" t="s">
        <v>69</v>
      </c>
      <c r="AD1519" t="s">
        <v>25519</v>
      </c>
      <c r="AE1519" t="s">
        <v>23244</v>
      </c>
      <c r="AF1519" t="s">
        <v>23245</v>
      </c>
      <c r="AG1519" t="s">
        <v>23246</v>
      </c>
      <c r="AH1519" t="s">
        <v>69</v>
      </c>
      <c r="AI1519" t="s">
        <v>69</v>
      </c>
      <c r="AJ1519" t="s">
        <v>69</v>
      </c>
      <c r="AK1519" t="s">
        <v>69</v>
      </c>
      <c r="AL1519">
        <v>34</v>
      </c>
      <c r="AM1519">
        <v>0</v>
      </c>
      <c r="AN1519">
        <v>0</v>
      </c>
      <c r="AO1519">
        <v>0</v>
      </c>
      <c r="AP1519">
        <v>0</v>
      </c>
      <c r="AQ1519" t="s">
        <v>25520</v>
      </c>
      <c r="AR1519" t="s">
        <v>21566</v>
      </c>
      <c r="AS1519" t="s">
        <v>25521</v>
      </c>
      <c r="AT1519" t="s">
        <v>25522</v>
      </c>
      <c r="AU1519" t="s">
        <v>69</v>
      </c>
      <c r="AV1519" t="s">
        <v>69</v>
      </c>
      <c r="AW1519" t="s">
        <v>25523</v>
      </c>
      <c r="AX1519" t="s">
        <v>25524</v>
      </c>
      <c r="AY1519" t="s">
        <v>69</v>
      </c>
      <c r="AZ1519">
        <v>2013</v>
      </c>
      <c r="BA1519">
        <v>52</v>
      </c>
      <c r="BB1519">
        <v>1</v>
      </c>
      <c r="BC1519" t="s">
        <v>69</v>
      </c>
      <c r="BD1519" t="s">
        <v>69</v>
      </c>
      <c r="BE1519" t="s">
        <v>69</v>
      </c>
      <c r="BF1519" t="s">
        <v>69</v>
      </c>
      <c r="BG1519">
        <v>31</v>
      </c>
      <c r="BH1519">
        <v>67</v>
      </c>
      <c r="BI1519" t="s">
        <v>69</v>
      </c>
      <c r="BJ1519" t="s">
        <v>69</v>
      </c>
      <c r="BK1519" t="s">
        <v>69</v>
      </c>
      <c r="BL1519" t="s">
        <v>69</v>
      </c>
      <c r="BM1519" t="s">
        <v>69</v>
      </c>
      <c r="BN1519">
        <v>37</v>
      </c>
      <c r="BO1519" t="s">
        <v>9290</v>
      </c>
      <c r="BP1519" t="s">
        <v>8573</v>
      </c>
      <c r="BQ1519" t="s">
        <v>9290</v>
      </c>
      <c r="BR1519" t="s">
        <v>25525</v>
      </c>
      <c r="BS1519" t="s">
        <v>25526</v>
      </c>
      <c r="BT1519" t="s">
        <v>69</v>
      </c>
      <c r="BU1519" t="s">
        <v>69</v>
      </c>
      <c r="BV1519" t="s">
        <v>69</v>
      </c>
      <c r="BW1519" t="s">
        <v>69</v>
      </c>
      <c r="BX1519" t="s">
        <v>8526</v>
      </c>
      <c r="BY1519" t="str">
        <f>HYPERLINK("https%3A%2F%2Fwww.webofscience.com%2Fwos%2Fwoscc%2Ffull-record%2FWOS:000215610500003","View Full Record in Web of Science")</f>
        <v>View Full Record in Web of Science</v>
      </c>
    </row>
    <row r="1520" spans="1:77" ht="12.5" x14ac:dyDescent="0.25">
      <c r="A1520" t="s">
        <v>8495</v>
      </c>
      <c r="B1520" s="7" t="s">
        <v>32933</v>
      </c>
      <c r="C1520" s="7"/>
      <c r="D1520" s="7"/>
      <c r="E1520" s="7"/>
      <c r="F1520" t="s">
        <v>67</v>
      </c>
      <c r="G1520" t="s">
        <v>1395</v>
      </c>
      <c r="H1520" t="s">
        <v>69</v>
      </c>
      <c r="I1520" t="s">
        <v>69</v>
      </c>
      <c r="J1520" t="s">
        <v>69</v>
      </c>
      <c r="K1520" t="s">
        <v>1396</v>
      </c>
      <c r="L1520" t="s">
        <v>69</v>
      </c>
      <c r="M1520" t="s">
        <v>69</v>
      </c>
      <c r="N1520" t="s">
        <v>1397</v>
      </c>
      <c r="O1520" t="s">
        <v>436</v>
      </c>
      <c r="P1520" t="s">
        <v>69</v>
      </c>
      <c r="Q1520" t="s">
        <v>69</v>
      </c>
      <c r="R1520" t="s">
        <v>8505</v>
      </c>
      <c r="S1520" t="s">
        <v>8506</v>
      </c>
      <c r="T1520" t="s">
        <v>69</v>
      </c>
      <c r="U1520" t="s">
        <v>69</v>
      </c>
      <c r="V1520" t="s">
        <v>69</v>
      </c>
      <c r="W1520" t="s">
        <v>69</v>
      </c>
      <c r="X1520" t="s">
        <v>69</v>
      </c>
      <c r="Y1520" t="s">
        <v>24081</v>
      </c>
      <c r="Z1520" t="s">
        <v>69</v>
      </c>
      <c r="AA1520" t="s">
        <v>1398</v>
      </c>
      <c r="AB1520" t="s">
        <v>24082</v>
      </c>
      <c r="AC1520" t="s">
        <v>69</v>
      </c>
      <c r="AD1520" t="s">
        <v>24083</v>
      </c>
      <c r="AE1520" t="s">
        <v>24084</v>
      </c>
      <c r="AF1520" t="s">
        <v>69</v>
      </c>
      <c r="AG1520" t="s">
        <v>1399</v>
      </c>
      <c r="AH1520" t="s">
        <v>69</v>
      </c>
      <c r="AI1520" t="s">
        <v>69</v>
      </c>
      <c r="AJ1520" t="s">
        <v>69</v>
      </c>
      <c r="AK1520" t="s">
        <v>69</v>
      </c>
      <c r="AL1520">
        <v>22</v>
      </c>
      <c r="AM1520">
        <v>8</v>
      </c>
      <c r="AN1520">
        <v>8</v>
      </c>
      <c r="AO1520">
        <v>2</v>
      </c>
      <c r="AP1520">
        <v>23</v>
      </c>
      <c r="AQ1520" t="s">
        <v>8636</v>
      </c>
      <c r="AR1520" t="s">
        <v>8637</v>
      </c>
      <c r="AS1520" t="s">
        <v>8638</v>
      </c>
      <c r="AT1520" t="s">
        <v>440</v>
      </c>
      <c r="AU1520" t="s">
        <v>441</v>
      </c>
      <c r="AV1520" t="s">
        <v>69</v>
      </c>
      <c r="AW1520" t="s">
        <v>8639</v>
      </c>
      <c r="AX1520" t="s">
        <v>8640</v>
      </c>
      <c r="AY1520" t="s">
        <v>451</v>
      </c>
      <c r="AZ1520">
        <v>2014</v>
      </c>
      <c r="BA1520">
        <v>62</v>
      </c>
      <c r="BB1520" t="s">
        <v>69</v>
      </c>
      <c r="BC1520" t="s">
        <v>69</v>
      </c>
      <c r="BD1520" t="s">
        <v>69</v>
      </c>
      <c r="BE1520" t="s">
        <v>69</v>
      </c>
      <c r="BF1520" t="s">
        <v>69</v>
      </c>
      <c r="BG1520">
        <v>128</v>
      </c>
      <c r="BH1520">
        <v>133</v>
      </c>
      <c r="BI1520" t="s">
        <v>69</v>
      </c>
      <c r="BJ1520" t="s">
        <v>1400</v>
      </c>
      <c r="BK1520" t="str">
        <f>HYPERLINK("http://dx.doi.org/10.1016/j.jclepro.2013.03.019","http://dx.doi.org/10.1016/j.jclepro.2013.03.019")</f>
        <v>http://dx.doi.org/10.1016/j.jclepro.2013.03.019</v>
      </c>
      <c r="BL1520" t="s">
        <v>69</v>
      </c>
      <c r="BM1520" t="s">
        <v>69</v>
      </c>
      <c r="BN1520">
        <v>6</v>
      </c>
      <c r="BO1520" t="s">
        <v>8643</v>
      </c>
      <c r="BP1520" t="s">
        <v>8548</v>
      </c>
      <c r="BQ1520" t="s">
        <v>8644</v>
      </c>
      <c r="BR1520" t="s">
        <v>24085</v>
      </c>
      <c r="BS1520" t="s">
        <v>1401</v>
      </c>
      <c r="BT1520" t="s">
        <v>69</v>
      </c>
      <c r="BU1520" t="s">
        <v>69</v>
      </c>
      <c r="BV1520" t="s">
        <v>69</v>
      </c>
      <c r="BW1520" t="s">
        <v>69</v>
      </c>
      <c r="BX1520" t="s">
        <v>8526</v>
      </c>
      <c r="BY1520" t="str">
        <f>HYPERLINK("https%3A%2F%2Fwww.webofscience.com%2Fwos%2Fwoscc%2Ffull-record%2FWOS:000328314400015","View Full Record in Web of Science")</f>
        <v>View Full Record in Web of Science</v>
      </c>
    </row>
    <row r="1521" spans="1:77" ht="12.5" x14ac:dyDescent="0.25">
      <c r="A1521" t="s">
        <v>8495</v>
      </c>
      <c r="B1521" s="7" t="s">
        <v>32933</v>
      </c>
      <c r="C1521" s="7"/>
      <c r="D1521" s="7"/>
      <c r="E1521" s="7"/>
      <c r="F1521" t="s">
        <v>67</v>
      </c>
      <c r="G1521" t="s">
        <v>1357</v>
      </c>
      <c r="H1521" t="s">
        <v>69</v>
      </c>
      <c r="I1521" t="s">
        <v>69</v>
      </c>
      <c r="J1521" t="s">
        <v>69</v>
      </c>
      <c r="K1521" t="s">
        <v>1358</v>
      </c>
      <c r="L1521" t="s">
        <v>69</v>
      </c>
      <c r="M1521" t="s">
        <v>69</v>
      </c>
      <c r="N1521" t="s">
        <v>1359</v>
      </c>
      <c r="O1521" t="s">
        <v>1360</v>
      </c>
      <c r="P1521" t="s">
        <v>69</v>
      </c>
      <c r="Q1521" t="s">
        <v>69</v>
      </c>
      <c r="R1521" t="s">
        <v>8505</v>
      </c>
      <c r="S1521" t="s">
        <v>8506</v>
      </c>
      <c r="T1521" t="s">
        <v>69</v>
      </c>
      <c r="U1521" t="s">
        <v>69</v>
      </c>
      <c r="V1521" t="s">
        <v>69</v>
      </c>
      <c r="W1521" t="s">
        <v>69</v>
      </c>
      <c r="X1521" t="s">
        <v>69</v>
      </c>
      <c r="Y1521" t="s">
        <v>23830</v>
      </c>
      <c r="Z1521" t="s">
        <v>23831</v>
      </c>
      <c r="AA1521" t="s">
        <v>1361</v>
      </c>
      <c r="AB1521" t="s">
        <v>23832</v>
      </c>
      <c r="AC1521" t="s">
        <v>69</v>
      </c>
      <c r="AD1521" t="s">
        <v>23833</v>
      </c>
      <c r="AE1521" t="s">
        <v>23629</v>
      </c>
      <c r="AF1521" t="s">
        <v>1362</v>
      </c>
      <c r="AG1521" t="s">
        <v>1363</v>
      </c>
      <c r="AH1521" t="s">
        <v>23834</v>
      </c>
      <c r="AI1521" t="s">
        <v>23834</v>
      </c>
      <c r="AJ1521" t="s">
        <v>23835</v>
      </c>
      <c r="AK1521" t="s">
        <v>69</v>
      </c>
      <c r="AL1521">
        <v>70</v>
      </c>
      <c r="AM1521">
        <v>170</v>
      </c>
      <c r="AN1521">
        <v>180</v>
      </c>
      <c r="AO1521">
        <v>25</v>
      </c>
      <c r="AP1521">
        <v>175</v>
      </c>
      <c r="AQ1521" t="s">
        <v>8636</v>
      </c>
      <c r="AR1521" t="s">
        <v>8637</v>
      </c>
      <c r="AS1521" t="s">
        <v>8638</v>
      </c>
      <c r="AT1521" t="s">
        <v>1364</v>
      </c>
      <c r="AU1521" t="s">
        <v>1365</v>
      </c>
      <c r="AV1521" t="s">
        <v>69</v>
      </c>
      <c r="AW1521" t="s">
        <v>9698</v>
      </c>
      <c r="AX1521" t="s">
        <v>9699</v>
      </c>
      <c r="AY1521" t="s">
        <v>586</v>
      </c>
      <c r="AZ1521">
        <v>2014</v>
      </c>
      <c r="BA1521">
        <v>39</v>
      </c>
      <c r="BB1521" t="s">
        <v>69</v>
      </c>
      <c r="BC1521" t="s">
        <v>69</v>
      </c>
      <c r="BD1521" t="s">
        <v>69</v>
      </c>
      <c r="BE1521" t="s">
        <v>69</v>
      </c>
      <c r="BF1521" t="s">
        <v>69</v>
      </c>
      <c r="BG1521">
        <v>25</v>
      </c>
      <c r="BH1521">
        <v>34</v>
      </c>
      <c r="BI1521" t="s">
        <v>69</v>
      </c>
      <c r="BJ1521" t="s">
        <v>1366</v>
      </c>
      <c r="BK1521" t="str">
        <f>HYPERLINK("http://dx.doi.org/10.1016/j.envsci.2014.02.003","http://dx.doi.org/10.1016/j.envsci.2014.02.003")</f>
        <v>http://dx.doi.org/10.1016/j.envsci.2014.02.003</v>
      </c>
      <c r="BL1521" t="s">
        <v>69</v>
      </c>
      <c r="BM1521" t="s">
        <v>69</v>
      </c>
      <c r="BN1521">
        <v>10</v>
      </c>
      <c r="BO1521" t="s">
        <v>8717</v>
      </c>
      <c r="BP1521" t="s">
        <v>8548</v>
      </c>
      <c r="BQ1521" t="s">
        <v>8662</v>
      </c>
      <c r="BR1521" t="s">
        <v>23836</v>
      </c>
      <c r="BS1521" t="s">
        <v>1367</v>
      </c>
      <c r="BT1521" t="s">
        <v>69</v>
      </c>
      <c r="BU1521" t="s">
        <v>69</v>
      </c>
      <c r="BV1521" t="s">
        <v>69</v>
      </c>
      <c r="BW1521" t="s">
        <v>69</v>
      </c>
      <c r="BX1521" t="s">
        <v>8526</v>
      </c>
      <c r="BY1521" t="str">
        <f>HYPERLINK("https%3A%2F%2Fwww.webofscience.com%2Fwos%2Fwoscc%2Ffull-record%2FWOS:000336948800003","View Full Record in Web of Science")</f>
        <v>View Full Record in Web of Science</v>
      </c>
    </row>
    <row r="1522" spans="1:77" ht="12.5" x14ac:dyDescent="0.25">
      <c r="A1522" t="s">
        <v>8495</v>
      </c>
      <c r="B1522" s="7" t="s">
        <v>32933</v>
      </c>
      <c r="C1522" s="7"/>
      <c r="D1522" s="7"/>
      <c r="E1522" s="7"/>
      <c r="F1522" t="s">
        <v>67</v>
      </c>
      <c r="G1522" t="s">
        <v>4492</v>
      </c>
      <c r="H1522" t="s">
        <v>69</v>
      </c>
      <c r="I1522" t="s">
        <v>69</v>
      </c>
      <c r="J1522" t="s">
        <v>69</v>
      </c>
      <c r="K1522" t="s">
        <v>4493</v>
      </c>
      <c r="L1522" t="s">
        <v>69</v>
      </c>
      <c r="M1522" t="s">
        <v>69</v>
      </c>
      <c r="N1522" t="s">
        <v>4494</v>
      </c>
      <c r="O1522" t="s">
        <v>4495</v>
      </c>
      <c r="P1522" t="s">
        <v>69</v>
      </c>
      <c r="Q1522" t="s">
        <v>69</v>
      </c>
      <c r="R1522" t="s">
        <v>8505</v>
      </c>
      <c r="S1522" t="s">
        <v>15797</v>
      </c>
      <c r="T1522" t="s">
        <v>4496</v>
      </c>
      <c r="U1522" t="s">
        <v>4497</v>
      </c>
      <c r="V1522" t="s">
        <v>4498</v>
      </c>
      <c r="W1522" t="s">
        <v>69</v>
      </c>
      <c r="X1522" t="s">
        <v>69</v>
      </c>
      <c r="Y1522" t="s">
        <v>23072</v>
      </c>
      <c r="Z1522" t="s">
        <v>69</v>
      </c>
      <c r="AA1522" t="s">
        <v>4499</v>
      </c>
      <c r="AB1522" t="s">
        <v>23073</v>
      </c>
      <c r="AC1522" t="s">
        <v>69</v>
      </c>
      <c r="AD1522" t="s">
        <v>23074</v>
      </c>
      <c r="AE1522" t="s">
        <v>23075</v>
      </c>
      <c r="AF1522" t="s">
        <v>69</v>
      </c>
      <c r="AG1522" t="s">
        <v>23076</v>
      </c>
      <c r="AH1522" t="s">
        <v>23077</v>
      </c>
      <c r="AI1522" t="s">
        <v>23078</v>
      </c>
      <c r="AJ1522" t="s">
        <v>23079</v>
      </c>
      <c r="AK1522" t="s">
        <v>69</v>
      </c>
      <c r="AL1522">
        <v>34</v>
      </c>
      <c r="AM1522">
        <v>6</v>
      </c>
      <c r="AN1522">
        <v>6</v>
      </c>
      <c r="AO1522">
        <v>1</v>
      </c>
      <c r="AP1522">
        <v>9</v>
      </c>
      <c r="AQ1522" t="s">
        <v>23080</v>
      </c>
      <c r="AR1522" t="s">
        <v>16384</v>
      </c>
      <c r="AS1522" t="s">
        <v>23081</v>
      </c>
      <c r="AT1522" t="s">
        <v>4500</v>
      </c>
      <c r="AU1522" t="s">
        <v>4501</v>
      </c>
      <c r="AV1522" t="s">
        <v>69</v>
      </c>
      <c r="AW1522" t="s">
        <v>4495</v>
      </c>
      <c r="AX1522" t="s">
        <v>8485</v>
      </c>
      <c r="AY1522" t="s">
        <v>69</v>
      </c>
      <c r="AZ1522">
        <v>2015</v>
      </c>
      <c r="BA1522">
        <v>41</v>
      </c>
      <c r="BB1522">
        <v>2</v>
      </c>
      <c r="BC1522" t="s">
        <v>69</v>
      </c>
      <c r="BD1522" t="s">
        <v>69</v>
      </c>
      <c r="BE1522" t="s">
        <v>114</v>
      </c>
      <c r="BF1522" t="s">
        <v>69</v>
      </c>
      <c r="BG1522">
        <v>222</v>
      </c>
      <c r="BH1522">
        <v>231</v>
      </c>
      <c r="BI1522" t="s">
        <v>69</v>
      </c>
      <c r="BJ1522" t="s">
        <v>4502</v>
      </c>
      <c r="BK1522" t="str">
        <f>HYPERLINK("http://dx.doi.org/10.4314/wsa.v41i2.07","http://dx.doi.org/10.4314/wsa.v41i2.07")</f>
        <v>http://dx.doi.org/10.4314/wsa.v41i2.07</v>
      </c>
      <c r="BL1522" t="s">
        <v>69</v>
      </c>
      <c r="BM1522" t="s">
        <v>69</v>
      </c>
      <c r="BN1522">
        <v>10</v>
      </c>
      <c r="BO1522" t="s">
        <v>9096</v>
      </c>
      <c r="BP1522" t="s">
        <v>15808</v>
      </c>
      <c r="BQ1522" t="s">
        <v>9096</v>
      </c>
      <c r="BR1522" t="s">
        <v>23082</v>
      </c>
      <c r="BS1522" t="s">
        <v>4503</v>
      </c>
      <c r="BT1522" t="s">
        <v>69</v>
      </c>
      <c r="BU1522" t="s">
        <v>11853</v>
      </c>
      <c r="BV1522" t="s">
        <v>69</v>
      </c>
      <c r="BW1522" t="s">
        <v>69</v>
      </c>
      <c r="BX1522" t="s">
        <v>8526</v>
      </c>
      <c r="BY1522" t="str">
        <f>HYPERLINK("https%3A%2F%2Fwww.webofscience.com%2Fwos%2Fwoscc%2Ffull-record%2FWOS:000355986500007","View Full Record in Web of Science")</f>
        <v>View Full Record in Web of Science</v>
      </c>
    </row>
    <row r="1523" spans="1:77" ht="12.5" x14ac:dyDescent="0.25">
      <c r="A1523" t="s">
        <v>8495</v>
      </c>
      <c r="B1523" s="22" t="s">
        <v>32931</v>
      </c>
      <c r="C1523" s="7"/>
      <c r="D1523" s="7"/>
      <c r="E1523" s="7"/>
      <c r="F1523" t="s">
        <v>67</v>
      </c>
      <c r="G1523" t="s">
        <v>17847</v>
      </c>
      <c r="H1523" t="s">
        <v>69</v>
      </c>
      <c r="I1523" t="s">
        <v>69</v>
      </c>
      <c r="J1523" t="s">
        <v>69</v>
      </c>
      <c r="K1523" t="s">
        <v>17848</v>
      </c>
      <c r="L1523" t="s">
        <v>69</v>
      </c>
      <c r="M1523" t="s">
        <v>69</v>
      </c>
      <c r="N1523" t="s">
        <v>17849</v>
      </c>
      <c r="O1523" t="s">
        <v>17652</v>
      </c>
      <c r="P1523" t="s">
        <v>69</v>
      </c>
      <c r="Q1523" t="s">
        <v>69</v>
      </c>
      <c r="R1523" t="s">
        <v>8505</v>
      </c>
      <c r="S1523" t="s">
        <v>8506</v>
      </c>
      <c r="T1523" t="s">
        <v>69</v>
      </c>
      <c r="U1523" t="s">
        <v>69</v>
      </c>
      <c r="V1523" t="s">
        <v>69</v>
      </c>
      <c r="W1523" t="s">
        <v>69</v>
      </c>
      <c r="X1523" t="s">
        <v>69</v>
      </c>
      <c r="Y1523" t="s">
        <v>17850</v>
      </c>
      <c r="Z1523" t="s">
        <v>17851</v>
      </c>
      <c r="AA1523" t="s">
        <v>17852</v>
      </c>
      <c r="AB1523" t="s">
        <v>17853</v>
      </c>
      <c r="AC1523" t="s">
        <v>69</v>
      </c>
      <c r="AD1523" t="s">
        <v>17854</v>
      </c>
      <c r="AE1523" t="s">
        <v>17855</v>
      </c>
      <c r="AF1523" t="s">
        <v>17856</v>
      </c>
      <c r="AG1523" t="s">
        <v>69</v>
      </c>
      <c r="AH1523" t="s">
        <v>17857</v>
      </c>
      <c r="AI1523" t="s">
        <v>17857</v>
      </c>
      <c r="AJ1523" t="s">
        <v>17858</v>
      </c>
      <c r="AK1523" t="s">
        <v>69</v>
      </c>
      <c r="AL1523">
        <v>33</v>
      </c>
      <c r="AM1523">
        <v>1</v>
      </c>
      <c r="AN1523">
        <v>1</v>
      </c>
      <c r="AO1523">
        <v>1</v>
      </c>
      <c r="AP1523">
        <v>5</v>
      </c>
      <c r="AQ1523" t="s">
        <v>17659</v>
      </c>
      <c r="AR1523" t="s">
        <v>14820</v>
      </c>
      <c r="AS1523" t="s">
        <v>17660</v>
      </c>
      <c r="AT1523" t="s">
        <v>17661</v>
      </c>
      <c r="AU1523" t="s">
        <v>69</v>
      </c>
      <c r="AV1523" t="s">
        <v>69</v>
      </c>
      <c r="AW1523" t="s">
        <v>17662</v>
      </c>
      <c r="AX1523" t="s">
        <v>17663</v>
      </c>
      <c r="AY1523" t="s">
        <v>69</v>
      </c>
      <c r="AZ1523">
        <v>2019</v>
      </c>
      <c r="BA1523">
        <v>21</v>
      </c>
      <c r="BB1523">
        <v>2</v>
      </c>
      <c r="BC1523" t="s">
        <v>69</v>
      </c>
      <c r="BD1523" t="s">
        <v>69</v>
      </c>
      <c r="BE1523" t="s">
        <v>69</v>
      </c>
      <c r="BF1523" t="s">
        <v>69</v>
      </c>
      <c r="BG1523">
        <v>277</v>
      </c>
      <c r="BH1523">
        <v>293</v>
      </c>
      <c r="BI1523" t="s">
        <v>69</v>
      </c>
      <c r="BJ1523" t="s">
        <v>69</v>
      </c>
      <c r="BK1523" t="s">
        <v>69</v>
      </c>
      <c r="BL1523" t="s">
        <v>69</v>
      </c>
      <c r="BM1523" t="s">
        <v>69</v>
      </c>
      <c r="BN1523">
        <v>17</v>
      </c>
      <c r="BO1523" t="s">
        <v>17664</v>
      </c>
      <c r="BP1523" t="s">
        <v>8548</v>
      </c>
      <c r="BQ1523" t="s">
        <v>8450</v>
      </c>
      <c r="BR1523" t="s">
        <v>17859</v>
      </c>
      <c r="BS1523" t="s">
        <v>17860</v>
      </c>
      <c r="BT1523" t="s">
        <v>69</v>
      </c>
      <c r="BU1523" t="s">
        <v>69</v>
      </c>
      <c r="BV1523" t="s">
        <v>69</v>
      </c>
      <c r="BW1523" t="s">
        <v>69</v>
      </c>
      <c r="BX1523" t="s">
        <v>8526</v>
      </c>
      <c r="BY1523" t="str">
        <f>HYPERLINK("https%3A%2F%2Fwww.webofscience.com%2Fwos%2Fwoscc%2Ffull-record%2FWOS:000464857900004","View Full Record in Web of Science")</f>
        <v>View Full Record in Web of Science</v>
      </c>
    </row>
    <row r="1524" spans="1:77" ht="12.5" x14ac:dyDescent="0.25">
      <c r="A1524" t="s">
        <v>8495</v>
      </c>
      <c r="B1524" s="7" t="s">
        <v>32933</v>
      </c>
      <c r="C1524" s="7"/>
      <c r="D1524" s="7"/>
      <c r="E1524" s="7"/>
      <c r="F1524" t="s">
        <v>67</v>
      </c>
      <c r="G1524" t="s">
        <v>8303</v>
      </c>
      <c r="H1524" t="s">
        <v>69</v>
      </c>
      <c r="I1524" t="s">
        <v>69</v>
      </c>
      <c r="J1524" t="s">
        <v>69</v>
      </c>
      <c r="K1524" t="s">
        <v>8304</v>
      </c>
      <c r="L1524" t="s">
        <v>69</v>
      </c>
      <c r="M1524" t="s">
        <v>69</v>
      </c>
      <c r="N1524" t="s">
        <v>8305</v>
      </c>
      <c r="O1524" t="s">
        <v>8306</v>
      </c>
      <c r="P1524" t="s">
        <v>69</v>
      </c>
      <c r="Q1524" t="s">
        <v>69</v>
      </c>
      <c r="R1524" t="s">
        <v>8505</v>
      </c>
      <c r="S1524" t="s">
        <v>8506</v>
      </c>
      <c r="T1524" t="s">
        <v>69</v>
      </c>
      <c r="U1524" t="s">
        <v>69</v>
      </c>
      <c r="V1524" t="s">
        <v>69</v>
      </c>
      <c r="W1524" t="s">
        <v>69</v>
      </c>
      <c r="X1524" t="s">
        <v>69</v>
      </c>
      <c r="Y1524" t="s">
        <v>28919</v>
      </c>
      <c r="Z1524" t="s">
        <v>28920</v>
      </c>
      <c r="AA1524" t="s">
        <v>8307</v>
      </c>
      <c r="AB1524" t="s">
        <v>25759</v>
      </c>
      <c r="AC1524" t="s">
        <v>69</v>
      </c>
      <c r="AD1524" t="s">
        <v>28921</v>
      </c>
      <c r="AE1524" t="s">
        <v>28922</v>
      </c>
      <c r="AF1524" t="s">
        <v>69</v>
      </c>
      <c r="AG1524" t="s">
        <v>69</v>
      </c>
      <c r="AH1524" t="s">
        <v>69</v>
      </c>
      <c r="AI1524" t="s">
        <v>69</v>
      </c>
      <c r="AJ1524" t="s">
        <v>69</v>
      </c>
      <c r="AK1524" t="s">
        <v>69</v>
      </c>
      <c r="AL1524">
        <v>26</v>
      </c>
      <c r="AM1524">
        <v>86</v>
      </c>
      <c r="AN1524">
        <v>88</v>
      </c>
      <c r="AO1524">
        <v>3</v>
      </c>
      <c r="AP1524">
        <v>48</v>
      </c>
      <c r="AQ1524" t="s">
        <v>8865</v>
      </c>
      <c r="AR1524" t="s">
        <v>8612</v>
      </c>
      <c r="AS1524" t="s">
        <v>22341</v>
      </c>
      <c r="AT1524" t="s">
        <v>8308</v>
      </c>
      <c r="AU1524" t="s">
        <v>69</v>
      </c>
      <c r="AV1524" t="s">
        <v>69</v>
      </c>
      <c r="AW1524" t="s">
        <v>28923</v>
      </c>
      <c r="AX1524" t="s">
        <v>28924</v>
      </c>
      <c r="AY1524" t="s">
        <v>69</v>
      </c>
      <c r="AZ1524">
        <v>2009</v>
      </c>
      <c r="BA1524">
        <v>75</v>
      </c>
      <c r="BB1524">
        <v>4</v>
      </c>
      <c r="BC1524" t="s">
        <v>69</v>
      </c>
      <c r="BD1524" t="s">
        <v>69</v>
      </c>
      <c r="BE1524" t="s">
        <v>69</v>
      </c>
      <c r="BF1524" t="s">
        <v>69</v>
      </c>
      <c r="BG1524">
        <v>424</v>
      </c>
      <c r="BH1524">
        <v>440</v>
      </c>
      <c r="BI1524" t="s">
        <v>69</v>
      </c>
      <c r="BJ1524" t="s">
        <v>8309</v>
      </c>
      <c r="BK1524" t="str">
        <f>HYPERLINK("http://dx.doi.org/10.1080/01944360903148174","http://dx.doi.org/10.1080/01944360903148174")</f>
        <v>http://dx.doi.org/10.1080/01944360903148174</v>
      </c>
      <c r="BL1524" t="s">
        <v>69</v>
      </c>
      <c r="BM1524" t="s">
        <v>69</v>
      </c>
      <c r="BN1524">
        <v>17</v>
      </c>
      <c r="BO1524" t="s">
        <v>9944</v>
      </c>
      <c r="BP1524" t="s">
        <v>8661</v>
      </c>
      <c r="BQ1524" t="s">
        <v>9945</v>
      </c>
      <c r="BR1524" t="s">
        <v>28925</v>
      </c>
      <c r="BS1524" t="s">
        <v>8310</v>
      </c>
      <c r="BT1524" t="s">
        <v>69</v>
      </c>
      <c r="BU1524" t="s">
        <v>69</v>
      </c>
      <c r="BV1524" t="s">
        <v>69</v>
      </c>
      <c r="BW1524" t="s">
        <v>69</v>
      </c>
      <c r="BX1524" t="s">
        <v>8526</v>
      </c>
      <c r="BY1524" t="str">
        <f>HYPERLINK("https%3A%2F%2Fwww.webofscience.com%2Fwos%2Fwoscc%2Ffull-record%2FWOS:000271018500003","View Full Record in Web of Science")</f>
        <v>View Full Record in Web of Science</v>
      </c>
    </row>
    <row r="1525" spans="1:77" ht="12.5" x14ac:dyDescent="0.25">
      <c r="A1525" t="s">
        <v>8495</v>
      </c>
      <c r="B1525" s="22" t="s">
        <v>32931</v>
      </c>
      <c r="C1525" s="7"/>
      <c r="D1525" s="7"/>
      <c r="E1525" s="7"/>
      <c r="F1525" t="s">
        <v>67</v>
      </c>
      <c r="G1525" t="s">
        <v>24880</v>
      </c>
      <c r="H1525" t="s">
        <v>69</v>
      </c>
      <c r="I1525" t="s">
        <v>69</v>
      </c>
      <c r="J1525" t="s">
        <v>69</v>
      </c>
      <c r="K1525" t="s">
        <v>24881</v>
      </c>
      <c r="L1525" t="s">
        <v>69</v>
      </c>
      <c r="M1525" t="s">
        <v>69</v>
      </c>
      <c r="N1525" t="s">
        <v>24882</v>
      </c>
      <c r="O1525" t="s">
        <v>24883</v>
      </c>
      <c r="P1525" t="s">
        <v>69</v>
      </c>
      <c r="Q1525" t="s">
        <v>69</v>
      </c>
      <c r="R1525" t="s">
        <v>8505</v>
      </c>
      <c r="S1525" t="s">
        <v>8506</v>
      </c>
      <c r="T1525" t="s">
        <v>69</v>
      </c>
      <c r="U1525" t="s">
        <v>69</v>
      </c>
      <c r="V1525" t="s">
        <v>69</v>
      </c>
      <c r="W1525" t="s">
        <v>69</v>
      </c>
      <c r="X1525" t="s">
        <v>69</v>
      </c>
      <c r="Y1525" t="s">
        <v>24884</v>
      </c>
      <c r="Z1525" t="s">
        <v>69</v>
      </c>
      <c r="AA1525" t="s">
        <v>24885</v>
      </c>
      <c r="AB1525" t="s">
        <v>24886</v>
      </c>
      <c r="AC1525" t="s">
        <v>69</v>
      </c>
      <c r="AD1525" t="s">
        <v>24887</v>
      </c>
      <c r="AE1525" t="s">
        <v>24888</v>
      </c>
      <c r="AF1525" t="s">
        <v>69</v>
      </c>
      <c r="AG1525" t="s">
        <v>69</v>
      </c>
      <c r="AH1525" t="s">
        <v>69</v>
      </c>
      <c r="AI1525" t="s">
        <v>69</v>
      </c>
      <c r="AJ1525" t="s">
        <v>69</v>
      </c>
      <c r="AK1525" t="s">
        <v>69</v>
      </c>
      <c r="AL1525">
        <v>15</v>
      </c>
      <c r="AM1525">
        <v>0</v>
      </c>
      <c r="AN1525">
        <v>0</v>
      </c>
      <c r="AO1525">
        <v>0</v>
      </c>
      <c r="AP1525">
        <v>0</v>
      </c>
      <c r="AQ1525" t="s">
        <v>8636</v>
      </c>
      <c r="AR1525" t="s">
        <v>8637</v>
      </c>
      <c r="AS1525" t="s">
        <v>8638</v>
      </c>
      <c r="AT1525" t="s">
        <v>24889</v>
      </c>
      <c r="AU1525" t="s">
        <v>24890</v>
      </c>
      <c r="AV1525" t="s">
        <v>69</v>
      </c>
      <c r="AW1525" t="s">
        <v>24891</v>
      </c>
      <c r="AX1525" t="s">
        <v>24892</v>
      </c>
      <c r="AY1525" t="s">
        <v>84</v>
      </c>
      <c r="AZ1525">
        <v>2013</v>
      </c>
      <c r="BA1525">
        <v>11</v>
      </c>
      <c r="BB1525">
        <v>2</v>
      </c>
      <c r="BC1525" t="s">
        <v>69</v>
      </c>
      <c r="BD1525" t="s">
        <v>69</v>
      </c>
      <c r="BE1525" t="s">
        <v>69</v>
      </c>
      <c r="BF1525" t="s">
        <v>69</v>
      </c>
      <c r="BG1525">
        <v>55</v>
      </c>
      <c r="BH1525">
        <v>65</v>
      </c>
      <c r="BI1525" t="s">
        <v>69</v>
      </c>
      <c r="BJ1525" t="s">
        <v>24893</v>
      </c>
      <c r="BK1525" t="str">
        <f>HYPERLINK("http://dx.doi.org/10.1016/j.ijme.2013.01.001","http://dx.doi.org/10.1016/j.ijme.2013.01.001")</f>
        <v>http://dx.doi.org/10.1016/j.ijme.2013.01.001</v>
      </c>
      <c r="BL1525" t="s">
        <v>69</v>
      </c>
      <c r="BM1525" t="s">
        <v>69</v>
      </c>
      <c r="BN1525">
        <v>11</v>
      </c>
      <c r="BO1525" t="s">
        <v>24894</v>
      </c>
      <c r="BP1525" t="s">
        <v>8573</v>
      </c>
      <c r="BQ1525" t="s">
        <v>24895</v>
      </c>
      <c r="BR1525" t="s">
        <v>24896</v>
      </c>
      <c r="BS1525" t="s">
        <v>24897</v>
      </c>
      <c r="BT1525" t="s">
        <v>69</v>
      </c>
      <c r="BU1525" t="s">
        <v>69</v>
      </c>
      <c r="BV1525" t="s">
        <v>69</v>
      </c>
      <c r="BW1525" t="s">
        <v>69</v>
      </c>
      <c r="BX1525" t="s">
        <v>8526</v>
      </c>
      <c r="BY1525" t="str">
        <f>HYPERLINK("https%3A%2F%2Fwww.webofscience.com%2Fwos%2Fwoscc%2Ffull-record%2FWOS:000438419500001","View Full Record in Web of Science")</f>
        <v>View Full Record in Web of Science</v>
      </c>
    </row>
    <row r="1526" spans="1:77" x14ac:dyDescent="0.3">
      <c r="A1526" t="s">
        <v>8495</v>
      </c>
      <c r="B1526" s="10" t="s">
        <v>33025</v>
      </c>
      <c r="F1526" t="s">
        <v>67</v>
      </c>
      <c r="G1526" t="s">
        <v>357</v>
      </c>
      <c r="H1526" t="s">
        <v>69</v>
      </c>
      <c r="I1526" t="s">
        <v>69</v>
      </c>
      <c r="J1526" t="s">
        <v>69</v>
      </c>
      <c r="K1526" t="s">
        <v>358</v>
      </c>
      <c r="L1526" t="s">
        <v>69</v>
      </c>
      <c r="M1526" t="s">
        <v>69</v>
      </c>
      <c r="N1526" s="2" t="s">
        <v>359</v>
      </c>
      <c r="O1526" t="s">
        <v>360</v>
      </c>
      <c r="P1526" t="s">
        <v>69</v>
      </c>
      <c r="Q1526" t="s">
        <v>69</v>
      </c>
      <c r="R1526" t="s">
        <v>8505</v>
      </c>
      <c r="S1526" t="s">
        <v>8506</v>
      </c>
      <c r="T1526" t="s">
        <v>69</v>
      </c>
      <c r="U1526" t="s">
        <v>69</v>
      </c>
      <c r="V1526" t="s">
        <v>69</v>
      </c>
      <c r="W1526" t="s">
        <v>69</v>
      </c>
      <c r="X1526" t="s">
        <v>69</v>
      </c>
      <c r="Y1526" t="s">
        <v>17030</v>
      </c>
      <c r="Z1526" t="s">
        <v>17031</v>
      </c>
      <c r="AA1526" t="s">
        <v>361</v>
      </c>
      <c r="AB1526" t="s">
        <v>17032</v>
      </c>
      <c r="AC1526" t="s">
        <v>69</v>
      </c>
      <c r="AD1526" t="s">
        <v>17033</v>
      </c>
      <c r="AE1526" t="s">
        <v>17034</v>
      </c>
      <c r="AF1526" t="s">
        <v>69</v>
      </c>
      <c r="AG1526" t="s">
        <v>362</v>
      </c>
      <c r="AH1526" t="s">
        <v>17035</v>
      </c>
      <c r="AI1526" t="s">
        <v>17036</v>
      </c>
      <c r="AJ1526" t="s">
        <v>17037</v>
      </c>
      <c r="AK1526" t="s">
        <v>69</v>
      </c>
      <c r="AL1526">
        <v>67</v>
      </c>
      <c r="AM1526">
        <v>0</v>
      </c>
      <c r="AN1526">
        <v>0</v>
      </c>
      <c r="AO1526">
        <v>0</v>
      </c>
      <c r="AP1526">
        <v>9</v>
      </c>
      <c r="AQ1526" t="s">
        <v>8865</v>
      </c>
      <c r="AR1526" t="s">
        <v>8612</v>
      </c>
      <c r="AS1526" t="s">
        <v>8866</v>
      </c>
      <c r="AT1526" t="s">
        <v>363</v>
      </c>
      <c r="AU1526" t="s">
        <v>69</v>
      </c>
      <c r="AV1526" t="s">
        <v>69</v>
      </c>
      <c r="AW1526" t="s">
        <v>17038</v>
      </c>
      <c r="AX1526" t="s">
        <v>17039</v>
      </c>
      <c r="AY1526" t="s">
        <v>364</v>
      </c>
      <c r="AZ1526">
        <v>2019</v>
      </c>
      <c r="BA1526">
        <v>5</v>
      </c>
      <c r="BB1526">
        <v>3</v>
      </c>
      <c r="BC1526" t="s">
        <v>69</v>
      </c>
      <c r="BD1526" t="s">
        <v>69</v>
      </c>
      <c r="BE1526" t="s">
        <v>69</v>
      </c>
      <c r="BF1526" t="s">
        <v>69</v>
      </c>
      <c r="BG1526">
        <v>308</v>
      </c>
      <c r="BH1526">
        <v>322</v>
      </c>
      <c r="BI1526" t="s">
        <v>69</v>
      </c>
      <c r="BJ1526" t="s">
        <v>365</v>
      </c>
      <c r="BK1526" t="str">
        <f>HYPERLINK("http://dx.doi.org/10.1080/23251042.2018.1564455","http://dx.doi.org/10.1080/23251042.2018.1564455")</f>
        <v>http://dx.doi.org/10.1080/23251042.2018.1564455</v>
      </c>
      <c r="BL1526" t="s">
        <v>69</v>
      </c>
      <c r="BM1526" t="s">
        <v>69</v>
      </c>
      <c r="BN1526">
        <v>15</v>
      </c>
      <c r="BO1526" t="s">
        <v>8660</v>
      </c>
      <c r="BP1526" t="s">
        <v>8573</v>
      </c>
      <c r="BQ1526" t="s">
        <v>8662</v>
      </c>
      <c r="BR1526" t="s">
        <v>17040</v>
      </c>
      <c r="BS1526" t="s">
        <v>366</v>
      </c>
      <c r="BT1526" t="s">
        <v>69</v>
      </c>
      <c r="BU1526" t="s">
        <v>69</v>
      </c>
      <c r="BV1526" t="s">
        <v>69</v>
      </c>
      <c r="BW1526" t="s">
        <v>69</v>
      </c>
      <c r="BX1526" t="s">
        <v>8526</v>
      </c>
      <c r="BY1526" t="str">
        <f>HYPERLINK("https%3A%2F%2Fwww.webofscience.com%2Fwos%2Fwoscc%2Ffull-record%2FWOS:000473520900008","View Full Record in Web of Science")</f>
        <v>View Full Record in Web of Science</v>
      </c>
    </row>
    <row r="1527" spans="1:77" x14ac:dyDescent="0.3">
      <c r="A1527" t="s">
        <v>8495</v>
      </c>
      <c r="B1527" s="9" t="s">
        <v>32954</v>
      </c>
      <c r="C1527" s="9" t="s">
        <v>33118</v>
      </c>
      <c r="D1527" s="9" t="s">
        <v>8491</v>
      </c>
      <c r="E1527" s="9" t="s">
        <v>8490</v>
      </c>
      <c r="F1527" t="s">
        <v>67</v>
      </c>
      <c r="G1527" t="s">
        <v>30416</v>
      </c>
      <c r="H1527" t="s">
        <v>69</v>
      </c>
      <c r="I1527" t="s">
        <v>69</v>
      </c>
      <c r="J1527" t="s">
        <v>69</v>
      </c>
      <c r="K1527" t="s">
        <v>30417</v>
      </c>
      <c r="L1527" t="s">
        <v>69</v>
      </c>
      <c r="M1527" t="s">
        <v>69</v>
      </c>
      <c r="N1527" t="s">
        <v>30418</v>
      </c>
      <c r="O1527" t="s">
        <v>27956</v>
      </c>
      <c r="P1527" t="s">
        <v>69</v>
      </c>
      <c r="Q1527" t="s">
        <v>69</v>
      </c>
      <c r="R1527" t="s">
        <v>8505</v>
      </c>
      <c r="S1527" t="s">
        <v>8506</v>
      </c>
      <c r="T1527" t="s">
        <v>69</v>
      </c>
      <c r="U1527" t="s">
        <v>69</v>
      </c>
      <c r="V1527" t="s">
        <v>69</v>
      </c>
      <c r="W1527" t="s">
        <v>69</v>
      </c>
      <c r="X1527" t="s">
        <v>69</v>
      </c>
      <c r="Y1527" t="s">
        <v>30419</v>
      </c>
      <c r="Z1527" t="s">
        <v>69</v>
      </c>
      <c r="AA1527" t="s">
        <v>30420</v>
      </c>
      <c r="AB1527" t="s">
        <v>30421</v>
      </c>
      <c r="AC1527" t="s">
        <v>69</v>
      </c>
      <c r="AD1527" t="s">
        <v>30422</v>
      </c>
      <c r="AE1527" t="s">
        <v>30423</v>
      </c>
      <c r="AF1527" t="s">
        <v>69</v>
      </c>
      <c r="AG1527" t="s">
        <v>69</v>
      </c>
      <c r="AH1527" t="s">
        <v>69</v>
      </c>
      <c r="AI1527" t="s">
        <v>69</v>
      </c>
      <c r="AJ1527" t="s">
        <v>69</v>
      </c>
      <c r="AK1527" t="s">
        <v>69</v>
      </c>
      <c r="AL1527">
        <v>21</v>
      </c>
      <c r="AM1527">
        <v>100</v>
      </c>
      <c r="AN1527">
        <v>101</v>
      </c>
      <c r="AO1527">
        <v>0</v>
      </c>
      <c r="AP1527">
        <v>2</v>
      </c>
      <c r="AQ1527" t="s">
        <v>8865</v>
      </c>
      <c r="AR1527" t="s">
        <v>8612</v>
      </c>
      <c r="AS1527" t="s">
        <v>8866</v>
      </c>
      <c r="AT1527" t="s">
        <v>27962</v>
      </c>
      <c r="AU1527" t="s">
        <v>27963</v>
      </c>
      <c r="AV1527" t="s">
        <v>69</v>
      </c>
      <c r="AW1527" t="s">
        <v>27964</v>
      </c>
      <c r="AX1527" t="s">
        <v>27965</v>
      </c>
      <c r="AY1527" t="s">
        <v>69</v>
      </c>
      <c r="AZ1527">
        <v>2006</v>
      </c>
      <c r="BA1527">
        <v>24</v>
      </c>
      <c r="BB1527">
        <v>2</v>
      </c>
      <c r="BC1527" t="s">
        <v>69</v>
      </c>
      <c r="BD1527" t="s">
        <v>69</v>
      </c>
      <c r="BE1527" t="s">
        <v>69</v>
      </c>
      <c r="BF1527" t="s">
        <v>69</v>
      </c>
      <c r="BG1527">
        <v>113</v>
      </c>
      <c r="BH1527">
        <v>120</v>
      </c>
      <c r="BI1527" t="s">
        <v>69</v>
      </c>
      <c r="BJ1527" t="s">
        <v>30424</v>
      </c>
      <c r="BK1527" t="str">
        <f>HYPERLINK("http://dx.doi.org/10.1080/01446190500204804","http://dx.doi.org/10.1080/01446190500204804")</f>
        <v>http://dx.doi.org/10.1080/01446190500204804</v>
      </c>
      <c r="BL1527" t="s">
        <v>69</v>
      </c>
      <c r="BM1527" t="s">
        <v>69</v>
      </c>
      <c r="BN1527">
        <v>8</v>
      </c>
      <c r="BO1527" t="s">
        <v>8444</v>
      </c>
      <c r="BP1527" t="s">
        <v>8573</v>
      </c>
      <c r="BQ1527" t="s">
        <v>8594</v>
      </c>
      <c r="BR1527" t="s">
        <v>30425</v>
      </c>
      <c r="BS1527" t="s">
        <v>30426</v>
      </c>
      <c r="BT1527" t="s">
        <v>69</v>
      </c>
      <c r="BU1527" t="s">
        <v>69</v>
      </c>
      <c r="BV1527" t="s">
        <v>69</v>
      </c>
      <c r="BW1527" t="s">
        <v>69</v>
      </c>
      <c r="BX1527" t="s">
        <v>8526</v>
      </c>
      <c r="BY1527" t="str">
        <f>HYPERLINK("https%3A%2F%2Fwww.webofscience.com%2Fwos%2Fwoscc%2Ffull-record%2FWOS:000213193500002","View Full Record in Web of Science")</f>
        <v>View Full Record in Web of Science</v>
      </c>
    </row>
    <row r="1528" spans="1:77" ht="12.5" x14ac:dyDescent="0.25">
      <c r="A1528" t="s">
        <v>8495</v>
      </c>
      <c r="B1528" s="22" t="s">
        <v>32931</v>
      </c>
      <c r="C1528" s="7"/>
      <c r="D1528" s="7"/>
      <c r="E1528" s="7"/>
      <c r="F1528" t="s">
        <v>67</v>
      </c>
      <c r="G1528" t="s">
        <v>13169</v>
      </c>
      <c r="H1528" t="s">
        <v>69</v>
      </c>
      <c r="I1528" t="s">
        <v>69</v>
      </c>
      <c r="J1528" t="s">
        <v>69</v>
      </c>
      <c r="K1528" t="s">
        <v>13170</v>
      </c>
      <c r="L1528" t="s">
        <v>69</v>
      </c>
      <c r="M1528" t="s">
        <v>69</v>
      </c>
      <c r="N1528" t="s">
        <v>13171</v>
      </c>
      <c r="O1528" t="s">
        <v>13172</v>
      </c>
      <c r="P1528" t="s">
        <v>69</v>
      </c>
      <c r="Q1528" t="s">
        <v>69</v>
      </c>
      <c r="R1528" t="s">
        <v>8505</v>
      </c>
      <c r="S1528" t="s">
        <v>8506</v>
      </c>
      <c r="T1528" t="s">
        <v>69</v>
      </c>
      <c r="U1528" t="s">
        <v>69</v>
      </c>
      <c r="V1528" t="s">
        <v>69</v>
      </c>
      <c r="W1528" t="s">
        <v>69</v>
      </c>
      <c r="X1528" t="s">
        <v>69</v>
      </c>
      <c r="Y1528" t="s">
        <v>13173</v>
      </c>
      <c r="Z1528" t="s">
        <v>69</v>
      </c>
      <c r="AA1528" t="s">
        <v>13174</v>
      </c>
      <c r="AB1528" t="s">
        <v>13175</v>
      </c>
      <c r="AC1528" t="s">
        <v>69</v>
      </c>
      <c r="AD1528" t="s">
        <v>13176</v>
      </c>
      <c r="AE1528" t="s">
        <v>13177</v>
      </c>
      <c r="AF1528" t="s">
        <v>69</v>
      </c>
      <c r="AG1528" t="s">
        <v>69</v>
      </c>
      <c r="AH1528" t="s">
        <v>69</v>
      </c>
      <c r="AI1528" t="s">
        <v>69</v>
      </c>
      <c r="AJ1528" t="s">
        <v>69</v>
      </c>
      <c r="AK1528" t="s">
        <v>69</v>
      </c>
      <c r="AL1528">
        <v>43</v>
      </c>
      <c r="AM1528">
        <v>2</v>
      </c>
      <c r="AN1528">
        <v>2</v>
      </c>
      <c r="AO1528">
        <v>2</v>
      </c>
      <c r="AP1528">
        <v>4</v>
      </c>
      <c r="AQ1528" t="s">
        <v>13178</v>
      </c>
      <c r="AR1528" t="s">
        <v>13179</v>
      </c>
      <c r="AS1528" t="s">
        <v>13180</v>
      </c>
      <c r="AT1528" t="s">
        <v>13181</v>
      </c>
      <c r="AU1528" t="s">
        <v>13182</v>
      </c>
      <c r="AV1528" t="s">
        <v>69</v>
      </c>
      <c r="AW1528" t="s">
        <v>13183</v>
      </c>
      <c r="AX1528" t="s">
        <v>13184</v>
      </c>
      <c r="AY1528" t="s">
        <v>191</v>
      </c>
      <c r="AZ1528">
        <v>2021</v>
      </c>
      <c r="BA1528">
        <v>18</v>
      </c>
      <c r="BB1528">
        <v>1</v>
      </c>
      <c r="BC1528" t="s">
        <v>69</v>
      </c>
      <c r="BD1528" t="s">
        <v>69</v>
      </c>
      <c r="BE1528" t="s">
        <v>69</v>
      </c>
      <c r="BF1528" t="s">
        <v>69</v>
      </c>
      <c r="BG1528">
        <v>7</v>
      </c>
      <c r="BH1528">
        <v>14</v>
      </c>
      <c r="BI1528" t="s">
        <v>69</v>
      </c>
      <c r="BJ1528" t="s">
        <v>69</v>
      </c>
      <c r="BK1528" t="s">
        <v>69</v>
      </c>
      <c r="BL1528" t="s">
        <v>69</v>
      </c>
      <c r="BM1528" t="s">
        <v>69</v>
      </c>
      <c r="BN1528">
        <v>8</v>
      </c>
      <c r="BO1528" t="s">
        <v>8452</v>
      </c>
      <c r="BP1528" t="s">
        <v>8573</v>
      </c>
      <c r="BQ1528" t="s">
        <v>10084</v>
      </c>
      <c r="BR1528" t="s">
        <v>13185</v>
      </c>
      <c r="BS1528" t="s">
        <v>13186</v>
      </c>
      <c r="BT1528" t="s">
        <v>69</v>
      </c>
      <c r="BU1528" t="s">
        <v>69</v>
      </c>
      <c r="BV1528" t="s">
        <v>69</v>
      </c>
      <c r="BW1528" t="s">
        <v>69</v>
      </c>
      <c r="BX1528" t="s">
        <v>8526</v>
      </c>
      <c r="BY1528" t="str">
        <f>HYPERLINK("https%3A%2F%2Fwww.webofscience.com%2Fwos%2Fwoscc%2Ffull-record%2FWOS:000623568700002","View Full Record in Web of Science")</f>
        <v>View Full Record in Web of Science</v>
      </c>
    </row>
    <row r="1529" spans="1:77" x14ac:dyDescent="0.3">
      <c r="A1529" t="s">
        <v>8495</v>
      </c>
      <c r="B1529" s="9" t="s">
        <v>32954</v>
      </c>
      <c r="C1529" s="9" t="s">
        <v>33164</v>
      </c>
      <c r="D1529" s="9" t="s">
        <v>8491</v>
      </c>
      <c r="E1529" s="9" t="s">
        <v>8490</v>
      </c>
      <c r="F1529" t="s">
        <v>67</v>
      </c>
      <c r="G1529" t="s">
        <v>11889</v>
      </c>
      <c r="H1529" t="s">
        <v>69</v>
      </c>
      <c r="I1529" t="s">
        <v>69</v>
      </c>
      <c r="J1529" t="s">
        <v>69</v>
      </c>
      <c r="K1529" t="s">
        <v>11890</v>
      </c>
      <c r="L1529" t="s">
        <v>69</v>
      </c>
      <c r="M1529" t="s">
        <v>69</v>
      </c>
      <c r="N1529" t="s">
        <v>11891</v>
      </c>
      <c r="O1529" t="s">
        <v>352</v>
      </c>
      <c r="P1529" t="s">
        <v>69</v>
      </c>
      <c r="Q1529" t="s">
        <v>69</v>
      </c>
      <c r="R1529" t="s">
        <v>8505</v>
      </c>
      <c r="S1529" t="s">
        <v>8506</v>
      </c>
      <c r="T1529" t="s">
        <v>69</v>
      </c>
      <c r="U1529" t="s">
        <v>69</v>
      </c>
      <c r="V1529" t="s">
        <v>69</v>
      </c>
      <c r="W1529" t="s">
        <v>69</v>
      </c>
      <c r="X1529" t="s">
        <v>69</v>
      </c>
      <c r="Y1529" t="s">
        <v>11892</v>
      </c>
      <c r="Z1529" t="s">
        <v>69</v>
      </c>
      <c r="AA1529" t="s">
        <v>11893</v>
      </c>
      <c r="AB1529" t="s">
        <v>11894</v>
      </c>
      <c r="AC1529" t="s">
        <v>69</v>
      </c>
      <c r="AD1529" t="s">
        <v>11895</v>
      </c>
      <c r="AE1529" t="s">
        <v>11896</v>
      </c>
      <c r="AF1529" t="s">
        <v>69</v>
      </c>
      <c r="AG1529" t="s">
        <v>11897</v>
      </c>
      <c r="AH1529" t="s">
        <v>11898</v>
      </c>
      <c r="AI1529" t="s">
        <v>11899</v>
      </c>
      <c r="AJ1529" t="s">
        <v>11900</v>
      </c>
      <c r="AK1529" t="s">
        <v>69</v>
      </c>
      <c r="AL1529">
        <v>29</v>
      </c>
      <c r="AM1529">
        <v>1</v>
      </c>
      <c r="AN1529">
        <v>1</v>
      </c>
      <c r="AO1529">
        <v>9</v>
      </c>
      <c r="AP1529">
        <v>17</v>
      </c>
      <c r="AQ1529" t="s">
        <v>8924</v>
      </c>
      <c r="AR1529" t="s">
        <v>8925</v>
      </c>
      <c r="AS1529" t="s">
        <v>8926</v>
      </c>
      <c r="AT1529" t="s">
        <v>69</v>
      </c>
      <c r="AU1529" t="s">
        <v>354</v>
      </c>
      <c r="AV1529" t="s">
        <v>69</v>
      </c>
      <c r="AW1529" t="s">
        <v>8958</v>
      </c>
      <c r="AX1529" t="s">
        <v>8434</v>
      </c>
      <c r="AY1529" t="s">
        <v>84</v>
      </c>
      <c r="AZ1529">
        <v>2021</v>
      </c>
      <c r="BA1529">
        <v>13</v>
      </c>
      <c r="BB1529">
        <v>14</v>
      </c>
      <c r="BC1529" t="s">
        <v>69</v>
      </c>
      <c r="BD1529" t="s">
        <v>69</v>
      </c>
      <c r="BE1529" t="s">
        <v>69</v>
      </c>
      <c r="BF1529" t="s">
        <v>69</v>
      </c>
      <c r="BG1529" t="s">
        <v>69</v>
      </c>
      <c r="BH1529" t="s">
        <v>69</v>
      </c>
      <c r="BI1529">
        <v>7604</v>
      </c>
      <c r="BJ1529" t="s">
        <v>11901</v>
      </c>
      <c r="BK1529" t="str">
        <f>HYPERLINK("http://dx.doi.org/10.3390/su13147604","http://dx.doi.org/10.3390/su13147604")</f>
        <v>http://dx.doi.org/10.3390/su13147604</v>
      </c>
      <c r="BL1529" t="s">
        <v>69</v>
      </c>
      <c r="BM1529" t="s">
        <v>69</v>
      </c>
      <c r="BN1529">
        <v>12</v>
      </c>
      <c r="BO1529" t="s">
        <v>8960</v>
      </c>
      <c r="BP1529" t="s">
        <v>8523</v>
      </c>
      <c r="BQ1529" t="s">
        <v>8961</v>
      </c>
      <c r="BR1529" t="s">
        <v>11902</v>
      </c>
      <c r="BS1529" t="s">
        <v>11903</v>
      </c>
      <c r="BT1529" t="s">
        <v>69</v>
      </c>
      <c r="BU1529" t="s">
        <v>9352</v>
      </c>
      <c r="BV1529" t="s">
        <v>69</v>
      </c>
      <c r="BW1529" t="s">
        <v>69</v>
      </c>
      <c r="BX1529" t="s">
        <v>8526</v>
      </c>
      <c r="BY1529" t="str">
        <f>HYPERLINK("https%3A%2F%2Fwww.webofscience.com%2Fwos%2Fwoscc%2Ffull-record%2FWOS:000676957800001","View Full Record in Web of Science")</f>
        <v>View Full Record in Web of Science</v>
      </c>
    </row>
    <row r="1530" spans="1:77" ht="12.5" x14ac:dyDescent="0.25">
      <c r="A1530" t="s">
        <v>8495</v>
      </c>
      <c r="B1530" s="7" t="s">
        <v>32933</v>
      </c>
      <c r="C1530" s="7"/>
      <c r="D1530" s="7"/>
      <c r="E1530" s="7"/>
      <c r="F1530" t="s">
        <v>67</v>
      </c>
      <c r="G1530" t="s">
        <v>4939</v>
      </c>
      <c r="H1530" t="s">
        <v>69</v>
      </c>
      <c r="I1530" t="s">
        <v>69</v>
      </c>
      <c r="J1530" t="s">
        <v>69</v>
      </c>
      <c r="K1530" t="s">
        <v>4939</v>
      </c>
      <c r="L1530" t="s">
        <v>69</v>
      </c>
      <c r="M1530" t="s">
        <v>69</v>
      </c>
      <c r="N1530" t="s">
        <v>4940</v>
      </c>
      <c r="O1530" t="s">
        <v>4941</v>
      </c>
      <c r="P1530" t="s">
        <v>69</v>
      </c>
      <c r="Q1530" t="s">
        <v>69</v>
      </c>
      <c r="R1530" t="s">
        <v>8505</v>
      </c>
      <c r="S1530" t="s">
        <v>8506</v>
      </c>
      <c r="T1530" t="s">
        <v>69</v>
      </c>
      <c r="U1530" t="s">
        <v>69</v>
      </c>
      <c r="V1530" t="s">
        <v>69</v>
      </c>
      <c r="W1530" t="s">
        <v>69</v>
      </c>
      <c r="X1530" t="s">
        <v>69</v>
      </c>
      <c r="Y1530" t="s">
        <v>69</v>
      </c>
      <c r="Z1530" t="s">
        <v>69</v>
      </c>
      <c r="AA1530" t="s">
        <v>4942</v>
      </c>
      <c r="AB1530" t="s">
        <v>31903</v>
      </c>
      <c r="AC1530" t="s">
        <v>69</v>
      </c>
      <c r="AD1530" t="s">
        <v>31904</v>
      </c>
      <c r="AE1530" t="s">
        <v>69</v>
      </c>
      <c r="AF1530" t="s">
        <v>69</v>
      </c>
      <c r="AG1530" t="s">
        <v>69</v>
      </c>
      <c r="AH1530" t="s">
        <v>69</v>
      </c>
      <c r="AI1530" t="s">
        <v>69</v>
      </c>
      <c r="AJ1530" t="s">
        <v>69</v>
      </c>
      <c r="AK1530" t="s">
        <v>69</v>
      </c>
      <c r="AL1530">
        <v>0</v>
      </c>
      <c r="AM1530">
        <v>1</v>
      </c>
      <c r="AN1530">
        <v>1</v>
      </c>
      <c r="AO1530">
        <v>0</v>
      </c>
      <c r="AP1530">
        <v>0</v>
      </c>
      <c r="AQ1530" t="s">
        <v>31905</v>
      </c>
      <c r="AR1530" t="s">
        <v>8637</v>
      </c>
      <c r="AS1530" t="s">
        <v>31286</v>
      </c>
      <c r="AT1530" t="s">
        <v>4943</v>
      </c>
      <c r="AU1530" t="s">
        <v>69</v>
      </c>
      <c r="AV1530" t="s">
        <v>69</v>
      </c>
      <c r="AW1530" t="s">
        <v>31906</v>
      </c>
      <c r="AX1530" t="s">
        <v>31907</v>
      </c>
      <c r="AY1530" t="s">
        <v>381</v>
      </c>
      <c r="AZ1530">
        <v>1999</v>
      </c>
      <c r="BA1530">
        <v>48</v>
      </c>
      <c r="BB1530">
        <v>5</v>
      </c>
      <c r="BC1530" t="s">
        <v>69</v>
      </c>
      <c r="BD1530" t="s">
        <v>69</v>
      </c>
      <c r="BE1530" t="s">
        <v>69</v>
      </c>
      <c r="BF1530" t="s">
        <v>69</v>
      </c>
      <c r="BG1530">
        <v>186</v>
      </c>
      <c r="BH1530">
        <v>190</v>
      </c>
      <c r="BI1530" t="s">
        <v>69</v>
      </c>
      <c r="BJ1530" t="s">
        <v>31908</v>
      </c>
      <c r="BK1530" t="str">
        <f>HYPERLINK("http://dx.doi.org/10.2166/aqua.1999.0020","http://dx.doi.org/10.2166/aqua.1999.0020")</f>
        <v>http://dx.doi.org/10.2166/aqua.1999.0020</v>
      </c>
      <c r="BL1530" t="s">
        <v>69</v>
      </c>
      <c r="BM1530" t="s">
        <v>69</v>
      </c>
      <c r="BN1530">
        <v>5</v>
      </c>
      <c r="BO1530" t="s">
        <v>9229</v>
      </c>
      <c r="BP1530" t="s">
        <v>8548</v>
      </c>
      <c r="BQ1530" t="s">
        <v>9230</v>
      </c>
      <c r="BR1530" t="s">
        <v>31909</v>
      </c>
      <c r="BS1530" t="s">
        <v>4944</v>
      </c>
      <c r="BT1530" t="s">
        <v>69</v>
      </c>
      <c r="BU1530" t="s">
        <v>69</v>
      </c>
      <c r="BV1530" t="s">
        <v>69</v>
      </c>
      <c r="BW1530" t="s">
        <v>69</v>
      </c>
      <c r="BX1530" t="s">
        <v>8526</v>
      </c>
      <c r="BY1530" t="str">
        <f>HYPERLINK("https%3A%2F%2Fwww.webofscience.com%2Fwos%2Fwoscc%2Ffull-record%2FWOS:000083211800002","View Full Record in Web of Science")</f>
        <v>View Full Record in Web of Science</v>
      </c>
    </row>
    <row r="1531" spans="1:77" ht="12.5" x14ac:dyDescent="0.25">
      <c r="A1531" t="s">
        <v>8495</v>
      </c>
      <c r="B1531" s="7" t="s">
        <v>32933</v>
      </c>
      <c r="C1531" s="7"/>
      <c r="D1531" s="7"/>
      <c r="E1531" s="7"/>
      <c r="F1531" t="s">
        <v>67</v>
      </c>
      <c r="G1531" t="s">
        <v>7197</v>
      </c>
      <c r="H1531" t="s">
        <v>69</v>
      </c>
      <c r="I1531" t="s">
        <v>69</v>
      </c>
      <c r="J1531" t="s">
        <v>69</v>
      </c>
      <c r="K1531" t="s">
        <v>7198</v>
      </c>
      <c r="L1531" t="s">
        <v>69</v>
      </c>
      <c r="M1531" t="s">
        <v>69</v>
      </c>
      <c r="N1531" t="s">
        <v>7199</v>
      </c>
      <c r="O1531" t="s">
        <v>7200</v>
      </c>
      <c r="P1531" t="s">
        <v>69</v>
      </c>
      <c r="Q1531" t="s">
        <v>69</v>
      </c>
      <c r="R1531" t="s">
        <v>8505</v>
      </c>
      <c r="S1531" t="s">
        <v>8506</v>
      </c>
      <c r="T1531" t="s">
        <v>69</v>
      </c>
      <c r="U1531" t="s">
        <v>69</v>
      </c>
      <c r="V1531" t="s">
        <v>69</v>
      </c>
      <c r="W1531" t="s">
        <v>69</v>
      </c>
      <c r="X1531" t="s">
        <v>69</v>
      </c>
      <c r="Y1531" t="s">
        <v>21717</v>
      </c>
      <c r="Z1531" t="s">
        <v>69</v>
      </c>
      <c r="AA1531" t="s">
        <v>7201</v>
      </c>
      <c r="AB1531" t="s">
        <v>21718</v>
      </c>
      <c r="AC1531" t="s">
        <v>69</v>
      </c>
      <c r="AD1531" t="s">
        <v>21719</v>
      </c>
      <c r="AE1531" t="s">
        <v>21720</v>
      </c>
      <c r="AF1531" t="s">
        <v>69</v>
      </c>
      <c r="AG1531" t="s">
        <v>69</v>
      </c>
      <c r="AH1531" t="s">
        <v>69</v>
      </c>
      <c r="AI1531" t="s">
        <v>69</v>
      </c>
      <c r="AJ1531" t="s">
        <v>69</v>
      </c>
      <c r="AK1531" t="s">
        <v>69</v>
      </c>
      <c r="AL1531">
        <v>4</v>
      </c>
      <c r="AM1531">
        <v>2</v>
      </c>
      <c r="AN1531">
        <v>2</v>
      </c>
      <c r="AO1531">
        <v>0</v>
      </c>
      <c r="AP1531">
        <v>22</v>
      </c>
      <c r="AQ1531" t="s">
        <v>9203</v>
      </c>
      <c r="AR1531" t="s">
        <v>8763</v>
      </c>
      <c r="AS1531" t="s">
        <v>9204</v>
      </c>
      <c r="AT1531" t="s">
        <v>7202</v>
      </c>
      <c r="AU1531" t="s">
        <v>7203</v>
      </c>
      <c r="AV1531" t="s">
        <v>69</v>
      </c>
      <c r="AW1531" t="s">
        <v>9348</v>
      </c>
      <c r="AX1531" t="s">
        <v>9349</v>
      </c>
      <c r="AY1531" t="s">
        <v>7204</v>
      </c>
      <c r="AZ1531">
        <v>2016</v>
      </c>
      <c r="BA1531">
        <v>74</v>
      </c>
      <c r="BB1531" t="s">
        <v>69</v>
      </c>
      <c r="BC1531" t="s">
        <v>69</v>
      </c>
      <c r="BD1531" t="s">
        <v>69</v>
      </c>
      <c r="BE1531" t="s">
        <v>69</v>
      </c>
      <c r="BF1531" t="s">
        <v>69</v>
      </c>
      <c r="BG1531" t="s">
        <v>69</v>
      </c>
      <c r="BH1531" t="s">
        <v>69</v>
      </c>
      <c r="BI1531">
        <v>15</v>
      </c>
      <c r="BJ1531" t="s">
        <v>7205</v>
      </c>
      <c r="BK1531" t="str">
        <f>HYPERLINK("http://dx.doi.org/10.1186/s13690-016-0128-x","http://dx.doi.org/10.1186/s13690-016-0128-x")</f>
        <v>http://dx.doi.org/10.1186/s13690-016-0128-x</v>
      </c>
      <c r="BL1531" t="s">
        <v>69</v>
      </c>
      <c r="BM1531" t="s">
        <v>69</v>
      </c>
      <c r="BN1531">
        <v>4</v>
      </c>
      <c r="BO1531" t="s">
        <v>8810</v>
      </c>
      <c r="BP1531" t="s">
        <v>8573</v>
      </c>
      <c r="BQ1531" t="s">
        <v>8810</v>
      </c>
      <c r="BR1531" t="s">
        <v>21721</v>
      </c>
      <c r="BS1531" t="s">
        <v>7206</v>
      </c>
      <c r="BT1531">
        <v>27127626</v>
      </c>
      <c r="BU1531" t="s">
        <v>9352</v>
      </c>
      <c r="BV1531" t="s">
        <v>69</v>
      </c>
      <c r="BW1531" t="s">
        <v>69</v>
      </c>
      <c r="BX1531" t="s">
        <v>8526</v>
      </c>
      <c r="BY1531" t="str">
        <f>HYPERLINK("https%3A%2F%2Fwww.webofscience.com%2Fwos%2Fwoscc%2Ffull-record%2FWOS:000377525500001","View Full Record in Web of Science")</f>
        <v>View Full Record in Web of Science</v>
      </c>
    </row>
    <row r="1532" spans="1:77" ht="12.5" x14ac:dyDescent="0.25">
      <c r="A1532" t="s">
        <v>8495</v>
      </c>
      <c r="B1532" s="7" t="s">
        <v>32933</v>
      </c>
      <c r="C1532" s="7"/>
      <c r="D1532" s="7"/>
      <c r="E1532" s="7"/>
      <c r="F1532" t="s">
        <v>67</v>
      </c>
      <c r="G1532" t="s">
        <v>6781</v>
      </c>
      <c r="H1532" t="s">
        <v>69</v>
      </c>
      <c r="I1532" t="s">
        <v>69</v>
      </c>
      <c r="J1532" t="s">
        <v>69</v>
      </c>
      <c r="K1532" t="s">
        <v>6782</v>
      </c>
      <c r="L1532" t="s">
        <v>69</v>
      </c>
      <c r="M1532" t="s">
        <v>69</v>
      </c>
      <c r="N1532" t="s">
        <v>6783</v>
      </c>
      <c r="O1532" t="s">
        <v>6784</v>
      </c>
      <c r="P1532" t="s">
        <v>69</v>
      </c>
      <c r="Q1532" t="s">
        <v>69</v>
      </c>
      <c r="R1532" t="s">
        <v>8505</v>
      </c>
      <c r="S1532" t="s">
        <v>8506</v>
      </c>
      <c r="T1532" t="s">
        <v>69</v>
      </c>
      <c r="U1532" t="s">
        <v>69</v>
      </c>
      <c r="V1532" t="s">
        <v>69</v>
      </c>
      <c r="W1532" t="s">
        <v>69</v>
      </c>
      <c r="X1532" t="s">
        <v>69</v>
      </c>
      <c r="Y1532" t="s">
        <v>16226</v>
      </c>
      <c r="Z1532" t="s">
        <v>16227</v>
      </c>
      <c r="AA1532" t="s">
        <v>6785</v>
      </c>
      <c r="AB1532" t="s">
        <v>16228</v>
      </c>
      <c r="AC1532" t="s">
        <v>69</v>
      </c>
      <c r="AD1532" t="s">
        <v>16229</v>
      </c>
      <c r="AE1532" t="s">
        <v>16230</v>
      </c>
      <c r="AF1532" t="s">
        <v>6786</v>
      </c>
      <c r="AG1532" t="s">
        <v>6787</v>
      </c>
      <c r="AH1532" t="s">
        <v>16231</v>
      </c>
      <c r="AI1532" t="s">
        <v>16232</v>
      </c>
      <c r="AJ1532" t="s">
        <v>16233</v>
      </c>
      <c r="AK1532" t="s">
        <v>69</v>
      </c>
      <c r="AL1532">
        <v>32</v>
      </c>
      <c r="AM1532">
        <v>2</v>
      </c>
      <c r="AN1532">
        <v>2</v>
      </c>
      <c r="AO1532">
        <v>9</v>
      </c>
      <c r="AP1532">
        <v>20</v>
      </c>
      <c r="AQ1532" t="s">
        <v>16234</v>
      </c>
      <c r="AR1532" t="s">
        <v>16235</v>
      </c>
      <c r="AS1532" t="s">
        <v>16236</v>
      </c>
      <c r="AT1532" t="s">
        <v>6788</v>
      </c>
      <c r="AU1532" t="s">
        <v>6789</v>
      </c>
      <c r="AV1532" t="s">
        <v>69</v>
      </c>
      <c r="AW1532" t="s">
        <v>16237</v>
      </c>
      <c r="AX1532" t="s">
        <v>16238</v>
      </c>
      <c r="AY1532" t="s">
        <v>69</v>
      </c>
      <c r="AZ1532">
        <v>2020</v>
      </c>
      <c r="BA1532">
        <v>61</v>
      </c>
      <c r="BB1532">
        <v>133</v>
      </c>
      <c r="BC1532" t="s">
        <v>69</v>
      </c>
      <c r="BD1532" t="s">
        <v>69</v>
      </c>
      <c r="BE1532" t="s">
        <v>69</v>
      </c>
      <c r="BF1532" t="s">
        <v>69</v>
      </c>
      <c r="BG1532">
        <v>91</v>
      </c>
      <c r="BH1532">
        <v>98</v>
      </c>
      <c r="BI1532" t="s">
        <v>69</v>
      </c>
      <c r="BJ1532" t="s">
        <v>6790</v>
      </c>
      <c r="BK1532" t="str">
        <f>HYPERLINK("http://dx.doi.org/10.17402/404","http://dx.doi.org/10.17402/404")</f>
        <v>http://dx.doi.org/10.17402/404</v>
      </c>
      <c r="BL1532" t="s">
        <v>69</v>
      </c>
      <c r="BM1532" t="s">
        <v>69</v>
      </c>
      <c r="BN1532">
        <v>8</v>
      </c>
      <c r="BO1532" t="s">
        <v>16239</v>
      </c>
      <c r="BP1532" t="s">
        <v>8573</v>
      </c>
      <c r="BQ1532" t="s">
        <v>8445</v>
      </c>
      <c r="BR1532" t="s">
        <v>16240</v>
      </c>
      <c r="BS1532" t="s">
        <v>6791</v>
      </c>
      <c r="BT1532" t="s">
        <v>69</v>
      </c>
      <c r="BU1532" t="s">
        <v>69</v>
      </c>
      <c r="BV1532" t="s">
        <v>69</v>
      </c>
      <c r="BW1532" t="s">
        <v>69</v>
      </c>
      <c r="BX1532" t="s">
        <v>8526</v>
      </c>
      <c r="BY1532" t="str">
        <f>HYPERLINK("https%3A%2F%2Fwww.webofscience.com%2Fwos%2Fwoscc%2Ffull-record%2FWOS:000523293400012","View Full Record in Web of Science")</f>
        <v>View Full Record in Web of Science</v>
      </c>
    </row>
    <row r="1533" spans="1:77" ht="12.5" x14ac:dyDescent="0.25">
      <c r="A1533" t="s">
        <v>8495</v>
      </c>
      <c r="B1533" s="22" t="s">
        <v>32931</v>
      </c>
      <c r="C1533" s="7"/>
      <c r="D1533" s="7"/>
      <c r="E1533" s="7"/>
      <c r="F1533" t="s">
        <v>67</v>
      </c>
      <c r="G1533" t="s">
        <v>16389</v>
      </c>
      <c r="H1533" t="s">
        <v>69</v>
      </c>
      <c r="I1533" t="s">
        <v>69</v>
      </c>
      <c r="J1533" t="s">
        <v>69</v>
      </c>
      <c r="K1533" t="s">
        <v>16390</v>
      </c>
      <c r="L1533" t="s">
        <v>69</v>
      </c>
      <c r="M1533" t="s">
        <v>69</v>
      </c>
      <c r="N1533" t="s">
        <v>16391</v>
      </c>
      <c r="O1533" t="s">
        <v>16392</v>
      </c>
      <c r="P1533" t="s">
        <v>69</v>
      </c>
      <c r="Q1533" t="s">
        <v>69</v>
      </c>
      <c r="R1533" t="s">
        <v>8505</v>
      </c>
      <c r="S1533" t="s">
        <v>8506</v>
      </c>
      <c r="T1533" t="s">
        <v>69</v>
      </c>
      <c r="U1533" t="s">
        <v>69</v>
      </c>
      <c r="V1533" t="s">
        <v>69</v>
      </c>
      <c r="W1533" t="s">
        <v>69</v>
      </c>
      <c r="X1533" t="s">
        <v>69</v>
      </c>
      <c r="Y1533" t="s">
        <v>16393</v>
      </c>
      <c r="Z1533" t="s">
        <v>16394</v>
      </c>
      <c r="AA1533" t="s">
        <v>16395</v>
      </c>
      <c r="AB1533" t="s">
        <v>16396</v>
      </c>
      <c r="AC1533" t="s">
        <v>69</v>
      </c>
      <c r="AD1533" t="s">
        <v>16397</v>
      </c>
      <c r="AE1533" t="s">
        <v>16398</v>
      </c>
      <c r="AF1533" t="s">
        <v>16399</v>
      </c>
      <c r="AG1533" t="s">
        <v>16400</v>
      </c>
      <c r="AH1533" t="s">
        <v>69</v>
      </c>
      <c r="AI1533" t="s">
        <v>69</v>
      </c>
      <c r="AJ1533" t="s">
        <v>69</v>
      </c>
      <c r="AK1533" t="s">
        <v>69</v>
      </c>
      <c r="AL1533">
        <v>89</v>
      </c>
      <c r="AM1533">
        <v>17</v>
      </c>
      <c r="AN1533">
        <v>17</v>
      </c>
      <c r="AO1533">
        <v>1</v>
      </c>
      <c r="AP1533">
        <v>13</v>
      </c>
      <c r="AQ1533" t="s">
        <v>8516</v>
      </c>
      <c r="AR1533" t="s">
        <v>8517</v>
      </c>
      <c r="AS1533" t="s">
        <v>8518</v>
      </c>
      <c r="AT1533" t="s">
        <v>16401</v>
      </c>
      <c r="AU1533" t="s">
        <v>16402</v>
      </c>
      <c r="AV1533" t="s">
        <v>69</v>
      </c>
      <c r="AW1533" t="s">
        <v>16403</v>
      </c>
      <c r="AX1533" t="s">
        <v>16404</v>
      </c>
      <c r="AY1533" t="s">
        <v>75</v>
      </c>
      <c r="AZ1533">
        <v>2019</v>
      </c>
      <c r="BA1533">
        <v>53</v>
      </c>
      <c r="BB1533" t="s">
        <v>69</v>
      </c>
      <c r="BC1533" t="s">
        <v>69</v>
      </c>
      <c r="BD1533" t="s">
        <v>69</v>
      </c>
      <c r="BE1533" t="s">
        <v>69</v>
      </c>
      <c r="BF1533" t="s">
        <v>69</v>
      </c>
      <c r="BG1533">
        <v>57</v>
      </c>
      <c r="BH1533">
        <v>70</v>
      </c>
      <c r="BI1533" t="s">
        <v>69</v>
      </c>
      <c r="BJ1533" t="s">
        <v>16405</v>
      </c>
      <c r="BK1533" t="str">
        <f>HYPERLINK("http://dx.doi.org/10.1016/j.esd.2019.08.003","http://dx.doi.org/10.1016/j.esd.2019.08.003")</f>
        <v>http://dx.doi.org/10.1016/j.esd.2019.08.003</v>
      </c>
      <c r="BL1533" t="s">
        <v>69</v>
      </c>
      <c r="BM1533" t="s">
        <v>69</v>
      </c>
      <c r="BN1533">
        <v>14</v>
      </c>
      <c r="BO1533" t="s">
        <v>9931</v>
      </c>
      <c r="BP1533" t="s">
        <v>8523</v>
      </c>
      <c r="BQ1533" t="s">
        <v>9932</v>
      </c>
      <c r="BR1533" t="s">
        <v>16406</v>
      </c>
      <c r="BS1533" t="s">
        <v>16407</v>
      </c>
      <c r="BT1533" t="s">
        <v>69</v>
      </c>
      <c r="BU1533" t="s">
        <v>10995</v>
      </c>
      <c r="BV1533" t="s">
        <v>69</v>
      </c>
      <c r="BW1533" t="s">
        <v>69</v>
      </c>
      <c r="BX1533" t="s">
        <v>8526</v>
      </c>
      <c r="BY1533" t="str">
        <f>HYPERLINK("https%3A%2F%2Fwww.webofscience.com%2Fwos%2Fwoscc%2Ffull-record%2FWOS:000505180700004","View Full Record in Web of Science")</f>
        <v>View Full Record in Web of Science</v>
      </c>
    </row>
    <row r="1534" spans="1:77" ht="12.5" x14ac:dyDescent="0.25">
      <c r="A1534" t="s">
        <v>8495</v>
      </c>
      <c r="B1534" s="7" t="s">
        <v>32933</v>
      </c>
      <c r="C1534" s="7"/>
      <c r="D1534" s="7"/>
      <c r="E1534" s="7"/>
      <c r="F1534" t="s">
        <v>67</v>
      </c>
      <c r="G1534" t="s">
        <v>6731</v>
      </c>
      <c r="H1534" t="s">
        <v>69</v>
      </c>
      <c r="I1534" t="s">
        <v>69</v>
      </c>
      <c r="J1534" t="s">
        <v>69</v>
      </c>
      <c r="K1534" t="s">
        <v>6731</v>
      </c>
      <c r="L1534" t="s">
        <v>69</v>
      </c>
      <c r="M1534" t="s">
        <v>69</v>
      </c>
      <c r="N1534" t="s">
        <v>6732</v>
      </c>
      <c r="O1534" t="s">
        <v>100</v>
      </c>
      <c r="P1534" t="s">
        <v>69</v>
      </c>
      <c r="Q1534" t="s">
        <v>69</v>
      </c>
      <c r="R1534" t="s">
        <v>8505</v>
      </c>
      <c r="S1534" t="s">
        <v>15797</v>
      </c>
      <c r="T1534" t="s">
        <v>6733</v>
      </c>
      <c r="U1534" t="s">
        <v>6734</v>
      </c>
      <c r="V1534" t="s">
        <v>6735</v>
      </c>
      <c r="W1534" t="s">
        <v>6736</v>
      </c>
      <c r="X1534" t="s">
        <v>69</v>
      </c>
      <c r="Y1534" t="s">
        <v>31326</v>
      </c>
      <c r="Z1534" t="s">
        <v>69</v>
      </c>
      <c r="AA1534" t="s">
        <v>6737</v>
      </c>
      <c r="AB1534" t="s">
        <v>31327</v>
      </c>
      <c r="AC1534" t="s">
        <v>69</v>
      </c>
      <c r="AD1534" t="s">
        <v>31328</v>
      </c>
      <c r="AE1534" t="s">
        <v>69</v>
      </c>
      <c r="AF1534" t="s">
        <v>69</v>
      </c>
      <c r="AG1534" t="s">
        <v>69</v>
      </c>
      <c r="AH1534" t="s">
        <v>69</v>
      </c>
      <c r="AI1534" t="s">
        <v>69</v>
      </c>
      <c r="AJ1534" t="s">
        <v>69</v>
      </c>
      <c r="AK1534" t="s">
        <v>69</v>
      </c>
      <c r="AL1534">
        <v>0</v>
      </c>
      <c r="AM1534">
        <v>1</v>
      </c>
      <c r="AN1534">
        <v>1</v>
      </c>
      <c r="AO1534">
        <v>0</v>
      </c>
      <c r="AP1534">
        <v>24</v>
      </c>
      <c r="AQ1534" t="s">
        <v>31329</v>
      </c>
      <c r="AR1534" t="s">
        <v>8763</v>
      </c>
      <c r="AS1534" t="s">
        <v>15468</v>
      </c>
      <c r="AT1534" t="s">
        <v>102</v>
      </c>
      <c r="AU1534" t="s">
        <v>69</v>
      </c>
      <c r="AV1534" t="s">
        <v>69</v>
      </c>
      <c r="AW1534" t="s">
        <v>15469</v>
      </c>
      <c r="AX1534" t="s">
        <v>15470</v>
      </c>
      <c r="AY1534" t="s">
        <v>69</v>
      </c>
      <c r="AZ1534">
        <v>2003</v>
      </c>
      <c r="BA1534">
        <v>47</v>
      </c>
      <c r="BB1534" t="s">
        <v>3849</v>
      </c>
      <c r="BC1534" t="s">
        <v>69</v>
      </c>
      <c r="BD1534" t="s">
        <v>69</v>
      </c>
      <c r="BE1534" t="s">
        <v>69</v>
      </c>
      <c r="BF1534" t="s">
        <v>69</v>
      </c>
      <c r="BG1534">
        <v>73</v>
      </c>
      <c r="BH1534">
        <v>79</v>
      </c>
      <c r="BI1534" t="s">
        <v>69</v>
      </c>
      <c r="BJ1534" t="s">
        <v>31330</v>
      </c>
      <c r="BK1534" t="str">
        <f>HYPERLINK("http://dx.doi.org/10.2166/wst.2003.0673","http://dx.doi.org/10.2166/wst.2003.0673")</f>
        <v>http://dx.doi.org/10.2166/wst.2003.0673</v>
      </c>
      <c r="BL1534" t="s">
        <v>69</v>
      </c>
      <c r="BM1534" t="s">
        <v>69</v>
      </c>
      <c r="BN1534">
        <v>7</v>
      </c>
      <c r="BO1534" t="s">
        <v>10687</v>
      </c>
      <c r="BP1534" t="s">
        <v>29550</v>
      </c>
      <c r="BQ1534" t="s">
        <v>10688</v>
      </c>
      <c r="BR1534" t="s">
        <v>31331</v>
      </c>
      <c r="BS1534" t="s">
        <v>6738</v>
      </c>
      <c r="BT1534">
        <v>12793664</v>
      </c>
      <c r="BU1534" t="s">
        <v>69</v>
      </c>
      <c r="BV1534" t="s">
        <v>69</v>
      </c>
      <c r="BW1534" t="s">
        <v>69</v>
      </c>
      <c r="BX1534" t="s">
        <v>8526</v>
      </c>
      <c r="BY1534" t="str">
        <f>HYPERLINK("https%3A%2F%2Fwww.webofscience.com%2Fwos%2Fwoscc%2Ffull-record%2FWOS:000183453700010","View Full Record in Web of Science")</f>
        <v>View Full Record in Web of Science</v>
      </c>
    </row>
    <row r="1535" spans="1:77" ht="12.5" x14ac:dyDescent="0.25">
      <c r="A1535" t="s">
        <v>8495</v>
      </c>
      <c r="B1535" s="7" t="s">
        <v>32933</v>
      </c>
      <c r="C1535" s="7"/>
      <c r="D1535" s="7"/>
      <c r="E1535" s="7"/>
      <c r="F1535" t="s">
        <v>67</v>
      </c>
      <c r="G1535" t="s">
        <v>3020</v>
      </c>
      <c r="H1535" t="s">
        <v>69</v>
      </c>
      <c r="I1535" t="s">
        <v>69</v>
      </c>
      <c r="J1535" t="s">
        <v>69</v>
      </c>
      <c r="K1535" t="s">
        <v>3021</v>
      </c>
      <c r="L1535" t="s">
        <v>69</v>
      </c>
      <c r="M1535" t="s">
        <v>69</v>
      </c>
      <c r="N1535" t="s">
        <v>3022</v>
      </c>
      <c r="O1535" t="s">
        <v>790</v>
      </c>
      <c r="P1535" t="s">
        <v>69</v>
      </c>
      <c r="Q1535" t="s">
        <v>69</v>
      </c>
      <c r="R1535" t="s">
        <v>8505</v>
      </c>
      <c r="S1535" t="s">
        <v>8506</v>
      </c>
      <c r="T1535" t="s">
        <v>69</v>
      </c>
      <c r="U1535" t="s">
        <v>69</v>
      </c>
      <c r="V1535" t="s">
        <v>69</v>
      </c>
      <c r="W1535" t="s">
        <v>69</v>
      </c>
      <c r="X1535" t="s">
        <v>69</v>
      </c>
      <c r="Y1535" t="s">
        <v>22567</v>
      </c>
      <c r="Z1535" t="s">
        <v>22568</v>
      </c>
      <c r="AA1535" t="s">
        <v>3023</v>
      </c>
      <c r="AB1535" t="s">
        <v>22569</v>
      </c>
      <c r="AC1535" t="s">
        <v>69</v>
      </c>
      <c r="AD1535" t="s">
        <v>22570</v>
      </c>
      <c r="AE1535" t="s">
        <v>20103</v>
      </c>
      <c r="AF1535" t="s">
        <v>69</v>
      </c>
      <c r="AG1535" t="s">
        <v>69</v>
      </c>
      <c r="AH1535" t="s">
        <v>22571</v>
      </c>
      <c r="AI1535" t="s">
        <v>22571</v>
      </c>
      <c r="AJ1535" t="s">
        <v>22572</v>
      </c>
      <c r="AK1535" t="s">
        <v>69</v>
      </c>
      <c r="AL1535">
        <v>55</v>
      </c>
      <c r="AM1535">
        <v>18</v>
      </c>
      <c r="AN1535">
        <v>18</v>
      </c>
      <c r="AO1535">
        <v>0</v>
      </c>
      <c r="AP1535">
        <v>18</v>
      </c>
      <c r="AQ1535" t="s">
        <v>8846</v>
      </c>
      <c r="AR1535" t="s">
        <v>8847</v>
      </c>
      <c r="AS1535" t="s">
        <v>8848</v>
      </c>
      <c r="AT1535" t="s">
        <v>792</v>
      </c>
      <c r="AU1535" t="s">
        <v>793</v>
      </c>
      <c r="AV1535" t="s">
        <v>69</v>
      </c>
      <c r="AW1535" t="s">
        <v>15534</v>
      </c>
      <c r="AX1535" t="s">
        <v>15535</v>
      </c>
      <c r="AY1535" t="s">
        <v>84</v>
      </c>
      <c r="AZ1535">
        <v>2015</v>
      </c>
      <c r="BA1535">
        <v>15</v>
      </c>
      <c r="BB1535">
        <v>3</v>
      </c>
      <c r="BC1535" t="s">
        <v>69</v>
      </c>
      <c r="BD1535" t="s">
        <v>69</v>
      </c>
      <c r="BE1535" t="s">
        <v>114</v>
      </c>
      <c r="BF1535" t="s">
        <v>69</v>
      </c>
      <c r="BG1535">
        <v>307</v>
      </c>
      <c r="BH1535">
        <v>324</v>
      </c>
      <c r="BI1535" t="s">
        <v>69</v>
      </c>
      <c r="BJ1535" t="s">
        <v>3024</v>
      </c>
      <c r="BK1535" t="str">
        <f>HYPERLINK("http://dx.doi.org/10.1111/glob.12080","http://dx.doi.org/10.1111/glob.12080")</f>
        <v>http://dx.doi.org/10.1111/glob.12080</v>
      </c>
      <c r="BL1535" t="s">
        <v>69</v>
      </c>
      <c r="BM1535" t="s">
        <v>69</v>
      </c>
      <c r="BN1535">
        <v>18</v>
      </c>
      <c r="BO1535" t="s">
        <v>15536</v>
      </c>
      <c r="BP1535" t="s">
        <v>8661</v>
      </c>
      <c r="BQ1535" t="s">
        <v>15536</v>
      </c>
      <c r="BR1535" t="s">
        <v>22573</v>
      </c>
      <c r="BS1535" t="s">
        <v>3025</v>
      </c>
      <c r="BT1535" t="s">
        <v>69</v>
      </c>
      <c r="BU1535" t="s">
        <v>8746</v>
      </c>
      <c r="BV1535" t="s">
        <v>69</v>
      </c>
      <c r="BW1535" t="s">
        <v>69</v>
      </c>
      <c r="BX1535" t="s">
        <v>8526</v>
      </c>
      <c r="BY1535" t="str">
        <f>HYPERLINK("https%3A%2F%2Fwww.webofscience.com%2Fwos%2Fwoscc%2Ffull-record%2FWOS:000356006500003","View Full Record in Web of Science")</f>
        <v>View Full Record in Web of Science</v>
      </c>
    </row>
    <row r="1536" spans="1:77" ht="12.5" x14ac:dyDescent="0.25">
      <c r="A1536" t="s">
        <v>8495</v>
      </c>
      <c r="B1536" s="22" t="s">
        <v>32931</v>
      </c>
      <c r="C1536" s="7"/>
      <c r="D1536" s="7"/>
      <c r="E1536" s="7"/>
      <c r="F1536" t="s">
        <v>67</v>
      </c>
      <c r="G1536" t="s">
        <v>9826</v>
      </c>
      <c r="H1536" t="s">
        <v>69</v>
      </c>
      <c r="I1536" t="s">
        <v>69</v>
      </c>
      <c r="J1536" t="s">
        <v>69</v>
      </c>
      <c r="K1536" t="s">
        <v>9827</v>
      </c>
      <c r="L1536" t="s">
        <v>69</v>
      </c>
      <c r="M1536" t="s">
        <v>69</v>
      </c>
      <c r="N1536" t="s">
        <v>9828</v>
      </c>
      <c r="O1536" t="s">
        <v>436</v>
      </c>
      <c r="P1536" t="s">
        <v>69</v>
      </c>
      <c r="Q1536" t="s">
        <v>69</v>
      </c>
      <c r="R1536" t="s">
        <v>8505</v>
      </c>
      <c r="S1536" t="s">
        <v>8506</v>
      </c>
      <c r="T1536" t="s">
        <v>69</v>
      </c>
      <c r="U1536" t="s">
        <v>69</v>
      </c>
      <c r="V1536" t="s">
        <v>69</v>
      </c>
      <c r="W1536" t="s">
        <v>69</v>
      </c>
      <c r="X1536" t="s">
        <v>69</v>
      </c>
      <c r="Y1536" t="s">
        <v>9829</v>
      </c>
      <c r="Z1536" t="s">
        <v>9830</v>
      </c>
      <c r="AA1536" t="s">
        <v>9831</v>
      </c>
      <c r="AB1536" t="s">
        <v>9832</v>
      </c>
      <c r="AC1536" t="s">
        <v>69</v>
      </c>
      <c r="AD1536" t="s">
        <v>9833</v>
      </c>
      <c r="AE1536" t="s">
        <v>9834</v>
      </c>
      <c r="AF1536" t="s">
        <v>9835</v>
      </c>
      <c r="AG1536" t="s">
        <v>9836</v>
      </c>
      <c r="AH1536" t="s">
        <v>9837</v>
      </c>
      <c r="AI1536" t="s">
        <v>9838</v>
      </c>
      <c r="AJ1536" t="s">
        <v>9839</v>
      </c>
      <c r="AK1536" t="s">
        <v>69</v>
      </c>
      <c r="AL1536">
        <v>55</v>
      </c>
      <c r="AM1536">
        <v>0</v>
      </c>
      <c r="AN1536">
        <v>0</v>
      </c>
      <c r="AO1536">
        <v>1</v>
      </c>
      <c r="AP1536">
        <v>1</v>
      </c>
      <c r="AQ1536" t="s">
        <v>8636</v>
      </c>
      <c r="AR1536" t="s">
        <v>8637</v>
      </c>
      <c r="AS1536" t="s">
        <v>8638</v>
      </c>
      <c r="AT1536" t="s">
        <v>440</v>
      </c>
      <c r="AU1536" t="s">
        <v>441</v>
      </c>
      <c r="AV1536" t="s">
        <v>69</v>
      </c>
      <c r="AW1536" t="s">
        <v>8639</v>
      </c>
      <c r="AX1536" t="s">
        <v>8640</v>
      </c>
      <c r="AY1536" t="s">
        <v>5487</v>
      </c>
      <c r="AZ1536">
        <v>2022</v>
      </c>
      <c r="BA1536">
        <v>337</v>
      </c>
      <c r="BB1536" t="s">
        <v>69</v>
      </c>
      <c r="BC1536" t="s">
        <v>69</v>
      </c>
      <c r="BD1536" t="s">
        <v>69</v>
      </c>
      <c r="BE1536" t="s">
        <v>69</v>
      </c>
      <c r="BF1536" t="s">
        <v>69</v>
      </c>
      <c r="BG1536" t="s">
        <v>69</v>
      </c>
      <c r="BH1536" t="s">
        <v>69</v>
      </c>
      <c r="BI1536">
        <v>130496</v>
      </c>
      <c r="BJ1536" t="s">
        <v>9840</v>
      </c>
      <c r="BK1536" t="str">
        <f>HYPERLINK("http://dx.doi.org/10.1016/j.jclepro.2022.130496","http://dx.doi.org/10.1016/j.jclepro.2022.130496")</f>
        <v>http://dx.doi.org/10.1016/j.jclepro.2022.130496</v>
      </c>
      <c r="BL1536" t="s">
        <v>69</v>
      </c>
      <c r="BM1536" t="s">
        <v>69</v>
      </c>
      <c r="BN1536">
        <v>19</v>
      </c>
      <c r="BO1536" t="s">
        <v>8643</v>
      </c>
      <c r="BP1536" t="s">
        <v>8523</v>
      </c>
      <c r="BQ1536" t="s">
        <v>8644</v>
      </c>
      <c r="BR1536" t="s">
        <v>9841</v>
      </c>
      <c r="BS1536" t="s">
        <v>9842</v>
      </c>
      <c r="BT1536" t="s">
        <v>69</v>
      </c>
      <c r="BU1536" t="s">
        <v>8622</v>
      </c>
      <c r="BV1536" t="s">
        <v>69</v>
      </c>
      <c r="BW1536" t="s">
        <v>69</v>
      </c>
      <c r="BX1536" t="s">
        <v>8526</v>
      </c>
      <c r="BY1536" t="str">
        <f>HYPERLINK("https%3A%2F%2Fwww.webofscience.com%2Fwos%2Fwoscc%2Ffull-record%2FWOS:000771528500002","View Full Record in Web of Science")</f>
        <v>View Full Record in Web of Science</v>
      </c>
    </row>
    <row r="1537" spans="1:77" ht="12.5" x14ac:dyDescent="0.25">
      <c r="A1537" t="s">
        <v>8495</v>
      </c>
      <c r="B1537" s="7" t="s">
        <v>32933</v>
      </c>
      <c r="C1537" s="7"/>
      <c r="D1537" s="7"/>
      <c r="E1537" s="7"/>
      <c r="F1537" t="s">
        <v>67</v>
      </c>
      <c r="G1537" t="s">
        <v>5966</v>
      </c>
      <c r="H1537" t="s">
        <v>69</v>
      </c>
      <c r="I1537" t="s">
        <v>69</v>
      </c>
      <c r="J1537" t="s">
        <v>69</v>
      </c>
      <c r="K1537" t="s">
        <v>5967</v>
      </c>
      <c r="L1537" t="s">
        <v>69</v>
      </c>
      <c r="M1537" t="s">
        <v>69</v>
      </c>
      <c r="N1537" t="s">
        <v>5968</v>
      </c>
      <c r="O1537" t="s">
        <v>352</v>
      </c>
      <c r="P1537" t="s">
        <v>69</v>
      </c>
      <c r="Q1537" t="s">
        <v>69</v>
      </c>
      <c r="R1537" t="s">
        <v>8505</v>
      </c>
      <c r="S1537" t="s">
        <v>8506</v>
      </c>
      <c r="T1537" t="s">
        <v>69</v>
      </c>
      <c r="U1537" t="s">
        <v>69</v>
      </c>
      <c r="V1537" t="s">
        <v>69</v>
      </c>
      <c r="W1537" t="s">
        <v>69</v>
      </c>
      <c r="X1537" t="s">
        <v>69</v>
      </c>
      <c r="Y1537" t="s">
        <v>19020</v>
      </c>
      <c r="Z1537" t="s">
        <v>19021</v>
      </c>
      <c r="AA1537" t="s">
        <v>5969</v>
      </c>
      <c r="AB1537" t="s">
        <v>19022</v>
      </c>
      <c r="AC1537" t="s">
        <v>69</v>
      </c>
      <c r="AD1537" t="s">
        <v>19023</v>
      </c>
      <c r="AE1537" t="s">
        <v>19024</v>
      </c>
      <c r="AF1537" t="s">
        <v>5970</v>
      </c>
      <c r="AG1537" t="s">
        <v>5971</v>
      </c>
      <c r="AH1537" t="s">
        <v>19025</v>
      </c>
      <c r="AI1537" t="s">
        <v>19026</v>
      </c>
      <c r="AJ1537" t="s">
        <v>19027</v>
      </c>
      <c r="AK1537" t="s">
        <v>69</v>
      </c>
      <c r="AL1537">
        <v>139</v>
      </c>
      <c r="AM1537">
        <v>12</v>
      </c>
      <c r="AN1537">
        <v>12</v>
      </c>
      <c r="AO1537">
        <v>6</v>
      </c>
      <c r="AP1537">
        <v>55</v>
      </c>
      <c r="AQ1537" t="s">
        <v>8924</v>
      </c>
      <c r="AR1537" t="s">
        <v>8925</v>
      </c>
      <c r="AS1537" t="s">
        <v>8926</v>
      </c>
      <c r="AT1537" t="s">
        <v>69</v>
      </c>
      <c r="AU1537" t="s">
        <v>354</v>
      </c>
      <c r="AV1537" t="s">
        <v>69</v>
      </c>
      <c r="AW1537" t="s">
        <v>8958</v>
      </c>
      <c r="AX1537" t="s">
        <v>8434</v>
      </c>
      <c r="AY1537" t="s">
        <v>246</v>
      </c>
      <c r="AZ1537">
        <v>2018</v>
      </c>
      <c r="BA1537">
        <v>10</v>
      </c>
      <c r="BB1537">
        <v>4</v>
      </c>
      <c r="BC1537" t="s">
        <v>69</v>
      </c>
      <c r="BD1537" t="s">
        <v>69</v>
      </c>
      <c r="BE1537" t="s">
        <v>69</v>
      </c>
      <c r="BF1537" t="s">
        <v>69</v>
      </c>
      <c r="BG1537" t="s">
        <v>69</v>
      </c>
      <c r="BH1537" t="s">
        <v>69</v>
      </c>
      <c r="BI1537">
        <v>1204</v>
      </c>
      <c r="BJ1537" t="s">
        <v>5972</v>
      </c>
      <c r="BK1537" t="str">
        <f>HYPERLINK("http://dx.doi.org/10.3390/su10041204","http://dx.doi.org/10.3390/su10041204")</f>
        <v>http://dx.doi.org/10.3390/su10041204</v>
      </c>
      <c r="BL1537" t="s">
        <v>69</v>
      </c>
      <c r="BM1537" t="s">
        <v>69</v>
      </c>
      <c r="BN1537">
        <v>22</v>
      </c>
      <c r="BO1537" t="s">
        <v>8960</v>
      </c>
      <c r="BP1537" t="s">
        <v>8523</v>
      </c>
      <c r="BQ1537" t="s">
        <v>8961</v>
      </c>
      <c r="BR1537" t="s">
        <v>18998</v>
      </c>
      <c r="BS1537" t="s">
        <v>5973</v>
      </c>
      <c r="BT1537" t="s">
        <v>69</v>
      </c>
      <c r="BU1537" t="s">
        <v>12220</v>
      </c>
      <c r="BV1537" t="s">
        <v>69</v>
      </c>
      <c r="BW1537" t="s">
        <v>69</v>
      </c>
      <c r="BX1537" t="s">
        <v>8526</v>
      </c>
      <c r="BY1537" t="str">
        <f>HYPERLINK("https%3A%2F%2Fwww.webofscience.com%2Fwos%2Fwoscc%2Ffull-record%2FWOS:000435188000308","View Full Record in Web of Science")</f>
        <v>View Full Record in Web of Science</v>
      </c>
    </row>
    <row r="1538" spans="1:77" ht="12.5" x14ac:dyDescent="0.25">
      <c r="A1538" t="s">
        <v>8495</v>
      </c>
      <c r="B1538" s="17" t="s">
        <v>33026</v>
      </c>
      <c r="C1538" s="7"/>
      <c r="D1538" s="7"/>
      <c r="E1538" s="7"/>
      <c r="F1538" t="s">
        <v>67</v>
      </c>
      <c r="G1538" t="s">
        <v>7711</v>
      </c>
      <c r="H1538" t="s">
        <v>69</v>
      </c>
      <c r="I1538" t="s">
        <v>69</v>
      </c>
      <c r="J1538" t="s">
        <v>69</v>
      </c>
      <c r="K1538" s="16" t="s">
        <v>7711</v>
      </c>
      <c r="L1538" t="s">
        <v>69</v>
      </c>
      <c r="M1538" t="s">
        <v>69</v>
      </c>
      <c r="N1538" s="11" t="s">
        <v>7712</v>
      </c>
      <c r="O1538" t="s">
        <v>7713</v>
      </c>
      <c r="P1538" t="s">
        <v>69</v>
      </c>
      <c r="Q1538" t="s">
        <v>69</v>
      </c>
      <c r="R1538" t="s">
        <v>8505</v>
      </c>
      <c r="S1538" t="s">
        <v>8506</v>
      </c>
      <c r="T1538" t="s">
        <v>69</v>
      </c>
      <c r="U1538" t="s">
        <v>69</v>
      </c>
      <c r="V1538" t="s">
        <v>69</v>
      </c>
      <c r="W1538" t="s">
        <v>69</v>
      </c>
      <c r="X1538" t="s">
        <v>69</v>
      </c>
      <c r="Y1538" t="s">
        <v>31712</v>
      </c>
      <c r="Z1538" t="s">
        <v>69</v>
      </c>
      <c r="AA1538" t="s">
        <v>7714</v>
      </c>
      <c r="AB1538" t="s">
        <v>31713</v>
      </c>
      <c r="AC1538" t="s">
        <v>69</v>
      </c>
      <c r="AD1538" t="s">
        <v>31714</v>
      </c>
      <c r="AE1538" t="s">
        <v>69</v>
      </c>
      <c r="AF1538" t="s">
        <v>69</v>
      </c>
      <c r="AG1538" t="s">
        <v>69</v>
      </c>
      <c r="AH1538" t="s">
        <v>69</v>
      </c>
      <c r="AI1538" t="s">
        <v>69</v>
      </c>
      <c r="AJ1538" t="s">
        <v>69</v>
      </c>
      <c r="AK1538" t="s">
        <v>69</v>
      </c>
      <c r="AL1538">
        <v>8</v>
      </c>
      <c r="AM1538">
        <v>11</v>
      </c>
      <c r="AN1538">
        <v>13</v>
      </c>
      <c r="AO1538">
        <v>9</v>
      </c>
      <c r="AP1538">
        <v>21</v>
      </c>
      <c r="AQ1538" t="s">
        <v>31715</v>
      </c>
      <c r="AR1538" t="s">
        <v>9048</v>
      </c>
      <c r="AS1538" t="s">
        <v>31716</v>
      </c>
      <c r="AT1538" t="s">
        <v>7715</v>
      </c>
      <c r="AU1538" t="s">
        <v>69</v>
      </c>
      <c r="AV1538" t="s">
        <v>69</v>
      </c>
      <c r="AW1538" t="s">
        <v>9225</v>
      </c>
      <c r="AX1538" t="s">
        <v>9226</v>
      </c>
      <c r="AY1538" t="s">
        <v>75</v>
      </c>
      <c r="AZ1538">
        <v>2000</v>
      </c>
      <c r="BA1538">
        <v>14</v>
      </c>
      <c r="BB1538">
        <v>6</v>
      </c>
      <c r="BC1538" t="s">
        <v>69</v>
      </c>
      <c r="BD1538" t="s">
        <v>69</v>
      </c>
      <c r="BE1538" t="s">
        <v>69</v>
      </c>
      <c r="BF1538" t="s">
        <v>69</v>
      </c>
      <c r="BG1538">
        <v>473</v>
      </c>
      <c r="BH1538">
        <v>495</v>
      </c>
      <c r="BI1538" t="s">
        <v>69</v>
      </c>
      <c r="BJ1538" t="s">
        <v>7716</v>
      </c>
      <c r="BK1538" t="str">
        <f>HYPERLINK("http://dx.doi.org/10.1023/A:1011105008526","http://dx.doi.org/10.1023/A:1011105008526")</f>
        <v>http://dx.doi.org/10.1023/A:1011105008526</v>
      </c>
      <c r="BL1538" t="s">
        <v>69</v>
      </c>
      <c r="BM1538" t="s">
        <v>69</v>
      </c>
      <c r="BN1538">
        <v>23</v>
      </c>
      <c r="BO1538" t="s">
        <v>9229</v>
      </c>
      <c r="BP1538" t="s">
        <v>8548</v>
      </c>
      <c r="BQ1538" t="s">
        <v>9230</v>
      </c>
      <c r="BR1538" t="s">
        <v>31717</v>
      </c>
      <c r="BS1538" t="s">
        <v>7717</v>
      </c>
      <c r="BT1538" t="s">
        <v>69</v>
      </c>
      <c r="BU1538" t="s">
        <v>69</v>
      </c>
      <c r="BV1538" t="s">
        <v>69</v>
      </c>
      <c r="BW1538" t="s">
        <v>69</v>
      </c>
      <c r="BX1538" t="s">
        <v>8526</v>
      </c>
      <c r="BY1538" t="str">
        <f>HYPERLINK("https%3A%2F%2Fwww.webofscience.com%2Fwos%2Fwoscc%2Ffull-record%2FWOS:000169223100004","View Full Record in Web of Science")</f>
        <v>View Full Record in Web of Science</v>
      </c>
    </row>
    <row r="1539" spans="1:77" ht="12.5" x14ac:dyDescent="0.25">
      <c r="A1539" t="s">
        <v>8495</v>
      </c>
      <c r="B1539" s="22" t="s">
        <v>32931</v>
      </c>
      <c r="C1539" s="7"/>
      <c r="D1539" s="7"/>
      <c r="E1539" s="7"/>
      <c r="F1539" t="s">
        <v>67</v>
      </c>
      <c r="G1539" t="s">
        <v>26836</v>
      </c>
      <c r="H1539" t="s">
        <v>69</v>
      </c>
      <c r="I1539" t="s">
        <v>69</v>
      </c>
      <c r="J1539" t="s">
        <v>69</v>
      </c>
      <c r="K1539" t="s">
        <v>26837</v>
      </c>
      <c r="L1539" t="s">
        <v>69</v>
      </c>
      <c r="M1539" t="s">
        <v>69</v>
      </c>
      <c r="N1539" t="s">
        <v>26838</v>
      </c>
      <c r="O1539" t="s">
        <v>12317</v>
      </c>
      <c r="P1539" t="s">
        <v>69</v>
      </c>
      <c r="Q1539" t="s">
        <v>69</v>
      </c>
      <c r="R1539" t="s">
        <v>8505</v>
      </c>
      <c r="S1539" t="s">
        <v>8506</v>
      </c>
      <c r="T1539" t="s">
        <v>69</v>
      </c>
      <c r="U1539" t="s">
        <v>69</v>
      </c>
      <c r="V1539" t="s">
        <v>69</v>
      </c>
      <c r="W1539" t="s">
        <v>69</v>
      </c>
      <c r="X1539" t="s">
        <v>69</v>
      </c>
      <c r="Y1539" t="s">
        <v>69</v>
      </c>
      <c r="Z1539" t="s">
        <v>26839</v>
      </c>
      <c r="AA1539" t="s">
        <v>26840</v>
      </c>
      <c r="AB1539" t="s">
        <v>26841</v>
      </c>
      <c r="AC1539" t="s">
        <v>69</v>
      </c>
      <c r="AD1539" t="s">
        <v>26842</v>
      </c>
      <c r="AE1539" t="s">
        <v>26843</v>
      </c>
      <c r="AF1539" t="s">
        <v>26844</v>
      </c>
      <c r="AG1539" t="s">
        <v>26845</v>
      </c>
      <c r="AH1539" t="s">
        <v>69</v>
      </c>
      <c r="AI1539" t="s">
        <v>69</v>
      </c>
      <c r="AJ1539" t="s">
        <v>69</v>
      </c>
      <c r="AK1539" t="s">
        <v>69</v>
      </c>
      <c r="AL1539">
        <v>39</v>
      </c>
      <c r="AM1539">
        <v>12</v>
      </c>
      <c r="AN1539">
        <v>12</v>
      </c>
      <c r="AO1539">
        <v>0</v>
      </c>
      <c r="AP1539">
        <v>11</v>
      </c>
      <c r="AQ1539" t="s">
        <v>18749</v>
      </c>
      <c r="AR1539" t="s">
        <v>8763</v>
      </c>
      <c r="AS1539" t="s">
        <v>18750</v>
      </c>
      <c r="AT1539" t="s">
        <v>12325</v>
      </c>
      <c r="AU1539" t="s">
        <v>69</v>
      </c>
      <c r="AV1539" t="s">
        <v>69</v>
      </c>
      <c r="AW1539" t="s">
        <v>12326</v>
      </c>
      <c r="AX1539" t="s">
        <v>12327</v>
      </c>
      <c r="AY1539" t="s">
        <v>2406</v>
      </c>
      <c r="AZ1539">
        <v>2011</v>
      </c>
      <c r="BA1539">
        <v>11</v>
      </c>
      <c r="BB1539" t="s">
        <v>69</v>
      </c>
      <c r="BC1539" t="s">
        <v>69</v>
      </c>
      <c r="BD1539" t="s">
        <v>69</v>
      </c>
      <c r="BE1539" t="s">
        <v>69</v>
      </c>
      <c r="BF1539" t="s">
        <v>69</v>
      </c>
      <c r="BG1539" t="s">
        <v>69</v>
      </c>
      <c r="BH1539" t="s">
        <v>69</v>
      </c>
      <c r="BI1539">
        <v>200</v>
      </c>
      <c r="BJ1539" t="s">
        <v>26846</v>
      </c>
      <c r="BK1539" t="str">
        <f>HYPERLINK("http://dx.doi.org/10.1186/1472-6963-11-200","http://dx.doi.org/10.1186/1472-6963-11-200")</f>
        <v>http://dx.doi.org/10.1186/1472-6963-11-200</v>
      </c>
      <c r="BL1539" t="s">
        <v>69</v>
      </c>
      <c r="BM1539" t="s">
        <v>69</v>
      </c>
      <c r="BN1539">
        <v>10</v>
      </c>
      <c r="BO1539" t="s">
        <v>9209</v>
      </c>
      <c r="BP1539" t="s">
        <v>8523</v>
      </c>
      <c r="BQ1539" t="s">
        <v>9209</v>
      </c>
      <c r="BR1539" t="s">
        <v>26847</v>
      </c>
      <c r="BS1539" t="s">
        <v>26848</v>
      </c>
      <c r="BT1539">
        <v>21854634</v>
      </c>
      <c r="BU1539" t="s">
        <v>14771</v>
      </c>
      <c r="BV1539" t="s">
        <v>69</v>
      </c>
      <c r="BW1539" t="s">
        <v>69</v>
      </c>
      <c r="BX1539" t="s">
        <v>8526</v>
      </c>
      <c r="BY1539" t="str">
        <f>HYPERLINK("https%3A%2F%2Fwww.webofscience.com%2Fwos%2Fwoscc%2Ffull-record%2FWOS:000294736000001","View Full Record in Web of Science")</f>
        <v>View Full Record in Web of Science</v>
      </c>
    </row>
    <row r="1540" spans="1:77" ht="12.5" x14ac:dyDescent="0.25">
      <c r="A1540" t="s">
        <v>8495</v>
      </c>
      <c r="B1540" s="22" t="s">
        <v>32931</v>
      </c>
      <c r="C1540" s="7"/>
      <c r="D1540" s="7"/>
      <c r="E1540" s="7"/>
      <c r="F1540" t="s">
        <v>67</v>
      </c>
      <c r="G1540" t="s">
        <v>32070</v>
      </c>
      <c r="H1540" t="s">
        <v>69</v>
      </c>
      <c r="I1540" t="s">
        <v>69</v>
      </c>
      <c r="J1540" t="s">
        <v>69</v>
      </c>
      <c r="K1540" t="s">
        <v>32070</v>
      </c>
      <c r="L1540" t="s">
        <v>69</v>
      </c>
      <c r="M1540" t="s">
        <v>69</v>
      </c>
      <c r="N1540" t="s">
        <v>32071</v>
      </c>
      <c r="O1540" t="s">
        <v>32072</v>
      </c>
      <c r="P1540" t="s">
        <v>69</v>
      </c>
      <c r="Q1540" t="s">
        <v>69</v>
      </c>
      <c r="R1540" t="s">
        <v>8505</v>
      </c>
      <c r="S1540" t="s">
        <v>8506</v>
      </c>
      <c r="T1540" t="s">
        <v>69</v>
      </c>
      <c r="U1540" t="s">
        <v>69</v>
      </c>
      <c r="V1540" t="s">
        <v>69</v>
      </c>
      <c r="W1540" t="s">
        <v>69</v>
      </c>
      <c r="X1540" t="s">
        <v>69</v>
      </c>
      <c r="Y1540" t="s">
        <v>32073</v>
      </c>
      <c r="Z1540" t="s">
        <v>69</v>
      </c>
      <c r="AA1540" t="s">
        <v>32074</v>
      </c>
      <c r="AB1540" t="s">
        <v>69</v>
      </c>
      <c r="AC1540" t="s">
        <v>69</v>
      </c>
      <c r="AD1540" t="s">
        <v>32075</v>
      </c>
      <c r="AE1540" t="s">
        <v>69</v>
      </c>
      <c r="AF1540" t="s">
        <v>69</v>
      </c>
      <c r="AG1540" t="s">
        <v>69</v>
      </c>
      <c r="AH1540" t="s">
        <v>69</v>
      </c>
      <c r="AI1540" t="s">
        <v>69</v>
      </c>
      <c r="AJ1540" t="s">
        <v>69</v>
      </c>
      <c r="AK1540" t="s">
        <v>69</v>
      </c>
      <c r="AL1540">
        <v>6</v>
      </c>
      <c r="AM1540">
        <v>1</v>
      </c>
      <c r="AN1540">
        <v>1</v>
      </c>
      <c r="AO1540">
        <v>0</v>
      </c>
      <c r="AP1540">
        <v>15</v>
      </c>
      <c r="AQ1540" t="s">
        <v>32076</v>
      </c>
      <c r="AR1540" t="s">
        <v>32077</v>
      </c>
      <c r="AS1540" t="s">
        <v>32078</v>
      </c>
      <c r="AT1540" t="s">
        <v>32079</v>
      </c>
      <c r="AU1540" t="s">
        <v>69</v>
      </c>
      <c r="AV1540" t="s">
        <v>69</v>
      </c>
      <c r="AW1540" t="s">
        <v>32080</v>
      </c>
      <c r="AX1540" t="s">
        <v>32081</v>
      </c>
      <c r="AY1540" t="s">
        <v>1226</v>
      </c>
      <c r="AZ1540">
        <v>1998</v>
      </c>
      <c r="BA1540">
        <v>6</v>
      </c>
      <c r="BB1540">
        <v>4</v>
      </c>
      <c r="BC1540" t="s">
        <v>69</v>
      </c>
      <c r="BD1540" t="s">
        <v>69</v>
      </c>
      <c r="BE1540" t="s">
        <v>69</v>
      </c>
      <c r="BF1540" t="s">
        <v>69</v>
      </c>
      <c r="BG1540">
        <v>165</v>
      </c>
      <c r="BH1540">
        <v>169</v>
      </c>
      <c r="BI1540" t="s">
        <v>69</v>
      </c>
      <c r="BJ1540" t="s">
        <v>69</v>
      </c>
      <c r="BK1540" t="s">
        <v>69</v>
      </c>
      <c r="BL1540" t="s">
        <v>69</v>
      </c>
      <c r="BM1540" t="s">
        <v>69</v>
      </c>
      <c r="BN1540">
        <v>5</v>
      </c>
      <c r="BO1540" t="s">
        <v>14769</v>
      </c>
      <c r="BP1540" t="s">
        <v>8548</v>
      </c>
      <c r="BQ1540" t="s">
        <v>14769</v>
      </c>
      <c r="BR1540" t="s">
        <v>32082</v>
      </c>
      <c r="BS1540" t="s">
        <v>32083</v>
      </c>
      <c r="BT1540" t="s">
        <v>69</v>
      </c>
      <c r="BU1540" t="s">
        <v>69</v>
      </c>
      <c r="BV1540" t="s">
        <v>69</v>
      </c>
      <c r="BW1540" t="s">
        <v>69</v>
      </c>
      <c r="BX1540" t="s">
        <v>8526</v>
      </c>
      <c r="BY1540" t="str">
        <f>HYPERLINK("https%3A%2F%2Fwww.webofscience.com%2Fwos%2Fwoscc%2Ffull-record%2FWOS:000074601000005","View Full Record in Web of Science")</f>
        <v>View Full Record in Web of Science</v>
      </c>
    </row>
    <row r="1541" spans="1:77" ht="12.5" x14ac:dyDescent="0.25">
      <c r="A1541" t="s">
        <v>8495</v>
      </c>
      <c r="B1541" s="7" t="s">
        <v>32933</v>
      </c>
      <c r="C1541" s="7"/>
      <c r="D1541" s="7"/>
      <c r="E1541" s="7"/>
      <c r="F1541" t="s">
        <v>67</v>
      </c>
      <c r="G1541" t="s">
        <v>1640</v>
      </c>
      <c r="H1541" t="s">
        <v>69</v>
      </c>
      <c r="I1541" t="s">
        <v>69</v>
      </c>
      <c r="J1541" t="s">
        <v>69</v>
      </c>
      <c r="K1541" t="s">
        <v>1640</v>
      </c>
      <c r="L1541" t="s">
        <v>69</v>
      </c>
      <c r="M1541" t="s">
        <v>69</v>
      </c>
      <c r="N1541" t="s">
        <v>1641</v>
      </c>
      <c r="O1541" t="s">
        <v>1642</v>
      </c>
      <c r="P1541" t="s">
        <v>69</v>
      </c>
      <c r="Q1541" t="s">
        <v>69</v>
      </c>
      <c r="R1541" t="s">
        <v>8505</v>
      </c>
      <c r="S1541" t="s">
        <v>8506</v>
      </c>
      <c r="T1541" t="s">
        <v>69</v>
      </c>
      <c r="U1541" t="s">
        <v>69</v>
      </c>
      <c r="V1541" t="s">
        <v>69</v>
      </c>
      <c r="W1541" t="s">
        <v>69</v>
      </c>
      <c r="X1541" t="s">
        <v>69</v>
      </c>
      <c r="Y1541" t="s">
        <v>30594</v>
      </c>
      <c r="Z1541" t="s">
        <v>30595</v>
      </c>
      <c r="AA1541" t="s">
        <v>1643</v>
      </c>
      <c r="AB1541" t="s">
        <v>30596</v>
      </c>
      <c r="AC1541" t="s">
        <v>69</v>
      </c>
      <c r="AD1541" t="s">
        <v>30597</v>
      </c>
      <c r="AE1541" t="s">
        <v>30598</v>
      </c>
      <c r="AF1541" t="s">
        <v>30599</v>
      </c>
      <c r="AG1541" t="s">
        <v>30600</v>
      </c>
      <c r="AH1541" t="s">
        <v>69</v>
      </c>
      <c r="AI1541" t="s">
        <v>69</v>
      </c>
      <c r="AJ1541" t="s">
        <v>69</v>
      </c>
      <c r="AK1541" t="s">
        <v>69</v>
      </c>
      <c r="AL1541">
        <v>83</v>
      </c>
      <c r="AM1541">
        <v>136</v>
      </c>
      <c r="AN1541">
        <v>146</v>
      </c>
      <c r="AO1541">
        <v>1</v>
      </c>
      <c r="AP1541">
        <v>63</v>
      </c>
      <c r="AQ1541" t="s">
        <v>8636</v>
      </c>
      <c r="AR1541" t="s">
        <v>8637</v>
      </c>
      <c r="AS1541" t="s">
        <v>8638</v>
      </c>
      <c r="AT1541" t="s">
        <v>1644</v>
      </c>
      <c r="AU1541" t="s">
        <v>1645</v>
      </c>
      <c r="AV1541" t="s">
        <v>69</v>
      </c>
      <c r="AW1541" t="s">
        <v>16744</v>
      </c>
      <c r="AX1541" t="s">
        <v>16745</v>
      </c>
      <c r="AY1541" t="s">
        <v>381</v>
      </c>
      <c r="AZ1541">
        <v>2005</v>
      </c>
      <c r="BA1541">
        <v>125</v>
      </c>
      <c r="BB1541">
        <v>4</v>
      </c>
      <c r="BC1541" t="s">
        <v>69</v>
      </c>
      <c r="BD1541" t="s">
        <v>69</v>
      </c>
      <c r="BE1541" t="s">
        <v>69</v>
      </c>
      <c r="BF1541" t="s">
        <v>69</v>
      </c>
      <c r="BG1541">
        <v>441</v>
      </c>
      <c r="BH1541">
        <v>458</v>
      </c>
      <c r="BI1541" t="s">
        <v>69</v>
      </c>
      <c r="BJ1541" t="s">
        <v>1646</v>
      </c>
      <c r="BK1541" t="str">
        <f>HYPERLINK("http://dx.doi.org/10.1016/j.biocon.2005.04.019","http://dx.doi.org/10.1016/j.biocon.2005.04.019")</f>
        <v>http://dx.doi.org/10.1016/j.biocon.2005.04.019</v>
      </c>
      <c r="BL1541" t="s">
        <v>69</v>
      </c>
      <c r="BM1541" t="s">
        <v>69</v>
      </c>
      <c r="BN1541">
        <v>18</v>
      </c>
      <c r="BO1541" t="s">
        <v>16747</v>
      </c>
      <c r="BP1541" t="s">
        <v>8523</v>
      </c>
      <c r="BQ1541" t="s">
        <v>15452</v>
      </c>
      <c r="BR1541" t="s">
        <v>30601</v>
      </c>
      <c r="BS1541" t="s">
        <v>1647</v>
      </c>
      <c r="BT1541" t="s">
        <v>69</v>
      </c>
      <c r="BU1541" t="s">
        <v>69</v>
      </c>
      <c r="BV1541" t="s">
        <v>69</v>
      </c>
      <c r="BW1541" t="s">
        <v>69</v>
      </c>
      <c r="BX1541" t="s">
        <v>8526</v>
      </c>
      <c r="BY1541" t="str">
        <f>HYPERLINK("https%3A%2F%2Fwww.webofscience.com%2Fwos%2Fwoscc%2Ffull-record%2FWOS:000230447100004","View Full Record in Web of Science")</f>
        <v>View Full Record in Web of Science</v>
      </c>
    </row>
    <row r="1542" spans="1:77" ht="12.5" x14ac:dyDescent="0.25">
      <c r="A1542" t="s">
        <v>8495</v>
      </c>
      <c r="B1542" s="7" t="s">
        <v>32933</v>
      </c>
      <c r="C1542" s="7"/>
      <c r="D1542" s="7"/>
      <c r="E1542" s="7"/>
      <c r="F1542" t="s">
        <v>67</v>
      </c>
      <c r="G1542" t="s">
        <v>1976</v>
      </c>
      <c r="H1542" t="s">
        <v>69</v>
      </c>
      <c r="I1542" t="s">
        <v>69</v>
      </c>
      <c r="J1542" t="s">
        <v>69</v>
      </c>
      <c r="K1542" t="s">
        <v>1977</v>
      </c>
      <c r="L1542" t="s">
        <v>69</v>
      </c>
      <c r="M1542" t="s">
        <v>69</v>
      </c>
      <c r="N1542" t="s">
        <v>1978</v>
      </c>
      <c r="O1542" t="s">
        <v>1979</v>
      </c>
      <c r="P1542" t="s">
        <v>69</v>
      </c>
      <c r="Q1542" t="s">
        <v>69</v>
      </c>
      <c r="R1542" t="s">
        <v>8505</v>
      </c>
      <c r="S1542" t="s">
        <v>8442</v>
      </c>
      <c r="T1542" t="s">
        <v>69</v>
      </c>
      <c r="U1542" t="s">
        <v>69</v>
      </c>
      <c r="V1542" t="s">
        <v>69</v>
      </c>
      <c r="W1542" t="s">
        <v>69</v>
      </c>
      <c r="X1542" t="s">
        <v>69</v>
      </c>
      <c r="Y1542" t="s">
        <v>15152</v>
      </c>
      <c r="Z1542" t="s">
        <v>15153</v>
      </c>
      <c r="AA1542" t="s">
        <v>1980</v>
      </c>
      <c r="AB1542" t="s">
        <v>15154</v>
      </c>
      <c r="AC1542" t="s">
        <v>69</v>
      </c>
      <c r="AD1542" t="s">
        <v>15155</v>
      </c>
      <c r="AE1542" t="s">
        <v>15156</v>
      </c>
      <c r="AF1542" t="s">
        <v>1981</v>
      </c>
      <c r="AG1542" t="s">
        <v>1982</v>
      </c>
      <c r="AH1542" t="s">
        <v>15157</v>
      </c>
      <c r="AI1542" t="s">
        <v>15158</v>
      </c>
      <c r="AJ1542" t="s">
        <v>15159</v>
      </c>
      <c r="AK1542" t="s">
        <v>69</v>
      </c>
      <c r="AL1542">
        <v>146</v>
      </c>
      <c r="AM1542">
        <v>12</v>
      </c>
      <c r="AN1542">
        <v>12</v>
      </c>
      <c r="AO1542">
        <v>12</v>
      </c>
      <c r="AP1542">
        <v>59</v>
      </c>
      <c r="AQ1542" t="s">
        <v>9047</v>
      </c>
      <c r="AR1542" t="s">
        <v>9048</v>
      </c>
      <c r="AS1542" t="s">
        <v>9049</v>
      </c>
      <c r="AT1542" t="s">
        <v>1983</v>
      </c>
      <c r="AU1542" t="s">
        <v>1984</v>
      </c>
      <c r="AV1542" t="s">
        <v>69</v>
      </c>
      <c r="AW1542" t="s">
        <v>15160</v>
      </c>
      <c r="AX1542" t="s">
        <v>15161</v>
      </c>
      <c r="AY1542" t="s">
        <v>274</v>
      </c>
      <c r="AZ1542">
        <v>2020</v>
      </c>
      <c r="BA1542">
        <v>42</v>
      </c>
      <c r="BB1542">
        <v>11</v>
      </c>
      <c r="BC1542" t="s">
        <v>69</v>
      </c>
      <c r="BD1542" t="s">
        <v>69</v>
      </c>
      <c r="BE1542" t="s">
        <v>69</v>
      </c>
      <c r="BF1542" t="s">
        <v>69</v>
      </c>
      <c r="BG1542">
        <v>3481</v>
      </c>
      <c r="BH1542">
        <v>3505</v>
      </c>
      <c r="BI1542" t="s">
        <v>69</v>
      </c>
      <c r="BJ1542" t="s">
        <v>1985</v>
      </c>
      <c r="BK1542" t="str">
        <f>HYPERLINK("http://dx.doi.org/10.1007/s10653-020-00594-3","http://dx.doi.org/10.1007/s10653-020-00594-3")</f>
        <v>http://dx.doi.org/10.1007/s10653-020-00594-3</v>
      </c>
      <c r="BL1542" t="s">
        <v>69</v>
      </c>
      <c r="BM1542" t="s">
        <v>732</v>
      </c>
      <c r="BN1542">
        <v>25</v>
      </c>
      <c r="BO1542" t="s">
        <v>15162</v>
      </c>
      <c r="BP1542" t="s">
        <v>8523</v>
      </c>
      <c r="BQ1542" t="s">
        <v>15163</v>
      </c>
      <c r="BR1542" t="s">
        <v>15164</v>
      </c>
      <c r="BS1542" t="s">
        <v>1986</v>
      </c>
      <c r="BT1542">
        <v>32435924</v>
      </c>
      <c r="BU1542" t="s">
        <v>69</v>
      </c>
      <c r="BV1542" t="s">
        <v>69</v>
      </c>
      <c r="BW1542" t="s">
        <v>69</v>
      </c>
      <c r="BX1542" t="s">
        <v>8526</v>
      </c>
      <c r="BY1542" t="str">
        <f>HYPERLINK("https%3A%2F%2Fwww.webofscience.com%2Fwos%2Fwoscc%2Ffull-record%2FWOS:000534446400001","View Full Record in Web of Science")</f>
        <v>View Full Record in Web of Science</v>
      </c>
    </row>
    <row r="1543" spans="1:77" ht="12.5" x14ac:dyDescent="0.25">
      <c r="A1543" t="s">
        <v>8495</v>
      </c>
      <c r="B1543" s="7" t="s">
        <v>32933</v>
      </c>
      <c r="C1543" s="7"/>
      <c r="D1543" s="7"/>
      <c r="E1543" s="7"/>
      <c r="F1543" t="s">
        <v>67</v>
      </c>
      <c r="G1543" t="s">
        <v>5530</v>
      </c>
      <c r="H1543" t="s">
        <v>69</v>
      </c>
      <c r="I1543" t="s">
        <v>69</v>
      </c>
      <c r="J1543" t="s">
        <v>69</v>
      </c>
      <c r="K1543" t="s">
        <v>5531</v>
      </c>
      <c r="L1543" t="s">
        <v>69</v>
      </c>
      <c r="M1543" t="s">
        <v>69</v>
      </c>
      <c r="N1543" t="s">
        <v>5532</v>
      </c>
      <c r="O1543" t="s">
        <v>5533</v>
      </c>
      <c r="P1543" t="s">
        <v>69</v>
      </c>
      <c r="Q1543" t="s">
        <v>69</v>
      </c>
      <c r="R1543" t="s">
        <v>8505</v>
      </c>
      <c r="S1543" t="s">
        <v>8506</v>
      </c>
      <c r="T1543" t="s">
        <v>69</v>
      </c>
      <c r="U1543" t="s">
        <v>69</v>
      </c>
      <c r="V1543" t="s">
        <v>69</v>
      </c>
      <c r="W1543" t="s">
        <v>69</v>
      </c>
      <c r="X1543" t="s">
        <v>69</v>
      </c>
      <c r="Y1543" t="s">
        <v>15811</v>
      </c>
      <c r="Z1543" t="s">
        <v>15812</v>
      </c>
      <c r="AA1543" t="s">
        <v>5534</v>
      </c>
      <c r="AB1543" t="s">
        <v>15813</v>
      </c>
      <c r="AC1543" t="s">
        <v>69</v>
      </c>
      <c r="AD1543" t="s">
        <v>15814</v>
      </c>
      <c r="AE1543" t="s">
        <v>15815</v>
      </c>
      <c r="AF1543" t="s">
        <v>15816</v>
      </c>
      <c r="AG1543" t="s">
        <v>15817</v>
      </c>
      <c r="AH1543" t="s">
        <v>15818</v>
      </c>
      <c r="AI1543" t="s">
        <v>15819</v>
      </c>
      <c r="AJ1543" t="s">
        <v>15820</v>
      </c>
      <c r="AK1543" t="s">
        <v>69</v>
      </c>
      <c r="AL1543">
        <v>54</v>
      </c>
      <c r="AM1543">
        <v>6</v>
      </c>
      <c r="AN1543">
        <v>6</v>
      </c>
      <c r="AO1543">
        <v>1</v>
      </c>
      <c r="AP1543">
        <v>7</v>
      </c>
      <c r="AQ1543" t="s">
        <v>15821</v>
      </c>
      <c r="AR1543" t="s">
        <v>8735</v>
      </c>
      <c r="AS1543" t="s">
        <v>15822</v>
      </c>
      <c r="AT1543" t="s">
        <v>5535</v>
      </c>
      <c r="AU1543" t="s">
        <v>5536</v>
      </c>
      <c r="AV1543" t="s">
        <v>69</v>
      </c>
      <c r="AW1543" t="s">
        <v>15823</v>
      </c>
      <c r="AX1543" t="s">
        <v>15824</v>
      </c>
      <c r="AY1543" t="s">
        <v>191</v>
      </c>
      <c r="AZ1543">
        <v>2020</v>
      </c>
      <c r="BA1543">
        <v>56</v>
      </c>
      <c r="BB1543">
        <v>2</v>
      </c>
      <c r="BC1543" t="s">
        <v>69</v>
      </c>
      <c r="BD1543" t="s">
        <v>69</v>
      </c>
      <c r="BE1543" t="s">
        <v>69</v>
      </c>
      <c r="BF1543" t="s">
        <v>69</v>
      </c>
      <c r="BG1543" t="s">
        <v>69</v>
      </c>
      <c r="BH1543" t="s">
        <v>69</v>
      </c>
      <c r="BI1543" t="s">
        <v>5537</v>
      </c>
      <c r="BJ1543" t="s">
        <v>5538</v>
      </c>
      <c r="BK1543" t="str">
        <f>HYPERLINK("http://dx.doi.org/10.1029/2019WR026694","http://dx.doi.org/10.1029/2019WR026694")</f>
        <v>http://dx.doi.org/10.1029/2019WR026694</v>
      </c>
      <c r="BL1543" t="s">
        <v>69</v>
      </c>
      <c r="BM1543" t="s">
        <v>69</v>
      </c>
      <c r="BN1543">
        <v>16</v>
      </c>
      <c r="BO1543" t="s">
        <v>15825</v>
      </c>
      <c r="BP1543" t="s">
        <v>8523</v>
      </c>
      <c r="BQ1543" t="s">
        <v>15826</v>
      </c>
      <c r="BR1543" t="s">
        <v>15827</v>
      </c>
      <c r="BS1543" t="s">
        <v>5539</v>
      </c>
      <c r="BT1543" t="s">
        <v>69</v>
      </c>
      <c r="BU1543" t="s">
        <v>10423</v>
      </c>
      <c r="BV1543" t="s">
        <v>69</v>
      </c>
      <c r="BW1543" t="s">
        <v>69</v>
      </c>
      <c r="BX1543" t="s">
        <v>8526</v>
      </c>
      <c r="BY1543" t="str">
        <f>HYPERLINK("https%3A%2F%2Fwww.webofscience.com%2Fwos%2Fwoscc%2Ffull-record%2FWOS:000535672800060","View Full Record in Web of Science")</f>
        <v>View Full Record in Web of Science</v>
      </c>
    </row>
    <row r="1544" spans="1:77" x14ac:dyDescent="0.3">
      <c r="A1544" t="s">
        <v>8495</v>
      </c>
      <c r="B1544" s="9" t="s">
        <v>32954</v>
      </c>
      <c r="C1544" s="9" t="s">
        <v>33165</v>
      </c>
      <c r="D1544" s="9" t="s">
        <v>8491</v>
      </c>
      <c r="E1544" s="9" t="s">
        <v>8490</v>
      </c>
      <c r="F1544" t="s">
        <v>67</v>
      </c>
      <c r="G1544" t="s">
        <v>25075</v>
      </c>
      <c r="H1544" t="s">
        <v>69</v>
      </c>
      <c r="I1544" t="s">
        <v>69</v>
      </c>
      <c r="J1544" t="s">
        <v>69</v>
      </c>
      <c r="K1544" t="s">
        <v>25076</v>
      </c>
      <c r="L1544" t="s">
        <v>69</v>
      </c>
      <c r="M1544" t="s">
        <v>69</v>
      </c>
      <c r="N1544" t="s">
        <v>25077</v>
      </c>
      <c r="O1544" t="s">
        <v>3336</v>
      </c>
      <c r="P1544" t="s">
        <v>69</v>
      </c>
      <c r="Q1544" t="s">
        <v>69</v>
      </c>
      <c r="R1544" t="s">
        <v>8505</v>
      </c>
      <c r="S1544" t="s">
        <v>8506</v>
      </c>
      <c r="T1544" t="s">
        <v>69</v>
      </c>
      <c r="U1544" t="s">
        <v>69</v>
      </c>
      <c r="V1544" t="s">
        <v>69</v>
      </c>
      <c r="W1544" t="s">
        <v>69</v>
      </c>
      <c r="X1544" t="s">
        <v>69</v>
      </c>
      <c r="Y1544" t="s">
        <v>25078</v>
      </c>
      <c r="Z1544" t="s">
        <v>25079</v>
      </c>
      <c r="AA1544" t="s">
        <v>25080</v>
      </c>
      <c r="AB1544" t="s">
        <v>25081</v>
      </c>
      <c r="AC1544" t="s">
        <v>69</v>
      </c>
      <c r="AD1544" t="s">
        <v>25082</v>
      </c>
      <c r="AE1544" t="s">
        <v>25083</v>
      </c>
      <c r="AF1544" t="s">
        <v>25084</v>
      </c>
      <c r="AG1544" t="s">
        <v>25085</v>
      </c>
      <c r="AH1544" t="s">
        <v>69</v>
      </c>
      <c r="AI1544" t="s">
        <v>69</v>
      </c>
      <c r="AJ1544" t="s">
        <v>69</v>
      </c>
      <c r="AK1544" t="s">
        <v>69</v>
      </c>
      <c r="AL1544">
        <v>41</v>
      </c>
      <c r="AM1544">
        <v>37</v>
      </c>
      <c r="AN1544">
        <v>37</v>
      </c>
      <c r="AO1544">
        <v>0</v>
      </c>
      <c r="AP1544">
        <v>21</v>
      </c>
      <c r="AQ1544" t="s">
        <v>17140</v>
      </c>
      <c r="AR1544" t="s">
        <v>8517</v>
      </c>
      <c r="AS1544" t="s">
        <v>17141</v>
      </c>
      <c r="AT1544" t="s">
        <v>3339</v>
      </c>
      <c r="AU1544" t="s">
        <v>3340</v>
      </c>
      <c r="AV1544" t="s">
        <v>69</v>
      </c>
      <c r="AW1544" t="s">
        <v>25086</v>
      </c>
      <c r="AX1544" t="s">
        <v>25087</v>
      </c>
      <c r="AY1544" t="s">
        <v>246</v>
      </c>
      <c r="AZ1544">
        <v>2013</v>
      </c>
      <c r="BA1544">
        <v>88</v>
      </c>
      <c r="BB1544" t="s">
        <v>69</v>
      </c>
      <c r="BC1544" t="s">
        <v>69</v>
      </c>
      <c r="BD1544" t="s">
        <v>69</v>
      </c>
      <c r="BE1544" t="s">
        <v>69</v>
      </c>
      <c r="BF1544" t="s">
        <v>69</v>
      </c>
      <c r="BG1544">
        <v>206</v>
      </c>
      <c r="BH1544">
        <v>213</v>
      </c>
      <c r="BI1544" t="s">
        <v>69</v>
      </c>
      <c r="BJ1544" t="s">
        <v>25088</v>
      </c>
      <c r="BK1544" t="str">
        <f>HYPERLINK("http://dx.doi.org/10.1016/j.ecolecon.2012.12.015","http://dx.doi.org/10.1016/j.ecolecon.2012.12.015")</f>
        <v>http://dx.doi.org/10.1016/j.ecolecon.2012.12.015</v>
      </c>
      <c r="BL1544" t="s">
        <v>69</v>
      </c>
      <c r="BM1544" t="s">
        <v>69</v>
      </c>
      <c r="BN1544">
        <v>8</v>
      </c>
      <c r="BO1544" t="s">
        <v>25089</v>
      </c>
      <c r="BP1544" t="s">
        <v>8523</v>
      </c>
      <c r="BQ1544" t="s">
        <v>25090</v>
      </c>
      <c r="BR1544" t="s">
        <v>25091</v>
      </c>
      <c r="BS1544" t="s">
        <v>25092</v>
      </c>
      <c r="BT1544" t="s">
        <v>69</v>
      </c>
      <c r="BU1544" t="s">
        <v>69</v>
      </c>
      <c r="BV1544" t="s">
        <v>69</v>
      </c>
      <c r="BW1544" t="s">
        <v>69</v>
      </c>
      <c r="BX1544" t="s">
        <v>8526</v>
      </c>
      <c r="BY1544" t="str">
        <f>HYPERLINK("https%3A%2F%2Fwww.webofscience.com%2Fwos%2Fwoscc%2Ffull-record%2FWOS:000317709100026","View Full Record in Web of Science")</f>
        <v>View Full Record in Web of Science</v>
      </c>
    </row>
    <row r="1545" spans="1:77" ht="12.5" x14ac:dyDescent="0.25">
      <c r="A1545" t="s">
        <v>8495</v>
      </c>
      <c r="B1545" s="22" t="s">
        <v>32931</v>
      </c>
      <c r="C1545" s="7"/>
      <c r="D1545" s="7"/>
      <c r="E1545" s="7"/>
      <c r="F1545" t="s">
        <v>67</v>
      </c>
      <c r="G1545" t="s">
        <v>23779</v>
      </c>
      <c r="H1545" t="s">
        <v>69</v>
      </c>
      <c r="I1545" t="s">
        <v>69</v>
      </c>
      <c r="J1545" t="s">
        <v>69</v>
      </c>
      <c r="K1545" t="s">
        <v>23780</v>
      </c>
      <c r="L1545" t="s">
        <v>69</v>
      </c>
      <c r="M1545" t="s">
        <v>69</v>
      </c>
      <c r="N1545" t="s">
        <v>23781</v>
      </c>
      <c r="O1545" t="s">
        <v>23782</v>
      </c>
      <c r="P1545" t="s">
        <v>69</v>
      </c>
      <c r="Q1545" t="s">
        <v>69</v>
      </c>
      <c r="R1545" t="s">
        <v>8505</v>
      </c>
      <c r="S1545" t="s">
        <v>8506</v>
      </c>
      <c r="T1545" t="s">
        <v>69</v>
      </c>
      <c r="U1545" t="s">
        <v>69</v>
      </c>
      <c r="V1545" t="s">
        <v>69</v>
      </c>
      <c r="W1545" t="s">
        <v>69</v>
      </c>
      <c r="X1545" t="s">
        <v>69</v>
      </c>
      <c r="Y1545" t="s">
        <v>23783</v>
      </c>
      <c r="Z1545" t="s">
        <v>23784</v>
      </c>
      <c r="AA1545" t="s">
        <v>23785</v>
      </c>
      <c r="AB1545" t="s">
        <v>23786</v>
      </c>
      <c r="AC1545" t="s">
        <v>69</v>
      </c>
      <c r="AD1545" t="s">
        <v>23787</v>
      </c>
      <c r="AE1545" t="s">
        <v>23788</v>
      </c>
      <c r="AF1545" t="s">
        <v>23789</v>
      </c>
      <c r="AG1545" t="s">
        <v>23790</v>
      </c>
      <c r="AH1545" t="s">
        <v>69</v>
      </c>
      <c r="AI1545" t="s">
        <v>69</v>
      </c>
      <c r="AJ1545" t="s">
        <v>69</v>
      </c>
      <c r="AK1545" t="s">
        <v>69</v>
      </c>
      <c r="AL1545">
        <v>53</v>
      </c>
      <c r="AM1545">
        <v>0</v>
      </c>
      <c r="AN1545">
        <v>0</v>
      </c>
      <c r="AO1545">
        <v>0</v>
      </c>
      <c r="AP1545">
        <v>1</v>
      </c>
      <c r="AQ1545" t="s">
        <v>11360</v>
      </c>
      <c r="AR1545" t="s">
        <v>11361</v>
      </c>
      <c r="AS1545" t="s">
        <v>11362</v>
      </c>
      <c r="AT1545" t="s">
        <v>23791</v>
      </c>
      <c r="AU1545" t="s">
        <v>69</v>
      </c>
      <c r="AV1545" t="s">
        <v>69</v>
      </c>
      <c r="AW1545" t="s">
        <v>23792</v>
      </c>
      <c r="AX1545" t="s">
        <v>23793</v>
      </c>
      <c r="AY1545" t="s">
        <v>155</v>
      </c>
      <c r="AZ1545">
        <v>2014</v>
      </c>
      <c r="BA1545">
        <v>14</v>
      </c>
      <c r="BB1545">
        <v>2</v>
      </c>
      <c r="BC1545" t="s">
        <v>69</v>
      </c>
      <c r="BD1545" t="s">
        <v>69</v>
      </c>
      <c r="BE1545" t="s">
        <v>69</v>
      </c>
      <c r="BF1545" t="s">
        <v>69</v>
      </c>
      <c r="BG1545">
        <v>265</v>
      </c>
      <c r="BH1545">
        <v>286</v>
      </c>
      <c r="BI1545" t="s">
        <v>69</v>
      </c>
      <c r="BJ1545" t="s">
        <v>23794</v>
      </c>
      <c r="BK1545" t="str">
        <f>HYPERLINK("http://dx.doi.org/10.1515/gej-2013-0055","http://dx.doi.org/10.1515/gej-2013-0055")</f>
        <v>http://dx.doi.org/10.1515/gej-2013-0055</v>
      </c>
      <c r="BL1545" t="s">
        <v>69</v>
      </c>
      <c r="BM1545" t="s">
        <v>69</v>
      </c>
      <c r="BN1545">
        <v>22</v>
      </c>
      <c r="BO1545" t="s">
        <v>9726</v>
      </c>
      <c r="BP1545" t="s">
        <v>8573</v>
      </c>
      <c r="BQ1545" t="s">
        <v>8594</v>
      </c>
      <c r="BR1545" t="s">
        <v>23795</v>
      </c>
      <c r="BS1545" t="s">
        <v>23796</v>
      </c>
      <c r="BT1545" t="s">
        <v>69</v>
      </c>
      <c r="BU1545" t="s">
        <v>69</v>
      </c>
      <c r="BV1545" t="s">
        <v>69</v>
      </c>
      <c r="BW1545" t="s">
        <v>69</v>
      </c>
      <c r="BX1545" t="s">
        <v>8526</v>
      </c>
      <c r="BY1545" t="str">
        <f>HYPERLINK("https%3A%2F%2Fwww.webofscience.com%2Fwos%2Fwoscc%2Ffull-record%2FWOS:000442229300007","View Full Record in Web of Science")</f>
        <v>View Full Record in Web of Science</v>
      </c>
    </row>
    <row r="1546" spans="1:77" ht="12.5" x14ac:dyDescent="0.25">
      <c r="A1546" t="s">
        <v>8495</v>
      </c>
      <c r="B1546" s="7" t="s">
        <v>32933</v>
      </c>
      <c r="C1546" s="7"/>
      <c r="D1546" s="7"/>
      <c r="E1546" s="7"/>
      <c r="F1546" t="s">
        <v>67</v>
      </c>
      <c r="G1546" t="s">
        <v>7836</v>
      </c>
      <c r="H1546" t="s">
        <v>69</v>
      </c>
      <c r="I1546" t="s">
        <v>69</v>
      </c>
      <c r="J1546" t="s">
        <v>69</v>
      </c>
      <c r="K1546" t="s">
        <v>7837</v>
      </c>
      <c r="L1546" t="s">
        <v>69</v>
      </c>
      <c r="M1546" t="s">
        <v>69</v>
      </c>
      <c r="N1546" t="s">
        <v>7838</v>
      </c>
      <c r="O1546" t="s">
        <v>3722</v>
      </c>
      <c r="P1546" t="s">
        <v>69</v>
      </c>
      <c r="Q1546" t="s">
        <v>69</v>
      </c>
      <c r="R1546" t="s">
        <v>8505</v>
      </c>
      <c r="S1546" t="s">
        <v>8506</v>
      </c>
      <c r="T1546" t="s">
        <v>69</v>
      </c>
      <c r="U1546" t="s">
        <v>69</v>
      </c>
      <c r="V1546" t="s">
        <v>69</v>
      </c>
      <c r="W1546" t="s">
        <v>69</v>
      </c>
      <c r="X1546" t="s">
        <v>69</v>
      </c>
      <c r="Y1546" t="s">
        <v>25126</v>
      </c>
      <c r="Z1546" t="s">
        <v>4739</v>
      </c>
      <c r="AA1546" t="s">
        <v>7839</v>
      </c>
      <c r="AB1546" t="s">
        <v>25127</v>
      </c>
      <c r="AC1546" t="s">
        <v>69</v>
      </c>
      <c r="AD1546" t="s">
        <v>25128</v>
      </c>
      <c r="AE1546" t="s">
        <v>69</v>
      </c>
      <c r="AF1546" t="s">
        <v>69</v>
      </c>
      <c r="AG1546" t="s">
        <v>69</v>
      </c>
      <c r="AH1546" t="s">
        <v>69</v>
      </c>
      <c r="AI1546" t="s">
        <v>69</v>
      </c>
      <c r="AJ1546" t="s">
        <v>69</v>
      </c>
      <c r="AK1546" t="s">
        <v>69</v>
      </c>
      <c r="AL1546">
        <v>19</v>
      </c>
      <c r="AM1546">
        <v>1</v>
      </c>
      <c r="AN1546">
        <v>1</v>
      </c>
      <c r="AO1546">
        <v>0</v>
      </c>
      <c r="AP1546">
        <v>4</v>
      </c>
      <c r="AQ1546" t="s">
        <v>13195</v>
      </c>
      <c r="AR1546" t="s">
        <v>13196</v>
      </c>
      <c r="AS1546" t="s">
        <v>13197</v>
      </c>
      <c r="AT1546" t="s">
        <v>3724</v>
      </c>
      <c r="AU1546" t="s">
        <v>7840</v>
      </c>
      <c r="AV1546" t="s">
        <v>69</v>
      </c>
      <c r="AW1546" t="s">
        <v>25129</v>
      </c>
      <c r="AX1546" t="s">
        <v>25130</v>
      </c>
      <c r="AY1546" t="s">
        <v>94</v>
      </c>
      <c r="AZ1546">
        <v>2013</v>
      </c>
      <c r="BA1546">
        <v>166</v>
      </c>
      <c r="BB1546">
        <v>1</v>
      </c>
      <c r="BC1546" t="s">
        <v>69</v>
      </c>
      <c r="BD1546" t="s">
        <v>69</v>
      </c>
      <c r="BE1546" t="s">
        <v>69</v>
      </c>
      <c r="BF1546" t="s">
        <v>69</v>
      </c>
      <c r="BG1546">
        <v>45</v>
      </c>
      <c r="BH1546">
        <v>52</v>
      </c>
      <c r="BI1546" t="s">
        <v>69</v>
      </c>
      <c r="BJ1546" t="s">
        <v>7841</v>
      </c>
      <c r="BK1546" t="str">
        <f>HYPERLINK("http://dx.doi.org/10.1680/muen.11.00039","http://dx.doi.org/10.1680/muen.11.00039")</f>
        <v>http://dx.doi.org/10.1680/muen.11.00039</v>
      </c>
      <c r="BL1546" t="s">
        <v>69</v>
      </c>
      <c r="BM1546" t="s">
        <v>69</v>
      </c>
      <c r="BN1546">
        <v>8</v>
      </c>
      <c r="BO1546" t="s">
        <v>13537</v>
      </c>
      <c r="BP1546" t="s">
        <v>8548</v>
      </c>
      <c r="BQ1546" t="s">
        <v>8445</v>
      </c>
      <c r="BR1546" t="s">
        <v>25131</v>
      </c>
      <c r="BS1546" t="s">
        <v>7842</v>
      </c>
      <c r="BT1546" t="s">
        <v>69</v>
      </c>
      <c r="BU1546" t="s">
        <v>69</v>
      </c>
      <c r="BV1546" t="s">
        <v>69</v>
      </c>
      <c r="BW1546" t="s">
        <v>69</v>
      </c>
      <c r="BX1546" t="s">
        <v>8526</v>
      </c>
      <c r="BY1546" t="str">
        <f>HYPERLINK("https%3A%2F%2Fwww.webofscience.com%2Fwos%2Fwoscc%2Ffull-record%2FWOS:000322062400006","View Full Record in Web of Science")</f>
        <v>View Full Record in Web of Science</v>
      </c>
    </row>
    <row r="1547" spans="1:77" ht="12.5" x14ac:dyDescent="0.25">
      <c r="A1547" t="s">
        <v>8495</v>
      </c>
      <c r="B1547" s="7" t="s">
        <v>32933</v>
      </c>
      <c r="C1547" s="7"/>
      <c r="D1547" s="7"/>
      <c r="E1547" s="7"/>
      <c r="F1547" t="s">
        <v>67</v>
      </c>
      <c r="G1547" t="s">
        <v>4192</v>
      </c>
      <c r="H1547" t="s">
        <v>69</v>
      </c>
      <c r="I1547" t="s">
        <v>69</v>
      </c>
      <c r="J1547" t="s">
        <v>69</v>
      </c>
      <c r="K1547" t="s">
        <v>4192</v>
      </c>
      <c r="L1547" t="s">
        <v>69</v>
      </c>
      <c r="M1547" t="s">
        <v>69</v>
      </c>
      <c r="N1547" t="s">
        <v>4193</v>
      </c>
      <c r="O1547" t="s">
        <v>3658</v>
      </c>
      <c r="P1547" t="s">
        <v>69</v>
      </c>
      <c r="Q1547" t="s">
        <v>69</v>
      </c>
      <c r="R1547" t="s">
        <v>8505</v>
      </c>
      <c r="S1547" t="s">
        <v>15797</v>
      </c>
      <c r="T1547" t="s">
        <v>4194</v>
      </c>
      <c r="U1547">
        <v>1995</v>
      </c>
      <c r="V1547" t="s">
        <v>4195</v>
      </c>
      <c r="W1547" t="s">
        <v>4196</v>
      </c>
      <c r="X1547" t="s">
        <v>69</v>
      </c>
      <c r="Y1547" t="s">
        <v>69</v>
      </c>
      <c r="Z1547" t="s">
        <v>69</v>
      </c>
      <c r="AA1547" t="s">
        <v>4197</v>
      </c>
      <c r="AB1547" t="s">
        <v>69</v>
      </c>
      <c r="AC1547" t="s">
        <v>69</v>
      </c>
      <c r="AD1547" t="s">
        <v>32333</v>
      </c>
      <c r="AE1547" t="s">
        <v>69</v>
      </c>
      <c r="AF1547" t="s">
        <v>69</v>
      </c>
      <c r="AG1547" t="s">
        <v>69</v>
      </c>
      <c r="AH1547" t="s">
        <v>69</v>
      </c>
      <c r="AI1547" t="s">
        <v>69</v>
      </c>
      <c r="AJ1547" t="s">
        <v>69</v>
      </c>
      <c r="AK1547" t="s">
        <v>69</v>
      </c>
      <c r="AL1547">
        <v>23</v>
      </c>
      <c r="AM1547">
        <v>8</v>
      </c>
      <c r="AN1547">
        <v>8</v>
      </c>
      <c r="AO1547">
        <v>2</v>
      </c>
      <c r="AP1547">
        <v>4</v>
      </c>
      <c r="AQ1547" t="s">
        <v>8865</v>
      </c>
      <c r="AR1547" t="s">
        <v>8612</v>
      </c>
      <c r="AS1547" t="s">
        <v>22341</v>
      </c>
      <c r="AT1547" t="s">
        <v>3660</v>
      </c>
      <c r="AU1547" t="s">
        <v>69</v>
      </c>
      <c r="AV1547" t="s">
        <v>69</v>
      </c>
      <c r="AW1547" t="s">
        <v>17632</v>
      </c>
      <c r="AX1547" t="s">
        <v>17633</v>
      </c>
      <c r="AY1547" t="s">
        <v>69</v>
      </c>
      <c r="AZ1547">
        <v>1997</v>
      </c>
      <c r="BA1547">
        <v>8</v>
      </c>
      <c r="BB1547">
        <v>2</v>
      </c>
      <c r="BC1547" t="s">
        <v>69</v>
      </c>
      <c r="BD1547" t="s">
        <v>69</v>
      </c>
      <c r="BE1547" t="s">
        <v>69</v>
      </c>
      <c r="BF1547" t="s">
        <v>69</v>
      </c>
      <c r="BG1547">
        <v>135</v>
      </c>
      <c r="BH1547">
        <v>152</v>
      </c>
      <c r="BI1547" t="s">
        <v>69</v>
      </c>
      <c r="BJ1547" t="s">
        <v>4198</v>
      </c>
      <c r="BK1547" t="str">
        <f>HYPERLINK("http://dx.doi.org/10.1207/s1532768xjepc0802_3","http://dx.doi.org/10.1207/s1532768xjepc0802_3")</f>
        <v>http://dx.doi.org/10.1207/s1532768xjepc0802_3</v>
      </c>
      <c r="BL1547" t="s">
        <v>69</v>
      </c>
      <c r="BM1547" t="s">
        <v>69</v>
      </c>
      <c r="BN1547">
        <v>18</v>
      </c>
      <c r="BO1547" t="s">
        <v>11114</v>
      </c>
      <c r="BP1547" t="s">
        <v>18588</v>
      </c>
      <c r="BQ1547" t="s">
        <v>9001</v>
      </c>
      <c r="BR1547" t="s">
        <v>32334</v>
      </c>
      <c r="BS1547" t="s">
        <v>4199</v>
      </c>
      <c r="BT1547" t="s">
        <v>69</v>
      </c>
      <c r="BU1547" t="s">
        <v>69</v>
      </c>
      <c r="BV1547" t="s">
        <v>69</v>
      </c>
      <c r="BW1547" t="s">
        <v>69</v>
      </c>
      <c r="BX1547" t="s">
        <v>8526</v>
      </c>
      <c r="BY1547" t="str">
        <f>HYPERLINK("https%3A%2F%2Fwww.webofscience.com%2Fwos%2Fwoscc%2Ffull-record%2FWOS:A1997WZ39000003","View Full Record in Web of Science")</f>
        <v>View Full Record in Web of Science</v>
      </c>
    </row>
    <row r="1548" spans="1:77" ht="12.5" x14ac:dyDescent="0.25">
      <c r="A1548" t="s">
        <v>8495</v>
      </c>
      <c r="B1548" s="7" t="s">
        <v>32933</v>
      </c>
      <c r="C1548" s="7"/>
      <c r="D1548" s="7"/>
      <c r="E1548" s="7"/>
      <c r="F1548" t="s">
        <v>67</v>
      </c>
      <c r="G1548" t="s">
        <v>2313</v>
      </c>
      <c r="H1548" t="s">
        <v>69</v>
      </c>
      <c r="I1548" t="s">
        <v>69</v>
      </c>
      <c r="J1548" t="s">
        <v>69</v>
      </c>
      <c r="K1548" t="s">
        <v>2314</v>
      </c>
      <c r="L1548" t="s">
        <v>69</v>
      </c>
      <c r="M1548" t="s">
        <v>69</v>
      </c>
      <c r="N1548" t="s">
        <v>2315</v>
      </c>
      <c r="O1548" t="s">
        <v>2316</v>
      </c>
      <c r="P1548" t="s">
        <v>69</v>
      </c>
      <c r="Q1548" t="s">
        <v>69</v>
      </c>
      <c r="R1548" t="s">
        <v>8505</v>
      </c>
      <c r="S1548" t="s">
        <v>8506</v>
      </c>
      <c r="T1548" t="s">
        <v>69</v>
      </c>
      <c r="U1548" t="s">
        <v>69</v>
      </c>
      <c r="V1548" t="s">
        <v>69</v>
      </c>
      <c r="W1548" t="s">
        <v>69</v>
      </c>
      <c r="X1548" t="s">
        <v>69</v>
      </c>
      <c r="Y1548" t="s">
        <v>17861</v>
      </c>
      <c r="Z1548" t="s">
        <v>17862</v>
      </c>
      <c r="AA1548" t="s">
        <v>2317</v>
      </c>
      <c r="AB1548" t="s">
        <v>17863</v>
      </c>
      <c r="AC1548" t="s">
        <v>69</v>
      </c>
      <c r="AD1548" t="s">
        <v>17864</v>
      </c>
      <c r="AE1548" t="s">
        <v>17865</v>
      </c>
      <c r="AF1548" t="s">
        <v>17866</v>
      </c>
      <c r="AG1548" t="s">
        <v>17867</v>
      </c>
      <c r="AH1548" t="s">
        <v>69</v>
      </c>
      <c r="AI1548" t="s">
        <v>69</v>
      </c>
      <c r="AJ1548" t="s">
        <v>69</v>
      </c>
      <c r="AK1548" t="s">
        <v>69</v>
      </c>
      <c r="AL1548">
        <v>8</v>
      </c>
      <c r="AM1548">
        <v>10</v>
      </c>
      <c r="AN1548">
        <v>11</v>
      </c>
      <c r="AO1548">
        <v>1</v>
      </c>
      <c r="AP1548">
        <v>13</v>
      </c>
      <c r="AQ1548" t="s">
        <v>17868</v>
      </c>
      <c r="AR1548" t="s">
        <v>15886</v>
      </c>
      <c r="AS1548" t="s">
        <v>17869</v>
      </c>
      <c r="AT1548" t="s">
        <v>2318</v>
      </c>
      <c r="AU1548" t="s">
        <v>69</v>
      </c>
      <c r="AV1548" t="s">
        <v>69</v>
      </c>
      <c r="AW1548" t="s">
        <v>17870</v>
      </c>
      <c r="AX1548" t="s">
        <v>17871</v>
      </c>
      <c r="AY1548" t="s">
        <v>69</v>
      </c>
      <c r="AZ1548">
        <v>2019</v>
      </c>
      <c r="BA1548">
        <v>20</v>
      </c>
      <c r="BB1548">
        <v>1</v>
      </c>
      <c r="BC1548" t="s">
        <v>69</v>
      </c>
      <c r="BD1548" t="s">
        <v>69</v>
      </c>
      <c r="BE1548" t="s">
        <v>69</v>
      </c>
      <c r="BF1548" t="s">
        <v>69</v>
      </c>
      <c r="BG1548">
        <v>206</v>
      </c>
      <c r="BH1548">
        <v>213</v>
      </c>
      <c r="BI1548" t="s">
        <v>69</v>
      </c>
      <c r="BJ1548" t="s">
        <v>69</v>
      </c>
      <c r="BK1548" t="s">
        <v>69</v>
      </c>
      <c r="BL1548" t="s">
        <v>69</v>
      </c>
      <c r="BM1548" t="s">
        <v>69</v>
      </c>
      <c r="BN1548">
        <v>8</v>
      </c>
      <c r="BO1548" t="s">
        <v>8717</v>
      </c>
      <c r="BP1548" t="s">
        <v>8548</v>
      </c>
      <c r="BQ1548" t="s">
        <v>8662</v>
      </c>
      <c r="BR1548" t="s">
        <v>17872</v>
      </c>
      <c r="BS1548" t="s">
        <v>2319</v>
      </c>
      <c r="BT1548" t="s">
        <v>69</v>
      </c>
      <c r="BU1548" t="s">
        <v>69</v>
      </c>
      <c r="BV1548" t="s">
        <v>69</v>
      </c>
      <c r="BW1548" t="s">
        <v>69</v>
      </c>
      <c r="BX1548" t="s">
        <v>8526</v>
      </c>
      <c r="BY1548" t="str">
        <f>HYPERLINK("https%3A%2F%2Fwww.webofscience.com%2Fwos%2Fwoscc%2Ffull-record%2FWOS:000463406800023","View Full Record in Web of Science")</f>
        <v>View Full Record in Web of Science</v>
      </c>
    </row>
    <row r="1549" spans="1:77" x14ac:dyDescent="0.3">
      <c r="A1549" t="s">
        <v>8495</v>
      </c>
      <c r="B1549" s="12" t="s">
        <v>33027</v>
      </c>
      <c r="F1549" t="s">
        <v>67</v>
      </c>
      <c r="G1549" t="s">
        <v>4292</v>
      </c>
      <c r="H1549" t="s">
        <v>69</v>
      </c>
      <c r="I1549" t="s">
        <v>69</v>
      </c>
      <c r="J1549" t="s">
        <v>69</v>
      </c>
      <c r="K1549" s="3" t="s">
        <v>4292</v>
      </c>
      <c r="L1549" t="s">
        <v>69</v>
      </c>
      <c r="M1549" t="s">
        <v>69</v>
      </c>
      <c r="N1549" s="2" t="s">
        <v>4293</v>
      </c>
      <c r="O1549" t="s">
        <v>4294</v>
      </c>
      <c r="P1549" t="s">
        <v>69</v>
      </c>
      <c r="Q1549" t="s">
        <v>69</v>
      </c>
      <c r="R1549" t="s">
        <v>8505</v>
      </c>
      <c r="S1549" t="s">
        <v>8506</v>
      </c>
      <c r="T1549" t="s">
        <v>69</v>
      </c>
      <c r="U1549" t="s">
        <v>69</v>
      </c>
      <c r="V1549" t="s">
        <v>69</v>
      </c>
      <c r="W1549" t="s">
        <v>69</v>
      </c>
      <c r="X1549" t="s">
        <v>69</v>
      </c>
      <c r="Y1549" t="s">
        <v>69</v>
      </c>
      <c r="Z1549" t="s">
        <v>69</v>
      </c>
      <c r="AA1549" t="s">
        <v>4295</v>
      </c>
      <c r="AB1549" t="s">
        <v>69</v>
      </c>
      <c r="AC1549" t="s">
        <v>69</v>
      </c>
      <c r="AD1549" t="s">
        <v>32579</v>
      </c>
      <c r="AE1549" t="s">
        <v>69</v>
      </c>
      <c r="AF1549" t="s">
        <v>4296</v>
      </c>
      <c r="AG1549" t="s">
        <v>4297</v>
      </c>
      <c r="AH1549" t="s">
        <v>69</v>
      </c>
      <c r="AI1549" t="s">
        <v>69</v>
      </c>
      <c r="AJ1549" t="s">
        <v>69</v>
      </c>
      <c r="AK1549" t="s">
        <v>69</v>
      </c>
      <c r="AL1549">
        <v>41</v>
      </c>
      <c r="AM1549">
        <v>13</v>
      </c>
      <c r="AN1549">
        <v>13</v>
      </c>
      <c r="AO1549">
        <v>0</v>
      </c>
      <c r="AP1549">
        <v>4</v>
      </c>
      <c r="AQ1549" t="s">
        <v>32580</v>
      </c>
      <c r="AR1549" t="s">
        <v>32581</v>
      </c>
      <c r="AS1549" t="s">
        <v>32582</v>
      </c>
      <c r="AT1549" t="s">
        <v>4298</v>
      </c>
      <c r="AU1549" t="s">
        <v>69</v>
      </c>
      <c r="AV1549" t="s">
        <v>69</v>
      </c>
      <c r="AW1549" t="s">
        <v>32583</v>
      </c>
      <c r="AX1549" t="s">
        <v>32584</v>
      </c>
      <c r="AY1549" t="s">
        <v>155</v>
      </c>
      <c r="AZ1549">
        <v>1995</v>
      </c>
      <c r="BA1549">
        <v>25</v>
      </c>
      <c r="BB1549">
        <v>2</v>
      </c>
      <c r="BC1549" t="s">
        <v>69</v>
      </c>
      <c r="BD1549" t="s">
        <v>69</v>
      </c>
      <c r="BE1549" t="s">
        <v>69</v>
      </c>
      <c r="BF1549" t="s">
        <v>69</v>
      </c>
      <c r="BG1549">
        <v>119</v>
      </c>
      <c r="BH1549">
        <v>135</v>
      </c>
      <c r="BI1549" t="s">
        <v>69</v>
      </c>
      <c r="BJ1549" t="s">
        <v>4299</v>
      </c>
      <c r="BK1549" t="str">
        <f>HYPERLINK("http://dx.doi.org/10.1177/027507409502500202","http://dx.doi.org/10.1177/027507409502500202")</f>
        <v>http://dx.doi.org/10.1177/027507409502500202</v>
      </c>
      <c r="BL1549" t="s">
        <v>69</v>
      </c>
      <c r="BM1549" t="s">
        <v>69</v>
      </c>
      <c r="BN1549">
        <v>17</v>
      </c>
      <c r="BO1549" t="s">
        <v>12182</v>
      </c>
      <c r="BP1549" t="s">
        <v>8661</v>
      </c>
      <c r="BQ1549" t="s">
        <v>12182</v>
      </c>
      <c r="BR1549" t="s">
        <v>32585</v>
      </c>
      <c r="BS1549" t="s">
        <v>4300</v>
      </c>
      <c r="BT1549" t="s">
        <v>69</v>
      </c>
      <c r="BU1549" t="s">
        <v>69</v>
      </c>
      <c r="BV1549" t="s">
        <v>69</v>
      </c>
      <c r="BW1549" t="s">
        <v>69</v>
      </c>
      <c r="BX1549" t="s">
        <v>8526</v>
      </c>
      <c r="BY1549" t="str">
        <f>HYPERLINK("https%3A%2F%2Fwww.webofscience.com%2Fwos%2Fwoscc%2Ffull-record%2FWOS:A1995RY11100002","View Full Record in Web of Science")</f>
        <v>View Full Record in Web of Science</v>
      </c>
    </row>
    <row r="1550" spans="1:77" x14ac:dyDescent="0.3">
      <c r="A1550" t="s">
        <v>8495</v>
      </c>
      <c r="B1550" s="9" t="s">
        <v>32948</v>
      </c>
      <c r="C1550" s="9" t="s">
        <v>33166</v>
      </c>
      <c r="D1550" s="10" t="s">
        <v>8490</v>
      </c>
      <c r="E1550" s="9" t="s">
        <v>8490</v>
      </c>
      <c r="F1550" t="s">
        <v>67</v>
      </c>
      <c r="G1550" t="s">
        <v>12952</v>
      </c>
      <c r="H1550" t="s">
        <v>69</v>
      </c>
      <c r="I1550" t="s">
        <v>69</v>
      </c>
      <c r="J1550" t="s">
        <v>69</v>
      </c>
      <c r="K1550" t="s">
        <v>12953</v>
      </c>
      <c r="L1550" t="s">
        <v>69</v>
      </c>
      <c r="M1550" t="s">
        <v>69</v>
      </c>
      <c r="N1550" t="s">
        <v>12954</v>
      </c>
      <c r="O1550" t="s">
        <v>1128</v>
      </c>
      <c r="P1550" t="s">
        <v>69</v>
      </c>
      <c r="Q1550" t="s">
        <v>69</v>
      </c>
      <c r="R1550" t="s">
        <v>8505</v>
      </c>
      <c r="S1550" t="s">
        <v>8506</v>
      </c>
      <c r="T1550" t="s">
        <v>69</v>
      </c>
      <c r="U1550" t="s">
        <v>69</v>
      </c>
      <c r="V1550" t="s">
        <v>69</v>
      </c>
      <c r="W1550" t="s">
        <v>69</v>
      </c>
      <c r="X1550" t="s">
        <v>69</v>
      </c>
      <c r="Y1550" t="s">
        <v>12955</v>
      </c>
      <c r="Z1550" t="s">
        <v>69</v>
      </c>
      <c r="AA1550" t="s">
        <v>12956</v>
      </c>
      <c r="AB1550" t="s">
        <v>12957</v>
      </c>
      <c r="AC1550" t="s">
        <v>69</v>
      </c>
      <c r="AD1550" t="s">
        <v>12958</v>
      </c>
      <c r="AE1550" t="s">
        <v>12959</v>
      </c>
      <c r="AF1550" t="s">
        <v>12960</v>
      </c>
      <c r="AG1550" t="s">
        <v>12961</v>
      </c>
      <c r="AH1550" t="s">
        <v>12962</v>
      </c>
      <c r="AI1550" t="s">
        <v>12962</v>
      </c>
      <c r="AJ1550" t="s">
        <v>12963</v>
      </c>
      <c r="AK1550" t="s">
        <v>69</v>
      </c>
      <c r="AL1550">
        <v>78</v>
      </c>
      <c r="AM1550">
        <v>2</v>
      </c>
      <c r="AN1550">
        <v>2</v>
      </c>
      <c r="AO1550">
        <v>1</v>
      </c>
      <c r="AP1550">
        <v>2</v>
      </c>
      <c r="AQ1550" t="s">
        <v>8636</v>
      </c>
      <c r="AR1550" t="s">
        <v>8637</v>
      </c>
      <c r="AS1550" t="s">
        <v>8638</v>
      </c>
      <c r="AT1550" t="s">
        <v>1130</v>
      </c>
      <c r="AU1550" t="s">
        <v>1131</v>
      </c>
      <c r="AV1550" t="s">
        <v>69</v>
      </c>
      <c r="AW1550" t="s">
        <v>1128</v>
      </c>
      <c r="AX1550" t="s">
        <v>8658</v>
      </c>
      <c r="AY1550" t="s">
        <v>94</v>
      </c>
      <c r="AZ1550">
        <v>2021</v>
      </c>
      <c r="BA1550">
        <v>102</v>
      </c>
      <c r="BB1550" t="s">
        <v>69</v>
      </c>
      <c r="BC1550" t="s">
        <v>69</v>
      </c>
      <c r="BD1550" t="s">
        <v>69</v>
      </c>
      <c r="BE1550" t="s">
        <v>69</v>
      </c>
      <c r="BF1550" t="s">
        <v>69</v>
      </c>
      <c r="BG1550" t="s">
        <v>69</v>
      </c>
      <c r="BH1550" t="s">
        <v>69</v>
      </c>
      <c r="BI1550" t="s">
        <v>69</v>
      </c>
      <c r="BJ1550" t="s">
        <v>12964</v>
      </c>
      <c r="BK1550" t="str">
        <f>HYPERLINK("http://dx.doi.org/10.1016/j.landusepol.2020.105234","http://dx.doi.org/10.1016/j.landusepol.2020.105234")</f>
        <v>http://dx.doi.org/10.1016/j.landusepol.2020.105234</v>
      </c>
      <c r="BL1550" t="s">
        <v>69</v>
      </c>
      <c r="BM1550" t="s">
        <v>69</v>
      </c>
      <c r="BN1550">
        <v>12</v>
      </c>
      <c r="BO1550" t="s">
        <v>8660</v>
      </c>
      <c r="BP1550" t="s">
        <v>8661</v>
      </c>
      <c r="BQ1550" t="s">
        <v>8662</v>
      </c>
      <c r="BR1550" t="s">
        <v>12965</v>
      </c>
      <c r="BS1550" t="s">
        <v>12966</v>
      </c>
      <c r="BT1550" t="s">
        <v>69</v>
      </c>
      <c r="BU1550" t="s">
        <v>69</v>
      </c>
      <c r="BV1550" t="s">
        <v>69</v>
      </c>
      <c r="BW1550" t="s">
        <v>69</v>
      </c>
      <c r="BX1550" t="s">
        <v>8526</v>
      </c>
      <c r="BY1550" t="str">
        <f>HYPERLINK("https%3A%2F%2Fwww.webofscience.com%2Fwos%2Fwoscc%2Ffull-record%2FWOS:000626147500007","View Full Record in Web of Science")</f>
        <v>View Full Record in Web of Science</v>
      </c>
    </row>
    <row r="1551" spans="1:77" ht="12.5" x14ac:dyDescent="0.25">
      <c r="A1551" t="s">
        <v>8495</v>
      </c>
      <c r="B1551" s="7" t="s">
        <v>32933</v>
      </c>
      <c r="C1551" s="7"/>
      <c r="D1551" s="7"/>
      <c r="E1551" s="7"/>
      <c r="F1551" t="s">
        <v>67</v>
      </c>
      <c r="G1551" t="s">
        <v>3927</v>
      </c>
      <c r="H1551" t="s">
        <v>69</v>
      </c>
      <c r="I1551" t="s">
        <v>69</v>
      </c>
      <c r="J1551" t="s">
        <v>69</v>
      </c>
      <c r="K1551" t="s">
        <v>3927</v>
      </c>
      <c r="L1551" t="s">
        <v>69</v>
      </c>
      <c r="M1551" t="s">
        <v>69</v>
      </c>
      <c r="N1551" t="s">
        <v>3928</v>
      </c>
      <c r="O1551" t="s">
        <v>3929</v>
      </c>
      <c r="P1551" t="s">
        <v>69</v>
      </c>
      <c r="Q1551" t="s">
        <v>69</v>
      </c>
      <c r="R1551" t="s">
        <v>8505</v>
      </c>
      <c r="S1551" t="s">
        <v>8506</v>
      </c>
      <c r="T1551" t="s">
        <v>69</v>
      </c>
      <c r="U1551" t="s">
        <v>69</v>
      </c>
      <c r="V1551" t="s">
        <v>69</v>
      </c>
      <c r="W1551" t="s">
        <v>69</v>
      </c>
      <c r="X1551" t="s">
        <v>69</v>
      </c>
      <c r="Y1551" t="s">
        <v>30925</v>
      </c>
      <c r="Z1551" t="s">
        <v>30926</v>
      </c>
      <c r="AA1551" t="s">
        <v>3930</v>
      </c>
      <c r="AB1551" t="s">
        <v>30927</v>
      </c>
      <c r="AC1551" t="s">
        <v>69</v>
      </c>
      <c r="AD1551" t="s">
        <v>30928</v>
      </c>
      <c r="AE1551" t="s">
        <v>30929</v>
      </c>
      <c r="AF1551" t="s">
        <v>69</v>
      </c>
      <c r="AG1551" t="s">
        <v>69</v>
      </c>
      <c r="AH1551" t="s">
        <v>69</v>
      </c>
      <c r="AI1551" t="s">
        <v>69</v>
      </c>
      <c r="AJ1551" t="s">
        <v>69</v>
      </c>
      <c r="AK1551" t="s">
        <v>69</v>
      </c>
      <c r="AL1551">
        <v>58</v>
      </c>
      <c r="AM1551">
        <v>13</v>
      </c>
      <c r="AN1551">
        <v>13</v>
      </c>
      <c r="AO1551">
        <v>0</v>
      </c>
      <c r="AP1551">
        <v>22</v>
      </c>
      <c r="AQ1551" t="s">
        <v>13509</v>
      </c>
      <c r="AR1551" t="s">
        <v>13510</v>
      </c>
      <c r="AS1551" t="s">
        <v>13511</v>
      </c>
      <c r="AT1551" t="s">
        <v>3931</v>
      </c>
      <c r="AU1551" t="s">
        <v>3932</v>
      </c>
      <c r="AV1551" t="s">
        <v>69</v>
      </c>
      <c r="AW1551" t="s">
        <v>28096</v>
      </c>
      <c r="AX1551" t="s">
        <v>28097</v>
      </c>
      <c r="AY1551" t="s">
        <v>69</v>
      </c>
      <c r="AZ1551">
        <v>2005</v>
      </c>
      <c r="BA1551">
        <v>29</v>
      </c>
      <c r="BB1551" t="s">
        <v>336</v>
      </c>
      <c r="BC1551" t="s">
        <v>69</v>
      </c>
      <c r="BD1551" t="s">
        <v>69</v>
      </c>
      <c r="BE1551" t="s">
        <v>69</v>
      </c>
      <c r="BF1551" t="s">
        <v>69</v>
      </c>
      <c r="BG1551">
        <v>21</v>
      </c>
      <c r="BH1551">
        <v>39</v>
      </c>
      <c r="BI1551" t="s">
        <v>69</v>
      </c>
      <c r="BJ1551" t="s">
        <v>3933</v>
      </c>
      <c r="BK1551" t="str">
        <f>HYPERLINK("http://dx.doi.org/10.1504/IJTM.2005.006003","http://dx.doi.org/10.1504/IJTM.2005.006003")</f>
        <v>http://dx.doi.org/10.1504/IJTM.2005.006003</v>
      </c>
      <c r="BL1551" t="s">
        <v>69</v>
      </c>
      <c r="BM1551" t="s">
        <v>69</v>
      </c>
      <c r="BN1551">
        <v>19</v>
      </c>
      <c r="BO1551" t="s">
        <v>28099</v>
      </c>
      <c r="BP1551" t="s">
        <v>8523</v>
      </c>
      <c r="BQ1551" t="s">
        <v>15877</v>
      </c>
      <c r="BR1551" t="s">
        <v>30930</v>
      </c>
      <c r="BS1551" t="s">
        <v>3934</v>
      </c>
      <c r="BT1551" t="s">
        <v>69</v>
      </c>
      <c r="BU1551" t="s">
        <v>69</v>
      </c>
      <c r="BV1551" t="s">
        <v>69</v>
      </c>
      <c r="BW1551" t="s">
        <v>69</v>
      </c>
      <c r="BX1551" t="s">
        <v>8526</v>
      </c>
      <c r="BY1551" t="str">
        <f>HYPERLINK("https%3A%2F%2Fwww.webofscience.com%2Fwos%2Fwoscc%2Ffull-record%2FWOS:000227397300003","View Full Record in Web of Science")</f>
        <v>View Full Record in Web of Science</v>
      </c>
    </row>
    <row r="1552" spans="1:77" ht="12.5" x14ac:dyDescent="0.25">
      <c r="A1552" t="s">
        <v>8495</v>
      </c>
      <c r="B1552" s="7" t="s">
        <v>32933</v>
      </c>
      <c r="C1552" s="7"/>
      <c r="D1552" s="7"/>
      <c r="E1552" s="7"/>
      <c r="F1552" t="s">
        <v>67</v>
      </c>
      <c r="G1552" t="s">
        <v>8338</v>
      </c>
      <c r="H1552" t="s">
        <v>69</v>
      </c>
      <c r="I1552" t="s">
        <v>69</v>
      </c>
      <c r="J1552" t="s">
        <v>69</v>
      </c>
      <c r="K1552" t="s">
        <v>8338</v>
      </c>
      <c r="L1552" t="s">
        <v>69</v>
      </c>
      <c r="M1552" t="s">
        <v>69</v>
      </c>
      <c r="N1552" t="s">
        <v>8339</v>
      </c>
      <c r="O1552" t="s">
        <v>3929</v>
      </c>
      <c r="P1552" t="s">
        <v>69</v>
      </c>
      <c r="Q1552" t="s">
        <v>69</v>
      </c>
      <c r="R1552" t="s">
        <v>8505</v>
      </c>
      <c r="S1552" t="s">
        <v>8506</v>
      </c>
      <c r="T1552" t="s">
        <v>69</v>
      </c>
      <c r="U1552" t="s">
        <v>69</v>
      </c>
      <c r="V1552" t="s">
        <v>69</v>
      </c>
      <c r="W1552" t="s">
        <v>69</v>
      </c>
      <c r="X1552" t="s">
        <v>69</v>
      </c>
      <c r="Y1552" t="s">
        <v>32696</v>
      </c>
      <c r="Z1552" t="s">
        <v>69</v>
      </c>
      <c r="AA1552" t="s">
        <v>8340</v>
      </c>
      <c r="AB1552" t="s">
        <v>32697</v>
      </c>
      <c r="AC1552" t="s">
        <v>69</v>
      </c>
      <c r="AD1552" t="s">
        <v>32698</v>
      </c>
      <c r="AE1552" t="s">
        <v>69</v>
      </c>
      <c r="AF1552" t="s">
        <v>69</v>
      </c>
      <c r="AG1552" t="s">
        <v>69</v>
      </c>
      <c r="AH1552" t="s">
        <v>69</v>
      </c>
      <c r="AI1552" t="s">
        <v>69</v>
      </c>
      <c r="AJ1552" t="s">
        <v>69</v>
      </c>
      <c r="AK1552" t="s">
        <v>69</v>
      </c>
      <c r="AL1552">
        <v>35</v>
      </c>
      <c r="AM1552">
        <v>3</v>
      </c>
      <c r="AN1552">
        <v>3</v>
      </c>
      <c r="AO1552">
        <v>3</v>
      </c>
      <c r="AP1552">
        <v>11</v>
      </c>
      <c r="AQ1552" t="s">
        <v>13509</v>
      </c>
      <c r="AR1552" t="s">
        <v>31871</v>
      </c>
      <c r="AS1552" t="s">
        <v>32530</v>
      </c>
      <c r="AT1552" t="s">
        <v>3931</v>
      </c>
      <c r="AU1552" t="s">
        <v>69</v>
      </c>
      <c r="AV1552" t="s">
        <v>69</v>
      </c>
      <c r="AW1552" t="s">
        <v>28096</v>
      </c>
      <c r="AX1552" t="s">
        <v>28097</v>
      </c>
      <c r="AY1552" t="s">
        <v>69</v>
      </c>
      <c r="AZ1552">
        <v>1994</v>
      </c>
      <c r="BA1552">
        <v>9</v>
      </c>
      <c r="BB1552">
        <v>2</v>
      </c>
      <c r="BC1552" t="s">
        <v>69</v>
      </c>
      <c r="BD1552" t="s">
        <v>69</v>
      </c>
      <c r="BE1552" t="s">
        <v>69</v>
      </c>
      <c r="BF1552" t="s">
        <v>69</v>
      </c>
      <c r="BG1552">
        <v>196</v>
      </c>
      <c r="BH1552">
        <v>212</v>
      </c>
      <c r="BI1552" t="s">
        <v>69</v>
      </c>
      <c r="BJ1552" t="s">
        <v>69</v>
      </c>
      <c r="BK1552" t="s">
        <v>69</v>
      </c>
      <c r="BL1552" t="s">
        <v>69</v>
      </c>
      <c r="BM1552" t="s">
        <v>69</v>
      </c>
      <c r="BN1552">
        <v>17</v>
      </c>
      <c r="BO1552" t="s">
        <v>28099</v>
      </c>
      <c r="BP1552" t="s">
        <v>8548</v>
      </c>
      <c r="BQ1552" t="s">
        <v>15877</v>
      </c>
      <c r="BR1552" t="s">
        <v>32699</v>
      </c>
      <c r="BS1552" t="s">
        <v>8341</v>
      </c>
      <c r="BT1552" t="s">
        <v>69</v>
      </c>
      <c r="BU1552" t="s">
        <v>69</v>
      </c>
      <c r="BV1552" t="s">
        <v>69</v>
      </c>
      <c r="BW1552" t="s">
        <v>69</v>
      </c>
      <c r="BX1552" t="s">
        <v>8526</v>
      </c>
      <c r="BY1552" t="str">
        <f>HYPERLINK("https%3A%2F%2Fwww.webofscience.com%2Fwos%2Fwoscc%2Ffull-record%2FWOS:A1994NY53700004","View Full Record in Web of Science")</f>
        <v>View Full Record in Web of Science</v>
      </c>
    </row>
    <row r="1553" spans="1:77" ht="12.5" x14ac:dyDescent="0.25">
      <c r="A1553" t="s">
        <v>8495</v>
      </c>
      <c r="B1553" s="7" t="s">
        <v>32933</v>
      </c>
      <c r="C1553" s="7"/>
      <c r="D1553" s="7"/>
      <c r="E1553" s="7"/>
      <c r="F1553" t="s">
        <v>67</v>
      </c>
      <c r="G1553" t="s">
        <v>3159</v>
      </c>
      <c r="H1553" t="s">
        <v>69</v>
      </c>
      <c r="I1553" t="s">
        <v>69</v>
      </c>
      <c r="J1553" t="s">
        <v>69</v>
      </c>
      <c r="K1553" t="s">
        <v>3160</v>
      </c>
      <c r="L1553" t="s">
        <v>69</v>
      </c>
      <c r="M1553" t="s">
        <v>69</v>
      </c>
      <c r="N1553" t="s">
        <v>3161</v>
      </c>
      <c r="O1553" t="s">
        <v>3162</v>
      </c>
      <c r="P1553" t="s">
        <v>69</v>
      </c>
      <c r="Q1553" t="s">
        <v>69</v>
      </c>
      <c r="R1553" t="s">
        <v>8505</v>
      </c>
      <c r="S1553" t="s">
        <v>8506</v>
      </c>
      <c r="T1553" t="s">
        <v>69</v>
      </c>
      <c r="U1553" t="s">
        <v>69</v>
      </c>
      <c r="V1553" t="s">
        <v>69</v>
      </c>
      <c r="W1553" t="s">
        <v>69</v>
      </c>
      <c r="X1553" t="s">
        <v>69</v>
      </c>
      <c r="Y1553" t="s">
        <v>23387</v>
      </c>
      <c r="Z1553" t="s">
        <v>23388</v>
      </c>
      <c r="AA1553" t="s">
        <v>3163</v>
      </c>
      <c r="AB1553" t="s">
        <v>23389</v>
      </c>
      <c r="AC1553" t="s">
        <v>69</v>
      </c>
      <c r="AD1553" t="s">
        <v>23390</v>
      </c>
      <c r="AE1553" t="s">
        <v>23391</v>
      </c>
      <c r="AF1553" t="s">
        <v>69</v>
      </c>
      <c r="AG1553" t="s">
        <v>69</v>
      </c>
      <c r="AH1553" t="s">
        <v>23392</v>
      </c>
      <c r="AI1553" t="s">
        <v>23393</v>
      </c>
      <c r="AJ1553" t="s">
        <v>23394</v>
      </c>
      <c r="AK1553" t="s">
        <v>69</v>
      </c>
      <c r="AL1553">
        <v>25</v>
      </c>
      <c r="AM1553">
        <v>22</v>
      </c>
      <c r="AN1553">
        <v>34</v>
      </c>
      <c r="AO1553">
        <v>9</v>
      </c>
      <c r="AP1553">
        <v>99</v>
      </c>
      <c r="AQ1553" t="s">
        <v>9047</v>
      </c>
      <c r="AR1553" t="s">
        <v>8693</v>
      </c>
      <c r="AS1553" t="s">
        <v>16643</v>
      </c>
      <c r="AT1553" t="s">
        <v>3164</v>
      </c>
      <c r="AU1553" t="s">
        <v>3165</v>
      </c>
      <c r="AV1553" t="s">
        <v>69</v>
      </c>
      <c r="AW1553" t="s">
        <v>23382</v>
      </c>
      <c r="AX1553" t="s">
        <v>23383</v>
      </c>
      <c r="AY1553" t="s">
        <v>75</v>
      </c>
      <c r="AZ1553">
        <v>2014</v>
      </c>
      <c r="BA1553">
        <v>72</v>
      </c>
      <c r="BB1553">
        <v>11</v>
      </c>
      <c r="BC1553" t="s">
        <v>69</v>
      </c>
      <c r="BD1553" t="s">
        <v>69</v>
      </c>
      <c r="BE1553" t="s">
        <v>69</v>
      </c>
      <c r="BF1553" t="s">
        <v>69</v>
      </c>
      <c r="BG1553">
        <v>4483</v>
      </c>
      <c r="BH1553">
        <v>4489</v>
      </c>
      <c r="BI1553" t="s">
        <v>69</v>
      </c>
      <c r="BJ1553" t="s">
        <v>3166</v>
      </c>
      <c r="BK1553" t="str">
        <f>HYPERLINK("http://dx.doi.org/10.1007/s12665-014-3348-9","http://dx.doi.org/10.1007/s12665-014-3348-9")</f>
        <v>http://dx.doi.org/10.1007/s12665-014-3348-9</v>
      </c>
      <c r="BL1553" t="s">
        <v>69</v>
      </c>
      <c r="BM1553" t="s">
        <v>69</v>
      </c>
      <c r="BN1553">
        <v>7</v>
      </c>
      <c r="BO1553" t="s">
        <v>23384</v>
      </c>
      <c r="BP1553" t="s">
        <v>8548</v>
      </c>
      <c r="BQ1553" t="s">
        <v>23385</v>
      </c>
      <c r="BR1553" t="s">
        <v>23395</v>
      </c>
      <c r="BS1553" t="s">
        <v>3167</v>
      </c>
      <c r="BT1553" t="s">
        <v>69</v>
      </c>
      <c r="BU1553" t="s">
        <v>69</v>
      </c>
      <c r="BV1553" t="s">
        <v>69</v>
      </c>
      <c r="BW1553" t="s">
        <v>69</v>
      </c>
      <c r="BX1553" t="s">
        <v>8526</v>
      </c>
      <c r="BY1553" t="str">
        <f>HYPERLINK("https%3A%2F%2Fwww.webofscience.com%2Fwos%2Fwoscc%2Ffull-record%2FWOS:000344737300024","View Full Record in Web of Science")</f>
        <v>View Full Record in Web of Science</v>
      </c>
    </row>
    <row r="1554" spans="1:77" ht="12.5" x14ac:dyDescent="0.25">
      <c r="A1554" t="s">
        <v>8495</v>
      </c>
      <c r="B1554" s="7" t="s">
        <v>32933</v>
      </c>
      <c r="C1554" s="7"/>
      <c r="D1554" s="7"/>
      <c r="E1554" s="7"/>
      <c r="F1554" t="s">
        <v>67</v>
      </c>
      <c r="G1554" t="s">
        <v>8155</v>
      </c>
      <c r="H1554" t="s">
        <v>69</v>
      </c>
      <c r="I1554" t="s">
        <v>69</v>
      </c>
      <c r="J1554" t="s">
        <v>69</v>
      </c>
      <c r="K1554" t="s">
        <v>8156</v>
      </c>
      <c r="L1554" t="s">
        <v>69</v>
      </c>
      <c r="M1554" t="s">
        <v>69</v>
      </c>
      <c r="N1554" t="s">
        <v>8157</v>
      </c>
      <c r="O1554" t="s">
        <v>4097</v>
      </c>
      <c r="P1554" t="s">
        <v>69</v>
      </c>
      <c r="Q1554" t="s">
        <v>69</v>
      </c>
      <c r="R1554" t="s">
        <v>8505</v>
      </c>
      <c r="S1554" t="s">
        <v>8506</v>
      </c>
      <c r="T1554" t="s">
        <v>69</v>
      </c>
      <c r="U1554" t="s">
        <v>69</v>
      </c>
      <c r="V1554" t="s">
        <v>69</v>
      </c>
      <c r="W1554" t="s">
        <v>69</v>
      </c>
      <c r="X1554" t="s">
        <v>69</v>
      </c>
      <c r="Y1554" t="s">
        <v>19759</v>
      </c>
      <c r="Z1554" t="s">
        <v>19760</v>
      </c>
      <c r="AA1554" t="s">
        <v>8158</v>
      </c>
      <c r="AB1554" t="s">
        <v>19761</v>
      </c>
      <c r="AC1554" t="s">
        <v>69</v>
      </c>
      <c r="AD1554" t="s">
        <v>19762</v>
      </c>
      <c r="AE1554" t="s">
        <v>19763</v>
      </c>
      <c r="AF1554" t="s">
        <v>19764</v>
      </c>
      <c r="AG1554" t="s">
        <v>19765</v>
      </c>
      <c r="AH1554" t="s">
        <v>19766</v>
      </c>
      <c r="AI1554" t="s">
        <v>19767</v>
      </c>
      <c r="AJ1554" t="s">
        <v>19768</v>
      </c>
      <c r="AK1554" t="s">
        <v>69</v>
      </c>
      <c r="AL1554">
        <v>40</v>
      </c>
      <c r="AM1554">
        <v>8</v>
      </c>
      <c r="AN1554">
        <v>8</v>
      </c>
      <c r="AO1554">
        <v>0</v>
      </c>
      <c r="AP1554">
        <v>23</v>
      </c>
      <c r="AQ1554" t="s">
        <v>8846</v>
      </c>
      <c r="AR1554" t="s">
        <v>8847</v>
      </c>
      <c r="AS1554" t="s">
        <v>8848</v>
      </c>
      <c r="AT1554" t="s">
        <v>4099</v>
      </c>
      <c r="AU1554" t="s">
        <v>8159</v>
      </c>
      <c r="AV1554" t="s">
        <v>69</v>
      </c>
      <c r="AW1554" t="s">
        <v>19769</v>
      </c>
      <c r="AX1554" t="s">
        <v>19770</v>
      </c>
      <c r="AY1554" t="s">
        <v>75</v>
      </c>
      <c r="AZ1554">
        <v>2017</v>
      </c>
      <c r="BA1554">
        <v>33</v>
      </c>
      <c r="BB1554">
        <v>4</v>
      </c>
      <c r="BC1554" t="s">
        <v>69</v>
      </c>
      <c r="BD1554" t="s">
        <v>69</v>
      </c>
      <c r="BE1554" t="s">
        <v>69</v>
      </c>
      <c r="BF1554" t="s">
        <v>69</v>
      </c>
      <c r="BG1554">
        <v>568</v>
      </c>
      <c r="BH1554">
        <v>582</v>
      </c>
      <c r="BI1554" t="s">
        <v>69</v>
      </c>
      <c r="BJ1554" t="s">
        <v>8160</v>
      </c>
      <c r="BK1554" t="str">
        <f>HYPERLINK("http://dx.doi.org/10.1111/sum.12383","http://dx.doi.org/10.1111/sum.12383")</f>
        <v>http://dx.doi.org/10.1111/sum.12383</v>
      </c>
      <c r="BL1554" t="s">
        <v>69</v>
      </c>
      <c r="BM1554" t="s">
        <v>69</v>
      </c>
      <c r="BN1554">
        <v>15</v>
      </c>
      <c r="BO1554" t="s">
        <v>17154</v>
      </c>
      <c r="BP1554" t="s">
        <v>8548</v>
      </c>
      <c r="BQ1554" t="s">
        <v>8450</v>
      </c>
      <c r="BR1554" t="s">
        <v>19771</v>
      </c>
      <c r="BS1554" t="s">
        <v>8161</v>
      </c>
      <c r="BT1554" t="s">
        <v>69</v>
      </c>
      <c r="BU1554" t="s">
        <v>69</v>
      </c>
      <c r="BV1554" t="s">
        <v>69</v>
      </c>
      <c r="BW1554" t="s">
        <v>69</v>
      </c>
      <c r="BX1554" t="s">
        <v>8526</v>
      </c>
      <c r="BY1554" t="str">
        <f>HYPERLINK("https%3A%2F%2Fwww.webofscience.com%2Fwos%2Fwoscc%2Ffull-record%2FWOS:000418422500006","View Full Record in Web of Science")</f>
        <v>View Full Record in Web of Science</v>
      </c>
    </row>
    <row r="1555" spans="1:77" ht="12.5" x14ac:dyDescent="0.25">
      <c r="A1555" t="s">
        <v>8495</v>
      </c>
      <c r="B1555" s="7" t="s">
        <v>32933</v>
      </c>
      <c r="C1555" s="7"/>
      <c r="D1555" s="7"/>
      <c r="E1555" s="7"/>
      <c r="F1555" t="s">
        <v>67</v>
      </c>
      <c r="G1555" t="s">
        <v>4184</v>
      </c>
      <c r="H1555" t="s">
        <v>69</v>
      </c>
      <c r="I1555" t="s">
        <v>69</v>
      </c>
      <c r="J1555" t="s">
        <v>69</v>
      </c>
      <c r="K1555" t="s">
        <v>4184</v>
      </c>
      <c r="L1555" t="s">
        <v>69</v>
      </c>
      <c r="M1555" t="s">
        <v>69</v>
      </c>
      <c r="N1555" t="s">
        <v>4185</v>
      </c>
      <c r="O1555" t="s">
        <v>4186</v>
      </c>
      <c r="P1555" t="s">
        <v>69</v>
      </c>
      <c r="Q1555" t="s">
        <v>69</v>
      </c>
      <c r="R1555" t="s">
        <v>8505</v>
      </c>
      <c r="S1555" t="s">
        <v>8506</v>
      </c>
      <c r="T1555" t="s">
        <v>69</v>
      </c>
      <c r="U1555" t="s">
        <v>69</v>
      </c>
      <c r="V1555" t="s">
        <v>69</v>
      </c>
      <c r="W1555" t="s">
        <v>69</v>
      </c>
      <c r="X1555" t="s">
        <v>69</v>
      </c>
      <c r="Y1555" t="s">
        <v>32229</v>
      </c>
      <c r="Z1555" t="s">
        <v>32230</v>
      </c>
      <c r="AA1555" t="s">
        <v>4187</v>
      </c>
      <c r="AB1555" t="s">
        <v>69</v>
      </c>
      <c r="AC1555" t="s">
        <v>69</v>
      </c>
      <c r="AD1555" t="s">
        <v>32231</v>
      </c>
      <c r="AE1555" t="s">
        <v>69</v>
      </c>
      <c r="AF1555" t="s">
        <v>69</v>
      </c>
      <c r="AG1555" t="s">
        <v>69</v>
      </c>
      <c r="AH1555" t="s">
        <v>69</v>
      </c>
      <c r="AI1555" t="s">
        <v>69</v>
      </c>
      <c r="AJ1555" t="s">
        <v>69</v>
      </c>
      <c r="AK1555" t="s">
        <v>69</v>
      </c>
      <c r="AL1555">
        <v>53</v>
      </c>
      <c r="AM1555">
        <v>60</v>
      </c>
      <c r="AN1555">
        <v>60</v>
      </c>
      <c r="AO1555">
        <v>1</v>
      </c>
      <c r="AP1555">
        <v>14</v>
      </c>
      <c r="AQ1555" t="s">
        <v>8865</v>
      </c>
      <c r="AR1555" t="s">
        <v>8612</v>
      </c>
      <c r="AS1555" t="s">
        <v>8866</v>
      </c>
      <c r="AT1555" t="s">
        <v>4188</v>
      </c>
      <c r="AU1555" t="s">
        <v>4189</v>
      </c>
      <c r="AV1555" t="s">
        <v>69</v>
      </c>
      <c r="AW1555" t="s">
        <v>30270</v>
      </c>
      <c r="AX1555" t="s">
        <v>30271</v>
      </c>
      <c r="AY1555" t="s">
        <v>201</v>
      </c>
      <c r="AZ1555">
        <v>1997</v>
      </c>
      <c r="BA1555">
        <v>31</v>
      </c>
      <c r="BB1555">
        <v>6</v>
      </c>
      <c r="BC1555" t="s">
        <v>69</v>
      </c>
      <c r="BD1555" t="s">
        <v>69</v>
      </c>
      <c r="BE1555" t="s">
        <v>69</v>
      </c>
      <c r="BF1555" t="s">
        <v>69</v>
      </c>
      <c r="BG1555">
        <v>545</v>
      </c>
      <c r="BH1555">
        <v>557</v>
      </c>
      <c r="BI1555" t="s">
        <v>69</v>
      </c>
      <c r="BJ1555" t="s">
        <v>4190</v>
      </c>
      <c r="BK1555" t="str">
        <f>HYPERLINK("http://dx.doi.org/10.1080/00343409750131686","http://dx.doi.org/10.1080/00343409750131686")</f>
        <v>http://dx.doi.org/10.1080/00343409750131686</v>
      </c>
      <c r="BL1555" t="s">
        <v>69</v>
      </c>
      <c r="BM1555" t="s">
        <v>69</v>
      </c>
      <c r="BN1555">
        <v>13</v>
      </c>
      <c r="BO1555" t="s">
        <v>30272</v>
      </c>
      <c r="BP1555" t="s">
        <v>8661</v>
      </c>
      <c r="BQ1555" t="s">
        <v>30273</v>
      </c>
      <c r="BR1555" t="s">
        <v>32232</v>
      </c>
      <c r="BS1555" t="s">
        <v>4191</v>
      </c>
      <c r="BT1555" t="s">
        <v>69</v>
      </c>
      <c r="BU1555" t="s">
        <v>69</v>
      </c>
      <c r="BV1555" t="s">
        <v>69</v>
      </c>
      <c r="BW1555" t="s">
        <v>69</v>
      </c>
      <c r="BX1555" t="s">
        <v>8526</v>
      </c>
      <c r="BY1555" t="str">
        <f>HYPERLINK("https%3A%2F%2Fwww.webofscience.com%2Fwos%2Fwoscc%2Ffull-record%2FWOS:A1997XV03000001","View Full Record in Web of Science")</f>
        <v>View Full Record in Web of Science</v>
      </c>
    </row>
    <row r="1556" spans="1:77" ht="12.5" x14ac:dyDescent="0.25">
      <c r="A1556" t="s">
        <v>8495</v>
      </c>
      <c r="B1556" s="22" t="s">
        <v>32931</v>
      </c>
      <c r="C1556" s="7"/>
      <c r="D1556" s="7"/>
      <c r="E1556" s="7"/>
      <c r="F1556" t="s">
        <v>67</v>
      </c>
      <c r="G1556" t="s">
        <v>27599</v>
      </c>
      <c r="H1556" t="s">
        <v>69</v>
      </c>
      <c r="I1556" t="s">
        <v>69</v>
      </c>
      <c r="J1556" t="s">
        <v>69</v>
      </c>
      <c r="K1556" t="s">
        <v>27600</v>
      </c>
      <c r="L1556" t="s">
        <v>69</v>
      </c>
      <c r="M1556" t="s">
        <v>69</v>
      </c>
      <c r="N1556" t="s">
        <v>27601</v>
      </c>
      <c r="O1556" t="s">
        <v>27602</v>
      </c>
      <c r="P1556" t="s">
        <v>69</v>
      </c>
      <c r="Q1556" t="s">
        <v>69</v>
      </c>
      <c r="R1556" t="s">
        <v>8505</v>
      </c>
      <c r="S1556" t="s">
        <v>8506</v>
      </c>
      <c r="T1556" t="s">
        <v>69</v>
      </c>
      <c r="U1556" t="s">
        <v>69</v>
      </c>
      <c r="V1556" t="s">
        <v>69</v>
      </c>
      <c r="W1556" t="s">
        <v>69</v>
      </c>
      <c r="X1556" t="s">
        <v>69</v>
      </c>
      <c r="Y1556" t="s">
        <v>27603</v>
      </c>
      <c r="Z1556" t="s">
        <v>27604</v>
      </c>
      <c r="AA1556" t="s">
        <v>27605</v>
      </c>
      <c r="AB1556" t="s">
        <v>27606</v>
      </c>
      <c r="AC1556" t="s">
        <v>69</v>
      </c>
      <c r="AD1556" t="s">
        <v>27607</v>
      </c>
      <c r="AE1556" t="s">
        <v>27608</v>
      </c>
      <c r="AF1556" t="s">
        <v>69</v>
      </c>
      <c r="AG1556" t="s">
        <v>27609</v>
      </c>
      <c r="AH1556" t="s">
        <v>27610</v>
      </c>
      <c r="AI1556" t="s">
        <v>27611</v>
      </c>
      <c r="AJ1556" t="s">
        <v>69</v>
      </c>
      <c r="AK1556" t="s">
        <v>69</v>
      </c>
      <c r="AL1556">
        <v>16</v>
      </c>
      <c r="AM1556">
        <v>4</v>
      </c>
      <c r="AN1556">
        <v>4</v>
      </c>
      <c r="AO1556">
        <v>0</v>
      </c>
      <c r="AP1556">
        <v>2</v>
      </c>
      <c r="AQ1556" t="s">
        <v>8846</v>
      </c>
      <c r="AR1556" t="s">
        <v>8847</v>
      </c>
      <c r="AS1556" t="s">
        <v>8848</v>
      </c>
      <c r="AT1556" t="s">
        <v>27612</v>
      </c>
      <c r="AU1556" t="s">
        <v>27613</v>
      </c>
      <c r="AV1556" t="s">
        <v>69</v>
      </c>
      <c r="AW1556" t="s">
        <v>27614</v>
      </c>
      <c r="AX1556" t="s">
        <v>27615</v>
      </c>
      <c r="AY1556" t="s">
        <v>274</v>
      </c>
      <c r="AZ1556">
        <v>2010</v>
      </c>
      <c r="BA1556">
        <v>15</v>
      </c>
      <c r="BB1556">
        <v>11</v>
      </c>
      <c r="BC1556" t="s">
        <v>69</v>
      </c>
      <c r="BD1556" t="s">
        <v>69</v>
      </c>
      <c r="BE1556" t="s">
        <v>69</v>
      </c>
      <c r="BF1556" t="s">
        <v>69</v>
      </c>
      <c r="BG1556">
        <v>1395</v>
      </c>
      <c r="BH1556">
        <v>1400</v>
      </c>
      <c r="BI1556" t="s">
        <v>69</v>
      </c>
      <c r="BJ1556" t="s">
        <v>27616</v>
      </c>
      <c r="BK1556" t="str">
        <f>HYPERLINK("http://dx.doi.org/10.1111/j.1365-3156.2010.02636.x","http://dx.doi.org/10.1111/j.1365-3156.2010.02636.x")</f>
        <v>http://dx.doi.org/10.1111/j.1365-3156.2010.02636.x</v>
      </c>
      <c r="BL1556" t="s">
        <v>69</v>
      </c>
      <c r="BM1556" t="s">
        <v>69</v>
      </c>
      <c r="BN1556">
        <v>6</v>
      </c>
      <c r="BO1556" t="s">
        <v>8907</v>
      </c>
      <c r="BP1556" t="s">
        <v>8548</v>
      </c>
      <c r="BQ1556" t="s">
        <v>8907</v>
      </c>
      <c r="BR1556" t="s">
        <v>27617</v>
      </c>
      <c r="BS1556" t="s">
        <v>27618</v>
      </c>
      <c r="BT1556">
        <v>20955500</v>
      </c>
      <c r="BU1556" t="s">
        <v>69</v>
      </c>
      <c r="BV1556" t="s">
        <v>69</v>
      </c>
      <c r="BW1556" t="s">
        <v>69</v>
      </c>
      <c r="BX1556" t="s">
        <v>8526</v>
      </c>
      <c r="BY1556" t="str">
        <f>HYPERLINK("https%3A%2F%2Fwww.webofscience.com%2Fwos%2Fwoscc%2Ffull-record%2FWOS:000283169000018","View Full Record in Web of Science")</f>
        <v>View Full Record in Web of Science</v>
      </c>
    </row>
    <row r="1557" spans="1:77" ht="12.5" x14ac:dyDescent="0.25">
      <c r="A1557" t="s">
        <v>8495</v>
      </c>
      <c r="B1557" s="7" t="s">
        <v>32933</v>
      </c>
      <c r="C1557" s="7"/>
      <c r="D1557" s="7"/>
      <c r="E1557" s="7"/>
      <c r="F1557" t="s">
        <v>67</v>
      </c>
      <c r="G1557" t="s">
        <v>4904</v>
      </c>
      <c r="H1557" t="s">
        <v>69</v>
      </c>
      <c r="I1557" t="s">
        <v>69</v>
      </c>
      <c r="J1557" t="s">
        <v>69</v>
      </c>
      <c r="K1557" t="s">
        <v>4905</v>
      </c>
      <c r="L1557" t="s">
        <v>69</v>
      </c>
      <c r="M1557" t="s">
        <v>69</v>
      </c>
      <c r="N1557" t="s">
        <v>4906</v>
      </c>
      <c r="O1557" t="s">
        <v>4907</v>
      </c>
      <c r="P1557" t="s">
        <v>69</v>
      </c>
      <c r="Q1557" t="s">
        <v>69</v>
      </c>
      <c r="R1557" t="s">
        <v>8505</v>
      </c>
      <c r="S1557" t="s">
        <v>8506</v>
      </c>
      <c r="T1557" t="s">
        <v>69</v>
      </c>
      <c r="U1557" t="s">
        <v>69</v>
      </c>
      <c r="V1557" t="s">
        <v>69</v>
      </c>
      <c r="W1557" t="s">
        <v>69</v>
      </c>
      <c r="X1557" t="s">
        <v>69</v>
      </c>
      <c r="Y1557" t="s">
        <v>15472</v>
      </c>
      <c r="Z1557" t="s">
        <v>69</v>
      </c>
      <c r="AA1557" t="s">
        <v>4908</v>
      </c>
      <c r="AB1557" t="s">
        <v>15473</v>
      </c>
      <c r="AC1557" t="s">
        <v>69</v>
      </c>
      <c r="AD1557" t="s">
        <v>15474</v>
      </c>
      <c r="AE1557" t="s">
        <v>15475</v>
      </c>
      <c r="AF1557" t="s">
        <v>69</v>
      </c>
      <c r="AG1557" t="s">
        <v>69</v>
      </c>
      <c r="AH1557" t="s">
        <v>69</v>
      </c>
      <c r="AI1557" t="s">
        <v>69</v>
      </c>
      <c r="AJ1557" t="s">
        <v>69</v>
      </c>
      <c r="AK1557" t="s">
        <v>69</v>
      </c>
      <c r="AL1557">
        <v>20</v>
      </c>
      <c r="AM1557">
        <v>15</v>
      </c>
      <c r="AN1557">
        <v>16</v>
      </c>
      <c r="AO1557">
        <v>1</v>
      </c>
      <c r="AP1557">
        <v>18</v>
      </c>
      <c r="AQ1557" t="s">
        <v>13023</v>
      </c>
      <c r="AR1557" t="s">
        <v>13024</v>
      </c>
      <c r="AS1557" t="s">
        <v>13025</v>
      </c>
      <c r="AT1557" t="s">
        <v>4909</v>
      </c>
      <c r="AU1557" t="s">
        <v>4910</v>
      </c>
      <c r="AV1557" t="s">
        <v>69</v>
      </c>
      <c r="AW1557" t="s">
        <v>13026</v>
      </c>
      <c r="AX1557" t="s">
        <v>13027</v>
      </c>
      <c r="AY1557" t="s">
        <v>246</v>
      </c>
      <c r="AZ1557">
        <v>2020</v>
      </c>
      <c r="BA1557">
        <v>309</v>
      </c>
      <c r="BB1557" t="s">
        <v>69</v>
      </c>
      <c r="BC1557" t="s">
        <v>69</v>
      </c>
      <c r="BD1557" t="s">
        <v>69</v>
      </c>
      <c r="BE1557" t="s">
        <v>69</v>
      </c>
      <c r="BF1557" t="s">
        <v>69</v>
      </c>
      <c r="BG1557" t="s">
        <v>69</v>
      </c>
      <c r="BH1557" t="s">
        <v>69</v>
      </c>
      <c r="BI1557">
        <v>110148</v>
      </c>
      <c r="BJ1557" t="s">
        <v>4911</v>
      </c>
      <c r="BK1557" t="str">
        <f>HYPERLINK("http://dx.doi.org/10.1016/j.forsciint.2020.110148","http://dx.doi.org/10.1016/j.forsciint.2020.110148")</f>
        <v>http://dx.doi.org/10.1016/j.forsciint.2020.110148</v>
      </c>
      <c r="BL1557" t="s">
        <v>69</v>
      </c>
      <c r="BM1557" t="s">
        <v>69</v>
      </c>
      <c r="BN1557">
        <v>8</v>
      </c>
      <c r="BO1557" t="s">
        <v>13030</v>
      </c>
      <c r="BP1557" t="s">
        <v>8548</v>
      </c>
      <c r="BQ1557" t="s">
        <v>13031</v>
      </c>
      <c r="BR1557" t="s">
        <v>15476</v>
      </c>
      <c r="BS1557" t="s">
        <v>4912</v>
      </c>
      <c r="BT1557">
        <v>32114189</v>
      </c>
      <c r="BU1557" t="s">
        <v>69</v>
      </c>
      <c r="BV1557" t="s">
        <v>69</v>
      </c>
      <c r="BW1557" t="s">
        <v>69</v>
      </c>
      <c r="BX1557" t="s">
        <v>8526</v>
      </c>
      <c r="BY1557" t="str">
        <f>HYPERLINK("https%3A%2F%2Fwww.webofscience.com%2Fwos%2Fwoscc%2Ffull-record%2FWOS:000544880700022","View Full Record in Web of Science")</f>
        <v>View Full Record in Web of Science</v>
      </c>
    </row>
    <row r="1558" spans="1:77" x14ac:dyDescent="0.3">
      <c r="A1558" t="s">
        <v>8495</v>
      </c>
      <c r="B1558" s="9" t="s">
        <v>32954</v>
      </c>
      <c r="C1558" s="9" t="s">
        <v>33167</v>
      </c>
      <c r="D1558" s="9" t="s">
        <v>8491</v>
      </c>
      <c r="E1558" s="9" t="s">
        <v>8490</v>
      </c>
      <c r="F1558" t="s">
        <v>67</v>
      </c>
      <c r="G1558" t="s">
        <v>25157</v>
      </c>
      <c r="H1558" t="s">
        <v>69</v>
      </c>
      <c r="I1558" t="s">
        <v>69</v>
      </c>
      <c r="J1558" t="s">
        <v>69</v>
      </c>
      <c r="K1558" t="s">
        <v>25158</v>
      </c>
      <c r="L1558" t="s">
        <v>69</v>
      </c>
      <c r="M1558" t="s">
        <v>69</v>
      </c>
      <c r="N1558" t="s">
        <v>25159</v>
      </c>
      <c r="O1558" t="s">
        <v>25160</v>
      </c>
      <c r="P1558" t="s">
        <v>69</v>
      </c>
      <c r="Q1558" t="s">
        <v>69</v>
      </c>
      <c r="R1558" t="s">
        <v>8505</v>
      </c>
      <c r="S1558" t="s">
        <v>8442</v>
      </c>
      <c r="T1558" t="s">
        <v>69</v>
      </c>
      <c r="U1558" t="s">
        <v>69</v>
      </c>
      <c r="V1558" t="s">
        <v>69</v>
      </c>
      <c r="W1558" t="s">
        <v>69</v>
      </c>
      <c r="X1558" t="s">
        <v>69</v>
      </c>
      <c r="Y1558" t="s">
        <v>25161</v>
      </c>
      <c r="Z1558" t="s">
        <v>25162</v>
      </c>
      <c r="AA1558" t="s">
        <v>25163</v>
      </c>
      <c r="AB1558" t="s">
        <v>25164</v>
      </c>
      <c r="AC1558" t="s">
        <v>69</v>
      </c>
      <c r="AD1558" t="s">
        <v>25165</v>
      </c>
      <c r="AE1558" t="s">
        <v>25166</v>
      </c>
      <c r="AF1558" t="s">
        <v>69</v>
      </c>
      <c r="AG1558" t="s">
        <v>69</v>
      </c>
      <c r="AH1558" t="s">
        <v>25167</v>
      </c>
      <c r="AI1558" t="s">
        <v>25167</v>
      </c>
      <c r="AJ1558" t="s">
        <v>25168</v>
      </c>
      <c r="AK1558" t="s">
        <v>69</v>
      </c>
      <c r="AL1558">
        <v>63</v>
      </c>
      <c r="AM1558">
        <v>8</v>
      </c>
      <c r="AN1558">
        <v>8</v>
      </c>
      <c r="AO1558">
        <v>0</v>
      </c>
      <c r="AP1558">
        <v>62</v>
      </c>
      <c r="AQ1558" t="s">
        <v>9047</v>
      </c>
      <c r="AR1558" t="s">
        <v>9048</v>
      </c>
      <c r="AS1558" t="s">
        <v>9049</v>
      </c>
      <c r="AT1558" t="s">
        <v>25169</v>
      </c>
      <c r="AU1558" t="s">
        <v>25170</v>
      </c>
      <c r="AV1558" t="s">
        <v>69</v>
      </c>
      <c r="AW1558" t="s">
        <v>25171</v>
      </c>
      <c r="AX1558" t="s">
        <v>25172</v>
      </c>
      <c r="AY1558" t="s">
        <v>94</v>
      </c>
      <c r="AZ1558">
        <v>2013</v>
      </c>
      <c r="BA1558">
        <v>22</v>
      </c>
      <c r="BB1558">
        <v>3</v>
      </c>
      <c r="BC1558" t="s">
        <v>69</v>
      </c>
      <c r="BD1558" t="s">
        <v>69</v>
      </c>
      <c r="BE1558" t="s">
        <v>69</v>
      </c>
      <c r="BF1558" t="s">
        <v>69</v>
      </c>
      <c r="BG1558">
        <v>545</v>
      </c>
      <c r="BH1558">
        <v>565</v>
      </c>
      <c r="BI1558" t="s">
        <v>69</v>
      </c>
      <c r="BJ1558" t="s">
        <v>25173</v>
      </c>
      <c r="BK1558" t="str">
        <f>HYPERLINK("http://dx.doi.org/10.1007/s10531-013-0443-2","http://dx.doi.org/10.1007/s10531-013-0443-2")</f>
        <v>http://dx.doi.org/10.1007/s10531-013-0443-2</v>
      </c>
      <c r="BL1558" t="s">
        <v>69</v>
      </c>
      <c r="BM1558" t="s">
        <v>69</v>
      </c>
      <c r="BN1558">
        <v>21</v>
      </c>
      <c r="BO1558" t="s">
        <v>16747</v>
      </c>
      <c r="BP1558" t="s">
        <v>8523</v>
      </c>
      <c r="BQ1558" t="s">
        <v>15452</v>
      </c>
      <c r="BR1558" t="s">
        <v>25174</v>
      </c>
      <c r="BS1558" t="s">
        <v>25175</v>
      </c>
      <c r="BT1558" t="s">
        <v>69</v>
      </c>
      <c r="BU1558" t="s">
        <v>69</v>
      </c>
      <c r="BV1558" t="s">
        <v>69</v>
      </c>
      <c r="BW1558" t="s">
        <v>69</v>
      </c>
      <c r="BX1558" t="s">
        <v>8526</v>
      </c>
      <c r="BY1558" t="str">
        <f>HYPERLINK("https%3A%2F%2Fwww.webofscience.com%2Fwos%2Fwoscc%2Ffull-record%2FWOS:000315488800001","View Full Record in Web of Science")</f>
        <v>View Full Record in Web of Science</v>
      </c>
    </row>
    <row r="1559" spans="1:77" ht="12.5" x14ac:dyDescent="0.25">
      <c r="A1559" t="s">
        <v>8495</v>
      </c>
      <c r="B1559" s="22" t="s">
        <v>32931</v>
      </c>
      <c r="C1559" s="7"/>
      <c r="D1559" s="7"/>
      <c r="E1559" s="7"/>
      <c r="F1559" t="s">
        <v>67</v>
      </c>
      <c r="G1559" t="s">
        <v>26487</v>
      </c>
      <c r="H1559" t="s">
        <v>69</v>
      </c>
      <c r="I1559" t="s">
        <v>69</v>
      </c>
      <c r="J1559" t="s">
        <v>69</v>
      </c>
      <c r="K1559" t="s">
        <v>26488</v>
      </c>
      <c r="L1559" t="s">
        <v>69</v>
      </c>
      <c r="M1559" t="s">
        <v>69</v>
      </c>
      <c r="N1559" t="s">
        <v>26489</v>
      </c>
      <c r="O1559" t="s">
        <v>26490</v>
      </c>
      <c r="P1559" t="s">
        <v>69</v>
      </c>
      <c r="Q1559" t="s">
        <v>69</v>
      </c>
      <c r="R1559" t="s">
        <v>8505</v>
      </c>
      <c r="S1559" t="s">
        <v>8506</v>
      </c>
      <c r="T1559" t="s">
        <v>69</v>
      </c>
      <c r="U1559" t="s">
        <v>69</v>
      </c>
      <c r="V1559" t="s">
        <v>69</v>
      </c>
      <c r="W1559" t="s">
        <v>69</v>
      </c>
      <c r="X1559" t="s">
        <v>69</v>
      </c>
      <c r="Y1559" t="s">
        <v>26491</v>
      </c>
      <c r="Z1559" t="s">
        <v>26492</v>
      </c>
      <c r="AA1559" t="s">
        <v>26493</v>
      </c>
      <c r="AB1559" t="s">
        <v>26494</v>
      </c>
      <c r="AC1559" t="s">
        <v>69</v>
      </c>
      <c r="AD1559" t="s">
        <v>26495</v>
      </c>
      <c r="AE1559" t="s">
        <v>26496</v>
      </c>
      <c r="AF1559" t="s">
        <v>69</v>
      </c>
      <c r="AG1559" t="s">
        <v>69</v>
      </c>
      <c r="AH1559" t="s">
        <v>69</v>
      </c>
      <c r="AI1559" t="s">
        <v>69</v>
      </c>
      <c r="AJ1559" t="s">
        <v>69</v>
      </c>
      <c r="AK1559" t="s">
        <v>69</v>
      </c>
      <c r="AL1559">
        <v>109</v>
      </c>
      <c r="AM1559">
        <v>11</v>
      </c>
      <c r="AN1559">
        <v>11</v>
      </c>
      <c r="AO1559">
        <v>0</v>
      </c>
      <c r="AP1559">
        <v>0</v>
      </c>
      <c r="AQ1559" t="s">
        <v>8586</v>
      </c>
      <c r="AR1559" t="s">
        <v>8587</v>
      </c>
      <c r="AS1559" t="s">
        <v>8588</v>
      </c>
      <c r="AT1559" t="s">
        <v>26497</v>
      </c>
      <c r="AU1559" t="s">
        <v>26498</v>
      </c>
      <c r="AV1559" t="s">
        <v>69</v>
      </c>
      <c r="AW1559" t="s">
        <v>26499</v>
      </c>
      <c r="AX1559" t="s">
        <v>26500</v>
      </c>
      <c r="AY1559" t="s">
        <v>69</v>
      </c>
      <c r="AZ1559">
        <v>2012</v>
      </c>
      <c r="BA1559">
        <v>8</v>
      </c>
      <c r="BB1559">
        <v>3</v>
      </c>
      <c r="BC1559" t="s">
        <v>69</v>
      </c>
      <c r="BD1559" t="s">
        <v>69</v>
      </c>
      <c r="BE1559" t="s">
        <v>114</v>
      </c>
      <c r="BF1559" t="s">
        <v>69</v>
      </c>
      <c r="BG1559">
        <v>403</v>
      </c>
      <c r="BH1559">
        <v>430</v>
      </c>
      <c r="BI1559" t="s">
        <v>69</v>
      </c>
      <c r="BJ1559" t="s">
        <v>26501</v>
      </c>
      <c r="BK1559" t="str">
        <f>HYPERLINK("http://dx.doi.org/10.1108/18325911211258362","http://dx.doi.org/10.1108/18325911211258362")</f>
        <v>http://dx.doi.org/10.1108/18325911211258362</v>
      </c>
      <c r="BL1559" t="s">
        <v>69</v>
      </c>
      <c r="BM1559" t="s">
        <v>69</v>
      </c>
      <c r="BN1559">
        <v>28</v>
      </c>
      <c r="BO1559" t="s">
        <v>9749</v>
      </c>
      <c r="BP1559" t="s">
        <v>8573</v>
      </c>
      <c r="BQ1559" t="s">
        <v>8594</v>
      </c>
      <c r="BR1559" t="s">
        <v>26502</v>
      </c>
      <c r="BS1559" t="s">
        <v>26503</v>
      </c>
      <c r="BT1559" t="s">
        <v>69</v>
      </c>
      <c r="BU1559" t="s">
        <v>69</v>
      </c>
      <c r="BV1559" t="s">
        <v>69</v>
      </c>
      <c r="BW1559" t="s">
        <v>69</v>
      </c>
      <c r="BX1559" t="s">
        <v>8526</v>
      </c>
      <c r="BY1559" t="str">
        <f>HYPERLINK("https%3A%2F%2Fwww.webofscience.com%2Fwos%2Fwoscc%2Ffull-record%2FWOS:000211669300008","View Full Record in Web of Science")</f>
        <v>View Full Record in Web of Science</v>
      </c>
    </row>
    <row r="1560" spans="1:77" x14ac:dyDescent="0.3">
      <c r="A1560" t="s">
        <v>8495</v>
      </c>
      <c r="B1560" s="10" t="s">
        <v>32957</v>
      </c>
      <c r="F1560" t="s">
        <v>67</v>
      </c>
      <c r="G1560" t="s">
        <v>7410</v>
      </c>
      <c r="H1560" t="s">
        <v>69</v>
      </c>
      <c r="I1560" t="s">
        <v>69</v>
      </c>
      <c r="J1560" t="s">
        <v>69</v>
      </c>
      <c r="K1560" s="2" t="s">
        <v>7411</v>
      </c>
      <c r="L1560" t="s">
        <v>69</v>
      </c>
      <c r="M1560" t="s">
        <v>69</v>
      </c>
      <c r="N1560" s="2" t="s">
        <v>7412</v>
      </c>
      <c r="O1560" t="s">
        <v>4399</v>
      </c>
      <c r="P1560" t="s">
        <v>69</v>
      </c>
      <c r="Q1560" t="s">
        <v>69</v>
      </c>
      <c r="R1560" t="s">
        <v>8505</v>
      </c>
      <c r="S1560" t="s">
        <v>8506</v>
      </c>
      <c r="T1560" t="s">
        <v>69</v>
      </c>
      <c r="U1560" t="s">
        <v>69</v>
      </c>
      <c r="V1560" t="s">
        <v>69</v>
      </c>
      <c r="W1560" t="s">
        <v>69</v>
      </c>
      <c r="X1560" t="s">
        <v>69</v>
      </c>
      <c r="Y1560" t="s">
        <v>20234</v>
      </c>
      <c r="Z1560" t="s">
        <v>20235</v>
      </c>
      <c r="AA1560" t="s">
        <v>7413</v>
      </c>
      <c r="AB1560" t="s">
        <v>20236</v>
      </c>
      <c r="AC1560" t="s">
        <v>69</v>
      </c>
      <c r="AD1560" t="s">
        <v>20237</v>
      </c>
      <c r="AE1560" t="s">
        <v>20238</v>
      </c>
      <c r="AF1560" t="s">
        <v>20239</v>
      </c>
      <c r="AG1560" t="s">
        <v>20240</v>
      </c>
      <c r="AH1560" t="s">
        <v>69</v>
      </c>
      <c r="AI1560" t="s">
        <v>69</v>
      </c>
      <c r="AJ1560" t="s">
        <v>69</v>
      </c>
      <c r="AK1560" t="s">
        <v>69</v>
      </c>
      <c r="AL1560">
        <v>32</v>
      </c>
      <c r="AM1560">
        <v>52</v>
      </c>
      <c r="AN1560">
        <v>52</v>
      </c>
      <c r="AO1560">
        <v>0</v>
      </c>
      <c r="AP1560">
        <v>4</v>
      </c>
      <c r="AQ1560" t="s">
        <v>13217</v>
      </c>
      <c r="AR1560" t="s">
        <v>13218</v>
      </c>
      <c r="AS1560" t="s">
        <v>13219</v>
      </c>
      <c r="AT1560" t="s">
        <v>4401</v>
      </c>
      <c r="AU1560" t="s">
        <v>69</v>
      </c>
      <c r="AV1560" t="s">
        <v>69</v>
      </c>
      <c r="AW1560" t="s">
        <v>13220</v>
      </c>
      <c r="AX1560" t="s">
        <v>13221</v>
      </c>
      <c r="AY1560" t="s">
        <v>4402</v>
      </c>
      <c r="AZ1560">
        <v>2017</v>
      </c>
      <c r="BA1560">
        <v>10</v>
      </c>
      <c r="BB1560">
        <v>2</v>
      </c>
      <c r="BC1560" t="s">
        <v>69</v>
      </c>
      <c r="BD1560" t="s">
        <v>69</v>
      </c>
      <c r="BE1560" t="s">
        <v>114</v>
      </c>
      <c r="BF1560" t="s">
        <v>69</v>
      </c>
      <c r="BG1560">
        <v>195</v>
      </c>
      <c r="BH1560">
        <v>207</v>
      </c>
      <c r="BI1560" t="s">
        <v>69</v>
      </c>
      <c r="BJ1560" t="s">
        <v>69</v>
      </c>
      <c r="BK1560" t="s">
        <v>69</v>
      </c>
      <c r="BL1560" t="s">
        <v>69</v>
      </c>
      <c r="BM1560" t="s">
        <v>69</v>
      </c>
      <c r="BN1560">
        <v>13</v>
      </c>
      <c r="BO1560" t="s">
        <v>13222</v>
      </c>
      <c r="BP1560" t="s">
        <v>8523</v>
      </c>
      <c r="BQ1560" t="s">
        <v>11438</v>
      </c>
      <c r="BR1560" t="s">
        <v>20241</v>
      </c>
      <c r="BS1560" t="s">
        <v>7414</v>
      </c>
      <c r="BT1560" t="s">
        <v>69</v>
      </c>
      <c r="BU1560" t="s">
        <v>69</v>
      </c>
      <c r="BV1560" t="s">
        <v>69</v>
      </c>
      <c r="BW1560" t="s">
        <v>69</v>
      </c>
      <c r="BX1560" t="s">
        <v>8526</v>
      </c>
      <c r="BY1560" t="str">
        <f>HYPERLINK("https%3A%2F%2Fwww.webofscience.com%2Fwos%2Fwoscc%2Ffull-record%2FWOS:000403232300001","View Full Record in Web of Science")</f>
        <v>View Full Record in Web of Science</v>
      </c>
    </row>
    <row r="1561" spans="1:77" ht="12.5" x14ac:dyDescent="0.25">
      <c r="A1561" t="s">
        <v>8495</v>
      </c>
      <c r="B1561" s="7" t="s">
        <v>32933</v>
      </c>
      <c r="C1561" s="7"/>
      <c r="D1561" s="7"/>
      <c r="E1561" s="7"/>
      <c r="F1561" t="s">
        <v>67</v>
      </c>
      <c r="G1561" t="s">
        <v>3899</v>
      </c>
      <c r="H1561" t="s">
        <v>69</v>
      </c>
      <c r="I1561" t="s">
        <v>69</v>
      </c>
      <c r="J1561" t="s">
        <v>69</v>
      </c>
      <c r="K1561" t="s">
        <v>3899</v>
      </c>
      <c r="L1561" t="s">
        <v>69</v>
      </c>
      <c r="M1561" t="s">
        <v>69</v>
      </c>
      <c r="N1561" t="s">
        <v>3900</v>
      </c>
      <c r="O1561" t="s">
        <v>3901</v>
      </c>
      <c r="P1561" t="s">
        <v>69</v>
      </c>
      <c r="Q1561" t="s">
        <v>69</v>
      </c>
      <c r="R1561" t="s">
        <v>8505</v>
      </c>
      <c r="S1561" t="s">
        <v>15797</v>
      </c>
      <c r="T1561" t="s">
        <v>3902</v>
      </c>
      <c r="U1561" t="s">
        <v>3903</v>
      </c>
      <c r="V1561" t="s">
        <v>3904</v>
      </c>
      <c r="W1561" t="s">
        <v>69</v>
      </c>
      <c r="X1561" t="s">
        <v>3905</v>
      </c>
      <c r="Y1561" t="s">
        <v>30697</v>
      </c>
      <c r="Z1561" t="s">
        <v>30698</v>
      </c>
      <c r="AA1561" t="s">
        <v>3906</v>
      </c>
      <c r="AB1561" t="s">
        <v>30699</v>
      </c>
      <c r="AC1561" t="s">
        <v>69</v>
      </c>
      <c r="AD1561" t="s">
        <v>30700</v>
      </c>
      <c r="AE1561" t="s">
        <v>30701</v>
      </c>
      <c r="AF1561" t="s">
        <v>3907</v>
      </c>
      <c r="AG1561" t="s">
        <v>30702</v>
      </c>
      <c r="AH1561" t="s">
        <v>69</v>
      </c>
      <c r="AI1561" t="s">
        <v>69</v>
      </c>
      <c r="AJ1561" t="s">
        <v>69</v>
      </c>
      <c r="AK1561" t="s">
        <v>69</v>
      </c>
      <c r="AL1561">
        <v>48</v>
      </c>
      <c r="AM1561">
        <v>160</v>
      </c>
      <c r="AN1561">
        <v>172</v>
      </c>
      <c r="AO1561">
        <v>0</v>
      </c>
      <c r="AP1561">
        <v>40</v>
      </c>
      <c r="AQ1561" t="s">
        <v>30703</v>
      </c>
      <c r="AR1561" t="s">
        <v>8763</v>
      </c>
      <c r="AS1561" t="s">
        <v>25199</v>
      </c>
      <c r="AT1561" t="s">
        <v>3908</v>
      </c>
      <c r="AU1561" t="s">
        <v>69</v>
      </c>
      <c r="AV1561" t="s">
        <v>69</v>
      </c>
      <c r="AW1561" t="s">
        <v>30704</v>
      </c>
      <c r="AX1561" t="s">
        <v>30705</v>
      </c>
      <c r="AY1561" t="s">
        <v>3909</v>
      </c>
      <c r="AZ1561">
        <v>2005</v>
      </c>
      <c r="BA1561">
        <v>360</v>
      </c>
      <c r="BB1561">
        <v>1454</v>
      </c>
      <c r="BC1561" t="s">
        <v>69</v>
      </c>
      <c r="BD1561" t="s">
        <v>69</v>
      </c>
      <c r="BE1561" t="s">
        <v>69</v>
      </c>
      <c r="BF1561" t="s">
        <v>69</v>
      </c>
      <c r="BG1561">
        <v>221</v>
      </c>
      <c r="BH1561">
        <v>228</v>
      </c>
      <c r="BI1561" t="s">
        <v>69</v>
      </c>
      <c r="BJ1561" t="s">
        <v>3910</v>
      </c>
      <c r="BK1561" t="str">
        <f>HYPERLINK("http://dx.doi.org/10.1098/rstb.2004.1599","http://dx.doi.org/10.1098/rstb.2004.1599")</f>
        <v>http://dx.doi.org/10.1098/rstb.2004.1599</v>
      </c>
      <c r="BL1561" t="s">
        <v>69</v>
      </c>
      <c r="BM1561" t="s">
        <v>69</v>
      </c>
      <c r="BN1561">
        <v>8</v>
      </c>
      <c r="BO1561" t="s">
        <v>24555</v>
      </c>
      <c r="BP1561" t="s">
        <v>29550</v>
      </c>
      <c r="BQ1561" t="s">
        <v>24556</v>
      </c>
      <c r="BR1561" t="s">
        <v>30706</v>
      </c>
      <c r="BS1561" t="s">
        <v>3911</v>
      </c>
      <c r="BT1561">
        <v>15814341</v>
      </c>
      <c r="BU1561" t="s">
        <v>10423</v>
      </c>
      <c r="BV1561" t="s">
        <v>69</v>
      </c>
      <c r="BW1561" t="s">
        <v>69</v>
      </c>
      <c r="BX1561" t="s">
        <v>8526</v>
      </c>
      <c r="BY1561" t="str">
        <f>HYPERLINK("https%3A%2F%2Fwww.webofscience.com%2Fwos%2Fwoscc%2Ffull-record%2FWOS:000228214600001","View Full Record in Web of Science")</f>
        <v>View Full Record in Web of Science</v>
      </c>
    </row>
    <row r="1562" spans="1:77" ht="12.5" x14ac:dyDescent="0.25">
      <c r="A1562" t="s">
        <v>8495</v>
      </c>
      <c r="B1562" s="7" t="s">
        <v>32933</v>
      </c>
      <c r="C1562" s="7"/>
      <c r="D1562" s="7"/>
      <c r="E1562" s="7"/>
      <c r="F1562" t="s">
        <v>67</v>
      </c>
      <c r="G1562" t="s">
        <v>1313</v>
      </c>
      <c r="H1562" t="s">
        <v>69</v>
      </c>
      <c r="I1562" t="s">
        <v>69</v>
      </c>
      <c r="J1562" t="s">
        <v>69</v>
      </c>
      <c r="K1562" t="s">
        <v>1314</v>
      </c>
      <c r="L1562" t="s">
        <v>69</v>
      </c>
      <c r="M1562" t="s">
        <v>69</v>
      </c>
      <c r="N1562" t="s">
        <v>1315</v>
      </c>
      <c r="O1562" t="s">
        <v>1316</v>
      </c>
      <c r="P1562" t="s">
        <v>69</v>
      </c>
      <c r="Q1562" t="s">
        <v>69</v>
      </c>
      <c r="R1562" t="s">
        <v>8505</v>
      </c>
      <c r="S1562" t="s">
        <v>8506</v>
      </c>
      <c r="T1562" t="s">
        <v>69</v>
      </c>
      <c r="U1562" t="s">
        <v>69</v>
      </c>
      <c r="V1562" t="s">
        <v>69</v>
      </c>
      <c r="W1562" t="s">
        <v>69</v>
      </c>
      <c r="X1562" t="s">
        <v>69</v>
      </c>
      <c r="Y1562" t="s">
        <v>69</v>
      </c>
      <c r="Z1562" t="s">
        <v>19521</v>
      </c>
      <c r="AA1562" t="s">
        <v>1317</v>
      </c>
      <c r="AB1562" t="s">
        <v>23094</v>
      </c>
      <c r="AC1562" t="s">
        <v>69</v>
      </c>
      <c r="AD1562" t="s">
        <v>23095</v>
      </c>
      <c r="AE1562" t="s">
        <v>23096</v>
      </c>
      <c r="AF1562" t="s">
        <v>69</v>
      </c>
      <c r="AG1562" t="s">
        <v>69</v>
      </c>
      <c r="AH1562" t="s">
        <v>69</v>
      </c>
      <c r="AI1562" t="s">
        <v>69</v>
      </c>
      <c r="AJ1562" t="s">
        <v>69</v>
      </c>
      <c r="AK1562" t="s">
        <v>69</v>
      </c>
      <c r="AL1562">
        <v>28</v>
      </c>
      <c r="AM1562">
        <v>24</v>
      </c>
      <c r="AN1562">
        <v>26</v>
      </c>
      <c r="AO1562">
        <v>4</v>
      </c>
      <c r="AP1562">
        <v>108</v>
      </c>
      <c r="AQ1562" t="s">
        <v>8692</v>
      </c>
      <c r="AR1562" t="s">
        <v>8693</v>
      </c>
      <c r="AS1562" t="s">
        <v>8694</v>
      </c>
      <c r="AT1562" t="s">
        <v>1318</v>
      </c>
      <c r="AU1562" t="s">
        <v>1319</v>
      </c>
      <c r="AV1562" t="s">
        <v>69</v>
      </c>
      <c r="AW1562" t="s">
        <v>23097</v>
      </c>
      <c r="AX1562" t="s">
        <v>23098</v>
      </c>
      <c r="AY1562" t="s">
        <v>602</v>
      </c>
      <c r="AZ1562">
        <v>2015</v>
      </c>
      <c r="BA1562">
        <v>44</v>
      </c>
      <c r="BB1562">
        <v>1</v>
      </c>
      <c r="BC1562" t="s">
        <v>69</v>
      </c>
      <c r="BD1562" t="s">
        <v>69</v>
      </c>
      <c r="BE1562" t="s">
        <v>69</v>
      </c>
      <c r="BF1562" t="s">
        <v>69</v>
      </c>
      <c r="BG1562">
        <v>47</v>
      </c>
      <c r="BH1562" t="s">
        <v>219</v>
      </c>
      <c r="BI1562" t="s">
        <v>69</v>
      </c>
      <c r="BJ1562" t="s">
        <v>1320</v>
      </c>
      <c r="BK1562" t="str">
        <f>HYPERLINK("http://dx.doi.org/10.1016/j.orgdyn.2014.11.006","http://dx.doi.org/10.1016/j.orgdyn.2014.11.006")</f>
        <v>http://dx.doi.org/10.1016/j.orgdyn.2014.11.006</v>
      </c>
      <c r="BL1562" t="s">
        <v>69</v>
      </c>
      <c r="BM1562" t="s">
        <v>69</v>
      </c>
      <c r="BN1562">
        <v>11</v>
      </c>
      <c r="BO1562" t="s">
        <v>23099</v>
      </c>
      <c r="BP1562" t="s">
        <v>8661</v>
      </c>
      <c r="BQ1562" t="s">
        <v>23100</v>
      </c>
      <c r="BR1562" t="s">
        <v>23101</v>
      </c>
      <c r="BS1562" t="s">
        <v>1321</v>
      </c>
      <c r="BT1562" t="s">
        <v>69</v>
      </c>
      <c r="BU1562" t="s">
        <v>69</v>
      </c>
      <c r="BV1562" t="s">
        <v>69</v>
      </c>
      <c r="BW1562" t="s">
        <v>69</v>
      </c>
      <c r="BX1562" t="s">
        <v>8526</v>
      </c>
      <c r="BY1562" t="str">
        <f>HYPERLINK("https%3A%2F%2Fwww.webofscience.com%2Fwos%2Fwoscc%2Ffull-record%2FWOS:000351193600006","View Full Record in Web of Science")</f>
        <v>View Full Record in Web of Science</v>
      </c>
    </row>
    <row r="1563" spans="1:77" ht="12.5" x14ac:dyDescent="0.25">
      <c r="A1563" t="s">
        <v>8495</v>
      </c>
      <c r="B1563" s="22" t="s">
        <v>32931</v>
      </c>
      <c r="C1563" s="7"/>
      <c r="D1563" s="7"/>
      <c r="E1563" s="7"/>
      <c r="F1563" t="s">
        <v>67</v>
      </c>
      <c r="G1563" t="s">
        <v>11318</v>
      </c>
      <c r="H1563" t="s">
        <v>69</v>
      </c>
      <c r="I1563" t="s">
        <v>69</v>
      </c>
      <c r="J1563" t="s">
        <v>69</v>
      </c>
      <c r="K1563" t="s">
        <v>11319</v>
      </c>
      <c r="L1563" t="s">
        <v>69</v>
      </c>
      <c r="M1563" t="s">
        <v>69</v>
      </c>
      <c r="N1563" t="s">
        <v>11320</v>
      </c>
      <c r="O1563" t="s">
        <v>859</v>
      </c>
      <c r="P1563" t="s">
        <v>69</v>
      </c>
      <c r="Q1563" t="s">
        <v>69</v>
      </c>
      <c r="R1563" t="s">
        <v>8505</v>
      </c>
      <c r="S1563" t="s">
        <v>8506</v>
      </c>
      <c r="T1563" t="s">
        <v>69</v>
      </c>
      <c r="U1563" t="s">
        <v>69</v>
      </c>
      <c r="V1563" t="s">
        <v>69</v>
      </c>
      <c r="W1563" t="s">
        <v>69</v>
      </c>
      <c r="X1563" t="s">
        <v>69</v>
      </c>
      <c r="Y1563" t="s">
        <v>69</v>
      </c>
      <c r="Z1563" t="s">
        <v>11321</v>
      </c>
      <c r="AA1563" t="s">
        <v>11322</v>
      </c>
      <c r="AB1563" t="s">
        <v>11323</v>
      </c>
      <c r="AC1563" t="s">
        <v>69</v>
      </c>
      <c r="AD1563" t="s">
        <v>11324</v>
      </c>
      <c r="AE1563" t="s">
        <v>11325</v>
      </c>
      <c r="AF1563" t="s">
        <v>69</v>
      </c>
      <c r="AG1563" t="s">
        <v>11326</v>
      </c>
      <c r="AH1563" t="s">
        <v>11327</v>
      </c>
      <c r="AI1563" t="s">
        <v>11327</v>
      </c>
      <c r="AJ1563" t="s">
        <v>11328</v>
      </c>
      <c r="AK1563" t="s">
        <v>69</v>
      </c>
      <c r="AL1563">
        <v>35</v>
      </c>
      <c r="AM1563">
        <v>1</v>
      </c>
      <c r="AN1563">
        <v>1</v>
      </c>
      <c r="AO1563">
        <v>2</v>
      </c>
      <c r="AP1563">
        <v>2</v>
      </c>
      <c r="AQ1563" t="s">
        <v>11130</v>
      </c>
      <c r="AR1563" t="s">
        <v>11131</v>
      </c>
      <c r="AS1563" t="s">
        <v>11132</v>
      </c>
      <c r="AT1563" t="s">
        <v>862</v>
      </c>
      <c r="AU1563" t="s">
        <v>69</v>
      </c>
      <c r="AV1563" t="s">
        <v>69</v>
      </c>
      <c r="AW1563" t="s">
        <v>859</v>
      </c>
      <c r="AX1563" t="s">
        <v>11133</v>
      </c>
      <c r="AY1563" t="s">
        <v>11329</v>
      </c>
      <c r="AZ1563">
        <v>2021</v>
      </c>
      <c r="BA1563">
        <v>16</v>
      </c>
      <c r="BB1563">
        <v>9</v>
      </c>
      <c r="BC1563" t="s">
        <v>69</v>
      </c>
      <c r="BD1563" t="s">
        <v>69</v>
      </c>
      <c r="BE1563" t="s">
        <v>69</v>
      </c>
      <c r="BF1563" t="s">
        <v>69</v>
      </c>
      <c r="BG1563" t="s">
        <v>69</v>
      </c>
      <c r="BH1563" t="s">
        <v>69</v>
      </c>
      <c r="BI1563" t="s">
        <v>11330</v>
      </c>
      <c r="BJ1563" t="s">
        <v>11331</v>
      </c>
      <c r="BK1563" t="str">
        <f>HYPERLINK("http://dx.doi.org/10.1371/journal.pone.0257802","http://dx.doi.org/10.1371/journal.pone.0257802")</f>
        <v>http://dx.doi.org/10.1371/journal.pone.0257802</v>
      </c>
      <c r="BL1563" t="s">
        <v>69</v>
      </c>
      <c r="BM1563" t="s">
        <v>69</v>
      </c>
      <c r="BN1563">
        <v>21</v>
      </c>
      <c r="BO1563" t="s">
        <v>8619</v>
      </c>
      <c r="BP1563" t="s">
        <v>8548</v>
      </c>
      <c r="BQ1563" t="s">
        <v>8620</v>
      </c>
      <c r="BR1563" t="s">
        <v>11332</v>
      </c>
      <c r="BS1563" t="s">
        <v>11334</v>
      </c>
      <c r="BT1563">
        <v>34559846</v>
      </c>
      <c r="BU1563" t="s">
        <v>11333</v>
      </c>
      <c r="BV1563" t="s">
        <v>69</v>
      </c>
      <c r="BW1563" t="s">
        <v>69</v>
      </c>
      <c r="BX1563" t="s">
        <v>8526</v>
      </c>
      <c r="BY1563" t="str">
        <f>HYPERLINK("https%3A%2F%2Fwww.webofscience.com%2Fwos%2Fwoscc%2Ffull-record%2FWOS:000754657900045","View Full Record in Web of Science")</f>
        <v>View Full Record in Web of Science</v>
      </c>
    </row>
    <row r="1564" spans="1:77" ht="12.5" x14ac:dyDescent="0.25">
      <c r="A1564" t="s">
        <v>8495</v>
      </c>
      <c r="B1564" s="7" t="s">
        <v>32933</v>
      </c>
      <c r="C1564" s="7"/>
      <c r="D1564" s="7"/>
      <c r="E1564" s="7"/>
      <c r="F1564" t="s">
        <v>67</v>
      </c>
      <c r="G1564" t="s">
        <v>6025</v>
      </c>
      <c r="H1564" t="s">
        <v>69</v>
      </c>
      <c r="I1564" t="s">
        <v>69</v>
      </c>
      <c r="J1564" t="s">
        <v>69</v>
      </c>
      <c r="K1564" t="s">
        <v>6026</v>
      </c>
      <c r="L1564" t="s">
        <v>69</v>
      </c>
      <c r="M1564" t="s">
        <v>69</v>
      </c>
      <c r="N1564" t="s">
        <v>6027</v>
      </c>
      <c r="O1564" t="s">
        <v>6028</v>
      </c>
      <c r="P1564" t="s">
        <v>69</v>
      </c>
      <c r="Q1564" t="s">
        <v>69</v>
      </c>
      <c r="R1564" t="s">
        <v>8505</v>
      </c>
      <c r="S1564" t="s">
        <v>8506</v>
      </c>
      <c r="T1564" t="s">
        <v>69</v>
      </c>
      <c r="U1564" t="s">
        <v>69</v>
      </c>
      <c r="V1564" t="s">
        <v>69</v>
      </c>
      <c r="W1564" t="s">
        <v>69</v>
      </c>
      <c r="X1564" t="s">
        <v>69</v>
      </c>
      <c r="Y1564" t="s">
        <v>23583</v>
      </c>
      <c r="Z1564" t="s">
        <v>23584</v>
      </c>
      <c r="AA1564" t="s">
        <v>6029</v>
      </c>
      <c r="AB1564" t="s">
        <v>23585</v>
      </c>
      <c r="AC1564" t="s">
        <v>69</v>
      </c>
      <c r="AD1564" t="s">
        <v>23586</v>
      </c>
      <c r="AE1564" t="s">
        <v>23587</v>
      </c>
      <c r="AF1564" t="s">
        <v>69</v>
      </c>
      <c r="AG1564" t="s">
        <v>23588</v>
      </c>
      <c r="AH1564" t="s">
        <v>69</v>
      </c>
      <c r="AI1564" t="s">
        <v>69</v>
      </c>
      <c r="AJ1564" t="s">
        <v>69</v>
      </c>
      <c r="AK1564" t="s">
        <v>69</v>
      </c>
      <c r="AL1564">
        <v>46</v>
      </c>
      <c r="AM1564">
        <v>5</v>
      </c>
      <c r="AN1564">
        <v>6</v>
      </c>
      <c r="AO1564">
        <v>0</v>
      </c>
      <c r="AP1564">
        <v>17</v>
      </c>
      <c r="AQ1564" t="s">
        <v>23589</v>
      </c>
      <c r="AR1564" t="s">
        <v>13443</v>
      </c>
      <c r="AS1564" t="s">
        <v>23590</v>
      </c>
      <c r="AT1564" t="s">
        <v>6030</v>
      </c>
      <c r="AU1564" t="s">
        <v>6031</v>
      </c>
      <c r="AV1564" t="s">
        <v>69</v>
      </c>
      <c r="AW1564" t="s">
        <v>23591</v>
      </c>
      <c r="AX1564" t="s">
        <v>23592</v>
      </c>
      <c r="AY1564" t="s">
        <v>255</v>
      </c>
      <c r="AZ1564">
        <v>2014</v>
      </c>
      <c r="BA1564">
        <v>46</v>
      </c>
      <c r="BB1564" t="s">
        <v>69</v>
      </c>
      <c r="BC1564" t="s">
        <v>69</v>
      </c>
      <c r="BD1564" t="s">
        <v>69</v>
      </c>
      <c r="BE1564" t="s">
        <v>69</v>
      </c>
      <c r="BF1564" t="s">
        <v>69</v>
      </c>
      <c r="BG1564">
        <v>203</v>
      </c>
      <c r="BH1564">
        <v>215</v>
      </c>
      <c r="BI1564" t="s">
        <v>69</v>
      </c>
      <c r="BJ1564" t="s">
        <v>69</v>
      </c>
      <c r="BK1564" t="s">
        <v>69</v>
      </c>
      <c r="BL1564" t="s">
        <v>69</v>
      </c>
      <c r="BM1564" t="s">
        <v>69</v>
      </c>
      <c r="BN1564">
        <v>13</v>
      </c>
      <c r="BO1564" t="s">
        <v>10299</v>
      </c>
      <c r="BP1564" t="s">
        <v>8661</v>
      </c>
      <c r="BQ1564" t="s">
        <v>10279</v>
      </c>
      <c r="BR1564" t="s">
        <v>23593</v>
      </c>
      <c r="BS1564" t="s">
        <v>6032</v>
      </c>
      <c r="BT1564" t="s">
        <v>69</v>
      </c>
      <c r="BU1564" t="s">
        <v>69</v>
      </c>
      <c r="BV1564" t="s">
        <v>69</v>
      </c>
      <c r="BW1564" t="s">
        <v>69</v>
      </c>
      <c r="BX1564" t="s">
        <v>8526</v>
      </c>
      <c r="BY1564" t="str">
        <f>HYPERLINK("https%3A%2F%2Fwww.webofscience.com%2Fwos%2Fwoscc%2Ffull-record%2FWOS:000342729200015","View Full Record in Web of Science")</f>
        <v>View Full Record in Web of Science</v>
      </c>
    </row>
    <row r="1565" spans="1:77" ht="12.5" x14ac:dyDescent="0.25">
      <c r="A1565" t="s">
        <v>8495</v>
      </c>
      <c r="B1565" s="7" t="s">
        <v>32933</v>
      </c>
      <c r="C1565" s="7"/>
      <c r="D1565" s="7"/>
      <c r="E1565" s="7"/>
      <c r="F1565" t="s">
        <v>67</v>
      </c>
      <c r="G1565" t="s">
        <v>7565</v>
      </c>
      <c r="H1565" t="s">
        <v>69</v>
      </c>
      <c r="I1565" t="s">
        <v>69</v>
      </c>
      <c r="J1565" t="s">
        <v>69</v>
      </c>
      <c r="K1565" t="s">
        <v>7566</v>
      </c>
      <c r="L1565" t="s">
        <v>69</v>
      </c>
      <c r="M1565" t="s">
        <v>69</v>
      </c>
      <c r="N1565" t="s">
        <v>7567</v>
      </c>
      <c r="O1565" t="s">
        <v>1969</v>
      </c>
      <c r="P1565" t="s">
        <v>69</v>
      </c>
      <c r="Q1565" t="s">
        <v>69</v>
      </c>
      <c r="R1565" t="s">
        <v>8505</v>
      </c>
      <c r="S1565" t="s">
        <v>8506</v>
      </c>
      <c r="T1565" t="s">
        <v>69</v>
      </c>
      <c r="U1565" t="s">
        <v>69</v>
      </c>
      <c r="V1565" t="s">
        <v>69</v>
      </c>
      <c r="W1565" t="s">
        <v>69</v>
      </c>
      <c r="X1565" t="s">
        <v>69</v>
      </c>
      <c r="Y1565" t="s">
        <v>16715</v>
      </c>
      <c r="Z1565" t="s">
        <v>16716</v>
      </c>
      <c r="AA1565" t="s">
        <v>7568</v>
      </c>
      <c r="AB1565" t="s">
        <v>16717</v>
      </c>
      <c r="AC1565" t="s">
        <v>69</v>
      </c>
      <c r="AD1565" t="s">
        <v>16718</v>
      </c>
      <c r="AE1565" t="s">
        <v>16719</v>
      </c>
      <c r="AF1565" t="s">
        <v>7569</v>
      </c>
      <c r="AG1565" t="s">
        <v>7570</v>
      </c>
      <c r="AH1565" t="s">
        <v>69</v>
      </c>
      <c r="AI1565" t="s">
        <v>69</v>
      </c>
      <c r="AJ1565" t="s">
        <v>69</v>
      </c>
      <c r="AK1565" t="s">
        <v>69</v>
      </c>
      <c r="AL1565">
        <v>94</v>
      </c>
      <c r="AM1565">
        <v>6</v>
      </c>
      <c r="AN1565">
        <v>6</v>
      </c>
      <c r="AO1565">
        <v>4</v>
      </c>
      <c r="AP1565">
        <v>44</v>
      </c>
      <c r="AQ1565" t="s">
        <v>8586</v>
      </c>
      <c r="AR1565" t="s">
        <v>8587</v>
      </c>
      <c r="AS1565" t="s">
        <v>8588</v>
      </c>
      <c r="AT1565" t="s">
        <v>1971</v>
      </c>
      <c r="AU1565" t="s">
        <v>1972</v>
      </c>
      <c r="AV1565" t="s">
        <v>69</v>
      </c>
      <c r="AW1565" t="s">
        <v>15149</v>
      </c>
      <c r="AX1565" t="s">
        <v>15150</v>
      </c>
      <c r="AY1565" t="s">
        <v>7571</v>
      </c>
      <c r="AZ1565">
        <v>2019</v>
      </c>
      <c r="BA1565">
        <v>30</v>
      </c>
      <c r="BB1565">
        <v>6</v>
      </c>
      <c r="BC1565" t="s">
        <v>69</v>
      </c>
      <c r="BD1565" t="s">
        <v>69</v>
      </c>
      <c r="BE1565" t="s">
        <v>69</v>
      </c>
      <c r="BF1565" t="s">
        <v>69</v>
      </c>
      <c r="BG1565">
        <v>1238</v>
      </c>
      <c r="BH1565">
        <v>1255</v>
      </c>
      <c r="BI1565" t="s">
        <v>69</v>
      </c>
      <c r="BJ1565" t="s">
        <v>7572</v>
      </c>
      <c r="BK1565" t="str">
        <f>HYPERLINK("http://dx.doi.org/10.1108/MEQ-12-2018-0208","http://dx.doi.org/10.1108/MEQ-12-2018-0208")</f>
        <v>http://dx.doi.org/10.1108/MEQ-12-2018-0208</v>
      </c>
      <c r="BL1565" t="s">
        <v>69</v>
      </c>
      <c r="BM1565" t="s">
        <v>69</v>
      </c>
      <c r="BN1565">
        <v>18</v>
      </c>
      <c r="BO1565" t="s">
        <v>8660</v>
      </c>
      <c r="BP1565" t="s">
        <v>8573</v>
      </c>
      <c r="BQ1565" t="s">
        <v>8662</v>
      </c>
      <c r="BR1565" t="s">
        <v>16720</v>
      </c>
      <c r="BS1565" t="s">
        <v>7573</v>
      </c>
      <c r="BT1565" t="s">
        <v>69</v>
      </c>
      <c r="BU1565" t="s">
        <v>69</v>
      </c>
      <c r="BV1565" t="s">
        <v>69</v>
      </c>
      <c r="BW1565" t="s">
        <v>69</v>
      </c>
      <c r="BX1565" t="s">
        <v>8526</v>
      </c>
      <c r="BY1565" t="str">
        <f>HYPERLINK("https%3A%2F%2Fwww.webofscience.com%2Fwos%2Fwoscc%2Ffull-record%2FWOS:000483657400001","View Full Record in Web of Science")</f>
        <v>View Full Record in Web of Science</v>
      </c>
    </row>
    <row r="1566" spans="1:77" ht="12.5" x14ac:dyDescent="0.25">
      <c r="A1566" t="s">
        <v>8495</v>
      </c>
      <c r="B1566" s="7" t="s">
        <v>32933</v>
      </c>
      <c r="C1566" s="7"/>
      <c r="D1566" s="7"/>
      <c r="E1566" s="7"/>
      <c r="F1566" t="s">
        <v>67</v>
      </c>
      <c r="G1566" t="s">
        <v>5599</v>
      </c>
      <c r="H1566" t="s">
        <v>69</v>
      </c>
      <c r="I1566" t="s">
        <v>69</v>
      </c>
      <c r="J1566" t="s">
        <v>69</v>
      </c>
      <c r="K1566" t="s">
        <v>5600</v>
      </c>
      <c r="L1566" t="s">
        <v>69</v>
      </c>
      <c r="M1566" t="s">
        <v>69</v>
      </c>
      <c r="N1566" t="s">
        <v>5601</v>
      </c>
      <c r="O1566" t="s">
        <v>632</v>
      </c>
      <c r="P1566" t="s">
        <v>69</v>
      </c>
      <c r="Q1566" t="s">
        <v>69</v>
      </c>
      <c r="R1566" t="s">
        <v>8505</v>
      </c>
      <c r="S1566" t="s">
        <v>8506</v>
      </c>
      <c r="T1566" t="s">
        <v>69</v>
      </c>
      <c r="U1566" t="s">
        <v>69</v>
      </c>
      <c r="V1566" t="s">
        <v>69</v>
      </c>
      <c r="W1566" t="s">
        <v>69</v>
      </c>
      <c r="X1566" t="s">
        <v>69</v>
      </c>
      <c r="Y1566" t="s">
        <v>23625</v>
      </c>
      <c r="Z1566" t="s">
        <v>23626</v>
      </c>
      <c r="AA1566" t="s">
        <v>5602</v>
      </c>
      <c r="AB1566" t="s">
        <v>23627</v>
      </c>
      <c r="AC1566" t="s">
        <v>69</v>
      </c>
      <c r="AD1566" t="s">
        <v>23628</v>
      </c>
      <c r="AE1566" t="s">
        <v>23629</v>
      </c>
      <c r="AF1566" t="s">
        <v>1362</v>
      </c>
      <c r="AG1566" t="s">
        <v>5603</v>
      </c>
      <c r="AH1566" t="s">
        <v>23630</v>
      </c>
      <c r="AI1566" t="s">
        <v>23631</v>
      </c>
      <c r="AJ1566" t="s">
        <v>23632</v>
      </c>
      <c r="AK1566" t="s">
        <v>69</v>
      </c>
      <c r="AL1566">
        <v>79</v>
      </c>
      <c r="AM1566">
        <v>32</v>
      </c>
      <c r="AN1566">
        <v>34</v>
      </c>
      <c r="AO1566">
        <v>9</v>
      </c>
      <c r="AP1566">
        <v>81</v>
      </c>
      <c r="AQ1566" t="s">
        <v>8516</v>
      </c>
      <c r="AR1566" t="s">
        <v>8517</v>
      </c>
      <c r="AS1566" t="s">
        <v>8518</v>
      </c>
      <c r="AT1566" t="s">
        <v>634</v>
      </c>
      <c r="AU1566" t="s">
        <v>635</v>
      </c>
      <c r="AV1566" t="s">
        <v>69</v>
      </c>
      <c r="AW1566" t="s">
        <v>8714</v>
      </c>
      <c r="AX1566" t="s">
        <v>8715</v>
      </c>
      <c r="AY1566" t="s">
        <v>5604</v>
      </c>
      <c r="AZ1566">
        <v>2014</v>
      </c>
      <c r="BA1566">
        <v>490</v>
      </c>
      <c r="BB1566" t="s">
        <v>69</v>
      </c>
      <c r="BC1566" t="s">
        <v>69</v>
      </c>
      <c r="BD1566" t="s">
        <v>69</v>
      </c>
      <c r="BE1566" t="s">
        <v>69</v>
      </c>
      <c r="BF1566" t="s">
        <v>69</v>
      </c>
      <c r="BG1566">
        <v>905</v>
      </c>
      <c r="BH1566">
        <v>913</v>
      </c>
      <c r="BI1566" t="s">
        <v>69</v>
      </c>
      <c r="BJ1566" t="s">
        <v>5605</v>
      </c>
      <c r="BK1566" t="str">
        <f>HYPERLINK("http://dx.doi.org/10.1016/j.scitotenv.2014.05.059","http://dx.doi.org/10.1016/j.scitotenv.2014.05.059")</f>
        <v>http://dx.doi.org/10.1016/j.scitotenv.2014.05.059</v>
      </c>
      <c r="BL1566" t="s">
        <v>69</v>
      </c>
      <c r="BM1566" t="s">
        <v>69</v>
      </c>
      <c r="BN1566">
        <v>9</v>
      </c>
      <c r="BO1566" t="s">
        <v>8717</v>
      </c>
      <c r="BP1566" t="s">
        <v>8548</v>
      </c>
      <c r="BQ1566" t="s">
        <v>8662</v>
      </c>
      <c r="BR1566" t="s">
        <v>23633</v>
      </c>
      <c r="BS1566" t="s">
        <v>5606</v>
      </c>
      <c r="BT1566">
        <v>24908650</v>
      </c>
      <c r="BU1566" t="s">
        <v>69</v>
      </c>
      <c r="BV1566" t="s">
        <v>69</v>
      </c>
      <c r="BW1566" t="s">
        <v>69</v>
      </c>
      <c r="BX1566" t="s">
        <v>8526</v>
      </c>
      <c r="BY1566" t="str">
        <f>HYPERLINK("https%3A%2F%2Fwww.webofscience.com%2Fwos%2Fwoscc%2Ffull-record%2FWOS:000347293800096","View Full Record in Web of Science")</f>
        <v>View Full Record in Web of Science</v>
      </c>
    </row>
    <row r="1567" spans="1:77" ht="12.5" x14ac:dyDescent="0.25">
      <c r="A1567" t="s">
        <v>8495</v>
      </c>
      <c r="B1567" s="7" t="s">
        <v>32933</v>
      </c>
      <c r="C1567" s="7"/>
      <c r="D1567" s="7"/>
      <c r="E1567" s="7"/>
      <c r="F1567" t="s">
        <v>67</v>
      </c>
      <c r="G1567" t="s">
        <v>168</v>
      </c>
      <c r="H1567" t="s">
        <v>69</v>
      </c>
      <c r="I1567" t="s">
        <v>69</v>
      </c>
      <c r="J1567" t="s">
        <v>69</v>
      </c>
      <c r="K1567" t="s">
        <v>169</v>
      </c>
      <c r="L1567" t="s">
        <v>69</v>
      </c>
      <c r="M1567" t="s">
        <v>69</v>
      </c>
      <c r="N1567" t="s">
        <v>170</v>
      </c>
      <c r="O1567" t="s">
        <v>171</v>
      </c>
      <c r="P1567" t="s">
        <v>69</v>
      </c>
      <c r="Q1567" t="s">
        <v>69</v>
      </c>
      <c r="R1567" t="s">
        <v>12534</v>
      </c>
      <c r="S1567" t="s">
        <v>8506</v>
      </c>
      <c r="T1567" t="s">
        <v>69</v>
      </c>
      <c r="U1567" t="s">
        <v>69</v>
      </c>
      <c r="V1567" t="s">
        <v>69</v>
      </c>
      <c r="W1567" t="s">
        <v>69</v>
      </c>
      <c r="X1567" t="s">
        <v>69</v>
      </c>
      <c r="Y1567" t="s">
        <v>69</v>
      </c>
      <c r="Z1567" t="s">
        <v>69</v>
      </c>
      <c r="AA1567" t="s">
        <v>172</v>
      </c>
      <c r="AB1567" t="s">
        <v>29298</v>
      </c>
      <c r="AC1567" t="s">
        <v>69</v>
      </c>
      <c r="AD1567" t="s">
        <v>69</v>
      </c>
      <c r="AE1567" t="s">
        <v>69</v>
      </c>
      <c r="AF1567" t="s">
        <v>69</v>
      </c>
      <c r="AG1567" t="s">
        <v>69</v>
      </c>
      <c r="AH1567" t="s">
        <v>69</v>
      </c>
      <c r="AI1567" t="s">
        <v>69</v>
      </c>
      <c r="AJ1567" t="s">
        <v>69</v>
      </c>
      <c r="AK1567" t="s">
        <v>69</v>
      </c>
      <c r="AL1567">
        <v>6</v>
      </c>
      <c r="AM1567">
        <v>0</v>
      </c>
      <c r="AN1567">
        <v>0</v>
      </c>
      <c r="AO1567">
        <v>0</v>
      </c>
      <c r="AP1567">
        <v>3</v>
      </c>
      <c r="AQ1567" t="s">
        <v>21110</v>
      </c>
      <c r="AR1567" t="s">
        <v>26670</v>
      </c>
      <c r="AS1567" t="s">
        <v>26671</v>
      </c>
      <c r="AT1567" t="s">
        <v>173</v>
      </c>
      <c r="AU1567" t="s">
        <v>69</v>
      </c>
      <c r="AV1567" t="s">
        <v>69</v>
      </c>
      <c r="AW1567" t="s">
        <v>171</v>
      </c>
      <c r="AX1567" t="s">
        <v>29299</v>
      </c>
      <c r="AY1567" t="s">
        <v>94</v>
      </c>
      <c r="AZ1567">
        <v>2008</v>
      </c>
      <c r="BA1567">
        <v>77</v>
      </c>
      <c r="BB1567">
        <v>3</v>
      </c>
      <c r="BC1567" t="s">
        <v>69</v>
      </c>
      <c r="BD1567" t="s">
        <v>69</v>
      </c>
      <c r="BE1567" t="s">
        <v>69</v>
      </c>
      <c r="BF1567" t="s">
        <v>69</v>
      </c>
      <c r="BG1567">
        <v>133</v>
      </c>
      <c r="BH1567">
        <v>147</v>
      </c>
      <c r="BI1567" t="s">
        <v>69</v>
      </c>
      <c r="BJ1567" t="s">
        <v>174</v>
      </c>
      <c r="BK1567" t="str">
        <f>HYPERLINK("http://dx.doi.org/10.1002/stab.200810017","http://dx.doi.org/10.1002/stab.200810017")</f>
        <v>http://dx.doi.org/10.1002/stab.200810017</v>
      </c>
      <c r="BL1567" t="s">
        <v>69</v>
      </c>
      <c r="BM1567" t="s">
        <v>69</v>
      </c>
      <c r="BN1567">
        <v>15</v>
      </c>
      <c r="BO1567" t="s">
        <v>11242</v>
      </c>
      <c r="BP1567" t="s">
        <v>8548</v>
      </c>
      <c r="BQ1567" t="s">
        <v>8549</v>
      </c>
      <c r="BR1567" t="s">
        <v>29300</v>
      </c>
      <c r="BS1567" t="s">
        <v>175</v>
      </c>
      <c r="BT1567" t="s">
        <v>69</v>
      </c>
      <c r="BU1567" t="s">
        <v>69</v>
      </c>
      <c r="BV1567" t="s">
        <v>69</v>
      </c>
      <c r="BW1567" t="s">
        <v>69</v>
      </c>
      <c r="BX1567" t="s">
        <v>8526</v>
      </c>
      <c r="BY1567" t="str">
        <f>HYPERLINK("https%3A%2F%2Fwww.webofscience.com%2Fwos%2Fwoscc%2Ffull-record%2FWOS:000255402500001","View Full Record in Web of Science")</f>
        <v>View Full Record in Web of Science</v>
      </c>
    </row>
    <row r="1568" spans="1:77" ht="12.5" x14ac:dyDescent="0.25">
      <c r="A1568" t="s">
        <v>8495</v>
      </c>
      <c r="B1568" s="22" t="s">
        <v>32931</v>
      </c>
      <c r="C1568" s="7"/>
      <c r="D1568" s="7"/>
      <c r="E1568" s="7"/>
      <c r="F1568" t="s">
        <v>67</v>
      </c>
      <c r="G1568" t="s">
        <v>20720</v>
      </c>
      <c r="H1568" t="s">
        <v>69</v>
      </c>
      <c r="I1568" t="s">
        <v>69</v>
      </c>
      <c r="J1568" t="s">
        <v>69</v>
      </c>
      <c r="K1568" t="s">
        <v>20721</v>
      </c>
      <c r="L1568" t="s">
        <v>69</v>
      </c>
      <c r="M1568" t="s">
        <v>69</v>
      </c>
      <c r="N1568" t="s">
        <v>20722</v>
      </c>
      <c r="O1568" t="s">
        <v>19555</v>
      </c>
      <c r="P1568" t="s">
        <v>69</v>
      </c>
      <c r="Q1568" t="s">
        <v>69</v>
      </c>
      <c r="R1568" t="s">
        <v>8505</v>
      </c>
      <c r="S1568" t="s">
        <v>8506</v>
      </c>
      <c r="T1568" t="s">
        <v>69</v>
      </c>
      <c r="U1568" t="s">
        <v>69</v>
      </c>
      <c r="V1568" t="s">
        <v>69</v>
      </c>
      <c r="W1568" t="s">
        <v>69</v>
      </c>
      <c r="X1568" t="s">
        <v>69</v>
      </c>
      <c r="Y1568" t="s">
        <v>20723</v>
      </c>
      <c r="Z1568" t="s">
        <v>20724</v>
      </c>
      <c r="AA1568" t="s">
        <v>20725</v>
      </c>
      <c r="AB1568" t="s">
        <v>20726</v>
      </c>
      <c r="AC1568" t="s">
        <v>69</v>
      </c>
      <c r="AD1568" t="s">
        <v>20727</v>
      </c>
      <c r="AE1568" t="s">
        <v>20728</v>
      </c>
      <c r="AF1568" t="s">
        <v>69</v>
      </c>
      <c r="AG1568" t="s">
        <v>69</v>
      </c>
      <c r="AH1568" t="s">
        <v>69</v>
      </c>
      <c r="AI1568" t="s">
        <v>69</v>
      </c>
      <c r="AJ1568" t="s">
        <v>69</v>
      </c>
      <c r="AK1568" t="s">
        <v>69</v>
      </c>
      <c r="AL1568">
        <v>42</v>
      </c>
      <c r="AM1568">
        <v>1</v>
      </c>
      <c r="AN1568">
        <v>1</v>
      </c>
      <c r="AO1568">
        <v>0</v>
      </c>
      <c r="AP1568">
        <v>6</v>
      </c>
      <c r="AQ1568" t="s">
        <v>8586</v>
      </c>
      <c r="AR1568" t="s">
        <v>8587</v>
      </c>
      <c r="AS1568" t="s">
        <v>8588</v>
      </c>
      <c r="AT1568" t="s">
        <v>19564</v>
      </c>
      <c r="AU1568" t="s">
        <v>19565</v>
      </c>
      <c r="AV1568" t="s">
        <v>69</v>
      </c>
      <c r="AW1568" t="s">
        <v>19566</v>
      </c>
      <c r="AX1568" t="s">
        <v>19567</v>
      </c>
      <c r="AY1568" t="s">
        <v>69</v>
      </c>
      <c r="AZ1568">
        <v>2017</v>
      </c>
      <c r="BA1568">
        <v>40</v>
      </c>
      <c r="BB1568">
        <v>11</v>
      </c>
      <c r="BC1568" t="s">
        <v>69</v>
      </c>
      <c r="BD1568" t="s">
        <v>69</v>
      </c>
      <c r="BE1568" t="s">
        <v>69</v>
      </c>
      <c r="BF1568" t="s">
        <v>69</v>
      </c>
      <c r="BG1568">
        <v>1142</v>
      </c>
      <c r="BH1568">
        <v>1162</v>
      </c>
      <c r="BI1568" t="s">
        <v>69</v>
      </c>
      <c r="BJ1568" t="s">
        <v>20729</v>
      </c>
      <c r="BK1568" t="str">
        <f>HYPERLINK("http://dx.doi.org/10.1108/MRR-07-2016-0176","http://dx.doi.org/10.1108/MRR-07-2016-0176")</f>
        <v>http://dx.doi.org/10.1108/MRR-07-2016-0176</v>
      </c>
      <c r="BL1568" t="s">
        <v>69</v>
      </c>
      <c r="BM1568" t="s">
        <v>69</v>
      </c>
      <c r="BN1568">
        <v>21</v>
      </c>
      <c r="BO1568" t="s">
        <v>9410</v>
      </c>
      <c r="BP1568" t="s">
        <v>8573</v>
      </c>
      <c r="BQ1568" t="s">
        <v>8594</v>
      </c>
      <c r="BR1568" t="s">
        <v>20730</v>
      </c>
      <c r="BS1568" t="s">
        <v>20731</v>
      </c>
      <c r="BT1568" t="s">
        <v>69</v>
      </c>
      <c r="BU1568" t="s">
        <v>10995</v>
      </c>
      <c r="BV1568" t="s">
        <v>69</v>
      </c>
      <c r="BW1568" t="s">
        <v>69</v>
      </c>
      <c r="BX1568" t="s">
        <v>8526</v>
      </c>
      <c r="BY1568" t="str">
        <f>HYPERLINK("https%3A%2F%2Fwww.webofscience.com%2Fwos%2Fwoscc%2Ffull-record%2FWOS:000416322800001","View Full Record in Web of Science")</f>
        <v>View Full Record in Web of Science</v>
      </c>
    </row>
    <row r="1569" spans="1:77" ht="12.5" x14ac:dyDescent="0.25">
      <c r="A1569" t="s">
        <v>8495</v>
      </c>
      <c r="B1569" s="7" t="s">
        <v>32933</v>
      </c>
      <c r="C1569" s="7"/>
      <c r="D1569" s="7"/>
      <c r="E1569" s="7"/>
      <c r="F1569" t="s">
        <v>67</v>
      </c>
      <c r="G1569" t="s">
        <v>1790</v>
      </c>
      <c r="H1569" t="s">
        <v>69</v>
      </c>
      <c r="I1569" t="s">
        <v>69</v>
      </c>
      <c r="J1569" t="s">
        <v>69</v>
      </c>
      <c r="K1569" t="s">
        <v>1790</v>
      </c>
      <c r="L1569" t="s">
        <v>69</v>
      </c>
      <c r="M1569" t="s">
        <v>69</v>
      </c>
      <c r="N1569" t="s">
        <v>1791</v>
      </c>
      <c r="O1569" t="s">
        <v>1792</v>
      </c>
      <c r="P1569" t="s">
        <v>69</v>
      </c>
      <c r="Q1569" t="s">
        <v>69</v>
      </c>
      <c r="R1569" t="s">
        <v>8505</v>
      </c>
      <c r="S1569" t="s">
        <v>8442</v>
      </c>
      <c r="T1569" t="s">
        <v>69</v>
      </c>
      <c r="U1569" t="s">
        <v>69</v>
      </c>
      <c r="V1569" t="s">
        <v>69</v>
      </c>
      <c r="W1569" t="s">
        <v>69</v>
      </c>
      <c r="X1569" t="s">
        <v>69</v>
      </c>
      <c r="Y1569" t="s">
        <v>32562</v>
      </c>
      <c r="Z1569" t="s">
        <v>32563</v>
      </c>
      <c r="AA1569" t="s">
        <v>1793</v>
      </c>
      <c r="AB1569" t="s">
        <v>69</v>
      </c>
      <c r="AC1569" t="s">
        <v>69</v>
      </c>
      <c r="AD1569" t="s">
        <v>32564</v>
      </c>
      <c r="AE1569" t="s">
        <v>69</v>
      </c>
      <c r="AF1569" t="s">
        <v>69</v>
      </c>
      <c r="AG1569" t="s">
        <v>69</v>
      </c>
      <c r="AH1569" t="s">
        <v>69</v>
      </c>
      <c r="AI1569" t="s">
        <v>69</v>
      </c>
      <c r="AJ1569" t="s">
        <v>69</v>
      </c>
      <c r="AK1569" t="s">
        <v>69</v>
      </c>
      <c r="AL1569">
        <v>181</v>
      </c>
      <c r="AM1569">
        <v>63</v>
      </c>
      <c r="AN1569">
        <v>65</v>
      </c>
      <c r="AO1569">
        <v>2</v>
      </c>
      <c r="AP1569">
        <v>42</v>
      </c>
      <c r="AQ1569" t="s">
        <v>32565</v>
      </c>
      <c r="AR1569" t="s">
        <v>32566</v>
      </c>
      <c r="AS1569" t="s">
        <v>32567</v>
      </c>
      <c r="AT1569" t="s">
        <v>1794</v>
      </c>
      <c r="AU1569" t="s">
        <v>69</v>
      </c>
      <c r="AV1569" t="s">
        <v>69</v>
      </c>
      <c r="AW1569" t="s">
        <v>32568</v>
      </c>
      <c r="AX1569" t="s">
        <v>32569</v>
      </c>
      <c r="AY1569" t="s">
        <v>619</v>
      </c>
      <c r="AZ1569">
        <v>1995</v>
      </c>
      <c r="BA1569">
        <v>6</v>
      </c>
      <c r="BB1569">
        <v>6</v>
      </c>
      <c r="BC1569" t="s">
        <v>69</v>
      </c>
      <c r="BD1569" t="s">
        <v>69</v>
      </c>
      <c r="BE1569" t="s">
        <v>69</v>
      </c>
      <c r="BF1569" t="s">
        <v>69</v>
      </c>
      <c r="BG1569">
        <v>603</v>
      </c>
      <c r="BH1569">
        <v>627</v>
      </c>
      <c r="BI1569" t="s">
        <v>69</v>
      </c>
      <c r="BJ1569" t="s">
        <v>1795</v>
      </c>
      <c r="BK1569" t="str">
        <f>HYPERLINK("http://dx.doi.org/10.1287/orsc.6.6.603","http://dx.doi.org/10.1287/orsc.6.6.603")</f>
        <v>http://dx.doi.org/10.1287/orsc.6.6.603</v>
      </c>
      <c r="BL1569" t="s">
        <v>69</v>
      </c>
      <c r="BM1569" t="s">
        <v>69</v>
      </c>
      <c r="BN1569">
        <v>25</v>
      </c>
      <c r="BO1569" t="s">
        <v>9410</v>
      </c>
      <c r="BP1569" t="s">
        <v>8661</v>
      </c>
      <c r="BQ1569" t="s">
        <v>8594</v>
      </c>
      <c r="BR1569" t="s">
        <v>32570</v>
      </c>
      <c r="BS1569" t="s">
        <v>1796</v>
      </c>
      <c r="BT1569" t="s">
        <v>69</v>
      </c>
      <c r="BU1569" t="s">
        <v>69</v>
      </c>
      <c r="BV1569" t="s">
        <v>69</v>
      </c>
      <c r="BW1569" t="s">
        <v>69</v>
      </c>
      <c r="BX1569" t="s">
        <v>8526</v>
      </c>
      <c r="BY1569" t="str">
        <f>HYPERLINK("https%3A%2F%2Fwww.webofscience.com%2Fwos%2Fwoscc%2Ffull-record%2FWOS:A1995TR17700001","View Full Record in Web of Science")</f>
        <v>View Full Record in Web of Science</v>
      </c>
    </row>
    <row r="1570" spans="1:77" ht="12.5" x14ac:dyDescent="0.25">
      <c r="A1570" t="s">
        <v>8495</v>
      </c>
      <c r="B1570" s="7" t="s">
        <v>32933</v>
      </c>
      <c r="C1570" s="7"/>
      <c r="D1570" s="7"/>
      <c r="E1570" s="7"/>
      <c r="F1570" t="s">
        <v>67</v>
      </c>
      <c r="G1570" t="s">
        <v>3408</v>
      </c>
      <c r="H1570" t="s">
        <v>69</v>
      </c>
      <c r="I1570" t="s">
        <v>69</v>
      </c>
      <c r="J1570" t="s">
        <v>69</v>
      </c>
      <c r="K1570" t="s">
        <v>3409</v>
      </c>
      <c r="L1570" t="s">
        <v>69</v>
      </c>
      <c r="M1570" t="s">
        <v>69</v>
      </c>
      <c r="N1570" t="s">
        <v>3410</v>
      </c>
      <c r="O1570" t="s">
        <v>3411</v>
      </c>
      <c r="P1570" t="s">
        <v>69</v>
      </c>
      <c r="Q1570" t="s">
        <v>69</v>
      </c>
      <c r="R1570" t="s">
        <v>8505</v>
      </c>
      <c r="S1570" t="s">
        <v>8506</v>
      </c>
      <c r="T1570" t="s">
        <v>69</v>
      </c>
      <c r="U1570" t="s">
        <v>69</v>
      </c>
      <c r="V1570" t="s">
        <v>69</v>
      </c>
      <c r="W1570" t="s">
        <v>69</v>
      </c>
      <c r="X1570" t="s">
        <v>69</v>
      </c>
      <c r="Y1570" t="s">
        <v>26349</v>
      </c>
      <c r="Z1570" t="s">
        <v>26350</v>
      </c>
      <c r="AA1570" t="s">
        <v>3412</v>
      </c>
      <c r="AB1570" t="s">
        <v>26351</v>
      </c>
      <c r="AC1570" t="s">
        <v>69</v>
      </c>
      <c r="AD1570" t="s">
        <v>26352</v>
      </c>
      <c r="AE1570" t="s">
        <v>26353</v>
      </c>
      <c r="AF1570" t="s">
        <v>3413</v>
      </c>
      <c r="AG1570" t="s">
        <v>3414</v>
      </c>
      <c r="AH1570" t="s">
        <v>69</v>
      </c>
      <c r="AI1570" t="s">
        <v>69</v>
      </c>
      <c r="AJ1570" t="s">
        <v>69</v>
      </c>
      <c r="AK1570" t="s">
        <v>69</v>
      </c>
      <c r="AL1570">
        <v>47</v>
      </c>
      <c r="AM1570">
        <v>7</v>
      </c>
      <c r="AN1570">
        <v>7</v>
      </c>
      <c r="AO1570">
        <v>2</v>
      </c>
      <c r="AP1570">
        <v>7</v>
      </c>
      <c r="AQ1570" t="s">
        <v>26354</v>
      </c>
      <c r="AR1570" t="s">
        <v>26355</v>
      </c>
      <c r="AS1570" t="s">
        <v>26356</v>
      </c>
      <c r="AT1570" t="s">
        <v>3415</v>
      </c>
      <c r="AU1570" t="s">
        <v>3416</v>
      </c>
      <c r="AV1570" t="s">
        <v>69</v>
      </c>
      <c r="AW1570" t="s">
        <v>26357</v>
      </c>
      <c r="AX1570" t="s">
        <v>26358</v>
      </c>
      <c r="AY1570" t="s">
        <v>373</v>
      </c>
      <c r="AZ1570">
        <v>2012</v>
      </c>
      <c r="BA1570">
        <v>10</v>
      </c>
      <c r="BB1570">
        <v>1</v>
      </c>
      <c r="BC1570">
        <v>2</v>
      </c>
      <c r="BD1570" t="s">
        <v>69</v>
      </c>
      <c r="BE1570" t="s">
        <v>69</v>
      </c>
      <c r="BF1570" t="s">
        <v>69</v>
      </c>
      <c r="BG1570">
        <v>1031</v>
      </c>
      <c r="BH1570">
        <v>1038</v>
      </c>
      <c r="BI1570" t="s">
        <v>69</v>
      </c>
      <c r="BJ1570" t="s">
        <v>69</v>
      </c>
      <c r="BK1570" t="s">
        <v>69</v>
      </c>
      <c r="BL1570" t="s">
        <v>69</v>
      </c>
      <c r="BM1570" t="s">
        <v>69</v>
      </c>
      <c r="BN1570">
        <v>8</v>
      </c>
      <c r="BO1570" t="s">
        <v>17221</v>
      </c>
      <c r="BP1570" t="s">
        <v>8548</v>
      </c>
      <c r="BQ1570" t="s">
        <v>17221</v>
      </c>
      <c r="BR1570" t="s">
        <v>26359</v>
      </c>
      <c r="BS1570" t="s">
        <v>3417</v>
      </c>
      <c r="BT1570" t="s">
        <v>69</v>
      </c>
      <c r="BU1570" t="s">
        <v>69</v>
      </c>
      <c r="BV1570" t="s">
        <v>69</v>
      </c>
      <c r="BW1570" t="s">
        <v>69</v>
      </c>
      <c r="BX1570" t="s">
        <v>8526</v>
      </c>
      <c r="BY1570" t="str">
        <f>HYPERLINK("https%3A%2F%2Fwww.webofscience.com%2Fwos%2Fwoscc%2Ffull-record%2FWOS:000300924300085","View Full Record in Web of Science")</f>
        <v>View Full Record in Web of Science</v>
      </c>
    </row>
    <row r="1571" spans="1:77" ht="12.5" x14ac:dyDescent="0.25">
      <c r="A1571" t="s">
        <v>8495</v>
      </c>
      <c r="B1571" s="7" t="s">
        <v>32933</v>
      </c>
      <c r="C1571" s="7"/>
      <c r="D1571" s="7"/>
      <c r="E1571" s="7"/>
      <c r="F1571" t="s">
        <v>67</v>
      </c>
      <c r="G1571" t="s">
        <v>5380</v>
      </c>
      <c r="H1571" t="s">
        <v>69</v>
      </c>
      <c r="I1571" t="s">
        <v>69</v>
      </c>
      <c r="J1571" t="s">
        <v>69</v>
      </c>
      <c r="K1571" t="s">
        <v>5381</v>
      </c>
      <c r="L1571" t="s">
        <v>69</v>
      </c>
      <c r="M1571" t="s">
        <v>69</v>
      </c>
      <c r="N1571" t="s">
        <v>5382</v>
      </c>
      <c r="O1571" t="s">
        <v>5383</v>
      </c>
      <c r="P1571" t="s">
        <v>69</v>
      </c>
      <c r="Q1571" t="s">
        <v>69</v>
      </c>
      <c r="R1571" t="s">
        <v>12534</v>
      </c>
      <c r="S1571" t="s">
        <v>8506</v>
      </c>
      <c r="T1571" t="s">
        <v>69</v>
      </c>
      <c r="U1571" t="s">
        <v>69</v>
      </c>
      <c r="V1571" t="s">
        <v>69</v>
      </c>
      <c r="W1571" t="s">
        <v>69</v>
      </c>
      <c r="X1571" t="s">
        <v>69</v>
      </c>
      <c r="Y1571" t="s">
        <v>69</v>
      </c>
      <c r="Z1571" t="s">
        <v>27166</v>
      </c>
      <c r="AA1571" t="s">
        <v>5384</v>
      </c>
      <c r="AB1571" t="s">
        <v>27167</v>
      </c>
      <c r="AC1571" t="s">
        <v>69</v>
      </c>
      <c r="AD1571" t="s">
        <v>27168</v>
      </c>
      <c r="AE1571" t="s">
        <v>69</v>
      </c>
      <c r="AF1571" t="s">
        <v>69</v>
      </c>
      <c r="AG1571" t="s">
        <v>5385</v>
      </c>
      <c r="AH1571" t="s">
        <v>69</v>
      </c>
      <c r="AI1571" t="s">
        <v>69</v>
      </c>
      <c r="AJ1571" t="s">
        <v>69</v>
      </c>
      <c r="AK1571" t="s">
        <v>69</v>
      </c>
      <c r="AL1571">
        <v>23</v>
      </c>
      <c r="AM1571">
        <v>0</v>
      </c>
      <c r="AN1571">
        <v>0</v>
      </c>
      <c r="AO1571">
        <v>0</v>
      </c>
      <c r="AP1571">
        <v>4</v>
      </c>
      <c r="AQ1571" t="s">
        <v>27169</v>
      </c>
      <c r="AR1571" t="s">
        <v>11361</v>
      </c>
      <c r="AS1571" t="s">
        <v>27170</v>
      </c>
      <c r="AT1571" t="s">
        <v>5386</v>
      </c>
      <c r="AU1571" t="s">
        <v>5387</v>
      </c>
      <c r="AV1571" t="s">
        <v>69</v>
      </c>
      <c r="AW1571" t="s">
        <v>5383</v>
      </c>
      <c r="AX1571" t="s">
        <v>27171</v>
      </c>
      <c r="AY1571" t="s">
        <v>2031</v>
      </c>
      <c r="AZ1571">
        <v>2011</v>
      </c>
      <c r="BA1571">
        <v>61</v>
      </c>
      <c r="BB1571" t="s">
        <v>4267</v>
      </c>
      <c r="BC1571" t="s">
        <v>69</v>
      </c>
      <c r="BD1571" t="s">
        <v>69</v>
      </c>
      <c r="BE1571" t="s">
        <v>69</v>
      </c>
      <c r="BF1571" t="s">
        <v>69</v>
      </c>
      <c r="BG1571">
        <v>301</v>
      </c>
      <c r="BH1571" t="s">
        <v>219</v>
      </c>
      <c r="BI1571" t="s">
        <v>69</v>
      </c>
      <c r="BJ1571" t="s">
        <v>69</v>
      </c>
      <c r="BK1571" t="s">
        <v>69</v>
      </c>
      <c r="BL1571" t="s">
        <v>69</v>
      </c>
      <c r="BM1571" t="s">
        <v>69</v>
      </c>
      <c r="BN1571">
        <v>10</v>
      </c>
      <c r="BO1571" t="s">
        <v>13241</v>
      </c>
      <c r="BP1571" t="s">
        <v>8661</v>
      </c>
      <c r="BQ1571" t="s">
        <v>10084</v>
      </c>
      <c r="BR1571" t="s">
        <v>27172</v>
      </c>
      <c r="BS1571" t="s">
        <v>5388</v>
      </c>
      <c r="BT1571" t="s">
        <v>69</v>
      </c>
      <c r="BU1571" t="s">
        <v>69</v>
      </c>
      <c r="BV1571" t="s">
        <v>69</v>
      </c>
      <c r="BW1571" t="s">
        <v>69</v>
      </c>
      <c r="BX1571" t="s">
        <v>8526</v>
      </c>
      <c r="BY1571" t="str">
        <f>HYPERLINK("https%3A%2F%2Fwww.webofscience.com%2Fwos%2Fwoscc%2Ffull-record%2FWOS:000209059600022","View Full Record in Web of Science")</f>
        <v>View Full Record in Web of Science</v>
      </c>
    </row>
    <row r="1572" spans="1:77" ht="12.5" x14ac:dyDescent="0.25">
      <c r="A1572" t="s">
        <v>8495</v>
      </c>
      <c r="B1572" s="22" t="s">
        <v>32931</v>
      </c>
      <c r="C1572" s="7"/>
      <c r="D1572" s="7"/>
      <c r="E1572" s="7"/>
      <c r="F1572" t="s">
        <v>67</v>
      </c>
      <c r="G1572" t="s">
        <v>12801</v>
      </c>
      <c r="H1572" t="s">
        <v>69</v>
      </c>
      <c r="I1572" t="s">
        <v>69</v>
      </c>
      <c r="J1572" t="s">
        <v>69</v>
      </c>
      <c r="K1572" t="s">
        <v>12802</v>
      </c>
      <c r="L1572" t="s">
        <v>69</v>
      </c>
      <c r="M1572" t="s">
        <v>69</v>
      </c>
      <c r="N1572" t="s">
        <v>12803</v>
      </c>
      <c r="O1572" t="s">
        <v>715</v>
      </c>
      <c r="P1572" t="s">
        <v>69</v>
      </c>
      <c r="Q1572" t="s">
        <v>69</v>
      </c>
      <c r="R1572" t="s">
        <v>8505</v>
      </c>
      <c r="S1572" t="s">
        <v>8506</v>
      </c>
      <c r="T1572" t="s">
        <v>69</v>
      </c>
      <c r="U1572" t="s">
        <v>69</v>
      </c>
      <c r="V1572" t="s">
        <v>69</v>
      </c>
      <c r="W1572" t="s">
        <v>69</v>
      </c>
      <c r="X1572" t="s">
        <v>69</v>
      </c>
      <c r="Y1572" t="s">
        <v>12804</v>
      </c>
      <c r="Z1572" t="s">
        <v>12805</v>
      </c>
      <c r="AA1572" t="s">
        <v>12806</v>
      </c>
      <c r="AB1572" t="s">
        <v>12807</v>
      </c>
      <c r="AC1572" t="s">
        <v>69</v>
      </c>
      <c r="AD1572" t="s">
        <v>12808</v>
      </c>
      <c r="AE1572" t="s">
        <v>12809</v>
      </c>
      <c r="AF1572" t="s">
        <v>12810</v>
      </c>
      <c r="AG1572" t="s">
        <v>12811</v>
      </c>
      <c r="AH1572" t="s">
        <v>12812</v>
      </c>
      <c r="AI1572" t="s">
        <v>11597</v>
      </c>
      <c r="AJ1572" t="s">
        <v>12813</v>
      </c>
      <c r="AK1572" t="s">
        <v>69</v>
      </c>
      <c r="AL1572">
        <v>88</v>
      </c>
      <c r="AM1572">
        <v>1</v>
      </c>
      <c r="AN1572">
        <v>1</v>
      </c>
      <c r="AO1572">
        <v>2</v>
      </c>
      <c r="AP1572">
        <v>9</v>
      </c>
      <c r="AQ1572" t="s">
        <v>8846</v>
      </c>
      <c r="AR1572" t="s">
        <v>8847</v>
      </c>
      <c r="AS1572" t="s">
        <v>8848</v>
      </c>
      <c r="AT1572" t="s">
        <v>719</v>
      </c>
      <c r="AU1572" t="s">
        <v>720</v>
      </c>
      <c r="AV1572" t="s">
        <v>69</v>
      </c>
      <c r="AW1572" t="s">
        <v>9110</v>
      </c>
      <c r="AX1572" t="s">
        <v>9111</v>
      </c>
      <c r="AY1572" t="s">
        <v>586</v>
      </c>
      <c r="AZ1572">
        <v>2021</v>
      </c>
      <c r="BA1572">
        <v>30</v>
      </c>
      <c r="BB1572">
        <v>4</v>
      </c>
      <c r="BC1572" t="s">
        <v>69</v>
      </c>
      <c r="BD1572" t="s">
        <v>69</v>
      </c>
      <c r="BE1572" t="s">
        <v>69</v>
      </c>
      <c r="BF1572" t="s">
        <v>69</v>
      </c>
      <c r="BG1572">
        <v>1623</v>
      </c>
      <c r="BH1572">
        <v>1643</v>
      </c>
      <c r="BI1572" t="s">
        <v>69</v>
      </c>
      <c r="BJ1572" t="s">
        <v>12814</v>
      </c>
      <c r="BK1572" t="str">
        <f>HYPERLINK("http://dx.doi.org/10.1002/bse.2698","http://dx.doi.org/10.1002/bse.2698")</f>
        <v>http://dx.doi.org/10.1002/bse.2698</v>
      </c>
      <c r="BL1572" t="s">
        <v>69</v>
      </c>
      <c r="BM1572" t="s">
        <v>12704</v>
      </c>
      <c r="BN1572">
        <v>21</v>
      </c>
      <c r="BO1572" t="s">
        <v>9113</v>
      </c>
      <c r="BP1572" t="s">
        <v>8661</v>
      </c>
      <c r="BQ1572" t="s">
        <v>9114</v>
      </c>
      <c r="BR1572" t="s">
        <v>12815</v>
      </c>
      <c r="BS1572" t="s">
        <v>12816</v>
      </c>
      <c r="BT1572" t="s">
        <v>69</v>
      </c>
      <c r="BU1572" t="s">
        <v>8746</v>
      </c>
      <c r="BV1572" t="s">
        <v>69</v>
      </c>
      <c r="BW1572" t="s">
        <v>69</v>
      </c>
      <c r="BX1572" t="s">
        <v>8526</v>
      </c>
      <c r="BY1572" t="str">
        <f>HYPERLINK("https%3A%2F%2Fwww.webofscience.com%2Fwos%2Fwoscc%2Ffull-record%2FWOS:000626845700001","View Full Record in Web of Science")</f>
        <v>View Full Record in Web of Science</v>
      </c>
    </row>
    <row r="1573" spans="1:77" ht="12.5" x14ac:dyDescent="0.25">
      <c r="A1573" t="s">
        <v>8495</v>
      </c>
      <c r="B1573" s="22" t="s">
        <v>32931</v>
      </c>
      <c r="C1573" s="7"/>
      <c r="D1573" s="7"/>
      <c r="E1573" s="7"/>
      <c r="F1573" t="s">
        <v>67</v>
      </c>
      <c r="G1573" t="s">
        <v>22360</v>
      </c>
      <c r="H1573" t="s">
        <v>69</v>
      </c>
      <c r="I1573" t="s">
        <v>69</v>
      </c>
      <c r="J1573" t="s">
        <v>69</v>
      </c>
      <c r="K1573" t="s">
        <v>22361</v>
      </c>
      <c r="L1573" t="s">
        <v>69</v>
      </c>
      <c r="M1573" t="s">
        <v>69</v>
      </c>
      <c r="N1573" t="s">
        <v>22362</v>
      </c>
      <c r="O1573" t="s">
        <v>22363</v>
      </c>
      <c r="P1573" t="s">
        <v>69</v>
      </c>
      <c r="Q1573" t="s">
        <v>69</v>
      </c>
      <c r="R1573" t="s">
        <v>8505</v>
      </c>
      <c r="S1573" t="s">
        <v>8506</v>
      </c>
      <c r="T1573" t="s">
        <v>69</v>
      </c>
      <c r="U1573" t="s">
        <v>69</v>
      </c>
      <c r="V1573" t="s">
        <v>69</v>
      </c>
      <c r="W1573" t="s">
        <v>69</v>
      </c>
      <c r="X1573" t="s">
        <v>69</v>
      </c>
      <c r="Y1573" t="s">
        <v>22364</v>
      </c>
      <c r="Z1573" t="s">
        <v>16652</v>
      </c>
      <c r="AA1573" t="s">
        <v>22365</v>
      </c>
      <c r="AB1573" t="s">
        <v>22366</v>
      </c>
      <c r="AC1573" t="s">
        <v>69</v>
      </c>
      <c r="AD1573" t="s">
        <v>22367</v>
      </c>
      <c r="AE1573" t="s">
        <v>22368</v>
      </c>
      <c r="AF1573" t="s">
        <v>22369</v>
      </c>
      <c r="AG1573" t="s">
        <v>22370</v>
      </c>
      <c r="AH1573" t="s">
        <v>22371</v>
      </c>
      <c r="AI1573" t="s">
        <v>22372</v>
      </c>
      <c r="AJ1573" t="s">
        <v>22373</v>
      </c>
      <c r="AK1573" t="s">
        <v>69</v>
      </c>
      <c r="AL1573">
        <v>38</v>
      </c>
      <c r="AM1573">
        <v>4</v>
      </c>
      <c r="AN1573">
        <v>4</v>
      </c>
      <c r="AO1573">
        <v>0</v>
      </c>
      <c r="AP1573">
        <v>4</v>
      </c>
      <c r="AQ1573" t="s">
        <v>16416</v>
      </c>
      <c r="AR1573" t="s">
        <v>16417</v>
      </c>
      <c r="AS1573" t="s">
        <v>16418</v>
      </c>
      <c r="AT1573" t="s">
        <v>22374</v>
      </c>
      <c r="AU1573" t="s">
        <v>22375</v>
      </c>
      <c r="AV1573" t="s">
        <v>69</v>
      </c>
      <c r="AW1573" t="s">
        <v>22376</v>
      </c>
      <c r="AX1573" t="s">
        <v>22377</v>
      </c>
      <c r="AY1573" t="s">
        <v>274</v>
      </c>
      <c r="AZ1573">
        <v>2015</v>
      </c>
      <c r="BA1573">
        <v>17</v>
      </c>
      <c r="BB1573">
        <v>4</v>
      </c>
      <c r="BC1573" t="s">
        <v>69</v>
      </c>
      <c r="BD1573" t="s">
        <v>69</v>
      </c>
      <c r="BE1573" t="s">
        <v>69</v>
      </c>
      <c r="BF1573" t="s">
        <v>69</v>
      </c>
      <c r="BG1573">
        <v>270</v>
      </c>
      <c r="BH1573">
        <v>290</v>
      </c>
      <c r="BI1573" t="s">
        <v>69</v>
      </c>
      <c r="BJ1573" t="s">
        <v>22378</v>
      </c>
      <c r="BK1573" t="str">
        <f>HYPERLINK("http://dx.doi.org/10.1057/cpcs.2015.16","http://dx.doi.org/10.1057/cpcs.2015.16")</f>
        <v>http://dx.doi.org/10.1057/cpcs.2015.16</v>
      </c>
      <c r="BL1573" t="s">
        <v>69</v>
      </c>
      <c r="BM1573" t="s">
        <v>69</v>
      </c>
      <c r="BN1573">
        <v>21</v>
      </c>
      <c r="BO1573" t="s">
        <v>19122</v>
      </c>
      <c r="BP1573" t="s">
        <v>8573</v>
      </c>
      <c r="BQ1573" t="s">
        <v>19122</v>
      </c>
      <c r="BR1573" t="s">
        <v>22379</v>
      </c>
      <c r="BS1573" t="s">
        <v>22380</v>
      </c>
      <c r="BT1573" t="s">
        <v>69</v>
      </c>
      <c r="BU1573" t="s">
        <v>69</v>
      </c>
      <c r="BV1573" t="s">
        <v>69</v>
      </c>
      <c r="BW1573" t="s">
        <v>69</v>
      </c>
      <c r="BX1573" t="s">
        <v>8526</v>
      </c>
      <c r="BY1573" t="str">
        <f>HYPERLINK("https%3A%2F%2Fwww.webofscience.com%2Fwos%2Fwoscc%2Ffull-record%2FWOS:000409610900004","View Full Record in Web of Science")</f>
        <v>View Full Record in Web of Science</v>
      </c>
    </row>
    <row r="1574" spans="1:77" x14ac:dyDescent="0.3">
      <c r="A1574" t="s">
        <v>8495</v>
      </c>
      <c r="B1574" s="9" t="s">
        <v>32954</v>
      </c>
      <c r="D1574" s="9" t="s">
        <v>8491</v>
      </c>
      <c r="E1574" s="9" t="s">
        <v>8490</v>
      </c>
      <c r="F1574" t="s">
        <v>67</v>
      </c>
      <c r="G1574" t="s">
        <v>16821</v>
      </c>
      <c r="H1574" t="s">
        <v>69</v>
      </c>
      <c r="I1574" t="s">
        <v>69</v>
      </c>
      <c r="J1574" t="s">
        <v>69</v>
      </c>
      <c r="K1574" t="s">
        <v>16822</v>
      </c>
      <c r="L1574" t="s">
        <v>69</v>
      </c>
      <c r="M1574" t="s">
        <v>69</v>
      </c>
      <c r="N1574" t="s">
        <v>16823</v>
      </c>
      <c r="O1574" t="s">
        <v>582</v>
      </c>
      <c r="P1574" t="s">
        <v>69</v>
      </c>
      <c r="Q1574" t="s">
        <v>69</v>
      </c>
      <c r="R1574" t="s">
        <v>8505</v>
      </c>
      <c r="S1574" t="s">
        <v>8506</v>
      </c>
      <c r="T1574" t="s">
        <v>69</v>
      </c>
      <c r="U1574" t="s">
        <v>69</v>
      </c>
      <c r="V1574" t="s">
        <v>69</v>
      </c>
      <c r="W1574" t="s">
        <v>69</v>
      </c>
      <c r="X1574" t="s">
        <v>69</v>
      </c>
      <c r="Y1574" t="s">
        <v>16824</v>
      </c>
      <c r="Z1574" t="s">
        <v>16825</v>
      </c>
      <c r="AA1574" t="s">
        <v>16826</v>
      </c>
      <c r="AB1574" t="s">
        <v>16827</v>
      </c>
      <c r="AC1574" t="s">
        <v>69</v>
      </c>
      <c r="AD1574" t="s">
        <v>16828</v>
      </c>
      <c r="AE1574" t="s">
        <v>16829</v>
      </c>
      <c r="AF1574" t="s">
        <v>69</v>
      </c>
      <c r="AG1574" t="s">
        <v>69</v>
      </c>
      <c r="AH1574" t="s">
        <v>16830</v>
      </c>
      <c r="AI1574" t="s">
        <v>16830</v>
      </c>
      <c r="AJ1574" t="s">
        <v>16831</v>
      </c>
      <c r="AK1574" t="s">
        <v>69</v>
      </c>
      <c r="AL1574">
        <v>67</v>
      </c>
      <c r="AM1574">
        <v>1</v>
      </c>
      <c r="AN1574">
        <v>1</v>
      </c>
      <c r="AO1574">
        <v>0</v>
      </c>
      <c r="AP1574">
        <v>9</v>
      </c>
      <c r="AQ1574" t="s">
        <v>8692</v>
      </c>
      <c r="AR1574" t="s">
        <v>8693</v>
      </c>
      <c r="AS1574" t="s">
        <v>8694</v>
      </c>
      <c r="AT1574" t="s">
        <v>584</v>
      </c>
      <c r="AU1574" t="s">
        <v>585</v>
      </c>
      <c r="AV1574" t="s">
        <v>69</v>
      </c>
      <c r="AW1574" t="s">
        <v>8695</v>
      </c>
      <c r="AX1574" t="s">
        <v>8696</v>
      </c>
      <c r="AY1574" t="s">
        <v>255</v>
      </c>
      <c r="AZ1574">
        <v>2019</v>
      </c>
      <c r="BA1574">
        <v>78</v>
      </c>
      <c r="BB1574" t="s">
        <v>69</v>
      </c>
      <c r="BC1574" t="s">
        <v>69</v>
      </c>
      <c r="BD1574" t="s">
        <v>69</v>
      </c>
      <c r="BE1574" t="s">
        <v>69</v>
      </c>
      <c r="BF1574" t="s">
        <v>69</v>
      </c>
      <c r="BG1574" t="s">
        <v>69</v>
      </c>
      <c r="BH1574" t="s">
        <v>69</v>
      </c>
      <c r="BI1574">
        <v>106280</v>
      </c>
      <c r="BJ1574" t="s">
        <v>16832</v>
      </c>
      <c r="BK1574" t="str">
        <f>HYPERLINK("http://dx.doi.org/10.1016/j.eiar.2019.106280","http://dx.doi.org/10.1016/j.eiar.2019.106280")</f>
        <v>http://dx.doi.org/10.1016/j.eiar.2019.106280</v>
      </c>
      <c r="BL1574" t="s">
        <v>69</v>
      </c>
      <c r="BM1574" t="s">
        <v>69</v>
      </c>
      <c r="BN1574">
        <v>11</v>
      </c>
      <c r="BO1574" t="s">
        <v>8660</v>
      </c>
      <c r="BP1574" t="s">
        <v>8661</v>
      </c>
      <c r="BQ1574" t="s">
        <v>8662</v>
      </c>
      <c r="BR1574" t="s">
        <v>16833</v>
      </c>
      <c r="BS1574" t="s">
        <v>16834</v>
      </c>
      <c r="BT1574" t="s">
        <v>69</v>
      </c>
      <c r="BU1574" t="s">
        <v>69</v>
      </c>
      <c r="BV1574" t="s">
        <v>69</v>
      </c>
      <c r="BW1574" t="s">
        <v>69</v>
      </c>
      <c r="BX1574" t="s">
        <v>8526</v>
      </c>
      <c r="BY1574" t="str">
        <f>HYPERLINK("https%3A%2F%2Fwww.webofscience.com%2Fwos%2Fwoscc%2Ffull-record%2FWOS:000482513300002","View Full Record in Web of Science")</f>
        <v>View Full Record in Web of Science</v>
      </c>
    </row>
    <row r="1575" spans="1:77" ht="12.5" x14ac:dyDescent="0.25">
      <c r="A1575" t="s">
        <v>8495</v>
      </c>
      <c r="B1575" s="7" t="s">
        <v>32933</v>
      </c>
      <c r="C1575" s="7"/>
      <c r="D1575" s="7"/>
      <c r="E1575" s="7"/>
      <c r="F1575" t="s">
        <v>67</v>
      </c>
      <c r="G1575" t="s">
        <v>1290</v>
      </c>
      <c r="H1575" t="s">
        <v>69</v>
      </c>
      <c r="I1575" t="s">
        <v>69</v>
      </c>
      <c r="J1575" t="s">
        <v>69</v>
      </c>
      <c r="K1575" t="s">
        <v>1291</v>
      </c>
      <c r="L1575" t="s">
        <v>69</v>
      </c>
      <c r="M1575" t="s">
        <v>69</v>
      </c>
      <c r="N1575" t="s">
        <v>1292</v>
      </c>
      <c r="O1575" t="s">
        <v>1293</v>
      </c>
      <c r="P1575" t="s">
        <v>69</v>
      </c>
      <c r="Q1575" t="s">
        <v>69</v>
      </c>
      <c r="R1575" t="s">
        <v>8505</v>
      </c>
      <c r="S1575" t="s">
        <v>8506</v>
      </c>
      <c r="T1575" t="s">
        <v>69</v>
      </c>
      <c r="U1575" t="s">
        <v>69</v>
      </c>
      <c r="V1575" t="s">
        <v>69</v>
      </c>
      <c r="W1575" t="s">
        <v>69</v>
      </c>
      <c r="X1575" t="s">
        <v>69</v>
      </c>
      <c r="Y1575" t="s">
        <v>22881</v>
      </c>
      <c r="Z1575" t="s">
        <v>22882</v>
      </c>
      <c r="AA1575" t="s">
        <v>1294</v>
      </c>
      <c r="AB1575" t="s">
        <v>22883</v>
      </c>
      <c r="AC1575" t="s">
        <v>69</v>
      </c>
      <c r="AD1575" t="s">
        <v>22884</v>
      </c>
      <c r="AE1575" t="s">
        <v>69</v>
      </c>
      <c r="AF1575" t="s">
        <v>1295</v>
      </c>
      <c r="AG1575" t="s">
        <v>69</v>
      </c>
      <c r="AH1575" t="s">
        <v>22885</v>
      </c>
      <c r="AI1575" t="s">
        <v>22885</v>
      </c>
      <c r="AJ1575" t="s">
        <v>22886</v>
      </c>
      <c r="AK1575" t="s">
        <v>69</v>
      </c>
      <c r="AL1575">
        <v>121</v>
      </c>
      <c r="AM1575">
        <v>159</v>
      </c>
      <c r="AN1575">
        <v>166</v>
      </c>
      <c r="AO1575">
        <v>20</v>
      </c>
      <c r="AP1575">
        <v>122</v>
      </c>
      <c r="AQ1575" t="s">
        <v>22887</v>
      </c>
      <c r="AR1575" t="s">
        <v>22888</v>
      </c>
      <c r="AS1575" t="s">
        <v>22889</v>
      </c>
      <c r="AT1575" t="s">
        <v>1296</v>
      </c>
      <c r="AU1575" t="s">
        <v>1297</v>
      </c>
      <c r="AV1575" t="s">
        <v>69</v>
      </c>
      <c r="AW1575" t="s">
        <v>22890</v>
      </c>
      <c r="AX1575" t="s">
        <v>22891</v>
      </c>
      <c r="AY1575" t="s">
        <v>191</v>
      </c>
      <c r="AZ1575">
        <v>2015</v>
      </c>
      <c r="BA1575">
        <v>34</v>
      </c>
      <c r="BB1575">
        <v>1</v>
      </c>
      <c r="BC1575" t="s">
        <v>69</v>
      </c>
      <c r="BD1575" t="s">
        <v>69</v>
      </c>
      <c r="BE1575" t="s">
        <v>69</v>
      </c>
      <c r="BF1575" t="s">
        <v>69</v>
      </c>
      <c r="BG1575">
        <v>163</v>
      </c>
      <c r="BH1575">
        <v>198</v>
      </c>
      <c r="BI1575" t="s">
        <v>69</v>
      </c>
      <c r="BJ1575" t="s">
        <v>1298</v>
      </c>
      <c r="BK1575" t="str">
        <f>HYPERLINK("http://dx.doi.org/10.2308/ajpt-50849","http://dx.doi.org/10.2308/ajpt-50849")</f>
        <v>http://dx.doi.org/10.2308/ajpt-50849</v>
      </c>
      <c r="BL1575" t="s">
        <v>69</v>
      </c>
      <c r="BM1575" t="s">
        <v>69</v>
      </c>
      <c r="BN1575">
        <v>36</v>
      </c>
      <c r="BO1575" t="s">
        <v>9749</v>
      </c>
      <c r="BP1575" t="s">
        <v>8661</v>
      </c>
      <c r="BQ1575" t="s">
        <v>8594</v>
      </c>
      <c r="BR1575" t="s">
        <v>22892</v>
      </c>
      <c r="BS1575" t="s">
        <v>1299</v>
      </c>
      <c r="BT1575" t="s">
        <v>69</v>
      </c>
      <c r="BU1575" t="s">
        <v>69</v>
      </c>
      <c r="BV1575" t="s">
        <v>69</v>
      </c>
      <c r="BW1575" t="s">
        <v>69</v>
      </c>
      <c r="BX1575" t="s">
        <v>8526</v>
      </c>
      <c r="BY1575" t="str">
        <f>HYPERLINK("https%3A%2F%2Fwww.webofscience.com%2Fwos%2Fwoscc%2Ffull-record%2FWOS:000349803700008","View Full Record in Web of Science")</f>
        <v>View Full Record in Web of Science</v>
      </c>
    </row>
    <row r="1576" spans="1:77" ht="12.5" x14ac:dyDescent="0.25">
      <c r="A1576" t="s">
        <v>8495</v>
      </c>
      <c r="B1576" s="7" t="s">
        <v>32933</v>
      </c>
      <c r="C1576" s="7"/>
      <c r="D1576" s="7"/>
      <c r="E1576" s="7"/>
      <c r="F1576" t="s">
        <v>67</v>
      </c>
      <c r="G1576" t="s">
        <v>1688</v>
      </c>
      <c r="H1576" t="s">
        <v>69</v>
      </c>
      <c r="I1576" t="s">
        <v>69</v>
      </c>
      <c r="J1576" t="s">
        <v>69</v>
      </c>
      <c r="K1576" t="s">
        <v>1688</v>
      </c>
      <c r="L1576" t="s">
        <v>69</v>
      </c>
      <c r="M1576" t="s">
        <v>69</v>
      </c>
      <c r="N1576" t="s">
        <v>1689</v>
      </c>
      <c r="O1576" t="s">
        <v>1690</v>
      </c>
      <c r="P1576" t="s">
        <v>69</v>
      </c>
      <c r="Q1576" t="s">
        <v>69</v>
      </c>
      <c r="R1576" t="s">
        <v>8505</v>
      </c>
      <c r="S1576" t="s">
        <v>8506</v>
      </c>
      <c r="T1576" t="s">
        <v>69</v>
      </c>
      <c r="U1576" t="s">
        <v>69</v>
      </c>
      <c r="V1576" t="s">
        <v>69</v>
      </c>
      <c r="W1576" t="s">
        <v>69</v>
      </c>
      <c r="X1576" t="s">
        <v>69</v>
      </c>
      <c r="Y1576" t="s">
        <v>31428</v>
      </c>
      <c r="Z1576" t="s">
        <v>31429</v>
      </c>
      <c r="AA1576" t="s">
        <v>1691</v>
      </c>
      <c r="AB1576" t="s">
        <v>31430</v>
      </c>
      <c r="AC1576" t="s">
        <v>69</v>
      </c>
      <c r="AD1576" t="s">
        <v>31431</v>
      </c>
      <c r="AE1576" t="s">
        <v>69</v>
      </c>
      <c r="AF1576" t="s">
        <v>69</v>
      </c>
      <c r="AG1576" t="s">
        <v>69</v>
      </c>
      <c r="AH1576" t="s">
        <v>69</v>
      </c>
      <c r="AI1576" t="s">
        <v>69</v>
      </c>
      <c r="AJ1576" t="s">
        <v>69</v>
      </c>
      <c r="AK1576" t="s">
        <v>69</v>
      </c>
      <c r="AL1576">
        <v>16</v>
      </c>
      <c r="AM1576">
        <v>38</v>
      </c>
      <c r="AN1576">
        <v>38</v>
      </c>
      <c r="AO1576">
        <v>0</v>
      </c>
      <c r="AP1576">
        <v>6</v>
      </c>
      <c r="AQ1576" t="s">
        <v>31432</v>
      </c>
      <c r="AR1576" t="s">
        <v>31433</v>
      </c>
      <c r="AS1576" t="s">
        <v>31434</v>
      </c>
      <c r="AT1576" t="s">
        <v>1692</v>
      </c>
      <c r="AU1576" t="s">
        <v>69</v>
      </c>
      <c r="AV1576" t="s">
        <v>69</v>
      </c>
      <c r="AW1576" t="s">
        <v>14598</v>
      </c>
      <c r="AX1576" t="s">
        <v>14599</v>
      </c>
      <c r="AY1576" t="s">
        <v>155</v>
      </c>
      <c r="AZ1576">
        <v>2002</v>
      </c>
      <c r="BA1576">
        <v>36</v>
      </c>
      <c r="BB1576">
        <v>3</v>
      </c>
      <c r="BC1576" t="s">
        <v>69</v>
      </c>
      <c r="BD1576" t="s">
        <v>69</v>
      </c>
      <c r="BE1576" t="s">
        <v>69</v>
      </c>
      <c r="BF1576" t="s">
        <v>69</v>
      </c>
      <c r="BG1576">
        <v>290</v>
      </c>
      <c r="BH1576">
        <v>296</v>
      </c>
      <c r="BI1576" t="s">
        <v>69</v>
      </c>
      <c r="BJ1576" t="s">
        <v>1693</v>
      </c>
      <c r="BK1576" t="str">
        <f>HYPERLINK("http://dx.doi.org/10.1046/j.1440-1614.2002.01036.x","http://dx.doi.org/10.1046/j.1440-1614.2002.01036.x")</f>
        <v>http://dx.doi.org/10.1046/j.1440-1614.2002.01036.x</v>
      </c>
      <c r="BL1576" t="s">
        <v>69</v>
      </c>
      <c r="BM1576" t="s">
        <v>69</v>
      </c>
      <c r="BN1576">
        <v>7</v>
      </c>
      <c r="BO1576" t="s">
        <v>9332</v>
      </c>
      <c r="BP1576" t="s">
        <v>8523</v>
      </c>
      <c r="BQ1576" t="s">
        <v>9332</v>
      </c>
      <c r="BR1576" t="s">
        <v>31435</v>
      </c>
      <c r="BS1576" t="s">
        <v>1694</v>
      </c>
      <c r="BT1576">
        <v>12060177</v>
      </c>
      <c r="BU1576" t="s">
        <v>69</v>
      </c>
      <c r="BV1576" t="s">
        <v>69</v>
      </c>
      <c r="BW1576" t="s">
        <v>69</v>
      </c>
      <c r="BX1576" t="s">
        <v>8526</v>
      </c>
      <c r="BY1576" t="str">
        <f>HYPERLINK("https%3A%2F%2Fwww.webofscience.com%2Fwos%2Fwoscc%2Ffull-record%2FWOS:000176169700002","View Full Record in Web of Science")</f>
        <v>View Full Record in Web of Science</v>
      </c>
    </row>
    <row r="1577" spans="1:77" ht="12.5" x14ac:dyDescent="0.25">
      <c r="A1577" t="s">
        <v>8495</v>
      </c>
      <c r="B1577" s="7" t="s">
        <v>32933</v>
      </c>
      <c r="C1577" s="7"/>
      <c r="D1577" s="7"/>
      <c r="E1577" s="7"/>
      <c r="F1577" t="s">
        <v>67</v>
      </c>
      <c r="G1577" t="s">
        <v>4729</v>
      </c>
      <c r="H1577" t="s">
        <v>69</v>
      </c>
      <c r="I1577" t="s">
        <v>69</v>
      </c>
      <c r="J1577" t="s">
        <v>69</v>
      </c>
      <c r="K1577" t="s">
        <v>4729</v>
      </c>
      <c r="L1577" t="s">
        <v>69</v>
      </c>
      <c r="M1577" t="s">
        <v>69</v>
      </c>
      <c r="N1577" t="s">
        <v>4730</v>
      </c>
      <c r="O1577" t="s">
        <v>4731</v>
      </c>
      <c r="P1577" t="s">
        <v>69</v>
      </c>
      <c r="Q1577" t="s">
        <v>69</v>
      </c>
      <c r="R1577" t="s">
        <v>8505</v>
      </c>
      <c r="S1577" t="s">
        <v>8506</v>
      </c>
      <c r="T1577" t="s">
        <v>69</v>
      </c>
      <c r="U1577" t="s">
        <v>69</v>
      </c>
      <c r="V1577" t="s">
        <v>69</v>
      </c>
      <c r="W1577" t="s">
        <v>69</v>
      </c>
      <c r="X1577" t="s">
        <v>69</v>
      </c>
      <c r="Y1577" t="s">
        <v>69</v>
      </c>
      <c r="Z1577" t="s">
        <v>69</v>
      </c>
      <c r="AA1577" t="s">
        <v>4732</v>
      </c>
      <c r="AB1577" t="s">
        <v>32084</v>
      </c>
      <c r="AC1577" t="s">
        <v>69</v>
      </c>
      <c r="AD1577" t="s">
        <v>32085</v>
      </c>
      <c r="AE1577" t="s">
        <v>69</v>
      </c>
      <c r="AF1577" t="s">
        <v>69</v>
      </c>
      <c r="AG1577" t="s">
        <v>69</v>
      </c>
      <c r="AH1577" t="s">
        <v>69</v>
      </c>
      <c r="AI1577" t="s">
        <v>69</v>
      </c>
      <c r="AJ1577" t="s">
        <v>69</v>
      </c>
      <c r="AK1577" t="s">
        <v>69</v>
      </c>
      <c r="AL1577">
        <v>9</v>
      </c>
      <c r="AM1577">
        <v>5</v>
      </c>
      <c r="AN1577">
        <v>5</v>
      </c>
      <c r="AO1577">
        <v>0</v>
      </c>
      <c r="AP1577">
        <v>0</v>
      </c>
      <c r="AQ1577" t="s">
        <v>32086</v>
      </c>
      <c r="AR1577" t="s">
        <v>31433</v>
      </c>
      <c r="AS1577" t="s">
        <v>32087</v>
      </c>
      <c r="AT1577" t="s">
        <v>4733</v>
      </c>
      <c r="AU1577" t="s">
        <v>69</v>
      </c>
      <c r="AV1577" t="s">
        <v>69</v>
      </c>
      <c r="AW1577" t="s">
        <v>32088</v>
      </c>
      <c r="AX1577" t="s">
        <v>32089</v>
      </c>
      <c r="AY1577" t="s">
        <v>94</v>
      </c>
      <c r="AZ1577">
        <v>1998</v>
      </c>
      <c r="BA1577">
        <v>33</v>
      </c>
      <c r="BB1577">
        <v>1</v>
      </c>
      <c r="BC1577" t="s">
        <v>69</v>
      </c>
      <c r="BD1577" t="s">
        <v>69</v>
      </c>
      <c r="BE1577" t="s">
        <v>69</v>
      </c>
      <c r="BF1577" t="s">
        <v>69</v>
      </c>
      <c r="BG1577">
        <v>68</v>
      </c>
      <c r="BH1577">
        <v>75</v>
      </c>
      <c r="BI1577" t="s">
        <v>69</v>
      </c>
      <c r="BJ1577" t="s">
        <v>4734</v>
      </c>
      <c r="BK1577" t="str">
        <f>HYPERLINK("http://dx.doi.org/10.1080/00050069808257268","http://dx.doi.org/10.1080/00050069808257268")</f>
        <v>http://dx.doi.org/10.1080/00050069808257268</v>
      </c>
      <c r="BL1577" t="s">
        <v>69</v>
      </c>
      <c r="BM1577" t="s">
        <v>69</v>
      </c>
      <c r="BN1577">
        <v>8</v>
      </c>
      <c r="BO1577" t="s">
        <v>9000</v>
      </c>
      <c r="BP1577" t="s">
        <v>8661</v>
      </c>
      <c r="BQ1577" t="s">
        <v>9001</v>
      </c>
      <c r="BR1577" t="s">
        <v>32090</v>
      </c>
      <c r="BS1577" t="s">
        <v>4735</v>
      </c>
      <c r="BT1577" t="s">
        <v>69</v>
      </c>
      <c r="BU1577" t="s">
        <v>69</v>
      </c>
      <c r="BV1577" t="s">
        <v>69</v>
      </c>
      <c r="BW1577" t="s">
        <v>69</v>
      </c>
      <c r="BX1577" t="s">
        <v>8526</v>
      </c>
      <c r="BY1577" t="str">
        <f>HYPERLINK("https%3A%2F%2Fwww.webofscience.com%2Fwos%2Fwoscc%2Ffull-record%2FWOS:000078728500015","View Full Record in Web of Science")</f>
        <v>View Full Record in Web of Science</v>
      </c>
    </row>
    <row r="1578" spans="1:77" x14ac:dyDescent="0.3">
      <c r="A1578" t="s">
        <v>8495</v>
      </c>
      <c r="B1578" s="9" t="s">
        <v>32954</v>
      </c>
      <c r="C1578" s="9" t="s">
        <v>33143</v>
      </c>
      <c r="D1578" s="9" t="s">
        <v>8491</v>
      </c>
      <c r="E1578" s="9" t="s">
        <v>8490</v>
      </c>
      <c r="F1578" t="s">
        <v>67</v>
      </c>
      <c r="G1578" t="s">
        <v>8683</v>
      </c>
      <c r="H1578" t="s">
        <v>69</v>
      </c>
      <c r="I1578" t="s">
        <v>69</v>
      </c>
      <c r="J1578" t="s">
        <v>69</v>
      </c>
      <c r="K1578" t="s">
        <v>8684</v>
      </c>
      <c r="L1578" t="s">
        <v>69</v>
      </c>
      <c r="M1578" t="s">
        <v>69</v>
      </c>
      <c r="N1578" t="s">
        <v>8685</v>
      </c>
      <c r="O1578" t="s">
        <v>582</v>
      </c>
      <c r="P1578" t="s">
        <v>69</v>
      </c>
      <c r="Q1578" t="s">
        <v>69</v>
      </c>
      <c r="R1578" t="s">
        <v>8505</v>
      </c>
      <c r="S1578" t="s">
        <v>8506</v>
      </c>
      <c r="T1578" t="s">
        <v>69</v>
      </c>
      <c r="U1578" t="s">
        <v>69</v>
      </c>
      <c r="V1578" t="s">
        <v>69</v>
      </c>
      <c r="W1578" t="s">
        <v>69</v>
      </c>
      <c r="X1578" t="s">
        <v>69</v>
      </c>
      <c r="Y1578" t="s">
        <v>8686</v>
      </c>
      <c r="Z1578" t="s">
        <v>8687</v>
      </c>
      <c r="AA1578" t="s">
        <v>8688</v>
      </c>
      <c r="AB1578" t="s">
        <v>8689</v>
      </c>
      <c r="AC1578" t="s">
        <v>69</v>
      </c>
      <c r="AD1578" t="s">
        <v>8690</v>
      </c>
      <c r="AE1578" t="s">
        <v>8691</v>
      </c>
      <c r="AF1578" t="s">
        <v>69</v>
      </c>
      <c r="AG1578" t="s">
        <v>69</v>
      </c>
      <c r="AH1578" t="s">
        <v>69</v>
      </c>
      <c r="AI1578" t="s">
        <v>69</v>
      </c>
      <c r="AJ1578" t="s">
        <v>69</v>
      </c>
      <c r="AK1578" t="s">
        <v>69</v>
      </c>
      <c r="AL1578">
        <v>85</v>
      </c>
      <c r="AM1578">
        <v>0</v>
      </c>
      <c r="AN1578">
        <v>0</v>
      </c>
      <c r="AO1578">
        <v>0</v>
      </c>
      <c r="AP1578">
        <v>0</v>
      </c>
      <c r="AQ1578" t="s">
        <v>8692</v>
      </c>
      <c r="AR1578" t="s">
        <v>8693</v>
      </c>
      <c r="AS1578" t="s">
        <v>8694</v>
      </c>
      <c r="AT1578" t="s">
        <v>584</v>
      </c>
      <c r="AU1578" t="s">
        <v>585</v>
      </c>
      <c r="AV1578" t="s">
        <v>69</v>
      </c>
      <c r="AW1578" t="s">
        <v>8695</v>
      </c>
      <c r="AX1578" t="s">
        <v>8696</v>
      </c>
      <c r="AY1578" t="s">
        <v>84</v>
      </c>
      <c r="AZ1578">
        <v>2022</v>
      </c>
      <c r="BA1578">
        <v>95</v>
      </c>
      <c r="BB1578" t="s">
        <v>69</v>
      </c>
      <c r="BC1578" t="s">
        <v>69</v>
      </c>
      <c r="BD1578" t="s">
        <v>69</v>
      </c>
      <c r="BE1578" t="s">
        <v>69</v>
      </c>
      <c r="BF1578" t="s">
        <v>69</v>
      </c>
      <c r="BG1578" t="s">
        <v>69</v>
      </c>
      <c r="BH1578" t="s">
        <v>69</v>
      </c>
      <c r="BI1578">
        <v>106786</v>
      </c>
      <c r="BJ1578" t="s">
        <v>8697</v>
      </c>
      <c r="BK1578" t="str">
        <f>HYPERLINK("http://dx.doi.org/10.1016/j.eiar.2022.106786","http://dx.doi.org/10.1016/j.eiar.2022.106786")</f>
        <v>http://dx.doi.org/10.1016/j.eiar.2022.106786</v>
      </c>
      <c r="BL1578" t="s">
        <v>69</v>
      </c>
      <c r="BM1578" t="s">
        <v>69</v>
      </c>
      <c r="BN1578">
        <v>9</v>
      </c>
      <c r="BO1578" t="s">
        <v>8660</v>
      </c>
      <c r="BP1578" t="s">
        <v>8661</v>
      </c>
      <c r="BQ1578" t="s">
        <v>8662</v>
      </c>
      <c r="BR1578" t="s">
        <v>8698</v>
      </c>
      <c r="BS1578" t="s">
        <v>8699</v>
      </c>
      <c r="BT1578" t="s">
        <v>69</v>
      </c>
      <c r="BU1578" t="s">
        <v>8622</v>
      </c>
      <c r="BV1578" t="s">
        <v>69</v>
      </c>
      <c r="BW1578" t="s">
        <v>69</v>
      </c>
      <c r="BX1578" t="s">
        <v>8526</v>
      </c>
      <c r="BY1578" t="str">
        <f>HYPERLINK("https%3A%2F%2Fwww.webofscience.com%2Fwos%2Fwoscc%2Ffull-record%2FWOS:000793470600007","View Full Record in Web of Science")</f>
        <v>View Full Record in Web of Science</v>
      </c>
    </row>
    <row r="1579" spans="1:77" ht="12.5" x14ac:dyDescent="0.25">
      <c r="A1579" t="s">
        <v>8495</v>
      </c>
      <c r="B1579" s="7" t="s">
        <v>32933</v>
      </c>
      <c r="C1579" s="7"/>
      <c r="D1579" s="7"/>
      <c r="E1579" s="7"/>
      <c r="F1579" t="s">
        <v>67</v>
      </c>
      <c r="G1579" t="s">
        <v>2418</v>
      </c>
      <c r="H1579" t="s">
        <v>69</v>
      </c>
      <c r="I1579" t="s">
        <v>69</v>
      </c>
      <c r="J1579" t="s">
        <v>69</v>
      </c>
      <c r="K1579" t="s">
        <v>2419</v>
      </c>
      <c r="L1579" t="s">
        <v>69</v>
      </c>
      <c r="M1579" t="s">
        <v>69</v>
      </c>
      <c r="N1579" t="s">
        <v>2420</v>
      </c>
      <c r="O1579" t="s">
        <v>352</v>
      </c>
      <c r="P1579" t="s">
        <v>69</v>
      </c>
      <c r="Q1579" t="s">
        <v>69</v>
      </c>
      <c r="R1579" t="s">
        <v>8505</v>
      </c>
      <c r="S1579" t="s">
        <v>8506</v>
      </c>
      <c r="T1579" t="s">
        <v>69</v>
      </c>
      <c r="U1579" t="s">
        <v>69</v>
      </c>
      <c r="V1579" t="s">
        <v>69</v>
      </c>
      <c r="W1579" t="s">
        <v>69</v>
      </c>
      <c r="X1579" t="s">
        <v>69</v>
      </c>
      <c r="Y1579" t="s">
        <v>18828</v>
      </c>
      <c r="Z1579" t="s">
        <v>18829</v>
      </c>
      <c r="AA1579" t="s">
        <v>2421</v>
      </c>
      <c r="AB1579" t="s">
        <v>18830</v>
      </c>
      <c r="AC1579" t="s">
        <v>69</v>
      </c>
      <c r="AD1579" t="s">
        <v>18831</v>
      </c>
      <c r="AE1579" t="s">
        <v>18832</v>
      </c>
      <c r="AF1579" t="s">
        <v>69</v>
      </c>
      <c r="AG1579" t="s">
        <v>2422</v>
      </c>
      <c r="AH1579" t="s">
        <v>18833</v>
      </c>
      <c r="AI1579" t="s">
        <v>18834</v>
      </c>
      <c r="AJ1579" t="s">
        <v>18835</v>
      </c>
      <c r="AK1579" t="s">
        <v>69</v>
      </c>
      <c r="AL1579">
        <v>86</v>
      </c>
      <c r="AM1579">
        <v>12</v>
      </c>
      <c r="AN1579">
        <v>12</v>
      </c>
      <c r="AO1579">
        <v>0</v>
      </c>
      <c r="AP1579">
        <v>23</v>
      </c>
      <c r="AQ1579" t="s">
        <v>8924</v>
      </c>
      <c r="AR1579" t="s">
        <v>8925</v>
      </c>
      <c r="AS1579" t="s">
        <v>8926</v>
      </c>
      <c r="AT1579" t="s">
        <v>69</v>
      </c>
      <c r="AU1579" t="s">
        <v>354</v>
      </c>
      <c r="AV1579" t="s">
        <v>69</v>
      </c>
      <c r="AW1579" t="s">
        <v>8958</v>
      </c>
      <c r="AX1579" t="s">
        <v>8434</v>
      </c>
      <c r="AY1579" t="s">
        <v>586</v>
      </c>
      <c r="AZ1579">
        <v>2018</v>
      </c>
      <c r="BA1579">
        <v>10</v>
      </c>
      <c r="BB1579">
        <v>5</v>
      </c>
      <c r="BC1579" t="s">
        <v>69</v>
      </c>
      <c r="BD1579" t="s">
        <v>69</v>
      </c>
      <c r="BE1579" t="s">
        <v>69</v>
      </c>
      <c r="BF1579" t="s">
        <v>69</v>
      </c>
      <c r="BG1579" t="s">
        <v>69</v>
      </c>
      <c r="BH1579" t="s">
        <v>69</v>
      </c>
      <c r="BI1579">
        <v>1420</v>
      </c>
      <c r="BJ1579" t="s">
        <v>2423</v>
      </c>
      <c r="BK1579" t="str">
        <f>HYPERLINK("http://dx.doi.org/10.3390/su10051420","http://dx.doi.org/10.3390/su10051420")</f>
        <v>http://dx.doi.org/10.3390/su10051420</v>
      </c>
      <c r="BL1579" t="s">
        <v>69</v>
      </c>
      <c r="BM1579" t="s">
        <v>69</v>
      </c>
      <c r="BN1579">
        <v>19</v>
      </c>
      <c r="BO1579" t="s">
        <v>8960</v>
      </c>
      <c r="BP1579" t="s">
        <v>8523</v>
      </c>
      <c r="BQ1579" t="s">
        <v>8961</v>
      </c>
      <c r="BR1579" t="s">
        <v>18836</v>
      </c>
      <c r="BS1579" t="s">
        <v>2424</v>
      </c>
      <c r="BT1579" t="s">
        <v>69</v>
      </c>
      <c r="BU1579" t="s">
        <v>8812</v>
      </c>
      <c r="BV1579" t="s">
        <v>69</v>
      </c>
      <c r="BW1579" t="s">
        <v>69</v>
      </c>
      <c r="BX1579" t="s">
        <v>8526</v>
      </c>
      <c r="BY1579" t="str">
        <f>HYPERLINK("https%3A%2F%2Fwww.webofscience.com%2Fwos%2Fwoscc%2Ffull-record%2FWOS:000435587100116","View Full Record in Web of Science")</f>
        <v>View Full Record in Web of Science</v>
      </c>
    </row>
    <row r="1580" spans="1:77" ht="12.5" x14ac:dyDescent="0.25">
      <c r="A1580" t="s">
        <v>8495</v>
      </c>
      <c r="B1580" s="22" t="s">
        <v>32931</v>
      </c>
      <c r="C1580" s="7"/>
      <c r="D1580" s="7"/>
      <c r="E1580" s="7"/>
      <c r="F1580" t="s">
        <v>67</v>
      </c>
      <c r="G1580" t="s">
        <v>32091</v>
      </c>
      <c r="H1580" t="s">
        <v>69</v>
      </c>
      <c r="I1580" t="s">
        <v>69</v>
      </c>
      <c r="J1580" t="s">
        <v>69</v>
      </c>
      <c r="K1580" t="s">
        <v>32091</v>
      </c>
      <c r="L1580" t="s">
        <v>69</v>
      </c>
      <c r="M1580" t="s">
        <v>69</v>
      </c>
      <c r="N1580" t="s">
        <v>32092</v>
      </c>
      <c r="O1580" t="s">
        <v>32093</v>
      </c>
      <c r="P1580" t="s">
        <v>69</v>
      </c>
      <c r="Q1580" t="s">
        <v>69</v>
      </c>
      <c r="R1580" t="s">
        <v>8505</v>
      </c>
      <c r="S1580" t="s">
        <v>8506</v>
      </c>
      <c r="T1580" t="s">
        <v>69</v>
      </c>
      <c r="U1580" t="s">
        <v>69</v>
      </c>
      <c r="V1580" t="s">
        <v>69</v>
      </c>
      <c r="W1580" t="s">
        <v>69</v>
      </c>
      <c r="X1580" t="s">
        <v>69</v>
      </c>
      <c r="Y1580" t="s">
        <v>32094</v>
      </c>
      <c r="Z1580" t="s">
        <v>32095</v>
      </c>
      <c r="AA1580" t="s">
        <v>32096</v>
      </c>
      <c r="AB1580" t="s">
        <v>32097</v>
      </c>
      <c r="AC1580" t="s">
        <v>69</v>
      </c>
      <c r="AD1580" t="s">
        <v>32098</v>
      </c>
      <c r="AE1580" t="s">
        <v>69</v>
      </c>
      <c r="AF1580" t="s">
        <v>32099</v>
      </c>
      <c r="AG1580" t="s">
        <v>32100</v>
      </c>
      <c r="AH1580" t="s">
        <v>69</v>
      </c>
      <c r="AI1580" t="s">
        <v>69</v>
      </c>
      <c r="AJ1580" t="s">
        <v>69</v>
      </c>
      <c r="AK1580" t="s">
        <v>69</v>
      </c>
      <c r="AL1580">
        <v>18</v>
      </c>
      <c r="AM1580">
        <v>485</v>
      </c>
      <c r="AN1580">
        <v>504</v>
      </c>
      <c r="AO1580">
        <v>4</v>
      </c>
      <c r="AP1580">
        <v>234</v>
      </c>
      <c r="AQ1580" t="s">
        <v>17140</v>
      </c>
      <c r="AR1580" t="s">
        <v>8517</v>
      </c>
      <c r="AS1580" t="s">
        <v>17141</v>
      </c>
      <c r="AT1580" t="s">
        <v>32101</v>
      </c>
      <c r="AU1580" t="s">
        <v>69</v>
      </c>
      <c r="AV1580" t="s">
        <v>69</v>
      </c>
      <c r="AW1580" t="s">
        <v>32102</v>
      </c>
      <c r="AX1580" t="s">
        <v>32103</v>
      </c>
      <c r="AY1580" t="s">
        <v>94</v>
      </c>
      <c r="AZ1580">
        <v>1998</v>
      </c>
      <c r="BA1580">
        <v>54</v>
      </c>
      <c r="BB1580" t="s">
        <v>4219</v>
      </c>
      <c r="BC1580" t="s">
        <v>69</v>
      </c>
      <c r="BD1580" t="s">
        <v>69</v>
      </c>
      <c r="BE1580" t="s">
        <v>69</v>
      </c>
      <c r="BF1580" t="s">
        <v>69</v>
      </c>
      <c r="BG1580">
        <v>47</v>
      </c>
      <c r="BH1580">
        <v>78</v>
      </c>
      <c r="BI1580" t="s">
        <v>69</v>
      </c>
      <c r="BJ1580" t="s">
        <v>32104</v>
      </c>
      <c r="BK1580" t="str">
        <f>HYPERLINK("http://dx.doi.org/10.1016/S0378-3820(97)00060-X","http://dx.doi.org/10.1016/S0378-3820(97)00060-X")</f>
        <v>http://dx.doi.org/10.1016/S0378-3820(97)00060-X</v>
      </c>
      <c r="BL1580" t="s">
        <v>69</v>
      </c>
      <c r="BM1580" t="s">
        <v>69</v>
      </c>
      <c r="BN1580">
        <v>32</v>
      </c>
      <c r="BO1580" t="s">
        <v>32105</v>
      </c>
      <c r="BP1580" t="s">
        <v>8548</v>
      </c>
      <c r="BQ1580" t="s">
        <v>32106</v>
      </c>
      <c r="BR1580" t="s">
        <v>32107</v>
      </c>
      <c r="BS1580" t="s">
        <v>32108</v>
      </c>
      <c r="BT1580" t="s">
        <v>69</v>
      </c>
      <c r="BU1580" t="s">
        <v>69</v>
      </c>
      <c r="BV1580" t="s">
        <v>69</v>
      </c>
      <c r="BW1580" t="s">
        <v>69</v>
      </c>
      <c r="BX1580" t="s">
        <v>8526</v>
      </c>
      <c r="BY1580" t="str">
        <f>HYPERLINK("https%3A%2F%2Fwww.webofscience.com%2Fwos%2Fwoscc%2Ffull-record%2FWOS:000074209200004","View Full Record in Web of Science")</f>
        <v>View Full Record in Web of Science</v>
      </c>
    </row>
    <row r="1581" spans="1:77" x14ac:dyDescent="0.3">
      <c r="A1581" t="s">
        <v>8495</v>
      </c>
      <c r="B1581" s="13" t="s">
        <v>32971</v>
      </c>
      <c r="F1581" t="s">
        <v>67</v>
      </c>
      <c r="G1581" t="s">
        <v>6082</v>
      </c>
      <c r="H1581" t="s">
        <v>69</v>
      </c>
      <c r="I1581" t="s">
        <v>69</v>
      </c>
      <c r="J1581" t="s">
        <v>69</v>
      </c>
      <c r="K1581" s="4" t="s">
        <v>6082</v>
      </c>
      <c r="L1581" t="s">
        <v>69</v>
      </c>
      <c r="M1581" t="s">
        <v>69</v>
      </c>
      <c r="N1581" s="2" t="s">
        <v>6083</v>
      </c>
      <c r="O1581" t="s">
        <v>3321</v>
      </c>
      <c r="P1581" t="s">
        <v>69</v>
      </c>
      <c r="Q1581" t="s">
        <v>69</v>
      </c>
      <c r="R1581" t="s">
        <v>8505</v>
      </c>
      <c r="S1581" t="s">
        <v>8506</v>
      </c>
      <c r="T1581" t="s">
        <v>69</v>
      </c>
      <c r="U1581" t="s">
        <v>69</v>
      </c>
      <c r="V1581" t="s">
        <v>69</v>
      </c>
      <c r="W1581" t="s">
        <v>69</v>
      </c>
      <c r="X1581" t="s">
        <v>69</v>
      </c>
      <c r="Y1581" t="s">
        <v>30364</v>
      </c>
      <c r="Z1581" t="s">
        <v>30365</v>
      </c>
      <c r="AA1581" t="s">
        <v>6084</v>
      </c>
      <c r="AB1581" t="s">
        <v>30366</v>
      </c>
      <c r="AC1581" t="s">
        <v>69</v>
      </c>
      <c r="AD1581" t="s">
        <v>30367</v>
      </c>
      <c r="AE1581" t="s">
        <v>30368</v>
      </c>
      <c r="AF1581" t="s">
        <v>69</v>
      </c>
      <c r="AG1581" t="s">
        <v>69</v>
      </c>
      <c r="AH1581" t="s">
        <v>69</v>
      </c>
      <c r="AI1581" t="s">
        <v>69</v>
      </c>
      <c r="AJ1581" t="s">
        <v>69</v>
      </c>
      <c r="AK1581" t="s">
        <v>69</v>
      </c>
      <c r="AL1581">
        <v>45</v>
      </c>
      <c r="AM1581">
        <v>127</v>
      </c>
      <c r="AN1581">
        <v>128</v>
      </c>
      <c r="AO1581">
        <v>1</v>
      </c>
      <c r="AP1581">
        <v>57</v>
      </c>
      <c r="AQ1581" t="s">
        <v>8762</v>
      </c>
      <c r="AR1581" t="s">
        <v>8763</v>
      </c>
      <c r="AS1581" t="s">
        <v>8764</v>
      </c>
      <c r="AT1581" t="s">
        <v>3323</v>
      </c>
      <c r="AU1581" t="s">
        <v>6085</v>
      </c>
      <c r="AV1581" t="s">
        <v>69</v>
      </c>
      <c r="AW1581" t="s">
        <v>3321</v>
      </c>
      <c r="AX1581" t="s">
        <v>25026</v>
      </c>
      <c r="AY1581" t="s">
        <v>94</v>
      </c>
      <c r="AZ1581">
        <v>2006</v>
      </c>
      <c r="BA1581">
        <v>13</v>
      </c>
      <c r="BB1581">
        <v>2</v>
      </c>
      <c r="BC1581" t="s">
        <v>69</v>
      </c>
      <c r="BD1581" t="s">
        <v>69</v>
      </c>
      <c r="BE1581" t="s">
        <v>69</v>
      </c>
      <c r="BF1581" t="s">
        <v>69</v>
      </c>
      <c r="BG1581">
        <v>195</v>
      </c>
      <c r="BH1581">
        <v>224</v>
      </c>
      <c r="BI1581" t="s">
        <v>69</v>
      </c>
      <c r="BJ1581" t="s">
        <v>6086</v>
      </c>
      <c r="BK1581" t="str">
        <f>HYPERLINK("http://dx.doi.org/10.1177/1350508406061674","http://dx.doi.org/10.1177/1350508406061674")</f>
        <v>http://dx.doi.org/10.1177/1350508406061674</v>
      </c>
      <c r="BL1581" t="s">
        <v>69</v>
      </c>
      <c r="BM1581" t="s">
        <v>69</v>
      </c>
      <c r="BN1581">
        <v>30</v>
      </c>
      <c r="BO1581" t="s">
        <v>9410</v>
      </c>
      <c r="BP1581" t="s">
        <v>8661</v>
      </c>
      <c r="BQ1581" t="s">
        <v>8594</v>
      </c>
      <c r="BR1581" t="s">
        <v>30369</v>
      </c>
      <c r="BS1581" t="s">
        <v>6087</v>
      </c>
      <c r="BT1581" t="s">
        <v>69</v>
      </c>
      <c r="BU1581" t="s">
        <v>69</v>
      </c>
      <c r="BV1581" t="s">
        <v>69</v>
      </c>
      <c r="BW1581" t="s">
        <v>69</v>
      </c>
      <c r="BX1581" t="s">
        <v>8526</v>
      </c>
      <c r="BY1581" t="str">
        <f>HYPERLINK("https%3A%2F%2Fwww.webofscience.com%2Fwos%2Fwoscc%2Ffull-record%2FWOS:000236848900002","View Full Record in Web of Science")</f>
        <v>View Full Record in Web of Science</v>
      </c>
    </row>
    <row r="1582" spans="1:77" x14ac:dyDescent="0.3">
      <c r="A1582" t="s">
        <v>8495</v>
      </c>
      <c r="B1582" s="9" t="s">
        <v>32954</v>
      </c>
      <c r="C1582" s="9" t="s">
        <v>33142</v>
      </c>
      <c r="D1582" s="9" t="s">
        <v>8491</v>
      </c>
      <c r="E1582" s="9" t="s">
        <v>8490</v>
      </c>
      <c r="F1582" t="s">
        <v>67</v>
      </c>
      <c r="G1582" t="s">
        <v>8856</v>
      </c>
      <c r="H1582" t="s">
        <v>69</v>
      </c>
      <c r="I1582" t="s">
        <v>69</v>
      </c>
      <c r="J1582" t="s">
        <v>69</v>
      </c>
      <c r="K1582" t="s">
        <v>8857</v>
      </c>
      <c r="L1582" t="s">
        <v>69</v>
      </c>
      <c r="M1582" t="s">
        <v>69</v>
      </c>
      <c r="N1582" t="s">
        <v>8858</v>
      </c>
      <c r="O1582" t="s">
        <v>967</v>
      </c>
      <c r="P1582" t="s">
        <v>69</v>
      </c>
      <c r="Q1582" t="s">
        <v>69</v>
      </c>
      <c r="R1582" t="s">
        <v>8505</v>
      </c>
      <c r="S1582" t="s">
        <v>8556</v>
      </c>
      <c r="T1582" t="s">
        <v>69</v>
      </c>
      <c r="U1582" t="s">
        <v>69</v>
      </c>
      <c r="V1582" t="s">
        <v>69</v>
      </c>
      <c r="W1582" t="s">
        <v>69</v>
      </c>
      <c r="X1582" t="s">
        <v>69</v>
      </c>
      <c r="Y1582" t="s">
        <v>8859</v>
      </c>
      <c r="Z1582" t="s">
        <v>8860</v>
      </c>
      <c r="AA1582" t="s">
        <v>8861</v>
      </c>
      <c r="AB1582" t="s">
        <v>8862</v>
      </c>
      <c r="AC1582" t="s">
        <v>69</v>
      </c>
      <c r="AD1582" t="s">
        <v>8863</v>
      </c>
      <c r="AE1582" t="s">
        <v>8864</v>
      </c>
      <c r="AF1582" t="s">
        <v>69</v>
      </c>
      <c r="AG1582" t="s">
        <v>69</v>
      </c>
      <c r="AH1582" t="s">
        <v>69</v>
      </c>
      <c r="AI1582" t="s">
        <v>69</v>
      </c>
      <c r="AJ1582" t="s">
        <v>69</v>
      </c>
      <c r="AK1582" t="s">
        <v>69</v>
      </c>
      <c r="AL1582">
        <v>87</v>
      </c>
      <c r="AM1582">
        <v>0</v>
      </c>
      <c r="AN1582">
        <v>0</v>
      </c>
      <c r="AO1582">
        <v>0</v>
      </c>
      <c r="AP1582">
        <v>0</v>
      </c>
      <c r="AQ1582" t="s">
        <v>8865</v>
      </c>
      <c r="AR1582" t="s">
        <v>8612</v>
      </c>
      <c r="AS1582" t="s">
        <v>8866</v>
      </c>
      <c r="AT1582" t="s">
        <v>969</v>
      </c>
      <c r="AU1582" t="s">
        <v>970</v>
      </c>
      <c r="AV1582" t="s">
        <v>69</v>
      </c>
      <c r="AW1582" t="s">
        <v>8867</v>
      </c>
      <c r="AX1582" t="s">
        <v>8868</v>
      </c>
      <c r="AY1582" t="s">
        <v>69</v>
      </c>
      <c r="AZ1582" t="s">
        <v>69</v>
      </c>
      <c r="BA1582" t="s">
        <v>69</v>
      </c>
      <c r="BB1582" t="s">
        <v>69</v>
      </c>
      <c r="BC1582" t="s">
        <v>69</v>
      </c>
      <c r="BD1582" t="s">
        <v>69</v>
      </c>
      <c r="BE1582" t="s">
        <v>69</v>
      </c>
      <c r="BF1582" t="s">
        <v>69</v>
      </c>
      <c r="BG1582" t="s">
        <v>69</v>
      </c>
      <c r="BH1582" t="s">
        <v>69</v>
      </c>
      <c r="BI1582" t="s">
        <v>69</v>
      </c>
      <c r="BJ1582" t="s">
        <v>8869</v>
      </c>
      <c r="BK1582" t="str">
        <f>HYPERLINK("http://dx.doi.org/10.1080/24694452.2022.2080635","http://dx.doi.org/10.1080/24694452.2022.2080635")</f>
        <v>http://dx.doi.org/10.1080/24694452.2022.2080635</v>
      </c>
      <c r="BL1582" t="s">
        <v>69</v>
      </c>
      <c r="BM1582" t="s">
        <v>8742</v>
      </c>
      <c r="BN1582">
        <v>15</v>
      </c>
      <c r="BO1582" t="s">
        <v>8446</v>
      </c>
      <c r="BP1582" t="s">
        <v>8661</v>
      </c>
      <c r="BQ1582" t="s">
        <v>8446</v>
      </c>
      <c r="BR1582" t="s">
        <v>8870</v>
      </c>
      <c r="BS1582" t="s">
        <v>8871</v>
      </c>
      <c r="BT1582" t="s">
        <v>69</v>
      </c>
      <c r="BU1582" t="s">
        <v>69</v>
      </c>
      <c r="BV1582" t="s">
        <v>69</v>
      </c>
      <c r="BW1582" t="s">
        <v>69</v>
      </c>
      <c r="BX1582" t="s">
        <v>8526</v>
      </c>
      <c r="BY1582" t="str">
        <f>HYPERLINK("https%3A%2F%2Fwww.webofscience.com%2Fwos%2Fwoscc%2Ffull-record%2FWOS:000830405700001","View Full Record in Web of Science")</f>
        <v>View Full Record in Web of Science</v>
      </c>
    </row>
    <row r="1583" spans="1:77" ht="12.5" x14ac:dyDescent="0.25">
      <c r="A1583" t="s">
        <v>8495</v>
      </c>
      <c r="B1583" s="7" t="s">
        <v>32933</v>
      </c>
      <c r="C1583" s="7"/>
      <c r="D1583" s="7"/>
      <c r="E1583" s="7"/>
      <c r="F1583" t="s">
        <v>67</v>
      </c>
      <c r="G1583" t="s">
        <v>7093</v>
      </c>
      <c r="H1583" t="s">
        <v>69</v>
      </c>
      <c r="I1583" t="s">
        <v>69</v>
      </c>
      <c r="J1583" t="s">
        <v>69</v>
      </c>
      <c r="K1583" t="s">
        <v>7094</v>
      </c>
      <c r="L1583" t="s">
        <v>69</v>
      </c>
      <c r="M1583" t="s">
        <v>69</v>
      </c>
      <c r="N1583" t="s">
        <v>7095</v>
      </c>
      <c r="O1583" t="s">
        <v>7096</v>
      </c>
      <c r="P1583" t="s">
        <v>69</v>
      </c>
      <c r="Q1583" t="s">
        <v>69</v>
      </c>
      <c r="R1583" t="s">
        <v>8505</v>
      </c>
      <c r="S1583" t="s">
        <v>8506</v>
      </c>
      <c r="T1583" t="s">
        <v>69</v>
      </c>
      <c r="U1583" t="s">
        <v>69</v>
      </c>
      <c r="V1583" t="s">
        <v>69</v>
      </c>
      <c r="W1583" t="s">
        <v>69</v>
      </c>
      <c r="X1583" t="s">
        <v>69</v>
      </c>
      <c r="Y1583" t="s">
        <v>27927</v>
      </c>
      <c r="Z1583" t="s">
        <v>27928</v>
      </c>
      <c r="AA1583" t="s">
        <v>7097</v>
      </c>
      <c r="AB1583" t="s">
        <v>27929</v>
      </c>
      <c r="AC1583" t="s">
        <v>69</v>
      </c>
      <c r="AD1583" t="s">
        <v>27930</v>
      </c>
      <c r="AE1583" t="s">
        <v>69</v>
      </c>
      <c r="AF1583" t="s">
        <v>27931</v>
      </c>
      <c r="AG1583" t="s">
        <v>27932</v>
      </c>
      <c r="AH1583" t="s">
        <v>69</v>
      </c>
      <c r="AI1583" t="s">
        <v>69</v>
      </c>
      <c r="AJ1583" t="s">
        <v>69</v>
      </c>
      <c r="AK1583" t="s">
        <v>69</v>
      </c>
      <c r="AL1583">
        <v>89</v>
      </c>
      <c r="AM1583">
        <v>13</v>
      </c>
      <c r="AN1583">
        <v>13</v>
      </c>
      <c r="AO1583">
        <v>2</v>
      </c>
      <c r="AP1583">
        <v>58</v>
      </c>
      <c r="AQ1583" t="s">
        <v>8586</v>
      </c>
      <c r="AR1583" t="s">
        <v>8587</v>
      </c>
      <c r="AS1583" t="s">
        <v>8588</v>
      </c>
      <c r="AT1583" t="s">
        <v>7098</v>
      </c>
      <c r="AU1583" t="s">
        <v>7099</v>
      </c>
      <c r="AV1583" t="s">
        <v>69</v>
      </c>
      <c r="AW1583" t="s">
        <v>27933</v>
      </c>
      <c r="AX1583" t="s">
        <v>27934</v>
      </c>
      <c r="AY1583" t="s">
        <v>69</v>
      </c>
      <c r="AZ1583">
        <v>2010</v>
      </c>
      <c r="BA1583">
        <v>5</v>
      </c>
      <c r="BB1583">
        <v>3</v>
      </c>
      <c r="BC1583" t="s">
        <v>69</v>
      </c>
      <c r="BD1583" t="s">
        <v>69</v>
      </c>
      <c r="BE1583" t="s">
        <v>69</v>
      </c>
      <c r="BF1583" t="s">
        <v>69</v>
      </c>
      <c r="BG1583">
        <v>397</v>
      </c>
      <c r="BH1583">
        <v>421</v>
      </c>
      <c r="BI1583" t="s">
        <v>69</v>
      </c>
      <c r="BJ1583" t="s">
        <v>7100</v>
      </c>
      <c r="BK1583" t="str">
        <f>HYPERLINK("http://dx.doi.org/10.1108/17465261011079776","http://dx.doi.org/10.1108/17465261011079776")</f>
        <v>http://dx.doi.org/10.1108/17465261011079776</v>
      </c>
      <c r="BL1583" t="s">
        <v>69</v>
      </c>
      <c r="BM1583" t="s">
        <v>69</v>
      </c>
      <c r="BN1583">
        <v>25</v>
      </c>
      <c r="BO1583" t="s">
        <v>9410</v>
      </c>
      <c r="BP1583" t="s">
        <v>8661</v>
      </c>
      <c r="BQ1583" t="s">
        <v>8594</v>
      </c>
      <c r="BR1583" t="s">
        <v>27935</v>
      </c>
      <c r="BS1583" t="s">
        <v>7101</v>
      </c>
      <c r="BT1583" t="s">
        <v>69</v>
      </c>
      <c r="BU1583" t="s">
        <v>69</v>
      </c>
      <c r="BV1583" t="s">
        <v>69</v>
      </c>
      <c r="BW1583" t="s">
        <v>69</v>
      </c>
      <c r="BX1583" t="s">
        <v>8526</v>
      </c>
      <c r="BY1583" t="str">
        <f>HYPERLINK("https%3A%2F%2Fwww.webofscience.com%2Fwos%2Fwoscc%2Ffull-record%2FWOS:000284294300007","View Full Record in Web of Science")</f>
        <v>View Full Record in Web of Science</v>
      </c>
    </row>
    <row r="1584" spans="1:77" ht="12.5" x14ac:dyDescent="0.25">
      <c r="A1584" t="s">
        <v>8495</v>
      </c>
      <c r="B1584" s="22" t="s">
        <v>32931</v>
      </c>
      <c r="C1584" s="7"/>
      <c r="D1584" s="7"/>
      <c r="E1584" s="7"/>
      <c r="F1584" t="s">
        <v>67</v>
      </c>
      <c r="G1584" t="s">
        <v>28575</v>
      </c>
      <c r="H1584" t="s">
        <v>69</v>
      </c>
      <c r="I1584" t="s">
        <v>69</v>
      </c>
      <c r="J1584" t="s">
        <v>69</v>
      </c>
      <c r="K1584" t="s">
        <v>28576</v>
      </c>
      <c r="L1584" t="s">
        <v>69</v>
      </c>
      <c r="M1584" t="s">
        <v>69</v>
      </c>
      <c r="N1584" t="s">
        <v>28577</v>
      </c>
      <c r="O1584" t="s">
        <v>28578</v>
      </c>
      <c r="P1584" t="s">
        <v>69</v>
      </c>
      <c r="Q1584" t="s">
        <v>69</v>
      </c>
      <c r="R1584" t="s">
        <v>8505</v>
      </c>
      <c r="S1584" t="s">
        <v>8506</v>
      </c>
      <c r="T1584" t="s">
        <v>69</v>
      </c>
      <c r="U1584" t="s">
        <v>69</v>
      </c>
      <c r="V1584" t="s">
        <v>69</v>
      </c>
      <c r="W1584" t="s">
        <v>69</v>
      </c>
      <c r="X1584" t="s">
        <v>69</v>
      </c>
      <c r="Y1584" t="s">
        <v>69</v>
      </c>
      <c r="Z1584" t="s">
        <v>69</v>
      </c>
      <c r="AA1584" t="s">
        <v>28579</v>
      </c>
      <c r="AB1584" t="s">
        <v>28580</v>
      </c>
      <c r="AC1584" t="s">
        <v>69</v>
      </c>
      <c r="AD1584" t="s">
        <v>69</v>
      </c>
      <c r="AE1584" t="s">
        <v>69</v>
      </c>
      <c r="AF1584" t="s">
        <v>69</v>
      </c>
      <c r="AG1584" t="s">
        <v>69</v>
      </c>
      <c r="AH1584" t="s">
        <v>69</v>
      </c>
      <c r="AI1584" t="s">
        <v>69</v>
      </c>
      <c r="AJ1584" t="s">
        <v>69</v>
      </c>
      <c r="AK1584" t="s">
        <v>69</v>
      </c>
      <c r="AL1584">
        <v>9</v>
      </c>
      <c r="AM1584">
        <v>2</v>
      </c>
      <c r="AN1584">
        <v>2</v>
      </c>
      <c r="AO1584">
        <v>0</v>
      </c>
      <c r="AP1584">
        <v>11</v>
      </c>
      <c r="AQ1584" t="s">
        <v>28581</v>
      </c>
      <c r="AR1584" t="s">
        <v>18488</v>
      </c>
      <c r="AS1584" t="s">
        <v>18489</v>
      </c>
      <c r="AT1584" t="s">
        <v>28582</v>
      </c>
      <c r="AU1584" t="s">
        <v>69</v>
      </c>
      <c r="AV1584" t="s">
        <v>69</v>
      </c>
      <c r="AW1584" t="s">
        <v>18492</v>
      </c>
      <c r="AX1584" t="s">
        <v>18493</v>
      </c>
      <c r="AY1584" t="s">
        <v>94</v>
      </c>
      <c r="AZ1584">
        <v>2009</v>
      </c>
      <c r="BA1584">
        <v>109</v>
      </c>
      <c r="BB1584">
        <v>3</v>
      </c>
      <c r="BC1584" t="s">
        <v>69</v>
      </c>
      <c r="BD1584" t="s">
        <v>69</v>
      </c>
      <c r="BE1584" t="s">
        <v>69</v>
      </c>
      <c r="BF1584" t="s">
        <v>69</v>
      </c>
      <c r="BG1584">
        <v>163</v>
      </c>
      <c r="BH1584">
        <v>168</v>
      </c>
      <c r="BI1584" t="s">
        <v>69</v>
      </c>
      <c r="BJ1584" t="s">
        <v>69</v>
      </c>
      <c r="BK1584" t="s">
        <v>69</v>
      </c>
      <c r="BL1584" t="s">
        <v>69</v>
      </c>
      <c r="BM1584" t="s">
        <v>69</v>
      </c>
      <c r="BN1584">
        <v>6</v>
      </c>
      <c r="BO1584" t="s">
        <v>18495</v>
      </c>
      <c r="BP1584" t="s">
        <v>8548</v>
      </c>
      <c r="BQ1584" t="s">
        <v>18495</v>
      </c>
      <c r="BR1584" t="s">
        <v>28583</v>
      </c>
      <c r="BS1584" t="s">
        <v>28584</v>
      </c>
      <c r="BT1584" t="s">
        <v>69</v>
      </c>
      <c r="BU1584" t="s">
        <v>69</v>
      </c>
      <c r="BV1584" t="s">
        <v>69</v>
      </c>
      <c r="BW1584" t="s">
        <v>69</v>
      </c>
      <c r="BX1584" t="s">
        <v>8526</v>
      </c>
      <c r="BY1584" t="str">
        <f>HYPERLINK("https%3A%2F%2Fwww.webofscience.com%2Fwos%2Fwoscc%2Ffull-record%2FWOS:000269856000004","View Full Record in Web of Science")</f>
        <v>View Full Record in Web of Science</v>
      </c>
    </row>
    <row r="1585" spans="1:77" ht="12.5" x14ac:dyDescent="0.25">
      <c r="A1585" t="s">
        <v>8495</v>
      </c>
      <c r="B1585" s="7" t="s">
        <v>32933</v>
      </c>
      <c r="C1585" s="7"/>
      <c r="D1585" s="7"/>
      <c r="E1585" s="7"/>
      <c r="F1585" t="s">
        <v>67</v>
      </c>
      <c r="G1585" t="s">
        <v>4783</v>
      </c>
      <c r="H1585" t="s">
        <v>69</v>
      </c>
      <c r="I1585" t="s">
        <v>69</v>
      </c>
      <c r="J1585" t="s">
        <v>69</v>
      </c>
      <c r="K1585" t="s">
        <v>4784</v>
      </c>
      <c r="L1585" t="s">
        <v>69</v>
      </c>
      <c r="M1585" t="s">
        <v>69</v>
      </c>
      <c r="N1585" t="s">
        <v>4785</v>
      </c>
      <c r="O1585" t="s">
        <v>3592</v>
      </c>
      <c r="P1585" t="s">
        <v>69</v>
      </c>
      <c r="Q1585" t="s">
        <v>69</v>
      </c>
      <c r="R1585" t="s">
        <v>8505</v>
      </c>
      <c r="S1585" t="s">
        <v>8506</v>
      </c>
      <c r="T1585" t="s">
        <v>69</v>
      </c>
      <c r="U1585" t="s">
        <v>69</v>
      </c>
      <c r="V1585" t="s">
        <v>69</v>
      </c>
      <c r="W1585" t="s">
        <v>69</v>
      </c>
      <c r="X1585" t="s">
        <v>69</v>
      </c>
      <c r="Y1585" t="s">
        <v>18065</v>
      </c>
      <c r="Z1585" t="s">
        <v>18066</v>
      </c>
      <c r="AA1585" t="s">
        <v>4786</v>
      </c>
      <c r="AB1585" t="s">
        <v>18067</v>
      </c>
      <c r="AC1585" t="s">
        <v>69</v>
      </c>
      <c r="AD1585" t="s">
        <v>18068</v>
      </c>
      <c r="AE1585" t="s">
        <v>18069</v>
      </c>
      <c r="AF1585" t="s">
        <v>4787</v>
      </c>
      <c r="AG1585" t="s">
        <v>4788</v>
      </c>
      <c r="AH1585" t="s">
        <v>69</v>
      </c>
      <c r="AI1585" t="s">
        <v>69</v>
      </c>
      <c r="AJ1585" t="s">
        <v>69</v>
      </c>
      <c r="AK1585" t="s">
        <v>69</v>
      </c>
      <c r="AL1585">
        <v>105</v>
      </c>
      <c r="AM1585">
        <v>33</v>
      </c>
      <c r="AN1585">
        <v>33</v>
      </c>
      <c r="AO1585">
        <v>5</v>
      </c>
      <c r="AP1585">
        <v>61</v>
      </c>
      <c r="AQ1585" t="s">
        <v>8516</v>
      </c>
      <c r="AR1585" t="s">
        <v>8517</v>
      </c>
      <c r="AS1585" t="s">
        <v>8518</v>
      </c>
      <c r="AT1585" t="s">
        <v>3594</v>
      </c>
      <c r="AU1585" t="s">
        <v>3595</v>
      </c>
      <c r="AV1585" t="s">
        <v>69</v>
      </c>
      <c r="AW1585" t="s">
        <v>8519</v>
      </c>
      <c r="AX1585" t="s">
        <v>8520</v>
      </c>
      <c r="AY1585" t="s">
        <v>75</v>
      </c>
      <c r="AZ1585">
        <v>2018</v>
      </c>
      <c r="BA1585">
        <v>180</v>
      </c>
      <c r="BB1585" t="s">
        <v>69</v>
      </c>
      <c r="BC1585" t="s">
        <v>69</v>
      </c>
      <c r="BD1585" t="s">
        <v>69</v>
      </c>
      <c r="BE1585" t="s">
        <v>69</v>
      </c>
      <c r="BF1585" t="s">
        <v>69</v>
      </c>
      <c r="BG1585">
        <v>262</v>
      </c>
      <c r="BH1585">
        <v>272</v>
      </c>
      <c r="BI1585" t="s">
        <v>69</v>
      </c>
      <c r="BJ1585" t="s">
        <v>4789</v>
      </c>
      <c r="BK1585" t="str">
        <f>HYPERLINK("http://dx.doi.org/10.1016/j.landurbplan.2016.09.025","http://dx.doi.org/10.1016/j.landurbplan.2016.09.025")</f>
        <v>http://dx.doi.org/10.1016/j.landurbplan.2016.09.025</v>
      </c>
      <c r="BL1585" t="s">
        <v>69</v>
      </c>
      <c r="BM1585" t="s">
        <v>69</v>
      </c>
      <c r="BN1585">
        <v>11</v>
      </c>
      <c r="BO1585" t="s">
        <v>8522</v>
      </c>
      <c r="BP1585" t="s">
        <v>8523</v>
      </c>
      <c r="BQ1585" t="s">
        <v>8524</v>
      </c>
      <c r="BR1585" t="s">
        <v>18070</v>
      </c>
      <c r="BS1585" t="s">
        <v>4790</v>
      </c>
      <c r="BT1585" t="s">
        <v>69</v>
      </c>
      <c r="BU1585" t="s">
        <v>69</v>
      </c>
      <c r="BV1585" t="s">
        <v>69</v>
      </c>
      <c r="BW1585" t="s">
        <v>69</v>
      </c>
      <c r="BX1585" t="s">
        <v>8526</v>
      </c>
      <c r="BY1585" t="str">
        <f>HYPERLINK("https%3A%2F%2Fwww.webofscience.com%2Fwos%2Fwoscc%2Ffull-record%2FWOS:000449896300028","View Full Record in Web of Science")</f>
        <v>View Full Record in Web of Science</v>
      </c>
    </row>
    <row r="1586" spans="1:77" ht="12.5" x14ac:dyDescent="0.25">
      <c r="A1586" t="s">
        <v>8495</v>
      </c>
      <c r="B1586" s="7" t="s">
        <v>32933</v>
      </c>
      <c r="C1586" s="7"/>
      <c r="D1586" s="7"/>
      <c r="E1586" s="7"/>
      <c r="F1586" t="s">
        <v>67</v>
      </c>
      <c r="G1586" t="s">
        <v>2674</v>
      </c>
      <c r="H1586" t="s">
        <v>69</v>
      </c>
      <c r="I1586" t="s">
        <v>69</v>
      </c>
      <c r="J1586" t="s">
        <v>69</v>
      </c>
      <c r="K1586" t="s">
        <v>2675</v>
      </c>
      <c r="L1586" t="s">
        <v>69</v>
      </c>
      <c r="M1586" t="s">
        <v>69</v>
      </c>
      <c r="N1586" t="s">
        <v>2676</v>
      </c>
      <c r="O1586" t="s">
        <v>582</v>
      </c>
      <c r="P1586" t="s">
        <v>69</v>
      </c>
      <c r="Q1586" t="s">
        <v>69</v>
      </c>
      <c r="R1586" t="s">
        <v>8505</v>
      </c>
      <c r="S1586" t="s">
        <v>8506</v>
      </c>
      <c r="T1586" t="s">
        <v>69</v>
      </c>
      <c r="U1586" t="s">
        <v>69</v>
      </c>
      <c r="V1586" t="s">
        <v>69</v>
      </c>
      <c r="W1586" t="s">
        <v>69</v>
      </c>
      <c r="X1586" t="s">
        <v>69</v>
      </c>
      <c r="Y1586" t="s">
        <v>21023</v>
      </c>
      <c r="Z1586" t="s">
        <v>21024</v>
      </c>
      <c r="AA1586" t="s">
        <v>2677</v>
      </c>
      <c r="AB1586" t="s">
        <v>21025</v>
      </c>
      <c r="AC1586" t="s">
        <v>69</v>
      </c>
      <c r="AD1586" t="s">
        <v>21026</v>
      </c>
      <c r="AE1586" t="s">
        <v>21027</v>
      </c>
      <c r="AF1586" t="s">
        <v>2678</v>
      </c>
      <c r="AG1586" t="s">
        <v>2679</v>
      </c>
      <c r="AH1586" t="s">
        <v>21028</v>
      </c>
      <c r="AI1586" t="s">
        <v>21029</v>
      </c>
      <c r="AJ1586" t="s">
        <v>21030</v>
      </c>
      <c r="AK1586" t="s">
        <v>69</v>
      </c>
      <c r="AL1586">
        <v>65</v>
      </c>
      <c r="AM1586">
        <v>49</v>
      </c>
      <c r="AN1586">
        <v>50</v>
      </c>
      <c r="AO1586">
        <v>4</v>
      </c>
      <c r="AP1586">
        <v>52</v>
      </c>
      <c r="AQ1586" t="s">
        <v>8692</v>
      </c>
      <c r="AR1586" t="s">
        <v>8693</v>
      </c>
      <c r="AS1586" t="s">
        <v>8694</v>
      </c>
      <c r="AT1586" t="s">
        <v>584</v>
      </c>
      <c r="AU1586" t="s">
        <v>585</v>
      </c>
      <c r="AV1586" t="s">
        <v>69</v>
      </c>
      <c r="AW1586" t="s">
        <v>8695</v>
      </c>
      <c r="AX1586" t="s">
        <v>8696</v>
      </c>
      <c r="AY1586" t="s">
        <v>373</v>
      </c>
      <c r="AZ1586">
        <v>2017</v>
      </c>
      <c r="BA1586">
        <v>62</v>
      </c>
      <c r="BB1586" t="s">
        <v>69</v>
      </c>
      <c r="BC1586" t="s">
        <v>69</v>
      </c>
      <c r="BD1586" t="s">
        <v>69</v>
      </c>
      <c r="BE1586" t="s">
        <v>69</v>
      </c>
      <c r="BF1586" t="s">
        <v>69</v>
      </c>
      <c r="BG1586">
        <v>122</v>
      </c>
      <c r="BH1586">
        <v>134</v>
      </c>
      <c r="BI1586" t="s">
        <v>69</v>
      </c>
      <c r="BJ1586" t="s">
        <v>2680</v>
      </c>
      <c r="BK1586" t="str">
        <f>HYPERLINK("http://dx.doi.org/10.1016/j.eiar.2016.06.008","http://dx.doi.org/10.1016/j.eiar.2016.06.008")</f>
        <v>http://dx.doi.org/10.1016/j.eiar.2016.06.008</v>
      </c>
      <c r="BL1586" t="s">
        <v>69</v>
      </c>
      <c r="BM1586" t="s">
        <v>69</v>
      </c>
      <c r="BN1586">
        <v>13</v>
      </c>
      <c r="BO1586" t="s">
        <v>8660</v>
      </c>
      <c r="BP1586" t="s">
        <v>8661</v>
      </c>
      <c r="BQ1586" t="s">
        <v>8662</v>
      </c>
      <c r="BR1586" t="s">
        <v>21031</v>
      </c>
      <c r="BS1586" t="s">
        <v>2681</v>
      </c>
      <c r="BT1586" t="s">
        <v>69</v>
      </c>
      <c r="BU1586" t="s">
        <v>69</v>
      </c>
      <c r="BV1586" t="s">
        <v>69</v>
      </c>
      <c r="BW1586" t="s">
        <v>69</v>
      </c>
      <c r="BX1586" t="s">
        <v>8526</v>
      </c>
      <c r="BY1586" t="str">
        <f>HYPERLINK("https%3A%2F%2Fwww.webofscience.com%2Fwos%2Fwoscc%2Ffull-record%2FWOS:000390628900012","View Full Record in Web of Science")</f>
        <v>View Full Record in Web of Science</v>
      </c>
    </row>
    <row r="1587" spans="1:77" ht="12.5" x14ac:dyDescent="0.25">
      <c r="A1587" t="s">
        <v>8495</v>
      </c>
      <c r="B1587" s="7" t="s">
        <v>32933</v>
      </c>
      <c r="C1587" s="7"/>
      <c r="D1587" s="7"/>
      <c r="E1587" s="7"/>
      <c r="F1587" t="s">
        <v>67</v>
      </c>
      <c r="G1587" t="s">
        <v>1695</v>
      </c>
      <c r="H1587" t="s">
        <v>69</v>
      </c>
      <c r="I1587" t="s">
        <v>69</v>
      </c>
      <c r="J1587" t="s">
        <v>69</v>
      </c>
      <c r="K1587" t="s">
        <v>1695</v>
      </c>
      <c r="L1587" t="s">
        <v>69</v>
      </c>
      <c r="M1587" t="s">
        <v>69</v>
      </c>
      <c r="N1587" t="s">
        <v>1696</v>
      </c>
      <c r="O1587" t="s">
        <v>1697</v>
      </c>
      <c r="P1587" t="s">
        <v>69</v>
      </c>
      <c r="Q1587" t="s">
        <v>69</v>
      </c>
      <c r="R1587" t="s">
        <v>8505</v>
      </c>
      <c r="S1587" t="s">
        <v>8506</v>
      </c>
      <c r="T1587" t="s">
        <v>69</v>
      </c>
      <c r="U1587" t="s">
        <v>69</v>
      </c>
      <c r="V1587" t="s">
        <v>69</v>
      </c>
      <c r="W1587" t="s">
        <v>69</v>
      </c>
      <c r="X1587" t="s">
        <v>69</v>
      </c>
      <c r="Y1587" t="s">
        <v>69</v>
      </c>
      <c r="Z1587" t="s">
        <v>31484</v>
      </c>
      <c r="AA1587" t="s">
        <v>1698</v>
      </c>
      <c r="AB1587" t="s">
        <v>31485</v>
      </c>
      <c r="AC1587" t="s">
        <v>69</v>
      </c>
      <c r="AD1587" t="s">
        <v>31486</v>
      </c>
      <c r="AE1587" t="s">
        <v>31487</v>
      </c>
      <c r="AF1587" t="s">
        <v>1699</v>
      </c>
      <c r="AG1587" t="s">
        <v>31488</v>
      </c>
      <c r="AH1587" t="s">
        <v>69</v>
      </c>
      <c r="AI1587" t="s">
        <v>69</v>
      </c>
      <c r="AJ1587" t="s">
        <v>69</v>
      </c>
      <c r="AK1587" t="s">
        <v>69</v>
      </c>
      <c r="AL1587">
        <v>42</v>
      </c>
      <c r="AM1587">
        <v>51</v>
      </c>
      <c r="AN1587">
        <v>51</v>
      </c>
      <c r="AO1587">
        <v>0</v>
      </c>
      <c r="AP1587">
        <v>7</v>
      </c>
      <c r="AQ1587" t="s">
        <v>31489</v>
      </c>
      <c r="AR1587" t="s">
        <v>31490</v>
      </c>
      <c r="AS1587" t="s">
        <v>31491</v>
      </c>
      <c r="AT1587" t="s">
        <v>1700</v>
      </c>
      <c r="AU1587" t="s">
        <v>1701</v>
      </c>
      <c r="AV1587" t="s">
        <v>69</v>
      </c>
      <c r="AW1587" t="s">
        <v>31492</v>
      </c>
      <c r="AX1587" t="s">
        <v>31493</v>
      </c>
      <c r="AY1587" t="s">
        <v>94</v>
      </c>
      <c r="AZ1587">
        <v>2002</v>
      </c>
      <c r="BA1587">
        <v>96</v>
      </c>
      <c r="BB1587" t="s">
        <v>69</v>
      </c>
      <c r="BC1587" t="s">
        <v>69</v>
      </c>
      <c r="BD1587">
        <v>1</v>
      </c>
      <c r="BE1587" t="s">
        <v>69</v>
      </c>
      <c r="BF1587" t="s">
        <v>69</v>
      </c>
      <c r="BG1587">
        <v>41</v>
      </c>
      <c r="BH1587">
        <v>58</v>
      </c>
      <c r="BI1587" t="s">
        <v>69</v>
      </c>
      <c r="BJ1587" t="s">
        <v>1702</v>
      </c>
      <c r="BK1587" t="str">
        <f>HYPERLINK("http://dx.doi.org/10.1179/000349802125000646","http://dx.doi.org/10.1179/000349802125000646")</f>
        <v>http://dx.doi.org/10.1179/000349802125000646</v>
      </c>
      <c r="BL1587" t="s">
        <v>69</v>
      </c>
      <c r="BM1587" t="s">
        <v>69</v>
      </c>
      <c r="BN1587">
        <v>18</v>
      </c>
      <c r="BO1587" t="s">
        <v>31494</v>
      </c>
      <c r="BP1587" t="s">
        <v>8548</v>
      </c>
      <c r="BQ1587" t="s">
        <v>31494</v>
      </c>
      <c r="BR1587" t="s">
        <v>31495</v>
      </c>
      <c r="BS1587" t="s">
        <v>1703</v>
      </c>
      <c r="BT1587">
        <v>12081250</v>
      </c>
      <c r="BU1587" t="s">
        <v>69</v>
      </c>
      <c r="BV1587" t="s">
        <v>69</v>
      </c>
      <c r="BW1587" t="s">
        <v>69</v>
      </c>
      <c r="BX1587" t="s">
        <v>8526</v>
      </c>
      <c r="BY1587" t="str">
        <f>HYPERLINK("https%3A%2F%2Fwww.webofscience.com%2Fwos%2Fwoscc%2Ffull-record%2FWOS:000175180800005","View Full Record in Web of Science")</f>
        <v>View Full Record in Web of Science</v>
      </c>
    </row>
    <row r="1588" spans="1:77" x14ac:dyDescent="0.3">
      <c r="A1588" t="s">
        <v>8495</v>
      </c>
      <c r="B1588" s="9" t="s">
        <v>32954</v>
      </c>
      <c r="C1588" s="9" t="s">
        <v>33141</v>
      </c>
      <c r="D1588" s="10" t="s">
        <v>8490</v>
      </c>
      <c r="E1588" s="9" t="s">
        <v>8490</v>
      </c>
      <c r="F1588" t="s">
        <v>67</v>
      </c>
      <c r="G1588" t="s">
        <v>15401</v>
      </c>
      <c r="H1588" t="s">
        <v>69</v>
      </c>
      <c r="I1588" t="s">
        <v>69</v>
      </c>
      <c r="J1588" t="s">
        <v>69</v>
      </c>
      <c r="K1588" t="s">
        <v>15402</v>
      </c>
      <c r="L1588" t="s">
        <v>69</v>
      </c>
      <c r="M1588" t="s">
        <v>69</v>
      </c>
      <c r="N1588" t="s">
        <v>15403</v>
      </c>
      <c r="O1588" t="s">
        <v>15404</v>
      </c>
      <c r="P1588" t="s">
        <v>69</v>
      </c>
      <c r="Q1588" t="s">
        <v>69</v>
      </c>
      <c r="R1588" t="s">
        <v>8505</v>
      </c>
      <c r="S1588" t="s">
        <v>8506</v>
      </c>
      <c r="T1588" t="s">
        <v>69</v>
      </c>
      <c r="U1588" t="s">
        <v>69</v>
      </c>
      <c r="V1588" t="s">
        <v>69</v>
      </c>
      <c r="W1588" t="s">
        <v>69</v>
      </c>
      <c r="X1588" t="s">
        <v>69</v>
      </c>
      <c r="Y1588" t="s">
        <v>15405</v>
      </c>
      <c r="Z1588" t="s">
        <v>15406</v>
      </c>
      <c r="AA1588" t="s">
        <v>15407</v>
      </c>
      <c r="AB1588" t="s">
        <v>15408</v>
      </c>
      <c r="AC1588" t="s">
        <v>69</v>
      </c>
      <c r="AD1588" t="s">
        <v>15409</v>
      </c>
      <c r="AE1588" t="s">
        <v>15410</v>
      </c>
      <c r="AF1588" t="s">
        <v>69</v>
      </c>
      <c r="AG1588" t="s">
        <v>69</v>
      </c>
      <c r="AH1588" t="s">
        <v>69</v>
      </c>
      <c r="AI1588" t="s">
        <v>69</v>
      </c>
      <c r="AJ1588" t="s">
        <v>69</v>
      </c>
      <c r="AK1588" t="s">
        <v>69</v>
      </c>
      <c r="AL1588">
        <v>54</v>
      </c>
      <c r="AM1588">
        <v>4</v>
      </c>
      <c r="AN1588">
        <v>4</v>
      </c>
      <c r="AO1588">
        <v>3</v>
      </c>
      <c r="AP1588">
        <v>12</v>
      </c>
      <c r="AQ1588" t="s">
        <v>8865</v>
      </c>
      <c r="AR1588" t="s">
        <v>8612</v>
      </c>
      <c r="AS1588" t="s">
        <v>8866</v>
      </c>
      <c r="AT1588" t="s">
        <v>15411</v>
      </c>
      <c r="AU1588" t="s">
        <v>15412</v>
      </c>
      <c r="AV1588" t="s">
        <v>69</v>
      </c>
      <c r="AW1588" t="s">
        <v>15413</v>
      </c>
      <c r="AX1588" t="s">
        <v>15414</v>
      </c>
      <c r="AY1588" t="s">
        <v>4530</v>
      </c>
      <c r="AZ1588">
        <v>2021</v>
      </c>
      <c r="BA1588">
        <v>27</v>
      </c>
      <c r="BB1588">
        <v>4</v>
      </c>
      <c r="BC1588" t="s">
        <v>69</v>
      </c>
      <c r="BD1588" t="s">
        <v>69</v>
      </c>
      <c r="BE1588" t="s">
        <v>114</v>
      </c>
      <c r="BF1588" t="s">
        <v>69</v>
      </c>
      <c r="BG1588">
        <v>498</v>
      </c>
      <c r="BH1588">
        <v>512</v>
      </c>
      <c r="BI1588" t="s">
        <v>69</v>
      </c>
      <c r="BJ1588" t="s">
        <v>15415</v>
      </c>
      <c r="BK1588" t="str">
        <f>HYPERLINK("http://dx.doi.org/10.1080/13504622.2020.1752625","http://dx.doi.org/10.1080/13504622.2020.1752625")</f>
        <v>http://dx.doi.org/10.1080/13504622.2020.1752625</v>
      </c>
      <c r="BL1588" t="s">
        <v>69</v>
      </c>
      <c r="BM1588" t="s">
        <v>767</v>
      </c>
      <c r="BN1588">
        <v>15</v>
      </c>
      <c r="BO1588" t="s">
        <v>15416</v>
      </c>
      <c r="BP1588" t="s">
        <v>8661</v>
      </c>
      <c r="BQ1588" t="s">
        <v>15417</v>
      </c>
      <c r="BR1588" t="s">
        <v>15418</v>
      </c>
      <c r="BS1588" t="s">
        <v>15419</v>
      </c>
      <c r="BT1588" t="s">
        <v>69</v>
      </c>
      <c r="BU1588" t="s">
        <v>69</v>
      </c>
      <c r="BV1588" t="s">
        <v>69</v>
      </c>
      <c r="BW1588" t="s">
        <v>69</v>
      </c>
      <c r="BX1588" t="s">
        <v>8526</v>
      </c>
      <c r="BY1588" t="str">
        <f>HYPERLINK("https%3A%2F%2Fwww.webofscience.com%2Fwos%2Fwoscc%2Ffull-record%2FWOS:000527650100001","View Full Record in Web of Science")</f>
        <v>View Full Record in Web of Science</v>
      </c>
    </row>
    <row r="1589" spans="1:77" ht="12.5" x14ac:dyDescent="0.25">
      <c r="A1589" t="s">
        <v>8495</v>
      </c>
      <c r="B1589" s="22" t="s">
        <v>32931</v>
      </c>
      <c r="C1589" s="7"/>
      <c r="D1589" s="7"/>
      <c r="E1589" s="7"/>
      <c r="F1589" t="s">
        <v>67</v>
      </c>
      <c r="G1589" t="s">
        <v>12817</v>
      </c>
      <c r="H1589" t="s">
        <v>69</v>
      </c>
      <c r="I1589" t="s">
        <v>69</v>
      </c>
      <c r="J1589" t="s">
        <v>69</v>
      </c>
      <c r="K1589" t="s">
        <v>12818</v>
      </c>
      <c r="L1589" t="s">
        <v>69</v>
      </c>
      <c r="M1589" t="s">
        <v>69</v>
      </c>
      <c r="N1589" t="s">
        <v>12819</v>
      </c>
      <c r="O1589" t="s">
        <v>12820</v>
      </c>
      <c r="P1589" t="s">
        <v>69</v>
      </c>
      <c r="Q1589" t="s">
        <v>69</v>
      </c>
      <c r="R1589" t="s">
        <v>8505</v>
      </c>
      <c r="S1589" t="s">
        <v>8506</v>
      </c>
      <c r="T1589" t="s">
        <v>69</v>
      </c>
      <c r="U1589" t="s">
        <v>69</v>
      </c>
      <c r="V1589" t="s">
        <v>69</v>
      </c>
      <c r="W1589" t="s">
        <v>69</v>
      </c>
      <c r="X1589" t="s">
        <v>69</v>
      </c>
      <c r="Y1589" t="s">
        <v>69</v>
      </c>
      <c r="Z1589" t="s">
        <v>69</v>
      </c>
      <c r="AA1589" t="s">
        <v>12821</v>
      </c>
      <c r="AB1589" t="s">
        <v>12822</v>
      </c>
      <c r="AC1589" t="s">
        <v>69</v>
      </c>
      <c r="AD1589" t="s">
        <v>12823</v>
      </c>
      <c r="AE1589" t="s">
        <v>12824</v>
      </c>
      <c r="AF1589" t="s">
        <v>12825</v>
      </c>
      <c r="AG1589" t="s">
        <v>12826</v>
      </c>
      <c r="AH1589" t="s">
        <v>12827</v>
      </c>
      <c r="AI1589" t="s">
        <v>12828</v>
      </c>
      <c r="AJ1589" t="s">
        <v>12829</v>
      </c>
      <c r="AK1589" t="s">
        <v>69</v>
      </c>
      <c r="AL1589">
        <v>40</v>
      </c>
      <c r="AM1589">
        <v>3</v>
      </c>
      <c r="AN1589">
        <v>3</v>
      </c>
      <c r="AO1589">
        <v>2</v>
      </c>
      <c r="AP1589">
        <v>7</v>
      </c>
      <c r="AQ1589" t="s">
        <v>12830</v>
      </c>
      <c r="AR1589" t="s">
        <v>8763</v>
      </c>
      <c r="AS1589" t="s">
        <v>12831</v>
      </c>
      <c r="AT1589" t="s">
        <v>12832</v>
      </c>
      <c r="AU1589" t="s">
        <v>12833</v>
      </c>
      <c r="AV1589" t="s">
        <v>69</v>
      </c>
      <c r="AW1589" t="s">
        <v>12820</v>
      </c>
      <c r="AX1589" t="s">
        <v>12834</v>
      </c>
      <c r="AY1589" t="s">
        <v>12835</v>
      </c>
      <c r="AZ1589">
        <v>2021</v>
      </c>
      <c r="BA1589">
        <v>2021</v>
      </c>
      <c r="BB1589" t="s">
        <v>69</v>
      </c>
      <c r="BC1589" t="s">
        <v>69</v>
      </c>
      <c r="BD1589" t="s">
        <v>69</v>
      </c>
      <c r="BE1589" t="s">
        <v>69</v>
      </c>
      <c r="BF1589" t="s">
        <v>69</v>
      </c>
      <c r="BG1589" t="s">
        <v>69</v>
      </c>
      <c r="BH1589" t="s">
        <v>69</v>
      </c>
      <c r="BI1589">
        <v>5392170</v>
      </c>
      <c r="BJ1589" t="s">
        <v>12836</v>
      </c>
      <c r="BK1589" t="str">
        <f>HYPERLINK("http://dx.doi.org/10.1155/2021/5392170","http://dx.doi.org/10.1155/2021/5392170")</f>
        <v>http://dx.doi.org/10.1155/2021/5392170</v>
      </c>
      <c r="BL1589" t="s">
        <v>69</v>
      </c>
      <c r="BM1589" t="s">
        <v>69</v>
      </c>
      <c r="BN1589">
        <v>17</v>
      </c>
      <c r="BO1589" t="s">
        <v>12837</v>
      </c>
      <c r="BP1589" t="s">
        <v>8548</v>
      </c>
      <c r="BQ1589" t="s">
        <v>12838</v>
      </c>
      <c r="BR1589" t="s">
        <v>12839</v>
      </c>
      <c r="BS1589" t="s">
        <v>12840</v>
      </c>
      <c r="BT1589" t="s">
        <v>69</v>
      </c>
      <c r="BU1589" t="s">
        <v>8931</v>
      </c>
      <c r="BV1589" t="s">
        <v>69</v>
      </c>
      <c r="BW1589" t="s">
        <v>69</v>
      </c>
      <c r="BX1589" t="s">
        <v>8526</v>
      </c>
      <c r="BY1589" t="str">
        <f>HYPERLINK("https%3A%2F%2Fwww.webofscience.com%2Fwos%2Fwoscc%2Ffull-record%2FWOS:000629355300005","View Full Record in Web of Science")</f>
        <v>View Full Record in Web of Science</v>
      </c>
    </row>
    <row r="1590" spans="1:77" ht="12.5" x14ac:dyDescent="0.25">
      <c r="A1590" t="s">
        <v>8495</v>
      </c>
      <c r="B1590" s="22" t="s">
        <v>32931</v>
      </c>
      <c r="C1590" s="7"/>
      <c r="D1590" s="7"/>
      <c r="E1590" s="7"/>
      <c r="F1590" t="s">
        <v>67</v>
      </c>
      <c r="G1590" t="s">
        <v>26630</v>
      </c>
      <c r="H1590" t="s">
        <v>69</v>
      </c>
      <c r="I1590" t="s">
        <v>69</v>
      </c>
      <c r="J1590" t="s">
        <v>69</v>
      </c>
      <c r="K1590" t="s">
        <v>26631</v>
      </c>
      <c r="L1590" t="s">
        <v>69</v>
      </c>
      <c r="M1590" t="s">
        <v>69</v>
      </c>
      <c r="N1590" t="s">
        <v>26632</v>
      </c>
      <c r="O1590" t="s">
        <v>26633</v>
      </c>
      <c r="P1590" t="s">
        <v>69</v>
      </c>
      <c r="Q1590" t="s">
        <v>69</v>
      </c>
      <c r="R1590" t="s">
        <v>19054</v>
      </c>
      <c r="S1590" t="s">
        <v>8506</v>
      </c>
      <c r="T1590" t="s">
        <v>69</v>
      </c>
      <c r="U1590" t="s">
        <v>69</v>
      </c>
      <c r="V1590" t="s">
        <v>69</v>
      </c>
      <c r="W1590" t="s">
        <v>69</v>
      </c>
      <c r="X1590" t="s">
        <v>69</v>
      </c>
      <c r="Y1590" t="s">
        <v>26634</v>
      </c>
      <c r="Z1590" t="s">
        <v>69</v>
      </c>
      <c r="AA1590" t="s">
        <v>26635</v>
      </c>
      <c r="AB1590" t="s">
        <v>26636</v>
      </c>
      <c r="AC1590" t="s">
        <v>69</v>
      </c>
      <c r="AD1590" t="s">
        <v>26637</v>
      </c>
      <c r="AE1590" t="s">
        <v>26638</v>
      </c>
      <c r="AF1590" t="s">
        <v>69</v>
      </c>
      <c r="AG1590" t="s">
        <v>69</v>
      </c>
      <c r="AH1590" t="s">
        <v>69</v>
      </c>
      <c r="AI1590" t="s">
        <v>69</v>
      </c>
      <c r="AJ1590" t="s">
        <v>69</v>
      </c>
      <c r="AK1590" t="s">
        <v>69</v>
      </c>
      <c r="AL1590">
        <v>7</v>
      </c>
      <c r="AM1590">
        <v>0</v>
      </c>
      <c r="AN1590">
        <v>0</v>
      </c>
      <c r="AO1590">
        <v>0</v>
      </c>
      <c r="AP1590">
        <v>0</v>
      </c>
      <c r="AQ1590" t="s">
        <v>26639</v>
      </c>
      <c r="AR1590" t="s">
        <v>26640</v>
      </c>
      <c r="AS1590" t="s">
        <v>26641</v>
      </c>
      <c r="AT1590" t="s">
        <v>26642</v>
      </c>
      <c r="AU1590" t="s">
        <v>69</v>
      </c>
      <c r="AV1590" t="s">
        <v>69</v>
      </c>
      <c r="AW1590" t="s">
        <v>26643</v>
      </c>
      <c r="AX1590" t="s">
        <v>26644</v>
      </c>
      <c r="AY1590" t="s">
        <v>69</v>
      </c>
      <c r="AZ1590">
        <v>2012</v>
      </c>
      <c r="BA1590">
        <v>4</v>
      </c>
      <c r="BB1590" t="s">
        <v>69</v>
      </c>
      <c r="BC1590" t="s">
        <v>69</v>
      </c>
      <c r="BD1590" t="s">
        <v>69</v>
      </c>
      <c r="BE1590" t="s">
        <v>69</v>
      </c>
      <c r="BF1590" t="s">
        <v>69</v>
      </c>
      <c r="BG1590">
        <v>160</v>
      </c>
      <c r="BH1590">
        <v>170</v>
      </c>
      <c r="BI1590" t="s">
        <v>69</v>
      </c>
      <c r="BJ1590" t="s">
        <v>69</v>
      </c>
      <c r="BK1590" t="s">
        <v>69</v>
      </c>
      <c r="BL1590" t="s">
        <v>69</v>
      </c>
      <c r="BM1590" t="s">
        <v>69</v>
      </c>
      <c r="BN1590">
        <v>11</v>
      </c>
      <c r="BO1590" t="s">
        <v>8449</v>
      </c>
      <c r="BP1590" t="s">
        <v>8573</v>
      </c>
      <c r="BQ1590" t="s">
        <v>8449</v>
      </c>
      <c r="BR1590" t="s">
        <v>26645</v>
      </c>
      <c r="BS1590" t="s">
        <v>26646</v>
      </c>
      <c r="BT1590" t="s">
        <v>69</v>
      </c>
      <c r="BU1590" t="s">
        <v>69</v>
      </c>
      <c r="BV1590" t="s">
        <v>69</v>
      </c>
      <c r="BW1590" t="s">
        <v>69</v>
      </c>
      <c r="BX1590" t="s">
        <v>8526</v>
      </c>
      <c r="BY1590" t="str">
        <f>HYPERLINK("https%3A%2F%2Fwww.webofscience.com%2Fwos%2Fwoscc%2Ffull-record%2FWOS:000421399900021","View Full Record in Web of Science")</f>
        <v>View Full Record in Web of Science</v>
      </c>
    </row>
    <row r="1591" spans="1:77" x14ac:dyDescent="0.3">
      <c r="A1591" t="s">
        <v>8495</v>
      </c>
      <c r="B1591" s="9" t="s">
        <v>32948</v>
      </c>
      <c r="C1591" s="9" t="s">
        <v>33140</v>
      </c>
      <c r="D1591" s="10" t="s">
        <v>8490</v>
      </c>
      <c r="E1591" s="9" t="s">
        <v>8490</v>
      </c>
      <c r="F1591" t="s">
        <v>67</v>
      </c>
      <c r="G1591" t="s">
        <v>28934</v>
      </c>
      <c r="H1591" t="s">
        <v>69</v>
      </c>
      <c r="I1591" t="s">
        <v>69</v>
      </c>
      <c r="J1591" t="s">
        <v>69</v>
      </c>
      <c r="K1591" t="s">
        <v>28935</v>
      </c>
      <c r="L1591" t="s">
        <v>69</v>
      </c>
      <c r="M1591" t="s">
        <v>69</v>
      </c>
      <c r="N1591" t="s">
        <v>28936</v>
      </c>
      <c r="O1591" t="s">
        <v>4526</v>
      </c>
      <c r="P1591" t="s">
        <v>69</v>
      </c>
      <c r="Q1591" t="s">
        <v>69</v>
      </c>
      <c r="R1591" t="s">
        <v>8505</v>
      </c>
      <c r="S1591" t="s">
        <v>8506</v>
      </c>
      <c r="T1591" t="s">
        <v>69</v>
      </c>
      <c r="U1591" t="s">
        <v>69</v>
      </c>
      <c r="V1591" t="s">
        <v>69</v>
      </c>
      <c r="W1591" t="s">
        <v>69</v>
      </c>
      <c r="X1591" t="s">
        <v>69</v>
      </c>
      <c r="Y1591" t="s">
        <v>28937</v>
      </c>
      <c r="Z1591" t="s">
        <v>69</v>
      </c>
      <c r="AA1591" t="s">
        <v>28938</v>
      </c>
      <c r="AB1591" t="s">
        <v>28939</v>
      </c>
      <c r="AC1591" t="s">
        <v>69</v>
      </c>
      <c r="AD1591" t="s">
        <v>28940</v>
      </c>
      <c r="AE1591" t="s">
        <v>28941</v>
      </c>
      <c r="AF1591" t="s">
        <v>69</v>
      </c>
      <c r="AG1591" t="s">
        <v>69</v>
      </c>
      <c r="AH1591" t="s">
        <v>28942</v>
      </c>
      <c r="AI1591" t="s">
        <v>28942</v>
      </c>
      <c r="AJ1591" t="s">
        <v>28943</v>
      </c>
      <c r="AK1591" t="s">
        <v>69</v>
      </c>
      <c r="AL1591">
        <v>30</v>
      </c>
      <c r="AM1591">
        <v>8</v>
      </c>
      <c r="AN1591">
        <v>9</v>
      </c>
      <c r="AO1591">
        <v>1</v>
      </c>
      <c r="AP1591">
        <v>5</v>
      </c>
      <c r="AQ1591" t="s">
        <v>8865</v>
      </c>
      <c r="AR1591" t="s">
        <v>8612</v>
      </c>
      <c r="AS1591" t="s">
        <v>8866</v>
      </c>
      <c r="AT1591" t="s">
        <v>4528</v>
      </c>
      <c r="AU1591" t="s">
        <v>4529</v>
      </c>
      <c r="AV1591" t="s">
        <v>69</v>
      </c>
      <c r="AW1591" t="s">
        <v>17346</v>
      </c>
      <c r="AX1591" t="s">
        <v>17347</v>
      </c>
      <c r="AY1591" t="s">
        <v>69</v>
      </c>
      <c r="AZ1591">
        <v>2009</v>
      </c>
      <c r="BA1591">
        <v>14</v>
      </c>
      <c r="BB1591">
        <v>1</v>
      </c>
      <c r="BC1591" t="s">
        <v>69</v>
      </c>
      <c r="BD1591" t="s">
        <v>69</v>
      </c>
      <c r="BE1591" t="s">
        <v>69</v>
      </c>
      <c r="BF1591" t="s">
        <v>69</v>
      </c>
      <c r="BG1591">
        <v>61</v>
      </c>
      <c r="BH1591">
        <v>71</v>
      </c>
      <c r="BI1591" t="s">
        <v>69</v>
      </c>
      <c r="BJ1591" t="s">
        <v>28944</v>
      </c>
      <c r="BK1591" t="str">
        <f>HYPERLINK("http://dx.doi.org/10.1080/13549830802522533","http://dx.doi.org/10.1080/13549830802522533")</f>
        <v>http://dx.doi.org/10.1080/13549830802522533</v>
      </c>
      <c r="BL1591" t="s">
        <v>69</v>
      </c>
      <c r="BM1591" t="s">
        <v>69</v>
      </c>
      <c r="BN1591">
        <v>11</v>
      </c>
      <c r="BO1591" t="s">
        <v>17348</v>
      </c>
      <c r="BP1591" t="s">
        <v>8573</v>
      </c>
      <c r="BQ1591" t="s">
        <v>17349</v>
      </c>
      <c r="BR1591" t="s">
        <v>28945</v>
      </c>
      <c r="BS1591" t="s">
        <v>28946</v>
      </c>
      <c r="BT1591" t="s">
        <v>69</v>
      </c>
      <c r="BU1591" t="s">
        <v>69</v>
      </c>
      <c r="BV1591" t="s">
        <v>69</v>
      </c>
      <c r="BW1591" t="s">
        <v>69</v>
      </c>
      <c r="BX1591" t="s">
        <v>8526</v>
      </c>
      <c r="BY1591" t="str">
        <f>HYPERLINK("https%3A%2F%2Fwww.webofscience.com%2Fwos%2Fwoscc%2Ffull-record%2FWOS:000212037300005","View Full Record in Web of Science")</f>
        <v>View Full Record in Web of Science</v>
      </c>
    </row>
    <row r="1592" spans="1:77" ht="12.5" x14ac:dyDescent="0.25">
      <c r="A1592" t="s">
        <v>8495</v>
      </c>
      <c r="B1592" s="22" t="s">
        <v>32931</v>
      </c>
      <c r="C1592" s="7"/>
      <c r="D1592" s="7"/>
      <c r="E1592" s="7"/>
      <c r="F1592" t="s">
        <v>67</v>
      </c>
      <c r="G1592" t="s">
        <v>14064</v>
      </c>
      <c r="H1592" t="s">
        <v>69</v>
      </c>
      <c r="I1592" t="s">
        <v>69</v>
      </c>
      <c r="J1592" t="s">
        <v>69</v>
      </c>
      <c r="K1592" t="s">
        <v>14065</v>
      </c>
      <c r="L1592" t="s">
        <v>69</v>
      </c>
      <c r="M1592" t="s">
        <v>69</v>
      </c>
      <c r="N1592" t="s">
        <v>14066</v>
      </c>
      <c r="O1592" t="s">
        <v>3199</v>
      </c>
      <c r="P1592" t="s">
        <v>69</v>
      </c>
      <c r="Q1592" t="s">
        <v>69</v>
      </c>
      <c r="R1592" t="s">
        <v>8505</v>
      </c>
      <c r="S1592" t="s">
        <v>8506</v>
      </c>
      <c r="T1592" t="s">
        <v>69</v>
      </c>
      <c r="U1592" t="s">
        <v>69</v>
      </c>
      <c r="V1592" t="s">
        <v>69</v>
      </c>
      <c r="W1592" t="s">
        <v>69</v>
      </c>
      <c r="X1592" t="s">
        <v>69</v>
      </c>
      <c r="Y1592" t="s">
        <v>14067</v>
      </c>
      <c r="Z1592" t="s">
        <v>14068</v>
      </c>
      <c r="AA1592" t="s">
        <v>14069</v>
      </c>
      <c r="AB1592" t="s">
        <v>14070</v>
      </c>
      <c r="AC1592" t="s">
        <v>69</v>
      </c>
      <c r="AD1592" t="s">
        <v>14071</v>
      </c>
      <c r="AE1592" t="s">
        <v>14072</v>
      </c>
      <c r="AF1592" t="s">
        <v>14073</v>
      </c>
      <c r="AG1592" t="s">
        <v>14074</v>
      </c>
      <c r="AH1592" t="s">
        <v>14075</v>
      </c>
      <c r="AI1592" t="s">
        <v>14076</v>
      </c>
      <c r="AJ1592" t="s">
        <v>14077</v>
      </c>
      <c r="AK1592" t="s">
        <v>69</v>
      </c>
      <c r="AL1592">
        <v>79</v>
      </c>
      <c r="AM1592">
        <v>2</v>
      </c>
      <c r="AN1592">
        <v>2</v>
      </c>
      <c r="AO1592">
        <v>4</v>
      </c>
      <c r="AP1592">
        <v>15</v>
      </c>
      <c r="AQ1592" t="s">
        <v>8636</v>
      </c>
      <c r="AR1592" t="s">
        <v>8637</v>
      </c>
      <c r="AS1592" t="s">
        <v>8638</v>
      </c>
      <c r="AT1592" t="s">
        <v>3201</v>
      </c>
      <c r="AU1592" t="s">
        <v>3202</v>
      </c>
      <c r="AV1592" t="s">
        <v>69</v>
      </c>
      <c r="AW1592" t="s">
        <v>14078</v>
      </c>
      <c r="AX1592" t="s">
        <v>14079</v>
      </c>
      <c r="AY1592" t="s">
        <v>274</v>
      </c>
      <c r="AZ1592">
        <v>2020</v>
      </c>
      <c r="BA1592">
        <v>83</v>
      </c>
      <c r="BB1592" t="s">
        <v>69</v>
      </c>
      <c r="BC1592" t="s">
        <v>69</v>
      </c>
      <c r="BD1592" t="s">
        <v>69</v>
      </c>
      <c r="BE1592" t="s">
        <v>69</v>
      </c>
      <c r="BF1592" t="s">
        <v>69</v>
      </c>
      <c r="BG1592" t="s">
        <v>69</v>
      </c>
      <c r="BH1592" t="s">
        <v>69</v>
      </c>
      <c r="BI1592">
        <v>102272</v>
      </c>
      <c r="BJ1592" t="s">
        <v>14080</v>
      </c>
      <c r="BK1592" t="str">
        <f>HYPERLINK("http://dx.doi.org/10.1016/j.polgeo.2020.102272","http://dx.doi.org/10.1016/j.polgeo.2020.102272")</f>
        <v>http://dx.doi.org/10.1016/j.polgeo.2020.102272</v>
      </c>
      <c r="BL1592" t="s">
        <v>69</v>
      </c>
      <c r="BM1592" t="s">
        <v>69</v>
      </c>
      <c r="BN1592">
        <v>12</v>
      </c>
      <c r="BO1592" t="s">
        <v>14081</v>
      </c>
      <c r="BP1592" t="s">
        <v>8661</v>
      </c>
      <c r="BQ1592" t="s">
        <v>14082</v>
      </c>
      <c r="BR1592" t="s">
        <v>14083</v>
      </c>
      <c r="BS1592" t="s">
        <v>14084</v>
      </c>
      <c r="BT1592" t="s">
        <v>69</v>
      </c>
      <c r="BU1592" t="s">
        <v>69</v>
      </c>
      <c r="BV1592" t="s">
        <v>69</v>
      </c>
      <c r="BW1592" t="s">
        <v>69</v>
      </c>
      <c r="BX1592" t="s">
        <v>8526</v>
      </c>
      <c r="BY1592" t="str">
        <f>HYPERLINK("https%3A%2F%2Fwww.webofscience.com%2Fwos%2Fwoscc%2Ffull-record%2FWOS:000602373100017","View Full Record in Web of Science")</f>
        <v>View Full Record in Web of Science</v>
      </c>
    </row>
    <row r="1593" spans="1:77" ht="12.5" x14ac:dyDescent="0.25">
      <c r="A1593" t="s">
        <v>8495</v>
      </c>
      <c r="B1593" s="7" t="s">
        <v>32933</v>
      </c>
      <c r="C1593" s="7"/>
      <c r="D1593" s="7"/>
      <c r="E1593" s="7"/>
      <c r="F1593" t="s">
        <v>67</v>
      </c>
      <c r="G1593" t="s">
        <v>1473</v>
      </c>
      <c r="H1593" t="s">
        <v>69</v>
      </c>
      <c r="I1593" t="s">
        <v>69</v>
      </c>
      <c r="J1593" t="s">
        <v>69</v>
      </c>
      <c r="K1593" t="s">
        <v>1474</v>
      </c>
      <c r="L1593" t="s">
        <v>69</v>
      </c>
      <c r="M1593" t="s">
        <v>69</v>
      </c>
      <c r="N1593" t="s">
        <v>1475</v>
      </c>
      <c r="O1593" t="s">
        <v>929</v>
      </c>
      <c r="P1593" t="s">
        <v>69</v>
      </c>
      <c r="Q1593" t="s">
        <v>69</v>
      </c>
      <c r="R1593" t="s">
        <v>8505</v>
      </c>
      <c r="S1593" t="s">
        <v>8506</v>
      </c>
      <c r="T1593" t="s">
        <v>69</v>
      </c>
      <c r="U1593" t="s">
        <v>69</v>
      </c>
      <c r="V1593" t="s">
        <v>69</v>
      </c>
      <c r="W1593" t="s">
        <v>69</v>
      </c>
      <c r="X1593" t="s">
        <v>69</v>
      </c>
      <c r="Y1593" t="s">
        <v>26439</v>
      </c>
      <c r="Z1593" t="s">
        <v>69</v>
      </c>
      <c r="AA1593" t="s">
        <v>1476</v>
      </c>
      <c r="AB1593" t="s">
        <v>26440</v>
      </c>
      <c r="AC1593" t="s">
        <v>69</v>
      </c>
      <c r="AD1593" t="s">
        <v>26441</v>
      </c>
      <c r="AE1593" t="s">
        <v>26442</v>
      </c>
      <c r="AF1593" t="s">
        <v>18146</v>
      </c>
      <c r="AG1593" t="s">
        <v>18147</v>
      </c>
      <c r="AH1593" t="s">
        <v>26443</v>
      </c>
      <c r="AI1593" t="s">
        <v>26444</v>
      </c>
      <c r="AJ1593" t="s">
        <v>26445</v>
      </c>
      <c r="AK1593" t="s">
        <v>69</v>
      </c>
      <c r="AL1593">
        <v>42</v>
      </c>
      <c r="AM1593">
        <v>30</v>
      </c>
      <c r="AN1593">
        <v>35</v>
      </c>
      <c r="AO1593">
        <v>0</v>
      </c>
      <c r="AP1593">
        <v>0</v>
      </c>
      <c r="AQ1593" t="s">
        <v>8865</v>
      </c>
      <c r="AR1593" t="s">
        <v>8612</v>
      </c>
      <c r="AS1593" t="s">
        <v>8866</v>
      </c>
      <c r="AT1593" t="s">
        <v>931</v>
      </c>
      <c r="AU1593" t="s">
        <v>932</v>
      </c>
      <c r="AV1593" t="s">
        <v>69</v>
      </c>
      <c r="AW1593" t="s">
        <v>15975</v>
      </c>
      <c r="AX1593" t="s">
        <v>15976</v>
      </c>
      <c r="AY1593" t="s">
        <v>69</v>
      </c>
      <c r="AZ1593">
        <v>2012</v>
      </c>
      <c r="BA1593">
        <v>30</v>
      </c>
      <c r="BB1593">
        <v>4</v>
      </c>
      <c r="BC1593" t="s">
        <v>69</v>
      </c>
      <c r="BD1593" t="s">
        <v>69</v>
      </c>
      <c r="BE1593" t="s">
        <v>69</v>
      </c>
      <c r="BF1593" t="s">
        <v>69</v>
      </c>
      <c r="BG1593">
        <v>217</v>
      </c>
      <c r="BH1593">
        <v>228</v>
      </c>
      <c r="BI1593" t="s">
        <v>69</v>
      </c>
      <c r="BJ1593" t="s">
        <v>1477</v>
      </c>
      <c r="BK1593" t="str">
        <f>HYPERLINK("http://dx.doi.org/10.1080/14615517.2012.746828","http://dx.doi.org/10.1080/14615517.2012.746828")</f>
        <v>http://dx.doi.org/10.1080/14615517.2012.746828</v>
      </c>
      <c r="BL1593" t="s">
        <v>69</v>
      </c>
      <c r="BM1593" t="s">
        <v>69</v>
      </c>
      <c r="BN1593">
        <v>12</v>
      </c>
      <c r="BO1593" t="s">
        <v>8660</v>
      </c>
      <c r="BP1593" t="s">
        <v>8661</v>
      </c>
      <c r="BQ1593" t="s">
        <v>8662</v>
      </c>
      <c r="BR1593" t="s">
        <v>26446</v>
      </c>
      <c r="BS1593" t="s">
        <v>1478</v>
      </c>
      <c r="BT1593" t="s">
        <v>69</v>
      </c>
      <c r="BU1593" t="s">
        <v>9374</v>
      </c>
      <c r="BV1593" t="s">
        <v>69</v>
      </c>
      <c r="BW1593" t="s">
        <v>69</v>
      </c>
      <c r="BX1593" t="s">
        <v>8526</v>
      </c>
      <c r="BY1593" t="str">
        <f>HYPERLINK("https%3A%2F%2Fwww.webofscience.com%2Fwos%2Fwoscc%2Ffull-record%2FWOS:000495582100001","View Full Record in Web of Science")</f>
        <v>View Full Record in Web of Science</v>
      </c>
    </row>
    <row r="1594" spans="1:77" ht="12.5" x14ac:dyDescent="0.25">
      <c r="A1594" t="s">
        <v>8495</v>
      </c>
      <c r="B1594" s="22" t="s">
        <v>32931</v>
      </c>
      <c r="C1594" s="7"/>
      <c r="D1594" s="7"/>
      <c r="E1594" s="7"/>
      <c r="F1594" t="s">
        <v>67</v>
      </c>
      <c r="G1594" t="s">
        <v>28325</v>
      </c>
      <c r="H1594" t="s">
        <v>69</v>
      </c>
      <c r="I1594" t="s">
        <v>69</v>
      </c>
      <c r="J1594" t="s">
        <v>69</v>
      </c>
      <c r="K1594" t="s">
        <v>28326</v>
      </c>
      <c r="L1594" t="s">
        <v>69</v>
      </c>
      <c r="M1594" t="s">
        <v>69</v>
      </c>
      <c r="N1594" t="s">
        <v>28327</v>
      </c>
      <c r="O1594" t="s">
        <v>28328</v>
      </c>
      <c r="P1594" t="s">
        <v>69</v>
      </c>
      <c r="Q1594" t="s">
        <v>69</v>
      </c>
      <c r="R1594" t="s">
        <v>8505</v>
      </c>
      <c r="S1594" t="s">
        <v>8506</v>
      </c>
      <c r="T1594" t="s">
        <v>69</v>
      </c>
      <c r="U1594" t="s">
        <v>69</v>
      </c>
      <c r="V1594" t="s">
        <v>69</v>
      </c>
      <c r="W1594" t="s">
        <v>69</v>
      </c>
      <c r="X1594" t="s">
        <v>69</v>
      </c>
      <c r="Y1594" t="s">
        <v>28329</v>
      </c>
      <c r="Z1594" t="s">
        <v>28330</v>
      </c>
      <c r="AA1594" t="s">
        <v>28331</v>
      </c>
      <c r="AB1594" t="s">
        <v>28332</v>
      </c>
      <c r="AC1594" t="s">
        <v>69</v>
      </c>
      <c r="AD1594" t="s">
        <v>28333</v>
      </c>
      <c r="AE1594" t="s">
        <v>28334</v>
      </c>
      <c r="AF1594" t="s">
        <v>28335</v>
      </c>
      <c r="AG1594" t="s">
        <v>28336</v>
      </c>
      <c r="AH1594" t="s">
        <v>69</v>
      </c>
      <c r="AI1594" t="s">
        <v>69</v>
      </c>
      <c r="AJ1594" t="s">
        <v>69</v>
      </c>
      <c r="AK1594" t="s">
        <v>69</v>
      </c>
      <c r="AL1594">
        <v>69</v>
      </c>
      <c r="AM1594">
        <v>30</v>
      </c>
      <c r="AN1594">
        <v>30</v>
      </c>
      <c r="AO1594">
        <v>1</v>
      </c>
      <c r="AP1594">
        <v>18</v>
      </c>
      <c r="AQ1594" t="s">
        <v>9554</v>
      </c>
      <c r="AR1594" t="s">
        <v>9555</v>
      </c>
      <c r="AS1594" t="s">
        <v>9556</v>
      </c>
      <c r="AT1594" t="s">
        <v>28337</v>
      </c>
      <c r="AU1594" t="s">
        <v>69</v>
      </c>
      <c r="AV1594" t="s">
        <v>69</v>
      </c>
      <c r="AW1594" t="s">
        <v>28338</v>
      </c>
      <c r="AX1594" t="s">
        <v>28339</v>
      </c>
      <c r="AY1594" t="s">
        <v>75</v>
      </c>
      <c r="AZ1594">
        <v>2009</v>
      </c>
      <c r="BA1594">
        <v>46</v>
      </c>
      <c r="BB1594">
        <v>4</v>
      </c>
      <c r="BC1594" t="s">
        <v>69</v>
      </c>
      <c r="BD1594" t="s">
        <v>69</v>
      </c>
      <c r="BE1594" t="s">
        <v>69</v>
      </c>
      <c r="BF1594" t="s">
        <v>69</v>
      </c>
      <c r="BG1594">
        <v>1034</v>
      </c>
      <c r="BH1594">
        <v>1059</v>
      </c>
      <c r="BI1594" t="s">
        <v>69</v>
      </c>
      <c r="BJ1594" t="s">
        <v>28340</v>
      </c>
      <c r="BK1594" t="str">
        <f>HYPERLINK("http://dx.doi.org/10.3102/0002831209334843","http://dx.doi.org/10.3102/0002831209334843")</f>
        <v>http://dx.doi.org/10.3102/0002831209334843</v>
      </c>
      <c r="BL1594" t="s">
        <v>69</v>
      </c>
      <c r="BM1594" t="s">
        <v>69</v>
      </c>
      <c r="BN1594">
        <v>26</v>
      </c>
      <c r="BO1594" t="s">
        <v>9290</v>
      </c>
      <c r="BP1594" t="s">
        <v>8661</v>
      </c>
      <c r="BQ1594" t="s">
        <v>9290</v>
      </c>
      <c r="BR1594" t="s">
        <v>28341</v>
      </c>
      <c r="BS1594" t="s">
        <v>28342</v>
      </c>
      <c r="BT1594" t="s">
        <v>69</v>
      </c>
      <c r="BU1594" t="s">
        <v>69</v>
      </c>
      <c r="BV1594" t="s">
        <v>69</v>
      </c>
      <c r="BW1594" t="s">
        <v>69</v>
      </c>
      <c r="BX1594" t="s">
        <v>8526</v>
      </c>
      <c r="BY1594" t="str">
        <f>HYPERLINK("https%3A%2F%2Fwww.webofscience.com%2Fwos%2Fwoscc%2Ffull-record%2FWOS:000271964600006","View Full Record in Web of Science")</f>
        <v>View Full Record in Web of Science</v>
      </c>
    </row>
    <row r="1595" spans="1:77" ht="12.5" x14ac:dyDescent="0.25">
      <c r="A1595" t="s">
        <v>8495</v>
      </c>
      <c r="B1595" s="7" t="s">
        <v>32933</v>
      </c>
      <c r="C1595" s="7"/>
      <c r="D1595" s="7"/>
      <c r="E1595" s="7"/>
      <c r="F1595" t="s">
        <v>67</v>
      </c>
      <c r="G1595" t="s">
        <v>4034</v>
      </c>
      <c r="H1595" t="s">
        <v>69</v>
      </c>
      <c r="I1595" t="s">
        <v>69</v>
      </c>
      <c r="J1595" t="s">
        <v>69</v>
      </c>
      <c r="K1595" t="s">
        <v>4034</v>
      </c>
      <c r="L1595" t="s">
        <v>69</v>
      </c>
      <c r="M1595" t="s">
        <v>69</v>
      </c>
      <c r="N1595" t="s">
        <v>4035</v>
      </c>
      <c r="O1595" t="s">
        <v>3658</v>
      </c>
      <c r="P1595" t="s">
        <v>69</v>
      </c>
      <c r="Q1595" t="s">
        <v>69</v>
      </c>
      <c r="R1595" t="s">
        <v>8505</v>
      </c>
      <c r="S1595" t="s">
        <v>8506</v>
      </c>
      <c r="T1595" t="s">
        <v>69</v>
      </c>
      <c r="U1595" t="s">
        <v>69</v>
      </c>
      <c r="V1595" t="s">
        <v>69</v>
      </c>
      <c r="W1595" t="s">
        <v>69</v>
      </c>
      <c r="X1595" t="s">
        <v>69</v>
      </c>
      <c r="Y1595" t="s">
        <v>69</v>
      </c>
      <c r="Z1595" t="s">
        <v>31500</v>
      </c>
      <c r="AA1595" t="s">
        <v>4036</v>
      </c>
      <c r="AB1595" t="s">
        <v>31501</v>
      </c>
      <c r="AC1595" t="s">
        <v>69</v>
      </c>
      <c r="AD1595" t="s">
        <v>31502</v>
      </c>
      <c r="AE1595" t="s">
        <v>31503</v>
      </c>
      <c r="AF1595" t="s">
        <v>69</v>
      </c>
      <c r="AG1595" t="s">
        <v>69</v>
      </c>
      <c r="AH1595" t="s">
        <v>69</v>
      </c>
      <c r="AI1595" t="s">
        <v>69</v>
      </c>
      <c r="AJ1595" t="s">
        <v>69</v>
      </c>
      <c r="AK1595" t="s">
        <v>69</v>
      </c>
      <c r="AL1595">
        <v>52</v>
      </c>
      <c r="AM1595">
        <v>14</v>
      </c>
      <c r="AN1595">
        <v>14</v>
      </c>
      <c r="AO1595">
        <v>1</v>
      </c>
      <c r="AP1595">
        <v>6</v>
      </c>
      <c r="AQ1595" t="s">
        <v>8865</v>
      </c>
      <c r="AR1595" t="s">
        <v>8612</v>
      </c>
      <c r="AS1595" t="s">
        <v>8866</v>
      </c>
      <c r="AT1595" t="s">
        <v>3660</v>
      </c>
      <c r="AU1595" t="s">
        <v>3661</v>
      </c>
      <c r="AV1595" t="s">
        <v>69</v>
      </c>
      <c r="AW1595" t="s">
        <v>17632</v>
      </c>
      <c r="AX1595" t="s">
        <v>17633</v>
      </c>
      <c r="AY1595" t="s">
        <v>69</v>
      </c>
      <c r="AZ1595">
        <v>2002</v>
      </c>
      <c r="BA1595">
        <v>13</v>
      </c>
      <c r="BB1595">
        <v>3</v>
      </c>
      <c r="BC1595" t="s">
        <v>69</v>
      </c>
      <c r="BD1595" t="s">
        <v>69</v>
      </c>
      <c r="BE1595" t="s">
        <v>69</v>
      </c>
      <c r="BF1595" t="s">
        <v>69</v>
      </c>
      <c r="BG1595">
        <v>151</v>
      </c>
      <c r="BH1595">
        <v>183</v>
      </c>
      <c r="BI1595" t="s">
        <v>69</v>
      </c>
      <c r="BJ1595" t="s">
        <v>4037</v>
      </c>
      <c r="BK1595" t="str">
        <f>HYPERLINK("http://dx.doi.org/10.1207/S1532768XJEPC1303_02","http://dx.doi.org/10.1207/S1532768XJEPC1303_02")</f>
        <v>http://dx.doi.org/10.1207/S1532768XJEPC1303_02</v>
      </c>
      <c r="BL1595" t="s">
        <v>69</v>
      </c>
      <c r="BM1595" t="s">
        <v>69</v>
      </c>
      <c r="BN1595">
        <v>33</v>
      </c>
      <c r="BO1595" t="s">
        <v>11114</v>
      </c>
      <c r="BP1595" t="s">
        <v>8661</v>
      </c>
      <c r="BQ1595" t="s">
        <v>9001</v>
      </c>
      <c r="BR1595" t="s">
        <v>31504</v>
      </c>
      <c r="BS1595" t="s">
        <v>4038</v>
      </c>
      <c r="BT1595" t="s">
        <v>69</v>
      </c>
      <c r="BU1595" t="s">
        <v>69</v>
      </c>
      <c r="BV1595" t="s">
        <v>69</v>
      </c>
      <c r="BW1595" t="s">
        <v>69</v>
      </c>
      <c r="BX1595" t="s">
        <v>8526</v>
      </c>
      <c r="BY1595" t="str">
        <f>HYPERLINK("https%3A%2F%2Fwww.webofscience.com%2Fwos%2Fwoscc%2Ffull-record%2FWOS:000181818100001","View Full Record in Web of Science")</f>
        <v>View Full Record in Web of Science</v>
      </c>
    </row>
    <row r="1596" spans="1:77" ht="12.5" x14ac:dyDescent="0.25">
      <c r="A1596" t="s">
        <v>8495</v>
      </c>
      <c r="B1596" s="7" t="s">
        <v>32933</v>
      </c>
      <c r="C1596" s="7"/>
      <c r="D1596" s="7"/>
      <c r="E1596" s="7"/>
      <c r="F1596" t="s">
        <v>67</v>
      </c>
      <c r="G1596" t="s">
        <v>2900</v>
      </c>
      <c r="H1596" t="s">
        <v>69</v>
      </c>
      <c r="I1596" t="s">
        <v>69</v>
      </c>
      <c r="J1596" t="s">
        <v>69</v>
      </c>
      <c r="K1596" t="s">
        <v>2901</v>
      </c>
      <c r="L1596" t="s">
        <v>69</v>
      </c>
      <c r="M1596" t="s">
        <v>69</v>
      </c>
      <c r="N1596" t="s">
        <v>2902</v>
      </c>
      <c r="O1596" t="s">
        <v>2903</v>
      </c>
      <c r="P1596" t="s">
        <v>69</v>
      </c>
      <c r="Q1596" t="s">
        <v>69</v>
      </c>
      <c r="R1596" t="s">
        <v>8505</v>
      </c>
      <c r="S1596" t="s">
        <v>8506</v>
      </c>
      <c r="T1596" t="s">
        <v>69</v>
      </c>
      <c r="U1596" t="s">
        <v>69</v>
      </c>
      <c r="V1596" t="s">
        <v>69</v>
      </c>
      <c r="W1596" t="s">
        <v>69</v>
      </c>
      <c r="X1596" t="s">
        <v>69</v>
      </c>
      <c r="Y1596" t="s">
        <v>21796</v>
      </c>
      <c r="Z1596" t="s">
        <v>21797</v>
      </c>
      <c r="AA1596" t="s">
        <v>2904</v>
      </c>
      <c r="AB1596" t="s">
        <v>21798</v>
      </c>
      <c r="AC1596" t="s">
        <v>69</v>
      </c>
      <c r="AD1596" t="s">
        <v>21799</v>
      </c>
      <c r="AE1596" t="s">
        <v>21800</v>
      </c>
      <c r="AF1596" t="s">
        <v>69</v>
      </c>
      <c r="AG1596" t="s">
        <v>69</v>
      </c>
      <c r="AH1596" t="s">
        <v>69</v>
      </c>
      <c r="AI1596" t="s">
        <v>69</v>
      </c>
      <c r="AJ1596" t="s">
        <v>69</v>
      </c>
      <c r="AK1596" t="s">
        <v>69</v>
      </c>
      <c r="AL1596">
        <v>20</v>
      </c>
      <c r="AM1596">
        <v>2</v>
      </c>
      <c r="AN1596">
        <v>2</v>
      </c>
      <c r="AO1596">
        <v>3</v>
      </c>
      <c r="AP1596">
        <v>22</v>
      </c>
      <c r="AQ1596" t="s">
        <v>21801</v>
      </c>
      <c r="AR1596" t="s">
        <v>21802</v>
      </c>
      <c r="AS1596" t="s">
        <v>21803</v>
      </c>
      <c r="AT1596" t="s">
        <v>2905</v>
      </c>
      <c r="AU1596" t="s">
        <v>2906</v>
      </c>
      <c r="AV1596" t="s">
        <v>69</v>
      </c>
      <c r="AW1596" t="s">
        <v>21804</v>
      </c>
      <c r="AX1596" t="s">
        <v>21805</v>
      </c>
      <c r="AY1596" t="s">
        <v>191</v>
      </c>
      <c r="AZ1596">
        <v>2016</v>
      </c>
      <c r="BA1596">
        <v>3</v>
      </c>
      <c r="BB1596">
        <v>2</v>
      </c>
      <c r="BC1596" t="s">
        <v>69</v>
      </c>
      <c r="BD1596" t="s">
        <v>69</v>
      </c>
      <c r="BE1596" t="s">
        <v>69</v>
      </c>
      <c r="BF1596" t="s">
        <v>69</v>
      </c>
      <c r="BG1596">
        <v>11</v>
      </c>
      <c r="BH1596">
        <v>14</v>
      </c>
      <c r="BI1596" t="s">
        <v>69</v>
      </c>
      <c r="BJ1596" t="s">
        <v>69</v>
      </c>
      <c r="BK1596" t="s">
        <v>69</v>
      </c>
      <c r="BL1596" t="s">
        <v>69</v>
      </c>
      <c r="BM1596" t="s">
        <v>69</v>
      </c>
      <c r="BN1596">
        <v>4</v>
      </c>
      <c r="BO1596" t="s">
        <v>8619</v>
      </c>
      <c r="BP1596" t="s">
        <v>8573</v>
      </c>
      <c r="BQ1596" t="s">
        <v>8620</v>
      </c>
      <c r="BR1596" t="s">
        <v>21806</v>
      </c>
      <c r="BS1596" t="s">
        <v>2907</v>
      </c>
      <c r="BT1596" t="s">
        <v>69</v>
      </c>
      <c r="BU1596" t="s">
        <v>69</v>
      </c>
      <c r="BV1596" t="s">
        <v>69</v>
      </c>
      <c r="BW1596" t="s">
        <v>69</v>
      </c>
      <c r="BX1596" t="s">
        <v>8526</v>
      </c>
      <c r="BY1596" t="str">
        <f>HYPERLINK("https%3A%2F%2Fwww.webofscience.com%2Fwos%2Fwoscc%2Ffull-record%2FWOS:000376168700003","View Full Record in Web of Science")</f>
        <v>View Full Record in Web of Science</v>
      </c>
    </row>
    <row r="1597" spans="1:77" ht="12.5" x14ac:dyDescent="0.25">
      <c r="A1597" t="s">
        <v>8495</v>
      </c>
      <c r="B1597" s="7" t="s">
        <v>32933</v>
      </c>
      <c r="C1597" s="7"/>
      <c r="D1597" s="7"/>
      <c r="E1597" s="7"/>
      <c r="F1597" t="s">
        <v>67</v>
      </c>
      <c r="G1597" t="s">
        <v>6360</v>
      </c>
      <c r="H1597" t="s">
        <v>69</v>
      </c>
      <c r="I1597" t="s">
        <v>69</v>
      </c>
      <c r="J1597" t="s">
        <v>69</v>
      </c>
      <c r="K1597" t="s">
        <v>6360</v>
      </c>
      <c r="L1597" t="s">
        <v>69</v>
      </c>
      <c r="M1597" t="s">
        <v>69</v>
      </c>
      <c r="N1597" t="s">
        <v>6361</v>
      </c>
      <c r="O1597" t="s">
        <v>6362</v>
      </c>
      <c r="P1597" t="s">
        <v>69</v>
      </c>
      <c r="Q1597" t="s">
        <v>69</v>
      </c>
      <c r="R1597" t="s">
        <v>8505</v>
      </c>
      <c r="S1597" t="s">
        <v>32836</v>
      </c>
      <c r="T1597" t="s">
        <v>69</v>
      </c>
      <c r="U1597" t="s">
        <v>69</v>
      </c>
      <c r="V1597" t="s">
        <v>69</v>
      </c>
      <c r="W1597" t="s">
        <v>69</v>
      </c>
      <c r="X1597" t="s">
        <v>69</v>
      </c>
      <c r="Y1597" t="s">
        <v>69</v>
      </c>
      <c r="Z1597" t="s">
        <v>69</v>
      </c>
      <c r="AA1597" t="s">
        <v>6363</v>
      </c>
      <c r="AB1597" t="s">
        <v>69</v>
      </c>
      <c r="AC1597" t="s">
        <v>69</v>
      </c>
      <c r="AD1597" t="s">
        <v>32837</v>
      </c>
      <c r="AE1597" t="s">
        <v>69</v>
      </c>
      <c r="AF1597" t="s">
        <v>69</v>
      </c>
      <c r="AG1597" t="s">
        <v>69</v>
      </c>
      <c r="AH1597" t="s">
        <v>69</v>
      </c>
      <c r="AI1597" t="s">
        <v>69</v>
      </c>
      <c r="AJ1597" t="s">
        <v>69</v>
      </c>
      <c r="AK1597" t="s">
        <v>69</v>
      </c>
      <c r="AL1597">
        <v>1</v>
      </c>
      <c r="AM1597">
        <v>3</v>
      </c>
      <c r="AN1597">
        <v>3</v>
      </c>
      <c r="AO1597">
        <v>0</v>
      </c>
      <c r="AP1597">
        <v>0</v>
      </c>
      <c r="AQ1597" t="s">
        <v>32838</v>
      </c>
      <c r="AR1597" t="s">
        <v>32839</v>
      </c>
      <c r="AS1597" t="s">
        <v>32840</v>
      </c>
      <c r="AT1597" t="s">
        <v>6364</v>
      </c>
      <c r="AU1597" t="s">
        <v>69</v>
      </c>
      <c r="AV1597" t="s">
        <v>69</v>
      </c>
      <c r="AW1597" t="s">
        <v>32841</v>
      </c>
      <c r="AX1597" t="s">
        <v>32842</v>
      </c>
      <c r="AY1597" t="s">
        <v>201</v>
      </c>
      <c r="AZ1597">
        <v>1992</v>
      </c>
      <c r="BA1597">
        <v>11</v>
      </c>
      <c r="BB1597">
        <v>2</v>
      </c>
      <c r="BC1597" t="s">
        <v>69</v>
      </c>
      <c r="BD1597" t="s">
        <v>69</v>
      </c>
      <c r="BE1597" t="s">
        <v>69</v>
      </c>
      <c r="BF1597" t="s">
        <v>69</v>
      </c>
      <c r="BG1597">
        <v>274</v>
      </c>
      <c r="BH1597">
        <v>275</v>
      </c>
      <c r="BI1597" t="s">
        <v>69</v>
      </c>
      <c r="BJ1597" t="s">
        <v>69</v>
      </c>
      <c r="BK1597" t="s">
        <v>69</v>
      </c>
      <c r="BL1597" t="s">
        <v>69</v>
      </c>
      <c r="BM1597" t="s">
        <v>69</v>
      </c>
      <c r="BN1597">
        <v>2</v>
      </c>
      <c r="BO1597" t="s">
        <v>32843</v>
      </c>
      <c r="BP1597" t="s">
        <v>8661</v>
      </c>
      <c r="BQ1597" t="s">
        <v>32844</v>
      </c>
      <c r="BR1597" t="s">
        <v>32845</v>
      </c>
      <c r="BS1597" t="s">
        <v>6365</v>
      </c>
      <c r="BT1597" t="s">
        <v>69</v>
      </c>
      <c r="BU1597" t="s">
        <v>69</v>
      </c>
      <c r="BV1597" t="s">
        <v>69</v>
      </c>
      <c r="BW1597" t="s">
        <v>69</v>
      </c>
      <c r="BX1597" t="s">
        <v>8526</v>
      </c>
      <c r="BY1597" t="str">
        <f>HYPERLINK("https%3A%2F%2Fwww.webofscience.com%2Fwos%2Fwoscc%2Ffull-record%2FWOS:A1992JK87400023","View Full Record in Web of Science")</f>
        <v>View Full Record in Web of Science</v>
      </c>
    </row>
    <row r="1598" spans="1:77" x14ac:dyDescent="0.3">
      <c r="A1598" t="s">
        <v>8495</v>
      </c>
      <c r="B1598" s="12" t="s">
        <v>33028</v>
      </c>
      <c r="F1598" t="s">
        <v>67</v>
      </c>
      <c r="G1598" t="s">
        <v>2506</v>
      </c>
      <c r="H1598" t="s">
        <v>69</v>
      </c>
      <c r="I1598" t="s">
        <v>69</v>
      </c>
      <c r="J1598" t="s">
        <v>69</v>
      </c>
      <c r="K1598" s="3" t="s">
        <v>2507</v>
      </c>
      <c r="L1598" t="s">
        <v>69</v>
      </c>
      <c r="M1598" t="s">
        <v>69</v>
      </c>
      <c r="N1598" s="2" t="s">
        <v>2508</v>
      </c>
      <c r="O1598" t="s">
        <v>2509</v>
      </c>
      <c r="P1598" t="s">
        <v>69</v>
      </c>
      <c r="Q1598" t="s">
        <v>69</v>
      </c>
      <c r="R1598" t="s">
        <v>10071</v>
      </c>
      <c r="S1598" t="s">
        <v>8506</v>
      </c>
      <c r="T1598" t="s">
        <v>69</v>
      </c>
      <c r="U1598" t="s">
        <v>69</v>
      </c>
      <c r="V1598" t="s">
        <v>69</v>
      </c>
      <c r="W1598" t="s">
        <v>69</v>
      </c>
      <c r="X1598" t="s">
        <v>69</v>
      </c>
      <c r="Y1598" t="s">
        <v>19454</v>
      </c>
      <c r="Z1598" t="s">
        <v>69</v>
      </c>
      <c r="AA1598" t="s">
        <v>2510</v>
      </c>
      <c r="AB1598" t="s">
        <v>19455</v>
      </c>
      <c r="AC1598" t="s">
        <v>69</v>
      </c>
      <c r="AD1598" t="s">
        <v>19456</v>
      </c>
      <c r="AE1598" t="s">
        <v>19457</v>
      </c>
      <c r="AF1598" t="s">
        <v>69</v>
      </c>
      <c r="AG1598" t="s">
        <v>69</v>
      </c>
      <c r="AH1598" t="s">
        <v>69</v>
      </c>
      <c r="AI1598" t="s">
        <v>69</v>
      </c>
      <c r="AJ1598" t="s">
        <v>69</v>
      </c>
      <c r="AK1598" t="s">
        <v>69</v>
      </c>
      <c r="AL1598">
        <v>12</v>
      </c>
      <c r="AM1598">
        <v>0</v>
      </c>
      <c r="AN1598">
        <v>0</v>
      </c>
      <c r="AO1598">
        <v>0</v>
      </c>
      <c r="AP1598">
        <v>1</v>
      </c>
      <c r="AQ1598" t="s">
        <v>19458</v>
      </c>
      <c r="AR1598" t="s">
        <v>19459</v>
      </c>
      <c r="AS1598" t="s">
        <v>19460</v>
      </c>
      <c r="AT1598" t="s">
        <v>2511</v>
      </c>
      <c r="AU1598" t="s">
        <v>69</v>
      </c>
      <c r="AV1598" t="s">
        <v>69</v>
      </c>
      <c r="AW1598" t="s">
        <v>19461</v>
      </c>
      <c r="AX1598" t="s">
        <v>19462</v>
      </c>
      <c r="AY1598" t="s">
        <v>2512</v>
      </c>
      <c r="AZ1598">
        <v>2018</v>
      </c>
      <c r="BA1598">
        <v>10</v>
      </c>
      <c r="BB1598">
        <v>1</v>
      </c>
      <c r="BC1598" t="s">
        <v>69</v>
      </c>
      <c r="BD1598" t="s">
        <v>69</v>
      </c>
      <c r="BE1598" t="s">
        <v>69</v>
      </c>
      <c r="BF1598" t="s">
        <v>69</v>
      </c>
      <c r="BG1598">
        <v>134</v>
      </c>
      <c r="BH1598">
        <v>142</v>
      </c>
      <c r="BI1598" t="s">
        <v>69</v>
      </c>
      <c r="BJ1598" t="s">
        <v>69</v>
      </c>
      <c r="BK1598" t="s">
        <v>69</v>
      </c>
      <c r="BL1598" t="s">
        <v>69</v>
      </c>
      <c r="BM1598" t="s">
        <v>69</v>
      </c>
      <c r="BN1598">
        <v>9</v>
      </c>
      <c r="BO1598" t="s">
        <v>10299</v>
      </c>
      <c r="BP1598" t="s">
        <v>8573</v>
      </c>
      <c r="BQ1598" t="s">
        <v>10279</v>
      </c>
      <c r="BR1598" t="s">
        <v>19463</v>
      </c>
      <c r="BS1598" t="s">
        <v>2513</v>
      </c>
      <c r="BT1598" t="s">
        <v>69</v>
      </c>
      <c r="BU1598" t="s">
        <v>69</v>
      </c>
      <c r="BV1598" t="s">
        <v>69</v>
      </c>
      <c r="BW1598" t="s">
        <v>69</v>
      </c>
      <c r="BX1598" t="s">
        <v>8526</v>
      </c>
      <c r="BY1598" t="str">
        <f>HYPERLINK("https%3A%2F%2Fwww.webofscience.com%2Fwos%2Fwoscc%2Ffull-record%2FWOS:000437894000019","View Full Record in Web of Science")</f>
        <v>View Full Record in Web of Science</v>
      </c>
    </row>
    <row r="1599" spans="1:77" ht="12.5" x14ac:dyDescent="0.25">
      <c r="A1599" t="s">
        <v>8495</v>
      </c>
      <c r="B1599" s="7" t="s">
        <v>32933</v>
      </c>
      <c r="C1599" s="7"/>
      <c r="D1599" s="7"/>
      <c r="E1599" s="7"/>
      <c r="F1599" t="s">
        <v>67</v>
      </c>
      <c r="G1599" t="s">
        <v>8384</v>
      </c>
      <c r="H1599" t="s">
        <v>69</v>
      </c>
      <c r="I1599" t="s">
        <v>69</v>
      </c>
      <c r="J1599" t="s">
        <v>69</v>
      </c>
      <c r="K1599" t="s">
        <v>8384</v>
      </c>
      <c r="L1599" t="s">
        <v>69</v>
      </c>
      <c r="M1599" t="s">
        <v>69</v>
      </c>
      <c r="N1599" t="s">
        <v>8385</v>
      </c>
      <c r="O1599" t="s">
        <v>4023</v>
      </c>
      <c r="P1599" t="s">
        <v>69</v>
      </c>
      <c r="Q1599" t="s">
        <v>69</v>
      </c>
      <c r="R1599" t="s">
        <v>8505</v>
      </c>
      <c r="S1599" t="s">
        <v>8506</v>
      </c>
      <c r="T1599" t="s">
        <v>69</v>
      </c>
      <c r="U1599" t="s">
        <v>69</v>
      </c>
      <c r="V1599" t="s">
        <v>69</v>
      </c>
      <c r="W1599" t="s">
        <v>69</v>
      </c>
      <c r="X1599" t="s">
        <v>69</v>
      </c>
      <c r="Y1599" t="s">
        <v>69</v>
      </c>
      <c r="Z1599" t="s">
        <v>69</v>
      </c>
      <c r="AA1599" t="s">
        <v>8386</v>
      </c>
      <c r="AB1599" t="s">
        <v>32870</v>
      </c>
      <c r="AC1599" t="s">
        <v>69</v>
      </c>
      <c r="AD1599" t="s">
        <v>32871</v>
      </c>
      <c r="AE1599" t="s">
        <v>69</v>
      </c>
      <c r="AF1599" t="s">
        <v>69</v>
      </c>
      <c r="AG1599" t="s">
        <v>69</v>
      </c>
      <c r="AH1599" t="s">
        <v>69</v>
      </c>
      <c r="AI1599" t="s">
        <v>69</v>
      </c>
      <c r="AJ1599" t="s">
        <v>69</v>
      </c>
      <c r="AK1599" t="s">
        <v>69</v>
      </c>
      <c r="AL1599">
        <v>2</v>
      </c>
      <c r="AM1599">
        <v>10</v>
      </c>
      <c r="AN1599">
        <v>10</v>
      </c>
      <c r="AO1599">
        <v>0</v>
      </c>
      <c r="AP1599">
        <v>10</v>
      </c>
      <c r="AQ1599" t="s">
        <v>31418</v>
      </c>
      <c r="AR1599" t="s">
        <v>8763</v>
      </c>
      <c r="AS1599" t="s">
        <v>31844</v>
      </c>
      <c r="AT1599" t="s">
        <v>4025</v>
      </c>
      <c r="AU1599" t="s">
        <v>69</v>
      </c>
      <c r="AV1599" t="s">
        <v>69</v>
      </c>
      <c r="AW1599" t="s">
        <v>13199</v>
      </c>
      <c r="AX1599" t="s">
        <v>13200</v>
      </c>
      <c r="AY1599" t="s">
        <v>191</v>
      </c>
      <c r="AZ1599">
        <v>1992</v>
      </c>
      <c r="BA1599">
        <v>95</v>
      </c>
      <c r="BB1599">
        <v>1</v>
      </c>
      <c r="BC1599" t="s">
        <v>69</v>
      </c>
      <c r="BD1599" t="s">
        <v>69</v>
      </c>
      <c r="BE1599" t="s">
        <v>69</v>
      </c>
      <c r="BF1599" t="s">
        <v>69</v>
      </c>
      <c r="BG1599">
        <v>51</v>
      </c>
      <c r="BH1599">
        <v>59</v>
      </c>
      <c r="BI1599" t="s">
        <v>69</v>
      </c>
      <c r="BJ1599" t="s">
        <v>8387</v>
      </c>
      <c r="BK1599" t="str">
        <f>HYPERLINK("http://dx.doi.org/10.1680/itran.1992.18152","http://dx.doi.org/10.1680/itran.1992.18152")</f>
        <v>http://dx.doi.org/10.1680/itran.1992.18152</v>
      </c>
      <c r="BL1599" t="s">
        <v>69</v>
      </c>
      <c r="BM1599" t="s">
        <v>69</v>
      </c>
      <c r="BN1599">
        <v>9</v>
      </c>
      <c r="BO1599" t="s">
        <v>13202</v>
      </c>
      <c r="BP1599" t="s">
        <v>8548</v>
      </c>
      <c r="BQ1599" t="s">
        <v>9561</v>
      </c>
      <c r="BR1599" t="s">
        <v>32872</v>
      </c>
      <c r="BS1599" t="s">
        <v>8388</v>
      </c>
      <c r="BT1599" t="s">
        <v>69</v>
      </c>
      <c r="BU1599" t="s">
        <v>69</v>
      </c>
      <c r="BV1599" t="s">
        <v>69</v>
      </c>
      <c r="BW1599" t="s">
        <v>69</v>
      </c>
      <c r="BX1599" t="s">
        <v>8526</v>
      </c>
      <c r="BY1599" t="str">
        <f>HYPERLINK("https%3A%2F%2Fwww.webofscience.com%2Fwos%2Fwoscc%2Ffull-record%2FWOS:A1992HU25100004","View Full Record in Web of Science")</f>
        <v>View Full Record in Web of Science</v>
      </c>
    </row>
    <row r="1600" spans="1:77" ht="12.5" x14ac:dyDescent="0.25">
      <c r="A1600" t="s">
        <v>8495</v>
      </c>
      <c r="B1600" s="7" t="s">
        <v>32933</v>
      </c>
      <c r="C1600" s="7"/>
      <c r="D1600" s="7"/>
      <c r="E1600" s="7"/>
      <c r="F1600" t="s">
        <v>67</v>
      </c>
      <c r="G1600" t="s">
        <v>6700</v>
      </c>
      <c r="H1600" t="s">
        <v>69</v>
      </c>
      <c r="I1600" t="s">
        <v>69</v>
      </c>
      <c r="J1600" t="s">
        <v>69</v>
      </c>
      <c r="K1600" t="s">
        <v>6701</v>
      </c>
      <c r="L1600" t="s">
        <v>69</v>
      </c>
      <c r="M1600" t="s">
        <v>69</v>
      </c>
      <c r="N1600" t="s">
        <v>6702</v>
      </c>
      <c r="O1600" t="s">
        <v>2107</v>
      </c>
      <c r="P1600" t="s">
        <v>69</v>
      </c>
      <c r="Q1600" t="s">
        <v>69</v>
      </c>
      <c r="R1600" t="s">
        <v>8505</v>
      </c>
      <c r="S1600" t="s">
        <v>8506</v>
      </c>
      <c r="T1600" t="s">
        <v>69</v>
      </c>
      <c r="U1600" t="s">
        <v>69</v>
      </c>
      <c r="V1600" t="s">
        <v>69</v>
      </c>
      <c r="W1600" t="s">
        <v>69</v>
      </c>
      <c r="X1600" t="s">
        <v>69</v>
      </c>
      <c r="Y1600" t="s">
        <v>14217</v>
      </c>
      <c r="Z1600" t="s">
        <v>14218</v>
      </c>
      <c r="AA1600" t="s">
        <v>6703</v>
      </c>
      <c r="AB1600" t="s">
        <v>14219</v>
      </c>
      <c r="AC1600" t="s">
        <v>69</v>
      </c>
      <c r="AD1600" t="s">
        <v>14220</v>
      </c>
      <c r="AE1600" t="s">
        <v>14221</v>
      </c>
      <c r="AF1600" t="s">
        <v>69</v>
      </c>
      <c r="AG1600" t="s">
        <v>6704</v>
      </c>
      <c r="AH1600" t="s">
        <v>14222</v>
      </c>
      <c r="AI1600" t="s">
        <v>14223</v>
      </c>
      <c r="AJ1600" t="s">
        <v>14224</v>
      </c>
      <c r="AK1600" t="s">
        <v>69</v>
      </c>
      <c r="AL1600">
        <v>94</v>
      </c>
      <c r="AM1600">
        <v>5</v>
      </c>
      <c r="AN1600">
        <v>5</v>
      </c>
      <c r="AO1600">
        <v>0</v>
      </c>
      <c r="AP1600">
        <v>6</v>
      </c>
      <c r="AQ1600" t="s">
        <v>8924</v>
      </c>
      <c r="AR1600" t="s">
        <v>8925</v>
      </c>
      <c r="AS1600" t="s">
        <v>8926</v>
      </c>
      <c r="AT1600" t="s">
        <v>69</v>
      </c>
      <c r="AU1600" t="s">
        <v>2110</v>
      </c>
      <c r="AV1600" t="s">
        <v>69</v>
      </c>
      <c r="AW1600" t="s">
        <v>10592</v>
      </c>
      <c r="AX1600" t="s">
        <v>10593</v>
      </c>
      <c r="AY1600" t="s">
        <v>381</v>
      </c>
      <c r="AZ1600">
        <v>2020</v>
      </c>
      <c r="BA1600">
        <v>17</v>
      </c>
      <c r="BB1600">
        <v>19</v>
      </c>
      <c r="BC1600" t="s">
        <v>69</v>
      </c>
      <c r="BD1600" t="s">
        <v>69</v>
      </c>
      <c r="BE1600" t="s">
        <v>69</v>
      </c>
      <c r="BF1600" t="s">
        <v>69</v>
      </c>
      <c r="BG1600" t="s">
        <v>69</v>
      </c>
      <c r="BH1600" t="s">
        <v>69</v>
      </c>
      <c r="BI1600">
        <v>7231</v>
      </c>
      <c r="BJ1600" t="s">
        <v>6705</v>
      </c>
      <c r="BK1600" t="str">
        <f>HYPERLINK("http://dx.doi.org/10.3390/ijerph17197231","http://dx.doi.org/10.3390/ijerph17197231")</f>
        <v>http://dx.doi.org/10.3390/ijerph17197231</v>
      </c>
      <c r="BL1600" t="s">
        <v>69</v>
      </c>
      <c r="BM1600" t="s">
        <v>69</v>
      </c>
      <c r="BN1600">
        <v>20</v>
      </c>
      <c r="BO1600" t="s">
        <v>10595</v>
      </c>
      <c r="BP1600" t="s">
        <v>8523</v>
      </c>
      <c r="BQ1600" t="s">
        <v>10596</v>
      </c>
      <c r="BR1600" t="s">
        <v>14225</v>
      </c>
      <c r="BS1600" t="s">
        <v>6706</v>
      </c>
      <c r="BT1600">
        <v>33023267</v>
      </c>
      <c r="BU1600" t="s">
        <v>12668</v>
      </c>
      <c r="BV1600" t="s">
        <v>69</v>
      </c>
      <c r="BW1600" t="s">
        <v>69</v>
      </c>
      <c r="BX1600" t="s">
        <v>8526</v>
      </c>
      <c r="BY1600" t="str">
        <f>HYPERLINK("https%3A%2F%2Fwww.webofscience.com%2Fwos%2Fwoscc%2Ffull-record%2FWOS:000586588400001","View Full Record in Web of Science")</f>
        <v>View Full Record in Web of Science</v>
      </c>
    </row>
    <row r="1601" spans="1:77" x14ac:dyDescent="0.3">
      <c r="A1601" t="s">
        <v>8495</v>
      </c>
      <c r="B1601" s="10" t="s">
        <v>33029</v>
      </c>
      <c r="F1601" t="s">
        <v>67</v>
      </c>
      <c r="G1601" t="s">
        <v>1869</v>
      </c>
      <c r="H1601" t="s">
        <v>69</v>
      </c>
      <c r="I1601" t="s">
        <v>69</v>
      </c>
      <c r="J1601" t="s">
        <v>69</v>
      </c>
      <c r="K1601" s="2" t="s">
        <v>1870</v>
      </c>
      <c r="L1601" t="s">
        <v>69</v>
      </c>
      <c r="M1601" t="s">
        <v>69</v>
      </c>
      <c r="N1601" s="2" t="s">
        <v>1871</v>
      </c>
      <c r="O1601" t="s">
        <v>1532</v>
      </c>
      <c r="P1601" t="s">
        <v>69</v>
      </c>
      <c r="Q1601" t="s">
        <v>69</v>
      </c>
      <c r="R1601" t="s">
        <v>8505</v>
      </c>
      <c r="S1601" t="s">
        <v>8506</v>
      </c>
      <c r="T1601" t="s">
        <v>69</v>
      </c>
      <c r="U1601" t="s">
        <v>69</v>
      </c>
      <c r="V1601" t="s">
        <v>69</v>
      </c>
      <c r="W1601" t="s">
        <v>69</v>
      </c>
      <c r="X1601" t="s">
        <v>69</v>
      </c>
      <c r="Y1601" t="s">
        <v>14054</v>
      </c>
      <c r="Z1601" t="s">
        <v>14055</v>
      </c>
      <c r="AA1601" t="s">
        <v>1872</v>
      </c>
      <c r="AB1601" t="s">
        <v>14056</v>
      </c>
      <c r="AC1601" t="s">
        <v>69</v>
      </c>
      <c r="AD1601" t="s">
        <v>14057</v>
      </c>
      <c r="AE1601" t="s">
        <v>14058</v>
      </c>
      <c r="AF1601" t="s">
        <v>14059</v>
      </c>
      <c r="AG1601" t="s">
        <v>14060</v>
      </c>
      <c r="AH1601" t="s">
        <v>69</v>
      </c>
      <c r="AI1601" t="s">
        <v>69</v>
      </c>
      <c r="AJ1601" t="s">
        <v>69</v>
      </c>
      <c r="AK1601" t="s">
        <v>69</v>
      </c>
      <c r="AL1601">
        <v>65</v>
      </c>
      <c r="AM1601">
        <v>6</v>
      </c>
      <c r="AN1601">
        <v>6</v>
      </c>
      <c r="AO1601">
        <v>6</v>
      </c>
      <c r="AP1601">
        <v>10</v>
      </c>
      <c r="AQ1601" t="s">
        <v>8586</v>
      </c>
      <c r="AR1601" t="s">
        <v>8587</v>
      </c>
      <c r="AS1601" t="s">
        <v>8588</v>
      </c>
      <c r="AT1601" t="s">
        <v>1536</v>
      </c>
      <c r="AU1601" t="s">
        <v>1537</v>
      </c>
      <c r="AV1601" t="s">
        <v>69</v>
      </c>
      <c r="AW1601" t="s">
        <v>14061</v>
      </c>
      <c r="AX1601" t="s">
        <v>14062</v>
      </c>
      <c r="AY1601" t="s">
        <v>11541</v>
      </c>
      <c r="AZ1601">
        <v>2021</v>
      </c>
      <c r="BA1601">
        <v>34</v>
      </c>
      <c r="BB1601">
        <v>5</v>
      </c>
      <c r="BC1601" t="s">
        <v>69</v>
      </c>
      <c r="BD1601" t="s">
        <v>69</v>
      </c>
      <c r="BE1601" t="s">
        <v>114</v>
      </c>
      <c r="BF1601" t="s">
        <v>69</v>
      </c>
      <c r="BG1601">
        <v>1246</v>
      </c>
      <c r="BH1601">
        <v>1274</v>
      </c>
      <c r="BI1601" t="s">
        <v>69</v>
      </c>
      <c r="BJ1601" t="s">
        <v>1873</v>
      </c>
      <c r="BK1601" t="str">
        <f>HYPERLINK("http://dx.doi.org/10.1108/AAAJ-07-2019-4106","http://dx.doi.org/10.1108/AAAJ-07-2019-4106")</f>
        <v>http://dx.doi.org/10.1108/AAAJ-07-2019-4106</v>
      </c>
      <c r="BL1601" t="s">
        <v>69</v>
      </c>
      <c r="BM1601" t="s">
        <v>1867</v>
      </c>
      <c r="BN1601">
        <v>29</v>
      </c>
      <c r="BO1601" t="s">
        <v>9749</v>
      </c>
      <c r="BP1601" t="s">
        <v>8661</v>
      </c>
      <c r="BQ1601" t="s">
        <v>8594</v>
      </c>
      <c r="BR1601" t="s">
        <v>14063</v>
      </c>
      <c r="BS1601" t="s">
        <v>1874</v>
      </c>
      <c r="BT1601" t="s">
        <v>69</v>
      </c>
      <c r="BU1601" t="s">
        <v>69</v>
      </c>
      <c r="BV1601" t="s">
        <v>69</v>
      </c>
      <c r="BW1601" t="s">
        <v>69</v>
      </c>
      <c r="BX1601" t="s">
        <v>8526</v>
      </c>
      <c r="BY1601" t="str">
        <f>HYPERLINK("https%3A%2F%2Fwww.webofscience.com%2Fwos%2Fwoscc%2Ffull-record%2FWOS:000590878100001","View Full Record in Web of Science")</f>
        <v>View Full Record in Web of Science</v>
      </c>
    </row>
    <row r="1602" spans="1:77" ht="12.5" x14ac:dyDescent="0.25">
      <c r="A1602" t="s">
        <v>8495</v>
      </c>
      <c r="B1602" s="7" t="s">
        <v>32933</v>
      </c>
      <c r="C1602" s="7"/>
      <c r="D1602" s="7"/>
      <c r="E1602" s="7"/>
      <c r="F1602" t="s">
        <v>67</v>
      </c>
      <c r="G1602" t="s">
        <v>136</v>
      </c>
      <c r="H1602" t="s">
        <v>69</v>
      </c>
      <c r="I1602" t="s">
        <v>69</v>
      </c>
      <c r="J1602" t="s">
        <v>69</v>
      </c>
      <c r="K1602" t="s">
        <v>137</v>
      </c>
      <c r="L1602" t="s">
        <v>69</v>
      </c>
      <c r="M1602" t="s">
        <v>69</v>
      </c>
      <c r="N1602" t="s">
        <v>138</v>
      </c>
      <c r="O1602" t="s">
        <v>139</v>
      </c>
      <c r="P1602" t="s">
        <v>69</v>
      </c>
      <c r="Q1602" t="s">
        <v>69</v>
      </c>
      <c r="R1602" t="s">
        <v>8505</v>
      </c>
      <c r="S1602" t="s">
        <v>8506</v>
      </c>
      <c r="T1602" t="s">
        <v>69</v>
      </c>
      <c r="U1602" t="s">
        <v>69</v>
      </c>
      <c r="V1602" t="s">
        <v>69</v>
      </c>
      <c r="W1602" t="s">
        <v>69</v>
      </c>
      <c r="X1602" t="s">
        <v>69</v>
      </c>
      <c r="Y1602" t="s">
        <v>19598</v>
      </c>
      <c r="Z1602" t="s">
        <v>19599</v>
      </c>
      <c r="AA1602" t="s">
        <v>140</v>
      </c>
      <c r="AB1602" t="s">
        <v>19600</v>
      </c>
      <c r="AC1602" t="s">
        <v>69</v>
      </c>
      <c r="AD1602" t="s">
        <v>19601</v>
      </c>
      <c r="AE1602" t="s">
        <v>19602</v>
      </c>
      <c r="AF1602" t="s">
        <v>141</v>
      </c>
      <c r="AG1602" t="s">
        <v>142</v>
      </c>
      <c r="AH1602" t="s">
        <v>69</v>
      </c>
      <c r="AI1602" t="s">
        <v>69</v>
      </c>
      <c r="AJ1602" t="s">
        <v>69</v>
      </c>
      <c r="AK1602" t="s">
        <v>69</v>
      </c>
      <c r="AL1602">
        <v>66</v>
      </c>
      <c r="AM1602">
        <v>14</v>
      </c>
      <c r="AN1602">
        <v>14</v>
      </c>
      <c r="AO1602">
        <v>2</v>
      </c>
      <c r="AP1602">
        <v>28</v>
      </c>
      <c r="AQ1602" t="s">
        <v>8586</v>
      </c>
      <c r="AR1602" t="s">
        <v>8587</v>
      </c>
      <c r="AS1602" t="s">
        <v>8588</v>
      </c>
      <c r="AT1602" t="s">
        <v>143</v>
      </c>
      <c r="AU1602" t="s">
        <v>144</v>
      </c>
      <c r="AV1602" t="s">
        <v>69</v>
      </c>
      <c r="AW1602" t="s">
        <v>19603</v>
      </c>
      <c r="AX1602" t="s">
        <v>19604</v>
      </c>
      <c r="AY1602" t="s">
        <v>69</v>
      </c>
      <c r="AZ1602">
        <v>2018</v>
      </c>
      <c r="BA1602">
        <v>38</v>
      </c>
      <c r="BB1602" t="s">
        <v>145</v>
      </c>
      <c r="BC1602" t="s">
        <v>69</v>
      </c>
      <c r="BD1602" t="s">
        <v>69</v>
      </c>
      <c r="BE1602" t="s">
        <v>69</v>
      </c>
      <c r="BF1602" t="s">
        <v>69</v>
      </c>
      <c r="BG1602">
        <v>194</v>
      </c>
      <c r="BH1602">
        <v>209</v>
      </c>
      <c r="BI1602" t="s">
        <v>69</v>
      </c>
      <c r="BJ1602" t="s">
        <v>146</v>
      </c>
      <c r="BK1602" t="str">
        <f>HYPERLINK("http://dx.doi.org/10.1108/IJSSP-05-2017-0062","http://dx.doi.org/10.1108/IJSSP-05-2017-0062")</f>
        <v>http://dx.doi.org/10.1108/IJSSP-05-2017-0062</v>
      </c>
      <c r="BL1602" t="s">
        <v>69</v>
      </c>
      <c r="BM1602" t="s">
        <v>69</v>
      </c>
      <c r="BN1602">
        <v>16</v>
      </c>
      <c r="BO1602" t="s">
        <v>12930</v>
      </c>
      <c r="BP1602" t="s">
        <v>8573</v>
      </c>
      <c r="BQ1602" t="s">
        <v>12930</v>
      </c>
      <c r="BR1602" t="s">
        <v>19605</v>
      </c>
      <c r="BS1602" t="s">
        <v>147</v>
      </c>
      <c r="BT1602" t="s">
        <v>69</v>
      </c>
      <c r="BU1602" t="s">
        <v>19606</v>
      </c>
      <c r="BV1602" t="s">
        <v>69</v>
      </c>
      <c r="BW1602" t="s">
        <v>69</v>
      </c>
      <c r="BX1602" t="s">
        <v>8526</v>
      </c>
      <c r="BY1602" t="str">
        <f>HYPERLINK("https%3A%2F%2Fwww.webofscience.com%2Fwos%2Fwoscc%2Ffull-record%2FWOS:000426881100002","View Full Record in Web of Science")</f>
        <v>View Full Record in Web of Science</v>
      </c>
    </row>
    <row r="1603" spans="1:77" ht="12.5" x14ac:dyDescent="0.25">
      <c r="A1603" t="s">
        <v>8495</v>
      </c>
      <c r="B1603" s="7" t="s">
        <v>32933</v>
      </c>
      <c r="C1603" s="7"/>
      <c r="D1603" s="7"/>
      <c r="E1603" s="7"/>
      <c r="F1603" t="s">
        <v>67</v>
      </c>
      <c r="G1603" t="s">
        <v>723</v>
      </c>
      <c r="H1603" t="s">
        <v>69</v>
      </c>
      <c r="I1603" t="s">
        <v>69</v>
      </c>
      <c r="J1603" t="s">
        <v>69</v>
      </c>
      <c r="K1603" t="s">
        <v>724</v>
      </c>
      <c r="L1603" t="s">
        <v>69</v>
      </c>
      <c r="M1603" t="s">
        <v>69</v>
      </c>
      <c r="N1603" t="s">
        <v>725</v>
      </c>
      <c r="O1603" t="s">
        <v>726</v>
      </c>
      <c r="P1603" t="s">
        <v>69</v>
      </c>
      <c r="Q1603" t="s">
        <v>69</v>
      </c>
      <c r="R1603" t="s">
        <v>8505</v>
      </c>
      <c r="S1603" t="s">
        <v>8506</v>
      </c>
      <c r="T1603" t="s">
        <v>69</v>
      </c>
      <c r="U1603" t="s">
        <v>69</v>
      </c>
      <c r="V1603" t="s">
        <v>69</v>
      </c>
      <c r="W1603" t="s">
        <v>69</v>
      </c>
      <c r="X1603" t="s">
        <v>69</v>
      </c>
      <c r="Y1603" t="s">
        <v>15110</v>
      </c>
      <c r="Z1603" t="s">
        <v>15111</v>
      </c>
      <c r="AA1603" t="s">
        <v>727</v>
      </c>
      <c r="AB1603" t="s">
        <v>15112</v>
      </c>
      <c r="AC1603" t="s">
        <v>69</v>
      </c>
      <c r="AD1603" t="s">
        <v>15113</v>
      </c>
      <c r="AE1603" t="s">
        <v>15114</v>
      </c>
      <c r="AF1603" t="s">
        <v>69</v>
      </c>
      <c r="AG1603" t="s">
        <v>728</v>
      </c>
      <c r="AH1603" t="s">
        <v>15115</v>
      </c>
      <c r="AI1603" t="s">
        <v>15115</v>
      </c>
      <c r="AJ1603" t="s">
        <v>15116</v>
      </c>
      <c r="AK1603" t="s">
        <v>69</v>
      </c>
      <c r="AL1603">
        <v>61</v>
      </c>
      <c r="AM1603">
        <v>9</v>
      </c>
      <c r="AN1603">
        <v>9</v>
      </c>
      <c r="AO1603">
        <v>2</v>
      </c>
      <c r="AP1603">
        <v>13</v>
      </c>
      <c r="AQ1603" t="s">
        <v>8865</v>
      </c>
      <c r="AR1603" t="s">
        <v>8612</v>
      </c>
      <c r="AS1603" t="s">
        <v>8866</v>
      </c>
      <c r="AT1603" t="s">
        <v>729</v>
      </c>
      <c r="AU1603" t="s">
        <v>730</v>
      </c>
      <c r="AV1603" t="s">
        <v>69</v>
      </c>
      <c r="AW1603" t="s">
        <v>14684</v>
      </c>
      <c r="AX1603" t="s">
        <v>14685</v>
      </c>
      <c r="AY1603" t="s">
        <v>364</v>
      </c>
      <c r="AZ1603">
        <v>2020</v>
      </c>
      <c r="BA1603">
        <v>22</v>
      </c>
      <c r="BB1603">
        <v>4</v>
      </c>
      <c r="BC1603" t="s">
        <v>69</v>
      </c>
      <c r="BD1603" t="s">
        <v>69</v>
      </c>
      <c r="BE1603" t="s">
        <v>69</v>
      </c>
      <c r="BF1603" t="s">
        <v>69</v>
      </c>
      <c r="BG1603">
        <v>473</v>
      </c>
      <c r="BH1603">
        <v>485</v>
      </c>
      <c r="BI1603" t="s">
        <v>69</v>
      </c>
      <c r="BJ1603" t="s">
        <v>731</v>
      </c>
      <c r="BK1603" t="str">
        <f>HYPERLINK("http://dx.doi.org/10.1080/1523908X.2020.1768832","http://dx.doi.org/10.1080/1523908X.2020.1768832")</f>
        <v>http://dx.doi.org/10.1080/1523908X.2020.1768832</v>
      </c>
      <c r="BL1603" t="s">
        <v>69</v>
      </c>
      <c r="BM1603" t="s">
        <v>732</v>
      </c>
      <c r="BN1603">
        <v>13</v>
      </c>
      <c r="BO1603" t="s">
        <v>14686</v>
      </c>
      <c r="BP1603" t="s">
        <v>8661</v>
      </c>
      <c r="BQ1603" t="s">
        <v>14687</v>
      </c>
      <c r="BR1603" t="s">
        <v>15117</v>
      </c>
      <c r="BS1603" t="s">
        <v>733</v>
      </c>
      <c r="BT1603" t="s">
        <v>69</v>
      </c>
      <c r="BU1603" t="s">
        <v>69</v>
      </c>
      <c r="BV1603" t="s">
        <v>69</v>
      </c>
      <c r="BW1603" t="s">
        <v>69</v>
      </c>
      <c r="BX1603" t="s">
        <v>8526</v>
      </c>
      <c r="BY1603" t="str">
        <f>HYPERLINK("https%3A%2F%2Fwww.webofscience.com%2Fwos%2Fwoscc%2Ffull-record%2FWOS:000541296200001","View Full Record in Web of Science")</f>
        <v>View Full Record in Web of Science</v>
      </c>
    </row>
    <row r="1604" spans="1:77" ht="12.5" x14ac:dyDescent="0.25">
      <c r="A1604" t="s">
        <v>8495</v>
      </c>
      <c r="B1604" s="7" t="s">
        <v>32933</v>
      </c>
      <c r="C1604" s="7"/>
      <c r="D1604" s="7"/>
      <c r="E1604" s="7"/>
      <c r="F1604" t="s">
        <v>67</v>
      </c>
      <c r="G1604" t="s">
        <v>2697</v>
      </c>
      <c r="H1604" t="s">
        <v>69</v>
      </c>
      <c r="I1604" t="s">
        <v>69</v>
      </c>
      <c r="J1604" t="s">
        <v>69</v>
      </c>
      <c r="K1604" t="s">
        <v>2698</v>
      </c>
      <c r="L1604" t="s">
        <v>69</v>
      </c>
      <c r="M1604" t="s">
        <v>69</v>
      </c>
      <c r="N1604" t="s">
        <v>2699</v>
      </c>
      <c r="O1604" t="s">
        <v>2700</v>
      </c>
      <c r="P1604" t="s">
        <v>69</v>
      </c>
      <c r="Q1604" t="s">
        <v>69</v>
      </c>
      <c r="R1604" t="s">
        <v>8505</v>
      </c>
      <c r="S1604" t="s">
        <v>8506</v>
      </c>
      <c r="T1604" t="s">
        <v>69</v>
      </c>
      <c r="U1604" t="s">
        <v>69</v>
      </c>
      <c r="V1604" t="s">
        <v>69</v>
      </c>
      <c r="W1604" t="s">
        <v>69</v>
      </c>
      <c r="X1604" t="s">
        <v>69</v>
      </c>
      <c r="Y1604" t="s">
        <v>20855</v>
      </c>
      <c r="Z1604" t="s">
        <v>69</v>
      </c>
      <c r="AA1604" t="s">
        <v>2701</v>
      </c>
      <c r="AB1604" t="s">
        <v>20856</v>
      </c>
      <c r="AC1604" t="s">
        <v>69</v>
      </c>
      <c r="AD1604" t="s">
        <v>20857</v>
      </c>
      <c r="AE1604" t="s">
        <v>20858</v>
      </c>
      <c r="AF1604" t="s">
        <v>69</v>
      </c>
      <c r="AG1604" t="s">
        <v>69</v>
      </c>
      <c r="AH1604" t="s">
        <v>69</v>
      </c>
      <c r="AI1604" t="s">
        <v>69</v>
      </c>
      <c r="AJ1604" t="s">
        <v>69</v>
      </c>
      <c r="AK1604" t="s">
        <v>69</v>
      </c>
      <c r="AL1604">
        <v>28</v>
      </c>
      <c r="AM1604">
        <v>3</v>
      </c>
      <c r="AN1604">
        <v>3</v>
      </c>
      <c r="AO1604">
        <v>0</v>
      </c>
      <c r="AP1604">
        <v>9</v>
      </c>
      <c r="AQ1604" t="s">
        <v>18352</v>
      </c>
      <c r="AR1604" t="s">
        <v>11277</v>
      </c>
      <c r="AS1604" t="s">
        <v>18353</v>
      </c>
      <c r="AT1604" t="s">
        <v>2702</v>
      </c>
      <c r="AU1604" t="s">
        <v>2703</v>
      </c>
      <c r="AV1604" t="s">
        <v>69</v>
      </c>
      <c r="AW1604" t="s">
        <v>20859</v>
      </c>
      <c r="AX1604" t="s">
        <v>20860</v>
      </c>
      <c r="AY1604" t="s">
        <v>451</v>
      </c>
      <c r="AZ1604">
        <v>2017</v>
      </c>
      <c r="BA1604">
        <v>5</v>
      </c>
      <c r="BB1604">
        <v>1</v>
      </c>
      <c r="BC1604" t="s">
        <v>69</v>
      </c>
      <c r="BD1604" t="s">
        <v>69</v>
      </c>
      <c r="BE1604" t="s">
        <v>69</v>
      </c>
      <c r="BF1604" t="s">
        <v>69</v>
      </c>
      <c r="BG1604">
        <v>7</v>
      </c>
      <c r="BH1604">
        <v>22</v>
      </c>
      <c r="BI1604" t="s">
        <v>69</v>
      </c>
      <c r="BJ1604" t="s">
        <v>2704</v>
      </c>
      <c r="BK1604" t="str">
        <f>HYPERLINK("http://dx.doi.org/10.1386/atr.5.1.7_1","http://dx.doi.org/10.1386/atr.5.1.7_1")</f>
        <v>http://dx.doi.org/10.1386/atr.5.1.7_1</v>
      </c>
      <c r="BL1604" t="s">
        <v>69</v>
      </c>
      <c r="BM1604" t="s">
        <v>69</v>
      </c>
      <c r="BN1604">
        <v>16</v>
      </c>
      <c r="BO1604" t="s">
        <v>20861</v>
      </c>
      <c r="BP1604" t="s">
        <v>8573</v>
      </c>
      <c r="BQ1604" t="s">
        <v>20861</v>
      </c>
      <c r="BR1604" t="s">
        <v>20862</v>
      </c>
      <c r="BS1604" t="s">
        <v>2705</v>
      </c>
      <c r="BT1604" t="s">
        <v>69</v>
      </c>
      <c r="BU1604" t="s">
        <v>69</v>
      </c>
      <c r="BV1604" t="s">
        <v>69</v>
      </c>
      <c r="BW1604" t="s">
        <v>69</v>
      </c>
      <c r="BX1604" t="s">
        <v>8526</v>
      </c>
      <c r="BY1604" t="str">
        <f>HYPERLINK("https%3A%2F%2Fwww.webofscience.com%2Fwos%2Fwoscc%2Ffull-record%2FWOS:000408612700002","View Full Record in Web of Science")</f>
        <v>View Full Record in Web of Science</v>
      </c>
    </row>
    <row r="1605" spans="1:77" ht="12.5" x14ac:dyDescent="0.25">
      <c r="A1605" t="s">
        <v>8495</v>
      </c>
      <c r="B1605" s="7" t="s">
        <v>32933</v>
      </c>
      <c r="C1605" s="7"/>
      <c r="D1605" s="7"/>
      <c r="E1605" s="7"/>
      <c r="F1605" t="s">
        <v>67</v>
      </c>
      <c r="G1605" t="s">
        <v>7636</v>
      </c>
      <c r="H1605" t="s">
        <v>69</v>
      </c>
      <c r="I1605" t="s">
        <v>69</v>
      </c>
      <c r="J1605" t="s">
        <v>69</v>
      </c>
      <c r="K1605" t="s">
        <v>7637</v>
      </c>
      <c r="L1605" t="s">
        <v>69</v>
      </c>
      <c r="M1605" t="s">
        <v>69</v>
      </c>
      <c r="N1605" s="4" t="s">
        <v>7638</v>
      </c>
      <c r="O1605" t="s">
        <v>7639</v>
      </c>
      <c r="P1605" t="s">
        <v>69</v>
      </c>
      <c r="Q1605" t="s">
        <v>69</v>
      </c>
      <c r="R1605" t="s">
        <v>8505</v>
      </c>
      <c r="S1605" t="s">
        <v>8506</v>
      </c>
      <c r="T1605" t="s">
        <v>69</v>
      </c>
      <c r="U1605" t="s">
        <v>69</v>
      </c>
      <c r="V1605" t="s">
        <v>69</v>
      </c>
      <c r="W1605" t="s">
        <v>69</v>
      </c>
      <c r="X1605" t="s">
        <v>69</v>
      </c>
      <c r="Y1605" t="s">
        <v>26312</v>
      </c>
      <c r="Z1605" t="s">
        <v>69</v>
      </c>
      <c r="AA1605" t="s">
        <v>7640</v>
      </c>
      <c r="AB1605" t="s">
        <v>26313</v>
      </c>
      <c r="AC1605" t="s">
        <v>69</v>
      </c>
      <c r="AD1605" t="s">
        <v>26314</v>
      </c>
      <c r="AE1605" t="s">
        <v>26315</v>
      </c>
      <c r="AF1605" t="s">
        <v>69</v>
      </c>
      <c r="AG1605" t="s">
        <v>69</v>
      </c>
      <c r="AH1605" t="s">
        <v>26316</v>
      </c>
      <c r="AI1605" t="s">
        <v>26316</v>
      </c>
      <c r="AJ1605" t="s">
        <v>26317</v>
      </c>
      <c r="AK1605" t="s">
        <v>69</v>
      </c>
      <c r="AL1605">
        <v>30</v>
      </c>
      <c r="AM1605">
        <v>49</v>
      </c>
      <c r="AN1605">
        <v>50</v>
      </c>
      <c r="AO1605">
        <v>0</v>
      </c>
      <c r="AP1605">
        <v>16</v>
      </c>
      <c r="AQ1605" t="s">
        <v>15611</v>
      </c>
      <c r="AR1605" t="s">
        <v>10924</v>
      </c>
      <c r="AS1605" t="s">
        <v>15612</v>
      </c>
      <c r="AT1605" t="s">
        <v>7641</v>
      </c>
      <c r="AU1605" t="s">
        <v>7642</v>
      </c>
      <c r="AV1605" t="s">
        <v>69</v>
      </c>
      <c r="AW1605" t="s">
        <v>26318</v>
      </c>
      <c r="AX1605" t="s">
        <v>26319</v>
      </c>
      <c r="AY1605" t="s">
        <v>69</v>
      </c>
      <c r="AZ1605">
        <v>2012</v>
      </c>
      <c r="BA1605">
        <v>13</v>
      </c>
      <c r="BB1605">
        <v>2</v>
      </c>
      <c r="BC1605" t="s">
        <v>69</v>
      </c>
      <c r="BD1605" t="s">
        <v>69</v>
      </c>
      <c r="BE1605" t="s">
        <v>69</v>
      </c>
      <c r="BF1605" t="s">
        <v>69</v>
      </c>
      <c r="BG1605">
        <v>101</v>
      </c>
      <c r="BH1605">
        <v>108</v>
      </c>
      <c r="BI1605" t="s">
        <v>69</v>
      </c>
      <c r="BJ1605" t="s">
        <v>7643</v>
      </c>
      <c r="BK1605" t="str">
        <f>HYPERLINK("http://dx.doi.org/10.1080/15389588.2011.637097","http://dx.doi.org/10.1080/15389588.2011.637097")</f>
        <v>http://dx.doi.org/10.1080/15389588.2011.637097</v>
      </c>
      <c r="BL1605" t="s">
        <v>69</v>
      </c>
      <c r="BM1605" t="s">
        <v>69</v>
      </c>
      <c r="BN1605">
        <v>8</v>
      </c>
      <c r="BO1605" t="s">
        <v>26320</v>
      </c>
      <c r="BP1605" t="s">
        <v>8523</v>
      </c>
      <c r="BQ1605" t="s">
        <v>26320</v>
      </c>
      <c r="BR1605" t="s">
        <v>26321</v>
      </c>
      <c r="BS1605" t="s">
        <v>7644</v>
      </c>
      <c r="BT1605">
        <v>22458786</v>
      </c>
      <c r="BU1605" t="s">
        <v>69</v>
      </c>
      <c r="BV1605" t="s">
        <v>69</v>
      </c>
      <c r="BW1605" t="s">
        <v>69</v>
      </c>
      <c r="BX1605" t="s">
        <v>8526</v>
      </c>
      <c r="BY1605" t="str">
        <f>HYPERLINK("https%3A%2F%2Fwww.webofscience.com%2Fwos%2Fwoscc%2Ffull-record%2FWOS:000304242300003","View Full Record in Web of Science")</f>
        <v>View Full Record in Web of Science</v>
      </c>
    </row>
    <row r="1606" spans="1:77" ht="12.5" x14ac:dyDescent="0.25">
      <c r="A1606" t="s">
        <v>8495</v>
      </c>
      <c r="B1606" s="22" t="s">
        <v>32931</v>
      </c>
      <c r="C1606" s="7"/>
      <c r="D1606" s="7"/>
      <c r="E1606" s="7"/>
      <c r="F1606" t="s">
        <v>67</v>
      </c>
      <c r="G1606" t="s">
        <v>18902</v>
      </c>
      <c r="H1606" t="s">
        <v>69</v>
      </c>
      <c r="I1606" t="s">
        <v>69</v>
      </c>
      <c r="J1606" t="s">
        <v>69</v>
      </c>
      <c r="K1606" t="s">
        <v>18903</v>
      </c>
      <c r="L1606" t="s">
        <v>69</v>
      </c>
      <c r="M1606" t="s">
        <v>69</v>
      </c>
      <c r="N1606" t="s">
        <v>18904</v>
      </c>
      <c r="O1606" t="s">
        <v>18905</v>
      </c>
      <c r="P1606" t="s">
        <v>69</v>
      </c>
      <c r="Q1606" t="s">
        <v>69</v>
      </c>
      <c r="R1606" t="s">
        <v>8505</v>
      </c>
      <c r="S1606" t="s">
        <v>8506</v>
      </c>
      <c r="T1606" t="s">
        <v>69</v>
      </c>
      <c r="U1606" t="s">
        <v>69</v>
      </c>
      <c r="V1606" t="s">
        <v>69</v>
      </c>
      <c r="W1606" t="s">
        <v>69</v>
      </c>
      <c r="X1606" t="s">
        <v>69</v>
      </c>
      <c r="Y1606" t="s">
        <v>18906</v>
      </c>
      <c r="Z1606" t="s">
        <v>18907</v>
      </c>
      <c r="AA1606" t="s">
        <v>18908</v>
      </c>
      <c r="AB1606" t="s">
        <v>18909</v>
      </c>
      <c r="AC1606" t="s">
        <v>69</v>
      </c>
      <c r="AD1606" t="s">
        <v>18910</v>
      </c>
      <c r="AE1606" t="s">
        <v>18911</v>
      </c>
      <c r="AF1606" t="s">
        <v>69</v>
      </c>
      <c r="AG1606" t="s">
        <v>18912</v>
      </c>
      <c r="AH1606" t="s">
        <v>69</v>
      </c>
      <c r="AI1606" t="s">
        <v>69</v>
      </c>
      <c r="AJ1606" t="s">
        <v>69</v>
      </c>
      <c r="AK1606" t="s">
        <v>69</v>
      </c>
      <c r="AL1606">
        <v>85</v>
      </c>
      <c r="AM1606">
        <v>6</v>
      </c>
      <c r="AN1606">
        <v>7</v>
      </c>
      <c r="AO1606">
        <v>5</v>
      </c>
      <c r="AP1606">
        <v>59</v>
      </c>
      <c r="AQ1606" t="s">
        <v>10352</v>
      </c>
      <c r="AR1606" t="s">
        <v>8637</v>
      </c>
      <c r="AS1606" t="s">
        <v>10353</v>
      </c>
      <c r="AT1606" t="s">
        <v>18913</v>
      </c>
      <c r="AU1606" t="s">
        <v>18914</v>
      </c>
      <c r="AV1606" t="s">
        <v>69</v>
      </c>
      <c r="AW1606" t="s">
        <v>18915</v>
      </c>
      <c r="AX1606" t="s">
        <v>18916</v>
      </c>
      <c r="AY1606" t="s">
        <v>586</v>
      </c>
      <c r="AZ1606">
        <v>2018</v>
      </c>
      <c r="BA1606">
        <v>42</v>
      </c>
      <c r="BB1606">
        <v>3</v>
      </c>
      <c r="BC1606" t="s">
        <v>69</v>
      </c>
      <c r="BD1606" t="s">
        <v>69</v>
      </c>
      <c r="BE1606" t="s">
        <v>69</v>
      </c>
      <c r="BF1606" t="s">
        <v>69</v>
      </c>
      <c r="BG1606">
        <v>729</v>
      </c>
      <c r="BH1606">
        <v>755</v>
      </c>
      <c r="BI1606" t="s">
        <v>69</v>
      </c>
      <c r="BJ1606" t="s">
        <v>18917</v>
      </c>
      <c r="BK1606" t="str">
        <f>HYPERLINK("http://dx.doi.org/10.1093/cje/bex054","http://dx.doi.org/10.1093/cje/bex054")</f>
        <v>http://dx.doi.org/10.1093/cje/bex054</v>
      </c>
      <c r="BL1606" t="s">
        <v>69</v>
      </c>
      <c r="BM1606" t="s">
        <v>69</v>
      </c>
      <c r="BN1606">
        <v>27</v>
      </c>
      <c r="BO1606" t="s">
        <v>9726</v>
      </c>
      <c r="BP1606" t="s">
        <v>8661</v>
      </c>
      <c r="BQ1606" t="s">
        <v>8594</v>
      </c>
      <c r="BR1606" t="s">
        <v>18918</v>
      </c>
      <c r="BS1606" t="s">
        <v>18919</v>
      </c>
      <c r="BT1606" t="s">
        <v>69</v>
      </c>
      <c r="BU1606" t="s">
        <v>9292</v>
      </c>
      <c r="BV1606" t="s">
        <v>69</v>
      </c>
      <c r="BW1606" t="s">
        <v>69</v>
      </c>
      <c r="BX1606" t="s">
        <v>8526</v>
      </c>
      <c r="BY1606" t="str">
        <f>HYPERLINK("https%3A%2F%2Fwww.webofscience.com%2Fwos%2Fwoscc%2Ffull-record%2FWOS:000431234300006","View Full Record in Web of Science")</f>
        <v>View Full Record in Web of Science</v>
      </c>
    </row>
    <row r="1607" spans="1:77" ht="12.5" x14ac:dyDescent="0.25">
      <c r="A1607" t="s">
        <v>8495</v>
      </c>
      <c r="B1607" s="22" t="s">
        <v>32931</v>
      </c>
      <c r="C1607" s="7"/>
      <c r="D1607" s="7"/>
      <c r="E1607" s="7"/>
      <c r="F1607" t="s">
        <v>67</v>
      </c>
      <c r="G1607" t="s">
        <v>27439</v>
      </c>
      <c r="H1607" t="s">
        <v>69</v>
      </c>
      <c r="I1607" t="s">
        <v>69</v>
      </c>
      <c r="J1607" t="s">
        <v>69</v>
      </c>
      <c r="K1607" t="s">
        <v>27440</v>
      </c>
      <c r="L1607" t="s">
        <v>69</v>
      </c>
      <c r="M1607" t="s">
        <v>69</v>
      </c>
      <c r="N1607" t="s">
        <v>27441</v>
      </c>
      <c r="O1607" t="s">
        <v>26560</v>
      </c>
      <c r="P1607" t="s">
        <v>69</v>
      </c>
      <c r="Q1607" t="s">
        <v>69</v>
      </c>
      <c r="R1607" t="s">
        <v>8505</v>
      </c>
      <c r="S1607" t="s">
        <v>8506</v>
      </c>
      <c r="T1607" t="s">
        <v>69</v>
      </c>
      <c r="U1607" t="s">
        <v>69</v>
      </c>
      <c r="V1607" t="s">
        <v>69</v>
      </c>
      <c r="W1607" t="s">
        <v>69</v>
      </c>
      <c r="X1607" t="s">
        <v>69</v>
      </c>
      <c r="Y1607" t="s">
        <v>27442</v>
      </c>
      <c r="Z1607" t="s">
        <v>69</v>
      </c>
      <c r="AA1607" t="s">
        <v>27443</v>
      </c>
      <c r="AB1607" t="s">
        <v>27444</v>
      </c>
      <c r="AC1607" t="s">
        <v>69</v>
      </c>
      <c r="AD1607" t="s">
        <v>27445</v>
      </c>
      <c r="AE1607" t="s">
        <v>27446</v>
      </c>
      <c r="AF1607" t="s">
        <v>69</v>
      </c>
      <c r="AG1607" t="s">
        <v>69</v>
      </c>
      <c r="AH1607" t="s">
        <v>69</v>
      </c>
      <c r="AI1607" t="s">
        <v>69</v>
      </c>
      <c r="AJ1607" t="s">
        <v>69</v>
      </c>
      <c r="AK1607" t="s">
        <v>69</v>
      </c>
      <c r="AL1607">
        <v>3</v>
      </c>
      <c r="AM1607">
        <v>6</v>
      </c>
      <c r="AN1607">
        <v>6</v>
      </c>
      <c r="AO1607">
        <v>0</v>
      </c>
      <c r="AP1607">
        <v>0</v>
      </c>
      <c r="AQ1607" t="s">
        <v>8586</v>
      </c>
      <c r="AR1607" t="s">
        <v>8587</v>
      </c>
      <c r="AS1607" t="s">
        <v>8588</v>
      </c>
      <c r="AT1607" t="s">
        <v>26566</v>
      </c>
      <c r="AU1607" t="s">
        <v>26567</v>
      </c>
      <c r="AV1607" t="s">
        <v>69</v>
      </c>
      <c r="AW1607" t="s">
        <v>26568</v>
      </c>
      <c r="AX1607" t="s">
        <v>26569</v>
      </c>
      <c r="AY1607" t="s">
        <v>69</v>
      </c>
      <c r="AZ1607">
        <v>2011</v>
      </c>
      <c r="BA1607">
        <v>18</v>
      </c>
      <c r="BB1607">
        <v>1</v>
      </c>
      <c r="BC1607" t="s">
        <v>69</v>
      </c>
      <c r="BD1607" t="s">
        <v>69</v>
      </c>
      <c r="BE1607" t="s">
        <v>114</v>
      </c>
      <c r="BF1607" t="s">
        <v>69</v>
      </c>
      <c r="BG1607">
        <v>10</v>
      </c>
      <c r="BH1607" t="s">
        <v>219</v>
      </c>
      <c r="BI1607" t="s">
        <v>69</v>
      </c>
      <c r="BJ1607" t="s">
        <v>27447</v>
      </c>
      <c r="BK1607" t="str">
        <f>HYPERLINK("http://dx.doi.org/10.1108/09696471111095966","http://dx.doi.org/10.1108/09696471111095966")</f>
        <v>http://dx.doi.org/10.1108/09696471111095966</v>
      </c>
      <c r="BL1607" t="s">
        <v>69</v>
      </c>
      <c r="BM1607" t="s">
        <v>69</v>
      </c>
      <c r="BN1607">
        <v>12</v>
      </c>
      <c r="BO1607" t="s">
        <v>9410</v>
      </c>
      <c r="BP1607" t="s">
        <v>8573</v>
      </c>
      <c r="BQ1607" t="s">
        <v>8594</v>
      </c>
      <c r="BR1607" t="s">
        <v>27448</v>
      </c>
      <c r="BS1607" t="s">
        <v>27449</v>
      </c>
      <c r="BT1607" t="s">
        <v>69</v>
      </c>
      <c r="BU1607" t="s">
        <v>69</v>
      </c>
      <c r="BV1607" t="s">
        <v>69</v>
      </c>
      <c r="BW1607" t="s">
        <v>69</v>
      </c>
      <c r="BX1607" t="s">
        <v>8526</v>
      </c>
      <c r="BY1607" t="str">
        <f>HYPERLINK("https%3A%2F%2Fwww.webofscience.com%2Fwos%2Fwoscc%2Ffull-record%2FWOS:000211577400002","View Full Record in Web of Science")</f>
        <v>View Full Record in Web of Science</v>
      </c>
    </row>
    <row r="1608" spans="1:77" ht="12.5" x14ac:dyDescent="0.25">
      <c r="A1608" t="s">
        <v>8495</v>
      </c>
      <c r="B1608" s="22" t="s">
        <v>32931</v>
      </c>
      <c r="C1608" s="7"/>
      <c r="D1608" s="7"/>
      <c r="E1608" s="7"/>
      <c r="F1608" t="s">
        <v>67</v>
      </c>
      <c r="G1608" t="s">
        <v>9249</v>
      </c>
      <c r="H1608" t="s">
        <v>69</v>
      </c>
      <c r="I1608" t="s">
        <v>69</v>
      </c>
      <c r="J1608" t="s">
        <v>69</v>
      </c>
      <c r="K1608" t="s">
        <v>9250</v>
      </c>
      <c r="L1608" t="s">
        <v>69</v>
      </c>
      <c r="M1608" t="s">
        <v>69</v>
      </c>
      <c r="N1608" t="s">
        <v>9251</v>
      </c>
      <c r="O1608" t="s">
        <v>9252</v>
      </c>
      <c r="P1608" t="s">
        <v>69</v>
      </c>
      <c r="Q1608" t="s">
        <v>69</v>
      </c>
      <c r="R1608" t="s">
        <v>8505</v>
      </c>
      <c r="S1608" t="s">
        <v>9035</v>
      </c>
      <c r="T1608" t="s">
        <v>69</v>
      </c>
      <c r="U1608" t="s">
        <v>69</v>
      </c>
      <c r="V1608" t="s">
        <v>69</v>
      </c>
      <c r="W1608" t="s">
        <v>69</v>
      </c>
      <c r="X1608" t="s">
        <v>69</v>
      </c>
      <c r="Y1608" t="s">
        <v>9253</v>
      </c>
      <c r="Z1608" t="s">
        <v>9254</v>
      </c>
      <c r="AA1608" t="s">
        <v>9255</v>
      </c>
      <c r="AB1608" t="s">
        <v>9256</v>
      </c>
      <c r="AC1608" t="s">
        <v>69</v>
      </c>
      <c r="AD1608" t="s">
        <v>9257</v>
      </c>
      <c r="AE1608" t="s">
        <v>9258</v>
      </c>
      <c r="AF1608" t="s">
        <v>9259</v>
      </c>
      <c r="AG1608" t="s">
        <v>9260</v>
      </c>
      <c r="AH1608" t="s">
        <v>9261</v>
      </c>
      <c r="AI1608" t="s">
        <v>9262</v>
      </c>
      <c r="AJ1608" t="s">
        <v>9263</v>
      </c>
      <c r="AK1608" t="s">
        <v>69</v>
      </c>
      <c r="AL1608">
        <v>115</v>
      </c>
      <c r="AM1608">
        <v>0</v>
      </c>
      <c r="AN1608">
        <v>0</v>
      </c>
      <c r="AO1608">
        <v>6</v>
      </c>
      <c r="AP1608">
        <v>6</v>
      </c>
      <c r="AQ1608" t="s">
        <v>8586</v>
      </c>
      <c r="AR1608" t="s">
        <v>8587</v>
      </c>
      <c r="AS1608" t="s">
        <v>8588</v>
      </c>
      <c r="AT1608" t="s">
        <v>9264</v>
      </c>
      <c r="AU1608" t="s">
        <v>9265</v>
      </c>
      <c r="AV1608" t="s">
        <v>69</v>
      </c>
      <c r="AW1608" t="s">
        <v>9266</v>
      </c>
      <c r="AX1608" t="s">
        <v>9267</v>
      </c>
      <c r="AY1608" t="s">
        <v>69</v>
      </c>
      <c r="AZ1608" t="s">
        <v>69</v>
      </c>
      <c r="BA1608" t="s">
        <v>69</v>
      </c>
      <c r="BB1608" t="s">
        <v>69</v>
      </c>
      <c r="BC1608" t="s">
        <v>69</v>
      </c>
      <c r="BD1608" t="s">
        <v>69</v>
      </c>
      <c r="BE1608" t="s">
        <v>69</v>
      </c>
      <c r="BF1608" t="s">
        <v>69</v>
      </c>
      <c r="BG1608" t="s">
        <v>69</v>
      </c>
      <c r="BH1608" t="s">
        <v>69</v>
      </c>
      <c r="BI1608" t="s">
        <v>69</v>
      </c>
      <c r="BJ1608" t="s">
        <v>9268</v>
      </c>
      <c r="BK1608" t="str">
        <f>HYPERLINK("http://dx.doi.org/10.1108/JEEE-12-2021-0455","http://dx.doi.org/10.1108/JEEE-12-2021-0455")</f>
        <v>http://dx.doi.org/10.1108/JEEE-12-2021-0455</v>
      </c>
      <c r="BL1608" t="s">
        <v>69</v>
      </c>
      <c r="BM1608" t="s">
        <v>9228</v>
      </c>
      <c r="BN1608">
        <v>21</v>
      </c>
      <c r="BO1608" t="s">
        <v>8444</v>
      </c>
      <c r="BP1608" t="s">
        <v>8573</v>
      </c>
      <c r="BQ1608" t="s">
        <v>8594</v>
      </c>
      <c r="BR1608" t="s">
        <v>9269</v>
      </c>
      <c r="BS1608" t="s">
        <v>9270</v>
      </c>
      <c r="BT1608" t="s">
        <v>69</v>
      </c>
      <c r="BU1608" t="s">
        <v>69</v>
      </c>
      <c r="BV1608" t="s">
        <v>69</v>
      </c>
      <c r="BW1608" t="s">
        <v>69</v>
      </c>
      <c r="BX1608" t="s">
        <v>8526</v>
      </c>
      <c r="BY1608" t="str">
        <f>HYPERLINK("https%3A%2F%2Fwww.webofscience.com%2Fwos%2Fwoscc%2Ffull-record%2FWOS:000783838100001","View Full Record in Web of Science")</f>
        <v>View Full Record in Web of Science</v>
      </c>
    </row>
    <row r="1609" spans="1:77" ht="12.5" x14ac:dyDescent="0.25">
      <c r="A1609" t="s">
        <v>8495</v>
      </c>
      <c r="B1609" s="22" t="s">
        <v>32931</v>
      </c>
      <c r="C1609" s="7"/>
      <c r="D1609" s="7"/>
      <c r="E1609" s="7"/>
      <c r="F1609" t="s">
        <v>67</v>
      </c>
      <c r="G1609" t="s">
        <v>8528</v>
      </c>
      <c r="H1609" t="s">
        <v>69</v>
      </c>
      <c r="I1609" t="s">
        <v>69</v>
      </c>
      <c r="J1609" t="s">
        <v>69</v>
      </c>
      <c r="K1609" t="s">
        <v>8529</v>
      </c>
      <c r="L1609" t="s">
        <v>69</v>
      </c>
      <c r="M1609" t="s">
        <v>69</v>
      </c>
      <c r="N1609" t="s">
        <v>8530</v>
      </c>
      <c r="O1609" t="s">
        <v>8531</v>
      </c>
      <c r="P1609" t="s">
        <v>69</v>
      </c>
      <c r="Q1609" t="s">
        <v>69</v>
      </c>
      <c r="R1609" t="s">
        <v>8505</v>
      </c>
      <c r="S1609" t="s">
        <v>8506</v>
      </c>
      <c r="T1609" t="s">
        <v>69</v>
      </c>
      <c r="U1609" t="s">
        <v>69</v>
      </c>
      <c r="V1609" t="s">
        <v>69</v>
      </c>
      <c r="W1609" t="s">
        <v>69</v>
      </c>
      <c r="X1609" t="s">
        <v>69</v>
      </c>
      <c r="Y1609" t="s">
        <v>8532</v>
      </c>
      <c r="Z1609" t="s">
        <v>8533</v>
      </c>
      <c r="AA1609" t="s">
        <v>8534</v>
      </c>
      <c r="AB1609" t="s">
        <v>8535</v>
      </c>
      <c r="AC1609" t="s">
        <v>69</v>
      </c>
      <c r="AD1609" t="s">
        <v>8536</v>
      </c>
      <c r="AE1609" t="s">
        <v>8537</v>
      </c>
      <c r="AF1609" t="s">
        <v>69</v>
      </c>
      <c r="AG1609" t="s">
        <v>8538</v>
      </c>
      <c r="AH1609" t="s">
        <v>69</v>
      </c>
      <c r="AI1609" t="s">
        <v>69</v>
      </c>
      <c r="AJ1609" t="s">
        <v>69</v>
      </c>
      <c r="AK1609" t="s">
        <v>69</v>
      </c>
      <c r="AL1609">
        <v>80</v>
      </c>
      <c r="AM1609">
        <v>0</v>
      </c>
      <c r="AN1609">
        <v>0</v>
      </c>
      <c r="AO1609">
        <v>2</v>
      </c>
      <c r="AP1609">
        <v>2</v>
      </c>
      <c r="AQ1609" t="s">
        <v>8539</v>
      </c>
      <c r="AR1609" t="s">
        <v>8540</v>
      </c>
      <c r="AS1609" t="s">
        <v>8541</v>
      </c>
      <c r="AT1609" t="s">
        <v>8542</v>
      </c>
      <c r="AU1609" t="s">
        <v>8543</v>
      </c>
      <c r="AV1609" t="s">
        <v>69</v>
      </c>
      <c r="AW1609" t="s">
        <v>8544</v>
      </c>
      <c r="AX1609" t="s">
        <v>8545</v>
      </c>
      <c r="AY1609" t="s">
        <v>477</v>
      </c>
      <c r="AZ1609">
        <v>2022</v>
      </c>
      <c r="BA1609">
        <v>148</v>
      </c>
      <c r="BB1609">
        <v>9</v>
      </c>
      <c r="BC1609" t="s">
        <v>69</v>
      </c>
      <c r="BD1609" t="s">
        <v>69</v>
      </c>
      <c r="BE1609" t="s">
        <v>69</v>
      </c>
      <c r="BF1609" t="s">
        <v>69</v>
      </c>
      <c r="BG1609" t="s">
        <v>69</v>
      </c>
      <c r="BH1609" t="s">
        <v>69</v>
      </c>
      <c r="BI1609">
        <v>4022085</v>
      </c>
      <c r="BJ1609" t="s">
        <v>8546</v>
      </c>
      <c r="BK1609" t="str">
        <f>HYPERLINK("http://dx.doi.org/10.1061/(ASCE)CO.1943-7862.0002350","http://dx.doi.org/10.1061/(ASCE)CO.1943-7862.0002350")</f>
        <v>http://dx.doi.org/10.1061/(ASCE)CO.1943-7862.0002350</v>
      </c>
      <c r="BL1609" t="s">
        <v>69</v>
      </c>
      <c r="BM1609" t="s">
        <v>69</v>
      </c>
      <c r="BN1609">
        <v>19</v>
      </c>
      <c r="BO1609" t="s">
        <v>8547</v>
      </c>
      <c r="BP1609" t="s">
        <v>8548</v>
      </c>
      <c r="BQ1609" t="s">
        <v>8549</v>
      </c>
      <c r="BR1609" t="s">
        <v>8550</v>
      </c>
      <c r="BS1609" t="s">
        <v>8551</v>
      </c>
      <c r="BT1609" t="s">
        <v>69</v>
      </c>
      <c r="BU1609" t="s">
        <v>69</v>
      </c>
      <c r="BV1609" t="s">
        <v>69</v>
      </c>
      <c r="BW1609" t="s">
        <v>69</v>
      </c>
      <c r="BX1609" t="s">
        <v>8526</v>
      </c>
      <c r="BY1609" t="str">
        <f>HYPERLINK("https%3A%2F%2Fwww.webofscience.com%2Fwos%2Fwoscc%2Ffull-record%2FWOS:000825748300021","View Full Record in Web of Science")</f>
        <v>View Full Record in Web of Science</v>
      </c>
    </row>
    <row r="1610" spans="1:77" ht="12.5" x14ac:dyDescent="0.25">
      <c r="A1610" t="s">
        <v>8495</v>
      </c>
      <c r="B1610" s="7" t="s">
        <v>32933</v>
      </c>
      <c r="C1610" s="7"/>
      <c r="D1610" s="7"/>
      <c r="E1610" s="7"/>
      <c r="F1610" t="s">
        <v>67</v>
      </c>
      <c r="G1610" t="s">
        <v>7259</v>
      </c>
      <c r="H1610" t="s">
        <v>69</v>
      </c>
      <c r="I1610" t="s">
        <v>69</v>
      </c>
      <c r="J1610" t="s">
        <v>69</v>
      </c>
      <c r="K1610" t="s">
        <v>7260</v>
      </c>
      <c r="L1610" t="s">
        <v>69</v>
      </c>
      <c r="M1610" t="s">
        <v>69</v>
      </c>
      <c r="N1610" t="s">
        <v>7261</v>
      </c>
      <c r="O1610" t="s">
        <v>7262</v>
      </c>
      <c r="P1610" t="s">
        <v>69</v>
      </c>
      <c r="Q1610" t="s">
        <v>69</v>
      </c>
      <c r="R1610" t="s">
        <v>14800</v>
      </c>
      <c r="S1610" t="s">
        <v>8506</v>
      </c>
      <c r="T1610" t="s">
        <v>69</v>
      </c>
      <c r="U1610" t="s">
        <v>69</v>
      </c>
      <c r="V1610" t="s">
        <v>69</v>
      </c>
      <c r="W1610" t="s">
        <v>69</v>
      </c>
      <c r="X1610" t="s">
        <v>69</v>
      </c>
      <c r="Y1610" t="s">
        <v>18324</v>
      </c>
      <c r="Z1610" t="s">
        <v>18325</v>
      </c>
      <c r="AA1610" t="s">
        <v>7263</v>
      </c>
      <c r="AB1610" t="s">
        <v>18326</v>
      </c>
      <c r="AC1610" t="s">
        <v>69</v>
      </c>
      <c r="AD1610" t="s">
        <v>18327</v>
      </c>
      <c r="AE1610" t="s">
        <v>18328</v>
      </c>
      <c r="AF1610" t="s">
        <v>69</v>
      </c>
      <c r="AG1610" t="s">
        <v>69</v>
      </c>
      <c r="AH1610" t="s">
        <v>69</v>
      </c>
      <c r="AI1610" t="s">
        <v>69</v>
      </c>
      <c r="AJ1610" t="s">
        <v>69</v>
      </c>
      <c r="AK1610" t="s">
        <v>69</v>
      </c>
      <c r="AL1610">
        <v>30</v>
      </c>
      <c r="AM1610">
        <v>4</v>
      </c>
      <c r="AN1610">
        <v>4</v>
      </c>
      <c r="AO1610">
        <v>0</v>
      </c>
      <c r="AP1610">
        <v>1</v>
      </c>
      <c r="AQ1610" t="s">
        <v>18329</v>
      </c>
      <c r="AR1610" t="s">
        <v>18330</v>
      </c>
      <c r="AS1610" t="s">
        <v>18331</v>
      </c>
      <c r="AT1610" t="s">
        <v>7264</v>
      </c>
      <c r="AU1610" t="s">
        <v>7265</v>
      </c>
      <c r="AV1610" t="s">
        <v>69</v>
      </c>
      <c r="AW1610" t="s">
        <v>18332</v>
      </c>
      <c r="AX1610" t="s">
        <v>18333</v>
      </c>
      <c r="AY1610" t="s">
        <v>1774</v>
      </c>
      <c r="AZ1610">
        <v>2018</v>
      </c>
      <c r="BA1610">
        <v>17</v>
      </c>
      <c r="BB1610">
        <v>5</v>
      </c>
      <c r="BC1610" t="s">
        <v>69</v>
      </c>
      <c r="BD1610" t="s">
        <v>69</v>
      </c>
      <c r="BE1610" t="s">
        <v>69</v>
      </c>
      <c r="BF1610" t="s">
        <v>69</v>
      </c>
      <c r="BG1610">
        <v>467</v>
      </c>
      <c r="BH1610">
        <v>480</v>
      </c>
      <c r="BI1610" t="s">
        <v>69</v>
      </c>
      <c r="BJ1610" t="s">
        <v>7266</v>
      </c>
      <c r="BK1610" t="str">
        <f>HYPERLINK("http://dx.doi.org/10.1684/ers.2018.1220","http://dx.doi.org/10.1684/ers.2018.1220")</f>
        <v>http://dx.doi.org/10.1684/ers.2018.1220</v>
      </c>
      <c r="BL1610" t="s">
        <v>69</v>
      </c>
      <c r="BM1610" t="s">
        <v>69</v>
      </c>
      <c r="BN1610">
        <v>14</v>
      </c>
      <c r="BO1610" t="s">
        <v>8810</v>
      </c>
      <c r="BP1610" t="s">
        <v>8573</v>
      </c>
      <c r="BQ1610" t="s">
        <v>8810</v>
      </c>
      <c r="BR1610" t="s">
        <v>18334</v>
      </c>
      <c r="BS1610" t="s">
        <v>7267</v>
      </c>
      <c r="BT1610" t="s">
        <v>69</v>
      </c>
      <c r="BU1610" t="s">
        <v>69</v>
      </c>
      <c r="BV1610" t="s">
        <v>69</v>
      </c>
      <c r="BW1610" t="s">
        <v>69</v>
      </c>
      <c r="BX1610" t="s">
        <v>8526</v>
      </c>
      <c r="BY1610" t="str">
        <f>HYPERLINK("https%3A%2F%2Fwww.webofscience.com%2Fwos%2Fwoscc%2Ffull-record%2FWOS:000452912300016","View Full Record in Web of Science")</f>
        <v>View Full Record in Web of Science</v>
      </c>
    </row>
    <row r="1611" spans="1:77" ht="12.5" x14ac:dyDescent="0.25">
      <c r="A1611" t="s">
        <v>8495</v>
      </c>
      <c r="B1611" s="22" t="s">
        <v>32931</v>
      </c>
      <c r="C1611" s="7"/>
      <c r="D1611" s="7"/>
      <c r="E1611" s="7"/>
      <c r="F1611" t="s">
        <v>67</v>
      </c>
      <c r="G1611" t="s">
        <v>27303</v>
      </c>
      <c r="H1611" t="s">
        <v>69</v>
      </c>
      <c r="I1611" t="s">
        <v>69</v>
      </c>
      <c r="J1611" t="s">
        <v>69</v>
      </c>
      <c r="K1611" t="s">
        <v>27304</v>
      </c>
      <c r="L1611" t="s">
        <v>69</v>
      </c>
      <c r="M1611" t="s">
        <v>69</v>
      </c>
      <c r="N1611" t="s">
        <v>27305</v>
      </c>
      <c r="O1611" t="s">
        <v>27306</v>
      </c>
      <c r="P1611" t="s">
        <v>69</v>
      </c>
      <c r="Q1611" t="s">
        <v>69</v>
      </c>
      <c r="R1611" t="s">
        <v>8505</v>
      </c>
      <c r="S1611" t="s">
        <v>8442</v>
      </c>
      <c r="T1611" t="s">
        <v>69</v>
      </c>
      <c r="U1611" t="s">
        <v>69</v>
      </c>
      <c r="V1611" t="s">
        <v>69</v>
      </c>
      <c r="W1611" t="s">
        <v>69</v>
      </c>
      <c r="X1611" t="s">
        <v>69</v>
      </c>
      <c r="Y1611" t="s">
        <v>69</v>
      </c>
      <c r="Z1611" t="s">
        <v>27307</v>
      </c>
      <c r="AA1611" t="s">
        <v>27308</v>
      </c>
      <c r="AB1611" t="s">
        <v>27309</v>
      </c>
      <c r="AC1611" t="s">
        <v>69</v>
      </c>
      <c r="AD1611" t="s">
        <v>27310</v>
      </c>
      <c r="AE1611" t="s">
        <v>27022</v>
      </c>
      <c r="AF1611" t="s">
        <v>27311</v>
      </c>
      <c r="AG1611" t="s">
        <v>27024</v>
      </c>
      <c r="AH1611" t="s">
        <v>27312</v>
      </c>
      <c r="AI1611" t="s">
        <v>27313</v>
      </c>
      <c r="AJ1611" t="s">
        <v>69</v>
      </c>
      <c r="AK1611" t="s">
        <v>69</v>
      </c>
      <c r="AL1611">
        <v>36</v>
      </c>
      <c r="AM1611">
        <v>16</v>
      </c>
      <c r="AN1611">
        <v>16</v>
      </c>
      <c r="AO1611">
        <v>2</v>
      </c>
      <c r="AP1611">
        <v>52</v>
      </c>
      <c r="AQ1611" t="s">
        <v>8846</v>
      </c>
      <c r="AR1611" t="s">
        <v>8847</v>
      </c>
      <c r="AS1611" t="s">
        <v>8848</v>
      </c>
      <c r="AT1611" t="s">
        <v>27314</v>
      </c>
      <c r="AU1611" t="s">
        <v>27315</v>
      </c>
      <c r="AV1611" t="s">
        <v>69</v>
      </c>
      <c r="AW1611" t="s">
        <v>27316</v>
      </c>
      <c r="AX1611" t="s">
        <v>27317</v>
      </c>
      <c r="AY1611" t="s">
        <v>69</v>
      </c>
      <c r="AZ1611">
        <v>2011</v>
      </c>
      <c r="BA1611" t="s">
        <v>69</v>
      </c>
      <c r="BB1611">
        <v>1</v>
      </c>
      <c r="BC1611" t="s">
        <v>69</v>
      </c>
      <c r="BD1611" t="s">
        <v>69</v>
      </c>
      <c r="BE1611" t="s">
        <v>69</v>
      </c>
      <c r="BF1611" t="s">
        <v>69</v>
      </c>
      <c r="BG1611" t="s">
        <v>69</v>
      </c>
      <c r="BH1611" t="s">
        <v>69</v>
      </c>
      <c r="BI1611" t="s">
        <v>27318</v>
      </c>
      <c r="BJ1611" t="s">
        <v>27319</v>
      </c>
      <c r="BK1611" t="str">
        <f>HYPERLINK("http://dx.doi.org/10.1002/14651858.CD008315.pub2","http://dx.doi.org/10.1002/14651858.CD008315.pub2")</f>
        <v>http://dx.doi.org/10.1002/14651858.CD008315.pub2</v>
      </c>
      <c r="BL1611" t="s">
        <v>69</v>
      </c>
      <c r="BM1611" t="s">
        <v>69</v>
      </c>
      <c r="BN1611">
        <v>14</v>
      </c>
      <c r="BO1611" t="s">
        <v>9450</v>
      </c>
      <c r="BP1611" t="s">
        <v>8523</v>
      </c>
      <c r="BQ1611" t="s">
        <v>9451</v>
      </c>
      <c r="BR1611" t="s">
        <v>27320</v>
      </c>
      <c r="BS1611" t="s">
        <v>27321</v>
      </c>
      <c r="BT1611">
        <v>21249706</v>
      </c>
      <c r="BU1611" t="s">
        <v>9292</v>
      </c>
      <c r="BV1611" t="s">
        <v>69</v>
      </c>
      <c r="BW1611" t="s">
        <v>69</v>
      </c>
      <c r="BX1611" t="s">
        <v>8526</v>
      </c>
      <c r="BY1611" t="str">
        <f>HYPERLINK("https%3A%2F%2Fwww.webofscience.com%2Fwos%2Fwoscc%2Ffull-record%2FWOS:000286393200030","View Full Record in Web of Science")</f>
        <v>View Full Record in Web of Science</v>
      </c>
    </row>
    <row r="1612" spans="1:77" ht="12.5" x14ac:dyDescent="0.25">
      <c r="A1612" t="s">
        <v>8495</v>
      </c>
      <c r="B1612" s="22" t="s">
        <v>32931</v>
      </c>
      <c r="C1612" s="7"/>
      <c r="D1612" s="7"/>
      <c r="E1612" s="7"/>
      <c r="F1612" t="s">
        <v>67</v>
      </c>
      <c r="G1612" t="s">
        <v>27015</v>
      </c>
      <c r="H1612" t="s">
        <v>69</v>
      </c>
      <c r="I1612" t="s">
        <v>69</v>
      </c>
      <c r="J1612" t="s">
        <v>69</v>
      </c>
      <c r="K1612" t="s">
        <v>27016</v>
      </c>
      <c r="L1612" t="s">
        <v>69</v>
      </c>
      <c r="M1612" t="s">
        <v>69</v>
      </c>
      <c r="N1612" t="s">
        <v>27017</v>
      </c>
      <c r="O1612" t="s">
        <v>19267</v>
      </c>
      <c r="P1612" t="s">
        <v>69</v>
      </c>
      <c r="Q1612" t="s">
        <v>69</v>
      </c>
      <c r="R1612" t="s">
        <v>8505</v>
      </c>
      <c r="S1612" t="s">
        <v>8442</v>
      </c>
      <c r="T1612" t="s">
        <v>69</v>
      </c>
      <c r="U1612" t="s">
        <v>69</v>
      </c>
      <c r="V1612" t="s">
        <v>69</v>
      </c>
      <c r="W1612" t="s">
        <v>69</v>
      </c>
      <c r="X1612" t="s">
        <v>69</v>
      </c>
      <c r="Y1612" t="s">
        <v>69</v>
      </c>
      <c r="Z1612" t="s">
        <v>27018</v>
      </c>
      <c r="AA1612" t="s">
        <v>27019</v>
      </c>
      <c r="AB1612" t="s">
        <v>27020</v>
      </c>
      <c r="AC1612" t="s">
        <v>69</v>
      </c>
      <c r="AD1612" t="s">
        <v>27021</v>
      </c>
      <c r="AE1612" t="s">
        <v>27022</v>
      </c>
      <c r="AF1612" t="s">
        <v>27023</v>
      </c>
      <c r="AG1612" t="s">
        <v>27024</v>
      </c>
      <c r="AH1612" t="s">
        <v>27025</v>
      </c>
      <c r="AI1612" t="s">
        <v>27025</v>
      </c>
      <c r="AJ1612" t="s">
        <v>27026</v>
      </c>
      <c r="AK1612" t="s">
        <v>69</v>
      </c>
      <c r="AL1612">
        <v>22</v>
      </c>
      <c r="AM1612">
        <v>124</v>
      </c>
      <c r="AN1612">
        <v>123</v>
      </c>
      <c r="AO1612">
        <v>2</v>
      </c>
      <c r="AP1612">
        <v>57</v>
      </c>
      <c r="AQ1612" t="s">
        <v>9203</v>
      </c>
      <c r="AR1612" t="s">
        <v>8763</v>
      </c>
      <c r="AS1612" t="s">
        <v>9204</v>
      </c>
      <c r="AT1612" t="s">
        <v>19277</v>
      </c>
      <c r="AU1612" t="s">
        <v>69</v>
      </c>
      <c r="AV1612" t="s">
        <v>69</v>
      </c>
      <c r="AW1612" t="s">
        <v>19278</v>
      </c>
      <c r="AX1612" t="s">
        <v>19279</v>
      </c>
      <c r="AY1612" t="s">
        <v>4530</v>
      </c>
      <c r="AZ1612">
        <v>2011</v>
      </c>
      <c r="BA1612">
        <v>6</v>
      </c>
      <c r="BB1612" t="s">
        <v>69</v>
      </c>
      <c r="BC1612" t="s">
        <v>69</v>
      </c>
      <c r="BD1612" t="s">
        <v>69</v>
      </c>
      <c r="BE1612" t="s">
        <v>69</v>
      </c>
      <c r="BF1612" t="s">
        <v>69</v>
      </c>
      <c r="BG1612" t="s">
        <v>69</v>
      </c>
      <c r="BH1612" t="s">
        <v>69</v>
      </c>
      <c r="BI1612">
        <v>33</v>
      </c>
      <c r="BJ1612" t="s">
        <v>27027</v>
      </c>
      <c r="BK1612" t="str">
        <f>HYPERLINK("http://dx.doi.org/10.1186/1748-5908-6-33","http://dx.doi.org/10.1186/1748-5908-6-33")</f>
        <v>http://dx.doi.org/10.1186/1748-5908-6-33</v>
      </c>
      <c r="BL1612" t="s">
        <v>69</v>
      </c>
      <c r="BM1612" t="s">
        <v>69</v>
      </c>
      <c r="BN1612">
        <v>8</v>
      </c>
      <c r="BO1612" t="s">
        <v>9809</v>
      </c>
      <c r="BP1612" t="s">
        <v>8523</v>
      </c>
      <c r="BQ1612" t="s">
        <v>9209</v>
      </c>
      <c r="BR1612" t="s">
        <v>27028</v>
      </c>
      <c r="BS1612" t="s">
        <v>27029</v>
      </c>
      <c r="BT1612">
        <v>21457579</v>
      </c>
      <c r="BU1612" t="s">
        <v>9352</v>
      </c>
      <c r="BV1612" t="s">
        <v>69</v>
      </c>
      <c r="BW1612" t="s">
        <v>69</v>
      </c>
      <c r="BX1612" t="s">
        <v>8526</v>
      </c>
      <c r="BY1612" t="str">
        <f>HYPERLINK("https%3A%2F%2Fwww.webofscience.com%2Fwos%2Fwoscc%2Ffull-record%2FWOS:000289794500001","View Full Record in Web of Science")</f>
        <v>View Full Record in Web of Science</v>
      </c>
    </row>
    <row r="1613" spans="1:77" ht="12.5" x14ac:dyDescent="0.25">
      <c r="A1613" t="s">
        <v>8495</v>
      </c>
      <c r="B1613" s="22" t="s">
        <v>32931</v>
      </c>
      <c r="C1613" s="7"/>
      <c r="D1613" s="7"/>
      <c r="E1613" s="7"/>
      <c r="F1613" t="s">
        <v>67</v>
      </c>
      <c r="G1613" t="s">
        <v>14226</v>
      </c>
      <c r="H1613" t="s">
        <v>69</v>
      </c>
      <c r="I1613" t="s">
        <v>69</v>
      </c>
      <c r="J1613" t="s">
        <v>69</v>
      </c>
      <c r="K1613" t="s">
        <v>14227</v>
      </c>
      <c r="L1613" t="s">
        <v>69</v>
      </c>
      <c r="M1613" t="s">
        <v>69</v>
      </c>
      <c r="N1613" t="s">
        <v>14228</v>
      </c>
      <c r="O1613" t="s">
        <v>1405</v>
      </c>
      <c r="P1613" t="s">
        <v>69</v>
      </c>
      <c r="Q1613" t="s">
        <v>69</v>
      </c>
      <c r="R1613" t="s">
        <v>8505</v>
      </c>
      <c r="S1613" t="s">
        <v>8506</v>
      </c>
      <c r="T1613" t="s">
        <v>69</v>
      </c>
      <c r="U1613" t="s">
        <v>69</v>
      </c>
      <c r="V1613" t="s">
        <v>69</v>
      </c>
      <c r="W1613" t="s">
        <v>69</v>
      </c>
      <c r="X1613" t="s">
        <v>69</v>
      </c>
      <c r="Y1613" t="s">
        <v>14229</v>
      </c>
      <c r="Z1613" t="s">
        <v>14230</v>
      </c>
      <c r="AA1613" t="s">
        <v>14231</v>
      </c>
      <c r="AB1613" t="s">
        <v>14232</v>
      </c>
      <c r="AC1613" t="s">
        <v>69</v>
      </c>
      <c r="AD1613" t="s">
        <v>14233</v>
      </c>
      <c r="AE1613" t="s">
        <v>14234</v>
      </c>
      <c r="AF1613" t="s">
        <v>14235</v>
      </c>
      <c r="AG1613" t="s">
        <v>14236</v>
      </c>
      <c r="AH1613" t="s">
        <v>14237</v>
      </c>
      <c r="AI1613" t="s">
        <v>14238</v>
      </c>
      <c r="AJ1613" t="s">
        <v>14239</v>
      </c>
      <c r="AK1613" t="s">
        <v>69</v>
      </c>
      <c r="AL1613">
        <v>51</v>
      </c>
      <c r="AM1613">
        <v>6</v>
      </c>
      <c r="AN1613">
        <v>6</v>
      </c>
      <c r="AO1613">
        <v>2</v>
      </c>
      <c r="AP1613">
        <v>14</v>
      </c>
      <c r="AQ1613" t="s">
        <v>8636</v>
      </c>
      <c r="AR1613" t="s">
        <v>8637</v>
      </c>
      <c r="AS1613" t="s">
        <v>8638</v>
      </c>
      <c r="AT1613" t="s">
        <v>1407</v>
      </c>
      <c r="AU1613" t="s">
        <v>1408</v>
      </c>
      <c r="AV1613" t="s">
        <v>69</v>
      </c>
      <c r="AW1613" t="s">
        <v>14240</v>
      </c>
      <c r="AX1613" t="s">
        <v>8486</v>
      </c>
      <c r="AY1613" t="s">
        <v>381</v>
      </c>
      <c r="AZ1613">
        <v>2020</v>
      </c>
      <c r="BA1613">
        <v>145</v>
      </c>
      <c r="BB1613" t="s">
        <v>69</v>
      </c>
      <c r="BC1613" t="s">
        <v>69</v>
      </c>
      <c r="BD1613" t="s">
        <v>69</v>
      </c>
      <c r="BE1613" t="s">
        <v>69</v>
      </c>
      <c r="BF1613" t="s">
        <v>69</v>
      </c>
      <c r="BG1613" t="s">
        <v>69</v>
      </c>
      <c r="BH1613" t="s">
        <v>69</v>
      </c>
      <c r="BI1613">
        <v>111744</v>
      </c>
      <c r="BJ1613" t="s">
        <v>14241</v>
      </c>
      <c r="BK1613" t="str">
        <f>HYPERLINK("http://dx.doi.org/10.1016/j.enpol.2020.111744","http://dx.doi.org/10.1016/j.enpol.2020.111744")</f>
        <v>http://dx.doi.org/10.1016/j.enpol.2020.111744</v>
      </c>
      <c r="BL1613" t="s">
        <v>69</v>
      </c>
      <c r="BM1613" t="s">
        <v>69</v>
      </c>
      <c r="BN1613">
        <v>13</v>
      </c>
      <c r="BO1613" t="s">
        <v>14242</v>
      </c>
      <c r="BP1613" t="s">
        <v>8523</v>
      </c>
      <c r="BQ1613" t="s">
        <v>14243</v>
      </c>
      <c r="BR1613" t="s">
        <v>14244</v>
      </c>
      <c r="BS1613" t="s">
        <v>14245</v>
      </c>
      <c r="BT1613" t="s">
        <v>69</v>
      </c>
      <c r="BU1613" t="s">
        <v>69</v>
      </c>
      <c r="BV1613" t="s">
        <v>69</v>
      </c>
      <c r="BW1613" t="s">
        <v>69</v>
      </c>
      <c r="BX1613" t="s">
        <v>8526</v>
      </c>
      <c r="BY1613" t="str">
        <f>HYPERLINK("https%3A%2F%2Fwww.webofscience.com%2Fwos%2Fwoscc%2Ffull-record%2FWOS:000579443800029","View Full Record in Web of Science")</f>
        <v>View Full Record in Web of Science</v>
      </c>
    </row>
    <row r="1614" spans="1:77" ht="12.5" x14ac:dyDescent="0.25">
      <c r="A1614" t="s">
        <v>8495</v>
      </c>
      <c r="B1614" s="22" t="s">
        <v>32931</v>
      </c>
      <c r="C1614" s="7"/>
      <c r="D1614" s="7"/>
      <c r="E1614" s="7"/>
      <c r="F1614" t="s">
        <v>67</v>
      </c>
      <c r="G1614" t="s">
        <v>27390</v>
      </c>
      <c r="H1614" t="s">
        <v>69</v>
      </c>
      <c r="I1614" t="s">
        <v>69</v>
      </c>
      <c r="J1614" t="s">
        <v>69</v>
      </c>
      <c r="K1614" t="s">
        <v>27391</v>
      </c>
      <c r="L1614" t="s">
        <v>69</v>
      </c>
      <c r="M1614" t="s">
        <v>69</v>
      </c>
      <c r="N1614" t="s">
        <v>27392</v>
      </c>
      <c r="O1614" t="s">
        <v>26490</v>
      </c>
      <c r="P1614" t="s">
        <v>69</v>
      </c>
      <c r="Q1614" t="s">
        <v>69</v>
      </c>
      <c r="R1614" t="s">
        <v>8505</v>
      </c>
      <c r="S1614" t="s">
        <v>8506</v>
      </c>
      <c r="T1614" t="s">
        <v>69</v>
      </c>
      <c r="U1614" t="s">
        <v>69</v>
      </c>
      <c r="V1614" t="s">
        <v>69</v>
      </c>
      <c r="W1614" t="s">
        <v>69</v>
      </c>
      <c r="X1614" t="s">
        <v>69</v>
      </c>
      <c r="Y1614" t="s">
        <v>27393</v>
      </c>
      <c r="Z1614" t="s">
        <v>27394</v>
      </c>
      <c r="AA1614" t="s">
        <v>27395</v>
      </c>
      <c r="AB1614" t="s">
        <v>27396</v>
      </c>
      <c r="AC1614" t="s">
        <v>69</v>
      </c>
      <c r="AD1614" t="s">
        <v>27397</v>
      </c>
      <c r="AE1614" t="s">
        <v>27398</v>
      </c>
      <c r="AF1614" t="s">
        <v>27399</v>
      </c>
      <c r="AG1614" t="s">
        <v>27400</v>
      </c>
      <c r="AH1614" t="s">
        <v>27401</v>
      </c>
      <c r="AI1614" t="s">
        <v>27401</v>
      </c>
      <c r="AJ1614" t="s">
        <v>27402</v>
      </c>
      <c r="AK1614" t="s">
        <v>69</v>
      </c>
      <c r="AL1614">
        <v>76</v>
      </c>
      <c r="AM1614">
        <v>20</v>
      </c>
      <c r="AN1614">
        <v>21</v>
      </c>
      <c r="AO1614">
        <v>1</v>
      </c>
      <c r="AP1614">
        <v>2</v>
      </c>
      <c r="AQ1614" t="s">
        <v>8586</v>
      </c>
      <c r="AR1614" t="s">
        <v>8587</v>
      </c>
      <c r="AS1614" t="s">
        <v>8588</v>
      </c>
      <c r="AT1614" t="s">
        <v>26497</v>
      </c>
      <c r="AU1614" t="s">
        <v>26498</v>
      </c>
      <c r="AV1614" t="s">
        <v>69</v>
      </c>
      <c r="AW1614" t="s">
        <v>26499</v>
      </c>
      <c r="AX1614" t="s">
        <v>26500</v>
      </c>
      <c r="AY1614" t="s">
        <v>69</v>
      </c>
      <c r="AZ1614">
        <v>2011</v>
      </c>
      <c r="BA1614">
        <v>7</v>
      </c>
      <c r="BB1614">
        <v>2</v>
      </c>
      <c r="BC1614" t="s">
        <v>69</v>
      </c>
      <c r="BD1614" t="s">
        <v>69</v>
      </c>
      <c r="BE1614" t="s">
        <v>69</v>
      </c>
      <c r="BF1614" t="s">
        <v>69</v>
      </c>
      <c r="BG1614">
        <v>132</v>
      </c>
      <c r="BH1614" t="s">
        <v>219</v>
      </c>
      <c r="BI1614" t="s">
        <v>69</v>
      </c>
      <c r="BJ1614" t="s">
        <v>27403</v>
      </c>
      <c r="BK1614" t="str">
        <f>HYPERLINK("http://dx.doi.org/10.1108/18325911111139671","http://dx.doi.org/10.1108/18325911111139671")</f>
        <v>http://dx.doi.org/10.1108/18325911111139671</v>
      </c>
      <c r="BL1614" t="s">
        <v>69</v>
      </c>
      <c r="BM1614" t="s">
        <v>69</v>
      </c>
      <c r="BN1614">
        <v>27</v>
      </c>
      <c r="BO1614" t="s">
        <v>9749</v>
      </c>
      <c r="BP1614" t="s">
        <v>8573</v>
      </c>
      <c r="BQ1614" t="s">
        <v>8594</v>
      </c>
      <c r="BR1614" t="s">
        <v>27404</v>
      </c>
      <c r="BS1614" t="s">
        <v>27405</v>
      </c>
      <c r="BT1614" t="s">
        <v>69</v>
      </c>
      <c r="BU1614" t="s">
        <v>9292</v>
      </c>
      <c r="BV1614" t="s">
        <v>69</v>
      </c>
      <c r="BW1614" t="s">
        <v>69</v>
      </c>
      <c r="BX1614" t="s">
        <v>8526</v>
      </c>
      <c r="BY1614" t="str">
        <f>HYPERLINK("https%3A%2F%2Fwww.webofscience.com%2Fwos%2Fwoscc%2Ffull-record%2FWOS:000211662300002","View Full Record in Web of Science")</f>
        <v>View Full Record in Web of Science</v>
      </c>
    </row>
    <row r="1615" spans="1:77" x14ac:dyDescent="0.3">
      <c r="A1615" t="s">
        <v>8495</v>
      </c>
      <c r="B1615" s="9" t="s">
        <v>32954</v>
      </c>
      <c r="C1615" s="9" t="s">
        <v>33139</v>
      </c>
      <c r="D1615" s="9" t="s">
        <v>8491</v>
      </c>
      <c r="E1615" s="9" t="s">
        <v>8490</v>
      </c>
      <c r="F1615" t="s">
        <v>67</v>
      </c>
      <c r="G1615" t="s">
        <v>29875</v>
      </c>
      <c r="H1615" t="s">
        <v>69</v>
      </c>
      <c r="I1615" t="s">
        <v>69</v>
      </c>
      <c r="J1615" t="s">
        <v>69</v>
      </c>
      <c r="K1615" t="s">
        <v>29876</v>
      </c>
      <c r="L1615" t="s">
        <v>69</v>
      </c>
      <c r="M1615" t="s">
        <v>69</v>
      </c>
      <c r="N1615" t="s">
        <v>29877</v>
      </c>
      <c r="O1615" t="s">
        <v>688</v>
      </c>
      <c r="P1615" t="s">
        <v>69</v>
      </c>
      <c r="Q1615" t="s">
        <v>69</v>
      </c>
      <c r="R1615" t="s">
        <v>8505</v>
      </c>
      <c r="S1615" t="s">
        <v>8506</v>
      </c>
      <c r="T1615" t="s">
        <v>69</v>
      </c>
      <c r="U1615" t="s">
        <v>69</v>
      </c>
      <c r="V1615" t="s">
        <v>69</v>
      </c>
      <c r="W1615" t="s">
        <v>69</v>
      </c>
      <c r="X1615" t="s">
        <v>69</v>
      </c>
      <c r="Y1615" t="s">
        <v>29878</v>
      </c>
      <c r="Z1615" t="s">
        <v>69</v>
      </c>
      <c r="AA1615" t="s">
        <v>29879</v>
      </c>
      <c r="AB1615" t="s">
        <v>29880</v>
      </c>
      <c r="AC1615" t="s">
        <v>69</v>
      </c>
      <c r="AD1615" t="s">
        <v>29881</v>
      </c>
      <c r="AE1615" t="s">
        <v>69</v>
      </c>
      <c r="AF1615" t="s">
        <v>29882</v>
      </c>
      <c r="AG1615" t="s">
        <v>29883</v>
      </c>
      <c r="AH1615" t="s">
        <v>69</v>
      </c>
      <c r="AI1615" t="s">
        <v>69</v>
      </c>
      <c r="AJ1615" t="s">
        <v>69</v>
      </c>
      <c r="AK1615" t="s">
        <v>69</v>
      </c>
      <c r="AL1615">
        <v>24</v>
      </c>
      <c r="AM1615">
        <v>9</v>
      </c>
      <c r="AN1615">
        <v>9</v>
      </c>
      <c r="AO1615">
        <v>0</v>
      </c>
      <c r="AP1615">
        <v>0</v>
      </c>
      <c r="AQ1615" t="s">
        <v>14471</v>
      </c>
      <c r="AR1615" t="s">
        <v>14472</v>
      </c>
      <c r="AS1615" t="s">
        <v>14473</v>
      </c>
      <c r="AT1615" t="s">
        <v>690</v>
      </c>
      <c r="AU1615" t="s">
        <v>691</v>
      </c>
      <c r="AV1615" t="s">
        <v>69</v>
      </c>
      <c r="AW1615" t="s">
        <v>14474</v>
      </c>
      <c r="AX1615" t="s">
        <v>14475</v>
      </c>
      <c r="AY1615" t="s">
        <v>69</v>
      </c>
      <c r="AZ1615">
        <v>2007</v>
      </c>
      <c r="BA1615">
        <v>7</v>
      </c>
      <c r="BB1615">
        <v>2</v>
      </c>
      <c r="BC1615" t="s">
        <v>69</v>
      </c>
      <c r="BD1615" t="s">
        <v>69</v>
      </c>
      <c r="BE1615" t="s">
        <v>69</v>
      </c>
      <c r="BF1615" t="s">
        <v>69</v>
      </c>
      <c r="BG1615">
        <v>26</v>
      </c>
      <c r="BH1615">
        <v>36</v>
      </c>
      <c r="BI1615" t="s">
        <v>69</v>
      </c>
      <c r="BJ1615" t="s">
        <v>29884</v>
      </c>
      <c r="BK1615" t="str">
        <f>HYPERLINK("http://dx.doi.org/10.5130/AJCEB.v7i2.2988","http://dx.doi.org/10.5130/AJCEB.v7i2.2988")</f>
        <v>http://dx.doi.org/10.5130/AJCEB.v7i2.2988</v>
      </c>
      <c r="BL1615" t="s">
        <v>69</v>
      </c>
      <c r="BM1615" t="s">
        <v>69</v>
      </c>
      <c r="BN1615">
        <v>11</v>
      </c>
      <c r="BO1615" t="s">
        <v>9410</v>
      </c>
      <c r="BP1615" t="s">
        <v>8573</v>
      </c>
      <c r="BQ1615" t="s">
        <v>8594</v>
      </c>
      <c r="BR1615" t="s">
        <v>29885</v>
      </c>
      <c r="BS1615" t="s">
        <v>29886</v>
      </c>
      <c r="BT1615" t="s">
        <v>69</v>
      </c>
      <c r="BU1615" t="s">
        <v>11853</v>
      </c>
      <c r="BV1615" t="s">
        <v>69</v>
      </c>
      <c r="BW1615" t="s">
        <v>69</v>
      </c>
      <c r="BX1615" t="s">
        <v>8526</v>
      </c>
      <c r="BY1615" t="str">
        <f>HYPERLINK("https%3A%2F%2Fwww.webofscience.com%2Fwos%2Fwoscc%2Ffull-record%2FWOS:000214180500004","View Full Record in Web of Science")</f>
        <v>View Full Record in Web of Science</v>
      </c>
    </row>
    <row r="1616" spans="1:77" ht="12.5" x14ac:dyDescent="0.25">
      <c r="A1616" t="s">
        <v>8495</v>
      </c>
      <c r="B1616" s="22" t="s">
        <v>32931</v>
      </c>
      <c r="C1616" s="7"/>
      <c r="D1616" s="7"/>
      <c r="E1616" s="7"/>
      <c r="F1616" t="s">
        <v>67</v>
      </c>
      <c r="G1616" t="s">
        <v>24684</v>
      </c>
      <c r="H1616" t="s">
        <v>69</v>
      </c>
      <c r="I1616" t="s">
        <v>69</v>
      </c>
      <c r="J1616" t="s">
        <v>69</v>
      </c>
      <c r="K1616" t="s">
        <v>24685</v>
      </c>
      <c r="L1616" t="s">
        <v>69</v>
      </c>
      <c r="M1616" t="s">
        <v>69</v>
      </c>
      <c r="N1616" t="s">
        <v>24686</v>
      </c>
      <c r="O1616" t="s">
        <v>24687</v>
      </c>
      <c r="P1616" t="s">
        <v>69</v>
      </c>
      <c r="Q1616" t="s">
        <v>69</v>
      </c>
      <c r="R1616" t="s">
        <v>8505</v>
      </c>
      <c r="S1616" t="s">
        <v>8506</v>
      </c>
      <c r="T1616" t="s">
        <v>69</v>
      </c>
      <c r="U1616" t="s">
        <v>69</v>
      </c>
      <c r="V1616" t="s">
        <v>69</v>
      </c>
      <c r="W1616" t="s">
        <v>69</v>
      </c>
      <c r="X1616" t="s">
        <v>69</v>
      </c>
      <c r="Y1616" t="s">
        <v>24688</v>
      </c>
      <c r="Z1616" t="s">
        <v>24689</v>
      </c>
      <c r="AA1616" t="s">
        <v>24690</v>
      </c>
      <c r="AB1616" t="s">
        <v>24691</v>
      </c>
      <c r="AC1616" t="s">
        <v>69</v>
      </c>
      <c r="AD1616" t="s">
        <v>24692</v>
      </c>
      <c r="AE1616" t="s">
        <v>24693</v>
      </c>
      <c r="AF1616" t="s">
        <v>69</v>
      </c>
      <c r="AG1616" t="s">
        <v>69</v>
      </c>
      <c r="AH1616" t="s">
        <v>69</v>
      </c>
      <c r="AI1616" t="s">
        <v>69</v>
      </c>
      <c r="AJ1616" t="s">
        <v>69</v>
      </c>
      <c r="AK1616" t="s">
        <v>69</v>
      </c>
      <c r="AL1616">
        <v>49</v>
      </c>
      <c r="AM1616">
        <v>16</v>
      </c>
      <c r="AN1616">
        <v>16</v>
      </c>
      <c r="AO1616">
        <v>0</v>
      </c>
      <c r="AP1616">
        <v>22</v>
      </c>
      <c r="AQ1616" t="s">
        <v>8865</v>
      </c>
      <c r="AR1616" t="s">
        <v>8612</v>
      </c>
      <c r="AS1616" t="s">
        <v>8866</v>
      </c>
      <c r="AT1616" t="s">
        <v>24694</v>
      </c>
      <c r="AU1616" t="s">
        <v>24695</v>
      </c>
      <c r="AV1616" t="s">
        <v>69</v>
      </c>
      <c r="AW1616" t="s">
        <v>24696</v>
      </c>
      <c r="AX1616" t="s">
        <v>24697</v>
      </c>
      <c r="AY1616" t="s">
        <v>904</v>
      </c>
      <c r="AZ1616">
        <v>2013</v>
      </c>
      <c r="BA1616">
        <v>34</v>
      </c>
      <c r="BB1616">
        <v>4</v>
      </c>
      <c r="BC1616" t="s">
        <v>69</v>
      </c>
      <c r="BD1616" t="s">
        <v>69</v>
      </c>
      <c r="BE1616" t="s">
        <v>114</v>
      </c>
      <c r="BF1616" t="s">
        <v>69</v>
      </c>
      <c r="BG1616">
        <v>359</v>
      </c>
      <c r="BH1616">
        <v>370</v>
      </c>
      <c r="BI1616" t="s">
        <v>69</v>
      </c>
      <c r="BJ1616" t="s">
        <v>24698</v>
      </c>
      <c r="BK1616" t="str">
        <f>HYPERLINK("http://dx.doi.org/10.1080/1554477X.2013.835680","http://dx.doi.org/10.1080/1554477X.2013.835680")</f>
        <v>http://dx.doi.org/10.1080/1554477X.2013.835680</v>
      </c>
      <c r="BL1616" t="s">
        <v>69</v>
      </c>
      <c r="BM1616" t="s">
        <v>69</v>
      </c>
      <c r="BN1616">
        <v>12</v>
      </c>
      <c r="BO1616" t="s">
        <v>24699</v>
      </c>
      <c r="BP1616" t="s">
        <v>8661</v>
      </c>
      <c r="BQ1616" t="s">
        <v>24700</v>
      </c>
      <c r="BR1616" t="s">
        <v>24701</v>
      </c>
      <c r="BS1616" t="s">
        <v>24702</v>
      </c>
      <c r="BT1616" t="s">
        <v>69</v>
      </c>
      <c r="BU1616" t="s">
        <v>69</v>
      </c>
      <c r="BV1616" t="s">
        <v>69</v>
      </c>
      <c r="BW1616" t="s">
        <v>69</v>
      </c>
      <c r="BX1616" t="s">
        <v>8526</v>
      </c>
      <c r="BY1616" t="str">
        <f>HYPERLINK("https%3A%2F%2Fwww.webofscience.com%2Fwos%2Fwoscc%2Ffull-record%2FWOS:000326713100006","View Full Record in Web of Science")</f>
        <v>View Full Record in Web of Science</v>
      </c>
    </row>
    <row r="1617" spans="1:77" ht="12.5" x14ac:dyDescent="0.25">
      <c r="A1617" t="s">
        <v>8495</v>
      </c>
      <c r="B1617" s="7" t="s">
        <v>32933</v>
      </c>
      <c r="C1617" s="7"/>
      <c r="D1617" s="7"/>
      <c r="E1617" s="7"/>
      <c r="F1617" t="s">
        <v>67</v>
      </c>
      <c r="G1617" t="s">
        <v>5215</v>
      </c>
      <c r="H1617" t="s">
        <v>69</v>
      </c>
      <c r="I1617" t="s">
        <v>69</v>
      </c>
      <c r="J1617" t="s">
        <v>69</v>
      </c>
      <c r="K1617" t="s">
        <v>5215</v>
      </c>
      <c r="L1617" t="s">
        <v>69</v>
      </c>
      <c r="M1617" t="s">
        <v>69</v>
      </c>
      <c r="N1617" t="s">
        <v>5216</v>
      </c>
      <c r="O1617" t="s">
        <v>5217</v>
      </c>
      <c r="P1617" t="s">
        <v>69</v>
      </c>
      <c r="Q1617" t="s">
        <v>69</v>
      </c>
      <c r="R1617" t="s">
        <v>8505</v>
      </c>
      <c r="S1617" t="s">
        <v>15797</v>
      </c>
      <c r="T1617" t="s">
        <v>5218</v>
      </c>
      <c r="U1617" t="s">
        <v>5219</v>
      </c>
      <c r="V1617" t="s">
        <v>5220</v>
      </c>
      <c r="W1617" t="s">
        <v>69</v>
      </c>
      <c r="X1617" t="s">
        <v>69</v>
      </c>
      <c r="Y1617" t="s">
        <v>31757</v>
      </c>
      <c r="Z1617" t="s">
        <v>69</v>
      </c>
      <c r="AA1617" t="s">
        <v>5221</v>
      </c>
      <c r="AB1617" t="s">
        <v>31758</v>
      </c>
      <c r="AC1617" t="s">
        <v>69</v>
      </c>
      <c r="AD1617" t="s">
        <v>31759</v>
      </c>
      <c r="AE1617" t="s">
        <v>31760</v>
      </c>
      <c r="AF1617" t="s">
        <v>69</v>
      </c>
      <c r="AG1617" t="s">
        <v>69</v>
      </c>
      <c r="AH1617" t="s">
        <v>69</v>
      </c>
      <c r="AI1617" t="s">
        <v>69</v>
      </c>
      <c r="AJ1617" t="s">
        <v>69</v>
      </c>
      <c r="AK1617" t="s">
        <v>69</v>
      </c>
      <c r="AL1617">
        <v>21</v>
      </c>
      <c r="AM1617">
        <v>43</v>
      </c>
      <c r="AN1617">
        <v>44</v>
      </c>
      <c r="AO1617">
        <v>1</v>
      </c>
      <c r="AP1617">
        <v>15</v>
      </c>
      <c r="AQ1617" t="s">
        <v>8636</v>
      </c>
      <c r="AR1617" t="s">
        <v>8637</v>
      </c>
      <c r="AS1617" t="s">
        <v>8638</v>
      </c>
      <c r="AT1617" t="s">
        <v>5222</v>
      </c>
      <c r="AU1617" t="s">
        <v>31761</v>
      </c>
      <c r="AV1617" t="s">
        <v>69</v>
      </c>
      <c r="AW1617" t="s">
        <v>31762</v>
      </c>
      <c r="AX1617" t="s">
        <v>31763</v>
      </c>
      <c r="AY1617" t="s">
        <v>1053</v>
      </c>
      <c r="AZ1617">
        <v>2000</v>
      </c>
      <c r="BA1617">
        <v>19</v>
      </c>
      <c r="BB1617" t="s">
        <v>5223</v>
      </c>
      <c r="BC1617" t="s">
        <v>69</v>
      </c>
      <c r="BD1617" t="s">
        <v>69</v>
      </c>
      <c r="BE1617" t="s">
        <v>69</v>
      </c>
      <c r="BF1617" t="s">
        <v>69</v>
      </c>
      <c r="BG1617">
        <v>637</v>
      </c>
      <c r="BH1617">
        <v>641</v>
      </c>
      <c r="BI1617" t="s">
        <v>69</v>
      </c>
      <c r="BJ1617" t="s">
        <v>5224</v>
      </c>
      <c r="BK1617" t="str">
        <f>HYPERLINK("http://dx.doi.org/10.1016/S0261-2194(00)00084-3","http://dx.doi.org/10.1016/S0261-2194(00)00084-3")</f>
        <v>http://dx.doi.org/10.1016/S0261-2194(00)00084-3</v>
      </c>
      <c r="BL1617" t="s">
        <v>69</v>
      </c>
      <c r="BM1617" t="s">
        <v>69</v>
      </c>
      <c r="BN1617">
        <v>5</v>
      </c>
      <c r="BO1617" t="s">
        <v>10815</v>
      </c>
      <c r="BP1617" t="s">
        <v>15808</v>
      </c>
      <c r="BQ1617" t="s">
        <v>8450</v>
      </c>
      <c r="BR1617" t="s">
        <v>31764</v>
      </c>
      <c r="BS1617" t="s">
        <v>5225</v>
      </c>
      <c r="BT1617" t="s">
        <v>69</v>
      </c>
      <c r="BU1617" t="s">
        <v>69</v>
      </c>
      <c r="BV1617" t="s">
        <v>69</v>
      </c>
      <c r="BW1617" t="s">
        <v>69</v>
      </c>
      <c r="BX1617" t="s">
        <v>8526</v>
      </c>
      <c r="BY1617" t="str">
        <f>HYPERLINK("https%3A%2F%2Fwww.webofscience.com%2Fwos%2Fwoscc%2Ffull-record%2FWOS:000165301100017","View Full Record in Web of Science")</f>
        <v>View Full Record in Web of Science</v>
      </c>
    </row>
    <row r="1618" spans="1:77" ht="12.5" x14ac:dyDescent="0.25">
      <c r="A1618" t="s">
        <v>8495</v>
      </c>
      <c r="B1618" s="7" t="s">
        <v>32933</v>
      </c>
      <c r="C1618" s="7"/>
      <c r="D1618" s="7"/>
      <c r="E1618" s="7"/>
      <c r="F1618" t="s">
        <v>67</v>
      </c>
      <c r="G1618" t="s">
        <v>1529</v>
      </c>
      <c r="H1618" t="s">
        <v>69</v>
      </c>
      <c r="I1618" t="s">
        <v>69</v>
      </c>
      <c r="J1618" t="s">
        <v>69</v>
      </c>
      <c r="K1618" t="s">
        <v>1530</v>
      </c>
      <c r="L1618" t="s">
        <v>69</v>
      </c>
      <c r="M1618" t="s">
        <v>69</v>
      </c>
      <c r="N1618" t="s">
        <v>1531</v>
      </c>
      <c r="O1618" t="s">
        <v>1532</v>
      </c>
      <c r="P1618" t="s">
        <v>69</v>
      </c>
      <c r="Q1618" t="s">
        <v>69</v>
      </c>
      <c r="R1618" t="s">
        <v>8505</v>
      </c>
      <c r="S1618" t="s">
        <v>8506</v>
      </c>
      <c r="T1618" t="s">
        <v>69</v>
      </c>
      <c r="U1618" t="s">
        <v>69</v>
      </c>
      <c r="V1618" t="s">
        <v>69</v>
      </c>
      <c r="W1618" t="s">
        <v>69</v>
      </c>
      <c r="X1618" t="s">
        <v>69</v>
      </c>
      <c r="Y1618" t="s">
        <v>27921</v>
      </c>
      <c r="Z1618" t="s">
        <v>27922</v>
      </c>
      <c r="AA1618" t="s">
        <v>1533</v>
      </c>
      <c r="AB1618" t="s">
        <v>27923</v>
      </c>
      <c r="AC1618" t="s">
        <v>69</v>
      </c>
      <c r="AD1618" t="s">
        <v>27924</v>
      </c>
      <c r="AE1618" t="s">
        <v>27925</v>
      </c>
      <c r="AF1618" t="s">
        <v>1534</v>
      </c>
      <c r="AG1618" t="s">
        <v>1535</v>
      </c>
      <c r="AH1618" t="s">
        <v>69</v>
      </c>
      <c r="AI1618" t="s">
        <v>69</v>
      </c>
      <c r="AJ1618" t="s">
        <v>69</v>
      </c>
      <c r="AK1618" t="s">
        <v>69</v>
      </c>
      <c r="AL1618">
        <v>94</v>
      </c>
      <c r="AM1618">
        <v>41</v>
      </c>
      <c r="AN1618">
        <v>41</v>
      </c>
      <c r="AO1618">
        <v>1</v>
      </c>
      <c r="AP1618">
        <v>50</v>
      </c>
      <c r="AQ1618" t="s">
        <v>8586</v>
      </c>
      <c r="AR1618" t="s">
        <v>8587</v>
      </c>
      <c r="AS1618" t="s">
        <v>8588</v>
      </c>
      <c r="AT1618" t="s">
        <v>1536</v>
      </c>
      <c r="AU1618" t="s">
        <v>1537</v>
      </c>
      <c r="AV1618" t="s">
        <v>69</v>
      </c>
      <c r="AW1618" t="s">
        <v>14061</v>
      </c>
      <c r="AX1618" t="s">
        <v>14062</v>
      </c>
      <c r="AY1618" t="s">
        <v>69</v>
      </c>
      <c r="AZ1618">
        <v>2010</v>
      </c>
      <c r="BA1618">
        <v>23</v>
      </c>
      <c r="BB1618">
        <v>7</v>
      </c>
      <c r="BC1618" t="s">
        <v>69</v>
      </c>
      <c r="BD1618" t="s">
        <v>69</v>
      </c>
      <c r="BE1618" t="s">
        <v>114</v>
      </c>
      <c r="BF1618" t="s">
        <v>69</v>
      </c>
      <c r="BG1618">
        <v>890</v>
      </c>
      <c r="BH1618">
        <v>919</v>
      </c>
      <c r="BI1618" t="s">
        <v>69</v>
      </c>
      <c r="BJ1618" t="s">
        <v>1538</v>
      </c>
      <c r="BK1618" t="str">
        <f>HYPERLINK("http://dx.doi.org/10.1108/09513571011080171","http://dx.doi.org/10.1108/09513571011080171")</f>
        <v>http://dx.doi.org/10.1108/09513571011080171</v>
      </c>
      <c r="BL1618" t="s">
        <v>69</v>
      </c>
      <c r="BM1618" t="s">
        <v>69</v>
      </c>
      <c r="BN1618">
        <v>30</v>
      </c>
      <c r="BO1618" t="s">
        <v>9749</v>
      </c>
      <c r="BP1618" t="s">
        <v>8661</v>
      </c>
      <c r="BQ1618" t="s">
        <v>8594</v>
      </c>
      <c r="BR1618" t="s">
        <v>27926</v>
      </c>
      <c r="BS1618" t="s">
        <v>1539</v>
      </c>
      <c r="BT1618" t="s">
        <v>69</v>
      </c>
      <c r="BU1618" t="s">
        <v>69</v>
      </c>
      <c r="BV1618" t="s">
        <v>69</v>
      </c>
      <c r="BW1618" t="s">
        <v>69</v>
      </c>
      <c r="BX1618" t="s">
        <v>8526</v>
      </c>
      <c r="BY1618" t="str">
        <f>HYPERLINK("https%3A%2F%2Fwww.webofscience.com%2Fwos%2Fwoscc%2Ffull-record%2FWOS:000208574300005","View Full Record in Web of Science")</f>
        <v>View Full Record in Web of Science</v>
      </c>
    </row>
    <row r="1619" spans="1:77" ht="12.5" x14ac:dyDescent="0.25">
      <c r="A1619" t="s">
        <v>8495</v>
      </c>
      <c r="B1619" s="22" t="s">
        <v>32931</v>
      </c>
      <c r="C1619" s="7"/>
      <c r="D1619" s="7"/>
      <c r="E1619" s="7"/>
      <c r="F1619" t="s">
        <v>67</v>
      </c>
      <c r="G1619" t="s">
        <v>29364</v>
      </c>
      <c r="H1619" t="s">
        <v>69</v>
      </c>
      <c r="I1619" t="s">
        <v>69</v>
      </c>
      <c r="J1619" t="s">
        <v>69</v>
      </c>
      <c r="K1619" t="s">
        <v>29365</v>
      </c>
      <c r="L1619" t="s">
        <v>69</v>
      </c>
      <c r="M1619" t="s">
        <v>69</v>
      </c>
      <c r="N1619" t="s">
        <v>29366</v>
      </c>
      <c r="O1619" t="s">
        <v>408</v>
      </c>
      <c r="P1619" t="s">
        <v>69</v>
      </c>
      <c r="Q1619" t="s">
        <v>69</v>
      </c>
      <c r="R1619" t="s">
        <v>8505</v>
      </c>
      <c r="S1619" t="s">
        <v>8442</v>
      </c>
      <c r="T1619" t="s">
        <v>69</v>
      </c>
      <c r="U1619" t="s">
        <v>69</v>
      </c>
      <c r="V1619" t="s">
        <v>69</v>
      </c>
      <c r="W1619" t="s">
        <v>69</v>
      </c>
      <c r="X1619" t="s">
        <v>69</v>
      </c>
      <c r="Y1619" t="s">
        <v>29367</v>
      </c>
      <c r="Z1619" t="s">
        <v>69</v>
      </c>
      <c r="AA1619" t="s">
        <v>29368</v>
      </c>
      <c r="AB1619" t="s">
        <v>29369</v>
      </c>
      <c r="AC1619" t="s">
        <v>69</v>
      </c>
      <c r="AD1619" t="s">
        <v>29370</v>
      </c>
      <c r="AE1619" t="s">
        <v>29371</v>
      </c>
      <c r="AF1619" t="s">
        <v>69</v>
      </c>
      <c r="AG1619" t="s">
        <v>69</v>
      </c>
      <c r="AH1619" t="s">
        <v>69</v>
      </c>
      <c r="AI1619" t="s">
        <v>69</v>
      </c>
      <c r="AJ1619" t="s">
        <v>69</v>
      </c>
      <c r="AK1619" t="s">
        <v>69</v>
      </c>
      <c r="AL1619">
        <v>45</v>
      </c>
      <c r="AM1619">
        <v>8</v>
      </c>
      <c r="AN1619">
        <v>8</v>
      </c>
      <c r="AO1619">
        <v>0</v>
      </c>
      <c r="AP1619">
        <v>0</v>
      </c>
      <c r="AQ1619" t="s">
        <v>8586</v>
      </c>
      <c r="AR1619" t="s">
        <v>8587</v>
      </c>
      <c r="AS1619" t="s">
        <v>8588</v>
      </c>
      <c r="AT1619" t="s">
        <v>410</v>
      </c>
      <c r="AU1619" t="s">
        <v>411</v>
      </c>
      <c r="AV1619" t="s">
        <v>69</v>
      </c>
      <c r="AW1619" t="s">
        <v>9125</v>
      </c>
      <c r="AX1619" t="s">
        <v>9126</v>
      </c>
      <c r="AY1619" t="s">
        <v>69</v>
      </c>
      <c r="AZ1619">
        <v>2008</v>
      </c>
      <c r="BA1619">
        <v>15</v>
      </c>
      <c r="BB1619">
        <v>3</v>
      </c>
      <c r="BC1619" t="s">
        <v>69</v>
      </c>
      <c r="BD1619" t="s">
        <v>69</v>
      </c>
      <c r="BE1619" t="s">
        <v>69</v>
      </c>
      <c r="BF1619" t="s">
        <v>69</v>
      </c>
      <c r="BG1619">
        <v>270</v>
      </c>
      <c r="BH1619" t="s">
        <v>219</v>
      </c>
      <c r="BI1619" t="s">
        <v>69</v>
      </c>
      <c r="BJ1619" t="s">
        <v>29372</v>
      </c>
      <c r="BK1619" t="str">
        <f>HYPERLINK("http://dx.doi.org/10.1108/09699980810867424","http://dx.doi.org/10.1108/09699980810867424")</f>
        <v>http://dx.doi.org/10.1108/09699980810867424</v>
      </c>
      <c r="BL1619" t="s">
        <v>69</v>
      </c>
      <c r="BM1619" t="s">
        <v>69</v>
      </c>
      <c r="BN1619">
        <v>13</v>
      </c>
      <c r="BO1619" t="s">
        <v>9128</v>
      </c>
      <c r="BP1619" t="s">
        <v>8573</v>
      </c>
      <c r="BQ1619" t="s">
        <v>9129</v>
      </c>
      <c r="BR1619" t="s">
        <v>29373</v>
      </c>
      <c r="BS1619" t="s">
        <v>29374</v>
      </c>
      <c r="BT1619" t="s">
        <v>69</v>
      </c>
      <c r="BU1619" t="s">
        <v>69</v>
      </c>
      <c r="BV1619" t="s">
        <v>69</v>
      </c>
      <c r="BW1619" t="s">
        <v>69</v>
      </c>
      <c r="BX1619" t="s">
        <v>8526</v>
      </c>
      <c r="BY1619" t="str">
        <f>HYPERLINK("https%3A%2F%2Fwww.webofscience.com%2Fwos%2Fwoscc%2Ffull-record%2FWOS:000211618100006","View Full Record in Web of Science")</f>
        <v>View Full Record in Web of Science</v>
      </c>
    </row>
    <row r="1620" spans="1:77" ht="12.5" x14ac:dyDescent="0.25">
      <c r="A1620" t="s">
        <v>8495</v>
      </c>
      <c r="B1620" s="7" t="s">
        <v>32933</v>
      </c>
      <c r="C1620" s="7"/>
      <c r="D1620" s="7"/>
      <c r="E1620" s="7"/>
      <c r="F1620" t="s">
        <v>67</v>
      </c>
      <c r="G1620" t="s">
        <v>5406</v>
      </c>
      <c r="H1620" t="s">
        <v>69</v>
      </c>
      <c r="I1620" t="s">
        <v>69</v>
      </c>
      <c r="J1620" t="s">
        <v>69</v>
      </c>
      <c r="K1620" t="s">
        <v>5407</v>
      </c>
      <c r="L1620" t="s">
        <v>69</v>
      </c>
      <c r="M1620" t="s">
        <v>69</v>
      </c>
      <c r="N1620" t="s">
        <v>5408</v>
      </c>
      <c r="O1620" t="s">
        <v>5409</v>
      </c>
      <c r="P1620" t="s">
        <v>69</v>
      </c>
      <c r="Q1620" t="s">
        <v>69</v>
      </c>
      <c r="R1620" t="s">
        <v>8505</v>
      </c>
      <c r="S1620" t="s">
        <v>8506</v>
      </c>
      <c r="T1620" t="s">
        <v>69</v>
      </c>
      <c r="U1620" t="s">
        <v>69</v>
      </c>
      <c r="V1620" t="s">
        <v>69</v>
      </c>
      <c r="W1620" t="s">
        <v>69</v>
      </c>
      <c r="X1620" t="s">
        <v>69</v>
      </c>
      <c r="Y1620" t="s">
        <v>69</v>
      </c>
      <c r="Z1620" t="s">
        <v>29113</v>
      </c>
      <c r="AA1620" t="s">
        <v>5410</v>
      </c>
      <c r="AB1620" t="s">
        <v>29114</v>
      </c>
      <c r="AC1620" t="s">
        <v>69</v>
      </c>
      <c r="AD1620" t="s">
        <v>29115</v>
      </c>
      <c r="AE1620" t="s">
        <v>29116</v>
      </c>
      <c r="AF1620" t="s">
        <v>29117</v>
      </c>
      <c r="AG1620" t="s">
        <v>5411</v>
      </c>
      <c r="AH1620" t="s">
        <v>69</v>
      </c>
      <c r="AI1620" t="s">
        <v>69</v>
      </c>
      <c r="AJ1620" t="s">
        <v>69</v>
      </c>
      <c r="AK1620" t="s">
        <v>69</v>
      </c>
      <c r="AL1620">
        <v>56</v>
      </c>
      <c r="AM1620">
        <v>10</v>
      </c>
      <c r="AN1620">
        <v>10</v>
      </c>
      <c r="AO1620">
        <v>0</v>
      </c>
      <c r="AP1620">
        <v>10</v>
      </c>
      <c r="AQ1620" t="s">
        <v>8846</v>
      </c>
      <c r="AR1620" t="s">
        <v>8847</v>
      </c>
      <c r="AS1620" t="s">
        <v>8848</v>
      </c>
      <c r="AT1620" t="s">
        <v>5412</v>
      </c>
      <c r="AU1620" t="s">
        <v>5413</v>
      </c>
      <c r="AV1620" t="s">
        <v>69</v>
      </c>
      <c r="AW1620" t="s">
        <v>29118</v>
      </c>
      <c r="AX1620" t="s">
        <v>29119</v>
      </c>
      <c r="AY1620" t="s">
        <v>255</v>
      </c>
      <c r="AZ1620">
        <v>2008</v>
      </c>
      <c r="BA1620">
        <v>46</v>
      </c>
      <c r="BB1620">
        <v>4</v>
      </c>
      <c r="BC1620" t="s">
        <v>69</v>
      </c>
      <c r="BD1620" t="s">
        <v>69</v>
      </c>
      <c r="BE1620" t="s">
        <v>69</v>
      </c>
      <c r="BF1620" t="s">
        <v>69</v>
      </c>
      <c r="BG1620">
        <v>787</v>
      </c>
      <c r="BH1620">
        <v>825</v>
      </c>
      <c r="BI1620" t="s">
        <v>69</v>
      </c>
      <c r="BJ1620" t="s">
        <v>5414</v>
      </c>
      <c r="BK1620" t="str">
        <f>HYPERLINK("http://dx.doi.org/10.1111/j.1468-5965.2008.00803.x","http://dx.doi.org/10.1111/j.1468-5965.2008.00803.x")</f>
        <v>http://dx.doi.org/10.1111/j.1468-5965.2008.00803.x</v>
      </c>
      <c r="BL1620" t="s">
        <v>69</v>
      </c>
      <c r="BM1620" t="s">
        <v>69</v>
      </c>
      <c r="BN1620">
        <v>39</v>
      </c>
      <c r="BO1620" t="s">
        <v>29120</v>
      </c>
      <c r="BP1620" t="s">
        <v>8661</v>
      </c>
      <c r="BQ1620" t="s">
        <v>23361</v>
      </c>
      <c r="BR1620" t="s">
        <v>29121</v>
      </c>
      <c r="BS1620" t="s">
        <v>5415</v>
      </c>
      <c r="BT1620" t="s">
        <v>69</v>
      </c>
      <c r="BU1620" t="s">
        <v>69</v>
      </c>
      <c r="BV1620" t="s">
        <v>69</v>
      </c>
      <c r="BW1620" t="s">
        <v>69</v>
      </c>
      <c r="BX1620" t="s">
        <v>8526</v>
      </c>
      <c r="BY1620" t="str">
        <f>HYPERLINK("https%3A%2F%2Fwww.webofscience.com%2Fwos%2Fwoscc%2Ffull-record%2FWOS:000258214900003","View Full Record in Web of Science")</f>
        <v>View Full Record in Web of Science</v>
      </c>
    </row>
    <row r="1621" spans="1:77" ht="12.5" x14ac:dyDescent="0.25">
      <c r="A1621" t="s">
        <v>8495</v>
      </c>
      <c r="B1621" s="22" t="s">
        <v>32931</v>
      </c>
      <c r="C1621" s="7"/>
      <c r="D1621" s="7"/>
      <c r="E1621" s="7"/>
      <c r="F1621" t="s">
        <v>67</v>
      </c>
      <c r="G1621" t="s">
        <v>28000</v>
      </c>
      <c r="H1621" t="s">
        <v>69</v>
      </c>
      <c r="I1621" t="s">
        <v>69</v>
      </c>
      <c r="J1621" t="s">
        <v>69</v>
      </c>
      <c r="K1621" t="s">
        <v>28001</v>
      </c>
      <c r="L1621" t="s">
        <v>69</v>
      </c>
      <c r="M1621" t="s">
        <v>69</v>
      </c>
      <c r="N1621" t="s">
        <v>28002</v>
      </c>
      <c r="O1621" t="s">
        <v>14711</v>
      </c>
      <c r="P1621" t="s">
        <v>69</v>
      </c>
      <c r="Q1621" t="s">
        <v>69</v>
      </c>
      <c r="R1621" t="s">
        <v>8505</v>
      </c>
      <c r="S1621" t="s">
        <v>8506</v>
      </c>
      <c r="T1621" t="s">
        <v>69</v>
      </c>
      <c r="U1621" t="s">
        <v>69</v>
      </c>
      <c r="V1621" t="s">
        <v>69</v>
      </c>
      <c r="W1621" t="s">
        <v>69</v>
      </c>
      <c r="X1621" t="s">
        <v>69</v>
      </c>
      <c r="Y1621" t="s">
        <v>69</v>
      </c>
      <c r="Z1621" t="s">
        <v>28003</v>
      </c>
      <c r="AA1621" t="s">
        <v>28004</v>
      </c>
      <c r="AB1621" t="s">
        <v>28005</v>
      </c>
      <c r="AC1621" t="s">
        <v>69</v>
      </c>
      <c r="AD1621" t="s">
        <v>28006</v>
      </c>
      <c r="AE1621" t="s">
        <v>28007</v>
      </c>
      <c r="AF1621" t="s">
        <v>69</v>
      </c>
      <c r="AG1621" t="s">
        <v>14297</v>
      </c>
      <c r="AH1621" t="s">
        <v>69</v>
      </c>
      <c r="AI1621" t="s">
        <v>69</v>
      </c>
      <c r="AJ1621" t="s">
        <v>69</v>
      </c>
      <c r="AK1621" t="s">
        <v>69</v>
      </c>
      <c r="AL1621">
        <v>64</v>
      </c>
      <c r="AM1621">
        <v>48</v>
      </c>
      <c r="AN1621">
        <v>48</v>
      </c>
      <c r="AO1621">
        <v>1</v>
      </c>
      <c r="AP1621">
        <v>17</v>
      </c>
      <c r="AQ1621" t="s">
        <v>8865</v>
      </c>
      <c r="AR1621" t="s">
        <v>8612</v>
      </c>
      <c r="AS1621" t="s">
        <v>8866</v>
      </c>
      <c r="AT1621" t="s">
        <v>14720</v>
      </c>
      <c r="AU1621" t="s">
        <v>14721</v>
      </c>
      <c r="AV1621" t="s">
        <v>69</v>
      </c>
      <c r="AW1621" t="s">
        <v>14722</v>
      </c>
      <c r="AX1621" t="s">
        <v>14723</v>
      </c>
      <c r="AY1621" t="s">
        <v>69</v>
      </c>
      <c r="AZ1621">
        <v>2010</v>
      </c>
      <c r="BA1621">
        <v>21</v>
      </c>
      <c r="BB1621">
        <v>6</v>
      </c>
      <c r="BC1621" t="s">
        <v>69</v>
      </c>
      <c r="BD1621" t="s">
        <v>69</v>
      </c>
      <c r="BE1621" t="s">
        <v>69</v>
      </c>
      <c r="BF1621" t="s">
        <v>69</v>
      </c>
      <c r="BG1621">
        <v>795</v>
      </c>
      <c r="BH1621">
        <v>824</v>
      </c>
      <c r="BI1621" t="s">
        <v>28008</v>
      </c>
      <c r="BJ1621" t="s">
        <v>28009</v>
      </c>
      <c r="BK1621" t="str">
        <f>HYPERLINK("http://dx.doi.org/10.1080/10409280903475444","http://dx.doi.org/10.1080/10409280903475444")</f>
        <v>http://dx.doi.org/10.1080/10409280903475444</v>
      </c>
      <c r="BL1621" t="s">
        <v>69</v>
      </c>
      <c r="BM1621" t="s">
        <v>69</v>
      </c>
      <c r="BN1621">
        <v>30</v>
      </c>
      <c r="BO1621" t="s">
        <v>14725</v>
      </c>
      <c r="BP1621" t="s">
        <v>8661</v>
      </c>
      <c r="BQ1621" t="s">
        <v>14726</v>
      </c>
      <c r="BR1621" t="s">
        <v>28010</v>
      </c>
      <c r="BS1621" t="s">
        <v>28011</v>
      </c>
      <c r="BT1621" t="s">
        <v>69</v>
      </c>
      <c r="BU1621" t="s">
        <v>69</v>
      </c>
      <c r="BV1621" t="s">
        <v>69</v>
      </c>
      <c r="BW1621" t="s">
        <v>69</v>
      </c>
      <c r="BX1621" t="s">
        <v>8526</v>
      </c>
      <c r="BY1621" t="str">
        <f>HYPERLINK("https%3A%2F%2Fwww.webofscience.com%2Fwos%2Fwoscc%2Ffull-record%2FWOS:000284888400001","View Full Record in Web of Science")</f>
        <v>View Full Record in Web of Science</v>
      </c>
    </row>
    <row r="1622" spans="1:77" ht="12.5" x14ac:dyDescent="0.25">
      <c r="A1622" t="s">
        <v>8495</v>
      </c>
      <c r="B1622" s="7" t="s">
        <v>32933</v>
      </c>
      <c r="C1622" s="7"/>
      <c r="D1622" s="7"/>
      <c r="E1622" s="7"/>
      <c r="F1622" t="s">
        <v>67</v>
      </c>
      <c r="G1622" t="s">
        <v>7168</v>
      </c>
      <c r="H1622" t="s">
        <v>69</v>
      </c>
      <c r="I1622" t="s">
        <v>69</v>
      </c>
      <c r="J1622" t="s">
        <v>69</v>
      </c>
      <c r="K1622" t="s">
        <v>7169</v>
      </c>
      <c r="L1622" t="s">
        <v>69</v>
      </c>
      <c r="M1622" t="s">
        <v>69</v>
      </c>
      <c r="N1622" t="s">
        <v>7170</v>
      </c>
      <c r="O1622" t="s">
        <v>7171</v>
      </c>
      <c r="P1622" t="s">
        <v>69</v>
      </c>
      <c r="Q1622" t="s">
        <v>69</v>
      </c>
      <c r="R1622" t="s">
        <v>8505</v>
      </c>
      <c r="S1622" t="s">
        <v>8506</v>
      </c>
      <c r="T1622" t="s">
        <v>69</v>
      </c>
      <c r="U1622" t="s">
        <v>69</v>
      </c>
      <c r="V1622" t="s">
        <v>69</v>
      </c>
      <c r="W1622" t="s">
        <v>69</v>
      </c>
      <c r="X1622" t="s">
        <v>69</v>
      </c>
      <c r="Y1622" t="s">
        <v>27619</v>
      </c>
      <c r="Z1622" t="s">
        <v>69</v>
      </c>
      <c r="AA1622" t="s">
        <v>7172</v>
      </c>
      <c r="AB1622" t="s">
        <v>27620</v>
      </c>
      <c r="AC1622" t="s">
        <v>69</v>
      </c>
      <c r="AD1622" t="s">
        <v>27621</v>
      </c>
      <c r="AE1622" t="s">
        <v>69</v>
      </c>
      <c r="AF1622" t="s">
        <v>69</v>
      </c>
      <c r="AG1622" t="s">
        <v>69</v>
      </c>
      <c r="AH1622" t="s">
        <v>69</v>
      </c>
      <c r="AI1622" t="s">
        <v>69</v>
      </c>
      <c r="AJ1622" t="s">
        <v>69</v>
      </c>
      <c r="AK1622" t="s">
        <v>69</v>
      </c>
      <c r="AL1622">
        <v>19</v>
      </c>
      <c r="AM1622">
        <v>0</v>
      </c>
      <c r="AN1622">
        <v>0</v>
      </c>
      <c r="AO1622">
        <v>0</v>
      </c>
      <c r="AP1622">
        <v>7</v>
      </c>
      <c r="AQ1622" t="s">
        <v>27622</v>
      </c>
      <c r="AR1622" t="s">
        <v>10141</v>
      </c>
      <c r="AS1622" t="s">
        <v>27623</v>
      </c>
      <c r="AT1622" t="s">
        <v>7173</v>
      </c>
      <c r="AU1622" t="s">
        <v>69</v>
      </c>
      <c r="AV1622" t="s">
        <v>69</v>
      </c>
      <c r="AW1622" t="s">
        <v>27624</v>
      </c>
      <c r="AX1622" t="s">
        <v>27625</v>
      </c>
      <c r="AY1622" t="s">
        <v>3964</v>
      </c>
      <c r="AZ1622">
        <v>2010</v>
      </c>
      <c r="BA1622">
        <v>124</v>
      </c>
      <c r="BB1622">
        <v>4</v>
      </c>
      <c r="BC1622" t="s">
        <v>69</v>
      </c>
      <c r="BD1622" t="s">
        <v>69</v>
      </c>
      <c r="BE1622" t="s">
        <v>69</v>
      </c>
      <c r="BF1622" t="s">
        <v>69</v>
      </c>
      <c r="BG1622">
        <v>321</v>
      </c>
      <c r="BH1622">
        <v>329</v>
      </c>
      <c r="BI1622" t="s">
        <v>69</v>
      </c>
      <c r="BJ1622" t="s">
        <v>7174</v>
      </c>
      <c r="BK1622" t="str">
        <f>HYPERLINK("http://dx.doi.org/10.22621/cfn.v124i4.1104","http://dx.doi.org/10.22621/cfn.v124i4.1104")</f>
        <v>http://dx.doi.org/10.22621/cfn.v124i4.1104</v>
      </c>
      <c r="BL1622" t="s">
        <v>69</v>
      </c>
      <c r="BM1622" t="s">
        <v>69</v>
      </c>
      <c r="BN1622">
        <v>9</v>
      </c>
      <c r="BO1622" t="s">
        <v>15451</v>
      </c>
      <c r="BP1622" t="s">
        <v>8548</v>
      </c>
      <c r="BQ1622" t="s">
        <v>15452</v>
      </c>
      <c r="BR1622" t="s">
        <v>27626</v>
      </c>
      <c r="BS1622" t="s">
        <v>7175</v>
      </c>
      <c r="BT1622" t="s">
        <v>69</v>
      </c>
      <c r="BU1622" t="s">
        <v>9374</v>
      </c>
      <c r="BV1622" t="s">
        <v>69</v>
      </c>
      <c r="BW1622" t="s">
        <v>69</v>
      </c>
      <c r="BX1622" t="s">
        <v>8526</v>
      </c>
      <c r="BY1622" t="str">
        <f>HYPERLINK("https%3A%2F%2Fwww.webofscience.com%2Fwos%2Fwoscc%2Ffull-record%2FWOS:000294515100007","View Full Record in Web of Science")</f>
        <v>View Full Record in Web of Science</v>
      </c>
    </row>
    <row r="1623" spans="1:77" ht="12.5" x14ac:dyDescent="0.25">
      <c r="A1623" t="s">
        <v>8495</v>
      </c>
      <c r="B1623" s="7" t="s">
        <v>32933</v>
      </c>
      <c r="C1623" s="7"/>
      <c r="D1623" s="7"/>
      <c r="E1623" s="7"/>
      <c r="F1623" t="s">
        <v>67</v>
      </c>
      <c r="G1623" t="s">
        <v>7058</v>
      </c>
      <c r="H1623" t="s">
        <v>69</v>
      </c>
      <c r="I1623" t="s">
        <v>69</v>
      </c>
      <c r="J1623" t="s">
        <v>69</v>
      </c>
      <c r="K1623" t="s">
        <v>7059</v>
      </c>
      <c r="L1623" t="s">
        <v>69</v>
      </c>
      <c r="M1623" t="s">
        <v>69</v>
      </c>
      <c r="N1623" s="3" t="s">
        <v>7060</v>
      </c>
      <c r="O1623" t="s">
        <v>7061</v>
      </c>
      <c r="P1623" t="s">
        <v>69</v>
      </c>
      <c r="Q1623" t="s">
        <v>69</v>
      </c>
      <c r="R1623" t="s">
        <v>8505</v>
      </c>
      <c r="S1623" t="s">
        <v>15797</v>
      </c>
      <c r="T1623" t="s">
        <v>7062</v>
      </c>
      <c r="U1623" t="s">
        <v>7063</v>
      </c>
      <c r="V1623" t="s">
        <v>7064</v>
      </c>
      <c r="W1623" t="s">
        <v>69</v>
      </c>
      <c r="X1623" t="s">
        <v>7065</v>
      </c>
      <c r="Y1623" t="s">
        <v>69</v>
      </c>
      <c r="Z1623" t="s">
        <v>28518</v>
      </c>
      <c r="AA1623" t="s">
        <v>7066</v>
      </c>
      <c r="AB1623" t="s">
        <v>28519</v>
      </c>
      <c r="AC1623" t="s">
        <v>69</v>
      </c>
      <c r="AD1623" t="s">
        <v>28520</v>
      </c>
      <c r="AE1623" t="s">
        <v>28521</v>
      </c>
      <c r="AF1623" t="s">
        <v>69</v>
      </c>
      <c r="AG1623" t="s">
        <v>69</v>
      </c>
      <c r="AH1623" t="s">
        <v>69</v>
      </c>
      <c r="AI1623" t="s">
        <v>69</v>
      </c>
      <c r="AJ1623" t="s">
        <v>69</v>
      </c>
      <c r="AK1623" t="s">
        <v>69</v>
      </c>
      <c r="AL1623">
        <v>77</v>
      </c>
      <c r="AM1623">
        <v>97</v>
      </c>
      <c r="AN1623">
        <v>98</v>
      </c>
      <c r="AO1623">
        <v>5</v>
      </c>
      <c r="AP1623">
        <v>110</v>
      </c>
      <c r="AQ1623" t="s">
        <v>9145</v>
      </c>
      <c r="AR1623" t="s">
        <v>8637</v>
      </c>
      <c r="AS1623" t="s">
        <v>9146</v>
      </c>
      <c r="AT1623" t="s">
        <v>7067</v>
      </c>
      <c r="AU1623" t="s">
        <v>7068</v>
      </c>
      <c r="AV1623" t="s">
        <v>69</v>
      </c>
      <c r="AW1623" t="s">
        <v>28522</v>
      </c>
      <c r="AX1623" t="s">
        <v>28523</v>
      </c>
      <c r="AY1623" t="s">
        <v>7069</v>
      </c>
      <c r="AZ1623">
        <v>2009</v>
      </c>
      <c r="BA1623">
        <v>34</v>
      </c>
      <c r="BB1623" t="s">
        <v>145</v>
      </c>
      <c r="BC1623" t="s">
        <v>69</v>
      </c>
      <c r="BD1623" t="s">
        <v>69</v>
      </c>
      <c r="BE1623" t="s">
        <v>69</v>
      </c>
      <c r="BF1623" t="s">
        <v>69</v>
      </c>
      <c r="BG1623">
        <v>469</v>
      </c>
      <c r="BH1623">
        <v>487</v>
      </c>
      <c r="BI1623" t="s">
        <v>69</v>
      </c>
      <c r="BJ1623" t="s">
        <v>7070</v>
      </c>
      <c r="BK1623" t="str">
        <f>HYPERLINK("http://dx.doi.org/10.1016/j.aos.2008.06.002","http://dx.doi.org/10.1016/j.aos.2008.06.002")</f>
        <v>http://dx.doi.org/10.1016/j.aos.2008.06.002</v>
      </c>
      <c r="BL1623" t="s">
        <v>69</v>
      </c>
      <c r="BM1623" t="s">
        <v>69</v>
      </c>
      <c r="BN1623">
        <v>19</v>
      </c>
      <c r="BO1623" t="s">
        <v>9749</v>
      </c>
      <c r="BP1623" t="s">
        <v>18588</v>
      </c>
      <c r="BQ1623" t="s">
        <v>8594</v>
      </c>
      <c r="BR1623" t="s">
        <v>28524</v>
      </c>
      <c r="BS1623" t="s">
        <v>7071</v>
      </c>
      <c r="BT1623" t="s">
        <v>69</v>
      </c>
      <c r="BU1623" t="s">
        <v>69</v>
      </c>
      <c r="BV1623" t="s">
        <v>69</v>
      </c>
      <c r="BW1623" t="s">
        <v>69</v>
      </c>
      <c r="BX1623" t="s">
        <v>8526</v>
      </c>
      <c r="BY1623" t="str">
        <f>HYPERLINK("https%3A%2F%2Fwww.webofscience.com%2Fwos%2Fwoscc%2Ffull-record%2FWOS:000265739000010","View Full Record in Web of Science")</f>
        <v>View Full Record in Web of Science</v>
      </c>
    </row>
    <row r="1624" spans="1:77" ht="12.5" x14ac:dyDescent="0.25">
      <c r="A1624" t="s">
        <v>8495</v>
      </c>
      <c r="B1624" s="22" t="s">
        <v>32931</v>
      </c>
      <c r="C1624" s="7"/>
      <c r="D1624" s="7"/>
      <c r="E1624" s="7"/>
      <c r="F1624" t="s">
        <v>67</v>
      </c>
      <c r="G1624" t="s">
        <v>8872</v>
      </c>
      <c r="H1624" t="s">
        <v>69</v>
      </c>
      <c r="I1624" t="s">
        <v>69</v>
      </c>
      <c r="J1624" t="s">
        <v>69</v>
      </c>
      <c r="K1624" t="s">
        <v>8873</v>
      </c>
      <c r="L1624" t="s">
        <v>69</v>
      </c>
      <c r="M1624" t="s">
        <v>69</v>
      </c>
      <c r="N1624" t="s">
        <v>8874</v>
      </c>
      <c r="O1624" t="s">
        <v>8875</v>
      </c>
      <c r="P1624" t="s">
        <v>69</v>
      </c>
      <c r="Q1624" t="s">
        <v>69</v>
      </c>
      <c r="R1624" t="s">
        <v>8505</v>
      </c>
      <c r="S1624" t="s">
        <v>8442</v>
      </c>
      <c r="T1624" t="s">
        <v>69</v>
      </c>
      <c r="U1624" t="s">
        <v>69</v>
      </c>
      <c r="V1624" t="s">
        <v>69</v>
      </c>
      <c r="W1624" t="s">
        <v>69</v>
      </c>
      <c r="X1624" t="s">
        <v>69</v>
      </c>
      <c r="Y1624" t="s">
        <v>8876</v>
      </c>
      <c r="Z1624" t="s">
        <v>8877</v>
      </c>
      <c r="AA1624" t="s">
        <v>8878</v>
      </c>
      <c r="AB1624" t="s">
        <v>8879</v>
      </c>
      <c r="AC1624" t="s">
        <v>69</v>
      </c>
      <c r="AD1624" t="s">
        <v>8880</v>
      </c>
      <c r="AE1624" t="s">
        <v>8881</v>
      </c>
      <c r="AF1624" t="s">
        <v>69</v>
      </c>
      <c r="AG1624" t="s">
        <v>8882</v>
      </c>
      <c r="AH1624" t="s">
        <v>69</v>
      </c>
      <c r="AI1624" t="s">
        <v>69</v>
      </c>
      <c r="AJ1624" t="s">
        <v>69</v>
      </c>
      <c r="AK1624" t="s">
        <v>69</v>
      </c>
      <c r="AL1624">
        <v>51</v>
      </c>
      <c r="AM1624">
        <v>0</v>
      </c>
      <c r="AN1624">
        <v>0</v>
      </c>
      <c r="AO1624">
        <v>0</v>
      </c>
      <c r="AP1624">
        <v>0</v>
      </c>
      <c r="AQ1624" t="s">
        <v>8846</v>
      </c>
      <c r="AR1624" t="s">
        <v>8847</v>
      </c>
      <c r="AS1624" t="s">
        <v>8848</v>
      </c>
      <c r="AT1624" t="s">
        <v>8883</v>
      </c>
      <c r="AU1624" t="s">
        <v>8884</v>
      </c>
      <c r="AV1624" t="s">
        <v>69</v>
      </c>
      <c r="AW1624" t="s">
        <v>8885</v>
      </c>
      <c r="AX1624" t="s">
        <v>8886</v>
      </c>
      <c r="AY1624" t="s">
        <v>84</v>
      </c>
      <c r="AZ1624">
        <v>2022</v>
      </c>
      <c r="BA1624">
        <v>130</v>
      </c>
      <c r="BB1624">
        <v>1</v>
      </c>
      <c r="BC1624" t="s">
        <v>69</v>
      </c>
      <c r="BD1624" t="s">
        <v>69</v>
      </c>
      <c r="BE1624" t="s">
        <v>69</v>
      </c>
      <c r="BF1624" t="s">
        <v>69</v>
      </c>
      <c r="BG1624">
        <v>18</v>
      </c>
      <c r="BH1624">
        <v>25</v>
      </c>
      <c r="BI1624" t="s">
        <v>69</v>
      </c>
      <c r="BJ1624" t="s">
        <v>8887</v>
      </c>
      <c r="BK1624" t="str">
        <f>HYPERLINK("http://dx.doi.org/10.1111/bju.15770","http://dx.doi.org/10.1111/bju.15770")</f>
        <v>http://dx.doi.org/10.1111/bju.15770</v>
      </c>
      <c r="BL1624" t="s">
        <v>69</v>
      </c>
      <c r="BM1624" t="s">
        <v>8742</v>
      </c>
      <c r="BN1624">
        <v>8</v>
      </c>
      <c r="BO1624" t="s">
        <v>8888</v>
      </c>
      <c r="BP1624" t="s">
        <v>8548</v>
      </c>
      <c r="BQ1624" t="s">
        <v>8888</v>
      </c>
      <c r="BR1624" t="s">
        <v>8889</v>
      </c>
      <c r="BS1624" t="s">
        <v>8890</v>
      </c>
      <c r="BT1624">
        <v>35524768</v>
      </c>
      <c r="BU1624" t="s">
        <v>69</v>
      </c>
      <c r="BV1624" t="s">
        <v>69</v>
      </c>
      <c r="BW1624" t="s">
        <v>69</v>
      </c>
      <c r="BX1624" t="s">
        <v>8526</v>
      </c>
      <c r="BY1624" t="str">
        <f>HYPERLINK("https%3A%2F%2Fwww.webofscience.com%2Fwos%2Fwoscc%2Ffull-record%2FWOS:000805080900001","View Full Record in Web of Science")</f>
        <v>View Full Record in Web of Science</v>
      </c>
    </row>
    <row r="1625" spans="1:77" x14ac:dyDescent="0.3">
      <c r="A1625" t="s">
        <v>8495</v>
      </c>
      <c r="B1625" s="9" t="s">
        <v>32954</v>
      </c>
      <c r="C1625" s="9" t="s">
        <v>33138</v>
      </c>
      <c r="D1625" s="9" t="s">
        <v>8491</v>
      </c>
      <c r="E1625" s="9" t="s">
        <v>8490</v>
      </c>
      <c r="F1625" t="s">
        <v>67</v>
      </c>
      <c r="G1625" t="s">
        <v>13225</v>
      </c>
      <c r="H1625" t="s">
        <v>69</v>
      </c>
      <c r="I1625" t="s">
        <v>69</v>
      </c>
      <c r="J1625" t="s">
        <v>69</v>
      </c>
      <c r="K1625" t="s">
        <v>13226</v>
      </c>
      <c r="L1625" t="s">
        <v>69</v>
      </c>
      <c r="M1625" t="s">
        <v>69</v>
      </c>
      <c r="N1625" t="s">
        <v>13227</v>
      </c>
      <c r="O1625" t="s">
        <v>13228</v>
      </c>
      <c r="P1625" t="s">
        <v>69</v>
      </c>
      <c r="Q1625" t="s">
        <v>69</v>
      </c>
      <c r="R1625" t="s">
        <v>8505</v>
      </c>
      <c r="S1625" t="s">
        <v>8506</v>
      </c>
      <c r="T1625" t="s">
        <v>69</v>
      </c>
      <c r="U1625" t="s">
        <v>69</v>
      </c>
      <c r="V1625" t="s">
        <v>69</v>
      </c>
      <c r="W1625" t="s">
        <v>69</v>
      </c>
      <c r="X1625" t="s">
        <v>69</v>
      </c>
      <c r="Y1625" t="s">
        <v>13229</v>
      </c>
      <c r="Z1625" t="s">
        <v>13230</v>
      </c>
      <c r="AA1625" t="s">
        <v>13231</v>
      </c>
      <c r="AB1625" t="s">
        <v>13232</v>
      </c>
      <c r="AC1625" t="s">
        <v>69</v>
      </c>
      <c r="AD1625" t="s">
        <v>13233</v>
      </c>
      <c r="AE1625" t="s">
        <v>69</v>
      </c>
      <c r="AF1625" t="s">
        <v>69</v>
      </c>
      <c r="AG1625" t="s">
        <v>69</v>
      </c>
      <c r="AH1625" t="s">
        <v>69</v>
      </c>
      <c r="AI1625" t="s">
        <v>69</v>
      </c>
      <c r="AJ1625" t="s">
        <v>69</v>
      </c>
      <c r="AK1625" t="s">
        <v>69</v>
      </c>
      <c r="AL1625">
        <v>43</v>
      </c>
      <c r="AM1625">
        <v>2</v>
      </c>
      <c r="AN1625">
        <v>2</v>
      </c>
      <c r="AO1625">
        <v>3</v>
      </c>
      <c r="AP1625">
        <v>7</v>
      </c>
      <c r="AQ1625" t="s">
        <v>13234</v>
      </c>
      <c r="AR1625" t="s">
        <v>9424</v>
      </c>
      <c r="AS1625" t="s">
        <v>13235</v>
      </c>
      <c r="AT1625" t="s">
        <v>13236</v>
      </c>
      <c r="AU1625" t="s">
        <v>13237</v>
      </c>
      <c r="AV1625" t="s">
        <v>69</v>
      </c>
      <c r="AW1625" t="s">
        <v>13238</v>
      </c>
      <c r="AX1625" t="s">
        <v>13239</v>
      </c>
      <c r="AY1625" t="s">
        <v>191</v>
      </c>
      <c r="AZ1625">
        <v>2021</v>
      </c>
      <c r="BA1625">
        <v>30</v>
      </c>
      <c r="BB1625">
        <v>1</v>
      </c>
      <c r="BC1625" t="s">
        <v>69</v>
      </c>
      <c r="BD1625" t="s">
        <v>69</v>
      </c>
      <c r="BE1625" t="s">
        <v>69</v>
      </c>
      <c r="BF1625" t="s">
        <v>69</v>
      </c>
      <c r="BG1625">
        <v>31</v>
      </c>
      <c r="BH1625">
        <v>52</v>
      </c>
      <c r="BI1625" t="s">
        <v>69</v>
      </c>
      <c r="BJ1625" t="s">
        <v>13240</v>
      </c>
      <c r="BK1625" t="str">
        <f>HYPERLINK("http://dx.doi.org/10.3366/scot.2021.0351","http://dx.doi.org/10.3366/scot.2021.0351")</f>
        <v>http://dx.doi.org/10.3366/scot.2021.0351</v>
      </c>
      <c r="BL1625" t="s">
        <v>69</v>
      </c>
      <c r="BM1625" t="s">
        <v>69</v>
      </c>
      <c r="BN1625">
        <v>22</v>
      </c>
      <c r="BO1625" t="s">
        <v>13241</v>
      </c>
      <c r="BP1625" t="s">
        <v>8573</v>
      </c>
      <c r="BQ1625" t="s">
        <v>10084</v>
      </c>
      <c r="BR1625" t="s">
        <v>13242</v>
      </c>
      <c r="BS1625" t="s">
        <v>13243</v>
      </c>
      <c r="BT1625" t="s">
        <v>69</v>
      </c>
      <c r="BU1625" t="s">
        <v>69</v>
      </c>
      <c r="BV1625" t="s">
        <v>69</v>
      </c>
      <c r="BW1625" t="s">
        <v>69</v>
      </c>
      <c r="BX1625" t="s">
        <v>8526</v>
      </c>
      <c r="BY1625" t="str">
        <f>HYPERLINK("https%3A%2F%2Fwww.webofscience.com%2Fwos%2Fwoscc%2Ffull-record%2FWOS:000618126800002","View Full Record in Web of Science")</f>
        <v>View Full Record in Web of Science</v>
      </c>
    </row>
    <row r="1626" spans="1:77" ht="12.5" x14ac:dyDescent="0.25">
      <c r="A1626" t="s">
        <v>8495</v>
      </c>
      <c r="B1626" s="7" t="s">
        <v>32933</v>
      </c>
      <c r="C1626" s="7"/>
      <c r="D1626" s="7"/>
      <c r="E1626" s="7"/>
      <c r="F1626" t="s">
        <v>67</v>
      </c>
      <c r="G1626" t="s">
        <v>7549</v>
      </c>
      <c r="H1626" t="s">
        <v>69</v>
      </c>
      <c r="I1626" t="s">
        <v>69</v>
      </c>
      <c r="J1626" t="s">
        <v>69</v>
      </c>
      <c r="K1626" t="s">
        <v>7550</v>
      </c>
      <c r="L1626" t="s">
        <v>69</v>
      </c>
      <c r="M1626" t="s">
        <v>69</v>
      </c>
      <c r="N1626" t="s">
        <v>7551</v>
      </c>
      <c r="O1626" t="s">
        <v>7552</v>
      </c>
      <c r="P1626" t="s">
        <v>69</v>
      </c>
      <c r="Q1626" t="s">
        <v>69</v>
      </c>
      <c r="R1626" t="s">
        <v>8505</v>
      </c>
      <c r="S1626" t="s">
        <v>8506</v>
      </c>
      <c r="T1626" t="s">
        <v>69</v>
      </c>
      <c r="U1626" t="s">
        <v>69</v>
      </c>
      <c r="V1626" t="s">
        <v>69</v>
      </c>
      <c r="W1626" t="s">
        <v>69</v>
      </c>
      <c r="X1626" t="s">
        <v>69</v>
      </c>
      <c r="Y1626" t="s">
        <v>17881</v>
      </c>
      <c r="Z1626" t="s">
        <v>17882</v>
      </c>
      <c r="AA1626" t="s">
        <v>7553</v>
      </c>
      <c r="AB1626" t="s">
        <v>17883</v>
      </c>
      <c r="AC1626" t="s">
        <v>69</v>
      </c>
      <c r="AD1626" t="s">
        <v>17884</v>
      </c>
      <c r="AE1626" t="s">
        <v>17885</v>
      </c>
      <c r="AF1626" t="s">
        <v>17886</v>
      </c>
      <c r="AG1626" t="s">
        <v>17887</v>
      </c>
      <c r="AH1626" t="s">
        <v>17888</v>
      </c>
      <c r="AI1626" t="s">
        <v>17889</v>
      </c>
      <c r="AJ1626" t="s">
        <v>17890</v>
      </c>
      <c r="AK1626" t="s">
        <v>69</v>
      </c>
      <c r="AL1626">
        <v>84</v>
      </c>
      <c r="AM1626">
        <v>118</v>
      </c>
      <c r="AN1626">
        <v>124</v>
      </c>
      <c r="AO1626">
        <v>40</v>
      </c>
      <c r="AP1626">
        <v>148</v>
      </c>
      <c r="AQ1626" t="s">
        <v>8924</v>
      </c>
      <c r="AR1626" t="s">
        <v>8925</v>
      </c>
      <c r="AS1626" t="s">
        <v>8926</v>
      </c>
      <c r="AT1626" t="s">
        <v>69</v>
      </c>
      <c r="AU1626" t="s">
        <v>7554</v>
      </c>
      <c r="AV1626" t="s">
        <v>69</v>
      </c>
      <c r="AW1626" t="s">
        <v>17891</v>
      </c>
      <c r="AX1626" t="s">
        <v>17892</v>
      </c>
      <c r="AY1626" t="s">
        <v>451</v>
      </c>
      <c r="AZ1626">
        <v>2019</v>
      </c>
      <c r="BA1626">
        <v>11</v>
      </c>
      <c r="BB1626">
        <v>1</v>
      </c>
      <c r="BC1626" t="s">
        <v>69</v>
      </c>
      <c r="BD1626" t="s">
        <v>69</v>
      </c>
      <c r="BE1626" t="s">
        <v>69</v>
      </c>
      <c r="BF1626" t="s">
        <v>69</v>
      </c>
      <c r="BG1626" t="s">
        <v>69</v>
      </c>
      <c r="BH1626" t="s">
        <v>69</v>
      </c>
      <c r="BI1626">
        <v>43</v>
      </c>
      <c r="BJ1626" t="s">
        <v>7555</v>
      </c>
      <c r="BK1626" t="str">
        <f>HYPERLINK("http://dx.doi.org/10.3390/rs11010043","http://dx.doi.org/10.3390/rs11010043")</f>
        <v>http://dx.doi.org/10.3390/rs11010043</v>
      </c>
      <c r="BL1626" t="s">
        <v>69</v>
      </c>
      <c r="BM1626" t="s">
        <v>69</v>
      </c>
      <c r="BN1626">
        <v>27</v>
      </c>
      <c r="BO1626" t="s">
        <v>17893</v>
      </c>
      <c r="BP1626" t="s">
        <v>8548</v>
      </c>
      <c r="BQ1626" t="s">
        <v>17894</v>
      </c>
      <c r="BR1626" t="s">
        <v>17895</v>
      </c>
      <c r="BS1626" t="s">
        <v>7556</v>
      </c>
      <c r="BT1626" t="s">
        <v>69</v>
      </c>
      <c r="BU1626" t="s">
        <v>12220</v>
      </c>
      <c r="BV1626" t="s">
        <v>15211</v>
      </c>
      <c r="BW1626" t="s">
        <v>15212</v>
      </c>
      <c r="BX1626" t="s">
        <v>8526</v>
      </c>
      <c r="BY1626" t="str">
        <f>HYPERLINK("https%3A%2F%2Fwww.webofscience.com%2Fwos%2Fwoscc%2Ffull-record%2FWOS:000457935600043","View Full Record in Web of Science")</f>
        <v>View Full Record in Web of Science</v>
      </c>
    </row>
    <row r="1627" spans="1:77" x14ac:dyDescent="0.3">
      <c r="A1627" t="s">
        <v>8495</v>
      </c>
      <c r="B1627" s="9" t="s">
        <v>32954</v>
      </c>
      <c r="C1627" s="9" t="s">
        <v>33137</v>
      </c>
      <c r="D1627" s="9" t="s">
        <v>8491</v>
      </c>
      <c r="E1627" s="9" t="s">
        <v>8490</v>
      </c>
      <c r="F1627" t="s">
        <v>67</v>
      </c>
      <c r="G1627" t="s">
        <v>27322</v>
      </c>
      <c r="H1627" t="s">
        <v>69</v>
      </c>
      <c r="I1627" t="s">
        <v>69</v>
      </c>
      <c r="J1627" t="s">
        <v>69</v>
      </c>
      <c r="K1627" t="s">
        <v>27323</v>
      </c>
      <c r="L1627" t="s">
        <v>69</v>
      </c>
      <c r="M1627" t="s">
        <v>69</v>
      </c>
      <c r="N1627" t="s">
        <v>27324</v>
      </c>
      <c r="O1627" t="s">
        <v>27325</v>
      </c>
      <c r="P1627" t="s">
        <v>69</v>
      </c>
      <c r="Q1627" t="s">
        <v>69</v>
      </c>
      <c r="R1627" t="s">
        <v>8505</v>
      </c>
      <c r="S1627" t="s">
        <v>8506</v>
      </c>
      <c r="T1627" t="s">
        <v>69</v>
      </c>
      <c r="U1627" t="s">
        <v>69</v>
      </c>
      <c r="V1627" t="s">
        <v>69</v>
      </c>
      <c r="W1627" t="s">
        <v>69</v>
      </c>
      <c r="X1627" t="s">
        <v>69</v>
      </c>
      <c r="Y1627" t="s">
        <v>27326</v>
      </c>
      <c r="Z1627" t="s">
        <v>27327</v>
      </c>
      <c r="AA1627" t="s">
        <v>27328</v>
      </c>
      <c r="AB1627" t="s">
        <v>27329</v>
      </c>
      <c r="AC1627" t="s">
        <v>69</v>
      </c>
      <c r="AD1627" t="s">
        <v>27330</v>
      </c>
      <c r="AE1627" t="s">
        <v>27331</v>
      </c>
      <c r="AF1627" t="s">
        <v>27332</v>
      </c>
      <c r="AG1627" t="s">
        <v>27333</v>
      </c>
      <c r="AH1627" t="s">
        <v>69</v>
      </c>
      <c r="AI1627" t="s">
        <v>69</v>
      </c>
      <c r="AJ1627" t="s">
        <v>69</v>
      </c>
      <c r="AK1627" t="s">
        <v>69</v>
      </c>
      <c r="AL1627">
        <v>48</v>
      </c>
      <c r="AM1627">
        <v>0</v>
      </c>
      <c r="AN1627">
        <v>0</v>
      </c>
      <c r="AO1627">
        <v>0</v>
      </c>
      <c r="AP1627">
        <v>0</v>
      </c>
      <c r="AQ1627" t="s">
        <v>27334</v>
      </c>
      <c r="AR1627" t="s">
        <v>27335</v>
      </c>
      <c r="AS1627" t="s">
        <v>27336</v>
      </c>
      <c r="AT1627" t="s">
        <v>27337</v>
      </c>
      <c r="AU1627" t="s">
        <v>27338</v>
      </c>
      <c r="AV1627" t="s">
        <v>69</v>
      </c>
      <c r="AW1627" t="s">
        <v>27339</v>
      </c>
      <c r="AX1627" t="s">
        <v>27340</v>
      </c>
      <c r="AY1627" t="s">
        <v>2512</v>
      </c>
      <c r="AZ1627">
        <v>2011</v>
      </c>
      <c r="BA1627">
        <v>13</v>
      </c>
      <c r="BB1627">
        <v>1</v>
      </c>
      <c r="BC1627" t="s">
        <v>69</v>
      </c>
      <c r="BD1627" t="s">
        <v>69</v>
      </c>
      <c r="BE1627" t="s">
        <v>69</v>
      </c>
      <c r="BF1627" t="s">
        <v>69</v>
      </c>
      <c r="BG1627">
        <v>45</v>
      </c>
      <c r="BH1627">
        <v>64</v>
      </c>
      <c r="BI1627" t="s">
        <v>69</v>
      </c>
      <c r="BJ1627" t="s">
        <v>27341</v>
      </c>
      <c r="BK1627" t="str">
        <f>HYPERLINK("http://dx.doi.org/10.22146/gamaijb.5494","http://dx.doi.org/10.22146/gamaijb.5494")</f>
        <v>http://dx.doi.org/10.22146/gamaijb.5494</v>
      </c>
      <c r="BL1627" t="s">
        <v>69</v>
      </c>
      <c r="BM1627" t="s">
        <v>69</v>
      </c>
      <c r="BN1627">
        <v>20</v>
      </c>
      <c r="BO1627" t="s">
        <v>8444</v>
      </c>
      <c r="BP1627" t="s">
        <v>8573</v>
      </c>
      <c r="BQ1627" t="s">
        <v>8594</v>
      </c>
      <c r="BR1627" t="s">
        <v>27342</v>
      </c>
      <c r="BS1627" t="s">
        <v>27343</v>
      </c>
      <c r="BT1627" t="s">
        <v>69</v>
      </c>
      <c r="BU1627" t="s">
        <v>22841</v>
      </c>
      <c r="BV1627" t="s">
        <v>69</v>
      </c>
      <c r="BW1627" t="s">
        <v>69</v>
      </c>
      <c r="BX1627" t="s">
        <v>8526</v>
      </c>
      <c r="BY1627" t="str">
        <f>HYPERLINK("https%3A%2F%2Fwww.webofscience.com%2Fwos%2Fwoscc%2Ffull-record%2FWOS:000436729200003","View Full Record in Web of Science")</f>
        <v>View Full Record in Web of Science</v>
      </c>
    </row>
    <row r="1628" spans="1:77" ht="12.5" x14ac:dyDescent="0.25">
      <c r="A1628" t="s">
        <v>8495</v>
      </c>
      <c r="B1628" s="22" t="s">
        <v>32931</v>
      </c>
      <c r="C1628" s="7"/>
      <c r="D1628" s="7"/>
      <c r="E1628" s="7"/>
      <c r="F1628" t="s">
        <v>67</v>
      </c>
      <c r="G1628" t="s">
        <v>21825</v>
      </c>
      <c r="H1628" t="s">
        <v>69</v>
      </c>
      <c r="I1628" t="s">
        <v>69</v>
      </c>
      <c r="J1628" t="s">
        <v>69</v>
      </c>
      <c r="K1628" t="s">
        <v>21826</v>
      </c>
      <c r="L1628" t="s">
        <v>69</v>
      </c>
      <c r="M1628" t="s">
        <v>69</v>
      </c>
      <c r="N1628" t="s">
        <v>21827</v>
      </c>
      <c r="O1628" t="s">
        <v>17054</v>
      </c>
      <c r="P1628" t="s">
        <v>69</v>
      </c>
      <c r="Q1628" t="s">
        <v>69</v>
      </c>
      <c r="R1628" t="s">
        <v>8505</v>
      </c>
      <c r="S1628" t="s">
        <v>8506</v>
      </c>
      <c r="T1628" t="s">
        <v>69</v>
      </c>
      <c r="U1628" t="s">
        <v>69</v>
      </c>
      <c r="V1628" t="s">
        <v>69</v>
      </c>
      <c r="W1628" t="s">
        <v>69</v>
      </c>
      <c r="X1628" t="s">
        <v>69</v>
      </c>
      <c r="Y1628" t="s">
        <v>21828</v>
      </c>
      <c r="Z1628" t="s">
        <v>21829</v>
      </c>
      <c r="AA1628" t="s">
        <v>21830</v>
      </c>
      <c r="AB1628" t="s">
        <v>21831</v>
      </c>
      <c r="AC1628" t="s">
        <v>69</v>
      </c>
      <c r="AD1628" t="s">
        <v>21832</v>
      </c>
      <c r="AE1628" t="s">
        <v>21833</v>
      </c>
      <c r="AF1628" t="s">
        <v>69</v>
      </c>
      <c r="AG1628" t="s">
        <v>21834</v>
      </c>
      <c r="AH1628" t="s">
        <v>21835</v>
      </c>
      <c r="AI1628" t="s">
        <v>21836</v>
      </c>
      <c r="AJ1628" t="s">
        <v>21837</v>
      </c>
      <c r="AK1628" t="s">
        <v>69</v>
      </c>
      <c r="AL1628">
        <v>19</v>
      </c>
      <c r="AM1628">
        <v>27</v>
      </c>
      <c r="AN1628">
        <v>27</v>
      </c>
      <c r="AO1628">
        <v>0</v>
      </c>
      <c r="AP1628">
        <v>0</v>
      </c>
      <c r="AQ1628" t="s">
        <v>10352</v>
      </c>
      <c r="AR1628" t="s">
        <v>8637</v>
      </c>
      <c r="AS1628" t="s">
        <v>10353</v>
      </c>
      <c r="AT1628" t="s">
        <v>17065</v>
      </c>
      <c r="AU1628" t="s">
        <v>17066</v>
      </c>
      <c r="AV1628" t="s">
        <v>69</v>
      </c>
      <c r="AW1628" t="s">
        <v>17067</v>
      </c>
      <c r="AX1628" t="s">
        <v>17068</v>
      </c>
      <c r="AY1628" t="s">
        <v>191</v>
      </c>
      <c r="AZ1628">
        <v>2016</v>
      </c>
      <c r="BA1628">
        <v>31</v>
      </c>
      <c r="BB1628">
        <v>1</v>
      </c>
      <c r="BC1628" t="s">
        <v>69</v>
      </c>
      <c r="BD1628" t="s">
        <v>69</v>
      </c>
      <c r="BE1628" t="s">
        <v>69</v>
      </c>
      <c r="BF1628" t="s">
        <v>69</v>
      </c>
      <c r="BG1628">
        <v>1</v>
      </c>
      <c r="BH1628">
        <v>9</v>
      </c>
      <c r="BI1628" t="s">
        <v>69</v>
      </c>
      <c r="BJ1628" t="s">
        <v>21838</v>
      </c>
      <c r="BK1628" t="str">
        <f>HYPERLINK("http://dx.doi.org/10.1093/heapol/czv006","http://dx.doi.org/10.1093/heapol/czv006")</f>
        <v>http://dx.doi.org/10.1093/heapol/czv006</v>
      </c>
      <c r="BL1628" t="s">
        <v>69</v>
      </c>
      <c r="BM1628" t="s">
        <v>69</v>
      </c>
      <c r="BN1628">
        <v>9</v>
      </c>
      <c r="BO1628" t="s">
        <v>9809</v>
      </c>
      <c r="BP1628" t="s">
        <v>8523</v>
      </c>
      <c r="BQ1628" t="s">
        <v>9209</v>
      </c>
      <c r="BR1628" t="s">
        <v>21839</v>
      </c>
      <c r="BS1628" t="s">
        <v>21841</v>
      </c>
      <c r="BT1628">
        <v>25797469</v>
      </c>
      <c r="BU1628" t="s">
        <v>21840</v>
      </c>
      <c r="BV1628" t="s">
        <v>69</v>
      </c>
      <c r="BW1628" t="s">
        <v>69</v>
      </c>
      <c r="BX1628" t="s">
        <v>8526</v>
      </c>
      <c r="BY1628" t="str">
        <f>HYPERLINK("https%3A%2F%2Fwww.webofscience.com%2Fwos%2Fwoscc%2Ffull-record%2FWOS:000374225400001","View Full Record in Web of Science")</f>
        <v>View Full Record in Web of Science</v>
      </c>
    </row>
    <row r="1629" spans="1:77" ht="12.5" x14ac:dyDescent="0.25">
      <c r="A1629" t="s">
        <v>8495</v>
      </c>
      <c r="B1629" s="22" t="s">
        <v>32931</v>
      </c>
      <c r="C1629" s="7"/>
      <c r="D1629" s="7"/>
      <c r="E1629" s="7"/>
      <c r="F1629" t="s">
        <v>67</v>
      </c>
      <c r="G1629" t="s">
        <v>8979</v>
      </c>
      <c r="H1629" t="s">
        <v>69</v>
      </c>
      <c r="I1629" t="s">
        <v>69</v>
      </c>
      <c r="J1629" t="s">
        <v>69</v>
      </c>
      <c r="K1629" t="s">
        <v>8980</v>
      </c>
      <c r="L1629" t="s">
        <v>69</v>
      </c>
      <c r="M1629" t="s">
        <v>69</v>
      </c>
      <c r="N1629" t="s">
        <v>8981</v>
      </c>
      <c r="O1629" t="s">
        <v>8982</v>
      </c>
      <c r="P1629" t="s">
        <v>69</v>
      </c>
      <c r="Q1629" t="s">
        <v>69</v>
      </c>
      <c r="R1629" t="s">
        <v>8505</v>
      </c>
      <c r="S1629" t="s">
        <v>8506</v>
      </c>
      <c r="T1629" t="s">
        <v>69</v>
      </c>
      <c r="U1629" t="s">
        <v>69</v>
      </c>
      <c r="V1629" t="s">
        <v>69</v>
      </c>
      <c r="W1629" t="s">
        <v>69</v>
      </c>
      <c r="X1629" t="s">
        <v>69</v>
      </c>
      <c r="Y1629" t="s">
        <v>8983</v>
      </c>
      <c r="Z1629" t="s">
        <v>8984</v>
      </c>
      <c r="AA1629" t="s">
        <v>8985</v>
      </c>
      <c r="AB1629" t="s">
        <v>8986</v>
      </c>
      <c r="AC1629" t="s">
        <v>69</v>
      </c>
      <c r="AD1629" t="s">
        <v>8987</v>
      </c>
      <c r="AE1629" t="s">
        <v>8988</v>
      </c>
      <c r="AF1629" t="s">
        <v>69</v>
      </c>
      <c r="AG1629" t="s">
        <v>69</v>
      </c>
      <c r="AH1629" t="s">
        <v>8989</v>
      </c>
      <c r="AI1629" t="s">
        <v>8990</v>
      </c>
      <c r="AJ1629" t="s">
        <v>8991</v>
      </c>
      <c r="AK1629" t="s">
        <v>69</v>
      </c>
      <c r="AL1629">
        <v>90</v>
      </c>
      <c r="AM1629">
        <v>0</v>
      </c>
      <c r="AN1629">
        <v>0</v>
      </c>
      <c r="AO1629">
        <v>4</v>
      </c>
      <c r="AP1629">
        <v>4</v>
      </c>
      <c r="AQ1629" t="s">
        <v>8992</v>
      </c>
      <c r="AR1629" t="s">
        <v>8993</v>
      </c>
      <c r="AS1629" t="s">
        <v>8994</v>
      </c>
      <c r="AT1629" t="s">
        <v>8995</v>
      </c>
      <c r="AU1629" t="s">
        <v>69</v>
      </c>
      <c r="AV1629" t="s">
        <v>69</v>
      </c>
      <c r="AW1629" t="s">
        <v>8996</v>
      </c>
      <c r="AX1629" t="s">
        <v>8997</v>
      </c>
      <c r="AY1629" t="s">
        <v>8998</v>
      </c>
      <c r="AZ1629">
        <v>2022</v>
      </c>
      <c r="BA1629">
        <v>13</v>
      </c>
      <c r="BB1629" t="s">
        <v>69</v>
      </c>
      <c r="BC1629" t="s">
        <v>69</v>
      </c>
      <c r="BD1629" t="s">
        <v>69</v>
      </c>
      <c r="BE1629" t="s">
        <v>69</v>
      </c>
      <c r="BF1629" t="s">
        <v>69</v>
      </c>
      <c r="BG1629" t="s">
        <v>69</v>
      </c>
      <c r="BH1629" t="s">
        <v>69</v>
      </c>
      <c r="BI1629">
        <v>850980</v>
      </c>
      <c r="BJ1629" t="s">
        <v>8999</v>
      </c>
      <c r="BK1629" t="str">
        <f>HYPERLINK("http://dx.doi.org/10.3389/fpsyg.2022.850980","http://dx.doi.org/10.3389/fpsyg.2022.850980")</f>
        <v>http://dx.doi.org/10.3389/fpsyg.2022.850980</v>
      </c>
      <c r="BL1629" t="s">
        <v>69</v>
      </c>
      <c r="BM1629" t="s">
        <v>69</v>
      </c>
      <c r="BN1629">
        <v>14</v>
      </c>
      <c r="BO1629" t="s">
        <v>9000</v>
      </c>
      <c r="BP1629" t="s">
        <v>8661</v>
      </c>
      <c r="BQ1629" t="s">
        <v>9001</v>
      </c>
      <c r="BR1629" t="s">
        <v>9002</v>
      </c>
      <c r="BS1629" t="s">
        <v>9003</v>
      </c>
      <c r="BT1629">
        <v>35686082</v>
      </c>
      <c r="BU1629" t="s">
        <v>69</v>
      </c>
      <c r="BV1629" t="s">
        <v>69</v>
      </c>
      <c r="BW1629" t="s">
        <v>69</v>
      </c>
      <c r="BX1629" t="s">
        <v>8526</v>
      </c>
      <c r="BY1629" t="str">
        <f>HYPERLINK("https%3A%2F%2Fwww.webofscience.com%2Fwos%2Fwoscc%2Ffull-record%2FWOS:000807517900001","View Full Record in Web of Science")</f>
        <v>View Full Record in Web of Science</v>
      </c>
    </row>
    <row r="1630" spans="1:77" x14ac:dyDescent="0.3">
      <c r="A1630" t="s">
        <v>8495</v>
      </c>
      <c r="B1630" s="12" t="s">
        <v>33030</v>
      </c>
      <c r="F1630" t="s">
        <v>67</v>
      </c>
      <c r="G1630" t="s">
        <v>4791</v>
      </c>
      <c r="H1630" t="s">
        <v>69</v>
      </c>
      <c r="I1630" t="s">
        <v>69</v>
      </c>
      <c r="J1630" t="s">
        <v>69</v>
      </c>
      <c r="K1630" s="3" t="s">
        <v>4792</v>
      </c>
      <c r="L1630" t="s">
        <v>69</v>
      </c>
      <c r="M1630" t="s">
        <v>69</v>
      </c>
      <c r="N1630" s="2" t="s">
        <v>4793</v>
      </c>
      <c r="O1630" t="s">
        <v>4711</v>
      </c>
      <c r="P1630" t="s">
        <v>69</v>
      </c>
      <c r="Q1630" t="s">
        <v>69</v>
      </c>
      <c r="R1630" t="s">
        <v>8505</v>
      </c>
      <c r="S1630" t="s">
        <v>8506</v>
      </c>
      <c r="T1630" t="s">
        <v>69</v>
      </c>
      <c r="U1630" t="s">
        <v>69</v>
      </c>
      <c r="V1630" t="s">
        <v>69</v>
      </c>
      <c r="W1630" t="s">
        <v>69</v>
      </c>
      <c r="X1630" t="s">
        <v>69</v>
      </c>
      <c r="Y1630" t="s">
        <v>69</v>
      </c>
      <c r="Z1630" t="s">
        <v>25758</v>
      </c>
      <c r="AA1630" t="s">
        <v>4794</v>
      </c>
      <c r="AB1630" t="s">
        <v>25759</v>
      </c>
      <c r="AC1630" t="s">
        <v>69</v>
      </c>
      <c r="AD1630" t="s">
        <v>25760</v>
      </c>
      <c r="AE1630" t="s">
        <v>25761</v>
      </c>
      <c r="AF1630" t="s">
        <v>69</v>
      </c>
      <c r="AG1630" t="s">
        <v>69</v>
      </c>
      <c r="AH1630" t="s">
        <v>69</v>
      </c>
      <c r="AI1630" t="s">
        <v>69</v>
      </c>
      <c r="AJ1630" t="s">
        <v>69</v>
      </c>
      <c r="AK1630" t="s">
        <v>69</v>
      </c>
      <c r="AL1630">
        <v>43</v>
      </c>
      <c r="AM1630">
        <v>17</v>
      </c>
      <c r="AN1630">
        <v>17</v>
      </c>
      <c r="AO1630">
        <v>1</v>
      </c>
      <c r="AP1630">
        <v>113</v>
      </c>
      <c r="AQ1630" t="s">
        <v>8636</v>
      </c>
      <c r="AR1630" t="s">
        <v>8637</v>
      </c>
      <c r="AS1630" t="s">
        <v>8638</v>
      </c>
      <c r="AT1630" t="s">
        <v>4714</v>
      </c>
      <c r="AU1630" t="s">
        <v>69</v>
      </c>
      <c r="AV1630" t="s">
        <v>69</v>
      </c>
      <c r="AW1630" t="s">
        <v>4711</v>
      </c>
      <c r="AX1630" t="s">
        <v>8487</v>
      </c>
      <c r="AY1630" t="s">
        <v>274</v>
      </c>
      <c r="AZ1630">
        <v>2012</v>
      </c>
      <c r="BA1630">
        <v>44</v>
      </c>
      <c r="BB1630">
        <v>9</v>
      </c>
      <c r="BC1630" t="s">
        <v>69</v>
      </c>
      <c r="BD1630" t="s">
        <v>69</v>
      </c>
      <c r="BE1630" t="s">
        <v>114</v>
      </c>
      <c r="BF1630" t="s">
        <v>69</v>
      </c>
      <c r="BG1630">
        <v>787</v>
      </c>
      <c r="BH1630">
        <v>796</v>
      </c>
      <c r="BI1630" t="s">
        <v>69</v>
      </c>
      <c r="BJ1630" t="s">
        <v>4795</v>
      </c>
      <c r="BK1630" t="str">
        <f>HYPERLINK("http://dx.doi.org/10.1016/j.futures.2012.07.007","http://dx.doi.org/10.1016/j.futures.2012.07.007")</f>
        <v>http://dx.doi.org/10.1016/j.futures.2012.07.007</v>
      </c>
      <c r="BL1630" t="s">
        <v>69</v>
      </c>
      <c r="BM1630" t="s">
        <v>69</v>
      </c>
      <c r="BN1630">
        <v>10</v>
      </c>
      <c r="BO1630" t="s">
        <v>25762</v>
      </c>
      <c r="BP1630" t="s">
        <v>8661</v>
      </c>
      <c r="BQ1630" t="s">
        <v>10993</v>
      </c>
      <c r="BR1630" t="s">
        <v>25763</v>
      </c>
      <c r="BS1630" t="s">
        <v>4796</v>
      </c>
      <c r="BT1630" t="s">
        <v>69</v>
      </c>
      <c r="BU1630" t="s">
        <v>69</v>
      </c>
      <c r="BV1630" t="s">
        <v>69</v>
      </c>
      <c r="BW1630" t="s">
        <v>69</v>
      </c>
      <c r="BX1630" t="s">
        <v>8526</v>
      </c>
      <c r="BY1630" t="str">
        <f>HYPERLINK("https%3A%2F%2Fwww.webofscience.com%2Fwos%2Fwoscc%2Ffull-record%2FWOS:000311462100004","View Full Record in Web of Science")</f>
        <v>View Full Record in Web of Science</v>
      </c>
    </row>
    <row r="1631" spans="1:77" ht="12.5" x14ac:dyDescent="0.25">
      <c r="A1631" t="s">
        <v>8495</v>
      </c>
      <c r="B1631" s="22" t="s">
        <v>32931</v>
      </c>
      <c r="C1631" s="7"/>
      <c r="D1631" s="7"/>
      <c r="E1631" s="7"/>
      <c r="F1631" t="s">
        <v>67</v>
      </c>
      <c r="G1631" t="s">
        <v>8597</v>
      </c>
      <c r="H1631" t="s">
        <v>69</v>
      </c>
      <c r="I1631" t="s">
        <v>69</v>
      </c>
      <c r="J1631" t="s">
        <v>69</v>
      </c>
      <c r="K1631" t="s">
        <v>8598</v>
      </c>
      <c r="L1631" t="s">
        <v>69</v>
      </c>
      <c r="M1631" t="s">
        <v>69</v>
      </c>
      <c r="N1631" t="s">
        <v>8599</v>
      </c>
      <c r="O1631" t="s">
        <v>8600</v>
      </c>
      <c r="P1631" t="s">
        <v>69</v>
      </c>
      <c r="Q1631" t="s">
        <v>69</v>
      </c>
      <c r="R1631" t="s">
        <v>8505</v>
      </c>
      <c r="S1631" t="s">
        <v>8556</v>
      </c>
      <c r="T1631" t="s">
        <v>69</v>
      </c>
      <c r="U1631" t="s">
        <v>69</v>
      </c>
      <c r="V1631" t="s">
        <v>69</v>
      </c>
      <c r="W1631" t="s">
        <v>69</v>
      </c>
      <c r="X1631" t="s">
        <v>69</v>
      </c>
      <c r="Y1631" t="s">
        <v>8601</v>
      </c>
      <c r="Z1631" t="s">
        <v>8602</v>
      </c>
      <c r="AA1631" t="s">
        <v>8603</v>
      </c>
      <c r="AB1631" t="s">
        <v>8604</v>
      </c>
      <c r="AC1631" t="s">
        <v>69</v>
      </c>
      <c r="AD1631" t="s">
        <v>8605</v>
      </c>
      <c r="AE1631" t="s">
        <v>8606</v>
      </c>
      <c r="AF1631" t="s">
        <v>69</v>
      </c>
      <c r="AG1631" t="s">
        <v>8607</v>
      </c>
      <c r="AH1631" t="s">
        <v>8608</v>
      </c>
      <c r="AI1631" t="s">
        <v>8609</v>
      </c>
      <c r="AJ1631" t="s">
        <v>8610</v>
      </c>
      <c r="AK1631" t="s">
        <v>69</v>
      </c>
      <c r="AL1631">
        <v>104</v>
      </c>
      <c r="AM1631">
        <v>0</v>
      </c>
      <c r="AN1631">
        <v>0</v>
      </c>
      <c r="AO1631">
        <v>0</v>
      </c>
      <c r="AP1631">
        <v>0</v>
      </c>
      <c r="AQ1631" t="s">
        <v>8611</v>
      </c>
      <c r="AR1631" t="s">
        <v>8612</v>
      </c>
      <c r="AS1631" t="s">
        <v>8613</v>
      </c>
      <c r="AT1631" t="s">
        <v>8614</v>
      </c>
      <c r="AU1631" t="s">
        <v>8615</v>
      </c>
      <c r="AV1631" t="s">
        <v>69</v>
      </c>
      <c r="AW1631" t="s">
        <v>8616</v>
      </c>
      <c r="AX1631" t="s">
        <v>8617</v>
      </c>
      <c r="AY1631" t="s">
        <v>69</v>
      </c>
      <c r="AZ1631" t="s">
        <v>69</v>
      </c>
      <c r="BA1631" t="s">
        <v>69</v>
      </c>
      <c r="BB1631" t="s">
        <v>69</v>
      </c>
      <c r="BC1631" t="s">
        <v>69</v>
      </c>
      <c r="BD1631" t="s">
        <v>69</v>
      </c>
      <c r="BE1631" t="s">
        <v>69</v>
      </c>
      <c r="BF1631" t="s">
        <v>69</v>
      </c>
      <c r="BG1631" t="s">
        <v>69</v>
      </c>
      <c r="BH1631" t="s">
        <v>69</v>
      </c>
      <c r="BI1631" t="s">
        <v>69</v>
      </c>
      <c r="BJ1631" t="s">
        <v>8618</v>
      </c>
      <c r="BK1631" t="str">
        <f>HYPERLINK("http://dx.doi.org/10.1080/03036758.2022.2097709","http://dx.doi.org/10.1080/03036758.2022.2097709")</f>
        <v>http://dx.doi.org/10.1080/03036758.2022.2097709</v>
      </c>
      <c r="BL1631" t="s">
        <v>69</v>
      </c>
      <c r="BM1631" t="s">
        <v>8571</v>
      </c>
      <c r="BN1631">
        <v>24</v>
      </c>
      <c r="BO1631" t="s">
        <v>8619</v>
      </c>
      <c r="BP1631" t="s">
        <v>8548</v>
      </c>
      <c r="BQ1631" t="s">
        <v>8620</v>
      </c>
      <c r="BR1631" t="s">
        <v>8621</v>
      </c>
      <c r="BS1631" t="s">
        <v>8623</v>
      </c>
      <c r="BT1631" t="s">
        <v>69</v>
      </c>
      <c r="BU1631" t="s">
        <v>8622</v>
      </c>
      <c r="BV1631" t="s">
        <v>69</v>
      </c>
      <c r="BW1631" t="s">
        <v>69</v>
      </c>
      <c r="BX1631" t="s">
        <v>8526</v>
      </c>
      <c r="BY1631" t="str">
        <f>HYPERLINK("https%3A%2F%2Fwww.webofscience.com%2Fwos%2Fwoscc%2Ffull-record%2FWOS:000825458900001","View Full Record in Web of Science")</f>
        <v>View Full Record in Web of Science</v>
      </c>
    </row>
    <row r="1632" spans="1:77" ht="12.5" x14ac:dyDescent="0.25">
      <c r="A1632" t="s">
        <v>8495</v>
      </c>
      <c r="B1632" s="22" t="s">
        <v>32931</v>
      </c>
      <c r="C1632" s="7"/>
      <c r="D1632" s="7"/>
      <c r="E1632" s="7"/>
      <c r="F1632" t="s">
        <v>67</v>
      </c>
      <c r="G1632" t="s">
        <v>12114</v>
      </c>
      <c r="H1632" t="s">
        <v>69</v>
      </c>
      <c r="I1632" t="s">
        <v>69</v>
      </c>
      <c r="J1632" t="s">
        <v>69</v>
      </c>
      <c r="K1632" t="s">
        <v>12115</v>
      </c>
      <c r="L1632" t="s">
        <v>69</v>
      </c>
      <c r="M1632" t="s">
        <v>69</v>
      </c>
      <c r="N1632" t="s">
        <v>12116</v>
      </c>
      <c r="O1632" t="s">
        <v>12117</v>
      </c>
      <c r="P1632" t="s">
        <v>69</v>
      </c>
      <c r="Q1632" t="s">
        <v>69</v>
      </c>
      <c r="R1632" t="s">
        <v>8505</v>
      </c>
      <c r="S1632" t="s">
        <v>8506</v>
      </c>
      <c r="T1632" t="s">
        <v>69</v>
      </c>
      <c r="U1632" t="s">
        <v>69</v>
      </c>
      <c r="V1632" t="s">
        <v>69</v>
      </c>
      <c r="W1632" t="s">
        <v>69</v>
      </c>
      <c r="X1632" t="s">
        <v>69</v>
      </c>
      <c r="Y1632" t="s">
        <v>12118</v>
      </c>
      <c r="Z1632" t="s">
        <v>12119</v>
      </c>
      <c r="AA1632" t="s">
        <v>12120</v>
      </c>
      <c r="AB1632" t="s">
        <v>12121</v>
      </c>
      <c r="AC1632" t="s">
        <v>69</v>
      </c>
      <c r="AD1632" t="s">
        <v>12122</v>
      </c>
      <c r="AE1632" t="s">
        <v>12123</v>
      </c>
      <c r="AF1632" t="s">
        <v>12124</v>
      </c>
      <c r="AG1632" t="s">
        <v>12125</v>
      </c>
      <c r="AH1632" t="s">
        <v>69</v>
      </c>
      <c r="AI1632" t="s">
        <v>69</v>
      </c>
      <c r="AJ1632" t="s">
        <v>69</v>
      </c>
      <c r="AK1632" t="s">
        <v>69</v>
      </c>
      <c r="AL1632">
        <v>98</v>
      </c>
      <c r="AM1632">
        <v>11</v>
      </c>
      <c r="AN1632">
        <v>11</v>
      </c>
      <c r="AO1632">
        <v>13</v>
      </c>
      <c r="AP1632">
        <v>34</v>
      </c>
      <c r="AQ1632" t="s">
        <v>8846</v>
      </c>
      <c r="AR1632" t="s">
        <v>8847</v>
      </c>
      <c r="AS1632" t="s">
        <v>8848</v>
      </c>
      <c r="AT1632" t="s">
        <v>12126</v>
      </c>
      <c r="AU1632" t="s">
        <v>12127</v>
      </c>
      <c r="AV1632" t="s">
        <v>69</v>
      </c>
      <c r="AW1632" t="s">
        <v>12128</v>
      </c>
      <c r="AX1632" t="s">
        <v>12129</v>
      </c>
      <c r="AY1632" t="s">
        <v>84</v>
      </c>
      <c r="AZ1632">
        <v>2021</v>
      </c>
      <c r="BA1632">
        <v>28</v>
      </c>
      <c r="BB1632">
        <v>4</v>
      </c>
      <c r="BC1632" t="s">
        <v>69</v>
      </c>
      <c r="BD1632" t="s">
        <v>69</v>
      </c>
      <c r="BE1632" t="s">
        <v>69</v>
      </c>
      <c r="BF1632" t="s">
        <v>69</v>
      </c>
      <c r="BG1632">
        <v>1231</v>
      </c>
      <c r="BH1632">
        <v>1240</v>
      </c>
      <c r="BI1632" t="s">
        <v>69</v>
      </c>
      <c r="BJ1632" t="s">
        <v>12130</v>
      </c>
      <c r="BK1632" t="str">
        <f>HYPERLINK("http://dx.doi.org/10.1002/csr.2145","http://dx.doi.org/10.1002/csr.2145")</f>
        <v>http://dx.doi.org/10.1002/csr.2145</v>
      </c>
      <c r="BL1632" t="s">
        <v>69</v>
      </c>
      <c r="BM1632" t="s">
        <v>12111</v>
      </c>
      <c r="BN1632">
        <v>10</v>
      </c>
      <c r="BO1632" t="s">
        <v>9113</v>
      </c>
      <c r="BP1632" t="s">
        <v>8661</v>
      </c>
      <c r="BQ1632" t="s">
        <v>9114</v>
      </c>
      <c r="BR1632" t="s">
        <v>12131</v>
      </c>
      <c r="BS1632" t="s">
        <v>12133</v>
      </c>
      <c r="BT1632">
        <v>34220362</v>
      </c>
      <c r="BU1632" t="s">
        <v>12132</v>
      </c>
      <c r="BV1632" t="s">
        <v>69</v>
      </c>
      <c r="BW1632" t="s">
        <v>69</v>
      </c>
      <c r="BX1632" t="s">
        <v>8526</v>
      </c>
      <c r="BY1632" t="str">
        <f>HYPERLINK("https%3A%2F%2Fwww.webofscience.com%2Fwos%2Fwoscc%2Ffull-record%2FWOS:000652188400001","View Full Record in Web of Science")</f>
        <v>View Full Record in Web of Science</v>
      </c>
    </row>
    <row r="1633" spans="1:77" ht="12.5" x14ac:dyDescent="0.25">
      <c r="A1633" t="s">
        <v>8495</v>
      </c>
      <c r="B1633" s="22" t="s">
        <v>32931</v>
      </c>
      <c r="C1633" s="7"/>
      <c r="D1633" s="7"/>
      <c r="E1633" s="7"/>
      <c r="F1633" t="s">
        <v>67</v>
      </c>
      <c r="G1633" t="s">
        <v>30798</v>
      </c>
      <c r="H1633" t="s">
        <v>69</v>
      </c>
      <c r="I1633" t="s">
        <v>69</v>
      </c>
      <c r="J1633" t="s">
        <v>69</v>
      </c>
      <c r="K1633" t="s">
        <v>30799</v>
      </c>
      <c r="L1633" t="s">
        <v>69</v>
      </c>
      <c r="M1633" t="s">
        <v>69</v>
      </c>
      <c r="N1633" t="s">
        <v>30800</v>
      </c>
      <c r="O1633" t="s">
        <v>27956</v>
      </c>
      <c r="P1633" t="s">
        <v>69</v>
      </c>
      <c r="Q1633" t="s">
        <v>69</v>
      </c>
      <c r="R1633" t="s">
        <v>8505</v>
      </c>
      <c r="S1633" t="s">
        <v>8506</v>
      </c>
      <c r="T1633" t="s">
        <v>69</v>
      </c>
      <c r="U1633" t="s">
        <v>69</v>
      </c>
      <c r="V1633" t="s">
        <v>69</v>
      </c>
      <c r="W1633" t="s">
        <v>69</v>
      </c>
      <c r="X1633" t="s">
        <v>69</v>
      </c>
      <c r="Y1633" t="s">
        <v>30801</v>
      </c>
      <c r="Z1633" t="s">
        <v>69</v>
      </c>
      <c r="AA1633" t="s">
        <v>30802</v>
      </c>
      <c r="AB1633" t="s">
        <v>30803</v>
      </c>
      <c r="AC1633" t="s">
        <v>69</v>
      </c>
      <c r="AD1633" t="s">
        <v>30804</v>
      </c>
      <c r="AE1633" t="s">
        <v>30805</v>
      </c>
      <c r="AF1633" t="s">
        <v>69</v>
      </c>
      <c r="AG1633" t="s">
        <v>69</v>
      </c>
      <c r="AH1633" t="s">
        <v>69</v>
      </c>
      <c r="AI1633" t="s">
        <v>69</v>
      </c>
      <c r="AJ1633" t="s">
        <v>69</v>
      </c>
      <c r="AK1633" t="s">
        <v>69</v>
      </c>
      <c r="AL1633">
        <v>21</v>
      </c>
      <c r="AM1633">
        <v>2</v>
      </c>
      <c r="AN1633">
        <v>2</v>
      </c>
      <c r="AO1633">
        <v>0</v>
      </c>
      <c r="AP1633">
        <v>2</v>
      </c>
      <c r="AQ1633" t="s">
        <v>8865</v>
      </c>
      <c r="AR1633" t="s">
        <v>8612</v>
      </c>
      <c r="AS1633" t="s">
        <v>8866</v>
      </c>
      <c r="AT1633" t="s">
        <v>27962</v>
      </c>
      <c r="AU1633" t="s">
        <v>27963</v>
      </c>
      <c r="AV1633" t="s">
        <v>69</v>
      </c>
      <c r="AW1633" t="s">
        <v>27964</v>
      </c>
      <c r="AX1633" t="s">
        <v>27965</v>
      </c>
      <c r="AY1633" t="s">
        <v>69</v>
      </c>
      <c r="AZ1633">
        <v>2005</v>
      </c>
      <c r="BA1633">
        <v>23</v>
      </c>
      <c r="BB1633">
        <v>10</v>
      </c>
      <c r="BC1633" t="s">
        <v>69</v>
      </c>
      <c r="BD1633" t="s">
        <v>69</v>
      </c>
      <c r="BE1633" t="s">
        <v>114</v>
      </c>
      <c r="BF1633" t="s">
        <v>69</v>
      </c>
      <c r="BG1633">
        <v>1017</v>
      </c>
      <c r="BH1633">
        <v>1023</v>
      </c>
      <c r="BI1633" t="s">
        <v>69</v>
      </c>
      <c r="BJ1633" t="s">
        <v>30806</v>
      </c>
      <c r="BK1633" t="str">
        <f>HYPERLINK("http://dx.doi.org/10.1080/01446190500372429","http://dx.doi.org/10.1080/01446190500372429")</f>
        <v>http://dx.doi.org/10.1080/01446190500372429</v>
      </c>
      <c r="BL1633" t="s">
        <v>69</v>
      </c>
      <c r="BM1633" t="s">
        <v>69</v>
      </c>
      <c r="BN1633">
        <v>7</v>
      </c>
      <c r="BO1633" t="s">
        <v>8444</v>
      </c>
      <c r="BP1633" t="s">
        <v>8573</v>
      </c>
      <c r="BQ1633" t="s">
        <v>8594</v>
      </c>
      <c r="BR1633" t="s">
        <v>30807</v>
      </c>
      <c r="BS1633" t="s">
        <v>30808</v>
      </c>
      <c r="BT1633" t="s">
        <v>69</v>
      </c>
      <c r="BU1633" t="s">
        <v>69</v>
      </c>
      <c r="BV1633" t="s">
        <v>69</v>
      </c>
      <c r="BW1633" t="s">
        <v>69</v>
      </c>
      <c r="BX1633" t="s">
        <v>8526</v>
      </c>
      <c r="BY1633" t="str">
        <f>HYPERLINK("https%3A%2F%2Fwww.webofscience.com%2Fwos%2Fwoscc%2Ffull-record%2FWOS:000213190500004","View Full Record in Web of Science")</f>
        <v>View Full Record in Web of Science</v>
      </c>
    </row>
    <row r="1634" spans="1:77" ht="12.5" x14ac:dyDescent="0.25">
      <c r="A1634" t="s">
        <v>8495</v>
      </c>
      <c r="B1634" s="7" t="s">
        <v>32933</v>
      </c>
      <c r="C1634" s="7"/>
      <c r="D1634" s="7"/>
      <c r="E1634" s="7"/>
      <c r="F1634" t="s">
        <v>67</v>
      </c>
      <c r="G1634" t="s">
        <v>2431</v>
      </c>
      <c r="H1634" t="s">
        <v>69</v>
      </c>
      <c r="I1634" t="s">
        <v>69</v>
      </c>
      <c r="J1634" t="s">
        <v>69</v>
      </c>
      <c r="K1634" t="s">
        <v>2432</v>
      </c>
      <c r="L1634" t="s">
        <v>69</v>
      </c>
      <c r="M1634" t="s">
        <v>69</v>
      </c>
      <c r="N1634" t="s">
        <v>2433</v>
      </c>
      <c r="O1634" t="s">
        <v>2434</v>
      </c>
      <c r="P1634" t="s">
        <v>69</v>
      </c>
      <c r="Q1634" t="s">
        <v>69</v>
      </c>
      <c r="R1634" t="s">
        <v>8505</v>
      </c>
      <c r="S1634" t="s">
        <v>8506</v>
      </c>
      <c r="T1634" t="s">
        <v>69</v>
      </c>
      <c r="U1634" t="s">
        <v>69</v>
      </c>
      <c r="V1634" t="s">
        <v>69</v>
      </c>
      <c r="W1634" t="s">
        <v>69</v>
      </c>
      <c r="X1634" t="s">
        <v>69</v>
      </c>
      <c r="Y1634" t="s">
        <v>69</v>
      </c>
      <c r="Z1634" t="s">
        <v>19256</v>
      </c>
      <c r="AA1634" t="s">
        <v>2435</v>
      </c>
      <c r="AB1634" t="s">
        <v>19257</v>
      </c>
      <c r="AC1634" t="s">
        <v>69</v>
      </c>
      <c r="AD1634" t="s">
        <v>19258</v>
      </c>
      <c r="AE1634" t="s">
        <v>19259</v>
      </c>
      <c r="AF1634" t="s">
        <v>69</v>
      </c>
      <c r="AG1634" t="s">
        <v>19260</v>
      </c>
      <c r="AH1634" t="s">
        <v>69</v>
      </c>
      <c r="AI1634" t="s">
        <v>69</v>
      </c>
      <c r="AJ1634" t="s">
        <v>69</v>
      </c>
      <c r="AK1634" t="s">
        <v>69</v>
      </c>
      <c r="AL1634">
        <v>45</v>
      </c>
      <c r="AM1634">
        <v>5</v>
      </c>
      <c r="AN1634">
        <v>5</v>
      </c>
      <c r="AO1634">
        <v>1</v>
      </c>
      <c r="AP1634">
        <v>8</v>
      </c>
      <c r="AQ1634" t="s">
        <v>16416</v>
      </c>
      <c r="AR1634" t="s">
        <v>16417</v>
      </c>
      <c r="AS1634" t="s">
        <v>16418</v>
      </c>
      <c r="AT1634" t="s">
        <v>69</v>
      </c>
      <c r="AU1634" t="s">
        <v>2436</v>
      </c>
      <c r="AV1634" t="s">
        <v>69</v>
      </c>
      <c r="AW1634" t="s">
        <v>19261</v>
      </c>
      <c r="AX1634" t="s">
        <v>19262</v>
      </c>
      <c r="AY1634" t="s">
        <v>2437</v>
      </c>
      <c r="AZ1634">
        <v>2018</v>
      </c>
      <c r="BA1634">
        <v>4</v>
      </c>
      <c r="BB1634" t="s">
        <v>69</v>
      </c>
      <c r="BC1634" t="s">
        <v>69</v>
      </c>
      <c r="BD1634" t="s">
        <v>69</v>
      </c>
      <c r="BE1634" t="s">
        <v>69</v>
      </c>
      <c r="BF1634" t="s">
        <v>69</v>
      </c>
      <c r="BG1634" t="s">
        <v>69</v>
      </c>
      <c r="BH1634" t="s">
        <v>69</v>
      </c>
      <c r="BI1634">
        <v>3</v>
      </c>
      <c r="BJ1634" t="s">
        <v>2438</v>
      </c>
      <c r="BK1634" t="str">
        <f>HYPERLINK("http://dx.doi.org/10.1057/s41599-017-0056-6","http://dx.doi.org/10.1057/s41599-017-0056-6")</f>
        <v>http://dx.doi.org/10.1057/s41599-017-0056-6</v>
      </c>
      <c r="BL1634" t="s">
        <v>69</v>
      </c>
      <c r="BM1634" t="s">
        <v>69</v>
      </c>
      <c r="BN1634">
        <v>5</v>
      </c>
      <c r="BO1634" t="s">
        <v>10299</v>
      </c>
      <c r="BP1634" t="s">
        <v>8573</v>
      </c>
      <c r="BQ1634" t="s">
        <v>10279</v>
      </c>
      <c r="BR1634" t="s">
        <v>19263</v>
      </c>
      <c r="BS1634" t="s">
        <v>2439</v>
      </c>
      <c r="BT1634" t="s">
        <v>69</v>
      </c>
      <c r="BU1634" t="s">
        <v>9352</v>
      </c>
      <c r="BV1634" t="s">
        <v>69</v>
      </c>
      <c r="BW1634" t="s">
        <v>69</v>
      </c>
      <c r="BX1634" t="s">
        <v>8526</v>
      </c>
      <c r="BY1634" t="str">
        <f>HYPERLINK("https%3A%2F%2Fwww.webofscience.com%2Fwos%2Fwoscc%2Ffull-record%2FWOS:000440810600003","View Full Record in Web of Science")</f>
        <v>View Full Record in Web of Science</v>
      </c>
    </row>
    <row r="1635" spans="1:77" ht="12.5" x14ac:dyDescent="0.25">
      <c r="A1635" t="s">
        <v>8495</v>
      </c>
      <c r="B1635" s="7" t="s">
        <v>32933</v>
      </c>
      <c r="C1635" s="7"/>
      <c r="D1635" s="7"/>
      <c r="E1635" s="7"/>
      <c r="F1635" t="s">
        <v>67</v>
      </c>
      <c r="G1635" t="s">
        <v>3309</v>
      </c>
      <c r="H1635" t="s">
        <v>69</v>
      </c>
      <c r="I1635" t="s">
        <v>69</v>
      </c>
      <c r="J1635" t="s">
        <v>69</v>
      </c>
      <c r="K1635" t="s">
        <v>3310</v>
      </c>
      <c r="L1635" t="s">
        <v>69</v>
      </c>
      <c r="M1635" t="s">
        <v>69</v>
      </c>
      <c r="N1635" t="s">
        <v>3311</v>
      </c>
      <c r="O1635" t="s">
        <v>3312</v>
      </c>
      <c r="P1635" t="s">
        <v>69</v>
      </c>
      <c r="Q1635" t="s">
        <v>69</v>
      </c>
      <c r="R1635" t="s">
        <v>8505</v>
      </c>
      <c r="S1635" t="s">
        <v>8506</v>
      </c>
      <c r="T1635" t="s">
        <v>69</v>
      </c>
      <c r="U1635" t="s">
        <v>69</v>
      </c>
      <c r="V1635" t="s">
        <v>69</v>
      </c>
      <c r="W1635" t="s">
        <v>69</v>
      </c>
      <c r="X1635" t="s">
        <v>69</v>
      </c>
      <c r="Y1635" t="s">
        <v>24828</v>
      </c>
      <c r="Z1635" t="s">
        <v>24829</v>
      </c>
      <c r="AA1635" t="s">
        <v>3313</v>
      </c>
      <c r="AB1635" t="s">
        <v>24830</v>
      </c>
      <c r="AC1635" t="s">
        <v>69</v>
      </c>
      <c r="AD1635" t="s">
        <v>24831</v>
      </c>
      <c r="AE1635" t="s">
        <v>24832</v>
      </c>
      <c r="AF1635" t="s">
        <v>69</v>
      </c>
      <c r="AG1635" t="s">
        <v>69</v>
      </c>
      <c r="AH1635" t="s">
        <v>69</v>
      </c>
      <c r="AI1635" t="s">
        <v>69</v>
      </c>
      <c r="AJ1635" t="s">
        <v>69</v>
      </c>
      <c r="AK1635" t="s">
        <v>69</v>
      </c>
      <c r="AL1635">
        <v>73</v>
      </c>
      <c r="AM1635">
        <v>32</v>
      </c>
      <c r="AN1635">
        <v>32</v>
      </c>
      <c r="AO1635">
        <v>3</v>
      </c>
      <c r="AP1635">
        <v>56</v>
      </c>
      <c r="AQ1635" t="s">
        <v>8846</v>
      </c>
      <c r="AR1635" t="s">
        <v>8847</v>
      </c>
      <c r="AS1635" t="s">
        <v>8848</v>
      </c>
      <c r="AT1635" t="s">
        <v>3314</v>
      </c>
      <c r="AU1635" t="s">
        <v>3315</v>
      </c>
      <c r="AV1635" t="s">
        <v>69</v>
      </c>
      <c r="AW1635" t="s">
        <v>17518</v>
      </c>
      <c r="AX1635" t="s">
        <v>17519</v>
      </c>
      <c r="AY1635" t="s">
        <v>84</v>
      </c>
      <c r="AZ1635">
        <v>2013</v>
      </c>
      <c r="BA1635">
        <v>37</v>
      </c>
      <c r="BB1635">
        <v>4</v>
      </c>
      <c r="BC1635" t="s">
        <v>69</v>
      </c>
      <c r="BD1635" t="s">
        <v>69</v>
      </c>
      <c r="BE1635" t="s">
        <v>69</v>
      </c>
      <c r="BF1635" t="s">
        <v>69</v>
      </c>
      <c r="BG1635">
        <v>1254</v>
      </c>
      <c r="BH1635">
        <v>1272</v>
      </c>
      <c r="BI1635" t="s">
        <v>69</v>
      </c>
      <c r="BJ1635" t="s">
        <v>3316</v>
      </c>
      <c r="BK1635" t="str">
        <f>HYPERLINK("http://dx.doi.org/10.1111/j.1468-2427.2012.01126.x","http://dx.doi.org/10.1111/j.1468-2427.2012.01126.x")</f>
        <v>http://dx.doi.org/10.1111/j.1468-2427.2012.01126.x</v>
      </c>
      <c r="BL1635" t="s">
        <v>69</v>
      </c>
      <c r="BM1635" t="s">
        <v>69</v>
      </c>
      <c r="BN1635">
        <v>19</v>
      </c>
      <c r="BO1635" t="s">
        <v>17520</v>
      </c>
      <c r="BP1635" t="s">
        <v>8661</v>
      </c>
      <c r="BQ1635" t="s">
        <v>17521</v>
      </c>
      <c r="BR1635" t="s">
        <v>24833</v>
      </c>
      <c r="BS1635" t="s">
        <v>3317</v>
      </c>
      <c r="BT1635" t="s">
        <v>69</v>
      </c>
      <c r="BU1635" t="s">
        <v>69</v>
      </c>
      <c r="BV1635" t="s">
        <v>69</v>
      </c>
      <c r="BW1635" t="s">
        <v>69</v>
      </c>
      <c r="BX1635" t="s">
        <v>8526</v>
      </c>
      <c r="BY1635" t="str">
        <f>HYPERLINK("https%3A%2F%2Fwww.webofscience.com%2Fwos%2Fwoscc%2Ffull-record%2FWOS:000320725500008","View Full Record in Web of Science")</f>
        <v>View Full Record in Web of Science</v>
      </c>
    </row>
    <row r="1636" spans="1:77" ht="12.5" x14ac:dyDescent="0.25">
      <c r="A1636" t="s">
        <v>8495</v>
      </c>
      <c r="B1636" s="7" t="s">
        <v>32933</v>
      </c>
      <c r="C1636" s="7"/>
      <c r="D1636" s="7"/>
      <c r="E1636" s="7"/>
      <c r="F1636" t="s">
        <v>67</v>
      </c>
      <c r="G1636" t="s">
        <v>5258</v>
      </c>
      <c r="H1636" t="s">
        <v>69</v>
      </c>
      <c r="I1636" t="s">
        <v>69</v>
      </c>
      <c r="J1636" t="s">
        <v>69</v>
      </c>
      <c r="K1636" t="s">
        <v>5259</v>
      </c>
      <c r="L1636" t="s">
        <v>69</v>
      </c>
      <c r="M1636" t="s">
        <v>69</v>
      </c>
      <c r="N1636" t="s">
        <v>5260</v>
      </c>
      <c r="O1636" t="s">
        <v>5261</v>
      </c>
      <c r="P1636" t="s">
        <v>69</v>
      </c>
      <c r="Q1636" t="s">
        <v>69</v>
      </c>
      <c r="R1636" t="s">
        <v>8505</v>
      </c>
      <c r="S1636" t="s">
        <v>8506</v>
      </c>
      <c r="T1636" t="s">
        <v>69</v>
      </c>
      <c r="U1636" t="s">
        <v>69</v>
      </c>
      <c r="V1636" t="s">
        <v>69</v>
      </c>
      <c r="W1636" t="s">
        <v>69</v>
      </c>
      <c r="X1636" t="s">
        <v>69</v>
      </c>
      <c r="Y1636" t="s">
        <v>15197</v>
      </c>
      <c r="Z1636" t="s">
        <v>15198</v>
      </c>
      <c r="AA1636" t="s">
        <v>5262</v>
      </c>
      <c r="AB1636" t="s">
        <v>15199</v>
      </c>
      <c r="AC1636" t="s">
        <v>69</v>
      </c>
      <c r="AD1636" t="s">
        <v>15200</v>
      </c>
      <c r="AE1636" t="s">
        <v>15201</v>
      </c>
      <c r="AF1636" t="s">
        <v>69</v>
      </c>
      <c r="AG1636" t="s">
        <v>69</v>
      </c>
      <c r="AH1636" t="s">
        <v>69</v>
      </c>
      <c r="AI1636" t="s">
        <v>69</v>
      </c>
      <c r="AJ1636" t="s">
        <v>69</v>
      </c>
      <c r="AK1636" t="s">
        <v>69</v>
      </c>
      <c r="AL1636">
        <v>34</v>
      </c>
      <c r="AM1636">
        <v>1</v>
      </c>
      <c r="AN1636">
        <v>1</v>
      </c>
      <c r="AO1636">
        <v>0</v>
      </c>
      <c r="AP1636">
        <v>0</v>
      </c>
      <c r="AQ1636" t="s">
        <v>8846</v>
      </c>
      <c r="AR1636" t="s">
        <v>8847</v>
      </c>
      <c r="AS1636" t="s">
        <v>8848</v>
      </c>
      <c r="AT1636" t="s">
        <v>5263</v>
      </c>
      <c r="AU1636" t="s">
        <v>5264</v>
      </c>
      <c r="AV1636" t="s">
        <v>69</v>
      </c>
      <c r="AW1636" t="s">
        <v>15202</v>
      </c>
      <c r="AX1636" t="s">
        <v>15203</v>
      </c>
      <c r="AY1636" t="s">
        <v>201</v>
      </c>
      <c r="AZ1636">
        <v>2020</v>
      </c>
      <c r="BA1636">
        <v>36</v>
      </c>
      <c r="BB1636">
        <v>3</v>
      </c>
      <c r="BC1636" t="s">
        <v>69</v>
      </c>
      <c r="BD1636" t="s">
        <v>69</v>
      </c>
      <c r="BE1636" t="s">
        <v>69</v>
      </c>
      <c r="BF1636" t="s">
        <v>69</v>
      </c>
      <c r="BG1636">
        <v>415</v>
      </c>
      <c r="BH1636">
        <v>429</v>
      </c>
      <c r="BI1636" t="s">
        <v>69</v>
      </c>
      <c r="BJ1636" t="s">
        <v>5265</v>
      </c>
      <c r="BK1636" t="str">
        <f>HYPERLINK("http://dx.doi.org/10.1111/bjp.12546","http://dx.doi.org/10.1111/bjp.12546")</f>
        <v>http://dx.doi.org/10.1111/bjp.12546</v>
      </c>
      <c r="BL1636" t="s">
        <v>69</v>
      </c>
      <c r="BM1636" t="s">
        <v>732</v>
      </c>
      <c r="BN1636">
        <v>15</v>
      </c>
      <c r="BO1636" t="s">
        <v>9332</v>
      </c>
      <c r="BP1636" t="s">
        <v>8573</v>
      </c>
      <c r="BQ1636" t="s">
        <v>9332</v>
      </c>
      <c r="BR1636" t="s">
        <v>15204</v>
      </c>
      <c r="BS1636" t="s">
        <v>5266</v>
      </c>
      <c r="BT1636" t="s">
        <v>69</v>
      </c>
      <c r="BU1636" t="s">
        <v>69</v>
      </c>
      <c r="BV1636" t="s">
        <v>69</v>
      </c>
      <c r="BW1636" t="s">
        <v>69</v>
      </c>
      <c r="BX1636" t="s">
        <v>8526</v>
      </c>
      <c r="BY1636" t="str">
        <f>HYPERLINK("https%3A%2F%2Fwww.webofscience.com%2Fwos%2Fwoscc%2Ffull-record%2FWOS:000531177400001","View Full Record in Web of Science")</f>
        <v>View Full Record in Web of Science</v>
      </c>
    </row>
    <row r="1637" spans="1:77" ht="12.5" x14ac:dyDescent="0.25">
      <c r="A1637" t="s">
        <v>8495</v>
      </c>
      <c r="B1637" s="7" t="s">
        <v>32933</v>
      </c>
      <c r="C1637" s="7"/>
      <c r="D1637" s="7"/>
      <c r="E1637" s="7"/>
      <c r="F1637" t="s">
        <v>67</v>
      </c>
      <c r="G1637" t="s">
        <v>3149</v>
      </c>
      <c r="H1637" t="s">
        <v>69</v>
      </c>
      <c r="I1637" t="s">
        <v>69</v>
      </c>
      <c r="J1637" t="s">
        <v>69</v>
      </c>
      <c r="K1637" t="s">
        <v>3150</v>
      </c>
      <c r="L1637" t="s">
        <v>69</v>
      </c>
      <c r="M1637" t="s">
        <v>69</v>
      </c>
      <c r="N1637" t="s">
        <v>3151</v>
      </c>
      <c r="O1637" t="s">
        <v>3152</v>
      </c>
      <c r="P1637" t="s">
        <v>69</v>
      </c>
      <c r="Q1637" t="s">
        <v>69</v>
      </c>
      <c r="R1637" t="s">
        <v>8505</v>
      </c>
      <c r="S1637" t="s">
        <v>8506</v>
      </c>
      <c r="T1637" t="s">
        <v>69</v>
      </c>
      <c r="U1637" t="s">
        <v>69</v>
      </c>
      <c r="V1637" t="s">
        <v>69</v>
      </c>
      <c r="W1637" t="s">
        <v>69</v>
      </c>
      <c r="X1637" t="s">
        <v>69</v>
      </c>
      <c r="Y1637" t="s">
        <v>23192</v>
      </c>
      <c r="Z1637" t="s">
        <v>23193</v>
      </c>
      <c r="AA1637" t="s">
        <v>3153</v>
      </c>
      <c r="AB1637" t="s">
        <v>23194</v>
      </c>
      <c r="AC1637" t="s">
        <v>69</v>
      </c>
      <c r="AD1637" t="s">
        <v>23195</v>
      </c>
      <c r="AE1637" t="s">
        <v>23196</v>
      </c>
      <c r="AF1637" t="s">
        <v>69</v>
      </c>
      <c r="AG1637" t="s">
        <v>3154</v>
      </c>
      <c r="AH1637" t="s">
        <v>69</v>
      </c>
      <c r="AI1637" t="s">
        <v>69</v>
      </c>
      <c r="AJ1637" t="s">
        <v>69</v>
      </c>
      <c r="AK1637" t="s">
        <v>69</v>
      </c>
      <c r="AL1637">
        <v>78</v>
      </c>
      <c r="AM1637">
        <v>10</v>
      </c>
      <c r="AN1637">
        <v>10</v>
      </c>
      <c r="AO1637">
        <v>1</v>
      </c>
      <c r="AP1637">
        <v>8</v>
      </c>
      <c r="AQ1637" t="s">
        <v>8586</v>
      </c>
      <c r="AR1637" t="s">
        <v>8587</v>
      </c>
      <c r="AS1637" t="s">
        <v>8588</v>
      </c>
      <c r="AT1637" t="s">
        <v>3155</v>
      </c>
      <c r="AU1637" t="s">
        <v>3156</v>
      </c>
      <c r="AV1637" t="s">
        <v>69</v>
      </c>
      <c r="AW1637" t="s">
        <v>23197</v>
      </c>
      <c r="AX1637" t="s">
        <v>23198</v>
      </c>
      <c r="AY1637" t="s">
        <v>69</v>
      </c>
      <c r="AZ1637">
        <v>2015</v>
      </c>
      <c r="BA1637">
        <v>11</v>
      </c>
      <c r="BB1637">
        <v>4</v>
      </c>
      <c r="BC1637" t="s">
        <v>69</v>
      </c>
      <c r="BD1637" t="s">
        <v>69</v>
      </c>
      <c r="BE1637" t="s">
        <v>69</v>
      </c>
      <c r="BF1637" t="s">
        <v>69</v>
      </c>
      <c r="BG1637">
        <v>531</v>
      </c>
      <c r="BH1637" t="s">
        <v>219</v>
      </c>
      <c r="BI1637" t="s">
        <v>69</v>
      </c>
      <c r="BJ1637" t="s">
        <v>3157</v>
      </c>
      <c r="BK1637" t="str">
        <f>HYPERLINK("http://dx.doi.org/10.1108/IJMF-01-2015-0005","http://dx.doi.org/10.1108/IJMF-01-2015-0005")</f>
        <v>http://dx.doi.org/10.1108/IJMF-01-2015-0005</v>
      </c>
      <c r="BL1637" t="s">
        <v>69</v>
      </c>
      <c r="BM1637" t="s">
        <v>69</v>
      </c>
      <c r="BN1637">
        <v>18</v>
      </c>
      <c r="BO1637" t="s">
        <v>9749</v>
      </c>
      <c r="BP1637" t="s">
        <v>8573</v>
      </c>
      <c r="BQ1637" t="s">
        <v>8594</v>
      </c>
      <c r="BR1637" t="s">
        <v>23199</v>
      </c>
      <c r="BS1637" t="s">
        <v>3158</v>
      </c>
      <c r="BT1637" t="s">
        <v>69</v>
      </c>
      <c r="BU1637" t="s">
        <v>69</v>
      </c>
      <c r="BV1637" t="s">
        <v>69</v>
      </c>
      <c r="BW1637" t="s">
        <v>69</v>
      </c>
      <c r="BX1637" t="s">
        <v>8526</v>
      </c>
      <c r="BY1637" t="str">
        <f>HYPERLINK("https%3A%2F%2Fwww.webofscience.com%2Fwos%2Fwoscc%2Ffull-record%2FWOS:000212467800008","View Full Record in Web of Science")</f>
        <v>View Full Record in Web of Science</v>
      </c>
    </row>
    <row r="1638" spans="1:77" ht="12.5" x14ac:dyDescent="0.25">
      <c r="A1638" t="s">
        <v>8495</v>
      </c>
      <c r="B1638" s="7" t="s">
        <v>32933</v>
      </c>
      <c r="C1638" s="7"/>
      <c r="D1638" s="7"/>
      <c r="E1638" s="7"/>
      <c r="F1638" t="s">
        <v>67</v>
      </c>
      <c r="G1638" t="s">
        <v>5317</v>
      </c>
      <c r="H1638" t="s">
        <v>69</v>
      </c>
      <c r="I1638" t="s">
        <v>69</v>
      </c>
      <c r="J1638" t="s">
        <v>69</v>
      </c>
      <c r="K1638" t="s">
        <v>5318</v>
      </c>
      <c r="L1638" t="s">
        <v>69</v>
      </c>
      <c r="M1638" t="s">
        <v>69</v>
      </c>
      <c r="N1638" t="s">
        <v>5319</v>
      </c>
      <c r="O1638" t="s">
        <v>5320</v>
      </c>
      <c r="P1638" t="s">
        <v>69</v>
      </c>
      <c r="Q1638" t="s">
        <v>69</v>
      </c>
      <c r="R1638" t="s">
        <v>8505</v>
      </c>
      <c r="S1638" t="s">
        <v>8506</v>
      </c>
      <c r="T1638" t="s">
        <v>69</v>
      </c>
      <c r="U1638" t="s">
        <v>69</v>
      </c>
      <c r="V1638" t="s">
        <v>69</v>
      </c>
      <c r="W1638" t="s">
        <v>69</v>
      </c>
      <c r="X1638" t="s">
        <v>69</v>
      </c>
      <c r="Y1638" t="s">
        <v>30163</v>
      </c>
      <c r="Z1638" t="s">
        <v>30164</v>
      </c>
      <c r="AA1638" t="s">
        <v>5321</v>
      </c>
      <c r="AB1638" t="s">
        <v>30165</v>
      </c>
      <c r="AC1638" t="s">
        <v>69</v>
      </c>
      <c r="AD1638" t="s">
        <v>30166</v>
      </c>
      <c r="AE1638" t="s">
        <v>30167</v>
      </c>
      <c r="AF1638" t="s">
        <v>30168</v>
      </c>
      <c r="AG1638" t="s">
        <v>30169</v>
      </c>
      <c r="AH1638" t="s">
        <v>30170</v>
      </c>
      <c r="AI1638" t="s">
        <v>30171</v>
      </c>
      <c r="AJ1638" t="s">
        <v>69</v>
      </c>
      <c r="AK1638" t="s">
        <v>69</v>
      </c>
      <c r="AL1638">
        <v>59</v>
      </c>
      <c r="AM1638">
        <v>344</v>
      </c>
      <c r="AN1638">
        <v>382</v>
      </c>
      <c r="AO1638">
        <v>5</v>
      </c>
      <c r="AP1638">
        <v>275</v>
      </c>
      <c r="AQ1638" t="s">
        <v>8846</v>
      </c>
      <c r="AR1638" t="s">
        <v>8847</v>
      </c>
      <c r="AS1638" t="s">
        <v>8848</v>
      </c>
      <c r="AT1638" t="s">
        <v>5322</v>
      </c>
      <c r="AU1638" t="s">
        <v>5323</v>
      </c>
      <c r="AV1638" t="s">
        <v>69</v>
      </c>
      <c r="AW1638" t="s">
        <v>30172</v>
      </c>
      <c r="AX1638" t="s">
        <v>30173</v>
      </c>
      <c r="AY1638" t="s">
        <v>201</v>
      </c>
      <c r="AZ1638">
        <v>2006</v>
      </c>
      <c r="BA1638">
        <v>43</v>
      </c>
      <c r="BB1638">
        <v>4</v>
      </c>
      <c r="BC1638" t="s">
        <v>69</v>
      </c>
      <c r="BD1638" t="s">
        <v>69</v>
      </c>
      <c r="BE1638" t="s">
        <v>69</v>
      </c>
      <c r="BF1638" t="s">
        <v>69</v>
      </c>
      <c r="BG1638">
        <v>617</v>
      </c>
      <c r="BH1638">
        <v>627</v>
      </c>
      <c r="BI1638" t="s">
        <v>69</v>
      </c>
      <c r="BJ1638" t="s">
        <v>5324</v>
      </c>
      <c r="BK1638" t="str">
        <f>HYPERLINK("http://dx.doi.org/10.1111/j.1365-2664.2006.01188.x","http://dx.doi.org/10.1111/j.1365-2664.2006.01188.x")</f>
        <v>http://dx.doi.org/10.1111/j.1365-2664.2006.01188.x</v>
      </c>
      <c r="BL1638" t="s">
        <v>69</v>
      </c>
      <c r="BM1638" t="s">
        <v>69</v>
      </c>
      <c r="BN1638">
        <v>11</v>
      </c>
      <c r="BO1638" t="s">
        <v>15451</v>
      </c>
      <c r="BP1638" t="s">
        <v>8548</v>
      </c>
      <c r="BQ1638" t="s">
        <v>15452</v>
      </c>
      <c r="BR1638" t="s">
        <v>30174</v>
      </c>
      <c r="BS1638" t="s">
        <v>5325</v>
      </c>
      <c r="BT1638" t="s">
        <v>69</v>
      </c>
      <c r="BU1638" t="s">
        <v>10423</v>
      </c>
      <c r="BV1638" t="s">
        <v>69</v>
      </c>
      <c r="BW1638" t="s">
        <v>69</v>
      </c>
      <c r="BX1638" t="s">
        <v>8526</v>
      </c>
      <c r="BY1638" t="str">
        <f>HYPERLINK("https%3A%2F%2Fwww.webofscience.com%2Fwos%2Fwoscc%2Ffull-record%2FWOS:000238487200002","View Full Record in Web of Science")</f>
        <v>View Full Record in Web of Science</v>
      </c>
    </row>
    <row r="1639" spans="1:77" ht="12.5" x14ac:dyDescent="0.25">
      <c r="A1639" t="s">
        <v>8495</v>
      </c>
      <c r="B1639" s="7" t="s">
        <v>32933</v>
      </c>
      <c r="C1639" s="7"/>
      <c r="D1639" s="7"/>
      <c r="E1639" s="7"/>
      <c r="F1639" t="s">
        <v>67</v>
      </c>
      <c r="G1639" t="s">
        <v>7687</v>
      </c>
      <c r="H1639" t="s">
        <v>69</v>
      </c>
      <c r="I1639" t="s">
        <v>69</v>
      </c>
      <c r="J1639" t="s">
        <v>69</v>
      </c>
      <c r="K1639" t="s">
        <v>7688</v>
      </c>
      <c r="L1639" t="s">
        <v>69</v>
      </c>
      <c r="M1639" t="s">
        <v>69</v>
      </c>
      <c r="N1639" t="s">
        <v>7689</v>
      </c>
      <c r="O1639" t="s">
        <v>1109</v>
      </c>
      <c r="P1639" t="s">
        <v>69</v>
      </c>
      <c r="Q1639" t="s">
        <v>69</v>
      </c>
      <c r="R1639" t="s">
        <v>8505</v>
      </c>
      <c r="S1639" t="s">
        <v>8506</v>
      </c>
      <c r="T1639" t="s">
        <v>69</v>
      </c>
      <c r="U1639" t="s">
        <v>69</v>
      </c>
      <c r="V1639" t="s">
        <v>69</v>
      </c>
      <c r="W1639" t="s">
        <v>69</v>
      </c>
      <c r="X1639" t="s">
        <v>69</v>
      </c>
      <c r="Y1639" t="s">
        <v>19284</v>
      </c>
      <c r="Z1639" t="s">
        <v>19285</v>
      </c>
      <c r="AA1639" t="s">
        <v>7690</v>
      </c>
      <c r="AB1639" t="s">
        <v>19286</v>
      </c>
      <c r="AC1639" t="s">
        <v>69</v>
      </c>
      <c r="AD1639" t="s">
        <v>19287</v>
      </c>
      <c r="AE1639" t="s">
        <v>19288</v>
      </c>
      <c r="AF1639" t="s">
        <v>69</v>
      </c>
      <c r="AG1639" t="s">
        <v>69</v>
      </c>
      <c r="AH1639" t="s">
        <v>69</v>
      </c>
      <c r="AI1639" t="s">
        <v>69</v>
      </c>
      <c r="AJ1639" t="s">
        <v>69</v>
      </c>
      <c r="AK1639" t="s">
        <v>69</v>
      </c>
      <c r="AL1639">
        <v>29</v>
      </c>
      <c r="AM1639">
        <v>0</v>
      </c>
      <c r="AN1639">
        <v>0</v>
      </c>
      <c r="AO1639">
        <v>0</v>
      </c>
      <c r="AP1639">
        <v>5</v>
      </c>
      <c r="AQ1639" t="s">
        <v>8865</v>
      </c>
      <c r="AR1639" t="s">
        <v>8612</v>
      </c>
      <c r="AS1639" t="s">
        <v>8866</v>
      </c>
      <c r="AT1639" t="s">
        <v>1111</v>
      </c>
      <c r="AU1639" t="s">
        <v>1112</v>
      </c>
      <c r="AV1639" t="s">
        <v>69</v>
      </c>
      <c r="AW1639" t="s">
        <v>19289</v>
      </c>
      <c r="AX1639" t="s">
        <v>19290</v>
      </c>
      <c r="AY1639" t="s">
        <v>69</v>
      </c>
      <c r="AZ1639">
        <v>2018</v>
      </c>
      <c r="BA1639">
        <v>16</v>
      </c>
      <c r="BB1639">
        <v>4</v>
      </c>
      <c r="BC1639" t="s">
        <v>69</v>
      </c>
      <c r="BD1639" t="s">
        <v>69</v>
      </c>
      <c r="BE1639" t="s">
        <v>69</v>
      </c>
      <c r="BF1639" t="s">
        <v>69</v>
      </c>
      <c r="BG1639">
        <v>289</v>
      </c>
      <c r="BH1639">
        <v>298</v>
      </c>
      <c r="BI1639" t="s">
        <v>69</v>
      </c>
      <c r="BJ1639" t="s">
        <v>7691</v>
      </c>
      <c r="BK1639" t="str">
        <f>HYPERLINK("http://dx.doi.org/10.1080/10042857.2018.1545404","http://dx.doi.org/10.1080/10042857.2018.1545404")</f>
        <v>http://dx.doi.org/10.1080/10042857.2018.1545404</v>
      </c>
      <c r="BL1639" t="s">
        <v>69</v>
      </c>
      <c r="BM1639" t="s">
        <v>69</v>
      </c>
      <c r="BN1639">
        <v>10</v>
      </c>
      <c r="BO1639" t="s">
        <v>8660</v>
      </c>
      <c r="BP1639" t="s">
        <v>8573</v>
      </c>
      <c r="BQ1639" t="s">
        <v>8662</v>
      </c>
      <c r="BR1639" t="s">
        <v>19291</v>
      </c>
      <c r="BS1639" t="s">
        <v>7692</v>
      </c>
      <c r="BT1639" t="s">
        <v>69</v>
      </c>
      <c r="BU1639" t="s">
        <v>69</v>
      </c>
      <c r="BV1639" t="s">
        <v>69</v>
      </c>
      <c r="BW1639" t="s">
        <v>69</v>
      </c>
      <c r="BX1639" t="s">
        <v>8526</v>
      </c>
      <c r="BY1639" t="str">
        <f>HYPERLINK("https%3A%2F%2Fwww.webofscience.com%2Fwos%2Fwoscc%2Ffull-record%2FWOS:000469819400001","View Full Record in Web of Science")</f>
        <v>View Full Record in Web of Science</v>
      </c>
    </row>
    <row r="1640" spans="1:77" ht="12.5" x14ac:dyDescent="0.25">
      <c r="A1640" t="s">
        <v>8495</v>
      </c>
      <c r="B1640" s="22" t="s">
        <v>32931</v>
      </c>
      <c r="C1640" s="7"/>
      <c r="D1640" s="7"/>
      <c r="E1640" s="7"/>
      <c r="F1640" t="s">
        <v>67</v>
      </c>
      <c r="G1640" t="s">
        <v>25543</v>
      </c>
      <c r="H1640" t="s">
        <v>69</v>
      </c>
      <c r="I1640" t="s">
        <v>69</v>
      </c>
      <c r="J1640" t="s">
        <v>69</v>
      </c>
      <c r="K1640" t="s">
        <v>25544</v>
      </c>
      <c r="L1640" t="s">
        <v>69</v>
      </c>
      <c r="M1640" t="s">
        <v>69</v>
      </c>
      <c r="N1640" t="s">
        <v>25545</v>
      </c>
      <c r="O1640" t="s">
        <v>25546</v>
      </c>
      <c r="P1640" t="s">
        <v>69</v>
      </c>
      <c r="Q1640" t="s">
        <v>69</v>
      </c>
      <c r="R1640" t="s">
        <v>8505</v>
      </c>
      <c r="S1640" t="s">
        <v>8506</v>
      </c>
      <c r="T1640" t="s">
        <v>69</v>
      </c>
      <c r="U1640" t="s">
        <v>69</v>
      </c>
      <c r="V1640" t="s">
        <v>69</v>
      </c>
      <c r="W1640" t="s">
        <v>69</v>
      </c>
      <c r="X1640" t="s">
        <v>69</v>
      </c>
      <c r="Y1640" t="s">
        <v>25547</v>
      </c>
      <c r="Z1640" t="s">
        <v>69</v>
      </c>
      <c r="AA1640" t="s">
        <v>25548</v>
      </c>
      <c r="AB1640" t="s">
        <v>69</v>
      </c>
      <c r="AC1640" t="s">
        <v>69</v>
      </c>
      <c r="AD1640" t="s">
        <v>69</v>
      </c>
      <c r="AE1640" t="s">
        <v>25549</v>
      </c>
      <c r="AF1640" t="s">
        <v>25550</v>
      </c>
      <c r="AG1640" t="s">
        <v>25551</v>
      </c>
      <c r="AH1640" t="s">
        <v>69</v>
      </c>
      <c r="AI1640" t="s">
        <v>69</v>
      </c>
      <c r="AJ1640" t="s">
        <v>69</v>
      </c>
      <c r="AK1640" t="s">
        <v>69</v>
      </c>
      <c r="AL1640">
        <v>30</v>
      </c>
      <c r="AM1640">
        <v>3</v>
      </c>
      <c r="AN1640">
        <v>3</v>
      </c>
      <c r="AO1640">
        <v>0</v>
      </c>
      <c r="AP1640">
        <v>0</v>
      </c>
      <c r="AQ1640" t="s">
        <v>25552</v>
      </c>
      <c r="AR1640" t="s">
        <v>24390</v>
      </c>
      <c r="AS1640" t="s">
        <v>25553</v>
      </c>
      <c r="AT1640" t="s">
        <v>25554</v>
      </c>
      <c r="AU1640" t="s">
        <v>69</v>
      </c>
      <c r="AV1640" t="s">
        <v>69</v>
      </c>
      <c r="AW1640" t="s">
        <v>25555</v>
      </c>
      <c r="AX1640" t="s">
        <v>25556</v>
      </c>
      <c r="AY1640" t="s">
        <v>69</v>
      </c>
      <c r="AZ1640">
        <v>2013</v>
      </c>
      <c r="BA1640">
        <v>58</v>
      </c>
      <c r="BB1640">
        <v>2</v>
      </c>
      <c r="BC1640" t="s">
        <v>69</v>
      </c>
      <c r="BD1640" t="s">
        <v>69</v>
      </c>
      <c r="BE1640" t="s">
        <v>69</v>
      </c>
      <c r="BF1640" t="s">
        <v>69</v>
      </c>
      <c r="BG1640">
        <v>163</v>
      </c>
      <c r="BH1640">
        <v>183</v>
      </c>
      <c r="BI1640" t="s">
        <v>69</v>
      </c>
      <c r="BJ1640" t="s">
        <v>69</v>
      </c>
      <c r="BK1640" t="s">
        <v>69</v>
      </c>
      <c r="BL1640" t="s">
        <v>69</v>
      </c>
      <c r="BM1640" t="s">
        <v>69</v>
      </c>
      <c r="BN1640">
        <v>21</v>
      </c>
      <c r="BO1640" t="s">
        <v>9749</v>
      </c>
      <c r="BP1640" t="s">
        <v>8573</v>
      </c>
      <c r="BQ1640" t="s">
        <v>8594</v>
      </c>
      <c r="BR1640" t="s">
        <v>25557</v>
      </c>
      <c r="BS1640" t="s">
        <v>25558</v>
      </c>
      <c r="BT1640" t="s">
        <v>69</v>
      </c>
      <c r="BU1640" t="s">
        <v>69</v>
      </c>
      <c r="BV1640" t="s">
        <v>69</v>
      </c>
      <c r="BW1640" t="s">
        <v>69</v>
      </c>
      <c r="BX1640" t="s">
        <v>8526</v>
      </c>
      <c r="BY1640" t="str">
        <f>HYPERLINK("https%3A%2F%2Fwww.webofscience.com%2Fwos%2Fwoscc%2Ffull-record%2FWOS:000420556700004","View Full Record in Web of Science")</f>
        <v>View Full Record in Web of Science</v>
      </c>
    </row>
    <row r="1641" spans="1:77" ht="12.5" x14ac:dyDescent="0.25">
      <c r="A1641" t="s">
        <v>8495</v>
      </c>
      <c r="B1641" s="7" t="s">
        <v>32933</v>
      </c>
      <c r="C1641" s="7"/>
      <c r="D1641" s="7"/>
      <c r="E1641" s="7"/>
      <c r="F1641" t="s">
        <v>67</v>
      </c>
      <c r="G1641" t="s">
        <v>6014</v>
      </c>
      <c r="H1641" t="s">
        <v>69</v>
      </c>
      <c r="I1641" t="s">
        <v>69</v>
      </c>
      <c r="J1641" t="s">
        <v>69</v>
      </c>
      <c r="K1641" t="s">
        <v>6015</v>
      </c>
      <c r="L1641" t="s">
        <v>69</v>
      </c>
      <c r="M1641" t="s">
        <v>69</v>
      </c>
      <c r="N1641" t="s">
        <v>6016</v>
      </c>
      <c r="O1641" t="s">
        <v>6017</v>
      </c>
      <c r="P1641" t="s">
        <v>69</v>
      </c>
      <c r="Q1641" t="s">
        <v>69</v>
      </c>
      <c r="R1641" t="s">
        <v>8505</v>
      </c>
      <c r="S1641" t="s">
        <v>8506</v>
      </c>
      <c r="T1641" t="s">
        <v>69</v>
      </c>
      <c r="U1641" t="s">
        <v>69</v>
      </c>
      <c r="V1641" t="s">
        <v>69</v>
      </c>
      <c r="W1641" t="s">
        <v>69</v>
      </c>
      <c r="X1641" t="s">
        <v>69</v>
      </c>
      <c r="Y1641" t="s">
        <v>15454</v>
      </c>
      <c r="Z1641" t="s">
        <v>15455</v>
      </c>
      <c r="AA1641" t="s">
        <v>6018</v>
      </c>
      <c r="AB1641" t="s">
        <v>15456</v>
      </c>
      <c r="AC1641" t="s">
        <v>69</v>
      </c>
      <c r="AD1641" t="s">
        <v>15457</v>
      </c>
      <c r="AE1641" t="s">
        <v>15458</v>
      </c>
      <c r="AF1641" t="s">
        <v>6019</v>
      </c>
      <c r="AG1641" t="s">
        <v>6020</v>
      </c>
      <c r="AH1641" t="s">
        <v>69</v>
      </c>
      <c r="AI1641" t="s">
        <v>69</v>
      </c>
      <c r="AJ1641" t="s">
        <v>69</v>
      </c>
      <c r="AK1641" t="s">
        <v>69</v>
      </c>
      <c r="AL1641">
        <v>57</v>
      </c>
      <c r="AM1641">
        <v>1</v>
      </c>
      <c r="AN1641">
        <v>1</v>
      </c>
      <c r="AO1641">
        <v>1</v>
      </c>
      <c r="AP1641">
        <v>7</v>
      </c>
      <c r="AQ1641" t="s">
        <v>8846</v>
      </c>
      <c r="AR1641" t="s">
        <v>8847</v>
      </c>
      <c r="AS1641" t="s">
        <v>8848</v>
      </c>
      <c r="AT1641" t="s">
        <v>6021</v>
      </c>
      <c r="AU1641" t="s">
        <v>6022</v>
      </c>
      <c r="AV1641" t="s">
        <v>69</v>
      </c>
      <c r="AW1641" t="s">
        <v>15459</v>
      </c>
      <c r="AX1641" t="s">
        <v>15460</v>
      </c>
      <c r="AY1641" t="s">
        <v>246</v>
      </c>
      <c r="AZ1641">
        <v>2020</v>
      </c>
      <c r="BA1641">
        <v>39</v>
      </c>
      <c r="BB1641">
        <v>3</v>
      </c>
      <c r="BC1641" t="s">
        <v>69</v>
      </c>
      <c r="BD1641" t="s">
        <v>69</v>
      </c>
      <c r="BE1641" t="s">
        <v>69</v>
      </c>
      <c r="BF1641" t="s">
        <v>69</v>
      </c>
      <c r="BG1641">
        <v>533</v>
      </c>
      <c r="BH1641">
        <v>550</v>
      </c>
      <c r="BI1641" t="s">
        <v>69</v>
      </c>
      <c r="BJ1641" t="s">
        <v>6023</v>
      </c>
      <c r="BK1641" t="str">
        <f>HYPERLINK("http://dx.doi.org/10.1002/for.2640","http://dx.doi.org/10.1002/for.2640")</f>
        <v>http://dx.doi.org/10.1002/for.2640</v>
      </c>
      <c r="BL1641" t="s">
        <v>69</v>
      </c>
      <c r="BM1641" t="s">
        <v>69</v>
      </c>
      <c r="BN1641">
        <v>18</v>
      </c>
      <c r="BO1641" t="s">
        <v>15461</v>
      </c>
      <c r="BP1641" t="s">
        <v>8661</v>
      </c>
      <c r="BQ1641" t="s">
        <v>8594</v>
      </c>
      <c r="BR1641" t="s">
        <v>15462</v>
      </c>
      <c r="BS1641" t="s">
        <v>6024</v>
      </c>
      <c r="BT1641" t="s">
        <v>69</v>
      </c>
      <c r="BU1641" t="s">
        <v>69</v>
      </c>
      <c r="BV1641" t="s">
        <v>69</v>
      </c>
      <c r="BW1641" t="s">
        <v>69</v>
      </c>
      <c r="BX1641" t="s">
        <v>8526</v>
      </c>
      <c r="BY1641" t="str">
        <f>HYPERLINK("https%3A%2F%2Fwww.webofscience.com%2Fwos%2Fwoscc%2Ffull-record%2FWOS:000599720400011","View Full Record in Web of Science")</f>
        <v>View Full Record in Web of Science</v>
      </c>
    </row>
    <row r="1642" spans="1:77" ht="12.5" x14ac:dyDescent="0.25">
      <c r="A1642" t="s">
        <v>8495</v>
      </c>
      <c r="B1642" s="22" t="s">
        <v>32931</v>
      </c>
      <c r="C1642" s="7"/>
      <c r="D1642" s="7"/>
      <c r="E1642" s="7"/>
      <c r="F1642" t="s">
        <v>67</v>
      </c>
      <c r="G1642" t="s">
        <v>9862</v>
      </c>
      <c r="H1642" t="s">
        <v>69</v>
      </c>
      <c r="I1642" t="s">
        <v>69</v>
      </c>
      <c r="J1642" t="s">
        <v>69</v>
      </c>
      <c r="K1642" t="s">
        <v>9863</v>
      </c>
      <c r="L1642" t="s">
        <v>69</v>
      </c>
      <c r="M1642" t="s">
        <v>69</v>
      </c>
      <c r="N1642" t="s">
        <v>9864</v>
      </c>
      <c r="O1642" t="s">
        <v>9865</v>
      </c>
      <c r="P1642" t="s">
        <v>69</v>
      </c>
      <c r="Q1642" t="s">
        <v>69</v>
      </c>
      <c r="R1642" t="s">
        <v>8505</v>
      </c>
      <c r="S1642" t="s">
        <v>8556</v>
      </c>
      <c r="T1642" t="s">
        <v>69</v>
      </c>
      <c r="U1642" t="s">
        <v>69</v>
      </c>
      <c r="V1642" t="s">
        <v>69</v>
      </c>
      <c r="W1642" t="s">
        <v>69</v>
      </c>
      <c r="X1642" t="s">
        <v>69</v>
      </c>
      <c r="Y1642" t="s">
        <v>9866</v>
      </c>
      <c r="Z1642" t="s">
        <v>9867</v>
      </c>
      <c r="AA1642" t="s">
        <v>9868</v>
      </c>
      <c r="AB1642" t="s">
        <v>9869</v>
      </c>
      <c r="AC1642" t="s">
        <v>69</v>
      </c>
      <c r="AD1642" t="s">
        <v>9870</v>
      </c>
      <c r="AE1642" t="s">
        <v>9871</v>
      </c>
      <c r="AF1642" t="s">
        <v>69</v>
      </c>
      <c r="AG1642" t="s">
        <v>9872</v>
      </c>
      <c r="AH1642" t="s">
        <v>69</v>
      </c>
      <c r="AI1642" t="s">
        <v>69</v>
      </c>
      <c r="AJ1642" t="s">
        <v>69</v>
      </c>
      <c r="AK1642" t="s">
        <v>69</v>
      </c>
      <c r="AL1642">
        <v>94</v>
      </c>
      <c r="AM1642">
        <v>0</v>
      </c>
      <c r="AN1642">
        <v>0</v>
      </c>
      <c r="AO1642">
        <v>4</v>
      </c>
      <c r="AP1642">
        <v>4</v>
      </c>
      <c r="AQ1642" t="s">
        <v>8586</v>
      </c>
      <c r="AR1642" t="s">
        <v>8587</v>
      </c>
      <c r="AS1642" t="s">
        <v>8588</v>
      </c>
      <c r="AT1642" t="s">
        <v>9873</v>
      </c>
      <c r="AU1642" t="s">
        <v>9874</v>
      </c>
      <c r="AV1642" t="s">
        <v>69</v>
      </c>
      <c r="AW1642" t="s">
        <v>9875</v>
      </c>
      <c r="AX1642" t="s">
        <v>9876</v>
      </c>
      <c r="AY1642" t="s">
        <v>69</v>
      </c>
      <c r="AZ1642" t="s">
        <v>69</v>
      </c>
      <c r="BA1642" t="s">
        <v>69</v>
      </c>
      <c r="BB1642" t="s">
        <v>69</v>
      </c>
      <c r="BC1642" t="s">
        <v>69</v>
      </c>
      <c r="BD1642" t="s">
        <v>69</v>
      </c>
      <c r="BE1642" t="s">
        <v>69</v>
      </c>
      <c r="BF1642" t="s">
        <v>69</v>
      </c>
      <c r="BG1642" t="s">
        <v>69</v>
      </c>
      <c r="BH1642" t="s">
        <v>69</v>
      </c>
      <c r="BI1642" t="s">
        <v>69</v>
      </c>
      <c r="BJ1642" t="s">
        <v>9877</v>
      </c>
      <c r="BK1642" t="str">
        <f>HYPERLINK("http://dx.doi.org/10.1108/JSBED-11-2021-0437","http://dx.doi.org/10.1108/JSBED-11-2021-0437")</f>
        <v>http://dx.doi.org/10.1108/JSBED-11-2021-0437</v>
      </c>
      <c r="BL1642" t="s">
        <v>69</v>
      </c>
      <c r="BM1642" t="s">
        <v>9808</v>
      </c>
      <c r="BN1642">
        <v>27</v>
      </c>
      <c r="BO1642" t="s">
        <v>8444</v>
      </c>
      <c r="BP1642" t="s">
        <v>8573</v>
      </c>
      <c r="BQ1642" t="s">
        <v>8594</v>
      </c>
      <c r="BR1642" t="s">
        <v>9878</v>
      </c>
      <c r="BS1642" t="s">
        <v>9879</v>
      </c>
      <c r="BT1642" t="s">
        <v>69</v>
      </c>
      <c r="BU1642" t="s">
        <v>69</v>
      </c>
      <c r="BV1642" t="s">
        <v>69</v>
      </c>
      <c r="BW1642" t="s">
        <v>69</v>
      </c>
      <c r="BX1642" t="s">
        <v>8526</v>
      </c>
      <c r="BY1642" t="str">
        <f>HYPERLINK("https%3A%2F%2Fwww.webofscience.com%2Fwos%2Fwoscc%2Ffull-record%2FWOS:000758233100001","View Full Record in Web of Science")</f>
        <v>View Full Record in Web of Science</v>
      </c>
    </row>
    <row r="1643" spans="1:77" ht="12.5" x14ac:dyDescent="0.25">
      <c r="A1643" t="s">
        <v>8495</v>
      </c>
      <c r="B1643" s="22" t="s">
        <v>32931</v>
      </c>
      <c r="C1643" s="7"/>
      <c r="D1643" s="7"/>
      <c r="E1643" s="7"/>
      <c r="F1643" t="s">
        <v>67</v>
      </c>
      <c r="G1643" t="s">
        <v>12352</v>
      </c>
      <c r="H1643" t="s">
        <v>69</v>
      </c>
      <c r="I1643" t="s">
        <v>69</v>
      </c>
      <c r="J1643" t="s">
        <v>69</v>
      </c>
      <c r="K1643" t="s">
        <v>12353</v>
      </c>
      <c r="L1643" t="s">
        <v>69</v>
      </c>
      <c r="M1643" t="s">
        <v>69</v>
      </c>
      <c r="N1643" t="s">
        <v>12354</v>
      </c>
      <c r="O1643" t="s">
        <v>5238</v>
      </c>
      <c r="P1643" t="s">
        <v>69</v>
      </c>
      <c r="Q1643" t="s">
        <v>69</v>
      </c>
      <c r="R1643" t="s">
        <v>8505</v>
      </c>
      <c r="S1643" t="s">
        <v>8506</v>
      </c>
      <c r="T1643" t="s">
        <v>69</v>
      </c>
      <c r="U1643" t="s">
        <v>69</v>
      </c>
      <c r="V1643" t="s">
        <v>69</v>
      </c>
      <c r="W1643" t="s">
        <v>69</v>
      </c>
      <c r="X1643" t="s">
        <v>69</v>
      </c>
      <c r="Y1643" t="s">
        <v>12355</v>
      </c>
      <c r="Z1643" t="s">
        <v>12356</v>
      </c>
      <c r="AA1643" t="s">
        <v>12357</v>
      </c>
      <c r="AB1643" t="s">
        <v>12358</v>
      </c>
      <c r="AC1643" t="s">
        <v>69</v>
      </c>
      <c r="AD1643" t="s">
        <v>12359</v>
      </c>
      <c r="AE1643" t="s">
        <v>12360</v>
      </c>
      <c r="AF1643" t="s">
        <v>69</v>
      </c>
      <c r="AG1643" t="s">
        <v>12361</v>
      </c>
      <c r="AH1643" t="s">
        <v>69</v>
      </c>
      <c r="AI1643" t="s">
        <v>69</v>
      </c>
      <c r="AJ1643" t="s">
        <v>69</v>
      </c>
      <c r="AK1643" t="s">
        <v>69</v>
      </c>
      <c r="AL1643">
        <v>68</v>
      </c>
      <c r="AM1643">
        <v>0</v>
      </c>
      <c r="AN1643">
        <v>0</v>
      </c>
      <c r="AO1643">
        <v>0</v>
      </c>
      <c r="AP1643">
        <v>6</v>
      </c>
      <c r="AQ1643" t="s">
        <v>9047</v>
      </c>
      <c r="AR1643" t="s">
        <v>9048</v>
      </c>
      <c r="AS1643" t="s">
        <v>9049</v>
      </c>
      <c r="AT1643" t="s">
        <v>5240</v>
      </c>
      <c r="AU1643" t="s">
        <v>12362</v>
      </c>
      <c r="AV1643" t="s">
        <v>69</v>
      </c>
      <c r="AW1643" t="s">
        <v>12363</v>
      </c>
      <c r="AX1643" t="s">
        <v>12364</v>
      </c>
      <c r="AY1643" t="s">
        <v>75</v>
      </c>
      <c r="AZ1643">
        <v>2021</v>
      </c>
      <c r="BA1643">
        <v>20</v>
      </c>
      <c r="BB1643">
        <v>4</v>
      </c>
      <c r="BC1643" t="s">
        <v>69</v>
      </c>
      <c r="BD1643" t="s">
        <v>69</v>
      </c>
      <c r="BE1643" t="s">
        <v>69</v>
      </c>
      <c r="BF1643" t="s">
        <v>69</v>
      </c>
      <c r="BG1643">
        <v>517</v>
      </c>
      <c r="BH1643">
        <v>542</v>
      </c>
      <c r="BI1643" t="s">
        <v>69</v>
      </c>
      <c r="BJ1643" t="s">
        <v>12365</v>
      </c>
      <c r="BK1643" t="str">
        <f>HYPERLINK("http://dx.doi.org/10.1007/s11842-021-09479-4","http://dx.doi.org/10.1007/s11842-021-09479-4")</f>
        <v>http://dx.doi.org/10.1007/s11842-021-09479-4</v>
      </c>
      <c r="BL1643" t="s">
        <v>69</v>
      </c>
      <c r="BM1643" t="s">
        <v>12312</v>
      </c>
      <c r="BN1643">
        <v>26</v>
      </c>
      <c r="BO1643" t="s">
        <v>8453</v>
      </c>
      <c r="BP1643" t="s">
        <v>8548</v>
      </c>
      <c r="BQ1643" t="s">
        <v>8453</v>
      </c>
      <c r="BR1643" t="s">
        <v>12366</v>
      </c>
      <c r="BS1643" t="s">
        <v>12367</v>
      </c>
      <c r="BT1643" t="s">
        <v>69</v>
      </c>
      <c r="BU1643" t="s">
        <v>69</v>
      </c>
      <c r="BV1643" t="s">
        <v>69</v>
      </c>
      <c r="BW1643" t="s">
        <v>69</v>
      </c>
      <c r="BX1643" t="s">
        <v>8526</v>
      </c>
      <c r="BY1643" t="str">
        <f>HYPERLINK("https%3A%2F%2Fwww.webofscience.com%2Fwos%2Fwoscc%2Ffull-record%2FWOS:000644773000001","View Full Record in Web of Science")</f>
        <v>View Full Record in Web of Science</v>
      </c>
    </row>
    <row r="1644" spans="1:77" ht="12.5" x14ac:dyDescent="0.25">
      <c r="A1644" t="s">
        <v>8495</v>
      </c>
      <c r="B1644" s="22" t="s">
        <v>32931</v>
      </c>
      <c r="C1644" s="7"/>
      <c r="D1644" s="7"/>
      <c r="E1644" s="7"/>
      <c r="F1644" t="s">
        <v>67</v>
      </c>
      <c r="G1644" t="s">
        <v>10873</v>
      </c>
      <c r="H1644" t="s">
        <v>69</v>
      </c>
      <c r="I1644" t="s">
        <v>69</v>
      </c>
      <c r="J1644" t="s">
        <v>69</v>
      </c>
      <c r="K1644" t="s">
        <v>10874</v>
      </c>
      <c r="L1644" t="s">
        <v>69</v>
      </c>
      <c r="M1644" t="s">
        <v>69</v>
      </c>
      <c r="N1644" t="s">
        <v>10875</v>
      </c>
      <c r="O1644" t="s">
        <v>7227</v>
      </c>
      <c r="P1644" t="s">
        <v>69</v>
      </c>
      <c r="Q1644" t="s">
        <v>69</v>
      </c>
      <c r="R1644" t="s">
        <v>8505</v>
      </c>
      <c r="S1644" t="s">
        <v>8506</v>
      </c>
      <c r="T1644" t="s">
        <v>69</v>
      </c>
      <c r="U1644" t="s">
        <v>69</v>
      </c>
      <c r="V1644" t="s">
        <v>69</v>
      </c>
      <c r="W1644" t="s">
        <v>69</v>
      </c>
      <c r="X1644" t="s">
        <v>69</v>
      </c>
      <c r="Y1644" t="s">
        <v>10876</v>
      </c>
      <c r="Z1644" t="s">
        <v>10877</v>
      </c>
      <c r="AA1644" t="s">
        <v>10878</v>
      </c>
      <c r="AB1644" t="s">
        <v>10879</v>
      </c>
      <c r="AC1644" t="s">
        <v>69</v>
      </c>
      <c r="AD1644" t="s">
        <v>10880</v>
      </c>
      <c r="AE1644" t="s">
        <v>10881</v>
      </c>
      <c r="AF1644" t="s">
        <v>10882</v>
      </c>
      <c r="AG1644" t="s">
        <v>10883</v>
      </c>
      <c r="AH1644" t="s">
        <v>10884</v>
      </c>
      <c r="AI1644" t="s">
        <v>10885</v>
      </c>
      <c r="AJ1644" t="s">
        <v>10886</v>
      </c>
      <c r="AK1644" t="s">
        <v>69</v>
      </c>
      <c r="AL1644">
        <v>46</v>
      </c>
      <c r="AM1644">
        <v>0</v>
      </c>
      <c r="AN1644">
        <v>0</v>
      </c>
      <c r="AO1644">
        <v>1</v>
      </c>
      <c r="AP1644">
        <v>1</v>
      </c>
      <c r="AQ1644" t="s">
        <v>8924</v>
      </c>
      <c r="AR1644" t="s">
        <v>8925</v>
      </c>
      <c r="AS1644" t="s">
        <v>8926</v>
      </c>
      <c r="AT1644" t="s">
        <v>69</v>
      </c>
      <c r="AU1644" t="s">
        <v>7231</v>
      </c>
      <c r="AV1644" t="s">
        <v>69</v>
      </c>
      <c r="AW1644" t="s">
        <v>7227</v>
      </c>
      <c r="AX1644" t="s">
        <v>9162</v>
      </c>
      <c r="AY1644" t="s">
        <v>274</v>
      </c>
      <c r="AZ1644">
        <v>2021</v>
      </c>
      <c r="BA1644">
        <v>14</v>
      </c>
      <c r="BB1644">
        <v>22</v>
      </c>
      <c r="BC1644" t="s">
        <v>69</v>
      </c>
      <c r="BD1644" t="s">
        <v>69</v>
      </c>
      <c r="BE1644" t="s">
        <v>69</v>
      </c>
      <c r="BF1644" t="s">
        <v>69</v>
      </c>
      <c r="BG1644" t="s">
        <v>69</v>
      </c>
      <c r="BH1644" t="s">
        <v>69</v>
      </c>
      <c r="BI1644">
        <v>7474</v>
      </c>
      <c r="BJ1644" t="s">
        <v>10887</v>
      </c>
      <c r="BK1644" t="str">
        <f>HYPERLINK("http://dx.doi.org/10.3390/en14227474","http://dx.doi.org/10.3390/en14227474")</f>
        <v>http://dx.doi.org/10.3390/en14227474</v>
      </c>
      <c r="BL1644" t="s">
        <v>69</v>
      </c>
      <c r="BM1644" t="s">
        <v>69</v>
      </c>
      <c r="BN1644">
        <v>17</v>
      </c>
      <c r="BO1644" t="s">
        <v>9164</v>
      </c>
      <c r="BP1644" t="s">
        <v>8523</v>
      </c>
      <c r="BQ1644" t="s">
        <v>9164</v>
      </c>
      <c r="BR1644" t="s">
        <v>10888</v>
      </c>
      <c r="BS1644" t="s">
        <v>10889</v>
      </c>
      <c r="BT1644" t="s">
        <v>69</v>
      </c>
      <c r="BU1644" t="s">
        <v>8931</v>
      </c>
      <c r="BV1644" t="s">
        <v>69</v>
      </c>
      <c r="BW1644" t="s">
        <v>69</v>
      </c>
      <c r="BX1644" t="s">
        <v>8526</v>
      </c>
      <c r="BY1644" t="str">
        <f>HYPERLINK("https%3A%2F%2Fwww.webofscience.com%2Fwos%2Fwoscc%2Ffull-record%2FWOS:000724150000001","View Full Record in Web of Science")</f>
        <v>View Full Record in Web of Science</v>
      </c>
    </row>
    <row r="1645" spans="1:77" x14ac:dyDescent="0.3">
      <c r="A1645" t="s">
        <v>8495</v>
      </c>
      <c r="B1645" s="9" t="s">
        <v>32954</v>
      </c>
      <c r="C1645" s="9" t="s">
        <v>33136</v>
      </c>
      <c r="D1645" s="9" t="s">
        <v>8491</v>
      </c>
      <c r="E1645" s="9" t="s">
        <v>8490</v>
      </c>
      <c r="F1645" t="s">
        <v>67</v>
      </c>
      <c r="G1645" t="s">
        <v>10225</v>
      </c>
      <c r="H1645" t="s">
        <v>69</v>
      </c>
      <c r="I1645" t="s">
        <v>69</v>
      </c>
      <c r="J1645" t="s">
        <v>69</v>
      </c>
      <c r="K1645" t="s">
        <v>10226</v>
      </c>
      <c r="L1645" t="s">
        <v>69</v>
      </c>
      <c r="M1645" t="s">
        <v>69</v>
      </c>
      <c r="N1645" t="s">
        <v>10227</v>
      </c>
      <c r="O1645" t="s">
        <v>2088</v>
      </c>
      <c r="P1645" t="s">
        <v>69</v>
      </c>
      <c r="Q1645" t="s">
        <v>69</v>
      </c>
      <c r="R1645" t="s">
        <v>8505</v>
      </c>
      <c r="S1645" t="s">
        <v>8506</v>
      </c>
      <c r="T1645" t="s">
        <v>69</v>
      </c>
      <c r="U1645" t="s">
        <v>69</v>
      </c>
      <c r="V1645" t="s">
        <v>69</v>
      </c>
      <c r="W1645" t="s">
        <v>69</v>
      </c>
      <c r="X1645" t="s">
        <v>69</v>
      </c>
      <c r="Y1645" t="s">
        <v>10228</v>
      </c>
      <c r="Z1645" t="s">
        <v>10229</v>
      </c>
      <c r="AA1645" t="s">
        <v>10230</v>
      </c>
      <c r="AB1645" t="s">
        <v>10231</v>
      </c>
      <c r="AC1645" t="s">
        <v>69</v>
      </c>
      <c r="AD1645" t="s">
        <v>10232</v>
      </c>
      <c r="AE1645" t="s">
        <v>10233</v>
      </c>
      <c r="AF1645" t="s">
        <v>10234</v>
      </c>
      <c r="AG1645" t="s">
        <v>10235</v>
      </c>
      <c r="AH1645" t="s">
        <v>10236</v>
      </c>
      <c r="AI1645" t="s">
        <v>69</v>
      </c>
      <c r="AJ1645" t="s">
        <v>10237</v>
      </c>
      <c r="AK1645" t="s">
        <v>69</v>
      </c>
      <c r="AL1645">
        <v>59</v>
      </c>
      <c r="AM1645">
        <v>1</v>
      </c>
      <c r="AN1645">
        <v>1</v>
      </c>
      <c r="AO1645">
        <v>0</v>
      </c>
      <c r="AP1645">
        <v>0</v>
      </c>
      <c r="AQ1645" t="s">
        <v>10238</v>
      </c>
      <c r="AR1645" t="s">
        <v>10239</v>
      </c>
      <c r="AS1645" t="s">
        <v>10240</v>
      </c>
      <c r="AT1645" t="s">
        <v>2092</v>
      </c>
      <c r="AU1645" t="s">
        <v>69</v>
      </c>
      <c r="AV1645" t="s">
        <v>69</v>
      </c>
      <c r="AW1645" t="s">
        <v>10241</v>
      </c>
      <c r="AX1645" t="s">
        <v>10242</v>
      </c>
      <c r="AY1645" t="s">
        <v>69</v>
      </c>
      <c r="AZ1645">
        <v>2022</v>
      </c>
      <c r="BA1645">
        <v>7</v>
      </c>
      <c r="BB1645">
        <v>1</v>
      </c>
      <c r="BC1645" t="s">
        <v>69</v>
      </c>
      <c r="BD1645" t="s">
        <v>69</v>
      </c>
      <c r="BE1645" t="s">
        <v>69</v>
      </c>
      <c r="BF1645" t="s">
        <v>69</v>
      </c>
      <c r="BG1645">
        <v>321</v>
      </c>
      <c r="BH1645">
        <v>335</v>
      </c>
      <c r="BI1645" t="s">
        <v>69</v>
      </c>
      <c r="BJ1645" t="s">
        <v>10243</v>
      </c>
      <c r="BK1645" t="str">
        <f>HYPERLINK("http://dx.doi.org/10.17645/up.v7i1.4749","http://dx.doi.org/10.17645/up.v7i1.4749")</f>
        <v>http://dx.doi.org/10.17645/up.v7i1.4749</v>
      </c>
      <c r="BL1645" t="s">
        <v>69</v>
      </c>
      <c r="BM1645" t="s">
        <v>69</v>
      </c>
      <c r="BN1645">
        <v>15</v>
      </c>
      <c r="BO1645" t="s">
        <v>8475</v>
      </c>
      <c r="BP1645" t="s">
        <v>8573</v>
      </c>
      <c r="BQ1645" t="s">
        <v>8475</v>
      </c>
      <c r="BR1645" t="s">
        <v>10244</v>
      </c>
      <c r="BS1645" t="s">
        <v>10245</v>
      </c>
      <c r="BT1645" t="s">
        <v>69</v>
      </c>
      <c r="BU1645" t="s">
        <v>8812</v>
      </c>
      <c r="BV1645" t="s">
        <v>69</v>
      </c>
      <c r="BW1645" t="s">
        <v>69</v>
      </c>
      <c r="BX1645" t="s">
        <v>8526</v>
      </c>
      <c r="BY1645" t="str">
        <f>HYPERLINK("https%3A%2F%2Fwww.webofscience.com%2Fwos%2Fwoscc%2Ffull-record%2FWOS:000782643600011","View Full Record in Web of Science")</f>
        <v>View Full Record in Web of Science</v>
      </c>
    </row>
    <row r="1646" spans="1:77" ht="12.5" x14ac:dyDescent="0.25">
      <c r="A1646" t="s">
        <v>8495</v>
      </c>
      <c r="B1646" s="7" t="s">
        <v>32933</v>
      </c>
      <c r="C1646" s="7"/>
      <c r="D1646" s="7"/>
      <c r="E1646" s="7"/>
      <c r="F1646" t="s">
        <v>67</v>
      </c>
      <c r="G1646" t="s">
        <v>1553</v>
      </c>
      <c r="H1646" t="s">
        <v>69</v>
      </c>
      <c r="I1646" t="s">
        <v>69</v>
      </c>
      <c r="J1646" t="s">
        <v>69</v>
      </c>
      <c r="K1646" t="s">
        <v>1554</v>
      </c>
      <c r="L1646" t="s">
        <v>69</v>
      </c>
      <c r="M1646" t="s">
        <v>69</v>
      </c>
      <c r="N1646" t="s">
        <v>1555</v>
      </c>
      <c r="O1646" t="s">
        <v>1556</v>
      </c>
      <c r="P1646" t="s">
        <v>69</v>
      </c>
      <c r="Q1646" t="s">
        <v>69</v>
      </c>
      <c r="R1646" t="s">
        <v>8505</v>
      </c>
      <c r="S1646" t="s">
        <v>8506</v>
      </c>
      <c r="T1646" t="s">
        <v>69</v>
      </c>
      <c r="U1646" t="s">
        <v>69</v>
      </c>
      <c r="V1646" t="s">
        <v>69</v>
      </c>
      <c r="W1646" t="s">
        <v>69</v>
      </c>
      <c r="X1646" t="s">
        <v>69</v>
      </c>
      <c r="Y1646" t="s">
        <v>69</v>
      </c>
      <c r="Z1646" t="s">
        <v>69</v>
      </c>
      <c r="AA1646" t="s">
        <v>1557</v>
      </c>
      <c r="AB1646" t="s">
        <v>28714</v>
      </c>
      <c r="AC1646" t="s">
        <v>69</v>
      </c>
      <c r="AD1646" t="s">
        <v>28715</v>
      </c>
      <c r="AE1646" t="s">
        <v>69</v>
      </c>
      <c r="AF1646" t="s">
        <v>69</v>
      </c>
      <c r="AG1646" t="s">
        <v>1558</v>
      </c>
      <c r="AH1646" t="s">
        <v>69</v>
      </c>
      <c r="AI1646" t="s">
        <v>69</v>
      </c>
      <c r="AJ1646" t="s">
        <v>69</v>
      </c>
      <c r="AK1646" t="s">
        <v>69</v>
      </c>
      <c r="AL1646">
        <v>20</v>
      </c>
      <c r="AM1646">
        <v>6</v>
      </c>
      <c r="AN1646">
        <v>6</v>
      </c>
      <c r="AO1646">
        <v>2</v>
      </c>
      <c r="AP1646">
        <v>12</v>
      </c>
      <c r="AQ1646" t="s">
        <v>8865</v>
      </c>
      <c r="AR1646" t="s">
        <v>8612</v>
      </c>
      <c r="AS1646" t="s">
        <v>22341</v>
      </c>
      <c r="AT1646" t="s">
        <v>1559</v>
      </c>
      <c r="AU1646" t="s">
        <v>1560</v>
      </c>
      <c r="AV1646" t="s">
        <v>69</v>
      </c>
      <c r="AW1646" t="s">
        <v>28716</v>
      </c>
      <c r="AX1646" t="s">
        <v>28717</v>
      </c>
      <c r="AY1646" t="s">
        <v>69</v>
      </c>
      <c r="AZ1646">
        <v>2009</v>
      </c>
      <c r="BA1646">
        <v>22</v>
      </c>
      <c r="BB1646">
        <v>1</v>
      </c>
      <c r="BC1646" t="s">
        <v>69</v>
      </c>
      <c r="BD1646" t="s">
        <v>69</v>
      </c>
      <c r="BE1646" t="s">
        <v>69</v>
      </c>
      <c r="BF1646" t="s">
        <v>69</v>
      </c>
      <c r="BG1646">
        <v>147</v>
      </c>
      <c r="BH1646">
        <v>161</v>
      </c>
      <c r="BI1646" t="s">
        <v>69</v>
      </c>
      <c r="BJ1646" t="s">
        <v>1561</v>
      </c>
      <c r="BK1646" t="str">
        <f>HYPERLINK("http://dx.doi.org/10.1080/09557570802683888","http://dx.doi.org/10.1080/09557570802683888")</f>
        <v>http://dx.doi.org/10.1080/09557570802683888</v>
      </c>
      <c r="BL1646" t="s">
        <v>69</v>
      </c>
      <c r="BM1646" t="s">
        <v>69</v>
      </c>
      <c r="BN1646">
        <v>15</v>
      </c>
      <c r="BO1646" t="s">
        <v>16728</v>
      </c>
      <c r="BP1646" t="s">
        <v>8661</v>
      </c>
      <c r="BQ1646" t="s">
        <v>16729</v>
      </c>
      <c r="BR1646" t="s">
        <v>28718</v>
      </c>
      <c r="BS1646" t="s">
        <v>1562</v>
      </c>
      <c r="BT1646" t="s">
        <v>69</v>
      </c>
      <c r="BU1646" t="s">
        <v>69</v>
      </c>
      <c r="BV1646" t="s">
        <v>69</v>
      </c>
      <c r="BW1646" t="s">
        <v>69</v>
      </c>
      <c r="BX1646" t="s">
        <v>8526</v>
      </c>
      <c r="BY1646" t="str">
        <f>HYPERLINK("https%3A%2F%2Fwww.webofscience.com%2Fwos%2Fwoscc%2Ffull-record%2FWOS:000265877800010","View Full Record in Web of Science")</f>
        <v>View Full Record in Web of Science</v>
      </c>
    </row>
    <row r="1647" spans="1:77" x14ac:dyDescent="0.3">
      <c r="A1647" t="s">
        <v>8495</v>
      </c>
      <c r="B1647" s="9" t="s">
        <v>33031</v>
      </c>
      <c r="C1647" s="9" t="s">
        <v>33135</v>
      </c>
      <c r="D1647" s="9" t="s">
        <v>8491</v>
      </c>
      <c r="E1647" s="9" t="s">
        <v>8490</v>
      </c>
      <c r="F1647" t="s">
        <v>67</v>
      </c>
      <c r="G1647" t="s">
        <v>28194</v>
      </c>
      <c r="H1647" t="s">
        <v>69</v>
      </c>
      <c r="I1647" t="s">
        <v>69</v>
      </c>
      <c r="J1647" t="s">
        <v>69</v>
      </c>
      <c r="K1647" t="s">
        <v>28195</v>
      </c>
      <c r="L1647" t="s">
        <v>69</v>
      </c>
      <c r="M1647" t="s">
        <v>69</v>
      </c>
      <c r="N1647" t="s">
        <v>28196</v>
      </c>
      <c r="O1647" t="s">
        <v>19555</v>
      </c>
      <c r="P1647" t="s">
        <v>69</v>
      </c>
      <c r="Q1647" t="s">
        <v>69</v>
      </c>
      <c r="R1647" t="s">
        <v>8505</v>
      </c>
      <c r="S1647" t="s">
        <v>8506</v>
      </c>
      <c r="T1647" t="s">
        <v>69</v>
      </c>
      <c r="U1647" t="s">
        <v>69</v>
      </c>
      <c r="V1647" t="s">
        <v>69</v>
      </c>
      <c r="W1647" t="s">
        <v>69</v>
      </c>
      <c r="X1647" t="s">
        <v>69</v>
      </c>
      <c r="Y1647" t="s">
        <v>28197</v>
      </c>
      <c r="Z1647" t="s">
        <v>69</v>
      </c>
      <c r="AA1647" t="s">
        <v>28198</v>
      </c>
      <c r="AB1647" t="s">
        <v>28199</v>
      </c>
      <c r="AC1647" t="s">
        <v>69</v>
      </c>
      <c r="AD1647" t="s">
        <v>28200</v>
      </c>
      <c r="AE1647" t="s">
        <v>28201</v>
      </c>
      <c r="AF1647" t="s">
        <v>69</v>
      </c>
      <c r="AG1647" t="s">
        <v>69</v>
      </c>
      <c r="AH1647" t="s">
        <v>69</v>
      </c>
      <c r="AI1647" t="s">
        <v>69</v>
      </c>
      <c r="AJ1647" t="s">
        <v>69</v>
      </c>
      <c r="AK1647" t="s">
        <v>69</v>
      </c>
      <c r="AL1647">
        <v>70</v>
      </c>
      <c r="AM1647">
        <v>38</v>
      </c>
      <c r="AN1647">
        <v>39</v>
      </c>
      <c r="AO1647">
        <v>0</v>
      </c>
      <c r="AP1647">
        <v>1</v>
      </c>
      <c r="AQ1647" t="s">
        <v>8586</v>
      </c>
      <c r="AR1647" t="s">
        <v>8587</v>
      </c>
      <c r="AS1647" t="s">
        <v>8588</v>
      </c>
      <c r="AT1647" t="s">
        <v>19564</v>
      </c>
      <c r="AU1647" t="s">
        <v>19565</v>
      </c>
      <c r="AV1647" t="s">
        <v>69</v>
      </c>
      <c r="AW1647" t="s">
        <v>19566</v>
      </c>
      <c r="AX1647" t="s">
        <v>19567</v>
      </c>
      <c r="AY1647" t="s">
        <v>69</v>
      </c>
      <c r="AZ1647">
        <v>2010</v>
      </c>
      <c r="BA1647">
        <v>33</v>
      </c>
      <c r="BB1647">
        <v>11</v>
      </c>
      <c r="BC1647" t="s">
        <v>69</v>
      </c>
      <c r="BD1647" t="s">
        <v>69</v>
      </c>
      <c r="BE1647" t="s">
        <v>114</v>
      </c>
      <c r="BF1647" t="s">
        <v>69</v>
      </c>
      <c r="BG1647">
        <v>1022</v>
      </c>
      <c r="BH1647">
        <v>1041</v>
      </c>
      <c r="BI1647" t="s">
        <v>69</v>
      </c>
      <c r="BJ1647" t="s">
        <v>28202</v>
      </c>
      <c r="BK1647" t="str">
        <f>HYPERLINK("http://dx.doi.org/10.1108/01409171011085877","http://dx.doi.org/10.1108/01409171011085877")</f>
        <v>http://dx.doi.org/10.1108/01409171011085877</v>
      </c>
      <c r="BL1647" t="s">
        <v>69</v>
      </c>
      <c r="BM1647" t="s">
        <v>69</v>
      </c>
      <c r="BN1647">
        <v>20</v>
      </c>
      <c r="BO1647" t="s">
        <v>9410</v>
      </c>
      <c r="BP1647" t="s">
        <v>8573</v>
      </c>
      <c r="BQ1647" t="s">
        <v>8594</v>
      </c>
      <c r="BR1647" t="s">
        <v>28203</v>
      </c>
      <c r="BS1647" t="s">
        <v>28204</v>
      </c>
      <c r="BT1647" t="s">
        <v>69</v>
      </c>
      <c r="BU1647" t="s">
        <v>69</v>
      </c>
      <c r="BV1647" t="s">
        <v>69</v>
      </c>
      <c r="BW1647" t="s">
        <v>69</v>
      </c>
      <c r="BX1647" t="s">
        <v>8526</v>
      </c>
      <c r="BY1647" t="str">
        <f>HYPERLINK("https%3A%2F%2Fwww.webofscience.com%2Fwos%2Fwoscc%2Ffull-record%2FWOS:000213401700002","View Full Record in Web of Science")</f>
        <v>View Full Record in Web of Science</v>
      </c>
    </row>
    <row r="1648" spans="1:77" ht="12.5" x14ac:dyDescent="0.25">
      <c r="A1648" t="s">
        <v>8495</v>
      </c>
      <c r="B1648" s="22" t="s">
        <v>32931</v>
      </c>
      <c r="C1648" s="7"/>
      <c r="D1648" s="7"/>
      <c r="E1648" s="7"/>
      <c r="F1648" t="s">
        <v>67</v>
      </c>
      <c r="G1648" t="s">
        <v>26590</v>
      </c>
      <c r="H1648" t="s">
        <v>69</v>
      </c>
      <c r="I1648" t="s">
        <v>69</v>
      </c>
      <c r="J1648" t="s">
        <v>69</v>
      </c>
      <c r="K1648" t="s">
        <v>26591</v>
      </c>
      <c r="L1648" t="s">
        <v>69</v>
      </c>
      <c r="M1648" t="s">
        <v>69</v>
      </c>
      <c r="N1648" t="s">
        <v>26592</v>
      </c>
      <c r="O1648" t="s">
        <v>26593</v>
      </c>
      <c r="P1648" t="s">
        <v>69</v>
      </c>
      <c r="Q1648" t="s">
        <v>69</v>
      </c>
      <c r="R1648" t="s">
        <v>8505</v>
      </c>
      <c r="S1648" t="s">
        <v>8506</v>
      </c>
      <c r="T1648" t="s">
        <v>69</v>
      </c>
      <c r="U1648" t="s">
        <v>69</v>
      </c>
      <c r="V1648" t="s">
        <v>69</v>
      </c>
      <c r="W1648" t="s">
        <v>69</v>
      </c>
      <c r="X1648" t="s">
        <v>69</v>
      </c>
      <c r="Y1648" t="s">
        <v>69</v>
      </c>
      <c r="Z1648" t="s">
        <v>26594</v>
      </c>
      <c r="AA1648" t="s">
        <v>26595</v>
      </c>
      <c r="AB1648" t="s">
        <v>26596</v>
      </c>
      <c r="AC1648" t="s">
        <v>69</v>
      </c>
      <c r="AD1648" t="s">
        <v>26597</v>
      </c>
      <c r="AE1648" t="s">
        <v>26598</v>
      </c>
      <c r="AF1648" t="s">
        <v>26599</v>
      </c>
      <c r="AG1648" t="s">
        <v>26600</v>
      </c>
      <c r="AH1648" t="s">
        <v>69</v>
      </c>
      <c r="AI1648" t="s">
        <v>69</v>
      </c>
      <c r="AJ1648" t="s">
        <v>69</v>
      </c>
      <c r="AK1648" t="s">
        <v>69</v>
      </c>
      <c r="AL1648">
        <v>95</v>
      </c>
      <c r="AM1648">
        <v>25</v>
      </c>
      <c r="AN1648">
        <v>26</v>
      </c>
      <c r="AO1648">
        <v>0</v>
      </c>
      <c r="AP1648">
        <v>7</v>
      </c>
      <c r="AQ1648" t="s">
        <v>18730</v>
      </c>
      <c r="AR1648" t="s">
        <v>18731</v>
      </c>
      <c r="AS1648" t="s">
        <v>18732</v>
      </c>
      <c r="AT1648" t="s">
        <v>26601</v>
      </c>
      <c r="AU1648" t="s">
        <v>26602</v>
      </c>
      <c r="AV1648" t="s">
        <v>69</v>
      </c>
      <c r="AW1648" t="s">
        <v>26603</v>
      </c>
      <c r="AX1648" t="s">
        <v>26604</v>
      </c>
      <c r="AY1648" t="s">
        <v>69</v>
      </c>
      <c r="AZ1648">
        <v>2012</v>
      </c>
      <c r="BA1648">
        <v>38</v>
      </c>
      <c r="BB1648">
        <v>2</v>
      </c>
      <c r="BC1648" t="s">
        <v>69</v>
      </c>
      <c r="BD1648" t="s">
        <v>69</v>
      </c>
      <c r="BE1648" t="s">
        <v>69</v>
      </c>
      <c r="BF1648" t="s">
        <v>69</v>
      </c>
      <c r="BG1648" t="s">
        <v>69</v>
      </c>
      <c r="BH1648" t="s">
        <v>69</v>
      </c>
      <c r="BI1648">
        <v>993</v>
      </c>
      <c r="BJ1648" t="s">
        <v>26605</v>
      </c>
      <c r="BK1648" t="str">
        <f>HYPERLINK("http://dx.doi.org/10.4102/sajip.v38i2.993","http://dx.doi.org/10.4102/sajip.v38i2.993")</f>
        <v>http://dx.doi.org/10.4102/sajip.v38i2.993</v>
      </c>
      <c r="BL1648" t="s">
        <v>69</v>
      </c>
      <c r="BM1648" t="s">
        <v>69</v>
      </c>
      <c r="BN1648">
        <v>9</v>
      </c>
      <c r="BO1648" t="s">
        <v>15649</v>
      </c>
      <c r="BP1648" t="s">
        <v>8573</v>
      </c>
      <c r="BQ1648" t="s">
        <v>9001</v>
      </c>
      <c r="BR1648" t="s">
        <v>26606</v>
      </c>
      <c r="BS1648" t="s">
        <v>26607</v>
      </c>
      <c r="BT1648" t="s">
        <v>69</v>
      </c>
      <c r="BU1648" t="s">
        <v>12220</v>
      </c>
      <c r="BV1648" t="s">
        <v>69</v>
      </c>
      <c r="BW1648" t="s">
        <v>69</v>
      </c>
      <c r="BX1648" t="s">
        <v>8526</v>
      </c>
      <c r="BY1648" t="str">
        <f>HYPERLINK("https%3A%2F%2Fwww.webofscience.com%2Fwos%2Fwoscc%2Ffull-record%2FWOS:000217105100016","View Full Record in Web of Science")</f>
        <v>View Full Record in Web of Science</v>
      </c>
    </row>
    <row r="1649" spans="1:77" ht="12.5" x14ac:dyDescent="0.25">
      <c r="A1649" t="s">
        <v>8495</v>
      </c>
      <c r="B1649" s="22" t="s">
        <v>32931</v>
      </c>
      <c r="C1649" s="7"/>
      <c r="D1649" s="7"/>
      <c r="E1649" s="7"/>
      <c r="F1649" t="s">
        <v>67</v>
      </c>
      <c r="G1649" t="s">
        <v>26954</v>
      </c>
      <c r="H1649" t="s">
        <v>69</v>
      </c>
      <c r="I1649" t="s">
        <v>69</v>
      </c>
      <c r="J1649" t="s">
        <v>69</v>
      </c>
      <c r="K1649" t="s">
        <v>26955</v>
      </c>
      <c r="L1649" t="s">
        <v>69</v>
      </c>
      <c r="M1649" t="s">
        <v>69</v>
      </c>
      <c r="N1649" t="s">
        <v>26956</v>
      </c>
      <c r="O1649" t="s">
        <v>26957</v>
      </c>
      <c r="P1649" t="s">
        <v>69</v>
      </c>
      <c r="Q1649" t="s">
        <v>69</v>
      </c>
      <c r="R1649" t="s">
        <v>8505</v>
      </c>
      <c r="S1649" t="s">
        <v>8506</v>
      </c>
      <c r="T1649" t="s">
        <v>69</v>
      </c>
      <c r="U1649" t="s">
        <v>69</v>
      </c>
      <c r="V1649" t="s">
        <v>69</v>
      </c>
      <c r="W1649" t="s">
        <v>69</v>
      </c>
      <c r="X1649" t="s">
        <v>69</v>
      </c>
      <c r="Y1649" t="s">
        <v>26958</v>
      </c>
      <c r="Z1649" t="s">
        <v>26959</v>
      </c>
      <c r="AA1649" t="s">
        <v>26960</v>
      </c>
      <c r="AB1649" t="s">
        <v>26961</v>
      </c>
      <c r="AC1649" t="s">
        <v>69</v>
      </c>
      <c r="AD1649" t="s">
        <v>26962</v>
      </c>
      <c r="AE1649" t="s">
        <v>26963</v>
      </c>
      <c r="AF1649" t="s">
        <v>69</v>
      </c>
      <c r="AG1649" t="s">
        <v>26964</v>
      </c>
      <c r="AH1649" t="s">
        <v>69</v>
      </c>
      <c r="AI1649" t="s">
        <v>69</v>
      </c>
      <c r="AJ1649" t="s">
        <v>69</v>
      </c>
      <c r="AK1649" t="s">
        <v>69</v>
      </c>
      <c r="AL1649">
        <v>22</v>
      </c>
      <c r="AM1649">
        <v>2</v>
      </c>
      <c r="AN1649">
        <v>2</v>
      </c>
      <c r="AO1649">
        <v>1</v>
      </c>
      <c r="AP1649">
        <v>10</v>
      </c>
      <c r="AQ1649" t="s">
        <v>9145</v>
      </c>
      <c r="AR1649" t="s">
        <v>8637</v>
      </c>
      <c r="AS1649" t="s">
        <v>9146</v>
      </c>
      <c r="AT1649" t="s">
        <v>26965</v>
      </c>
      <c r="AU1649" t="s">
        <v>26966</v>
      </c>
      <c r="AV1649" t="s">
        <v>69</v>
      </c>
      <c r="AW1649" t="s">
        <v>26967</v>
      </c>
      <c r="AX1649" t="s">
        <v>26968</v>
      </c>
      <c r="AY1649" t="s">
        <v>155</v>
      </c>
      <c r="AZ1649">
        <v>2011</v>
      </c>
      <c r="BA1649">
        <v>42</v>
      </c>
      <c r="BB1649">
        <v>3</v>
      </c>
      <c r="BC1649" t="s">
        <v>69</v>
      </c>
      <c r="BD1649" t="s">
        <v>69</v>
      </c>
      <c r="BE1649" t="s">
        <v>69</v>
      </c>
      <c r="BF1649" t="s">
        <v>69</v>
      </c>
      <c r="BG1649">
        <v>215</v>
      </c>
      <c r="BH1649">
        <v>222</v>
      </c>
      <c r="BI1649" t="s">
        <v>69</v>
      </c>
      <c r="BJ1649" t="s">
        <v>26969</v>
      </c>
      <c r="BK1649" t="str">
        <f>HYPERLINK("http://dx.doi.org/10.1016/j.jsr.2011.03.005","http://dx.doi.org/10.1016/j.jsr.2011.03.005")</f>
        <v>http://dx.doi.org/10.1016/j.jsr.2011.03.005</v>
      </c>
      <c r="BL1649" t="s">
        <v>69</v>
      </c>
      <c r="BM1649" t="s">
        <v>69</v>
      </c>
      <c r="BN1649">
        <v>8</v>
      </c>
      <c r="BO1649" t="s">
        <v>22583</v>
      </c>
      <c r="BP1649" t="s">
        <v>8661</v>
      </c>
      <c r="BQ1649" t="s">
        <v>22584</v>
      </c>
      <c r="BR1649" t="s">
        <v>26970</v>
      </c>
      <c r="BS1649" t="s">
        <v>26971</v>
      </c>
      <c r="BT1649">
        <v>21855693</v>
      </c>
      <c r="BU1649" t="s">
        <v>69</v>
      </c>
      <c r="BV1649" t="s">
        <v>69</v>
      </c>
      <c r="BW1649" t="s">
        <v>69</v>
      </c>
      <c r="BX1649" t="s">
        <v>8526</v>
      </c>
      <c r="BY1649" t="str">
        <f>HYPERLINK("https%3A%2F%2Fwww.webofscience.com%2Fwos%2Fwoscc%2Ffull-record%2FWOS:000294934900009","View Full Record in Web of Science")</f>
        <v>View Full Record in Web of Science</v>
      </c>
    </row>
    <row r="1650" spans="1:77" ht="12.5" x14ac:dyDescent="0.25">
      <c r="A1650" t="s">
        <v>8495</v>
      </c>
      <c r="B1650" s="22" t="s">
        <v>32931</v>
      </c>
      <c r="C1650" s="7"/>
      <c r="D1650" s="7"/>
      <c r="E1650" s="7"/>
      <c r="F1650" t="s">
        <v>67</v>
      </c>
      <c r="G1650" t="s">
        <v>11869</v>
      </c>
      <c r="H1650" t="s">
        <v>69</v>
      </c>
      <c r="I1650" t="s">
        <v>69</v>
      </c>
      <c r="J1650" t="s">
        <v>69</v>
      </c>
      <c r="K1650" t="s">
        <v>11870</v>
      </c>
      <c r="L1650" t="s">
        <v>69</v>
      </c>
      <c r="M1650" t="s">
        <v>69</v>
      </c>
      <c r="N1650" t="s">
        <v>11871</v>
      </c>
      <c r="O1650" t="s">
        <v>11872</v>
      </c>
      <c r="P1650" t="s">
        <v>69</v>
      </c>
      <c r="Q1650" t="s">
        <v>69</v>
      </c>
      <c r="R1650" t="s">
        <v>8505</v>
      </c>
      <c r="S1650" t="s">
        <v>8506</v>
      </c>
      <c r="T1650" t="s">
        <v>69</v>
      </c>
      <c r="U1650" t="s">
        <v>69</v>
      </c>
      <c r="V1650" t="s">
        <v>69</v>
      </c>
      <c r="W1650" t="s">
        <v>69</v>
      </c>
      <c r="X1650" t="s">
        <v>69</v>
      </c>
      <c r="Y1650" t="s">
        <v>11873</v>
      </c>
      <c r="Z1650" t="s">
        <v>11874</v>
      </c>
      <c r="AA1650" t="s">
        <v>11875</v>
      </c>
      <c r="AB1650" t="s">
        <v>11876</v>
      </c>
      <c r="AC1650" t="s">
        <v>69</v>
      </c>
      <c r="AD1650" t="s">
        <v>11877</v>
      </c>
      <c r="AE1650" t="s">
        <v>11878</v>
      </c>
      <c r="AF1650" t="s">
        <v>69</v>
      </c>
      <c r="AG1650" t="s">
        <v>69</v>
      </c>
      <c r="AH1650" t="s">
        <v>69</v>
      </c>
      <c r="AI1650" t="s">
        <v>69</v>
      </c>
      <c r="AJ1650" t="s">
        <v>69</v>
      </c>
      <c r="AK1650" t="s">
        <v>69</v>
      </c>
      <c r="AL1650">
        <v>30</v>
      </c>
      <c r="AM1650">
        <v>1</v>
      </c>
      <c r="AN1650">
        <v>1</v>
      </c>
      <c r="AO1650">
        <v>0</v>
      </c>
      <c r="AP1650">
        <v>0</v>
      </c>
      <c r="AQ1650" t="s">
        <v>10923</v>
      </c>
      <c r="AR1650" t="s">
        <v>10924</v>
      </c>
      <c r="AS1650" t="s">
        <v>10925</v>
      </c>
      <c r="AT1650" t="s">
        <v>11879</v>
      </c>
      <c r="AU1650" t="s">
        <v>11880</v>
      </c>
      <c r="AV1650" t="s">
        <v>69</v>
      </c>
      <c r="AW1650" t="s">
        <v>11881</v>
      </c>
      <c r="AX1650" t="s">
        <v>11882</v>
      </c>
      <c r="AY1650" t="s">
        <v>5888</v>
      </c>
      <c r="AZ1650">
        <v>2021</v>
      </c>
      <c r="BA1650">
        <v>17</v>
      </c>
      <c r="BB1650">
        <v>3</v>
      </c>
      <c r="BC1650" t="s">
        <v>69</v>
      </c>
      <c r="BD1650" t="s">
        <v>69</v>
      </c>
      <c r="BE1650" t="s">
        <v>69</v>
      </c>
      <c r="BF1650" t="s">
        <v>69</v>
      </c>
      <c r="BG1650" t="s">
        <v>11883</v>
      </c>
      <c r="BH1650" t="s">
        <v>11884</v>
      </c>
      <c r="BI1650" t="s">
        <v>69</v>
      </c>
      <c r="BJ1650" t="s">
        <v>11885</v>
      </c>
      <c r="BK1650" t="str">
        <f>HYPERLINK("http://dx.doi.org/10.1097/JFN.0000000000000337","http://dx.doi.org/10.1097/JFN.0000000000000337")</f>
        <v>http://dx.doi.org/10.1097/JFN.0000000000000337</v>
      </c>
      <c r="BL1650" t="s">
        <v>69</v>
      </c>
      <c r="BM1650" t="s">
        <v>69</v>
      </c>
      <c r="BN1650">
        <v>10</v>
      </c>
      <c r="BO1650" t="s">
        <v>11886</v>
      </c>
      <c r="BP1650" t="s">
        <v>8523</v>
      </c>
      <c r="BQ1650" t="s">
        <v>11886</v>
      </c>
      <c r="BR1650" t="s">
        <v>11887</v>
      </c>
      <c r="BS1650" t="s">
        <v>11888</v>
      </c>
      <c r="BT1650">
        <v>34132652</v>
      </c>
      <c r="BU1650" t="s">
        <v>9292</v>
      </c>
      <c r="BV1650" t="s">
        <v>69</v>
      </c>
      <c r="BW1650" t="s">
        <v>69</v>
      </c>
      <c r="BX1650" t="s">
        <v>8526</v>
      </c>
      <c r="BY1650" t="str">
        <f>HYPERLINK("https%3A%2F%2Fwww.webofscience.com%2Fwos%2Fwoscc%2Ffull-record%2FWOS:000692193300001","View Full Record in Web of Science")</f>
        <v>View Full Record in Web of Science</v>
      </c>
    </row>
    <row r="1651" spans="1:77" ht="12.5" x14ac:dyDescent="0.25">
      <c r="A1651" t="s">
        <v>8495</v>
      </c>
      <c r="B1651" s="22" t="s">
        <v>32931</v>
      </c>
      <c r="C1651" s="7"/>
      <c r="D1651" s="7"/>
      <c r="E1651" s="7"/>
      <c r="F1651" t="s">
        <v>67</v>
      </c>
      <c r="G1651" t="s">
        <v>12670</v>
      </c>
      <c r="H1651" t="s">
        <v>69</v>
      </c>
      <c r="I1651" t="s">
        <v>69</v>
      </c>
      <c r="J1651" t="s">
        <v>69</v>
      </c>
      <c r="K1651" t="s">
        <v>12671</v>
      </c>
      <c r="L1651" t="s">
        <v>69</v>
      </c>
      <c r="M1651" t="s">
        <v>69</v>
      </c>
      <c r="N1651" t="s">
        <v>12672</v>
      </c>
      <c r="O1651" t="s">
        <v>12673</v>
      </c>
      <c r="P1651" t="s">
        <v>69</v>
      </c>
      <c r="Q1651" t="s">
        <v>69</v>
      </c>
      <c r="R1651" t="s">
        <v>8505</v>
      </c>
      <c r="S1651" t="s">
        <v>8442</v>
      </c>
      <c r="T1651" t="s">
        <v>69</v>
      </c>
      <c r="U1651" t="s">
        <v>69</v>
      </c>
      <c r="V1651" t="s">
        <v>69</v>
      </c>
      <c r="W1651" t="s">
        <v>69</v>
      </c>
      <c r="X1651" t="s">
        <v>69</v>
      </c>
      <c r="Y1651" t="s">
        <v>12674</v>
      </c>
      <c r="Z1651" t="s">
        <v>12675</v>
      </c>
      <c r="AA1651" t="s">
        <v>12676</v>
      </c>
      <c r="AB1651" t="s">
        <v>12677</v>
      </c>
      <c r="AC1651" t="s">
        <v>69</v>
      </c>
      <c r="AD1651" t="s">
        <v>12678</v>
      </c>
      <c r="AE1651" t="s">
        <v>12679</v>
      </c>
      <c r="AF1651" t="s">
        <v>69</v>
      </c>
      <c r="AG1651" t="s">
        <v>69</v>
      </c>
      <c r="AH1651" t="s">
        <v>9499</v>
      </c>
      <c r="AI1651" t="s">
        <v>9499</v>
      </c>
      <c r="AJ1651" t="s">
        <v>12680</v>
      </c>
      <c r="AK1651" t="s">
        <v>69</v>
      </c>
      <c r="AL1651">
        <v>17</v>
      </c>
      <c r="AM1651">
        <v>0</v>
      </c>
      <c r="AN1651">
        <v>0</v>
      </c>
      <c r="AO1651">
        <v>2</v>
      </c>
      <c r="AP1651">
        <v>6</v>
      </c>
      <c r="AQ1651" t="s">
        <v>9203</v>
      </c>
      <c r="AR1651" t="s">
        <v>8763</v>
      </c>
      <c r="AS1651" t="s">
        <v>9204</v>
      </c>
      <c r="AT1651" t="s">
        <v>12681</v>
      </c>
      <c r="AU1651" t="s">
        <v>12682</v>
      </c>
      <c r="AV1651" t="s">
        <v>69</v>
      </c>
      <c r="AW1651" t="s">
        <v>12683</v>
      </c>
      <c r="AX1651" t="s">
        <v>12684</v>
      </c>
      <c r="AY1651" t="s">
        <v>12685</v>
      </c>
      <c r="AZ1651">
        <v>2021</v>
      </c>
      <c r="BA1651">
        <v>47</v>
      </c>
      <c r="BB1651">
        <v>1</v>
      </c>
      <c r="BC1651" t="s">
        <v>69</v>
      </c>
      <c r="BD1651" t="s">
        <v>69</v>
      </c>
      <c r="BE1651" t="s">
        <v>69</v>
      </c>
      <c r="BF1651" t="s">
        <v>69</v>
      </c>
      <c r="BG1651" t="s">
        <v>69</v>
      </c>
      <c r="BH1651" t="s">
        <v>69</v>
      </c>
      <c r="BI1651">
        <v>76</v>
      </c>
      <c r="BJ1651" t="s">
        <v>12686</v>
      </c>
      <c r="BK1651" t="str">
        <f>HYPERLINK("http://dx.doi.org/10.1186/s13052-021-01031-6","http://dx.doi.org/10.1186/s13052-021-01031-6")</f>
        <v>http://dx.doi.org/10.1186/s13052-021-01031-6</v>
      </c>
      <c r="BL1651" t="s">
        <v>69</v>
      </c>
      <c r="BM1651" t="s">
        <v>69</v>
      </c>
      <c r="BN1651">
        <v>5</v>
      </c>
      <c r="BO1651" t="s">
        <v>12687</v>
      </c>
      <c r="BP1651" t="s">
        <v>8548</v>
      </c>
      <c r="BQ1651" t="s">
        <v>12687</v>
      </c>
      <c r="BR1651" t="s">
        <v>12688</v>
      </c>
      <c r="BS1651" t="s">
        <v>12689</v>
      </c>
      <c r="BT1651">
        <v>33766070</v>
      </c>
      <c r="BU1651" t="s">
        <v>9352</v>
      </c>
      <c r="BV1651" t="s">
        <v>69</v>
      </c>
      <c r="BW1651" t="s">
        <v>69</v>
      </c>
      <c r="BX1651" t="s">
        <v>8526</v>
      </c>
      <c r="BY1651" t="str">
        <f>HYPERLINK("https%3A%2F%2Fwww.webofscience.com%2Fwos%2Fwoscc%2Ffull-record%2FWOS:000635199300004","View Full Record in Web of Science")</f>
        <v>View Full Record in Web of Science</v>
      </c>
    </row>
    <row r="1652" spans="1:77" ht="12.5" x14ac:dyDescent="0.25">
      <c r="A1652" t="s">
        <v>8495</v>
      </c>
      <c r="B1652" s="22" t="s">
        <v>32931</v>
      </c>
      <c r="C1652" s="7"/>
      <c r="D1652" s="7"/>
      <c r="E1652" s="7"/>
      <c r="F1652" t="s">
        <v>67</v>
      </c>
      <c r="G1652" t="s">
        <v>21688</v>
      </c>
      <c r="H1652" t="s">
        <v>69</v>
      </c>
      <c r="I1652" t="s">
        <v>69</v>
      </c>
      <c r="J1652" t="s">
        <v>69</v>
      </c>
      <c r="K1652" t="s">
        <v>21689</v>
      </c>
      <c r="L1652" t="s">
        <v>69</v>
      </c>
      <c r="M1652" t="s">
        <v>69</v>
      </c>
      <c r="N1652" t="s">
        <v>21690</v>
      </c>
      <c r="O1652" t="s">
        <v>9491</v>
      </c>
      <c r="P1652" t="s">
        <v>69</v>
      </c>
      <c r="Q1652" t="s">
        <v>69</v>
      </c>
      <c r="R1652" t="s">
        <v>8505</v>
      </c>
      <c r="S1652" t="s">
        <v>8506</v>
      </c>
      <c r="T1652" t="s">
        <v>69</v>
      </c>
      <c r="U1652" t="s">
        <v>69</v>
      </c>
      <c r="V1652" t="s">
        <v>69</v>
      </c>
      <c r="W1652" t="s">
        <v>69</v>
      </c>
      <c r="X1652" t="s">
        <v>69</v>
      </c>
      <c r="Y1652" t="s">
        <v>21691</v>
      </c>
      <c r="Z1652" t="s">
        <v>21692</v>
      </c>
      <c r="AA1652" t="s">
        <v>21693</v>
      </c>
      <c r="AB1652" t="s">
        <v>21694</v>
      </c>
      <c r="AC1652" t="s">
        <v>69</v>
      </c>
      <c r="AD1652" t="s">
        <v>21695</v>
      </c>
      <c r="AE1652" t="s">
        <v>21696</v>
      </c>
      <c r="AF1652" t="s">
        <v>69</v>
      </c>
      <c r="AG1652" t="s">
        <v>21697</v>
      </c>
      <c r="AH1652" t="s">
        <v>69</v>
      </c>
      <c r="AI1652" t="s">
        <v>69</v>
      </c>
      <c r="AJ1652" t="s">
        <v>69</v>
      </c>
      <c r="AK1652" t="s">
        <v>69</v>
      </c>
      <c r="AL1652">
        <v>44</v>
      </c>
      <c r="AM1652">
        <v>25</v>
      </c>
      <c r="AN1652">
        <v>25</v>
      </c>
      <c r="AO1652">
        <v>1</v>
      </c>
      <c r="AP1652">
        <v>29</v>
      </c>
      <c r="AQ1652" t="s">
        <v>8846</v>
      </c>
      <c r="AR1652" t="s">
        <v>8847</v>
      </c>
      <c r="AS1652" t="s">
        <v>8848</v>
      </c>
      <c r="AT1652" t="s">
        <v>9501</v>
      </c>
      <c r="AU1652" t="s">
        <v>9502</v>
      </c>
      <c r="AV1652" t="s">
        <v>69</v>
      </c>
      <c r="AW1652" t="s">
        <v>9503</v>
      </c>
      <c r="AX1652" t="s">
        <v>9504</v>
      </c>
      <c r="AY1652" t="s">
        <v>586</v>
      </c>
      <c r="AZ1652">
        <v>2016</v>
      </c>
      <c r="BA1652">
        <v>24</v>
      </c>
      <c r="BB1652">
        <v>4</v>
      </c>
      <c r="BC1652" t="s">
        <v>69</v>
      </c>
      <c r="BD1652" t="s">
        <v>69</v>
      </c>
      <c r="BE1652" t="s">
        <v>69</v>
      </c>
      <c r="BF1652" t="s">
        <v>69</v>
      </c>
      <c r="BG1652">
        <v>512</v>
      </c>
      <c r="BH1652">
        <v>523</v>
      </c>
      <c r="BI1652" t="s">
        <v>69</v>
      </c>
      <c r="BJ1652" t="s">
        <v>21698</v>
      </c>
      <c r="BK1652" t="str">
        <f>HYPERLINK("http://dx.doi.org/10.1111/jonm.12351","http://dx.doi.org/10.1111/jonm.12351")</f>
        <v>http://dx.doi.org/10.1111/jonm.12351</v>
      </c>
      <c r="BL1652" t="s">
        <v>69</v>
      </c>
      <c r="BM1652" t="s">
        <v>69</v>
      </c>
      <c r="BN1652">
        <v>12</v>
      </c>
      <c r="BO1652" t="s">
        <v>9506</v>
      </c>
      <c r="BP1652" t="s">
        <v>8523</v>
      </c>
      <c r="BQ1652" t="s">
        <v>9507</v>
      </c>
      <c r="BR1652" t="s">
        <v>21699</v>
      </c>
      <c r="BS1652" t="s">
        <v>21700</v>
      </c>
      <c r="BT1652">
        <v>26667389</v>
      </c>
      <c r="BU1652" t="s">
        <v>69</v>
      </c>
      <c r="BV1652" t="s">
        <v>69</v>
      </c>
      <c r="BW1652" t="s">
        <v>69</v>
      </c>
      <c r="BX1652" t="s">
        <v>8526</v>
      </c>
      <c r="BY1652" t="str">
        <f>HYPERLINK("https%3A%2F%2Fwww.webofscience.com%2Fwos%2Fwoscc%2Ffull-record%2FWOS:000375780500010","View Full Record in Web of Science")</f>
        <v>View Full Record in Web of Science</v>
      </c>
    </row>
    <row r="1653" spans="1:77" ht="12.5" x14ac:dyDescent="0.25">
      <c r="A1653" t="s">
        <v>8495</v>
      </c>
      <c r="B1653" s="22" t="s">
        <v>32931</v>
      </c>
      <c r="C1653" s="7"/>
      <c r="D1653" s="7"/>
      <c r="E1653" s="7"/>
      <c r="F1653" t="s">
        <v>67</v>
      </c>
      <c r="G1653" t="s">
        <v>23518</v>
      </c>
      <c r="H1653" t="s">
        <v>69</v>
      </c>
      <c r="I1653" t="s">
        <v>69</v>
      </c>
      <c r="J1653" t="s">
        <v>69</v>
      </c>
      <c r="K1653" t="s">
        <v>23519</v>
      </c>
      <c r="L1653" t="s">
        <v>69</v>
      </c>
      <c r="M1653" t="s">
        <v>69</v>
      </c>
      <c r="N1653" t="s">
        <v>23520</v>
      </c>
      <c r="O1653" t="s">
        <v>23521</v>
      </c>
      <c r="P1653" t="s">
        <v>69</v>
      </c>
      <c r="Q1653" t="s">
        <v>69</v>
      </c>
      <c r="R1653" t="s">
        <v>8505</v>
      </c>
      <c r="S1653" t="s">
        <v>8506</v>
      </c>
      <c r="T1653" t="s">
        <v>69</v>
      </c>
      <c r="U1653" t="s">
        <v>69</v>
      </c>
      <c r="V1653" t="s">
        <v>69</v>
      </c>
      <c r="W1653" t="s">
        <v>69</v>
      </c>
      <c r="X1653" t="s">
        <v>69</v>
      </c>
      <c r="Y1653" t="s">
        <v>23522</v>
      </c>
      <c r="Z1653" t="s">
        <v>23523</v>
      </c>
      <c r="AA1653" t="s">
        <v>23524</v>
      </c>
      <c r="AB1653" t="s">
        <v>23525</v>
      </c>
      <c r="AC1653" t="s">
        <v>69</v>
      </c>
      <c r="AD1653" t="s">
        <v>23526</v>
      </c>
      <c r="AE1653" t="s">
        <v>23527</v>
      </c>
      <c r="AF1653" t="s">
        <v>69</v>
      </c>
      <c r="AG1653" t="s">
        <v>69</v>
      </c>
      <c r="AH1653" t="s">
        <v>69</v>
      </c>
      <c r="AI1653" t="s">
        <v>69</v>
      </c>
      <c r="AJ1653" t="s">
        <v>69</v>
      </c>
      <c r="AK1653" t="s">
        <v>69</v>
      </c>
      <c r="AL1653">
        <v>32</v>
      </c>
      <c r="AM1653">
        <v>1</v>
      </c>
      <c r="AN1653">
        <v>2</v>
      </c>
      <c r="AO1653">
        <v>0</v>
      </c>
      <c r="AP1653">
        <v>15</v>
      </c>
      <c r="AQ1653" t="s">
        <v>10923</v>
      </c>
      <c r="AR1653" t="s">
        <v>10924</v>
      </c>
      <c r="AS1653" t="s">
        <v>10925</v>
      </c>
      <c r="AT1653" t="s">
        <v>23528</v>
      </c>
      <c r="AU1653" t="s">
        <v>23529</v>
      </c>
      <c r="AV1653" t="s">
        <v>69</v>
      </c>
      <c r="AW1653" t="s">
        <v>23530</v>
      </c>
      <c r="AX1653" t="s">
        <v>23531</v>
      </c>
      <c r="AY1653" t="s">
        <v>381</v>
      </c>
      <c r="AZ1653">
        <v>2014</v>
      </c>
      <c r="BA1653">
        <v>35</v>
      </c>
      <c r="BB1653">
        <v>10</v>
      </c>
      <c r="BC1653" t="s">
        <v>69</v>
      </c>
      <c r="BD1653" t="s">
        <v>69</v>
      </c>
      <c r="BE1653" t="s">
        <v>69</v>
      </c>
      <c r="BF1653" t="s">
        <v>69</v>
      </c>
      <c r="BG1653">
        <v>1052</v>
      </c>
      <c r="BH1653">
        <v>1057</v>
      </c>
      <c r="BI1653" t="s">
        <v>69</v>
      </c>
      <c r="BJ1653" t="s">
        <v>23532</v>
      </c>
      <c r="BK1653" t="str">
        <f>HYPERLINK("http://dx.doi.org/10.1097/MNM.0000000000000161","http://dx.doi.org/10.1097/MNM.0000000000000161")</f>
        <v>http://dx.doi.org/10.1097/MNM.0000000000000161</v>
      </c>
      <c r="BL1653" t="s">
        <v>69</v>
      </c>
      <c r="BM1653" t="s">
        <v>69</v>
      </c>
      <c r="BN1653">
        <v>6</v>
      </c>
      <c r="BO1653" t="s">
        <v>14443</v>
      </c>
      <c r="BP1653" t="s">
        <v>8523</v>
      </c>
      <c r="BQ1653" t="s">
        <v>14443</v>
      </c>
      <c r="BR1653" t="s">
        <v>23533</v>
      </c>
      <c r="BS1653" t="s">
        <v>23534</v>
      </c>
      <c r="BT1653">
        <v>25024000</v>
      </c>
      <c r="BU1653" t="s">
        <v>69</v>
      </c>
      <c r="BV1653" t="s">
        <v>69</v>
      </c>
      <c r="BW1653" t="s">
        <v>69</v>
      </c>
      <c r="BX1653" t="s">
        <v>8526</v>
      </c>
      <c r="BY1653" t="str">
        <f>HYPERLINK("https%3A%2F%2Fwww.webofscience.com%2Fwos%2Fwoscc%2Ffull-record%2FWOS:000342693600010","View Full Record in Web of Science")</f>
        <v>View Full Record in Web of Science</v>
      </c>
    </row>
    <row r="1654" spans="1:77" ht="12.5" x14ac:dyDescent="0.25">
      <c r="A1654" t="s">
        <v>8495</v>
      </c>
      <c r="B1654" s="7" t="s">
        <v>32933</v>
      </c>
      <c r="C1654" s="7"/>
      <c r="D1654" s="7"/>
      <c r="E1654" s="7"/>
      <c r="F1654" t="s">
        <v>67</v>
      </c>
      <c r="G1654" t="s">
        <v>2551</v>
      </c>
      <c r="H1654" t="s">
        <v>69</v>
      </c>
      <c r="I1654" t="s">
        <v>69</v>
      </c>
      <c r="J1654" t="s">
        <v>69</v>
      </c>
      <c r="K1654" t="s">
        <v>2552</v>
      </c>
      <c r="L1654" t="s">
        <v>69</v>
      </c>
      <c r="M1654" t="s">
        <v>69</v>
      </c>
      <c r="N1654" t="s">
        <v>2553</v>
      </c>
      <c r="O1654" t="s">
        <v>2554</v>
      </c>
      <c r="P1654" t="s">
        <v>69</v>
      </c>
      <c r="Q1654" t="s">
        <v>69</v>
      </c>
      <c r="R1654" t="s">
        <v>8505</v>
      </c>
      <c r="S1654" t="s">
        <v>8506</v>
      </c>
      <c r="T1654" t="s">
        <v>69</v>
      </c>
      <c r="U1654" t="s">
        <v>69</v>
      </c>
      <c r="V1654" t="s">
        <v>69</v>
      </c>
      <c r="W1654" t="s">
        <v>69</v>
      </c>
      <c r="X1654" t="s">
        <v>69</v>
      </c>
      <c r="Y1654" t="s">
        <v>69</v>
      </c>
      <c r="Z1654" t="s">
        <v>19920</v>
      </c>
      <c r="AA1654" t="s">
        <v>2555</v>
      </c>
      <c r="AB1654" t="s">
        <v>19921</v>
      </c>
      <c r="AC1654" t="s">
        <v>69</v>
      </c>
      <c r="AD1654" t="s">
        <v>19922</v>
      </c>
      <c r="AE1654" t="s">
        <v>19923</v>
      </c>
      <c r="AF1654" t="s">
        <v>69</v>
      </c>
      <c r="AG1654" t="s">
        <v>69</v>
      </c>
      <c r="AH1654" t="s">
        <v>69</v>
      </c>
      <c r="AI1654" t="s">
        <v>69</v>
      </c>
      <c r="AJ1654" t="s">
        <v>69</v>
      </c>
      <c r="AK1654" t="s">
        <v>69</v>
      </c>
      <c r="AL1654">
        <v>31</v>
      </c>
      <c r="AM1654">
        <v>3</v>
      </c>
      <c r="AN1654">
        <v>3</v>
      </c>
      <c r="AO1654">
        <v>0</v>
      </c>
      <c r="AP1654">
        <v>2</v>
      </c>
      <c r="AQ1654" t="s">
        <v>8636</v>
      </c>
      <c r="AR1654" t="s">
        <v>8637</v>
      </c>
      <c r="AS1654" t="s">
        <v>8638</v>
      </c>
      <c r="AT1654" t="s">
        <v>2556</v>
      </c>
      <c r="AU1654" t="s">
        <v>2557</v>
      </c>
      <c r="AV1654" t="s">
        <v>69</v>
      </c>
      <c r="AW1654" t="s">
        <v>19924</v>
      </c>
      <c r="AX1654" t="s">
        <v>19925</v>
      </c>
      <c r="AY1654" t="s">
        <v>381</v>
      </c>
      <c r="AZ1654">
        <v>2017</v>
      </c>
      <c r="BA1654">
        <v>65</v>
      </c>
      <c r="BB1654" t="s">
        <v>69</v>
      </c>
      <c r="BC1654" t="s">
        <v>69</v>
      </c>
      <c r="BD1654" t="s">
        <v>69</v>
      </c>
      <c r="BE1654" t="s">
        <v>69</v>
      </c>
      <c r="BF1654" t="s">
        <v>69</v>
      </c>
      <c r="BG1654">
        <v>118</v>
      </c>
      <c r="BH1654">
        <v>126</v>
      </c>
      <c r="BI1654" t="s">
        <v>69</v>
      </c>
      <c r="BJ1654" t="s">
        <v>2558</v>
      </c>
      <c r="BK1654" t="str">
        <f>HYPERLINK("http://dx.doi.org/10.1016/j.jairtraman.2017.09.012","http://dx.doi.org/10.1016/j.jairtraman.2017.09.012")</f>
        <v>http://dx.doi.org/10.1016/j.jairtraman.2017.09.012</v>
      </c>
      <c r="BL1654" t="s">
        <v>69</v>
      </c>
      <c r="BM1654" t="s">
        <v>69</v>
      </c>
      <c r="BN1654">
        <v>9</v>
      </c>
      <c r="BO1654" t="s">
        <v>16486</v>
      </c>
      <c r="BP1654" t="s">
        <v>8661</v>
      </c>
      <c r="BQ1654" t="s">
        <v>16486</v>
      </c>
      <c r="BR1654" t="s">
        <v>19926</v>
      </c>
      <c r="BS1654" t="s">
        <v>2559</v>
      </c>
      <c r="BT1654" t="s">
        <v>69</v>
      </c>
      <c r="BU1654" t="s">
        <v>69</v>
      </c>
      <c r="BV1654" t="s">
        <v>69</v>
      </c>
      <c r="BW1654" t="s">
        <v>69</v>
      </c>
      <c r="BX1654" t="s">
        <v>8526</v>
      </c>
      <c r="BY1654" t="str">
        <f>HYPERLINK("https%3A%2F%2Fwww.webofscience.com%2Fwos%2Fwoscc%2Ffull-record%2FWOS:000414885600013","View Full Record in Web of Science")</f>
        <v>View Full Record in Web of Science</v>
      </c>
    </row>
    <row r="1655" spans="1:77" ht="12.5" x14ac:dyDescent="0.25">
      <c r="A1655" t="s">
        <v>8495</v>
      </c>
      <c r="B1655" s="7" t="s">
        <v>32933</v>
      </c>
      <c r="C1655" s="7"/>
      <c r="D1655" s="7"/>
      <c r="E1655" s="7"/>
      <c r="F1655" t="s">
        <v>67</v>
      </c>
      <c r="G1655" t="s">
        <v>7919</v>
      </c>
      <c r="H1655" t="s">
        <v>69</v>
      </c>
      <c r="I1655" t="s">
        <v>69</v>
      </c>
      <c r="J1655" t="s">
        <v>69</v>
      </c>
      <c r="K1655" t="s">
        <v>7920</v>
      </c>
      <c r="L1655" t="s">
        <v>69</v>
      </c>
      <c r="M1655" t="s">
        <v>69</v>
      </c>
      <c r="N1655" s="4" t="s">
        <v>7921</v>
      </c>
      <c r="O1655" t="s">
        <v>7922</v>
      </c>
      <c r="P1655" t="s">
        <v>69</v>
      </c>
      <c r="Q1655" t="s">
        <v>69</v>
      </c>
      <c r="R1655" t="s">
        <v>8505</v>
      </c>
      <c r="S1655" t="s">
        <v>8506</v>
      </c>
      <c r="T1655" t="s">
        <v>69</v>
      </c>
      <c r="U1655" t="s">
        <v>69</v>
      </c>
      <c r="V1655" t="s">
        <v>69</v>
      </c>
      <c r="W1655" t="s">
        <v>69</v>
      </c>
      <c r="X1655" t="s">
        <v>69</v>
      </c>
      <c r="Y1655" t="s">
        <v>26288</v>
      </c>
      <c r="Z1655" t="s">
        <v>26289</v>
      </c>
      <c r="AA1655" t="s">
        <v>7923</v>
      </c>
      <c r="AB1655" t="s">
        <v>26290</v>
      </c>
      <c r="AC1655" t="s">
        <v>69</v>
      </c>
      <c r="AD1655" t="s">
        <v>26291</v>
      </c>
      <c r="AE1655" t="s">
        <v>26292</v>
      </c>
      <c r="AF1655" t="s">
        <v>69</v>
      </c>
      <c r="AG1655" t="s">
        <v>69</v>
      </c>
      <c r="AH1655" t="s">
        <v>69</v>
      </c>
      <c r="AI1655" t="s">
        <v>69</v>
      </c>
      <c r="AJ1655" t="s">
        <v>69</v>
      </c>
      <c r="AK1655" t="s">
        <v>69</v>
      </c>
      <c r="AL1655">
        <v>47</v>
      </c>
      <c r="AM1655">
        <v>7</v>
      </c>
      <c r="AN1655">
        <v>8</v>
      </c>
      <c r="AO1655">
        <v>6</v>
      </c>
      <c r="AP1655">
        <v>37</v>
      </c>
      <c r="AQ1655" t="s">
        <v>26293</v>
      </c>
      <c r="AR1655" t="s">
        <v>14458</v>
      </c>
      <c r="AS1655" t="s">
        <v>26294</v>
      </c>
      <c r="AT1655" t="s">
        <v>7924</v>
      </c>
      <c r="AU1655" t="s">
        <v>69</v>
      </c>
      <c r="AV1655" t="s">
        <v>69</v>
      </c>
      <c r="AW1655" t="s">
        <v>26295</v>
      </c>
      <c r="AX1655" t="s">
        <v>26296</v>
      </c>
      <c r="AY1655" t="s">
        <v>69</v>
      </c>
      <c r="AZ1655">
        <v>2012</v>
      </c>
      <c r="BA1655">
        <v>29</v>
      </c>
      <c r="BB1655">
        <v>1</v>
      </c>
      <c r="BC1655" t="s">
        <v>69</v>
      </c>
      <c r="BD1655" t="s">
        <v>69</v>
      </c>
      <c r="BE1655" t="s">
        <v>69</v>
      </c>
      <c r="BF1655" t="s">
        <v>69</v>
      </c>
      <c r="BG1655">
        <v>301</v>
      </c>
      <c r="BH1655">
        <v>320</v>
      </c>
      <c r="BI1655" t="s">
        <v>69</v>
      </c>
      <c r="BJ1655" t="s">
        <v>7925</v>
      </c>
      <c r="BK1655" t="str">
        <f>HYPERLINK("http://dx.doi.org/10.4305/METU.JFA.2012.1.17","http://dx.doi.org/10.4305/METU.JFA.2012.1.17")</f>
        <v>http://dx.doi.org/10.4305/METU.JFA.2012.1.17</v>
      </c>
      <c r="BL1655" t="s">
        <v>69</v>
      </c>
      <c r="BM1655" t="s">
        <v>69</v>
      </c>
      <c r="BN1655">
        <v>20</v>
      </c>
      <c r="BO1655" t="s">
        <v>8449</v>
      </c>
      <c r="BP1655" t="s">
        <v>11207</v>
      </c>
      <c r="BQ1655" t="s">
        <v>8449</v>
      </c>
      <c r="BR1655" t="s">
        <v>26297</v>
      </c>
      <c r="BS1655" t="s">
        <v>7926</v>
      </c>
      <c r="BT1655" t="s">
        <v>69</v>
      </c>
      <c r="BU1655" t="s">
        <v>19019</v>
      </c>
      <c r="BV1655" t="s">
        <v>69</v>
      </c>
      <c r="BW1655" t="s">
        <v>69</v>
      </c>
      <c r="BX1655" t="s">
        <v>8526</v>
      </c>
      <c r="BY1655" t="str">
        <f>HYPERLINK("https%3A%2F%2Fwww.webofscience.com%2Fwos%2Fwoscc%2Ffull-record%2FWOS:000306454200019","View Full Record in Web of Science")</f>
        <v>View Full Record in Web of Science</v>
      </c>
    </row>
    <row r="1656" spans="1:77" ht="12.5" x14ac:dyDescent="0.25">
      <c r="A1656" t="s">
        <v>8495</v>
      </c>
      <c r="B1656" s="22" t="s">
        <v>32931</v>
      </c>
      <c r="C1656" s="7"/>
      <c r="D1656" s="7"/>
      <c r="E1656" s="7"/>
      <c r="F1656" t="s">
        <v>67</v>
      </c>
      <c r="G1656" t="s">
        <v>97</v>
      </c>
      <c r="H1656" t="s">
        <v>69</v>
      </c>
      <c r="I1656" t="s">
        <v>69</v>
      </c>
      <c r="J1656" t="s">
        <v>69</v>
      </c>
      <c r="K1656" t="s">
        <v>29968</v>
      </c>
      <c r="L1656" t="s">
        <v>69</v>
      </c>
      <c r="M1656" t="s">
        <v>69</v>
      </c>
      <c r="N1656" t="s">
        <v>29969</v>
      </c>
      <c r="O1656" t="s">
        <v>29970</v>
      </c>
      <c r="P1656" t="s">
        <v>69</v>
      </c>
      <c r="Q1656" t="s">
        <v>69</v>
      </c>
      <c r="R1656" t="s">
        <v>8505</v>
      </c>
      <c r="S1656" t="s">
        <v>15797</v>
      </c>
      <c r="T1656" t="s">
        <v>29971</v>
      </c>
      <c r="U1656" t="s">
        <v>29972</v>
      </c>
      <c r="V1656" t="s">
        <v>29973</v>
      </c>
      <c r="W1656" t="s">
        <v>29974</v>
      </c>
      <c r="X1656" t="s">
        <v>69</v>
      </c>
      <c r="Y1656" t="s">
        <v>69</v>
      </c>
      <c r="Z1656" t="s">
        <v>29975</v>
      </c>
      <c r="AA1656" t="s">
        <v>29976</v>
      </c>
      <c r="AB1656" t="s">
        <v>29977</v>
      </c>
      <c r="AC1656" t="s">
        <v>69</v>
      </c>
      <c r="AD1656" t="s">
        <v>29978</v>
      </c>
      <c r="AE1656" t="s">
        <v>29979</v>
      </c>
      <c r="AF1656" t="s">
        <v>29980</v>
      </c>
      <c r="AG1656" t="s">
        <v>29981</v>
      </c>
      <c r="AH1656" t="s">
        <v>69</v>
      </c>
      <c r="AI1656" t="s">
        <v>69</v>
      </c>
      <c r="AJ1656" t="s">
        <v>69</v>
      </c>
      <c r="AK1656" t="s">
        <v>69</v>
      </c>
      <c r="AL1656">
        <v>22</v>
      </c>
      <c r="AM1656">
        <v>9</v>
      </c>
      <c r="AN1656">
        <v>9</v>
      </c>
      <c r="AO1656">
        <v>0</v>
      </c>
      <c r="AP1656">
        <v>12</v>
      </c>
      <c r="AQ1656" t="s">
        <v>29982</v>
      </c>
      <c r="AR1656" t="s">
        <v>9979</v>
      </c>
      <c r="AS1656" t="s">
        <v>29983</v>
      </c>
      <c r="AT1656" t="s">
        <v>29984</v>
      </c>
      <c r="AU1656" t="s">
        <v>29985</v>
      </c>
      <c r="AV1656" t="s">
        <v>69</v>
      </c>
      <c r="AW1656" t="s">
        <v>29986</v>
      </c>
      <c r="AX1656" t="s">
        <v>29987</v>
      </c>
      <c r="AY1656" t="s">
        <v>69</v>
      </c>
      <c r="AZ1656">
        <v>2007</v>
      </c>
      <c r="BA1656">
        <v>9</v>
      </c>
      <c r="BB1656">
        <v>9</v>
      </c>
      <c r="BC1656" t="s">
        <v>69</v>
      </c>
      <c r="BD1656" t="s">
        <v>69</v>
      </c>
      <c r="BE1656" t="s">
        <v>69</v>
      </c>
      <c r="BF1656" t="s">
        <v>69</v>
      </c>
      <c r="BG1656">
        <v>931</v>
      </c>
      <c r="BH1656">
        <v>942</v>
      </c>
      <c r="BI1656" t="s">
        <v>69</v>
      </c>
      <c r="BJ1656" t="s">
        <v>29988</v>
      </c>
      <c r="BK1656" t="str">
        <f>HYPERLINK("http://dx.doi.org/10.1039/b7066117c","http://dx.doi.org/10.1039/b7066117c")</f>
        <v>http://dx.doi.org/10.1039/b7066117c</v>
      </c>
      <c r="BL1656" t="s">
        <v>69</v>
      </c>
      <c r="BM1656" t="s">
        <v>69</v>
      </c>
      <c r="BN1656">
        <v>12</v>
      </c>
      <c r="BO1656" t="s">
        <v>29989</v>
      </c>
      <c r="BP1656" t="s">
        <v>15808</v>
      </c>
      <c r="BQ1656" t="s">
        <v>29990</v>
      </c>
      <c r="BR1656" t="s">
        <v>29991</v>
      </c>
      <c r="BS1656" t="s">
        <v>29992</v>
      </c>
      <c r="BT1656">
        <v>17726553</v>
      </c>
      <c r="BU1656" t="s">
        <v>69</v>
      </c>
      <c r="BV1656" t="s">
        <v>69</v>
      </c>
      <c r="BW1656" t="s">
        <v>69</v>
      </c>
      <c r="BX1656" t="s">
        <v>8526</v>
      </c>
      <c r="BY1656" t="str">
        <f>HYPERLINK("https%3A%2F%2Fwww.webofscience.com%2Fwos%2Fwoscc%2Ffull-record%2FWOS:000249111000004","View Full Record in Web of Science")</f>
        <v>View Full Record in Web of Science</v>
      </c>
    </row>
    <row r="1657" spans="1:77" ht="12.5" x14ac:dyDescent="0.25">
      <c r="A1657" t="s">
        <v>8495</v>
      </c>
      <c r="B1657" s="22" t="s">
        <v>32931</v>
      </c>
      <c r="C1657" s="7"/>
      <c r="D1657" s="7"/>
      <c r="E1657" s="7"/>
      <c r="F1657" t="s">
        <v>67</v>
      </c>
      <c r="G1657" t="s">
        <v>28658</v>
      </c>
      <c r="H1657" t="s">
        <v>69</v>
      </c>
      <c r="I1657" t="s">
        <v>69</v>
      </c>
      <c r="J1657" t="s">
        <v>69</v>
      </c>
      <c r="K1657" t="s">
        <v>28659</v>
      </c>
      <c r="L1657" t="s">
        <v>69</v>
      </c>
      <c r="M1657" t="s">
        <v>69</v>
      </c>
      <c r="N1657" t="s">
        <v>28660</v>
      </c>
      <c r="O1657" t="s">
        <v>28661</v>
      </c>
      <c r="P1657" t="s">
        <v>69</v>
      </c>
      <c r="Q1657" t="s">
        <v>69</v>
      </c>
      <c r="R1657" t="s">
        <v>8505</v>
      </c>
      <c r="S1657" t="s">
        <v>8506</v>
      </c>
      <c r="T1657" t="s">
        <v>69</v>
      </c>
      <c r="U1657" t="s">
        <v>69</v>
      </c>
      <c r="V1657" t="s">
        <v>69</v>
      </c>
      <c r="W1657" t="s">
        <v>69</v>
      </c>
      <c r="X1657" t="s">
        <v>69</v>
      </c>
      <c r="Y1657" t="s">
        <v>28662</v>
      </c>
      <c r="Z1657" t="s">
        <v>69</v>
      </c>
      <c r="AA1657" t="s">
        <v>28663</v>
      </c>
      <c r="AB1657" t="s">
        <v>28664</v>
      </c>
      <c r="AC1657" t="s">
        <v>69</v>
      </c>
      <c r="AD1657" t="s">
        <v>28665</v>
      </c>
      <c r="AE1657" t="s">
        <v>28666</v>
      </c>
      <c r="AF1657" t="s">
        <v>28667</v>
      </c>
      <c r="AG1657" t="s">
        <v>69</v>
      </c>
      <c r="AH1657" t="s">
        <v>69</v>
      </c>
      <c r="AI1657" t="s">
        <v>69</v>
      </c>
      <c r="AJ1657" t="s">
        <v>69</v>
      </c>
      <c r="AK1657" t="s">
        <v>69</v>
      </c>
      <c r="AL1657">
        <v>13</v>
      </c>
      <c r="AM1657">
        <v>44</v>
      </c>
      <c r="AN1657">
        <v>49</v>
      </c>
      <c r="AO1657">
        <v>0</v>
      </c>
      <c r="AP1657">
        <v>12</v>
      </c>
      <c r="AQ1657" t="s">
        <v>28668</v>
      </c>
      <c r="AR1657" t="s">
        <v>8763</v>
      </c>
      <c r="AS1657" t="s">
        <v>28669</v>
      </c>
      <c r="AT1657" t="s">
        <v>28670</v>
      </c>
      <c r="AU1657" t="s">
        <v>28671</v>
      </c>
      <c r="AV1657" t="s">
        <v>69</v>
      </c>
      <c r="AW1657" t="s">
        <v>28672</v>
      </c>
      <c r="AX1657" t="s">
        <v>28673</v>
      </c>
      <c r="AY1657" t="s">
        <v>373</v>
      </c>
      <c r="AZ1657">
        <v>2009</v>
      </c>
      <c r="BA1657">
        <v>91</v>
      </c>
      <c r="BB1657">
        <v>1</v>
      </c>
      <c r="BC1657" t="s">
        <v>69</v>
      </c>
      <c r="BD1657" t="s">
        <v>69</v>
      </c>
      <c r="BE1657" t="s">
        <v>69</v>
      </c>
      <c r="BF1657" t="s">
        <v>69</v>
      </c>
      <c r="BG1657">
        <v>12</v>
      </c>
      <c r="BH1657">
        <v>17</v>
      </c>
      <c r="BI1657" t="s">
        <v>69</v>
      </c>
      <c r="BJ1657" t="s">
        <v>28674</v>
      </c>
      <c r="BK1657" t="str">
        <f>HYPERLINK("http://dx.doi.org/10.1308/003588409X359213","http://dx.doi.org/10.1308/003588409X359213")</f>
        <v>http://dx.doi.org/10.1308/003588409X359213</v>
      </c>
      <c r="BL1657" t="s">
        <v>69</v>
      </c>
      <c r="BM1657" t="s">
        <v>69</v>
      </c>
      <c r="BN1657">
        <v>6</v>
      </c>
      <c r="BO1657" t="s">
        <v>11956</v>
      </c>
      <c r="BP1657" t="s">
        <v>8548</v>
      </c>
      <c r="BQ1657" t="s">
        <v>11956</v>
      </c>
      <c r="BR1657" t="s">
        <v>28675</v>
      </c>
      <c r="BS1657" t="s">
        <v>28676</v>
      </c>
      <c r="BT1657">
        <v>18990263</v>
      </c>
      <c r="BU1657" t="s">
        <v>10423</v>
      </c>
      <c r="BV1657" t="s">
        <v>69</v>
      </c>
      <c r="BW1657" t="s">
        <v>69</v>
      </c>
      <c r="BX1657" t="s">
        <v>8526</v>
      </c>
      <c r="BY1657" t="str">
        <f>HYPERLINK("https%3A%2F%2Fwww.webofscience.com%2Fwos%2Fwoscc%2Ffull-record%2FWOS:000262914000005","View Full Record in Web of Science")</f>
        <v>View Full Record in Web of Science</v>
      </c>
    </row>
    <row r="1658" spans="1:77" ht="12.5" x14ac:dyDescent="0.25">
      <c r="A1658" t="s">
        <v>8495</v>
      </c>
      <c r="B1658" s="7" t="s">
        <v>32933</v>
      </c>
      <c r="C1658" s="7"/>
      <c r="D1658" s="7"/>
      <c r="E1658" s="7"/>
      <c r="F1658" t="s">
        <v>67</v>
      </c>
      <c r="G1658" t="s">
        <v>3692</v>
      </c>
      <c r="H1658" t="s">
        <v>69</v>
      </c>
      <c r="I1658" t="s">
        <v>69</v>
      </c>
      <c r="J1658" t="s">
        <v>69</v>
      </c>
      <c r="K1658" t="s">
        <v>3693</v>
      </c>
      <c r="L1658" t="s">
        <v>69</v>
      </c>
      <c r="M1658" t="s">
        <v>69</v>
      </c>
      <c r="N1658" t="s">
        <v>3694</v>
      </c>
      <c r="O1658" t="s">
        <v>3601</v>
      </c>
      <c r="P1658" t="s">
        <v>69</v>
      </c>
      <c r="Q1658" t="s">
        <v>69</v>
      </c>
      <c r="R1658" t="s">
        <v>8505</v>
      </c>
      <c r="S1658" t="s">
        <v>15797</v>
      </c>
      <c r="T1658" t="s">
        <v>3695</v>
      </c>
      <c r="U1658" t="s">
        <v>3696</v>
      </c>
      <c r="V1658" t="s">
        <v>3697</v>
      </c>
      <c r="W1658" t="s">
        <v>29544</v>
      </c>
      <c r="X1658" t="s">
        <v>69</v>
      </c>
      <c r="Y1658" t="s">
        <v>29545</v>
      </c>
      <c r="Z1658" t="s">
        <v>29546</v>
      </c>
      <c r="AA1658" t="s">
        <v>3698</v>
      </c>
      <c r="AB1658" t="s">
        <v>29547</v>
      </c>
      <c r="AC1658" t="s">
        <v>69</v>
      </c>
      <c r="AD1658" t="s">
        <v>29548</v>
      </c>
      <c r="AE1658" t="s">
        <v>29549</v>
      </c>
      <c r="AF1658" t="s">
        <v>69</v>
      </c>
      <c r="AG1658" t="s">
        <v>3699</v>
      </c>
      <c r="AH1658" t="s">
        <v>69</v>
      </c>
      <c r="AI1658" t="s">
        <v>69</v>
      </c>
      <c r="AJ1658" t="s">
        <v>69</v>
      </c>
      <c r="AK1658" t="s">
        <v>69</v>
      </c>
      <c r="AL1658">
        <v>16</v>
      </c>
      <c r="AM1658">
        <v>36</v>
      </c>
      <c r="AN1658">
        <v>36</v>
      </c>
      <c r="AO1658">
        <v>2</v>
      </c>
      <c r="AP1658">
        <v>30</v>
      </c>
      <c r="AQ1658" t="s">
        <v>28353</v>
      </c>
      <c r="AR1658" t="s">
        <v>28354</v>
      </c>
      <c r="AS1658" t="s">
        <v>28355</v>
      </c>
      <c r="AT1658" t="s">
        <v>3603</v>
      </c>
      <c r="AU1658" t="s">
        <v>69</v>
      </c>
      <c r="AV1658" t="s">
        <v>69</v>
      </c>
      <c r="AW1658" t="s">
        <v>28356</v>
      </c>
      <c r="AX1658" t="s">
        <v>28357</v>
      </c>
      <c r="AY1658" t="s">
        <v>274</v>
      </c>
      <c r="AZ1658">
        <v>2007</v>
      </c>
      <c r="BA1658">
        <v>63</v>
      </c>
      <c r="BB1658">
        <v>11</v>
      </c>
      <c r="BC1658" t="s">
        <v>69</v>
      </c>
      <c r="BD1658" t="s">
        <v>69</v>
      </c>
      <c r="BE1658" t="s">
        <v>69</v>
      </c>
      <c r="BF1658" t="s">
        <v>69</v>
      </c>
      <c r="BG1658">
        <v>1062</v>
      </c>
      <c r="BH1658">
        <v>1068</v>
      </c>
      <c r="BI1658" t="s">
        <v>69</v>
      </c>
      <c r="BJ1658" t="s">
        <v>3700</v>
      </c>
      <c r="BK1658" t="str">
        <f>HYPERLINK("http://dx.doi.org/10.1002/ps.1461","http://dx.doi.org/10.1002/ps.1461")</f>
        <v>http://dx.doi.org/10.1002/ps.1461</v>
      </c>
      <c r="BL1658" t="s">
        <v>69</v>
      </c>
      <c r="BM1658" t="s">
        <v>69</v>
      </c>
      <c r="BN1658">
        <v>7</v>
      </c>
      <c r="BO1658" t="s">
        <v>28358</v>
      </c>
      <c r="BP1658" t="s">
        <v>29550</v>
      </c>
      <c r="BQ1658" t="s">
        <v>28359</v>
      </c>
      <c r="BR1658" t="s">
        <v>29551</v>
      </c>
      <c r="BS1658" t="s">
        <v>3701</v>
      </c>
      <c r="BT1658">
        <v>17879983</v>
      </c>
      <c r="BU1658" t="s">
        <v>69</v>
      </c>
      <c r="BV1658" t="s">
        <v>69</v>
      </c>
      <c r="BW1658" t="s">
        <v>69</v>
      </c>
      <c r="BX1658" t="s">
        <v>8526</v>
      </c>
      <c r="BY1658" t="str">
        <f>HYPERLINK("https%3A%2F%2Fwww.webofscience.com%2Fwos%2Fwoscc%2Ffull-record%2FWOS:000250436000004","View Full Record in Web of Science")</f>
        <v>View Full Record in Web of Science</v>
      </c>
    </row>
    <row r="1659" spans="1:77" ht="12.5" x14ac:dyDescent="0.25">
      <c r="A1659" t="s">
        <v>8495</v>
      </c>
      <c r="B1659" s="22" t="s">
        <v>32931</v>
      </c>
      <c r="C1659" s="7"/>
      <c r="D1659" s="7"/>
      <c r="E1659" s="7"/>
      <c r="F1659" t="s">
        <v>67</v>
      </c>
      <c r="G1659" t="s">
        <v>11227</v>
      </c>
      <c r="H1659" t="s">
        <v>69</v>
      </c>
      <c r="I1659" t="s">
        <v>69</v>
      </c>
      <c r="J1659" t="s">
        <v>69</v>
      </c>
      <c r="K1659" t="s">
        <v>11228</v>
      </c>
      <c r="L1659" t="s">
        <v>69</v>
      </c>
      <c r="M1659" t="s">
        <v>69</v>
      </c>
      <c r="N1659" t="s">
        <v>11229</v>
      </c>
      <c r="O1659" t="s">
        <v>2009</v>
      </c>
      <c r="P1659" t="s">
        <v>69</v>
      </c>
      <c r="Q1659" t="s">
        <v>69</v>
      </c>
      <c r="R1659" t="s">
        <v>8505</v>
      </c>
      <c r="S1659" t="s">
        <v>8506</v>
      </c>
      <c r="T1659" t="s">
        <v>69</v>
      </c>
      <c r="U1659" t="s">
        <v>69</v>
      </c>
      <c r="V1659" t="s">
        <v>69</v>
      </c>
      <c r="W1659" t="s">
        <v>69</v>
      </c>
      <c r="X1659" t="s">
        <v>69</v>
      </c>
      <c r="Y1659" t="s">
        <v>11230</v>
      </c>
      <c r="Z1659" t="s">
        <v>11231</v>
      </c>
      <c r="AA1659" t="s">
        <v>11232</v>
      </c>
      <c r="AB1659" t="s">
        <v>11233</v>
      </c>
      <c r="AC1659" t="s">
        <v>69</v>
      </c>
      <c r="AD1659" t="s">
        <v>11234</v>
      </c>
      <c r="AE1659" t="s">
        <v>11235</v>
      </c>
      <c r="AF1659" t="s">
        <v>69</v>
      </c>
      <c r="AG1659" t="s">
        <v>11236</v>
      </c>
      <c r="AH1659" t="s">
        <v>11237</v>
      </c>
      <c r="AI1659" t="s">
        <v>11238</v>
      </c>
      <c r="AJ1659" t="s">
        <v>11239</v>
      </c>
      <c r="AK1659" t="s">
        <v>69</v>
      </c>
      <c r="AL1659">
        <v>52</v>
      </c>
      <c r="AM1659">
        <v>2</v>
      </c>
      <c r="AN1659">
        <v>2</v>
      </c>
      <c r="AO1659">
        <v>53</v>
      </c>
      <c r="AP1659">
        <v>85</v>
      </c>
      <c r="AQ1659" t="s">
        <v>8924</v>
      </c>
      <c r="AR1659" t="s">
        <v>8925</v>
      </c>
      <c r="AS1659" t="s">
        <v>8926</v>
      </c>
      <c r="AT1659" t="s">
        <v>69</v>
      </c>
      <c r="AU1659" t="s">
        <v>2011</v>
      </c>
      <c r="AV1659" t="s">
        <v>69</v>
      </c>
      <c r="AW1659" t="s">
        <v>11240</v>
      </c>
      <c r="AX1659" t="s">
        <v>11240</v>
      </c>
      <c r="AY1659" t="s">
        <v>381</v>
      </c>
      <c r="AZ1659">
        <v>2021</v>
      </c>
      <c r="BA1659">
        <v>11</v>
      </c>
      <c r="BB1659">
        <v>10</v>
      </c>
      <c r="BC1659" t="s">
        <v>69</v>
      </c>
      <c r="BD1659" t="s">
        <v>69</v>
      </c>
      <c r="BE1659" t="s">
        <v>69</v>
      </c>
      <c r="BF1659" t="s">
        <v>69</v>
      </c>
      <c r="BG1659" t="s">
        <v>69</v>
      </c>
      <c r="BH1659" t="s">
        <v>69</v>
      </c>
      <c r="BI1659">
        <v>444</v>
      </c>
      <c r="BJ1659" t="s">
        <v>11241</v>
      </c>
      <c r="BK1659" t="str">
        <f>HYPERLINK("http://dx.doi.org/10.3390/buildings11100444","http://dx.doi.org/10.3390/buildings11100444")</f>
        <v>http://dx.doi.org/10.3390/buildings11100444</v>
      </c>
      <c r="BL1659" t="s">
        <v>69</v>
      </c>
      <c r="BM1659" t="s">
        <v>69</v>
      </c>
      <c r="BN1659">
        <v>21</v>
      </c>
      <c r="BO1659" t="s">
        <v>11242</v>
      </c>
      <c r="BP1659" t="s">
        <v>8548</v>
      </c>
      <c r="BQ1659" t="s">
        <v>8549</v>
      </c>
      <c r="BR1659" t="s">
        <v>11243</v>
      </c>
      <c r="BS1659" t="s">
        <v>11244</v>
      </c>
      <c r="BT1659" t="s">
        <v>69</v>
      </c>
      <c r="BU1659" t="s">
        <v>9352</v>
      </c>
      <c r="BV1659" t="s">
        <v>69</v>
      </c>
      <c r="BW1659" t="s">
        <v>69</v>
      </c>
      <c r="BX1659" t="s">
        <v>8526</v>
      </c>
      <c r="BY1659" t="str">
        <f>HYPERLINK("https%3A%2F%2Fwww.webofscience.com%2Fwos%2Fwoscc%2Ffull-record%2FWOS:000713097400001","View Full Record in Web of Science")</f>
        <v>View Full Record in Web of Science</v>
      </c>
    </row>
    <row r="1660" spans="1:77" x14ac:dyDescent="0.3">
      <c r="A1660" t="s">
        <v>8495</v>
      </c>
      <c r="B1660" s="10" t="s">
        <v>33032</v>
      </c>
      <c r="F1660" t="s">
        <v>67</v>
      </c>
      <c r="G1660" t="s">
        <v>2402</v>
      </c>
      <c r="H1660" t="s">
        <v>69</v>
      </c>
      <c r="I1660" t="s">
        <v>69</v>
      </c>
      <c r="J1660" t="s">
        <v>69</v>
      </c>
      <c r="K1660" s="2" t="s">
        <v>2403</v>
      </c>
      <c r="L1660" t="s">
        <v>69</v>
      </c>
      <c r="M1660" t="s">
        <v>69</v>
      </c>
      <c r="N1660" s="2" t="s">
        <v>2404</v>
      </c>
      <c r="O1660" t="s">
        <v>436</v>
      </c>
      <c r="P1660" t="s">
        <v>69</v>
      </c>
      <c r="Q1660" t="s">
        <v>69</v>
      </c>
      <c r="R1660" t="s">
        <v>8505</v>
      </c>
      <c r="S1660" t="s">
        <v>8506</v>
      </c>
      <c r="T1660" t="s">
        <v>69</v>
      </c>
      <c r="U1660" t="s">
        <v>69</v>
      </c>
      <c r="V1660" t="s">
        <v>69</v>
      </c>
      <c r="W1660" t="s">
        <v>69</v>
      </c>
      <c r="X1660" t="s">
        <v>69</v>
      </c>
      <c r="Y1660" t="s">
        <v>69</v>
      </c>
      <c r="Z1660" t="s">
        <v>18453</v>
      </c>
      <c r="AA1660" t="s">
        <v>2405</v>
      </c>
      <c r="AB1660" t="s">
        <v>18454</v>
      </c>
      <c r="AC1660" t="s">
        <v>69</v>
      </c>
      <c r="AD1660" t="s">
        <v>18455</v>
      </c>
      <c r="AE1660" t="s">
        <v>18456</v>
      </c>
      <c r="AF1660" t="s">
        <v>69</v>
      </c>
      <c r="AG1660" t="s">
        <v>69</v>
      </c>
      <c r="AH1660" t="s">
        <v>69</v>
      </c>
      <c r="AI1660" t="s">
        <v>69</v>
      </c>
      <c r="AJ1660" t="s">
        <v>69</v>
      </c>
      <c r="AK1660" t="s">
        <v>69</v>
      </c>
      <c r="AL1660">
        <v>90</v>
      </c>
      <c r="AM1660">
        <v>14</v>
      </c>
      <c r="AN1660">
        <v>15</v>
      </c>
      <c r="AO1660">
        <v>7</v>
      </c>
      <c r="AP1660">
        <v>57</v>
      </c>
      <c r="AQ1660" t="s">
        <v>8636</v>
      </c>
      <c r="AR1660" t="s">
        <v>8637</v>
      </c>
      <c r="AS1660" t="s">
        <v>8638</v>
      </c>
      <c r="AT1660" t="s">
        <v>440</v>
      </c>
      <c r="AU1660" t="s">
        <v>441</v>
      </c>
      <c r="AV1660" t="s">
        <v>69</v>
      </c>
      <c r="AW1660" t="s">
        <v>8639</v>
      </c>
      <c r="AX1660" t="s">
        <v>8640</v>
      </c>
      <c r="AY1660" t="s">
        <v>2406</v>
      </c>
      <c r="AZ1660">
        <v>2018</v>
      </c>
      <c r="BA1660">
        <v>193</v>
      </c>
      <c r="BB1660" t="s">
        <v>69</v>
      </c>
      <c r="BC1660" t="s">
        <v>69</v>
      </c>
      <c r="BD1660" t="s">
        <v>69</v>
      </c>
      <c r="BE1660" t="s">
        <v>69</v>
      </c>
      <c r="BF1660" t="s">
        <v>69</v>
      </c>
      <c r="BG1660">
        <v>249</v>
      </c>
      <c r="BH1660">
        <v>262</v>
      </c>
      <c r="BI1660" t="s">
        <v>69</v>
      </c>
      <c r="BJ1660" t="s">
        <v>2407</v>
      </c>
      <c r="BK1660" t="str">
        <f>HYPERLINK("http://dx.doi.org/10.1016/j.jclepro.2018.05.063","http://dx.doi.org/10.1016/j.jclepro.2018.05.063")</f>
        <v>http://dx.doi.org/10.1016/j.jclepro.2018.05.063</v>
      </c>
      <c r="BL1660" t="s">
        <v>69</v>
      </c>
      <c r="BM1660" t="s">
        <v>69</v>
      </c>
      <c r="BN1660">
        <v>14</v>
      </c>
      <c r="BO1660" t="s">
        <v>8643</v>
      </c>
      <c r="BP1660" t="s">
        <v>8523</v>
      </c>
      <c r="BQ1660" t="s">
        <v>8644</v>
      </c>
      <c r="BR1660" t="s">
        <v>18457</v>
      </c>
      <c r="BS1660" t="s">
        <v>2408</v>
      </c>
      <c r="BT1660" t="s">
        <v>69</v>
      </c>
      <c r="BU1660" t="s">
        <v>69</v>
      </c>
      <c r="BV1660" t="s">
        <v>69</v>
      </c>
      <c r="BW1660" t="s">
        <v>69</v>
      </c>
      <c r="BX1660" t="s">
        <v>8526</v>
      </c>
      <c r="BY1660" t="str">
        <f>HYPERLINK("https%3A%2F%2Fwww.webofscience.com%2Fwos%2Fwoscc%2Ffull-record%2FWOS:000437997200020","View Full Record in Web of Science")</f>
        <v>View Full Record in Web of Science</v>
      </c>
    </row>
    <row r="1661" spans="1:77" ht="12.5" x14ac:dyDescent="0.25">
      <c r="A1661" t="s">
        <v>8495</v>
      </c>
      <c r="B1661" s="7" t="s">
        <v>32933</v>
      </c>
      <c r="C1661" s="7"/>
      <c r="D1661" s="7"/>
      <c r="E1661" s="7"/>
      <c r="F1661" t="s">
        <v>67</v>
      </c>
      <c r="G1661" t="s">
        <v>5288</v>
      </c>
      <c r="H1661" t="s">
        <v>69</v>
      </c>
      <c r="I1661" t="s">
        <v>69</v>
      </c>
      <c r="J1661" t="s">
        <v>69</v>
      </c>
      <c r="K1661" t="s">
        <v>5289</v>
      </c>
      <c r="L1661" t="s">
        <v>69</v>
      </c>
      <c r="M1661" t="s">
        <v>69</v>
      </c>
      <c r="N1661" s="3" t="s">
        <v>5290</v>
      </c>
      <c r="O1661" t="s">
        <v>5291</v>
      </c>
      <c r="P1661" t="s">
        <v>69</v>
      </c>
      <c r="Q1661" t="s">
        <v>69</v>
      </c>
      <c r="R1661" t="s">
        <v>8505</v>
      </c>
      <c r="S1661" t="s">
        <v>8506</v>
      </c>
      <c r="T1661" t="s">
        <v>69</v>
      </c>
      <c r="U1661" t="s">
        <v>69</v>
      </c>
      <c r="V1661" t="s">
        <v>69</v>
      </c>
      <c r="W1661" t="s">
        <v>69</v>
      </c>
      <c r="X1661" t="s">
        <v>69</v>
      </c>
      <c r="Y1661" t="s">
        <v>22900</v>
      </c>
      <c r="Z1661" t="s">
        <v>22901</v>
      </c>
      <c r="AA1661" t="s">
        <v>5292</v>
      </c>
      <c r="AB1661" t="s">
        <v>22902</v>
      </c>
      <c r="AC1661" t="s">
        <v>69</v>
      </c>
      <c r="AD1661" t="s">
        <v>22903</v>
      </c>
      <c r="AE1661" t="s">
        <v>22904</v>
      </c>
      <c r="AF1661" t="s">
        <v>69</v>
      </c>
      <c r="AG1661" t="s">
        <v>5293</v>
      </c>
      <c r="AH1661" t="s">
        <v>69</v>
      </c>
      <c r="AI1661" t="s">
        <v>69</v>
      </c>
      <c r="AJ1661" t="s">
        <v>69</v>
      </c>
      <c r="AK1661" t="s">
        <v>69</v>
      </c>
      <c r="AL1661">
        <v>126</v>
      </c>
      <c r="AM1661">
        <v>97</v>
      </c>
      <c r="AN1661">
        <v>100</v>
      </c>
      <c r="AO1661">
        <v>8</v>
      </c>
      <c r="AP1661">
        <v>167</v>
      </c>
      <c r="AQ1661" t="s">
        <v>9047</v>
      </c>
      <c r="AR1661" t="s">
        <v>8693</v>
      </c>
      <c r="AS1661" t="s">
        <v>11784</v>
      </c>
      <c r="AT1661" t="s">
        <v>5294</v>
      </c>
      <c r="AU1661" t="s">
        <v>5295</v>
      </c>
      <c r="AV1661" t="s">
        <v>69</v>
      </c>
      <c r="AW1661" t="s">
        <v>22905</v>
      </c>
      <c r="AX1661" t="s">
        <v>22906</v>
      </c>
      <c r="AY1661" t="s">
        <v>191</v>
      </c>
      <c r="AZ1661">
        <v>2015</v>
      </c>
      <c r="BA1661">
        <v>40</v>
      </c>
      <c r="BB1661">
        <v>1</v>
      </c>
      <c r="BC1661" t="s">
        <v>69</v>
      </c>
      <c r="BD1661" t="s">
        <v>69</v>
      </c>
      <c r="BE1661" t="s">
        <v>69</v>
      </c>
      <c r="BF1661" t="s">
        <v>69</v>
      </c>
      <c r="BG1661">
        <v>138</v>
      </c>
      <c r="BH1661">
        <v>160</v>
      </c>
      <c r="BI1661" t="s">
        <v>69</v>
      </c>
      <c r="BJ1661" t="s">
        <v>5296</v>
      </c>
      <c r="BK1661" t="str">
        <f>HYPERLINK("http://dx.doi.org/10.1007/s10961-014-9333-3","http://dx.doi.org/10.1007/s10961-014-9333-3")</f>
        <v>http://dx.doi.org/10.1007/s10961-014-9333-3</v>
      </c>
      <c r="BL1661" t="s">
        <v>69</v>
      </c>
      <c r="BM1661" t="s">
        <v>69</v>
      </c>
      <c r="BN1661">
        <v>23</v>
      </c>
      <c r="BO1661" t="s">
        <v>16177</v>
      </c>
      <c r="BP1661" t="s">
        <v>8661</v>
      </c>
      <c r="BQ1661" t="s">
        <v>9129</v>
      </c>
      <c r="BR1661" t="s">
        <v>22907</v>
      </c>
      <c r="BS1661" t="s">
        <v>5297</v>
      </c>
      <c r="BT1661" t="s">
        <v>69</v>
      </c>
      <c r="BU1661" t="s">
        <v>9292</v>
      </c>
      <c r="BV1661" t="s">
        <v>69</v>
      </c>
      <c r="BW1661" t="s">
        <v>69</v>
      </c>
      <c r="BX1661" t="s">
        <v>8526</v>
      </c>
      <c r="BY1661" t="str">
        <f>HYPERLINK("https%3A%2F%2Fwww.webofscience.com%2Fwos%2Fwoscc%2Ffull-record%2FWOS:000348192600007","View Full Record in Web of Science")</f>
        <v>View Full Record in Web of Science</v>
      </c>
    </row>
    <row r="1662" spans="1:77" ht="12.5" x14ac:dyDescent="0.25">
      <c r="A1662" t="s">
        <v>8495</v>
      </c>
      <c r="B1662" s="22" t="s">
        <v>32931</v>
      </c>
      <c r="C1662" s="7"/>
      <c r="D1662" s="7"/>
      <c r="E1662" s="7"/>
      <c r="F1662" t="s">
        <v>67</v>
      </c>
      <c r="G1662" t="s">
        <v>18458</v>
      </c>
      <c r="H1662" t="s">
        <v>69</v>
      </c>
      <c r="I1662" t="s">
        <v>69</v>
      </c>
      <c r="J1662" t="s">
        <v>69</v>
      </c>
      <c r="K1662" t="s">
        <v>18459</v>
      </c>
      <c r="L1662" t="s">
        <v>69</v>
      </c>
      <c r="M1662" t="s">
        <v>69</v>
      </c>
      <c r="N1662" t="s">
        <v>18460</v>
      </c>
      <c r="O1662" t="s">
        <v>18461</v>
      </c>
      <c r="P1662" t="s">
        <v>69</v>
      </c>
      <c r="Q1662" t="s">
        <v>69</v>
      </c>
      <c r="R1662" t="s">
        <v>8505</v>
      </c>
      <c r="S1662" t="s">
        <v>8506</v>
      </c>
      <c r="T1662" t="s">
        <v>69</v>
      </c>
      <c r="U1662" t="s">
        <v>69</v>
      </c>
      <c r="V1662" t="s">
        <v>69</v>
      </c>
      <c r="W1662" t="s">
        <v>69</v>
      </c>
      <c r="X1662" t="s">
        <v>69</v>
      </c>
      <c r="Y1662" t="s">
        <v>18462</v>
      </c>
      <c r="Z1662" t="s">
        <v>18463</v>
      </c>
      <c r="AA1662" t="s">
        <v>18464</v>
      </c>
      <c r="AB1662" t="s">
        <v>18465</v>
      </c>
      <c r="AC1662" t="s">
        <v>69</v>
      </c>
      <c r="AD1662" t="s">
        <v>18466</v>
      </c>
      <c r="AE1662" t="s">
        <v>18467</v>
      </c>
      <c r="AF1662" t="s">
        <v>18468</v>
      </c>
      <c r="AG1662" t="s">
        <v>18469</v>
      </c>
      <c r="AH1662" t="s">
        <v>69</v>
      </c>
      <c r="AI1662" t="s">
        <v>69</v>
      </c>
      <c r="AJ1662" t="s">
        <v>69</v>
      </c>
      <c r="AK1662" t="s">
        <v>69</v>
      </c>
      <c r="AL1662">
        <v>156</v>
      </c>
      <c r="AM1662">
        <v>5</v>
      </c>
      <c r="AN1662">
        <v>5</v>
      </c>
      <c r="AO1662">
        <v>0</v>
      </c>
      <c r="AP1662">
        <v>12</v>
      </c>
      <c r="AQ1662" t="s">
        <v>18470</v>
      </c>
      <c r="AR1662" t="s">
        <v>8637</v>
      </c>
      <c r="AS1662" t="s">
        <v>18471</v>
      </c>
      <c r="AT1662" t="s">
        <v>18472</v>
      </c>
      <c r="AU1662" t="s">
        <v>69</v>
      </c>
      <c r="AV1662" t="s">
        <v>69</v>
      </c>
      <c r="AW1662" t="s">
        <v>18473</v>
      </c>
      <c r="AX1662" t="s">
        <v>18474</v>
      </c>
      <c r="AY1662" t="s">
        <v>201</v>
      </c>
      <c r="AZ1662">
        <v>2018</v>
      </c>
      <c r="BA1662">
        <v>34</v>
      </c>
      <c r="BB1662">
        <v>4</v>
      </c>
      <c r="BC1662" t="s">
        <v>69</v>
      </c>
      <c r="BD1662" t="s">
        <v>69</v>
      </c>
      <c r="BE1662" t="s">
        <v>69</v>
      </c>
      <c r="BF1662" t="s">
        <v>69</v>
      </c>
      <c r="BG1662">
        <v>677</v>
      </c>
      <c r="BH1662">
        <v>700</v>
      </c>
      <c r="BI1662" t="s">
        <v>69</v>
      </c>
      <c r="BJ1662" t="s">
        <v>18475</v>
      </c>
      <c r="BK1662" t="str">
        <f>HYPERLINK("http://dx.doi.org/10.1016/j.clsr.2018.05.006","http://dx.doi.org/10.1016/j.clsr.2018.05.006")</f>
        <v>http://dx.doi.org/10.1016/j.clsr.2018.05.006</v>
      </c>
      <c r="BL1662" t="s">
        <v>69</v>
      </c>
      <c r="BM1662" t="s">
        <v>69</v>
      </c>
      <c r="BN1662">
        <v>24</v>
      </c>
      <c r="BO1662" t="s">
        <v>8452</v>
      </c>
      <c r="BP1662" t="s">
        <v>8661</v>
      </c>
      <c r="BQ1662" t="s">
        <v>10084</v>
      </c>
      <c r="BR1662" t="s">
        <v>18476</v>
      </c>
      <c r="BS1662" t="s">
        <v>18477</v>
      </c>
      <c r="BT1662" t="s">
        <v>69</v>
      </c>
      <c r="BU1662" t="s">
        <v>69</v>
      </c>
      <c r="BV1662" t="s">
        <v>69</v>
      </c>
      <c r="BW1662" t="s">
        <v>69</v>
      </c>
      <c r="BX1662" t="s">
        <v>8526</v>
      </c>
      <c r="BY1662" t="str">
        <f>HYPERLINK("https%3A%2F%2Fwww.webofscience.com%2Fwos%2Fwoscc%2Ffull-record%2FWOS:000441655000003","View Full Record in Web of Science")</f>
        <v>View Full Record in Web of Science</v>
      </c>
    </row>
    <row r="1663" spans="1:77" ht="12.5" x14ac:dyDescent="0.25">
      <c r="A1663" t="s">
        <v>8495</v>
      </c>
      <c r="B1663" s="22" t="s">
        <v>32931</v>
      </c>
      <c r="C1663" s="7"/>
      <c r="D1663" s="7"/>
      <c r="E1663" s="7"/>
      <c r="F1663" t="s">
        <v>67</v>
      </c>
      <c r="G1663" t="s">
        <v>15256</v>
      </c>
      <c r="H1663" t="s">
        <v>69</v>
      </c>
      <c r="I1663" t="s">
        <v>69</v>
      </c>
      <c r="J1663" t="s">
        <v>69</v>
      </c>
      <c r="K1663" t="s">
        <v>15257</v>
      </c>
      <c r="L1663" t="s">
        <v>69</v>
      </c>
      <c r="M1663" t="s">
        <v>69</v>
      </c>
      <c r="N1663" t="s">
        <v>15258</v>
      </c>
      <c r="O1663" t="s">
        <v>3097</v>
      </c>
      <c r="P1663" t="s">
        <v>69</v>
      </c>
      <c r="Q1663" t="s">
        <v>69</v>
      </c>
      <c r="R1663" t="s">
        <v>8505</v>
      </c>
      <c r="S1663" t="s">
        <v>8506</v>
      </c>
      <c r="T1663" t="s">
        <v>69</v>
      </c>
      <c r="U1663" t="s">
        <v>69</v>
      </c>
      <c r="V1663" t="s">
        <v>69</v>
      </c>
      <c r="W1663" t="s">
        <v>69</v>
      </c>
      <c r="X1663" t="s">
        <v>69</v>
      </c>
      <c r="Y1663" t="s">
        <v>15259</v>
      </c>
      <c r="Z1663" t="s">
        <v>15260</v>
      </c>
      <c r="AA1663" t="s">
        <v>15261</v>
      </c>
      <c r="AB1663" t="s">
        <v>15262</v>
      </c>
      <c r="AC1663" t="s">
        <v>69</v>
      </c>
      <c r="AD1663" t="s">
        <v>15263</v>
      </c>
      <c r="AE1663" t="s">
        <v>15264</v>
      </c>
      <c r="AF1663" t="s">
        <v>69</v>
      </c>
      <c r="AG1663" t="s">
        <v>69</v>
      </c>
      <c r="AH1663" t="s">
        <v>15265</v>
      </c>
      <c r="AI1663" t="s">
        <v>15265</v>
      </c>
      <c r="AJ1663" t="s">
        <v>15266</v>
      </c>
      <c r="AK1663" t="s">
        <v>69</v>
      </c>
      <c r="AL1663">
        <v>43</v>
      </c>
      <c r="AM1663">
        <v>0</v>
      </c>
      <c r="AN1663">
        <v>0</v>
      </c>
      <c r="AO1663">
        <v>1</v>
      </c>
      <c r="AP1663">
        <v>5</v>
      </c>
      <c r="AQ1663" t="s">
        <v>8586</v>
      </c>
      <c r="AR1663" t="s">
        <v>8587</v>
      </c>
      <c r="AS1663" t="s">
        <v>8588</v>
      </c>
      <c r="AT1663" t="s">
        <v>3099</v>
      </c>
      <c r="AU1663" t="s">
        <v>3100</v>
      </c>
      <c r="AV1663" t="s">
        <v>69</v>
      </c>
      <c r="AW1663" t="s">
        <v>15267</v>
      </c>
      <c r="AX1663" t="s">
        <v>15268</v>
      </c>
      <c r="AY1663" t="s">
        <v>2003</v>
      </c>
      <c r="AZ1663">
        <v>2020</v>
      </c>
      <c r="BA1663">
        <v>38</v>
      </c>
      <c r="BB1663">
        <v>5</v>
      </c>
      <c r="BC1663" t="s">
        <v>69</v>
      </c>
      <c r="BD1663" t="s">
        <v>69</v>
      </c>
      <c r="BE1663" t="s">
        <v>114</v>
      </c>
      <c r="BF1663" t="s">
        <v>69</v>
      </c>
      <c r="BG1663">
        <v>435</v>
      </c>
      <c r="BH1663">
        <v>447</v>
      </c>
      <c r="BI1663" t="s">
        <v>69</v>
      </c>
      <c r="BJ1663" t="s">
        <v>15269</v>
      </c>
      <c r="BK1663" t="str">
        <f>HYPERLINK("http://dx.doi.org/10.1108/JPIF-01-2020-0013","http://dx.doi.org/10.1108/JPIF-01-2020-0013")</f>
        <v>http://dx.doi.org/10.1108/JPIF-01-2020-0013</v>
      </c>
      <c r="BL1663" t="s">
        <v>69</v>
      </c>
      <c r="BM1663" t="s">
        <v>732</v>
      </c>
      <c r="BN1663">
        <v>13</v>
      </c>
      <c r="BO1663" t="s">
        <v>9749</v>
      </c>
      <c r="BP1663" t="s">
        <v>8573</v>
      </c>
      <c r="BQ1663" t="s">
        <v>8594</v>
      </c>
      <c r="BR1663" t="s">
        <v>15270</v>
      </c>
      <c r="BS1663" t="s">
        <v>15271</v>
      </c>
      <c r="BT1663" t="s">
        <v>69</v>
      </c>
      <c r="BU1663" t="s">
        <v>9292</v>
      </c>
      <c r="BV1663" t="s">
        <v>69</v>
      </c>
      <c r="BW1663" t="s">
        <v>69</v>
      </c>
      <c r="BX1663" t="s">
        <v>8526</v>
      </c>
      <c r="BY1663" t="str">
        <f>HYPERLINK("https%3A%2F%2Fwww.webofscience.com%2Fwos%2Fwoscc%2Ffull-record%2FWOS:000529700500001","View Full Record in Web of Science")</f>
        <v>View Full Record in Web of Science</v>
      </c>
    </row>
    <row r="1664" spans="1:77" ht="12.5" x14ac:dyDescent="0.25">
      <c r="A1664" t="s">
        <v>8495</v>
      </c>
      <c r="B1664" s="7" t="s">
        <v>32933</v>
      </c>
      <c r="C1664" s="7"/>
      <c r="D1664" s="7"/>
      <c r="E1664" s="7"/>
      <c r="F1664" t="s">
        <v>67</v>
      </c>
      <c r="G1664" t="s">
        <v>4269</v>
      </c>
      <c r="H1664" t="s">
        <v>69</v>
      </c>
      <c r="I1664" t="s">
        <v>69</v>
      </c>
      <c r="J1664" t="s">
        <v>69</v>
      </c>
      <c r="K1664" t="s">
        <v>4269</v>
      </c>
      <c r="L1664" t="s">
        <v>69</v>
      </c>
      <c r="M1664" t="s">
        <v>69</v>
      </c>
      <c r="N1664" t="s">
        <v>4270</v>
      </c>
      <c r="O1664" t="s">
        <v>4271</v>
      </c>
      <c r="P1664" t="s">
        <v>69</v>
      </c>
      <c r="Q1664" t="s">
        <v>69</v>
      </c>
      <c r="R1664" t="s">
        <v>8505</v>
      </c>
      <c r="S1664" t="s">
        <v>8506</v>
      </c>
      <c r="T1664" t="s">
        <v>69</v>
      </c>
      <c r="U1664" t="s">
        <v>69</v>
      </c>
      <c r="V1664" t="s">
        <v>69</v>
      </c>
      <c r="W1664" t="s">
        <v>69</v>
      </c>
      <c r="X1664" t="s">
        <v>69</v>
      </c>
      <c r="Y1664" t="s">
        <v>69</v>
      </c>
      <c r="Z1664" t="s">
        <v>69</v>
      </c>
      <c r="AA1664" t="s">
        <v>4272</v>
      </c>
      <c r="AB1664" t="s">
        <v>69</v>
      </c>
      <c r="AC1664" t="s">
        <v>69</v>
      </c>
      <c r="AD1664" t="s">
        <v>32546</v>
      </c>
      <c r="AE1664" t="s">
        <v>69</v>
      </c>
      <c r="AF1664" t="s">
        <v>69</v>
      </c>
      <c r="AG1664" t="s">
        <v>69</v>
      </c>
      <c r="AH1664" t="s">
        <v>69</v>
      </c>
      <c r="AI1664" t="s">
        <v>69</v>
      </c>
      <c r="AJ1664" t="s">
        <v>69</v>
      </c>
      <c r="AK1664" t="s">
        <v>69</v>
      </c>
      <c r="AL1664">
        <v>22</v>
      </c>
      <c r="AM1664">
        <v>10</v>
      </c>
      <c r="AN1664">
        <v>10</v>
      </c>
      <c r="AO1664">
        <v>0</v>
      </c>
      <c r="AP1664">
        <v>5</v>
      </c>
      <c r="AQ1664" t="s">
        <v>32547</v>
      </c>
      <c r="AR1664" t="s">
        <v>32548</v>
      </c>
      <c r="AS1664" t="s">
        <v>32549</v>
      </c>
      <c r="AT1664" t="s">
        <v>4273</v>
      </c>
      <c r="AU1664" t="s">
        <v>69</v>
      </c>
      <c r="AV1664" t="s">
        <v>69</v>
      </c>
      <c r="AW1664" t="s">
        <v>32550</v>
      </c>
      <c r="AX1664" t="s">
        <v>32551</v>
      </c>
      <c r="AY1664" t="s">
        <v>75</v>
      </c>
      <c r="AZ1664">
        <v>1995</v>
      </c>
      <c r="BA1664">
        <v>68</v>
      </c>
      <c r="BB1664" t="s">
        <v>69</v>
      </c>
      <c r="BC1664">
        <v>4</v>
      </c>
      <c r="BD1664" t="s">
        <v>69</v>
      </c>
      <c r="BE1664" t="s">
        <v>69</v>
      </c>
      <c r="BF1664" t="s">
        <v>69</v>
      </c>
      <c r="BG1664">
        <v>291</v>
      </c>
      <c r="BH1664">
        <v>300</v>
      </c>
      <c r="BI1664" t="s">
        <v>69</v>
      </c>
      <c r="BJ1664" t="s">
        <v>4274</v>
      </c>
      <c r="BK1664" t="str">
        <f>HYPERLINK("http://dx.doi.org/10.1111/j.2044-8325.1995.tb00588.x","http://dx.doi.org/10.1111/j.2044-8325.1995.tb00588.x")</f>
        <v>http://dx.doi.org/10.1111/j.2044-8325.1995.tb00588.x</v>
      </c>
      <c r="BL1664" t="s">
        <v>69</v>
      </c>
      <c r="BM1664" t="s">
        <v>69</v>
      </c>
      <c r="BN1664">
        <v>10</v>
      </c>
      <c r="BO1664" t="s">
        <v>32552</v>
      </c>
      <c r="BP1664" t="s">
        <v>8661</v>
      </c>
      <c r="BQ1664" t="s">
        <v>32553</v>
      </c>
      <c r="BR1664" t="s">
        <v>32554</v>
      </c>
      <c r="BS1664" t="s">
        <v>4275</v>
      </c>
      <c r="BT1664" t="s">
        <v>69</v>
      </c>
      <c r="BU1664" t="s">
        <v>69</v>
      </c>
      <c r="BV1664" t="s">
        <v>69</v>
      </c>
      <c r="BW1664" t="s">
        <v>69</v>
      </c>
      <c r="BX1664" t="s">
        <v>8526</v>
      </c>
      <c r="BY1664" t="str">
        <f>HYPERLINK("https%3A%2F%2Fwww.webofscience.com%2Fwos%2Fwoscc%2Ffull-record%2FWOS:A1995TJ57500002","View Full Record in Web of Science")</f>
        <v>View Full Record in Web of Science</v>
      </c>
    </row>
    <row r="1665" spans="1:77" ht="12.5" x14ac:dyDescent="0.25">
      <c r="A1665" t="s">
        <v>8495</v>
      </c>
      <c r="B1665" s="22" t="s">
        <v>32931</v>
      </c>
      <c r="C1665" s="7"/>
      <c r="D1665" s="7"/>
      <c r="E1665" s="7"/>
      <c r="F1665" t="s">
        <v>67</v>
      </c>
      <c r="G1665" t="s">
        <v>19639</v>
      </c>
      <c r="H1665" t="s">
        <v>69</v>
      </c>
      <c r="I1665" t="s">
        <v>69</v>
      </c>
      <c r="J1665" t="s">
        <v>69</v>
      </c>
      <c r="K1665" t="s">
        <v>19640</v>
      </c>
      <c r="L1665" t="s">
        <v>69</v>
      </c>
      <c r="M1665" t="s">
        <v>69</v>
      </c>
      <c r="N1665" t="s">
        <v>19641</v>
      </c>
      <c r="O1665" t="s">
        <v>19642</v>
      </c>
      <c r="P1665" t="s">
        <v>69</v>
      </c>
      <c r="Q1665" t="s">
        <v>69</v>
      </c>
      <c r="R1665" t="s">
        <v>8505</v>
      </c>
      <c r="S1665" t="s">
        <v>10174</v>
      </c>
      <c r="T1665" t="s">
        <v>69</v>
      </c>
      <c r="U1665" t="s">
        <v>69</v>
      </c>
      <c r="V1665" t="s">
        <v>69</v>
      </c>
      <c r="W1665" t="s">
        <v>69</v>
      </c>
      <c r="X1665" t="s">
        <v>69</v>
      </c>
      <c r="Y1665" t="s">
        <v>19643</v>
      </c>
      <c r="Z1665" t="s">
        <v>19644</v>
      </c>
      <c r="AA1665" t="s">
        <v>19645</v>
      </c>
      <c r="AB1665" t="s">
        <v>19646</v>
      </c>
      <c r="AC1665" t="s">
        <v>69</v>
      </c>
      <c r="AD1665" t="s">
        <v>19647</v>
      </c>
      <c r="AE1665" t="s">
        <v>19648</v>
      </c>
      <c r="AF1665" t="s">
        <v>69</v>
      </c>
      <c r="AG1665" t="s">
        <v>69</v>
      </c>
      <c r="AH1665" t="s">
        <v>69</v>
      </c>
      <c r="AI1665" t="s">
        <v>69</v>
      </c>
      <c r="AJ1665" t="s">
        <v>69</v>
      </c>
      <c r="AK1665" t="s">
        <v>69</v>
      </c>
      <c r="AL1665">
        <v>12</v>
      </c>
      <c r="AM1665">
        <v>11</v>
      </c>
      <c r="AN1665">
        <v>11</v>
      </c>
      <c r="AO1665">
        <v>0</v>
      </c>
      <c r="AP1665">
        <v>7</v>
      </c>
      <c r="AQ1665" t="s">
        <v>8611</v>
      </c>
      <c r="AR1665" t="s">
        <v>8612</v>
      </c>
      <c r="AS1665" t="s">
        <v>8613</v>
      </c>
      <c r="AT1665" t="s">
        <v>19649</v>
      </c>
      <c r="AU1665" t="s">
        <v>19650</v>
      </c>
      <c r="AV1665" t="s">
        <v>69</v>
      </c>
      <c r="AW1665" t="s">
        <v>19651</v>
      </c>
      <c r="AX1665" t="s">
        <v>19652</v>
      </c>
      <c r="AY1665" t="s">
        <v>69</v>
      </c>
      <c r="AZ1665">
        <v>2018</v>
      </c>
      <c r="BA1665">
        <v>20</v>
      </c>
      <c r="BB1665">
        <v>1</v>
      </c>
      <c r="BC1665" t="s">
        <v>69</v>
      </c>
      <c r="BD1665" t="s">
        <v>69</v>
      </c>
      <c r="BE1665" t="s">
        <v>114</v>
      </c>
      <c r="BF1665" t="s">
        <v>69</v>
      </c>
      <c r="BG1665">
        <v>34</v>
      </c>
      <c r="BH1665">
        <v>38</v>
      </c>
      <c r="BI1665" t="s">
        <v>69</v>
      </c>
      <c r="BJ1665" t="s">
        <v>19653</v>
      </c>
      <c r="BK1665" t="str">
        <f>HYPERLINK("http://dx.doi.org/10.1080/17549507.2018.1422023","http://dx.doi.org/10.1080/17549507.2018.1422023")</f>
        <v>http://dx.doi.org/10.1080/17549507.2018.1422023</v>
      </c>
      <c r="BL1665" t="s">
        <v>69</v>
      </c>
      <c r="BM1665" t="s">
        <v>69</v>
      </c>
      <c r="BN1665">
        <v>5</v>
      </c>
      <c r="BO1665" t="s">
        <v>19654</v>
      </c>
      <c r="BP1665" t="s">
        <v>8523</v>
      </c>
      <c r="BQ1665" t="s">
        <v>19654</v>
      </c>
      <c r="BR1665" t="s">
        <v>19655</v>
      </c>
      <c r="BS1665" t="s">
        <v>19656</v>
      </c>
      <c r="BT1665">
        <v>29355390</v>
      </c>
      <c r="BU1665" t="s">
        <v>9374</v>
      </c>
      <c r="BV1665" t="s">
        <v>69</v>
      </c>
      <c r="BW1665" t="s">
        <v>69</v>
      </c>
      <c r="BX1665" t="s">
        <v>8526</v>
      </c>
      <c r="BY1665" t="str">
        <f>HYPERLINK("https%3A%2F%2Fwww.webofscience.com%2Fwos%2Fwoscc%2Ffull-record%2FWOS:000425771500007","View Full Record in Web of Science")</f>
        <v>View Full Record in Web of Science</v>
      </c>
    </row>
    <row r="1666" spans="1:77" x14ac:dyDescent="0.3">
      <c r="A1666" t="s">
        <v>8495</v>
      </c>
      <c r="B1666" s="12" t="s">
        <v>33033</v>
      </c>
      <c r="F1666" t="s">
        <v>67</v>
      </c>
      <c r="G1666" t="s">
        <v>4648</v>
      </c>
      <c r="H1666" t="s">
        <v>69</v>
      </c>
      <c r="I1666" t="s">
        <v>69</v>
      </c>
      <c r="J1666" t="s">
        <v>69</v>
      </c>
      <c r="K1666" s="3" t="s">
        <v>4648</v>
      </c>
      <c r="L1666" t="s">
        <v>69</v>
      </c>
      <c r="M1666" t="s">
        <v>69</v>
      </c>
      <c r="N1666" s="2" t="s">
        <v>4649</v>
      </c>
      <c r="O1666" t="s">
        <v>4650</v>
      </c>
      <c r="P1666" t="s">
        <v>69</v>
      </c>
      <c r="Q1666" t="s">
        <v>69</v>
      </c>
      <c r="R1666" t="s">
        <v>8505</v>
      </c>
      <c r="S1666" t="s">
        <v>15797</v>
      </c>
      <c r="T1666" t="s">
        <v>4651</v>
      </c>
      <c r="U1666">
        <v>2001</v>
      </c>
      <c r="V1666" t="s">
        <v>4652</v>
      </c>
      <c r="W1666" t="s">
        <v>69</v>
      </c>
      <c r="X1666" t="s">
        <v>69</v>
      </c>
      <c r="Y1666" t="s">
        <v>69</v>
      </c>
      <c r="Z1666" t="s">
        <v>22653</v>
      </c>
      <c r="AA1666" t="s">
        <v>4653</v>
      </c>
      <c r="AB1666" t="s">
        <v>31319</v>
      </c>
      <c r="AC1666" t="s">
        <v>69</v>
      </c>
      <c r="AD1666" t="s">
        <v>31320</v>
      </c>
      <c r="AE1666" t="s">
        <v>69</v>
      </c>
      <c r="AF1666" t="s">
        <v>69</v>
      </c>
      <c r="AG1666" t="s">
        <v>69</v>
      </c>
      <c r="AH1666" t="s">
        <v>69</v>
      </c>
      <c r="AI1666" t="s">
        <v>69</v>
      </c>
      <c r="AJ1666" t="s">
        <v>69</v>
      </c>
      <c r="AK1666" t="s">
        <v>69</v>
      </c>
      <c r="AL1666">
        <v>15</v>
      </c>
      <c r="AM1666">
        <v>3</v>
      </c>
      <c r="AN1666">
        <v>3</v>
      </c>
      <c r="AO1666">
        <v>0</v>
      </c>
      <c r="AP1666">
        <v>8</v>
      </c>
      <c r="AQ1666" t="s">
        <v>31321</v>
      </c>
      <c r="AR1666" t="s">
        <v>31322</v>
      </c>
      <c r="AS1666" t="s">
        <v>31323</v>
      </c>
      <c r="AT1666" t="s">
        <v>4654</v>
      </c>
      <c r="AU1666" t="s">
        <v>69</v>
      </c>
      <c r="AV1666" t="s">
        <v>69</v>
      </c>
      <c r="AW1666" t="s">
        <v>29478</v>
      </c>
      <c r="AX1666" t="s">
        <v>29479</v>
      </c>
      <c r="AY1666" t="s">
        <v>373</v>
      </c>
      <c r="AZ1666">
        <v>2003</v>
      </c>
      <c r="BA1666">
        <v>23</v>
      </c>
      <c r="BB1666">
        <v>1</v>
      </c>
      <c r="BC1666" t="s">
        <v>69</v>
      </c>
      <c r="BD1666" t="s">
        <v>69</v>
      </c>
      <c r="BE1666" t="s">
        <v>69</v>
      </c>
      <c r="BF1666" t="s">
        <v>69</v>
      </c>
      <c r="BG1666">
        <v>95</v>
      </c>
      <c r="BH1666">
        <v>118</v>
      </c>
      <c r="BI1666" t="s">
        <v>69</v>
      </c>
      <c r="BJ1666" t="s">
        <v>4655</v>
      </c>
      <c r="BK1666" t="str">
        <f>HYPERLINK("http://dx.doi.org/10.1080/02642060412331300802","http://dx.doi.org/10.1080/02642060412331300802")</f>
        <v>http://dx.doi.org/10.1080/02642060412331300802</v>
      </c>
      <c r="BL1666" t="s">
        <v>69</v>
      </c>
      <c r="BM1666" t="s">
        <v>69</v>
      </c>
      <c r="BN1666">
        <v>24</v>
      </c>
      <c r="BO1666" t="s">
        <v>9410</v>
      </c>
      <c r="BP1666" t="s">
        <v>31324</v>
      </c>
      <c r="BQ1666" t="s">
        <v>8594</v>
      </c>
      <c r="BR1666" t="s">
        <v>31325</v>
      </c>
      <c r="BS1666" t="s">
        <v>4656</v>
      </c>
      <c r="BT1666" t="s">
        <v>69</v>
      </c>
      <c r="BU1666" t="s">
        <v>69</v>
      </c>
      <c r="BV1666" t="s">
        <v>69</v>
      </c>
      <c r="BW1666" t="s">
        <v>69</v>
      </c>
      <c r="BX1666" t="s">
        <v>8526</v>
      </c>
      <c r="BY1666" t="str">
        <f>HYPERLINK("https%3A%2F%2Fwww.webofscience.com%2Fwos%2Fwoscc%2Ffull-record%2FWOS:000180842600007","View Full Record in Web of Science")</f>
        <v>View Full Record in Web of Science</v>
      </c>
    </row>
    <row r="1667" spans="1:77" ht="12.5" x14ac:dyDescent="0.25">
      <c r="A1667" t="s">
        <v>8495</v>
      </c>
      <c r="B1667" s="22" t="s">
        <v>32931</v>
      </c>
      <c r="C1667" s="7"/>
      <c r="D1667" s="7"/>
      <c r="E1667" s="7"/>
      <c r="F1667" t="s">
        <v>67</v>
      </c>
      <c r="G1667" t="s">
        <v>14708</v>
      </c>
      <c r="H1667" t="s">
        <v>69</v>
      </c>
      <c r="I1667" t="s">
        <v>69</v>
      </c>
      <c r="J1667" t="s">
        <v>69</v>
      </c>
      <c r="K1667" t="s">
        <v>14709</v>
      </c>
      <c r="L1667" t="s">
        <v>69</v>
      </c>
      <c r="M1667" t="s">
        <v>69</v>
      </c>
      <c r="N1667" t="s">
        <v>14710</v>
      </c>
      <c r="O1667" t="s">
        <v>14711</v>
      </c>
      <c r="P1667" t="s">
        <v>69</v>
      </c>
      <c r="Q1667" t="s">
        <v>69</v>
      </c>
      <c r="R1667" t="s">
        <v>8505</v>
      </c>
      <c r="S1667" t="s">
        <v>8506</v>
      </c>
      <c r="T1667" t="s">
        <v>69</v>
      </c>
      <c r="U1667" t="s">
        <v>69</v>
      </c>
      <c r="V1667" t="s">
        <v>69</v>
      </c>
      <c r="W1667" t="s">
        <v>69</v>
      </c>
      <c r="X1667" t="s">
        <v>69</v>
      </c>
      <c r="Y1667" t="s">
        <v>69</v>
      </c>
      <c r="Z1667" t="s">
        <v>14712</v>
      </c>
      <c r="AA1667" t="s">
        <v>14713</v>
      </c>
      <c r="AB1667" t="s">
        <v>14714</v>
      </c>
      <c r="AC1667" t="s">
        <v>69</v>
      </c>
      <c r="AD1667" t="s">
        <v>14715</v>
      </c>
      <c r="AE1667" t="s">
        <v>14716</v>
      </c>
      <c r="AF1667" t="s">
        <v>69</v>
      </c>
      <c r="AG1667" t="s">
        <v>14717</v>
      </c>
      <c r="AH1667" t="s">
        <v>14718</v>
      </c>
      <c r="AI1667" t="s">
        <v>14718</v>
      </c>
      <c r="AJ1667" t="s">
        <v>14719</v>
      </c>
      <c r="AK1667" t="s">
        <v>69</v>
      </c>
      <c r="AL1667">
        <v>88</v>
      </c>
      <c r="AM1667">
        <v>14</v>
      </c>
      <c r="AN1667">
        <v>14</v>
      </c>
      <c r="AO1667">
        <v>7</v>
      </c>
      <c r="AP1667">
        <v>19</v>
      </c>
      <c r="AQ1667" t="s">
        <v>8865</v>
      </c>
      <c r="AR1667" t="s">
        <v>8612</v>
      </c>
      <c r="AS1667" t="s">
        <v>8866</v>
      </c>
      <c r="AT1667" t="s">
        <v>14720</v>
      </c>
      <c r="AU1667" t="s">
        <v>14721</v>
      </c>
      <c r="AV1667" t="s">
        <v>69</v>
      </c>
      <c r="AW1667" t="s">
        <v>14722</v>
      </c>
      <c r="AX1667" t="s">
        <v>14723</v>
      </c>
      <c r="AY1667" t="s">
        <v>891</v>
      </c>
      <c r="AZ1667">
        <v>2020</v>
      </c>
      <c r="BA1667">
        <v>31</v>
      </c>
      <c r="BB1667">
        <v>7</v>
      </c>
      <c r="BC1667" t="s">
        <v>69</v>
      </c>
      <c r="BD1667" t="s">
        <v>69</v>
      </c>
      <c r="BE1667" t="s">
        <v>114</v>
      </c>
      <c r="BF1667" t="s">
        <v>69</v>
      </c>
      <c r="BG1667">
        <v>1133</v>
      </c>
      <c r="BH1667">
        <v>1150</v>
      </c>
      <c r="BI1667" t="s">
        <v>69</v>
      </c>
      <c r="BJ1667" t="s">
        <v>14724</v>
      </c>
      <c r="BK1667" t="str">
        <f>HYPERLINK("http://dx.doi.org/10.1080/10409289.2020.1785267","http://dx.doi.org/10.1080/10409289.2020.1785267")</f>
        <v>http://dx.doi.org/10.1080/10409289.2020.1785267</v>
      </c>
      <c r="BL1667" t="s">
        <v>69</v>
      </c>
      <c r="BM1667" t="s">
        <v>702</v>
      </c>
      <c r="BN1667">
        <v>18</v>
      </c>
      <c r="BO1667" t="s">
        <v>14725</v>
      </c>
      <c r="BP1667" t="s">
        <v>8661</v>
      </c>
      <c r="BQ1667" t="s">
        <v>14726</v>
      </c>
      <c r="BR1667" t="s">
        <v>14727</v>
      </c>
      <c r="BS1667" t="s">
        <v>14728</v>
      </c>
      <c r="BT1667" t="s">
        <v>69</v>
      </c>
      <c r="BU1667" t="s">
        <v>69</v>
      </c>
      <c r="BV1667" t="s">
        <v>69</v>
      </c>
      <c r="BW1667" t="s">
        <v>69</v>
      </c>
      <c r="BX1667" t="s">
        <v>8526</v>
      </c>
      <c r="BY1667" t="str">
        <f>HYPERLINK("https%3A%2F%2Fwww.webofscience.com%2Fwos%2Fwoscc%2Ffull-record%2FWOS:000547646600001","View Full Record in Web of Science")</f>
        <v>View Full Record in Web of Science</v>
      </c>
    </row>
    <row r="1668" spans="1:77" ht="12.5" x14ac:dyDescent="0.25">
      <c r="A1668" t="s">
        <v>8495</v>
      </c>
      <c r="B1668" s="22" t="s">
        <v>32931</v>
      </c>
      <c r="C1668" s="7"/>
      <c r="D1668" s="7"/>
      <c r="E1668" s="7"/>
      <c r="F1668" t="s">
        <v>67</v>
      </c>
      <c r="G1668" t="s">
        <v>25452</v>
      </c>
      <c r="H1668" t="s">
        <v>69</v>
      </c>
      <c r="I1668" t="s">
        <v>69</v>
      </c>
      <c r="J1668" t="s">
        <v>69</v>
      </c>
      <c r="K1668" t="s">
        <v>25453</v>
      </c>
      <c r="L1668" t="s">
        <v>69</v>
      </c>
      <c r="M1668" t="s">
        <v>69</v>
      </c>
      <c r="N1668" t="s">
        <v>25454</v>
      </c>
      <c r="O1668" t="s">
        <v>25455</v>
      </c>
      <c r="P1668" t="s">
        <v>69</v>
      </c>
      <c r="Q1668" t="s">
        <v>69</v>
      </c>
      <c r="R1668" t="s">
        <v>8505</v>
      </c>
      <c r="S1668" t="s">
        <v>8506</v>
      </c>
      <c r="T1668" t="s">
        <v>69</v>
      </c>
      <c r="U1668" t="s">
        <v>69</v>
      </c>
      <c r="V1668" t="s">
        <v>69</v>
      </c>
      <c r="W1668" t="s">
        <v>69</v>
      </c>
      <c r="X1668" t="s">
        <v>69</v>
      </c>
      <c r="Y1668" t="s">
        <v>25456</v>
      </c>
      <c r="Z1668" t="s">
        <v>25457</v>
      </c>
      <c r="AA1668" t="s">
        <v>25458</v>
      </c>
      <c r="AB1668" t="s">
        <v>25459</v>
      </c>
      <c r="AC1668" t="s">
        <v>69</v>
      </c>
      <c r="AD1668" t="s">
        <v>25460</v>
      </c>
      <c r="AE1668" t="s">
        <v>25461</v>
      </c>
      <c r="AF1668" t="s">
        <v>69</v>
      </c>
      <c r="AG1668" t="s">
        <v>25462</v>
      </c>
      <c r="AH1668" t="s">
        <v>25463</v>
      </c>
      <c r="AI1668" t="s">
        <v>25464</v>
      </c>
      <c r="AJ1668" t="s">
        <v>25465</v>
      </c>
      <c r="AK1668" t="s">
        <v>69</v>
      </c>
      <c r="AL1668">
        <v>36</v>
      </c>
      <c r="AM1668">
        <v>23</v>
      </c>
      <c r="AN1668">
        <v>23</v>
      </c>
      <c r="AO1668">
        <v>0</v>
      </c>
      <c r="AP1668">
        <v>3</v>
      </c>
      <c r="AQ1668" t="s">
        <v>8865</v>
      </c>
      <c r="AR1668" t="s">
        <v>8612</v>
      </c>
      <c r="AS1668" t="s">
        <v>8866</v>
      </c>
      <c r="AT1668" t="s">
        <v>25466</v>
      </c>
      <c r="AU1668" t="s">
        <v>25467</v>
      </c>
      <c r="AV1668" t="s">
        <v>69</v>
      </c>
      <c r="AW1668" t="s">
        <v>25468</v>
      </c>
      <c r="AX1668" t="s">
        <v>25469</v>
      </c>
      <c r="AY1668" t="s">
        <v>69</v>
      </c>
      <c r="AZ1668">
        <v>2013</v>
      </c>
      <c r="BA1668">
        <v>5</v>
      </c>
      <c r="BB1668">
        <v>3</v>
      </c>
      <c r="BC1668" t="s">
        <v>69</v>
      </c>
      <c r="BD1668" t="s">
        <v>69</v>
      </c>
      <c r="BE1668" t="s">
        <v>69</v>
      </c>
      <c r="BF1668" t="s">
        <v>69</v>
      </c>
      <c r="BG1668">
        <v>270</v>
      </c>
      <c r="BH1668">
        <v>288</v>
      </c>
      <c r="BI1668" t="s">
        <v>69</v>
      </c>
      <c r="BJ1668" t="s">
        <v>25470</v>
      </c>
      <c r="BK1668" t="str">
        <f>HYPERLINK("http://dx.doi.org/10.1080/19407963.2013.789354","http://dx.doi.org/10.1080/19407963.2013.789354")</f>
        <v>http://dx.doi.org/10.1080/19407963.2013.789354</v>
      </c>
      <c r="BL1668" t="s">
        <v>69</v>
      </c>
      <c r="BM1668" t="s">
        <v>69</v>
      </c>
      <c r="BN1668">
        <v>19</v>
      </c>
      <c r="BO1668" t="s">
        <v>10278</v>
      </c>
      <c r="BP1668" t="s">
        <v>8573</v>
      </c>
      <c r="BQ1668" t="s">
        <v>10279</v>
      </c>
      <c r="BR1668" t="s">
        <v>25471</v>
      </c>
      <c r="BS1668" t="s">
        <v>25472</v>
      </c>
      <c r="BT1668" t="s">
        <v>69</v>
      </c>
      <c r="BU1668" t="s">
        <v>69</v>
      </c>
      <c r="BV1668" t="s">
        <v>69</v>
      </c>
      <c r="BW1668" t="s">
        <v>69</v>
      </c>
      <c r="BX1668" t="s">
        <v>8526</v>
      </c>
      <c r="BY1668" t="str">
        <f>HYPERLINK("https%3A%2F%2Fwww.webofscience.com%2Fwos%2Fwoscc%2Ffull-record%2FWOS:000214520100004","View Full Record in Web of Science")</f>
        <v>View Full Record in Web of Science</v>
      </c>
    </row>
    <row r="1669" spans="1:77" ht="12.5" x14ac:dyDescent="0.25">
      <c r="A1669" t="s">
        <v>8495</v>
      </c>
      <c r="B1669" s="7" t="s">
        <v>32933</v>
      </c>
      <c r="C1669" s="7"/>
      <c r="D1669" s="7"/>
      <c r="E1669" s="7"/>
      <c r="F1669" t="s">
        <v>67</v>
      </c>
      <c r="G1669" t="s">
        <v>7797</v>
      </c>
      <c r="H1669" t="s">
        <v>69</v>
      </c>
      <c r="I1669" t="s">
        <v>69</v>
      </c>
      <c r="J1669" t="s">
        <v>69</v>
      </c>
      <c r="K1669" t="s">
        <v>7797</v>
      </c>
      <c r="L1669" t="s">
        <v>69</v>
      </c>
      <c r="M1669" t="s">
        <v>69</v>
      </c>
      <c r="N1669" s="3" t="s">
        <v>7798</v>
      </c>
      <c r="O1669" t="s">
        <v>7799</v>
      </c>
      <c r="P1669" t="s">
        <v>69</v>
      </c>
      <c r="Q1669" t="s">
        <v>69</v>
      </c>
      <c r="R1669" t="s">
        <v>8505</v>
      </c>
      <c r="S1669" t="s">
        <v>8506</v>
      </c>
      <c r="T1669" t="s">
        <v>69</v>
      </c>
      <c r="U1669" t="s">
        <v>69</v>
      </c>
      <c r="V1669" t="s">
        <v>69</v>
      </c>
      <c r="W1669" t="s">
        <v>69</v>
      </c>
      <c r="X1669" t="s">
        <v>69</v>
      </c>
      <c r="Y1669" t="s">
        <v>69</v>
      </c>
      <c r="Z1669" t="s">
        <v>69</v>
      </c>
      <c r="AA1669" t="s">
        <v>7800</v>
      </c>
      <c r="AB1669" t="s">
        <v>31229</v>
      </c>
      <c r="AC1669" t="s">
        <v>69</v>
      </c>
      <c r="AD1669" t="s">
        <v>31230</v>
      </c>
      <c r="AE1669" t="s">
        <v>69</v>
      </c>
      <c r="AF1669" t="s">
        <v>69</v>
      </c>
      <c r="AG1669" t="s">
        <v>7801</v>
      </c>
      <c r="AH1669" t="s">
        <v>69</v>
      </c>
      <c r="AI1669" t="s">
        <v>69</v>
      </c>
      <c r="AJ1669" t="s">
        <v>69</v>
      </c>
      <c r="AK1669" t="s">
        <v>69</v>
      </c>
      <c r="AL1669">
        <v>43</v>
      </c>
      <c r="AM1669">
        <v>2</v>
      </c>
      <c r="AN1669">
        <v>2</v>
      </c>
      <c r="AO1669">
        <v>0</v>
      </c>
      <c r="AP1669">
        <v>4</v>
      </c>
      <c r="AQ1669" t="s">
        <v>31231</v>
      </c>
      <c r="AR1669" t="s">
        <v>27668</v>
      </c>
      <c r="AS1669" t="s">
        <v>31232</v>
      </c>
      <c r="AT1669" t="s">
        <v>7802</v>
      </c>
      <c r="AU1669" t="s">
        <v>69</v>
      </c>
      <c r="AV1669" t="s">
        <v>69</v>
      </c>
      <c r="AW1669" t="s">
        <v>31233</v>
      </c>
      <c r="AX1669" t="s">
        <v>31234</v>
      </c>
      <c r="AY1669" t="s">
        <v>586</v>
      </c>
      <c r="AZ1669">
        <v>2003</v>
      </c>
      <c r="BA1669">
        <v>37</v>
      </c>
      <c r="BB1669" t="s">
        <v>69</v>
      </c>
      <c r="BC1669">
        <v>2</v>
      </c>
      <c r="BD1669" t="s">
        <v>69</v>
      </c>
      <c r="BE1669" t="s">
        <v>69</v>
      </c>
      <c r="BF1669" t="s">
        <v>69</v>
      </c>
      <c r="BG1669">
        <v>157</v>
      </c>
      <c r="BH1669">
        <v>199</v>
      </c>
      <c r="BI1669" t="s">
        <v>69</v>
      </c>
      <c r="BJ1669" t="s">
        <v>69</v>
      </c>
      <c r="BK1669" t="s">
        <v>69</v>
      </c>
      <c r="BL1669" t="s">
        <v>69</v>
      </c>
      <c r="BM1669" t="s">
        <v>69</v>
      </c>
      <c r="BN1669">
        <v>43</v>
      </c>
      <c r="BO1669" t="s">
        <v>15300</v>
      </c>
      <c r="BP1669" t="s">
        <v>8661</v>
      </c>
      <c r="BQ1669" t="s">
        <v>15301</v>
      </c>
      <c r="BR1669" t="s">
        <v>31235</v>
      </c>
      <c r="BS1669" t="s">
        <v>7803</v>
      </c>
      <c r="BT1669" t="s">
        <v>69</v>
      </c>
      <c r="BU1669" t="s">
        <v>69</v>
      </c>
      <c r="BV1669" t="s">
        <v>69</v>
      </c>
      <c r="BW1669" t="s">
        <v>69</v>
      </c>
      <c r="BX1669" t="s">
        <v>8526</v>
      </c>
      <c r="BY1669" t="str">
        <f>HYPERLINK("https%3A%2F%2Fwww.webofscience.com%2Fwos%2Fwoscc%2Ffull-record%2FWOS:000222697800002","View Full Record in Web of Science")</f>
        <v>View Full Record in Web of Science</v>
      </c>
    </row>
    <row r="1670" spans="1:77" x14ac:dyDescent="0.3">
      <c r="A1670" t="s">
        <v>8495</v>
      </c>
      <c r="B1670" s="12" t="s">
        <v>33034</v>
      </c>
      <c r="F1670" t="s">
        <v>67</v>
      </c>
      <c r="G1670" t="s">
        <v>8247</v>
      </c>
      <c r="H1670" t="s">
        <v>69</v>
      </c>
      <c r="I1670" t="s">
        <v>69</v>
      </c>
      <c r="J1670" t="s">
        <v>69</v>
      </c>
      <c r="K1670" s="3" t="s">
        <v>8247</v>
      </c>
      <c r="L1670" t="s">
        <v>69</v>
      </c>
      <c r="M1670" t="s">
        <v>69</v>
      </c>
      <c r="N1670" s="11" t="s">
        <v>8248</v>
      </c>
      <c r="O1670" t="s">
        <v>8249</v>
      </c>
      <c r="P1670" t="s">
        <v>69</v>
      </c>
      <c r="Q1670" t="s">
        <v>69</v>
      </c>
      <c r="R1670" t="s">
        <v>8505</v>
      </c>
      <c r="S1670" t="s">
        <v>8506</v>
      </c>
      <c r="T1670" t="s">
        <v>69</v>
      </c>
      <c r="U1670" t="s">
        <v>69</v>
      </c>
      <c r="V1670" t="s">
        <v>69</v>
      </c>
      <c r="W1670" t="s">
        <v>69</v>
      </c>
      <c r="X1670" t="s">
        <v>69</v>
      </c>
      <c r="Y1670" t="s">
        <v>69</v>
      </c>
      <c r="Z1670" t="s">
        <v>69</v>
      </c>
      <c r="AA1670" t="s">
        <v>69</v>
      </c>
      <c r="AB1670" t="s">
        <v>69</v>
      </c>
      <c r="AC1670" t="s">
        <v>69</v>
      </c>
      <c r="AD1670" t="s">
        <v>32586</v>
      </c>
      <c r="AE1670" t="s">
        <v>69</v>
      </c>
      <c r="AF1670" t="s">
        <v>69</v>
      </c>
      <c r="AG1670" t="s">
        <v>69</v>
      </c>
      <c r="AH1670" t="s">
        <v>69</v>
      </c>
      <c r="AI1670" t="s">
        <v>69</v>
      </c>
      <c r="AJ1670" t="s">
        <v>69</v>
      </c>
      <c r="AK1670" t="s">
        <v>69</v>
      </c>
      <c r="AL1670">
        <v>7</v>
      </c>
      <c r="AM1670">
        <v>1</v>
      </c>
      <c r="AN1670">
        <v>1</v>
      </c>
      <c r="AO1670">
        <v>0</v>
      </c>
      <c r="AP1670">
        <v>0</v>
      </c>
      <c r="AQ1670" t="s">
        <v>32587</v>
      </c>
      <c r="AR1670" t="s">
        <v>32588</v>
      </c>
      <c r="AS1670" t="s">
        <v>32589</v>
      </c>
      <c r="AT1670" t="s">
        <v>8250</v>
      </c>
      <c r="AU1670" t="s">
        <v>69</v>
      </c>
      <c r="AV1670" t="s">
        <v>69</v>
      </c>
      <c r="AW1670" t="s">
        <v>8249</v>
      </c>
      <c r="AX1670" t="s">
        <v>32590</v>
      </c>
      <c r="AY1670" t="s">
        <v>1628</v>
      </c>
      <c r="AZ1670">
        <v>1995</v>
      </c>
      <c r="BA1670">
        <v>30</v>
      </c>
      <c r="BB1670">
        <v>2</v>
      </c>
      <c r="BC1670" t="s">
        <v>69</v>
      </c>
      <c r="BD1670" t="s">
        <v>69</v>
      </c>
      <c r="BE1670" t="s">
        <v>69</v>
      </c>
      <c r="BF1670" t="s">
        <v>69</v>
      </c>
      <c r="BG1670">
        <v>42</v>
      </c>
      <c r="BH1670">
        <v>55</v>
      </c>
      <c r="BI1670" t="s">
        <v>69</v>
      </c>
      <c r="BJ1670" t="s">
        <v>8251</v>
      </c>
      <c r="BK1670" t="str">
        <f>HYPERLINK("http://dx.doi.org/10.1353/eir.1995.0037","http://dx.doi.org/10.1353/eir.1995.0037")</f>
        <v>http://dx.doi.org/10.1353/eir.1995.0037</v>
      </c>
      <c r="BL1670" t="s">
        <v>69</v>
      </c>
      <c r="BM1670" t="s">
        <v>69</v>
      </c>
      <c r="BN1670">
        <v>14</v>
      </c>
      <c r="BO1670" t="s">
        <v>11206</v>
      </c>
      <c r="BP1670" t="s">
        <v>11207</v>
      </c>
      <c r="BQ1670" t="s">
        <v>11208</v>
      </c>
      <c r="BR1670" t="s">
        <v>32591</v>
      </c>
      <c r="BS1670" t="s">
        <v>8252</v>
      </c>
      <c r="BT1670" t="s">
        <v>69</v>
      </c>
      <c r="BU1670" t="s">
        <v>69</v>
      </c>
      <c r="BV1670" t="s">
        <v>69</v>
      </c>
      <c r="BW1670" t="s">
        <v>69</v>
      </c>
      <c r="BX1670" t="s">
        <v>8526</v>
      </c>
      <c r="BY1670" t="str">
        <f>HYPERLINK("https%3A%2F%2Fwww.webofscience.com%2Fwos%2Fwoscc%2Ffull-record%2FWOS:A1995RR18200003","View Full Record in Web of Science")</f>
        <v>View Full Record in Web of Science</v>
      </c>
    </row>
    <row r="1671" spans="1:77" ht="12.5" x14ac:dyDescent="0.25">
      <c r="A1671" t="s">
        <v>8495</v>
      </c>
      <c r="B1671" s="7" t="s">
        <v>32933</v>
      </c>
      <c r="C1671" s="7"/>
      <c r="D1671" s="7"/>
      <c r="E1671" s="7"/>
      <c r="F1671" t="s">
        <v>67</v>
      </c>
      <c r="G1671" t="s">
        <v>106</v>
      </c>
      <c r="H1671" t="s">
        <v>69</v>
      </c>
      <c r="I1671" t="s">
        <v>69</v>
      </c>
      <c r="J1671" t="s">
        <v>69</v>
      </c>
      <c r="K1671" t="s">
        <v>107</v>
      </c>
      <c r="L1671" t="s">
        <v>69</v>
      </c>
      <c r="M1671" t="s">
        <v>69</v>
      </c>
      <c r="N1671" s="1" t="s">
        <v>108</v>
      </c>
      <c r="O1671" t="s">
        <v>109</v>
      </c>
      <c r="P1671" t="s">
        <v>69</v>
      </c>
      <c r="Q1671" t="s">
        <v>69</v>
      </c>
      <c r="R1671" t="s">
        <v>8505</v>
      </c>
      <c r="S1671" t="s">
        <v>8506</v>
      </c>
      <c r="T1671" t="s">
        <v>69</v>
      </c>
      <c r="U1671" t="s">
        <v>69</v>
      </c>
      <c r="V1671" t="s">
        <v>69</v>
      </c>
      <c r="W1671" t="s">
        <v>69</v>
      </c>
      <c r="X1671" t="s">
        <v>69</v>
      </c>
      <c r="Y1671" t="s">
        <v>19444</v>
      </c>
      <c r="Z1671" t="s">
        <v>19445</v>
      </c>
      <c r="AA1671" t="s">
        <v>110</v>
      </c>
      <c r="AB1671" t="s">
        <v>19446</v>
      </c>
      <c r="AC1671" t="s">
        <v>69</v>
      </c>
      <c r="AD1671" t="s">
        <v>19447</v>
      </c>
      <c r="AE1671" t="s">
        <v>19448</v>
      </c>
      <c r="AF1671" t="s">
        <v>111</v>
      </c>
      <c r="AG1671" t="s">
        <v>19449</v>
      </c>
      <c r="AH1671" t="s">
        <v>19450</v>
      </c>
      <c r="AI1671" t="s">
        <v>19451</v>
      </c>
      <c r="AJ1671" t="s">
        <v>19452</v>
      </c>
      <c r="AK1671" t="s">
        <v>69</v>
      </c>
      <c r="AL1671">
        <v>60</v>
      </c>
      <c r="AM1671">
        <v>14</v>
      </c>
      <c r="AN1671">
        <v>14</v>
      </c>
      <c r="AO1671">
        <v>3</v>
      </c>
      <c r="AP1671">
        <v>7</v>
      </c>
      <c r="AQ1671" t="s">
        <v>8611</v>
      </c>
      <c r="AR1671" t="s">
        <v>8612</v>
      </c>
      <c r="AS1671" t="s">
        <v>8613</v>
      </c>
      <c r="AT1671" t="s">
        <v>112</v>
      </c>
      <c r="AU1671" t="s">
        <v>113</v>
      </c>
      <c r="AV1671" t="s">
        <v>69</v>
      </c>
      <c r="AW1671" t="s">
        <v>17784</v>
      </c>
      <c r="AX1671" t="s">
        <v>17785</v>
      </c>
      <c r="AY1671" t="s">
        <v>69</v>
      </c>
      <c r="AZ1671">
        <v>2018</v>
      </c>
      <c r="BA1671">
        <v>16</v>
      </c>
      <c r="BB1671">
        <v>3</v>
      </c>
      <c r="BC1671" t="s">
        <v>69</v>
      </c>
      <c r="BD1671" t="s">
        <v>69</v>
      </c>
      <c r="BE1671" t="s">
        <v>114</v>
      </c>
      <c r="BF1671" t="s">
        <v>69</v>
      </c>
      <c r="BG1671">
        <v>315</v>
      </c>
      <c r="BH1671">
        <v>328</v>
      </c>
      <c r="BI1671" t="s">
        <v>69</v>
      </c>
      <c r="BJ1671" t="s">
        <v>115</v>
      </c>
      <c r="BK1671" t="str">
        <f>HYPERLINK("http://dx.doi.org/10.1080/15715124.2017.1387127","http://dx.doi.org/10.1080/15715124.2017.1387127")</f>
        <v>http://dx.doi.org/10.1080/15715124.2017.1387127</v>
      </c>
      <c r="BL1671" t="s">
        <v>69</v>
      </c>
      <c r="BM1671" t="s">
        <v>69</v>
      </c>
      <c r="BN1671">
        <v>14</v>
      </c>
      <c r="BO1671" t="s">
        <v>9096</v>
      </c>
      <c r="BP1671" t="s">
        <v>8573</v>
      </c>
      <c r="BQ1671" t="s">
        <v>9096</v>
      </c>
      <c r="BR1671" t="s">
        <v>19453</v>
      </c>
      <c r="BS1671" t="s">
        <v>116</v>
      </c>
      <c r="BT1671" t="s">
        <v>69</v>
      </c>
      <c r="BU1671" t="s">
        <v>69</v>
      </c>
      <c r="BV1671" t="s">
        <v>69</v>
      </c>
      <c r="BW1671" t="s">
        <v>69</v>
      </c>
      <c r="BX1671" t="s">
        <v>8526</v>
      </c>
      <c r="BY1671" t="str">
        <f>HYPERLINK("https%3A%2F%2Fwww.webofscience.com%2Fwos%2Fwoscc%2Ffull-record%2FWOS:000438352100007","View Full Record in Web of Science")</f>
        <v>View Full Record in Web of Science</v>
      </c>
    </row>
    <row r="1672" spans="1:77" ht="12.5" x14ac:dyDescent="0.25">
      <c r="A1672" t="s">
        <v>8495</v>
      </c>
      <c r="B1672" s="22" t="s">
        <v>32931</v>
      </c>
      <c r="C1672" s="7"/>
      <c r="D1672" s="7"/>
      <c r="E1672" s="7"/>
      <c r="F1672" t="s">
        <v>67</v>
      </c>
      <c r="G1672" t="s">
        <v>18600</v>
      </c>
      <c r="H1672" t="s">
        <v>69</v>
      </c>
      <c r="I1672" t="s">
        <v>69</v>
      </c>
      <c r="J1672" t="s">
        <v>69</v>
      </c>
      <c r="K1672" t="s">
        <v>18601</v>
      </c>
      <c r="L1672" t="s">
        <v>69</v>
      </c>
      <c r="M1672" t="s">
        <v>69</v>
      </c>
      <c r="N1672" t="s">
        <v>18602</v>
      </c>
      <c r="O1672" t="s">
        <v>18603</v>
      </c>
      <c r="P1672" t="s">
        <v>69</v>
      </c>
      <c r="Q1672" t="s">
        <v>69</v>
      </c>
      <c r="R1672" t="s">
        <v>8505</v>
      </c>
      <c r="S1672" t="s">
        <v>8506</v>
      </c>
      <c r="T1672" t="s">
        <v>69</v>
      </c>
      <c r="U1672" t="s">
        <v>69</v>
      </c>
      <c r="V1672" t="s">
        <v>69</v>
      </c>
      <c r="W1672" t="s">
        <v>69</v>
      </c>
      <c r="X1672" t="s">
        <v>69</v>
      </c>
      <c r="Y1672" t="s">
        <v>18604</v>
      </c>
      <c r="Z1672" t="s">
        <v>69</v>
      </c>
      <c r="AA1672" t="s">
        <v>18605</v>
      </c>
      <c r="AB1672" t="s">
        <v>18606</v>
      </c>
      <c r="AC1672" t="s">
        <v>69</v>
      </c>
      <c r="AD1672" t="s">
        <v>18607</v>
      </c>
      <c r="AE1672" t="s">
        <v>69</v>
      </c>
      <c r="AF1672" t="s">
        <v>69</v>
      </c>
      <c r="AG1672" t="s">
        <v>69</v>
      </c>
      <c r="AH1672" t="s">
        <v>69</v>
      </c>
      <c r="AI1672" t="s">
        <v>69</v>
      </c>
      <c r="AJ1672" t="s">
        <v>69</v>
      </c>
      <c r="AK1672" t="s">
        <v>69</v>
      </c>
      <c r="AL1672">
        <v>3</v>
      </c>
      <c r="AM1672">
        <v>0</v>
      </c>
      <c r="AN1672">
        <v>0</v>
      </c>
      <c r="AO1672">
        <v>2</v>
      </c>
      <c r="AP1672">
        <v>13</v>
      </c>
      <c r="AQ1672" t="s">
        <v>14856</v>
      </c>
      <c r="AR1672" t="s">
        <v>11131</v>
      </c>
      <c r="AS1672" t="s">
        <v>14857</v>
      </c>
      <c r="AT1672" t="s">
        <v>18608</v>
      </c>
      <c r="AU1672" t="s">
        <v>18609</v>
      </c>
      <c r="AV1672" t="s">
        <v>69</v>
      </c>
      <c r="AW1672" t="s">
        <v>18610</v>
      </c>
      <c r="AX1672" t="s">
        <v>18611</v>
      </c>
      <c r="AY1672" t="s">
        <v>1226</v>
      </c>
      <c r="AZ1672">
        <v>2018</v>
      </c>
      <c r="BA1672">
        <v>88</v>
      </c>
      <c r="BB1672">
        <v>4</v>
      </c>
      <c r="BC1672" t="s">
        <v>69</v>
      </c>
      <c r="BD1672" t="s">
        <v>69</v>
      </c>
      <c r="BE1672" t="s">
        <v>114</v>
      </c>
      <c r="BF1672" t="s">
        <v>69</v>
      </c>
      <c r="BG1672">
        <v>112</v>
      </c>
      <c r="BH1672">
        <v>119</v>
      </c>
      <c r="BI1672" t="s">
        <v>69</v>
      </c>
      <c r="BJ1672" t="s">
        <v>18612</v>
      </c>
      <c r="BK1672" t="str">
        <f>HYPERLINK("http://dx.doi.org/10.1002/ad.2328","http://dx.doi.org/10.1002/ad.2328")</f>
        <v>http://dx.doi.org/10.1002/ad.2328</v>
      </c>
      <c r="BL1672" t="s">
        <v>69</v>
      </c>
      <c r="BM1672" t="s">
        <v>69</v>
      </c>
      <c r="BN1672">
        <v>8</v>
      </c>
      <c r="BO1672" t="s">
        <v>8449</v>
      </c>
      <c r="BP1672" t="s">
        <v>11207</v>
      </c>
      <c r="BQ1672" t="s">
        <v>8449</v>
      </c>
      <c r="BR1672" t="s">
        <v>18613</v>
      </c>
      <c r="BS1672" t="s">
        <v>18614</v>
      </c>
      <c r="BT1672" t="s">
        <v>69</v>
      </c>
      <c r="BU1672" t="s">
        <v>69</v>
      </c>
      <c r="BV1672" t="s">
        <v>69</v>
      </c>
      <c r="BW1672" t="s">
        <v>69</v>
      </c>
      <c r="BX1672" t="s">
        <v>8526</v>
      </c>
      <c r="BY1672" t="str">
        <f>HYPERLINK("https%3A%2F%2Fwww.webofscience.com%2Fwos%2Fwoscc%2Ffull-record%2FWOS:000436933600015","View Full Record in Web of Science")</f>
        <v>View Full Record in Web of Science</v>
      </c>
    </row>
    <row r="1673" spans="1:77" ht="12.5" x14ac:dyDescent="0.25">
      <c r="A1673" t="s">
        <v>8495</v>
      </c>
      <c r="B1673" s="22" t="s">
        <v>32931</v>
      </c>
      <c r="C1673" s="7"/>
      <c r="D1673" s="7"/>
      <c r="E1673" s="7"/>
      <c r="F1673" t="s">
        <v>67</v>
      </c>
      <c r="G1673" t="s">
        <v>27657</v>
      </c>
      <c r="H1673" t="s">
        <v>69</v>
      </c>
      <c r="I1673" t="s">
        <v>69</v>
      </c>
      <c r="J1673" t="s">
        <v>69</v>
      </c>
      <c r="K1673" t="s">
        <v>27658</v>
      </c>
      <c r="L1673" t="s">
        <v>69</v>
      </c>
      <c r="M1673" t="s">
        <v>69</v>
      </c>
      <c r="N1673" t="s">
        <v>27659</v>
      </c>
      <c r="O1673" t="s">
        <v>27660</v>
      </c>
      <c r="P1673" t="s">
        <v>69</v>
      </c>
      <c r="Q1673" t="s">
        <v>69</v>
      </c>
      <c r="R1673" t="s">
        <v>8505</v>
      </c>
      <c r="S1673" t="s">
        <v>8506</v>
      </c>
      <c r="T1673" t="s">
        <v>69</v>
      </c>
      <c r="U1673" t="s">
        <v>69</v>
      </c>
      <c r="V1673" t="s">
        <v>69</v>
      </c>
      <c r="W1673" t="s">
        <v>69</v>
      </c>
      <c r="X1673" t="s">
        <v>69</v>
      </c>
      <c r="Y1673" t="s">
        <v>27661</v>
      </c>
      <c r="Z1673" t="s">
        <v>27662</v>
      </c>
      <c r="AA1673" t="s">
        <v>27663</v>
      </c>
      <c r="AB1673" t="s">
        <v>27664</v>
      </c>
      <c r="AC1673" t="s">
        <v>69</v>
      </c>
      <c r="AD1673" t="s">
        <v>27665</v>
      </c>
      <c r="AE1673" t="s">
        <v>27666</v>
      </c>
      <c r="AF1673" t="s">
        <v>69</v>
      </c>
      <c r="AG1673" t="s">
        <v>69</v>
      </c>
      <c r="AH1673" t="s">
        <v>69</v>
      </c>
      <c r="AI1673" t="s">
        <v>69</v>
      </c>
      <c r="AJ1673" t="s">
        <v>69</v>
      </c>
      <c r="AK1673" t="s">
        <v>69</v>
      </c>
      <c r="AL1673">
        <v>98</v>
      </c>
      <c r="AM1673">
        <v>3</v>
      </c>
      <c r="AN1673">
        <v>3</v>
      </c>
      <c r="AO1673">
        <v>0</v>
      </c>
      <c r="AP1673">
        <v>7</v>
      </c>
      <c r="AQ1673" t="s">
        <v>27667</v>
      </c>
      <c r="AR1673" t="s">
        <v>27668</v>
      </c>
      <c r="AS1673" t="s">
        <v>27669</v>
      </c>
      <c r="AT1673" t="s">
        <v>27670</v>
      </c>
      <c r="AU1673" t="s">
        <v>27671</v>
      </c>
      <c r="AV1673" t="s">
        <v>69</v>
      </c>
      <c r="AW1673" t="s">
        <v>27672</v>
      </c>
      <c r="AX1673" t="s">
        <v>27673</v>
      </c>
      <c r="AY1673" t="s">
        <v>201</v>
      </c>
      <c r="AZ1673">
        <v>2010</v>
      </c>
      <c r="BA1673">
        <v>10</v>
      </c>
      <c r="BB1673">
        <v>3</v>
      </c>
      <c r="BC1673" t="s">
        <v>69</v>
      </c>
      <c r="BD1673" t="s">
        <v>69</v>
      </c>
      <c r="BE1673" t="s">
        <v>69</v>
      </c>
      <c r="BF1673" t="s">
        <v>69</v>
      </c>
      <c r="BG1673">
        <v>269</v>
      </c>
      <c r="BH1673">
        <v>278</v>
      </c>
      <c r="BI1673" t="s">
        <v>69</v>
      </c>
      <c r="BJ1673" t="s">
        <v>27674</v>
      </c>
      <c r="BK1673" t="str">
        <f>HYPERLINK("http://dx.doi.org/10.1144/1467-7873/09-233","http://dx.doi.org/10.1144/1467-7873/09-233")</f>
        <v>http://dx.doi.org/10.1144/1467-7873/09-233</v>
      </c>
      <c r="BL1673" t="s">
        <v>69</v>
      </c>
      <c r="BM1673" t="s">
        <v>69</v>
      </c>
      <c r="BN1673">
        <v>10</v>
      </c>
      <c r="BO1673" t="s">
        <v>23600</v>
      </c>
      <c r="BP1673" t="s">
        <v>8548</v>
      </c>
      <c r="BQ1673" t="s">
        <v>23600</v>
      </c>
      <c r="BR1673" t="s">
        <v>27675</v>
      </c>
      <c r="BS1673" t="s">
        <v>27676</v>
      </c>
      <c r="BT1673" t="s">
        <v>69</v>
      </c>
      <c r="BU1673" t="s">
        <v>69</v>
      </c>
      <c r="BV1673" t="s">
        <v>69</v>
      </c>
      <c r="BW1673" t="s">
        <v>69</v>
      </c>
      <c r="BX1673" t="s">
        <v>8526</v>
      </c>
      <c r="BY1673" t="str">
        <f>HYPERLINK("https%3A%2F%2Fwww.webofscience.com%2Fwos%2Fwoscc%2Ffull-record%2FWOS:000281603500006","View Full Record in Web of Science")</f>
        <v>View Full Record in Web of Science</v>
      </c>
    </row>
    <row r="1674" spans="1:77" ht="12.5" x14ac:dyDescent="0.25">
      <c r="A1674" t="s">
        <v>8495</v>
      </c>
      <c r="B1674" s="7" t="s">
        <v>32933</v>
      </c>
      <c r="C1674" s="7"/>
      <c r="D1674" s="7"/>
      <c r="E1674" s="7"/>
      <c r="F1674" t="s">
        <v>67</v>
      </c>
      <c r="G1674" t="s">
        <v>6198</v>
      </c>
      <c r="H1674" t="s">
        <v>69</v>
      </c>
      <c r="I1674" t="s">
        <v>69</v>
      </c>
      <c r="J1674" t="s">
        <v>69</v>
      </c>
      <c r="K1674" t="s">
        <v>6199</v>
      </c>
      <c r="L1674" t="s">
        <v>69</v>
      </c>
      <c r="M1674" t="s">
        <v>69</v>
      </c>
      <c r="N1674" t="s">
        <v>6200</v>
      </c>
      <c r="O1674" t="s">
        <v>457</v>
      </c>
      <c r="P1674" t="s">
        <v>69</v>
      </c>
      <c r="Q1674" t="s">
        <v>69</v>
      </c>
      <c r="R1674" t="s">
        <v>8505</v>
      </c>
      <c r="S1674" t="s">
        <v>8506</v>
      </c>
      <c r="T1674" t="s">
        <v>69</v>
      </c>
      <c r="U1674" t="s">
        <v>69</v>
      </c>
      <c r="V1674" t="s">
        <v>69</v>
      </c>
      <c r="W1674" t="s">
        <v>69</v>
      </c>
      <c r="X1674" t="s">
        <v>69</v>
      </c>
      <c r="Y1674" t="s">
        <v>17195</v>
      </c>
      <c r="Z1674" t="s">
        <v>17196</v>
      </c>
      <c r="AA1674" t="s">
        <v>6201</v>
      </c>
      <c r="AB1674" t="s">
        <v>17197</v>
      </c>
      <c r="AC1674" t="s">
        <v>69</v>
      </c>
      <c r="AD1674" t="s">
        <v>17198</v>
      </c>
      <c r="AE1674" t="s">
        <v>17199</v>
      </c>
      <c r="AF1674" t="s">
        <v>6202</v>
      </c>
      <c r="AG1674" t="s">
        <v>6203</v>
      </c>
      <c r="AH1674" t="s">
        <v>17200</v>
      </c>
      <c r="AI1674" t="s">
        <v>17201</v>
      </c>
      <c r="AJ1674" t="s">
        <v>17202</v>
      </c>
      <c r="AK1674" t="s">
        <v>69</v>
      </c>
      <c r="AL1674">
        <v>89</v>
      </c>
      <c r="AM1674">
        <v>3</v>
      </c>
      <c r="AN1674">
        <v>3</v>
      </c>
      <c r="AO1674">
        <v>2</v>
      </c>
      <c r="AP1674">
        <v>6</v>
      </c>
      <c r="AQ1674" t="s">
        <v>17203</v>
      </c>
      <c r="AR1674" t="s">
        <v>17204</v>
      </c>
      <c r="AS1674" t="s">
        <v>17205</v>
      </c>
      <c r="AT1674" t="s">
        <v>461</v>
      </c>
      <c r="AU1674" t="s">
        <v>462</v>
      </c>
      <c r="AV1674" t="s">
        <v>69</v>
      </c>
      <c r="AW1674" t="s">
        <v>17206</v>
      </c>
      <c r="AX1674" t="s">
        <v>17207</v>
      </c>
      <c r="AY1674" t="s">
        <v>155</v>
      </c>
      <c r="AZ1674">
        <v>2019</v>
      </c>
      <c r="BA1674">
        <v>21</v>
      </c>
      <c r="BB1674">
        <v>2</v>
      </c>
      <c r="BC1674" t="s">
        <v>69</v>
      </c>
      <c r="BD1674" t="s">
        <v>69</v>
      </c>
      <c r="BE1674" t="s">
        <v>69</v>
      </c>
      <c r="BF1674" t="s">
        <v>69</v>
      </c>
      <c r="BG1674">
        <v>238</v>
      </c>
      <c r="BH1674">
        <v>253</v>
      </c>
      <c r="BI1674" t="s">
        <v>69</v>
      </c>
      <c r="BJ1674" t="s">
        <v>6204</v>
      </c>
      <c r="BK1674" t="str">
        <f>HYPERLINK("http://dx.doi.org/10.1505/146554819826606522","http://dx.doi.org/10.1505/146554819826606522")</f>
        <v>http://dx.doi.org/10.1505/146554819826606522</v>
      </c>
      <c r="BL1674" t="s">
        <v>69</v>
      </c>
      <c r="BM1674" t="s">
        <v>69</v>
      </c>
      <c r="BN1674">
        <v>16</v>
      </c>
      <c r="BO1674" t="s">
        <v>8453</v>
      </c>
      <c r="BP1674" t="s">
        <v>8523</v>
      </c>
      <c r="BQ1674" t="s">
        <v>8453</v>
      </c>
      <c r="BR1674" t="s">
        <v>17208</v>
      </c>
      <c r="BS1674" t="s">
        <v>6205</v>
      </c>
      <c r="BT1674" t="s">
        <v>69</v>
      </c>
      <c r="BU1674" t="s">
        <v>8622</v>
      </c>
      <c r="BV1674" t="s">
        <v>69</v>
      </c>
      <c r="BW1674" t="s">
        <v>69</v>
      </c>
      <c r="BX1674" t="s">
        <v>8526</v>
      </c>
      <c r="BY1674" t="str">
        <f>HYPERLINK("https%3A%2F%2Fwww.webofscience.com%2Fwos%2Fwoscc%2Ffull-record%2FWOS:000471806900008","View Full Record in Web of Science")</f>
        <v>View Full Record in Web of Science</v>
      </c>
    </row>
    <row r="1675" spans="1:77" ht="12.5" x14ac:dyDescent="0.25">
      <c r="A1675" t="s">
        <v>8495</v>
      </c>
      <c r="B1675" s="22" t="s">
        <v>32931</v>
      </c>
      <c r="C1675" s="7"/>
      <c r="D1675" s="7"/>
      <c r="E1675" s="7"/>
      <c r="F1675" t="s">
        <v>67</v>
      </c>
      <c r="G1675" t="s">
        <v>19823</v>
      </c>
      <c r="H1675" t="s">
        <v>69</v>
      </c>
      <c r="I1675" t="s">
        <v>69</v>
      </c>
      <c r="J1675" t="s">
        <v>69</v>
      </c>
      <c r="K1675" t="s">
        <v>19824</v>
      </c>
      <c r="L1675" t="s">
        <v>69</v>
      </c>
      <c r="M1675" t="s">
        <v>69</v>
      </c>
      <c r="N1675" t="s">
        <v>19825</v>
      </c>
      <c r="O1675" t="s">
        <v>19826</v>
      </c>
      <c r="P1675" t="s">
        <v>69</v>
      </c>
      <c r="Q1675" t="s">
        <v>69</v>
      </c>
      <c r="R1675" t="s">
        <v>8505</v>
      </c>
      <c r="S1675" t="s">
        <v>8506</v>
      </c>
      <c r="T1675" t="s">
        <v>69</v>
      </c>
      <c r="U1675" t="s">
        <v>69</v>
      </c>
      <c r="V1675" t="s">
        <v>69</v>
      </c>
      <c r="W1675" t="s">
        <v>69</v>
      </c>
      <c r="X1675" t="s">
        <v>69</v>
      </c>
      <c r="Y1675" t="s">
        <v>19827</v>
      </c>
      <c r="Z1675" t="s">
        <v>19828</v>
      </c>
      <c r="AA1675" t="s">
        <v>19829</v>
      </c>
      <c r="AB1675" t="s">
        <v>19830</v>
      </c>
      <c r="AC1675" t="s">
        <v>69</v>
      </c>
      <c r="AD1675" t="s">
        <v>19831</v>
      </c>
      <c r="AE1675" t="s">
        <v>19832</v>
      </c>
      <c r="AF1675" t="s">
        <v>19833</v>
      </c>
      <c r="AG1675" t="s">
        <v>19834</v>
      </c>
      <c r="AH1675" t="s">
        <v>69</v>
      </c>
      <c r="AI1675" t="s">
        <v>69</v>
      </c>
      <c r="AJ1675" t="s">
        <v>69</v>
      </c>
      <c r="AK1675" t="s">
        <v>69</v>
      </c>
      <c r="AL1675">
        <v>75</v>
      </c>
      <c r="AM1675">
        <v>4</v>
      </c>
      <c r="AN1675">
        <v>4</v>
      </c>
      <c r="AO1675">
        <v>2</v>
      </c>
      <c r="AP1675">
        <v>9</v>
      </c>
      <c r="AQ1675" t="s">
        <v>16416</v>
      </c>
      <c r="AR1675" t="s">
        <v>16417</v>
      </c>
      <c r="AS1675" t="s">
        <v>16418</v>
      </c>
      <c r="AT1675" t="s">
        <v>19835</v>
      </c>
      <c r="AU1675" t="s">
        <v>19836</v>
      </c>
      <c r="AV1675" t="s">
        <v>69</v>
      </c>
      <c r="AW1675" t="s">
        <v>19837</v>
      </c>
      <c r="AX1675" t="s">
        <v>19838</v>
      </c>
      <c r="AY1675" t="s">
        <v>274</v>
      </c>
      <c r="AZ1675">
        <v>2017</v>
      </c>
      <c r="BA1675">
        <v>13</v>
      </c>
      <c r="BB1675">
        <v>4</v>
      </c>
      <c r="BC1675" t="s">
        <v>69</v>
      </c>
      <c r="BD1675" t="s">
        <v>69</v>
      </c>
      <c r="BE1675" t="s">
        <v>69</v>
      </c>
      <c r="BF1675" t="s">
        <v>69</v>
      </c>
      <c r="BG1675">
        <v>348</v>
      </c>
      <c r="BH1675">
        <v>359</v>
      </c>
      <c r="BI1675" t="s">
        <v>69</v>
      </c>
      <c r="BJ1675" t="s">
        <v>19839</v>
      </c>
      <c r="BK1675" t="str">
        <f>HYPERLINK("http://dx.doi.org/10.1057/s41254-016-0051-5","http://dx.doi.org/10.1057/s41254-016-0051-5")</f>
        <v>http://dx.doi.org/10.1057/s41254-016-0051-5</v>
      </c>
      <c r="BL1675" t="s">
        <v>69</v>
      </c>
      <c r="BM1675" t="s">
        <v>69</v>
      </c>
      <c r="BN1675">
        <v>12</v>
      </c>
      <c r="BO1675" t="s">
        <v>10278</v>
      </c>
      <c r="BP1675" t="s">
        <v>8573</v>
      </c>
      <c r="BQ1675" t="s">
        <v>10279</v>
      </c>
      <c r="BR1675" t="s">
        <v>19840</v>
      </c>
      <c r="BS1675" t="s">
        <v>19841</v>
      </c>
      <c r="BT1675" t="s">
        <v>69</v>
      </c>
      <c r="BU1675" t="s">
        <v>69</v>
      </c>
      <c r="BV1675" t="s">
        <v>69</v>
      </c>
      <c r="BW1675" t="s">
        <v>69</v>
      </c>
      <c r="BX1675" t="s">
        <v>8526</v>
      </c>
      <c r="BY1675" t="str">
        <f>HYPERLINK("https%3A%2F%2Fwww.webofscience.com%2Fwos%2Fwoscc%2Ffull-record%2FWOS:000413188100006","View Full Record in Web of Science")</f>
        <v>View Full Record in Web of Science</v>
      </c>
    </row>
    <row r="1676" spans="1:77" x14ac:dyDescent="0.3">
      <c r="A1676" t="s">
        <v>8495</v>
      </c>
      <c r="B1676" s="9" t="s">
        <v>32973</v>
      </c>
      <c r="C1676" s="9" t="s">
        <v>33134</v>
      </c>
      <c r="D1676" s="10" t="s">
        <v>8490</v>
      </c>
      <c r="E1676" s="9" t="s">
        <v>8490</v>
      </c>
      <c r="F1676" t="s">
        <v>67</v>
      </c>
      <c r="G1676" t="s">
        <v>15580</v>
      </c>
      <c r="H1676" t="s">
        <v>69</v>
      </c>
      <c r="I1676" t="s">
        <v>69</v>
      </c>
      <c r="J1676" t="s">
        <v>69</v>
      </c>
      <c r="K1676" t="s">
        <v>15581</v>
      </c>
      <c r="L1676" t="s">
        <v>69</v>
      </c>
      <c r="M1676" t="s">
        <v>69</v>
      </c>
      <c r="N1676" t="s">
        <v>15582</v>
      </c>
      <c r="O1676" t="s">
        <v>15583</v>
      </c>
      <c r="P1676" t="s">
        <v>69</v>
      </c>
      <c r="Q1676" t="s">
        <v>69</v>
      </c>
      <c r="R1676" t="s">
        <v>8505</v>
      </c>
      <c r="S1676" t="s">
        <v>8506</v>
      </c>
      <c r="T1676" t="s">
        <v>69</v>
      </c>
      <c r="U1676" t="s">
        <v>69</v>
      </c>
      <c r="V1676" t="s">
        <v>69</v>
      </c>
      <c r="W1676" t="s">
        <v>69</v>
      </c>
      <c r="X1676" t="s">
        <v>69</v>
      </c>
      <c r="Y1676" t="s">
        <v>15584</v>
      </c>
      <c r="Z1676" t="s">
        <v>15585</v>
      </c>
      <c r="AA1676" t="s">
        <v>15586</v>
      </c>
      <c r="AB1676" t="s">
        <v>15587</v>
      </c>
      <c r="AC1676" t="s">
        <v>69</v>
      </c>
      <c r="AD1676" t="s">
        <v>15588</v>
      </c>
      <c r="AE1676" t="s">
        <v>15589</v>
      </c>
      <c r="AF1676" t="s">
        <v>69</v>
      </c>
      <c r="AG1676" t="s">
        <v>15590</v>
      </c>
      <c r="AH1676" t="s">
        <v>15591</v>
      </c>
      <c r="AI1676" t="s">
        <v>15592</v>
      </c>
      <c r="AJ1676" t="s">
        <v>15593</v>
      </c>
      <c r="AK1676" t="s">
        <v>69</v>
      </c>
      <c r="AL1676">
        <v>58</v>
      </c>
      <c r="AM1676">
        <v>3</v>
      </c>
      <c r="AN1676">
        <v>3</v>
      </c>
      <c r="AO1676">
        <v>1</v>
      </c>
      <c r="AP1676">
        <v>3</v>
      </c>
      <c r="AQ1676" t="s">
        <v>8865</v>
      </c>
      <c r="AR1676" t="s">
        <v>8612</v>
      </c>
      <c r="AS1676" t="s">
        <v>8866</v>
      </c>
      <c r="AT1676" t="s">
        <v>15594</v>
      </c>
      <c r="AU1676" t="s">
        <v>15595</v>
      </c>
      <c r="AV1676" t="s">
        <v>69</v>
      </c>
      <c r="AW1676" t="s">
        <v>15596</v>
      </c>
      <c r="AX1676" t="s">
        <v>15597</v>
      </c>
      <c r="AY1676" t="s">
        <v>11404</v>
      </c>
      <c r="AZ1676">
        <v>2020</v>
      </c>
      <c r="BA1676">
        <v>34</v>
      </c>
      <c r="BB1676">
        <v>5</v>
      </c>
      <c r="BC1676" t="s">
        <v>69</v>
      </c>
      <c r="BD1676" t="s">
        <v>69</v>
      </c>
      <c r="BE1676" t="s">
        <v>69</v>
      </c>
      <c r="BF1676" t="s">
        <v>69</v>
      </c>
      <c r="BG1676">
        <v>478</v>
      </c>
      <c r="BH1676">
        <v>489</v>
      </c>
      <c r="BI1676" t="s">
        <v>69</v>
      </c>
      <c r="BJ1676" t="s">
        <v>15598</v>
      </c>
      <c r="BK1676" t="str">
        <f>HYPERLINK("http://dx.doi.org/10.1080/02691728.2020.1737749","http://dx.doi.org/10.1080/02691728.2020.1737749")</f>
        <v>http://dx.doi.org/10.1080/02691728.2020.1737749</v>
      </c>
      <c r="BL1676" t="s">
        <v>69</v>
      </c>
      <c r="BM1676" t="s">
        <v>4822</v>
      </c>
      <c r="BN1676">
        <v>12</v>
      </c>
      <c r="BO1676" t="s">
        <v>15599</v>
      </c>
      <c r="BP1676" t="s">
        <v>12201</v>
      </c>
      <c r="BQ1676" t="s">
        <v>15600</v>
      </c>
      <c r="BR1676" t="s">
        <v>15601</v>
      </c>
      <c r="BS1676" t="s">
        <v>15602</v>
      </c>
      <c r="BT1676" t="s">
        <v>69</v>
      </c>
      <c r="BU1676" t="s">
        <v>69</v>
      </c>
      <c r="BV1676" t="s">
        <v>69</v>
      </c>
      <c r="BW1676" t="s">
        <v>69</v>
      </c>
      <c r="BX1676" t="s">
        <v>8526</v>
      </c>
      <c r="BY1676" t="str">
        <f>HYPERLINK("https%3A%2F%2Fwww.webofscience.com%2Fwos%2Fwoscc%2Ffull-record%2FWOS:000519915500001","View Full Record in Web of Science")</f>
        <v>View Full Record in Web of Science</v>
      </c>
    </row>
    <row r="1677" spans="1:77" ht="12.5" x14ac:dyDescent="0.25">
      <c r="A1677" t="s">
        <v>8495</v>
      </c>
      <c r="B1677" s="7" t="s">
        <v>32933</v>
      </c>
      <c r="C1677" s="7"/>
      <c r="D1677" s="7"/>
      <c r="E1677" s="7"/>
      <c r="F1677" t="s">
        <v>67</v>
      </c>
      <c r="G1677" t="s">
        <v>5899</v>
      </c>
      <c r="H1677" t="s">
        <v>69</v>
      </c>
      <c r="I1677" t="s">
        <v>69</v>
      </c>
      <c r="J1677" t="s">
        <v>69</v>
      </c>
      <c r="K1677" t="s">
        <v>5900</v>
      </c>
      <c r="L1677" t="s">
        <v>69</v>
      </c>
      <c r="M1677" t="s">
        <v>69</v>
      </c>
      <c r="N1677" t="s">
        <v>5901</v>
      </c>
      <c r="O1677" t="s">
        <v>5902</v>
      </c>
      <c r="P1677" t="s">
        <v>69</v>
      </c>
      <c r="Q1677" t="s">
        <v>69</v>
      </c>
      <c r="R1677" t="s">
        <v>14800</v>
      </c>
      <c r="S1677" t="s">
        <v>8506</v>
      </c>
      <c r="T1677" t="s">
        <v>69</v>
      </c>
      <c r="U1677" t="s">
        <v>69</v>
      </c>
      <c r="V1677" t="s">
        <v>69</v>
      </c>
      <c r="W1677" t="s">
        <v>69</v>
      </c>
      <c r="X1677" t="s">
        <v>69</v>
      </c>
      <c r="Y1677" t="s">
        <v>69</v>
      </c>
      <c r="Z1677" t="s">
        <v>69</v>
      </c>
      <c r="AA1677" t="s">
        <v>5903</v>
      </c>
      <c r="AB1677" t="s">
        <v>69</v>
      </c>
      <c r="AC1677" t="s">
        <v>69</v>
      </c>
      <c r="AD1677" t="s">
        <v>69</v>
      </c>
      <c r="AE1677" t="s">
        <v>69</v>
      </c>
      <c r="AF1677" t="s">
        <v>69</v>
      </c>
      <c r="AG1677" t="s">
        <v>69</v>
      </c>
      <c r="AH1677" t="s">
        <v>69</v>
      </c>
      <c r="AI1677" t="s">
        <v>69</v>
      </c>
      <c r="AJ1677" t="s">
        <v>69</v>
      </c>
      <c r="AK1677" t="s">
        <v>69</v>
      </c>
      <c r="AL1677">
        <v>50</v>
      </c>
      <c r="AM1677">
        <v>2</v>
      </c>
      <c r="AN1677">
        <v>2</v>
      </c>
      <c r="AO1677">
        <v>0</v>
      </c>
      <c r="AP1677">
        <v>0</v>
      </c>
      <c r="AQ1677" t="s">
        <v>25799</v>
      </c>
      <c r="AR1677" t="s">
        <v>21341</v>
      </c>
      <c r="AS1677" t="s">
        <v>25800</v>
      </c>
      <c r="AT1677" t="s">
        <v>5904</v>
      </c>
      <c r="AU1677" t="s">
        <v>69</v>
      </c>
      <c r="AV1677" t="s">
        <v>69</v>
      </c>
      <c r="AW1677" t="s">
        <v>25801</v>
      </c>
      <c r="AX1677" t="s">
        <v>25802</v>
      </c>
      <c r="AY1677" t="s">
        <v>255</v>
      </c>
      <c r="AZ1677">
        <v>2012</v>
      </c>
      <c r="BA1677" t="s">
        <v>69</v>
      </c>
      <c r="BB1677">
        <v>194</v>
      </c>
      <c r="BC1677" t="s">
        <v>69</v>
      </c>
      <c r="BD1677" t="s">
        <v>69</v>
      </c>
      <c r="BE1677" t="s">
        <v>69</v>
      </c>
      <c r="BF1677" t="s">
        <v>69</v>
      </c>
      <c r="BG1677">
        <v>32</v>
      </c>
      <c r="BH1677" t="s">
        <v>219</v>
      </c>
      <c r="BI1677" t="s">
        <v>69</v>
      </c>
      <c r="BJ1677" t="s">
        <v>69</v>
      </c>
      <c r="BK1677" t="s">
        <v>69</v>
      </c>
      <c r="BL1677" t="s">
        <v>69</v>
      </c>
      <c r="BM1677" t="s">
        <v>69</v>
      </c>
      <c r="BN1677">
        <v>21</v>
      </c>
      <c r="BO1677" t="s">
        <v>10299</v>
      </c>
      <c r="BP1677" t="s">
        <v>8661</v>
      </c>
      <c r="BQ1677" t="s">
        <v>10279</v>
      </c>
      <c r="BR1677" t="s">
        <v>25803</v>
      </c>
      <c r="BS1677" t="s">
        <v>5905</v>
      </c>
      <c r="BT1677" t="s">
        <v>69</v>
      </c>
      <c r="BU1677" t="s">
        <v>69</v>
      </c>
      <c r="BV1677" t="s">
        <v>69</v>
      </c>
      <c r="BW1677" t="s">
        <v>69</v>
      </c>
      <c r="BX1677" t="s">
        <v>8526</v>
      </c>
      <c r="BY1677" t="str">
        <f>HYPERLINK("https%3A%2F%2Fwww.webofscience.com%2Fwos%2Fwoscc%2Ffull-record%2FWOS:000309896700003","View Full Record in Web of Science")</f>
        <v>View Full Record in Web of Science</v>
      </c>
    </row>
    <row r="1678" spans="1:77" x14ac:dyDescent="0.3">
      <c r="A1678" t="s">
        <v>8495</v>
      </c>
      <c r="B1678" s="9" t="s">
        <v>32954</v>
      </c>
      <c r="C1678" s="9" t="s">
        <v>33133</v>
      </c>
      <c r="D1678" s="9" t="s">
        <v>8491</v>
      </c>
      <c r="E1678" s="9" t="s">
        <v>8490</v>
      </c>
      <c r="F1678" t="s">
        <v>67</v>
      </c>
      <c r="G1678" t="s">
        <v>10087</v>
      </c>
      <c r="H1678" t="s">
        <v>69</v>
      </c>
      <c r="I1678" t="s">
        <v>69</v>
      </c>
      <c r="J1678" t="s">
        <v>69</v>
      </c>
      <c r="K1678" t="s">
        <v>10088</v>
      </c>
      <c r="L1678" t="s">
        <v>69</v>
      </c>
      <c r="M1678" t="s">
        <v>69</v>
      </c>
      <c r="N1678" t="s">
        <v>10089</v>
      </c>
      <c r="O1678" t="s">
        <v>10090</v>
      </c>
      <c r="P1678" t="s">
        <v>69</v>
      </c>
      <c r="Q1678" t="s">
        <v>69</v>
      </c>
      <c r="R1678" t="s">
        <v>8505</v>
      </c>
      <c r="S1678" t="s">
        <v>8506</v>
      </c>
      <c r="T1678" t="s">
        <v>69</v>
      </c>
      <c r="U1678" t="s">
        <v>69</v>
      </c>
      <c r="V1678" t="s">
        <v>69</v>
      </c>
      <c r="W1678" t="s">
        <v>69</v>
      </c>
      <c r="X1678" t="s">
        <v>69</v>
      </c>
      <c r="Y1678" t="s">
        <v>10091</v>
      </c>
      <c r="Z1678" t="s">
        <v>10092</v>
      </c>
      <c r="AA1678" t="s">
        <v>10093</v>
      </c>
      <c r="AB1678" t="s">
        <v>10094</v>
      </c>
      <c r="AC1678" t="s">
        <v>69</v>
      </c>
      <c r="AD1678" t="s">
        <v>10095</v>
      </c>
      <c r="AE1678" t="s">
        <v>10096</v>
      </c>
      <c r="AF1678" t="s">
        <v>69</v>
      </c>
      <c r="AG1678" t="s">
        <v>69</v>
      </c>
      <c r="AH1678" t="s">
        <v>69</v>
      </c>
      <c r="AI1678" t="s">
        <v>69</v>
      </c>
      <c r="AJ1678" t="s">
        <v>69</v>
      </c>
      <c r="AK1678" t="s">
        <v>69</v>
      </c>
      <c r="AL1678">
        <v>55</v>
      </c>
      <c r="AM1678">
        <v>0</v>
      </c>
      <c r="AN1678">
        <v>0</v>
      </c>
      <c r="AO1678">
        <v>0</v>
      </c>
      <c r="AP1678">
        <v>0</v>
      </c>
      <c r="AQ1678" t="s">
        <v>10097</v>
      </c>
      <c r="AR1678" t="s">
        <v>10098</v>
      </c>
      <c r="AS1678" t="s">
        <v>10099</v>
      </c>
      <c r="AT1678" t="s">
        <v>10100</v>
      </c>
      <c r="AU1678" t="s">
        <v>10101</v>
      </c>
      <c r="AV1678" t="s">
        <v>69</v>
      </c>
      <c r="AW1678" t="s">
        <v>10102</v>
      </c>
      <c r="AX1678" t="s">
        <v>10103</v>
      </c>
      <c r="AY1678" t="s">
        <v>69</v>
      </c>
      <c r="AZ1678">
        <v>2022</v>
      </c>
      <c r="BA1678">
        <v>27</v>
      </c>
      <c r="BB1678">
        <v>1</v>
      </c>
      <c r="BC1678" t="s">
        <v>69</v>
      </c>
      <c r="BD1678" t="s">
        <v>69</v>
      </c>
      <c r="BE1678" t="s">
        <v>69</v>
      </c>
      <c r="BF1678" t="s">
        <v>69</v>
      </c>
      <c r="BG1678">
        <v>173</v>
      </c>
      <c r="BH1678">
        <v>188</v>
      </c>
      <c r="BI1678" t="s">
        <v>69</v>
      </c>
      <c r="BJ1678" t="s">
        <v>10104</v>
      </c>
      <c r="BK1678" t="str">
        <f>HYPERLINK("http://dx.doi.org/10.21315/jcdc2022.27.1.10","http://dx.doi.org/10.21315/jcdc2022.27.1.10")</f>
        <v>http://dx.doi.org/10.21315/jcdc2022.27.1.10</v>
      </c>
      <c r="BL1678" t="s">
        <v>69</v>
      </c>
      <c r="BM1678" t="s">
        <v>69</v>
      </c>
      <c r="BN1678">
        <v>16</v>
      </c>
      <c r="BO1678" t="s">
        <v>10105</v>
      </c>
      <c r="BP1678" t="s">
        <v>8573</v>
      </c>
      <c r="BQ1678" t="s">
        <v>10105</v>
      </c>
      <c r="BR1678" t="s">
        <v>10106</v>
      </c>
      <c r="BS1678" t="s">
        <v>10107</v>
      </c>
      <c r="BT1678" t="s">
        <v>69</v>
      </c>
      <c r="BU1678" t="s">
        <v>8931</v>
      </c>
      <c r="BV1678" t="s">
        <v>69</v>
      </c>
      <c r="BW1678" t="s">
        <v>69</v>
      </c>
      <c r="BX1678" t="s">
        <v>8526</v>
      </c>
      <c r="BY1678" t="str">
        <f>HYPERLINK("https%3A%2F%2Fwww.webofscience.com%2Fwos%2Fwoscc%2Ffull-record%2FWOS:000822267100010","View Full Record in Web of Science")</f>
        <v>View Full Record in Web of Science</v>
      </c>
    </row>
    <row r="1679" spans="1:77" ht="12.5" x14ac:dyDescent="0.25">
      <c r="A1679" t="s">
        <v>8495</v>
      </c>
      <c r="B1679" s="22" t="s">
        <v>32931</v>
      </c>
      <c r="C1679" s="7"/>
      <c r="D1679" s="7"/>
      <c r="E1679" s="7"/>
      <c r="F1679" t="s">
        <v>67</v>
      </c>
      <c r="G1679" t="s">
        <v>11977</v>
      </c>
      <c r="H1679" t="s">
        <v>69</v>
      </c>
      <c r="I1679" t="s">
        <v>69</v>
      </c>
      <c r="J1679" t="s">
        <v>69</v>
      </c>
      <c r="K1679" t="s">
        <v>11978</v>
      </c>
      <c r="L1679" t="s">
        <v>69</v>
      </c>
      <c r="M1679" t="s">
        <v>69</v>
      </c>
      <c r="N1679" t="s">
        <v>11979</v>
      </c>
      <c r="O1679" t="s">
        <v>5162</v>
      </c>
      <c r="P1679" t="s">
        <v>69</v>
      </c>
      <c r="Q1679" t="s">
        <v>69</v>
      </c>
      <c r="R1679" t="s">
        <v>8505</v>
      </c>
      <c r="S1679" t="s">
        <v>8506</v>
      </c>
      <c r="T1679" t="s">
        <v>69</v>
      </c>
      <c r="U1679" t="s">
        <v>69</v>
      </c>
      <c r="V1679" t="s">
        <v>69</v>
      </c>
      <c r="W1679" t="s">
        <v>69</v>
      </c>
      <c r="X1679" t="s">
        <v>69</v>
      </c>
      <c r="Y1679" t="s">
        <v>11980</v>
      </c>
      <c r="Z1679" t="s">
        <v>69</v>
      </c>
      <c r="AA1679" t="s">
        <v>11981</v>
      </c>
      <c r="AB1679" t="s">
        <v>11982</v>
      </c>
      <c r="AC1679" t="s">
        <v>69</v>
      </c>
      <c r="AD1679" t="s">
        <v>11983</v>
      </c>
      <c r="AE1679" t="s">
        <v>11984</v>
      </c>
      <c r="AF1679" t="s">
        <v>11985</v>
      </c>
      <c r="AG1679" t="s">
        <v>11986</v>
      </c>
      <c r="AH1679" t="s">
        <v>69</v>
      </c>
      <c r="AI1679" t="s">
        <v>69</v>
      </c>
      <c r="AJ1679" t="s">
        <v>69</v>
      </c>
      <c r="AK1679" t="s">
        <v>69</v>
      </c>
      <c r="AL1679">
        <v>22</v>
      </c>
      <c r="AM1679">
        <v>1</v>
      </c>
      <c r="AN1679">
        <v>1</v>
      </c>
      <c r="AO1679">
        <v>2</v>
      </c>
      <c r="AP1679">
        <v>5</v>
      </c>
      <c r="AQ1679" t="s">
        <v>8636</v>
      </c>
      <c r="AR1679" t="s">
        <v>8637</v>
      </c>
      <c r="AS1679" t="s">
        <v>8638</v>
      </c>
      <c r="AT1679" t="s">
        <v>5164</v>
      </c>
      <c r="AU1679" t="s">
        <v>5165</v>
      </c>
      <c r="AV1679" t="s">
        <v>69</v>
      </c>
      <c r="AW1679" t="s">
        <v>11987</v>
      </c>
      <c r="AX1679" t="s">
        <v>11988</v>
      </c>
      <c r="AY1679" t="s">
        <v>255</v>
      </c>
      <c r="AZ1679">
        <v>2021</v>
      </c>
      <c r="BA1679">
        <v>131</v>
      </c>
      <c r="BB1679" t="s">
        <v>69</v>
      </c>
      <c r="BC1679" t="s">
        <v>69</v>
      </c>
      <c r="BD1679" t="s">
        <v>69</v>
      </c>
      <c r="BE1679" t="s">
        <v>69</v>
      </c>
      <c r="BF1679" t="s">
        <v>69</v>
      </c>
      <c r="BG1679" t="s">
        <v>69</v>
      </c>
      <c r="BH1679" t="s">
        <v>69</v>
      </c>
      <c r="BI1679">
        <v>104612</v>
      </c>
      <c r="BJ1679" t="s">
        <v>11989</v>
      </c>
      <c r="BK1679" t="str">
        <f>HYPERLINK("http://dx.doi.org/10.1016/j.marpol.2021.104612","http://dx.doi.org/10.1016/j.marpol.2021.104612")</f>
        <v>http://dx.doi.org/10.1016/j.marpol.2021.104612</v>
      </c>
      <c r="BL1679" t="s">
        <v>69</v>
      </c>
      <c r="BM1679" t="s">
        <v>11920</v>
      </c>
      <c r="BN1679">
        <v>4</v>
      </c>
      <c r="BO1679" t="s">
        <v>11990</v>
      </c>
      <c r="BP1679" t="s">
        <v>8661</v>
      </c>
      <c r="BQ1679" t="s">
        <v>11991</v>
      </c>
      <c r="BR1679" t="s">
        <v>11992</v>
      </c>
      <c r="BS1679" t="s">
        <v>11993</v>
      </c>
      <c r="BT1679" t="s">
        <v>69</v>
      </c>
      <c r="BU1679" t="s">
        <v>10995</v>
      </c>
      <c r="BV1679" t="s">
        <v>69</v>
      </c>
      <c r="BW1679" t="s">
        <v>69</v>
      </c>
      <c r="BX1679" t="s">
        <v>8526</v>
      </c>
      <c r="BY1679" t="str">
        <f>HYPERLINK("https%3A%2F%2Fwww.webofscience.com%2Fwos%2Fwoscc%2Ffull-record%2FWOS:000683462900021","View Full Record in Web of Science")</f>
        <v>View Full Record in Web of Science</v>
      </c>
    </row>
    <row r="1680" spans="1:77" ht="12.5" x14ac:dyDescent="0.25">
      <c r="A1680" t="s">
        <v>8495</v>
      </c>
      <c r="B1680" s="22" t="s">
        <v>32931</v>
      </c>
      <c r="C1680" s="7"/>
      <c r="D1680" s="7"/>
      <c r="E1680" s="7"/>
      <c r="F1680" t="s">
        <v>67</v>
      </c>
      <c r="G1680" t="s">
        <v>25275</v>
      </c>
      <c r="H1680" t="s">
        <v>69</v>
      </c>
      <c r="I1680" t="s">
        <v>69</v>
      </c>
      <c r="J1680" t="s">
        <v>69</v>
      </c>
      <c r="K1680" t="s">
        <v>25276</v>
      </c>
      <c r="L1680" t="s">
        <v>69</v>
      </c>
      <c r="M1680" t="s">
        <v>69</v>
      </c>
      <c r="N1680" t="s">
        <v>25277</v>
      </c>
      <c r="O1680" t="s">
        <v>6384</v>
      </c>
      <c r="P1680" t="s">
        <v>69</v>
      </c>
      <c r="Q1680" t="s">
        <v>69</v>
      </c>
      <c r="R1680" t="s">
        <v>8505</v>
      </c>
      <c r="S1680" t="s">
        <v>8506</v>
      </c>
      <c r="T1680" t="s">
        <v>69</v>
      </c>
      <c r="U1680" t="s">
        <v>69</v>
      </c>
      <c r="V1680" t="s">
        <v>69</v>
      </c>
      <c r="W1680" t="s">
        <v>69</v>
      </c>
      <c r="X1680" t="s">
        <v>69</v>
      </c>
      <c r="Y1680" t="s">
        <v>25278</v>
      </c>
      <c r="Z1680" t="s">
        <v>25279</v>
      </c>
      <c r="AA1680" t="s">
        <v>25280</v>
      </c>
      <c r="AB1680" t="s">
        <v>25281</v>
      </c>
      <c r="AC1680" t="s">
        <v>69</v>
      </c>
      <c r="AD1680" t="s">
        <v>25282</v>
      </c>
      <c r="AE1680" t="s">
        <v>25283</v>
      </c>
      <c r="AF1680" t="s">
        <v>25284</v>
      </c>
      <c r="AG1680" t="s">
        <v>25285</v>
      </c>
      <c r="AH1680" t="s">
        <v>69</v>
      </c>
      <c r="AI1680" t="s">
        <v>69</v>
      </c>
      <c r="AJ1680" t="s">
        <v>69</v>
      </c>
      <c r="AK1680" t="s">
        <v>69</v>
      </c>
      <c r="AL1680">
        <v>36</v>
      </c>
      <c r="AM1680">
        <v>4</v>
      </c>
      <c r="AN1680">
        <v>5</v>
      </c>
      <c r="AO1680">
        <v>0</v>
      </c>
      <c r="AP1680">
        <v>8</v>
      </c>
      <c r="AQ1680" t="s">
        <v>8586</v>
      </c>
      <c r="AR1680" t="s">
        <v>8587</v>
      </c>
      <c r="AS1680" t="s">
        <v>8588</v>
      </c>
      <c r="AT1680" t="s">
        <v>6388</v>
      </c>
      <c r="AU1680" t="s">
        <v>6389</v>
      </c>
      <c r="AV1680" t="s">
        <v>69</v>
      </c>
      <c r="AW1680" t="s">
        <v>22185</v>
      </c>
      <c r="AX1680" t="s">
        <v>22186</v>
      </c>
      <c r="AY1680" t="s">
        <v>69</v>
      </c>
      <c r="AZ1680">
        <v>2013</v>
      </c>
      <c r="BA1680">
        <v>26</v>
      </c>
      <c r="BB1680">
        <v>1</v>
      </c>
      <c r="BC1680" t="s">
        <v>69</v>
      </c>
      <c r="BD1680" t="s">
        <v>69</v>
      </c>
      <c r="BE1680" t="s">
        <v>69</v>
      </c>
      <c r="BF1680" t="s">
        <v>69</v>
      </c>
      <c r="BG1680">
        <v>170</v>
      </c>
      <c r="BH1680">
        <v>188</v>
      </c>
      <c r="BI1680" t="s">
        <v>69</v>
      </c>
      <c r="BJ1680" t="s">
        <v>25286</v>
      </c>
      <c r="BK1680" t="str">
        <f>HYPERLINK("http://dx.doi.org/10.1108/ARLA-05-2013-0044","http://dx.doi.org/10.1108/ARLA-05-2013-0044")</f>
        <v>http://dx.doi.org/10.1108/ARLA-05-2013-0044</v>
      </c>
      <c r="BL1680" t="s">
        <v>69</v>
      </c>
      <c r="BM1680" t="s">
        <v>69</v>
      </c>
      <c r="BN1680">
        <v>19</v>
      </c>
      <c r="BO1680" t="s">
        <v>8791</v>
      </c>
      <c r="BP1680" t="s">
        <v>8661</v>
      </c>
      <c r="BQ1680" t="s">
        <v>8594</v>
      </c>
      <c r="BR1680" t="s">
        <v>25287</v>
      </c>
      <c r="BS1680" t="s">
        <v>25288</v>
      </c>
      <c r="BT1680" t="s">
        <v>69</v>
      </c>
      <c r="BU1680" t="s">
        <v>69</v>
      </c>
      <c r="BV1680" t="s">
        <v>69</v>
      </c>
      <c r="BW1680" t="s">
        <v>69</v>
      </c>
      <c r="BX1680" t="s">
        <v>8526</v>
      </c>
      <c r="BY1680" t="str">
        <f>HYPERLINK("https%3A%2F%2Fwww.webofscience.com%2Fwos%2Fwoscc%2Ffull-record%2FWOS:000325909900008","View Full Record in Web of Science")</f>
        <v>View Full Record in Web of Science</v>
      </c>
    </row>
    <row r="1681" spans="1:77" ht="12.5" x14ac:dyDescent="0.25">
      <c r="A1681" t="s">
        <v>8495</v>
      </c>
      <c r="B1681" s="7" t="s">
        <v>32933</v>
      </c>
      <c r="C1681" s="7"/>
      <c r="D1681" s="7"/>
      <c r="E1681" s="7"/>
      <c r="F1681" t="s">
        <v>67</v>
      </c>
      <c r="G1681" t="s">
        <v>5159</v>
      </c>
      <c r="H1681" t="s">
        <v>69</v>
      </c>
      <c r="I1681" t="s">
        <v>69</v>
      </c>
      <c r="J1681" t="s">
        <v>69</v>
      </c>
      <c r="K1681" t="s">
        <v>5160</v>
      </c>
      <c r="L1681" t="s">
        <v>69</v>
      </c>
      <c r="M1681" t="s">
        <v>69</v>
      </c>
      <c r="N1681" t="s">
        <v>5161</v>
      </c>
      <c r="O1681" t="s">
        <v>5162</v>
      </c>
      <c r="P1681" t="s">
        <v>69</v>
      </c>
      <c r="Q1681" t="s">
        <v>69</v>
      </c>
      <c r="R1681" t="s">
        <v>8505</v>
      </c>
      <c r="S1681" t="s">
        <v>8506</v>
      </c>
      <c r="T1681" t="s">
        <v>69</v>
      </c>
      <c r="U1681" t="s">
        <v>69</v>
      </c>
      <c r="V1681" t="s">
        <v>69</v>
      </c>
      <c r="W1681" t="s">
        <v>69</v>
      </c>
      <c r="X1681" t="s">
        <v>69</v>
      </c>
      <c r="Y1681" t="s">
        <v>21591</v>
      </c>
      <c r="Z1681" t="s">
        <v>21592</v>
      </c>
      <c r="AA1681" t="s">
        <v>5163</v>
      </c>
      <c r="AB1681" t="s">
        <v>21593</v>
      </c>
      <c r="AC1681" t="s">
        <v>69</v>
      </c>
      <c r="AD1681" t="s">
        <v>21594</v>
      </c>
      <c r="AE1681" t="s">
        <v>21595</v>
      </c>
      <c r="AF1681" t="s">
        <v>21596</v>
      </c>
      <c r="AG1681" t="s">
        <v>21597</v>
      </c>
      <c r="AH1681" t="s">
        <v>21598</v>
      </c>
      <c r="AI1681" t="s">
        <v>21599</v>
      </c>
      <c r="AJ1681" t="s">
        <v>21600</v>
      </c>
      <c r="AK1681" t="s">
        <v>69</v>
      </c>
      <c r="AL1681">
        <v>65</v>
      </c>
      <c r="AM1681">
        <v>27</v>
      </c>
      <c r="AN1681">
        <v>27</v>
      </c>
      <c r="AO1681">
        <v>2</v>
      </c>
      <c r="AP1681">
        <v>22</v>
      </c>
      <c r="AQ1681" t="s">
        <v>8636</v>
      </c>
      <c r="AR1681" t="s">
        <v>8637</v>
      </c>
      <c r="AS1681" t="s">
        <v>8638</v>
      </c>
      <c r="AT1681" t="s">
        <v>5164</v>
      </c>
      <c r="AU1681" t="s">
        <v>5165</v>
      </c>
      <c r="AV1681" t="s">
        <v>69</v>
      </c>
      <c r="AW1681" t="s">
        <v>11987</v>
      </c>
      <c r="AX1681" t="s">
        <v>11988</v>
      </c>
      <c r="AY1681" t="s">
        <v>84</v>
      </c>
      <c r="AZ1681">
        <v>2016</v>
      </c>
      <c r="BA1681">
        <v>69</v>
      </c>
      <c r="BB1681" t="s">
        <v>69</v>
      </c>
      <c r="BC1681" t="s">
        <v>69</v>
      </c>
      <c r="BD1681" t="s">
        <v>69</v>
      </c>
      <c r="BE1681" t="s">
        <v>69</v>
      </c>
      <c r="BF1681" t="s">
        <v>69</v>
      </c>
      <c r="BG1681">
        <v>146</v>
      </c>
      <c r="BH1681">
        <v>158</v>
      </c>
      <c r="BI1681" t="s">
        <v>69</v>
      </c>
      <c r="BJ1681" t="s">
        <v>5166</v>
      </c>
      <c r="BK1681" t="str">
        <f>HYPERLINK("http://dx.doi.org/10.1016/j.marpol.2016.04.012","http://dx.doi.org/10.1016/j.marpol.2016.04.012")</f>
        <v>http://dx.doi.org/10.1016/j.marpol.2016.04.012</v>
      </c>
      <c r="BL1681" t="s">
        <v>69</v>
      </c>
      <c r="BM1681" t="s">
        <v>69</v>
      </c>
      <c r="BN1681">
        <v>13</v>
      </c>
      <c r="BO1681" t="s">
        <v>11990</v>
      </c>
      <c r="BP1681" t="s">
        <v>8661</v>
      </c>
      <c r="BQ1681" t="s">
        <v>11991</v>
      </c>
      <c r="BR1681" t="s">
        <v>21601</v>
      </c>
      <c r="BS1681" t="s">
        <v>5167</v>
      </c>
      <c r="BT1681" t="s">
        <v>69</v>
      </c>
      <c r="BU1681" t="s">
        <v>10995</v>
      </c>
      <c r="BV1681" t="s">
        <v>69</v>
      </c>
      <c r="BW1681" t="s">
        <v>69</v>
      </c>
      <c r="BX1681" t="s">
        <v>8526</v>
      </c>
      <c r="BY1681" t="str">
        <f>HYPERLINK("https%3A%2F%2Fwww.webofscience.com%2Fwos%2Fwoscc%2Ffull-record%2FWOS:000377228800016","View Full Record in Web of Science")</f>
        <v>View Full Record in Web of Science</v>
      </c>
    </row>
    <row r="1682" spans="1:77" x14ac:dyDescent="0.3">
      <c r="A1682" t="s">
        <v>8495</v>
      </c>
      <c r="B1682" s="12" t="s">
        <v>32971</v>
      </c>
      <c r="F1682" t="s">
        <v>67</v>
      </c>
      <c r="G1682" t="s">
        <v>7600</v>
      </c>
      <c r="H1682" t="s">
        <v>69</v>
      </c>
      <c r="I1682" t="s">
        <v>69</v>
      </c>
      <c r="J1682" t="s">
        <v>69</v>
      </c>
      <c r="K1682" s="3" t="s">
        <v>7601</v>
      </c>
      <c r="L1682" t="s">
        <v>69</v>
      </c>
      <c r="M1682" t="s">
        <v>69</v>
      </c>
      <c r="N1682" s="2" t="s">
        <v>7602</v>
      </c>
      <c r="O1682" t="s">
        <v>7603</v>
      </c>
      <c r="P1682" t="s">
        <v>69</v>
      </c>
      <c r="Q1682" t="s">
        <v>69</v>
      </c>
      <c r="R1682" t="s">
        <v>8505</v>
      </c>
      <c r="S1682" t="s">
        <v>8506</v>
      </c>
      <c r="T1682" t="s">
        <v>69</v>
      </c>
      <c r="U1682" t="s">
        <v>69</v>
      </c>
      <c r="V1682" t="s">
        <v>69</v>
      </c>
      <c r="W1682" t="s">
        <v>69</v>
      </c>
      <c r="X1682" t="s">
        <v>69</v>
      </c>
      <c r="Y1682" t="s">
        <v>69</v>
      </c>
      <c r="Z1682" t="s">
        <v>69</v>
      </c>
      <c r="AA1682" t="s">
        <v>7604</v>
      </c>
      <c r="AB1682" t="s">
        <v>27125</v>
      </c>
      <c r="AC1682" t="s">
        <v>69</v>
      </c>
      <c r="AD1682" t="s">
        <v>69</v>
      </c>
      <c r="AE1682" t="s">
        <v>69</v>
      </c>
      <c r="AF1682" t="s">
        <v>69</v>
      </c>
      <c r="AG1682" t="s">
        <v>69</v>
      </c>
      <c r="AH1682" t="s">
        <v>69</v>
      </c>
      <c r="AI1682" t="s">
        <v>69</v>
      </c>
      <c r="AJ1682" t="s">
        <v>69</v>
      </c>
      <c r="AK1682" t="s">
        <v>69</v>
      </c>
      <c r="AL1682">
        <v>17</v>
      </c>
      <c r="AM1682">
        <v>2</v>
      </c>
      <c r="AN1682">
        <v>2</v>
      </c>
      <c r="AO1682">
        <v>0</v>
      </c>
      <c r="AP1682">
        <v>0</v>
      </c>
      <c r="AQ1682" t="s">
        <v>21110</v>
      </c>
      <c r="AR1682" t="s">
        <v>26670</v>
      </c>
      <c r="AS1682" t="s">
        <v>26671</v>
      </c>
      <c r="AT1682" t="s">
        <v>7605</v>
      </c>
      <c r="AU1682" t="s">
        <v>69</v>
      </c>
      <c r="AV1682" t="s">
        <v>69</v>
      </c>
      <c r="AW1682" t="s">
        <v>27126</v>
      </c>
      <c r="AX1682" t="s">
        <v>27127</v>
      </c>
      <c r="AY1682" t="s">
        <v>94</v>
      </c>
      <c r="AZ1682">
        <v>2011</v>
      </c>
      <c r="BA1682">
        <v>13</v>
      </c>
      <c r="BB1682">
        <v>1</v>
      </c>
      <c r="BC1682" t="s">
        <v>69</v>
      </c>
      <c r="BD1682" t="s">
        <v>69</v>
      </c>
      <c r="BE1682" t="s">
        <v>69</v>
      </c>
      <c r="BF1682" t="s">
        <v>69</v>
      </c>
      <c r="BG1682">
        <v>18</v>
      </c>
      <c r="BH1682">
        <v>23</v>
      </c>
      <c r="BI1682" t="s">
        <v>69</v>
      </c>
      <c r="BJ1682" t="s">
        <v>7606</v>
      </c>
      <c r="BK1682" t="str">
        <f>HYPERLINK("http://dx.doi.org/10.1111/j.1468-2486.2010.00994.x","http://dx.doi.org/10.1111/j.1468-2486.2010.00994.x")</f>
        <v>http://dx.doi.org/10.1111/j.1468-2486.2010.00994.x</v>
      </c>
      <c r="BL1682" t="s">
        <v>69</v>
      </c>
      <c r="BM1682" t="s">
        <v>69</v>
      </c>
      <c r="BN1682">
        <v>6</v>
      </c>
      <c r="BO1682" t="s">
        <v>16728</v>
      </c>
      <c r="BP1682" t="s">
        <v>8661</v>
      </c>
      <c r="BQ1682" t="s">
        <v>16729</v>
      </c>
      <c r="BR1682" t="s">
        <v>27128</v>
      </c>
      <c r="BS1682" t="s">
        <v>7607</v>
      </c>
      <c r="BT1682" t="s">
        <v>69</v>
      </c>
      <c r="BU1682" t="s">
        <v>69</v>
      </c>
      <c r="BV1682" t="s">
        <v>69</v>
      </c>
      <c r="BW1682" t="s">
        <v>69</v>
      </c>
      <c r="BX1682" t="s">
        <v>8526</v>
      </c>
      <c r="BY1682" t="str">
        <f>HYPERLINK("https%3A%2F%2Fwww.webofscience.com%2Fwos%2Fwoscc%2Ffull-record%2FWOS:000288026500004","View Full Record in Web of Science")</f>
        <v>View Full Record in Web of Science</v>
      </c>
    </row>
    <row r="1683" spans="1:77" ht="12.5" x14ac:dyDescent="0.25">
      <c r="A1683" t="s">
        <v>8495</v>
      </c>
      <c r="B1683" s="7" t="s">
        <v>32933</v>
      </c>
      <c r="C1683" s="7"/>
      <c r="D1683" s="7"/>
      <c r="E1683" s="7"/>
      <c r="F1683" t="s">
        <v>67</v>
      </c>
      <c r="G1683" t="s">
        <v>534</v>
      </c>
      <c r="H1683" t="s">
        <v>69</v>
      </c>
      <c r="I1683" t="s">
        <v>69</v>
      </c>
      <c r="J1683" t="s">
        <v>69</v>
      </c>
      <c r="K1683" t="s">
        <v>535</v>
      </c>
      <c r="L1683" t="s">
        <v>69</v>
      </c>
      <c r="M1683" t="s">
        <v>69</v>
      </c>
      <c r="N1683" t="s">
        <v>536</v>
      </c>
      <c r="O1683" t="s">
        <v>537</v>
      </c>
      <c r="P1683" t="s">
        <v>69</v>
      </c>
      <c r="Q1683" t="s">
        <v>69</v>
      </c>
      <c r="R1683" t="s">
        <v>8505</v>
      </c>
      <c r="S1683" t="s">
        <v>8506</v>
      </c>
      <c r="T1683" t="s">
        <v>69</v>
      </c>
      <c r="U1683" t="s">
        <v>69</v>
      </c>
      <c r="V1683" t="s">
        <v>69</v>
      </c>
      <c r="W1683" t="s">
        <v>69</v>
      </c>
      <c r="X1683" t="s">
        <v>69</v>
      </c>
      <c r="Y1683" t="s">
        <v>25699</v>
      </c>
      <c r="Z1683" t="s">
        <v>25700</v>
      </c>
      <c r="AA1683" t="s">
        <v>538</v>
      </c>
      <c r="AB1683" t="s">
        <v>25701</v>
      </c>
      <c r="AC1683" t="s">
        <v>69</v>
      </c>
      <c r="AD1683" t="s">
        <v>25702</v>
      </c>
      <c r="AE1683" t="s">
        <v>25703</v>
      </c>
      <c r="AF1683" t="s">
        <v>539</v>
      </c>
      <c r="AG1683" t="s">
        <v>540</v>
      </c>
      <c r="AH1683" t="s">
        <v>25704</v>
      </c>
      <c r="AI1683" t="s">
        <v>25705</v>
      </c>
      <c r="AJ1683" t="s">
        <v>25706</v>
      </c>
      <c r="AK1683" t="s">
        <v>69</v>
      </c>
      <c r="AL1683">
        <v>33</v>
      </c>
      <c r="AM1683">
        <v>7</v>
      </c>
      <c r="AN1683">
        <v>7</v>
      </c>
      <c r="AO1683">
        <v>1</v>
      </c>
      <c r="AP1683">
        <v>7</v>
      </c>
      <c r="AQ1683" t="s">
        <v>8516</v>
      </c>
      <c r="AR1683" t="s">
        <v>8517</v>
      </c>
      <c r="AS1683" t="s">
        <v>8518</v>
      </c>
      <c r="AT1683" t="s">
        <v>541</v>
      </c>
      <c r="AU1683" t="s">
        <v>542</v>
      </c>
      <c r="AV1683" t="s">
        <v>69</v>
      </c>
      <c r="AW1683" t="s">
        <v>25707</v>
      </c>
      <c r="AX1683" t="s">
        <v>25708</v>
      </c>
      <c r="AY1683" t="s">
        <v>75</v>
      </c>
      <c r="AZ1683">
        <v>2012</v>
      </c>
      <c r="BA1683">
        <v>5</v>
      </c>
      <c r="BB1683" t="s">
        <v>69</v>
      </c>
      <c r="BC1683" t="s">
        <v>69</v>
      </c>
      <c r="BD1683" t="s">
        <v>69</v>
      </c>
      <c r="BE1683" t="s">
        <v>114</v>
      </c>
      <c r="BF1683" t="s">
        <v>69</v>
      </c>
      <c r="BG1683">
        <v>30</v>
      </c>
      <c r="BH1683">
        <v>36</v>
      </c>
      <c r="BI1683" t="s">
        <v>69</v>
      </c>
      <c r="BJ1683" t="s">
        <v>543</v>
      </c>
      <c r="BK1683" t="str">
        <f>HYPERLINK("http://dx.doi.org/10.1016/j.scs.2012.05.006","http://dx.doi.org/10.1016/j.scs.2012.05.006")</f>
        <v>http://dx.doi.org/10.1016/j.scs.2012.05.006</v>
      </c>
      <c r="BL1683" t="s">
        <v>69</v>
      </c>
      <c r="BM1683" t="s">
        <v>69</v>
      </c>
      <c r="BN1683">
        <v>7</v>
      </c>
      <c r="BO1683" t="s">
        <v>25709</v>
      </c>
      <c r="BP1683" t="s">
        <v>8548</v>
      </c>
      <c r="BQ1683" t="s">
        <v>25710</v>
      </c>
      <c r="BR1683" t="s">
        <v>25711</v>
      </c>
      <c r="BS1683" t="s">
        <v>544</v>
      </c>
      <c r="BT1683" t="s">
        <v>69</v>
      </c>
      <c r="BU1683" t="s">
        <v>69</v>
      </c>
      <c r="BV1683" t="s">
        <v>69</v>
      </c>
      <c r="BW1683" t="s">
        <v>69</v>
      </c>
      <c r="BX1683" t="s">
        <v>8526</v>
      </c>
      <c r="BY1683" t="str">
        <f>HYPERLINK("https%3A%2F%2Fwww.webofscience.com%2Fwos%2Fwoscc%2Ffull-record%2FWOS:000209554000007","View Full Record in Web of Science")</f>
        <v>View Full Record in Web of Science</v>
      </c>
    </row>
    <row r="1684" spans="1:77" ht="12.5" x14ac:dyDescent="0.25">
      <c r="A1684" t="s">
        <v>8495</v>
      </c>
      <c r="B1684" s="7" t="s">
        <v>32933</v>
      </c>
      <c r="C1684" s="7"/>
      <c r="D1684" s="7"/>
      <c r="E1684" s="7"/>
      <c r="F1684" t="s">
        <v>67</v>
      </c>
      <c r="G1684" t="s">
        <v>2244</v>
      </c>
      <c r="H1684" t="s">
        <v>69</v>
      </c>
      <c r="I1684" t="s">
        <v>69</v>
      </c>
      <c r="J1684" t="s">
        <v>69</v>
      </c>
      <c r="K1684" t="s">
        <v>2245</v>
      </c>
      <c r="L1684" t="s">
        <v>69</v>
      </c>
      <c r="M1684" t="s">
        <v>69</v>
      </c>
      <c r="N1684" t="s">
        <v>2246</v>
      </c>
      <c r="O1684" t="s">
        <v>2247</v>
      </c>
      <c r="P1684" t="s">
        <v>69</v>
      </c>
      <c r="Q1684" t="s">
        <v>69</v>
      </c>
      <c r="R1684" t="s">
        <v>8505</v>
      </c>
      <c r="S1684" t="s">
        <v>8442</v>
      </c>
      <c r="T1684" t="s">
        <v>69</v>
      </c>
      <c r="U1684" t="s">
        <v>69</v>
      </c>
      <c r="V1684" t="s">
        <v>69</v>
      </c>
      <c r="W1684" t="s">
        <v>69</v>
      </c>
      <c r="X1684" t="s">
        <v>69</v>
      </c>
      <c r="Y1684" t="s">
        <v>17236</v>
      </c>
      <c r="Z1684" t="s">
        <v>17237</v>
      </c>
      <c r="AA1684" t="s">
        <v>2248</v>
      </c>
      <c r="AB1684" t="s">
        <v>17238</v>
      </c>
      <c r="AC1684" t="s">
        <v>69</v>
      </c>
      <c r="AD1684" t="s">
        <v>17239</v>
      </c>
      <c r="AE1684" t="s">
        <v>17240</v>
      </c>
      <c r="AF1684" t="s">
        <v>2249</v>
      </c>
      <c r="AG1684" t="s">
        <v>17241</v>
      </c>
      <c r="AH1684" t="s">
        <v>17242</v>
      </c>
      <c r="AI1684" t="s">
        <v>17242</v>
      </c>
      <c r="AJ1684" t="s">
        <v>17243</v>
      </c>
      <c r="AK1684" t="s">
        <v>69</v>
      </c>
      <c r="AL1684">
        <v>88</v>
      </c>
      <c r="AM1684">
        <v>48</v>
      </c>
      <c r="AN1684">
        <v>48</v>
      </c>
      <c r="AO1684">
        <v>8</v>
      </c>
      <c r="AP1684">
        <v>27</v>
      </c>
      <c r="AQ1684" t="s">
        <v>17244</v>
      </c>
      <c r="AR1684" t="s">
        <v>17245</v>
      </c>
      <c r="AS1684" t="s">
        <v>17246</v>
      </c>
      <c r="AT1684" t="s">
        <v>2250</v>
      </c>
      <c r="AU1684" t="s">
        <v>2251</v>
      </c>
      <c r="AV1684" t="s">
        <v>69</v>
      </c>
      <c r="AW1684" t="s">
        <v>17247</v>
      </c>
      <c r="AX1684" t="s">
        <v>17248</v>
      </c>
      <c r="AY1684" t="s">
        <v>2252</v>
      </c>
      <c r="AZ1684">
        <v>2019</v>
      </c>
      <c r="BA1684">
        <v>32</v>
      </c>
      <c r="BB1684" t="s">
        <v>69</v>
      </c>
      <c r="BC1684" t="s">
        <v>69</v>
      </c>
      <c r="BD1684" t="s">
        <v>69</v>
      </c>
      <c r="BE1684" t="s">
        <v>69</v>
      </c>
      <c r="BF1684" t="s">
        <v>69</v>
      </c>
      <c r="BG1684" t="s">
        <v>69</v>
      </c>
      <c r="BH1684" t="s">
        <v>69</v>
      </c>
      <c r="BI1684">
        <v>13</v>
      </c>
      <c r="BJ1684" t="s">
        <v>2253</v>
      </c>
      <c r="BK1684" t="str">
        <f>HYPERLINK("http://dx.doi.org/10.1051/alr/2019012","http://dx.doi.org/10.1051/alr/2019012")</f>
        <v>http://dx.doi.org/10.1051/alr/2019012</v>
      </c>
      <c r="BL1684" t="s">
        <v>69</v>
      </c>
      <c r="BM1684" t="s">
        <v>69</v>
      </c>
      <c r="BN1684">
        <v>9</v>
      </c>
      <c r="BO1684" t="s">
        <v>9055</v>
      </c>
      <c r="BP1684" t="s">
        <v>8548</v>
      </c>
      <c r="BQ1684" t="s">
        <v>9055</v>
      </c>
      <c r="BR1684" t="s">
        <v>17249</v>
      </c>
      <c r="BS1684" t="s">
        <v>2254</v>
      </c>
      <c r="BT1684" t="s">
        <v>69</v>
      </c>
      <c r="BU1684" t="s">
        <v>17250</v>
      </c>
      <c r="BV1684" t="s">
        <v>69</v>
      </c>
      <c r="BW1684" t="s">
        <v>69</v>
      </c>
      <c r="BX1684" t="s">
        <v>8526</v>
      </c>
      <c r="BY1684" t="str">
        <f>HYPERLINK("https%3A%2F%2Fwww.webofscience.com%2Fwos%2Fwoscc%2Ffull-record%2FWOS:000469825200001","View Full Record in Web of Science")</f>
        <v>View Full Record in Web of Science</v>
      </c>
    </row>
    <row r="1685" spans="1:77" ht="12.5" x14ac:dyDescent="0.25">
      <c r="A1685" t="s">
        <v>8495</v>
      </c>
      <c r="B1685" s="7" t="s">
        <v>32933</v>
      </c>
      <c r="C1685" s="7"/>
      <c r="D1685" s="7"/>
      <c r="E1685" s="7"/>
      <c r="F1685" t="s">
        <v>67</v>
      </c>
      <c r="G1685" t="s">
        <v>7254</v>
      </c>
      <c r="H1685" t="s">
        <v>69</v>
      </c>
      <c r="I1685" t="s">
        <v>69</v>
      </c>
      <c r="J1685" t="s">
        <v>69</v>
      </c>
      <c r="K1685" t="s">
        <v>7254</v>
      </c>
      <c r="L1685" t="s">
        <v>69</v>
      </c>
      <c r="M1685" t="s">
        <v>69</v>
      </c>
      <c r="N1685" t="s">
        <v>7255</v>
      </c>
      <c r="O1685" t="s">
        <v>591</v>
      </c>
      <c r="P1685" t="s">
        <v>69</v>
      </c>
      <c r="Q1685" t="s">
        <v>69</v>
      </c>
      <c r="R1685" t="s">
        <v>8505</v>
      </c>
      <c r="S1685" t="s">
        <v>8506</v>
      </c>
      <c r="T1685" t="s">
        <v>69</v>
      </c>
      <c r="U1685" t="s">
        <v>69</v>
      </c>
      <c r="V1685" t="s">
        <v>69</v>
      </c>
      <c r="W1685" t="s">
        <v>69</v>
      </c>
      <c r="X1685" t="s">
        <v>69</v>
      </c>
      <c r="Y1685" t="s">
        <v>69</v>
      </c>
      <c r="Z1685" t="s">
        <v>69</v>
      </c>
      <c r="AA1685" t="s">
        <v>7256</v>
      </c>
      <c r="AB1685" t="s">
        <v>69</v>
      </c>
      <c r="AC1685" t="s">
        <v>69</v>
      </c>
      <c r="AD1685" t="s">
        <v>69</v>
      </c>
      <c r="AE1685" t="s">
        <v>69</v>
      </c>
      <c r="AF1685" t="s">
        <v>69</v>
      </c>
      <c r="AG1685" t="s">
        <v>69</v>
      </c>
      <c r="AH1685" t="s">
        <v>69</v>
      </c>
      <c r="AI1685" t="s">
        <v>69</v>
      </c>
      <c r="AJ1685" t="s">
        <v>69</v>
      </c>
      <c r="AK1685" t="s">
        <v>69</v>
      </c>
      <c r="AL1685">
        <v>0</v>
      </c>
      <c r="AM1685">
        <v>0</v>
      </c>
      <c r="AN1685">
        <v>0</v>
      </c>
      <c r="AO1685">
        <v>0</v>
      </c>
      <c r="AP1685">
        <v>2</v>
      </c>
      <c r="AQ1685" t="s">
        <v>32700</v>
      </c>
      <c r="AR1685" t="s">
        <v>32701</v>
      </c>
      <c r="AS1685" t="s">
        <v>32702</v>
      </c>
      <c r="AT1685" t="s">
        <v>593</v>
      </c>
      <c r="AU1685" t="s">
        <v>69</v>
      </c>
      <c r="AV1685" t="s">
        <v>69</v>
      </c>
      <c r="AW1685" t="s">
        <v>32036</v>
      </c>
      <c r="AX1685" t="s">
        <v>32037</v>
      </c>
      <c r="AY1685" t="s">
        <v>69</v>
      </c>
      <c r="AZ1685">
        <v>1994</v>
      </c>
      <c r="BA1685">
        <v>4</v>
      </c>
      <c r="BB1685">
        <v>3</v>
      </c>
      <c r="BC1685" t="s">
        <v>69</v>
      </c>
      <c r="BD1685" t="s">
        <v>69</v>
      </c>
      <c r="BE1685" t="s">
        <v>69</v>
      </c>
      <c r="BF1685" t="s">
        <v>69</v>
      </c>
      <c r="BG1685">
        <v>91</v>
      </c>
      <c r="BH1685">
        <v>102</v>
      </c>
      <c r="BI1685" t="s">
        <v>69</v>
      </c>
      <c r="BJ1685" t="s">
        <v>7257</v>
      </c>
      <c r="BK1685" t="str">
        <f>HYPERLINK("http://dx.doi.org/10.1300/J064v04n03_07","http://dx.doi.org/10.1300/J064v04n03_07")</f>
        <v>http://dx.doi.org/10.1300/J064v04n03_07</v>
      </c>
      <c r="BL1685" t="s">
        <v>69</v>
      </c>
      <c r="BM1685" t="s">
        <v>69</v>
      </c>
      <c r="BN1685">
        <v>12</v>
      </c>
      <c r="BO1685" t="s">
        <v>17664</v>
      </c>
      <c r="BP1685" t="s">
        <v>8548</v>
      </c>
      <c r="BQ1685" t="s">
        <v>8450</v>
      </c>
      <c r="BR1685" t="s">
        <v>32703</v>
      </c>
      <c r="BS1685" t="s">
        <v>7258</v>
      </c>
      <c r="BT1685" t="s">
        <v>69</v>
      </c>
      <c r="BU1685" t="s">
        <v>69</v>
      </c>
      <c r="BV1685" t="s">
        <v>69</v>
      </c>
      <c r="BW1685" t="s">
        <v>69</v>
      </c>
      <c r="BX1685" t="s">
        <v>8526</v>
      </c>
      <c r="BY1685" t="str">
        <f>HYPERLINK("https%3A%2F%2Fwww.webofscience.com%2Fwos%2Fwoscc%2Ffull-record%2FWOS:A1994NY66500006","View Full Record in Web of Science")</f>
        <v>View Full Record in Web of Science</v>
      </c>
    </row>
    <row r="1686" spans="1:77" ht="12.5" x14ac:dyDescent="0.25">
      <c r="A1686" t="s">
        <v>8495</v>
      </c>
      <c r="B1686" s="7" t="s">
        <v>32933</v>
      </c>
      <c r="C1686" s="7"/>
      <c r="D1686" s="7"/>
      <c r="E1686" s="7"/>
      <c r="F1686" t="s">
        <v>67</v>
      </c>
      <c r="G1686" t="s">
        <v>1590</v>
      </c>
      <c r="H1686" t="s">
        <v>69</v>
      </c>
      <c r="I1686" t="s">
        <v>69</v>
      </c>
      <c r="J1686" t="s">
        <v>69</v>
      </c>
      <c r="K1686" t="s">
        <v>1591</v>
      </c>
      <c r="L1686" t="s">
        <v>69</v>
      </c>
      <c r="M1686" t="s">
        <v>69</v>
      </c>
      <c r="N1686" t="s">
        <v>1592</v>
      </c>
      <c r="O1686" t="s">
        <v>1593</v>
      </c>
      <c r="P1686" t="s">
        <v>69</v>
      </c>
      <c r="Q1686" t="s">
        <v>69</v>
      </c>
      <c r="R1686" t="s">
        <v>8505</v>
      </c>
      <c r="S1686" t="s">
        <v>8506</v>
      </c>
      <c r="T1686" t="s">
        <v>69</v>
      </c>
      <c r="U1686" t="s">
        <v>69</v>
      </c>
      <c r="V1686" t="s">
        <v>69</v>
      </c>
      <c r="W1686" t="s">
        <v>69</v>
      </c>
      <c r="X1686" t="s">
        <v>69</v>
      </c>
      <c r="Y1686" t="s">
        <v>69</v>
      </c>
      <c r="Z1686" t="s">
        <v>69</v>
      </c>
      <c r="AA1686" t="s">
        <v>1594</v>
      </c>
      <c r="AB1686" t="s">
        <v>29866</v>
      </c>
      <c r="AC1686" t="s">
        <v>69</v>
      </c>
      <c r="AD1686" t="s">
        <v>29867</v>
      </c>
      <c r="AE1686" t="s">
        <v>29868</v>
      </c>
      <c r="AF1686" t="s">
        <v>69</v>
      </c>
      <c r="AG1686" t="s">
        <v>69</v>
      </c>
      <c r="AH1686" t="s">
        <v>29869</v>
      </c>
      <c r="AI1686" t="s">
        <v>29870</v>
      </c>
      <c r="AJ1686" t="s">
        <v>69</v>
      </c>
      <c r="AK1686" t="s">
        <v>69</v>
      </c>
      <c r="AL1686">
        <v>33</v>
      </c>
      <c r="AM1686">
        <v>37</v>
      </c>
      <c r="AN1686">
        <v>37</v>
      </c>
      <c r="AO1686">
        <v>0</v>
      </c>
      <c r="AP1686">
        <v>21</v>
      </c>
      <c r="AQ1686" t="s">
        <v>9145</v>
      </c>
      <c r="AR1686" t="s">
        <v>8637</v>
      </c>
      <c r="AS1686" t="s">
        <v>9146</v>
      </c>
      <c r="AT1686" t="s">
        <v>1595</v>
      </c>
      <c r="AU1686" t="s">
        <v>1596</v>
      </c>
      <c r="AV1686" t="s">
        <v>69</v>
      </c>
      <c r="AW1686" t="s">
        <v>29871</v>
      </c>
      <c r="AX1686" t="s">
        <v>29872</v>
      </c>
      <c r="AY1686" t="s">
        <v>373</v>
      </c>
      <c r="AZ1686">
        <v>2007</v>
      </c>
      <c r="BA1686">
        <v>42</v>
      </c>
      <c r="BB1686">
        <v>1</v>
      </c>
      <c r="BC1686" t="s">
        <v>69</v>
      </c>
      <c r="BD1686" t="s">
        <v>69</v>
      </c>
      <c r="BE1686" t="s">
        <v>69</v>
      </c>
      <c r="BF1686" t="s">
        <v>69</v>
      </c>
      <c r="BG1686">
        <v>495</v>
      </c>
      <c r="BH1686">
        <v>506</v>
      </c>
      <c r="BI1686" t="s">
        <v>69</v>
      </c>
      <c r="BJ1686" t="s">
        <v>1597</v>
      </c>
      <c r="BK1686" t="str">
        <f>HYPERLINK("http://dx.doi.org/10.1016/j.buildenv.2005.08.032","http://dx.doi.org/10.1016/j.buildenv.2005.08.032")</f>
        <v>http://dx.doi.org/10.1016/j.buildenv.2005.08.032</v>
      </c>
      <c r="BL1686" t="s">
        <v>69</v>
      </c>
      <c r="BM1686" t="s">
        <v>69</v>
      </c>
      <c r="BN1686">
        <v>12</v>
      </c>
      <c r="BO1686" t="s">
        <v>29873</v>
      </c>
      <c r="BP1686" t="s">
        <v>8548</v>
      </c>
      <c r="BQ1686" t="s">
        <v>8549</v>
      </c>
      <c r="BR1686" t="s">
        <v>29874</v>
      </c>
      <c r="BS1686" t="s">
        <v>1598</v>
      </c>
      <c r="BT1686" t="s">
        <v>69</v>
      </c>
      <c r="BU1686" t="s">
        <v>69</v>
      </c>
      <c r="BV1686" t="s">
        <v>69</v>
      </c>
      <c r="BW1686" t="s">
        <v>69</v>
      </c>
      <c r="BX1686" t="s">
        <v>8526</v>
      </c>
      <c r="BY1686" t="str">
        <f>HYPERLINK("https%3A%2F%2Fwww.webofscience.com%2Fwos%2Fwoscc%2Ffull-record%2FWOS:000241590600050","View Full Record in Web of Science")</f>
        <v>View Full Record in Web of Science</v>
      </c>
    </row>
    <row r="1687" spans="1:77" ht="12.5" x14ac:dyDescent="0.25">
      <c r="A1687" t="s">
        <v>8495</v>
      </c>
      <c r="B1687" s="7" t="s">
        <v>32933</v>
      </c>
      <c r="C1687" s="7"/>
      <c r="D1687" s="7"/>
      <c r="E1687" s="7"/>
      <c r="F1687" t="s">
        <v>67</v>
      </c>
      <c r="G1687" t="s">
        <v>3142</v>
      </c>
      <c r="H1687" t="s">
        <v>69</v>
      </c>
      <c r="I1687" t="s">
        <v>69</v>
      </c>
      <c r="J1687" t="s">
        <v>69</v>
      </c>
      <c r="K1687" t="s">
        <v>3143</v>
      </c>
      <c r="L1687" t="s">
        <v>69</v>
      </c>
      <c r="M1687" t="s">
        <v>69</v>
      </c>
      <c r="N1687" t="s">
        <v>3189</v>
      </c>
      <c r="O1687" t="s">
        <v>3190</v>
      </c>
      <c r="P1687" t="s">
        <v>69</v>
      </c>
      <c r="Q1687" t="s">
        <v>69</v>
      </c>
      <c r="R1687" t="s">
        <v>8505</v>
      </c>
      <c r="S1687" t="s">
        <v>8506</v>
      </c>
      <c r="T1687" t="s">
        <v>69</v>
      </c>
      <c r="U1687" t="s">
        <v>69</v>
      </c>
      <c r="V1687" t="s">
        <v>69</v>
      </c>
      <c r="W1687" t="s">
        <v>69</v>
      </c>
      <c r="X1687" t="s">
        <v>69</v>
      </c>
      <c r="Y1687" t="s">
        <v>69</v>
      </c>
      <c r="Z1687" t="s">
        <v>69</v>
      </c>
      <c r="AA1687" t="s">
        <v>3191</v>
      </c>
      <c r="AB1687" t="s">
        <v>23667</v>
      </c>
      <c r="AC1687" t="s">
        <v>69</v>
      </c>
      <c r="AD1687" t="s">
        <v>23668</v>
      </c>
      <c r="AE1687" t="s">
        <v>23669</v>
      </c>
      <c r="AF1687" t="s">
        <v>69</v>
      </c>
      <c r="AG1687" t="s">
        <v>69</v>
      </c>
      <c r="AH1687" t="s">
        <v>69</v>
      </c>
      <c r="AI1687" t="s">
        <v>69</v>
      </c>
      <c r="AJ1687" t="s">
        <v>69</v>
      </c>
      <c r="AK1687" t="s">
        <v>69</v>
      </c>
      <c r="AL1687">
        <v>50</v>
      </c>
      <c r="AM1687">
        <v>30</v>
      </c>
      <c r="AN1687">
        <v>30</v>
      </c>
      <c r="AO1687">
        <v>1</v>
      </c>
      <c r="AP1687">
        <v>32</v>
      </c>
      <c r="AQ1687" t="s">
        <v>20053</v>
      </c>
      <c r="AR1687" t="s">
        <v>20054</v>
      </c>
      <c r="AS1687" t="s">
        <v>20055</v>
      </c>
      <c r="AT1687" t="s">
        <v>3192</v>
      </c>
      <c r="AU1687" t="s">
        <v>3193</v>
      </c>
      <c r="AV1687" t="s">
        <v>69</v>
      </c>
      <c r="AW1687" t="s">
        <v>23670</v>
      </c>
      <c r="AX1687" t="s">
        <v>23671</v>
      </c>
      <c r="AY1687" t="s">
        <v>201</v>
      </c>
      <c r="AZ1687">
        <v>2014</v>
      </c>
      <c r="BA1687">
        <v>64</v>
      </c>
      <c r="BB1687">
        <v>4</v>
      </c>
      <c r="BC1687" t="s">
        <v>69</v>
      </c>
      <c r="BD1687" t="s">
        <v>69</v>
      </c>
      <c r="BE1687" t="s">
        <v>69</v>
      </c>
      <c r="BF1687" t="s">
        <v>69</v>
      </c>
      <c r="BG1687">
        <v>743</v>
      </c>
      <c r="BH1687">
        <v>763</v>
      </c>
      <c r="BI1687" t="s">
        <v>69</v>
      </c>
      <c r="BJ1687" t="s">
        <v>3194</v>
      </c>
      <c r="BK1687" t="str">
        <f>HYPERLINK("http://dx.doi.org/10.1111/jcom.12078","http://dx.doi.org/10.1111/jcom.12078")</f>
        <v>http://dx.doi.org/10.1111/jcom.12078</v>
      </c>
      <c r="BL1687" t="s">
        <v>69</v>
      </c>
      <c r="BM1687" t="s">
        <v>69</v>
      </c>
      <c r="BN1687">
        <v>21</v>
      </c>
      <c r="BO1687" t="s">
        <v>8443</v>
      </c>
      <c r="BP1687" t="s">
        <v>8661</v>
      </c>
      <c r="BQ1687" t="s">
        <v>8443</v>
      </c>
      <c r="BR1687" t="s">
        <v>23672</v>
      </c>
      <c r="BS1687" t="s">
        <v>3195</v>
      </c>
      <c r="BT1687" t="s">
        <v>69</v>
      </c>
      <c r="BU1687" t="s">
        <v>10423</v>
      </c>
      <c r="BV1687" t="s">
        <v>69</v>
      </c>
      <c r="BW1687" t="s">
        <v>69</v>
      </c>
      <c r="BX1687" t="s">
        <v>8526</v>
      </c>
      <c r="BY1687" t="str">
        <f>HYPERLINK("https%3A%2F%2Fwww.webofscience.com%2Fwos%2Fwoscc%2Ffull-record%2FWOS:000340540900009","View Full Record in Web of Science")</f>
        <v>View Full Record in Web of Science</v>
      </c>
    </row>
    <row r="1688" spans="1:77" ht="12.5" x14ac:dyDescent="0.25">
      <c r="A1688" t="s">
        <v>8495</v>
      </c>
      <c r="B1688" s="22" t="s">
        <v>32931</v>
      </c>
      <c r="C1688" s="7"/>
      <c r="D1688" s="7"/>
      <c r="E1688" s="7"/>
      <c r="F1688" t="s">
        <v>67</v>
      </c>
      <c r="G1688" t="s">
        <v>20410</v>
      </c>
      <c r="H1688" t="s">
        <v>69</v>
      </c>
      <c r="I1688" t="s">
        <v>69</v>
      </c>
      <c r="J1688" t="s">
        <v>69</v>
      </c>
      <c r="K1688" t="s">
        <v>20411</v>
      </c>
      <c r="L1688" t="s">
        <v>69</v>
      </c>
      <c r="M1688" t="s">
        <v>69</v>
      </c>
      <c r="N1688" t="s">
        <v>20412</v>
      </c>
      <c r="O1688" t="s">
        <v>20413</v>
      </c>
      <c r="P1688" t="s">
        <v>69</v>
      </c>
      <c r="Q1688" t="s">
        <v>69</v>
      </c>
      <c r="R1688" t="s">
        <v>10071</v>
      </c>
      <c r="S1688" t="s">
        <v>8506</v>
      </c>
      <c r="T1688" t="s">
        <v>69</v>
      </c>
      <c r="U1688" t="s">
        <v>69</v>
      </c>
      <c r="V1688" t="s">
        <v>69</v>
      </c>
      <c r="W1688" t="s">
        <v>69</v>
      </c>
      <c r="X1688" t="s">
        <v>69</v>
      </c>
      <c r="Y1688" t="s">
        <v>20414</v>
      </c>
      <c r="Z1688" t="s">
        <v>69</v>
      </c>
      <c r="AA1688" t="s">
        <v>20415</v>
      </c>
      <c r="AB1688" t="s">
        <v>20416</v>
      </c>
      <c r="AC1688" t="s">
        <v>69</v>
      </c>
      <c r="AD1688" t="s">
        <v>20417</v>
      </c>
      <c r="AE1688" t="s">
        <v>20418</v>
      </c>
      <c r="AF1688" t="s">
        <v>69</v>
      </c>
      <c r="AG1688" t="s">
        <v>69</v>
      </c>
      <c r="AH1688" t="s">
        <v>69</v>
      </c>
      <c r="AI1688" t="s">
        <v>69</v>
      </c>
      <c r="AJ1688" t="s">
        <v>69</v>
      </c>
      <c r="AK1688" t="s">
        <v>69</v>
      </c>
      <c r="AL1688">
        <v>23</v>
      </c>
      <c r="AM1688">
        <v>7</v>
      </c>
      <c r="AN1688">
        <v>11</v>
      </c>
      <c r="AO1688">
        <v>0</v>
      </c>
      <c r="AP1688">
        <v>7</v>
      </c>
      <c r="AQ1688" t="s">
        <v>20419</v>
      </c>
      <c r="AR1688" t="s">
        <v>20420</v>
      </c>
      <c r="AS1688" t="s">
        <v>20421</v>
      </c>
      <c r="AT1688" t="s">
        <v>20422</v>
      </c>
      <c r="AU1688" t="s">
        <v>69</v>
      </c>
      <c r="AV1688" t="s">
        <v>69</v>
      </c>
      <c r="AW1688" t="s">
        <v>20423</v>
      </c>
      <c r="AX1688" t="s">
        <v>20424</v>
      </c>
      <c r="AY1688" t="s">
        <v>18801</v>
      </c>
      <c r="AZ1688">
        <v>2017</v>
      </c>
      <c r="BA1688">
        <v>62</v>
      </c>
      <c r="BB1688">
        <v>230</v>
      </c>
      <c r="BC1688" t="s">
        <v>69</v>
      </c>
      <c r="BD1688" t="s">
        <v>69</v>
      </c>
      <c r="BE1688" t="s">
        <v>69</v>
      </c>
      <c r="BF1688" t="s">
        <v>69</v>
      </c>
      <c r="BG1688">
        <v>197</v>
      </c>
      <c r="BH1688">
        <v>219</v>
      </c>
      <c r="BI1688" t="s">
        <v>69</v>
      </c>
      <c r="BJ1688" t="s">
        <v>20425</v>
      </c>
      <c r="BK1688" t="str">
        <f>HYPERLINK("http://dx.doi.org/10.1016/S0185-1918(17)30021-1","http://dx.doi.org/10.1016/S0185-1918(17)30021-1")</f>
        <v>http://dx.doi.org/10.1016/S0185-1918(17)30021-1</v>
      </c>
      <c r="BL1688" t="s">
        <v>69</v>
      </c>
      <c r="BM1688" t="s">
        <v>69</v>
      </c>
      <c r="BN1688">
        <v>23</v>
      </c>
      <c r="BO1688" t="s">
        <v>10299</v>
      </c>
      <c r="BP1688" t="s">
        <v>8573</v>
      </c>
      <c r="BQ1688" t="s">
        <v>10279</v>
      </c>
      <c r="BR1688" t="s">
        <v>20426</v>
      </c>
      <c r="BS1688" t="s">
        <v>20427</v>
      </c>
      <c r="BT1688" t="s">
        <v>69</v>
      </c>
      <c r="BU1688" t="s">
        <v>11853</v>
      </c>
      <c r="BV1688" t="s">
        <v>69</v>
      </c>
      <c r="BW1688" t="s">
        <v>69</v>
      </c>
      <c r="BX1688" t="s">
        <v>8526</v>
      </c>
      <c r="BY1688" t="str">
        <f>HYPERLINK("https%3A%2F%2Fwww.webofscience.com%2Fwos%2Fwoscc%2Ffull-record%2FWOS:000411573300007","View Full Record in Web of Science")</f>
        <v>View Full Record in Web of Science</v>
      </c>
    </row>
    <row r="1689" spans="1:77" ht="12.5" x14ac:dyDescent="0.25">
      <c r="A1689" t="s">
        <v>8495</v>
      </c>
      <c r="B1689" s="7" t="s">
        <v>32933</v>
      </c>
      <c r="C1689" s="7"/>
      <c r="D1689" s="7"/>
      <c r="E1689" s="7"/>
      <c r="F1689" t="s">
        <v>67</v>
      </c>
      <c r="G1689" t="s">
        <v>3884</v>
      </c>
      <c r="H1689" t="s">
        <v>69</v>
      </c>
      <c r="I1689" t="s">
        <v>69</v>
      </c>
      <c r="J1689" t="s">
        <v>69</v>
      </c>
      <c r="K1689" t="s">
        <v>3884</v>
      </c>
      <c r="L1689" t="s">
        <v>69</v>
      </c>
      <c r="M1689" t="s">
        <v>69</v>
      </c>
      <c r="N1689" t="s">
        <v>3885</v>
      </c>
      <c r="O1689" t="s">
        <v>3886</v>
      </c>
      <c r="P1689" t="s">
        <v>69</v>
      </c>
      <c r="Q1689" t="s">
        <v>69</v>
      </c>
      <c r="R1689" t="s">
        <v>8505</v>
      </c>
      <c r="S1689" t="s">
        <v>8506</v>
      </c>
      <c r="T1689" t="s">
        <v>69</v>
      </c>
      <c r="U1689" t="s">
        <v>69</v>
      </c>
      <c r="V1689" t="s">
        <v>69</v>
      </c>
      <c r="W1689" t="s">
        <v>69</v>
      </c>
      <c r="X1689" t="s">
        <v>69</v>
      </c>
      <c r="Y1689" t="s">
        <v>30582</v>
      </c>
      <c r="Z1689" t="s">
        <v>69</v>
      </c>
      <c r="AA1689" t="s">
        <v>3887</v>
      </c>
      <c r="AB1689" t="s">
        <v>30583</v>
      </c>
      <c r="AC1689" t="s">
        <v>69</v>
      </c>
      <c r="AD1689" t="s">
        <v>30584</v>
      </c>
      <c r="AE1689" t="s">
        <v>69</v>
      </c>
      <c r="AF1689" t="s">
        <v>69</v>
      </c>
      <c r="AG1689" t="s">
        <v>69</v>
      </c>
      <c r="AH1689" t="s">
        <v>69</v>
      </c>
      <c r="AI1689" t="s">
        <v>69</v>
      </c>
      <c r="AJ1689" t="s">
        <v>69</v>
      </c>
      <c r="AK1689" t="s">
        <v>69</v>
      </c>
      <c r="AL1689">
        <v>17</v>
      </c>
      <c r="AM1689">
        <v>316</v>
      </c>
      <c r="AN1689">
        <v>324</v>
      </c>
      <c r="AO1689">
        <v>7</v>
      </c>
      <c r="AP1689">
        <v>43</v>
      </c>
      <c r="AQ1689" t="s">
        <v>8762</v>
      </c>
      <c r="AR1689" t="s">
        <v>8763</v>
      </c>
      <c r="AS1689" t="s">
        <v>8764</v>
      </c>
      <c r="AT1689" t="s">
        <v>3888</v>
      </c>
      <c r="AU1689" t="s">
        <v>69</v>
      </c>
      <c r="AV1689" t="s">
        <v>69</v>
      </c>
      <c r="AW1689" t="s">
        <v>30585</v>
      </c>
      <c r="AX1689" t="s">
        <v>30586</v>
      </c>
      <c r="AY1689" t="s">
        <v>75</v>
      </c>
      <c r="AZ1689">
        <v>2005</v>
      </c>
      <c r="BA1689">
        <v>22</v>
      </c>
      <c r="BB1689">
        <v>6</v>
      </c>
      <c r="BC1689" t="s">
        <v>69</v>
      </c>
      <c r="BD1689" t="s">
        <v>69</v>
      </c>
      <c r="BE1689" t="s">
        <v>69</v>
      </c>
      <c r="BF1689" t="s">
        <v>69</v>
      </c>
      <c r="BG1689">
        <v>31</v>
      </c>
      <c r="BH1689" t="s">
        <v>219</v>
      </c>
      <c r="BI1689" t="s">
        <v>69</v>
      </c>
      <c r="BJ1689" t="s">
        <v>3889</v>
      </c>
      <c r="BK1689" t="str">
        <f>HYPERLINK("http://dx.doi.org/10.1177/0263276405059413","http://dx.doi.org/10.1177/0263276405059413")</f>
        <v>http://dx.doi.org/10.1177/0263276405059413</v>
      </c>
      <c r="BL1689" t="s">
        <v>69</v>
      </c>
      <c r="BM1689" t="s">
        <v>69</v>
      </c>
      <c r="BN1689">
        <v>22</v>
      </c>
      <c r="BO1689" t="s">
        <v>30587</v>
      </c>
      <c r="BP1689" t="s">
        <v>8661</v>
      </c>
      <c r="BQ1689" t="s">
        <v>30587</v>
      </c>
      <c r="BR1689" t="s">
        <v>30588</v>
      </c>
      <c r="BS1689" t="s">
        <v>3890</v>
      </c>
      <c r="BT1689" t="s">
        <v>69</v>
      </c>
      <c r="BU1689" t="s">
        <v>69</v>
      </c>
      <c r="BV1689" t="s">
        <v>69</v>
      </c>
      <c r="BW1689" t="s">
        <v>69</v>
      </c>
      <c r="BX1689" t="s">
        <v>8526</v>
      </c>
      <c r="BY1689" t="str">
        <f>HYPERLINK("https%3A%2F%2Fwww.webofscience.com%2Fwos%2Fwoscc%2Ffull-record%2FWOS:000233907900003","View Full Record in Web of Science")</f>
        <v>View Full Record in Web of Science</v>
      </c>
    </row>
    <row r="1690" spans="1:77" x14ac:dyDescent="0.3">
      <c r="A1690" t="s">
        <v>8495</v>
      </c>
      <c r="B1690" s="9" t="s">
        <v>33013</v>
      </c>
      <c r="F1690" t="s">
        <v>67</v>
      </c>
      <c r="G1690" t="s">
        <v>3884</v>
      </c>
      <c r="H1690" t="s">
        <v>69</v>
      </c>
      <c r="I1690" t="s">
        <v>69</v>
      </c>
      <c r="J1690" t="s">
        <v>69</v>
      </c>
      <c r="K1690" t="s">
        <v>30936</v>
      </c>
      <c r="L1690" t="s">
        <v>69</v>
      </c>
      <c r="M1690" t="s">
        <v>69</v>
      </c>
      <c r="N1690" t="s">
        <v>30937</v>
      </c>
      <c r="O1690" t="s">
        <v>30938</v>
      </c>
      <c r="P1690" t="s">
        <v>69</v>
      </c>
      <c r="Q1690" t="s">
        <v>69</v>
      </c>
      <c r="R1690" t="s">
        <v>10071</v>
      </c>
      <c r="S1690" t="s">
        <v>8506</v>
      </c>
      <c r="T1690" t="s">
        <v>69</v>
      </c>
      <c r="U1690" t="s">
        <v>69</v>
      </c>
      <c r="V1690" t="s">
        <v>69</v>
      </c>
      <c r="W1690" t="s">
        <v>69</v>
      </c>
      <c r="X1690" t="s">
        <v>69</v>
      </c>
      <c r="Y1690" t="s">
        <v>30939</v>
      </c>
      <c r="Z1690" t="s">
        <v>69</v>
      </c>
      <c r="AA1690" t="s">
        <v>30940</v>
      </c>
      <c r="AB1690" t="s">
        <v>30941</v>
      </c>
      <c r="AC1690" t="s">
        <v>69</v>
      </c>
      <c r="AD1690" t="s">
        <v>30584</v>
      </c>
      <c r="AE1690" t="s">
        <v>69</v>
      </c>
      <c r="AF1690" t="s">
        <v>69</v>
      </c>
      <c r="AG1690" t="s">
        <v>69</v>
      </c>
      <c r="AH1690" t="s">
        <v>69</v>
      </c>
      <c r="AI1690" t="s">
        <v>69</v>
      </c>
      <c r="AJ1690" t="s">
        <v>69</v>
      </c>
      <c r="AK1690" t="s">
        <v>69</v>
      </c>
      <c r="AL1690">
        <v>11</v>
      </c>
      <c r="AM1690">
        <v>6</v>
      </c>
      <c r="AN1690">
        <v>6</v>
      </c>
      <c r="AO1690">
        <v>0</v>
      </c>
      <c r="AP1690">
        <v>0</v>
      </c>
      <c r="AQ1690" t="s">
        <v>30942</v>
      </c>
      <c r="AR1690" t="s">
        <v>13577</v>
      </c>
      <c r="AS1690" t="s">
        <v>30943</v>
      </c>
      <c r="AT1690" t="s">
        <v>30944</v>
      </c>
      <c r="AU1690" t="s">
        <v>69</v>
      </c>
      <c r="AV1690" t="s">
        <v>69</v>
      </c>
      <c r="AW1690" t="s">
        <v>30945</v>
      </c>
      <c r="AX1690" t="s">
        <v>30946</v>
      </c>
      <c r="AY1690" t="s">
        <v>69</v>
      </c>
      <c r="AZ1690">
        <v>2005</v>
      </c>
      <c r="BA1690">
        <v>78</v>
      </c>
      <c r="BB1690" t="s">
        <v>69</v>
      </c>
      <c r="BC1690" t="s">
        <v>69</v>
      </c>
      <c r="BD1690" t="s">
        <v>69</v>
      </c>
      <c r="BE1690" t="s">
        <v>69</v>
      </c>
      <c r="BF1690" t="s">
        <v>69</v>
      </c>
      <c r="BG1690">
        <v>11</v>
      </c>
      <c r="BH1690">
        <v>29</v>
      </c>
      <c r="BI1690" t="s">
        <v>69</v>
      </c>
      <c r="BJ1690" t="s">
        <v>30947</v>
      </c>
      <c r="BK1690" t="str">
        <f>HYPERLINK("http://dx.doi.org/10.5565/rev/papers/v78n0.840","http://dx.doi.org/10.5565/rev/papers/v78n0.840")</f>
        <v>http://dx.doi.org/10.5565/rev/papers/v78n0.840</v>
      </c>
      <c r="BL1690" t="s">
        <v>69</v>
      </c>
      <c r="BM1690" t="s">
        <v>69</v>
      </c>
      <c r="BN1690">
        <v>19</v>
      </c>
      <c r="BO1690" t="s">
        <v>12930</v>
      </c>
      <c r="BP1690" t="s">
        <v>8573</v>
      </c>
      <c r="BQ1690" t="s">
        <v>12930</v>
      </c>
      <c r="BR1690" t="s">
        <v>30948</v>
      </c>
      <c r="BS1690" t="s">
        <v>30949</v>
      </c>
      <c r="BT1690" t="s">
        <v>69</v>
      </c>
      <c r="BU1690" t="s">
        <v>11853</v>
      </c>
      <c r="BV1690" t="s">
        <v>69</v>
      </c>
      <c r="BW1690" t="s">
        <v>69</v>
      </c>
      <c r="BX1690" t="s">
        <v>8526</v>
      </c>
      <c r="BY1690" t="str">
        <f>HYPERLINK("https%3A%2F%2Fwww.webofscience.com%2Fwos%2Fwoscc%2Ffull-record%2FWOS:000219494200002","View Full Record in Web of Science")</f>
        <v>View Full Record in Web of Science</v>
      </c>
    </row>
    <row r="1691" spans="1:77" ht="12.5" x14ac:dyDescent="0.25">
      <c r="A1691" t="s">
        <v>8495</v>
      </c>
      <c r="B1691" s="22" t="s">
        <v>32931</v>
      </c>
      <c r="C1691" s="7"/>
      <c r="D1691" s="7"/>
      <c r="E1691" s="7"/>
      <c r="F1691" t="s">
        <v>67</v>
      </c>
      <c r="G1691" t="s">
        <v>23941</v>
      </c>
      <c r="H1691" t="s">
        <v>69</v>
      </c>
      <c r="I1691" t="s">
        <v>69</v>
      </c>
      <c r="J1691" t="s">
        <v>69</v>
      </c>
      <c r="K1691" t="s">
        <v>23942</v>
      </c>
      <c r="L1691" t="s">
        <v>69</v>
      </c>
      <c r="M1691" t="s">
        <v>69</v>
      </c>
      <c r="N1691" t="s">
        <v>23943</v>
      </c>
      <c r="O1691" t="s">
        <v>14494</v>
      </c>
      <c r="P1691" t="s">
        <v>69</v>
      </c>
      <c r="Q1691" t="s">
        <v>69</v>
      </c>
      <c r="R1691" t="s">
        <v>8505</v>
      </c>
      <c r="S1691" t="s">
        <v>8506</v>
      </c>
      <c r="T1691" t="s">
        <v>69</v>
      </c>
      <c r="U1691" t="s">
        <v>69</v>
      </c>
      <c r="V1691" t="s">
        <v>69</v>
      </c>
      <c r="W1691" t="s">
        <v>69</v>
      </c>
      <c r="X1691" t="s">
        <v>69</v>
      </c>
      <c r="Y1691" t="s">
        <v>69</v>
      </c>
      <c r="Z1691" t="s">
        <v>69</v>
      </c>
      <c r="AA1691" t="s">
        <v>23944</v>
      </c>
      <c r="AB1691" t="s">
        <v>23945</v>
      </c>
      <c r="AC1691" t="s">
        <v>69</v>
      </c>
      <c r="AD1691" t="s">
        <v>23946</v>
      </c>
      <c r="AE1691" t="s">
        <v>23947</v>
      </c>
      <c r="AF1691" t="s">
        <v>69</v>
      </c>
      <c r="AG1691" t="s">
        <v>23948</v>
      </c>
      <c r="AH1691" t="s">
        <v>69</v>
      </c>
      <c r="AI1691" t="s">
        <v>69</v>
      </c>
      <c r="AJ1691" t="s">
        <v>69</v>
      </c>
      <c r="AK1691" t="s">
        <v>69</v>
      </c>
      <c r="AL1691">
        <v>9</v>
      </c>
      <c r="AM1691">
        <v>3</v>
      </c>
      <c r="AN1691">
        <v>3</v>
      </c>
      <c r="AO1691">
        <v>0</v>
      </c>
      <c r="AP1691">
        <v>1</v>
      </c>
      <c r="AQ1691" t="s">
        <v>14489</v>
      </c>
      <c r="AR1691" t="s">
        <v>14490</v>
      </c>
      <c r="AS1691" t="s">
        <v>14491</v>
      </c>
      <c r="AT1691" t="s">
        <v>14492</v>
      </c>
      <c r="AU1691" t="s">
        <v>14493</v>
      </c>
      <c r="AV1691" t="s">
        <v>69</v>
      </c>
      <c r="AW1691" t="s">
        <v>14494</v>
      </c>
      <c r="AX1691" t="s">
        <v>14495</v>
      </c>
      <c r="AY1691" t="s">
        <v>94</v>
      </c>
      <c r="AZ1691">
        <v>2014</v>
      </c>
      <c r="BA1691">
        <v>2</v>
      </c>
      <c r="BB1691">
        <v>1</v>
      </c>
      <c r="BC1691" t="s">
        <v>69</v>
      </c>
      <c r="BD1691" t="s">
        <v>69</v>
      </c>
      <c r="BE1691" t="s">
        <v>69</v>
      </c>
      <c r="BF1691" t="s">
        <v>69</v>
      </c>
      <c r="BG1691">
        <v>23</v>
      </c>
      <c r="BH1691">
        <v>29</v>
      </c>
      <c r="BI1691" t="s">
        <v>69</v>
      </c>
      <c r="BJ1691" t="s">
        <v>23949</v>
      </c>
      <c r="BK1691" t="str">
        <f>HYPERLINK("http://dx.doi.org/10.1089/space.2013.0041","http://dx.doi.org/10.1089/space.2013.0041")</f>
        <v>http://dx.doi.org/10.1089/space.2013.0041</v>
      </c>
      <c r="BL1691" t="s">
        <v>69</v>
      </c>
      <c r="BM1691" t="s">
        <v>69</v>
      </c>
      <c r="BN1691">
        <v>7</v>
      </c>
      <c r="BO1691" t="s">
        <v>14497</v>
      </c>
      <c r="BP1691" t="s">
        <v>8573</v>
      </c>
      <c r="BQ1691" t="s">
        <v>8445</v>
      </c>
      <c r="BR1691" t="s">
        <v>23950</v>
      </c>
      <c r="BS1691" t="s">
        <v>23951</v>
      </c>
      <c r="BT1691" t="s">
        <v>69</v>
      </c>
      <c r="BU1691" t="s">
        <v>69</v>
      </c>
      <c r="BV1691" t="s">
        <v>69</v>
      </c>
      <c r="BW1691" t="s">
        <v>69</v>
      </c>
      <c r="BX1691" t="s">
        <v>8526</v>
      </c>
      <c r="BY1691" t="str">
        <f>HYPERLINK("https%3A%2F%2Fwww.webofscience.com%2Fwos%2Fwoscc%2Ffull-record%2FWOS:000217518800005","View Full Record in Web of Science")</f>
        <v>View Full Record in Web of Science</v>
      </c>
    </row>
    <row r="1692" spans="1:77" ht="12.5" x14ac:dyDescent="0.25">
      <c r="A1692" t="s">
        <v>8495</v>
      </c>
      <c r="B1692" s="22" t="s">
        <v>32931</v>
      </c>
      <c r="C1692" s="7"/>
      <c r="D1692" s="7"/>
      <c r="E1692" s="7"/>
      <c r="F1692" t="s">
        <v>67</v>
      </c>
      <c r="G1692" t="s">
        <v>17166</v>
      </c>
      <c r="H1692" t="s">
        <v>69</v>
      </c>
      <c r="I1692" t="s">
        <v>69</v>
      </c>
      <c r="J1692" t="s">
        <v>69</v>
      </c>
      <c r="K1692" t="s">
        <v>17167</v>
      </c>
      <c r="L1692" t="s">
        <v>69</v>
      </c>
      <c r="M1692" t="s">
        <v>69</v>
      </c>
      <c r="N1692" t="s">
        <v>17168</v>
      </c>
      <c r="O1692" t="s">
        <v>17169</v>
      </c>
      <c r="P1692" t="s">
        <v>69</v>
      </c>
      <c r="Q1692" t="s">
        <v>69</v>
      </c>
      <c r="R1692" t="s">
        <v>8505</v>
      </c>
      <c r="S1692" t="s">
        <v>8506</v>
      </c>
      <c r="T1692" t="s">
        <v>69</v>
      </c>
      <c r="U1692" t="s">
        <v>69</v>
      </c>
      <c r="V1692" t="s">
        <v>69</v>
      </c>
      <c r="W1692" t="s">
        <v>69</v>
      </c>
      <c r="X1692" t="s">
        <v>69</v>
      </c>
      <c r="Y1692" t="s">
        <v>17170</v>
      </c>
      <c r="Z1692" t="s">
        <v>17171</v>
      </c>
      <c r="AA1692" t="s">
        <v>17172</v>
      </c>
      <c r="AB1692" t="s">
        <v>17173</v>
      </c>
      <c r="AC1692" t="s">
        <v>69</v>
      </c>
      <c r="AD1692" t="s">
        <v>17174</v>
      </c>
      <c r="AE1692" t="s">
        <v>17175</v>
      </c>
      <c r="AF1692" t="s">
        <v>17176</v>
      </c>
      <c r="AG1692" t="s">
        <v>17177</v>
      </c>
      <c r="AH1692" t="s">
        <v>17178</v>
      </c>
      <c r="AI1692" t="s">
        <v>17178</v>
      </c>
      <c r="AJ1692" t="s">
        <v>17178</v>
      </c>
      <c r="AK1692" t="s">
        <v>69</v>
      </c>
      <c r="AL1692">
        <v>63</v>
      </c>
      <c r="AM1692">
        <v>4</v>
      </c>
      <c r="AN1692">
        <v>4</v>
      </c>
      <c r="AO1692">
        <v>1</v>
      </c>
      <c r="AP1692">
        <v>8</v>
      </c>
      <c r="AQ1692" t="s">
        <v>8846</v>
      </c>
      <c r="AR1692" t="s">
        <v>8847</v>
      </c>
      <c r="AS1692" t="s">
        <v>8848</v>
      </c>
      <c r="AT1692" t="s">
        <v>17179</v>
      </c>
      <c r="AU1692" t="s">
        <v>17180</v>
      </c>
      <c r="AV1692" t="s">
        <v>69</v>
      </c>
      <c r="AW1692" t="s">
        <v>17181</v>
      </c>
      <c r="AX1692" t="s">
        <v>17182</v>
      </c>
      <c r="AY1692" t="s">
        <v>155</v>
      </c>
      <c r="AZ1692">
        <v>2019</v>
      </c>
      <c r="BA1692">
        <v>26</v>
      </c>
      <c r="BB1692" t="s">
        <v>1726</v>
      </c>
      <c r="BC1692" t="s">
        <v>69</v>
      </c>
      <c r="BD1692" t="s">
        <v>69</v>
      </c>
      <c r="BE1692" t="s">
        <v>69</v>
      </c>
      <c r="BF1692" t="s">
        <v>69</v>
      </c>
      <c r="BG1692">
        <v>117</v>
      </c>
      <c r="BH1692">
        <v>130</v>
      </c>
      <c r="BI1692" t="s">
        <v>69</v>
      </c>
      <c r="BJ1692" t="s">
        <v>17183</v>
      </c>
      <c r="BK1692" t="str">
        <f>HYPERLINK("http://dx.doi.org/10.1111/jpm.12533","http://dx.doi.org/10.1111/jpm.12533")</f>
        <v>http://dx.doi.org/10.1111/jpm.12533</v>
      </c>
      <c r="BL1692" t="s">
        <v>69</v>
      </c>
      <c r="BM1692" t="s">
        <v>69</v>
      </c>
      <c r="BN1692">
        <v>14</v>
      </c>
      <c r="BO1692" t="s">
        <v>16597</v>
      </c>
      <c r="BP1692" t="s">
        <v>8523</v>
      </c>
      <c r="BQ1692" t="s">
        <v>16597</v>
      </c>
      <c r="BR1692" t="s">
        <v>17184</v>
      </c>
      <c r="BS1692" t="s">
        <v>17185</v>
      </c>
      <c r="BT1692">
        <v>31145532</v>
      </c>
      <c r="BU1692" t="s">
        <v>9292</v>
      </c>
      <c r="BV1692" t="s">
        <v>69</v>
      </c>
      <c r="BW1692" t="s">
        <v>69</v>
      </c>
      <c r="BX1692" t="s">
        <v>8526</v>
      </c>
      <c r="BY1692" t="str">
        <f>HYPERLINK("https%3A%2F%2Fwww.webofscience.com%2Fwos%2Fwoscc%2Ffull-record%2FWOS:000475620800002","View Full Record in Web of Science")</f>
        <v>View Full Record in Web of Science</v>
      </c>
    </row>
    <row r="1693" spans="1:77" ht="12.5" x14ac:dyDescent="0.25">
      <c r="A1693" t="s">
        <v>8495</v>
      </c>
      <c r="B1693" s="22" t="s">
        <v>32931</v>
      </c>
      <c r="C1693" s="7"/>
      <c r="D1693" s="7"/>
      <c r="E1693" s="7"/>
      <c r="F1693" t="s">
        <v>67</v>
      </c>
      <c r="G1693" t="s">
        <v>31388</v>
      </c>
      <c r="H1693" t="s">
        <v>69</v>
      </c>
      <c r="I1693" t="s">
        <v>69</v>
      </c>
      <c r="J1693" t="s">
        <v>69</v>
      </c>
      <c r="K1693" t="s">
        <v>31388</v>
      </c>
      <c r="L1693" t="s">
        <v>69</v>
      </c>
      <c r="M1693" t="s">
        <v>69</v>
      </c>
      <c r="N1693" t="s">
        <v>31389</v>
      </c>
      <c r="O1693" t="s">
        <v>31390</v>
      </c>
      <c r="P1693" t="s">
        <v>69</v>
      </c>
      <c r="Q1693" t="s">
        <v>69</v>
      </c>
      <c r="R1693" t="s">
        <v>8505</v>
      </c>
      <c r="S1693" t="s">
        <v>8506</v>
      </c>
      <c r="T1693" t="s">
        <v>69</v>
      </c>
      <c r="U1693" t="s">
        <v>69</v>
      </c>
      <c r="V1693" t="s">
        <v>69</v>
      </c>
      <c r="W1693" t="s">
        <v>69</v>
      </c>
      <c r="X1693" t="s">
        <v>69</v>
      </c>
      <c r="Y1693" t="s">
        <v>31391</v>
      </c>
      <c r="Z1693" t="s">
        <v>31392</v>
      </c>
      <c r="AA1693" t="s">
        <v>31393</v>
      </c>
      <c r="AB1693" t="s">
        <v>31394</v>
      </c>
      <c r="AC1693" t="s">
        <v>69</v>
      </c>
      <c r="AD1693" t="s">
        <v>31395</v>
      </c>
      <c r="AE1693" t="s">
        <v>69</v>
      </c>
      <c r="AF1693" t="s">
        <v>69</v>
      </c>
      <c r="AG1693" t="s">
        <v>69</v>
      </c>
      <c r="AH1693" t="s">
        <v>69</v>
      </c>
      <c r="AI1693" t="s">
        <v>69</v>
      </c>
      <c r="AJ1693" t="s">
        <v>69</v>
      </c>
      <c r="AK1693" t="s">
        <v>69</v>
      </c>
      <c r="AL1693">
        <v>34</v>
      </c>
      <c r="AM1693">
        <v>3</v>
      </c>
      <c r="AN1693">
        <v>3</v>
      </c>
      <c r="AO1693">
        <v>0</v>
      </c>
      <c r="AP1693">
        <v>2</v>
      </c>
      <c r="AQ1693" t="s">
        <v>31134</v>
      </c>
      <c r="AR1693" t="s">
        <v>8847</v>
      </c>
      <c r="AS1693" t="s">
        <v>31135</v>
      </c>
      <c r="AT1693" t="s">
        <v>31396</v>
      </c>
      <c r="AU1693" t="s">
        <v>69</v>
      </c>
      <c r="AV1693" t="s">
        <v>69</v>
      </c>
      <c r="AW1693" t="s">
        <v>31397</v>
      </c>
      <c r="AX1693" t="s">
        <v>31398</v>
      </c>
      <c r="AY1693" t="s">
        <v>381</v>
      </c>
      <c r="AZ1693">
        <v>2002</v>
      </c>
      <c r="BA1693">
        <v>18</v>
      </c>
      <c r="BB1693">
        <v>4</v>
      </c>
      <c r="BC1693" t="s">
        <v>69</v>
      </c>
      <c r="BD1693" t="s">
        <v>69</v>
      </c>
      <c r="BE1693" t="s">
        <v>69</v>
      </c>
      <c r="BF1693" t="s">
        <v>69</v>
      </c>
      <c r="BG1693">
        <v>161</v>
      </c>
      <c r="BH1693">
        <v>172</v>
      </c>
      <c r="BI1693" t="s">
        <v>69</v>
      </c>
      <c r="BJ1693" t="s">
        <v>31399</v>
      </c>
      <c r="BK1693" t="str">
        <f>HYPERLINK("http://dx.doi.org/10.1002/smi.943","http://dx.doi.org/10.1002/smi.943")</f>
        <v>http://dx.doi.org/10.1002/smi.943</v>
      </c>
      <c r="BL1693" t="s">
        <v>69</v>
      </c>
      <c r="BM1693" t="s">
        <v>69</v>
      </c>
      <c r="BN1693">
        <v>12</v>
      </c>
      <c r="BO1693" t="s">
        <v>31400</v>
      </c>
      <c r="BP1693" t="s">
        <v>8523</v>
      </c>
      <c r="BQ1693" t="s">
        <v>31401</v>
      </c>
      <c r="BR1693" t="s">
        <v>31402</v>
      </c>
      <c r="BS1693" t="s">
        <v>31403</v>
      </c>
      <c r="BT1693" t="s">
        <v>69</v>
      </c>
      <c r="BU1693" t="s">
        <v>69</v>
      </c>
      <c r="BV1693" t="s">
        <v>69</v>
      </c>
      <c r="BW1693" t="s">
        <v>69</v>
      </c>
      <c r="BX1693" t="s">
        <v>8526</v>
      </c>
      <c r="BY1693" t="str">
        <f>HYPERLINK("https%3A%2F%2Fwww.webofscience.com%2Fwos%2Fwoscc%2Ffull-record%2FWOS:000178654200003","View Full Record in Web of Science")</f>
        <v>View Full Record in Web of Science</v>
      </c>
    </row>
    <row r="1694" spans="1:77" ht="12.5" x14ac:dyDescent="0.25">
      <c r="A1694" t="s">
        <v>8495</v>
      </c>
      <c r="B1694" s="7" t="s">
        <v>32933</v>
      </c>
      <c r="C1694" s="7"/>
      <c r="D1694" s="7"/>
      <c r="E1694" s="7"/>
      <c r="F1694" t="s">
        <v>67</v>
      </c>
      <c r="G1694" t="s">
        <v>1667</v>
      </c>
      <c r="H1694" t="s">
        <v>69</v>
      </c>
      <c r="I1694" t="s">
        <v>69</v>
      </c>
      <c r="J1694" t="s">
        <v>69</v>
      </c>
      <c r="K1694" t="s">
        <v>1667</v>
      </c>
      <c r="L1694" t="s">
        <v>69</v>
      </c>
      <c r="M1694" t="s">
        <v>69</v>
      </c>
      <c r="N1694" s="3" t="s">
        <v>1668</v>
      </c>
      <c r="O1694" t="s">
        <v>1669</v>
      </c>
      <c r="P1694" t="s">
        <v>69</v>
      </c>
      <c r="Q1694" t="s">
        <v>69</v>
      </c>
      <c r="R1694" t="s">
        <v>8505</v>
      </c>
      <c r="S1694" t="s">
        <v>8506</v>
      </c>
      <c r="T1694" t="s">
        <v>69</v>
      </c>
      <c r="U1694" t="s">
        <v>69</v>
      </c>
      <c r="V1694" t="s">
        <v>69</v>
      </c>
      <c r="W1694" t="s">
        <v>69</v>
      </c>
      <c r="X1694" t="s">
        <v>69</v>
      </c>
      <c r="Y1694" t="s">
        <v>31094</v>
      </c>
      <c r="Z1694" t="s">
        <v>31095</v>
      </c>
      <c r="AA1694" t="s">
        <v>1670</v>
      </c>
      <c r="AB1694" t="s">
        <v>31096</v>
      </c>
      <c r="AC1694" t="s">
        <v>69</v>
      </c>
      <c r="AD1694" t="s">
        <v>31097</v>
      </c>
      <c r="AE1694" t="s">
        <v>28093</v>
      </c>
      <c r="AF1694" t="s">
        <v>31098</v>
      </c>
      <c r="AG1694" t="s">
        <v>1671</v>
      </c>
      <c r="AH1694" t="s">
        <v>69</v>
      </c>
      <c r="AI1694" t="s">
        <v>69</v>
      </c>
      <c r="AJ1694" t="s">
        <v>69</v>
      </c>
      <c r="AK1694" t="s">
        <v>69</v>
      </c>
      <c r="AL1694">
        <v>20</v>
      </c>
      <c r="AM1694">
        <v>35</v>
      </c>
      <c r="AN1694">
        <v>35</v>
      </c>
      <c r="AO1694">
        <v>0</v>
      </c>
      <c r="AP1694">
        <v>7</v>
      </c>
      <c r="AQ1694" t="s">
        <v>17140</v>
      </c>
      <c r="AR1694" t="s">
        <v>8517</v>
      </c>
      <c r="AS1694" t="s">
        <v>17141</v>
      </c>
      <c r="AT1694" t="s">
        <v>1672</v>
      </c>
      <c r="AU1694" t="s">
        <v>1673</v>
      </c>
      <c r="AV1694" t="s">
        <v>69</v>
      </c>
      <c r="AW1694" t="s">
        <v>31099</v>
      </c>
      <c r="AX1694" t="s">
        <v>31100</v>
      </c>
      <c r="AY1694" t="s">
        <v>246</v>
      </c>
      <c r="AZ1694">
        <v>2004</v>
      </c>
      <c r="BA1694">
        <v>33</v>
      </c>
      <c r="BB1694">
        <v>4</v>
      </c>
      <c r="BC1694" t="s">
        <v>69</v>
      </c>
      <c r="BD1694" t="s">
        <v>69</v>
      </c>
      <c r="BE1694" t="s">
        <v>69</v>
      </c>
      <c r="BF1694" t="s">
        <v>69</v>
      </c>
      <c r="BG1694">
        <v>315</v>
      </c>
      <c r="BH1694">
        <v>326</v>
      </c>
      <c r="BI1694" t="s">
        <v>69</v>
      </c>
      <c r="BJ1694" t="s">
        <v>1674</v>
      </c>
      <c r="BK1694" t="str">
        <f>HYPERLINK("http://dx.doi.org/10.1016/j.ergon.2003.10.005","http://dx.doi.org/10.1016/j.ergon.2003.10.005")</f>
        <v>http://dx.doi.org/10.1016/j.ergon.2003.10.005</v>
      </c>
      <c r="BL1694" t="s">
        <v>69</v>
      </c>
      <c r="BM1694" t="s">
        <v>69</v>
      </c>
      <c r="BN1694">
        <v>12</v>
      </c>
      <c r="BO1694" t="s">
        <v>31101</v>
      </c>
      <c r="BP1694" t="s">
        <v>8523</v>
      </c>
      <c r="BQ1694" t="s">
        <v>8445</v>
      </c>
      <c r="BR1694" t="s">
        <v>31102</v>
      </c>
      <c r="BS1694" t="s">
        <v>1675</v>
      </c>
      <c r="BT1694" t="s">
        <v>69</v>
      </c>
      <c r="BU1694" t="s">
        <v>69</v>
      </c>
      <c r="BV1694" t="s">
        <v>69</v>
      </c>
      <c r="BW1694" t="s">
        <v>69</v>
      </c>
      <c r="BX1694" t="s">
        <v>8526</v>
      </c>
      <c r="BY1694" t="str">
        <f>HYPERLINK("https%3A%2F%2Fwww.webofscience.com%2Fwos%2Fwoscc%2Ffull-record%2FWOS:000220162200003","View Full Record in Web of Science")</f>
        <v>View Full Record in Web of Science</v>
      </c>
    </row>
    <row r="1695" spans="1:77" ht="12.5" x14ac:dyDescent="0.25">
      <c r="A1695" t="s">
        <v>8495</v>
      </c>
      <c r="B1695" s="22" t="s">
        <v>32931</v>
      </c>
      <c r="C1695" s="7"/>
      <c r="D1695" s="7"/>
      <c r="E1695" s="7"/>
      <c r="F1695" t="s">
        <v>67</v>
      </c>
      <c r="G1695" t="s">
        <v>26322</v>
      </c>
      <c r="H1695" t="s">
        <v>69</v>
      </c>
      <c r="I1695" t="s">
        <v>69</v>
      </c>
      <c r="J1695" t="s">
        <v>69</v>
      </c>
      <c r="K1695" t="s">
        <v>26323</v>
      </c>
      <c r="L1695" t="s">
        <v>69</v>
      </c>
      <c r="M1695" t="s">
        <v>69</v>
      </c>
      <c r="N1695" t="s">
        <v>26324</v>
      </c>
      <c r="O1695" t="s">
        <v>26325</v>
      </c>
      <c r="P1695" t="s">
        <v>69</v>
      </c>
      <c r="Q1695" t="s">
        <v>69</v>
      </c>
      <c r="R1695" t="s">
        <v>8505</v>
      </c>
      <c r="S1695" t="s">
        <v>8506</v>
      </c>
      <c r="T1695" t="s">
        <v>69</v>
      </c>
      <c r="U1695" t="s">
        <v>69</v>
      </c>
      <c r="V1695" t="s">
        <v>69</v>
      </c>
      <c r="W1695" t="s">
        <v>69</v>
      </c>
      <c r="X1695" t="s">
        <v>69</v>
      </c>
      <c r="Y1695" t="s">
        <v>26326</v>
      </c>
      <c r="Z1695" t="s">
        <v>69</v>
      </c>
      <c r="AA1695" t="s">
        <v>26327</v>
      </c>
      <c r="AB1695" t="s">
        <v>26328</v>
      </c>
      <c r="AC1695" t="s">
        <v>69</v>
      </c>
      <c r="AD1695" t="s">
        <v>26329</v>
      </c>
      <c r="AE1695" t="s">
        <v>69</v>
      </c>
      <c r="AF1695" t="s">
        <v>69</v>
      </c>
      <c r="AG1695" t="s">
        <v>69</v>
      </c>
      <c r="AH1695" t="s">
        <v>69</v>
      </c>
      <c r="AI1695" t="s">
        <v>69</v>
      </c>
      <c r="AJ1695" t="s">
        <v>69</v>
      </c>
      <c r="AK1695" t="s">
        <v>69</v>
      </c>
      <c r="AL1695">
        <v>7</v>
      </c>
      <c r="AM1695">
        <v>0</v>
      </c>
      <c r="AN1695">
        <v>0</v>
      </c>
      <c r="AO1695">
        <v>0</v>
      </c>
      <c r="AP1695">
        <v>8</v>
      </c>
      <c r="AQ1695" t="s">
        <v>26330</v>
      </c>
      <c r="AR1695" t="s">
        <v>23319</v>
      </c>
      <c r="AS1695" t="s">
        <v>26331</v>
      </c>
      <c r="AT1695" t="s">
        <v>26332</v>
      </c>
      <c r="AU1695" t="s">
        <v>69</v>
      </c>
      <c r="AV1695" t="s">
        <v>69</v>
      </c>
      <c r="AW1695" t="s">
        <v>26333</v>
      </c>
      <c r="AX1695" t="s">
        <v>26334</v>
      </c>
      <c r="AY1695" t="s">
        <v>69</v>
      </c>
      <c r="AZ1695">
        <v>2012</v>
      </c>
      <c r="BA1695">
        <v>17</v>
      </c>
      <c r="BB1695">
        <v>6</v>
      </c>
      <c r="BC1695" t="s">
        <v>69</v>
      </c>
      <c r="BD1695" t="s">
        <v>69</v>
      </c>
      <c r="BE1695" t="s">
        <v>69</v>
      </c>
      <c r="BF1695" t="s">
        <v>69</v>
      </c>
      <c r="BG1695">
        <v>131</v>
      </c>
      <c r="BH1695">
        <v>134</v>
      </c>
      <c r="BI1695" t="s">
        <v>69</v>
      </c>
      <c r="BJ1695" t="s">
        <v>69</v>
      </c>
      <c r="BK1695" t="s">
        <v>69</v>
      </c>
      <c r="BL1695" t="s">
        <v>69</v>
      </c>
      <c r="BM1695" t="s">
        <v>69</v>
      </c>
      <c r="BN1695">
        <v>4</v>
      </c>
      <c r="BO1695" t="s">
        <v>18899</v>
      </c>
      <c r="BP1695" t="s">
        <v>8548</v>
      </c>
      <c r="BQ1695" t="s">
        <v>18899</v>
      </c>
      <c r="BR1695" t="s">
        <v>26335</v>
      </c>
      <c r="BS1695" t="s">
        <v>26336</v>
      </c>
      <c r="BT1695" t="s">
        <v>69</v>
      </c>
      <c r="BU1695" t="s">
        <v>69</v>
      </c>
      <c r="BV1695" t="s">
        <v>69</v>
      </c>
      <c r="BW1695" t="s">
        <v>69</v>
      </c>
      <c r="BX1695" t="s">
        <v>8526</v>
      </c>
      <c r="BY1695" t="str">
        <f>HYPERLINK("https%3A%2F%2Fwww.webofscience.com%2Fwos%2Fwoscc%2Ffull-record%2FWOS:000302988700028","View Full Record in Web of Science")</f>
        <v>View Full Record in Web of Science</v>
      </c>
    </row>
    <row r="1696" spans="1:77" ht="12.5" x14ac:dyDescent="0.25">
      <c r="A1696" t="s">
        <v>8495</v>
      </c>
      <c r="B1696" s="22" t="s">
        <v>33013</v>
      </c>
      <c r="C1696" s="7"/>
      <c r="D1696" s="7"/>
      <c r="E1696" s="7"/>
      <c r="F1696" t="s">
        <v>67</v>
      </c>
      <c r="G1696" t="s">
        <v>26322</v>
      </c>
      <c r="H1696" t="s">
        <v>69</v>
      </c>
      <c r="I1696" t="s">
        <v>69</v>
      </c>
      <c r="J1696" t="s">
        <v>69</v>
      </c>
      <c r="K1696" t="s">
        <v>26323</v>
      </c>
      <c r="L1696" t="s">
        <v>69</v>
      </c>
      <c r="M1696" t="s">
        <v>69</v>
      </c>
      <c r="N1696" t="s">
        <v>26324</v>
      </c>
      <c r="O1696" t="s">
        <v>26325</v>
      </c>
      <c r="P1696" t="s">
        <v>69</v>
      </c>
      <c r="Q1696" t="s">
        <v>69</v>
      </c>
      <c r="R1696" t="s">
        <v>8505</v>
      </c>
      <c r="S1696" t="s">
        <v>8506</v>
      </c>
      <c r="T1696" t="s">
        <v>69</v>
      </c>
      <c r="U1696" t="s">
        <v>69</v>
      </c>
      <c r="V1696" t="s">
        <v>69</v>
      </c>
      <c r="W1696" t="s">
        <v>69</v>
      </c>
      <c r="X1696" t="s">
        <v>69</v>
      </c>
      <c r="Y1696" t="s">
        <v>26326</v>
      </c>
      <c r="Z1696" t="s">
        <v>69</v>
      </c>
      <c r="AA1696" t="s">
        <v>26360</v>
      </c>
      <c r="AB1696" t="s">
        <v>26328</v>
      </c>
      <c r="AC1696" t="s">
        <v>69</v>
      </c>
      <c r="AD1696" t="s">
        <v>26329</v>
      </c>
      <c r="AE1696" t="s">
        <v>69</v>
      </c>
      <c r="AF1696" t="s">
        <v>69</v>
      </c>
      <c r="AG1696" t="s">
        <v>69</v>
      </c>
      <c r="AH1696" t="s">
        <v>69</v>
      </c>
      <c r="AI1696" t="s">
        <v>69</v>
      </c>
      <c r="AJ1696" t="s">
        <v>69</v>
      </c>
      <c r="AK1696" t="s">
        <v>69</v>
      </c>
      <c r="AL1696">
        <v>8</v>
      </c>
      <c r="AM1696">
        <v>0</v>
      </c>
      <c r="AN1696">
        <v>0</v>
      </c>
      <c r="AO1696">
        <v>0</v>
      </c>
      <c r="AP1696">
        <v>8</v>
      </c>
      <c r="AQ1696" t="s">
        <v>26330</v>
      </c>
      <c r="AR1696" t="s">
        <v>23319</v>
      </c>
      <c r="AS1696" t="s">
        <v>26331</v>
      </c>
      <c r="AT1696" t="s">
        <v>26332</v>
      </c>
      <c r="AU1696" t="s">
        <v>69</v>
      </c>
      <c r="AV1696" t="s">
        <v>69</v>
      </c>
      <c r="AW1696" t="s">
        <v>26333</v>
      </c>
      <c r="AX1696" t="s">
        <v>26334</v>
      </c>
      <c r="AY1696" t="s">
        <v>69</v>
      </c>
      <c r="AZ1696">
        <v>2012</v>
      </c>
      <c r="BA1696">
        <v>17</v>
      </c>
      <c r="BB1696">
        <v>4</v>
      </c>
      <c r="BC1696" t="s">
        <v>69</v>
      </c>
      <c r="BD1696" t="s">
        <v>69</v>
      </c>
      <c r="BE1696" t="s">
        <v>69</v>
      </c>
      <c r="BF1696" t="s">
        <v>69</v>
      </c>
      <c r="BG1696">
        <v>53</v>
      </c>
      <c r="BH1696">
        <v>56</v>
      </c>
      <c r="BI1696" t="s">
        <v>69</v>
      </c>
      <c r="BJ1696" t="s">
        <v>69</v>
      </c>
      <c r="BK1696" t="s">
        <v>69</v>
      </c>
      <c r="BL1696" t="s">
        <v>69</v>
      </c>
      <c r="BM1696" t="s">
        <v>69</v>
      </c>
      <c r="BN1696">
        <v>4</v>
      </c>
      <c r="BO1696" t="s">
        <v>18899</v>
      </c>
      <c r="BP1696" t="s">
        <v>8548</v>
      </c>
      <c r="BQ1696" t="s">
        <v>18899</v>
      </c>
      <c r="BR1696" t="s">
        <v>26361</v>
      </c>
      <c r="BS1696" t="s">
        <v>26362</v>
      </c>
      <c r="BT1696" t="s">
        <v>69</v>
      </c>
      <c r="BU1696" t="s">
        <v>69</v>
      </c>
      <c r="BV1696" t="s">
        <v>69</v>
      </c>
      <c r="BW1696" t="s">
        <v>69</v>
      </c>
      <c r="BX1696" t="s">
        <v>8526</v>
      </c>
      <c r="BY1696" t="str">
        <f>HYPERLINK("https%3A%2F%2Fwww.webofscience.com%2Fwos%2Fwoscc%2Ffull-record%2FWOS:000300590900009","View Full Record in Web of Science")</f>
        <v>View Full Record in Web of Science</v>
      </c>
    </row>
    <row r="1697" spans="1:77" ht="12.5" x14ac:dyDescent="0.25">
      <c r="A1697" t="s">
        <v>8495</v>
      </c>
      <c r="B1697" s="22" t="s">
        <v>32931</v>
      </c>
      <c r="C1697" s="7"/>
      <c r="D1697" s="7"/>
      <c r="E1697" s="7"/>
      <c r="F1697" t="s">
        <v>67</v>
      </c>
      <c r="G1697" t="s">
        <v>9314</v>
      </c>
      <c r="H1697" t="s">
        <v>69</v>
      </c>
      <c r="I1697" t="s">
        <v>69</v>
      </c>
      <c r="J1697" t="s">
        <v>69</v>
      </c>
      <c r="K1697" t="s">
        <v>9315</v>
      </c>
      <c r="L1697" t="s">
        <v>69</v>
      </c>
      <c r="M1697" t="s">
        <v>69</v>
      </c>
      <c r="N1697" t="s">
        <v>9316</v>
      </c>
      <c r="O1697" t="s">
        <v>9317</v>
      </c>
      <c r="P1697" t="s">
        <v>69</v>
      </c>
      <c r="Q1697" t="s">
        <v>69</v>
      </c>
      <c r="R1697" t="s">
        <v>8505</v>
      </c>
      <c r="S1697" t="s">
        <v>8506</v>
      </c>
      <c r="T1697" t="s">
        <v>69</v>
      </c>
      <c r="U1697" t="s">
        <v>69</v>
      </c>
      <c r="V1697" t="s">
        <v>69</v>
      </c>
      <c r="W1697" t="s">
        <v>69</v>
      </c>
      <c r="X1697" t="s">
        <v>69</v>
      </c>
      <c r="Y1697" t="s">
        <v>9318</v>
      </c>
      <c r="Z1697" t="s">
        <v>9319</v>
      </c>
      <c r="AA1697" t="s">
        <v>9320</v>
      </c>
      <c r="AB1697" t="s">
        <v>9321</v>
      </c>
      <c r="AC1697" t="s">
        <v>69</v>
      </c>
      <c r="AD1697" t="s">
        <v>9322</v>
      </c>
      <c r="AE1697" t="s">
        <v>9323</v>
      </c>
      <c r="AF1697" t="s">
        <v>69</v>
      </c>
      <c r="AG1697" t="s">
        <v>69</v>
      </c>
      <c r="AH1697" t="s">
        <v>9324</v>
      </c>
      <c r="AI1697" t="s">
        <v>9325</v>
      </c>
      <c r="AJ1697" t="s">
        <v>9326</v>
      </c>
      <c r="AK1697" t="s">
        <v>69</v>
      </c>
      <c r="AL1697">
        <v>52</v>
      </c>
      <c r="AM1697">
        <v>0</v>
      </c>
      <c r="AN1697">
        <v>0</v>
      </c>
      <c r="AO1697">
        <v>2</v>
      </c>
      <c r="AP1697">
        <v>2</v>
      </c>
      <c r="AQ1697" t="s">
        <v>8992</v>
      </c>
      <c r="AR1697" t="s">
        <v>8993</v>
      </c>
      <c r="AS1697" t="s">
        <v>8994</v>
      </c>
      <c r="AT1697" t="s">
        <v>9327</v>
      </c>
      <c r="AU1697" t="s">
        <v>69</v>
      </c>
      <c r="AV1697" t="s">
        <v>69</v>
      </c>
      <c r="AW1697" t="s">
        <v>9328</v>
      </c>
      <c r="AX1697" t="s">
        <v>9329</v>
      </c>
      <c r="AY1697" t="s">
        <v>9330</v>
      </c>
      <c r="AZ1697">
        <v>2022</v>
      </c>
      <c r="BA1697">
        <v>13</v>
      </c>
      <c r="BB1697" t="s">
        <v>69</v>
      </c>
      <c r="BC1697" t="s">
        <v>69</v>
      </c>
      <c r="BD1697" t="s">
        <v>69</v>
      </c>
      <c r="BE1697" t="s">
        <v>69</v>
      </c>
      <c r="BF1697" t="s">
        <v>69</v>
      </c>
      <c r="BG1697" t="s">
        <v>69</v>
      </c>
      <c r="BH1697" t="s">
        <v>69</v>
      </c>
      <c r="BI1697">
        <v>801065</v>
      </c>
      <c r="BJ1697" t="s">
        <v>9331</v>
      </c>
      <c r="BK1697" t="str">
        <f>HYPERLINK("http://dx.doi.org/10.3389/fpsyt.2022.801065","http://dx.doi.org/10.3389/fpsyt.2022.801065")</f>
        <v>http://dx.doi.org/10.3389/fpsyt.2022.801065</v>
      </c>
      <c r="BL1697" t="s">
        <v>69</v>
      </c>
      <c r="BM1697" t="s">
        <v>69</v>
      </c>
      <c r="BN1697">
        <v>11</v>
      </c>
      <c r="BO1697" t="s">
        <v>9332</v>
      </c>
      <c r="BP1697" t="s">
        <v>8523</v>
      </c>
      <c r="BQ1697" t="s">
        <v>9332</v>
      </c>
      <c r="BR1697" t="s">
        <v>9333</v>
      </c>
      <c r="BS1697" t="s">
        <v>9334</v>
      </c>
      <c r="BT1697">
        <v>35463487</v>
      </c>
      <c r="BU1697" t="s">
        <v>8812</v>
      </c>
      <c r="BV1697" t="s">
        <v>69</v>
      </c>
      <c r="BW1697" t="s">
        <v>69</v>
      </c>
      <c r="BX1697" t="s">
        <v>8526</v>
      </c>
      <c r="BY1697" t="str">
        <f>HYPERLINK("https%3A%2F%2Fwww.webofscience.com%2Fwos%2Fwoscc%2Ffull-record%2FWOS:000792229800001","View Full Record in Web of Science")</f>
        <v>View Full Record in Web of Science</v>
      </c>
    </row>
    <row r="1698" spans="1:77" ht="12.5" x14ac:dyDescent="0.25">
      <c r="A1698" t="s">
        <v>8495</v>
      </c>
      <c r="B1698" s="22" t="s">
        <v>32931</v>
      </c>
      <c r="C1698" s="7"/>
      <c r="D1698" s="7"/>
      <c r="E1698" s="7"/>
      <c r="F1698" t="s">
        <v>67</v>
      </c>
      <c r="G1698" t="s">
        <v>19213</v>
      </c>
      <c r="H1698" t="s">
        <v>69</v>
      </c>
      <c r="I1698" t="s">
        <v>69</v>
      </c>
      <c r="J1698" t="s">
        <v>69</v>
      </c>
      <c r="K1698" t="s">
        <v>19214</v>
      </c>
      <c r="L1698" t="s">
        <v>69</v>
      </c>
      <c r="M1698" t="s">
        <v>69</v>
      </c>
      <c r="N1698" t="s">
        <v>19215</v>
      </c>
      <c r="O1698" t="s">
        <v>19216</v>
      </c>
      <c r="P1698" t="s">
        <v>69</v>
      </c>
      <c r="Q1698" t="s">
        <v>69</v>
      </c>
      <c r="R1698" t="s">
        <v>8505</v>
      </c>
      <c r="S1698" t="s">
        <v>8506</v>
      </c>
      <c r="T1698" t="s">
        <v>69</v>
      </c>
      <c r="U1698" t="s">
        <v>69</v>
      </c>
      <c r="V1698" t="s">
        <v>69</v>
      </c>
      <c r="W1698" t="s">
        <v>69</v>
      </c>
      <c r="X1698" t="s">
        <v>69</v>
      </c>
      <c r="Y1698" t="s">
        <v>19217</v>
      </c>
      <c r="Z1698" t="s">
        <v>19218</v>
      </c>
      <c r="AA1698" t="s">
        <v>19219</v>
      </c>
      <c r="AB1698" t="s">
        <v>19220</v>
      </c>
      <c r="AC1698" t="s">
        <v>69</v>
      </c>
      <c r="AD1698" t="s">
        <v>19221</v>
      </c>
      <c r="AE1698" t="s">
        <v>19222</v>
      </c>
      <c r="AF1698" t="s">
        <v>69</v>
      </c>
      <c r="AG1698" t="s">
        <v>19223</v>
      </c>
      <c r="AH1698" t="s">
        <v>69</v>
      </c>
      <c r="AI1698" t="s">
        <v>69</v>
      </c>
      <c r="AJ1698" t="s">
        <v>69</v>
      </c>
      <c r="AK1698" t="s">
        <v>69</v>
      </c>
      <c r="AL1698">
        <v>18</v>
      </c>
      <c r="AM1698">
        <v>2</v>
      </c>
      <c r="AN1698">
        <v>2</v>
      </c>
      <c r="AO1698">
        <v>0</v>
      </c>
      <c r="AP1698">
        <v>6</v>
      </c>
      <c r="AQ1698" t="s">
        <v>9047</v>
      </c>
      <c r="AR1698" t="s">
        <v>8693</v>
      </c>
      <c r="AS1698" t="s">
        <v>16643</v>
      </c>
      <c r="AT1698" t="s">
        <v>19224</v>
      </c>
      <c r="AU1698" t="s">
        <v>19225</v>
      </c>
      <c r="AV1698" t="s">
        <v>69</v>
      </c>
      <c r="AW1698" t="s">
        <v>19226</v>
      </c>
      <c r="AX1698" t="s">
        <v>19227</v>
      </c>
      <c r="AY1698" t="s">
        <v>191</v>
      </c>
      <c r="AZ1698">
        <v>2018</v>
      </c>
      <c r="BA1698">
        <v>39</v>
      </c>
      <c r="BB1698">
        <v>2</v>
      </c>
      <c r="BC1698" t="s">
        <v>69</v>
      </c>
      <c r="BD1698" t="s">
        <v>69</v>
      </c>
      <c r="BE1698" t="s">
        <v>69</v>
      </c>
      <c r="BF1698" t="s">
        <v>69</v>
      </c>
      <c r="BG1698">
        <v>307</v>
      </c>
      <c r="BH1698">
        <v>314</v>
      </c>
      <c r="BI1698" t="s">
        <v>69</v>
      </c>
      <c r="BJ1698" t="s">
        <v>19228</v>
      </c>
      <c r="BK1698" t="str">
        <f>HYPERLINK("http://dx.doi.org/10.1007/s00246-017-1756-9","http://dx.doi.org/10.1007/s00246-017-1756-9")</f>
        <v>http://dx.doi.org/10.1007/s00246-017-1756-9</v>
      </c>
      <c r="BL1698" t="s">
        <v>69</v>
      </c>
      <c r="BM1698" t="s">
        <v>69</v>
      </c>
      <c r="BN1698">
        <v>8</v>
      </c>
      <c r="BO1698" t="s">
        <v>16366</v>
      </c>
      <c r="BP1698" t="s">
        <v>8548</v>
      </c>
      <c r="BQ1698" t="s">
        <v>16367</v>
      </c>
      <c r="BR1698" t="s">
        <v>19229</v>
      </c>
      <c r="BS1698" t="s">
        <v>19230</v>
      </c>
      <c r="BT1698">
        <v>29147800</v>
      </c>
      <c r="BU1698" t="s">
        <v>69</v>
      </c>
      <c r="BV1698" t="s">
        <v>69</v>
      </c>
      <c r="BW1698" t="s">
        <v>69</v>
      </c>
      <c r="BX1698" t="s">
        <v>8526</v>
      </c>
      <c r="BY1698" t="str">
        <f>HYPERLINK("https%3A%2F%2Fwww.webofscience.com%2Fwos%2Fwoscc%2Ffull-record%2FWOS:000424275400012","View Full Record in Web of Science")</f>
        <v>View Full Record in Web of Science</v>
      </c>
    </row>
    <row r="1699" spans="1:77" ht="12.5" x14ac:dyDescent="0.25">
      <c r="A1699" t="s">
        <v>8495</v>
      </c>
      <c r="B1699" s="7" t="s">
        <v>32933</v>
      </c>
      <c r="C1699" s="7"/>
      <c r="D1699" s="7"/>
      <c r="E1699" s="7"/>
      <c r="F1699" t="s">
        <v>67</v>
      </c>
      <c r="G1699" t="s">
        <v>1581</v>
      </c>
      <c r="H1699" t="s">
        <v>69</v>
      </c>
      <c r="I1699" t="s">
        <v>69</v>
      </c>
      <c r="J1699" t="s">
        <v>69</v>
      </c>
      <c r="K1699" t="s">
        <v>1582</v>
      </c>
      <c r="L1699" t="s">
        <v>69</v>
      </c>
      <c r="M1699" t="s">
        <v>69</v>
      </c>
      <c r="N1699" t="s">
        <v>1583</v>
      </c>
      <c r="O1699" t="s">
        <v>1584</v>
      </c>
      <c r="P1699" t="s">
        <v>69</v>
      </c>
      <c r="Q1699" t="s">
        <v>69</v>
      </c>
      <c r="R1699" t="s">
        <v>8505</v>
      </c>
      <c r="S1699" t="s">
        <v>8506</v>
      </c>
      <c r="T1699" t="s">
        <v>69</v>
      </c>
      <c r="U1699" t="s">
        <v>69</v>
      </c>
      <c r="V1699" t="s">
        <v>69</v>
      </c>
      <c r="W1699" t="s">
        <v>69</v>
      </c>
      <c r="X1699" t="s">
        <v>69</v>
      </c>
      <c r="Y1699" t="s">
        <v>69</v>
      </c>
      <c r="Z1699" t="s">
        <v>69</v>
      </c>
      <c r="AA1699" t="s">
        <v>1585</v>
      </c>
      <c r="AB1699" t="s">
        <v>29433</v>
      </c>
      <c r="AC1699" t="s">
        <v>69</v>
      </c>
      <c r="AD1699" t="s">
        <v>29434</v>
      </c>
      <c r="AE1699" t="s">
        <v>29435</v>
      </c>
      <c r="AF1699" t="s">
        <v>69</v>
      </c>
      <c r="AG1699" t="s">
        <v>69</v>
      </c>
      <c r="AH1699" t="s">
        <v>69</v>
      </c>
      <c r="AI1699" t="s">
        <v>69</v>
      </c>
      <c r="AJ1699" t="s">
        <v>69</v>
      </c>
      <c r="AK1699" t="s">
        <v>69</v>
      </c>
      <c r="AL1699">
        <v>81</v>
      </c>
      <c r="AM1699">
        <v>6</v>
      </c>
      <c r="AN1699">
        <v>6</v>
      </c>
      <c r="AO1699">
        <v>4</v>
      </c>
      <c r="AP1699">
        <v>13</v>
      </c>
      <c r="AQ1699" t="s">
        <v>8865</v>
      </c>
      <c r="AR1699" t="s">
        <v>8612</v>
      </c>
      <c r="AS1699" t="s">
        <v>8866</v>
      </c>
      <c r="AT1699" t="s">
        <v>1586</v>
      </c>
      <c r="AU1699" t="s">
        <v>1587</v>
      </c>
      <c r="AV1699" t="s">
        <v>69</v>
      </c>
      <c r="AW1699" t="s">
        <v>29436</v>
      </c>
      <c r="AX1699" t="s">
        <v>29437</v>
      </c>
      <c r="AY1699" t="s">
        <v>69</v>
      </c>
      <c r="AZ1699">
        <v>2008</v>
      </c>
      <c r="BA1699">
        <v>20</v>
      </c>
      <c r="BB1699">
        <v>1</v>
      </c>
      <c r="BC1699" t="s">
        <v>69</v>
      </c>
      <c r="BD1699" t="s">
        <v>69</v>
      </c>
      <c r="BE1699" t="s">
        <v>69</v>
      </c>
      <c r="BF1699" t="s">
        <v>69</v>
      </c>
      <c r="BG1699">
        <v>20</v>
      </c>
      <c r="BH1699">
        <v>48</v>
      </c>
      <c r="BI1699" t="s">
        <v>69</v>
      </c>
      <c r="BJ1699" t="s">
        <v>1588</v>
      </c>
      <c r="BK1699" t="str">
        <f>HYPERLINK("http://dx.doi.org/10.1080/10627260701727002","http://dx.doi.org/10.1080/10627260701727002")</f>
        <v>http://dx.doi.org/10.1080/10627260701727002</v>
      </c>
      <c r="BL1699" t="s">
        <v>69</v>
      </c>
      <c r="BM1699" t="s">
        <v>69</v>
      </c>
      <c r="BN1699">
        <v>29</v>
      </c>
      <c r="BO1699" t="s">
        <v>8443</v>
      </c>
      <c r="BP1699" t="s">
        <v>8661</v>
      </c>
      <c r="BQ1699" t="s">
        <v>8443</v>
      </c>
      <c r="BR1699" t="s">
        <v>29438</v>
      </c>
      <c r="BS1699" t="s">
        <v>1589</v>
      </c>
      <c r="BT1699" t="s">
        <v>69</v>
      </c>
      <c r="BU1699" t="s">
        <v>69</v>
      </c>
      <c r="BV1699" t="s">
        <v>69</v>
      </c>
      <c r="BW1699" t="s">
        <v>69</v>
      </c>
      <c r="BX1699" t="s">
        <v>8526</v>
      </c>
      <c r="BY1699" t="str">
        <f>HYPERLINK("https%3A%2F%2Fwww.webofscience.com%2Fwos%2Fwoscc%2Ffull-record%2FWOS:000260804800002","View Full Record in Web of Science")</f>
        <v>View Full Record in Web of Science</v>
      </c>
    </row>
    <row r="1700" spans="1:77" ht="12.5" x14ac:dyDescent="0.25">
      <c r="A1700" t="s">
        <v>8495</v>
      </c>
      <c r="B1700" s="11" t="s">
        <v>33035</v>
      </c>
      <c r="C1700" s="7"/>
      <c r="D1700" s="7"/>
      <c r="E1700" s="7"/>
      <c r="F1700" t="s">
        <v>67</v>
      </c>
      <c r="G1700" t="s">
        <v>7773</v>
      </c>
      <c r="H1700" t="s">
        <v>69</v>
      </c>
      <c r="I1700" t="s">
        <v>69</v>
      </c>
      <c r="J1700" t="s">
        <v>69</v>
      </c>
      <c r="K1700" s="2" t="s">
        <v>7774</v>
      </c>
      <c r="L1700" t="s">
        <v>69</v>
      </c>
      <c r="M1700" t="s">
        <v>69</v>
      </c>
      <c r="N1700" s="11" t="s">
        <v>7775</v>
      </c>
      <c r="O1700" t="s">
        <v>4495</v>
      </c>
      <c r="P1700" t="s">
        <v>69</v>
      </c>
      <c r="Q1700" t="s">
        <v>69</v>
      </c>
      <c r="R1700" t="s">
        <v>8505</v>
      </c>
      <c r="S1700" t="s">
        <v>8506</v>
      </c>
      <c r="T1700" t="s">
        <v>69</v>
      </c>
      <c r="U1700" t="s">
        <v>69</v>
      </c>
      <c r="V1700" t="s">
        <v>69</v>
      </c>
      <c r="W1700" t="s">
        <v>69</v>
      </c>
      <c r="X1700" t="s">
        <v>69</v>
      </c>
      <c r="Y1700" t="s">
        <v>26066</v>
      </c>
      <c r="Z1700" t="s">
        <v>26067</v>
      </c>
      <c r="AA1700" t="s">
        <v>7776</v>
      </c>
      <c r="AB1700" t="s">
        <v>26068</v>
      </c>
      <c r="AC1700" t="s">
        <v>69</v>
      </c>
      <c r="AD1700" t="s">
        <v>26069</v>
      </c>
      <c r="AE1700" t="s">
        <v>26070</v>
      </c>
      <c r="AF1700" t="s">
        <v>7777</v>
      </c>
      <c r="AG1700" t="s">
        <v>7778</v>
      </c>
      <c r="AH1700" t="s">
        <v>69</v>
      </c>
      <c r="AI1700" t="s">
        <v>69</v>
      </c>
      <c r="AJ1700" t="s">
        <v>69</v>
      </c>
      <c r="AK1700" t="s">
        <v>69</v>
      </c>
      <c r="AL1700">
        <v>21</v>
      </c>
      <c r="AM1700">
        <v>5</v>
      </c>
      <c r="AN1700">
        <v>6</v>
      </c>
      <c r="AO1700">
        <v>1</v>
      </c>
      <c r="AP1700">
        <v>18</v>
      </c>
      <c r="AQ1700" t="s">
        <v>23080</v>
      </c>
      <c r="AR1700" t="s">
        <v>16384</v>
      </c>
      <c r="AS1700" t="s">
        <v>23081</v>
      </c>
      <c r="AT1700" t="s">
        <v>4500</v>
      </c>
      <c r="AU1700" t="s">
        <v>4501</v>
      </c>
      <c r="AV1700" t="s">
        <v>69</v>
      </c>
      <c r="AW1700" t="s">
        <v>4495</v>
      </c>
      <c r="AX1700" t="s">
        <v>8485</v>
      </c>
      <c r="AY1700" t="s">
        <v>246</v>
      </c>
      <c r="AZ1700">
        <v>2012</v>
      </c>
      <c r="BA1700">
        <v>38</v>
      </c>
      <c r="BB1700">
        <v>2</v>
      </c>
      <c r="BC1700" t="s">
        <v>69</v>
      </c>
      <c r="BD1700" t="s">
        <v>69</v>
      </c>
      <c r="BE1700" t="s">
        <v>69</v>
      </c>
      <c r="BF1700" t="s">
        <v>69</v>
      </c>
      <c r="BG1700">
        <v>249</v>
      </c>
      <c r="BH1700">
        <v>253</v>
      </c>
      <c r="BI1700" t="s">
        <v>69</v>
      </c>
      <c r="BJ1700" t="s">
        <v>7779</v>
      </c>
      <c r="BK1700" t="str">
        <f>HYPERLINK("http://dx.doi.org/10.4314/wsa.v38i2.10","http://dx.doi.org/10.4314/wsa.v38i2.10")</f>
        <v>http://dx.doi.org/10.4314/wsa.v38i2.10</v>
      </c>
      <c r="BL1700" t="s">
        <v>69</v>
      </c>
      <c r="BM1700" t="s">
        <v>69</v>
      </c>
      <c r="BN1700">
        <v>5</v>
      </c>
      <c r="BO1700" t="s">
        <v>9096</v>
      </c>
      <c r="BP1700" t="s">
        <v>8548</v>
      </c>
      <c r="BQ1700" t="s">
        <v>9096</v>
      </c>
      <c r="BR1700" t="s">
        <v>26071</v>
      </c>
      <c r="BS1700" t="s">
        <v>7780</v>
      </c>
      <c r="BT1700" t="s">
        <v>69</v>
      </c>
      <c r="BU1700" t="s">
        <v>11853</v>
      </c>
      <c r="BV1700" t="s">
        <v>69</v>
      </c>
      <c r="BW1700" t="s">
        <v>69</v>
      </c>
      <c r="BX1700" t="s">
        <v>8526</v>
      </c>
      <c r="BY1700" t="str">
        <f>HYPERLINK("https%3A%2F%2Fwww.webofscience.com%2Fwos%2Fwoscc%2Ffull-record%2FWOS:000306368200010","View Full Record in Web of Science")</f>
        <v>View Full Record in Web of Science</v>
      </c>
    </row>
    <row r="1701" spans="1:77" ht="12.5" x14ac:dyDescent="0.25">
      <c r="A1701" t="s">
        <v>8495</v>
      </c>
      <c r="B1701" s="7" t="s">
        <v>32933</v>
      </c>
      <c r="C1701" s="7"/>
      <c r="D1701" s="7"/>
      <c r="E1701" s="7"/>
      <c r="F1701" t="s">
        <v>67</v>
      </c>
      <c r="G1701" t="s">
        <v>3935</v>
      </c>
      <c r="H1701" t="s">
        <v>69</v>
      </c>
      <c r="I1701" t="s">
        <v>69</v>
      </c>
      <c r="J1701" t="s">
        <v>69</v>
      </c>
      <c r="K1701" t="s">
        <v>3935</v>
      </c>
      <c r="L1701" t="s">
        <v>69</v>
      </c>
      <c r="M1701" t="s">
        <v>69</v>
      </c>
      <c r="N1701" t="s">
        <v>3936</v>
      </c>
      <c r="O1701" t="s">
        <v>3807</v>
      </c>
      <c r="P1701" t="s">
        <v>69</v>
      </c>
      <c r="Q1701" t="s">
        <v>69</v>
      </c>
      <c r="R1701" t="s">
        <v>8505</v>
      </c>
      <c r="S1701" t="s">
        <v>8442</v>
      </c>
      <c r="T1701" t="s">
        <v>69</v>
      </c>
      <c r="U1701" t="s">
        <v>69</v>
      </c>
      <c r="V1701" t="s">
        <v>69</v>
      </c>
      <c r="W1701" t="s">
        <v>69</v>
      </c>
      <c r="X1701" t="s">
        <v>69</v>
      </c>
      <c r="Y1701" t="s">
        <v>69</v>
      </c>
      <c r="Z1701" t="s">
        <v>31045</v>
      </c>
      <c r="AA1701" t="s">
        <v>3937</v>
      </c>
      <c r="AB1701" t="s">
        <v>31040</v>
      </c>
      <c r="AC1701" t="s">
        <v>69</v>
      </c>
      <c r="AD1701" t="s">
        <v>31046</v>
      </c>
      <c r="AE1701" t="s">
        <v>31047</v>
      </c>
      <c r="AF1701" t="s">
        <v>31043</v>
      </c>
      <c r="AG1701" t="s">
        <v>69</v>
      </c>
      <c r="AH1701" t="s">
        <v>69</v>
      </c>
      <c r="AI1701" t="s">
        <v>69</v>
      </c>
      <c r="AJ1701" t="s">
        <v>69</v>
      </c>
      <c r="AK1701" t="s">
        <v>69</v>
      </c>
      <c r="AL1701">
        <v>119</v>
      </c>
      <c r="AM1701">
        <v>38</v>
      </c>
      <c r="AN1701">
        <v>38</v>
      </c>
      <c r="AO1701">
        <v>0</v>
      </c>
      <c r="AP1701">
        <v>4</v>
      </c>
      <c r="AQ1701" t="s">
        <v>9178</v>
      </c>
      <c r="AR1701" t="s">
        <v>8763</v>
      </c>
      <c r="AS1701" t="s">
        <v>9179</v>
      </c>
      <c r="AT1701" t="s">
        <v>3809</v>
      </c>
      <c r="AU1701" t="s">
        <v>3810</v>
      </c>
      <c r="AV1701" t="s">
        <v>69</v>
      </c>
      <c r="AW1701" t="s">
        <v>25897</v>
      </c>
      <c r="AX1701" t="s">
        <v>25898</v>
      </c>
      <c r="AY1701" t="s">
        <v>75</v>
      </c>
      <c r="AZ1701">
        <v>2004</v>
      </c>
      <c r="BA1701">
        <v>13</v>
      </c>
      <c r="BB1701" t="s">
        <v>69</v>
      </c>
      <c r="BC1701" t="s">
        <v>69</v>
      </c>
      <c r="BD1701">
        <v>2</v>
      </c>
      <c r="BE1701" t="s">
        <v>69</v>
      </c>
      <c r="BF1701" t="s">
        <v>69</v>
      </c>
      <c r="BG1701">
        <v>71</v>
      </c>
      <c r="BH1701">
        <v>78</v>
      </c>
      <c r="BI1701" t="s">
        <v>69</v>
      </c>
      <c r="BJ1701" t="s">
        <v>3938</v>
      </c>
      <c r="BK1701" t="str">
        <f>HYPERLINK("http://dx.doi.org/10.1136/tc.2004.009324","http://dx.doi.org/10.1136/tc.2004.009324")</f>
        <v>http://dx.doi.org/10.1136/tc.2004.009324</v>
      </c>
      <c r="BL1701" t="s">
        <v>69</v>
      </c>
      <c r="BM1701" t="s">
        <v>69</v>
      </c>
      <c r="BN1701">
        <v>8</v>
      </c>
      <c r="BO1701" t="s">
        <v>25899</v>
      </c>
      <c r="BP1701" t="s">
        <v>8548</v>
      </c>
      <c r="BQ1701" t="s">
        <v>25899</v>
      </c>
      <c r="BR1701" t="s">
        <v>31044</v>
      </c>
      <c r="BS1701" t="s">
        <v>3939</v>
      </c>
      <c r="BT1701" t="s">
        <v>69</v>
      </c>
      <c r="BU1701" t="s">
        <v>11793</v>
      </c>
      <c r="BV1701" t="s">
        <v>69</v>
      </c>
      <c r="BW1701" t="s">
        <v>69</v>
      </c>
      <c r="BX1701" t="s">
        <v>8526</v>
      </c>
      <c r="BY1701" t="str">
        <f>HYPERLINK("https%3A%2F%2Fwww.webofscience.com%2Fwos%2Fwoscc%2Ffull-record%2FWOS:000225734100011","View Full Record in Web of Science")</f>
        <v>View Full Record in Web of Science</v>
      </c>
    </row>
    <row r="1702" spans="1:77" ht="12.5" x14ac:dyDescent="0.25">
      <c r="A1702" t="s">
        <v>8495</v>
      </c>
      <c r="B1702" s="7" t="s">
        <v>32933</v>
      </c>
      <c r="C1702" s="7"/>
      <c r="D1702" s="7"/>
      <c r="E1702" s="7"/>
      <c r="F1702" t="s">
        <v>67</v>
      </c>
      <c r="G1702" t="s">
        <v>4143</v>
      </c>
      <c r="H1702" t="s">
        <v>69</v>
      </c>
      <c r="I1702" t="s">
        <v>69</v>
      </c>
      <c r="J1702" t="s">
        <v>69</v>
      </c>
      <c r="K1702" t="s">
        <v>4143</v>
      </c>
      <c r="L1702" t="s">
        <v>69</v>
      </c>
      <c r="M1702" t="s">
        <v>69</v>
      </c>
      <c r="N1702" t="s">
        <v>4144</v>
      </c>
      <c r="O1702" t="s">
        <v>4145</v>
      </c>
      <c r="P1702" t="s">
        <v>69</v>
      </c>
      <c r="Q1702" t="s">
        <v>69</v>
      </c>
      <c r="R1702" t="s">
        <v>8505</v>
      </c>
      <c r="S1702" t="s">
        <v>8506</v>
      </c>
      <c r="T1702" t="s">
        <v>69</v>
      </c>
      <c r="U1702" t="s">
        <v>69</v>
      </c>
      <c r="V1702" t="s">
        <v>69</v>
      </c>
      <c r="W1702" t="s">
        <v>69</v>
      </c>
      <c r="X1702" t="s">
        <v>69</v>
      </c>
      <c r="Y1702" t="s">
        <v>31982</v>
      </c>
      <c r="Z1702" t="s">
        <v>69</v>
      </c>
      <c r="AA1702" t="s">
        <v>4146</v>
      </c>
      <c r="AB1702" t="s">
        <v>31983</v>
      </c>
      <c r="AC1702" t="s">
        <v>69</v>
      </c>
      <c r="AD1702" t="s">
        <v>31984</v>
      </c>
      <c r="AE1702" t="s">
        <v>69</v>
      </c>
      <c r="AF1702" t="s">
        <v>69</v>
      </c>
      <c r="AG1702" t="s">
        <v>69</v>
      </c>
      <c r="AH1702" t="s">
        <v>69</v>
      </c>
      <c r="AI1702" t="s">
        <v>69</v>
      </c>
      <c r="AJ1702" t="s">
        <v>69</v>
      </c>
      <c r="AK1702" t="s">
        <v>69</v>
      </c>
      <c r="AL1702">
        <v>3</v>
      </c>
      <c r="AM1702">
        <v>3</v>
      </c>
      <c r="AN1702">
        <v>3</v>
      </c>
      <c r="AO1702">
        <v>0</v>
      </c>
      <c r="AP1702">
        <v>1</v>
      </c>
      <c r="AQ1702" t="s">
        <v>31642</v>
      </c>
      <c r="AR1702" t="s">
        <v>10924</v>
      </c>
      <c r="AS1702" t="s">
        <v>31643</v>
      </c>
      <c r="AT1702" t="s">
        <v>4147</v>
      </c>
      <c r="AU1702" t="s">
        <v>69</v>
      </c>
      <c r="AV1702" t="s">
        <v>69</v>
      </c>
      <c r="AW1702" t="s">
        <v>31985</v>
      </c>
      <c r="AX1702" t="s">
        <v>31986</v>
      </c>
      <c r="AY1702" t="s">
        <v>586</v>
      </c>
      <c r="AZ1702">
        <v>1999</v>
      </c>
      <c r="BA1702">
        <v>12</v>
      </c>
      <c r="BB1702">
        <v>2</v>
      </c>
      <c r="BC1702" t="s">
        <v>69</v>
      </c>
      <c r="BD1702" t="s">
        <v>69</v>
      </c>
      <c r="BE1702" t="s">
        <v>69</v>
      </c>
      <c r="BF1702" t="s">
        <v>69</v>
      </c>
      <c r="BG1702">
        <v>87</v>
      </c>
      <c r="BH1702">
        <v>93</v>
      </c>
      <c r="BI1702" t="s">
        <v>69</v>
      </c>
      <c r="BJ1702" t="s">
        <v>4148</v>
      </c>
      <c r="BK1702" t="str">
        <f>HYPERLINK("http://dx.doi.org/10.1007/BF03168847","http://dx.doi.org/10.1007/BF03168847")</f>
        <v>http://dx.doi.org/10.1007/BF03168847</v>
      </c>
      <c r="BL1702" t="s">
        <v>69</v>
      </c>
      <c r="BM1702" t="s">
        <v>69</v>
      </c>
      <c r="BN1702">
        <v>7</v>
      </c>
      <c r="BO1702" t="s">
        <v>14443</v>
      </c>
      <c r="BP1702" t="s">
        <v>8548</v>
      </c>
      <c r="BQ1702" t="s">
        <v>14443</v>
      </c>
      <c r="BR1702" t="s">
        <v>31987</v>
      </c>
      <c r="BS1702" t="s">
        <v>4149</v>
      </c>
      <c r="BT1702">
        <v>10342251</v>
      </c>
      <c r="BU1702" t="s">
        <v>10423</v>
      </c>
      <c r="BV1702" t="s">
        <v>69</v>
      </c>
      <c r="BW1702" t="s">
        <v>69</v>
      </c>
      <c r="BX1702" t="s">
        <v>8526</v>
      </c>
      <c r="BY1702" t="str">
        <f>HYPERLINK("https%3A%2F%2Fwww.webofscience.com%2Fwos%2Fwoscc%2Ffull-record%2FWOS:000080296500006","View Full Record in Web of Science")</f>
        <v>View Full Record in Web of Science</v>
      </c>
    </row>
    <row r="1703" spans="1:77" ht="12.5" x14ac:dyDescent="0.25">
      <c r="A1703" t="s">
        <v>8495</v>
      </c>
      <c r="B1703" s="7" t="s">
        <v>32933</v>
      </c>
      <c r="C1703" s="7"/>
      <c r="D1703" s="7"/>
      <c r="E1703" s="7"/>
      <c r="F1703" t="s">
        <v>67</v>
      </c>
      <c r="G1703" t="s">
        <v>4207</v>
      </c>
      <c r="H1703" t="s">
        <v>69</v>
      </c>
      <c r="I1703" t="s">
        <v>69</v>
      </c>
      <c r="J1703" t="s">
        <v>69</v>
      </c>
      <c r="K1703" t="s">
        <v>4207</v>
      </c>
      <c r="L1703" t="s">
        <v>69</v>
      </c>
      <c r="M1703" t="s">
        <v>69</v>
      </c>
      <c r="N1703" t="s">
        <v>4208</v>
      </c>
      <c r="O1703" t="s">
        <v>4209</v>
      </c>
      <c r="P1703" t="s">
        <v>69</v>
      </c>
      <c r="Q1703" t="s">
        <v>69</v>
      </c>
      <c r="R1703" t="s">
        <v>8505</v>
      </c>
      <c r="S1703" t="s">
        <v>8506</v>
      </c>
      <c r="T1703" t="s">
        <v>69</v>
      </c>
      <c r="U1703" t="s">
        <v>69</v>
      </c>
      <c r="V1703" t="s">
        <v>69</v>
      </c>
      <c r="W1703" t="s">
        <v>69</v>
      </c>
      <c r="X1703" t="s">
        <v>69</v>
      </c>
      <c r="Y1703" t="s">
        <v>32322</v>
      </c>
      <c r="Z1703" t="s">
        <v>69</v>
      </c>
      <c r="AA1703" t="s">
        <v>4210</v>
      </c>
      <c r="AB1703" t="s">
        <v>32323</v>
      </c>
      <c r="AC1703" t="s">
        <v>69</v>
      </c>
      <c r="AD1703" t="s">
        <v>32324</v>
      </c>
      <c r="AE1703" t="s">
        <v>69</v>
      </c>
      <c r="AF1703" t="s">
        <v>69</v>
      </c>
      <c r="AG1703" t="s">
        <v>69</v>
      </c>
      <c r="AH1703" t="s">
        <v>69</v>
      </c>
      <c r="AI1703" t="s">
        <v>69</v>
      </c>
      <c r="AJ1703" t="s">
        <v>69</v>
      </c>
      <c r="AK1703" t="s">
        <v>69</v>
      </c>
      <c r="AL1703">
        <v>18</v>
      </c>
      <c r="AM1703">
        <v>5</v>
      </c>
      <c r="AN1703">
        <v>5</v>
      </c>
      <c r="AO1703">
        <v>0</v>
      </c>
      <c r="AP1703">
        <v>5</v>
      </c>
      <c r="AQ1703" t="s">
        <v>32325</v>
      </c>
      <c r="AR1703" t="s">
        <v>32326</v>
      </c>
      <c r="AS1703" t="s">
        <v>32327</v>
      </c>
      <c r="AT1703" t="s">
        <v>4211</v>
      </c>
      <c r="AU1703" t="s">
        <v>69</v>
      </c>
      <c r="AV1703" t="s">
        <v>69</v>
      </c>
      <c r="AW1703" t="s">
        <v>32328</v>
      </c>
      <c r="AX1703" t="s">
        <v>32329</v>
      </c>
      <c r="AY1703" t="s">
        <v>69</v>
      </c>
      <c r="AZ1703">
        <v>1997</v>
      </c>
      <c r="BA1703">
        <v>33</v>
      </c>
      <c r="BB1703" t="s">
        <v>69</v>
      </c>
      <c r="BC1703" t="s">
        <v>69</v>
      </c>
      <c r="BD1703" t="s">
        <v>69</v>
      </c>
      <c r="BE1703" t="s">
        <v>69</v>
      </c>
      <c r="BF1703" t="s">
        <v>69</v>
      </c>
      <c r="BG1703">
        <v>45</v>
      </c>
      <c r="BH1703">
        <v>69</v>
      </c>
      <c r="BI1703" t="s">
        <v>69</v>
      </c>
      <c r="BJ1703" t="s">
        <v>69</v>
      </c>
      <c r="BK1703" t="s">
        <v>69</v>
      </c>
      <c r="BL1703" t="s">
        <v>69</v>
      </c>
      <c r="BM1703" t="s">
        <v>69</v>
      </c>
      <c r="BN1703">
        <v>25</v>
      </c>
      <c r="BO1703" t="s">
        <v>15451</v>
      </c>
      <c r="BP1703" t="s">
        <v>8548</v>
      </c>
      <c r="BQ1703" t="s">
        <v>15452</v>
      </c>
      <c r="BR1703" t="s">
        <v>32330</v>
      </c>
      <c r="BS1703" t="s">
        <v>4212</v>
      </c>
      <c r="BT1703" t="s">
        <v>69</v>
      </c>
      <c r="BU1703" t="s">
        <v>69</v>
      </c>
      <c r="BV1703" t="s">
        <v>69</v>
      </c>
      <c r="BW1703" t="s">
        <v>69</v>
      </c>
      <c r="BX1703" t="s">
        <v>8526</v>
      </c>
      <c r="BY1703" t="str">
        <f>HYPERLINK("https%3A%2F%2Fwww.webofscience.com%2Fwos%2Fwoscc%2Ffull-record%2FWOS:000075795700006","View Full Record in Web of Science")</f>
        <v>View Full Record in Web of Science</v>
      </c>
    </row>
    <row r="1704" spans="1:77" ht="12.5" x14ac:dyDescent="0.25">
      <c r="A1704" t="s">
        <v>8495</v>
      </c>
      <c r="B1704" s="22" t="s">
        <v>32931</v>
      </c>
      <c r="C1704" s="7"/>
      <c r="D1704" s="7"/>
      <c r="E1704" s="7"/>
      <c r="F1704" t="s">
        <v>67</v>
      </c>
      <c r="G1704" t="s">
        <v>26884</v>
      </c>
      <c r="H1704" t="s">
        <v>69</v>
      </c>
      <c r="I1704" t="s">
        <v>69</v>
      </c>
      <c r="J1704" t="s">
        <v>69</v>
      </c>
      <c r="K1704" t="s">
        <v>26885</v>
      </c>
      <c r="L1704" t="s">
        <v>69</v>
      </c>
      <c r="M1704" t="s">
        <v>69</v>
      </c>
      <c r="N1704" t="s">
        <v>26886</v>
      </c>
      <c r="O1704" t="s">
        <v>26887</v>
      </c>
      <c r="P1704" t="s">
        <v>69</v>
      </c>
      <c r="Q1704" t="s">
        <v>69</v>
      </c>
      <c r="R1704" t="s">
        <v>8505</v>
      </c>
      <c r="S1704" t="s">
        <v>8442</v>
      </c>
      <c r="T1704" t="s">
        <v>69</v>
      </c>
      <c r="U1704" t="s">
        <v>69</v>
      </c>
      <c r="V1704" t="s">
        <v>69</v>
      </c>
      <c r="W1704" t="s">
        <v>69</v>
      </c>
      <c r="X1704" t="s">
        <v>69</v>
      </c>
      <c r="Y1704" t="s">
        <v>26888</v>
      </c>
      <c r="Z1704" t="s">
        <v>26889</v>
      </c>
      <c r="AA1704" t="s">
        <v>26890</v>
      </c>
      <c r="AB1704" t="s">
        <v>26891</v>
      </c>
      <c r="AC1704" t="s">
        <v>69</v>
      </c>
      <c r="AD1704" t="s">
        <v>26892</v>
      </c>
      <c r="AE1704" t="s">
        <v>26893</v>
      </c>
      <c r="AF1704" t="s">
        <v>69</v>
      </c>
      <c r="AG1704" t="s">
        <v>69</v>
      </c>
      <c r="AH1704" t="s">
        <v>69</v>
      </c>
      <c r="AI1704" t="s">
        <v>69</v>
      </c>
      <c r="AJ1704" t="s">
        <v>69</v>
      </c>
      <c r="AK1704" t="s">
        <v>69</v>
      </c>
      <c r="AL1704">
        <v>37</v>
      </c>
      <c r="AM1704">
        <v>2</v>
      </c>
      <c r="AN1704">
        <v>2</v>
      </c>
      <c r="AO1704">
        <v>0</v>
      </c>
      <c r="AP1704">
        <v>14</v>
      </c>
      <c r="AQ1704" t="s">
        <v>26894</v>
      </c>
      <c r="AR1704" t="s">
        <v>23459</v>
      </c>
      <c r="AS1704" t="s">
        <v>26895</v>
      </c>
      <c r="AT1704" t="s">
        <v>26896</v>
      </c>
      <c r="AU1704" t="s">
        <v>26897</v>
      </c>
      <c r="AV1704" t="s">
        <v>69</v>
      </c>
      <c r="AW1704" t="s">
        <v>26898</v>
      </c>
      <c r="AX1704" t="s">
        <v>26899</v>
      </c>
      <c r="AY1704" t="s">
        <v>1226</v>
      </c>
      <c r="AZ1704">
        <v>2011</v>
      </c>
      <c r="BA1704">
        <v>20</v>
      </c>
      <c r="BB1704">
        <v>4</v>
      </c>
      <c r="BC1704" t="s">
        <v>69</v>
      </c>
      <c r="BD1704" t="s">
        <v>69</v>
      </c>
      <c r="BE1704" t="s">
        <v>69</v>
      </c>
      <c r="BF1704" t="s">
        <v>69</v>
      </c>
      <c r="BG1704">
        <v>513</v>
      </c>
      <c r="BH1704">
        <v>520</v>
      </c>
      <c r="BI1704" t="s">
        <v>69</v>
      </c>
      <c r="BJ1704" t="s">
        <v>69</v>
      </c>
      <c r="BK1704" t="s">
        <v>69</v>
      </c>
      <c r="BL1704" t="s">
        <v>69</v>
      </c>
      <c r="BM1704" t="s">
        <v>69</v>
      </c>
      <c r="BN1704">
        <v>8</v>
      </c>
      <c r="BO1704" t="s">
        <v>20354</v>
      </c>
      <c r="BP1704" t="s">
        <v>8548</v>
      </c>
      <c r="BQ1704" t="s">
        <v>20355</v>
      </c>
      <c r="BR1704" t="s">
        <v>26900</v>
      </c>
      <c r="BS1704" t="s">
        <v>26901</v>
      </c>
      <c r="BT1704" t="s">
        <v>69</v>
      </c>
      <c r="BU1704" t="s">
        <v>69</v>
      </c>
      <c r="BV1704" t="s">
        <v>69</v>
      </c>
      <c r="BW1704" t="s">
        <v>69</v>
      </c>
      <c r="BX1704" t="s">
        <v>8526</v>
      </c>
      <c r="BY1704" t="str">
        <f>HYPERLINK("https%3A%2F%2Fwww.webofscience.com%2Fwos%2Fwoscc%2Ffull-record%2FWOS:000296474800015","View Full Record in Web of Science")</f>
        <v>View Full Record in Web of Science</v>
      </c>
    </row>
    <row r="1705" spans="1:77" x14ac:dyDescent="0.3">
      <c r="A1705" t="s">
        <v>8495</v>
      </c>
      <c r="B1705" s="12" t="s">
        <v>33036</v>
      </c>
      <c r="F1705" t="s">
        <v>67</v>
      </c>
      <c r="G1705" t="s">
        <v>8370</v>
      </c>
      <c r="H1705" t="s">
        <v>69</v>
      </c>
      <c r="I1705" t="s">
        <v>69</v>
      </c>
      <c r="J1705" t="s">
        <v>69</v>
      </c>
      <c r="K1705" s="3" t="s">
        <v>8370</v>
      </c>
      <c r="L1705" t="s">
        <v>69</v>
      </c>
      <c r="M1705" t="s">
        <v>69</v>
      </c>
      <c r="N1705" s="11" t="s">
        <v>8371</v>
      </c>
      <c r="O1705" t="s">
        <v>8372</v>
      </c>
      <c r="P1705" t="s">
        <v>69</v>
      </c>
      <c r="Q1705" t="s">
        <v>69</v>
      </c>
      <c r="R1705" t="s">
        <v>8505</v>
      </c>
      <c r="S1705" t="s">
        <v>8506</v>
      </c>
      <c r="T1705" t="s">
        <v>69</v>
      </c>
      <c r="U1705" t="s">
        <v>69</v>
      </c>
      <c r="V1705" t="s">
        <v>69</v>
      </c>
      <c r="W1705" t="s">
        <v>69</v>
      </c>
      <c r="X1705" t="s">
        <v>69</v>
      </c>
      <c r="Y1705" t="s">
        <v>69</v>
      </c>
      <c r="Z1705" t="s">
        <v>32828</v>
      </c>
      <c r="AA1705" t="s">
        <v>8373</v>
      </c>
      <c r="AB1705" t="s">
        <v>32829</v>
      </c>
      <c r="AC1705" t="s">
        <v>69</v>
      </c>
      <c r="AD1705" t="s">
        <v>69</v>
      </c>
      <c r="AE1705" t="s">
        <v>69</v>
      </c>
      <c r="AF1705" t="s">
        <v>69</v>
      </c>
      <c r="AG1705" t="s">
        <v>69</v>
      </c>
      <c r="AH1705" t="s">
        <v>69</v>
      </c>
      <c r="AI1705" t="s">
        <v>69</v>
      </c>
      <c r="AJ1705" t="s">
        <v>69</v>
      </c>
      <c r="AK1705" t="s">
        <v>69</v>
      </c>
      <c r="AL1705">
        <v>84</v>
      </c>
      <c r="AM1705">
        <v>105</v>
      </c>
      <c r="AN1705">
        <v>108</v>
      </c>
      <c r="AO1705">
        <v>1</v>
      </c>
      <c r="AP1705">
        <v>18</v>
      </c>
      <c r="AQ1705" t="s">
        <v>32830</v>
      </c>
      <c r="AR1705" t="s">
        <v>32831</v>
      </c>
      <c r="AS1705" t="s">
        <v>32832</v>
      </c>
      <c r="AT1705" t="s">
        <v>8374</v>
      </c>
      <c r="AU1705" t="s">
        <v>69</v>
      </c>
      <c r="AV1705" t="s">
        <v>69</v>
      </c>
      <c r="AW1705" t="s">
        <v>32833</v>
      </c>
      <c r="AX1705" t="s">
        <v>32834</v>
      </c>
      <c r="AY1705" t="s">
        <v>69</v>
      </c>
      <c r="AZ1705">
        <v>1993</v>
      </c>
      <c r="BA1705">
        <v>15</v>
      </c>
      <c r="BB1705">
        <v>1</v>
      </c>
      <c r="BC1705" t="s">
        <v>69</v>
      </c>
      <c r="BD1705" t="s">
        <v>69</v>
      </c>
      <c r="BE1705" t="s">
        <v>69</v>
      </c>
      <c r="BF1705" t="s">
        <v>69</v>
      </c>
      <c r="BG1705">
        <v>29</v>
      </c>
      <c r="BH1705">
        <v>53</v>
      </c>
      <c r="BI1705" t="s">
        <v>69</v>
      </c>
      <c r="BJ1705" t="s">
        <v>8375</v>
      </c>
      <c r="BK1705" t="str">
        <f>HYPERLINK("http://dx.doi.org/10.1111/j.1467-9906.1993.tb00301.x","http://dx.doi.org/10.1111/j.1467-9906.1993.tb00301.x")</f>
        <v>http://dx.doi.org/10.1111/j.1467-9906.1993.tb00301.x</v>
      </c>
      <c r="BL1705" t="s">
        <v>69</v>
      </c>
      <c r="BM1705" t="s">
        <v>69</v>
      </c>
      <c r="BN1705">
        <v>25</v>
      </c>
      <c r="BO1705" t="s">
        <v>8475</v>
      </c>
      <c r="BP1705" t="s">
        <v>8661</v>
      </c>
      <c r="BQ1705" t="s">
        <v>8475</v>
      </c>
      <c r="BR1705" t="s">
        <v>32835</v>
      </c>
      <c r="BS1705" t="s">
        <v>8376</v>
      </c>
      <c r="BT1705" t="s">
        <v>69</v>
      </c>
      <c r="BU1705" t="s">
        <v>69</v>
      </c>
      <c r="BV1705" t="s">
        <v>69</v>
      </c>
      <c r="BW1705" t="s">
        <v>69</v>
      </c>
      <c r="BX1705" t="s">
        <v>8526</v>
      </c>
      <c r="BY1705" t="str">
        <f>HYPERLINK("https%3A%2F%2Fwww.webofscience.com%2Fwos%2Fwoscc%2Ffull-record%2FWOS:A1993LT76700003","View Full Record in Web of Science")</f>
        <v>View Full Record in Web of Science</v>
      </c>
    </row>
    <row r="1706" spans="1:77" ht="12.5" x14ac:dyDescent="0.25">
      <c r="A1706" t="s">
        <v>8495</v>
      </c>
      <c r="B1706" s="22" t="s">
        <v>32931</v>
      </c>
      <c r="C1706" s="7"/>
      <c r="D1706" s="7"/>
      <c r="E1706" s="7"/>
      <c r="F1706" t="s">
        <v>67</v>
      </c>
      <c r="G1706" t="s">
        <v>17362</v>
      </c>
      <c r="H1706" t="s">
        <v>69</v>
      </c>
      <c r="I1706" t="s">
        <v>69</v>
      </c>
      <c r="J1706" t="s">
        <v>69</v>
      </c>
      <c r="K1706" t="s">
        <v>17363</v>
      </c>
      <c r="L1706" t="s">
        <v>69</v>
      </c>
      <c r="M1706" t="s">
        <v>69</v>
      </c>
      <c r="N1706" t="s">
        <v>17364</v>
      </c>
      <c r="O1706" t="s">
        <v>12317</v>
      </c>
      <c r="P1706" t="s">
        <v>69</v>
      </c>
      <c r="Q1706" t="s">
        <v>69</v>
      </c>
      <c r="R1706" t="s">
        <v>8505</v>
      </c>
      <c r="S1706" t="s">
        <v>8506</v>
      </c>
      <c r="T1706" t="s">
        <v>69</v>
      </c>
      <c r="U1706" t="s">
        <v>69</v>
      </c>
      <c r="V1706" t="s">
        <v>69</v>
      </c>
      <c r="W1706" t="s">
        <v>69</v>
      </c>
      <c r="X1706" t="s">
        <v>69</v>
      </c>
      <c r="Y1706" t="s">
        <v>17365</v>
      </c>
      <c r="Z1706" t="s">
        <v>17366</v>
      </c>
      <c r="AA1706" t="s">
        <v>17367</v>
      </c>
      <c r="AB1706" t="s">
        <v>17368</v>
      </c>
      <c r="AC1706" t="s">
        <v>69</v>
      </c>
      <c r="AD1706" t="s">
        <v>17369</v>
      </c>
      <c r="AE1706" t="s">
        <v>17370</v>
      </c>
      <c r="AF1706" t="s">
        <v>69</v>
      </c>
      <c r="AG1706" t="s">
        <v>17371</v>
      </c>
      <c r="AH1706" t="s">
        <v>69</v>
      </c>
      <c r="AI1706" t="s">
        <v>69</v>
      </c>
      <c r="AJ1706" t="s">
        <v>69</v>
      </c>
      <c r="AK1706" t="s">
        <v>69</v>
      </c>
      <c r="AL1706">
        <v>63</v>
      </c>
      <c r="AM1706">
        <v>16</v>
      </c>
      <c r="AN1706">
        <v>17</v>
      </c>
      <c r="AO1706">
        <v>0</v>
      </c>
      <c r="AP1706">
        <v>10</v>
      </c>
      <c r="AQ1706" t="s">
        <v>9203</v>
      </c>
      <c r="AR1706" t="s">
        <v>8763</v>
      </c>
      <c r="AS1706" t="s">
        <v>9204</v>
      </c>
      <c r="AT1706" t="s">
        <v>12325</v>
      </c>
      <c r="AU1706" t="s">
        <v>69</v>
      </c>
      <c r="AV1706" t="s">
        <v>69</v>
      </c>
      <c r="AW1706" t="s">
        <v>12326</v>
      </c>
      <c r="AX1706" t="s">
        <v>12327</v>
      </c>
      <c r="AY1706" t="s">
        <v>1245</v>
      </c>
      <c r="AZ1706">
        <v>2019</v>
      </c>
      <c r="BA1706">
        <v>19</v>
      </c>
      <c r="BB1706" t="s">
        <v>69</v>
      </c>
      <c r="BC1706" t="s">
        <v>69</v>
      </c>
      <c r="BD1706" t="s">
        <v>69</v>
      </c>
      <c r="BE1706" t="s">
        <v>69</v>
      </c>
      <c r="BF1706" t="s">
        <v>69</v>
      </c>
      <c r="BG1706" t="s">
        <v>69</v>
      </c>
      <c r="BH1706" t="s">
        <v>69</v>
      </c>
      <c r="BI1706">
        <v>212</v>
      </c>
      <c r="BJ1706" t="s">
        <v>17372</v>
      </c>
      <c r="BK1706" t="str">
        <f>HYPERLINK("http://dx.doi.org/10.1186/s12913-019-4044-y","http://dx.doi.org/10.1186/s12913-019-4044-y")</f>
        <v>http://dx.doi.org/10.1186/s12913-019-4044-y</v>
      </c>
      <c r="BL1706" t="s">
        <v>69</v>
      </c>
      <c r="BM1706" t="s">
        <v>69</v>
      </c>
      <c r="BN1706">
        <v>10</v>
      </c>
      <c r="BO1706" t="s">
        <v>9209</v>
      </c>
      <c r="BP1706" t="s">
        <v>8523</v>
      </c>
      <c r="BQ1706" t="s">
        <v>9209</v>
      </c>
      <c r="BR1706" t="s">
        <v>17373</v>
      </c>
      <c r="BS1706" t="s">
        <v>17374</v>
      </c>
      <c r="BT1706">
        <v>30940153</v>
      </c>
      <c r="BU1706" t="s">
        <v>9352</v>
      </c>
      <c r="BV1706" t="s">
        <v>69</v>
      </c>
      <c r="BW1706" t="s">
        <v>69</v>
      </c>
      <c r="BX1706" t="s">
        <v>8526</v>
      </c>
      <c r="BY1706" t="str">
        <f>HYPERLINK("https%3A%2F%2Fwww.webofscience.com%2Fwos%2Fwoscc%2Ffull-record%2FWOS:000463670900003","View Full Record in Web of Science")</f>
        <v>View Full Record in Web of Science</v>
      </c>
    </row>
    <row r="1707" spans="1:77" ht="12.5" x14ac:dyDescent="0.25">
      <c r="A1707" t="s">
        <v>8495</v>
      </c>
      <c r="B1707" s="7" t="s">
        <v>32933</v>
      </c>
      <c r="C1707" s="7"/>
      <c r="D1707" s="7"/>
      <c r="E1707" s="7"/>
      <c r="F1707" t="s">
        <v>67</v>
      </c>
      <c r="G1707" t="s">
        <v>7880</v>
      </c>
      <c r="H1707" t="s">
        <v>69</v>
      </c>
      <c r="I1707" t="s">
        <v>69</v>
      </c>
      <c r="J1707" t="s">
        <v>69</v>
      </c>
      <c r="K1707" t="s">
        <v>7881</v>
      </c>
      <c r="L1707" t="s">
        <v>69</v>
      </c>
      <c r="M1707" t="s">
        <v>69</v>
      </c>
      <c r="N1707" t="s">
        <v>7882</v>
      </c>
      <c r="O1707" t="s">
        <v>7883</v>
      </c>
      <c r="P1707" t="s">
        <v>69</v>
      </c>
      <c r="Q1707" t="s">
        <v>69</v>
      </c>
      <c r="R1707" t="s">
        <v>8505</v>
      </c>
      <c r="S1707" t="s">
        <v>15797</v>
      </c>
      <c r="T1707" t="s">
        <v>7884</v>
      </c>
      <c r="U1707" t="s">
        <v>7885</v>
      </c>
      <c r="V1707" t="s">
        <v>7886</v>
      </c>
      <c r="W1707" t="s">
        <v>27767</v>
      </c>
      <c r="X1707" t="s">
        <v>69</v>
      </c>
      <c r="Y1707" t="s">
        <v>27768</v>
      </c>
      <c r="Z1707" t="s">
        <v>27769</v>
      </c>
      <c r="AA1707" t="s">
        <v>7887</v>
      </c>
      <c r="AB1707" t="s">
        <v>27770</v>
      </c>
      <c r="AC1707" t="s">
        <v>69</v>
      </c>
      <c r="AD1707" t="s">
        <v>27771</v>
      </c>
      <c r="AE1707" t="s">
        <v>27772</v>
      </c>
      <c r="AF1707" t="s">
        <v>7888</v>
      </c>
      <c r="AG1707" t="s">
        <v>7889</v>
      </c>
      <c r="AH1707" t="s">
        <v>69</v>
      </c>
      <c r="AI1707" t="s">
        <v>69</v>
      </c>
      <c r="AJ1707" t="s">
        <v>69</v>
      </c>
      <c r="AK1707" t="s">
        <v>69</v>
      </c>
      <c r="AL1707">
        <v>33</v>
      </c>
      <c r="AM1707">
        <v>19</v>
      </c>
      <c r="AN1707">
        <v>20</v>
      </c>
      <c r="AO1707">
        <v>2</v>
      </c>
      <c r="AP1707">
        <v>27</v>
      </c>
      <c r="AQ1707" t="s">
        <v>27773</v>
      </c>
      <c r="AR1707" t="s">
        <v>27774</v>
      </c>
      <c r="AS1707" t="s">
        <v>27775</v>
      </c>
      <c r="AT1707" t="s">
        <v>7890</v>
      </c>
      <c r="AU1707" t="s">
        <v>7891</v>
      </c>
      <c r="AV1707" t="s">
        <v>69</v>
      </c>
      <c r="AW1707" t="s">
        <v>7883</v>
      </c>
      <c r="AX1707" t="s">
        <v>27776</v>
      </c>
      <c r="AY1707" t="s">
        <v>155</v>
      </c>
      <c r="AZ1707">
        <v>2010</v>
      </c>
      <c r="BA1707">
        <v>29</v>
      </c>
      <c r="BB1707">
        <v>1</v>
      </c>
      <c r="BC1707" t="s">
        <v>69</v>
      </c>
      <c r="BD1707" t="s">
        <v>69</v>
      </c>
      <c r="BE1707" t="s">
        <v>69</v>
      </c>
      <c r="BF1707" t="s">
        <v>69</v>
      </c>
      <c r="BG1707">
        <v>93</v>
      </c>
      <c r="BH1707">
        <v>104</v>
      </c>
      <c r="BI1707" t="s">
        <v>69</v>
      </c>
      <c r="BJ1707" t="s">
        <v>69</v>
      </c>
      <c r="BK1707" t="s">
        <v>69</v>
      </c>
      <c r="BL1707" t="s">
        <v>69</v>
      </c>
      <c r="BM1707" t="s">
        <v>69</v>
      </c>
      <c r="BN1707">
        <v>12</v>
      </c>
      <c r="BO1707" t="s">
        <v>27777</v>
      </c>
      <c r="BP1707" t="s">
        <v>15808</v>
      </c>
      <c r="BQ1707" t="s">
        <v>27778</v>
      </c>
      <c r="BR1707" t="s">
        <v>27779</v>
      </c>
      <c r="BS1707" t="s">
        <v>7892</v>
      </c>
      <c r="BT1707" t="s">
        <v>69</v>
      </c>
      <c r="BU1707" t="s">
        <v>69</v>
      </c>
      <c r="BV1707" t="s">
        <v>69</v>
      </c>
      <c r="BW1707" t="s">
        <v>69</v>
      </c>
      <c r="BX1707" t="s">
        <v>8526</v>
      </c>
      <c r="BY1707" t="str">
        <f>HYPERLINK("https%3A%2F%2Fwww.webofscience.com%2Fwos%2Fwoscc%2Ffull-record%2FWOS:000279136800007","View Full Record in Web of Science")</f>
        <v>View Full Record in Web of Science</v>
      </c>
    </row>
    <row r="1708" spans="1:77" ht="12.5" x14ac:dyDescent="0.25">
      <c r="A1708" t="s">
        <v>8495</v>
      </c>
      <c r="B1708" s="7" t="s">
        <v>32933</v>
      </c>
      <c r="C1708" s="7"/>
      <c r="D1708" s="7"/>
      <c r="E1708" s="7"/>
      <c r="F1708" t="s">
        <v>67</v>
      </c>
      <c r="G1708" t="s">
        <v>4051</v>
      </c>
      <c r="H1708" t="s">
        <v>69</v>
      </c>
      <c r="I1708" t="s">
        <v>69</v>
      </c>
      <c r="J1708" t="s">
        <v>69</v>
      </c>
      <c r="K1708" t="s">
        <v>4051</v>
      </c>
      <c r="L1708" t="s">
        <v>69</v>
      </c>
      <c r="M1708" t="s">
        <v>69</v>
      </c>
      <c r="N1708" t="s">
        <v>4052</v>
      </c>
      <c r="O1708" t="s">
        <v>4053</v>
      </c>
      <c r="P1708" t="s">
        <v>69</v>
      </c>
      <c r="Q1708" t="s">
        <v>69</v>
      </c>
      <c r="R1708" t="s">
        <v>8505</v>
      </c>
      <c r="S1708" t="s">
        <v>8506</v>
      </c>
      <c r="T1708" t="s">
        <v>69</v>
      </c>
      <c r="U1708" t="s">
        <v>69</v>
      </c>
      <c r="V1708" t="s">
        <v>69</v>
      </c>
      <c r="W1708" t="s">
        <v>69</v>
      </c>
      <c r="X1708" t="s">
        <v>69</v>
      </c>
      <c r="Y1708" t="s">
        <v>31571</v>
      </c>
      <c r="Z1708" t="s">
        <v>31572</v>
      </c>
      <c r="AA1708" t="s">
        <v>4054</v>
      </c>
      <c r="AB1708" t="s">
        <v>31573</v>
      </c>
      <c r="AC1708" t="s">
        <v>69</v>
      </c>
      <c r="AD1708" t="s">
        <v>31574</v>
      </c>
      <c r="AE1708" t="s">
        <v>31575</v>
      </c>
      <c r="AF1708" t="s">
        <v>69</v>
      </c>
      <c r="AG1708" t="s">
        <v>31576</v>
      </c>
      <c r="AH1708" t="s">
        <v>69</v>
      </c>
      <c r="AI1708" t="s">
        <v>69</v>
      </c>
      <c r="AJ1708" t="s">
        <v>69</v>
      </c>
      <c r="AK1708" t="s">
        <v>69</v>
      </c>
      <c r="AL1708">
        <v>44</v>
      </c>
      <c r="AM1708">
        <v>19</v>
      </c>
      <c r="AN1708">
        <v>20</v>
      </c>
      <c r="AO1708">
        <v>0</v>
      </c>
      <c r="AP1708">
        <v>10</v>
      </c>
      <c r="AQ1708" t="s">
        <v>8762</v>
      </c>
      <c r="AR1708" t="s">
        <v>8763</v>
      </c>
      <c r="AS1708" t="s">
        <v>8764</v>
      </c>
      <c r="AT1708" t="s">
        <v>4055</v>
      </c>
      <c r="AU1708" t="s">
        <v>69</v>
      </c>
      <c r="AV1708" t="s">
        <v>69</v>
      </c>
      <c r="AW1708" t="s">
        <v>31577</v>
      </c>
      <c r="AX1708" t="s">
        <v>31578</v>
      </c>
      <c r="AY1708" t="s">
        <v>255</v>
      </c>
      <c r="AZ1708">
        <v>2001</v>
      </c>
      <c r="BA1708">
        <v>121</v>
      </c>
      <c r="BB1708">
        <v>3</v>
      </c>
      <c r="BC1708" t="s">
        <v>69</v>
      </c>
      <c r="BD1708" t="s">
        <v>69</v>
      </c>
      <c r="BE1708" t="s">
        <v>69</v>
      </c>
      <c r="BF1708" t="s">
        <v>69</v>
      </c>
      <c r="BG1708">
        <v>177</v>
      </c>
      <c r="BH1708">
        <v>184</v>
      </c>
      <c r="BI1708" t="s">
        <v>69</v>
      </c>
      <c r="BJ1708" t="s">
        <v>4056</v>
      </c>
      <c r="BK1708" t="str">
        <f>HYPERLINK("http://dx.doi.org/10.1177/146642400112100315","http://dx.doi.org/10.1177/146642400112100315")</f>
        <v>http://dx.doi.org/10.1177/146642400112100315</v>
      </c>
      <c r="BL1708" t="s">
        <v>69</v>
      </c>
      <c r="BM1708" t="s">
        <v>69</v>
      </c>
      <c r="BN1708">
        <v>8</v>
      </c>
      <c r="BO1708" t="s">
        <v>8810</v>
      </c>
      <c r="BP1708" t="s">
        <v>8661</v>
      </c>
      <c r="BQ1708" t="s">
        <v>8810</v>
      </c>
      <c r="BR1708" t="s">
        <v>31579</v>
      </c>
      <c r="BS1708" t="s">
        <v>4057</v>
      </c>
      <c r="BT1708">
        <v>11688305</v>
      </c>
      <c r="BU1708" t="s">
        <v>69</v>
      </c>
      <c r="BV1708" t="s">
        <v>69</v>
      </c>
      <c r="BW1708" t="s">
        <v>69</v>
      </c>
      <c r="BX1708" t="s">
        <v>8526</v>
      </c>
      <c r="BY1708" t="str">
        <f>HYPERLINK("https%3A%2F%2Fwww.webofscience.com%2Fwos%2Fwoscc%2Ffull-record%2FWOS:000173680700015","View Full Record in Web of Science")</f>
        <v>View Full Record in Web of Science</v>
      </c>
    </row>
    <row r="1709" spans="1:77" ht="12.5" x14ac:dyDescent="0.25">
      <c r="A1709" t="s">
        <v>8495</v>
      </c>
      <c r="B1709" s="7" t="s">
        <v>32933</v>
      </c>
      <c r="C1709" s="7"/>
      <c r="D1709" s="7"/>
      <c r="E1709" s="7"/>
      <c r="F1709" t="s">
        <v>67</v>
      </c>
      <c r="G1709" t="s">
        <v>4797</v>
      </c>
      <c r="H1709" t="s">
        <v>69</v>
      </c>
      <c r="I1709" t="s">
        <v>69</v>
      </c>
      <c r="J1709" t="s">
        <v>69</v>
      </c>
      <c r="K1709" t="s">
        <v>4798</v>
      </c>
      <c r="L1709" t="s">
        <v>69</v>
      </c>
      <c r="M1709" t="s">
        <v>69</v>
      </c>
      <c r="N1709" s="3" t="s">
        <v>4799</v>
      </c>
      <c r="O1709" t="s">
        <v>4800</v>
      </c>
      <c r="P1709" t="s">
        <v>69</v>
      </c>
      <c r="Q1709" t="s">
        <v>69</v>
      </c>
      <c r="R1709" t="s">
        <v>8505</v>
      </c>
      <c r="S1709" t="s">
        <v>8506</v>
      </c>
      <c r="T1709" t="s">
        <v>69</v>
      </c>
      <c r="U1709" t="s">
        <v>69</v>
      </c>
      <c r="V1709" t="s">
        <v>69</v>
      </c>
      <c r="W1709" t="s">
        <v>69</v>
      </c>
      <c r="X1709" t="s">
        <v>69</v>
      </c>
      <c r="Y1709" t="s">
        <v>22936</v>
      </c>
      <c r="Z1709" t="s">
        <v>22937</v>
      </c>
      <c r="AA1709" t="s">
        <v>4801</v>
      </c>
      <c r="AB1709" t="s">
        <v>22938</v>
      </c>
      <c r="AC1709" t="s">
        <v>69</v>
      </c>
      <c r="AD1709" t="s">
        <v>22939</v>
      </c>
      <c r="AE1709" t="s">
        <v>22940</v>
      </c>
      <c r="AF1709" t="s">
        <v>4802</v>
      </c>
      <c r="AG1709" t="s">
        <v>69</v>
      </c>
      <c r="AH1709" t="s">
        <v>69</v>
      </c>
      <c r="AI1709" t="s">
        <v>69</v>
      </c>
      <c r="AJ1709" t="s">
        <v>69</v>
      </c>
      <c r="AK1709" t="s">
        <v>69</v>
      </c>
      <c r="AL1709">
        <v>15</v>
      </c>
      <c r="AM1709">
        <v>2</v>
      </c>
      <c r="AN1709">
        <v>2</v>
      </c>
      <c r="AO1709">
        <v>0</v>
      </c>
      <c r="AP1709">
        <v>7</v>
      </c>
      <c r="AQ1709" t="s">
        <v>22941</v>
      </c>
      <c r="AR1709" t="s">
        <v>22942</v>
      </c>
      <c r="AS1709" t="s">
        <v>22943</v>
      </c>
      <c r="AT1709" t="s">
        <v>4803</v>
      </c>
      <c r="AU1709" t="s">
        <v>4804</v>
      </c>
      <c r="AV1709" t="s">
        <v>69</v>
      </c>
      <c r="AW1709" t="s">
        <v>22944</v>
      </c>
      <c r="AX1709" t="s">
        <v>22945</v>
      </c>
      <c r="AY1709" t="s">
        <v>69</v>
      </c>
      <c r="AZ1709">
        <v>2015</v>
      </c>
      <c r="BA1709" t="s">
        <v>69</v>
      </c>
      <c r="BB1709" t="s">
        <v>69</v>
      </c>
      <c r="BC1709" t="s">
        <v>69</v>
      </c>
      <c r="BD1709" t="s">
        <v>69</v>
      </c>
      <c r="BE1709" t="s">
        <v>114</v>
      </c>
      <c r="BF1709" t="s">
        <v>69</v>
      </c>
      <c r="BG1709">
        <v>103</v>
      </c>
      <c r="BH1709">
        <v>122</v>
      </c>
      <c r="BI1709" t="s">
        <v>69</v>
      </c>
      <c r="BJ1709" t="s">
        <v>4805</v>
      </c>
      <c r="BK1709" t="str">
        <f>HYPERLINK("http://dx.doi.org/10.6092/1970-9870/3655","http://dx.doi.org/10.6092/1970-9870/3655")</f>
        <v>http://dx.doi.org/10.6092/1970-9870/3655</v>
      </c>
      <c r="BL1709" t="s">
        <v>69</v>
      </c>
      <c r="BM1709" t="s">
        <v>69</v>
      </c>
      <c r="BN1709">
        <v>20</v>
      </c>
      <c r="BO1709" t="s">
        <v>8475</v>
      </c>
      <c r="BP1709" t="s">
        <v>8573</v>
      </c>
      <c r="BQ1709" t="s">
        <v>8475</v>
      </c>
      <c r="BR1709" t="s">
        <v>22946</v>
      </c>
      <c r="BS1709" t="s">
        <v>4806</v>
      </c>
      <c r="BT1709" t="s">
        <v>69</v>
      </c>
      <c r="BU1709" t="s">
        <v>69</v>
      </c>
      <c r="BV1709" t="s">
        <v>69</v>
      </c>
      <c r="BW1709" t="s">
        <v>69</v>
      </c>
      <c r="BX1709" t="s">
        <v>8526</v>
      </c>
      <c r="BY1709" t="str">
        <f>HYPERLINK("https%3A%2F%2Fwww.webofscience.com%2Fwos%2Fwoscc%2Ffull-record%2FWOS:000384506000007","View Full Record in Web of Science")</f>
        <v>View Full Record in Web of Science</v>
      </c>
    </row>
    <row r="1710" spans="1:77" ht="12.5" x14ac:dyDescent="0.25">
      <c r="A1710" t="s">
        <v>8495</v>
      </c>
      <c r="B1710" s="22" t="s">
        <v>32931</v>
      </c>
      <c r="C1710" s="7"/>
      <c r="D1710" s="7"/>
      <c r="E1710" s="7"/>
      <c r="F1710" t="s">
        <v>67</v>
      </c>
      <c r="G1710" t="s">
        <v>19050</v>
      </c>
      <c r="H1710" t="s">
        <v>69</v>
      </c>
      <c r="I1710" t="s">
        <v>69</v>
      </c>
      <c r="J1710" t="s">
        <v>69</v>
      </c>
      <c r="K1710" t="s">
        <v>19051</v>
      </c>
      <c r="L1710" t="s">
        <v>69</v>
      </c>
      <c r="M1710" t="s">
        <v>69</v>
      </c>
      <c r="N1710" t="s">
        <v>19052</v>
      </c>
      <c r="O1710" t="s">
        <v>19053</v>
      </c>
      <c r="P1710" t="s">
        <v>69</v>
      </c>
      <c r="Q1710" t="s">
        <v>69</v>
      </c>
      <c r="R1710" t="s">
        <v>19054</v>
      </c>
      <c r="S1710" t="s">
        <v>8506</v>
      </c>
      <c r="T1710" t="s">
        <v>69</v>
      </c>
      <c r="U1710" t="s">
        <v>69</v>
      </c>
      <c r="V1710" t="s">
        <v>69</v>
      </c>
      <c r="W1710" t="s">
        <v>69</v>
      </c>
      <c r="X1710" t="s">
        <v>69</v>
      </c>
      <c r="Y1710" t="s">
        <v>19055</v>
      </c>
      <c r="Z1710" t="s">
        <v>69</v>
      </c>
      <c r="AA1710" t="s">
        <v>19056</v>
      </c>
      <c r="AB1710" t="s">
        <v>19057</v>
      </c>
      <c r="AC1710" t="s">
        <v>69</v>
      </c>
      <c r="AD1710" t="s">
        <v>19058</v>
      </c>
      <c r="AE1710" t="s">
        <v>19059</v>
      </c>
      <c r="AF1710" t="s">
        <v>69</v>
      </c>
      <c r="AG1710" t="s">
        <v>69</v>
      </c>
      <c r="AH1710" t="s">
        <v>69</v>
      </c>
      <c r="AI1710" t="s">
        <v>69</v>
      </c>
      <c r="AJ1710" t="s">
        <v>69</v>
      </c>
      <c r="AK1710" t="s">
        <v>69</v>
      </c>
      <c r="AL1710">
        <v>7</v>
      </c>
      <c r="AM1710">
        <v>0</v>
      </c>
      <c r="AN1710">
        <v>0</v>
      </c>
      <c r="AO1710">
        <v>0</v>
      </c>
      <c r="AP1710">
        <v>0</v>
      </c>
      <c r="AQ1710" t="s">
        <v>19060</v>
      </c>
      <c r="AR1710" t="s">
        <v>10161</v>
      </c>
      <c r="AS1710" t="s">
        <v>19061</v>
      </c>
      <c r="AT1710" t="s">
        <v>19062</v>
      </c>
      <c r="AU1710" t="s">
        <v>19063</v>
      </c>
      <c r="AV1710" t="s">
        <v>69</v>
      </c>
      <c r="AW1710" t="s">
        <v>19064</v>
      </c>
      <c r="AX1710" t="s">
        <v>19065</v>
      </c>
      <c r="AY1710" t="s">
        <v>1425</v>
      </c>
      <c r="AZ1710">
        <v>2018</v>
      </c>
      <c r="BA1710">
        <v>34</v>
      </c>
      <c r="BB1710">
        <v>68</v>
      </c>
      <c r="BC1710" t="s">
        <v>69</v>
      </c>
      <c r="BD1710" t="s">
        <v>69</v>
      </c>
      <c r="BE1710" t="s">
        <v>69</v>
      </c>
      <c r="BF1710" t="s">
        <v>69</v>
      </c>
      <c r="BG1710">
        <v>289</v>
      </c>
      <c r="BH1710">
        <v>303</v>
      </c>
      <c r="BI1710" t="s">
        <v>69</v>
      </c>
      <c r="BJ1710" t="s">
        <v>19066</v>
      </c>
      <c r="BK1710" t="str">
        <f>HYPERLINK("http://dx.doi.org/10.1590/0104-4060.57815","http://dx.doi.org/10.1590/0104-4060.57815")</f>
        <v>http://dx.doi.org/10.1590/0104-4060.57815</v>
      </c>
      <c r="BL1710" t="s">
        <v>69</v>
      </c>
      <c r="BM1710" t="s">
        <v>69</v>
      </c>
      <c r="BN1710">
        <v>15</v>
      </c>
      <c r="BO1710" t="s">
        <v>9290</v>
      </c>
      <c r="BP1710" t="s">
        <v>8573</v>
      </c>
      <c r="BQ1710" t="s">
        <v>9290</v>
      </c>
      <c r="BR1710" t="s">
        <v>19067</v>
      </c>
      <c r="BS1710" t="s">
        <v>19068</v>
      </c>
      <c r="BT1710" t="s">
        <v>69</v>
      </c>
      <c r="BU1710" t="s">
        <v>9352</v>
      </c>
      <c r="BV1710" t="s">
        <v>69</v>
      </c>
      <c r="BW1710" t="s">
        <v>69</v>
      </c>
      <c r="BX1710" t="s">
        <v>8526</v>
      </c>
      <c r="BY1710" t="str">
        <f>HYPERLINK("https%3A%2F%2Fwww.webofscience.com%2Fwos%2Fwoscc%2Ffull-record%2FWOS:000430468600017","View Full Record in Web of Science")</f>
        <v>View Full Record in Web of Science</v>
      </c>
    </row>
    <row r="1711" spans="1:77" ht="12.5" x14ac:dyDescent="0.25">
      <c r="A1711" t="s">
        <v>8495</v>
      </c>
      <c r="B1711" s="7" t="s">
        <v>32933</v>
      </c>
      <c r="C1711" s="7"/>
      <c r="D1711" s="7"/>
      <c r="E1711" s="7"/>
      <c r="F1711" t="s">
        <v>67</v>
      </c>
      <c r="G1711" t="s">
        <v>5360</v>
      </c>
      <c r="H1711" t="s">
        <v>69</v>
      </c>
      <c r="I1711" t="s">
        <v>69</v>
      </c>
      <c r="J1711" t="s">
        <v>69</v>
      </c>
      <c r="K1711" t="s">
        <v>5361</v>
      </c>
      <c r="L1711" t="s">
        <v>69</v>
      </c>
      <c r="M1711" t="s">
        <v>69</v>
      </c>
      <c r="N1711" t="s">
        <v>5362</v>
      </c>
      <c r="O1711" t="s">
        <v>1128</v>
      </c>
      <c r="P1711" t="s">
        <v>69</v>
      </c>
      <c r="Q1711" t="s">
        <v>69</v>
      </c>
      <c r="R1711" t="s">
        <v>8505</v>
      </c>
      <c r="S1711" t="s">
        <v>8506</v>
      </c>
      <c r="T1711" t="s">
        <v>69</v>
      </c>
      <c r="U1711" t="s">
        <v>69</v>
      </c>
      <c r="V1711" t="s">
        <v>69</v>
      </c>
      <c r="W1711" t="s">
        <v>69</v>
      </c>
      <c r="X1711" t="s">
        <v>69</v>
      </c>
      <c r="Y1711" t="s">
        <v>28343</v>
      </c>
      <c r="Z1711" t="s">
        <v>69</v>
      </c>
      <c r="AA1711" t="s">
        <v>5363</v>
      </c>
      <c r="AB1711" t="s">
        <v>28344</v>
      </c>
      <c r="AC1711" t="s">
        <v>69</v>
      </c>
      <c r="AD1711" t="s">
        <v>28345</v>
      </c>
      <c r="AE1711" t="s">
        <v>28346</v>
      </c>
      <c r="AF1711" t="s">
        <v>5364</v>
      </c>
      <c r="AG1711" t="s">
        <v>5365</v>
      </c>
      <c r="AH1711" t="s">
        <v>69</v>
      </c>
      <c r="AI1711" t="s">
        <v>69</v>
      </c>
      <c r="AJ1711" t="s">
        <v>69</v>
      </c>
      <c r="AK1711" t="s">
        <v>69</v>
      </c>
      <c r="AL1711">
        <v>42</v>
      </c>
      <c r="AM1711">
        <v>68</v>
      </c>
      <c r="AN1711">
        <v>68</v>
      </c>
      <c r="AO1711">
        <v>1</v>
      </c>
      <c r="AP1711">
        <v>18</v>
      </c>
      <c r="AQ1711" t="s">
        <v>8636</v>
      </c>
      <c r="AR1711" t="s">
        <v>8637</v>
      </c>
      <c r="AS1711" t="s">
        <v>8638</v>
      </c>
      <c r="AT1711" t="s">
        <v>1130</v>
      </c>
      <c r="AU1711" t="s">
        <v>69</v>
      </c>
      <c r="AV1711" t="s">
        <v>69</v>
      </c>
      <c r="AW1711" t="s">
        <v>1128</v>
      </c>
      <c r="AX1711" t="s">
        <v>8658</v>
      </c>
      <c r="AY1711" t="s">
        <v>75</v>
      </c>
      <c r="AZ1711">
        <v>2009</v>
      </c>
      <c r="BA1711">
        <v>26</v>
      </c>
      <c r="BB1711" t="s">
        <v>69</v>
      </c>
      <c r="BC1711" t="s">
        <v>69</v>
      </c>
      <c r="BD1711">
        <v>1</v>
      </c>
      <c r="BE1711" t="s">
        <v>114</v>
      </c>
      <c r="BF1711" t="s">
        <v>69</v>
      </c>
      <c r="BG1711" t="s">
        <v>5366</v>
      </c>
      <c r="BH1711" t="s">
        <v>5367</v>
      </c>
      <c r="BI1711" t="s">
        <v>69</v>
      </c>
      <c r="BJ1711" t="s">
        <v>5368</v>
      </c>
      <c r="BK1711" t="str">
        <f>HYPERLINK("http://dx.doi.org/10.1016/j.landusepol.2009.08.014","http://dx.doi.org/10.1016/j.landusepol.2009.08.014")</f>
        <v>http://dx.doi.org/10.1016/j.landusepol.2009.08.014</v>
      </c>
      <c r="BL1711" t="s">
        <v>69</v>
      </c>
      <c r="BM1711" t="s">
        <v>69</v>
      </c>
      <c r="BN1711">
        <v>9</v>
      </c>
      <c r="BO1711" t="s">
        <v>8660</v>
      </c>
      <c r="BP1711" t="s">
        <v>8661</v>
      </c>
      <c r="BQ1711" t="s">
        <v>8662</v>
      </c>
      <c r="BR1711" t="s">
        <v>28347</v>
      </c>
      <c r="BS1711" t="s">
        <v>5369</v>
      </c>
      <c r="BT1711" t="s">
        <v>69</v>
      </c>
      <c r="BU1711" t="s">
        <v>69</v>
      </c>
      <c r="BV1711" t="s">
        <v>69</v>
      </c>
      <c r="BW1711" t="s">
        <v>69</v>
      </c>
      <c r="BX1711" t="s">
        <v>8526</v>
      </c>
      <c r="BY1711" t="str">
        <f>HYPERLINK("https%3A%2F%2Fwww.webofscience.com%2Fwos%2Fwoscc%2Ffull-record%2FWOS:000275223500032","View Full Record in Web of Science")</f>
        <v>View Full Record in Web of Science</v>
      </c>
    </row>
    <row r="1712" spans="1:77" ht="12.5" x14ac:dyDescent="0.25">
      <c r="A1712" t="s">
        <v>8495</v>
      </c>
      <c r="B1712" s="22" t="s">
        <v>32931</v>
      </c>
      <c r="C1712" s="7"/>
      <c r="D1712" s="7"/>
      <c r="E1712" s="7"/>
      <c r="F1712" t="s">
        <v>67</v>
      </c>
      <c r="G1712" t="s">
        <v>11117</v>
      </c>
      <c r="H1712" t="s">
        <v>69</v>
      </c>
      <c r="I1712" t="s">
        <v>69</v>
      </c>
      <c r="J1712" t="s">
        <v>69</v>
      </c>
      <c r="K1712" t="s">
        <v>11118</v>
      </c>
      <c r="L1712" t="s">
        <v>69</v>
      </c>
      <c r="M1712" t="s">
        <v>69</v>
      </c>
      <c r="N1712" t="s">
        <v>11119</v>
      </c>
      <c r="O1712" t="s">
        <v>859</v>
      </c>
      <c r="P1712" t="s">
        <v>69</v>
      </c>
      <c r="Q1712" t="s">
        <v>69</v>
      </c>
      <c r="R1712" t="s">
        <v>8505</v>
      </c>
      <c r="S1712" t="s">
        <v>8506</v>
      </c>
      <c r="T1712" t="s">
        <v>69</v>
      </c>
      <c r="U1712" t="s">
        <v>69</v>
      </c>
      <c r="V1712" t="s">
        <v>69</v>
      </c>
      <c r="W1712" t="s">
        <v>69</v>
      </c>
      <c r="X1712" t="s">
        <v>69</v>
      </c>
      <c r="Y1712" t="s">
        <v>69</v>
      </c>
      <c r="Z1712" t="s">
        <v>11120</v>
      </c>
      <c r="AA1712" t="s">
        <v>11121</v>
      </c>
      <c r="AB1712" t="s">
        <v>11122</v>
      </c>
      <c r="AC1712" t="s">
        <v>69</v>
      </c>
      <c r="AD1712" t="s">
        <v>11123</v>
      </c>
      <c r="AE1712" t="s">
        <v>11124</v>
      </c>
      <c r="AF1712" t="s">
        <v>11125</v>
      </c>
      <c r="AG1712" t="s">
        <v>11126</v>
      </c>
      <c r="AH1712" t="s">
        <v>11127</v>
      </c>
      <c r="AI1712" t="s">
        <v>11128</v>
      </c>
      <c r="AJ1712" t="s">
        <v>11129</v>
      </c>
      <c r="AK1712" t="s">
        <v>69</v>
      </c>
      <c r="AL1712">
        <v>62</v>
      </c>
      <c r="AM1712">
        <v>1</v>
      </c>
      <c r="AN1712">
        <v>1</v>
      </c>
      <c r="AO1712">
        <v>1</v>
      </c>
      <c r="AP1712">
        <v>1</v>
      </c>
      <c r="AQ1712" t="s">
        <v>11130</v>
      </c>
      <c r="AR1712" t="s">
        <v>11131</v>
      </c>
      <c r="AS1712" t="s">
        <v>11132</v>
      </c>
      <c r="AT1712" t="s">
        <v>862</v>
      </c>
      <c r="AU1712" t="s">
        <v>69</v>
      </c>
      <c r="AV1712" t="s">
        <v>69</v>
      </c>
      <c r="AW1712" t="s">
        <v>859</v>
      </c>
      <c r="AX1712" t="s">
        <v>11133</v>
      </c>
      <c r="AY1712" t="s">
        <v>11134</v>
      </c>
      <c r="AZ1712">
        <v>2021</v>
      </c>
      <c r="BA1712">
        <v>16</v>
      </c>
      <c r="BB1712">
        <v>10</v>
      </c>
      <c r="BC1712" t="s">
        <v>69</v>
      </c>
      <c r="BD1712" t="s">
        <v>69</v>
      </c>
      <c r="BE1712" t="s">
        <v>69</v>
      </c>
      <c r="BF1712" t="s">
        <v>69</v>
      </c>
      <c r="BG1712" t="s">
        <v>69</v>
      </c>
      <c r="BH1712" t="s">
        <v>69</v>
      </c>
      <c r="BI1712" t="s">
        <v>11135</v>
      </c>
      <c r="BJ1712" t="s">
        <v>11136</v>
      </c>
      <c r="BK1712" t="str">
        <f>HYPERLINK("http://dx.doi.org/10.1371/journal.pone.0258366","http://dx.doi.org/10.1371/journal.pone.0258366")</f>
        <v>http://dx.doi.org/10.1371/journal.pone.0258366</v>
      </c>
      <c r="BL1712" t="s">
        <v>69</v>
      </c>
      <c r="BM1712" t="s">
        <v>69</v>
      </c>
      <c r="BN1712">
        <v>14</v>
      </c>
      <c r="BO1712" t="s">
        <v>8619</v>
      </c>
      <c r="BP1712" t="s">
        <v>8548</v>
      </c>
      <c r="BQ1712" t="s">
        <v>8620</v>
      </c>
      <c r="BR1712" t="s">
        <v>11137</v>
      </c>
      <c r="BS1712" t="s">
        <v>11138</v>
      </c>
      <c r="BT1712">
        <v>34624054</v>
      </c>
      <c r="BU1712" t="s">
        <v>9352</v>
      </c>
      <c r="BV1712" t="s">
        <v>69</v>
      </c>
      <c r="BW1712" t="s">
        <v>69</v>
      </c>
      <c r="BX1712" t="s">
        <v>8526</v>
      </c>
      <c r="BY1712" t="str">
        <f>HYPERLINK("https%3A%2F%2Fwww.webofscience.com%2Fwos%2Fwoscc%2Ffull-record%2FWOS:000755691200033","View Full Record in Web of Science")</f>
        <v>View Full Record in Web of Science</v>
      </c>
    </row>
    <row r="1713" spans="1:77" ht="12.5" x14ac:dyDescent="0.25">
      <c r="A1713" t="s">
        <v>8495</v>
      </c>
      <c r="B1713" s="22" t="s">
        <v>32931</v>
      </c>
      <c r="C1713" s="7"/>
      <c r="D1713" s="7"/>
      <c r="E1713" s="7"/>
      <c r="F1713" t="s">
        <v>67</v>
      </c>
      <c r="G1713" t="s">
        <v>26363</v>
      </c>
      <c r="H1713" t="s">
        <v>69</v>
      </c>
      <c r="I1713" t="s">
        <v>69</v>
      </c>
      <c r="J1713" t="s">
        <v>69</v>
      </c>
      <c r="K1713" t="s">
        <v>26364</v>
      </c>
      <c r="L1713" t="s">
        <v>69</v>
      </c>
      <c r="M1713" t="s">
        <v>69</v>
      </c>
      <c r="N1713" t="s">
        <v>26365</v>
      </c>
      <c r="O1713" t="s">
        <v>26366</v>
      </c>
      <c r="P1713" t="s">
        <v>69</v>
      </c>
      <c r="Q1713" t="s">
        <v>69</v>
      </c>
      <c r="R1713" t="s">
        <v>10153</v>
      </c>
      <c r="S1713" t="s">
        <v>8506</v>
      </c>
      <c r="T1713" t="s">
        <v>69</v>
      </c>
      <c r="U1713" t="s">
        <v>69</v>
      </c>
      <c r="V1713" t="s">
        <v>69</v>
      </c>
      <c r="W1713" t="s">
        <v>69</v>
      </c>
      <c r="X1713" t="s">
        <v>69</v>
      </c>
      <c r="Y1713" t="s">
        <v>26367</v>
      </c>
      <c r="Z1713" t="s">
        <v>69</v>
      </c>
      <c r="AA1713" t="s">
        <v>26368</v>
      </c>
      <c r="AB1713" t="s">
        <v>26369</v>
      </c>
      <c r="AC1713" t="s">
        <v>69</v>
      </c>
      <c r="AD1713" t="s">
        <v>26370</v>
      </c>
      <c r="AE1713" t="s">
        <v>26371</v>
      </c>
      <c r="AF1713" t="s">
        <v>26372</v>
      </c>
      <c r="AG1713" t="s">
        <v>26373</v>
      </c>
      <c r="AH1713" t="s">
        <v>69</v>
      </c>
      <c r="AI1713" t="s">
        <v>69</v>
      </c>
      <c r="AJ1713" t="s">
        <v>69</v>
      </c>
      <c r="AK1713" t="s">
        <v>69</v>
      </c>
      <c r="AL1713">
        <v>25</v>
      </c>
      <c r="AM1713">
        <v>0</v>
      </c>
      <c r="AN1713">
        <v>0</v>
      </c>
      <c r="AO1713">
        <v>0</v>
      </c>
      <c r="AP1713">
        <v>0</v>
      </c>
      <c r="AQ1713" t="s">
        <v>26374</v>
      </c>
      <c r="AR1713" t="s">
        <v>26375</v>
      </c>
      <c r="AS1713" t="s">
        <v>26376</v>
      </c>
      <c r="AT1713" t="s">
        <v>26377</v>
      </c>
      <c r="AU1713" t="s">
        <v>69</v>
      </c>
      <c r="AV1713" t="s">
        <v>69</v>
      </c>
      <c r="AW1713" t="s">
        <v>26378</v>
      </c>
      <c r="AX1713" t="s">
        <v>26379</v>
      </c>
      <c r="AY1713" t="s">
        <v>69</v>
      </c>
      <c r="AZ1713">
        <v>2012</v>
      </c>
      <c r="BA1713">
        <v>4</v>
      </c>
      <c r="BB1713">
        <v>3</v>
      </c>
      <c r="BC1713" t="s">
        <v>69</v>
      </c>
      <c r="BD1713" t="s">
        <v>69</v>
      </c>
      <c r="BE1713" t="s">
        <v>69</v>
      </c>
      <c r="BF1713" t="s">
        <v>69</v>
      </c>
      <c r="BG1713">
        <v>293</v>
      </c>
      <c r="BH1713">
        <v>318</v>
      </c>
      <c r="BI1713" t="s">
        <v>69</v>
      </c>
      <c r="BJ1713" t="s">
        <v>69</v>
      </c>
      <c r="BK1713" t="s">
        <v>69</v>
      </c>
      <c r="BL1713" t="s">
        <v>69</v>
      </c>
      <c r="BM1713" t="s">
        <v>69</v>
      </c>
      <c r="BN1713">
        <v>26</v>
      </c>
      <c r="BO1713" t="s">
        <v>12182</v>
      </c>
      <c r="BP1713" t="s">
        <v>8573</v>
      </c>
      <c r="BQ1713" t="s">
        <v>12182</v>
      </c>
      <c r="BR1713" t="s">
        <v>26380</v>
      </c>
      <c r="BS1713" t="s">
        <v>26381</v>
      </c>
      <c r="BT1713" t="s">
        <v>69</v>
      </c>
      <c r="BU1713" t="s">
        <v>69</v>
      </c>
      <c r="BV1713" t="s">
        <v>69</v>
      </c>
      <c r="BW1713" t="s">
        <v>69</v>
      </c>
      <c r="BX1713" t="s">
        <v>8526</v>
      </c>
      <c r="BY1713" t="str">
        <f>HYPERLINK("https%3A%2F%2Fwww.webofscience.com%2Fwos%2Fwoscc%2Ffull-record%2FWOS:000215343700003","View Full Record in Web of Science")</f>
        <v>View Full Record in Web of Science</v>
      </c>
    </row>
    <row r="1714" spans="1:77" ht="12.5" x14ac:dyDescent="0.25">
      <c r="A1714" t="s">
        <v>8495</v>
      </c>
      <c r="B1714" s="22" t="s">
        <v>32931</v>
      </c>
      <c r="C1714" s="7"/>
      <c r="D1714" s="7"/>
      <c r="E1714" s="7"/>
      <c r="F1714" t="s">
        <v>67</v>
      </c>
      <c r="G1714" t="s">
        <v>25952</v>
      </c>
      <c r="H1714" t="s">
        <v>69</v>
      </c>
      <c r="I1714" t="s">
        <v>69</v>
      </c>
      <c r="J1714" t="s">
        <v>69</v>
      </c>
      <c r="K1714" t="s">
        <v>25953</v>
      </c>
      <c r="L1714" t="s">
        <v>69</v>
      </c>
      <c r="M1714" t="s">
        <v>69</v>
      </c>
      <c r="N1714" t="s">
        <v>25954</v>
      </c>
      <c r="O1714" t="s">
        <v>25955</v>
      </c>
      <c r="P1714" t="s">
        <v>69</v>
      </c>
      <c r="Q1714" t="s">
        <v>69</v>
      </c>
      <c r="R1714" t="s">
        <v>8505</v>
      </c>
      <c r="S1714" t="s">
        <v>10174</v>
      </c>
      <c r="T1714" t="s">
        <v>69</v>
      </c>
      <c r="U1714" t="s">
        <v>69</v>
      </c>
      <c r="V1714" t="s">
        <v>69</v>
      </c>
      <c r="W1714" t="s">
        <v>69</v>
      </c>
      <c r="X1714" t="s">
        <v>69</v>
      </c>
      <c r="Y1714" t="s">
        <v>25956</v>
      </c>
      <c r="Z1714" t="s">
        <v>25957</v>
      </c>
      <c r="AA1714" t="s">
        <v>25958</v>
      </c>
      <c r="AB1714" t="s">
        <v>25959</v>
      </c>
      <c r="AC1714" t="s">
        <v>69</v>
      </c>
      <c r="AD1714" t="s">
        <v>25960</v>
      </c>
      <c r="AE1714" t="s">
        <v>25961</v>
      </c>
      <c r="AF1714" t="s">
        <v>25962</v>
      </c>
      <c r="AG1714" t="s">
        <v>25963</v>
      </c>
      <c r="AH1714" t="s">
        <v>69</v>
      </c>
      <c r="AI1714" t="s">
        <v>69</v>
      </c>
      <c r="AJ1714" t="s">
        <v>69</v>
      </c>
      <c r="AK1714" t="s">
        <v>69</v>
      </c>
      <c r="AL1714">
        <v>52</v>
      </c>
      <c r="AM1714">
        <v>7</v>
      </c>
      <c r="AN1714">
        <v>8</v>
      </c>
      <c r="AO1714">
        <v>1</v>
      </c>
      <c r="AP1714">
        <v>7</v>
      </c>
      <c r="AQ1714" t="s">
        <v>8636</v>
      </c>
      <c r="AR1714" t="s">
        <v>8637</v>
      </c>
      <c r="AS1714" t="s">
        <v>8638</v>
      </c>
      <c r="AT1714" t="s">
        <v>25964</v>
      </c>
      <c r="AU1714" t="s">
        <v>25965</v>
      </c>
      <c r="AV1714" t="s">
        <v>69</v>
      </c>
      <c r="AW1714" t="s">
        <v>25955</v>
      </c>
      <c r="AX1714" t="s">
        <v>25966</v>
      </c>
      <c r="AY1714" t="s">
        <v>155</v>
      </c>
      <c r="AZ1714">
        <v>2012</v>
      </c>
      <c r="BA1714">
        <v>28</v>
      </c>
      <c r="BB1714">
        <v>3</v>
      </c>
      <c r="BC1714" t="s">
        <v>69</v>
      </c>
      <c r="BD1714" t="s">
        <v>69</v>
      </c>
      <c r="BE1714" t="s">
        <v>69</v>
      </c>
      <c r="BF1714" t="s">
        <v>69</v>
      </c>
      <c r="BG1714">
        <v>281</v>
      </c>
      <c r="BH1714">
        <v>290</v>
      </c>
      <c r="BI1714" t="s">
        <v>69</v>
      </c>
      <c r="BJ1714" t="s">
        <v>25967</v>
      </c>
      <c r="BK1714" t="str">
        <f>HYPERLINK("http://dx.doi.org/10.1016/j.midw.2011.12.011","http://dx.doi.org/10.1016/j.midw.2011.12.011")</f>
        <v>http://dx.doi.org/10.1016/j.midw.2011.12.011</v>
      </c>
      <c r="BL1714" t="s">
        <v>69</v>
      </c>
      <c r="BM1714" t="s">
        <v>69</v>
      </c>
      <c r="BN1714">
        <v>10</v>
      </c>
      <c r="BO1714" t="s">
        <v>16902</v>
      </c>
      <c r="BP1714" t="s">
        <v>8523</v>
      </c>
      <c r="BQ1714" t="s">
        <v>16902</v>
      </c>
      <c r="BR1714" t="s">
        <v>25968</v>
      </c>
      <c r="BS1714" t="s">
        <v>25969</v>
      </c>
      <c r="BT1714">
        <v>22417757</v>
      </c>
      <c r="BU1714" t="s">
        <v>69</v>
      </c>
      <c r="BV1714" t="s">
        <v>69</v>
      </c>
      <c r="BW1714" t="s">
        <v>69</v>
      </c>
      <c r="BX1714" t="s">
        <v>8526</v>
      </c>
      <c r="BY1714" t="str">
        <f>HYPERLINK("https%3A%2F%2Fwww.webofscience.com%2Fwos%2Fwoscc%2Ffull-record%2FWOS:000304441400002","View Full Record in Web of Science")</f>
        <v>View Full Record in Web of Science</v>
      </c>
    </row>
    <row r="1715" spans="1:77" ht="12.5" x14ac:dyDescent="0.25">
      <c r="A1715" t="s">
        <v>8495</v>
      </c>
      <c r="B1715" s="22" t="s">
        <v>32931</v>
      </c>
      <c r="C1715" s="7"/>
      <c r="D1715" s="7"/>
      <c r="E1715" s="7"/>
      <c r="F1715" t="s">
        <v>67</v>
      </c>
      <c r="G1715" t="s">
        <v>27745</v>
      </c>
      <c r="H1715" t="s">
        <v>69</v>
      </c>
      <c r="I1715" t="s">
        <v>69</v>
      </c>
      <c r="J1715" t="s">
        <v>69</v>
      </c>
      <c r="K1715" t="s">
        <v>27746</v>
      </c>
      <c r="L1715" t="s">
        <v>69</v>
      </c>
      <c r="M1715" t="s">
        <v>69</v>
      </c>
      <c r="N1715" t="s">
        <v>27747</v>
      </c>
      <c r="O1715" t="s">
        <v>27748</v>
      </c>
      <c r="P1715" t="s">
        <v>69</v>
      </c>
      <c r="Q1715" t="s">
        <v>69</v>
      </c>
      <c r="R1715" t="s">
        <v>8505</v>
      </c>
      <c r="S1715" t="s">
        <v>8506</v>
      </c>
      <c r="T1715" t="s">
        <v>69</v>
      </c>
      <c r="U1715" t="s">
        <v>69</v>
      </c>
      <c r="V1715" t="s">
        <v>69</v>
      </c>
      <c r="W1715" t="s">
        <v>69</v>
      </c>
      <c r="X1715" t="s">
        <v>69</v>
      </c>
      <c r="Y1715" t="s">
        <v>69</v>
      </c>
      <c r="Z1715" t="s">
        <v>69</v>
      </c>
      <c r="AA1715" t="s">
        <v>27749</v>
      </c>
      <c r="AB1715" t="s">
        <v>69</v>
      </c>
      <c r="AC1715" t="s">
        <v>69</v>
      </c>
      <c r="AD1715" t="s">
        <v>69</v>
      </c>
      <c r="AE1715" t="s">
        <v>27750</v>
      </c>
      <c r="AF1715" t="s">
        <v>69</v>
      </c>
      <c r="AG1715" t="s">
        <v>69</v>
      </c>
      <c r="AH1715" t="s">
        <v>69</v>
      </c>
      <c r="AI1715" t="s">
        <v>69</v>
      </c>
      <c r="AJ1715" t="s">
        <v>69</v>
      </c>
      <c r="AK1715" t="s">
        <v>69</v>
      </c>
      <c r="AL1715">
        <v>79</v>
      </c>
      <c r="AM1715">
        <v>4</v>
      </c>
      <c r="AN1715">
        <v>4</v>
      </c>
      <c r="AO1715">
        <v>0</v>
      </c>
      <c r="AP1715">
        <v>0</v>
      </c>
      <c r="AQ1715" t="s">
        <v>9554</v>
      </c>
      <c r="AR1715" t="s">
        <v>9555</v>
      </c>
      <c r="AS1715" t="s">
        <v>9556</v>
      </c>
      <c r="AT1715" t="s">
        <v>27751</v>
      </c>
      <c r="AU1715" t="s">
        <v>69</v>
      </c>
      <c r="AV1715" t="s">
        <v>69</v>
      </c>
      <c r="AW1715" t="s">
        <v>27752</v>
      </c>
      <c r="AX1715" t="s">
        <v>27753</v>
      </c>
      <c r="AY1715" t="s">
        <v>84</v>
      </c>
      <c r="AZ1715">
        <v>2010</v>
      </c>
      <c r="BA1715">
        <v>5</v>
      </c>
      <c r="BB1715">
        <v>6</v>
      </c>
      <c r="BC1715" t="s">
        <v>69</v>
      </c>
      <c r="BD1715" t="s">
        <v>69</v>
      </c>
      <c r="BE1715" t="s">
        <v>69</v>
      </c>
      <c r="BF1715" t="s">
        <v>69</v>
      </c>
      <c r="BG1715">
        <v>209</v>
      </c>
      <c r="BH1715">
        <v>247</v>
      </c>
      <c r="BI1715" t="s">
        <v>69</v>
      </c>
      <c r="BJ1715" t="s">
        <v>27754</v>
      </c>
      <c r="BK1715" t="str">
        <f>HYPERLINK("http://dx.doi.org/10.1177/194277511000500601","http://dx.doi.org/10.1177/194277511000500601")</f>
        <v>http://dx.doi.org/10.1177/194277511000500601</v>
      </c>
      <c r="BL1715" t="s">
        <v>69</v>
      </c>
      <c r="BM1715" t="s">
        <v>69</v>
      </c>
      <c r="BN1715">
        <v>39</v>
      </c>
      <c r="BO1715" t="s">
        <v>9290</v>
      </c>
      <c r="BP1715" t="s">
        <v>8573</v>
      </c>
      <c r="BQ1715" t="s">
        <v>9290</v>
      </c>
      <c r="BR1715" t="s">
        <v>27755</v>
      </c>
      <c r="BS1715" t="s">
        <v>27756</v>
      </c>
      <c r="BT1715" t="s">
        <v>69</v>
      </c>
      <c r="BU1715" t="s">
        <v>69</v>
      </c>
      <c r="BV1715" t="s">
        <v>69</v>
      </c>
      <c r="BW1715" t="s">
        <v>69</v>
      </c>
      <c r="BX1715" t="s">
        <v>8526</v>
      </c>
      <c r="BY1715" t="str">
        <f>HYPERLINK("https%3A%2F%2Fwww.webofscience.com%2Fwos%2Fwoscc%2Ffull-record%2FWOS:000435703600001","View Full Record in Web of Science")</f>
        <v>View Full Record in Web of Science</v>
      </c>
    </row>
    <row r="1716" spans="1:77" ht="12.5" x14ac:dyDescent="0.25">
      <c r="A1716" t="s">
        <v>8495</v>
      </c>
      <c r="B1716" s="7" t="s">
        <v>32933</v>
      </c>
      <c r="C1716" s="7"/>
      <c r="D1716" s="7"/>
      <c r="E1716" s="7"/>
      <c r="F1716" t="s">
        <v>67</v>
      </c>
      <c r="G1716" t="s">
        <v>5659</v>
      </c>
      <c r="H1716" t="s">
        <v>69</v>
      </c>
      <c r="I1716" t="s">
        <v>69</v>
      </c>
      <c r="J1716" t="s">
        <v>69</v>
      </c>
      <c r="K1716" t="s">
        <v>5660</v>
      </c>
      <c r="L1716" t="s">
        <v>69</v>
      </c>
      <c r="M1716" t="s">
        <v>69</v>
      </c>
      <c r="N1716" t="s">
        <v>5661</v>
      </c>
      <c r="O1716" t="s">
        <v>352</v>
      </c>
      <c r="P1716" t="s">
        <v>69</v>
      </c>
      <c r="Q1716" t="s">
        <v>69</v>
      </c>
      <c r="R1716" t="s">
        <v>8505</v>
      </c>
      <c r="S1716" t="s">
        <v>8506</v>
      </c>
      <c r="T1716" t="s">
        <v>69</v>
      </c>
      <c r="U1716" t="s">
        <v>69</v>
      </c>
      <c r="V1716" t="s">
        <v>69</v>
      </c>
      <c r="W1716" t="s">
        <v>69</v>
      </c>
      <c r="X1716" t="s">
        <v>69</v>
      </c>
      <c r="Y1716" t="s">
        <v>18673</v>
      </c>
      <c r="Z1716" t="s">
        <v>18674</v>
      </c>
      <c r="AA1716" t="s">
        <v>5662</v>
      </c>
      <c r="AB1716" t="s">
        <v>18675</v>
      </c>
      <c r="AC1716" t="s">
        <v>69</v>
      </c>
      <c r="AD1716" t="s">
        <v>18676</v>
      </c>
      <c r="AE1716" t="s">
        <v>18677</v>
      </c>
      <c r="AF1716" t="s">
        <v>18678</v>
      </c>
      <c r="AG1716" t="s">
        <v>5663</v>
      </c>
      <c r="AH1716" t="s">
        <v>18679</v>
      </c>
      <c r="AI1716" t="s">
        <v>18679</v>
      </c>
      <c r="AJ1716" t="s">
        <v>18680</v>
      </c>
      <c r="AK1716" t="s">
        <v>69</v>
      </c>
      <c r="AL1716">
        <v>54</v>
      </c>
      <c r="AM1716">
        <v>7</v>
      </c>
      <c r="AN1716">
        <v>7</v>
      </c>
      <c r="AO1716">
        <v>2</v>
      </c>
      <c r="AP1716">
        <v>14</v>
      </c>
      <c r="AQ1716" t="s">
        <v>8924</v>
      </c>
      <c r="AR1716" t="s">
        <v>8925</v>
      </c>
      <c r="AS1716" t="s">
        <v>8926</v>
      </c>
      <c r="AT1716" t="s">
        <v>354</v>
      </c>
      <c r="AU1716" t="s">
        <v>69</v>
      </c>
      <c r="AV1716" t="s">
        <v>69</v>
      </c>
      <c r="AW1716" t="s">
        <v>8958</v>
      </c>
      <c r="AX1716" t="s">
        <v>8434</v>
      </c>
      <c r="AY1716" t="s">
        <v>155</v>
      </c>
      <c r="AZ1716">
        <v>2018</v>
      </c>
      <c r="BA1716">
        <v>10</v>
      </c>
      <c r="BB1716">
        <v>6</v>
      </c>
      <c r="BC1716" t="s">
        <v>69</v>
      </c>
      <c r="BD1716" t="s">
        <v>69</v>
      </c>
      <c r="BE1716" t="s">
        <v>69</v>
      </c>
      <c r="BF1716" t="s">
        <v>69</v>
      </c>
      <c r="BG1716" t="s">
        <v>69</v>
      </c>
      <c r="BH1716" t="s">
        <v>69</v>
      </c>
      <c r="BI1716">
        <v>2081</v>
      </c>
      <c r="BJ1716" t="s">
        <v>5664</v>
      </c>
      <c r="BK1716" t="str">
        <f>HYPERLINK("http://dx.doi.org/10.3390/su10062081","http://dx.doi.org/10.3390/su10062081")</f>
        <v>http://dx.doi.org/10.3390/su10062081</v>
      </c>
      <c r="BL1716" t="s">
        <v>69</v>
      </c>
      <c r="BM1716" t="s">
        <v>69</v>
      </c>
      <c r="BN1716">
        <v>20</v>
      </c>
      <c r="BO1716" t="s">
        <v>8960</v>
      </c>
      <c r="BP1716" t="s">
        <v>8523</v>
      </c>
      <c r="BQ1716" t="s">
        <v>8961</v>
      </c>
      <c r="BR1716" t="s">
        <v>18681</v>
      </c>
      <c r="BS1716" t="s">
        <v>5665</v>
      </c>
      <c r="BT1716" t="s">
        <v>69</v>
      </c>
      <c r="BU1716" t="s">
        <v>9352</v>
      </c>
      <c r="BV1716" t="s">
        <v>69</v>
      </c>
      <c r="BW1716" t="s">
        <v>69</v>
      </c>
      <c r="BX1716" t="s">
        <v>8526</v>
      </c>
      <c r="BY1716" t="str">
        <f>HYPERLINK("https%3A%2F%2Fwww.webofscience.com%2Fwos%2Fwoscc%2Ffull-record%2FWOS:000436570100393","View Full Record in Web of Science")</f>
        <v>View Full Record in Web of Science</v>
      </c>
    </row>
    <row r="1717" spans="1:77" ht="12.5" x14ac:dyDescent="0.25">
      <c r="A1717" t="s">
        <v>8495</v>
      </c>
      <c r="B1717" s="7" t="s">
        <v>32933</v>
      </c>
      <c r="C1717" s="7"/>
      <c r="D1717" s="7"/>
      <c r="E1717" s="7"/>
      <c r="F1717" t="s">
        <v>67</v>
      </c>
      <c r="G1717" t="s">
        <v>1599</v>
      </c>
      <c r="H1717" t="s">
        <v>69</v>
      </c>
      <c r="I1717" t="s">
        <v>69</v>
      </c>
      <c r="J1717" t="s">
        <v>69</v>
      </c>
      <c r="K1717" t="s">
        <v>1600</v>
      </c>
      <c r="L1717" t="s">
        <v>69</v>
      </c>
      <c r="M1717" t="s">
        <v>69</v>
      </c>
      <c r="N1717" t="s">
        <v>1601</v>
      </c>
      <c r="O1717" t="s">
        <v>1602</v>
      </c>
      <c r="P1717" t="s">
        <v>69</v>
      </c>
      <c r="Q1717" t="s">
        <v>69</v>
      </c>
      <c r="R1717" t="s">
        <v>8505</v>
      </c>
      <c r="S1717" t="s">
        <v>8506</v>
      </c>
      <c r="T1717" t="s">
        <v>69</v>
      </c>
      <c r="U1717" t="s">
        <v>69</v>
      </c>
      <c r="V1717" t="s">
        <v>69</v>
      </c>
      <c r="W1717" t="s">
        <v>69</v>
      </c>
      <c r="X1717" t="s">
        <v>69</v>
      </c>
      <c r="Y1717" t="s">
        <v>69</v>
      </c>
      <c r="Z1717" t="s">
        <v>69</v>
      </c>
      <c r="AA1717" t="s">
        <v>1603</v>
      </c>
      <c r="AB1717" t="s">
        <v>30059</v>
      </c>
      <c r="AC1717" t="s">
        <v>69</v>
      </c>
      <c r="AD1717" t="s">
        <v>30060</v>
      </c>
      <c r="AE1717" t="s">
        <v>30061</v>
      </c>
      <c r="AF1717" t="s">
        <v>69</v>
      </c>
      <c r="AG1717" t="s">
        <v>30062</v>
      </c>
      <c r="AH1717" t="s">
        <v>69</v>
      </c>
      <c r="AI1717" t="s">
        <v>69</v>
      </c>
      <c r="AJ1717" t="s">
        <v>69</v>
      </c>
      <c r="AK1717" t="s">
        <v>69</v>
      </c>
      <c r="AL1717">
        <v>63</v>
      </c>
      <c r="AM1717">
        <v>57</v>
      </c>
      <c r="AN1717">
        <v>59</v>
      </c>
      <c r="AO1717">
        <v>1</v>
      </c>
      <c r="AP1717">
        <v>56</v>
      </c>
      <c r="AQ1717" t="s">
        <v>8762</v>
      </c>
      <c r="AR1717" t="s">
        <v>8763</v>
      </c>
      <c r="AS1717" t="s">
        <v>8764</v>
      </c>
      <c r="AT1717" t="s">
        <v>1604</v>
      </c>
      <c r="AU1717" t="s">
        <v>69</v>
      </c>
      <c r="AV1717" t="s">
        <v>69</v>
      </c>
      <c r="AW1717" t="s">
        <v>15091</v>
      </c>
      <c r="AX1717" t="s">
        <v>15092</v>
      </c>
      <c r="AY1717" t="s">
        <v>69</v>
      </c>
      <c r="AZ1717">
        <v>2007</v>
      </c>
      <c r="BA1717">
        <v>44</v>
      </c>
      <c r="BB1717">
        <v>12</v>
      </c>
      <c r="BC1717" t="s">
        <v>69</v>
      </c>
      <c r="BD1717" t="s">
        <v>69</v>
      </c>
      <c r="BE1717" t="s">
        <v>69</v>
      </c>
      <c r="BF1717" t="s">
        <v>69</v>
      </c>
      <c r="BG1717">
        <v>2379</v>
      </c>
      <c r="BH1717">
        <v>2400</v>
      </c>
      <c r="BI1717" t="s">
        <v>69</v>
      </c>
      <c r="BJ1717" t="s">
        <v>1605</v>
      </c>
      <c r="BK1717" t="str">
        <f>HYPERLINK("http://dx.doi.org/10.1080/00420980701540887","http://dx.doi.org/10.1080/00420980701540887")</f>
        <v>http://dx.doi.org/10.1080/00420980701540887</v>
      </c>
      <c r="BL1717" t="s">
        <v>69</v>
      </c>
      <c r="BM1717" t="s">
        <v>69</v>
      </c>
      <c r="BN1717">
        <v>22</v>
      </c>
      <c r="BO1717" t="s">
        <v>15093</v>
      </c>
      <c r="BP1717" t="s">
        <v>8661</v>
      </c>
      <c r="BQ1717" t="s">
        <v>15094</v>
      </c>
      <c r="BR1717" t="s">
        <v>30063</v>
      </c>
      <c r="BS1717" t="s">
        <v>1606</v>
      </c>
      <c r="BT1717" t="s">
        <v>69</v>
      </c>
      <c r="BU1717" t="s">
        <v>69</v>
      </c>
      <c r="BV1717" t="s">
        <v>69</v>
      </c>
      <c r="BW1717" t="s">
        <v>69</v>
      </c>
      <c r="BX1717" t="s">
        <v>8526</v>
      </c>
      <c r="BY1717" t="str">
        <f>HYPERLINK("https%3A%2F%2Fwww.webofscience.com%2Fwos%2Fwoscc%2Ffull-record%2FWOS:000250780000006","View Full Record in Web of Science")</f>
        <v>View Full Record in Web of Science</v>
      </c>
    </row>
    <row r="1718" spans="1:77" ht="12.5" x14ac:dyDescent="0.25">
      <c r="A1718" t="s">
        <v>8495</v>
      </c>
      <c r="B1718" s="22" t="s">
        <v>32931</v>
      </c>
      <c r="C1718" s="7"/>
      <c r="D1718" s="7"/>
      <c r="E1718" s="7"/>
      <c r="F1718" t="s">
        <v>67</v>
      </c>
      <c r="G1718" t="s">
        <v>25489</v>
      </c>
      <c r="H1718" t="s">
        <v>69</v>
      </c>
      <c r="I1718" t="s">
        <v>69</v>
      </c>
      <c r="J1718" t="s">
        <v>69</v>
      </c>
      <c r="K1718" t="s">
        <v>25490</v>
      </c>
      <c r="L1718" t="s">
        <v>69</v>
      </c>
      <c r="M1718" t="s">
        <v>69</v>
      </c>
      <c r="N1718" t="s">
        <v>25491</v>
      </c>
      <c r="O1718" t="s">
        <v>25476</v>
      </c>
      <c r="P1718" t="s">
        <v>69</v>
      </c>
      <c r="Q1718" t="s">
        <v>69</v>
      </c>
      <c r="R1718" t="s">
        <v>9357</v>
      </c>
      <c r="S1718" t="s">
        <v>8506</v>
      </c>
      <c r="T1718" t="s">
        <v>69</v>
      </c>
      <c r="U1718" t="s">
        <v>69</v>
      </c>
      <c r="V1718" t="s">
        <v>69</v>
      </c>
      <c r="W1718" t="s">
        <v>69</v>
      </c>
      <c r="X1718" t="s">
        <v>69</v>
      </c>
      <c r="Y1718" t="s">
        <v>25492</v>
      </c>
      <c r="Z1718" t="s">
        <v>69</v>
      </c>
      <c r="AA1718" t="s">
        <v>25493</v>
      </c>
      <c r="AB1718" t="s">
        <v>25494</v>
      </c>
      <c r="AC1718" t="s">
        <v>69</v>
      </c>
      <c r="AD1718" t="s">
        <v>25495</v>
      </c>
      <c r="AE1718" t="s">
        <v>69</v>
      </c>
      <c r="AF1718" t="s">
        <v>69</v>
      </c>
      <c r="AG1718" t="s">
        <v>69</v>
      </c>
      <c r="AH1718" t="s">
        <v>69</v>
      </c>
      <c r="AI1718" t="s">
        <v>69</v>
      </c>
      <c r="AJ1718" t="s">
        <v>69</v>
      </c>
      <c r="AK1718" t="s">
        <v>69</v>
      </c>
      <c r="AL1718">
        <v>9</v>
      </c>
      <c r="AM1718">
        <v>0</v>
      </c>
      <c r="AN1718">
        <v>0</v>
      </c>
      <c r="AO1718">
        <v>0</v>
      </c>
      <c r="AP1718">
        <v>0</v>
      </c>
      <c r="AQ1718" t="s">
        <v>25481</v>
      </c>
      <c r="AR1718" t="s">
        <v>25482</v>
      </c>
      <c r="AS1718" t="s">
        <v>25483</v>
      </c>
      <c r="AT1718" t="s">
        <v>25484</v>
      </c>
      <c r="AU1718" t="s">
        <v>69</v>
      </c>
      <c r="AV1718" t="s">
        <v>69</v>
      </c>
      <c r="AW1718" t="s">
        <v>25485</v>
      </c>
      <c r="AX1718" t="s">
        <v>25486</v>
      </c>
      <c r="AY1718" t="s">
        <v>69</v>
      </c>
      <c r="AZ1718">
        <v>2013</v>
      </c>
      <c r="BA1718" t="s">
        <v>69</v>
      </c>
      <c r="BB1718">
        <v>3</v>
      </c>
      <c r="BC1718" t="s">
        <v>69</v>
      </c>
      <c r="BD1718" t="s">
        <v>69</v>
      </c>
      <c r="BE1718" t="s">
        <v>69</v>
      </c>
      <c r="BF1718" t="s">
        <v>69</v>
      </c>
      <c r="BG1718">
        <v>264</v>
      </c>
      <c r="BH1718">
        <v>271</v>
      </c>
      <c r="BI1718" t="s">
        <v>69</v>
      </c>
      <c r="BJ1718" t="s">
        <v>69</v>
      </c>
      <c r="BK1718" t="s">
        <v>69</v>
      </c>
      <c r="BL1718" t="s">
        <v>69</v>
      </c>
      <c r="BM1718" t="s">
        <v>69</v>
      </c>
      <c r="BN1718">
        <v>8</v>
      </c>
      <c r="BO1718" t="s">
        <v>9410</v>
      </c>
      <c r="BP1718" t="s">
        <v>8573</v>
      </c>
      <c r="BQ1718" t="s">
        <v>8594</v>
      </c>
      <c r="BR1718" t="s">
        <v>25487</v>
      </c>
      <c r="BS1718" t="s">
        <v>25496</v>
      </c>
      <c r="BT1718" t="s">
        <v>69</v>
      </c>
      <c r="BU1718" t="s">
        <v>69</v>
      </c>
      <c r="BV1718" t="s">
        <v>69</v>
      </c>
      <c r="BW1718" t="s">
        <v>69</v>
      </c>
      <c r="BX1718" t="s">
        <v>8526</v>
      </c>
      <c r="BY1718" t="str">
        <f>HYPERLINK("https%3A%2F%2Fwww.webofscience.com%2Fwos%2Fwoscc%2Ffull-record%2FWOS:000422478500023","View Full Record in Web of Science")</f>
        <v>View Full Record in Web of Science</v>
      </c>
    </row>
    <row r="1719" spans="1:77" ht="12.5" x14ac:dyDescent="0.25">
      <c r="A1719" t="s">
        <v>8495</v>
      </c>
      <c r="B1719" s="7" t="s">
        <v>32933</v>
      </c>
      <c r="C1719" s="7"/>
      <c r="D1719" s="7"/>
      <c r="E1719" s="7"/>
      <c r="F1719" t="s">
        <v>67</v>
      </c>
      <c r="G1719" t="s">
        <v>7660</v>
      </c>
      <c r="H1719" t="s">
        <v>69</v>
      </c>
      <c r="I1719" t="s">
        <v>69</v>
      </c>
      <c r="J1719" t="s">
        <v>69</v>
      </c>
      <c r="K1719" t="s">
        <v>7661</v>
      </c>
      <c r="L1719" t="s">
        <v>69</v>
      </c>
      <c r="M1719" t="s">
        <v>69</v>
      </c>
      <c r="N1719" t="s">
        <v>7662</v>
      </c>
      <c r="O1719" t="s">
        <v>5171</v>
      </c>
      <c r="P1719" t="s">
        <v>69</v>
      </c>
      <c r="Q1719" t="s">
        <v>69</v>
      </c>
      <c r="R1719" t="s">
        <v>14800</v>
      </c>
      <c r="S1719" t="s">
        <v>8506</v>
      </c>
      <c r="T1719" t="s">
        <v>69</v>
      </c>
      <c r="U1719" t="s">
        <v>69</v>
      </c>
      <c r="V1719" t="s">
        <v>69</v>
      </c>
      <c r="W1719" t="s">
        <v>69</v>
      </c>
      <c r="X1719" t="s">
        <v>69</v>
      </c>
      <c r="Y1719" t="s">
        <v>30137</v>
      </c>
      <c r="Z1719" t="s">
        <v>69</v>
      </c>
      <c r="AA1719" t="s">
        <v>7663</v>
      </c>
      <c r="AB1719" t="s">
        <v>30138</v>
      </c>
      <c r="AC1719" t="s">
        <v>69</v>
      </c>
      <c r="AD1719" t="s">
        <v>30139</v>
      </c>
      <c r="AE1719" t="s">
        <v>30140</v>
      </c>
      <c r="AF1719" t="s">
        <v>69</v>
      </c>
      <c r="AG1719" t="s">
        <v>69</v>
      </c>
      <c r="AH1719" t="s">
        <v>69</v>
      </c>
      <c r="AI1719" t="s">
        <v>69</v>
      </c>
      <c r="AJ1719" t="s">
        <v>69</v>
      </c>
      <c r="AK1719" t="s">
        <v>69</v>
      </c>
      <c r="AL1719">
        <v>14</v>
      </c>
      <c r="AM1719">
        <v>2</v>
      </c>
      <c r="AN1719">
        <v>2</v>
      </c>
      <c r="AO1719">
        <v>0</v>
      </c>
      <c r="AP1719">
        <v>7</v>
      </c>
      <c r="AQ1719" t="s">
        <v>18329</v>
      </c>
      <c r="AR1719" t="s">
        <v>18330</v>
      </c>
      <c r="AS1719" t="s">
        <v>18331</v>
      </c>
      <c r="AT1719" t="s">
        <v>7664</v>
      </c>
      <c r="AU1719" t="s">
        <v>69</v>
      </c>
      <c r="AV1719" t="s">
        <v>69</v>
      </c>
      <c r="AW1719" t="s">
        <v>27225</v>
      </c>
      <c r="AX1719" t="s">
        <v>27226</v>
      </c>
      <c r="AY1719" t="s">
        <v>1774</v>
      </c>
      <c r="AZ1719">
        <v>2006</v>
      </c>
      <c r="BA1719">
        <v>15</v>
      </c>
      <c r="BB1719">
        <v>5</v>
      </c>
      <c r="BC1719" t="s">
        <v>69</v>
      </c>
      <c r="BD1719" t="s">
        <v>69</v>
      </c>
      <c r="BE1719" t="s">
        <v>69</v>
      </c>
      <c r="BF1719" t="s">
        <v>69</v>
      </c>
      <c r="BG1719">
        <v>409</v>
      </c>
      <c r="BH1719">
        <v>415</v>
      </c>
      <c r="BI1719" t="s">
        <v>69</v>
      </c>
      <c r="BJ1719" t="s">
        <v>69</v>
      </c>
      <c r="BK1719" t="s">
        <v>69</v>
      </c>
      <c r="BL1719" t="s">
        <v>69</v>
      </c>
      <c r="BM1719" t="s">
        <v>69</v>
      </c>
      <c r="BN1719">
        <v>7</v>
      </c>
      <c r="BO1719" t="s">
        <v>27227</v>
      </c>
      <c r="BP1719" t="s">
        <v>8548</v>
      </c>
      <c r="BQ1719" t="s">
        <v>8450</v>
      </c>
      <c r="BR1719" t="s">
        <v>30141</v>
      </c>
      <c r="BS1719" t="s">
        <v>7665</v>
      </c>
      <c r="BT1719" t="s">
        <v>69</v>
      </c>
      <c r="BU1719" t="s">
        <v>69</v>
      </c>
      <c r="BV1719" t="s">
        <v>69</v>
      </c>
      <c r="BW1719" t="s">
        <v>69</v>
      </c>
      <c r="BX1719" t="s">
        <v>8526</v>
      </c>
      <c r="BY1719" t="str">
        <f>HYPERLINK("https%3A%2F%2Fwww.webofscience.com%2Fwos%2Fwoscc%2Ffull-record%2FWOS:000241511200002","View Full Record in Web of Science")</f>
        <v>View Full Record in Web of Science</v>
      </c>
    </row>
    <row r="1720" spans="1:77" ht="12.5" x14ac:dyDescent="0.25">
      <c r="A1720" t="s">
        <v>8495</v>
      </c>
      <c r="B1720" s="7" t="s">
        <v>32933</v>
      </c>
      <c r="C1720" s="7"/>
      <c r="D1720" s="7"/>
      <c r="E1720" s="7"/>
      <c r="F1720" t="s">
        <v>67</v>
      </c>
      <c r="G1720" t="s">
        <v>7527</v>
      </c>
      <c r="H1720" t="s">
        <v>69</v>
      </c>
      <c r="I1720" t="s">
        <v>69</v>
      </c>
      <c r="J1720" t="s">
        <v>69</v>
      </c>
      <c r="K1720" t="s">
        <v>7527</v>
      </c>
      <c r="L1720" t="s">
        <v>69</v>
      </c>
      <c r="M1720" t="s">
        <v>69</v>
      </c>
      <c r="N1720" t="s">
        <v>7528</v>
      </c>
      <c r="O1720" t="s">
        <v>6571</v>
      </c>
      <c r="P1720" t="s">
        <v>69</v>
      </c>
      <c r="Q1720" t="s">
        <v>69</v>
      </c>
      <c r="R1720" t="s">
        <v>8505</v>
      </c>
      <c r="S1720" t="s">
        <v>15797</v>
      </c>
      <c r="T1720" t="s">
        <v>7529</v>
      </c>
      <c r="U1720">
        <v>2002</v>
      </c>
      <c r="V1720" t="s">
        <v>7530</v>
      </c>
      <c r="W1720" t="s">
        <v>69</v>
      </c>
      <c r="X1720" t="s">
        <v>69</v>
      </c>
      <c r="Y1720" t="s">
        <v>69</v>
      </c>
      <c r="Z1720" t="s">
        <v>69</v>
      </c>
      <c r="AA1720" t="s">
        <v>7531</v>
      </c>
      <c r="AB1720" t="s">
        <v>31453</v>
      </c>
      <c r="AC1720" t="s">
        <v>69</v>
      </c>
      <c r="AD1720" t="s">
        <v>31454</v>
      </c>
      <c r="AE1720" t="s">
        <v>69</v>
      </c>
      <c r="AF1720" t="s">
        <v>69</v>
      </c>
      <c r="AG1720" t="s">
        <v>69</v>
      </c>
      <c r="AH1720" t="s">
        <v>69</v>
      </c>
      <c r="AI1720" t="s">
        <v>69</v>
      </c>
      <c r="AJ1720" t="s">
        <v>69</v>
      </c>
      <c r="AK1720" t="s">
        <v>69</v>
      </c>
      <c r="AL1720">
        <v>5</v>
      </c>
      <c r="AM1720">
        <v>0</v>
      </c>
      <c r="AN1720">
        <v>0</v>
      </c>
      <c r="AO1720">
        <v>0</v>
      </c>
      <c r="AP1720">
        <v>9</v>
      </c>
      <c r="AQ1720" t="s">
        <v>8692</v>
      </c>
      <c r="AR1720" t="s">
        <v>8693</v>
      </c>
      <c r="AS1720" t="s">
        <v>18139</v>
      </c>
      <c r="AT1720" t="s">
        <v>6573</v>
      </c>
      <c r="AU1720" t="s">
        <v>69</v>
      </c>
      <c r="AV1720" t="s">
        <v>69</v>
      </c>
      <c r="AW1720" t="s">
        <v>10988</v>
      </c>
      <c r="AX1720" t="s">
        <v>10989</v>
      </c>
      <c r="AY1720" t="s">
        <v>155</v>
      </c>
      <c r="AZ1720">
        <v>2002</v>
      </c>
      <c r="BA1720">
        <v>69</v>
      </c>
      <c r="BB1720">
        <v>5</v>
      </c>
      <c r="BC1720" t="s">
        <v>69</v>
      </c>
      <c r="BD1720" t="s">
        <v>69</v>
      </c>
      <c r="BE1720" t="s">
        <v>69</v>
      </c>
      <c r="BF1720" t="s">
        <v>69</v>
      </c>
      <c r="BG1720">
        <v>479</v>
      </c>
      <c r="BH1720">
        <v>484</v>
      </c>
      <c r="BI1720" t="s">
        <v>7532</v>
      </c>
      <c r="BJ1720" t="s">
        <v>7533</v>
      </c>
      <c r="BK1720" t="str">
        <f>HYPERLINK("http://dx.doi.org/10.1016/S0040-1625(01)00169-X","http://dx.doi.org/10.1016/S0040-1625(01)00169-X")</f>
        <v>http://dx.doi.org/10.1016/S0040-1625(01)00169-X</v>
      </c>
      <c r="BL1720" t="s">
        <v>69</v>
      </c>
      <c r="BM1720" t="s">
        <v>69</v>
      </c>
      <c r="BN1720">
        <v>6</v>
      </c>
      <c r="BO1720" t="s">
        <v>10992</v>
      </c>
      <c r="BP1720" t="s">
        <v>31324</v>
      </c>
      <c r="BQ1720" t="s">
        <v>10993</v>
      </c>
      <c r="BR1720" t="s">
        <v>31455</v>
      </c>
      <c r="BS1720" t="s">
        <v>7534</v>
      </c>
      <c r="BT1720" t="s">
        <v>69</v>
      </c>
      <c r="BU1720" t="s">
        <v>69</v>
      </c>
      <c r="BV1720" t="s">
        <v>69</v>
      </c>
      <c r="BW1720" t="s">
        <v>69</v>
      </c>
      <c r="BX1720" t="s">
        <v>8526</v>
      </c>
      <c r="BY1720" t="str">
        <f>HYPERLINK("https%3A%2F%2Fwww.webofscience.com%2Fwos%2Fwoscc%2Ffull-record%2FWOS:000177263900004","View Full Record in Web of Science")</f>
        <v>View Full Record in Web of Science</v>
      </c>
    </row>
    <row r="1721" spans="1:77" ht="12.5" x14ac:dyDescent="0.25">
      <c r="A1721" t="s">
        <v>8495</v>
      </c>
      <c r="B1721" s="7" t="s">
        <v>32933</v>
      </c>
      <c r="C1721" s="7"/>
      <c r="D1721" s="7"/>
      <c r="E1721" s="7"/>
      <c r="F1721" t="s">
        <v>67</v>
      </c>
      <c r="G1721" t="s">
        <v>3543</v>
      </c>
      <c r="H1721" t="s">
        <v>69</v>
      </c>
      <c r="I1721" t="s">
        <v>69</v>
      </c>
      <c r="J1721" t="s">
        <v>69</v>
      </c>
      <c r="K1721" t="s">
        <v>3544</v>
      </c>
      <c r="L1721" t="s">
        <v>69</v>
      </c>
      <c r="M1721" t="s">
        <v>69</v>
      </c>
      <c r="N1721" t="s">
        <v>3545</v>
      </c>
      <c r="O1721" t="s">
        <v>1405</v>
      </c>
      <c r="P1721" t="s">
        <v>69</v>
      </c>
      <c r="Q1721" t="s">
        <v>69</v>
      </c>
      <c r="R1721" t="s">
        <v>8505</v>
      </c>
      <c r="S1721" t="s">
        <v>8506</v>
      </c>
      <c r="T1721" t="s">
        <v>69</v>
      </c>
      <c r="U1721" t="s">
        <v>69</v>
      </c>
      <c r="V1721" t="s">
        <v>69</v>
      </c>
      <c r="W1721" t="s">
        <v>69</v>
      </c>
      <c r="X1721" t="s">
        <v>69</v>
      </c>
      <c r="Y1721" t="s">
        <v>27757</v>
      </c>
      <c r="Z1721" t="s">
        <v>69</v>
      </c>
      <c r="AA1721" t="s">
        <v>3546</v>
      </c>
      <c r="AB1721" t="s">
        <v>27758</v>
      </c>
      <c r="AC1721" t="s">
        <v>69</v>
      </c>
      <c r="AD1721" t="s">
        <v>27759</v>
      </c>
      <c r="AE1721" t="s">
        <v>27760</v>
      </c>
      <c r="AF1721" t="s">
        <v>3547</v>
      </c>
      <c r="AG1721" t="s">
        <v>3548</v>
      </c>
      <c r="AH1721" t="s">
        <v>19909</v>
      </c>
      <c r="AI1721" t="s">
        <v>15550</v>
      </c>
      <c r="AJ1721" t="s">
        <v>27761</v>
      </c>
      <c r="AK1721" t="s">
        <v>69</v>
      </c>
      <c r="AL1721">
        <v>26</v>
      </c>
      <c r="AM1721">
        <v>30</v>
      </c>
      <c r="AN1721">
        <v>31</v>
      </c>
      <c r="AO1721">
        <v>0</v>
      </c>
      <c r="AP1721">
        <v>7</v>
      </c>
      <c r="AQ1721" t="s">
        <v>8636</v>
      </c>
      <c r="AR1721" t="s">
        <v>8637</v>
      </c>
      <c r="AS1721" t="s">
        <v>8638</v>
      </c>
      <c r="AT1721" t="s">
        <v>1407</v>
      </c>
      <c r="AU1721" t="s">
        <v>69</v>
      </c>
      <c r="AV1721" t="s">
        <v>69</v>
      </c>
      <c r="AW1721" t="s">
        <v>14240</v>
      </c>
      <c r="AX1721" t="s">
        <v>8486</v>
      </c>
      <c r="AY1721" t="s">
        <v>155</v>
      </c>
      <c r="AZ1721">
        <v>2010</v>
      </c>
      <c r="BA1721">
        <v>38</v>
      </c>
      <c r="BB1721">
        <v>6</v>
      </c>
      <c r="BC1721" t="s">
        <v>69</v>
      </c>
      <c r="BD1721" t="s">
        <v>69</v>
      </c>
      <c r="BE1721" t="s">
        <v>69</v>
      </c>
      <c r="BF1721" t="s">
        <v>69</v>
      </c>
      <c r="BG1721">
        <v>2858</v>
      </c>
      <c r="BH1721">
        <v>2864</v>
      </c>
      <c r="BI1721" t="s">
        <v>69</v>
      </c>
      <c r="BJ1721" t="s">
        <v>3549</v>
      </c>
      <c r="BK1721" t="str">
        <f>HYPERLINK("http://dx.doi.org/10.1016/j.enpol.2010.01.018","http://dx.doi.org/10.1016/j.enpol.2010.01.018")</f>
        <v>http://dx.doi.org/10.1016/j.enpol.2010.01.018</v>
      </c>
      <c r="BL1721" t="s">
        <v>69</v>
      </c>
      <c r="BM1721" t="s">
        <v>69</v>
      </c>
      <c r="BN1721">
        <v>7</v>
      </c>
      <c r="BO1721" t="s">
        <v>14242</v>
      </c>
      <c r="BP1721" t="s">
        <v>8523</v>
      </c>
      <c r="BQ1721" t="s">
        <v>14243</v>
      </c>
      <c r="BR1721" t="s">
        <v>27762</v>
      </c>
      <c r="BS1721" t="s">
        <v>3550</v>
      </c>
      <c r="BT1721" t="s">
        <v>69</v>
      </c>
      <c r="BU1721" t="s">
        <v>10995</v>
      </c>
      <c r="BV1721" t="s">
        <v>69</v>
      </c>
      <c r="BW1721" t="s">
        <v>69</v>
      </c>
      <c r="BX1721" t="s">
        <v>8526</v>
      </c>
      <c r="BY1721" t="str">
        <f>HYPERLINK("https%3A%2F%2Fwww.webofscience.com%2Fwos%2Fwoscc%2Ffull-record%2FWOS:000278055700036","View Full Record in Web of Science")</f>
        <v>View Full Record in Web of Science</v>
      </c>
    </row>
    <row r="1722" spans="1:77" ht="12.5" x14ac:dyDescent="0.25">
      <c r="A1722" t="s">
        <v>8495</v>
      </c>
      <c r="B1722" s="7" t="s">
        <v>32933</v>
      </c>
      <c r="C1722" s="7"/>
      <c r="D1722" s="7"/>
      <c r="E1722" s="7"/>
      <c r="F1722" t="s">
        <v>67</v>
      </c>
      <c r="G1722" t="s">
        <v>2293</v>
      </c>
      <c r="H1722" t="s">
        <v>69</v>
      </c>
      <c r="I1722" t="s">
        <v>69</v>
      </c>
      <c r="J1722" t="s">
        <v>69</v>
      </c>
      <c r="K1722" t="s">
        <v>2294</v>
      </c>
      <c r="L1722" t="s">
        <v>69</v>
      </c>
      <c r="M1722" t="s">
        <v>69</v>
      </c>
      <c r="N1722" t="s">
        <v>2295</v>
      </c>
      <c r="O1722" t="s">
        <v>2296</v>
      </c>
      <c r="P1722" t="s">
        <v>69</v>
      </c>
      <c r="Q1722" t="s">
        <v>69</v>
      </c>
      <c r="R1722" t="s">
        <v>8505</v>
      </c>
      <c r="S1722" t="s">
        <v>8506</v>
      </c>
      <c r="T1722" t="s">
        <v>69</v>
      </c>
      <c r="U1722" t="s">
        <v>69</v>
      </c>
      <c r="V1722" t="s">
        <v>69</v>
      </c>
      <c r="W1722" t="s">
        <v>69</v>
      </c>
      <c r="X1722" t="s">
        <v>69</v>
      </c>
      <c r="Y1722" t="s">
        <v>17497</v>
      </c>
      <c r="Z1722" t="s">
        <v>17498</v>
      </c>
      <c r="AA1722" t="s">
        <v>2297</v>
      </c>
      <c r="AB1722" t="s">
        <v>17499</v>
      </c>
      <c r="AC1722" t="s">
        <v>69</v>
      </c>
      <c r="AD1722" t="s">
        <v>17500</v>
      </c>
      <c r="AE1722" t="s">
        <v>17501</v>
      </c>
      <c r="AF1722" t="s">
        <v>2298</v>
      </c>
      <c r="AG1722" t="s">
        <v>2299</v>
      </c>
      <c r="AH1722" t="s">
        <v>69</v>
      </c>
      <c r="AI1722" t="s">
        <v>69</v>
      </c>
      <c r="AJ1722" t="s">
        <v>69</v>
      </c>
      <c r="AK1722" t="s">
        <v>69</v>
      </c>
      <c r="AL1722">
        <v>56</v>
      </c>
      <c r="AM1722">
        <v>4</v>
      </c>
      <c r="AN1722">
        <v>4</v>
      </c>
      <c r="AO1722">
        <v>3</v>
      </c>
      <c r="AP1722">
        <v>26</v>
      </c>
      <c r="AQ1722" t="s">
        <v>8846</v>
      </c>
      <c r="AR1722" t="s">
        <v>8847</v>
      </c>
      <c r="AS1722" t="s">
        <v>8848</v>
      </c>
      <c r="AT1722" t="s">
        <v>2300</v>
      </c>
      <c r="AU1722" t="s">
        <v>2301</v>
      </c>
      <c r="AV1722" t="s">
        <v>69</v>
      </c>
      <c r="AW1722" t="s">
        <v>17502</v>
      </c>
      <c r="AX1722" t="s">
        <v>17503</v>
      </c>
      <c r="AY1722" t="s">
        <v>94</v>
      </c>
      <c r="AZ1722">
        <v>2019</v>
      </c>
      <c r="BA1722">
        <v>54</v>
      </c>
      <c r="BB1722">
        <v>1</v>
      </c>
      <c r="BC1722" t="s">
        <v>69</v>
      </c>
      <c r="BD1722" t="s">
        <v>69</v>
      </c>
      <c r="BE1722" t="s">
        <v>69</v>
      </c>
      <c r="BF1722" t="s">
        <v>69</v>
      </c>
      <c r="BG1722">
        <v>91</v>
      </c>
      <c r="BH1722">
        <v>108</v>
      </c>
      <c r="BI1722" t="s">
        <v>69</v>
      </c>
      <c r="BJ1722" t="s">
        <v>2302</v>
      </c>
      <c r="BK1722" t="str">
        <f>HYPERLINK("http://dx.doi.org/10.1002/ajs4.60","http://dx.doi.org/10.1002/ajs4.60")</f>
        <v>http://dx.doi.org/10.1002/ajs4.60</v>
      </c>
      <c r="BL1722" t="s">
        <v>69</v>
      </c>
      <c r="BM1722" t="s">
        <v>69</v>
      </c>
      <c r="BN1722">
        <v>18</v>
      </c>
      <c r="BO1722" t="s">
        <v>13650</v>
      </c>
      <c r="BP1722" t="s">
        <v>8661</v>
      </c>
      <c r="BQ1722" t="s">
        <v>13650</v>
      </c>
      <c r="BR1722" t="s">
        <v>17504</v>
      </c>
      <c r="BS1722" t="s">
        <v>2303</v>
      </c>
      <c r="BT1722" t="s">
        <v>69</v>
      </c>
      <c r="BU1722" t="s">
        <v>10995</v>
      </c>
      <c r="BV1722" t="s">
        <v>69</v>
      </c>
      <c r="BW1722" t="s">
        <v>69</v>
      </c>
      <c r="BX1722" t="s">
        <v>8526</v>
      </c>
      <c r="BY1722" t="str">
        <f>HYPERLINK("https%3A%2F%2Fwww.webofscience.com%2Fwos%2Fwoscc%2Ffull-record%2FWOS:000462204400006","View Full Record in Web of Science")</f>
        <v>View Full Record in Web of Science</v>
      </c>
    </row>
    <row r="1723" spans="1:77" ht="12.5" x14ac:dyDescent="0.25">
      <c r="A1723" t="s">
        <v>8495</v>
      </c>
      <c r="B1723" s="22" t="s">
        <v>32931</v>
      </c>
      <c r="C1723" s="7"/>
      <c r="D1723" s="7"/>
      <c r="E1723" s="7"/>
      <c r="F1723" t="s">
        <v>67</v>
      </c>
      <c r="G1723" t="s">
        <v>18954</v>
      </c>
      <c r="H1723" t="s">
        <v>69</v>
      </c>
      <c r="I1723" t="s">
        <v>69</v>
      </c>
      <c r="J1723" t="s">
        <v>69</v>
      </c>
      <c r="K1723" t="s">
        <v>18955</v>
      </c>
      <c r="L1723" t="s">
        <v>69</v>
      </c>
      <c r="M1723" t="s">
        <v>69</v>
      </c>
      <c r="N1723" t="s">
        <v>18956</v>
      </c>
      <c r="O1723" t="s">
        <v>18957</v>
      </c>
      <c r="P1723" t="s">
        <v>69</v>
      </c>
      <c r="Q1723" t="s">
        <v>69</v>
      </c>
      <c r="R1723" t="s">
        <v>8505</v>
      </c>
      <c r="S1723" t="s">
        <v>8506</v>
      </c>
      <c r="T1723" t="s">
        <v>69</v>
      </c>
      <c r="U1723" t="s">
        <v>69</v>
      </c>
      <c r="V1723" t="s">
        <v>69</v>
      </c>
      <c r="W1723" t="s">
        <v>69</v>
      </c>
      <c r="X1723" t="s">
        <v>69</v>
      </c>
      <c r="Y1723" t="s">
        <v>69</v>
      </c>
      <c r="Z1723" t="s">
        <v>18958</v>
      </c>
      <c r="AA1723" t="s">
        <v>18959</v>
      </c>
      <c r="AB1723" t="s">
        <v>18960</v>
      </c>
      <c r="AC1723" t="s">
        <v>69</v>
      </c>
      <c r="AD1723" t="s">
        <v>18961</v>
      </c>
      <c r="AE1723" t="s">
        <v>18962</v>
      </c>
      <c r="AF1723" t="s">
        <v>69</v>
      </c>
      <c r="AG1723" t="s">
        <v>69</v>
      </c>
      <c r="AH1723" t="s">
        <v>69</v>
      </c>
      <c r="AI1723" t="s">
        <v>69</v>
      </c>
      <c r="AJ1723" t="s">
        <v>69</v>
      </c>
      <c r="AK1723" t="s">
        <v>69</v>
      </c>
      <c r="AL1723">
        <v>8</v>
      </c>
      <c r="AM1723">
        <v>0</v>
      </c>
      <c r="AN1723">
        <v>0</v>
      </c>
      <c r="AO1723">
        <v>0</v>
      </c>
      <c r="AP1723">
        <v>2</v>
      </c>
      <c r="AQ1723" t="s">
        <v>18963</v>
      </c>
      <c r="AR1723" t="s">
        <v>8763</v>
      </c>
      <c r="AS1723" t="s">
        <v>18964</v>
      </c>
      <c r="AT1723" t="s">
        <v>18965</v>
      </c>
      <c r="AU1723" t="s">
        <v>18966</v>
      </c>
      <c r="AV1723" t="s">
        <v>69</v>
      </c>
      <c r="AW1723" t="s">
        <v>18967</v>
      </c>
      <c r="AX1723" t="s">
        <v>18968</v>
      </c>
      <c r="AY1723" t="s">
        <v>18969</v>
      </c>
      <c r="AZ1723">
        <v>2018</v>
      </c>
      <c r="BA1723">
        <v>224</v>
      </c>
      <c r="BB1723">
        <v>7</v>
      </c>
      <c r="BC1723" t="s">
        <v>69</v>
      </c>
      <c r="BD1723" t="s">
        <v>69</v>
      </c>
      <c r="BE1723" t="s">
        <v>69</v>
      </c>
      <c r="BF1723" t="s">
        <v>69</v>
      </c>
      <c r="BG1723" t="s">
        <v>69</v>
      </c>
      <c r="BH1723" t="s">
        <v>69</v>
      </c>
      <c r="BI1723" t="s">
        <v>69</v>
      </c>
      <c r="BJ1723" t="s">
        <v>18970</v>
      </c>
      <c r="BK1723" t="str">
        <f>HYPERLINK("http://dx.doi.org/10.1038/sj.bdj.2018.224","http://dx.doi.org/10.1038/sj.bdj.2018.224")</f>
        <v>http://dx.doi.org/10.1038/sj.bdj.2018.224</v>
      </c>
      <c r="BL1723" t="s">
        <v>69</v>
      </c>
      <c r="BM1723" t="s">
        <v>69</v>
      </c>
      <c r="BN1723">
        <v>4</v>
      </c>
      <c r="BO1723" t="s">
        <v>17390</v>
      </c>
      <c r="BP1723" t="s">
        <v>8548</v>
      </c>
      <c r="BQ1723" t="s">
        <v>17390</v>
      </c>
      <c r="BR1723" t="s">
        <v>18971</v>
      </c>
      <c r="BS1723" t="s">
        <v>18972</v>
      </c>
      <c r="BT1723">
        <v>29576610</v>
      </c>
      <c r="BU1723" t="s">
        <v>69</v>
      </c>
      <c r="BV1723" t="s">
        <v>69</v>
      </c>
      <c r="BW1723" t="s">
        <v>69</v>
      </c>
      <c r="BX1723" t="s">
        <v>8526</v>
      </c>
      <c r="BY1723" t="str">
        <f>HYPERLINK("https%3A%2F%2Fwww.webofscience.com%2Fwos%2Fwoscc%2Ffull-record%2FWOS:000430264300025","View Full Record in Web of Science")</f>
        <v>View Full Record in Web of Science</v>
      </c>
    </row>
    <row r="1724" spans="1:77" x14ac:dyDescent="0.3">
      <c r="A1724" t="s">
        <v>8495</v>
      </c>
      <c r="B1724" s="9" t="s">
        <v>32954</v>
      </c>
      <c r="C1724" s="9" t="s">
        <v>33132</v>
      </c>
      <c r="D1724" s="9" t="s">
        <v>8491</v>
      </c>
      <c r="E1724" s="9" t="s">
        <v>8490</v>
      </c>
      <c r="F1724" t="s">
        <v>67</v>
      </c>
      <c r="G1724" t="s">
        <v>9591</v>
      </c>
      <c r="H1724" t="s">
        <v>69</v>
      </c>
      <c r="I1724" t="s">
        <v>69</v>
      </c>
      <c r="J1724" t="s">
        <v>69</v>
      </c>
      <c r="K1724" t="s">
        <v>9592</v>
      </c>
      <c r="L1724" t="s">
        <v>69</v>
      </c>
      <c r="M1724" t="s">
        <v>69</v>
      </c>
      <c r="N1724" t="s">
        <v>9593</v>
      </c>
      <c r="O1724" t="s">
        <v>9594</v>
      </c>
      <c r="P1724" t="s">
        <v>69</v>
      </c>
      <c r="Q1724" t="s">
        <v>69</v>
      </c>
      <c r="R1724" t="s">
        <v>8505</v>
      </c>
      <c r="S1724" t="s">
        <v>8556</v>
      </c>
      <c r="T1724" t="s">
        <v>69</v>
      </c>
      <c r="U1724" t="s">
        <v>69</v>
      </c>
      <c r="V1724" t="s">
        <v>69</v>
      </c>
      <c r="W1724" t="s">
        <v>69</v>
      </c>
      <c r="X1724" t="s">
        <v>69</v>
      </c>
      <c r="Y1724" t="s">
        <v>9595</v>
      </c>
      <c r="Z1724" t="s">
        <v>9596</v>
      </c>
      <c r="AA1724" t="s">
        <v>9597</v>
      </c>
      <c r="AB1724" t="s">
        <v>9598</v>
      </c>
      <c r="AC1724" t="s">
        <v>69</v>
      </c>
      <c r="AD1724" t="s">
        <v>9599</v>
      </c>
      <c r="AE1724" t="s">
        <v>9600</v>
      </c>
      <c r="AF1724" t="s">
        <v>69</v>
      </c>
      <c r="AG1724" t="s">
        <v>69</v>
      </c>
      <c r="AH1724" t="s">
        <v>69</v>
      </c>
      <c r="AI1724" t="s">
        <v>69</v>
      </c>
      <c r="AJ1724" t="s">
        <v>69</v>
      </c>
      <c r="AK1724" t="s">
        <v>69</v>
      </c>
      <c r="AL1724">
        <v>30</v>
      </c>
      <c r="AM1724">
        <v>0</v>
      </c>
      <c r="AN1724">
        <v>0</v>
      </c>
      <c r="AO1724">
        <v>8</v>
      </c>
      <c r="AP1724">
        <v>8</v>
      </c>
      <c r="AQ1724" t="s">
        <v>8865</v>
      </c>
      <c r="AR1724" t="s">
        <v>8612</v>
      </c>
      <c r="AS1724" t="s">
        <v>8866</v>
      </c>
      <c r="AT1724" t="s">
        <v>9601</v>
      </c>
      <c r="AU1724" t="s">
        <v>9602</v>
      </c>
      <c r="AV1724" t="s">
        <v>69</v>
      </c>
      <c r="AW1724" t="s">
        <v>9603</v>
      </c>
      <c r="AX1724" t="s">
        <v>9604</v>
      </c>
      <c r="AY1724" t="s">
        <v>69</v>
      </c>
      <c r="AZ1724" t="s">
        <v>69</v>
      </c>
      <c r="BA1724" t="s">
        <v>69</v>
      </c>
      <c r="BB1724" t="s">
        <v>69</v>
      </c>
      <c r="BC1724" t="s">
        <v>69</v>
      </c>
      <c r="BD1724" t="s">
        <v>69</v>
      </c>
      <c r="BE1724" t="s">
        <v>69</v>
      </c>
      <c r="BF1724" t="s">
        <v>69</v>
      </c>
      <c r="BG1724" t="s">
        <v>69</v>
      </c>
      <c r="BH1724" t="s">
        <v>69</v>
      </c>
      <c r="BI1724" t="s">
        <v>69</v>
      </c>
      <c r="BJ1724" t="s">
        <v>9605</v>
      </c>
      <c r="BK1724" t="str">
        <f>HYPERLINK("http://dx.doi.org/10.1080/09654313.2022.2049217","http://dx.doi.org/10.1080/09654313.2022.2049217")</f>
        <v>http://dx.doi.org/10.1080/09654313.2022.2049217</v>
      </c>
      <c r="BL1724" t="s">
        <v>69</v>
      </c>
      <c r="BM1724" t="s">
        <v>9485</v>
      </c>
      <c r="BN1724">
        <v>19</v>
      </c>
      <c r="BO1724" t="s">
        <v>9606</v>
      </c>
      <c r="BP1724" t="s">
        <v>8661</v>
      </c>
      <c r="BQ1724" t="s">
        <v>9607</v>
      </c>
      <c r="BR1724" t="s">
        <v>9608</v>
      </c>
      <c r="BS1724" t="s">
        <v>9609</v>
      </c>
      <c r="BT1724" t="s">
        <v>69</v>
      </c>
      <c r="BU1724" t="s">
        <v>69</v>
      </c>
      <c r="BV1724" t="s">
        <v>69</v>
      </c>
      <c r="BW1724" t="s">
        <v>69</v>
      </c>
      <c r="BX1724" t="s">
        <v>8526</v>
      </c>
      <c r="BY1724" t="str">
        <f>HYPERLINK("https%3A%2F%2Fwww.webofscience.com%2Fwos%2Fwoscc%2Ffull-record%2FWOS:000766144400001","View Full Record in Web of Science")</f>
        <v>View Full Record in Web of Science</v>
      </c>
    </row>
    <row r="1725" spans="1:77" ht="12.5" x14ac:dyDescent="0.25">
      <c r="A1725" t="s">
        <v>8495</v>
      </c>
      <c r="B1725" s="7" t="s">
        <v>32933</v>
      </c>
      <c r="C1725" s="7"/>
      <c r="D1725" s="7"/>
      <c r="E1725" s="7"/>
      <c r="F1725" t="s">
        <v>67</v>
      </c>
      <c r="G1725" t="s">
        <v>2255</v>
      </c>
      <c r="H1725" t="s">
        <v>69</v>
      </c>
      <c r="I1725" t="s">
        <v>69</v>
      </c>
      <c r="J1725" t="s">
        <v>69</v>
      </c>
      <c r="K1725" t="s">
        <v>2256</v>
      </c>
      <c r="L1725" t="s">
        <v>69</v>
      </c>
      <c r="M1725" t="s">
        <v>69</v>
      </c>
      <c r="N1725" t="s">
        <v>2257</v>
      </c>
      <c r="O1725" t="s">
        <v>2258</v>
      </c>
      <c r="P1725" t="s">
        <v>69</v>
      </c>
      <c r="Q1725" t="s">
        <v>69</v>
      </c>
      <c r="R1725" t="s">
        <v>8505</v>
      </c>
      <c r="S1725" t="s">
        <v>8506</v>
      </c>
      <c r="T1725" t="s">
        <v>69</v>
      </c>
      <c r="U1725" t="s">
        <v>69</v>
      </c>
      <c r="V1725" t="s">
        <v>69</v>
      </c>
      <c r="W1725" t="s">
        <v>69</v>
      </c>
      <c r="X1725" t="s">
        <v>69</v>
      </c>
      <c r="Y1725" t="s">
        <v>17264</v>
      </c>
      <c r="Z1725" t="s">
        <v>17265</v>
      </c>
      <c r="AA1725" t="s">
        <v>2259</v>
      </c>
      <c r="AB1725" t="s">
        <v>17266</v>
      </c>
      <c r="AC1725" t="s">
        <v>69</v>
      </c>
      <c r="AD1725" t="s">
        <v>17267</v>
      </c>
      <c r="AE1725" t="s">
        <v>17268</v>
      </c>
      <c r="AF1725" t="s">
        <v>2260</v>
      </c>
      <c r="AG1725" t="s">
        <v>17269</v>
      </c>
      <c r="AH1725" t="s">
        <v>17270</v>
      </c>
      <c r="AI1725" t="s">
        <v>17271</v>
      </c>
      <c r="AJ1725" t="s">
        <v>17272</v>
      </c>
      <c r="AK1725" t="s">
        <v>69</v>
      </c>
      <c r="AL1725">
        <v>36</v>
      </c>
      <c r="AM1725">
        <v>10</v>
      </c>
      <c r="AN1725">
        <v>10</v>
      </c>
      <c r="AO1725">
        <v>0</v>
      </c>
      <c r="AP1725">
        <v>4</v>
      </c>
      <c r="AQ1725" t="s">
        <v>17273</v>
      </c>
      <c r="AR1725" t="s">
        <v>12925</v>
      </c>
      <c r="AS1725" t="s">
        <v>17274</v>
      </c>
      <c r="AT1725" t="s">
        <v>2261</v>
      </c>
      <c r="AU1725" t="s">
        <v>2262</v>
      </c>
      <c r="AV1725" t="s">
        <v>69</v>
      </c>
      <c r="AW1725" t="s">
        <v>17275</v>
      </c>
      <c r="AX1725" t="s">
        <v>17276</v>
      </c>
      <c r="AY1725" t="s">
        <v>586</v>
      </c>
      <c r="AZ1725">
        <v>2019</v>
      </c>
      <c r="BA1725">
        <v>94</v>
      </c>
      <c r="BB1725" t="s">
        <v>69</v>
      </c>
      <c r="BC1725" t="s">
        <v>69</v>
      </c>
      <c r="BD1725" t="s">
        <v>69</v>
      </c>
      <c r="BE1725" t="s">
        <v>69</v>
      </c>
      <c r="BF1725" t="s">
        <v>69</v>
      </c>
      <c r="BG1725">
        <v>87</v>
      </c>
      <c r="BH1725">
        <v>92</v>
      </c>
      <c r="BI1725" t="s">
        <v>69</v>
      </c>
      <c r="BJ1725" t="s">
        <v>2263</v>
      </c>
      <c r="BK1725" t="str">
        <f>HYPERLINK("http://dx.doi.org/10.1016/j.yebeh.2019.02.011","http://dx.doi.org/10.1016/j.yebeh.2019.02.011")</f>
        <v>http://dx.doi.org/10.1016/j.yebeh.2019.02.011</v>
      </c>
      <c r="BL1725" t="s">
        <v>69</v>
      </c>
      <c r="BM1725" t="s">
        <v>69</v>
      </c>
      <c r="BN1725">
        <v>6</v>
      </c>
      <c r="BO1725" t="s">
        <v>17277</v>
      </c>
      <c r="BP1725" t="s">
        <v>8523</v>
      </c>
      <c r="BQ1725" t="s">
        <v>17278</v>
      </c>
      <c r="BR1725" t="s">
        <v>17279</v>
      </c>
      <c r="BS1725" t="s">
        <v>2264</v>
      </c>
      <c r="BT1725">
        <v>30897535</v>
      </c>
      <c r="BU1725" t="s">
        <v>9292</v>
      </c>
      <c r="BV1725" t="s">
        <v>69</v>
      </c>
      <c r="BW1725" t="s">
        <v>69</v>
      </c>
      <c r="BX1725" t="s">
        <v>8526</v>
      </c>
      <c r="BY1725" t="str">
        <f>HYPERLINK("https%3A%2F%2Fwww.webofscience.com%2Fwos%2Fwoscc%2Ffull-record%2FWOS:000467913700015","View Full Record in Web of Science")</f>
        <v>View Full Record in Web of Science</v>
      </c>
    </row>
    <row r="1726" spans="1:77" ht="12.5" x14ac:dyDescent="0.25">
      <c r="A1726" t="s">
        <v>8495</v>
      </c>
      <c r="B1726" s="7" t="s">
        <v>32933</v>
      </c>
      <c r="C1726" s="7"/>
      <c r="D1726" s="7"/>
      <c r="E1726" s="7"/>
      <c r="F1726" t="s">
        <v>67</v>
      </c>
      <c r="G1726" t="s">
        <v>2230</v>
      </c>
      <c r="H1726" t="s">
        <v>69</v>
      </c>
      <c r="I1726" t="s">
        <v>69</v>
      </c>
      <c r="J1726" t="s">
        <v>69</v>
      </c>
      <c r="K1726" t="s">
        <v>2231</v>
      </c>
      <c r="L1726" t="s">
        <v>69</v>
      </c>
      <c r="M1726" t="s">
        <v>69</v>
      </c>
      <c r="N1726" t="s">
        <v>2232</v>
      </c>
      <c r="O1726" t="s">
        <v>2233</v>
      </c>
      <c r="P1726" t="s">
        <v>69</v>
      </c>
      <c r="Q1726" t="s">
        <v>69</v>
      </c>
      <c r="R1726" t="s">
        <v>8505</v>
      </c>
      <c r="S1726" t="s">
        <v>15797</v>
      </c>
      <c r="T1726" t="s">
        <v>2234</v>
      </c>
      <c r="U1726" t="s">
        <v>2235</v>
      </c>
      <c r="V1726" t="s">
        <v>2236</v>
      </c>
      <c r="W1726" t="s">
        <v>2237</v>
      </c>
      <c r="X1726" t="s">
        <v>69</v>
      </c>
      <c r="Y1726" t="s">
        <v>17223</v>
      </c>
      <c r="Z1726" t="s">
        <v>69</v>
      </c>
      <c r="AA1726" t="s">
        <v>2238</v>
      </c>
      <c r="AB1726" t="s">
        <v>17224</v>
      </c>
      <c r="AC1726" t="s">
        <v>69</v>
      </c>
      <c r="AD1726" t="s">
        <v>17225</v>
      </c>
      <c r="AE1726" t="s">
        <v>17226</v>
      </c>
      <c r="AF1726" t="s">
        <v>69</v>
      </c>
      <c r="AG1726" t="s">
        <v>2239</v>
      </c>
      <c r="AH1726" t="s">
        <v>17227</v>
      </c>
      <c r="AI1726" t="s">
        <v>17227</v>
      </c>
      <c r="AJ1726" t="s">
        <v>17228</v>
      </c>
      <c r="AK1726" t="s">
        <v>69</v>
      </c>
      <c r="AL1726">
        <v>64</v>
      </c>
      <c r="AM1726">
        <v>7</v>
      </c>
      <c r="AN1726">
        <v>7</v>
      </c>
      <c r="AO1726">
        <v>1</v>
      </c>
      <c r="AP1726">
        <v>10</v>
      </c>
      <c r="AQ1726" t="s">
        <v>9047</v>
      </c>
      <c r="AR1726" t="s">
        <v>9048</v>
      </c>
      <c r="AS1726" t="s">
        <v>9049</v>
      </c>
      <c r="AT1726" t="s">
        <v>2240</v>
      </c>
      <c r="AU1726" t="s">
        <v>2241</v>
      </c>
      <c r="AV1726" t="s">
        <v>69</v>
      </c>
      <c r="AW1726" t="s">
        <v>17229</v>
      </c>
      <c r="AX1726" t="s">
        <v>17230</v>
      </c>
      <c r="AY1726" t="s">
        <v>155</v>
      </c>
      <c r="AZ1726">
        <v>2019</v>
      </c>
      <c r="BA1726">
        <v>36</v>
      </c>
      <c r="BB1726">
        <v>2</v>
      </c>
      <c r="BC1726" t="s">
        <v>69</v>
      </c>
      <c r="BD1726" t="s">
        <v>69</v>
      </c>
      <c r="BE1726" t="s">
        <v>69</v>
      </c>
      <c r="BF1726" t="s">
        <v>69</v>
      </c>
      <c r="BG1726">
        <v>329</v>
      </c>
      <c r="BH1726">
        <v>340</v>
      </c>
      <c r="BI1726" t="s">
        <v>69</v>
      </c>
      <c r="BJ1726" t="s">
        <v>2242</v>
      </c>
      <c r="BK1726" t="str">
        <f>HYPERLINK("http://dx.doi.org/10.1007/s10460-019-09924-3","http://dx.doi.org/10.1007/s10460-019-09924-3")</f>
        <v>http://dx.doi.org/10.1007/s10460-019-09924-3</v>
      </c>
      <c r="BL1726" t="s">
        <v>69</v>
      </c>
      <c r="BM1726" t="s">
        <v>69</v>
      </c>
      <c r="BN1726">
        <v>12</v>
      </c>
      <c r="BO1726" t="s">
        <v>17231</v>
      </c>
      <c r="BP1726" t="s">
        <v>17232</v>
      </c>
      <c r="BQ1726" t="s">
        <v>17233</v>
      </c>
      <c r="BR1726" t="s">
        <v>17234</v>
      </c>
      <c r="BS1726" t="s">
        <v>2243</v>
      </c>
      <c r="BT1726" t="s">
        <v>69</v>
      </c>
      <c r="BU1726" t="s">
        <v>17235</v>
      </c>
      <c r="BV1726" t="s">
        <v>69</v>
      </c>
      <c r="BW1726" t="s">
        <v>69</v>
      </c>
      <c r="BX1726" t="s">
        <v>8526</v>
      </c>
      <c r="BY1726" t="str">
        <f>HYPERLINK("https%3A%2F%2Fwww.webofscience.com%2Fwos%2Fwoscc%2Ffull-record%2FWOS:000467900000014","View Full Record in Web of Science")</f>
        <v>View Full Record in Web of Science</v>
      </c>
    </row>
    <row r="1727" spans="1:77" ht="12.5" x14ac:dyDescent="0.25">
      <c r="A1727" t="s">
        <v>8495</v>
      </c>
      <c r="B1727" s="7" t="s">
        <v>32933</v>
      </c>
      <c r="C1727" s="7"/>
      <c r="D1727" s="7"/>
      <c r="E1727" s="7"/>
      <c r="F1727" t="s">
        <v>67</v>
      </c>
      <c r="G1727" t="s">
        <v>907</v>
      </c>
      <c r="H1727" t="s">
        <v>69</v>
      </c>
      <c r="I1727" t="s">
        <v>69</v>
      </c>
      <c r="J1727" t="s">
        <v>69</v>
      </c>
      <c r="K1727" t="s">
        <v>908</v>
      </c>
      <c r="L1727" t="s">
        <v>69</v>
      </c>
      <c r="M1727" t="s">
        <v>69</v>
      </c>
      <c r="N1727" t="s">
        <v>909</v>
      </c>
      <c r="O1727" t="s">
        <v>352</v>
      </c>
      <c r="P1727" t="s">
        <v>69</v>
      </c>
      <c r="Q1727" t="s">
        <v>69</v>
      </c>
      <c r="R1727" t="s">
        <v>8505</v>
      </c>
      <c r="S1727" t="s">
        <v>8506</v>
      </c>
      <c r="T1727" t="s">
        <v>69</v>
      </c>
      <c r="U1727" t="s">
        <v>69</v>
      </c>
      <c r="V1727" t="s">
        <v>69</v>
      </c>
      <c r="W1727" t="s">
        <v>69</v>
      </c>
      <c r="X1727" t="s">
        <v>69</v>
      </c>
      <c r="Y1727" t="s">
        <v>16958</v>
      </c>
      <c r="Z1727" t="s">
        <v>16959</v>
      </c>
      <c r="AA1727" t="s">
        <v>910</v>
      </c>
      <c r="AB1727" t="s">
        <v>16960</v>
      </c>
      <c r="AC1727" t="s">
        <v>69</v>
      </c>
      <c r="AD1727" t="s">
        <v>16961</v>
      </c>
      <c r="AE1727" t="s">
        <v>16962</v>
      </c>
      <c r="AF1727" t="s">
        <v>69</v>
      </c>
      <c r="AG1727" t="s">
        <v>911</v>
      </c>
      <c r="AH1727" t="s">
        <v>16963</v>
      </c>
      <c r="AI1727" t="s">
        <v>16964</v>
      </c>
      <c r="AJ1727" t="s">
        <v>16965</v>
      </c>
      <c r="AK1727" t="s">
        <v>69</v>
      </c>
      <c r="AL1727">
        <v>56</v>
      </c>
      <c r="AM1727">
        <v>1</v>
      </c>
      <c r="AN1727">
        <v>1</v>
      </c>
      <c r="AO1727">
        <v>0</v>
      </c>
      <c r="AP1727">
        <v>4</v>
      </c>
      <c r="AQ1727" t="s">
        <v>8924</v>
      </c>
      <c r="AR1727" t="s">
        <v>8925</v>
      </c>
      <c r="AS1727" t="s">
        <v>8926</v>
      </c>
      <c r="AT1727" t="s">
        <v>69</v>
      </c>
      <c r="AU1727" t="s">
        <v>354</v>
      </c>
      <c r="AV1727" t="s">
        <v>69</v>
      </c>
      <c r="AW1727" t="s">
        <v>8958</v>
      </c>
      <c r="AX1727" t="s">
        <v>8434</v>
      </c>
      <c r="AY1727" t="s">
        <v>201</v>
      </c>
      <c r="AZ1727">
        <v>2019</v>
      </c>
      <c r="BA1727">
        <v>11</v>
      </c>
      <c r="BB1727">
        <v>15</v>
      </c>
      <c r="BC1727" t="s">
        <v>69</v>
      </c>
      <c r="BD1727" t="s">
        <v>69</v>
      </c>
      <c r="BE1727" t="s">
        <v>69</v>
      </c>
      <c r="BF1727" t="s">
        <v>69</v>
      </c>
      <c r="BG1727" t="s">
        <v>69</v>
      </c>
      <c r="BH1727" t="s">
        <v>69</v>
      </c>
      <c r="BI1727">
        <v>4033</v>
      </c>
      <c r="BJ1727" t="s">
        <v>912</v>
      </c>
      <c r="BK1727" t="str">
        <f>HYPERLINK("http://dx.doi.org/10.3390/su11154033","http://dx.doi.org/10.3390/su11154033")</f>
        <v>http://dx.doi.org/10.3390/su11154033</v>
      </c>
      <c r="BL1727" t="s">
        <v>69</v>
      </c>
      <c r="BM1727" t="s">
        <v>69</v>
      </c>
      <c r="BN1727">
        <v>16</v>
      </c>
      <c r="BO1727" t="s">
        <v>8960</v>
      </c>
      <c r="BP1727" t="s">
        <v>8523</v>
      </c>
      <c r="BQ1727" t="s">
        <v>8961</v>
      </c>
      <c r="BR1727" t="s">
        <v>16966</v>
      </c>
      <c r="BS1727" t="s">
        <v>913</v>
      </c>
      <c r="BT1727" t="s">
        <v>69</v>
      </c>
      <c r="BU1727" t="s">
        <v>8812</v>
      </c>
      <c r="BV1727" t="s">
        <v>69</v>
      </c>
      <c r="BW1727" t="s">
        <v>69</v>
      </c>
      <c r="BX1727" t="s">
        <v>8526</v>
      </c>
      <c r="BY1727" t="str">
        <f>HYPERLINK("https%3A%2F%2Fwww.webofscience.com%2Fwos%2Fwoscc%2Ffull-record%2FWOS:000485230200038","View Full Record in Web of Science")</f>
        <v>View Full Record in Web of Science</v>
      </c>
    </row>
    <row r="1728" spans="1:77" ht="12.5" x14ac:dyDescent="0.25">
      <c r="A1728" t="s">
        <v>8495</v>
      </c>
      <c r="B1728" s="7" t="s">
        <v>32933</v>
      </c>
      <c r="C1728" s="7"/>
      <c r="D1728" s="7"/>
      <c r="E1728" s="7"/>
      <c r="F1728" t="s">
        <v>67</v>
      </c>
      <c r="G1728" t="s">
        <v>1435</v>
      </c>
      <c r="H1728" t="s">
        <v>69</v>
      </c>
      <c r="I1728" t="s">
        <v>69</v>
      </c>
      <c r="J1728" t="s">
        <v>69</v>
      </c>
      <c r="K1728" t="s">
        <v>1436</v>
      </c>
      <c r="L1728" t="s">
        <v>69</v>
      </c>
      <c r="M1728" t="s">
        <v>69</v>
      </c>
      <c r="N1728" t="s">
        <v>1437</v>
      </c>
      <c r="O1728" t="s">
        <v>537</v>
      </c>
      <c r="P1728" t="s">
        <v>69</v>
      </c>
      <c r="Q1728" t="s">
        <v>69</v>
      </c>
      <c r="R1728" t="s">
        <v>8505</v>
      </c>
      <c r="S1728" t="s">
        <v>8506</v>
      </c>
      <c r="T1728" t="s">
        <v>69</v>
      </c>
      <c r="U1728" t="s">
        <v>69</v>
      </c>
      <c r="V1728" t="s">
        <v>69</v>
      </c>
      <c r="W1728" t="s">
        <v>69</v>
      </c>
      <c r="X1728" t="s">
        <v>69</v>
      </c>
      <c r="Y1728" t="s">
        <v>25712</v>
      </c>
      <c r="Z1728" t="s">
        <v>25713</v>
      </c>
      <c r="AA1728" t="s">
        <v>1438</v>
      </c>
      <c r="AB1728" t="s">
        <v>25714</v>
      </c>
      <c r="AC1728" t="s">
        <v>69</v>
      </c>
      <c r="AD1728" t="s">
        <v>25715</v>
      </c>
      <c r="AE1728" t="s">
        <v>25716</v>
      </c>
      <c r="AF1728" t="s">
        <v>1439</v>
      </c>
      <c r="AG1728" t="s">
        <v>1440</v>
      </c>
      <c r="AH1728" t="s">
        <v>69</v>
      </c>
      <c r="AI1728" t="s">
        <v>69</v>
      </c>
      <c r="AJ1728" t="s">
        <v>69</v>
      </c>
      <c r="AK1728" t="s">
        <v>69</v>
      </c>
      <c r="AL1728">
        <v>46</v>
      </c>
      <c r="AM1728">
        <v>24</v>
      </c>
      <c r="AN1728">
        <v>24</v>
      </c>
      <c r="AO1728">
        <v>0</v>
      </c>
      <c r="AP1728">
        <v>7</v>
      </c>
      <c r="AQ1728" t="s">
        <v>8516</v>
      </c>
      <c r="AR1728" t="s">
        <v>8517</v>
      </c>
      <c r="AS1728" t="s">
        <v>8518</v>
      </c>
      <c r="AT1728" t="s">
        <v>541</v>
      </c>
      <c r="AU1728" t="s">
        <v>542</v>
      </c>
      <c r="AV1728" t="s">
        <v>69</v>
      </c>
      <c r="AW1728" t="s">
        <v>25707</v>
      </c>
      <c r="AX1728" t="s">
        <v>25708</v>
      </c>
      <c r="AY1728" t="s">
        <v>75</v>
      </c>
      <c r="AZ1728">
        <v>2012</v>
      </c>
      <c r="BA1728">
        <v>5</v>
      </c>
      <c r="BB1728" t="s">
        <v>69</v>
      </c>
      <c r="BC1728" t="s">
        <v>69</v>
      </c>
      <c r="BD1728" t="s">
        <v>69</v>
      </c>
      <c r="BE1728" t="s">
        <v>114</v>
      </c>
      <c r="BF1728" t="s">
        <v>69</v>
      </c>
      <c r="BG1728">
        <v>44</v>
      </c>
      <c r="BH1728">
        <v>51</v>
      </c>
      <c r="BI1728" t="s">
        <v>69</v>
      </c>
      <c r="BJ1728" t="s">
        <v>1441</v>
      </c>
      <c r="BK1728" t="str">
        <f>HYPERLINK("http://dx.doi.org/10.1016/j.scs.2012.05.008","http://dx.doi.org/10.1016/j.scs.2012.05.008")</f>
        <v>http://dx.doi.org/10.1016/j.scs.2012.05.008</v>
      </c>
      <c r="BL1728" t="s">
        <v>69</v>
      </c>
      <c r="BM1728" t="s">
        <v>69</v>
      </c>
      <c r="BN1728">
        <v>8</v>
      </c>
      <c r="BO1728" t="s">
        <v>25709</v>
      </c>
      <c r="BP1728" t="s">
        <v>8548</v>
      </c>
      <c r="BQ1728" t="s">
        <v>25710</v>
      </c>
      <c r="BR1728" t="s">
        <v>25711</v>
      </c>
      <c r="BS1728" t="s">
        <v>1442</v>
      </c>
      <c r="BT1728" t="s">
        <v>69</v>
      </c>
      <c r="BU1728" t="s">
        <v>9292</v>
      </c>
      <c r="BV1728" t="s">
        <v>69</v>
      </c>
      <c r="BW1728" t="s">
        <v>69</v>
      </c>
      <c r="BX1728" t="s">
        <v>8526</v>
      </c>
      <c r="BY1728" t="str">
        <f>HYPERLINK("https%3A%2F%2Fwww.webofscience.com%2Fwos%2Fwoscc%2Ffull-record%2FWOS:000209554000009","View Full Record in Web of Science")</f>
        <v>View Full Record in Web of Science</v>
      </c>
    </row>
    <row r="1729" spans="1:77" ht="12.5" x14ac:dyDescent="0.25">
      <c r="A1729" t="s">
        <v>8495</v>
      </c>
      <c r="B1729" s="22" t="s">
        <v>32931</v>
      </c>
      <c r="C1729" s="7"/>
      <c r="D1729" s="7"/>
      <c r="E1729" s="7"/>
      <c r="F1729" t="s">
        <v>67</v>
      </c>
      <c r="G1729" t="s">
        <v>28430</v>
      </c>
      <c r="H1729" t="s">
        <v>69</v>
      </c>
      <c r="I1729" t="s">
        <v>69</v>
      </c>
      <c r="J1729" t="s">
        <v>69</v>
      </c>
      <c r="K1729" t="s">
        <v>28431</v>
      </c>
      <c r="L1729" t="s">
        <v>69</v>
      </c>
      <c r="M1729" t="s">
        <v>69</v>
      </c>
      <c r="N1729" t="s">
        <v>28432</v>
      </c>
      <c r="O1729" t="s">
        <v>28433</v>
      </c>
      <c r="P1729" t="s">
        <v>69</v>
      </c>
      <c r="Q1729" t="s">
        <v>69</v>
      </c>
      <c r="R1729" t="s">
        <v>8505</v>
      </c>
      <c r="S1729" t="s">
        <v>8506</v>
      </c>
      <c r="T1729" t="s">
        <v>69</v>
      </c>
      <c r="U1729" t="s">
        <v>69</v>
      </c>
      <c r="V1729" t="s">
        <v>69</v>
      </c>
      <c r="W1729" t="s">
        <v>69</v>
      </c>
      <c r="X1729" t="s">
        <v>69</v>
      </c>
      <c r="Y1729" t="s">
        <v>28434</v>
      </c>
      <c r="Z1729" t="s">
        <v>28435</v>
      </c>
      <c r="AA1729" t="s">
        <v>28436</v>
      </c>
      <c r="AB1729" t="s">
        <v>28437</v>
      </c>
      <c r="AC1729" t="s">
        <v>69</v>
      </c>
      <c r="AD1729" t="s">
        <v>28438</v>
      </c>
      <c r="AE1729" t="s">
        <v>28439</v>
      </c>
      <c r="AF1729" t="s">
        <v>69</v>
      </c>
      <c r="AG1729" t="s">
        <v>69</v>
      </c>
      <c r="AH1729" t="s">
        <v>69</v>
      </c>
      <c r="AI1729" t="s">
        <v>69</v>
      </c>
      <c r="AJ1729" t="s">
        <v>69</v>
      </c>
      <c r="AK1729" t="s">
        <v>69</v>
      </c>
      <c r="AL1729">
        <v>10</v>
      </c>
      <c r="AM1729">
        <v>3</v>
      </c>
      <c r="AN1729">
        <v>3</v>
      </c>
      <c r="AO1729">
        <v>0</v>
      </c>
      <c r="AP1729">
        <v>3</v>
      </c>
      <c r="AQ1729" t="s">
        <v>8636</v>
      </c>
      <c r="AR1729" t="s">
        <v>8637</v>
      </c>
      <c r="AS1729" t="s">
        <v>8638</v>
      </c>
      <c r="AT1729" t="s">
        <v>28440</v>
      </c>
      <c r="AU1729" t="s">
        <v>28441</v>
      </c>
      <c r="AV1729" t="s">
        <v>69</v>
      </c>
      <c r="AW1729" t="s">
        <v>28433</v>
      </c>
      <c r="AX1729" t="s">
        <v>28442</v>
      </c>
      <c r="AY1729" t="s">
        <v>155</v>
      </c>
      <c r="AZ1729">
        <v>2009</v>
      </c>
      <c r="BA1729">
        <v>35</v>
      </c>
      <c r="BB1729">
        <v>4</v>
      </c>
      <c r="BC1729" t="s">
        <v>69</v>
      </c>
      <c r="BD1729" t="s">
        <v>69</v>
      </c>
      <c r="BE1729" t="s">
        <v>69</v>
      </c>
      <c r="BF1729" t="s">
        <v>69</v>
      </c>
      <c r="BG1729">
        <v>587</v>
      </c>
      <c r="BH1729">
        <v>589</v>
      </c>
      <c r="BI1729" t="s">
        <v>69</v>
      </c>
      <c r="BJ1729" t="s">
        <v>28443</v>
      </c>
      <c r="BK1729" t="str">
        <f>HYPERLINK("http://dx.doi.org/10.1016/j.burns.2008.08.008","http://dx.doi.org/10.1016/j.burns.2008.08.008")</f>
        <v>http://dx.doi.org/10.1016/j.burns.2008.08.008</v>
      </c>
      <c r="BL1729" t="s">
        <v>69</v>
      </c>
      <c r="BM1729" t="s">
        <v>69</v>
      </c>
      <c r="BN1729">
        <v>3</v>
      </c>
      <c r="BO1729" t="s">
        <v>28444</v>
      </c>
      <c r="BP1729" t="s">
        <v>8548</v>
      </c>
      <c r="BQ1729" t="s">
        <v>28445</v>
      </c>
      <c r="BR1729" t="s">
        <v>28446</v>
      </c>
      <c r="BS1729" t="s">
        <v>28447</v>
      </c>
      <c r="BT1729">
        <v>18951708</v>
      </c>
      <c r="BU1729" t="s">
        <v>69</v>
      </c>
      <c r="BV1729" t="s">
        <v>69</v>
      </c>
      <c r="BW1729" t="s">
        <v>69</v>
      </c>
      <c r="BX1729" t="s">
        <v>8526</v>
      </c>
      <c r="BY1729" t="str">
        <f>HYPERLINK("https%3A%2F%2Fwww.webofscience.com%2Fwos%2Fwoscc%2Ffull-record%2FWOS:000265867900017","View Full Record in Web of Science")</f>
        <v>View Full Record in Web of Science</v>
      </c>
    </row>
    <row r="1730" spans="1:77" ht="12.5" x14ac:dyDescent="0.25">
      <c r="A1730" t="s">
        <v>8495</v>
      </c>
      <c r="B1730" s="7" t="s">
        <v>32933</v>
      </c>
      <c r="C1730" s="7"/>
      <c r="D1730" s="7"/>
      <c r="E1730" s="7"/>
      <c r="F1730" t="s">
        <v>67</v>
      </c>
      <c r="G1730" t="s">
        <v>1621</v>
      </c>
      <c r="H1730" t="s">
        <v>69</v>
      </c>
      <c r="I1730" t="s">
        <v>69</v>
      </c>
      <c r="J1730" t="s">
        <v>69</v>
      </c>
      <c r="K1730" t="s">
        <v>1622</v>
      </c>
      <c r="L1730" t="s">
        <v>69</v>
      </c>
      <c r="M1730" t="s">
        <v>69</v>
      </c>
      <c r="N1730" t="s">
        <v>1623</v>
      </c>
      <c r="O1730" t="s">
        <v>1624</v>
      </c>
      <c r="P1730" t="s">
        <v>69</v>
      </c>
      <c r="Q1730" t="s">
        <v>69</v>
      </c>
      <c r="R1730" t="s">
        <v>8505</v>
      </c>
      <c r="S1730" t="s">
        <v>8506</v>
      </c>
      <c r="T1730" t="s">
        <v>69</v>
      </c>
      <c r="U1730" t="s">
        <v>69</v>
      </c>
      <c r="V1730" t="s">
        <v>69</v>
      </c>
      <c r="W1730" t="s">
        <v>69</v>
      </c>
      <c r="X1730" t="s">
        <v>69</v>
      </c>
      <c r="Y1730" t="s">
        <v>69</v>
      </c>
      <c r="Z1730" t="s">
        <v>30233</v>
      </c>
      <c r="AA1730" t="s">
        <v>1625</v>
      </c>
      <c r="AB1730" t="s">
        <v>30234</v>
      </c>
      <c r="AC1730" t="s">
        <v>69</v>
      </c>
      <c r="AD1730" t="s">
        <v>30235</v>
      </c>
      <c r="AE1730" t="s">
        <v>30236</v>
      </c>
      <c r="AF1730" t="s">
        <v>69</v>
      </c>
      <c r="AG1730" t="s">
        <v>69</v>
      </c>
      <c r="AH1730" t="s">
        <v>69</v>
      </c>
      <c r="AI1730" t="s">
        <v>69</v>
      </c>
      <c r="AJ1730" t="s">
        <v>69</v>
      </c>
      <c r="AK1730" t="s">
        <v>69</v>
      </c>
      <c r="AL1730">
        <v>37</v>
      </c>
      <c r="AM1730">
        <v>12</v>
      </c>
      <c r="AN1730">
        <v>12</v>
      </c>
      <c r="AO1730">
        <v>0</v>
      </c>
      <c r="AP1730">
        <v>9</v>
      </c>
      <c r="AQ1730" t="s">
        <v>8846</v>
      </c>
      <c r="AR1730" t="s">
        <v>8847</v>
      </c>
      <c r="AS1730" t="s">
        <v>8848</v>
      </c>
      <c r="AT1730" t="s">
        <v>1626</v>
      </c>
      <c r="AU1730" t="s">
        <v>1627</v>
      </c>
      <c r="AV1730" t="s">
        <v>69</v>
      </c>
      <c r="AW1730" t="s">
        <v>30237</v>
      </c>
      <c r="AX1730" t="s">
        <v>30238</v>
      </c>
      <c r="AY1730" t="s">
        <v>1628</v>
      </c>
      <c r="AZ1730">
        <v>2006</v>
      </c>
      <c r="BA1730">
        <v>50</v>
      </c>
      <c r="BB1730">
        <v>2</v>
      </c>
      <c r="BC1730" t="s">
        <v>69</v>
      </c>
      <c r="BD1730" t="s">
        <v>69</v>
      </c>
      <c r="BE1730" t="s">
        <v>69</v>
      </c>
      <c r="BF1730" t="s">
        <v>69</v>
      </c>
      <c r="BG1730">
        <v>227</v>
      </c>
      <c r="BH1730">
        <v>241</v>
      </c>
      <c r="BI1730" t="s">
        <v>69</v>
      </c>
      <c r="BJ1730" t="s">
        <v>1629</v>
      </c>
      <c r="BK1730" t="str">
        <f>HYPERLINK("http://dx.doi.org/10.1111/j.0008-3658.2006.00137.x","http://dx.doi.org/10.1111/j.0008-3658.2006.00137.x")</f>
        <v>http://dx.doi.org/10.1111/j.0008-3658.2006.00137.x</v>
      </c>
      <c r="BL1730" t="s">
        <v>69</v>
      </c>
      <c r="BM1730" t="s">
        <v>69</v>
      </c>
      <c r="BN1730">
        <v>15</v>
      </c>
      <c r="BO1730" t="s">
        <v>8446</v>
      </c>
      <c r="BP1730" t="s">
        <v>8661</v>
      </c>
      <c r="BQ1730" t="s">
        <v>8446</v>
      </c>
      <c r="BR1730" t="s">
        <v>30239</v>
      </c>
      <c r="BS1730" t="s">
        <v>1630</v>
      </c>
      <c r="BT1730" t="s">
        <v>69</v>
      </c>
      <c r="BU1730" t="s">
        <v>69</v>
      </c>
      <c r="BV1730" t="s">
        <v>69</v>
      </c>
      <c r="BW1730" t="s">
        <v>69</v>
      </c>
      <c r="BX1730" t="s">
        <v>8526</v>
      </c>
      <c r="BY1730" t="str">
        <f>HYPERLINK("https%3A%2F%2Fwww.webofscience.com%2Fwos%2Fwoscc%2Ffull-record%2FWOS:000239391700007","View Full Record in Web of Science")</f>
        <v>View Full Record in Web of Science</v>
      </c>
    </row>
    <row r="1731" spans="1:77" ht="12.5" x14ac:dyDescent="0.25">
      <c r="A1731" t="s">
        <v>8495</v>
      </c>
      <c r="B1731" s="22" t="s">
        <v>32931</v>
      </c>
      <c r="C1731" s="7"/>
      <c r="D1731" s="7"/>
      <c r="E1731" s="7"/>
      <c r="F1731" t="s">
        <v>67</v>
      </c>
      <c r="G1731" t="s">
        <v>28390</v>
      </c>
      <c r="H1731" t="s">
        <v>69</v>
      </c>
      <c r="I1731" t="s">
        <v>69</v>
      </c>
      <c r="J1731" t="s">
        <v>69</v>
      </c>
      <c r="K1731" t="s">
        <v>28391</v>
      </c>
      <c r="L1731" t="s">
        <v>69</v>
      </c>
      <c r="M1731" t="s">
        <v>69</v>
      </c>
      <c r="N1731" t="s">
        <v>28392</v>
      </c>
      <c r="O1731" t="s">
        <v>28393</v>
      </c>
      <c r="P1731" t="s">
        <v>69</v>
      </c>
      <c r="Q1731" t="s">
        <v>69</v>
      </c>
      <c r="R1731" t="s">
        <v>8505</v>
      </c>
      <c r="S1731" t="s">
        <v>8506</v>
      </c>
      <c r="T1731" t="s">
        <v>69</v>
      </c>
      <c r="U1731" t="s">
        <v>69</v>
      </c>
      <c r="V1731" t="s">
        <v>69</v>
      </c>
      <c r="W1731" t="s">
        <v>69</v>
      </c>
      <c r="X1731" t="s">
        <v>69</v>
      </c>
      <c r="Y1731" t="s">
        <v>28394</v>
      </c>
      <c r="Z1731" t="s">
        <v>69</v>
      </c>
      <c r="AA1731" t="s">
        <v>28395</v>
      </c>
      <c r="AB1731" t="s">
        <v>28396</v>
      </c>
      <c r="AC1731" t="s">
        <v>69</v>
      </c>
      <c r="AD1731" t="s">
        <v>28397</v>
      </c>
      <c r="AE1731" t="s">
        <v>28398</v>
      </c>
      <c r="AF1731" t="s">
        <v>69</v>
      </c>
      <c r="AG1731" t="s">
        <v>69</v>
      </c>
      <c r="AH1731" t="s">
        <v>69</v>
      </c>
      <c r="AI1731" t="s">
        <v>69</v>
      </c>
      <c r="AJ1731" t="s">
        <v>69</v>
      </c>
      <c r="AK1731" t="s">
        <v>69</v>
      </c>
      <c r="AL1731">
        <v>9</v>
      </c>
      <c r="AM1731">
        <v>1</v>
      </c>
      <c r="AN1731">
        <v>1</v>
      </c>
      <c r="AO1731">
        <v>0</v>
      </c>
      <c r="AP1731">
        <v>0</v>
      </c>
      <c r="AQ1731" t="s">
        <v>8586</v>
      </c>
      <c r="AR1731" t="s">
        <v>8587</v>
      </c>
      <c r="AS1731" t="s">
        <v>8588</v>
      </c>
      <c r="AT1731" t="s">
        <v>28399</v>
      </c>
      <c r="AU1731" t="s">
        <v>28400</v>
      </c>
      <c r="AV1731" t="s">
        <v>69</v>
      </c>
      <c r="AW1731" t="s">
        <v>28401</v>
      </c>
      <c r="AX1731" t="s">
        <v>28402</v>
      </c>
      <c r="AY1731" t="s">
        <v>201</v>
      </c>
      <c r="AZ1731">
        <v>2009</v>
      </c>
      <c r="BA1731">
        <v>3</v>
      </c>
      <c r="BB1731">
        <v>2</v>
      </c>
      <c r="BC1731" t="s">
        <v>69</v>
      </c>
      <c r="BD1731" t="s">
        <v>69</v>
      </c>
      <c r="BE1731" t="s">
        <v>69</v>
      </c>
      <c r="BF1731" t="s">
        <v>69</v>
      </c>
      <c r="BG1731">
        <v>57</v>
      </c>
      <c r="BH1731">
        <v>74</v>
      </c>
      <c r="BI1731" t="s">
        <v>69</v>
      </c>
      <c r="BJ1731" t="s">
        <v>69</v>
      </c>
      <c r="BK1731" t="s">
        <v>69</v>
      </c>
      <c r="BL1731" t="s">
        <v>69</v>
      </c>
      <c r="BM1731" t="s">
        <v>69</v>
      </c>
      <c r="BN1731">
        <v>18</v>
      </c>
      <c r="BO1731" t="s">
        <v>8444</v>
      </c>
      <c r="BP1731" t="s">
        <v>8573</v>
      </c>
      <c r="BQ1731" t="s">
        <v>8594</v>
      </c>
      <c r="BR1731" t="s">
        <v>28403</v>
      </c>
      <c r="BS1731" t="s">
        <v>28404</v>
      </c>
      <c r="BT1731" t="s">
        <v>69</v>
      </c>
      <c r="BU1731" t="s">
        <v>69</v>
      </c>
      <c r="BV1731" t="s">
        <v>69</v>
      </c>
      <c r="BW1731" t="s">
        <v>69</v>
      </c>
      <c r="BX1731" t="s">
        <v>8526</v>
      </c>
      <c r="BY1731" t="str">
        <f>HYPERLINK("https%3A%2F%2Fwww.webofscience.com%2Fwos%2Fwoscc%2Ffull-record%2FWOS:000433667500005","View Full Record in Web of Science")</f>
        <v>View Full Record in Web of Science</v>
      </c>
    </row>
    <row r="1732" spans="1:77" x14ac:dyDescent="0.3">
      <c r="A1732" t="s">
        <v>8495</v>
      </c>
      <c r="B1732" s="9" t="s">
        <v>33037</v>
      </c>
      <c r="F1732" t="s">
        <v>67</v>
      </c>
      <c r="G1732" t="s">
        <v>15968</v>
      </c>
      <c r="H1732" t="s">
        <v>69</v>
      </c>
      <c r="I1732" t="s">
        <v>69</v>
      </c>
      <c r="J1732" t="s">
        <v>69</v>
      </c>
      <c r="K1732" t="s">
        <v>15969</v>
      </c>
      <c r="L1732" t="s">
        <v>69</v>
      </c>
      <c r="M1732" t="s">
        <v>69</v>
      </c>
      <c r="N1732" t="s">
        <v>15970</v>
      </c>
      <c r="O1732" t="s">
        <v>929</v>
      </c>
      <c r="P1732" t="s">
        <v>69</v>
      </c>
      <c r="Q1732" t="s">
        <v>69</v>
      </c>
      <c r="R1732" t="s">
        <v>8505</v>
      </c>
      <c r="S1732" t="s">
        <v>8506</v>
      </c>
      <c r="T1732" t="s">
        <v>69</v>
      </c>
      <c r="U1732" t="s">
        <v>69</v>
      </c>
      <c r="V1732" t="s">
        <v>69</v>
      </c>
      <c r="W1732" t="s">
        <v>69</v>
      </c>
      <c r="X1732" t="s">
        <v>69</v>
      </c>
      <c r="Y1732" t="s">
        <v>15971</v>
      </c>
      <c r="Z1732" t="s">
        <v>15972</v>
      </c>
      <c r="AA1732" t="s">
        <v>15973</v>
      </c>
      <c r="AB1732" t="s">
        <v>15974</v>
      </c>
      <c r="AC1732" t="s">
        <v>69</v>
      </c>
      <c r="AD1732" t="s">
        <v>15628</v>
      </c>
      <c r="AE1732" t="s">
        <v>12162</v>
      </c>
      <c r="AF1732" t="s">
        <v>2359</v>
      </c>
      <c r="AG1732" t="s">
        <v>69</v>
      </c>
      <c r="AH1732" t="s">
        <v>69</v>
      </c>
      <c r="AI1732" t="s">
        <v>69</v>
      </c>
      <c r="AJ1732" t="s">
        <v>69</v>
      </c>
      <c r="AK1732" t="s">
        <v>69</v>
      </c>
      <c r="AL1732">
        <v>81</v>
      </c>
      <c r="AM1732">
        <v>2</v>
      </c>
      <c r="AN1732">
        <v>2</v>
      </c>
      <c r="AO1732">
        <v>2</v>
      </c>
      <c r="AP1732">
        <v>3</v>
      </c>
      <c r="AQ1732" t="s">
        <v>8865</v>
      </c>
      <c r="AR1732" t="s">
        <v>8612</v>
      </c>
      <c r="AS1732" t="s">
        <v>8866</v>
      </c>
      <c r="AT1732" t="s">
        <v>931</v>
      </c>
      <c r="AU1732" t="s">
        <v>932</v>
      </c>
      <c r="AV1732" t="s">
        <v>69</v>
      </c>
      <c r="AW1732" t="s">
        <v>15975</v>
      </c>
      <c r="AX1732" t="s">
        <v>15976</v>
      </c>
      <c r="AY1732" t="s">
        <v>837</v>
      </c>
      <c r="AZ1732">
        <v>2020</v>
      </c>
      <c r="BA1732">
        <v>38</v>
      </c>
      <c r="BB1732">
        <v>1</v>
      </c>
      <c r="BC1732" t="s">
        <v>69</v>
      </c>
      <c r="BD1732" t="s">
        <v>69</v>
      </c>
      <c r="BE1732" t="s">
        <v>69</v>
      </c>
      <c r="BF1732" t="s">
        <v>69</v>
      </c>
      <c r="BG1732">
        <v>57</v>
      </c>
      <c r="BH1732">
        <v>70</v>
      </c>
      <c r="BI1732" t="s">
        <v>69</v>
      </c>
      <c r="BJ1732" t="s">
        <v>15977</v>
      </c>
      <c r="BK1732" t="str">
        <f>HYPERLINK("http://dx.doi.org/10.1080/14615517.2019.1684096","http://dx.doi.org/10.1080/14615517.2019.1684096")</f>
        <v>http://dx.doi.org/10.1080/14615517.2019.1684096</v>
      </c>
      <c r="BL1732" t="s">
        <v>69</v>
      </c>
      <c r="BM1732" t="s">
        <v>69</v>
      </c>
      <c r="BN1732">
        <v>14</v>
      </c>
      <c r="BO1732" t="s">
        <v>8660</v>
      </c>
      <c r="BP1732" t="s">
        <v>8661</v>
      </c>
      <c r="BQ1732" t="s">
        <v>8662</v>
      </c>
      <c r="BR1732" t="s">
        <v>15978</v>
      </c>
      <c r="BS1732" t="s">
        <v>15979</v>
      </c>
      <c r="BT1732" t="s">
        <v>69</v>
      </c>
      <c r="BU1732" t="s">
        <v>69</v>
      </c>
      <c r="BV1732" t="s">
        <v>69</v>
      </c>
      <c r="BW1732" t="s">
        <v>69</v>
      </c>
      <c r="BX1732" t="s">
        <v>8526</v>
      </c>
      <c r="BY1732" t="str">
        <f>HYPERLINK("https%3A%2F%2Fwww.webofscience.com%2Fwos%2Fwoscc%2Ffull-record%2FWOS:000534281800006","View Full Record in Web of Science")</f>
        <v>View Full Record in Web of Science</v>
      </c>
    </row>
    <row r="1733" spans="1:77" ht="12.5" x14ac:dyDescent="0.25">
      <c r="A1733" t="s">
        <v>8495</v>
      </c>
      <c r="B1733" s="7" t="s">
        <v>32933</v>
      </c>
      <c r="C1733" s="7"/>
      <c r="D1733" s="7"/>
      <c r="E1733" s="7"/>
      <c r="F1733" t="s">
        <v>67</v>
      </c>
      <c r="G1733" t="s">
        <v>7672</v>
      </c>
      <c r="H1733" t="s">
        <v>69</v>
      </c>
      <c r="I1733" t="s">
        <v>69</v>
      </c>
      <c r="J1733" t="s">
        <v>69</v>
      </c>
      <c r="K1733" t="s">
        <v>7673</v>
      </c>
      <c r="L1733" t="s">
        <v>69</v>
      </c>
      <c r="M1733" t="s">
        <v>69</v>
      </c>
      <c r="N1733" s="4" t="s">
        <v>7674</v>
      </c>
      <c r="O1733" t="s">
        <v>7675</v>
      </c>
      <c r="P1733" t="s">
        <v>69</v>
      </c>
      <c r="Q1733" t="s">
        <v>69</v>
      </c>
      <c r="R1733" t="s">
        <v>8505</v>
      </c>
      <c r="S1733" t="s">
        <v>8506</v>
      </c>
      <c r="T1733" t="s">
        <v>69</v>
      </c>
      <c r="U1733" t="s">
        <v>69</v>
      </c>
      <c r="V1733" t="s">
        <v>69</v>
      </c>
      <c r="W1733" t="s">
        <v>69</v>
      </c>
      <c r="X1733" t="s">
        <v>69</v>
      </c>
      <c r="Y1733" t="s">
        <v>14292</v>
      </c>
      <c r="Z1733" t="s">
        <v>14293</v>
      </c>
      <c r="AA1733" t="s">
        <v>7676</v>
      </c>
      <c r="AB1733" t="s">
        <v>14294</v>
      </c>
      <c r="AC1733" t="s">
        <v>69</v>
      </c>
      <c r="AD1733" t="s">
        <v>14295</v>
      </c>
      <c r="AE1733" t="s">
        <v>14296</v>
      </c>
      <c r="AF1733" t="s">
        <v>69</v>
      </c>
      <c r="AG1733" t="s">
        <v>14297</v>
      </c>
      <c r="AH1733" t="s">
        <v>14298</v>
      </c>
      <c r="AI1733" t="s">
        <v>14298</v>
      </c>
      <c r="AJ1733" t="s">
        <v>14299</v>
      </c>
      <c r="AK1733" t="s">
        <v>69</v>
      </c>
      <c r="AL1733">
        <v>91</v>
      </c>
      <c r="AM1733">
        <v>4</v>
      </c>
      <c r="AN1733">
        <v>4</v>
      </c>
      <c r="AO1733">
        <v>1</v>
      </c>
      <c r="AP1733">
        <v>14</v>
      </c>
      <c r="AQ1733" t="s">
        <v>8846</v>
      </c>
      <c r="AR1733" t="s">
        <v>8847</v>
      </c>
      <c r="AS1733" t="s">
        <v>8848</v>
      </c>
      <c r="AT1733" t="s">
        <v>7677</v>
      </c>
      <c r="AU1733" t="s">
        <v>7678</v>
      </c>
      <c r="AV1733" t="s">
        <v>69</v>
      </c>
      <c r="AW1733" t="s">
        <v>14300</v>
      </c>
      <c r="AX1733" t="s">
        <v>14301</v>
      </c>
      <c r="AY1733" t="s">
        <v>94</v>
      </c>
      <c r="AZ1733">
        <v>2021</v>
      </c>
      <c r="BA1733">
        <v>42</v>
      </c>
      <c r="BB1733">
        <v>2</v>
      </c>
      <c r="BC1733" t="s">
        <v>69</v>
      </c>
      <c r="BD1733" t="s">
        <v>69</v>
      </c>
      <c r="BE1733" t="s">
        <v>69</v>
      </c>
      <c r="BF1733" t="s">
        <v>69</v>
      </c>
      <c r="BG1733">
        <v>246</v>
      </c>
      <c r="BH1733">
        <v>262</v>
      </c>
      <c r="BI1733" t="s">
        <v>69</v>
      </c>
      <c r="BJ1733" t="s">
        <v>7679</v>
      </c>
      <c r="BK1733" t="str">
        <f>HYPERLINK("http://dx.doi.org/10.1002/imhj.21889","http://dx.doi.org/10.1002/imhj.21889")</f>
        <v>http://dx.doi.org/10.1002/imhj.21889</v>
      </c>
      <c r="BL1733" t="s">
        <v>69</v>
      </c>
      <c r="BM1733" t="s">
        <v>683</v>
      </c>
      <c r="BN1733">
        <v>17</v>
      </c>
      <c r="BO1733" t="s">
        <v>14302</v>
      </c>
      <c r="BP1733" t="s">
        <v>8661</v>
      </c>
      <c r="BQ1733" t="s">
        <v>9001</v>
      </c>
      <c r="BR1733" t="s">
        <v>14303</v>
      </c>
      <c r="BS1733" t="s">
        <v>7680</v>
      </c>
      <c r="BT1733">
        <v>32889735</v>
      </c>
      <c r="BU1733" t="s">
        <v>69</v>
      </c>
      <c r="BV1733" t="s">
        <v>69</v>
      </c>
      <c r="BW1733" t="s">
        <v>69</v>
      </c>
      <c r="BX1733" t="s">
        <v>8526</v>
      </c>
      <c r="BY1733" t="str">
        <f>HYPERLINK("https%3A%2F%2Fwww.webofscience.com%2Fwos%2Fwoscc%2Ffull-record%2FWOS:000565950300001","View Full Record in Web of Science")</f>
        <v>View Full Record in Web of Science</v>
      </c>
    </row>
    <row r="1734" spans="1:77" ht="12.5" x14ac:dyDescent="0.25">
      <c r="A1734" t="s">
        <v>8495</v>
      </c>
      <c r="B1734" s="22" t="s">
        <v>32931</v>
      </c>
      <c r="C1734" s="7"/>
      <c r="D1734" s="7"/>
      <c r="E1734" s="7"/>
      <c r="F1734" t="s">
        <v>67</v>
      </c>
      <c r="G1734" t="s">
        <v>10745</v>
      </c>
      <c r="H1734" t="s">
        <v>69</v>
      </c>
      <c r="I1734" t="s">
        <v>69</v>
      </c>
      <c r="J1734" t="s">
        <v>69</v>
      </c>
      <c r="K1734" t="s">
        <v>10746</v>
      </c>
      <c r="L1734" t="s">
        <v>69</v>
      </c>
      <c r="M1734" t="s">
        <v>69</v>
      </c>
      <c r="N1734" t="s">
        <v>10747</v>
      </c>
      <c r="O1734" t="s">
        <v>10748</v>
      </c>
      <c r="P1734" t="s">
        <v>69</v>
      </c>
      <c r="Q1734" t="s">
        <v>69</v>
      </c>
      <c r="R1734" t="s">
        <v>8505</v>
      </c>
      <c r="S1734" t="s">
        <v>8506</v>
      </c>
      <c r="T1734" t="s">
        <v>69</v>
      </c>
      <c r="U1734" t="s">
        <v>69</v>
      </c>
      <c r="V1734" t="s">
        <v>69</v>
      </c>
      <c r="W1734" t="s">
        <v>69</v>
      </c>
      <c r="X1734" t="s">
        <v>69</v>
      </c>
      <c r="Y1734" t="s">
        <v>10749</v>
      </c>
      <c r="Z1734" t="s">
        <v>10750</v>
      </c>
      <c r="AA1734" t="s">
        <v>10751</v>
      </c>
      <c r="AB1734" t="s">
        <v>10752</v>
      </c>
      <c r="AC1734" t="s">
        <v>69</v>
      </c>
      <c r="AD1734" t="s">
        <v>10753</v>
      </c>
      <c r="AE1734" t="s">
        <v>10754</v>
      </c>
      <c r="AF1734" t="s">
        <v>69</v>
      </c>
      <c r="AG1734" t="s">
        <v>10755</v>
      </c>
      <c r="AH1734" t="s">
        <v>10756</v>
      </c>
      <c r="AI1734" t="s">
        <v>10757</v>
      </c>
      <c r="AJ1734" t="s">
        <v>10758</v>
      </c>
      <c r="AK1734" t="s">
        <v>69</v>
      </c>
      <c r="AL1734">
        <v>76</v>
      </c>
      <c r="AM1734">
        <v>0</v>
      </c>
      <c r="AN1734">
        <v>0</v>
      </c>
      <c r="AO1734">
        <v>4</v>
      </c>
      <c r="AP1734">
        <v>4</v>
      </c>
      <c r="AQ1734" t="s">
        <v>9203</v>
      </c>
      <c r="AR1734" t="s">
        <v>8763</v>
      </c>
      <c r="AS1734" t="s">
        <v>9204</v>
      </c>
      <c r="AT1734" t="s">
        <v>69</v>
      </c>
      <c r="AU1734" t="s">
        <v>10759</v>
      </c>
      <c r="AV1734" t="s">
        <v>69</v>
      </c>
      <c r="AW1734" t="s">
        <v>10760</v>
      </c>
      <c r="AX1734" t="s">
        <v>10761</v>
      </c>
      <c r="AY1734" t="s">
        <v>10762</v>
      </c>
      <c r="AZ1734">
        <v>2021</v>
      </c>
      <c r="BA1734">
        <v>20</v>
      </c>
      <c r="BB1734">
        <v>1</v>
      </c>
      <c r="BC1734" t="s">
        <v>69</v>
      </c>
      <c r="BD1734" t="s">
        <v>69</v>
      </c>
      <c r="BE1734" t="s">
        <v>69</v>
      </c>
      <c r="BF1734" t="s">
        <v>69</v>
      </c>
      <c r="BG1734" t="s">
        <v>69</v>
      </c>
      <c r="BH1734" t="s">
        <v>69</v>
      </c>
      <c r="BI1734">
        <v>249</v>
      </c>
      <c r="BJ1734" t="s">
        <v>10763</v>
      </c>
      <c r="BK1734" t="str">
        <f>HYPERLINK("http://dx.doi.org/10.1186/s12939-021-01590-4","http://dx.doi.org/10.1186/s12939-021-01590-4")</f>
        <v>http://dx.doi.org/10.1186/s12939-021-01590-4</v>
      </c>
      <c r="BL1734" t="s">
        <v>69</v>
      </c>
      <c r="BM1734" t="s">
        <v>69</v>
      </c>
      <c r="BN1734">
        <v>15</v>
      </c>
      <c r="BO1734" t="s">
        <v>8810</v>
      </c>
      <c r="BP1734" t="s">
        <v>8661</v>
      </c>
      <c r="BQ1734" t="s">
        <v>8810</v>
      </c>
      <c r="BR1734" t="s">
        <v>10764</v>
      </c>
      <c r="BS1734" t="s">
        <v>10766</v>
      </c>
      <c r="BT1734">
        <v>34819080</v>
      </c>
      <c r="BU1734" t="s">
        <v>10765</v>
      </c>
      <c r="BV1734" t="s">
        <v>69</v>
      </c>
      <c r="BW1734" t="s">
        <v>69</v>
      </c>
      <c r="BX1734" t="s">
        <v>8526</v>
      </c>
      <c r="BY1734" t="str">
        <f>HYPERLINK("https%3A%2F%2Fwww.webofscience.com%2Fwos%2Fwoscc%2Ffull-record%2FWOS:000722207600001","View Full Record in Web of Science")</f>
        <v>View Full Record in Web of Science</v>
      </c>
    </row>
    <row r="1735" spans="1:77" ht="12.5" x14ac:dyDescent="0.25">
      <c r="A1735" t="s">
        <v>8495</v>
      </c>
      <c r="B1735" s="22" t="s">
        <v>32931</v>
      </c>
      <c r="C1735" s="7"/>
      <c r="D1735" s="7"/>
      <c r="E1735" s="7"/>
      <c r="F1735" t="s">
        <v>67</v>
      </c>
      <c r="G1735" t="s">
        <v>24315</v>
      </c>
      <c r="H1735" t="s">
        <v>69</v>
      </c>
      <c r="I1735" t="s">
        <v>69</v>
      </c>
      <c r="J1735" t="s">
        <v>69</v>
      </c>
      <c r="K1735" t="s">
        <v>24316</v>
      </c>
      <c r="L1735" t="s">
        <v>69</v>
      </c>
      <c r="M1735" t="s">
        <v>69</v>
      </c>
      <c r="N1735" t="s">
        <v>24317</v>
      </c>
      <c r="O1735" t="s">
        <v>24318</v>
      </c>
      <c r="P1735" t="s">
        <v>69</v>
      </c>
      <c r="Q1735" t="s">
        <v>69</v>
      </c>
      <c r="R1735" t="s">
        <v>14610</v>
      </c>
      <c r="S1735" t="s">
        <v>8506</v>
      </c>
      <c r="T1735" t="s">
        <v>69</v>
      </c>
      <c r="U1735" t="s">
        <v>69</v>
      </c>
      <c r="V1735" t="s">
        <v>69</v>
      </c>
      <c r="W1735" t="s">
        <v>69</v>
      </c>
      <c r="X1735" t="s">
        <v>69</v>
      </c>
      <c r="Y1735" t="s">
        <v>24319</v>
      </c>
      <c r="Z1735" t="s">
        <v>69</v>
      </c>
      <c r="AA1735" t="s">
        <v>24320</v>
      </c>
      <c r="AB1735" t="s">
        <v>24321</v>
      </c>
      <c r="AC1735" t="s">
        <v>69</v>
      </c>
      <c r="AD1735" t="s">
        <v>24322</v>
      </c>
      <c r="AE1735" t="s">
        <v>24323</v>
      </c>
      <c r="AF1735" t="s">
        <v>69</v>
      </c>
      <c r="AG1735" t="s">
        <v>69</v>
      </c>
      <c r="AH1735" t="s">
        <v>69</v>
      </c>
      <c r="AI1735" t="s">
        <v>69</v>
      </c>
      <c r="AJ1735" t="s">
        <v>69</v>
      </c>
      <c r="AK1735" t="s">
        <v>69</v>
      </c>
      <c r="AL1735">
        <v>11</v>
      </c>
      <c r="AM1735">
        <v>0</v>
      </c>
      <c r="AN1735">
        <v>0</v>
      </c>
      <c r="AO1735">
        <v>0</v>
      </c>
      <c r="AP1735">
        <v>1</v>
      </c>
      <c r="AQ1735" t="s">
        <v>24324</v>
      </c>
      <c r="AR1735" t="s">
        <v>14616</v>
      </c>
      <c r="AS1735" t="s">
        <v>24325</v>
      </c>
      <c r="AT1735" t="s">
        <v>24326</v>
      </c>
      <c r="AU1735" t="s">
        <v>24327</v>
      </c>
      <c r="AV1735" t="s">
        <v>69</v>
      </c>
      <c r="AW1735" t="s">
        <v>24328</v>
      </c>
      <c r="AX1735" t="s">
        <v>24329</v>
      </c>
      <c r="AY1735" t="s">
        <v>69</v>
      </c>
      <c r="AZ1735">
        <v>2014</v>
      </c>
      <c r="BA1735">
        <v>28</v>
      </c>
      <c r="BB1735" t="s">
        <v>69</v>
      </c>
      <c r="BC1735" t="s">
        <v>69</v>
      </c>
      <c r="BD1735" t="s">
        <v>69</v>
      </c>
      <c r="BE1735" t="s">
        <v>69</v>
      </c>
      <c r="BF1735" t="s">
        <v>69</v>
      </c>
      <c r="BG1735">
        <v>104</v>
      </c>
      <c r="BH1735">
        <v>114</v>
      </c>
      <c r="BI1735" t="s">
        <v>69</v>
      </c>
      <c r="BJ1735" t="s">
        <v>69</v>
      </c>
      <c r="BK1735" t="s">
        <v>69</v>
      </c>
      <c r="BL1735" t="s">
        <v>69</v>
      </c>
      <c r="BM1735" t="s">
        <v>69</v>
      </c>
      <c r="BN1735">
        <v>11</v>
      </c>
      <c r="BO1735" t="s">
        <v>8446</v>
      </c>
      <c r="BP1735" t="s">
        <v>8573</v>
      </c>
      <c r="BQ1735" t="s">
        <v>8446</v>
      </c>
      <c r="BR1735" t="s">
        <v>24330</v>
      </c>
      <c r="BS1735" t="s">
        <v>24331</v>
      </c>
      <c r="BT1735" t="s">
        <v>69</v>
      </c>
      <c r="BU1735" t="s">
        <v>69</v>
      </c>
      <c r="BV1735" t="s">
        <v>69</v>
      </c>
      <c r="BW1735" t="s">
        <v>69</v>
      </c>
      <c r="BX1735" t="s">
        <v>8526</v>
      </c>
      <c r="BY1735" t="str">
        <f>HYPERLINK("https%3A%2F%2Fwww.webofscience.com%2Fwos%2Fwoscc%2Ffull-record%2FWOS:000448662300007","View Full Record in Web of Science")</f>
        <v>View Full Record in Web of Science</v>
      </c>
    </row>
    <row r="1736" spans="1:77" ht="12.5" x14ac:dyDescent="0.25">
      <c r="A1736" t="s">
        <v>8495</v>
      </c>
      <c r="B1736" s="22" t="s">
        <v>32931</v>
      </c>
      <c r="C1736" s="7"/>
      <c r="D1736" s="7"/>
      <c r="E1736" s="7"/>
      <c r="F1736" t="s">
        <v>67</v>
      </c>
      <c r="G1736" t="s">
        <v>23446</v>
      </c>
      <c r="H1736" t="s">
        <v>69</v>
      </c>
      <c r="I1736" t="s">
        <v>69</v>
      </c>
      <c r="J1736" t="s">
        <v>69</v>
      </c>
      <c r="K1736" t="s">
        <v>23447</v>
      </c>
      <c r="L1736" t="s">
        <v>69</v>
      </c>
      <c r="M1736" t="s">
        <v>69</v>
      </c>
      <c r="N1736" t="s">
        <v>23448</v>
      </c>
      <c r="O1736" t="s">
        <v>23449</v>
      </c>
      <c r="P1736" t="s">
        <v>69</v>
      </c>
      <c r="Q1736" t="s">
        <v>69</v>
      </c>
      <c r="R1736" t="s">
        <v>14610</v>
      </c>
      <c r="S1736" t="s">
        <v>8506</v>
      </c>
      <c r="T1736" t="s">
        <v>69</v>
      </c>
      <c r="U1736" t="s">
        <v>69</v>
      </c>
      <c r="V1736" t="s">
        <v>69</v>
      </c>
      <c r="W1736" t="s">
        <v>69</v>
      </c>
      <c r="X1736" t="s">
        <v>69</v>
      </c>
      <c r="Y1736" t="s">
        <v>23450</v>
      </c>
      <c r="Z1736" t="s">
        <v>23451</v>
      </c>
      <c r="AA1736" t="s">
        <v>23452</v>
      </c>
      <c r="AB1736" t="s">
        <v>23453</v>
      </c>
      <c r="AC1736" t="s">
        <v>69</v>
      </c>
      <c r="AD1736" t="s">
        <v>23454</v>
      </c>
      <c r="AE1736" t="s">
        <v>23455</v>
      </c>
      <c r="AF1736" t="s">
        <v>23456</v>
      </c>
      <c r="AG1736" t="s">
        <v>23457</v>
      </c>
      <c r="AH1736" t="s">
        <v>69</v>
      </c>
      <c r="AI1736" t="s">
        <v>69</v>
      </c>
      <c r="AJ1736" t="s">
        <v>69</v>
      </c>
      <c r="AK1736" t="s">
        <v>69</v>
      </c>
      <c r="AL1736">
        <v>26</v>
      </c>
      <c r="AM1736">
        <v>5</v>
      </c>
      <c r="AN1736">
        <v>7</v>
      </c>
      <c r="AO1736">
        <v>3</v>
      </c>
      <c r="AP1736">
        <v>16</v>
      </c>
      <c r="AQ1736" t="s">
        <v>23458</v>
      </c>
      <c r="AR1736" t="s">
        <v>23459</v>
      </c>
      <c r="AS1736" t="s">
        <v>23460</v>
      </c>
      <c r="AT1736" t="s">
        <v>23461</v>
      </c>
      <c r="AU1736" t="s">
        <v>23462</v>
      </c>
      <c r="AV1736" t="s">
        <v>69</v>
      </c>
      <c r="AW1736" t="s">
        <v>23463</v>
      </c>
      <c r="AX1736" t="s">
        <v>23464</v>
      </c>
      <c r="AY1736" t="s">
        <v>23465</v>
      </c>
      <c r="AZ1736">
        <v>2014</v>
      </c>
      <c r="BA1736">
        <v>68</v>
      </c>
      <c r="BB1736" t="s">
        <v>69</v>
      </c>
      <c r="BC1736" t="s">
        <v>69</v>
      </c>
      <c r="BD1736" t="s">
        <v>69</v>
      </c>
      <c r="BE1736" t="s">
        <v>69</v>
      </c>
      <c r="BF1736" t="s">
        <v>69</v>
      </c>
      <c r="BG1736">
        <v>1251</v>
      </c>
      <c r="BH1736">
        <v>1256</v>
      </c>
      <c r="BI1736" t="s">
        <v>69</v>
      </c>
      <c r="BJ1736" t="s">
        <v>69</v>
      </c>
      <c r="BK1736" t="s">
        <v>69</v>
      </c>
      <c r="BL1736" t="s">
        <v>69</v>
      </c>
      <c r="BM1736" t="s">
        <v>69</v>
      </c>
      <c r="BN1736">
        <v>6</v>
      </c>
      <c r="BO1736" t="s">
        <v>20354</v>
      </c>
      <c r="BP1736" t="s">
        <v>8548</v>
      </c>
      <c r="BQ1736" t="s">
        <v>20355</v>
      </c>
      <c r="BR1736" t="s">
        <v>23466</v>
      </c>
      <c r="BS1736" t="s">
        <v>23467</v>
      </c>
      <c r="BT1736">
        <v>25380207</v>
      </c>
      <c r="BU1736" t="s">
        <v>12220</v>
      </c>
      <c r="BV1736" t="s">
        <v>69</v>
      </c>
      <c r="BW1736" t="s">
        <v>69</v>
      </c>
      <c r="BX1736" t="s">
        <v>8526</v>
      </c>
      <c r="BY1736" t="str">
        <f>HYPERLINK("https%3A%2F%2Fwww.webofscience.com%2Fwos%2Fwoscc%2Ffull-record%2FWOS:000350425700002","View Full Record in Web of Science")</f>
        <v>View Full Record in Web of Science</v>
      </c>
    </row>
    <row r="1737" spans="1:77" x14ac:dyDescent="0.3">
      <c r="A1737" t="s">
        <v>8495</v>
      </c>
      <c r="B1737" s="9" t="s">
        <v>32954</v>
      </c>
      <c r="C1737" s="9" t="s">
        <v>33131</v>
      </c>
      <c r="D1737" s="9" t="s">
        <v>8491</v>
      </c>
      <c r="E1737" s="9" t="s">
        <v>8490</v>
      </c>
      <c r="F1737" t="s">
        <v>67</v>
      </c>
      <c r="G1737" t="s">
        <v>26258</v>
      </c>
      <c r="H1737" t="s">
        <v>69</v>
      </c>
      <c r="I1737" t="s">
        <v>69</v>
      </c>
      <c r="J1737" t="s">
        <v>69</v>
      </c>
      <c r="K1737" t="s">
        <v>26259</v>
      </c>
      <c r="L1737" t="s">
        <v>69</v>
      </c>
      <c r="M1737" t="s">
        <v>69</v>
      </c>
      <c r="N1737" t="s">
        <v>26260</v>
      </c>
      <c r="O1737" t="s">
        <v>26261</v>
      </c>
      <c r="P1737" t="s">
        <v>69</v>
      </c>
      <c r="Q1737" t="s">
        <v>69</v>
      </c>
      <c r="R1737" t="s">
        <v>8505</v>
      </c>
      <c r="S1737" t="s">
        <v>8506</v>
      </c>
      <c r="T1737" t="s">
        <v>69</v>
      </c>
      <c r="U1737" t="s">
        <v>69</v>
      </c>
      <c r="V1737" t="s">
        <v>69</v>
      </c>
      <c r="W1737" t="s">
        <v>69</v>
      </c>
      <c r="X1737" t="s">
        <v>69</v>
      </c>
      <c r="Y1737" t="s">
        <v>26262</v>
      </c>
      <c r="Z1737" t="s">
        <v>26263</v>
      </c>
      <c r="AA1737" t="s">
        <v>26264</v>
      </c>
      <c r="AB1737" t="s">
        <v>26265</v>
      </c>
      <c r="AC1737" t="s">
        <v>69</v>
      </c>
      <c r="AD1737" t="s">
        <v>26266</v>
      </c>
      <c r="AE1737" t="s">
        <v>26267</v>
      </c>
      <c r="AF1737" t="s">
        <v>26268</v>
      </c>
      <c r="AG1737" t="s">
        <v>26269</v>
      </c>
      <c r="AH1737" t="s">
        <v>69</v>
      </c>
      <c r="AI1737" t="s">
        <v>69</v>
      </c>
      <c r="AJ1737" t="s">
        <v>69</v>
      </c>
      <c r="AK1737" t="s">
        <v>69</v>
      </c>
      <c r="AL1737">
        <v>71</v>
      </c>
      <c r="AM1737">
        <v>10</v>
      </c>
      <c r="AN1737">
        <v>10</v>
      </c>
      <c r="AO1737">
        <v>0</v>
      </c>
      <c r="AP1737">
        <v>35</v>
      </c>
      <c r="AQ1737" t="s">
        <v>8865</v>
      </c>
      <c r="AR1737" t="s">
        <v>8612</v>
      </c>
      <c r="AS1737" t="s">
        <v>8866</v>
      </c>
      <c r="AT1737" t="s">
        <v>26270</v>
      </c>
      <c r="AU1737" t="s">
        <v>26271</v>
      </c>
      <c r="AV1737" t="s">
        <v>69</v>
      </c>
      <c r="AW1737" t="s">
        <v>26272</v>
      </c>
      <c r="AX1737" t="s">
        <v>26273</v>
      </c>
      <c r="AY1737" t="s">
        <v>69</v>
      </c>
      <c r="AZ1737">
        <v>2012</v>
      </c>
      <c r="BA1737">
        <v>37</v>
      </c>
      <c r="BB1737">
        <v>6</v>
      </c>
      <c r="BC1737" t="s">
        <v>69</v>
      </c>
      <c r="BD1737" t="s">
        <v>69</v>
      </c>
      <c r="BE1737" t="s">
        <v>69</v>
      </c>
      <c r="BF1737" t="s">
        <v>69</v>
      </c>
      <c r="BG1737">
        <v>673</v>
      </c>
      <c r="BH1737">
        <v>702</v>
      </c>
      <c r="BI1737" t="s">
        <v>69</v>
      </c>
      <c r="BJ1737" t="s">
        <v>26274</v>
      </c>
      <c r="BK1737" t="str">
        <f>HYPERLINK("http://dx.doi.org/10.1080/01426397.2012.706031","http://dx.doi.org/10.1080/01426397.2012.706031")</f>
        <v>http://dx.doi.org/10.1080/01426397.2012.706031</v>
      </c>
      <c r="BL1737" t="s">
        <v>69</v>
      </c>
      <c r="BM1737" t="s">
        <v>69</v>
      </c>
      <c r="BN1737">
        <v>30</v>
      </c>
      <c r="BO1737" t="s">
        <v>15669</v>
      </c>
      <c r="BP1737" t="s">
        <v>8661</v>
      </c>
      <c r="BQ1737" t="s">
        <v>15670</v>
      </c>
      <c r="BR1737" t="s">
        <v>26275</v>
      </c>
      <c r="BS1737" t="s">
        <v>26276</v>
      </c>
      <c r="BT1737" t="s">
        <v>69</v>
      </c>
      <c r="BU1737" t="s">
        <v>69</v>
      </c>
      <c r="BV1737" t="s">
        <v>69</v>
      </c>
      <c r="BW1737" t="s">
        <v>69</v>
      </c>
      <c r="BX1737" t="s">
        <v>8526</v>
      </c>
      <c r="BY1737" t="str">
        <f>HYPERLINK("https%3A%2F%2Fwww.webofscience.com%2Fwos%2Fwoscc%2Ffull-record%2FWOS:000312342600004","View Full Record in Web of Science")</f>
        <v>View Full Record in Web of Science</v>
      </c>
    </row>
    <row r="1738" spans="1:77" ht="12.5" x14ac:dyDescent="0.25">
      <c r="A1738" t="s">
        <v>8495</v>
      </c>
      <c r="B1738" s="22" t="s">
        <v>32931</v>
      </c>
      <c r="C1738" s="7"/>
      <c r="D1738" s="7"/>
      <c r="E1738" s="7"/>
      <c r="F1738" t="s">
        <v>67</v>
      </c>
      <c r="G1738" t="s">
        <v>24121</v>
      </c>
      <c r="H1738" t="s">
        <v>69</v>
      </c>
      <c r="I1738" t="s">
        <v>69</v>
      </c>
      <c r="J1738" t="s">
        <v>69</v>
      </c>
      <c r="K1738" t="s">
        <v>24122</v>
      </c>
      <c r="L1738" t="s">
        <v>69</v>
      </c>
      <c r="M1738" t="s">
        <v>69</v>
      </c>
      <c r="N1738" t="s">
        <v>24123</v>
      </c>
      <c r="O1738" t="s">
        <v>24124</v>
      </c>
      <c r="P1738" t="s">
        <v>69</v>
      </c>
      <c r="Q1738" t="s">
        <v>69</v>
      </c>
      <c r="R1738" t="s">
        <v>8505</v>
      </c>
      <c r="S1738" t="s">
        <v>8506</v>
      </c>
      <c r="T1738" t="s">
        <v>69</v>
      </c>
      <c r="U1738" t="s">
        <v>69</v>
      </c>
      <c r="V1738" t="s">
        <v>69</v>
      </c>
      <c r="W1738" t="s">
        <v>69</v>
      </c>
      <c r="X1738" t="s">
        <v>69</v>
      </c>
      <c r="Y1738" t="s">
        <v>24125</v>
      </c>
      <c r="Z1738" t="s">
        <v>69</v>
      </c>
      <c r="AA1738" t="s">
        <v>24126</v>
      </c>
      <c r="AB1738" t="s">
        <v>24127</v>
      </c>
      <c r="AC1738" t="s">
        <v>69</v>
      </c>
      <c r="AD1738" t="s">
        <v>24128</v>
      </c>
      <c r="AE1738" t="s">
        <v>24129</v>
      </c>
      <c r="AF1738" t="s">
        <v>69</v>
      </c>
      <c r="AG1738" t="s">
        <v>69</v>
      </c>
      <c r="AH1738" t="s">
        <v>69</v>
      </c>
      <c r="AI1738" t="s">
        <v>69</v>
      </c>
      <c r="AJ1738" t="s">
        <v>69</v>
      </c>
      <c r="AK1738" t="s">
        <v>69</v>
      </c>
      <c r="AL1738">
        <v>14</v>
      </c>
      <c r="AM1738">
        <v>1</v>
      </c>
      <c r="AN1738">
        <v>1</v>
      </c>
      <c r="AO1738">
        <v>0</v>
      </c>
      <c r="AP1738">
        <v>1</v>
      </c>
      <c r="AQ1738" t="s">
        <v>24130</v>
      </c>
      <c r="AR1738" t="s">
        <v>24131</v>
      </c>
      <c r="AS1738" t="s">
        <v>24132</v>
      </c>
      <c r="AT1738" t="s">
        <v>24133</v>
      </c>
      <c r="AU1738" t="s">
        <v>69</v>
      </c>
      <c r="AV1738" t="s">
        <v>69</v>
      </c>
      <c r="AW1738" t="s">
        <v>24134</v>
      </c>
      <c r="AX1738" t="s">
        <v>24135</v>
      </c>
      <c r="AY1738" t="s">
        <v>69</v>
      </c>
      <c r="AZ1738">
        <v>2014</v>
      </c>
      <c r="BA1738">
        <v>6</v>
      </c>
      <c r="BB1738">
        <v>1</v>
      </c>
      <c r="BC1738" t="s">
        <v>69</v>
      </c>
      <c r="BD1738" t="s">
        <v>69</v>
      </c>
      <c r="BE1738" t="s">
        <v>69</v>
      </c>
      <c r="BF1738" t="s">
        <v>69</v>
      </c>
      <c r="BG1738">
        <v>65</v>
      </c>
      <c r="BH1738">
        <v>78</v>
      </c>
      <c r="BI1738" t="s">
        <v>69</v>
      </c>
      <c r="BJ1738" t="s">
        <v>69</v>
      </c>
      <c r="BK1738" t="s">
        <v>69</v>
      </c>
      <c r="BL1738" t="s">
        <v>69</v>
      </c>
      <c r="BM1738" t="s">
        <v>69</v>
      </c>
      <c r="BN1738">
        <v>14</v>
      </c>
      <c r="BO1738" t="s">
        <v>10278</v>
      </c>
      <c r="BP1738" t="s">
        <v>8573</v>
      </c>
      <c r="BQ1738" t="s">
        <v>10279</v>
      </c>
      <c r="BR1738" t="s">
        <v>24136</v>
      </c>
      <c r="BS1738" t="s">
        <v>24137</v>
      </c>
      <c r="BT1738" t="s">
        <v>69</v>
      </c>
      <c r="BU1738" t="s">
        <v>69</v>
      </c>
      <c r="BV1738" t="s">
        <v>69</v>
      </c>
      <c r="BW1738" t="s">
        <v>69</v>
      </c>
      <c r="BX1738" t="s">
        <v>8526</v>
      </c>
      <c r="BY1738" t="str">
        <f>HYPERLINK("https%3A%2F%2Fwww.webofscience.com%2Fwos%2Fwoscc%2Ffull-record%2FWOS:000219223000005","View Full Record in Web of Science")</f>
        <v>View Full Record in Web of Science</v>
      </c>
    </row>
    <row r="1739" spans="1:77" ht="12.5" x14ac:dyDescent="0.25">
      <c r="A1739" t="s">
        <v>8495</v>
      </c>
      <c r="B1739" s="22" t="s">
        <v>32931</v>
      </c>
      <c r="C1739" s="7"/>
      <c r="D1739" s="7"/>
      <c r="E1739" s="7"/>
      <c r="F1739" t="s">
        <v>67</v>
      </c>
      <c r="G1739" t="s">
        <v>10956</v>
      </c>
      <c r="H1739" t="s">
        <v>69</v>
      </c>
      <c r="I1739" t="s">
        <v>69</v>
      </c>
      <c r="J1739" t="s">
        <v>69</v>
      </c>
      <c r="K1739" t="s">
        <v>10957</v>
      </c>
      <c r="L1739" t="s">
        <v>69</v>
      </c>
      <c r="M1739" t="s">
        <v>69</v>
      </c>
      <c r="N1739" t="s">
        <v>10958</v>
      </c>
      <c r="O1739" t="s">
        <v>10959</v>
      </c>
      <c r="P1739" t="s">
        <v>69</v>
      </c>
      <c r="Q1739" t="s">
        <v>69</v>
      </c>
      <c r="R1739" t="s">
        <v>8505</v>
      </c>
      <c r="S1739" t="s">
        <v>8506</v>
      </c>
      <c r="T1739" t="s">
        <v>69</v>
      </c>
      <c r="U1739" t="s">
        <v>69</v>
      </c>
      <c r="V1739" t="s">
        <v>69</v>
      </c>
      <c r="W1739" t="s">
        <v>69</v>
      </c>
      <c r="X1739" t="s">
        <v>69</v>
      </c>
      <c r="Y1739" t="s">
        <v>10960</v>
      </c>
      <c r="Z1739" t="s">
        <v>10961</v>
      </c>
      <c r="AA1739" t="s">
        <v>10962</v>
      </c>
      <c r="AB1739" t="s">
        <v>10963</v>
      </c>
      <c r="AC1739" t="s">
        <v>69</v>
      </c>
      <c r="AD1739" t="s">
        <v>10964</v>
      </c>
      <c r="AE1739" t="s">
        <v>69</v>
      </c>
      <c r="AF1739" t="s">
        <v>10965</v>
      </c>
      <c r="AG1739" t="s">
        <v>10966</v>
      </c>
      <c r="AH1739" t="s">
        <v>69</v>
      </c>
      <c r="AI1739" t="s">
        <v>69</v>
      </c>
      <c r="AJ1739" t="s">
        <v>69</v>
      </c>
      <c r="AK1739" t="s">
        <v>69</v>
      </c>
      <c r="AL1739">
        <v>30</v>
      </c>
      <c r="AM1739">
        <v>5</v>
      </c>
      <c r="AN1739">
        <v>5</v>
      </c>
      <c r="AO1739">
        <v>2</v>
      </c>
      <c r="AP1739">
        <v>4</v>
      </c>
      <c r="AQ1739" t="s">
        <v>10967</v>
      </c>
      <c r="AR1739" t="s">
        <v>10968</v>
      </c>
      <c r="AS1739" t="s">
        <v>10969</v>
      </c>
      <c r="AT1739" t="s">
        <v>10970</v>
      </c>
      <c r="AU1739" t="s">
        <v>69</v>
      </c>
      <c r="AV1739" t="s">
        <v>69</v>
      </c>
      <c r="AW1739" t="s">
        <v>10971</v>
      </c>
      <c r="AX1739" t="s">
        <v>10972</v>
      </c>
      <c r="AY1739" t="s">
        <v>10973</v>
      </c>
      <c r="AZ1739">
        <v>2021</v>
      </c>
      <c r="BA1739">
        <v>21</v>
      </c>
      <c r="BB1739">
        <v>10</v>
      </c>
      <c r="BC1739" t="s">
        <v>69</v>
      </c>
      <c r="BD1739" t="s">
        <v>69</v>
      </c>
      <c r="BE1739" t="s">
        <v>69</v>
      </c>
      <c r="BF1739" t="s">
        <v>69</v>
      </c>
      <c r="BG1739">
        <v>317</v>
      </c>
      <c r="BH1739">
        <v>323</v>
      </c>
      <c r="BI1739" t="s">
        <v>69</v>
      </c>
      <c r="BJ1739" t="s">
        <v>10974</v>
      </c>
      <c r="BK1739" t="str">
        <f>HYPERLINK("http://dx.doi.org/10.22937/IJCSNS.2021.21.10.45","http://dx.doi.org/10.22937/IJCSNS.2021.21.10.45")</f>
        <v>http://dx.doi.org/10.22937/IJCSNS.2021.21.10.45</v>
      </c>
      <c r="BL1739" t="s">
        <v>69</v>
      </c>
      <c r="BM1739" t="s">
        <v>69</v>
      </c>
      <c r="BN1739">
        <v>7</v>
      </c>
      <c r="BO1739" t="s">
        <v>10975</v>
      </c>
      <c r="BP1739" t="s">
        <v>8573</v>
      </c>
      <c r="BQ1739" t="s">
        <v>10976</v>
      </c>
      <c r="BR1739" t="s">
        <v>10977</v>
      </c>
      <c r="BS1739" t="s">
        <v>10978</v>
      </c>
      <c r="BT1739" t="s">
        <v>69</v>
      </c>
      <c r="BU1739" t="s">
        <v>69</v>
      </c>
      <c r="BV1739" t="s">
        <v>69</v>
      </c>
      <c r="BW1739" t="s">
        <v>69</v>
      </c>
      <c r="BX1739" t="s">
        <v>8526</v>
      </c>
      <c r="BY1739" t="str">
        <f>HYPERLINK("https%3A%2F%2Fwww.webofscience.com%2Fwos%2Fwoscc%2Ffull-record%2FWOS:000719577300045","View Full Record in Web of Science")</f>
        <v>View Full Record in Web of Science</v>
      </c>
    </row>
    <row r="1740" spans="1:77" ht="12.5" x14ac:dyDescent="0.25">
      <c r="A1740" t="s">
        <v>8495</v>
      </c>
      <c r="B1740" s="22" t="s">
        <v>32931</v>
      </c>
      <c r="C1740" s="7"/>
      <c r="D1740" s="7"/>
      <c r="E1740" s="7"/>
      <c r="F1740" t="s">
        <v>67</v>
      </c>
      <c r="G1740" t="s">
        <v>23016</v>
      </c>
      <c r="H1740" t="s">
        <v>69</v>
      </c>
      <c r="I1740" t="s">
        <v>69</v>
      </c>
      <c r="J1740" t="s">
        <v>69</v>
      </c>
      <c r="K1740" t="s">
        <v>23017</v>
      </c>
      <c r="L1740" t="s">
        <v>69</v>
      </c>
      <c r="M1740" t="s">
        <v>69</v>
      </c>
      <c r="N1740" t="s">
        <v>23018</v>
      </c>
      <c r="O1740" t="s">
        <v>23019</v>
      </c>
      <c r="P1740" t="s">
        <v>69</v>
      </c>
      <c r="Q1740" t="s">
        <v>69</v>
      </c>
      <c r="R1740" t="s">
        <v>8505</v>
      </c>
      <c r="S1740" t="s">
        <v>8506</v>
      </c>
      <c r="T1740" t="s">
        <v>69</v>
      </c>
      <c r="U1740" t="s">
        <v>69</v>
      </c>
      <c r="V1740" t="s">
        <v>69</v>
      </c>
      <c r="W1740" t="s">
        <v>69</v>
      </c>
      <c r="X1740" t="s">
        <v>69</v>
      </c>
      <c r="Y1740" t="s">
        <v>23020</v>
      </c>
      <c r="Z1740" t="s">
        <v>23021</v>
      </c>
      <c r="AA1740" t="s">
        <v>23022</v>
      </c>
      <c r="AB1740" t="s">
        <v>23023</v>
      </c>
      <c r="AC1740" t="s">
        <v>69</v>
      </c>
      <c r="AD1740" t="s">
        <v>23024</v>
      </c>
      <c r="AE1740" t="s">
        <v>23025</v>
      </c>
      <c r="AF1740" t="s">
        <v>69</v>
      </c>
      <c r="AG1740" t="s">
        <v>69</v>
      </c>
      <c r="AH1740" t="s">
        <v>69</v>
      </c>
      <c r="AI1740" t="s">
        <v>69</v>
      </c>
      <c r="AJ1740" t="s">
        <v>69</v>
      </c>
      <c r="AK1740" t="s">
        <v>69</v>
      </c>
      <c r="AL1740">
        <v>58</v>
      </c>
      <c r="AM1740">
        <v>3</v>
      </c>
      <c r="AN1740">
        <v>3</v>
      </c>
      <c r="AO1740">
        <v>1</v>
      </c>
      <c r="AP1740">
        <v>20</v>
      </c>
      <c r="AQ1740" t="s">
        <v>9554</v>
      </c>
      <c r="AR1740" t="s">
        <v>9555</v>
      </c>
      <c r="AS1740" t="s">
        <v>9556</v>
      </c>
      <c r="AT1740" t="s">
        <v>23026</v>
      </c>
      <c r="AU1740" t="s">
        <v>23027</v>
      </c>
      <c r="AV1740" t="s">
        <v>69</v>
      </c>
      <c r="AW1740" t="s">
        <v>23028</v>
      </c>
      <c r="AX1740" t="s">
        <v>23029</v>
      </c>
      <c r="AY1740" t="s">
        <v>69</v>
      </c>
      <c r="AZ1740">
        <v>2015</v>
      </c>
      <c r="BA1740">
        <v>44</v>
      </c>
      <c r="BB1740">
        <v>2</v>
      </c>
      <c r="BC1740" t="s">
        <v>69</v>
      </c>
      <c r="BD1740" t="s">
        <v>69</v>
      </c>
      <c r="BE1740" t="s">
        <v>69</v>
      </c>
      <c r="BF1740" t="s">
        <v>69</v>
      </c>
      <c r="BG1740">
        <v>20</v>
      </c>
      <c r="BH1740">
        <v>32</v>
      </c>
      <c r="BI1740" t="s">
        <v>69</v>
      </c>
      <c r="BJ1740" t="s">
        <v>23030</v>
      </c>
      <c r="BK1740" t="str">
        <f>HYPERLINK("http://dx.doi.org/10.1177/183335831504400203","http://dx.doi.org/10.1177/183335831504400203")</f>
        <v>http://dx.doi.org/10.1177/183335831504400203</v>
      </c>
      <c r="BL1740" t="s">
        <v>69</v>
      </c>
      <c r="BM1740" t="s">
        <v>69</v>
      </c>
      <c r="BN1740">
        <v>13</v>
      </c>
      <c r="BO1740" t="s">
        <v>23031</v>
      </c>
      <c r="BP1740" t="s">
        <v>8523</v>
      </c>
      <c r="BQ1740" t="s">
        <v>10525</v>
      </c>
      <c r="BR1740" t="s">
        <v>23032</v>
      </c>
      <c r="BS1740" t="s">
        <v>23033</v>
      </c>
      <c r="BT1740">
        <v>26157083</v>
      </c>
      <c r="BU1740" t="s">
        <v>69</v>
      </c>
      <c r="BV1740" t="s">
        <v>69</v>
      </c>
      <c r="BW1740" t="s">
        <v>69</v>
      </c>
      <c r="BX1740" t="s">
        <v>8526</v>
      </c>
      <c r="BY1740" t="str">
        <f>HYPERLINK("https%3A%2F%2Fwww.webofscience.com%2Fwos%2Fwoscc%2Ffull-record%2FWOS:000363182000003","View Full Record in Web of Science")</f>
        <v>View Full Record in Web of Science</v>
      </c>
    </row>
    <row r="1741" spans="1:77" ht="12.5" x14ac:dyDescent="0.25">
      <c r="A1741" t="s">
        <v>8495</v>
      </c>
      <c r="B1741" s="7" t="s">
        <v>32933</v>
      </c>
      <c r="C1741" s="7"/>
      <c r="D1741" s="7"/>
      <c r="E1741" s="7"/>
      <c r="F1741" t="s">
        <v>67</v>
      </c>
      <c r="G1741" t="s">
        <v>1821</v>
      </c>
      <c r="H1741" t="s">
        <v>69</v>
      </c>
      <c r="I1741" t="s">
        <v>69</v>
      </c>
      <c r="J1741" t="s">
        <v>69</v>
      </c>
      <c r="K1741" t="s">
        <v>1821</v>
      </c>
      <c r="L1741" t="s">
        <v>69</v>
      </c>
      <c r="M1741" t="s">
        <v>69</v>
      </c>
      <c r="N1741" t="s">
        <v>1822</v>
      </c>
      <c r="O1741" t="s">
        <v>1823</v>
      </c>
      <c r="P1741" t="s">
        <v>69</v>
      </c>
      <c r="Q1741" t="s">
        <v>69</v>
      </c>
      <c r="R1741" t="s">
        <v>8505</v>
      </c>
      <c r="S1741" t="s">
        <v>8506</v>
      </c>
      <c r="T1741" t="s">
        <v>69</v>
      </c>
      <c r="U1741" t="s">
        <v>69</v>
      </c>
      <c r="V1741" t="s">
        <v>69</v>
      </c>
      <c r="W1741" t="s">
        <v>69</v>
      </c>
      <c r="X1741" t="s">
        <v>69</v>
      </c>
      <c r="Y1741" t="s">
        <v>69</v>
      </c>
      <c r="Z1741" t="s">
        <v>69</v>
      </c>
      <c r="AA1741" t="s">
        <v>1824</v>
      </c>
      <c r="AB1741" t="s">
        <v>69</v>
      </c>
      <c r="AC1741" t="s">
        <v>69</v>
      </c>
      <c r="AD1741" t="s">
        <v>32898</v>
      </c>
      <c r="AE1741" t="s">
        <v>69</v>
      </c>
      <c r="AF1741" t="s">
        <v>69</v>
      </c>
      <c r="AG1741" t="s">
        <v>69</v>
      </c>
      <c r="AH1741" t="s">
        <v>69</v>
      </c>
      <c r="AI1741" t="s">
        <v>69</v>
      </c>
      <c r="AJ1741" t="s">
        <v>69</v>
      </c>
      <c r="AK1741" t="s">
        <v>69</v>
      </c>
      <c r="AL1741">
        <v>0</v>
      </c>
      <c r="AM1741">
        <v>1</v>
      </c>
      <c r="AN1741">
        <v>1</v>
      </c>
      <c r="AO1741">
        <v>0</v>
      </c>
      <c r="AP1741">
        <v>5</v>
      </c>
      <c r="AQ1741" t="s">
        <v>28353</v>
      </c>
      <c r="AR1741" t="s">
        <v>31922</v>
      </c>
      <c r="AS1741" t="s">
        <v>32438</v>
      </c>
      <c r="AT1741" t="s">
        <v>1825</v>
      </c>
      <c r="AU1741" t="s">
        <v>69</v>
      </c>
      <c r="AV1741" t="s">
        <v>69</v>
      </c>
      <c r="AW1741" t="s">
        <v>30296</v>
      </c>
      <c r="AX1741" t="s">
        <v>30297</v>
      </c>
      <c r="AY1741" t="s">
        <v>1226</v>
      </c>
      <c r="AZ1741">
        <v>1991</v>
      </c>
      <c r="BA1741">
        <v>11</v>
      </c>
      <c r="BB1741">
        <v>4</v>
      </c>
      <c r="BC1741" t="s">
        <v>69</v>
      </c>
      <c r="BD1741" t="s">
        <v>69</v>
      </c>
      <c r="BE1741" t="s">
        <v>69</v>
      </c>
      <c r="BF1741" t="s">
        <v>69</v>
      </c>
      <c r="BG1741">
        <v>381</v>
      </c>
      <c r="BH1741">
        <v>399</v>
      </c>
      <c r="BI1741" t="s">
        <v>69</v>
      </c>
      <c r="BJ1741" t="s">
        <v>1826</v>
      </c>
      <c r="BK1741" t="str">
        <f>HYPERLINK("http://dx.doi.org/10.1002/pad.4230110407","http://dx.doi.org/10.1002/pad.4230110407")</f>
        <v>http://dx.doi.org/10.1002/pad.4230110407</v>
      </c>
      <c r="BL1741" t="s">
        <v>69</v>
      </c>
      <c r="BM1741" t="s">
        <v>69</v>
      </c>
      <c r="BN1741">
        <v>19</v>
      </c>
      <c r="BO1741" t="s">
        <v>14687</v>
      </c>
      <c r="BP1741" t="s">
        <v>8661</v>
      </c>
      <c r="BQ1741" t="s">
        <v>14687</v>
      </c>
      <c r="BR1741" t="s">
        <v>32899</v>
      </c>
      <c r="BS1741" t="s">
        <v>1827</v>
      </c>
      <c r="BT1741" t="s">
        <v>69</v>
      </c>
      <c r="BU1741" t="s">
        <v>69</v>
      </c>
      <c r="BV1741" t="s">
        <v>69</v>
      </c>
      <c r="BW1741" t="s">
        <v>69</v>
      </c>
      <c r="BX1741" t="s">
        <v>8526</v>
      </c>
      <c r="BY1741" t="str">
        <f>HYPERLINK("https%3A%2F%2Fwww.webofscience.com%2Fwos%2Fwoscc%2Ffull-record%2FWOS:A1991GB61500006","View Full Record in Web of Science")</f>
        <v>View Full Record in Web of Science</v>
      </c>
    </row>
    <row r="1742" spans="1:77" ht="12.5" x14ac:dyDescent="0.25">
      <c r="A1742" t="s">
        <v>8495</v>
      </c>
      <c r="B1742" s="22" t="s">
        <v>32931</v>
      </c>
      <c r="C1742" s="7"/>
      <c r="D1742" s="7"/>
      <c r="E1742" s="7"/>
      <c r="F1742" t="s">
        <v>67</v>
      </c>
      <c r="G1742" t="s">
        <v>23300</v>
      </c>
      <c r="H1742" t="s">
        <v>69</v>
      </c>
      <c r="I1742" t="s">
        <v>69</v>
      </c>
      <c r="J1742" t="s">
        <v>69</v>
      </c>
      <c r="K1742" t="s">
        <v>23301</v>
      </c>
      <c r="L1742" t="s">
        <v>69</v>
      </c>
      <c r="M1742" t="s">
        <v>69</v>
      </c>
      <c r="N1742" t="s">
        <v>23302</v>
      </c>
      <c r="O1742" t="s">
        <v>2886</v>
      </c>
      <c r="P1742" t="s">
        <v>69</v>
      </c>
      <c r="Q1742" t="s">
        <v>69</v>
      </c>
      <c r="R1742" t="s">
        <v>8505</v>
      </c>
      <c r="S1742" t="s">
        <v>8506</v>
      </c>
      <c r="T1742" t="s">
        <v>69</v>
      </c>
      <c r="U1742" t="s">
        <v>69</v>
      </c>
      <c r="V1742" t="s">
        <v>69</v>
      </c>
      <c r="W1742" t="s">
        <v>69</v>
      </c>
      <c r="X1742" t="s">
        <v>69</v>
      </c>
      <c r="Y1742" t="s">
        <v>23303</v>
      </c>
      <c r="Z1742" t="s">
        <v>23304</v>
      </c>
      <c r="AA1742" t="s">
        <v>23305</v>
      </c>
      <c r="AB1742" t="s">
        <v>23306</v>
      </c>
      <c r="AC1742" t="s">
        <v>69</v>
      </c>
      <c r="AD1742" t="s">
        <v>23307</v>
      </c>
      <c r="AE1742" t="s">
        <v>23308</v>
      </c>
      <c r="AF1742" t="s">
        <v>23309</v>
      </c>
      <c r="AG1742" t="s">
        <v>23310</v>
      </c>
      <c r="AH1742" t="s">
        <v>69</v>
      </c>
      <c r="AI1742" t="s">
        <v>69</v>
      </c>
      <c r="AJ1742" t="s">
        <v>69</v>
      </c>
      <c r="AK1742" t="s">
        <v>69</v>
      </c>
      <c r="AL1742">
        <v>49</v>
      </c>
      <c r="AM1742">
        <v>15</v>
      </c>
      <c r="AN1742">
        <v>16</v>
      </c>
      <c r="AO1742">
        <v>1</v>
      </c>
      <c r="AP1742">
        <v>17</v>
      </c>
      <c r="AQ1742" t="s">
        <v>8516</v>
      </c>
      <c r="AR1742" t="s">
        <v>8517</v>
      </c>
      <c r="AS1742" t="s">
        <v>8518</v>
      </c>
      <c r="AT1742" t="s">
        <v>2890</v>
      </c>
      <c r="AU1742" t="s">
        <v>2891</v>
      </c>
      <c r="AV1742" t="s">
        <v>69</v>
      </c>
      <c r="AW1742" t="s">
        <v>13008</v>
      </c>
      <c r="AX1742" t="s">
        <v>13009</v>
      </c>
      <c r="AY1742" t="s">
        <v>373</v>
      </c>
      <c r="AZ1742">
        <v>2015</v>
      </c>
      <c r="BA1742">
        <v>71</v>
      </c>
      <c r="BB1742" t="s">
        <v>69</v>
      </c>
      <c r="BC1742" t="s">
        <v>3175</v>
      </c>
      <c r="BD1742" t="s">
        <v>69</v>
      </c>
      <c r="BE1742" t="s">
        <v>114</v>
      </c>
      <c r="BF1742" t="s">
        <v>69</v>
      </c>
      <c r="BG1742">
        <v>242</v>
      </c>
      <c r="BH1742">
        <v>252</v>
      </c>
      <c r="BI1742" t="s">
        <v>69</v>
      </c>
      <c r="BJ1742" t="s">
        <v>23311</v>
      </c>
      <c r="BK1742" t="str">
        <f>HYPERLINK("http://dx.doi.org/10.1016/j.ssci.2014.02.015","http://dx.doi.org/10.1016/j.ssci.2014.02.015")</f>
        <v>http://dx.doi.org/10.1016/j.ssci.2014.02.015</v>
      </c>
      <c r="BL1742" t="s">
        <v>69</v>
      </c>
      <c r="BM1742" t="s">
        <v>69</v>
      </c>
      <c r="BN1742">
        <v>11</v>
      </c>
      <c r="BO1742" t="s">
        <v>13010</v>
      </c>
      <c r="BP1742" t="s">
        <v>8523</v>
      </c>
      <c r="BQ1742" t="s">
        <v>13011</v>
      </c>
      <c r="BR1742" t="s">
        <v>23312</v>
      </c>
      <c r="BS1742" t="s">
        <v>23313</v>
      </c>
      <c r="BT1742" t="s">
        <v>69</v>
      </c>
      <c r="BU1742" t="s">
        <v>10423</v>
      </c>
      <c r="BV1742" t="s">
        <v>69</v>
      </c>
      <c r="BW1742" t="s">
        <v>69</v>
      </c>
      <c r="BX1742" t="s">
        <v>8526</v>
      </c>
      <c r="BY1742" t="str">
        <f>HYPERLINK("https%3A%2F%2Fwww.webofscience.com%2Fwos%2Fwoscc%2Ffull-record%2FWOS:000347754600006","View Full Record in Web of Science")</f>
        <v>View Full Record in Web of Science</v>
      </c>
    </row>
    <row r="1743" spans="1:77" x14ac:dyDescent="0.3">
      <c r="A1743" t="s">
        <v>8495</v>
      </c>
      <c r="B1743" s="9" t="s">
        <v>32954</v>
      </c>
      <c r="C1743" s="9" t="s">
        <v>33130</v>
      </c>
      <c r="D1743" s="10" t="s">
        <v>8490</v>
      </c>
      <c r="E1743" s="9" t="s">
        <v>8490</v>
      </c>
      <c r="F1743" t="s">
        <v>67</v>
      </c>
      <c r="G1743" t="s">
        <v>20542</v>
      </c>
      <c r="H1743" t="s">
        <v>69</v>
      </c>
      <c r="I1743" t="s">
        <v>69</v>
      </c>
      <c r="J1743" t="s">
        <v>69</v>
      </c>
      <c r="K1743" t="s">
        <v>20543</v>
      </c>
      <c r="L1743" t="s">
        <v>69</v>
      </c>
      <c r="M1743" t="s">
        <v>69</v>
      </c>
      <c r="N1743" t="s">
        <v>21314</v>
      </c>
      <c r="O1743" t="s">
        <v>10712</v>
      </c>
      <c r="P1743" t="s">
        <v>69</v>
      </c>
      <c r="Q1743" t="s">
        <v>69</v>
      </c>
      <c r="R1743" t="s">
        <v>8505</v>
      </c>
      <c r="S1743" t="s">
        <v>8506</v>
      </c>
      <c r="T1743" t="s">
        <v>69</v>
      </c>
      <c r="U1743" t="s">
        <v>69</v>
      </c>
      <c r="V1743" t="s">
        <v>69</v>
      </c>
      <c r="W1743" t="s">
        <v>69</v>
      </c>
      <c r="X1743" t="s">
        <v>69</v>
      </c>
      <c r="Y1743" t="s">
        <v>69</v>
      </c>
      <c r="Z1743" t="s">
        <v>21315</v>
      </c>
      <c r="AA1743" t="s">
        <v>21316</v>
      </c>
      <c r="AB1743" t="s">
        <v>21317</v>
      </c>
      <c r="AC1743" t="s">
        <v>69</v>
      </c>
      <c r="AD1743" t="s">
        <v>21318</v>
      </c>
      <c r="AE1743" t="s">
        <v>69</v>
      </c>
      <c r="AF1743" t="s">
        <v>20552</v>
      </c>
      <c r="AG1743" t="s">
        <v>20553</v>
      </c>
      <c r="AH1743" t="s">
        <v>21319</v>
      </c>
      <c r="AI1743" t="s">
        <v>21320</v>
      </c>
      <c r="AJ1743" t="s">
        <v>21321</v>
      </c>
      <c r="AK1743" t="s">
        <v>69</v>
      </c>
      <c r="AL1743">
        <v>66</v>
      </c>
      <c r="AM1743">
        <v>18</v>
      </c>
      <c r="AN1743">
        <v>19</v>
      </c>
      <c r="AO1743">
        <v>1</v>
      </c>
      <c r="AP1743">
        <v>18</v>
      </c>
      <c r="AQ1743" t="s">
        <v>8846</v>
      </c>
      <c r="AR1743" t="s">
        <v>8847</v>
      </c>
      <c r="AS1743" t="s">
        <v>8848</v>
      </c>
      <c r="AT1743" t="s">
        <v>10718</v>
      </c>
      <c r="AU1743" t="s">
        <v>10719</v>
      </c>
      <c r="AV1743" t="s">
        <v>69</v>
      </c>
      <c r="AW1743" t="s">
        <v>10720</v>
      </c>
      <c r="AX1743" t="s">
        <v>10721</v>
      </c>
      <c r="AY1743" t="s">
        <v>255</v>
      </c>
      <c r="AZ1743">
        <v>2016</v>
      </c>
      <c r="BA1743">
        <v>94</v>
      </c>
      <c r="BB1743">
        <v>3</v>
      </c>
      <c r="BC1743" t="s">
        <v>69</v>
      </c>
      <c r="BD1743" t="s">
        <v>69</v>
      </c>
      <c r="BE1743" t="s">
        <v>69</v>
      </c>
      <c r="BF1743" t="s">
        <v>69</v>
      </c>
      <c r="BG1743">
        <v>754</v>
      </c>
      <c r="BH1743">
        <v>768</v>
      </c>
      <c r="BI1743" t="s">
        <v>69</v>
      </c>
      <c r="BJ1743" t="s">
        <v>21322</v>
      </c>
      <c r="BK1743" t="str">
        <f>HYPERLINK("http://dx.doi.org/10.1111/padm.12259","http://dx.doi.org/10.1111/padm.12259")</f>
        <v>http://dx.doi.org/10.1111/padm.12259</v>
      </c>
      <c r="BL1743" t="s">
        <v>69</v>
      </c>
      <c r="BM1743" t="s">
        <v>69</v>
      </c>
      <c r="BN1743">
        <v>15</v>
      </c>
      <c r="BO1743" t="s">
        <v>10439</v>
      </c>
      <c r="BP1743" t="s">
        <v>8661</v>
      </c>
      <c r="BQ1743" t="s">
        <v>10440</v>
      </c>
      <c r="BR1743" t="s">
        <v>21323</v>
      </c>
      <c r="BS1743" t="s">
        <v>21324</v>
      </c>
      <c r="BT1743" t="s">
        <v>69</v>
      </c>
      <c r="BU1743" t="s">
        <v>8746</v>
      </c>
      <c r="BV1743" t="s">
        <v>69</v>
      </c>
      <c r="BW1743" t="s">
        <v>69</v>
      </c>
      <c r="BX1743" t="s">
        <v>8526</v>
      </c>
      <c r="BY1743" t="str">
        <f>HYPERLINK("https%3A%2F%2Fwww.webofscience.com%2Fwos%2Fwoscc%2Ffull-record%2FWOS:000383572300011","View Full Record in Web of Science")</f>
        <v>View Full Record in Web of Science</v>
      </c>
    </row>
    <row r="1744" spans="1:77" x14ac:dyDescent="0.3">
      <c r="A1744" t="s">
        <v>8495</v>
      </c>
      <c r="B1744" s="12" t="s">
        <v>33038</v>
      </c>
      <c r="F1744" t="s">
        <v>67</v>
      </c>
      <c r="G1744" s="3" t="s">
        <v>4886</v>
      </c>
      <c r="H1744" t="s">
        <v>69</v>
      </c>
      <c r="I1744" t="s">
        <v>69</v>
      </c>
      <c r="J1744" t="s">
        <v>69</v>
      </c>
      <c r="K1744" t="s">
        <v>4887</v>
      </c>
      <c r="L1744" t="s">
        <v>69</v>
      </c>
      <c r="M1744" t="s">
        <v>69</v>
      </c>
      <c r="N1744" s="3" t="s">
        <v>4888</v>
      </c>
      <c r="O1744" t="s">
        <v>4889</v>
      </c>
      <c r="P1744" t="s">
        <v>69</v>
      </c>
      <c r="Q1744" t="s">
        <v>69</v>
      </c>
      <c r="R1744" t="s">
        <v>8505</v>
      </c>
      <c r="S1744" t="s">
        <v>8442</v>
      </c>
      <c r="T1744" t="s">
        <v>69</v>
      </c>
      <c r="U1744" t="s">
        <v>69</v>
      </c>
      <c r="V1744" t="s">
        <v>69</v>
      </c>
      <c r="W1744" t="s">
        <v>69</v>
      </c>
      <c r="X1744" t="s">
        <v>69</v>
      </c>
      <c r="Y1744" t="s">
        <v>69</v>
      </c>
      <c r="Z1744" t="s">
        <v>19742</v>
      </c>
      <c r="AA1744" t="s">
        <v>4890</v>
      </c>
      <c r="AB1744" t="s">
        <v>19743</v>
      </c>
      <c r="AC1744" t="s">
        <v>69</v>
      </c>
      <c r="AD1744" t="s">
        <v>19744</v>
      </c>
      <c r="AE1744" t="s">
        <v>19745</v>
      </c>
      <c r="AF1744" t="s">
        <v>69</v>
      </c>
      <c r="AG1744" t="s">
        <v>4891</v>
      </c>
      <c r="AH1744" t="s">
        <v>19746</v>
      </c>
      <c r="AI1744" t="s">
        <v>19747</v>
      </c>
      <c r="AJ1744" t="s">
        <v>19748</v>
      </c>
      <c r="AK1744" t="s">
        <v>69</v>
      </c>
      <c r="AL1744">
        <v>51</v>
      </c>
      <c r="AM1744">
        <v>9</v>
      </c>
      <c r="AN1744">
        <v>9</v>
      </c>
      <c r="AO1744">
        <v>0</v>
      </c>
      <c r="AP1744">
        <v>7</v>
      </c>
      <c r="AQ1744" t="s">
        <v>8636</v>
      </c>
      <c r="AR1744" t="s">
        <v>8637</v>
      </c>
      <c r="AS1744" t="s">
        <v>8638</v>
      </c>
      <c r="AT1744" t="s">
        <v>4892</v>
      </c>
      <c r="AU1744" t="s">
        <v>4893</v>
      </c>
      <c r="AV1744" t="s">
        <v>69</v>
      </c>
      <c r="AW1744" t="s">
        <v>19749</v>
      </c>
      <c r="AX1744" t="s">
        <v>19750</v>
      </c>
      <c r="AY1744" t="s">
        <v>75</v>
      </c>
      <c r="AZ1744">
        <v>2017</v>
      </c>
      <c r="BA1744">
        <v>29</v>
      </c>
      <c r="BB1744" t="s">
        <v>69</v>
      </c>
      <c r="BC1744" t="s">
        <v>69</v>
      </c>
      <c r="BD1744" t="s">
        <v>69</v>
      </c>
      <c r="BE1744" t="s">
        <v>69</v>
      </c>
      <c r="BF1744" t="s">
        <v>69</v>
      </c>
      <c r="BG1744">
        <v>26</v>
      </c>
      <c r="BH1744">
        <v>31</v>
      </c>
      <c r="BI1744" t="s">
        <v>69</v>
      </c>
      <c r="BJ1744" t="s">
        <v>4894</v>
      </c>
      <c r="BK1744" t="str">
        <f>HYPERLINK("http://dx.doi.org/10.1016/j.cosust.2017.10.002","http://dx.doi.org/10.1016/j.cosust.2017.10.002")</f>
        <v>http://dx.doi.org/10.1016/j.cosust.2017.10.002</v>
      </c>
      <c r="BL1744" t="s">
        <v>69</v>
      </c>
      <c r="BM1744" t="s">
        <v>69</v>
      </c>
      <c r="BN1744">
        <v>6</v>
      </c>
      <c r="BO1744" t="s">
        <v>17917</v>
      </c>
      <c r="BP1744" t="s">
        <v>8523</v>
      </c>
      <c r="BQ1744" t="s">
        <v>8961</v>
      </c>
      <c r="BR1744" t="s">
        <v>19751</v>
      </c>
      <c r="BS1744" t="s">
        <v>4895</v>
      </c>
      <c r="BT1744" t="s">
        <v>69</v>
      </c>
      <c r="BU1744" t="s">
        <v>69</v>
      </c>
      <c r="BV1744" t="s">
        <v>69</v>
      </c>
      <c r="BW1744" t="s">
        <v>69</v>
      </c>
      <c r="BX1744" t="s">
        <v>8526</v>
      </c>
      <c r="BY1744" t="str">
        <f>HYPERLINK("https%3A%2F%2Fwww.webofscience.com%2Fwos%2Fwoscc%2Ffull-record%2FWOS:000441091600007","View Full Record in Web of Science")</f>
        <v>View Full Record in Web of Science</v>
      </c>
    </row>
    <row r="1745" spans="1:77" ht="12.5" x14ac:dyDescent="0.25">
      <c r="A1745" t="s">
        <v>8495</v>
      </c>
      <c r="B1745" s="22" t="s">
        <v>32931</v>
      </c>
      <c r="C1745" s="7"/>
      <c r="D1745" s="7"/>
      <c r="E1745" s="7"/>
      <c r="F1745" t="s">
        <v>67</v>
      </c>
      <c r="G1745" t="s">
        <v>9150</v>
      </c>
      <c r="H1745" t="s">
        <v>69</v>
      </c>
      <c r="I1745" t="s">
        <v>69</v>
      </c>
      <c r="J1745" t="s">
        <v>69</v>
      </c>
      <c r="K1745" t="s">
        <v>9151</v>
      </c>
      <c r="L1745" t="s">
        <v>69</v>
      </c>
      <c r="M1745" t="s">
        <v>69</v>
      </c>
      <c r="N1745" t="s">
        <v>9152</v>
      </c>
      <c r="O1745" t="s">
        <v>7227</v>
      </c>
      <c r="P1745" t="s">
        <v>69</v>
      </c>
      <c r="Q1745" t="s">
        <v>69</v>
      </c>
      <c r="R1745" t="s">
        <v>8505</v>
      </c>
      <c r="S1745" t="s">
        <v>8506</v>
      </c>
      <c r="T1745" t="s">
        <v>69</v>
      </c>
      <c r="U1745" t="s">
        <v>69</v>
      </c>
      <c r="V1745" t="s">
        <v>69</v>
      </c>
      <c r="W1745" t="s">
        <v>69</v>
      </c>
      <c r="X1745" t="s">
        <v>69</v>
      </c>
      <c r="Y1745" t="s">
        <v>9153</v>
      </c>
      <c r="Z1745" t="s">
        <v>9154</v>
      </c>
      <c r="AA1745" t="s">
        <v>9155</v>
      </c>
      <c r="AB1745" t="s">
        <v>9156</v>
      </c>
      <c r="AC1745" t="s">
        <v>69</v>
      </c>
      <c r="AD1745" t="s">
        <v>9157</v>
      </c>
      <c r="AE1745" t="s">
        <v>9158</v>
      </c>
      <c r="AF1745" t="s">
        <v>69</v>
      </c>
      <c r="AG1745" t="s">
        <v>9159</v>
      </c>
      <c r="AH1745" t="s">
        <v>9160</v>
      </c>
      <c r="AI1745" t="s">
        <v>9160</v>
      </c>
      <c r="AJ1745" t="s">
        <v>9161</v>
      </c>
      <c r="AK1745" t="s">
        <v>69</v>
      </c>
      <c r="AL1745">
        <v>69</v>
      </c>
      <c r="AM1745">
        <v>1</v>
      </c>
      <c r="AN1745">
        <v>1</v>
      </c>
      <c r="AO1745">
        <v>4</v>
      </c>
      <c r="AP1745">
        <v>4</v>
      </c>
      <c r="AQ1745" t="s">
        <v>8924</v>
      </c>
      <c r="AR1745" t="s">
        <v>8925</v>
      </c>
      <c r="AS1745" t="s">
        <v>8926</v>
      </c>
      <c r="AT1745" t="s">
        <v>69</v>
      </c>
      <c r="AU1745" t="s">
        <v>7231</v>
      </c>
      <c r="AV1745" t="s">
        <v>69</v>
      </c>
      <c r="AW1745" t="s">
        <v>7227</v>
      </c>
      <c r="AX1745" t="s">
        <v>9162</v>
      </c>
      <c r="AY1745" t="s">
        <v>586</v>
      </c>
      <c r="AZ1745">
        <v>2022</v>
      </c>
      <c r="BA1745">
        <v>15</v>
      </c>
      <c r="BB1745">
        <v>9</v>
      </c>
      <c r="BC1745" t="s">
        <v>69</v>
      </c>
      <c r="BD1745" t="s">
        <v>69</v>
      </c>
      <c r="BE1745" t="s">
        <v>69</v>
      </c>
      <c r="BF1745" t="s">
        <v>69</v>
      </c>
      <c r="BG1745" t="s">
        <v>69</v>
      </c>
      <c r="BH1745" t="s">
        <v>69</v>
      </c>
      <c r="BI1745">
        <v>3163</v>
      </c>
      <c r="BJ1745" t="s">
        <v>9163</v>
      </c>
      <c r="BK1745" t="str">
        <f>HYPERLINK("http://dx.doi.org/10.3390/en15093163","http://dx.doi.org/10.3390/en15093163")</f>
        <v>http://dx.doi.org/10.3390/en15093163</v>
      </c>
      <c r="BL1745" t="s">
        <v>69</v>
      </c>
      <c r="BM1745" t="s">
        <v>69</v>
      </c>
      <c r="BN1745">
        <v>22</v>
      </c>
      <c r="BO1745" t="s">
        <v>9164</v>
      </c>
      <c r="BP1745" t="s">
        <v>8523</v>
      </c>
      <c r="BQ1745" t="s">
        <v>9164</v>
      </c>
      <c r="BR1745" t="s">
        <v>9165</v>
      </c>
      <c r="BS1745" t="s">
        <v>9166</v>
      </c>
      <c r="BT1745" t="s">
        <v>69</v>
      </c>
      <c r="BU1745" t="s">
        <v>8931</v>
      </c>
      <c r="BV1745" t="s">
        <v>69</v>
      </c>
      <c r="BW1745" t="s">
        <v>69</v>
      </c>
      <c r="BX1745" t="s">
        <v>8526</v>
      </c>
      <c r="BY1745" t="str">
        <f>HYPERLINK("https%3A%2F%2Fwww.webofscience.com%2Fwos%2Fwoscc%2Ffull-record%2FWOS:000795257100001","View Full Record in Web of Science")</f>
        <v>View Full Record in Web of Science</v>
      </c>
    </row>
    <row r="1746" spans="1:77" ht="12.5" x14ac:dyDescent="0.25">
      <c r="A1746" t="s">
        <v>8495</v>
      </c>
      <c r="B1746" s="7" t="s">
        <v>32933</v>
      </c>
      <c r="C1746" s="7"/>
      <c r="D1746" s="7"/>
      <c r="E1746" s="7"/>
      <c r="F1746" t="s">
        <v>67</v>
      </c>
      <c r="G1746" t="s">
        <v>6088</v>
      </c>
      <c r="H1746" t="s">
        <v>69</v>
      </c>
      <c r="I1746" t="s">
        <v>69</v>
      </c>
      <c r="J1746" t="s">
        <v>69</v>
      </c>
      <c r="K1746" t="s">
        <v>6088</v>
      </c>
      <c r="L1746" t="s">
        <v>69</v>
      </c>
      <c r="M1746" t="s">
        <v>69</v>
      </c>
      <c r="N1746" s="2" t="s">
        <v>6089</v>
      </c>
      <c r="O1746" t="s">
        <v>6090</v>
      </c>
      <c r="P1746" t="s">
        <v>69</v>
      </c>
      <c r="Q1746" t="s">
        <v>69</v>
      </c>
      <c r="R1746" t="s">
        <v>8505</v>
      </c>
      <c r="S1746" t="s">
        <v>8506</v>
      </c>
      <c r="T1746" t="s">
        <v>69</v>
      </c>
      <c r="U1746" t="s">
        <v>69</v>
      </c>
      <c r="V1746" t="s">
        <v>69</v>
      </c>
      <c r="W1746" t="s">
        <v>69</v>
      </c>
      <c r="X1746" t="s">
        <v>69</v>
      </c>
      <c r="Y1746" t="s">
        <v>32178</v>
      </c>
      <c r="Z1746" t="s">
        <v>32179</v>
      </c>
      <c r="AA1746" t="s">
        <v>6091</v>
      </c>
      <c r="AB1746" t="s">
        <v>69</v>
      </c>
      <c r="AC1746" t="s">
        <v>69</v>
      </c>
      <c r="AD1746" t="s">
        <v>32180</v>
      </c>
      <c r="AE1746" t="s">
        <v>69</v>
      </c>
      <c r="AF1746" t="s">
        <v>6092</v>
      </c>
      <c r="AG1746" t="s">
        <v>69</v>
      </c>
      <c r="AH1746" t="s">
        <v>69</v>
      </c>
      <c r="AI1746" t="s">
        <v>69</v>
      </c>
      <c r="AJ1746" t="s">
        <v>69</v>
      </c>
      <c r="AK1746" t="s">
        <v>69</v>
      </c>
      <c r="AL1746">
        <v>35</v>
      </c>
      <c r="AM1746">
        <v>20</v>
      </c>
      <c r="AN1746">
        <v>20</v>
      </c>
      <c r="AO1746">
        <v>0</v>
      </c>
      <c r="AP1746">
        <v>4</v>
      </c>
      <c r="AQ1746" t="s">
        <v>32181</v>
      </c>
      <c r="AR1746" t="s">
        <v>16417</v>
      </c>
      <c r="AS1746" t="s">
        <v>32182</v>
      </c>
      <c r="AT1746" t="s">
        <v>6093</v>
      </c>
      <c r="AU1746" t="s">
        <v>69</v>
      </c>
      <c r="AV1746" t="s">
        <v>69</v>
      </c>
      <c r="AW1746" t="s">
        <v>32183</v>
      </c>
      <c r="AX1746" t="s">
        <v>32184</v>
      </c>
      <c r="AY1746" t="s">
        <v>274</v>
      </c>
      <c r="AZ1746">
        <v>1997</v>
      </c>
      <c r="BA1746">
        <v>48</v>
      </c>
      <c r="BB1746">
        <v>11</v>
      </c>
      <c r="BC1746" t="s">
        <v>69</v>
      </c>
      <c r="BD1746" t="s">
        <v>69</v>
      </c>
      <c r="BE1746" t="s">
        <v>69</v>
      </c>
      <c r="BF1746" t="s">
        <v>69</v>
      </c>
      <c r="BG1746">
        <v>1045</v>
      </c>
      <c r="BH1746">
        <v>1056</v>
      </c>
      <c r="BI1746" t="s">
        <v>69</v>
      </c>
      <c r="BJ1746" t="s">
        <v>32185</v>
      </c>
      <c r="BK1746" t="str">
        <f>HYPERLINK("http://dx.doi.org/10.2307/3010300","http://dx.doi.org/10.2307/3010300")</f>
        <v>http://dx.doi.org/10.2307/3010300</v>
      </c>
      <c r="BL1746" t="s">
        <v>69</v>
      </c>
      <c r="BM1746" t="s">
        <v>69</v>
      </c>
      <c r="BN1746">
        <v>12</v>
      </c>
      <c r="BO1746" t="s">
        <v>32186</v>
      </c>
      <c r="BP1746" t="s">
        <v>8523</v>
      </c>
      <c r="BQ1746" t="s">
        <v>32187</v>
      </c>
      <c r="BR1746" t="s">
        <v>32188</v>
      </c>
      <c r="BS1746" t="s">
        <v>6094</v>
      </c>
      <c r="BT1746" t="s">
        <v>69</v>
      </c>
      <c r="BU1746" t="s">
        <v>69</v>
      </c>
      <c r="BV1746" t="s">
        <v>69</v>
      </c>
      <c r="BW1746" t="s">
        <v>69</v>
      </c>
      <c r="BX1746" t="s">
        <v>8526</v>
      </c>
      <c r="BY1746" t="str">
        <f>HYPERLINK("https%3A%2F%2Fwww.webofscience.com%2Fwos%2Fwoscc%2Ffull-record%2FWOS:A1997YD97800001","View Full Record in Web of Science")</f>
        <v>View Full Record in Web of Science</v>
      </c>
    </row>
    <row r="1747" spans="1:77" ht="12.5" x14ac:dyDescent="0.25">
      <c r="A1747" t="s">
        <v>8495</v>
      </c>
      <c r="B1747" s="22" t="s">
        <v>32931</v>
      </c>
      <c r="C1747" s="7"/>
      <c r="D1747" s="7"/>
      <c r="E1747" s="7"/>
      <c r="F1747" t="s">
        <v>67</v>
      </c>
      <c r="G1747" t="s">
        <v>19231</v>
      </c>
      <c r="H1747" t="s">
        <v>69</v>
      </c>
      <c r="I1747" t="s">
        <v>69</v>
      </c>
      <c r="J1747" t="s">
        <v>69</v>
      </c>
      <c r="K1747" t="s">
        <v>19232</v>
      </c>
      <c r="L1747" t="s">
        <v>69</v>
      </c>
      <c r="M1747" t="s">
        <v>69</v>
      </c>
      <c r="N1747" t="s">
        <v>19233</v>
      </c>
      <c r="O1747" t="s">
        <v>8226</v>
      </c>
      <c r="P1747" t="s">
        <v>69</v>
      </c>
      <c r="Q1747" t="s">
        <v>69</v>
      </c>
      <c r="R1747" t="s">
        <v>8505</v>
      </c>
      <c r="S1747" t="s">
        <v>8506</v>
      </c>
      <c r="T1747" t="s">
        <v>69</v>
      </c>
      <c r="U1747" t="s">
        <v>69</v>
      </c>
      <c r="V1747" t="s">
        <v>69</v>
      </c>
      <c r="W1747" t="s">
        <v>69</v>
      </c>
      <c r="X1747" t="s">
        <v>69</v>
      </c>
      <c r="Y1747" t="s">
        <v>19234</v>
      </c>
      <c r="Z1747" t="s">
        <v>19235</v>
      </c>
      <c r="AA1747" t="s">
        <v>19236</v>
      </c>
      <c r="AB1747" t="s">
        <v>19237</v>
      </c>
      <c r="AC1747" t="s">
        <v>69</v>
      </c>
      <c r="AD1747" t="s">
        <v>19238</v>
      </c>
      <c r="AE1747" t="s">
        <v>19239</v>
      </c>
      <c r="AF1747" t="s">
        <v>69</v>
      </c>
      <c r="AG1747" t="s">
        <v>19240</v>
      </c>
      <c r="AH1747" t="s">
        <v>19241</v>
      </c>
      <c r="AI1747" t="s">
        <v>19241</v>
      </c>
      <c r="AJ1747" t="s">
        <v>19242</v>
      </c>
      <c r="AK1747" t="s">
        <v>69</v>
      </c>
      <c r="AL1747">
        <v>85</v>
      </c>
      <c r="AM1747">
        <v>5</v>
      </c>
      <c r="AN1747">
        <v>5</v>
      </c>
      <c r="AO1747">
        <v>4</v>
      </c>
      <c r="AP1747">
        <v>48</v>
      </c>
      <c r="AQ1747" t="s">
        <v>9047</v>
      </c>
      <c r="AR1747" t="s">
        <v>9048</v>
      </c>
      <c r="AS1747" t="s">
        <v>9049</v>
      </c>
      <c r="AT1747" t="s">
        <v>8229</v>
      </c>
      <c r="AU1747" t="s">
        <v>8230</v>
      </c>
      <c r="AV1747" t="s">
        <v>69</v>
      </c>
      <c r="AW1747" t="s">
        <v>19243</v>
      </c>
      <c r="AX1747" t="s">
        <v>19244</v>
      </c>
      <c r="AY1747" t="s">
        <v>191</v>
      </c>
      <c r="AZ1747">
        <v>2018</v>
      </c>
      <c r="BA1747">
        <v>11</v>
      </c>
      <c r="BB1747">
        <v>2</v>
      </c>
      <c r="BC1747" t="s">
        <v>69</v>
      </c>
      <c r="BD1747" t="s">
        <v>69</v>
      </c>
      <c r="BE1747" t="s">
        <v>69</v>
      </c>
      <c r="BF1747" t="s">
        <v>69</v>
      </c>
      <c r="BG1747">
        <v>371</v>
      </c>
      <c r="BH1747">
        <v>391</v>
      </c>
      <c r="BI1747" t="s">
        <v>69</v>
      </c>
      <c r="BJ1747" t="s">
        <v>19245</v>
      </c>
      <c r="BK1747" t="str">
        <f>HYPERLINK("http://dx.doi.org/10.1007/s12053-017-9568-6","http://dx.doi.org/10.1007/s12053-017-9568-6")</f>
        <v>http://dx.doi.org/10.1007/s12053-017-9568-6</v>
      </c>
      <c r="BL1747" t="s">
        <v>69</v>
      </c>
      <c r="BM1747" t="s">
        <v>69</v>
      </c>
      <c r="BN1747">
        <v>21</v>
      </c>
      <c r="BO1747" t="s">
        <v>19246</v>
      </c>
      <c r="BP1747" t="s">
        <v>8523</v>
      </c>
      <c r="BQ1747" t="s">
        <v>19247</v>
      </c>
      <c r="BR1747" t="s">
        <v>19248</v>
      </c>
      <c r="BS1747" t="s">
        <v>19249</v>
      </c>
      <c r="BT1747" t="s">
        <v>69</v>
      </c>
      <c r="BU1747" t="s">
        <v>10423</v>
      </c>
      <c r="BV1747" t="s">
        <v>69</v>
      </c>
      <c r="BW1747" t="s">
        <v>69</v>
      </c>
      <c r="BX1747" t="s">
        <v>8526</v>
      </c>
      <c r="BY1747" t="str">
        <f>HYPERLINK("https%3A%2F%2Fwww.webofscience.com%2Fwos%2Fwoscc%2Ffull-record%2FWOS:000422803500005","View Full Record in Web of Science")</f>
        <v>View Full Record in Web of Science</v>
      </c>
    </row>
    <row r="1748" spans="1:77" ht="12.5" x14ac:dyDescent="0.25">
      <c r="A1748" t="s">
        <v>8495</v>
      </c>
      <c r="B1748" s="7" t="s">
        <v>32933</v>
      </c>
      <c r="C1748" s="7"/>
      <c r="D1748" s="7"/>
      <c r="E1748" s="7"/>
      <c r="F1748" t="s">
        <v>67</v>
      </c>
      <c r="G1748" t="s">
        <v>491</v>
      </c>
      <c r="H1748" t="s">
        <v>69</v>
      </c>
      <c r="I1748" t="s">
        <v>69</v>
      </c>
      <c r="J1748" t="s">
        <v>69</v>
      </c>
      <c r="K1748" t="s">
        <v>492</v>
      </c>
      <c r="L1748" t="s">
        <v>69</v>
      </c>
      <c r="M1748" t="s">
        <v>69</v>
      </c>
      <c r="N1748" t="s">
        <v>493</v>
      </c>
      <c r="O1748" t="s">
        <v>352</v>
      </c>
      <c r="P1748" t="s">
        <v>69</v>
      </c>
      <c r="Q1748" t="s">
        <v>69</v>
      </c>
      <c r="R1748" t="s">
        <v>8505</v>
      </c>
      <c r="S1748" t="s">
        <v>8506</v>
      </c>
      <c r="T1748" t="s">
        <v>69</v>
      </c>
      <c r="U1748" t="s">
        <v>69</v>
      </c>
      <c r="V1748" t="s">
        <v>69</v>
      </c>
      <c r="W1748" t="s">
        <v>69</v>
      </c>
      <c r="X1748" t="s">
        <v>69</v>
      </c>
      <c r="Y1748" t="s">
        <v>23861</v>
      </c>
      <c r="Z1748" t="s">
        <v>23862</v>
      </c>
      <c r="AA1748" t="s">
        <v>494</v>
      </c>
      <c r="AB1748" t="s">
        <v>23863</v>
      </c>
      <c r="AC1748" t="s">
        <v>69</v>
      </c>
      <c r="AD1748" t="s">
        <v>23864</v>
      </c>
      <c r="AE1748" t="s">
        <v>23865</v>
      </c>
      <c r="AF1748" t="s">
        <v>69</v>
      </c>
      <c r="AG1748" t="s">
        <v>495</v>
      </c>
      <c r="AH1748" t="s">
        <v>69</v>
      </c>
      <c r="AI1748" t="s">
        <v>69</v>
      </c>
      <c r="AJ1748" t="s">
        <v>69</v>
      </c>
      <c r="AK1748" t="s">
        <v>69</v>
      </c>
      <c r="AL1748">
        <v>47</v>
      </c>
      <c r="AM1748">
        <v>5</v>
      </c>
      <c r="AN1748">
        <v>6</v>
      </c>
      <c r="AO1748">
        <v>3</v>
      </c>
      <c r="AP1748">
        <v>43</v>
      </c>
      <c r="AQ1748" t="s">
        <v>8924</v>
      </c>
      <c r="AR1748" t="s">
        <v>8925</v>
      </c>
      <c r="AS1748" t="s">
        <v>8926</v>
      </c>
      <c r="AT1748" t="s">
        <v>69</v>
      </c>
      <c r="AU1748" t="s">
        <v>354</v>
      </c>
      <c r="AV1748" t="s">
        <v>69</v>
      </c>
      <c r="AW1748" t="s">
        <v>8958</v>
      </c>
      <c r="AX1748" t="s">
        <v>8434</v>
      </c>
      <c r="AY1748" t="s">
        <v>246</v>
      </c>
      <c r="AZ1748">
        <v>2014</v>
      </c>
      <c r="BA1748">
        <v>6</v>
      </c>
      <c r="BB1748">
        <v>4</v>
      </c>
      <c r="BC1748" t="s">
        <v>69</v>
      </c>
      <c r="BD1748" t="s">
        <v>69</v>
      </c>
      <c r="BE1748" t="s">
        <v>69</v>
      </c>
      <c r="BF1748" t="s">
        <v>69</v>
      </c>
      <c r="BG1748">
        <v>1709</v>
      </c>
      <c r="BH1748">
        <v>1728</v>
      </c>
      <c r="BI1748" t="s">
        <v>69</v>
      </c>
      <c r="BJ1748" t="s">
        <v>496</v>
      </c>
      <c r="BK1748" t="str">
        <f>HYPERLINK("http://dx.doi.org/10.3390/su6041709","http://dx.doi.org/10.3390/su6041709")</f>
        <v>http://dx.doi.org/10.3390/su6041709</v>
      </c>
      <c r="BL1748" t="s">
        <v>69</v>
      </c>
      <c r="BM1748" t="s">
        <v>69</v>
      </c>
      <c r="BN1748">
        <v>20</v>
      </c>
      <c r="BO1748" t="s">
        <v>8960</v>
      </c>
      <c r="BP1748" t="s">
        <v>8523</v>
      </c>
      <c r="BQ1748" t="s">
        <v>8961</v>
      </c>
      <c r="BR1748" t="s">
        <v>23866</v>
      </c>
      <c r="BS1748" t="s">
        <v>497</v>
      </c>
      <c r="BT1748" t="s">
        <v>69</v>
      </c>
      <c r="BU1748" t="s">
        <v>9352</v>
      </c>
      <c r="BV1748" t="s">
        <v>69</v>
      </c>
      <c r="BW1748" t="s">
        <v>69</v>
      </c>
      <c r="BX1748" t="s">
        <v>8526</v>
      </c>
      <c r="BY1748" t="str">
        <f>HYPERLINK("https%3A%2F%2Fwww.webofscience.com%2Fwos%2Fwoscc%2Ffull-record%2FWOS:000334921800005","View Full Record in Web of Science")</f>
        <v>View Full Record in Web of Science</v>
      </c>
    </row>
    <row r="1749" spans="1:77" x14ac:dyDescent="0.3">
      <c r="A1749" t="s">
        <v>8495</v>
      </c>
      <c r="B1749" s="10" t="s">
        <v>33039</v>
      </c>
      <c r="F1749" t="s">
        <v>67</v>
      </c>
      <c r="G1749" t="s">
        <v>3735</v>
      </c>
      <c r="H1749" t="s">
        <v>69</v>
      </c>
      <c r="I1749" t="s">
        <v>69</v>
      </c>
      <c r="J1749" t="s">
        <v>69</v>
      </c>
      <c r="K1749" s="2" t="s">
        <v>3736</v>
      </c>
      <c r="L1749" t="s">
        <v>69</v>
      </c>
      <c r="M1749" t="s">
        <v>69</v>
      </c>
      <c r="N1749" s="6" t="s">
        <v>3737</v>
      </c>
      <c r="O1749" t="s">
        <v>3738</v>
      </c>
      <c r="P1749" t="s">
        <v>69</v>
      </c>
      <c r="Q1749" t="s">
        <v>69</v>
      </c>
      <c r="R1749" t="s">
        <v>8505</v>
      </c>
      <c r="S1749" t="s">
        <v>8506</v>
      </c>
      <c r="T1749" t="s">
        <v>69</v>
      </c>
      <c r="U1749" t="s">
        <v>69</v>
      </c>
      <c r="V1749" t="s">
        <v>69</v>
      </c>
      <c r="W1749" t="s">
        <v>69</v>
      </c>
      <c r="X1749" t="s">
        <v>69</v>
      </c>
      <c r="Y1749" t="s">
        <v>29749</v>
      </c>
      <c r="Z1749" t="s">
        <v>69</v>
      </c>
      <c r="AA1749" t="s">
        <v>3739</v>
      </c>
      <c r="AB1749" t="s">
        <v>29750</v>
      </c>
      <c r="AC1749" t="s">
        <v>69</v>
      </c>
      <c r="AD1749" t="s">
        <v>29751</v>
      </c>
      <c r="AE1749" t="s">
        <v>29752</v>
      </c>
      <c r="AF1749" t="s">
        <v>69</v>
      </c>
      <c r="AG1749" t="s">
        <v>69</v>
      </c>
      <c r="AH1749" t="s">
        <v>69</v>
      </c>
      <c r="AI1749" t="s">
        <v>69</v>
      </c>
      <c r="AJ1749" t="s">
        <v>69</v>
      </c>
      <c r="AK1749" t="s">
        <v>69</v>
      </c>
      <c r="AL1749">
        <v>38</v>
      </c>
      <c r="AM1749">
        <v>16</v>
      </c>
      <c r="AN1749">
        <v>16</v>
      </c>
      <c r="AO1749">
        <v>3</v>
      </c>
      <c r="AP1749">
        <v>17</v>
      </c>
      <c r="AQ1749" t="s">
        <v>9047</v>
      </c>
      <c r="AR1749" t="s">
        <v>9048</v>
      </c>
      <c r="AS1749" t="s">
        <v>9049</v>
      </c>
      <c r="AT1749" t="s">
        <v>3740</v>
      </c>
      <c r="AU1749" t="s">
        <v>3741</v>
      </c>
      <c r="AV1749" t="s">
        <v>69</v>
      </c>
      <c r="AW1749" t="s">
        <v>29753</v>
      </c>
      <c r="AX1749" t="s">
        <v>29754</v>
      </c>
      <c r="AY1749" t="s">
        <v>246</v>
      </c>
      <c r="AZ1749">
        <v>2007</v>
      </c>
      <c r="BA1749">
        <v>20</v>
      </c>
      <c r="BB1749">
        <v>2</v>
      </c>
      <c r="BC1749" t="s">
        <v>69</v>
      </c>
      <c r="BD1749" t="s">
        <v>69</v>
      </c>
      <c r="BE1749" t="s">
        <v>69</v>
      </c>
      <c r="BF1749" t="s">
        <v>69</v>
      </c>
      <c r="BG1749">
        <v>139</v>
      </c>
      <c r="BH1749">
        <v>165</v>
      </c>
      <c r="BI1749" t="s">
        <v>69</v>
      </c>
      <c r="BJ1749" t="s">
        <v>3742</v>
      </c>
      <c r="BK1749" t="str">
        <f>HYPERLINK("http://dx.doi.org/10.1007/s10806-006-9027-4","http://dx.doi.org/10.1007/s10806-006-9027-4")</f>
        <v>http://dx.doi.org/10.1007/s10806-006-9027-4</v>
      </c>
      <c r="BL1749" t="s">
        <v>69</v>
      </c>
      <c r="BM1749" t="s">
        <v>69</v>
      </c>
      <c r="BN1749">
        <v>27</v>
      </c>
      <c r="BO1749" t="s">
        <v>29755</v>
      </c>
      <c r="BP1749" t="s">
        <v>18553</v>
      </c>
      <c r="BQ1749" t="s">
        <v>29756</v>
      </c>
      <c r="BR1749" t="s">
        <v>29757</v>
      </c>
      <c r="BS1749" t="s">
        <v>3743</v>
      </c>
      <c r="BT1749" t="s">
        <v>69</v>
      </c>
      <c r="BU1749" t="s">
        <v>69</v>
      </c>
      <c r="BV1749" t="s">
        <v>69</v>
      </c>
      <c r="BW1749" t="s">
        <v>69</v>
      </c>
      <c r="BX1749" t="s">
        <v>8526</v>
      </c>
      <c r="BY1749" t="str">
        <f>HYPERLINK("https%3A%2F%2Fwww.webofscience.com%2Fwos%2Fwoscc%2Ffull-record%2FWOS:000245269000002","View Full Record in Web of Science")</f>
        <v>View Full Record in Web of Science</v>
      </c>
    </row>
    <row r="1750" spans="1:77" ht="12.5" x14ac:dyDescent="0.25">
      <c r="A1750" t="s">
        <v>8495</v>
      </c>
      <c r="B1750" s="22" t="s">
        <v>32931</v>
      </c>
      <c r="C1750" s="7"/>
      <c r="D1750" s="7"/>
      <c r="E1750" s="7"/>
      <c r="F1750" t="s">
        <v>67</v>
      </c>
      <c r="G1750" t="s">
        <v>30900</v>
      </c>
      <c r="H1750" t="s">
        <v>69</v>
      </c>
      <c r="I1750" t="s">
        <v>69</v>
      </c>
      <c r="J1750" t="s">
        <v>69</v>
      </c>
      <c r="K1750" t="s">
        <v>30901</v>
      </c>
      <c r="L1750" t="s">
        <v>69</v>
      </c>
      <c r="M1750" t="s">
        <v>69</v>
      </c>
      <c r="N1750" t="s">
        <v>30902</v>
      </c>
      <c r="O1750" t="s">
        <v>30903</v>
      </c>
      <c r="P1750" t="s">
        <v>69</v>
      </c>
      <c r="Q1750" t="s">
        <v>69</v>
      </c>
      <c r="R1750" t="s">
        <v>8505</v>
      </c>
      <c r="S1750" t="s">
        <v>8506</v>
      </c>
      <c r="T1750" t="s">
        <v>69</v>
      </c>
      <c r="U1750" t="s">
        <v>69</v>
      </c>
      <c r="V1750" t="s">
        <v>69</v>
      </c>
      <c r="W1750" t="s">
        <v>69</v>
      </c>
      <c r="X1750" t="s">
        <v>69</v>
      </c>
      <c r="Y1750" t="s">
        <v>69</v>
      </c>
      <c r="Z1750" t="s">
        <v>69</v>
      </c>
      <c r="AA1750" t="s">
        <v>30904</v>
      </c>
      <c r="AB1750" t="s">
        <v>30905</v>
      </c>
      <c r="AC1750" t="s">
        <v>69</v>
      </c>
      <c r="AD1750" t="s">
        <v>30906</v>
      </c>
      <c r="AE1750" t="s">
        <v>69</v>
      </c>
      <c r="AF1750" t="s">
        <v>30907</v>
      </c>
      <c r="AG1750" t="s">
        <v>69</v>
      </c>
      <c r="AH1750" t="s">
        <v>69</v>
      </c>
      <c r="AI1750" t="s">
        <v>69</v>
      </c>
      <c r="AJ1750" t="s">
        <v>69</v>
      </c>
      <c r="AK1750" t="s">
        <v>69</v>
      </c>
      <c r="AL1750">
        <v>4</v>
      </c>
      <c r="AM1750">
        <v>1</v>
      </c>
      <c r="AN1750">
        <v>1</v>
      </c>
      <c r="AO1750">
        <v>0</v>
      </c>
      <c r="AP1750">
        <v>0</v>
      </c>
      <c r="AQ1750" t="s">
        <v>30908</v>
      </c>
      <c r="AR1750" t="s">
        <v>14458</v>
      </c>
      <c r="AS1750" t="s">
        <v>30909</v>
      </c>
      <c r="AT1750" t="s">
        <v>30910</v>
      </c>
      <c r="AU1750" t="s">
        <v>69</v>
      </c>
      <c r="AV1750" t="s">
        <v>69</v>
      </c>
      <c r="AW1750" t="s">
        <v>30911</v>
      </c>
      <c r="AX1750" t="s">
        <v>30912</v>
      </c>
      <c r="AY1750" t="s">
        <v>602</v>
      </c>
      <c r="AZ1750">
        <v>2005</v>
      </c>
      <c r="BA1750">
        <v>7</v>
      </c>
      <c r="BB1750">
        <v>1</v>
      </c>
      <c r="BC1750" t="s">
        <v>69</v>
      </c>
      <c r="BD1750" t="s">
        <v>69</v>
      </c>
      <c r="BE1750" t="s">
        <v>69</v>
      </c>
      <c r="BF1750" t="s">
        <v>69</v>
      </c>
      <c r="BG1750">
        <v>136</v>
      </c>
      <c r="BH1750">
        <v>146</v>
      </c>
      <c r="BI1750" t="s">
        <v>69</v>
      </c>
      <c r="BJ1750" t="s">
        <v>69</v>
      </c>
      <c r="BK1750" t="s">
        <v>69</v>
      </c>
      <c r="BL1750" t="s">
        <v>69</v>
      </c>
      <c r="BM1750" t="s">
        <v>69</v>
      </c>
      <c r="BN1750">
        <v>11</v>
      </c>
      <c r="BO1750" t="s">
        <v>13241</v>
      </c>
      <c r="BP1750" t="s">
        <v>8573</v>
      </c>
      <c r="BQ1750" t="s">
        <v>10084</v>
      </c>
      <c r="BR1750" t="s">
        <v>30913</v>
      </c>
      <c r="BS1750" t="s">
        <v>30914</v>
      </c>
      <c r="BT1750" t="s">
        <v>69</v>
      </c>
      <c r="BU1750" t="s">
        <v>69</v>
      </c>
      <c r="BV1750" t="s">
        <v>69</v>
      </c>
      <c r="BW1750" t="s">
        <v>69</v>
      </c>
      <c r="BX1750" t="s">
        <v>8526</v>
      </c>
      <c r="BY1750" t="str">
        <f>HYPERLINK("https%3A%2F%2Fwww.webofscience.com%2Fwos%2Fwoscc%2Ffull-record%2FWOS:000451343600017","View Full Record in Web of Science")</f>
        <v>View Full Record in Web of Science</v>
      </c>
    </row>
    <row r="1751" spans="1:77" ht="12.5" x14ac:dyDescent="0.25">
      <c r="A1751" t="s">
        <v>8495</v>
      </c>
      <c r="B1751" s="22" t="s">
        <v>32931</v>
      </c>
      <c r="C1751" s="7"/>
      <c r="D1751" s="7"/>
      <c r="E1751" s="7"/>
      <c r="F1751" t="s">
        <v>67</v>
      </c>
      <c r="G1751" t="s">
        <v>25527</v>
      </c>
      <c r="H1751" t="s">
        <v>69</v>
      </c>
      <c r="I1751" t="s">
        <v>69</v>
      </c>
      <c r="J1751" t="s">
        <v>69</v>
      </c>
      <c r="K1751" t="s">
        <v>25528</v>
      </c>
      <c r="L1751" t="s">
        <v>69</v>
      </c>
      <c r="M1751" t="s">
        <v>69</v>
      </c>
      <c r="N1751" t="s">
        <v>25529</v>
      </c>
      <c r="O1751" t="s">
        <v>24318</v>
      </c>
      <c r="P1751" t="s">
        <v>69</v>
      </c>
      <c r="Q1751" t="s">
        <v>69</v>
      </c>
      <c r="R1751" t="s">
        <v>14610</v>
      </c>
      <c r="S1751" t="s">
        <v>8506</v>
      </c>
      <c r="T1751" t="s">
        <v>69</v>
      </c>
      <c r="U1751" t="s">
        <v>69</v>
      </c>
      <c r="V1751" t="s">
        <v>69</v>
      </c>
      <c r="W1751" t="s">
        <v>69</v>
      </c>
      <c r="X1751" t="s">
        <v>69</v>
      </c>
      <c r="Y1751" t="s">
        <v>25530</v>
      </c>
      <c r="Z1751" t="s">
        <v>25531</v>
      </c>
      <c r="AA1751" t="s">
        <v>25532</v>
      </c>
      <c r="AB1751" t="s">
        <v>25533</v>
      </c>
      <c r="AC1751" t="s">
        <v>69</v>
      </c>
      <c r="AD1751" t="s">
        <v>25534</v>
      </c>
      <c r="AE1751" t="s">
        <v>25535</v>
      </c>
      <c r="AF1751" t="s">
        <v>69</v>
      </c>
      <c r="AG1751" t="s">
        <v>69</v>
      </c>
      <c r="AH1751" t="s">
        <v>69</v>
      </c>
      <c r="AI1751" t="s">
        <v>69</v>
      </c>
      <c r="AJ1751" t="s">
        <v>69</v>
      </c>
      <c r="AK1751" t="s">
        <v>69</v>
      </c>
      <c r="AL1751">
        <v>48</v>
      </c>
      <c r="AM1751">
        <v>7</v>
      </c>
      <c r="AN1751">
        <v>7</v>
      </c>
      <c r="AO1751">
        <v>0</v>
      </c>
      <c r="AP1751">
        <v>0</v>
      </c>
      <c r="AQ1751" t="s">
        <v>24324</v>
      </c>
      <c r="AR1751" t="s">
        <v>14616</v>
      </c>
      <c r="AS1751" t="s">
        <v>24325</v>
      </c>
      <c r="AT1751" t="s">
        <v>24326</v>
      </c>
      <c r="AU1751" t="s">
        <v>24327</v>
      </c>
      <c r="AV1751" t="s">
        <v>69</v>
      </c>
      <c r="AW1751" t="s">
        <v>24328</v>
      </c>
      <c r="AX1751" t="s">
        <v>24329</v>
      </c>
      <c r="AY1751" t="s">
        <v>69</v>
      </c>
      <c r="AZ1751">
        <v>2013</v>
      </c>
      <c r="BA1751">
        <v>22</v>
      </c>
      <c r="BB1751" t="s">
        <v>69</v>
      </c>
      <c r="BC1751" t="s">
        <v>69</v>
      </c>
      <c r="BD1751" t="s">
        <v>69</v>
      </c>
      <c r="BE1751" t="s">
        <v>69</v>
      </c>
      <c r="BF1751" t="s">
        <v>69</v>
      </c>
      <c r="BG1751">
        <v>44</v>
      </c>
      <c r="BH1751">
        <v>64</v>
      </c>
      <c r="BI1751" t="s">
        <v>69</v>
      </c>
      <c r="BJ1751" t="s">
        <v>69</v>
      </c>
      <c r="BK1751" t="s">
        <v>69</v>
      </c>
      <c r="BL1751" t="s">
        <v>69</v>
      </c>
      <c r="BM1751" t="s">
        <v>69</v>
      </c>
      <c r="BN1751">
        <v>21</v>
      </c>
      <c r="BO1751" t="s">
        <v>8446</v>
      </c>
      <c r="BP1751" t="s">
        <v>8573</v>
      </c>
      <c r="BQ1751" t="s">
        <v>8446</v>
      </c>
      <c r="BR1751" t="s">
        <v>25536</v>
      </c>
      <c r="BS1751" t="s">
        <v>25537</v>
      </c>
      <c r="BT1751" t="s">
        <v>69</v>
      </c>
      <c r="BU1751" t="s">
        <v>69</v>
      </c>
      <c r="BV1751" t="s">
        <v>69</v>
      </c>
      <c r="BW1751" t="s">
        <v>69</v>
      </c>
      <c r="BX1751" t="s">
        <v>8526</v>
      </c>
      <c r="BY1751" t="str">
        <f>HYPERLINK("https%3A%2F%2Fwww.webofscience.com%2Fwos%2Fwoscc%2Ffull-record%2FWOS:000448631900004","View Full Record in Web of Science")</f>
        <v>View Full Record in Web of Science</v>
      </c>
    </row>
    <row r="1752" spans="1:77" ht="12.5" x14ac:dyDescent="0.25">
      <c r="A1752" t="s">
        <v>8495</v>
      </c>
      <c r="B1752" s="7" t="s">
        <v>32933</v>
      </c>
      <c r="C1752" s="7"/>
      <c r="D1752" s="7"/>
      <c r="E1752" s="7"/>
      <c r="F1752" t="s">
        <v>67</v>
      </c>
      <c r="G1752" t="s">
        <v>3804</v>
      </c>
      <c r="H1752" t="s">
        <v>69</v>
      </c>
      <c r="I1752" t="s">
        <v>69</v>
      </c>
      <c r="J1752" t="s">
        <v>69</v>
      </c>
      <c r="K1752" t="s">
        <v>3805</v>
      </c>
      <c r="L1752" t="s">
        <v>69</v>
      </c>
      <c r="M1752" t="s">
        <v>69</v>
      </c>
      <c r="N1752" t="s">
        <v>3806</v>
      </c>
      <c r="O1752" t="s">
        <v>3807</v>
      </c>
      <c r="P1752" t="s">
        <v>69</v>
      </c>
      <c r="Q1752" t="s">
        <v>69</v>
      </c>
      <c r="R1752" t="s">
        <v>8505</v>
      </c>
      <c r="S1752" t="s">
        <v>8506</v>
      </c>
      <c r="T1752" t="s">
        <v>69</v>
      </c>
      <c r="U1752" t="s">
        <v>69</v>
      </c>
      <c r="V1752" t="s">
        <v>69</v>
      </c>
      <c r="W1752" t="s">
        <v>69</v>
      </c>
      <c r="X1752" t="s">
        <v>69</v>
      </c>
      <c r="Y1752" t="s">
        <v>69</v>
      </c>
      <c r="Z1752" t="s">
        <v>30124</v>
      </c>
      <c r="AA1752" t="s">
        <v>3808</v>
      </c>
      <c r="AB1752" t="s">
        <v>30125</v>
      </c>
      <c r="AC1752" t="s">
        <v>69</v>
      </c>
      <c r="AD1752" t="s">
        <v>30126</v>
      </c>
      <c r="AE1752" t="s">
        <v>30127</v>
      </c>
      <c r="AF1752" t="s">
        <v>69</v>
      </c>
      <c r="AG1752" t="s">
        <v>69</v>
      </c>
      <c r="AH1752" t="s">
        <v>30128</v>
      </c>
      <c r="AI1752" t="s">
        <v>30129</v>
      </c>
      <c r="AJ1752" t="s">
        <v>69</v>
      </c>
      <c r="AK1752" t="s">
        <v>69</v>
      </c>
      <c r="AL1752">
        <v>72</v>
      </c>
      <c r="AM1752">
        <v>8</v>
      </c>
      <c r="AN1752">
        <v>8</v>
      </c>
      <c r="AO1752">
        <v>0</v>
      </c>
      <c r="AP1752">
        <v>2</v>
      </c>
      <c r="AQ1752" t="s">
        <v>9178</v>
      </c>
      <c r="AR1752" t="s">
        <v>8763</v>
      </c>
      <c r="AS1752" t="s">
        <v>9179</v>
      </c>
      <c r="AT1752" t="s">
        <v>3809</v>
      </c>
      <c r="AU1752" t="s">
        <v>3810</v>
      </c>
      <c r="AV1752" t="s">
        <v>69</v>
      </c>
      <c r="AW1752" t="s">
        <v>25897</v>
      </c>
      <c r="AX1752" t="s">
        <v>25898</v>
      </c>
      <c r="AY1752" t="s">
        <v>75</v>
      </c>
      <c r="AZ1752">
        <v>2006</v>
      </c>
      <c r="BA1752">
        <v>15</v>
      </c>
      <c r="BB1752" t="s">
        <v>69</v>
      </c>
      <c r="BC1752" t="s">
        <v>69</v>
      </c>
      <c r="BD1752">
        <v>4</v>
      </c>
      <c r="BE1752" t="s">
        <v>69</v>
      </c>
      <c r="BF1752" t="s">
        <v>69</v>
      </c>
      <c r="BG1752">
        <v>54</v>
      </c>
      <c r="BH1752">
        <v>67</v>
      </c>
      <c r="BI1752" t="s">
        <v>69</v>
      </c>
      <c r="BJ1752" t="s">
        <v>3811</v>
      </c>
      <c r="BK1752" t="str">
        <f>HYPERLINK("http://dx.doi.org/10.1136/tc.2006.017947","http://dx.doi.org/10.1136/tc.2006.017947")</f>
        <v>http://dx.doi.org/10.1136/tc.2006.017947</v>
      </c>
      <c r="BL1752" t="s">
        <v>69</v>
      </c>
      <c r="BM1752" t="s">
        <v>69</v>
      </c>
      <c r="BN1752">
        <v>14</v>
      </c>
      <c r="BO1752" t="s">
        <v>25899</v>
      </c>
      <c r="BP1752" t="s">
        <v>8523</v>
      </c>
      <c r="BQ1752" t="s">
        <v>25899</v>
      </c>
      <c r="BR1752" t="s">
        <v>30130</v>
      </c>
      <c r="BS1752" t="s">
        <v>3812</v>
      </c>
      <c r="BT1752">
        <v>17130625</v>
      </c>
      <c r="BU1752" t="s">
        <v>10423</v>
      </c>
      <c r="BV1752" t="s">
        <v>69</v>
      </c>
      <c r="BW1752" t="s">
        <v>69</v>
      </c>
      <c r="BX1752" t="s">
        <v>8526</v>
      </c>
      <c r="BY1752" t="str">
        <f>HYPERLINK("https%3A%2F%2Fwww.webofscience.com%2Fwos%2Fwoscc%2Ffull-record%2FWOS:000242339100008","View Full Record in Web of Science")</f>
        <v>View Full Record in Web of Science</v>
      </c>
    </row>
    <row r="1753" spans="1:77" ht="12.5" x14ac:dyDescent="0.25">
      <c r="A1753" t="s">
        <v>8495</v>
      </c>
      <c r="B1753" s="7" t="s">
        <v>32933</v>
      </c>
      <c r="C1753" s="7"/>
      <c r="D1753" s="7"/>
      <c r="E1753" s="7"/>
      <c r="F1753" t="s">
        <v>67</v>
      </c>
      <c r="G1753" t="s">
        <v>2024</v>
      </c>
      <c r="H1753" t="s">
        <v>69</v>
      </c>
      <c r="I1753" t="s">
        <v>69</v>
      </c>
      <c r="J1753" t="s">
        <v>69</v>
      </c>
      <c r="K1753" t="s">
        <v>2025</v>
      </c>
      <c r="L1753" t="s">
        <v>69</v>
      </c>
      <c r="M1753" t="s">
        <v>69</v>
      </c>
      <c r="N1753" s="3" t="s">
        <v>2026</v>
      </c>
      <c r="O1753" t="s">
        <v>2027</v>
      </c>
      <c r="P1753" t="s">
        <v>69</v>
      </c>
      <c r="Q1753" t="s">
        <v>69</v>
      </c>
      <c r="R1753" t="s">
        <v>8505</v>
      </c>
      <c r="S1753" t="s">
        <v>8506</v>
      </c>
      <c r="T1753" t="s">
        <v>69</v>
      </c>
      <c r="U1753" t="s">
        <v>69</v>
      </c>
      <c r="V1753" t="s">
        <v>69</v>
      </c>
      <c r="W1753" t="s">
        <v>69</v>
      </c>
      <c r="X1753" t="s">
        <v>69</v>
      </c>
      <c r="Y1753" t="s">
        <v>15870</v>
      </c>
      <c r="Z1753" t="s">
        <v>15871</v>
      </c>
      <c r="AA1753" t="s">
        <v>2028</v>
      </c>
      <c r="AB1753" t="s">
        <v>15872</v>
      </c>
      <c r="AC1753" t="s">
        <v>69</v>
      </c>
      <c r="AD1753" t="s">
        <v>15873</v>
      </c>
      <c r="AE1753" t="s">
        <v>15874</v>
      </c>
      <c r="AF1753" t="s">
        <v>69</v>
      </c>
      <c r="AG1753" t="s">
        <v>69</v>
      </c>
      <c r="AH1753" t="s">
        <v>69</v>
      </c>
      <c r="AI1753" t="s">
        <v>69</v>
      </c>
      <c r="AJ1753" t="s">
        <v>69</v>
      </c>
      <c r="AK1753" t="s">
        <v>69</v>
      </c>
      <c r="AL1753">
        <v>85</v>
      </c>
      <c r="AM1753">
        <v>8</v>
      </c>
      <c r="AN1753">
        <v>8</v>
      </c>
      <c r="AO1753">
        <v>14</v>
      </c>
      <c r="AP1753">
        <v>57</v>
      </c>
      <c r="AQ1753" t="s">
        <v>8516</v>
      </c>
      <c r="AR1753" t="s">
        <v>8517</v>
      </c>
      <c r="AS1753" t="s">
        <v>8973</v>
      </c>
      <c r="AT1753" t="s">
        <v>2029</v>
      </c>
      <c r="AU1753" t="s">
        <v>2030</v>
      </c>
      <c r="AV1753" t="s">
        <v>69</v>
      </c>
      <c r="AW1753" t="s">
        <v>2027</v>
      </c>
      <c r="AX1753" t="s">
        <v>15875</v>
      </c>
      <c r="AY1753" t="s">
        <v>2031</v>
      </c>
      <c r="AZ1753">
        <v>2020</v>
      </c>
      <c r="BA1753" t="s">
        <v>2032</v>
      </c>
      <c r="BB1753" t="s">
        <v>69</v>
      </c>
      <c r="BC1753" t="s">
        <v>69</v>
      </c>
      <c r="BD1753" t="s">
        <v>69</v>
      </c>
      <c r="BE1753" t="s">
        <v>69</v>
      </c>
      <c r="BF1753" t="s">
        <v>69</v>
      </c>
      <c r="BG1753" t="s">
        <v>69</v>
      </c>
      <c r="BH1753" t="s">
        <v>69</v>
      </c>
      <c r="BI1753">
        <v>102100</v>
      </c>
      <c r="BJ1753" t="s">
        <v>2033</v>
      </c>
      <c r="BK1753" t="str">
        <f>HYPERLINK("http://dx.doi.org/10.1016/j.technovation.2019.102100","http://dx.doi.org/10.1016/j.technovation.2019.102100")</f>
        <v>http://dx.doi.org/10.1016/j.technovation.2019.102100</v>
      </c>
      <c r="BL1753" t="s">
        <v>69</v>
      </c>
      <c r="BM1753" t="s">
        <v>69</v>
      </c>
      <c r="BN1753">
        <v>13</v>
      </c>
      <c r="BO1753" t="s">
        <v>15876</v>
      </c>
      <c r="BP1753" t="s">
        <v>8523</v>
      </c>
      <c r="BQ1753" t="s">
        <v>15877</v>
      </c>
      <c r="BR1753" t="s">
        <v>15878</v>
      </c>
      <c r="BS1753" t="s">
        <v>2034</v>
      </c>
      <c r="BT1753" t="s">
        <v>69</v>
      </c>
      <c r="BU1753" t="s">
        <v>69</v>
      </c>
      <c r="BV1753" t="s">
        <v>69</v>
      </c>
      <c r="BW1753" t="s">
        <v>69</v>
      </c>
      <c r="BX1753" t="s">
        <v>8526</v>
      </c>
      <c r="BY1753" t="str">
        <f>HYPERLINK("https%3A%2F%2Fwww.webofscience.com%2Fwos%2Fwoscc%2Ffull-record%2FWOS:000521513000004","View Full Record in Web of Science")</f>
        <v>View Full Record in Web of Science</v>
      </c>
    </row>
    <row r="1754" spans="1:77" ht="12.5" x14ac:dyDescent="0.25">
      <c r="A1754" t="s">
        <v>8495</v>
      </c>
      <c r="B1754" s="22" t="s">
        <v>32931</v>
      </c>
      <c r="C1754" s="7"/>
      <c r="D1754" s="7"/>
      <c r="E1754" s="7"/>
      <c r="F1754" t="s">
        <v>67</v>
      </c>
      <c r="G1754" t="s">
        <v>31244</v>
      </c>
      <c r="H1754" t="s">
        <v>69</v>
      </c>
      <c r="I1754" t="s">
        <v>69</v>
      </c>
      <c r="J1754" t="s">
        <v>69</v>
      </c>
      <c r="K1754" t="s">
        <v>31244</v>
      </c>
      <c r="L1754" t="s">
        <v>69</v>
      </c>
      <c r="M1754" t="s">
        <v>69</v>
      </c>
      <c r="N1754" t="s">
        <v>31245</v>
      </c>
      <c r="O1754" t="s">
        <v>17054</v>
      </c>
      <c r="P1754" t="s">
        <v>69</v>
      </c>
      <c r="Q1754" t="s">
        <v>69</v>
      </c>
      <c r="R1754" t="s">
        <v>8505</v>
      </c>
      <c r="S1754" t="s">
        <v>8506</v>
      </c>
      <c r="T1754" t="s">
        <v>69</v>
      </c>
      <c r="U1754" t="s">
        <v>69</v>
      </c>
      <c r="V1754" t="s">
        <v>69</v>
      </c>
      <c r="W1754" t="s">
        <v>69</v>
      </c>
      <c r="X1754" t="s">
        <v>69</v>
      </c>
      <c r="Y1754" t="s">
        <v>31246</v>
      </c>
      <c r="Z1754" t="s">
        <v>69</v>
      </c>
      <c r="AA1754" t="s">
        <v>31247</v>
      </c>
      <c r="AB1754" t="s">
        <v>31248</v>
      </c>
      <c r="AC1754" t="s">
        <v>69</v>
      </c>
      <c r="AD1754" t="s">
        <v>31249</v>
      </c>
      <c r="AE1754" t="s">
        <v>31250</v>
      </c>
      <c r="AF1754" t="s">
        <v>31251</v>
      </c>
      <c r="AG1754" t="s">
        <v>31252</v>
      </c>
      <c r="AH1754" t="s">
        <v>69</v>
      </c>
      <c r="AI1754" t="s">
        <v>69</v>
      </c>
      <c r="AJ1754" t="s">
        <v>69</v>
      </c>
      <c r="AK1754" t="s">
        <v>69</v>
      </c>
      <c r="AL1754">
        <v>39</v>
      </c>
      <c r="AM1754">
        <v>55</v>
      </c>
      <c r="AN1754">
        <v>55</v>
      </c>
      <c r="AO1754">
        <v>0</v>
      </c>
      <c r="AP1754">
        <v>7</v>
      </c>
      <c r="AQ1754" t="s">
        <v>10352</v>
      </c>
      <c r="AR1754" t="s">
        <v>8637</v>
      </c>
      <c r="AS1754" t="s">
        <v>10353</v>
      </c>
      <c r="AT1754" t="s">
        <v>17065</v>
      </c>
      <c r="AU1754" t="s">
        <v>17066</v>
      </c>
      <c r="AV1754" t="s">
        <v>69</v>
      </c>
      <c r="AW1754" t="s">
        <v>17067</v>
      </c>
      <c r="AX1754" t="s">
        <v>17068</v>
      </c>
      <c r="AY1754" t="s">
        <v>94</v>
      </c>
      <c r="AZ1754">
        <v>2003</v>
      </c>
      <c r="BA1754">
        <v>18</v>
      </c>
      <c r="BB1754">
        <v>1</v>
      </c>
      <c r="BC1754" t="s">
        <v>69</v>
      </c>
      <c r="BD1754" t="s">
        <v>69</v>
      </c>
      <c r="BE1754" t="s">
        <v>69</v>
      </c>
      <c r="BF1754" t="s">
        <v>69</v>
      </c>
      <c r="BG1754">
        <v>31</v>
      </c>
      <c r="BH1754">
        <v>46</v>
      </c>
      <c r="BI1754" t="s">
        <v>69</v>
      </c>
      <c r="BJ1754" t="s">
        <v>31253</v>
      </c>
      <c r="BK1754" t="str">
        <f>HYPERLINK("http://dx.doi.org/10.1093/heapol/18.1.31","http://dx.doi.org/10.1093/heapol/18.1.31")</f>
        <v>http://dx.doi.org/10.1093/heapol/18.1.31</v>
      </c>
      <c r="BL1754" t="s">
        <v>69</v>
      </c>
      <c r="BM1754" t="s">
        <v>69</v>
      </c>
      <c r="BN1754">
        <v>16</v>
      </c>
      <c r="BO1754" t="s">
        <v>9809</v>
      </c>
      <c r="BP1754" t="s">
        <v>8523</v>
      </c>
      <c r="BQ1754" t="s">
        <v>9209</v>
      </c>
      <c r="BR1754" t="s">
        <v>31254</v>
      </c>
      <c r="BS1754" t="s">
        <v>31255</v>
      </c>
      <c r="BT1754">
        <v>12582106</v>
      </c>
      <c r="BU1754" t="s">
        <v>9374</v>
      </c>
      <c r="BV1754" t="s">
        <v>69</v>
      </c>
      <c r="BW1754" t="s">
        <v>69</v>
      </c>
      <c r="BX1754" t="s">
        <v>8526</v>
      </c>
      <c r="BY1754" t="str">
        <f>HYPERLINK("https%3A%2F%2Fwww.webofscience.com%2Fwos%2Fwoscc%2Ffull-record%2FWOS:000181418500004","View Full Record in Web of Science")</f>
        <v>View Full Record in Web of Science</v>
      </c>
    </row>
    <row r="1755" spans="1:77" x14ac:dyDescent="0.3">
      <c r="A1755" t="s">
        <v>8495</v>
      </c>
      <c r="B1755" s="9" t="s">
        <v>32954</v>
      </c>
      <c r="C1755" s="9" t="s">
        <v>33074</v>
      </c>
      <c r="D1755" s="9" t="s">
        <v>8491</v>
      </c>
      <c r="E1755" s="9" t="s">
        <v>8490</v>
      </c>
      <c r="F1755" t="s">
        <v>67</v>
      </c>
      <c r="G1755" t="s">
        <v>25559</v>
      </c>
      <c r="H1755" t="s">
        <v>69</v>
      </c>
      <c r="I1755" t="s">
        <v>69</v>
      </c>
      <c r="J1755" t="s">
        <v>69</v>
      </c>
      <c r="K1755" t="s">
        <v>25560</v>
      </c>
      <c r="L1755" t="s">
        <v>69</v>
      </c>
      <c r="M1755" t="s">
        <v>69</v>
      </c>
      <c r="N1755" t="s">
        <v>25561</v>
      </c>
      <c r="O1755" t="s">
        <v>25562</v>
      </c>
      <c r="P1755" t="s">
        <v>69</v>
      </c>
      <c r="Q1755" t="s">
        <v>69</v>
      </c>
      <c r="R1755" t="s">
        <v>10071</v>
      </c>
      <c r="S1755" t="s">
        <v>8506</v>
      </c>
      <c r="T1755" t="s">
        <v>69</v>
      </c>
      <c r="U1755" t="s">
        <v>69</v>
      </c>
      <c r="V1755" t="s">
        <v>69</v>
      </c>
      <c r="W1755" t="s">
        <v>69</v>
      </c>
      <c r="X1755" t="s">
        <v>69</v>
      </c>
      <c r="Y1755" t="s">
        <v>25563</v>
      </c>
      <c r="Z1755" t="s">
        <v>69</v>
      </c>
      <c r="AA1755" t="s">
        <v>25564</v>
      </c>
      <c r="AB1755" t="s">
        <v>25565</v>
      </c>
      <c r="AC1755" t="s">
        <v>69</v>
      </c>
      <c r="AD1755" t="s">
        <v>25566</v>
      </c>
      <c r="AE1755" t="s">
        <v>25567</v>
      </c>
      <c r="AF1755" t="s">
        <v>69</v>
      </c>
      <c r="AG1755" t="s">
        <v>69</v>
      </c>
      <c r="AH1755" t="s">
        <v>69</v>
      </c>
      <c r="AI1755" t="s">
        <v>69</v>
      </c>
      <c r="AJ1755" t="s">
        <v>69</v>
      </c>
      <c r="AK1755" t="s">
        <v>69</v>
      </c>
      <c r="AL1755">
        <v>45</v>
      </c>
      <c r="AM1755">
        <v>0</v>
      </c>
      <c r="AN1755">
        <v>0</v>
      </c>
      <c r="AO1755">
        <v>0</v>
      </c>
      <c r="AP1755">
        <v>0</v>
      </c>
      <c r="AQ1755" t="s">
        <v>17737</v>
      </c>
      <c r="AR1755" t="s">
        <v>16204</v>
      </c>
      <c r="AS1755" t="s">
        <v>17738</v>
      </c>
      <c r="AT1755" t="s">
        <v>25568</v>
      </c>
      <c r="AU1755" t="s">
        <v>25569</v>
      </c>
      <c r="AV1755" t="s">
        <v>69</v>
      </c>
      <c r="AW1755" t="s">
        <v>25570</v>
      </c>
      <c r="AX1755" t="s">
        <v>25571</v>
      </c>
      <c r="AY1755" t="s">
        <v>69</v>
      </c>
      <c r="AZ1755">
        <v>2013</v>
      </c>
      <c r="BA1755">
        <v>22</v>
      </c>
      <c r="BB1755" t="s">
        <v>69</v>
      </c>
      <c r="BC1755" t="s">
        <v>69</v>
      </c>
      <c r="BD1755" t="s">
        <v>69</v>
      </c>
      <c r="BE1755" t="s">
        <v>69</v>
      </c>
      <c r="BF1755" t="s">
        <v>69</v>
      </c>
      <c r="BG1755">
        <v>177</v>
      </c>
      <c r="BH1755">
        <v>198</v>
      </c>
      <c r="BI1755" t="s">
        <v>69</v>
      </c>
      <c r="BJ1755" t="s">
        <v>69</v>
      </c>
      <c r="BK1755" t="s">
        <v>69</v>
      </c>
      <c r="BL1755" t="s">
        <v>69</v>
      </c>
      <c r="BM1755" t="s">
        <v>69</v>
      </c>
      <c r="BN1755">
        <v>22</v>
      </c>
      <c r="BO1755" t="s">
        <v>8463</v>
      </c>
      <c r="BP1755" t="s">
        <v>8573</v>
      </c>
      <c r="BQ1755" t="s">
        <v>8463</v>
      </c>
      <c r="BR1755" t="s">
        <v>25572</v>
      </c>
      <c r="BS1755" t="s">
        <v>25573</v>
      </c>
      <c r="BT1755" t="s">
        <v>69</v>
      </c>
      <c r="BU1755" t="s">
        <v>69</v>
      </c>
      <c r="BV1755" t="s">
        <v>69</v>
      </c>
      <c r="BW1755" t="s">
        <v>69</v>
      </c>
      <c r="BX1755" t="s">
        <v>8526</v>
      </c>
      <c r="BY1755" t="str">
        <f>HYPERLINK("https%3A%2F%2Fwww.webofscience.com%2Fwos%2Fwoscc%2Ffull-record%2FWOS:000408917600008","View Full Record in Web of Science")</f>
        <v>View Full Record in Web of Science</v>
      </c>
    </row>
    <row r="1756" spans="1:77" ht="12.5" x14ac:dyDescent="0.25">
      <c r="A1756" t="s">
        <v>8495</v>
      </c>
      <c r="B1756" s="7" t="s">
        <v>32933</v>
      </c>
      <c r="C1756" s="7"/>
      <c r="D1756" s="7"/>
      <c r="E1756" s="7"/>
      <c r="F1756" t="s">
        <v>67</v>
      </c>
      <c r="G1756" t="s">
        <v>3365</v>
      </c>
      <c r="H1756" t="s">
        <v>69</v>
      </c>
      <c r="I1756" t="s">
        <v>69</v>
      </c>
      <c r="J1756" t="s">
        <v>69</v>
      </c>
      <c r="K1756" t="s">
        <v>3366</v>
      </c>
      <c r="L1756" t="s">
        <v>69</v>
      </c>
      <c r="M1756" t="s">
        <v>69</v>
      </c>
      <c r="N1756" t="s">
        <v>3367</v>
      </c>
      <c r="O1756" t="s">
        <v>3368</v>
      </c>
      <c r="P1756" t="s">
        <v>69</v>
      </c>
      <c r="Q1756" t="s">
        <v>69</v>
      </c>
      <c r="R1756" t="s">
        <v>8505</v>
      </c>
      <c r="S1756" t="s">
        <v>8506</v>
      </c>
      <c r="T1756" t="s">
        <v>69</v>
      </c>
      <c r="U1756" t="s">
        <v>69</v>
      </c>
      <c r="V1756" t="s">
        <v>69</v>
      </c>
      <c r="W1756" t="s">
        <v>69</v>
      </c>
      <c r="X1756" t="s">
        <v>69</v>
      </c>
      <c r="Y1756" t="s">
        <v>25751</v>
      </c>
      <c r="Z1756" t="s">
        <v>69</v>
      </c>
      <c r="AA1756" t="s">
        <v>3369</v>
      </c>
      <c r="AB1756" t="s">
        <v>25752</v>
      </c>
      <c r="AC1756" t="s">
        <v>69</v>
      </c>
      <c r="AD1756" t="s">
        <v>25753</v>
      </c>
      <c r="AE1756" t="s">
        <v>25754</v>
      </c>
      <c r="AF1756" t="s">
        <v>69</v>
      </c>
      <c r="AG1756" t="s">
        <v>3370</v>
      </c>
      <c r="AH1756" t="s">
        <v>69</v>
      </c>
      <c r="AI1756" t="s">
        <v>69</v>
      </c>
      <c r="AJ1756" t="s">
        <v>69</v>
      </c>
      <c r="AK1756" t="s">
        <v>69</v>
      </c>
      <c r="AL1756">
        <v>36</v>
      </c>
      <c r="AM1756">
        <v>20</v>
      </c>
      <c r="AN1756">
        <v>20</v>
      </c>
      <c r="AO1756">
        <v>0</v>
      </c>
      <c r="AP1756">
        <v>9</v>
      </c>
      <c r="AQ1756" t="s">
        <v>8762</v>
      </c>
      <c r="AR1756" t="s">
        <v>8763</v>
      </c>
      <c r="AS1756" t="s">
        <v>8764</v>
      </c>
      <c r="AT1756" t="s">
        <v>3371</v>
      </c>
      <c r="AU1756" t="s">
        <v>3372</v>
      </c>
      <c r="AV1756" t="s">
        <v>69</v>
      </c>
      <c r="AW1756" t="s">
        <v>25755</v>
      </c>
      <c r="AX1756" t="s">
        <v>25756</v>
      </c>
      <c r="AY1756" t="s">
        <v>274</v>
      </c>
      <c r="AZ1756">
        <v>2012</v>
      </c>
      <c r="BA1756">
        <v>39</v>
      </c>
      <c r="BB1756">
        <v>6</v>
      </c>
      <c r="BC1756" t="s">
        <v>69</v>
      </c>
      <c r="BD1756" t="s">
        <v>69</v>
      </c>
      <c r="BE1756" t="s">
        <v>69</v>
      </c>
      <c r="BF1756" t="s">
        <v>69</v>
      </c>
      <c r="BG1756">
        <v>1069</v>
      </c>
      <c r="BH1756">
        <v>1083</v>
      </c>
      <c r="BI1756" t="s">
        <v>69</v>
      </c>
      <c r="BJ1756" t="s">
        <v>3373</v>
      </c>
      <c r="BK1756" t="str">
        <f>HYPERLINK("http://dx.doi.org/10.1068/b38006","http://dx.doi.org/10.1068/b38006")</f>
        <v>http://dx.doi.org/10.1068/b38006</v>
      </c>
      <c r="BL1756" t="s">
        <v>69</v>
      </c>
      <c r="BM1756" t="s">
        <v>69</v>
      </c>
      <c r="BN1756">
        <v>15</v>
      </c>
      <c r="BO1756" t="s">
        <v>8660</v>
      </c>
      <c r="BP1756" t="s">
        <v>8661</v>
      </c>
      <c r="BQ1756" t="s">
        <v>8662</v>
      </c>
      <c r="BR1756" t="s">
        <v>25757</v>
      </c>
      <c r="BS1756" t="s">
        <v>3374</v>
      </c>
      <c r="BT1756" t="s">
        <v>69</v>
      </c>
      <c r="BU1756" t="s">
        <v>69</v>
      </c>
      <c r="BV1756" t="s">
        <v>69</v>
      </c>
      <c r="BW1756" t="s">
        <v>69</v>
      </c>
      <c r="BX1756" t="s">
        <v>8526</v>
      </c>
      <c r="BY1756" t="str">
        <f>HYPERLINK("https%3A%2F%2Fwww.webofscience.com%2Fwos%2Fwoscc%2Ffull-record%2FWOS:000313231500009","View Full Record in Web of Science")</f>
        <v>View Full Record in Web of Science</v>
      </c>
    </row>
    <row r="1757" spans="1:77" ht="12.5" x14ac:dyDescent="0.25">
      <c r="A1757" t="s">
        <v>8495</v>
      </c>
      <c r="B1757" s="7" t="s">
        <v>32933</v>
      </c>
      <c r="C1757" s="7"/>
      <c r="D1757" s="7"/>
      <c r="E1757" s="7"/>
      <c r="F1757" t="s">
        <v>67</v>
      </c>
      <c r="G1757" t="s">
        <v>2838</v>
      </c>
      <c r="H1757" t="s">
        <v>69</v>
      </c>
      <c r="I1757" t="s">
        <v>69</v>
      </c>
      <c r="J1757" t="s">
        <v>69</v>
      </c>
      <c r="K1757" t="s">
        <v>2839</v>
      </c>
      <c r="L1757" t="s">
        <v>69</v>
      </c>
      <c r="M1757" t="s">
        <v>2840</v>
      </c>
      <c r="N1757" t="s">
        <v>2841</v>
      </c>
      <c r="O1757" t="s">
        <v>2842</v>
      </c>
      <c r="P1757" t="s">
        <v>69</v>
      </c>
      <c r="Q1757" t="s">
        <v>69</v>
      </c>
      <c r="R1757" t="s">
        <v>8505</v>
      </c>
      <c r="S1757" t="s">
        <v>8506</v>
      </c>
      <c r="T1757" t="s">
        <v>69</v>
      </c>
      <c r="U1757" t="s">
        <v>69</v>
      </c>
      <c r="V1757" t="s">
        <v>69</v>
      </c>
      <c r="W1757" t="s">
        <v>69</v>
      </c>
      <c r="X1757" t="s">
        <v>69</v>
      </c>
      <c r="Y1757" t="s">
        <v>21474</v>
      </c>
      <c r="Z1757" t="s">
        <v>21475</v>
      </c>
      <c r="AA1757" t="s">
        <v>2843</v>
      </c>
      <c r="AB1757" t="s">
        <v>21476</v>
      </c>
      <c r="AC1757" t="s">
        <v>69</v>
      </c>
      <c r="AD1757" t="s">
        <v>21477</v>
      </c>
      <c r="AE1757" t="s">
        <v>21478</v>
      </c>
      <c r="AF1757" t="s">
        <v>21479</v>
      </c>
      <c r="AG1757" t="s">
        <v>21480</v>
      </c>
      <c r="AH1757" t="s">
        <v>21481</v>
      </c>
      <c r="AI1757" t="s">
        <v>21481</v>
      </c>
      <c r="AJ1757" t="s">
        <v>21482</v>
      </c>
      <c r="AK1757" t="s">
        <v>69</v>
      </c>
      <c r="AL1757">
        <v>43</v>
      </c>
      <c r="AM1757">
        <v>82</v>
      </c>
      <c r="AN1757">
        <v>84</v>
      </c>
      <c r="AO1757">
        <v>2</v>
      </c>
      <c r="AP1757">
        <v>50</v>
      </c>
      <c r="AQ1757" t="s">
        <v>9203</v>
      </c>
      <c r="AR1757" t="s">
        <v>8763</v>
      </c>
      <c r="AS1757" t="s">
        <v>9204</v>
      </c>
      <c r="AT1757" t="s">
        <v>2844</v>
      </c>
      <c r="AU1757" t="s">
        <v>69</v>
      </c>
      <c r="AV1757" t="s">
        <v>69</v>
      </c>
      <c r="AW1757" t="s">
        <v>21483</v>
      </c>
      <c r="AX1757" t="s">
        <v>21484</v>
      </c>
      <c r="AY1757" t="s">
        <v>2187</v>
      </c>
      <c r="AZ1757">
        <v>2016</v>
      </c>
      <c r="BA1757">
        <v>13</v>
      </c>
      <c r="BB1757" t="s">
        <v>69</v>
      </c>
      <c r="BC1757" t="s">
        <v>69</v>
      </c>
      <c r="BD1757" t="s">
        <v>69</v>
      </c>
      <c r="BE1757" t="s">
        <v>69</v>
      </c>
      <c r="BF1757" t="s">
        <v>69</v>
      </c>
      <c r="BG1757" t="s">
        <v>69</v>
      </c>
      <c r="BH1757" t="s">
        <v>69</v>
      </c>
      <c r="BI1757">
        <v>83</v>
      </c>
      <c r="BJ1757" t="s">
        <v>2845</v>
      </c>
      <c r="BK1757" t="str">
        <f>HYPERLINK("http://dx.doi.org/10.1186/s12966-016-0409-3","http://dx.doi.org/10.1186/s12966-016-0409-3")</f>
        <v>http://dx.doi.org/10.1186/s12966-016-0409-3</v>
      </c>
      <c r="BL1757" t="s">
        <v>69</v>
      </c>
      <c r="BM1757" t="s">
        <v>69</v>
      </c>
      <c r="BN1757">
        <v>13</v>
      </c>
      <c r="BO1757" t="s">
        <v>21485</v>
      </c>
      <c r="BP1757" t="s">
        <v>8523</v>
      </c>
      <c r="BQ1757" t="s">
        <v>21485</v>
      </c>
      <c r="BR1757" t="s">
        <v>21486</v>
      </c>
      <c r="BS1757" t="s">
        <v>2846</v>
      </c>
      <c r="BT1757">
        <v>27421750</v>
      </c>
      <c r="BU1757" t="s">
        <v>21487</v>
      </c>
      <c r="BV1757" t="s">
        <v>69</v>
      </c>
      <c r="BW1757" t="s">
        <v>69</v>
      </c>
      <c r="BX1757" t="s">
        <v>8526</v>
      </c>
      <c r="BY1757" t="str">
        <f>HYPERLINK("https%3A%2F%2Fwww.webofscience.com%2Fwos%2Fwoscc%2Ffull-record%2FWOS:000379823500002","View Full Record in Web of Science")</f>
        <v>View Full Record in Web of Science</v>
      </c>
    </row>
    <row r="1758" spans="1:77" ht="12.5" x14ac:dyDescent="0.25">
      <c r="A1758" t="s">
        <v>8495</v>
      </c>
      <c r="B1758" s="7" t="s">
        <v>32933</v>
      </c>
      <c r="C1758" s="7"/>
      <c r="D1758" s="7"/>
      <c r="E1758" s="7"/>
      <c r="F1758" t="s">
        <v>67</v>
      </c>
      <c r="G1758" t="s">
        <v>6421</v>
      </c>
      <c r="H1758" t="s">
        <v>69</v>
      </c>
      <c r="I1758" t="s">
        <v>69</v>
      </c>
      <c r="J1758" t="s">
        <v>69</v>
      </c>
      <c r="K1758" t="s">
        <v>6422</v>
      </c>
      <c r="L1758" t="s">
        <v>69</v>
      </c>
      <c r="M1758" t="s">
        <v>69</v>
      </c>
      <c r="N1758" t="s">
        <v>6423</v>
      </c>
      <c r="O1758" t="s">
        <v>2307</v>
      </c>
      <c r="P1758" t="s">
        <v>69</v>
      </c>
      <c r="Q1758" t="s">
        <v>69</v>
      </c>
      <c r="R1758" t="s">
        <v>8505</v>
      </c>
      <c r="S1758" t="s">
        <v>8506</v>
      </c>
      <c r="T1758" t="s">
        <v>69</v>
      </c>
      <c r="U1758" t="s">
        <v>69</v>
      </c>
      <c r="V1758" t="s">
        <v>69</v>
      </c>
      <c r="W1758" t="s">
        <v>69</v>
      </c>
      <c r="X1758" t="s">
        <v>69</v>
      </c>
      <c r="Y1758" t="s">
        <v>19752</v>
      </c>
      <c r="Z1758" t="s">
        <v>19753</v>
      </c>
      <c r="AA1758" t="s">
        <v>6424</v>
      </c>
      <c r="AB1758" t="s">
        <v>19754</v>
      </c>
      <c r="AC1758" t="s">
        <v>69</v>
      </c>
      <c r="AD1758" t="s">
        <v>19755</v>
      </c>
      <c r="AE1758" t="s">
        <v>19756</v>
      </c>
      <c r="AF1758" t="s">
        <v>69</v>
      </c>
      <c r="AG1758" t="s">
        <v>19757</v>
      </c>
      <c r="AH1758" t="s">
        <v>69</v>
      </c>
      <c r="AI1758" t="s">
        <v>69</v>
      </c>
      <c r="AJ1758" t="s">
        <v>69</v>
      </c>
      <c r="AK1758" t="s">
        <v>69</v>
      </c>
      <c r="AL1758">
        <v>52</v>
      </c>
      <c r="AM1758">
        <v>7</v>
      </c>
      <c r="AN1758">
        <v>7</v>
      </c>
      <c r="AO1758">
        <v>0</v>
      </c>
      <c r="AP1758">
        <v>27</v>
      </c>
      <c r="AQ1758" t="s">
        <v>8762</v>
      </c>
      <c r="AR1758" t="s">
        <v>8763</v>
      </c>
      <c r="AS1758" t="s">
        <v>8764</v>
      </c>
      <c r="AT1758" t="s">
        <v>2309</v>
      </c>
      <c r="AU1758" t="s">
        <v>2310</v>
      </c>
      <c r="AV1758" t="s">
        <v>69</v>
      </c>
      <c r="AW1758" t="s">
        <v>17546</v>
      </c>
      <c r="AX1758" t="s">
        <v>17547</v>
      </c>
      <c r="AY1758" t="s">
        <v>75</v>
      </c>
      <c r="AZ1758">
        <v>2017</v>
      </c>
      <c r="BA1758">
        <v>70</v>
      </c>
      <c r="BB1758">
        <v>12</v>
      </c>
      <c r="BC1758" t="s">
        <v>69</v>
      </c>
      <c r="BD1758" t="s">
        <v>69</v>
      </c>
      <c r="BE1758" t="s">
        <v>69</v>
      </c>
      <c r="BF1758" t="s">
        <v>69</v>
      </c>
      <c r="BG1758">
        <v>1442</v>
      </c>
      <c r="BH1758">
        <v>1463</v>
      </c>
      <c r="BI1758" t="s">
        <v>69</v>
      </c>
      <c r="BJ1758" t="s">
        <v>6425</v>
      </c>
      <c r="BK1758" t="str">
        <f>HYPERLINK("http://dx.doi.org/10.1177/0018726717703449","http://dx.doi.org/10.1177/0018726717703449")</f>
        <v>http://dx.doi.org/10.1177/0018726717703449</v>
      </c>
      <c r="BL1758" t="s">
        <v>69</v>
      </c>
      <c r="BM1758" t="s">
        <v>69</v>
      </c>
      <c r="BN1758">
        <v>22</v>
      </c>
      <c r="BO1758" t="s">
        <v>17548</v>
      </c>
      <c r="BP1758" t="s">
        <v>8661</v>
      </c>
      <c r="BQ1758" t="s">
        <v>15524</v>
      </c>
      <c r="BR1758" t="s">
        <v>19758</v>
      </c>
      <c r="BS1758" t="s">
        <v>6426</v>
      </c>
      <c r="BT1758" t="s">
        <v>69</v>
      </c>
      <c r="BU1758" t="s">
        <v>10995</v>
      </c>
      <c r="BV1758" t="s">
        <v>69</v>
      </c>
      <c r="BW1758" t="s">
        <v>69</v>
      </c>
      <c r="BX1758" t="s">
        <v>8526</v>
      </c>
      <c r="BY1758" t="str">
        <f>HYPERLINK("https%3A%2F%2Fwww.webofscience.com%2Fwos%2Fwoscc%2Ffull-record%2FWOS:000415270300002","View Full Record in Web of Science")</f>
        <v>View Full Record in Web of Science</v>
      </c>
    </row>
    <row r="1759" spans="1:77" ht="12.5" x14ac:dyDescent="0.25">
      <c r="A1759" t="s">
        <v>8495</v>
      </c>
      <c r="B1759" s="22" t="s">
        <v>32931</v>
      </c>
      <c r="C1759" s="7"/>
      <c r="D1759" s="7"/>
      <c r="E1759" s="7"/>
      <c r="F1759" t="s">
        <v>67</v>
      </c>
      <c r="G1759" t="s">
        <v>26190</v>
      </c>
      <c r="H1759" t="s">
        <v>69</v>
      </c>
      <c r="I1759" t="s">
        <v>69</v>
      </c>
      <c r="J1759" t="s">
        <v>69</v>
      </c>
      <c r="K1759" t="s">
        <v>26191</v>
      </c>
      <c r="L1759" t="s">
        <v>69</v>
      </c>
      <c r="M1759" t="s">
        <v>69</v>
      </c>
      <c r="N1759" t="s">
        <v>26192</v>
      </c>
      <c r="O1759" t="s">
        <v>26193</v>
      </c>
      <c r="P1759" t="s">
        <v>69</v>
      </c>
      <c r="Q1759" t="s">
        <v>69</v>
      </c>
      <c r="R1759" t="s">
        <v>8505</v>
      </c>
      <c r="S1759" t="s">
        <v>8506</v>
      </c>
      <c r="T1759" t="s">
        <v>69</v>
      </c>
      <c r="U1759" t="s">
        <v>69</v>
      </c>
      <c r="V1759" t="s">
        <v>69</v>
      </c>
      <c r="W1759" t="s">
        <v>69</v>
      </c>
      <c r="X1759" t="s">
        <v>69</v>
      </c>
      <c r="Y1759" t="s">
        <v>26194</v>
      </c>
      <c r="Z1759" t="s">
        <v>26195</v>
      </c>
      <c r="AA1759" t="s">
        <v>26196</v>
      </c>
      <c r="AB1759" t="s">
        <v>26197</v>
      </c>
      <c r="AC1759" t="s">
        <v>69</v>
      </c>
      <c r="AD1759" t="s">
        <v>26198</v>
      </c>
      <c r="AE1759" t="s">
        <v>26199</v>
      </c>
      <c r="AF1759" t="s">
        <v>69</v>
      </c>
      <c r="AG1759" t="s">
        <v>69</v>
      </c>
      <c r="AH1759" t="s">
        <v>69</v>
      </c>
      <c r="AI1759" t="s">
        <v>69</v>
      </c>
      <c r="AJ1759" t="s">
        <v>69</v>
      </c>
      <c r="AK1759" t="s">
        <v>69</v>
      </c>
      <c r="AL1759">
        <v>33</v>
      </c>
      <c r="AM1759">
        <v>2</v>
      </c>
      <c r="AN1759">
        <v>2</v>
      </c>
      <c r="AO1759">
        <v>0</v>
      </c>
      <c r="AP1759">
        <v>0</v>
      </c>
      <c r="AQ1759" t="s">
        <v>8762</v>
      </c>
      <c r="AR1759" t="s">
        <v>8763</v>
      </c>
      <c r="AS1759" t="s">
        <v>8764</v>
      </c>
      <c r="AT1759" t="s">
        <v>26200</v>
      </c>
      <c r="AU1759" t="s">
        <v>26201</v>
      </c>
      <c r="AV1759" t="s">
        <v>69</v>
      </c>
      <c r="AW1759" t="s">
        <v>26202</v>
      </c>
      <c r="AX1759" t="s">
        <v>26203</v>
      </c>
      <c r="AY1759" t="s">
        <v>191</v>
      </c>
      <c r="AZ1759">
        <v>2012</v>
      </c>
      <c r="BA1759">
        <v>16</v>
      </c>
      <c r="BB1759">
        <v>1</v>
      </c>
      <c r="BC1759" t="s">
        <v>69</v>
      </c>
      <c r="BD1759" t="s">
        <v>69</v>
      </c>
      <c r="BE1759" t="s">
        <v>69</v>
      </c>
      <c r="BF1759" t="s">
        <v>69</v>
      </c>
      <c r="BG1759">
        <v>56</v>
      </c>
      <c r="BH1759">
        <v>68</v>
      </c>
      <c r="BI1759" t="s">
        <v>69</v>
      </c>
      <c r="BJ1759" t="s">
        <v>26204</v>
      </c>
      <c r="BK1759" t="str">
        <f>HYPERLINK("http://dx.doi.org/10.1179/1024529411Z.0000000001","http://dx.doi.org/10.1179/1024529411Z.0000000001")</f>
        <v>http://dx.doi.org/10.1179/1024529411Z.0000000001</v>
      </c>
      <c r="BL1759" t="s">
        <v>69</v>
      </c>
      <c r="BM1759" t="s">
        <v>69</v>
      </c>
      <c r="BN1759">
        <v>13</v>
      </c>
      <c r="BO1759" t="s">
        <v>26205</v>
      </c>
      <c r="BP1759" t="s">
        <v>8573</v>
      </c>
      <c r="BQ1759" t="s">
        <v>21270</v>
      </c>
      <c r="BR1759" t="s">
        <v>26206</v>
      </c>
      <c r="BS1759" t="s">
        <v>26207</v>
      </c>
      <c r="BT1759" t="s">
        <v>69</v>
      </c>
      <c r="BU1759" t="s">
        <v>69</v>
      </c>
      <c r="BV1759" t="s">
        <v>69</v>
      </c>
      <c r="BW1759" t="s">
        <v>69</v>
      </c>
      <c r="BX1759" t="s">
        <v>8526</v>
      </c>
      <c r="BY1759" t="str">
        <f>HYPERLINK("https%3A%2F%2Fwww.webofscience.com%2Fwos%2Fwoscc%2Ffull-record%2FWOS:000211914600004","View Full Record in Web of Science")</f>
        <v>View Full Record in Web of Science</v>
      </c>
    </row>
    <row r="1760" spans="1:77" ht="12.5" x14ac:dyDescent="0.25">
      <c r="A1760" t="s">
        <v>8495</v>
      </c>
      <c r="B1760" s="7" t="s">
        <v>32933</v>
      </c>
      <c r="C1760" s="7"/>
      <c r="D1760" s="7"/>
      <c r="E1760" s="7"/>
      <c r="F1760" t="s">
        <v>67</v>
      </c>
      <c r="G1760" t="s">
        <v>994</v>
      </c>
      <c r="H1760" t="s">
        <v>69</v>
      </c>
      <c r="I1760" t="s">
        <v>69</v>
      </c>
      <c r="J1760" t="s">
        <v>69</v>
      </c>
      <c r="K1760" t="s">
        <v>995</v>
      </c>
      <c r="L1760" t="s">
        <v>69</v>
      </c>
      <c r="M1760" t="s">
        <v>69</v>
      </c>
      <c r="N1760" t="s">
        <v>996</v>
      </c>
      <c r="O1760" t="s">
        <v>997</v>
      </c>
      <c r="P1760" t="s">
        <v>69</v>
      </c>
      <c r="Q1760" t="s">
        <v>69</v>
      </c>
      <c r="R1760" t="s">
        <v>8505</v>
      </c>
      <c r="S1760" t="s">
        <v>8506</v>
      </c>
      <c r="T1760" t="s">
        <v>69</v>
      </c>
      <c r="U1760" t="s">
        <v>69</v>
      </c>
      <c r="V1760" t="s">
        <v>69</v>
      </c>
      <c r="W1760" t="s">
        <v>69</v>
      </c>
      <c r="X1760" t="s">
        <v>69</v>
      </c>
      <c r="Y1760" t="s">
        <v>17919</v>
      </c>
      <c r="Z1760" t="s">
        <v>17920</v>
      </c>
      <c r="AA1760" t="s">
        <v>998</v>
      </c>
      <c r="AB1760" t="s">
        <v>17921</v>
      </c>
      <c r="AC1760" t="s">
        <v>69</v>
      </c>
      <c r="AD1760" t="s">
        <v>17922</v>
      </c>
      <c r="AE1760" t="s">
        <v>17923</v>
      </c>
      <c r="AF1760" t="s">
        <v>69</v>
      </c>
      <c r="AG1760" t="s">
        <v>69</v>
      </c>
      <c r="AH1760" t="s">
        <v>69</v>
      </c>
      <c r="AI1760" t="s">
        <v>69</v>
      </c>
      <c r="AJ1760" t="s">
        <v>69</v>
      </c>
      <c r="AK1760" t="s">
        <v>69</v>
      </c>
      <c r="AL1760">
        <v>75</v>
      </c>
      <c r="AM1760">
        <v>1</v>
      </c>
      <c r="AN1760">
        <v>1</v>
      </c>
      <c r="AO1760">
        <v>0</v>
      </c>
      <c r="AP1760">
        <v>4</v>
      </c>
      <c r="AQ1760" t="s">
        <v>17924</v>
      </c>
      <c r="AR1760" t="s">
        <v>17925</v>
      </c>
      <c r="AS1760" t="s">
        <v>17926</v>
      </c>
      <c r="AT1760" t="s">
        <v>999</v>
      </c>
      <c r="AU1760" t="s">
        <v>1000</v>
      </c>
      <c r="AV1760" t="s">
        <v>69</v>
      </c>
      <c r="AW1760" t="s">
        <v>17927</v>
      </c>
      <c r="AX1760" t="s">
        <v>17928</v>
      </c>
      <c r="AY1760" t="s">
        <v>373</v>
      </c>
      <c r="AZ1760">
        <v>2019</v>
      </c>
      <c r="BA1760">
        <v>90</v>
      </c>
      <c r="BB1760">
        <v>1</v>
      </c>
      <c r="BC1760" t="s">
        <v>69</v>
      </c>
      <c r="BD1760" t="s">
        <v>69</v>
      </c>
      <c r="BE1760" t="s">
        <v>69</v>
      </c>
      <c r="BF1760" t="s">
        <v>69</v>
      </c>
      <c r="BG1760">
        <v>33</v>
      </c>
      <c r="BH1760">
        <v>55</v>
      </c>
      <c r="BI1760" t="s">
        <v>69</v>
      </c>
      <c r="BJ1760" t="s">
        <v>1001</v>
      </c>
      <c r="BK1760" t="str">
        <f>HYPERLINK("http://dx.doi.org/10.3828/tpr.2019.4","http://dx.doi.org/10.3828/tpr.2019.4")</f>
        <v>http://dx.doi.org/10.3828/tpr.2019.4</v>
      </c>
      <c r="BL1760" t="s">
        <v>69</v>
      </c>
      <c r="BM1760" t="s">
        <v>69</v>
      </c>
      <c r="BN1760">
        <v>23</v>
      </c>
      <c r="BO1760" t="s">
        <v>9944</v>
      </c>
      <c r="BP1760" t="s">
        <v>8573</v>
      </c>
      <c r="BQ1760" t="s">
        <v>9945</v>
      </c>
      <c r="BR1760" t="s">
        <v>17929</v>
      </c>
      <c r="BS1760" t="s">
        <v>1002</v>
      </c>
      <c r="BT1760" t="s">
        <v>69</v>
      </c>
      <c r="BU1760" t="s">
        <v>10995</v>
      </c>
      <c r="BV1760" t="s">
        <v>69</v>
      </c>
      <c r="BW1760" t="s">
        <v>69</v>
      </c>
      <c r="BX1760" t="s">
        <v>8526</v>
      </c>
      <c r="BY1760" t="str">
        <f>HYPERLINK("https%3A%2F%2Fwww.webofscience.com%2Fwos%2Fwoscc%2Ffull-record%2FWOS:000456174100003","View Full Record in Web of Science")</f>
        <v>View Full Record in Web of Science</v>
      </c>
    </row>
    <row r="1761" spans="1:77" ht="12.5" x14ac:dyDescent="0.25">
      <c r="A1761" t="s">
        <v>8495</v>
      </c>
      <c r="B1761" s="22" t="s">
        <v>32931</v>
      </c>
      <c r="C1761" s="7"/>
      <c r="D1761" s="7"/>
      <c r="E1761" s="7"/>
      <c r="F1761" t="s">
        <v>67</v>
      </c>
      <c r="G1761" t="s">
        <v>26864</v>
      </c>
      <c r="H1761" t="s">
        <v>69</v>
      </c>
      <c r="I1761" t="s">
        <v>69</v>
      </c>
      <c r="J1761" t="s">
        <v>69</v>
      </c>
      <c r="K1761" t="s">
        <v>26865</v>
      </c>
      <c r="L1761" t="s">
        <v>69</v>
      </c>
      <c r="M1761" t="s">
        <v>69</v>
      </c>
      <c r="N1761" t="s">
        <v>26866</v>
      </c>
      <c r="O1761" t="s">
        <v>26867</v>
      </c>
      <c r="P1761" t="s">
        <v>69</v>
      </c>
      <c r="Q1761" t="s">
        <v>69</v>
      </c>
      <c r="R1761" t="s">
        <v>8505</v>
      </c>
      <c r="S1761" t="s">
        <v>8506</v>
      </c>
      <c r="T1761" t="s">
        <v>69</v>
      </c>
      <c r="U1761" t="s">
        <v>69</v>
      </c>
      <c r="V1761" t="s">
        <v>69</v>
      </c>
      <c r="W1761" t="s">
        <v>69</v>
      </c>
      <c r="X1761" t="s">
        <v>69</v>
      </c>
      <c r="Y1761" t="s">
        <v>26868</v>
      </c>
      <c r="Z1761" t="s">
        <v>26869</v>
      </c>
      <c r="AA1761" t="s">
        <v>26870</v>
      </c>
      <c r="AB1761" t="s">
        <v>26871</v>
      </c>
      <c r="AC1761" t="s">
        <v>69</v>
      </c>
      <c r="AD1761" t="s">
        <v>26872</v>
      </c>
      <c r="AE1761" t="s">
        <v>26873</v>
      </c>
      <c r="AF1761" t="s">
        <v>26874</v>
      </c>
      <c r="AG1761" t="s">
        <v>26875</v>
      </c>
      <c r="AH1761" t="s">
        <v>26876</v>
      </c>
      <c r="AI1761" t="s">
        <v>26876</v>
      </c>
      <c r="AJ1761" t="s">
        <v>26877</v>
      </c>
      <c r="AK1761" t="s">
        <v>69</v>
      </c>
      <c r="AL1761">
        <v>13</v>
      </c>
      <c r="AM1761">
        <v>20</v>
      </c>
      <c r="AN1761">
        <v>20</v>
      </c>
      <c r="AO1761">
        <v>0</v>
      </c>
      <c r="AP1761">
        <v>3</v>
      </c>
      <c r="AQ1761" t="s">
        <v>10538</v>
      </c>
      <c r="AR1761" t="s">
        <v>10539</v>
      </c>
      <c r="AS1761" t="s">
        <v>14431</v>
      </c>
      <c r="AT1761" t="s">
        <v>26878</v>
      </c>
      <c r="AU1761" t="s">
        <v>69</v>
      </c>
      <c r="AV1761" t="s">
        <v>69</v>
      </c>
      <c r="AW1761" t="s">
        <v>26879</v>
      </c>
      <c r="AX1761" t="s">
        <v>26880</v>
      </c>
      <c r="AY1761" t="s">
        <v>5888</v>
      </c>
      <c r="AZ1761">
        <v>2011</v>
      </c>
      <c r="BA1761">
        <v>14</v>
      </c>
      <c r="BB1761">
        <v>3</v>
      </c>
      <c r="BC1761" t="s">
        <v>69</v>
      </c>
      <c r="BD1761" t="s">
        <v>69</v>
      </c>
      <c r="BE1761" t="s">
        <v>69</v>
      </c>
      <c r="BF1761" t="s">
        <v>69</v>
      </c>
      <c r="BG1761">
        <v>270</v>
      </c>
      <c r="BH1761">
        <v>275</v>
      </c>
      <c r="BI1761" t="s">
        <v>69</v>
      </c>
      <c r="BJ1761" t="s">
        <v>26881</v>
      </c>
      <c r="BK1761" t="str">
        <f>HYPERLINK("http://dx.doi.org/10.4103/1119-3077.86765","http://dx.doi.org/10.4103/1119-3077.86765")</f>
        <v>http://dx.doi.org/10.4103/1119-3077.86765</v>
      </c>
      <c r="BL1761" t="s">
        <v>69</v>
      </c>
      <c r="BM1761" t="s">
        <v>69</v>
      </c>
      <c r="BN1761">
        <v>6</v>
      </c>
      <c r="BO1761" t="s">
        <v>9450</v>
      </c>
      <c r="BP1761" t="s">
        <v>8548</v>
      </c>
      <c r="BQ1761" t="s">
        <v>9451</v>
      </c>
      <c r="BR1761" t="s">
        <v>26882</v>
      </c>
      <c r="BS1761" t="s">
        <v>26883</v>
      </c>
      <c r="BT1761">
        <v>22037066</v>
      </c>
      <c r="BU1761" t="s">
        <v>69</v>
      </c>
      <c r="BV1761" t="s">
        <v>69</v>
      </c>
      <c r="BW1761" t="s">
        <v>69</v>
      </c>
      <c r="BX1761" t="s">
        <v>8526</v>
      </c>
      <c r="BY1761" t="str">
        <f>HYPERLINK("https%3A%2F%2Fwww.webofscience.com%2Fwos%2Fwoscc%2Ffull-record%2FWOS:000297168000003","View Full Record in Web of Science")</f>
        <v>View Full Record in Web of Science</v>
      </c>
    </row>
    <row r="1762" spans="1:77" ht="12.5" x14ac:dyDescent="0.25">
      <c r="A1762" t="s">
        <v>8495</v>
      </c>
      <c r="B1762" s="7" t="s">
        <v>32933</v>
      </c>
      <c r="C1762" s="7"/>
      <c r="D1762" s="7"/>
      <c r="E1762" s="7"/>
      <c r="F1762" t="s">
        <v>67</v>
      </c>
      <c r="G1762" t="s">
        <v>6268</v>
      </c>
      <c r="H1762" t="s">
        <v>69</v>
      </c>
      <c r="I1762" t="s">
        <v>69</v>
      </c>
      <c r="J1762" t="s">
        <v>69</v>
      </c>
      <c r="K1762" t="s">
        <v>6269</v>
      </c>
      <c r="L1762" t="s">
        <v>69</v>
      </c>
      <c r="M1762" t="s">
        <v>69</v>
      </c>
      <c r="N1762" t="s">
        <v>6270</v>
      </c>
      <c r="O1762" t="s">
        <v>6271</v>
      </c>
      <c r="P1762" t="s">
        <v>69</v>
      </c>
      <c r="Q1762" t="s">
        <v>69</v>
      </c>
      <c r="R1762" t="s">
        <v>10071</v>
      </c>
      <c r="S1762" t="s">
        <v>8506</v>
      </c>
      <c r="T1762" t="s">
        <v>69</v>
      </c>
      <c r="U1762" t="s">
        <v>69</v>
      </c>
      <c r="V1762" t="s">
        <v>69</v>
      </c>
      <c r="W1762" t="s">
        <v>69</v>
      </c>
      <c r="X1762" t="s">
        <v>69</v>
      </c>
      <c r="Y1762" t="s">
        <v>20428</v>
      </c>
      <c r="Z1762" t="s">
        <v>69</v>
      </c>
      <c r="AA1762" t="s">
        <v>6272</v>
      </c>
      <c r="AB1762" t="s">
        <v>20429</v>
      </c>
      <c r="AC1762" t="s">
        <v>69</v>
      </c>
      <c r="AD1762" t="s">
        <v>20430</v>
      </c>
      <c r="AE1762" t="s">
        <v>20431</v>
      </c>
      <c r="AF1762" t="s">
        <v>69</v>
      </c>
      <c r="AG1762" t="s">
        <v>69</v>
      </c>
      <c r="AH1762" t="s">
        <v>69</v>
      </c>
      <c r="AI1762" t="s">
        <v>69</v>
      </c>
      <c r="AJ1762" t="s">
        <v>69</v>
      </c>
      <c r="AK1762" t="s">
        <v>69</v>
      </c>
      <c r="AL1762">
        <v>57</v>
      </c>
      <c r="AM1762">
        <v>0</v>
      </c>
      <c r="AN1762">
        <v>0</v>
      </c>
      <c r="AO1762">
        <v>1</v>
      </c>
      <c r="AP1762">
        <v>3</v>
      </c>
      <c r="AQ1762" t="s">
        <v>20432</v>
      </c>
      <c r="AR1762" t="s">
        <v>20433</v>
      </c>
      <c r="AS1762" t="s">
        <v>20434</v>
      </c>
      <c r="AT1762" t="s">
        <v>6273</v>
      </c>
      <c r="AU1762" t="s">
        <v>6274</v>
      </c>
      <c r="AV1762" t="s">
        <v>69</v>
      </c>
      <c r="AW1762" t="s">
        <v>6271</v>
      </c>
      <c r="AX1762" t="s">
        <v>20435</v>
      </c>
      <c r="AY1762" t="s">
        <v>586</v>
      </c>
      <c r="AZ1762">
        <v>2017</v>
      </c>
      <c r="BA1762">
        <v>20</v>
      </c>
      <c r="BB1762">
        <v>35</v>
      </c>
      <c r="BC1762" t="s">
        <v>69</v>
      </c>
      <c r="BD1762" t="s">
        <v>69</v>
      </c>
      <c r="BE1762" t="s">
        <v>69</v>
      </c>
      <c r="BF1762" t="s">
        <v>69</v>
      </c>
      <c r="BG1762">
        <v>18</v>
      </c>
      <c r="BH1762">
        <v>31</v>
      </c>
      <c r="BI1762" t="s">
        <v>69</v>
      </c>
      <c r="BJ1762" t="s">
        <v>6275</v>
      </c>
      <c r="BK1762" t="str">
        <f>HYPERLINK("http://dx.doi.org/10.22320/07813607.2017.20.35.02","http://dx.doi.org/10.22320/07813607.2017.20.35.02")</f>
        <v>http://dx.doi.org/10.22320/07813607.2017.20.35.02</v>
      </c>
      <c r="BL1762" t="s">
        <v>69</v>
      </c>
      <c r="BM1762" t="s">
        <v>69</v>
      </c>
      <c r="BN1762">
        <v>14</v>
      </c>
      <c r="BO1762" t="s">
        <v>14187</v>
      </c>
      <c r="BP1762" t="s">
        <v>8573</v>
      </c>
      <c r="BQ1762" t="s">
        <v>12182</v>
      </c>
      <c r="BR1762" t="s">
        <v>20436</v>
      </c>
      <c r="BS1762" t="s">
        <v>6276</v>
      </c>
      <c r="BT1762" t="s">
        <v>69</v>
      </c>
      <c r="BU1762" t="s">
        <v>11853</v>
      </c>
      <c r="BV1762" t="s">
        <v>69</v>
      </c>
      <c r="BW1762" t="s">
        <v>69</v>
      </c>
      <c r="BX1762" t="s">
        <v>8526</v>
      </c>
      <c r="BY1762" t="str">
        <f>HYPERLINK("https%3A%2F%2Fwww.webofscience.com%2Fwos%2Fwoscc%2Ffull-record%2FWOS:000455841200003","View Full Record in Web of Science")</f>
        <v>View Full Record in Web of Science</v>
      </c>
    </row>
    <row r="1763" spans="1:77" ht="12.5" x14ac:dyDescent="0.25">
      <c r="A1763" t="s">
        <v>8495</v>
      </c>
      <c r="B1763" s="7" t="s">
        <v>32933</v>
      </c>
      <c r="C1763" s="7"/>
      <c r="D1763" s="7"/>
      <c r="E1763" s="7"/>
      <c r="F1763" t="s">
        <v>67</v>
      </c>
      <c r="G1763" t="s">
        <v>8311</v>
      </c>
      <c r="H1763" t="s">
        <v>69</v>
      </c>
      <c r="I1763" t="s">
        <v>69</v>
      </c>
      <c r="J1763" t="s">
        <v>69</v>
      </c>
      <c r="K1763" t="s">
        <v>8312</v>
      </c>
      <c r="L1763" t="s">
        <v>69</v>
      </c>
      <c r="M1763" t="s">
        <v>69</v>
      </c>
      <c r="N1763" t="s">
        <v>8313</v>
      </c>
      <c r="O1763" t="s">
        <v>8314</v>
      </c>
      <c r="P1763" t="s">
        <v>69</v>
      </c>
      <c r="Q1763" t="s">
        <v>69</v>
      </c>
      <c r="R1763" t="s">
        <v>8505</v>
      </c>
      <c r="S1763" t="s">
        <v>8506</v>
      </c>
      <c r="T1763" t="s">
        <v>69</v>
      </c>
      <c r="U1763" t="s">
        <v>69</v>
      </c>
      <c r="V1763" t="s">
        <v>69</v>
      </c>
      <c r="W1763" t="s">
        <v>69</v>
      </c>
      <c r="X1763" t="s">
        <v>69</v>
      </c>
      <c r="Y1763" t="s">
        <v>23291</v>
      </c>
      <c r="Z1763" t="s">
        <v>69</v>
      </c>
      <c r="AA1763" t="s">
        <v>8315</v>
      </c>
      <c r="AB1763" t="s">
        <v>23292</v>
      </c>
      <c r="AC1763" t="s">
        <v>69</v>
      </c>
      <c r="AD1763" t="s">
        <v>23293</v>
      </c>
      <c r="AE1763" t="s">
        <v>23294</v>
      </c>
      <c r="AF1763" t="s">
        <v>8316</v>
      </c>
      <c r="AG1763" t="s">
        <v>8317</v>
      </c>
      <c r="AH1763" t="s">
        <v>69</v>
      </c>
      <c r="AI1763" t="s">
        <v>69</v>
      </c>
      <c r="AJ1763" t="s">
        <v>69</v>
      </c>
      <c r="AK1763" t="s">
        <v>69</v>
      </c>
      <c r="AL1763">
        <v>16</v>
      </c>
      <c r="AM1763">
        <v>2</v>
      </c>
      <c r="AN1763">
        <v>2</v>
      </c>
      <c r="AO1763">
        <v>0</v>
      </c>
      <c r="AP1763">
        <v>1</v>
      </c>
      <c r="AQ1763" t="s">
        <v>23295</v>
      </c>
      <c r="AR1763" t="s">
        <v>13718</v>
      </c>
      <c r="AS1763" t="s">
        <v>23296</v>
      </c>
      <c r="AT1763" t="s">
        <v>8318</v>
      </c>
      <c r="AU1763" t="s">
        <v>8319</v>
      </c>
      <c r="AV1763" t="s">
        <v>69</v>
      </c>
      <c r="AW1763" t="s">
        <v>23297</v>
      </c>
      <c r="AX1763" t="s">
        <v>23298</v>
      </c>
      <c r="AY1763" t="s">
        <v>69</v>
      </c>
      <c r="AZ1763">
        <v>2015</v>
      </c>
      <c r="BA1763">
        <v>75</v>
      </c>
      <c r="BB1763">
        <v>9</v>
      </c>
      <c r="BC1763" t="s">
        <v>69</v>
      </c>
      <c r="BD1763" t="s">
        <v>69</v>
      </c>
      <c r="BE1763" t="s">
        <v>69</v>
      </c>
      <c r="BF1763" t="s">
        <v>69</v>
      </c>
      <c r="BG1763">
        <v>47</v>
      </c>
      <c r="BH1763">
        <v>50</v>
      </c>
      <c r="BI1763" t="s">
        <v>69</v>
      </c>
      <c r="BJ1763" t="s">
        <v>69</v>
      </c>
      <c r="BK1763" t="s">
        <v>69</v>
      </c>
      <c r="BL1763" t="s">
        <v>69</v>
      </c>
      <c r="BM1763" t="s">
        <v>69</v>
      </c>
      <c r="BN1763">
        <v>4</v>
      </c>
      <c r="BO1763" t="s">
        <v>9891</v>
      </c>
      <c r="BP1763" t="s">
        <v>8573</v>
      </c>
      <c r="BQ1763" t="s">
        <v>8445</v>
      </c>
      <c r="BR1763" t="s">
        <v>23299</v>
      </c>
      <c r="BS1763" t="s">
        <v>8320</v>
      </c>
      <c r="BT1763" t="s">
        <v>69</v>
      </c>
      <c r="BU1763" t="s">
        <v>69</v>
      </c>
      <c r="BV1763" t="s">
        <v>69</v>
      </c>
      <c r="BW1763" t="s">
        <v>69</v>
      </c>
      <c r="BX1763" t="s">
        <v>8526</v>
      </c>
      <c r="BY1763" t="str">
        <f>HYPERLINK("https%3A%2F%2Fwww.webofscience.com%2Fwos%2Fwoscc%2Ffull-record%2FWOS:000218579900008","View Full Record in Web of Science")</f>
        <v>View Full Record in Web of Science</v>
      </c>
    </row>
    <row r="1764" spans="1:77" ht="12.5" x14ac:dyDescent="0.25">
      <c r="A1764" t="s">
        <v>8495</v>
      </c>
      <c r="B1764" s="7" t="s">
        <v>32933</v>
      </c>
      <c r="C1764" s="7"/>
      <c r="D1764" s="7"/>
      <c r="E1764" s="7"/>
      <c r="F1764" t="s">
        <v>67</v>
      </c>
      <c r="G1764" t="s">
        <v>1097</v>
      </c>
      <c r="H1764" t="s">
        <v>69</v>
      </c>
      <c r="I1764" t="s">
        <v>69</v>
      </c>
      <c r="J1764" t="s">
        <v>69</v>
      </c>
      <c r="K1764" t="s">
        <v>1098</v>
      </c>
      <c r="L1764" t="s">
        <v>69</v>
      </c>
      <c r="M1764" t="s">
        <v>69</v>
      </c>
      <c r="N1764" t="s">
        <v>1099</v>
      </c>
      <c r="O1764" t="s">
        <v>1100</v>
      </c>
      <c r="P1764" t="s">
        <v>69</v>
      </c>
      <c r="Q1764" t="s">
        <v>69</v>
      </c>
      <c r="R1764" t="s">
        <v>8505</v>
      </c>
      <c r="S1764" t="s">
        <v>8506</v>
      </c>
      <c r="T1764" t="s">
        <v>69</v>
      </c>
      <c r="U1764" t="s">
        <v>69</v>
      </c>
      <c r="V1764" t="s">
        <v>69</v>
      </c>
      <c r="W1764" t="s">
        <v>69</v>
      </c>
      <c r="X1764" t="s">
        <v>69</v>
      </c>
      <c r="Y1764" t="s">
        <v>19427</v>
      </c>
      <c r="Z1764" t="s">
        <v>19428</v>
      </c>
      <c r="AA1764" t="s">
        <v>1101</v>
      </c>
      <c r="AB1764" t="s">
        <v>19429</v>
      </c>
      <c r="AC1764" t="s">
        <v>69</v>
      </c>
      <c r="AD1764" t="s">
        <v>19430</v>
      </c>
      <c r="AE1764" t="s">
        <v>69</v>
      </c>
      <c r="AF1764" t="s">
        <v>69</v>
      </c>
      <c r="AG1764" t="s">
        <v>69</v>
      </c>
      <c r="AH1764" t="s">
        <v>69</v>
      </c>
      <c r="AI1764" t="s">
        <v>69</v>
      </c>
      <c r="AJ1764" t="s">
        <v>69</v>
      </c>
      <c r="AK1764" t="s">
        <v>69</v>
      </c>
      <c r="AL1764">
        <v>26</v>
      </c>
      <c r="AM1764">
        <v>0</v>
      </c>
      <c r="AN1764">
        <v>0</v>
      </c>
      <c r="AO1764">
        <v>0</v>
      </c>
      <c r="AP1764">
        <v>4</v>
      </c>
      <c r="AQ1764" t="s">
        <v>19431</v>
      </c>
      <c r="AR1764" t="s">
        <v>19432</v>
      </c>
      <c r="AS1764" t="s">
        <v>19433</v>
      </c>
      <c r="AT1764" t="s">
        <v>1102</v>
      </c>
      <c r="AU1764" t="s">
        <v>1103</v>
      </c>
      <c r="AV1764" t="s">
        <v>69</v>
      </c>
      <c r="AW1764" t="s">
        <v>19434</v>
      </c>
      <c r="AX1764" t="s">
        <v>19435</v>
      </c>
      <c r="AY1764" t="s">
        <v>69</v>
      </c>
      <c r="AZ1764">
        <v>2018</v>
      </c>
      <c r="BA1764">
        <v>7</v>
      </c>
      <c r="BB1764">
        <v>4</v>
      </c>
      <c r="BC1764" t="s">
        <v>69</v>
      </c>
      <c r="BD1764" t="s">
        <v>69</v>
      </c>
      <c r="BE1764" t="s">
        <v>69</v>
      </c>
      <c r="BF1764" t="s">
        <v>69</v>
      </c>
      <c r="BG1764">
        <v>507</v>
      </c>
      <c r="BH1764">
        <v>516</v>
      </c>
      <c r="BI1764" t="s">
        <v>69</v>
      </c>
      <c r="BJ1764" t="s">
        <v>1104</v>
      </c>
      <c r="BK1764" t="str">
        <f>HYPERLINK("http://dx.doi.org/10.14207/ejsd.2018.v7n4p507","http://dx.doi.org/10.14207/ejsd.2018.v7n4p507")</f>
        <v>http://dx.doi.org/10.14207/ejsd.2018.v7n4p507</v>
      </c>
      <c r="BL1764" t="s">
        <v>69</v>
      </c>
      <c r="BM1764" t="s">
        <v>69</v>
      </c>
      <c r="BN1764">
        <v>10</v>
      </c>
      <c r="BO1764" t="s">
        <v>8717</v>
      </c>
      <c r="BP1764" t="s">
        <v>8573</v>
      </c>
      <c r="BQ1764" t="s">
        <v>8662</v>
      </c>
      <c r="BR1764" t="s">
        <v>19436</v>
      </c>
      <c r="BS1764" t="s">
        <v>1105</v>
      </c>
      <c r="BT1764" t="s">
        <v>69</v>
      </c>
      <c r="BU1764" t="s">
        <v>8931</v>
      </c>
      <c r="BV1764" t="s">
        <v>69</v>
      </c>
      <c r="BW1764" t="s">
        <v>69</v>
      </c>
      <c r="BX1764" t="s">
        <v>8526</v>
      </c>
      <c r="BY1764" t="str">
        <f>HYPERLINK("https%3A%2F%2Fwww.webofscience.com%2Fwos%2Fwoscc%2Ffull-record%2FWOS:000446113700049","View Full Record in Web of Science")</f>
        <v>View Full Record in Web of Science</v>
      </c>
    </row>
    <row r="1765" spans="1:77" ht="12.5" x14ac:dyDescent="0.25">
      <c r="A1765" t="s">
        <v>8495</v>
      </c>
      <c r="B1765" s="7" t="s">
        <v>32933</v>
      </c>
      <c r="C1765" s="7"/>
      <c r="D1765" s="7"/>
      <c r="E1765" s="7"/>
      <c r="F1765" t="s">
        <v>67</v>
      </c>
      <c r="G1765" t="s">
        <v>1085</v>
      </c>
      <c r="H1765" t="s">
        <v>69</v>
      </c>
      <c r="I1765" t="s">
        <v>69</v>
      </c>
      <c r="J1765" t="s">
        <v>69</v>
      </c>
      <c r="K1765" t="s">
        <v>1086</v>
      </c>
      <c r="L1765" t="s">
        <v>69</v>
      </c>
      <c r="M1765" t="s">
        <v>69</v>
      </c>
      <c r="N1765" t="s">
        <v>1087</v>
      </c>
      <c r="O1765" t="s">
        <v>352</v>
      </c>
      <c r="P1765" t="s">
        <v>69</v>
      </c>
      <c r="Q1765" t="s">
        <v>69</v>
      </c>
      <c r="R1765" t="s">
        <v>8505</v>
      </c>
      <c r="S1765" t="s">
        <v>8442</v>
      </c>
      <c r="T1765" t="s">
        <v>69</v>
      </c>
      <c r="U1765" t="s">
        <v>69</v>
      </c>
      <c r="V1765" t="s">
        <v>69</v>
      </c>
      <c r="W1765" t="s">
        <v>69</v>
      </c>
      <c r="X1765" t="s">
        <v>69</v>
      </c>
      <c r="Y1765" t="s">
        <v>18999</v>
      </c>
      <c r="Z1765" t="s">
        <v>19000</v>
      </c>
      <c r="AA1765" t="s">
        <v>1088</v>
      </c>
      <c r="AB1765" t="s">
        <v>19001</v>
      </c>
      <c r="AC1765" t="s">
        <v>69</v>
      </c>
      <c r="AD1765" t="s">
        <v>19002</v>
      </c>
      <c r="AE1765" t="s">
        <v>19003</v>
      </c>
      <c r="AF1765" t="s">
        <v>19004</v>
      </c>
      <c r="AG1765" t="s">
        <v>19005</v>
      </c>
      <c r="AH1765" t="s">
        <v>19006</v>
      </c>
      <c r="AI1765" t="s">
        <v>19006</v>
      </c>
      <c r="AJ1765" t="s">
        <v>19007</v>
      </c>
      <c r="AK1765" t="s">
        <v>69</v>
      </c>
      <c r="AL1765">
        <v>70</v>
      </c>
      <c r="AM1765">
        <v>20</v>
      </c>
      <c r="AN1765">
        <v>20</v>
      </c>
      <c r="AO1765">
        <v>4</v>
      </c>
      <c r="AP1765">
        <v>30</v>
      </c>
      <c r="AQ1765" t="s">
        <v>8924</v>
      </c>
      <c r="AR1765" t="s">
        <v>8925</v>
      </c>
      <c r="AS1765" t="s">
        <v>8926</v>
      </c>
      <c r="AT1765" t="s">
        <v>69</v>
      </c>
      <c r="AU1765" t="s">
        <v>354</v>
      </c>
      <c r="AV1765" t="s">
        <v>69</v>
      </c>
      <c r="AW1765" t="s">
        <v>8958</v>
      </c>
      <c r="AX1765" t="s">
        <v>8434</v>
      </c>
      <c r="AY1765" t="s">
        <v>246</v>
      </c>
      <c r="AZ1765">
        <v>2018</v>
      </c>
      <c r="BA1765">
        <v>10</v>
      </c>
      <c r="BB1765">
        <v>4</v>
      </c>
      <c r="BC1765" t="s">
        <v>69</v>
      </c>
      <c r="BD1765" t="s">
        <v>69</v>
      </c>
      <c r="BE1765" t="s">
        <v>69</v>
      </c>
      <c r="BF1765" t="s">
        <v>69</v>
      </c>
      <c r="BG1765" t="s">
        <v>69</v>
      </c>
      <c r="BH1765" t="s">
        <v>69</v>
      </c>
      <c r="BI1765">
        <v>981</v>
      </c>
      <c r="BJ1765" t="s">
        <v>1089</v>
      </c>
      <c r="BK1765" t="str">
        <f>HYPERLINK("http://dx.doi.org/10.3390/su10040981","http://dx.doi.org/10.3390/su10040981")</f>
        <v>http://dx.doi.org/10.3390/su10040981</v>
      </c>
      <c r="BL1765" t="s">
        <v>69</v>
      </c>
      <c r="BM1765" t="s">
        <v>69</v>
      </c>
      <c r="BN1765">
        <v>18</v>
      </c>
      <c r="BO1765" t="s">
        <v>8960</v>
      </c>
      <c r="BP1765" t="s">
        <v>8523</v>
      </c>
      <c r="BQ1765" t="s">
        <v>8961</v>
      </c>
      <c r="BR1765" t="s">
        <v>18998</v>
      </c>
      <c r="BS1765" t="s">
        <v>1090</v>
      </c>
      <c r="BT1765" t="s">
        <v>69</v>
      </c>
      <c r="BU1765" t="s">
        <v>19008</v>
      </c>
      <c r="BV1765" t="s">
        <v>69</v>
      </c>
      <c r="BW1765" t="s">
        <v>69</v>
      </c>
      <c r="BX1765" t="s">
        <v>8526</v>
      </c>
      <c r="BY1765" t="str">
        <f>HYPERLINK("https%3A%2F%2Fwww.webofscience.com%2Fwos%2Fwoscc%2Ffull-record%2FWOS:000435188000085","View Full Record in Web of Science")</f>
        <v>View Full Record in Web of Science</v>
      </c>
    </row>
    <row r="1766" spans="1:77" ht="12.5" x14ac:dyDescent="0.25">
      <c r="A1766" t="s">
        <v>8495</v>
      </c>
      <c r="B1766" s="22" t="s">
        <v>32931</v>
      </c>
      <c r="C1766" s="7"/>
      <c r="D1766" s="7"/>
      <c r="E1766" s="7"/>
      <c r="F1766" t="s">
        <v>67</v>
      </c>
      <c r="G1766" t="s">
        <v>24243</v>
      </c>
      <c r="H1766" t="s">
        <v>69</v>
      </c>
      <c r="I1766" t="s">
        <v>69</v>
      </c>
      <c r="J1766" t="s">
        <v>69</v>
      </c>
      <c r="K1766" t="s">
        <v>24244</v>
      </c>
      <c r="L1766" t="s">
        <v>69</v>
      </c>
      <c r="M1766" t="s">
        <v>69</v>
      </c>
      <c r="N1766" t="s">
        <v>24245</v>
      </c>
      <c r="O1766" t="s">
        <v>24246</v>
      </c>
      <c r="P1766" t="s">
        <v>69</v>
      </c>
      <c r="Q1766" t="s">
        <v>69</v>
      </c>
      <c r="R1766" t="s">
        <v>8505</v>
      </c>
      <c r="S1766" t="s">
        <v>8506</v>
      </c>
      <c r="T1766" t="s">
        <v>69</v>
      </c>
      <c r="U1766" t="s">
        <v>69</v>
      </c>
      <c r="V1766" t="s">
        <v>69</v>
      </c>
      <c r="W1766" t="s">
        <v>69</v>
      </c>
      <c r="X1766" t="s">
        <v>69</v>
      </c>
      <c r="Y1766" t="s">
        <v>24247</v>
      </c>
      <c r="Z1766" t="s">
        <v>69</v>
      </c>
      <c r="AA1766" t="s">
        <v>24248</v>
      </c>
      <c r="AB1766" t="s">
        <v>24249</v>
      </c>
      <c r="AC1766" t="s">
        <v>69</v>
      </c>
      <c r="AD1766" t="s">
        <v>24250</v>
      </c>
      <c r="AE1766" t="s">
        <v>24251</v>
      </c>
      <c r="AF1766" t="s">
        <v>24252</v>
      </c>
      <c r="AG1766" t="s">
        <v>69</v>
      </c>
      <c r="AH1766" t="s">
        <v>69</v>
      </c>
      <c r="AI1766" t="s">
        <v>69</v>
      </c>
      <c r="AJ1766" t="s">
        <v>69</v>
      </c>
      <c r="AK1766" t="s">
        <v>69</v>
      </c>
      <c r="AL1766">
        <v>31</v>
      </c>
      <c r="AM1766">
        <v>6</v>
      </c>
      <c r="AN1766">
        <v>6</v>
      </c>
      <c r="AO1766">
        <v>1</v>
      </c>
      <c r="AP1766">
        <v>3</v>
      </c>
      <c r="AQ1766" t="s">
        <v>8865</v>
      </c>
      <c r="AR1766" t="s">
        <v>8612</v>
      </c>
      <c r="AS1766" t="s">
        <v>8866</v>
      </c>
      <c r="AT1766" t="s">
        <v>24253</v>
      </c>
      <c r="AU1766" t="s">
        <v>24254</v>
      </c>
      <c r="AV1766" t="s">
        <v>69</v>
      </c>
      <c r="AW1766" t="s">
        <v>24255</v>
      </c>
      <c r="AX1766" t="s">
        <v>24256</v>
      </c>
      <c r="AY1766" t="s">
        <v>69</v>
      </c>
      <c r="AZ1766">
        <v>2014</v>
      </c>
      <c r="BA1766">
        <v>22</v>
      </c>
      <c r="BB1766">
        <v>4</v>
      </c>
      <c r="BC1766" t="s">
        <v>69</v>
      </c>
      <c r="BD1766" t="s">
        <v>69</v>
      </c>
      <c r="BE1766" t="s">
        <v>69</v>
      </c>
      <c r="BF1766" t="s">
        <v>69</v>
      </c>
      <c r="BG1766">
        <v>427</v>
      </c>
      <c r="BH1766">
        <v>449</v>
      </c>
      <c r="BI1766" t="s">
        <v>69</v>
      </c>
      <c r="BJ1766" t="s">
        <v>24257</v>
      </c>
      <c r="BK1766" t="str">
        <f>HYPERLINK("http://dx.doi.org/10.1080/14782804.2014.923752","http://dx.doi.org/10.1080/14782804.2014.923752")</f>
        <v>http://dx.doi.org/10.1080/14782804.2014.923752</v>
      </c>
      <c r="BL1766" t="s">
        <v>69</v>
      </c>
      <c r="BM1766" t="s">
        <v>69</v>
      </c>
      <c r="BN1766">
        <v>23</v>
      </c>
      <c r="BO1766" t="s">
        <v>24258</v>
      </c>
      <c r="BP1766" t="s">
        <v>8573</v>
      </c>
      <c r="BQ1766" t="s">
        <v>24259</v>
      </c>
      <c r="BR1766" t="s">
        <v>24260</v>
      </c>
      <c r="BS1766" t="s">
        <v>24261</v>
      </c>
      <c r="BT1766" t="s">
        <v>69</v>
      </c>
      <c r="BU1766" t="s">
        <v>69</v>
      </c>
      <c r="BV1766" t="s">
        <v>69</v>
      </c>
      <c r="BW1766" t="s">
        <v>69</v>
      </c>
      <c r="BX1766" t="s">
        <v>8526</v>
      </c>
      <c r="BY1766" t="str">
        <f>HYPERLINK("https%3A%2F%2Fwww.webofscience.com%2Fwos%2Fwoscc%2Ffull-record%2FWOS:000212658400004","View Full Record in Web of Science")</f>
        <v>View Full Record in Web of Science</v>
      </c>
    </row>
    <row r="1767" spans="1:77" ht="12.5" x14ac:dyDescent="0.25">
      <c r="A1767" t="s">
        <v>8495</v>
      </c>
      <c r="B1767" s="22" t="s">
        <v>32931</v>
      </c>
      <c r="C1767" s="7"/>
      <c r="D1767" s="7"/>
      <c r="E1767" s="7"/>
      <c r="F1767" t="s">
        <v>67</v>
      </c>
      <c r="G1767" t="s">
        <v>18752</v>
      </c>
      <c r="H1767" t="s">
        <v>69</v>
      </c>
      <c r="I1767" t="s">
        <v>69</v>
      </c>
      <c r="J1767" t="s">
        <v>69</v>
      </c>
      <c r="K1767" t="s">
        <v>18753</v>
      </c>
      <c r="L1767" t="s">
        <v>69</v>
      </c>
      <c r="M1767" t="s">
        <v>69</v>
      </c>
      <c r="N1767" t="s">
        <v>18754</v>
      </c>
      <c r="O1767" t="s">
        <v>18755</v>
      </c>
      <c r="P1767" t="s">
        <v>69</v>
      </c>
      <c r="Q1767" t="s">
        <v>69</v>
      </c>
      <c r="R1767" t="s">
        <v>8505</v>
      </c>
      <c r="S1767" t="s">
        <v>8442</v>
      </c>
      <c r="T1767" t="s">
        <v>69</v>
      </c>
      <c r="U1767" t="s">
        <v>69</v>
      </c>
      <c r="V1767" t="s">
        <v>69</v>
      </c>
      <c r="W1767" t="s">
        <v>69</v>
      </c>
      <c r="X1767" t="s">
        <v>69</v>
      </c>
      <c r="Y1767" t="s">
        <v>18756</v>
      </c>
      <c r="Z1767" t="s">
        <v>18757</v>
      </c>
      <c r="AA1767" t="s">
        <v>18758</v>
      </c>
      <c r="AB1767" t="s">
        <v>18759</v>
      </c>
      <c r="AC1767" t="s">
        <v>69</v>
      </c>
      <c r="AD1767" t="s">
        <v>18760</v>
      </c>
      <c r="AE1767" t="s">
        <v>18761</v>
      </c>
      <c r="AF1767" t="s">
        <v>69</v>
      </c>
      <c r="AG1767" t="s">
        <v>69</v>
      </c>
      <c r="AH1767" t="s">
        <v>18762</v>
      </c>
      <c r="AI1767" t="s">
        <v>18762</v>
      </c>
      <c r="AJ1767" t="s">
        <v>18763</v>
      </c>
      <c r="AK1767" t="s">
        <v>69</v>
      </c>
      <c r="AL1767">
        <v>40</v>
      </c>
      <c r="AM1767">
        <v>1</v>
      </c>
      <c r="AN1767">
        <v>1</v>
      </c>
      <c r="AO1767">
        <v>3</v>
      </c>
      <c r="AP1767">
        <v>12</v>
      </c>
      <c r="AQ1767" t="s">
        <v>8563</v>
      </c>
      <c r="AR1767" t="s">
        <v>8564</v>
      </c>
      <c r="AS1767" t="s">
        <v>8565</v>
      </c>
      <c r="AT1767" t="s">
        <v>18764</v>
      </c>
      <c r="AU1767" t="s">
        <v>69</v>
      </c>
      <c r="AV1767" t="s">
        <v>69</v>
      </c>
      <c r="AW1767" t="s">
        <v>18765</v>
      </c>
      <c r="AX1767" t="s">
        <v>18766</v>
      </c>
      <c r="AY1767" t="s">
        <v>7106</v>
      </c>
      <c r="AZ1767">
        <v>2018</v>
      </c>
      <c r="BA1767">
        <v>30</v>
      </c>
      <c r="BB1767" t="s">
        <v>69</v>
      </c>
      <c r="BC1767" t="s">
        <v>69</v>
      </c>
      <c r="BD1767" t="s">
        <v>69</v>
      </c>
      <c r="BE1767" t="s">
        <v>69</v>
      </c>
      <c r="BF1767" t="s">
        <v>69</v>
      </c>
      <c r="BG1767" t="s">
        <v>69</v>
      </c>
      <c r="BH1767" t="s">
        <v>69</v>
      </c>
      <c r="BI1767">
        <v>15</v>
      </c>
      <c r="BJ1767" t="s">
        <v>18767</v>
      </c>
      <c r="BK1767" t="str">
        <f>HYPERLINK("http://dx.doi.org/10.1186/s12302-018-0147-z","http://dx.doi.org/10.1186/s12302-018-0147-z")</f>
        <v>http://dx.doi.org/10.1186/s12302-018-0147-z</v>
      </c>
      <c r="BL1767" t="s">
        <v>69</v>
      </c>
      <c r="BM1767" t="s">
        <v>69</v>
      </c>
      <c r="BN1767">
        <v>8</v>
      </c>
      <c r="BO1767" t="s">
        <v>8717</v>
      </c>
      <c r="BP1767" t="s">
        <v>8548</v>
      </c>
      <c r="BQ1767" t="s">
        <v>8662</v>
      </c>
      <c r="BR1767" t="s">
        <v>18768</v>
      </c>
      <c r="BS1767" t="s">
        <v>18769</v>
      </c>
      <c r="BT1767">
        <v>29780681</v>
      </c>
      <c r="BU1767" t="s">
        <v>8812</v>
      </c>
      <c r="BV1767" t="s">
        <v>69</v>
      </c>
      <c r="BW1767" t="s">
        <v>69</v>
      </c>
      <c r="BX1767" t="s">
        <v>8526</v>
      </c>
      <c r="BY1767" t="str">
        <f>HYPERLINK("https%3A%2F%2Fwww.webofscience.com%2Fwos%2Fwoscc%2Ffull-record%2FWOS:000432885400001","View Full Record in Web of Science")</f>
        <v>View Full Record in Web of Science</v>
      </c>
    </row>
    <row r="1768" spans="1:77" ht="12.5" x14ac:dyDescent="0.25">
      <c r="A1768" t="s">
        <v>8495</v>
      </c>
      <c r="B1768" s="7" t="s">
        <v>32933</v>
      </c>
      <c r="C1768" s="7"/>
      <c r="D1768" s="7"/>
      <c r="E1768" s="7"/>
      <c r="F1768" t="s">
        <v>67</v>
      </c>
      <c r="G1768" t="s">
        <v>5866</v>
      </c>
      <c r="H1768" t="s">
        <v>69</v>
      </c>
      <c r="I1768" t="s">
        <v>69</v>
      </c>
      <c r="J1768" t="s">
        <v>69</v>
      </c>
      <c r="K1768" t="s">
        <v>5866</v>
      </c>
      <c r="L1768" t="s">
        <v>69</v>
      </c>
      <c r="M1768" t="s">
        <v>69</v>
      </c>
      <c r="N1768" t="s">
        <v>5867</v>
      </c>
      <c r="O1768" t="s">
        <v>5868</v>
      </c>
      <c r="P1768" t="s">
        <v>69</v>
      </c>
      <c r="Q1768" t="s">
        <v>69</v>
      </c>
      <c r="R1768" t="s">
        <v>8505</v>
      </c>
      <c r="S1768" t="s">
        <v>8506</v>
      </c>
      <c r="T1768" t="s">
        <v>69</v>
      </c>
      <c r="U1768" t="s">
        <v>69</v>
      </c>
      <c r="V1768" t="s">
        <v>69</v>
      </c>
      <c r="W1768" t="s">
        <v>69</v>
      </c>
      <c r="X1768" t="s">
        <v>69</v>
      </c>
      <c r="Y1768" t="s">
        <v>31273</v>
      </c>
      <c r="Z1768" t="s">
        <v>69</v>
      </c>
      <c r="AA1768" t="s">
        <v>5869</v>
      </c>
      <c r="AB1768" t="s">
        <v>31274</v>
      </c>
      <c r="AC1768" t="s">
        <v>69</v>
      </c>
      <c r="AD1768" t="s">
        <v>31275</v>
      </c>
      <c r="AE1768" t="s">
        <v>69</v>
      </c>
      <c r="AF1768" t="s">
        <v>69</v>
      </c>
      <c r="AG1768" t="s">
        <v>69</v>
      </c>
      <c r="AH1768" t="s">
        <v>69</v>
      </c>
      <c r="AI1768" t="s">
        <v>69</v>
      </c>
      <c r="AJ1768" t="s">
        <v>69</v>
      </c>
      <c r="AK1768" t="s">
        <v>69</v>
      </c>
      <c r="AL1768">
        <v>2</v>
      </c>
      <c r="AM1768">
        <v>0</v>
      </c>
      <c r="AN1768">
        <v>0</v>
      </c>
      <c r="AO1768">
        <v>0</v>
      </c>
      <c r="AP1768">
        <v>6</v>
      </c>
      <c r="AQ1768" t="s">
        <v>31076</v>
      </c>
      <c r="AR1768" t="s">
        <v>8637</v>
      </c>
      <c r="AS1768" t="s">
        <v>31077</v>
      </c>
      <c r="AT1768" t="s">
        <v>5870</v>
      </c>
      <c r="AU1768" t="s">
        <v>69</v>
      </c>
      <c r="AV1768" t="s">
        <v>69</v>
      </c>
      <c r="AW1768" t="s">
        <v>31276</v>
      </c>
      <c r="AX1768" t="s">
        <v>31277</v>
      </c>
      <c r="AY1768" t="s">
        <v>191</v>
      </c>
      <c r="AZ1768">
        <v>2003</v>
      </c>
      <c r="BA1768">
        <v>56</v>
      </c>
      <c r="BB1768">
        <v>1</v>
      </c>
      <c r="BC1768" t="s">
        <v>69</v>
      </c>
      <c r="BD1768" t="s">
        <v>69</v>
      </c>
      <c r="BE1768" t="s">
        <v>69</v>
      </c>
      <c r="BF1768" t="s">
        <v>69</v>
      </c>
      <c r="BG1768">
        <v>2</v>
      </c>
      <c r="BH1768">
        <v>5</v>
      </c>
      <c r="BI1768" t="s">
        <v>69</v>
      </c>
      <c r="BJ1768" t="s">
        <v>5871</v>
      </c>
      <c r="BK1768" t="str">
        <f>HYPERLINK("http://dx.doi.org/10.1046/j.1471-0307.2003.00084.x","http://dx.doi.org/10.1046/j.1471-0307.2003.00084.x")</f>
        <v>http://dx.doi.org/10.1046/j.1471-0307.2003.00084.x</v>
      </c>
      <c r="BL1768" t="s">
        <v>69</v>
      </c>
      <c r="BM1768" t="s">
        <v>69</v>
      </c>
      <c r="BN1768">
        <v>4</v>
      </c>
      <c r="BO1768" t="s">
        <v>17221</v>
      </c>
      <c r="BP1768" t="s">
        <v>8548</v>
      </c>
      <c r="BQ1768" t="s">
        <v>17221</v>
      </c>
      <c r="BR1768" t="s">
        <v>31278</v>
      </c>
      <c r="BS1768" t="s">
        <v>5872</v>
      </c>
      <c r="BT1768" t="s">
        <v>69</v>
      </c>
      <c r="BU1768" t="s">
        <v>69</v>
      </c>
      <c r="BV1768" t="s">
        <v>69</v>
      </c>
      <c r="BW1768" t="s">
        <v>69</v>
      </c>
      <c r="BX1768" t="s">
        <v>8526</v>
      </c>
      <c r="BY1768" t="str">
        <f>HYPERLINK("https%3A%2F%2Fwww.webofscience.com%2Fwos%2Fwoscc%2Ffull-record%2FWOS:000180969000002","View Full Record in Web of Science")</f>
        <v>View Full Record in Web of Science</v>
      </c>
    </row>
    <row r="1769" spans="1:77" ht="12.5" x14ac:dyDescent="0.25">
      <c r="A1769" t="s">
        <v>8495</v>
      </c>
      <c r="B1769" s="7" t="s">
        <v>32933</v>
      </c>
      <c r="C1769" s="7"/>
      <c r="D1769" s="7"/>
      <c r="E1769" s="7"/>
      <c r="F1769" t="s">
        <v>67</v>
      </c>
      <c r="G1769" t="s">
        <v>3852</v>
      </c>
      <c r="H1769" t="s">
        <v>69</v>
      </c>
      <c r="I1769" t="s">
        <v>69</v>
      </c>
      <c r="J1769" t="s">
        <v>69</v>
      </c>
      <c r="K1769" t="s">
        <v>3852</v>
      </c>
      <c r="L1769" t="s">
        <v>69</v>
      </c>
      <c r="M1769" t="s">
        <v>69</v>
      </c>
      <c r="N1769" t="s">
        <v>3853</v>
      </c>
      <c r="O1769" t="s">
        <v>3854</v>
      </c>
      <c r="P1769" t="s">
        <v>69</v>
      </c>
      <c r="Q1769" t="s">
        <v>69</v>
      </c>
      <c r="R1769" t="s">
        <v>8505</v>
      </c>
      <c r="S1769" t="s">
        <v>8506</v>
      </c>
      <c r="T1769" t="s">
        <v>69</v>
      </c>
      <c r="U1769" t="s">
        <v>69</v>
      </c>
      <c r="V1769" t="s">
        <v>69</v>
      </c>
      <c r="W1769" t="s">
        <v>69</v>
      </c>
      <c r="X1769" t="s">
        <v>69</v>
      </c>
      <c r="Y1769" t="s">
        <v>30370</v>
      </c>
      <c r="Z1769" t="s">
        <v>30371</v>
      </c>
      <c r="AA1769" t="s">
        <v>3855</v>
      </c>
      <c r="AB1769" t="s">
        <v>30372</v>
      </c>
      <c r="AC1769" t="s">
        <v>69</v>
      </c>
      <c r="AD1769" t="s">
        <v>30373</v>
      </c>
      <c r="AE1769" t="s">
        <v>25893</v>
      </c>
      <c r="AF1769" t="s">
        <v>69</v>
      </c>
      <c r="AG1769" t="s">
        <v>3856</v>
      </c>
      <c r="AH1769" t="s">
        <v>30374</v>
      </c>
      <c r="AI1769" t="s">
        <v>30375</v>
      </c>
      <c r="AJ1769" t="s">
        <v>69</v>
      </c>
      <c r="AK1769" t="s">
        <v>69</v>
      </c>
      <c r="AL1769">
        <v>89</v>
      </c>
      <c r="AM1769">
        <v>43</v>
      </c>
      <c r="AN1769">
        <v>43</v>
      </c>
      <c r="AO1769">
        <v>1</v>
      </c>
      <c r="AP1769">
        <v>5</v>
      </c>
      <c r="AQ1769" t="s">
        <v>10352</v>
      </c>
      <c r="AR1769" t="s">
        <v>8637</v>
      </c>
      <c r="AS1769" t="s">
        <v>10353</v>
      </c>
      <c r="AT1769" t="s">
        <v>3857</v>
      </c>
      <c r="AU1769" t="s">
        <v>69</v>
      </c>
      <c r="AV1769" t="s">
        <v>69</v>
      </c>
      <c r="AW1769" t="s">
        <v>30376</v>
      </c>
      <c r="AX1769" t="s">
        <v>30377</v>
      </c>
      <c r="AY1769" t="s">
        <v>191</v>
      </c>
      <c r="AZ1769">
        <v>2006</v>
      </c>
      <c r="BA1769">
        <v>16</v>
      </c>
      <c r="BB1769">
        <v>1</v>
      </c>
      <c r="BC1769" t="s">
        <v>69</v>
      </c>
      <c r="BD1769" t="s">
        <v>69</v>
      </c>
      <c r="BE1769" t="s">
        <v>69</v>
      </c>
      <c r="BF1769" t="s">
        <v>69</v>
      </c>
      <c r="BG1769">
        <v>69</v>
      </c>
      <c r="BH1769">
        <v>77</v>
      </c>
      <c r="BI1769" t="s">
        <v>69</v>
      </c>
      <c r="BJ1769" t="s">
        <v>3858</v>
      </c>
      <c r="BK1769" t="str">
        <f>HYPERLINK("http://dx.doi.org/10.1093/eurpub/cki044","http://dx.doi.org/10.1093/eurpub/cki044")</f>
        <v>http://dx.doi.org/10.1093/eurpub/cki044</v>
      </c>
      <c r="BL1769" t="s">
        <v>69</v>
      </c>
      <c r="BM1769" t="s">
        <v>69</v>
      </c>
      <c r="BN1769">
        <v>9</v>
      </c>
      <c r="BO1769" t="s">
        <v>8810</v>
      </c>
      <c r="BP1769" t="s">
        <v>8523</v>
      </c>
      <c r="BQ1769" t="s">
        <v>8810</v>
      </c>
      <c r="BR1769" t="s">
        <v>30378</v>
      </c>
      <c r="BS1769" t="s">
        <v>3859</v>
      </c>
      <c r="BT1769">
        <v>16076855</v>
      </c>
      <c r="BU1769" t="s">
        <v>9374</v>
      </c>
      <c r="BV1769" t="s">
        <v>69</v>
      </c>
      <c r="BW1769" t="s">
        <v>69</v>
      </c>
      <c r="BX1769" t="s">
        <v>8526</v>
      </c>
      <c r="BY1769" t="str">
        <f>HYPERLINK("https%3A%2F%2Fwww.webofscience.com%2Fwos%2Fwoscc%2Ffull-record%2FWOS:000235278300014","View Full Record in Web of Science")</f>
        <v>View Full Record in Web of Science</v>
      </c>
    </row>
    <row r="1770" spans="1:77" ht="12.5" x14ac:dyDescent="0.25">
      <c r="A1770" t="s">
        <v>8495</v>
      </c>
      <c r="B1770" s="22" t="s">
        <v>32931</v>
      </c>
      <c r="C1770" s="7"/>
      <c r="D1770" s="7"/>
      <c r="E1770" s="7"/>
      <c r="F1770" t="s">
        <v>67</v>
      </c>
      <c r="G1770" t="s">
        <v>24868</v>
      </c>
      <c r="H1770" t="s">
        <v>69</v>
      </c>
      <c r="I1770" t="s">
        <v>69</v>
      </c>
      <c r="J1770" t="s">
        <v>69</v>
      </c>
      <c r="K1770" t="s">
        <v>24869</v>
      </c>
      <c r="L1770" t="s">
        <v>69</v>
      </c>
      <c r="M1770" t="s">
        <v>69</v>
      </c>
      <c r="N1770" t="s">
        <v>24870</v>
      </c>
      <c r="O1770" t="s">
        <v>10152</v>
      </c>
      <c r="P1770" t="s">
        <v>69</v>
      </c>
      <c r="Q1770" t="s">
        <v>69</v>
      </c>
      <c r="R1770" t="s">
        <v>10153</v>
      </c>
      <c r="S1770" t="s">
        <v>8506</v>
      </c>
      <c r="T1770" t="s">
        <v>69</v>
      </c>
      <c r="U1770" t="s">
        <v>69</v>
      </c>
      <c r="V1770" t="s">
        <v>69</v>
      </c>
      <c r="W1770" t="s">
        <v>69</v>
      </c>
      <c r="X1770" t="s">
        <v>69</v>
      </c>
      <c r="Y1770" t="s">
        <v>24871</v>
      </c>
      <c r="Z1770" t="s">
        <v>69</v>
      </c>
      <c r="AA1770" t="s">
        <v>24872</v>
      </c>
      <c r="AB1770" t="s">
        <v>24873</v>
      </c>
      <c r="AC1770" t="s">
        <v>69</v>
      </c>
      <c r="AD1770" t="s">
        <v>24874</v>
      </c>
      <c r="AE1770" t="s">
        <v>24875</v>
      </c>
      <c r="AF1770" t="s">
        <v>24876</v>
      </c>
      <c r="AG1770" t="s">
        <v>24877</v>
      </c>
      <c r="AH1770" t="s">
        <v>69</v>
      </c>
      <c r="AI1770" t="s">
        <v>69</v>
      </c>
      <c r="AJ1770" t="s">
        <v>69</v>
      </c>
      <c r="AK1770" t="s">
        <v>69</v>
      </c>
      <c r="AL1770">
        <v>61</v>
      </c>
      <c r="AM1770">
        <v>4</v>
      </c>
      <c r="AN1770">
        <v>4</v>
      </c>
      <c r="AO1770">
        <v>0</v>
      </c>
      <c r="AP1770">
        <v>0</v>
      </c>
      <c r="AQ1770" t="s">
        <v>10160</v>
      </c>
      <c r="AR1770" t="s">
        <v>10161</v>
      </c>
      <c r="AS1770" t="s">
        <v>10162</v>
      </c>
      <c r="AT1770" t="s">
        <v>10163</v>
      </c>
      <c r="AU1770" t="s">
        <v>10164</v>
      </c>
      <c r="AV1770" t="s">
        <v>69</v>
      </c>
      <c r="AW1770" t="s">
        <v>10165</v>
      </c>
      <c r="AX1770" t="s">
        <v>10166</v>
      </c>
      <c r="AY1770" t="s">
        <v>6479</v>
      </c>
      <c r="AZ1770">
        <v>2013</v>
      </c>
      <c r="BA1770">
        <v>28</v>
      </c>
      <c r="BB1770" t="s">
        <v>69</v>
      </c>
      <c r="BC1770" t="s">
        <v>69</v>
      </c>
      <c r="BD1770" t="s">
        <v>69</v>
      </c>
      <c r="BE1770" t="s">
        <v>69</v>
      </c>
      <c r="BF1770" t="s">
        <v>69</v>
      </c>
      <c r="BG1770">
        <v>89</v>
      </c>
      <c r="BH1770">
        <v>106</v>
      </c>
      <c r="BI1770" t="s">
        <v>69</v>
      </c>
      <c r="BJ1770" t="s">
        <v>69</v>
      </c>
      <c r="BK1770" t="s">
        <v>69</v>
      </c>
      <c r="BL1770" t="s">
        <v>69</v>
      </c>
      <c r="BM1770" t="s">
        <v>69</v>
      </c>
      <c r="BN1770">
        <v>18</v>
      </c>
      <c r="BO1770" t="s">
        <v>8660</v>
      </c>
      <c r="BP1770" t="s">
        <v>8573</v>
      </c>
      <c r="BQ1770" t="s">
        <v>8662</v>
      </c>
      <c r="BR1770" t="s">
        <v>24878</v>
      </c>
      <c r="BS1770" t="s">
        <v>24879</v>
      </c>
      <c r="BT1770" t="s">
        <v>69</v>
      </c>
      <c r="BU1770" t="s">
        <v>69</v>
      </c>
      <c r="BV1770" t="s">
        <v>69</v>
      </c>
      <c r="BW1770" t="s">
        <v>69</v>
      </c>
      <c r="BX1770" t="s">
        <v>8526</v>
      </c>
      <c r="BY1770" t="str">
        <f>HYPERLINK("https%3A%2F%2Fwww.webofscience.com%2Fwos%2Fwoscc%2Ffull-record%2FWOS:000216250000007","View Full Record in Web of Science")</f>
        <v>View Full Record in Web of Science</v>
      </c>
    </row>
    <row r="1771" spans="1:77" ht="12.5" x14ac:dyDescent="0.25">
      <c r="A1771" t="s">
        <v>8495</v>
      </c>
      <c r="B1771" s="7" t="s">
        <v>32933</v>
      </c>
      <c r="C1771" s="7"/>
      <c r="D1771" s="7"/>
      <c r="E1771" s="7"/>
      <c r="F1771" t="s">
        <v>67</v>
      </c>
      <c r="G1771" t="s">
        <v>2560</v>
      </c>
      <c r="H1771" t="s">
        <v>69</v>
      </c>
      <c r="I1771" t="s">
        <v>69</v>
      </c>
      <c r="J1771" t="s">
        <v>69</v>
      </c>
      <c r="K1771" t="s">
        <v>2561</v>
      </c>
      <c r="L1771" t="s">
        <v>69</v>
      </c>
      <c r="M1771" t="s">
        <v>69</v>
      </c>
      <c r="N1771" t="s">
        <v>2562</v>
      </c>
      <c r="O1771" t="s">
        <v>2563</v>
      </c>
      <c r="P1771" t="s">
        <v>69</v>
      </c>
      <c r="Q1771" t="s">
        <v>69</v>
      </c>
      <c r="R1771" t="s">
        <v>8505</v>
      </c>
      <c r="S1771" t="s">
        <v>8506</v>
      </c>
      <c r="T1771" t="s">
        <v>69</v>
      </c>
      <c r="U1771" t="s">
        <v>69</v>
      </c>
      <c r="V1771" t="s">
        <v>69</v>
      </c>
      <c r="W1771" t="s">
        <v>69</v>
      </c>
      <c r="X1771" t="s">
        <v>69</v>
      </c>
      <c r="Y1771" t="s">
        <v>19942</v>
      </c>
      <c r="Z1771" t="s">
        <v>69</v>
      </c>
      <c r="AA1771" t="s">
        <v>2564</v>
      </c>
      <c r="AB1771" t="s">
        <v>19943</v>
      </c>
      <c r="AC1771" t="s">
        <v>69</v>
      </c>
      <c r="AD1771" t="s">
        <v>19944</v>
      </c>
      <c r="AE1771" t="s">
        <v>19945</v>
      </c>
      <c r="AF1771" t="s">
        <v>69</v>
      </c>
      <c r="AG1771" t="s">
        <v>69</v>
      </c>
      <c r="AH1771" t="s">
        <v>69</v>
      </c>
      <c r="AI1771" t="s">
        <v>69</v>
      </c>
      <c r="AJ1771" t="s">
        <v>69</v>
      </c>
      <c r="AK1771" t="s">
        <v>69</v>
      </c>
      <c r="AL1771">
        <v>20</v>
      </c>
      <c r="AM1771">
        <v>0</v>
      </c>
      <c r="AN1771">
        <v>0</v>
      </c>
      <c r="AO1771">
        <v>0</v>
      </c>
      <c r="AP1771">
        <v>5</v>
      </c>
      <c r="AQ1771" t="s">
        <v>19946</v>
      </c>
      <c r="AR1771" t="s">
        <v>19947</v>
      </c>
      <c r="AS1771" t="s">
        <v>19948</v>
      </c>
      <c r="AT1771" t="s">
        <v>2565</v>
      </c>
      <c r="AU1771" t="s">
        <v>2566</v>
      </c>
      <c r="AV1771" t="s">
        <v>69</v>
      </c>
      <c r="AW1771" t="s">
        <v>19949</v>
      </c>
      <c r="AX1771" t="s">
        <v>19950</v>
      </c>
      <c r="AY1771" t="s">
        <v>381</v>
      </c>
      <c r="AZ1771">
        <v>2017</v>
      </c>
      <c r="BA1771">
        <v>22</v>
      </c>
      <c r="BB1771">
        <v>10</v>
      </c>
      <c r="BC1771" t="s">
        <v>69</v>
      </c>
      <c r="BD1771" t="s">
        <v>69</v>
      </c>
      <c r="BE1771" t="s">
        <v>69</v>
      </c>
      <c r="BF1771" t="s">
        <v>69</v>
      </c>
      <c r="BG1771">
        <v>3473</v>
      </c>
      <c r="BH1771">
        <v>3480</v>
      </c>
      <c r="BI1771" t="s">
        <v>69</v>
      </c>
      <c r="BJ1771" t="s">
        <v>2567</v>
      </c>
      <c r="BK1771" t="str">
        <f>HYPERLINK("http://dx.doi.org/10.1590/1413-812320172210.33932016","http://dx.doi.org/10.1590/1413-812320172210.33932016")</f>
        <v>http://dx.doi.org/10.1590/1413-812320172210.33932016</v>
      </c>
      <c r="BL1771" t="s">
        <v>69</v>
      </c>
      <c r="BM1771" t="s">
        <v>69</v>
      </c>
      <c r="BN1771">
        <v>8</v>
      </c>
      <c r="BO1771" t="s">
        <v>8810</v>
      </c>
      <c r="BP1771" t="s">
        <v>8661</v>
      </c>
      <c r="BQ1771" t="s">
        <v>8810</v>
      </c>
      <c r="BR1771" t="s">
        <v>19951</v>
      </c>
      <c r="BS1771" t="s">
        <v>2568</v>
      </c>
      <c r="BT1771">
        <v>29069200</v>
      </c>
      <c r="BU1771" t="s">
        <v>9352</v>
      </c>
      <c r="BV1771" t="s">
        <v>69</v>
      </c>
      <c r="BW1771" t="s">
        <v>69</v>
      </c>
      <c r="BX1771" t="s">
        <v>8526</v>
      </c>
      <c r="BY1771" t="str">
        <f>HYPERLINK("https%3A%2F%2Fwww.webofscience.com%2Fwos%2Fwoscc%2Ffull-record%2FWOS:000413653300031","View Full Record in Web of Science")</f>
        <v>View Full Record in Web of Science</v>
      </c>
    </row>
    <row r="1772" spans="1:77" ht="12.5" x14ac:dyDescent="0.25">
      <c r="A1772" t="s">
        <v>8495</v>
      </c>
      <c r="B1772" s="22" t="s">
        <v>32931</v>
      </c>
      <c r="C1772" s="7"/>
      <c r="D1772" s="7"/>
      <c r="E1772" s="7"/>
      <c r="F1772" t="s">
        <v>67</v>
      </c>
      <c r="G1772" t="s">
        <v>16067</v>
      </c>
      <c r="H1772" t="s">
        <v>69</v>
      </c>
      <c r="I1772" t="s">
        <v>69</v>
      </c>
      <c r="J1772" t="s">
        <v>69</v>
      </c>
      <c r="K1772" t="s">
        <v>16068</v>
      </c>
      <c r="L1772" t="s">
        <v>69</v>
      </c>
      <c r="M1772" t="s">
        <v>69</v>
      </c>
      <c r="N1772" t="s">
        <v>16069</v>
      </c>
      <c r="O1772" t="s">
        <v>16070</v>
      </c>
      <c r="P1772" t="s">
        <v>69</v>
      </c>
      <c r="Q1772" t="s">
        <v>69</v>
      </c>
      <c r="R1772" t="s">
        <v>10071</v>
      </c>
      <c r="S1772" t="s">
        <v>8506</v>
      </c>
      <c r="T1772" t="s">
        <v>69</v>
      </c>
      <c r="U1772" t="s">
        <v>69</v>
      </c>
      <c r="V1772" t="s">
        <v>69</v>
      </c>
      <c r="W1772" t="s">
        <v>69</v>
      </c>
      <c r="X1772" t="s">
        <v>69</v>
      </c>
      <c r="Y1772" t="s">
        <v>16071</v>
      </c>
      <c r="Z1772" t="s">
        <v>69</v>
      </c>
      <c r="AA1772" t="s">
        <v>16072</v>
      </c>
      <c r="AB1772" t="s">
        <v>16073</v>
      </c>
      <c r="AC1772" t="s">
        <v>69</v>
      </c>
      <c r="AD1772" t="s">
        <v>16074</v>
      </c>
      <c r="AE1772" t="s">
        <v>16075</v>
      </c>
      <c r="AF1772" t="s">
        <v>69</v>
      </c>
      <c r="AG1772" t="s">
        <v>16076</v>
      </c>
      <c r="AH1772" t="s">
        <v>69</v>
      </c>
      <c r="AI1772" t="s">
        <v>69</v>
      </c>
      <c r="AJ1772" t="s">
        <v>69</v>
      </c>
      <c r="AK1772" t="s">
        <v>69</v>
      </c>
      <c r="AL1772">
        <v>15</v>
      </c>
      <c r="AM1772">
        <v>0</v>
      </c>
      <c r="AN1772">
        <v>0</v>
      </c>
      <c r="AO1772">
        <v>0</v>
      </c>
      <c r="AP1772">
        <v>0</v>
      </c>
      <c r="AQ1772" t="s">
        <v>16077</v>
      </c>
      <c r="AR1772" t="s">
        <v>16078</v>
      </c>
      <c r="AS1772" t="s">
        <v>16079</v>
      </c>
      <c r="AT1772" t="s">
        <v>16080</v>
      </c>
      <c r="AU1772" t="s">
        <v>16081</v>
      </c>
      <c r="AV1772" t="s">
        <v>69</v>
      </c>
      <c r="AW1772" t="s">
        <v>16070</v>
      </c>
      <c r="AX1772" t="s">
        <v>16082</v>
      </c>
      <c r="AY1772" t="s">
        <v>69</v>
      </c>
      <c r="AZ1772">
        <v>2020</v>
      </c>
      <c r="BA1772" t="s">
        <v>69</v>
      </c>
      <c r="BB1772">
        <v>43</v>
      </c>
      <c r="BC1772" t="s">
        <v>69</v>
      </c>
      <c r="BD1772" t="s">
        <v>69</v>
      </c>
      <c r="BE1772" t="s">
        <v>69</v>
      </c>
      <c r="BF1772" t="s">
        <v>69</v>
      </c>
      <c r="BG1772" t="s">
        <v>69</v>
      </c>
      <c r="BH1772" t="s">
        <v>69</v>
      </c>
      <c r="BI1772" t="s">
        <v>69</v>
      </c>
      <c r="BJ1772" t="s">
        <v>16083</v>
      </c>
      <c r="BK1772" t="str">
        <f>HYPERLINK("http://dx.doi.org/10.12804/revistas.urosario.edu.co/territorios/a.7810","http://dx.doi.org/10.12804/revistas.urosario.edu.co/territorios/a.7810")</f>
        <v>http://dx.doi.org/10.12804/revistas.urosario.edu.co/territorios/a.7810</v>
      </c>
      <c r="BL1772" t="s">
        <v>69</v>
      </c>
      <c r="BM1772" t="s">
        <v>69</v>
      </c>
      <c r="BN1772">
        <v>22</v>
      </c>
      <c r="BO1772" t="s">
        <v>8475</v>
      </c>
      <c r="BP1772" t="s">
        <v>8573</v>
      </c>
      <c r="BQ1772" t="s">
        <v>8475</v>
      </c>
      <c r="BR1772" t="s">
        <v>16084</v>
      </c>
      <c r="BS1772" t="s">
        <v>16085</v>
      </c>
      <c r="BT1772" t="s">
        <v>69</v>
      </c>
      <c r="BU1772" t="s">
        <v>11853</v>
      </c>
      <c r="BV1772" t="s">
        <v>69</v>
      </c>
      <c r="BW1772" t="s">
        <v>69</v>
      </c>
      <c r="BX1772" t="s">
        <v>8526</v>
      </c>
      <c r="BY1772" t="str">
        <f>HYPERLINK("https%3A%2F%2Fwww.webofscience.com%2Fwos%2Fwoscc%2Ffull-record%2FWOS:000566727500006","View Full Record in Web of Science")</f>
        <v>View Full Record in Web of Science</v>
      </c>
    </row>
    <row r="1773" spans="1:77" x14ac:dyDescent="0.3">
      <c r="A1773" t="s">
        <v>8495</v>
      </c>
      <c r="B1773" s="9" t="s">
        <v>32954</v>
      </c>
      <c r="C1773" s="9" t="s">
        <v>33129</v>
      </c>
      <c r="D1773" s="9" t="s">
        <v>8491</v>
      </c>
      <c r="E1773" s="9" t="s">
        <v>8490</v>
      </c>
      <c r="F1773" t="s">
        <v>67</v>
      </c>
      <c r="G1773" t="s">
        <v>27802</v>
      </c>
      <c r="H1773" t="s">
        <v>69</v>
      </c>
      <c r="I1773" t="s">
        <v>69</v>
      </c>
      <c r="J1773" t="s">
        <v>69</v>
      </c>
      <c r="K1773" t="s">
        <v>27803</v>
      </c>
      <c r="L1773" t="s">
        <v>69</v>
      </c>
      <c r="M1773" t="s">
        <v>69</v>
      </c>
      <c r="N1773" t="s">
        <v>27804</v>
      </c>
      <c r="O1773" t="s">
        <v>27805</v>
      </c>
      <c r="P1773" t="s">
        <v>69</v>
      </c>
      <c r="Q1773" t="s">
        <v>69</v>
      </c>
      <c r="R1773" t="s">
        <v>8505</v>
      </c>
      <c r="S1773" t="s">
        <v>8506</v>
      </c>
      <c r="T1773" t="s">
        <v>69</v>
      </c>
      <c r="U1773" t="s">
        <v>69</v>
      </c>
      <c r="V1773" t="s">
        <v>69</v>
      </c>
      <c r="W1773" t="s">
        <v>69</v>
      </c>
      <c r="X1773" t="s">
        <v>69</v>
      </c>
      <c r="Y1773" t="s">
        <v>27806</v>
      </c>
      <c r="Z1773" t="s">
        <v>27807</v>
      </c>
      <c r="AA1773" t="s">
        <v>27808</v>
      </c>
      <c r="AB1773" t="s">
        <v>27809</v>
      </c>
      <c r="AC1773" t="s">
        <v>69</v>
      </c>
      <c r="AD1773" t="s">
        <v>27810</v>
      </c>
      <c r="AE1773" t="s">
        <v>69</v>
      </c>
      <c r="AF1773" t="s">
        <v>27811</v>
      </c>
      <c r="AG1773" t="s">
        <v>27812</v>
      </c>
      <c r="AH1773" t="s">
        <v>27813</v>
      </c>
      <c r="AI1773" t="s">
        <v>23997</v>
      </c>
      <c r="AJ1773" t="s">
        <v>69</v>
      </c>
      <c r="AK1773" t="s">
        <v>69</v>
      </c>
      <c r="AL1773">
        <v>93</v>
      </c>
      <c r="AM1773">
        <v>30</v>
      </c>
      <c r="AN1773">
        <v>30</v>
      </c>
      <c r="AO1773">
        <v>0</v>
      </c>
      <c r="AP1773">
        <v>10</v>
      </c>
      <c r="AQ1773" t="s">
        <v>8762</v>
      </c>
      <c r="AR1773" t="s">
        <v>8763</v>
      </c>
      <c r="AS1773" t="s">
        <v>8764</v>
      </c>
      <c r="AT1773" t="s">
        <v>27814</v>
      </c>
      <c r="AU1773" t="s">
        <v>69</v>
      </c>
      <c r="AV1773" t="s">
        <v>69</v>
      </c>
      <c r="AW1773" t="s">
        <v>27815</v>
      </c>
      <c r="AX1773" t="s">
        <v>27816</v>
      </c>
      <c r="AY1773" t="s">
        <v>586</v>
      </c>
      <c r="AZ1773">
        <v>2010</v>
      </c>
      <c r="BA1773">
        <v>14</v>
      </c>
      <c r="BB1773">
        <v>2</v>
      </c>
      <c r="BC1773" t="s">
        <v>69</v>
      </c>
      <c r="BD1773" t="s">
        <v>69</v>
      </c>
      <c r="BE1773" t="s">
        <v>69</v>
      </c>
      <c r="BF1773" t="s">
        <v>69</v>
      </c>
      <c r="BG1773">
        <v>183</v>
      </c>
      <c r="BH1773">
        <v>210</v>
      </c>
      <c r="BI1773" t="s">
        <v>69</v>
      </c>
      <c r="BJ1773" t="s">
        <v>27817</v>
      </c>
      <c r="BK1773" t="str">
        <f>HYPERLINK("http://dx.doi.org/10.1177/1362480609355702","http://dx.doi.org/10.1177/1362480609355702")</f>
        <v>http://dx.doi.org/10.1177/1362480609355702</v>
      </c>
      <c r="BL1773" t="s">
        <v>69</v>
      </c>
      <c r="BM1773" t="s">
        <v>69</v>
      </c>
      <c r="BN1773">
        <v>28</v>
      </c>
      <c r="BO1773" t="s">
        <v>19122</v>
      </c>
      <c r="BP1773" t="s">
        <v>8661</v>
      </c>
      <c r="BQ1773" t="s">
        <v>19122</v>
      </c>
      <c r="BR1773" t="s">
        <v>27818</v>
      </c>
      <c r="BS1773" t="s">
        <v>27819</v>
      </c>
      <c r="BT1773" t="s">
        <v>69</v>
      </c>
      <c r="BU1773" t="s">
        <v>69</v>
      </c>
      <c r="BV1773" t="s">
        <v>69</v>
      </c>
      <c r="BW1773" t="s">
        <v>69</v>
      </c>
      <c r="BX1773" t="s">
        <v>8526</v>
      </c>
      <c r="BY1773" t="str">
        <f>HYPERLINK("https%3A%2F%2Fwww.webofscience.com%2Fwos%2Fwoscc%2Ffull-record%2FWOS:000278250800003","View Full Record in Web of Science")</f>
        <v>View Full Record in Web of Science</v>
      </c>
    </row>
    <row r="1774" spans="1:77" x14ac:dyDescent="0.3">
      <c r="A1774" t="s">
        <v>8495</v>
      </c>
      <c r="B1774" s="9" t="s">
        <v>33040</v>
      </c>
      <c r="C1774" s="9" t="s">
        <v>33128</v>
      </c>
      <c r="D1774" s="10" t="s">
        <v>8490</v>
      </c>
      <c r="E1774" s="9" t="s">
        <v>8490</v>
      </c>
      <c r="F1774" t="s">
        <v>67</v>
      </c>
      <c r="G1774" t="s">
        <v>20095</v>
      </c>
      <c r="H1774" t="s">
        <v>69</v>
      </c>
      <c r="I1774" t="s">
        <v>69</v>
      </c>
      <c r="J1774" t="s">
        <v>69</v>
      </c>
      <c r="K1774" t="s">
        <v>20096</v>
      </c>
      <c r="L1774" t="s">
        <v>69</v>
      </c>
      <c r="M1774" t="s">
        <v>69</v>
      </c>
      <c r="N1774" t="s">
        <v>20097</v>
      </c>
      <c r="O1774" t="s">
        <v>2017</v>
      </c>
      <c r="P1774" t="s">
        <v>69</v>
      </c>
      <c r="Q1774" t="s">
        <v>69</v>
      </c>
      <c r="R1774" t="s">
        <v>8505</v>
      </c>
      <c r="S1774" t="s">
        <v>8506</v>
      </c>
      <c r="T1774" t="s">
        <v>69</v>
      </c>
      <c r="U1774" t="s">
        <v>69</v>
      </c>
      <c r="V1774" t="s">
        <v>69</v>
      </c>
      <c r="W1774" t="s">
        <v>69</v>
      </c>
      <c r="X1774" t="s">
        <v>69</v>
      </c>
      <c r="Y1774" t="s">
        <v>20098</v>
      </c>
      <c r="Z1774" t="s">
        <v>20099</v>
      </c>
      <c r="AA1774" t="s">
        <v>20100</v>
      </c>
      <c r="AB1774" t="s">
        <v>20101</v>
      </c>
      <c r="AC1774" t="s">
        <v>69</v>
      </c>
      <c r="AD1774" t="s">
        <v>20102</v>
      </c>
      <c r="AE1774" t="s">
        <v>20103</v>
      </c>
      <c r="AF1774" t="s">
        <v>69</v>
      </c>
      <c r="AG1774" t="s">
        <v>69</v>
      </c>
      <c r="AH1774" t="s">
        <v>20104</v>
      </c>
      <c r="AI1774" t="s">
        <v>20105</v>
      </c>
      <c r="AJ1774" t="s">
        <v>20106</v>
      </c>
      <c r="AK1774" t="s">
        <v>69</v>
      </c>
      <c r="AL1774">
        <v>72</v>
      </c>
      <c r="AM1774">
        <v>30</v>
      </c>
      <c r="AN1774">
        <v>30</v>
      </c>
      <c r="AO1774">
        <v>0</v>
      </c>
      <c r="AP1774">
        <v>23</v>
      </c>
      <c r="AQ1774" t="s">
        <v>9554</v>
      </c>
      <c r="AR1774" t="s">
        <v>9555</v>
      </c>
      <c r="AS1774" t="s">
        <v>9556</v>
      </c>
      <c r="AT1774" t="s">
        <v>2020</v>
      </c>
      <c r="AU1774" t="s">
        <v>2021</v>
      </c>
      <c r="AV1774" t="s">
        <v>69</v>
      </c>
      <c r="AW1774" t="s">
        <v>15699</v>
      </c>
      <c r="AX1774" t="s">
        <v>15700</v>
      </c>
      <c r="AY1774" t="s">
        <v>201</v>
      </c>
      <c r="AZ1774">
        <v>2017</v>
      </c>
      <c r="BA1774">
        <v>49</v>
      </c>
      <c r="BB1774">
        <v>8</v>
      </c>
      <c r="BC1774" t="s">
        <v>69</v>
      </c>
      <c r="BD1774" t="s">
        <v>69</v>
      </c>
      <c r="BE1774" t="s">
        <v>69</v>
      </c>
      <c r="BF1774" t="s">
        <v>69</v>
      </c>
      <c r="BG1774">
        <v>1779</v>
      </c>
      <c r="BH1774">
        <v>1796</v>
      </c>
      <c r="BI1774" t="s">
        <v>69</v>
      </c>
      <c r="BJ1774" t="s">
        <v>20107</v>
      </c>
      <c r="BK1774" t="str">
        <f>HYPERLINK("http://dx.doi.org/10.1177/0308518X16686069","http://dx.doi.org/10.1177/0308518X16686069")</f>
        <v>http://dx.doi.org/10.1177/0308518X16686069</v>
      </c>
      <c r="BL1774" t="s">
        <v>69</v>
      </c>
      <c r="BM1774" t="s">
        <v>69</v>
      </c>
      <c r="BN1774">
        <v>18</v>
      </c>
      <c r="BO1774" t="s">
        <v>15669</v>
      </c>
      <c r="BP1774" t="s">
        <v>8661</v>
      </c>
      <c r="BQ1774" t="s">
        <v>15670</v>
      </c>
      <c r="BR1774" t="s">
        <v>20108</v>
      </c>
      <c r="BS1774" t="s">
        <v>20109</v>
      </c>
      <c r="BT1774" t="s">
        <v>69</v>
      </c>
      <c r="BU1774" t="s">
        <v>69</v>
      </c>
      <c r="BV1774" t="s">
        <v>69</v>
      </c>
      <c r="BW1774" t="s">
        <v>69</v>
      </c>
      <c r="BX1774" t="s">
        <v>8526</v>
      </c>
      <c r="BY1774" t="str">
        <f>HYPERLINK("https%3A%2F%2Fwww.webofscience.com%2Fwos%2Fwoscc%2Ffull-record%2FWOS:000405876100006","View Full Record in Web of Science")</f>
        <v>View Full Record in Web of Science</v>
      </c>
    </row>
    <row r="1775" spans="1:77" ht="12.5" x14ac:dyDescent="0.25">
      <c r="A1775" t="s">
        <v>8495</v>
      </c>
      <c r="B1775" s="22" t="s">
        <v>32931</v>
      </c>
      <c r="C1775" s="7"/>
      <c r="D1775" s="7"/>
      <c r="E1775" s="7"/>
      <c r="F1775" t="s">
        <v>67</v>
      </c>
      <c r="G1775" t="s">
        <v>30460</v>
      </c>
      <c r="H1775" t="s">
        <v>69</v>
      </c>
      <c r="I1775" t="s">
        <v>69</v>
      </c>
      <c r="J1775" t="s">
        <v>69</v>
      </c>
      <c r="K1775" t="s">
        <v>30461</v>
      </c>
      <c r="L1775" t="s">
        <v>69</v>
      </c>
      <c r="M1775" t="s">
        <v>69</v>
      </c>
      <c r="N1775" t="s">
        <v>30462</v>
      </c>
      <c r="O1775" t="s">
        <v>30463</v>
      </c>
      <c r="P1775" t="s">
        <v>69</v>
      </c>
      <c r="Q1775" t="s">
        <v>69</v>
      </c>
      <c r="R1775" t="s">
        <v>8505</v>
      </c>
      <c r="S1775" t="s">
        <v>8506</v>
      </c>
      <c r="T1775" t="s">
        <v>69</v>
      </c>
      <c r="U1775" t="s">
        <v>69</v>
      </c>
      <c r="V1775" t="s">
        <v>69</v>
      </c>
      <c r="W1775" t="s">
        <v>69</v>
      </c>
      <c r="X1775" t="s">
        <v>69</v>
      </c>
      <c r="Y1775" t="s">
        <v>30464</v>
      </c>
      <c r="Z1775" t="s">
        <v>69</v>
      </c>
      <c r="AA1775" t="s">
        <v>30465</v>
      </c>
      <c r="AB1775" t="s">
        <v>30466</v>
      </c>
      <c r="AC1775" t="s">
        <v>69</v>
      </c>
      <c r="AD1775" t="s">
        <v>30467</v>
      </c>
      <c r="AE1775" t="s">
        <v>30468</v>
      </c>
      <c r="AF1775" t="s">
        <v>69</v>
      </c>
      <c r="AG1775" t="s">
        <v>69</v>
      </c>
      <c r="AH1775" t="s">
        <v>69</v>
      </c>
      <c r="AI1775" t="s">
        <v>69</v>
      </c>
      <c r="AJ1775" t="s">
        <v>69</v>
      </c>
      <c r="AK1775" t="s">
        <v>69</v>
      </c>
      <c r="AL1775">
        <v>8</v>
      </c>
      <c r="AM1775">
        <v>2</v>
      </c>
      <c r="AN1775">
        <v>2</v>
      </c>
      <c r="AO1775">
        <v>0</v>
      </c>
      <c r="AP1775">
        <v>0</v>
      </c>
      <c r="AQ1775" t="s">
        <v>8586</v>
      </c>
      <c r="AR1775" t="s">
        <v>8587</v>
      </c>
      <c r="AS1775" t="s">
        <v>8588</v>
      </c>
      <c r="AT1775" t="s">
        <v>30469</v>
      </c>
      <c r="AU1775" t="s">
        <v>30470</v>
      </c>
      <c r="AV1775" t="s">
        <v>69</v>
      </c>
      <c r="AW1775" t="s">
        <v>30471</v>
      </c>
      <c r="AX1775" t="s">
        <v>30472</v>
      </c>
      <c r="AY1775" t="s">
        <v>69</v>
      </c>
      <c r="AZ1775">
        <v>2006</v>
      </c>
      <c r="BA1775">
        <v>1</v>
      </c>
      <c r="BB1775">
        <v>3</v>
      </c>
      <c r="BC1775" t="s">
        <v>69</v>
      </c>
      <c r="BD1775" t="s">
        <v>69</v>
      </c>
      <c r="BE1775" t="s">
        <v>69</v>
      </c>
      <c r="BF1775" t="s">
        <v>69</v>
      </c>
      <c r="BG1775">
        <v>225</v>
      </c>
      <c r="BH1775">
        <v>234</v>
      </c>
      <c r="BI1775" t="s">
        <v>69</v>
      </c>
      <c r="BJ1775" t="s">
        <v>30473</v>
      </c>
      <c r="BK1775" t="str">
        <f>HYPERLINK("http://dx.doi.org/10.1108/17468800610674453","http://dx.doi.org/10.1108/17468800610674453")</f>
        <v>http://dx.doi.org/10.1108/17468800610674453</v>
      </c>
      <c r="BL1775" t="s">
        <v>69</v>
      </c>
      <c r="BM1775" t="s">
        <v>69</v>
      </c>
      <c r="BN1775">
        <v>10</v>
      </c>
      <c r="BO1775" t="s">
        <v>30474</v>
      </c>
      <c r="BP1775" t="s">
        <v>8573</v>
      </c>
      <c r="BQ1775" t="s">
        <v>8594</v>
      </c>
      <c r="BR1775" t="s">
        <v>30475</v>
      </c>
      <c r="BS1775" t="s">
        <v>30476</v>
      </c>
      <c r="BT1775" t="s">
        <v>69</v>
      </c>
      <c r="BU1775" t="s">
        <v>69</v>
      </c>
      <c r="BV1775" t="s">
        <v>69</v>
      </c>
      <c r="BW1775" t="s">
        <v>69</v>
      </c>
      <c r="BX1775" t="s">
        <v>8526</v>
      </c>
      <c r="BY1775" t="str">
        <f>HYPERLINK("https%3A%2F%2Fwww.webofscience.com%2Fwos%2Fwoscc%2Ffull-record%2FWOS:000214740600004","View Full Record in Web of Science")</f>
        <v>View Full Record in Web of Science</v>
      </c>
    </row>
    <row r="1776" spans="1:77" ht="12.5" x14ac:dyDescent="0.25">
      <c r="A1776" t="s">
        <v>8495</v>
      </c>
      <c r="B1776" s="7" t="s">
        <v>32933</v>
      </c>
      <c r="C1776" s="7"/>
      <c r="D1776" s="7"/>
      <c r="E1776" s="7"/>
      <c r="F1776" t="s">
        <v>67</v>
      </c>
      <c r="G1776" t="s">
        <v>2498</v>
      </c>
      <c r="H1776" t="s">
        <v>69</v>
      </c>
      <c r="I1776" t="s">
        <v>69</v>
      </c>
      <c r="J1776" t="s">
        <v>69</v>
      </c>
      <c r="K1776" t="s">
        <v>2499</v>
      </c>
      <c r="L1776" t="s">
        <v>69</v>
      </c>
      <c r="M1776" t="s">
        <v>69</v>
      </c>
      <c r="N1776" t="s">
        <v>2500</v>
      </c>
      <c r="O1776" t="s">
        <v>2501</v>
      </c>
      <c r="P1776" t="s">
        <v>69</v>
      </c>
      <c r="Q1776" t="s">
        <v>69</v>
      </c>
      <c r="R1776" t="s">
        <v>8505</v>
      </c>
      <c r="S1776" t="s">
        <v>8442</v>
      </c>
      <c r="T1776" t="s">
        <v>69</v>
      </c>
      <c r="U1776" t="s">
        <v>69</v>
      </c>
      <c r="V1776" t="s">
        <v>69</v>
      </c>
      <c r="W1776" t="s">
        <v>69</v>
      </c>
      <c r="X1776" t="s">
        <v>69</v>
      </c>
      <c r="Y1776" t="s">
        <v>19528</v>
      </c>
      <c r="Z1776" t="s">
        <v>19529</v>
      </c>
      <c r="AA1776" t="s">
        <v>2502</v>
      </c>
      <c r="AB1776" t="s">
        <v>69</v>
      </c>
      <c r="AC1776" t="s">
        <v>69</v>
      </c>
      <c r="AD1776" t="s">
        <v>19530</v>
      </c>
      <c r="AE1776" t="s">
        <v>19531</v>
      </c>
      <c r="AF1776" t="s">
        <v>69</v>
      </c>
      <c r="AG1776" t="s">
        <v>69</v>
      </c>
      <c r="AH1776" t="s">
        <v>69</v>
      </c>
      <c r="AI1776" t="s">
        <v>69</v>
      </c>
      <c r="AJ1776" t="s">
        <v>69</v>
      </c>
      <c r="AK1776" t="s">
        <v>69</v>
      </c>
      <c r="AL1776">
        <v>59</v>
      </c>
      <c r="AM1776">
        <v>5</v>
      </c>
      <c r="AN1776">
        <v>7</v>
      </c>
      <c r="AO1776">
        <v>6</v>
      </c>
      <c r="AP1776">
        <v>36</v>
      </c>
      <c r="AQ1776" t="s">
        <v>19532</v>
      </c>
      <c r="AR1776" t="s">
        <v>19533</v>
      </c>
      <c r="AS1776" t="s">
        <v>19534</v>
      </c>
      <c r="AT1776" t="s">
        <v>2503</v>
      </c>
      <c r="AU1776" t="s">
        <v>69</v>
      </c>
      <c r="AV1776" t="s">
        <v>69</v>
      </c>
      <c r="AW1776" t="s">
        <v>2501</v>
      </c>
      <c r="AX1776" t="s">
        <v>19535</v>
      </c>
      <c r="AY1776" t="s">
        <v>69</v>
      </c>
      <c r="AZ1776">
        <v>2018</v>
      </c>
      <c r="BA1776">
        <v>48</v>
      </c>
      <c r="BB1776">
        <v>2</v>
      </c>
      <c r="BC1776" t="s">
        <v>69</v>
      </c>
      <c r="BD1776" t="s">
        <v>69</v>
      </c>
      <c r="BE1776" t="s">
        <v>69</v>
      </c>
      <c r="BF1776" t="s">
        <v>69</v>
      </c>
      <c r="BG1776">
        <v>133</v>
      </c>
      <c r="BH1776">
        <v>140</v>
      </c>
      <c r="BI1776" t="s">
        <v>69</v>
      </c>
      <c r="BJ1776" t="s">
        <v>2504</v>
      </c>
      <c r="BK1776" t="str">
        <f>HYPERLINK("http://dx.doi.org/10.1127/phyto/2017/0179","http://dx.doi.org/10.1127/phyto/2017/0179")</f>
        <v>http://dx.doi.org/10.1127/phyto/2017/0179</v>
      </c>
      <c r="BL1776" t="s">
        <v>69</v>
      </c>
      <c r="BM1776" t="s">
        <v>69</v>
      </c>
      <c r="BN1776">
        <v>8</v>
      </c>
      <c r="BO1776" t="s">
        <v>19536</v>
      </c>
      <c r="BP1776" t="s">
        <v>8548</v>
      </c>
      <c r="BQ1776" t="s">
        <v>19537</v>
      </c>
      <c r="BR1776" t="s">
        <v>19538</v>
      </c>
      <c r="BS1776" t="s">
        <v>2505</v>
      </c>
      <c r="BT1776" t="s">
        <v>69</v>
      </c>
      <c r="BU1776" t="s">
        <v>69</v>
      </c>
      <c r="BV1776" t="s">
        <v>69</v>
      </c>
      <c r="BW1776" t="s">
        <v>69</v>
      </c>
      <c r="BX1776" t="s">
        <v>8526</v>
      </c>
      <c r="BY1776" t="str">
        <f>HYPERLINK("https%3A%2F%2Fwww.webofscience.com%2Fwos%2Fwoscc%2Ffull-record%2FWOS:000431268500004","View Full Record in Web of Science")</f>
        <v>View Full Record in Web of Science</v>
      </c>
    </row>
    <row r="1777" spans="1:77" x14ac:dyDescent="0.3">
      <c r="A1777" t="s">
        <v>8495</v>
      </c>
      <c r="B1777" s="9" t="s">
        <v>32948</v>
      </c>
      <c r="C1777" s="9" t="s">
        <v>33127</v>
      </c>
      <c r="D1777" s="10" t="s">
        <v>8490</v>
      </c>
      <c r="E1777" s="9" t="s">
        <v>8490</v>
      </c>
      <c r="F1777" t="s">
        <v>67</v>
      </c>
      <c r="G1777" t="s">
        <v>11959</v>
      </c>
      <c r="H1777" t="s">
        <v>69</v>
      </c>
      <c r="I1777" t="s">
        <v>69</v>
      </c>
      <c r="J1777" t="s">
        <v>69</v>
      </c>
      <c r="K1777" t="s">
        <v>11960</v>
      </c>
      <c r="L1777" t="s">
        <v>69</v>
      </c>
      <c r="M1777" t="s">
        <v>69</v>
      </c>
      <c r="N1777" t="s">
        <v>11961</v>
      </c>
      <c r="O1777" t="s">
        <v>6253</v>
      </c>
      <c r="P1777" t="s">
        <v>69</v>
      </c>
      <c r="Q1777" t="s">
        <v>69</v>
      </c>
      <c r="R1777" t="s">
        <v>8505</v>
      </c>
      <c r="S1777" t="s">
        <v>8556</v>
      </c>
      <c r="T1777" t="s">
        <v>69</v>
      </c>
      <c r="U1777" t="s">
        <v>69</v>
      </c>
      <c r="V1777" t="s">
        <v>69</v>
      </c>
      <c r="W1777" t="s">
        <v>69</v>
      </c>
      <c r="X1777" t="s">
        <v>69</v>
      </c>
      <c r="Y1777" t="s">
        <v>11962</v>
      </c>
      <c r="Z1777" t="s">
        <v>11963</v>
      </c>
      <c r="AA1777" t="s">
        <v>11964</v>
      </c>
      <c r="AB1777" t="s">
        <v>11965</v>
      </c>
      <c r="AC1777" t="s">
        <v>69</v>
      </c>
      <c r="AD1777" t="s">
        <v>11966</v>
      </c>
      <c r="AE1777" t="s">
        <v>11967</v>
      </c>
      <c r="AF1777" t="s">
        <v>69</v>
      </c>
      <c r="AG1777" t="s">
        <v>11968</v>
      </c>
      <c r="AH1777" t="s">
        <v>11969</v>
      </c>
      <c r="AI1777" t="s">
        <v>11969</v>
      </c>
      <c r="AJ1777" t="s">
        <v>11970</v>
      </c>
      <c r="AK1777" t="s">
        <v>69</v>
      </c>
      <c r="AL1777">
        <v>42</v>
      </c>
      <c r="AM1777">
        <v>0</v>
      </c>
      <c r="AN1777">
        <v>0</v>
      </c>
      <c r="AO1777">
        <v>6</v>
      </c>
      <c r="AP1777">
        <v>9</v>
      </c>
      <c r="AQ1777" t="s">
        <v>8846</v>
      </c>
      <c r="AR1777" t="s">
        <v>8847</v>
      </c>
      <c r="AS1777" t="s">
        <v>8848</v>
      </c>
      <c r="AT1777" t="s">
        <v>6255</v>
      </c>
      <c r="AU1777" t="s">
        <v>6256</v>
      </c>
      <c r="AV1777" t="s">
        <v>69</v>
      </c>
      <c r="AW1777" t="s">
        <v>11971</v>
      </c>
      <c r="AX1777" t="s">
        <v>11972</v>
      </c>
      <c r="AY1777" t="s">
        <v>69</v>
      </c>
      <c r="AZ1777" t="s">
        <v>69</v>
      </c>
      <c r="BA1777" t="s">
        <v>69</v>
      </c>
      <c r="BB1777" t="s">
        <v>69</v>
      </c>
      <c r="BC1777" t="s">
        <v>69</v>
      </c>
      <c r="BD1777" t="s">
        <v>69</v>
      </c>
      <c r="BE1777" t="s">
        <v>69</v>
      </c>
      <c r="BF1777" t="s">
        <v>69</v>
      </c>
      <c r="BG1777" t="s">
        <v>69</v>
      </c>
      <c r="BH1777" t="s">
        <v>69</v>
      </c>
      <c r="BI1777" t="s">
        <v>69</v>
      </c>
      <c r="BJ1777" t="s">
        <v>11973</v>
      </c>
      <c r="BK1777" t="str">
        <f>HYPERLINK("http://dx.doi.org/10.1111/rego.12415","http://dx.doi.org/10.1111/rego.12415")</f>
        <v>http://dx.doi.org/10.1111/rego.12415</v>
      </c>
      <c r="BL1777" t="s">
        <v>69</v>
      </c>
      <c r="BM1777" t="s">
        <v>11920</v>
      </c>
      <c r="BN1777">
        <v>19</v>
      </c>
      <c r="BO1777" t="s">
        <v>11974</v>
      </c>
      <c r="BP1777" t="s">
        <v>8661</v>
      </c>
      <c r="BQ1777" t="s">
        <v>10440</v>
      </c>
      <c r="BR1777" t="s">
        <v>11975</v>
      </c>
      <c r="BS1777" t="s">
        <v>11976</v>
      </c>
      <c r="BT1777" t="s">
        <v>69</v>
      </c>
      <c r="BU1777" t="s">
        <v>8622</v>
      </c>
      <c r="BV1777" t="s">
        <v>69</v>
      </c>
      <c r="BW1777" t="s">
        <v>69</v>
      </c>
      <c r="BX1777" t="s">
        <v>8526</v>
      </c>
      <c r="BY1777" t="str">
        <f>HYPERLINK("https%3A%2F%2Fwww.webofscience.com%2Fwos%2Fwoscc%2Ffull-record%2FWOS:000658903500001","View Full Record in Web of Science")</f>
        <v>View Full Record in Web of Science</v>
      </c>
    </row>
    <row r="1778" spans="1:77" ht="12.5" x14ac:dyDescent="0.25">
      <c r="A1778" t="s">
        <v>8495</v>
      </c>
      <c r="B1778" s="22" t="s">
        <v>32931</v>
      </c>
      <c r="C1778" s="7"/>
      <c r="D1778" s="7"/>
      <c r="E1778" s="7"/>
      <c r="F1778" t="s">
        <v>67</v>
      </c>
      <c r="G1778" t="s">
        <v>15383</v>
      </c>
      <c r="H1778" t="s">
        <v>69</v>
      </c>
      <c r="I1778" t="s">
        <v>69</v>
      </c>
      <c r="J1778" t="s">
        <v>69</v>
      </c>
      <c r="K1778" t="s">
        <v>15384</v>
      </c>
      <c r="L1778" t="s">
        <v>69</v>
      </c>
      <c r="M1778" t="s">
        <v>69</v>
      </c>
      <c r="N1778" t="s">
        <v>15385</v>
      </c>
      <c r="O1778" t="s">
        <v>15386</v>
      </c>
      <c r="P1778" t="s">
        <v>69</v>
      </c>
      <c r="Q1778" t="s">
        <v>69</v>
      </c>
      <c r="R1778" t="s">
        <v>8505</v>
      </c>
      <c r="S1778" t="s">
        <v>8506</v>
      </c>
      <c r="T1778" t="s">
        <v>69</v>
      </c>
      <c r="U1778" t="s">
        <v>69</v>
      </c>
      <c r="V1778" t="s">
        <v>69</v>
      </c>
      <c r="W1778" t="s">
        <v>69</v>
      </c>
      <c r="X1778" t="s">
        <v>69</v>
      </c>
      <c r="Y1778" t="s">
        <v>15387</v>
      </c>
      <c r="Z1778" t="s">
        <v>15388</v>
      </c>
      <c r="AA1778" t="s">
        <v>15389</v>
      </c>
      <c r="AB1778" t="s">
        <v>15390</v>
      </c>
      <c r="AC1778" t="s">
        <v>69</v>
      </c>
      <c r="AD1778" t="s">
        <v>15391</v>
      </c>
      <c r="AE1778" t="s">
        <v>15392</v>
      </c>
      <c r="AF1778" t="s">
        <v>69</v>
      </c>
      <c r="AG1778" t="s">
        <v>69</v>
      </c>
      <c r="AH1778" t="s">
        <v>69</v>
      </c>
      <c r="AI1778" t="s">
        <v>69</v>
      </c>
      <c r="AJ1778" t="s">
        <v>69</v>
      </c>
      <c r="AK1778" t="s">
        <v>69</v>
      </c>
      <c r="AL1778">
        <v>40</v>
      </c>
      <c r="AM1778">
        <v>6</v>
      </c>
      <c r="AN1778">
        <v>6</v>
      </c>
      <c r="AO1778">
        <v>0</v>
      </c>
      <c r="AP1778">
        <v>7</v>
      </c>
      <c r="AQ1778" t="s">
        <v>8611</v>
      </c>
      <c r="AR1778" t="s">
        <v>8612</v>
      </c>
      <c r="AS1778" t="s">
        <v>8613</v>
      </c>
      <c r="AT1778" t="s">
        <v>15393</v>
      </c>
      <c r="AU1778" t="s">
        <v>15394</v>
      </c>
      <c r="AV1778" t="s">
        <v>69</v>
      </c>
      <c r="AW1778" t="s">
        <v>15395</v>
      </c>
      <c r="AX1778" t="s">
        <v>15396</v>
      </c>
      <c r="AY1778" t="s">
        <v>15397</v>
      </c>
      <c r="AZ1778">
        <v>2020</v>
      </c>
      <c r="BA1778">
        <v>52</v>
      </c>
      <c r="BB1778">
        <v>11</v>
      </c>
      <c r="BC1778" t="s">
        <v>69</v>
      </c>
      <c r="BD1778" t="s">
        <v>69</v>
      </c>
      <c r="BE1778" t="s">
        <v>114</v>
      </c>
      <c r="BF1778" t="s">
        <v>69</v>
      </c>
      <c r="BG1778">
        <v>1126</v>
      </c>
      <c r="BH1778">
        <v>1138</v>
      </c>
      <c r="BI1778" t="s">
        <v>69</v>
      </c>
      <c r="BJ1778" t="s">
        <v>15398</v>
      </c>
      <c r="BK1778" t="str">
        <f>HYPERLINK("http://dx.doi.org/10.1080/00131857.2020.1752186","http://dx.doi.org/10.1080/00131857.2020.1752186")</f>
        <v>http://dx.doi.org/10.1080/00131857.2020.1752186</v>
      </c>
      <c r="BL1778" t="s">
        <v>69</v>
      </c>
      <c r="BM1778" t="s">
        <v>767</v>
      </c>
      <c r="BN1778">
        <v>13</v>
      </c>
      <c r="BO1778" t="s">
        <v>9290</v>
      </c>
      <c r="BP1778" t="s">
        <v>8661</v>
      </c>
      <c r="BQ1778" t="s">
        <v>9290</v>
      </c>
      <c r="BR1778" t="s">
        <v>15399</v>
      </c>
      <c r="BS1778" t="s">
        <v>15400</v>
      </c>
      <c r="BT1778" t="s">
        <v>69</v>
      </c>
      <c r="BU1778" t="s">
        <v>69</v>
      </c>
      <c r="BV1778" t="s">
        <v>69</v>
      </c>
      <c r="BW1778" t="s">
        <v>69</v>
      </c>
      <c r="BX1778" t="s">
        <v>8526</v>
      </c>
      <c r="BY1778" t="str">
        <f>HYPERLINK("https%3A%2F%2Fwww.webofscience.com%2Fwos%2Fwoscc%2Ffull-record%2FWOS:000540118900001","View Full Record in Web of Science")</f>
        <v>View Full Record in Web of Science</v>
      </c>
    </row>
    <row r="1779" spans="1:77" ht="12.5" x14ac:dyDescent="0.25">
      <c r="A1779" t="s">
        <v>8495</v>
      </c>
      <c r="B1779" s="7" t="s">
        <v>32933</v>
      </c>
      <c r="C1779" s="7"/>
      <c r="D1779" s="7"/>
      <c r="E1779" s="7"/>
      <c r="F1779" t="s">
        <v>67</v>
      </c>
      <c r="G1779" t="s">
        <v>4139</v>
      </c>
      <c r="H1779" t="s">
        <v>69</v>
      </c>
      <c r="I1779" t="s">
        <v>69</v>
      </c>
      <c r="J1779" t="s">
        <v>69</v>
      </c>
      <c r="K1779" t="s">
        <v>4139</v>
      </c>
      <c r="L1779" t="s">
        <v>69</v>
      </c>
      <c r="M1779" t="s">
        <v>69</v>
      </c>
      <c r="N1779" t="s">
        <v>4140</v>
      </c>
      <c r="O1779" t="s">
        <v>3230</v>
      </c>
      <c r="P1779" t="s">
        <v>69</v>
      </c>
      <c r="Q1779" t="s">
        <v>69</v>
      </c>
      <c r="R1779" t="s">
        <v>8505</v>
      </c>
      <c r="S1779" t="s">
        <v>8506</v>
      </c>
      <c r="T1779" t="s">
        <v>69</v>
      </c>
      <c r="U1779" t="s">
        <v>69</v>
      </c>
      <c r="V1779" t="s">
        <v>69</v>
      </c>
      <c r="W1779" t="s">
        <v>69</v>
      </c>
      <c r="X1779" t="s">
        <v>69</v>
      </c>
      <c r="Y1779" t="s">
        <v>69</v>
      </c>
      <c r="Z1779" t="s">
        <v>69</v>
      </c>
      <c r="AA1779" t="s">
        <v>4141</v>
      </c>
      <c r="AB1779" t="s">
        <v>31910</v>
      </c>
      <c r="AC1779" t="s">
        <v>69</v>
      </c>
      <c r="AD1779" t="s">
        <v>31911</v>
      </c>
      <c r="AE1779" t="s">
        <v>69</v>
      </c>
      <c r="AF1779" t="s">
        <v>69</v>
      </c>
      <c r="AG1779" t="s">
        <v>69</v>
      </c>
      <c r="AH1779" t="s">
        <v>69</v>
      </c>
      <c r="AI1779" t="s">
        <v>69</v>
      </c>
      <c r="AJ1779" t="s">
        <v>69</v>
      </c>
      <c r="AK1779" t="s">
        <v>69</v>
      </c>
      <c r="AL1779">
        <v>15</v>
      </c>
      <c r="AM1779">
        <v>3</v>
      </c>
      <c r="AN1779">
        <v>3</v>
      </c>
      <c r="AO1779">
        <v>0</v>
      </c>
      <c r="AP1779">
        <v>5</v>
      </c>
      <c r="AQ1779" t="s">
        <v>24156</v>
      </c>
      <c r="AR1779" t="s">
        <v>24157</v>
      </c>
      <c r="AS1779" t="s">
        <v>24158</v>
      </c>
      <c r="AT1779" t="s">
        <v>3232</v>
      </c>
      <c r="AU1779" t="s">
        <v>69</v>
      </c>
      <c r="AV1779" t="s">
        <v>69</v>
      </c>
      <c r="AW1779" t="s">
        <v>24159</v>
      </c>
      <c r="AX1779" t="s">
        <v>24160</v>
      </c>
      <c r="AY1779" t="s">
        <v>255</v>
      </c>
      <c r="AZ1779">
        <v>1999</v>
      </c>
      <c r="BA1779">
        <v>26</v>
      </c>
      <c r="BB1779">
        <v>3</v>
      </c>
      <c r="BC1779" t="s">
        <v>69</v>
      </c>
      <c r="BD1779" t="s">
        <v>69</v>
      </c>
      <c r="BE1779" t="s">
        <v>69</v>
      </c>
      <c r="BF1779" t="s">
        <v>69</v>
      </c>
      <c r="BG1779">
        <v>121</v>
      </c>
      <c r="BH1779">
        <v>129</v>
      </c>
      <c r="BI1779" t="s">
        <v>69</v>
      </c>
      <c r="BJ1779" t="s">
        <v>69</v>
      </c>
      <c r="BK1779" t="s">
        <v>69</v>
      </c>
      <c r="BL1779" t="s">
        <v>69</v>
      </c>
      <c r="BM1779" t="s">
        <v>69</v>
      </c>
      <c r="BN1779">
        <v>9</v>
      </c>
      <c r="BO1779" t="s">
        <v>17732</v>
      </c>
      <c r="BP1779" t="s">
        <v>8548</v>
      </c>
      <c r="BQ1779" t="s">
        <v>17733</v>
      </c>
      <c r="BR1779" t="s">
        <v>31912</v>
      </c>
      <c r="BS1779" t="s">
        <v>4142</v>
      </c>
      <c r="BT1779" t="s">
        <v>69</v>
      </c>
      <c r="BU1779" t="s">
        <v>69</v>
      </c>
      <c r="BV1779" t="s">
        <v>69</v>
      </c>
      <c r="BW1779" t="s">
        <v>69</v>
      </c>
      <c r="BX1779" t="s">
        <v>8526</v>
      </c>
      <c r="BY1779" t="str">
        <f>HYPERLINK("https%3A%2F%2Fwww.webofscience.com%2Fwos%2Fwoscc%2Ffull-record%2FWOS:000084431900003","View Full Record in Web of Science")</f>
        <v>View Full Record in Web of Science</v>
      </c>
    </row>
    <row r="1780" spans="1:77" ht="12.5" x14ac:dyDescent="0.25">
      <c r="A1780" t="s">
        <v>8495</v>
      </c>
      <c r="B1780" s="7" t="s">
        <v>32933</v>
      </c>
      <c r="C1780" s="7"/>
      <c r="D1780" s="7"/>
      <c r="E1780" s="7"/>
      <c r="F1780" t="s">
        <v>67</v>
      </c>
      <c r="G1780" t="s">
        <v>7494</v>
      </c>
      <c r="H1780" t="s">
        <v>69</v>
      </c>
      <c r="I1780" t="s">
        <v>69</v>
      </c>
      <c r="J1780" t="s">
        <v>69</v>
      </c>
      <c r="K1780" t="s">
        <v>7495</v>
      </c>
      <c r="L1780" t="s">
        <v>69</v>
      </c>
      <c r="M1780" t="s">
        <v>69</v>
      </c>
      <c r="N1780" s="3" t="s">
        <v>7496</v>
      </c>
      <c r="O1780" t="s">
        <v>7497</v>
      </c>
      <c r="P1780" t="s">
        <v>69</v>
      </c>
      <c r="Q1780" t="s">
        <v>69</v>
      </c>
      <c r="R1780" t="s">
        <v>8505</v>
      </c>
      <c r="S1780" t="s">
        <v>8506</v>
      </c>
      <c r="T1780" t="s">
        <v>69</v>
      </c>
      <c r="U1780" t="s">
        <v>69</v>
      </c>
      <c r="V1780" t="s">
        <v>69</v>
      </c>
      <c r="W1780" t="s">
        <v>69</v>
      </c>
      <c r="X1780" t="s">
        <v>69</v>
      </c>
      <c r="Y1780" t="s">
        <v>69</v>
      </c>
      <c r="Z1780" t="s">
        <v>27820</v>
      </c>
      <c r="AA1780" t="s">
        <v>7498</v>
      </c>
      <c r="AB1780" t="s">
        <v>27821</v>
      </c>
      <c r="AC1780" t="s">
        <v>69</v>
      </c>
      <c r="AD1780" t="s">
        <v>27822</v>
      </c>
      <c r="AE1780" t="s">
        <v>27823</v>
      </c>
      <c r="AF1780" t="s">
        <v>7499</v>
      </c>
      <c r="AG1780" t="s">
        <v>7500</v>
      </c>
      <c r="AH1780" t="s">
        <v>27824</v>
      </c>
      <c r="AI1780" t="s">
        <v>27825</v>
      </c>
      <c r="AJ1780" t="s">
        <v>27826</v>
      </c>
      <c r="AK1780" t="s">
        <v>69</v>
      </c>
      <c r="AL1780">
        <v>92</v>
      </c>
      <c r="AM1780">
        <v>168</v>
      </c>
      <c r="AN1780">
        <v>170</v>
      </c>
      <c r="AO1780">
        <v>1</v>
      </c>
      <c r="AP1780">
        <v>53</v>
      </c>
      <c r="AQ1780" t="s">
        <v>9203</v>
      </c>
      <c r="AR1780" t="s">
        <v>8763</v>
      </c>
      <c r="AS1780" t="s">
        <v>9204</v>
      </c>
      <c r="AT1780" t="s">
        <v>7501</v>
      </c>
      <c r="AU1780" t="s">
        <v>69</v>
      </c>
      <c r="AV1780" t="s">
        <v>69</v>
      </c>
      <c r="AW1780" t="s">
        <v>27827</v>
      </c>
      <c r="AX1780" t="s">
        <v>27828</v>
      </c>
      <c r="AY1780" t="s">
        <v>7502</v>
      </c>
      <c r="AZ1780">
        <v>2010</v>
      </c>
      <c r="BA1780">
        <v>9</v>
      </c>
      <c r="BB1780" t="s">
        <v>69</v>
      </c>
      <c r="BC1780" t="s">
        <v>69</v>
      </c>
      <c r="BD1780" t="s">
        <v>69</v>
      </c>
      <c r="BE1780" t="s">
        <v>69</v>
      </c>
      <c r="BF1780" t="s">
        <v>69</v>
      </c>
      <c r="BG1780" t="s">
        <v>69</v>
      </c>
      <c r="BH1780" t="s">
        <v>69</v>
      </c>
      <c r="BI1780">
        <v>19</v>
      </c>
      <c r="BJ1780" t="s">
        <v>7503</v>
      </c>
      <c r="BK1780" t="str">
        <f>HYPERLINK("http://dx.doi.org/10.1186/1476-069X-9-19","http://dx.doi.org/10.1186/1476-069X-9-19")</f>
        <v>http://dx.doi.org/10.1186/1476-069X-9-19</v>
      </c>
      <c r="BL1780" t="s">
        <v>69</v>
      </c>
      <c r="BM1780" t="s">
        <v>69</v>
      </c>
      <c r="BN1780">
        <v>16</v>
      </c>
      <c r="BO1780" t="s">
        <v>10595</v>
      </c>
      <c r="BP1780" t="s">
        <v>8523</v>
      </c>
      <c r="BQ1780" t="s">
        <v>10596</v>
      </c>
      <c r="BR1780" t="s">
        <v>27829</v>
      </c>
      <c r="BS1780" t="s">
        <v>7504</v>
      </c>
      <c r="BT1780">
        <v>20420657</v>
      </c>
      <c r="BU1780" t="s">
        <v>9352</v>
      </c>
      <c r="BV1780" t="s">
        <v>69</v>
      </c>
      <c r="BW1780" t="s">
        <v>69</v>
      </c>
      <c r="BX1780" t="s">
        <v>8526</v>
      </c>
      <c r="BY1780" t="str">
        <f>HYPERLINK("https%3A%2F%2Fwww.webofscience.com%2Fwos%2Fwoscc%2Ffull-record%2FWOS:000278269200001","View Full Record in Web of Science")</f>
        <v>View Full Record in Web of Science</v>
      </c>
    </row>
    <row r="1781" spans="1:77" ht="12.5" x14ac:dyDescent="0.25">
      <c r="A1781" t="s">
        <v>8495</v>
      </c>
      <c r="B1781" s="22" t="s">
        <v>32931</v>
      </c>
      <c r="C1781" s="7"/>
      <c r="D1781" s="7"/>
      <c r="E1781" s="7"/>
      <c r="F1781" t="s">
        <v>67</v>
      </c>
      <c r="G1781" t="s">
        <v>20464</v>
      </c>
      <c r="H1781" t="s">
        <v>69</v>
      </c>
      <c r="I1781" t="s">
        <v>69</v>
      </c>
      <c r="J1781" t="s">
        <v>69</v>
      </c>
      <c r="K1781" t="s">
        <v>20465</v>
      </c>
      <c r="L1781" t="s">
        <v>69</v>
      </c>
      <c r="M1781" t="s">
        <v>69</v>
      </c>
      <c r="N1781" t="s">
        <v>20466</v>
      </c>
      <c r="O1781" t="s">
        <v>12069</v>
      </c>
      <c r="P1781" t="s">
        <v>69</v>
      </c>
      <c r="Q1781" t="s">
        <v>69</v>
      </c>
      <c r="R1781" t="s">
        <v>8505</v>
      </c>
      <c r="S1781" t="s">
        <v>8506</v>
      </c>
      <c r="T1781" t="s">
        <v>69</v>
      </c>
      <c r="U1781" t="s">
        <v>69</v>
      </c>
      <c r="V1781" t="s">
        <v>69</v>
      </c>
      <c r="W1781" t="s">
        <v>69</v>
      </c>
      <c r="X1781" t="s">
        <v>69</v>
      </c>
      <c r="Y1781" t="s">
        <v>69</v>
      </c>
      <c r="Z1781" t="s">
        <v>69</v>
      </c>
      <c r="AA1781" t="s">
        <v>20467</v>
      </c>
      <c r="AB1781" t="s">
        <v>20468</v>
      </c>
      <c r="AC1781" t="s">
        <v>69</v>
      </c>
      <c r="AD1781" t="s">
        <v>20469</v>
      </c>
      <c r="AE1781" t="s">
        <v>69</v>
      </c>
      <c r="AF1781" t="s">
        <v>69</v>
      </c>
      <c r="AG1781" t="s">
        <v>69</v>
      </c>
      <c r="AH1781" t="s">
        <v>69</v>
      </c>
      <c r="AI1781" t="s">
        <v>69</v>
      </c>
      <c r="AJ1781" t="s">
        <v>69</v>
      </c>
      <c r="AK1781" t="s">
        <v>69</v>
      </c>
      <c r="AL1781">
        <v>27</v>
      </c>
      <c r="AM1781">
        <v>0</v>
      </c>
      <c r="AN1781">
        <v>0</v>
      </c>
      <c r="AO1781">
        <v>0</v>
      </c>
      <c r="AP1781">
        <v>8</v>
      </c>
      <c r="AQ1781" t="s">
        <v>12073</v>
      </c>
      <c r="AR1781" t="s">
        <v>12074</v>
      </c>
      <c r="AS1781" t="s">
        <v>12075</v>
      </c>
      <c r="AT1781" t="s">
        <v>12076</v>
      </c>
      <c r="AU1781" t="s">
        <v>69</v>
      </c>
      <c r="AV1781" t="s">
        <v>69</v>
      </c>
      <c r="AW1781" t="s">
        <v>12077</v>
      </c>
      <c r="AX1781" t="s">
        <v>12078</v>
      </c>
      <c r="AY1781" t="s">
        <v>94</v>
      </c>
      <c r="AZ1781">
        <v>2017</v>
      </c>
      <c r="BA1781">
        <v>52</v>
      </c>
      <c r="BB1781">
        <v>1</v>
      </c>
      <c r="BC1781" t="s">
        <v>69</v>
      </c>
      <c r="BD1781" t="s">
        <v>69</v>
      </c>
      <c r="BE1781" t="s">
        <v>69</v>
      </c>
      <c r="BF1781" t="s">
        <v>69</v>
      </c>
      <c r="BG1781">
        <v>1</v>
      </c>
      <c r="BH1781">
        <v>38</v>
      </c>
      <c r="BI1781" t="s">
        <v>69</v>
      </c>
      <c r="BJ1781" t="s">
        <v>69</v>
      </c>
      <c r="BK1781" t="s">
        <v>69</v>
      </c>
      <c r="BL1781" t="s">
        <v>69</v>
      </c>
      <c r="BM1781" t="s">
        <v>69</v>
      </c>
      <c r="BN1781">
        <v>38</v>
      </c>
      <c r="BO1781" t="s">
        <v>12079</v>
      </c>
      <c r="BP1781" t="s">
        <v>8573</v>
      </c>
      <c r="BQ1781" t="s">
        <v>8445</v>
      </c>
      <c r="BR1781" t="s">
        <v>20470</v>
      </c>
      <c r="BS1781" t="s">
        <v>20471</v>
      </c>
      <c r="BT1781" t="s">
        <v>69</v>
      </c>
      <c r="BU1781" t="s">
        <v>69</v>
      </c>
      <c r="BV1781" t="s">
        <v>69</v>
      </c>
      <c r="BW1781" t="s">
        <v>69</v>
      </c>
      <c r="BX1781" t="s">
        <v>8526</v>
      </c>
      <c r="BY1781" t="str">
        <f>HYPERLINK("https%3A%2F%2Fwww.webofscience.com%2Fwos%2Fwoscc%2Ffull-record%2FWOS:000423693400001","View Full Record in Web of Science")</f>
        <v>View Full Record in Web of Science</v>
      </c>
    </row>
    <row r="1782" spans="1:77" ht="12.5" x14ac:dyDescent="0.25">
      <c r="A1782" t="s">
        <v>8495</v>
      </c>
      <c r="B1782" s="7" t="s">
        <v>32933</v>
      </c>
      <c r="C1782" s="7"/>
      <c r="D1782" s="7"/>
      <c r="E1782" s="7"/>
      <c r="F1782" t="s">
        <v>67</v>
      </c>
      <c r="G1782" t="s">
        <v>5350</v>
      </c>
      <c r="H1782" t="s">
        <v>69</v>
      </c>
      <c r="I1782" t="s">
        <v>69</v>
      </c>
      <c r="J1782" t="s">
        <v>69</v>
      </c>
      <c r="K1782" t="s">
        <v>5351</v>
      </c>
      <c r="L1782" t="s">
        <v>69</v>
      </c>
      <c r="M1782" t="s">
        <v>69</v>
      </c>
      <c r="N1782" t="s">
        <v>5352</v>
      </c>
      <c r="O1782" t="s">
        <v>5353</v>
      </c>
      <c r="P1782" t="s">
        <v>69</v>
      </c>
      <c r="Q1782" t="s">
        <v>69</v>
      </c>
      <c r="R1782" t="s">
        <v>8505</v>
      </c>
      <c r="S1782" t="s">
        <v>8506</v>
      </c>
      <c r="T1782" t="s">
        <v>69</v>
      </c>
      <c r="U1782" t="s">
        <v>69</v>
      </c>
      <c r="V1782" t="s">
        <v>69</v>
      </c>
      <c r="W1782" t="s">
        <v>69</v>
      </c>
      <c r="X1782" t="s">
        <v>69</v>
      </c>
      <c r="Y1782" t="s">
        <v>25005</v>
      </c>
      <c r="Z1782" t="s">
        <v>25006</v>
      </c>
      <c r="AA1782" t="s">
        <v>5354</v>
      </c>
      <c r="AB1782" t="s">
        <v>25007</v>
      </c>
      <c r="AC1782" t="s">
        <v>69</v>
      </c>
      <c r="AD1782" t="s">
        <v>25008</v>
      </c>
      <c r="AE1782" t="s">
        <v>25009</v>
      </c>
      <c r="AF1782" t="s">
        <v>5355</v>
      </c>
      <c r="AG1782" t="s">
        <v>5356</v>
      </c>
      <c r="AH1782" t="s">
        <v>25010</v>
      </c>
      <c r="AI1782" t="s">
        <v>25010</v>
      </c>
      <c r="AJ1782" t="s">
        <v>25011</v>
      </c>
      <c r="AK1782" t="s">
        <v>69</v>
      </c>
      <c r="AL1782">
        <v>25</v>
      </c>
      <c r="AM1782">
        <v>11</v>
      </c>
      <c r="AN1782">
        <v>11</v>
      </c>
      <c r="AO1782">
        <v>0</v>
      </c>
      <c r="AP1782">
        <v>44</v>
      </c>
      <c r="AQ1782" t="s">
        <v>25012</v>
      </c>
      <c r="AR1782" t="s">
        <v>25013</v>
      </c>
      <c r="AS1782" t="s">
        <v>25014</v>
      </c>
      <c r="AT1782" t="s">
        <v>5357</v>
      </c>
      <c r="AU1782" t="s">
        <v>69</v>
      </c>
      <c r="AV1782" t="s">
        <v>69</v>
      </c>
      <c r="AW1782" t="s">
        <v>25015</v>
      </c>
      <c r="AX1782" t="s">
        <v>25016</v>
      </c>
      <c r="AY1782" t="s">
        <v>586</v>
      </c>
      <c r="AZ1782">
        <v>2013</v>
      </c>
      <c r="BA1782">
        <v>33</v>
      </c>
      <c r="BB1782">
        <v>2</v>
      </c>
      <c r="BC1782" t="s">
        <v>69</v>
      </c>
      <c r="BD1782" t="s">
        <v>69</v>
      </c>
      <c r="BE1782" t="s">
        <v>69</v>
      </c>
      <c r="BF1782" t="s">
        <v>69</v>
      </c>
      <c r="BG1782">
        <v>122</v>
      </c>
      <c r="BH1782">
        <v>131</v>
      </c>
      <c r="BI1782" t="s">
        <v>69</v>
      </c>
      <c r="BJ1782" t="s">
        <v>5358</v>
      </c>
      <c r="BK1782" t="str">
        <f>HYPERLINK("http://dx.doi.org/10.1659/MRD-JOURNAL-D-12-00031.1","http://dx.doi.org/10.1659/MRD-JOURNAL-D-12-00031.1")</f>
        <v>http://dx.doi.org/10.1659/MRD-JOURNAL-D-12-00031.1</v>
      </c>
      <c r="BL1782" t="s">
        <v>69</v>
      </c>
      <c r="BM1782" t="s">
        <v>69</v>
      </c>
      <c r="BN1782">
        <v>10</v>
      </c>
      <c r="BO1782" t="s">
        <v>25017</v>
      </c>
      <c r="BP1782" t="s">
        <v>8523</v>
      </c>
      <c r="BQ1782" t="s">
        <v>25018</v>
      </c>
      <c r="BR1782" t="s">
        <v>25019</v>
      </c>
      <c r="BS1782" t="s">
        <v>5359</v>
      </c>
      <c r="BT1782" t="s">
        <v>69</v>
      </c>
      <c r="BU1782" t="s">
        <v>12220</v>
      </c>
      <c r="BV1782" t="s">
        <v>69</v>
      </c>
      <c r="BW1782" t="s">
        <v>69</v>
      </c>
      <c r="BX1782" t="s">
        <v>8526</v>
      </c>
      <c r="BY1782" t="str">
        <f>HYPERLINK("https%3A%2F%2Fwww.webofscience.com%2Fwos%2Fwoscc%2Ffull-record%2FWOS:000319669300002","View Full Record in Web of Science")</f>
        <v>View Full Record in Web of Science</v>
      </c>
    </row>
    <row r="1783" spans="1:77" x14ac:dyDescent="0.3">
      <c r="A1783" t="s">
        <v>8495</v>
      </c>
      <c r="B1783" s="9" t="s">
        <v>32972</v>
      </c>
      <c r="C1783" s="9" t="s">
        <v>33126</v>
      </c>
      <c r="D1783" s="10" t="s">
        <v>8490</v>
      </c>
      <c r="E1783" s="9" t="s">
        <v>8490</v>
      </c>
      <c r="F1783" t="s">
        <v>67</v>
      </c>
      <c r="G1783" t="s">
        <v>15538</v>
      </c>
      <c r="H1783" t="s">
        <v>69</v>
      </c>
      <c r="I1783" t="s">
        <v>69</v>
      </c>
      <c r="J1783" t="s">
        <v>69</v>
      </c>
      <c r="K1783" t="s">
        <v>15539</v>
      </c>
      <c r="L1783" t="s">
        <v>69</v>
      </c>
      <c r="M1783" t="s">
        <v>69</v>
      </c>
      <c r="N1783" t="s">
        <v>15540</v>
      </c>
      <c r="O1783" t="s">
        <v>436</v>
      </c>
      <c r="P1783" t="s">
        <v>69</v>
      </c>
      <c r="Q1783" t="s">
        <v>69</v>
      </c>
      <c r="R1783" t="s">
        <v>8505</v>
      </c>
      <c r="S1783" t="s">
        <v>8506</v>
      </c>
      <c r="T1783" t="s">
        <v>69</v>
      </c>
      <c r="U1783" t="s">
        <v>69</v>
      </c>
      <c r="V1783" t="s">
        <v>69</v>
      </c>
      <c r="W1783" t="s">
        <v>69</v>
      </c>
      <c r="X1783" t="s">
        <v>69</v>
      </c>
      <c r="Y1783" t="s">
        <v>15541</v>
      </c>
      <c r="Z1783" t="s">
        <v>15542</v>
      </c>
      <c r="AA1783" t="s">
        <v>15543</v>
      </c>
      <c r="AB1783" t="s">
        <v>15544</v>
      </c>
      <c r="AC1783" t="s">
        <v>69</v>
      </c>
      <c r="AD1783" t="s">
        <v>15545</v>
      </c>
      <c r="AE1783" t="s">
        <v>15546</v>
      </c>
      <c r="AF1783" t="s">
        <v>15547</v>
      </c>
      <c r="AG1783" t="s">
        <v>15548</v>
      </c>
      <c r="AH1783" t="s">
        <v>15549</v>
      </c>
      <c r="AI1783" t="s">
        <v>15550</v>
      </c>
      <c r="AJ1783" t="s">
        <v>15551</v>
      </c>
      <c r="AK1783" t="s">
        <v>69</v>
      </c>
      <c r="AL1783">
        <v>80</v>
      </c>
      <c r="AM1783">
        <v>5</v>
      </c>
      <c r="AN1783">
        <v>5</v>
      </c>
      <c r="AO1783">
        <v>2</v>
      </c>
      <c r="AP1783">
        <v>15</v>
      </c>
      <c r="AQ1783" t="s">
        <v>8636</v>
      </c>
      <c r="AR1783" t="s">
        <v>8637</v>
      </c>
      <c r="AS1783" t="s">
        <v>8638</v>
      </c>
      <c r="AT1783" t="s">
        <v>440</v>
      </c>
      <c r="AU1783" t="s">
        <v>441</v>
      </c>
      <c r="AV1783" t="s">
        <v>69</v>
      </c>
      <c r="AW1783" t="s">
        <v>8639</v>
      </c>
      <c r="AX1783" t="s">
        <v>8640</v>
      </c>
      <c r="AY1783" t="s">
        <v>3848</v>
      </c>
      <c r="AZ1783">
        <v>2020</v>
      </c>
      <c r="BA1783">
        <v>251</v>
      </c>
      <c r="BB1783" t="s">
        <v>69</v>
      </c>
      <c r="BC1783" t="s">
        <v>69</v>
      </c>
      <c r="BD1783" t="s">
        <v>69</v>
      </c>
      <c r="BE1783" t="s">
        <v>69</v>
      </c>
      <c r="BF1783" t="s">
        <v>69</v>
      </c>
      <c r="BG1783" t="s">
        <v>69</v>
      </c>
      <c r="BH1783" t="s">
        <v>69</v>
      </c>
      <c r="BI1783">
        <v>119640</v>
      </c>
      <c r="BJ1783" t="s">
        <v>15552</v>
      </c>
      <c r="BK1783" t="str">
        <f>HYPERLINK("http://dx.doi.org/10.1016/j.jclepro.2019.119640","http://dx.doi.org/10.1016/j.jclepro.2019.119640")</f>
        <v>http://dx.doi.org/10.1016/j.jclepro.2019.119640</v>
      </c>
      <c r="BL1783" t="s">
        <v>69</v>
      </c>
      <c r="BM1783" t="s">
        <v>69</v>
      </c>
      <c r="BN1783">
        <v>17</v>
      </c>
      <c r="BO1783" t="s">
        <v>8643</v>
      </c>
      <c r="BP1783" t="s">
        <v>8523</v>
      </c>
      <c r="BQ1783" t="s">
        <v>8644</v>
      </c>
      <c r="BR1783" t="s">
        <v>15553</v>
      </c>
      <c r="BS1783" t="s">
        <v>15554</v>
      </c>
      <c r="BT1783" t="s">
        <v>69</v>
      </c>
      <c r="BU1783" t="s">
        <v>10423</v>
      </c>
      <c r="BV1783" t="s">
        <v>69</v>
      </c>
      <c r="BW1783" t="s">
        <v>69</v>
      </c>
      <c r="BX1783" t="s">
        <v>8526</v>
      </c>
      <c r="BY1783" t="str">
        <f>HYPERLINK("https%3A%2F%2Fwww.webofscience.com%2Fwos%2Fwoscc%2Ffull-record%2FWOS:000510823700125","View Full Record in Web of Science")</f>
        <v>View Full Record in Web of Science</v>
      </c>
    </row>
    <row r="1784" spans="1:77" ht="12.5" x14ac:dyDescent="0.25">
      <c r="A1784" t="s">
        <v>8495</v>
      </c>
      <c r="B1784" s="7" t="s">
        <v>32933</v>
      </c>
      <c r="C1784" s="7"/>
      <c r="D1784" s="7"/>
      <c r="E1784" s="7"/>
      <c r="F1784" t="s">
        <v>67</v>
      </c>
      <c r="G1784" t="s">
        <v>1248</v>
      </c>
      <c r="H1784" t="s">
        <v>69</v>
      </c>
      <c r="I1784" t="s">
        <v>69</v>
      </c>
      <c r="J1784" t="s">
        <v>69</v>
      </c>
      <c r="K1784" t="s">
        <v>1249</v>
      </c>
      <c r="L1784" t="s">
        <v>69</v>
      </c>
      <c r="M1784" t="s">
        <v>69</v>
      </c>
      <c r="N1784" t="s">
        <v>1250</v>
      </c>
      <c r="O1784" t="s">
        <v>1251</v>
      </c>
      <c r="P1784" t="s">
        <v>69</v>
      </c>
      <c r="Q1784" t="s">
        <v>69</v>
      </c>
      <c r="R1784" t="s">
        <v>8505</v>
      </c>
      <c r="S1784" t="s">
        <v>8506</v>
      </c>
      <c r="T1784" t="s">
        <v>69</v>
      </c>
      <c r="U1784" t="s">
        <v>69</v>
      </c>
      <c r="V1784" t="s">
        <v>69</v>
      </c>
      <c r="W1784" t="s">
        <v>69</v>
      </c>
      <c r="X1784" t="s">
        <v>69</v>
      </c>
      <c r="Y1784" t="s">
        <v>21985</v>
      </c>
      <c r="Z1784" t="s">
        <v>69</v>
      </c>
      <c r="AA1784" t="s">
        <v>1252</v>
      </c>
      <c r="AB1784" t="s">
        <v>21986</v>
      </c>
      <c r="AC1784" t="s">
        <v>69</v>
      </c>
      <c r="AD1784" t="s">
        <v>21987</v>
      </c>
      <c r="AE1784" t="s">
        <v>21988</v>
      </c>
      <c r="AF1784" t="s">
        <v>1253</v>
      </c>
      <c r="AG1784" t="s">
        <v>21989</v>
      </c>
      <c r="AH1784" t="s">
        <v>69</v>
      </c>
      <c r="AI1784" t="s">
        <v>69</v>
      </c>
      <c r="AJ1784" t="s">
        <v>69</v>
      </c>
      <c r="AK1784" t="s">
        <v>69</v>
      </c>
      <c r="AL1784">
        <v>28</v>
      </c>
      <c r="AM1784">
        <v>4</v>
      </c>
      <c r="AN1784">
        <v>5</v>
      </c>
      <c r="AO1784">
        <v>0</v>
      </c>
      <c r="AP1784">
        <v>13</v>
      </c>
      <c r="AQ1784" t="s">
        <v>8586</v>
      </c>
      <c r="AR1784" t="s">
        <v>8587</v>
      </c>
      <c r="AS1784" t="s">
        <v>8588</v>
      </c>
      <c r="AT1784" t="s">
        <v>1254</v>
      </c>
      <c r="AU1784" t="s">
        <v>1255</v>
      </c>
      <c r="AV1784" t="s">
        <v>69</v>
      </c>
      <c r="AW1784" t="s">
        <v>1251</v>
      </c>
      <c r="AX1784" t="s">
        <v>19328</v>
      </c>
      <c r="AY1784" t="s">
        <v>69</v>
      </c>
      <c r="AZ1784">
        <v>2016</v>
      </c>
      <c r="BA1784">
        <v>29</v>
      </c>
      <c r="BB1784">
        <v>3</v>
      </c>
      <c r="BC1784" t="s">
        <v>69</v>
      </c>
      <c r="BD1784" t="s">
        <v>69</v>
      </c>
      <c r="BE1784" t="s">
        <v>114</v>
      </c>
      <c r="BF1784" t="s">
        <v>69</v>
      </c>
      <c r="BG1784">
        <v>129</v>
      </c>
      <c r="BH1784">
        <v>141</v>
      </c>
      <c r="BI1784" t="s">
        <v>69</v>
      </c>
      <c r="BJ1784" t="s">
        <v>1256</v>
      </c>
      <c r="BK1784" t="str">
        <f>HYPERLINK("http://dx.doi.org/10.1108/BL-03-2016-0015","http://dx.doi.org/10.1108/BL-03-2016-0015")</f>
        <v>http://dx.doi.org/10.1108/BL-03-2016-0015</v>
      </c>
      <c r="BL1784" t="s">
        <v>69</v>
      </c>
      <c r="BM1784" t="s">
        <v>69</v>
      </c>
      <c r="BN1784">
        <v>13</v>
      </c>
      <c r="BO1784" t="s">
        <v>11010</v>
      </c>
      <c r="BP1784" t="s">
        <v>8573</v>
      </c>
      <c r="BQ1784" t="s">
        <v>11010</v>
      </c>
      <c r="BR1784" t="s">
        <v>21990</v>
      </c>
      <c r="BS1784" t="s">
        <v>1257</v>
      </c>
      <c r="BT1784" t="s">
        <v>69</v>
      </c>
      <c r="BU1784" t="s">
        <v>69</v>
      </c>
      <c r="BV1784" t="s">
        <v>69</v>
      </c>
      <c r="BW1784" t="s">
        <v>69</v>
      </c>
      <c r="BX1784" t="s">
        <v>8526</v>
      </c>
      <c r="BY1784" t="str">
        <f>HYPERLINK("https%3A%2F%2Fwww.webofscience.com%2Fwos%2Fwoscc%2Ffull-record%2FWOS:000385983100002","View Full Record in Web of Science")</f>
        <v>View Full Record in Web of Science</v>
      </c>
    </row>
    <row r="1785" spans="1:77" x14ac:dyDescent="0.3">
      <c r="A1785" t="s">
        <v>8495</v>
      </c>
      <c r="B1785" s="9" t="s">
        <v>32972</v>
      </c>
      <c r="C1785" s="9" t="s">
        <v>33125</v>
      </c>
      <c r="D1785" s="10" t="s">
        <v>8490</v>
      </c>
      <c r="E1785" s="9" t="s">
        <v>8490</v>
      </c>
      <c r="F1785" t="s">
        <v>67</v>
      </c>
      <c r="G1785" t="s">
        <v>23468</v>
      </c>
      <c r="H1785" t="s">
        <v>69</v>
      </c>
      <c r="I1785" t="s">
        <v>69</v>
      </c>
      <c r="J1785" t="s">
        <v>69</v>
      </c>
      <c r="K1785" t="s">
        <v>23469</v>
      </c>
      <c r="L1785" t="s">
        <v>69</v>
      </c>
      <c r="M1785" t="s">
        <v>69</v>
      </c>
      <c r="N1785" t="s">
        <v>23470</v>
      </c>
      <c r="O1785" t="s">
        <v>2307</v>
      </c>
      <c r="P1785" t="s">
        <v>69</v>
      </c>
      <c r="Q1785" t="s">
        <v>69</v>
      </c>
      <c r="R1785" t="s">
        <v>8505</v>
      </c>
      <c r="S1785" t="s">
        <v>8506</v>
      </c>
      <c r="T1785" t="s">
        <v>69</v>
      </c>
      <c r="U1785" t="s">
        <v>69</v>
      </c>
      <c r="V1785" t="s">
        <v>69</v>
      </c>
      <c r="W1785" t="s">
        <v>69</v>
      </c>
      <c r="X1785" t="s">
        <v>69</v>
      </c>
      <c r="Y1785" t="s">
        <v>23471</v>
      </c>
      <c r="Z1785" t="s">
        <v>23472</v>
      </c>
      <c r="AA1785" t="s">
        <v>23473</v>
      </c>
      <c r="AB1785" t="s">
        <v>23474</v>
      </c>
      <c r="AC1785" t="s">
        <v>69</v>
      </c>
      <c r="AD1785" t="s">
        <v>23475</v>
      </c>
      <c r="AE1785" t="s">
        <v>23476</v>
      </c>
      <c r="AF1785" t="s">
        <v>69</v>
      </c>
      <c r="AG1785" t="s">
        <v>23477</v>
      </c>
      <c r="AH1785" t="s">
        <v>69</v>
      </c>
      <c r="AI1785" t="s">
        <v>69</v>
      </c>
      <c r="AJ1785" t="s">
        <v>69</v>
      </c>
      <c r="AK1785" t="s">
        <v>69</v>
      </c>
      <c r="AL1785">
        <v>100</v>
      </c>
      <c r="AM1785">
        <v>44</v>
      </c>
      <c r="AN1785">
        <v>44</v>
      </c>
      <c r="AO1785">
        <v>1</v>
      </c>
      <c r="AP1785">
        <v>33</v>
      </c>
      <c r="AQ1785" t="s">
        <v>8762</v>
      </c>
      <c r="AR1785" t="s">
        <v>8763</v>
      </c>
      <c r="AS1785" t="s">
        <v>8764</v>
      </c>
      <c r="AT1785" t="s">
        <v>2309</v>
      </c>
      <c r="AU1785" t="s">
        <v>2310</v>
      </c>
      <c r="AV1785" t="s">
        <v>69</v>
      </c>
      <c r="AW1785" t="s">
        <v>17546</v>
      </c>
      <c r="AX1785" t="s">
        <v>17547</v>
      </c>
      <c r="AY1785" t="s">
        <v>274</v>
      </c>
      <c r="AZ1785">
        <v>2014</v>
      </c>
      <c r="BA1785">
        <v>67</v>
      </c>
      <c r="BB1785">
        <v>11</v>
      </c>
      <c r="BC1785" t="s">
        <v>69</v>
      </c>
      <c r="BD1785" t="s">
        <v>69</v>
      </c>
      <c r="BE1785" t="s">
        <v>69</v>
      </c>
      <c r="BF1785" t="s">
        <v>69</v>
      </c>
      <c r="BG1785">
        <v>1347</v>
      </c>
      <c r="BH1785">
        <v>1382</v>
      </c>
      <c r="BI1785" t="s">
        <v>69</v>
      </c>
      <c r="BJ1785" t="s">
        <v>23478</v>
      </c>
      <c r="BK1785" t="str">
        <f>HYPERLINK("http://dx.doi.org/10.1177/0018726713519278","http://dx.doi.org/10.1177/0018726713519278")</f>
        <v>http://dx.doi.org/10.1177/0018726713519278</v>
      </c>
      <c r="BL1785" t="s">
        <v>69</v>
      </c>
      <c r="BM1785" t="s">
        <v>69</v>
      </c>
      <c r="BN1785">
        <v>36</v>
      </c>
      <c r="BO1785" t="s">
        <v>17548</v>
      </c>
      <c r="BP1785" t="s">
        <v>8661</v>
      </c>
      <c r="BQ1785" t="s">
        <v>15524</v>
      </c>
      <c r="BR1785" t="s">
        <v>23479</v>
      </c>
      <c r="BS1785" t="s">
        <v>23480</v>
      </c>
      <c r="BT1785" t="s">
        <v>69</v>
      </c>
      <c r="BU1785" t="s">
        <v>69</v>
      </c>
      <c r="BV1785" t="s">
        <v>69</v>
      </c>
      <c r="BW1785" t="s">
        <v>69</v>
      </c>
      <c r="BX1785" t="s">
        <v>8526</v>
      </c>
      <c r="BY1785" t="str">
        <f>HYPERLINK("https%3A%2F%2Fwww.webofscience.com%2Fwos%2Fwoscc%2Ffull-record%2FWOS:000345965700003","View Full Record in Web of Science")</f>
        <v>View Full Record in Web of Science</v>
      </c>
    </row>
    <row r="1786" spans="1:77" ht="12.5" x14ac:dyDescent="0.25">
      <c r="A1786" t="s">
        <v>8495</v>
      </c>
      <c r="B1786" s="22" t="s">
        <v>32931</v>
      </c>
      <c r="C1786" s="7"/>
      <c r="D1786" s="7"/>
      <c r="E1786" s="7"/>
      <c r="F1786" t="s">
        <v>67</v>
      </c>
      <c r="G1786" t="s">
        <v>27493</v>
      </c>
      <c r="H1786" t="s">
        <v>69</v>
      </c>
      <c r="I1786" t="s">
        <v>69</v>
      </c>
      <c r="J1786" t="s">
        <v>69</v>
      </c>
      <c r="K1786" t="s">
        <v>27494</v>
      </c>
      <c r="L1786" t="s">
        <v>69</v>
      </c>
      <c r="M1786" t="s">
        <v>69</v>
      </c>
      <c r="N1786" t="s">
        <v>27495</v>
      </c>
      <c r="O1786" t="s">
        <v>27496</v>
      </c>
      <c r="P1786" t="s">
        <v>69</v>
      </c>
      <c r="Q1786" t="s">
        <v>69</v>
      </c>
      <c r="R1786" t="s">
        <v>8505</v>
      </c>
      <c r="S1786" t="s">
        <v>8506</v>
      </c>
      <c r="T1786" t="s">
        <v>69</v>
      </c>
      <c r="U1786" t="s">
        <v>69</v>
      </c>
      <c r="V1786" t="s">
        <v>69</v>
      </c>
      <c r="W1786" t="s">
        <v>69</v>
      </c>
      <c r="X1786" t="s">
        <v>69</v>
      </c>
      <c r="Y1786" t="s">
        <v>27497</v>
      </c>
      <c r="Z1786" t="s">
        <v>69</v>
      </c>
      <c r="AA1786" t="s">
        <v>27498</v>
      </c>
      <c r="AB1786" t="s">
        <v>27499</v>
      </c>
      <c r="AC1786" t="s">
        <v>69</v>
      </c>
      <c r="AD1786" t="s">
        <v>27500</v>
      </c>
      <c r="AE1786" t="s">
        <v>27501</v>
      </c>
      <c r="AF1786" t="s">
        <v>69</v>
      </c>
      <c r="AG1786" t="s">
        <v>27502</v>
      </c>
      <c r="AH1786" t="s">
        <v>69</v>
      </c>
      <c r="AI1786" t="s">
        <v>69</v>
      </c>
      <c r="AJ1786" t="s">
        <v>69</v>
      </c>
      <c r="AK1786" t="s">
        <v>69</v>
      </c>
      <c r="AL1786">
        <v>43</v>
      </c>
      <c r="AM1786">
        <v>10</v>
      </c>
      <c r="AN1786">
        <v>10</v>
      </c>
      <c r="AO1786">
        <v>0</v>
      </c>
      <c r="AP1786">
        <v>0</v>
      </c>
      <c r="AQ1786" t="s">
        <v>8586</v>
      </c>
      <c r="AR1786" t="s">
        <v>8587</v>
      </c>
      <c r="AS1786" t="s">
        <v>8588</v>
      </c>
      <c r="AT1786" t="s">
        <v>27503</v>
      </c>
      <c r="AU1786" t="s">
        <v>27504</v>
      </c>
      <c r="AV1786" t="s">
        <v>69</v>
      </c>
      <c r="AW1786" t="s">
        <v>27496</v>
      </c>
      <c r="AX1786" t="s">
        <v>27505</v>
      </c>
      <c r="AY1786" t="s">
        <v>69</v>
      </c>
      <c r="AZ1786">
        <v>2011</v>
      </c>
      <c r="BA1786">
        <v>10</v>
      </c>
      <c r="BB1786">
        <v>3</v>
      </c>
      <c r="BC1786" t="s">
        <v>69</v>
      </c>
      <c r="BD1786" t="s">
        <v>69</v>
      </c>
      <c r="BE1786" t="s">
        <v>69</v>
      </c>
      <c r="BF1786" t="s">
        <v>69</v>
      </c>
      <c r="BG1786">
        <v>31</v>
      </c>
      <c r="BH1786">
        <v>40</v>
      </c>
      <c r="BI1786" t="s">
        <v>69</v>
      </c>
      <c r="BJ1786" t="s">
        <v>27506</v>
      </c>
      <c r="BK1786" t="str">
        <f>HYPERLINK("http://dx.doi.org/10.1108/17578041111171069","http://dx.doi.org/10.1108/17578041111171069")</f>
        <v>http://dx.doi.org/10.1108/17578041111171069</v>
      </c>
      <c r="BL1786" t="s">
        <v>69</v>
      </c>
      <c r="BM1786" t="s">
        <v>69</v>
      </c>
      <c r="BN1786">
        <v>10</v>
      </c>
      <c r="BO1786" t="s">
        <v>19122</v>
      </c>
      <c r="BP1786" t="s">
        <v>8573</v>
      </c>
      <c r="BQ1786" t="s">
        <v>19122</v>
      </c>
      <c r="BR1786" t="s">
        <v>27507</v>
      </c>
      <c r="BS1786" t="s">
        <v>27508</v>
      </c>
      <c r="BT1786" t="s">
        <v>69</v>
      </c>
      <c r="BU1786" t="s">
        <v>16029</v>
      </c>
      <c r="BV1786" t="s">
        <v>69</v>
      </c>
      <c r="BW1786" t="s">
        <v>69</v>
      </c>
      <c r="BX1786" t="s">
        <v>8526</v>
      </c>
      <c r="BY1786" t="str">
        <f>HYPERLINK("https%3A%2F%2Fwww.webofscience.com%2Fwos%2Fwoscc%2Ffull-record%2FWOS:000217848700005","View Full Record in Web of Science")</f>
        <v>View Full Record in Web of Science</v>
      </c>
    </row>
    <row r="1787" spans="1:77" ht="12.5" x14ac:dyDescent="0.25">
      <c r="A1787" t="s">
        <v>8495</v>
      </c>
      <c r="B1787" s="7" t="s">
        <v>32933</v>
      </c>
      <c r="C1787" s="7"/>
      <c r="D1787" s="7"/>
      <c r="E1787" s="7"/>
      <c r="F1787" t="s">
        <v>67</v>
      </c>
      <c r="G1787" t="s">
        <v>796</v>
      </c>
      <c r="H1787" t="s">
        <v>69</v>
      </c>
      <c r="I1787" t="s">
        <v>69</v>
      </c>
      <c r="J1787" t="s">
        <v>69</v>
      </c>
      <c r="K1787" t="s">
        <v>797</v>
      </c>
      <c r="L1787" t="s">
        <v>69</v>
      </c>
      <c r="M1787" t="s">
        <v>69</v>
      </c>
      <c r="N1787" t="s">
        <v>798</v>
      </c>
      <c r="O1787" t="s">
        <v>352</v>
      </c>
      <c r="P1787" t="s">
        <v>69</v>
      </c>
      <c r="Q1787" t="s">
        <v>69</v>
      </c>
      <c r="R1787" t="s">
        <v>8505</v>
      </c>
      <c r="S1787" t="s">
        <v>8506</v>
      </c>
      <c r="T1787" t="s">
        <v>69</v>
      </c>
      <c r="U1787" t="s">
        <v>69</v>
      </c>
      <c r="V1787" t="s">
        <v>69</v>
      </c>
      <c r="W1787" t="s">
        <v>69</v>
      </c>
      <c r="X1787" t="s">
        <v>69</v>
      </c>
      <c r="Y1787" t="s">
        <v>15477</v>
      </c>
      <c r="Z1787" t="s">
        <v>69</v>
      </c>
      <c r="AA1787" t="s">
        <v>799</v>
      </c>
      <c r="AB1787" t="s">
        <v>15478</v>
      </c>
      <c r="AC1787" t="s">
        <v>69</v>
      </c>
      <c r="AD1787" t="s">
        <v>15479</v>
      </c>
      <c r="AE1787" t="s">
        <v>15480</v>
      </c>
      <c r="AF1787" t="s">
        <v>69</v>
      </c>
      <c r="AG1787" t="s">
        <v>69</v>
      </c>
      <c r="AH1787" t="s">
        <v>15481</v>
      </c>
      <c r="AI1787" t="s">
        <v>15482</v>
      </c>
      <c r="AJ1787" t="s">
        <v>15483</v>
      </c>
      <c r="AK1787" t="s">
        <v>69</v>
      </c>
      <c r="AL1787">
        <v>15</v>
      </c>
      <c r="AM1787">
        <v>5</v>
      </c>
      <c r="AN1787">
        <v>5</v>
      </c>
      <c r="AO1787">
        <v>10</v>
      </c>
      <c r="AP1787">
        <v>32</v>
      </c>
      <c r="AQ1787" t="s">
        <v>8924</v>
      </c>
      <c r="AR1787" t="s">
        <v>8925</v>
      </c>
      <c r="AS1787" t="s">
        <v>8926</v>
      </c>
      <c r="AT1787" t="s">
        <v>69</v>
      </c>
      <c r="AU1787" t="s">
        <v>354</v>
      </c>
      <c r="AV1787" t="s">
        <v>69</v>
      </c>
      <c r="AW1787" t="s">
        <v>8958</v>
      </c>
      <c r="AX1787" t="s">
        <v>8434</v>
      </c>
      <c r="AY1787" t="s">
        <v>246</v>
      </c>
      <c r="AZ1787">
        <v>2020</v>
      </c>
      <c r="BA1787">
        <v>12</v>
      </c>
      <c r="BB1787">
        <v>7</v>
      </c>
      <c r="BC1787" t="s">
        <v>69</v>
      </c>
      <c r="BD1787" t="s">
        <v>69</v>
      </c>
      <c r="BE1787" t="s">
        <v>69</v>
      </c>
      <c r="BF1787" t="s">
        <v>69</v>
      </c>
      <c r="BG1787" t="s">
        <v>69</v>
      </c>
      <c r="BH1787" t="s">
        <v>69</v>
      </c>
      <c r="BI1787">
        <v>3049</v>
      </c>
      <c r="BJ1787" t="s">
        <v>800</v>
      </c>
      <c r="BK1787" t="str">
        <f>HYPERLINK("http://dx.doi.org/10.3390/su12073049","http://dx.doi.org/10.3390/su12073049")</f>
        <v>http://dx.doi.org/10.3390/su12073049</v>
      </c>
      <c r="BL1787" t="s">
        <v>69</v>
      </c>
      <c r="BM1787" t="s">
        <v>69</v>
      </c>
      <c r="BN1787">
        <v>17</v>
      </c>
      <c r="BO1787" t="s">
        <v>8960</v>
      </c>
      <c r="BP1787" t="s">
        <v>8523</v>
      </c>
      <c r="BQ1787" t="s">
        <v>8961</v>
      </c>
      <c r="BR1787" t="s">
        <v>15484</v>
      </c>
      <c r="BS1787" t="s">
        <v>801</v>
      </c>
      <c r="BT1787" t="s">
        <v>69</v>
      </c>
      <c r="BU1787" t="s">
        <v>8812</v>
      </c>
      <c r="BV1787" t="s">
        <v>69</v>
      </c>
      <c r="BW1787" t="s">
        <v>69</v>
      </c>
      <c r="BX1787" t="s">
        <v>8526</v>
      </c>
      <c r="BY1787" t="str">
        <f>HYPERLINK("https%3A%2F%2Fwww.webofscience.com%2Fwos%2Fwoscc%2Ffull-record%2FWOS:000531558100474","View Full Record in Web of Science")</f>
        <v>View Full Record in Web of Science</v>
      </c>
    </row>
    <row r="1788" spans="1:77" ht="12.5" x14ac:dyDescent="0.25">
      <c r="A1788" t="s">
        <v>8495</v>
      </c>
      <c r="B1788" s="7" t="s">
        <v>32933</v>
      </c>
      <c r="C1788" s="7"/>
      <c r="D1788" s="7"/>
      <c r="E1788" s="7"/>
      <c r="F1788" t="s">
        <v>67</v>
      </c>
      <c r="G1788" t="s">
        <v>4039</v>
      </c>
      <c r="H1788" t="s">
        <v>69</v>
      </c>
      <c r="I1788" t="s">
        <v>69</v>
      </c>
      <c r="J1788" t="s">
        <v>69</v>
      </c>
      <c r="K1788" t="s">
        <v>4039</v>
      </c>
      <c r="L1788" t="s">
        <v>69</v>
      </c>
      <c r="M1788" t="s">
        <v>69</v>
      </c>
      <c r="N1788" t="s">
        <v>4040</v>
      </c>
      <c r="O1788" t="s">
        <v>4041</v>
      </c>
      <c r="P1788" t="s">
        <v>69</v>
      </c>
      <c r="Q1788" t="s">
        <v>69</v>
      </c>
      <c r="R1788" t="s">
        <v>14800</v>
      </c>
      <c r="S1788" t="s">
        <v>8506</v>
      </c>
      <c r="T1788" t="s">
        <v>69</v>
      </c>
      <c r="U1788" t="s">
        <v>69</v>
      </c>
      <c r="V1788" t="s">
        <v>69</v>
      </c>
      <c r="W1788" t="s">
        <v>69</v>
      </c>
      <c r="X1788" t="s">
        <v>69</v>
      </c>
      <c r="Y1788" t="s">
        <v>69</v>
      </c>
      <c r="Z1788" t="s">
        <v>31529</v>
      </c>
      <c r="AA1788" t="s">
        <v>4042</v>
      </c>
      <c r="AB1788" t="s">
        <v>31530</v>
      </c>
      <c r="AC1788" t="s">
        <v>69</v>
      </c>
      <c r="AD1788" t="s">
        <v>31531</v>
      </c>
      <c r="AE1788" t="s">
        <v>69</v>
      </c>
      <c r="AF1788" t="s">
        <v>69</v>
      </c>
      <c r="AG1788" t="s">
        <v>69</v>
      </c>
      <c r="AH1788" t="s">
        <v>69</v>
      </c>
      <c r="AI1788" t="s">
        <v>69</v>
      </c>
      <c r="AJ1788" t="s">
        <v>69</v>
      </c>
      <c r="AK1788" t="s">
        <v>69</v>
      </c>
      <c r="AL1788">
        <v>33</v>
      </c>
      <c r="AM1788">
        <v>2</v>
      </c>
      <c r="AN1788">
        <v>2</v>
      </c>
      <c r="AO1788">
        <v>1</v>
      </c>
      <c r="AP1788">
        <v>5</v>
      </c>
      <c r="AQ1788" t="s">
        <v>31532</v>
      </c>
      <c r="AR1788" t="s">
        <v>31533</v>
      </c>
      <c r="AS1788" t="s">
        <v>31534</v>
      </c>
      <c r="AT1788" t="s">
        <v>4043</v>
      </c>
      <c r="AU1788" t="s">
        <v>69</v>
      </c>
      <c r="AV1788" t="s">
        <v>69</v>
      </c>
      <c r="AW1788" t="s">
        <v>31535</v>
      </c>
      <c r="AX1788" t="s">
        <v>31536</v>
      </c>
      <c r="AY1788" t="s">
        <v>1710</v>
      </c>
      <c r="AZ1788">
        <v>2001</v>
      </c>
      <c r="BA1788">
        <v>56</v>
      </c>
      <c r="BB1788">
        <v>1</v>
      </c>
      <c r="BC1788" t="s">
        <v>69</v>
      </c>
      <c r="BD1788" t="s">
        <v>69</v>
      </c>
      <c r="BE1788" t="s">
        <v>69</v>
      </c>
      <c r="BF1788" t="s">
        <v>69</v>
      </c>
      <c r="BG1788">
        <v>141</v>
      </c>
      <c r="BH1788">
        <v>164</v>
      </c>
      <c r="BI1788" t="s">
        <v>69</v>
      </c>
      <c r="BJ1788" t="s">
        <v>4044</v>
      </c>
      <c r="BK1788" t="str">
        <f>HYPERLINK("http://dx.doi.org/10.7202/000144ar","http://dx.doi.org/10.7202/000144ar")</f>
        <v>http://dx.doi.org/10.7202/000144ar</v>
      </c>
      <c r="BL1788" t="s">
        <v>69</v>
      </c>
      <c r="BM1788" t="s">
        <v>69</v>
      </c>
      <c r="BN1788">
        <v>24</v>
      </c>
      <c r="BO1788" t="s">
        <v>13825</v>
      </c>
      <c r="BP1788" t="s">
        <v>8661</v>
      </c>
      <c r="BQ1788" t="s">
        <v>8594</v>
      </c>
      <c r="BR1788" t="s">
        <v>31537</v>
      </c>
      <c r="BS1788" t="s">
        <v>4045</v>
      </c>
      <c r="BT1788" t="s">
        <v>69</v>
      </c>
      <c r="BU1788" t="s">
        <v>9374</v>
      </c>
      <c r="BV1788" t="s">
        <v>69</v>
      </c>
      <c r="BW1788" t="s">
        <v>69</v>
      </c>
      <c r="BX1788" t="s">
        <v>8526</v>
      </c>
      <c r="BY1788" t="str">
        <f>HYPERLINK("https%3A%2F%2Fwww.webofscience.com%2Fwos%2Fwoscc%2Ffull-record%2FWOS:000168447400006","View Full Record in Web of Science")</f>
        <v>View Full Record in Web of Science</v>
      </c>
    </row>
    <row r="1789" spans="1:77" ht="12.5" x14ac:dyDescent="0.25">
      <c r="A1789" t="s">
        <v>8495</v>
      </c>
      <c r="B1789" s="22" t="s">
        <v>32931</v>
      </c>
      <c r="C1789" s="7"/>
      <c r="D1789" s="7"/>
      <c r="E1789" s="7"/>
      <c r="F1789" t="s">
        <v>67</v>
      </c>
      <c r="G1789" t="s">
        <v>23346</v>
      </c>
      <c r="H1789" t="s">
        <v>69</v>
      </c>
      <c r="I1789" t="s">
        <v>69</v>
      </c>
      <c r="J1789" t="s">
        <v>69</v>
      </c>
      <c r="K1789" t="s">
        <v>23347</v>
      </c>
      <c r="L1789" t="s">
        <v>69</v>
      </c>
      <c r="M1789" t="s">
        <v>69</v>
      </c>
      <c r="N1789" t="s">
        <v>23348</v>
      </c>
      <c r="O1789" t="s">
        <v>23349</v>
      </c>
      <c r="P1789" t="s">
        <v>69</v>
      </c>
      <c r="Q1789" t="s">
        <v>69</v>
      </c>
      <c r="R1789" t="s">
        <v>8505</v>
      </c>
      <c r="S1789" t="s">
        <v>8506</v>
      </c>
      <c r="T1789" t="s">
        <v>69</v>
      </c>
      <c r="U1789" t="s">
        <v>69</v>
      </c>
      <c r="V1789" t="s">
        <v>69</v>
      </c>
      <c r="W1789" t="s">
        <v>69</v>
      </c>
      <c r="X1789" t="s">
        <v>69</v>
      </c>
      <c r="Y1789" t="s">
        <v>69</v>
      </c>
      <c r="Z1789" t="s">
        <v>69</v>
      </c>
      <c r="AA1789" t="s">
        <v>23350</v>
      </c>
      <c r="AB1789" t="s">
        <v>23351</v>
      </c>
      <c r="AC1789" t="s">
        <v>69</v>
      </c>
      <c r="AD1789" t="s">
        <v>23352</v>
      </c>
      <c r="AE1789" t="s">
        <v>69</v>
      </c>
      <c r="AF1789" t="s">
        <v>69</v>
      </c>
      <c r="AG1789" t="s">
        <v>23353</v>
      </c>
      <c r="AH1789" t="s">
        <v>69</v>
      </c>
      <c r="AI1789" t="s">
        <v>69</v>
      </c>
      <c r="AJ1789" t="s">
        <v>69</v>
      </c>
      <c r="AK1789" t="s">
        <v>69</v>
      </c>
      <c r="AL1789">
        <v>27</v>
      </c>
      <c r="AM1789">
        <v>8</v>
      </c>
      <c r="AN1789">
        <v>9</v>
      </c>
      <c r="AO1789">
        <v>3</v>
      </c>
      <c r="AP1789">
        <v>21</v>
      </c>
      <c r="AQ1789" t="s">
        <v>13178</v>
      </c>
      <c r="AR1789" t="s">
        <v>23354</v>
      </c>
      <c r="AS1789" t="s">
        <v>23355</v>
      </c>
      <c r="AT1789" t="s">
        <v>23356</v>
      </c>
      <c r="AU1789" t="s">
        <v>23357</v>
      </c>
      <c r="AV1789" t="s">
        <v>69</v>
      </c>
      <c r="AW1789" t="s">
        <v>23358</v>
      </c>
      <c r="AX1789" t="s">
        <v>23359</v>
      </c>
      <c r="AY1789" t="s">
        <v>75</v>
      </c>
      <c r="AZ1789">
        <v>2014</v>
      </c>
      <c r="BA1789">
        <v>48</v>
      </c>
      <c r="BB1789">
        <v>6</v>
      </c>
      <c r="BC1789" t="s">
        <v>69</v>
      </c>
      <c r="BD1789" t="s">
        <v>69</v>
      </c>
      <c r="BE1789" t="s">
        <v>69</v>
      </c>
      <c r="BF1789" t="s">
        <v>69</v>
      </c>
      <c r="BG1789">
        <v>1167</v>
      </c>
      <c r="BH1789">
        <v>1188</v>
      </c>
      <c r="BI1789" t="s">
        <v>69</v>
      </c>
      <c r="BJ1789" t="s">
        <v>69</v>
      </c>
      <c r="BK1789" t="s">
        <v>69</v>
      </c>
      <c r="BL1789" t="s">
        <v>69</v>
      </c>
      <c r="BM1789" t="s">
        <v>69</v>
      </c>
      <c r="BN1789">
        <v>22</v>
      </c>
      <c r="BO1789" t="s">
        <v>23360</v>
      </c>
      <c r="BP1789" t="s">
        <v>8661</v>
      </c>
      <c r="BQ1789" t="s">
        <v>23361</v>
      </c>
      <c r="BR1789" t="s">
        <v>23362</v>
      </c>
      <c r="BS1789" t="s">
        <v>23363</v>
      </c>
      <c r="BT1789" t="s">
        <v>69</v>
      </c>
      <c r="BU1789" t="s">
        <v>69</v>
      </c>
      <c r="BV1789" t="s">
        <v>69</v>
      </c>
      <c r="BW1789" t="s">
        <v>69</v>
      </c>
      <c r="BX1789" t="s">
        <v>8526</v>
      </c>
      <c r="BY1789" t="str">
        <f>HYPERLINK("https%3A%2F%2Fwww.webofscience.com%2Fwos%2Fwoscc%2Ffull-record%2FWOS:000349060900004","View Full Record in Web of Science")</f>
        <v>View Full Record in Web of Science</v>
      </c>
    </row>
    <row r="1790" spans="1:77" ht="12.5" x14ac:dyDescent="0.25">
      <c r="A1790" t="s">
        <v>8495</v>
      </c>
      <c r="B1790" s="7" t="s">
        <v>32933</v>
      </c>
      <c r="C1790" s="7"/>
      <c r="D1790" s="7"/>
      <c r="E1790" s="7"/>
      <c r="F1790" t="s">
        <v>67</v>
      </c>
      <c r="G1790" t="s">
        <v>3624</v>
      </c>
      <c r="H1790" t="s">
        <v>69</v>
      </c>
      <c r="I1790" t="s">
        <v>69</v>
      </c>
      <c r="J1790" t="s">
        <v>69</v>
      </c>
      <c r="K1790" t="s">
        <v>3625</v>
      </c>
      <c r="L1790" t="s">
        <v>69</v>
      </c>
      <c r="M1790" t="s">
        <v>69</v>
      </c>
      <c r="N1790" t="s">
        <v>3626</v>
      </c>
      <c r="O1790" t="s">
        <v>3627</v>
      </c>
      <c r="P1790" t="s">
        <v>69</v>
      </c>
      <c r="Q1790" t="s">
        <v>69</v>
      </c>
      <c r="R1790" t="s">
        <v>8505</v>
      </c>
      <c r="S1790" t="s">
        <v>8506</v>
      </c>
      <c r="T1790" t="s">
        <v>69</v>
      </c>
      <c r="U1790" t="s">
        <v>69</v>
      </c>
      <c r="V1790" t="s">
        <v>69</v>
      </c>
      <c r="W1790" t="s">
        <v>69</v>
      </c>
      <c r="X1790" t="s">
        <v>69</v>
      </c>
      <c r="Y1790" t="s">
        <v>28565</v>
      </c>
      <c r="Z1790" t="s">
        <v>69</v>
      </c>
      <c r="AA1790" t="s">
        <v>3628</v>
      </c>
      <c r="AB1790" t="s">
        <v>28566</v>
      </c>
      <c r="AC1790" t="s">
        <v>69</v>
      </c>
      <c r="AD1790" t="s">
        <v>28567</v>
      </c>
      <c r="AE1790" t="s">
        <v>28568</v>
      </c>
      <c r="AF1790" t="s">
        <v>69</v>
      </c>
      <c r="AG1790" t="s">
        <v>69</v>
      </c>
      <c r="AH1790" t="s">
        <v>69</v>
      </c>
      <c r="AI1790" t="s">
        <v>69</v>
      </c>
      <c r="AJ1790" t="s">
        <v>69</v>
      </c>
      <c r="AK1790" t="s">
        <v>69</v>
      </c>
      <c r="AL1790">
        <v>4</v>
      </c>
      <c r="AM1790">
        <v>3</v>
      </c>
      <c r="AN1790">
        <v>3</v>
      </c>
      <c r="AO1790">
        <v>0</v>
      </c>
      <c r="AP1790">
        <v>8</v>
      </c>
      <c r="AQ1790" t="s">
        <v>28569</v>
      </c>
      <c r="AR1790" t="s">
        <v>28570</v>
      </c>
      <c r="AS1790" t="s">
        <v>28571</v>
      </c>
      <c r="AT1790" t="s">
        <v>3629</v>
      </c>
      <c r="AU1790" t="s">
        <v>69</v>
      </c>
      <c r="AV1790" t="s">
        <v>69</v>
      </c>
      <c r="AW1790" t="s">
        <v>28572</v>
      </c>
      <c r="AX1790" t="s">
        <v>28573</v>
      </c>
      <c r="AY1790" t="s">
        <v>94</v>
      </c>
      <c r="AZ1790">
        <v>2009</v>
      </c>
      <c r="BA1790">
        <v>11</v>
      </c>
      <c r="BB1790">
        <v>1</v>
      </c>
      <c r="BC1790" t="s">
        <v>69</v>
      </c>
      <c r="BD1790" t="s">
        <v>69</v>
      </c>
      <c r="BE1790" t="s">
        <v>69</v>
      </c>
      <c r="BF1790" t="s">
        <v>69</v>
      </c>
      <c r="BG1790">
        <v>10</v>
      </c>
      <c r="BH1790">
        <v>18</v>
      </c>
      <c r="BI1790" t="s">
        <v>69</v>
      </c>
      <c r="BJ1790" t="s">
        <v>69</v>
      </c>
      <c r="BK1790" t="s">
        <v>69</v>
      </c>
      <c r="BL1790" t="s">
        <v>69</v>
      </c>
      <c r="BM1790" t="s">
        <v>69</v>
      </c>
      <c r="BN1790">
        <v>9</v>
      </c>
      <c r="BO1790" t="s">
        <v>8717</v>
      </c>
      <c r="BP1790" t="s">
        <v>8548</v>
      </c>
      <c r="BQ1790" t="s">
        <v>8662</v>
      </c>
      <c r="BR1790" t="s">
        <v>28574</v>
      </c>
      <c r="BS1790" t="s">
        <v>3630</v>
      </c>
      <c r="BT1790" t="s">
        <v>69</v>
      </c>
      <c r="BU1790" t="s">
        <v>69</v>
      </c>
      <c r="BV1790" t="s">
        <v>69</v>
      </c>
      <c r="BW1790" t="s">
        <v>69</v>
      </c>
      <c r="BX1790" t="s">
        <v>8526</v>
      </c>
      <c r="BY1790" t="str">
        <f>HYPERLINK("https%3A%2F%2Fwww.webofscience.com%2Fwos%2Fwoscc%2Ffull-record%2FWOS:000264461100002","View Full Record in Web of Science")</f>
        <v>View Full Record in Web of Science</v>
      </c>
    </row>
    <row r="1791" spans="1:77" ht="12.5" x14ac:dyDescent="0.25">
      <c r="A1791" t="s">
        <v>8495</v>
      </c>
      <c r="B1791" s="7" t="s">
        <v>32933</v>
      </c>
      <c r="C1791" s="7"/>
      <c r="D1791" s="7"/>
      <c r="E1791" s="7"/>
      <c r="F1791" t="s">
        <v>67</v>
      </c>
      <c r="G1791" t="s">
        <v>704</v>
      </c>
      <c r="H1791" t="s">
        <v>69</v>
      </c>
      <c r="I1791" t="s">
        <v>69</v>
      </c>
      <c r="J1791" t="s">
        <v>69</v>
      </c>
      <c r="K1791" t="s">
        <v>705</v>
      </c>
      <c r="L1791" t="s">
        <v>69</v>
      </c>
      <c r="M1791" t="s">
        <v>69</v>
      </c>
      <c r="N1791" t="s">
        <v>706</v>
      </c>
      <c r="O1791" t="s">
        <v>408</v>
      </c>
      <c r="P1791" t="s">
        <v>69</v>
      </c>
      <c r="Q1791" t="s">
        <v>69</v>
      </c>
      <c r="R1791" t="s">
        <v>8505</v>
      </c>
      <c r="S1791" t="s">
        <v>8442</v>
      </c>
      <c r="T1791" t="s">
        <v>69</v>
      </c>
      <c r="U1791" t="s">
        <v>69</v>
      </c>
      <c r="V1791" t="s">
        <v>69</v>
      </c>
      <c r="W1791" t="s">
        <v>69</v>
      </c>
      <c r="X1791" t="s">
        <v>69</v>
      </c>
      <c r="Y1791" t="s">
        <v>14662</v>
      </c>
      <c r="Z1791" t="s">
        <v>14663</v>
      </c>
      <c r="AA1791" t="s">
        <v>707</v>
      </c>
      <c r="AB1791" t="s">
        <v>14664</v>
      </c>
      <c r="AC1791" t="s">
        <v>69</v>
      </c>
      <c r="AD1791" t="s">
        <v>14665</v>
      </c>
      <c r="AE1791" t="s">
        <v>14666</v>
      </c>
      <c r="AF1791" t="s">
        <v>708</v>
      </c>
      <c r="AG1791" t="s">
        <v>709</v>
      </c>
      <c r="AH1791" t="s">
        <v>69</v>
      </c>
      <c r="AI1791" t="s">
        <v>69</v>
      </c>
      <c r="AJ1791" t="s">
        <v>69</v>
      </c>
      <c r="AK1791" t="s">
        <v>69</v>
      </c>
      <c r="AL1791">
        <v>256</v>
      </c>
      <c r="AM1791">
        <v>5</v>
      </c>
      <c r="AN1791">
        <v>5</v>
      </c>
      <c r="AO1791">
        <v>12</v>
      </c>
      <c r="AP1791">
        <v>53</v>
      </c>
      <c r="AQ1791" t="s">
        <v>8586</v>
      </c>
      <c r="AR1791" t="s">
        <v>8587</v>
      </c>
      <c r="AS1791" t="s">
        <v>8588</v>
      </c>
      <c r="AT1791" t="s">
        <v>410</v>
      </c>
      <c r="AU1791" t="s">
        <v>411</v>
      </c>
      <c r="AV1791" t="s">
        <v>69</v>
      </c>
      <c r="AW1791" t="s">
        <v>9125</v>
      </c>
      <c r="AX1791" t="s">
        <v>9126</v>
      </c>
      <c r="AY1791" t="s">
        <v>7204</v>
      </c>
      <c r="AZ1791">
        <v>2021</v>
      </c>
      <c r="BA1791">
        <v>28</v>
      </c>
      <c r="BB1791">
        <v>4</v>
      </c>
      <c r="BC1791" t="s">
        <v>69</v>
      </c>
      <c r="BD1791" t="s">
        <v>69</v>
      </c>
      <c r="BE1791" t="s">
        <v>69</v>
      </c>
      <c r="BF1791" t="s">
        <v>69</v>
      </c>
      <c r="BG1791">
        <v>934</v>
      </c>
      <c r="BH1791">
        <v>968</v>
      </c>
      <c r="BI1791" t="s">
        <v>69</v>
      </c>
      <c r="BJ1791" t="s">
        <v>710</v>
      </c>
      <c r="BK1791" t="str">
        <f>HYPERLINK("http://dx.doi.org/10.1108/ECAM-03-2019-0123","http://dx.doi.org/10.1108/ECAM-03-2019-0123")</f>
        <v>http://dx.doi.org/10.1108/ECAM-03-2019-0123</v>
      </c>
      <c r="BL1791" t="s">
        <v>69</v>
      </c>
      <c r="BM1791" t="s">
        <v>702</v>
      </c>
      <c r="BN1791">
        <v>35</v>
      </c>
      <c r="BO1791" t="s">
        <v>9128</v>
      </c>
      <c r="BP1791" t="s">
        <v>8523</v>
      </c>
      <c r="BQ1791" t="s">
        <v>9129</v>
      </c>
      <c r="BR1791" t="s">
        <v>14667</v>
      </c>
      <c r="BS1791" t="s">
        <v>711</v>
      </c>
      <c r="BT1791" t="s">
        <v>69</v>
      </c>
      <c r="BU1791" t="s">
        <v>69</v>
      </c>
      <c r="BV1791" t="s">
        <v>69</v>
      </c>
      <c r="BW1791" t="s">
        <v>69</v>
      </c>
      <c r="BX1791" t="s">
        <v>8526</v>
      </c>
      <c r="BY1791" t="str">
        <f>HYPERLINK("https%3A%2F%2Fwww.webofscience.com%2Fwos%2Fwoscc%2Ffull-record%2FWOS:000556922600001","View Full Record in Web of Science")</f>
        <v>View Full Record in Web of Science</v>
      </c>
    </row>
    <row r="1792" spans="1:77" x14ac:dyDescent="0.3">
      <c r="A1792" t="s">
        <v>8495</v>
      </c>
      <c r="B1792" s="9" t="s">
        <v>32954</v>
      </c>
      <c r="C1792" s="9" t="s">
        <v>33124</v>
      </c>
      <c r="D1792" s="9" t="s">
        <v>8491</v>
      </c>
      <c r="E1792" s="9" t="s">
        <v>8490</v>
      </c>
      <c r="F1792" t="s">
        <v>67</v>
      </c>
      <c r="G1792" t="s">
        <v>23120</v>
      </c>
      <c r="H1792" t="s">
        <v>69</v>
      </c>
      <c r="I1792" t="s">
        <v>69</v>
      </c>
      <c r="J1792" t="s">
        <v>69</v>
      </c>
      <c r="K1792" t="s">
        <v>23121</v>
      </c>
      <c r="L1792" t="s">
        <v>69</v>
      </c>
      <c r="M1792" t="s">
        <v>69</v>
      </c>
      <c r="N1792" t="s">
        <v>23122</v>
      </c>
      <c r="O1792" t="s">
        <v>23123</v>
      </c>
      <c r="P1792" t="s">
        <v>69</v>
      </c>
      <c r="Q1792" t="s">
        <v>69</v>
      </c>
      <c r="R1792" t="s">
        <v>8505</v>
      </c>
      <c r="S1792" t="s">
        <v>8506</v>
      </c>
      <c r="T1792" t="s">
        <v>69</v>
      </c>
      <c r="U1792" t="s">
        <v>69</v>
      </c>
      <c r="V1792" t="s">
        <v>69</v>
      </c>
      <c r="W1792" t="s">
        <v>69</v>
      </c>
      <c r="X1792" t="s">
        <v>69</v>
      </c>
      <c r="Y1792" t="s">
        <v>23124</v>
      </c>
      <c r="Z1792" t="s">
        <v>23125</v>
      </c>
      <c r="AA1792" t="s">
        <v>23126</v>
      </c>
      <c r="AB1792" t="s">
        <v>23127</v>
      </c>
      <c r="AC1792" t="s">
        <v>69</v>
      </c>
      <c r="AD1792" t="s">
        <v>23128</v>
      </c>
      <c r="AE1792" t="s">
        <v>23129</v>
      </c>
      <c r="AF1792" t="s">
        <v>69</v>
      </c>
      <c r="AG1792" t="s">
        <v>23130</v>
      </c>
      <c r="AH1792" t="s">
        <v>23131</v>
      </c>
      <c r="AI1792" t="s">
        <v>23132</v>
      </c>
      <c r="AJ1792" t="s">
        <v>23133</v>
      </c>
      <c r="AK1792" t="s">
        <v>69</v>
      </c>
      <c r="AL1792">
        <v>81</v>
      </c>
      <c r="AM1792">
        <v>20</v>
      </c>
      <c r="AN1792">
        <v>20</v>
      </c>
      <c r="AO1792">
        <v>0</v>
      </c>
      <c r="AP1792">
        <v>53</v>
      </c>
      <c r="AQ1792" t="s">
        <v>8846</v>
      </c>
      <c r="AR1792" t="s">
        <v>8847</v>
      </c>
      <c r="AS1792" t="s">
        <v>8848</v>
      </c>
      <c r="AT1792" t="s">
        <v>23134</v>
      </c>
      <c r="AU1792" t="s">
        <v>23135</v>
      </c>
      <c r="AV1792" t="s">
        <v>69</v>
      </c>
      <c r="AW1792" t="s">
        <v>23136</v>
      </c>
      <c r="AX1792" t="s">
        <v>69</v>
      </c>
      <c r="AY1792" t="s">
        <v>373</v>
      </c>
      <c r="AZ1792">
        <v>2015</v>
      </c>
      <c r="BA1792">
        <v>66</v>
      </c>
      <c r="BB1792">
        <v>1</v>
      </c>
      <c r="BC1792" t="s">
        <v>69</v>
      </c>
      <c r="BD1792" t="s">
        <v>69</v>
      </c>
      <c r="BE1792" t="s">
        <v>69</v>
      </c>
      <c r="BF1792" t="s">
        <v>69</v>
      </c>
      <c r="BG1792">
        <v>162</v>
      </c>
      <c r="BH1792">
        <v>179</v>
      </c>
      <c r="BI1792" t="s">
        <v>69</v>
      </c>
      <c r="BJ1792" t="s">
        <v>23137</v>
      </c>
      <c r="BK1792" t="str">
        <f>HYPERLINK("http://dx.doi.org/10.1002/asi.23161","http://dx.doi.org/10.1002/asi.23161")</f>
        <v>http://dx.doi.org/10.1002/asi.23161</v>
      </c>
      <c r="BL1792" t="s">
        <v>69</v>
      </c>
      <c r="BM1792" t="s">
        <v>69</v>
      </c>
      <c r="BN1792">
        <v>18</v>
      </c>
      <c r="BO1792" t="s">
        <v>13389</v>
      </c>
      <c r="BP1792" t="s">
        <v>8523</v>
      </c>
      <c r="BQ1792" t="s">
        <v>10632</v>
      </c>
      <c r="BR1792" t="s">
        <v>23138</v>
      </c>
      <c r="BS1792" t="s">
        <v>23139</v>
      </c>
      <c r="BT1792" t="s">
        <v>69</v>
      </c>
      <c r="BU1792" t="s">
        <v>69</v>
      </c>
      <c r="BV1792" t="s">
        <v>69</v>
      </c>
      <c r="BW1792" t="s">
        <v>69</v>
      </c>
      <c r="BX1792" t="s">
        <v>8526</v>
      </c>
      <c r="BY1792" t="str">
        <f>HYPERLINK("https%3A%2F%2Fwww.webofscience.com%2Fwos%2Fwoscc%2Ffull-record%2FWOS:000346361000011","View Full Record in Web of Science")</f>
        <v>View Full Record in Web of Science</v>
      </c>
    </row>
    <row r="1793" spans="1:77" ht="12.5" x14ac:dyDescent="0.25">
      <c r="A1793" t="s">
        <v>8495</v>
      </c>
      <c r="B1793" s="22" t="s">
        <v>32931</v>
      </c>
      <c r="C1793" s="7"/>
      <c r="D1793" s="7"/>
      <c r="E1793" s="7"/>
      <c r="F1793" t="s">
        <v>67</v>
      </c>
      <c r="G1793" t="s">
        <v>24102</v>
      </c>
      <c r="H1793" t="s">
        <v>69</v>
      </c>
      <c r="I1793" t="s">
        <v>69</v>
      </c>
      <c r="J1793" t="s">
        <v>69</v>
      </c>
      <c r="K1793" t="s">
        <v>24103</v>
      </c>
      <c r="L1793" t="s">
        <v>69</v>
      </c>
      <c r="M1793" t="s">
        <v>69</v>
      </c>
      <c r="N1793" t="s">
        <v>24104</v>
      </c>
      <c r="O1793" t="s">
        <v>24105</v>
      </c>
      <c r="P1793" t="s">
        <v>69</v>
      </c>
      <c r="Q1793" t="s">
        <v>69</v>
      </c>
      <c r="R1793" t="s">
        <v>8505</v>
      </c>
      <c r="S1793" t="s">
        <v>8506</v>
      </c>
      <c r="T1793" t="s">
        <v>69</v>
      </c>
      <c r="U1793" t="s">
        <v>69</v>
      </c>
      <c r="V1793" t="s">
        <v>69</v>
      </c>
      <c r="W1793" t="s">
        <v>69</v>
      </c>
      <c r="X1793" t="s">
        <v>69</v>
      </c>
      <c r="Y1793" t="s">
        <v>24106</v>
      </c>
      <c r="Z1793" t="s">
        <v>69</v>
      </c>
      <c r="AA1793" t="s">
        <v>24107</v>
      </c>
      <c r="AB1793" t="s">
        <v>24108</v>
      </c>
      <c r="AC1793" t="s">
        <v>69</v>
      </c>
      <c r="AD1793" t="s">
        <v>24109</v>
      </c>
      <c r="AE1793" t="s">
        <v>24110</v>
      </c>
      <c r="AF1793" t="s">
        <v>69</v>
      </c>
      <c r="AG1793" t="s">
        <v>24111</v>
      </c>
      <c r="AH1793" t="s">
        <v>24112</v>
      </c>
      <c r="AI1793" t="s">
        <v>24112</v>
      </c>
      <c r="AJ1793" t="s">
        <v>24113</v>
      </c>
      <c r="AK1793" t="s">
        <v>69</v>
      </c>
      <c r="AL1793">
        <v>51</v>
      </c>
      <c r="AM1793">
        <v>31</v>
      </c>
      <c r="AN1793">
        <v>31</v>
      </c>
      <c r="AO1793">
        <v>0</v>
      </c>
      <c r="AP1793">
        <v>1</v>
      </c>
      <c r="AQ1793" t="s">
        <v>8865</v>
      </c>
      <c r="AR1793" t="s">
        <v>8612</v>
      </c>
      <c r="AS1793" t="s">
        <v>8866</v>
      </c>
      <c r="AT1793" t="s">
        <v>24114</v>
      </c>
      <c r="AU1793" t="s">
        <v>24115</v>
      </c>
      <c r="AV1793" t="s">
        <v>69</v>
      </c>
      <c r="AW1793" t="s">
        <v>24116</v>
      </c>
      <c r="AX1793" t="s">
        <v>24117</v>
      </c>
      <c r="AY1793" t="s">
        <v>69</v>
      </c>
      <c r="AZ1793">
        <v>2014</v>
      </c>
      <c r="BA1793">
        <v>8</v>
      </c>
      <c r="BB1793">
        <v>1</v>
      </c>
      <c r="BC1793" t="s">
        <v>69</v>
      </c>
      <c r="BD1793" t="s">
        <v>69</v>
      </c>
      <c r="BE1793" t="s">
        <v>69</v>
      </c>
      <c r="BF1793" t="s">
        <v>69</v>
      </c>
      <c r="BG1793">
        <v>101</v>
      </c>
      <c r="BH1793">
        <v>115</v>
      </c>
      <c r="BI1793" t="s">
        <v>69</v>
      </c>
      <c r="BJ1793" t="s">
        <v>24118</v>
      </c>
      <c r="BK1793" t="str">
        <f>HYPERLINK("http://dx.doi.org/10.1080/19460171.2014.883859","http://dx.doi.org/10.1080/19460171.2014.883859")</f>
        <v>http://dx.doi.org/10.1080/19460171.2014.883859</v>
      </c>
      <c r="BL1793" t="s">
        <v>69</v>
      </c>
      <c r="BM1793" t="s">
        <v>69</v>
      </c>
      <c r="BN1793">
        <v>15</v>
      </c>
      <c r="BO1793" t="s">
        <v>10439</v>
      </c>
      <c r="BP1793" t="s">
        <v>8573</v>
      </c>
      <c r="BQ1793" t="s">
        <v>10440</v>
      </c>
      <c r="BR1793" t="s">
        <v>24119</v>
      </c>
      <c r="BS1793" t="s">
        <v>24120</v>
      </c>
      <c r="BT1793" t="s">
        <v>69</v>
      </c>
      <c r="BU1793" t="s">
        <v>10995</v>
      </c>
      <c r="BV1793" t="s">
        <v>69</v>
      </c>
      <c r="BW1793" t="s">
        <v>69</v>
      </c>
      <c r="BX1793" t="s">
        <v>8526</v>
      </c>
      <c r="BY1793" t="str">
        <f>HYPERLINK("https%3A%2F%2Fwww.webofscience.com%2Fwos%2Fwoscc%2Ffull-record%2FWOS:000214271700007","View Full Record in Web of Science")</f>
        <v>View Full Record in Web of Science</v>
      </c>
    </row>
    <row r="1794" spans="1:77" x14ac:dyDescent="0.3">
      <c r="A1794" t="s">
        <v>8495</v>
      </c>
      <c r="B1794" s="9" t="s">
        <v>33041</v>
      </c>
      <c r="D1794" s="9" t="s">
        <v>33123</v>
      </c>
      <c r="E1794" s="9" t="s">
        <v>8490</v>
      </c>
      <c r="F1794" t="s">
        <v>67</v>
      </c>
      <c r="G1794" t="s">
        <v>15562</v>
      </c>
      <c r="H1794" t="s">
        <v>69</v>
      </c>
      <c r="I1794" t="s">
        <v>69</v>
      </c>
      <c r="J1794" t="s">
        <v>69</v>
      </c>
      <c r="K1794" t="s">
        <v>15563</v>
      </c>
      <c r="L1794" t="s">
        <v>69</v>
      </c>
      <c r="M1794" t="s">
        <v>69</v>
      </c>
      <c r="N1794" t="s">
        <v>8477</v>
      </c>
      <c r="O1794" t="s">
        <v>426</v>
      </c>
      <c r="P1794" t="s">
        <v>69</v>
      </c>
      <c r="Q1794" t="s">
        <v>69</v>
      </c>
      <c r="R1794" t="s">
        <v>8505</v>
      </c>
      <c r="S1794" t="s">
        <v>8506</v>
      </c>
      <c r="T1794" t="s">
        <v>69</v>
      </c>
      <c r="U1794" t="s">
        <v>69</v>
      </c>
      <c r="V1794" t="s">
        <v>69</v>
      </c>
      <c r="W1794" t="s">
        <v>69</v>
      </c>
      <c r="X1794" t="s">
        <v>69</v>
      </c>
      <c r="Y1794" t="s">
        <v>15564</v>
      </c>
      <c r="Z1794" t="s">
        <v>15565</v>
      </c>
      <c r="AA1794" t="s">
        <v>15566</v>
      </c>
      <c r="AB1794" t="s">
        <v>15567</v>
      </c>
      <c r="AC1794" t="s">
        <v>69</v>
      </c>
      <c r="AD1794" t="s">
        <v>15568</v>
      </c>
      <c r="AE1794" t="s">
        <v>15569</v>
      </c>
      <c r="AF1794" t="s">
        <v>69</v>
      </c>
      <c r="AG1794" t="s">
        <v>15570</v>
      </c>
      <c r="AH1794" t="s">
        <v>15571</v>
      </c>
      <c r="AI1794" t="s">
        <v>15571</v>
      </c>
      <c r="AJ1794" t="s">
        <v>15572</v>
      </c>
      <c r="AK1794" t="s">
        <v>69</v>
      </c>
      <c r="AL1794">
        <v>68</v>
      </c>
      <c r="AM1794">
        <v>5</v>
      </c>
      <c r="AN1794">
        <v>5</v>
      </c>
      <c r="AO1794">
        <v>1</v>
      </c>
      <c r="AP1794">
        <v>8</v>
      </c>
      <c r="AQ1794" t="s">
        <v>8762</v>
      </c>
      <c r="AR1794" t="s">
        <v>8763</v>
      </c>
      <c r="AS1794" t="s">
        <v>8764</v>
      </c>
      <c r="AT1794" t="s">
        <v>429</v>
      </c>
      <c r="AU1794" t="s">
        <v>430</v>
      </c>
      <c r="AV1794" t="s">
        <v>69</v>
      </c>
      <c r="AW1794" t="s">
        <v>15573</v>
      </c>
      <c r="AX1794" t="s">
        <v>15574</v>
      </c>
      <c r="AY1794" t="s">
        <v>255</v>
      </c>
      <c r="AZ1794">
        <v>2020</v>
      </c>
      <c r="BA1794">
        <v>38</v>
      </c>
      <c r="BB1794">
        <v>6</v>
      </c>
      <c r="BC1794" t="s">
        <v>69</v>
      </c>
      <c r="BD1794" t="s">
        <v>69</v>
      </c>
      <c r="BE1794" t="s">
        <v>69</v>
      </c>
      <c r="BF1794" t="s">
        <v>69</v>
      </c>
      <c r="BG1794">
        <v>961</v>
      </c>
      <c r="BH1794">
        <v>979</v>
      </c>
      <c r="BI1794">
        <v>2399654420911947</v>
      </c>
      <c r="BJ1794" t="s">
        <v>15575</v>
      </c>
      <c r="BK1794" t="str">
        <f>HYPERLINK("http://dx.doi.org/10.1177/2399654420911947","http://dx.doi.org/10.1177/2399654420911947")</f>
        <v>http://dx.doi.org/10.1177/2399654420911947</v>
      </c>
      <c r="BL1794" t="s">
        <v>69</v>
      </c>
      <c r="BM1794" t="s">
        <v>4822</v>
      </c>
      <c r="BN1794">
        <v>19</v>
      </c>
      <c r="BO1794" t="s">
        <v>15576</v>
      </c>
      <c r="BP1794" t="s">
        <v>8661</v>
      </c>
      <c r="BQ1794" t="s">
        <v>15577</v>
      </c>
      <c r="BR1794" t="s">
        <v>15578</v>
      </c>
      <c r="BS1794" t="s">
        <v>15579</v>
      </c>
      <c r="BT1794" t="s">
        <v>69</v>
      </c>
      <c r="BU1794" t="s">
        <v>69</v>
      </c>
      <c r="BV1794" t="s">
        <v>69</v>
      </c>
      <c r="BW1794" t="s">
        <v>69</v>
      </c>
      <c r="BX1794" t="s">
        <v>8526</v>
      </c>
      <c r="BY1794" t="str">
        <f>HYPERLINK("https%3A%2F%2Fwww.webofscience.com%2Fwos%2Fwoscc%2Ffull-record%2FWOS:000523876300001","View Full Record in Web of Science")</f>
        <v>View Full Record in Web of Science</v>
      </c>
    </row>
    <row r="1795" spans="1:77" ht="12.5" x14ac:dyDescent="0.25">
      <c r="A1795" t="s">
        <v>8495</v>
      </c>
      <c r="B1795" s="7" t="s">
        <v>32933</v>
      </c>
      <c r="C1795" s="7"/>
      <c r="D1795" s="7"/>
      <c r="E1795" s="7"/>
      <c r="F1795" t="s">
        <v>67</v>
      </c>
      <c r="G1795" t="s">
        <v>4108</v>
      </c>
      <c r="H1795" t="s">
        <v>69</v>
      </c>
      <c r="I1795" t="s">
        <v>69</v>
      </c>
      <c r="J1795" t="s">
        <v>69</v>
      </c>
      <c r="K1795" t="s">
        <v>4108</v>
      </c>
      <c r="L1795" t="s">
        <v>69</v>
      </c>
      <c r="M1795" t="s">
        <v>69</v>
      </c>
      <c r="N1795" t="s">
        <v>4109</v>
      </c>
      <c r="O1795" t="s">
        <v>4110</v>
      </c>
      <c r="P1795" t="s">
        <v>69</v>
      </c>
      <c r="Q1795" t="s">
        <v>69</v>
      </c>
      <c r="R1795" t="s">
        <v>8505</v>
      </c>
      <c r="S1795" t="s">
        <v>8506</v>
      </c>
      <c r="T1795" t="s">
        <v>69</v>
      </c>
      <c r="U1795" t="s">
        <v>69</v>
      </c>
      <c r="V1795" t="s">
        <v>69</v>
      </c>
      <c r="W1795" t="s">
        <v>69</v>
      </c>
      <c r="X1795" t="s">
        <v>69</v>
      </c>
      <c r="Y1795" t="s">
        <v>69</v>
      </c>
      <c r="Z1795" t="s">
        <v>69</v>
      </c>
      <c r="AA1795" t="s">
        <v>4111</v>
      </c>
      <c r="AB1795" t="s">
        <v>31737</v>
      </c>
      <c r="AC1795" t="s">
        <v>69</v>
      </c>
      <c r="AD1795" t="s">
        <v>31738</v>
      </c>
      <c r="AE1795" t="s">
        <v>69</v>
      </c>
      <c r="AF1795" t="s">
        <v>69</v>
      </c>
      <c r="AG1795" t="s">
        <v>69</v>
      </c>
      <c r="AH1795" t="s">
        <v>69</v>
      </c>
      <c r="AI1795" t="s">
        <v>69</v>
      </c>
      <c r="AJ1795" t="s">
        <v>69</v>
      </c>
      <c r="AK1795" t="s">
        <v>69</v>
      </c>
      <c r="AL1795">
        <v>9</v>
      </c>
      <c r="AM1795">
        <v>5</v>
      </c>
      <c r="AN1795">
        <v>5</v>
      </c>
      <c r="AO1795">
        <v>0</v>
      </c>
      <c r="AP1795">
        <v>6</v>
      </c>
      <c r="AQ1795" t="s">
        <v>9554</v>
      </c>
      <c r="AR1795" t="s">
        <v>9555</v>
      </c>
      <c r="AS1795" t="s">
        <v>9556</v>
      </c>
      <c r="AT1795" t="s">
        <v>4112</v>
      </c>
      <c r="AU1795" t="s">
        <v>69</v>
      </c>
      <c r="AV1795" t="s">
        <v>69</v>
      </c>
      <c r="AW1795" t="s">
        <v>31739</v>
      </c>
      <c r="AX1795" t="s">
        <v>31740</v>
      </c>
      <c r="AY1795" t="s">
        <v>381</v>
      </c>
      <c r="AZ1795">
        <v>2000</v>
      </c>
      <c r="BA1795">
        <v>44</v>
      </c>
      <c r="BB1795">
        <v>2</v>
      </c>
      <c r="BC1795" t="s">
        <v>69</v>
      </c>
      <c r="BD1795" t="s">
        <v>69</v>
      </c>
      <c r="BE1795" t="s">
        <v>69</v>
      </c>
      <c r="BF1795" t="s">
        <v>69</v>
      </c>
      <c r="BG1795">
        <v>265</v>
      </c>
      <c r="BH1795">
        <v>276</v>
      </c>
      <c r="BI1795" t="s">
        <v>69</v>
      </c>
      <c r="BJ1795" t="s">
        <v>4113</v>
      </c>
      <c r="BK1795" t="str">
        <f>HYPERLINK("http://dx.doi.org/10.1177/00027640021956206","http://dx.doi.org/10.1177/00027640021956206")</f>
        <v>http://dx.doi.org/10.1177/00027640021956206</v>
      </c>
      <c r="BL1795" t="s">
        <v>69</v>
      </c>
      <c r="BM1795" t="s">
        <v>69</v>
      </c>
      <c r="BN1795">
        <v>12</v>
      </c>
      <c r="BO1795" t="s">
        <v>31741</v>
      </c>
      <c r="BP1795" t="s">
        <v>8661</v>
      </c>
      <c r="BQ1795" t="s">
        <v>31742</v>
      </c>
      <c r="BR1795" t="s">
        <v>31743</v>
      </c>
      <c r="BS1795" t="s">
        <v>4114</v>
      </c>
      <c r="BT1795" t="s">
        <v>69</v>
      </c>
      <c r="BU1795" t="s">
        <v>69</v>
      </c>
      <c r="BV1795" t="s">
        <v>69</v>
      </c>
      <c r="BW1795" t="s">
        <v>69</v>
      </c>
      <c r="BX1795" t="s">
        <v>8526</v>
      </c>
      <c r="BY1795" t="str">
        <f>HYPERLINK("https%3A%2F%2Fwww.webofscience.com%2Fwos%2Fwoscc%2Ffull-record%2FWOS:000167630600007","View Full Record in Web of Science")</f>
        <v>View Full Record in Web of Science</v>
      </c>
    </row>
    <row r="1796" spans="1:77" ht="12.5" x14ac:dyDescent="0.25">
      <c r="A1796" t="s">
        <v>8495</v>
      </c>
      <c r="B1796" s="22" t="s">
        <v>32931</v>
      </c>
      <c r="C1796" s="7"/>
      <c r="D1796" s="7"/>
      <c r="E1796" s="7"/>
      <c r="F1796" t="s">
        <v>67</v>
      </c>
      <c r="G1796" t="s">
        <v>24379</v>
      </c>
      <c r="H1796" t="s">
        <v>69</v>
      </c>
      <c r="I1796" t="s">
        <v>69</v>
      </c>
      <c r="J1796" t="s">
        <v>69</v>
      </c>
      <c r="K1796" t="s">
        <v>24380</v>
      </c>
      <c r="L1796" t="s">
        <v>69</v>
      </c>
      <c r="M1796" t="s">
        <v>69</v>
      </c>
      <c r="N1796" t="s">
        <v>24381</v>
      </c>
      <c r="O1796" t="s">
        <v>24382</v>
      </c>
      <c r="P1796" t="s">
        <v>69</v>
      </c>
      <c r="Q1796" t="s">
        <v>69</v>
      </c>
      <c r="R1796" t="s">
        <v>24383</v>
      </c>
      <c r="S1796" t="s">
        <v>8506</v>
      </c>
      <c r="T1796" t="s">
        <v>69</v>
      </c>
      <c r="U1796" t="s">
        <v>69</v>
      </c>
      <c r="V1796" t="s">
        <v>69</v>
      </c>
      <c r="W1796" t="s">
        <v>69</v>
      </c>
      <c r="X1796" t="s">
        <v>69</v>
      </c>
      <c r="Y1796" t="s">
        <v>24384</v>
      </c>
      <c r="Z1796" t="s">
        <v>69</v>
      </c>
      <c r="AA1796" t="s">
        <v>24385</v>
      </c>
      <c r="AB1796" t="s">
        <v>24386</v>
      </c>
      <c r="AC1796" t="s">
        <v>69</v>
      </c>
      <c r="AD1796" t="s">
        <v>24387</v>
      </c>
      <c r="AE1796" t="s">
        <v>24388</v>
      </c>
      <c r="AF1796" t="s">
        <v>69</v>
      </c>
      <c r="AG1796" t="s">
        <v>69</v>
      </c>
      <c r="AH1796" t="s">
        <v>69</v>
      </c>
      <c r="AI1796" t="s">
        <v>69</v>
      </c>
      <c r="AJ1796" t="s">
        <v>69</v>
      </c>
      <c r="AK1796" t="s">
        <v>69</v>
      </c>
      <c r="AL1796">
        <v>17</v>
      </c>
      <c r="AM1796">
        <v>3</v>
      </c>
      <c r="AN1796">
        <v>3</v>
      </c>
      <c r="AO1796">
        <v>0</v>
      </c>
      <c r="AP1796">
        <v>0</v>
      </c>
      <c r="AQ1796" t="s">
        <v>24389</v>
      </c>
      <c r="AR1796" t="s">
        <v>24390</v>
      </c>
      <c r="AS1796" t="s">
        <v>24391</v>
      </c>
      <c r="AT1796" t="s">
        <v>24392</v>
      </c>
      <c r="AU1796" t="s">
        <v>69</v>
      </c>
      <c r="AV1796" t="s">
        <v>69</v>
      </c>
      <c r="AW1796" t="s">
        <v>24393</v>
      </c>
      <c r="AX1796" t="s">
        <v>24394</v>
      </c>
      <c r="AY1796" t="s">
        <v>69</v>
      </c>
      <c r="AZ1796">
        <v>2014</v>
      </c>
      <c r="BA1796">
        <v>28</v>
      </c>
      <c r="BB1796">
        <v>4</v>
      </c>
      <c r="BC1796" t="s">
        <v>69</v>
      </c>
      <c r="BD1796" t="s">
        <v>69</v>
      </c>
      <c r="BE1796" t="s">
        <v>69</v>
      </c>
      <c r="BF1796" t="s">
        <v>69</v>
      </c>
      <c r="BG1796">
        <v>3</v>
      </c>
      <c r="BH1796">
        <v>14</v>
      </c>
      <c r="BI1796" t="s">
        <v>69</v>
      </c>
      <c r="BJ1796" t="s">
        <v>24395</v>
      </c>
      <c r="BK1796" t="str">
        <f>HYPERLINK("http://dx.doi.org/10.17649/TET.28.4.2682","http://dx.doi.org/10.17649/TET.28.4.2682")</f>
        <v>http://dx.doi.org/10.17649/TET.28.4.2682</v>
      </c>
      <c r="BL1796" t="s">
        <v>69</v>
      </c>
      <c r="BM1796" t="s">
        <v>69</v>
      </c>
      <c r="BN1796">
        <v>12</v>
      </c>
      <c r="BO1796" t="s">
        <v>8446</v>
      </c>
      <c r="BP1796" t="s">
        <v>8573</v>
      </c>
      <c r="BQ1796" t="s">
        <v>8446</v>
      </c>
      <c r="BR1796" t="s">
        <v>24396</v>
      </c>
      <c r="BS1796" t="s">
        <v>24398</v>
      </c>
      <c r="BT1796" t="s">
        <v>69</v>
      </c>
      <c r="BU1796" t="s">
        <v>24397</v>
      </c>
      <c r="BV1796" t="s">
        <v>69</v>
      </c>
      <c r="BW1796" t="s">
        <v>69</v>
      </c>
      <c r="BX1796" t="s">
        <v>8526</v>
      </c>
      <c r="BY1796" t="str">
        <f>HYPERLINK("https%3A%2F%2Fwww.webofscience.com%2Fwos%2Fwoscc%2Ffull-record%2FWOS:000439433400001","View Full Record in Web of Science")</f>
        <v>View Full Record in Web of Science</v>
      </c>
    </row>
    <row r="1797" spans="1:77" ht="12.5" x14ac:dyDescent="0.25">
      <c r="A1797" t="s">
        <v>8495</v>
      </c>
      <c r="B1797" s="7" t="s">
        <v>32933</v>
      </c>
      <c r="C1797" s="7"/>
      <c r="D1797" s="7"/>
      <c r="E1797" s="7"/>
      <c r="F1797" t="s">
        <v>67</v>
      </c>
      <c r="G1797" t="s">
        <v>5235</v>
      </c>
      <c r="H1797" t="s">
        <v>69</v>
      </c>
      <c r="I1797" t="s">
        <v>69</v>
      </c>
      <c r="J1797" t="s">
        <v>69</v>
      </c>
      <c r="K1797" t="s">
        <v>5236</v>
      </c>
      <c r="L1797" t="s">
        <v>69</v>
      </c>
      <c r="M1797" t="s">
        <v>69</v>
      </c>
      <c r="N1797" t="s">
        <v>5237</v>
      </c>
      <c r="O1797" t="s">
        <v>5238</v>
      </c>
      <c r="P1797" t="s">
        <v>69</v>
      </c>
      <c r="Q1797" t="s">
        <v>69</v>
      </c>
      <c r="R1797" t="s">
        <v>8505</v>
      </c>
      <c r="S1797" t="s">
        <v>8506</v>
      </c>
      <c r="T1797" t="s">
        <v>69</v>
      </c>
      <c r="U1797" t="s">
        <v>69</v>
      </c>
      <c r="V1797" t="s">
        <v>69</v>
      </c>
      <c r="W1797" t="s">
        <v>69</v>
      </c>
      <c r="X1797" t="s">
        <v>69</v>
      </c>
      <c r="Y1797" t="s">
        <v>24746</v>
      </c>
      <c r="Z1797" t="s">
        <v>24747</v>
      </c>
      <c r="AA1797" t="s">
        <v>5239</v>
      </c>
      <c r="AB1797" t="s">
        <v>24748</v>
      </c>
      <c r="AC1797" t="s">
        <v>69</v>
      </c>
      <c r="AD1797" t="s">
        <v>24749</v>
      </c>
      <c r="AE1797" t="s">
        <v>24750</v>
      </c>
      <c r="AF1797" t="s">
        <v>69</v>
      </c>
      <c r="AG1797" t="s">
        <v>69</v>
      </c>
      <c r="AH1797" t="s">
        <v>24751</v>
      </c>
      <c r="AI1797" t="s">
        <v>24752</v>
      </c>
      <c r="AJ1797" t="s">
        <v>24753</v>
      </c>
      <c r="AK1797" t="s">
        <v>69</v>
      </c>
      <c r="AL1797">
        <v>54</v>
      </c>
      <c r="AM1797">
        <v>5</v>
      </c>
      <c r="AN1797">
        <v>5</v>
      </c>
      <c r="AO1797">
        <v>0</v>
      </c>
      <c r="AP1797">
        <v>11</v>
      </c>
      <c r="AQ1797" t="s">
        <v>9047</v>
      </c>
      <c r="AR1797" t="s">
        <v>9048</v>
      </c>
      <c r="AS1797" t="s">
        <v>9049</v>
      </c>
      <c r="AT1797" t="s">
        <v>5240</v>
      </c>
      <c r="AU1797" t="s">
        <v>69</v>
      </c>
      <c r="AV1797" t="s">
        <v>69</v>
      </c>
      <c r="AW1797" t="s">
        <v>12363</v>
      </c>
      <c r="AX1797" t="s">
        <v>12364</v>
      </c>
      <c r="AY1797" t="s">
        <v>255</v>
      </c>
      <c r="AZ1797">
        <v>2013</v>
      </c>
      <c r="BA1797">
        <v>12</v>
      </c>
      <c r="BB1797">
        <v>3</v>
      </c>
      <c r="BC1797" t="s">
        <v>69</v>
      </c>
      <c r="BD1797" t="s">
        <v>69</v>
      </c>
      <c r="BE1797" t="s">
        <v>69</v>
      </c>
      <c r="BF1797" t="s">
        <v>69</v>
      </c>
      <c r="BG1797">
        <v>353</v>
      </c>
      <c r="BH1797">
        <v>376</v>
      </c>
      <c r="BI1797" t="s">
        <v>69</v>
      </c>
      <c r="BJ1797" t="s">
        <v>5241</v>
      </c>
      <c r="BK1797" t="str">
        <f>HYPERLINK("http://dx.doi.org/10.1007/s11842-012-9216-0","http://dx.doi.org/10.1007/s11842-012-9216-0")</f>
        <v>http://dx.doi.org/10.1007/s11842-012-9216-0</v>
      </c>
      <c r="BL1797" t="s">
        <v>69</v>
      </c>
      <c r="BM1797" t="s">
        <v>69</v>
      </c>
      <c r="BN1797">
        <v>24</v>
      </c>
      <c r="BO1797" t="s">
        <v>8453</v>
      </c>
      <c r="BP1797" t="s">
        <v>8523</v>
      </c>
      <c r="BQ1797" t="s">
        <v>8453</v>
      </c>
      <c r="BR1797" t="s">
        <v>24754</v>
      </c>
      <c r="BS1797" t="s">
        <v>5242</v>
      </c>
      <c r="BT1797" t="s">
        <v>69</v>
      </c>
      <c r="BU1797" t="s">
        <v>10995</v>
      </c>
      <c r="BV1797" t="s">
        <v>69</v>
      </c>
      <c r="BW1797" t="s">
        <v>69</v>
      </c>
      <c r="BX1797" t="s">
        <v>8526</v>
      </c>
      <c r="BY1797" t="str">
        <f>HYPERLINK("https%3A%2F%2Fwww.webofscience.com%2Fwos%2Fwoscc%2Ffull-record%2FWOS:000324552000002","View Full Record in Web of Science")</f>
        <v>View Full Record in Web of Science</v>
      </c>
    </row>
    <row r="1798" spans="1:77" ht="12.5" x14ac:dyDescent="0.25">
      <c r="A1798" t="s">
        <v>8495</v>
      </c>
      <c r="B1798" s="22" t="s">
        <v>32931</v>
      </c>
      <c r="C1798" s="7"/>
      <c r="D1798" s="7"/>
      <c r="E1798" s="7"/>
      <c r="F1798" t="s">
        <v>67</v>
      </c>
      <c r="G1798" t="s">
        <v>18805</v>
      </c>
      <c r="H1798" t="s">
        <v>69</v>
      </c>
      <c r="I1798" t="s">
        <v>69</v>
      </c>
      <c r="J1798" t="s">
        <v>69</v>
      </c>
      <c r="K1798" t="s">
        <v>18806</v>
      </c>
      <c r="L1798" t="s">
        <v>69</v>
      </c>
      <c r="M1798" t="s">
        <v>69</v>
      </c>
      <c r="N1798" t="s">
        <v>18807</v>
      </c>
      <c r="O1798" t="s">
        <v>18808</v>
      </c>
      <c r="P1798" t="s">
        <v>69</v>
      </c>
      <c r="Q1798" t="s">
        <v>69</v>
      </c>
      <c r="R1798" t="s">
        <v>8505</v>
      </c>
      <c r="S1798" t="s">
        <v>8506</v>
      </c>
      <c r="T1798" t="s">
        <v>69</v>
      </c>
      <c r="U1798" t="s">
        <v>69</v>
      </c>
      <c r="V1798" t="s">
        <v>69</v>
      </c>
      <c r="W1798" t="s">
        <v>69</v>
      </c>
      <c r="X1798" t="s">
        <v>69</v>
      </c>
      <c r="Y1798" t="s">
        <v>18809</v>
      </c>
      <c r="Z1798" t="s">
        <v>18810</v>
      </c>
      <c r="AA1798" t="s">
        <v>18811</v>
      </c>
      <c r="AB1798" t="s">
        <v>18812</v>
      </c>
      <c r="AC1798" t="s">
        <v>69</v>
      </c>
      <c r="AD1798" t="s">
        <v>18813</v>
      </c>
      <c r="AE1798" t="s">
        <v>18814</v>
      </c>
      <c r="AF1798" t="s">
        <v>18815</v>
      </c>
      <c r="AG1798" t="s">
        <v>18816</v>
      </c>
      <c r="AH1798" t="s">
        <v>18817</v>
      </c>
      <c r="AI1798" t="s">
        <v>18818</v>
      </c>
      <c r="AJ1798" t="s">
        <v>69</v>
      </c>
      <c r="AK1798" t="s">
        <v>69</v>
      </c>
      <c r="AL1798">
        <v>16</v>
      </c>
      <c r="AM1798">
        <v>1</v>
      </c>
      <c r="AN1798">
        <v>2</v>
      </c>
      <c r="AO1798">
        <v>0</v>
      </c>
      <c r="AP1798">
        <v>1</v>
      </c>
      <c r="AQ1798" t="s">
        <v>18819</v>
      </c>
      <c r="AR1798" t="s">
        <v>8763</v>
      </c>
      <c r="AS1798" t="s">
        <v>18820</v>
      </c>
      <c r="AT1798" t="s">
        <v>18821</v>
      </c>
      <c r="AU1798" t="s">
        <v>18822</v>
      </c>
      <c r="AV1798" t="s">
        <v>69</v>
      </c>
      <c r="AW1798" t="s">
        <v>18823</v>
      </c>
      <c r="AX1798" t="s">
        <v>18824</v>
      </c>
      <c r="AY1798" t="s">
        <v>586</v>
      </c>
      <c r="AZ1798">
        <v>2018</v>
      </c>
      <c r="BA1798">
        <v>187</v>
      </c>
      <c r="BB1798">
        <v>2</v>
      </c>
      <c r="BC1798" t="s">
        <v>69</v>
      </c>
      <c r="BD1798" t="s">
        <v>69</v>
      </c>
      <c r="BE1798" t="s">
        <v>69</v>
      </c>
      <c r="BF1798" t="s">
        <v>69</v>
      </c>
      <c r="BG1798">
        <v>275</v>
      </c>
      <c r="BH1798">
        <v>280</v>
      </c>
      <c r="BI1798" t="s">
        <v>69</v>
      </c>
      <c r="BJ1798" t="s">
        <v>18825</v>
      </c>
      <c r="BK1798" t="str">
        <f>HYPERLINK("http://dx.doi.org/10.1007/s11845-017-1661-5","http://dx.doi.org/10.1007/s11845-017-1661-5")</f>
        <v>http://dx.doi.org/10.1007/s11845-017-1661-5</v>
      </c>
      <c r="BL1798" t="s">
        <v>69</v>
      </c>
      <c r="BM1798" t="s">
        <v>69</v>
      </c>
      <c r="BN1798">
        <v>6</v>
      </c>
      <c r="BO1798" t="s">
        <v>9450</v>
      </c>
      <c r="BP1798" t="s">
        <v>8548</v>
      </c>
      <c r="BQ1798" t="s">
        <v>9451</v>
      </c>
      <c r="BR1798" t="s">
        <v>18826</v>
      </c>
      <c r="BS1798" t="s">
        <v>18827</v>
      </c>
      <c r="BT1798">
        <v>28717986</v>
      </c>
      <c r="BU1798" t="s">
        <v>69</v>
      </c>
      <c r="BV1798" t="s">
        <v>69</v>
      </c>
      <c r="BW1798" t="s">
        <v>69</v>
      </c>
      <c r="BX1798" t="s">
        <v>8526</v>
      </c>
      <c r="BY1798" t="str">
        <f>HYPERLINK("https%3A%2F%2Fwww.webofscience.com%2Fwos%2Fwoscc%2Ffull-record%2FWOS:000431325400002","View Full Record in Web of Science")</f>
        <v>View Full Record in Web of Science</v>
      </c>
    </row>
    <row r="1799" spans="1:77" ht="12.5" x14ac:dyDescent="0.25">
      <c r="A1799" t="s">
        <v>8495</v>
      </c>
      <c r="B1799" s="7" t="s">
        <v>32933</v>
      </c>
      <c r="C1799" s="7"/>
      <c r="D1799" s="7"/>
      <c r="E1799" s="7"/>
      <c r="F1799" t="s">
        <v>67</v>
      </c>
      <c r="G1799" t="s">
        <v>6427</v>
      </c>
      <c r="H1799" t="s">
        <v>69</v>
      </c>
      <c r="I1799" t="s">
        <v>69</v>
      </c>
      <c r="J1799" t="s">
        <v>69</v>
      </c>
      <c r="K1799" t="s">
        <v>6428</v>
      </c>
      <c r="L1799" t="s">
        <v>69</v>
      </c>
      <c r="M1799" t="s">
        <v>69</v>
      </c>
      <c r="N1799" t="s">
        <v>6429</v>
      </c>
      <c r="O1799" t="s">
        <v>3807</v>
      </c>
      <c r="P1799" t="s">
        <v>69</v>
      </c>
      <c r="Q1799" t="s">
        <v>69</v>
      </c>
      <c r="R1799" t="s">
        <v>8505</v>
      </c>
      <c r="S1799" t="s">
        <v>8506</v>
      </c>
      <c r="T1799" t="s">
        <v>69</v>
      </c>
      <c r="U1799" t="s">
        <v>69</v>
      </c>
      <c r="V1799" t="s">
        <v>69</v>
      </c>
      <c r="W1799" t="s">
        <v>69</v>
      </c>
      <c r="X1799" t="s">
        <v>69</v>
      </c>
      <c r="Y1799" t="s">
        <v>69</v>
      </c>
      <c r="Z1799" t="s">
        <v>25890</v>
      </c>
      <c r="AA1799" t="s">
        <v>6430</v>
      </c>
      <c r="AB1799" t="s">
        <v>25891</v>
      </c>
      <c r="AC1799" t="s">
        <v>69</v>
      </c>
      <c r="AD1799" t="s">
        <v>25892</v>
      </c>
      <c r="AE1799" t="s">
        <v>25893</v>
      </c>
      <c r="AF1799" t="s">
        <v>69</v>
      </c>
      <c r="AG1799" t="s">
        <v>69</v>
      </c>
      <c r="AH1799" t="s">
        <v>25894</v>
      </c>
      <c r="AI1799" t="s">
        <v>25895</v>
      </c>
      <c r="AJ1799" t="s">
        <v>25896</v>
      </c>
      <c r="AK1799" t="s">
        <v>69</v>
      </c>
      <c r="AL1799">
        <v>161</v>
      </c>
      <c r="AM1799">
        <v>18</v>
      </c>
      <c r="AN1799">
        <v>19</v>
      </c>
      <c r="AO1799">
        <v>1</v>
      </c>
      <c r="AP1799">
        <v>20</v>
      </c>
      <c r="AQ1799" t="s">
        <v>9178</v>
      </c>
      <c r="AR1799" t="s">
        <v>8763</v>
      </c>
      <c r="AS1799" t="s">
        <v>9179</v>
      </c>
      <c r="AT1799" t="s">
        <v>3809</v>
      </c>
      <c r="AU1799" t="s">
        <v>3810</v>
      </c>
      <c r="AV1799" t="s">
        <v>69</v>
      </c>
      <c r="AW1799" t="s">
        <v>25897</v>
      </c>
      <c r="AX1799" t="s">
        <v>25898</v>
      </c>
      <c r="AY1799" t="s">
        <v>84</v>
      </c>
      <c r="AZ1799">
        <v>2012</v>
      </c>
      <c r="BA1799">
        <v>21</v>
      </c>
      <c r="BB1799">
        <v>4</v>
      </c>
      <c r="BC1799" t="s">
        <v>69</v>
      </c>
      <c r="BD1799" t="s">
        <v>69</v>
      </c>
      <c r="BE1799" t="s">
        <v>69</v>
      </c>
      <c r="BF1799" t="s">
        <v>69</v>
      </c>
      <c r="BG1799" t="s">
        <v>69</v>
      </c>
      <c r="BH1799" t="s">
        <v>69</v>
      </c>
      <c r="BI1799" t="s">
        <v>6431</v>
      </c>
      <c r="BJ1799" t="s">
        <v>6432</v>
      </c>
      <c r="BK1799" t="str">
        <f>HYPERLINK("http://dx.doi.org/10.1136/tc.2010.041657","http://dx.doi.org/10.1136/tc.2010.041657")</f>
        <v>http://dx.doi.org/10.1136/tc.2010.041657</v>
      </c>
      <c r="BL1799" t="s">
        <v>69</v>
      </c>
      <c r="BM1799" t="s">
        <v>69</v>
      </c>
      <c r="BN1799">
        <v>9</v>
      </c>
      <c r="BO1799" t="s">
        <v>25899</v>
      </c>
      <c r="BP1799" t="s">
        <v>8523</v>
      </c>
      <c r="BQ1799" t="s">
        <v>25899</v>
      </c>
      <c r="BR1799" t="s">
        <v>25900</v>
      </c>
      <c r="BS1799" t="s">
        <v>6433</v>
      </c>
      <c r="BT1799">
        <v>21636611</v>
      </c>
      <c r="BU1799" t="s">
        <v>9292</v>
      </c>
      <c r="BV1799" t="s">
        <v>69</v>
      </c>
      <c r="BW1799" t="s">
        <v>69</v>
      </c>
      <c r="BX1799" t="s">
        <v>8526</v>
      </c>
      <c r="BY1799" t="str">
        <f>HYPERLINK("https%3A%2F%2Fwww.webofscience.com%2Fwos%2Fwoscc%2Ffull-record%2FWOS:000305799600001","View Full Record in Web of Science")</f>
        <v>View Full Record in Web of Science</v>
      </c>
    </row>
    <row r="1800" spans="1:77" ht="12.5" x14ac:dyDescent="0.25">
      <c r="A1800" t="s">
        <v>8495</v>
      </c>
      <c r="B1800" s="22" t="s">
        <v>32931</v>
      </c>
      <c r="C1800" s="7"/>
      <c r="D1800" s="7"/>
      <c r="E1800" s="7"/>
      <c r="F1800" t="s">
        <v>67</v>
      </c>
      <c r="G1800" t="s">
        <v>15730</v>
      </c>
      <c r="H1800" t="s">
        <v>69</v>
      </c>
      <c r="I1800" t="s">
        <v>69</v>
      </c>
      <c r="J1800" t="s">
        <v>69</v>
      </c>
      <c r="K1800" t="s">
        <v>15731</v>
      </c>
      <c r="L1800" t="s">
        <v>69</v>
      </c>
      <c r="M1800" t="s">
        <v>69</v>
      </c>
      <c r="N1800" t="s">
        <v>15732</v>
      </c>
      <c r="O1800" t="s">
        <v>15733</v>
      </c>
      <c r="P1800" t="s">
        <v>69</v>
      </c>
      <c r="Q1800" t="s">
        <v>69</v>
      </c>
      <c r="R1800" t="s">
        <v>8505</v>
      </c>
      <c r="S1800" t="s">
        <v>8506</v>
      </c>
      <c r="T1800" t="s">
        <v>69</v>
      </c>
      <c r="U1800" t="s">
        <v>69</v>
      </c>
      <c r="V1800" t="s">
        <v>69</v>
      </c>
      <c r="W1800" t="s">
        <v>69</v>
      </c>
      <c r="X1800" t="s">
        <v>69</v>
      </c>
      <c r="Y1800" t="s">
        <v>15734</v>
      </c>
      <c r="Z1800" t="s">
        <v>15735</v>
      </c>
      <c r="AA1800" t="s">
        <v>15736</v>
      </c>
      <c r="AB1800" t="s">
        <v>15737</v>
      </c>
      <c r="AC1800" t="s">
        <v>69</v>
      </c>
      <c r="AD1800" t="s">
        <v>15738</v>
      </c>
      <c r="AE1800" t="s">
        <v>15739</v>
      </c>
      <c r="AF1800" t="s">
        <v>69</v>
      </c>
      <c r="AG1800" t="s">
        <v>69</v>
      </c>
      <c r="AH1800" t="s">
        <v>15740</v>
      </c>
      <c r="AI1800" t="s">
        <v>15741</v>
      </c>
      <c r="AJ1800" t="s">
        <v>15742</v>
      </c>
      <c r="AK1800" t="s">
        <v>69</v>
      </c>
      <c r="AL1800">
        <v>69</v>
      </c>
      <c r="AM1800">
        <v>1</v>
      </c>
      <c r="AN1800">
        <v>1</v>
      </c>
      <c r="AO1800">
        <v>0</v>
      </c>
      <c r="AP1800">
        <v>3</v>
      </c>
      <c r="AQ1800" t="s">
        <v>15611</v>
      </c>
      <c r="AR1800" t="s">
        <v>10924</v>
      </c>
      <c r="AS1800" t="s">
        <v>15612</v>
      </c>
      <c r="AT1800" t="s">
        <v>15743</v>
      </c>
      <c r="AU1800" t="s">
        <v>15744</v>
      </c>
      <c r="AV1800" t="s">
        <v>69</v>
      </c>
      <c r="AW1800" t="s">
        <v>15745</v>
      </c>
      <c r="AX1800" t="s">
        <v>15746</v>
      </c>
      <c r="AY1800" t="s">
        <v>14790</v>
      </c>
      <c r="AZ1800">
        <v>2020</v>
      </c>
      <c r="BA1800">
        <v>33</v>
      </c>
      <c r="BB1800">
        <v>7</v>
      </c>
      <c r="BC1800" t="s">
        <v>69</v>
      </c>
      <c r="BD1800" t="s">
        <v>69</v>
      </c>
      <c r="BE1800" t="s">
        <v>69</v>
      </c>
      <c r="BF1800" t="s">
        <v>69</v>
      </c>
      <c r="BG1800">
        <v>842</v>
      </c>
      <c r="BH1800">
        <v>858</v>
      </c>
      <c r="BI1800" t="s">
        <v>69</v>
      </c>
      <c r="BJ1800" t="s">
        <v>15747</v>
      </c>
      <c r="BK1800" t="str">
        <f>HYPERLINK("http://dx.doi.org/10.1080/08941920.2020.1725988","http://dx.doi.org/10.1080/08941920.2020.1725988")</f>
        <v>http://dx.doi.org/10.1080/08941920.2020.1725988</v>
      </c>
      <c r="BL1800" t="s">
        <v>69</v>
      </c>
      <c r="BM1800" t="s">
        <v>7867</v>
      </c>
      <c r="BN1800">
        <v>17</v>
      </c>
      <c r="BO1800" t="s">
        <v>15748</v>
      </c>
      <c r="BP1800" t="s">
        <v>8661</v>
      </c>
      <c r="BQ1800" t="s">
        <v>15749</v>
      </c>
      <c r="BR1800" t="s">
        <v>15750</v>
      </c>
      <c r="BS1800" t="s">
        <v>15751</v>
      </c>
      <c r="BT1800" t="s">
        <v>69</v>
      </c>
      <c r="BU1800" t="s">
        <v>69</v>
      </c>
      <c r="BV1800" t="s">
        <v>69</v>
      </c>
      <c r="BW1800" t="s">
        <v>69</v>
      </c>
      <c r="BX1800" t="s">
        <v>8526</v>
      </c>
      <c r="BY1800" t="str">
        <f>HYPERLINK("https%3A%2F%2Fwww.webofscience.com%2Fwos%2Fwoscc%2Ffull-record%2FWOS:000513977100001","View Full Record in Web of Science")</f>
        <v>View Full Record in Web of Science</v>
      </c>
    </row>
    <row r="1801" spans="1:77" ht="12.5" x14ac:dyDescent="0.25">
      <c r="A1801" t="s">
        <v>8495</v>
      </c>
      <c r="B1801" s="22" t="s">
        <v>32931</v>
      </c>
      <c r="C1801" s="7"/>
      <c r="D1801" s="7"/>
      <c r="E1801" s="7"/>
      <c r="F1801" t="s">
        <v>67</v>
      </c>
      <c r="G1801" t="s">
        <v>16924</v>
      </c>
      <c r="H1801" t="s">
        <v>69</v>
      </c>
      <c r="I1801" t="s">
        <v>69</v>
      </c>
      <c r="J1801" t="s">
        <v>69</v>
      </c>
      <c r="K1801" t="s">
        <v>16925</v>
      </c>
      <c r="L1801" t="s">
        <v>69</v>
      </c>
      <c r="M1801" t="s">
        <v>69</v>
      </c>
      <c r="N1801" t="s">
        <v>16926</v>
      </c>
      <c r="O1801" t="s">
        <v>16927</v>
      </c>
      <c r="P1801" t="s">
        <v>69</v>
      </c>
      <c r="Q1801" t="s">
        <v>69</v>
      </c>
      <c r="R1801" t="s">
        <v>8505</v>
      </c>
      <c r="S1801" t="s">
        <v>8506</v>
      </c>
      <c r="T1801" t="s">
        <v>69</v>
      </c>
      <c r="U1801" t="s">
        <v>69</v>
      </c>
      <c r="V1801" t="s">
        <v>69</v>
      </c>
      <c r="W1801" t="s">
        <v>69</v>
      </c>
      <c r="X1801" t="s">
        <v>69</v>
      </c>
      <c r="Y1801" t="s">
        <v>16928</v>
      </c>
      <c r="Z1801" t="s">
        <v>16929</v>
      </c>
      <c r="AA1801" t="s">
        <v>16930</v>
      </c>
      <c r="AB1801" t="s">
        <v>16931</v>
      </c>
      <c r="AC1801" t="s">
        <v>69</v>
      </c>
      <c r="AD1801" t="s">
        <v>16932</v>
      </c>
      <c r="AE1801" t="s">
        <v>16933</v>
      </c>
      <c r="AF1801" t="s">
        <v>69</v>
      </c>
      <c r="AG1801" t="s">
        <v>16934</v>
      </c>
      <c r="AH1801" t="s">
        <v>69</v>
      </c>
      <c r="AI1801" t="s">
        <v>69</v>
      </c>
      <c r="AJ1801" t="s">
        <v>69</v>
      </c>
      <c r="AK1801" t="s">
        <v>69</v>
      </c>
      <c r="AL1801">
        <v>54</v>
      </c>
      <c r="AM1801">
        <v>7</v>
      </c>
      <c r="AN1801">
        <v>7</v>
      </c>
      <c r="AO1801">
        <v>0</v>
      </c>
      <c r="AP1801">
        <v>4</v>
      </c>
      <c r="AQ1801" t="s">
        <v>8865</v>
      </c>
      <c r="AR1801" t="s">
        <v>8612</v>
      </c>
      <c r="AS1801" t="s">
        <v>8866</v>
      </c>
      <c r="AT1801" t="s">
        <v>16935</v>
      </c>
      <c r="AU1801" t="s">
        <v>16936</v>
      </c>
      <c r="AV1801" t="s">
        <v>69</v>
      </c>
      <c r="AW1801" t="s">
        <v>16937</v>
      </c>
      <c r="AX1801" t="s">
        <v>16938</v>
      </c>
      <c r="AY1801" t="s">
        <v>2003</v>
      </c>
      <c r="AZ1801">
        <v>2019</v>
      </c>
      <c r="BA1801">
        <v>23</v>
      </c>
      <c r="BB1801" t="s">
        <v>3849</v>
      </c>
      <c r="BC1801" t="s">
        <v>69</v>
      </c>
      <c r="BD1801" t="s">
        <v>69</v>
      </c>
      <c r="BE1801" t="s">
        <v>114</v>
      </c>
      <c r="BF1801" t="s">
        <v>69</v>
      </c>
      <c r="BG1801">
        <v>722</v>
      </c>
      <c r="BH1801">
        <v>739</v>
      </c>
      <c r="BI1801" t="s">
        <v>69</v>
      </c>
      <c r="BJ1801" t="s">
        <v>16939</v>
      </c>
      <c r="BK1801" t="str">
        <f>HYPERLINK("http://dx.doi.org/10.1080/13603116.2019.1624847","http://dx.doi.org/10.1080/13603116.2019.1624847")</f>
        <v>http://dx.doi.org/10.1080/13603116.2019.1624847</v>
      </c>
      <c r="BL1801" t="s">
        <v>69</v>
      </c>
      <c r="BM1801" t="s">
        <v>69</v>
      </c>
      <c r="BN1801">
        <v>18</v>
      </c>
      <c r="BO1801" t="s">
        <v>9290</v>
      </c>
      <c r="BP1801" t="s">
        <v>8661</v>
      </c>
      <c r="BQ1801" t="s">
        <v>9290</v>
      </c>
      <c r="BR1801" t="s">
        <v>16940</v>
      </c>
      <c r="BS1801" t="s">
        <v>16941</v>
      </c>
      <c r="BT1801" t="s">
        <v>69</v>
      </c>
      <c r="BU1801" t="s">
        <v>9292</v>
      </c>
      <c r="BV1801" t="s">
        <v>69</v>
      </c>
      <c r="BW1801" t="s">
        <v>69</v>
      </c>
      <c r="BX1801" t="s">
        <v>8526</v>
      </c>
      <c r="BY1801" t="str">
        <f>HYPERLINK("https%3A%2F%2Fwww.webofscience.com%2Fwos%2Fwoscc%2Ffull-record%2FWOS:000474733100005","View Full Record in Web of Science")</f>
        <v>View Full Record in Web of Science</v>
      </c>
    </row>
    <row r="1802" spans="1:77" ht="12.5" x14ac:dyDescent="0.25">
      <c r="A1802" t="s">
        <v>8495</v>
      </c>
      <c r="B1802" s="7" t="s">
        <v>32933</v>
      </c>
      <c r="C1802" s="7"/>
      <c r="D1802" s="7"/>
      <c r="E1802" s="7"/>
      <c r="F1802" t="s">
        <v>67</v>
      </c>
      <c r="G1802" t="s">
        <v>1875</v>
      </c>
      <c r="H1802" t="s">
        <v>69</v>
      </c>
      <c r="I1802" t="s">
        <v>69</v>
      </c>
      <c r="J1802" t="s">
        <v>69</v>
      </c>
      <c r="K1802" t="s">
        <v>1876</v>
      </c>
      <c r="L1802" t="s">
        <v>69</v>
      </c>
      <c r="M1802" t="s">
        <v>69</v>
      </c>
      <c r="N1802" t="s">
        <v>2285</v>
      </c>
      <c r="O1802" t="s">
        <v>2286</v>
      </c>
      <c r="P1802" t="s">
        <v>69</v>
      </c>
      <c r="Q1802" t="s">
        <v>69</v>
      </c>
      <c r="R1802" t="s">
        <v>8505</v>
      </c>
      <c r="S1802" t="s">
        <v>8442</v>
      </c>
      <c r="T1802" t="s">
        <v>69</v>
      </c>
      <c r="U1802" t="s">
        <v>69</v>
      </c>
      <c r="V1802" t="s">
        <v>69</v>
      </c>
      <c r="W1802" t="s">
        <v>69</v>
      </c>
      <c r="X1802" t="s">
        <v>69</v>
      </c>
      <c r="Y1802" t="s">
        <v>17406</v>
      </c>
      <c r="Z1802" t="s">
        <v>17407</v>
      </c>
      <c r="AA1802" t="s">
        <v>2287</v>
      </c>
      <c r="AB1802" t="s">
        <v>14248</v>
      </c>
      <c r="AC1802" t="s">
        <v>69</v>
      </c>
      <c r="AD1802" t="s">
        <v>14249</v>
      </c>
      <c r="AE1802" t="s">
        <v>17408</v>
      </c>
      <c r="AF1802" t="s">
        <v>2288</v>
      </c>
      <c r="AG1802" t="s">
        <v>17409</v>
      </c>
      <c r="AH1802" t="s">
        <v>17410</v>
      </c>
      <c r="AI1802" t="s">
        <v>17410</v>
      </c>
      <c r="AJ1802" t="s">
        <v>17411</v>
      </c>
      <c r="AK1802" t="s">
        <v>69</v>
      </c>
      <c r="AL1802">
        <v>128</v>
      </c>
      <c r="AM1802">
        <v>25</v>
      </c>
      <c r="AN1802">
        <v>25</v>
      </c>
      <c r="AO1802">
        <v>4</v>
      </c>
      <c r="AP1802">
        <v>21</v>
      </c>
      <c r="AQ1802" t="s">
        <v>17140</v>
      </c>
      <c r="AR1802" t="s">
        <v>8517</v>
      </c>
      <c r="AS1802" t="s">
        <v>17141</v>
      </c>
      <c r="AT1802" t="s">
        <v>2289</v>
      </c>
      <c r="AU1802" t="s">
        <v>2290</v>
      </c>
      <c r="AV1802" t="s">
        <v>69</v>
      </c>
      <c r="AW1802" t="s">
        <v>17412</v>
      </c>
      <c r="AX1802" t="s">
        <v>17413</v>
      </c>
      <c r="AY1802" t="s">
        <v>246</v>
      </c>
      <c r="AZ1802">
        <v>2019</v>
      </c>
      <c r="BA1802">
        <v>107</v>
      </c>
      <c r="BB1802" t="s">
        <v>69</v>
      </c>
      <c r="BC1802" t="s">
        <v>69</v>
      </c>
      <c r="BD1802" t="s">
        <v>69</v>
      </c>
      <c r="BE1802" t="s">
        <v>69</v>
      </c>
      <c r="BF1802" t="s">
        <v>69</v>
      </c>
      <c r="BG1802">
        <v>629</v>
      </c>
      <c r="BH1802">
        <v>646</v>
      </c>
      <c r="BI1802" t="s">
        <v>69</v>
      </c>
      <c r="BJ1802" t="s">
        <v>2291</v>
      </c>
      <c r="BK1802" t="str">
        <f>HYPERLINK("http://dx.doi.org/10.1016/j.oregeorev.2019.02.025","http://dx.doi.org/10.1016/j.oregeorev.2019.02.025")</f>
        <v>http://dx.doi.org/10.1016/j.oregeorev.2019.02.025</v>
      </c>
      <c r="BL1802" t="s">
        <v>69</v>
      </c>
      <c r="BM1802" t="s">
        <v>69</v>
      </c>
      <c r="BN1802">
        <v>18</v>
      </c>
      <c r="BO1802" t="s">
        <v>17414</v>
      </c>
      <c r="BP1802" t="s">
        <v>8548</v>
      </c>
      <c r="BQ1802" t="s">
        <v>17414</v>
      </c>
      <c r="BR1802" t="s">
        <v>17415</v>
      </c>
      <c r="BS1802" t="s">
        <v>2292</v>
      </c>
      <c r="BT1802" t="s">
        <v>69</v>
      </c>
      <c r="BU1802" t="s">
        <v>69</v>
      </c>
      <c r="BV1802" t="s">
        <v>69</v>
      </c>
      <c r="BW1802" t="s">
        <v>69</v>
      </c>
      <c r="BX1802" t="s">
        <v>8526</v>
      </c>
      <c r="BY1802" t="str">
        <f>HYPERLINK("https%3A%2F%2Fwww.webofscience.com%2Fwos%2Fwoscc%2Ffull-record%2FWOS:000470194300039","View Full Record in Web of Science")</f>
        <v>View Full Record in Web of Science</v>
      </c>
    </row>
    <row r="1803" spans="1:77" ht="12.5" x14ac:dyDescent="0.25">
      <c r="A1803" t="s">
        <v>8495</v>
      </c>
      <c r="B1803" s="7" t="s">
        <v>32933</v>
      </c>
      <c r="C1803" s="7"/>
      <c r="D1803" s="7"/>
      <c r="E1803" s="7"/>
      <c r="F1803" t="s">
        <v>67</v>
      </c>
      <c r="G1803" t="s">
        <v>6656</v>
      </c>
      <c r="H1803" t="s">
        <v>69</v>
      </c>
      <c r="I1803" t="s">
        <v>69</v>
      </c>
      <c r="J1803" t="s">
        <v>69</v>
      </c>
      <c r="K1803" t="s">
        <v>6657</v>
      </c>
      <c r="L1803" t="s">
        <v>69</v>
      </c>
      <c r="M1803" t="s">
        <v>69</v>
      </c>
      <c r="N1803" t="s">
        <v>6658</v>
      </c>
      <c r="O1803" t="s">
        <v>6659</v>
      </c>
      <c r="P1803" t="s">
        <v>69</v>
      </c>
      <c r="Q1803" t="s">
        <v>69</v>
      </c>
      <c r="R1803" t="s">
        <v>8505</v>
      </c>
      <c r="S1803" t="s">
        <v>8506</v>
      </c>
      <c r="T1803" t="s">
        <v>69</v>
      </c>
      <c r="U1803" t="s">
        <v>69</v>
      </c>
      <c r="V1803" t="s">
        <v>69</v>
      </c>
      <c r="W1803" t="s">
        <v>69</v>
      </c>
      <c r="X1803" t="s">
        <v>69</v>
      </c>
      <c r="Y1803" t="s">
        <v>19972</v>
      </c>
      <c r="Z1803" t="s">
        <v>19973</v>
      </c>
      <c r="AA1803" t="s">
        <v>6660</v>
      </c>
      <c r="AB1803" t="s">
        <v>19974</v>
      </c>
      <c r="AC1803" t="s">
        <v>69</v>
      </c>
      <c r="AD1803" t="s">
        <v>19975</v>
      </c>
      <c r="AE1803" t="s">
        <v>19976</v>
      </c>
      <c r="AF1803" t="s">
        <v>19977</v>
      </c>
      <c r="AG1803" t="s">
        <v>19978</v>
      </c>
      <c r="AH1803" t="s">
        <v>19979</v>
      </c>
      <c r="AI1803" t="s">
        <v>19980</v>
      </c>
      <c r="AJ1803" t="s">
        <v>19981</v>
      </c>
      <c r="AK1803" t="s">
        <v>69</v>
      </c>
      <c r="AL1803">
        <v>80</v>
      </c>
      <c r="AM1803">
        <v>17</v>
      </c>
      <c r="AN1803">
        <v>20</v>
      </c>
      <c r="AO1803">
        <v>11</v>
      </c>
      <c r="AP1803">
        <v>129</v>
      </c>
      <c r="AQ1803" t="s">
        <v>17140</v>
      </c>
      <c r="AR1803" t="s">
        <v>8517</v>
      </c>
      <c r="AS1803" t="s">
        <v>17141</v>
      </c>
      <c r="AT1803" t="s">
        <v>6661</v>
      </c>
      <c r="AU1803" t="s">
        <v>6662</v>
      </c>
      <c r="AV1803" t="s">
        <v>69</v>
      </c>
      <c r="AW1803" t="s">
        <v>19982</v>
      </c>
      <c r="AX1803" t="s">
        <v>19983</v>
      </c>
      <c r="AY1803" t="s">
        <v>381</v>
      </c>
      <c r="AZ1803">
        <v>2017</v>
      </c>
      <c r="BA1803">
        <v>46</v>
      </c>
      <c r="BB1803">
        <v>8</v>
      </c>
      <c r="BC1803" t="s">
        <v>69</v>
      </c>
      <c r="BD1803" t="s">
        <v>69</v>
      </c>
      <c r="BE1803" t="s">
        <v>69</v>
      </c>
      <c r="BF1803" t="s">
        <v>69</v>
      </c>
      <c r="BG1803">
        <v>1479</v>
      </c>
      <c r="BH1803">
        <v>1489</v>
      </c>
      <c r="BI1803" t="s">
        <v>69</v>
      </c>
      <c r="BJ1803" t="s">
        <v>6663</v>
      </c>
      <c r="BK1803" t="str">
        <f>HYPERLINK("http://dx.doi.org/10.1016/j.respol.2017.07.002","http://dx.doi.org/10.1016/j.respol.2017.07.002")</f>
        <v>http://dx.doi.org/10.1016/j.respol.2017.07.002</v>
      </c>
      <c r="BL1803" t="s">
        <v>69</v>
      </c>
      <c r="BM1803" t="s">
        <v>69</v>
      </c>
      <c r="BN1803">
        <v>11</v>
      </c>
      <c r="BO1803" t="s">
        <v>9410</v>
      </c>
      <c r="BP1803" t="s">
        <v>8661</v>
      </c>
      <c r="BQ1803" t="s">
        <v>8594</v>
      </c>
      <c r="BR1803" t="s">
        <v>19984</v>
      </c>
      <c r="BS1803" t="s">
        <v>6664</v>
      </c>
      <c r="BT1803" t="s">
        <v>69</v>
      </c>
      <c r="BU1803" t="s">
        <v>69</v>
      </c>
      <c r="BV1803" t="s">
        <v>69</v>
      </c>
      <c r="BW1803" t="s">
        <v>69</v>
      </c>
      <c r="BX1803" t="s">
        <v>8526</v>
      </c>
      <c r="BY1803" t="str">
        <f>HYPERLINK("https%3A%2F%2Fwww.webofscience.com%2Fwos%2Fwoscc%2Ffull-record%2FWOS:000412035200009","View Full Record in Web of Science")</f>
        <v>View Full Record in Web of Science</v>
      </c>
    </row>
    <row r="1804" spans="1:77" ht="12.5" x14ac:dyDescent="0.25">
      <c r="A1804" t="s">
        <v>8495</v>
      </c>
      <c r="B1804" s="22" t="s">
        <v>32931</v>
      </c>
      <c r="C1804" s="7"/>
      <c r="D1804" s="7"/>
      <c r="E1804" s="7"/>
      <c r="F1804" t="s">
        <v>67</v>
      </c>
      <c r="G1804" t="s">
        <v>31103</v>
      </c>
      <c r="H1804" t="s">
        <v>69</v>
      </c>
      <c r="I1804" t="s">
        <v>69</v>
      </c>
      <c r="J1804" t="s">
        <v>69</v>
      </c>
      <c r="K1804" t="s">
        <v>31103</v>
      </c>
      <c r="L1804" t="s">
        <v>69</v>
      </c>
      <c r="M1804" t="s">
        <v>69</v>
      </c>
      <c r="N1804" t="s">
        <v>31104</v>
      </c>
      <c r="O1804" t="s">
        <v>3807</v>
      </c>
      <c r="P1804" t="s">
        <v>69</v>
      </c>
      <c r="Q1804" t="s">
        <v>69</v>
      </c>
      <c r="R1804" t="s">
        <v>8505</v>
      </c>
      <c r="S1804" t="s">
        <v>8442</v>
      </c>
      <c r="T1804" t="s">
        <v>69</v>
      </c>
      <c r="U1804" t="s">
        <v>69</v>
      </c>
      <c r="V1804" t="s">
        <v>69</v>
      </c>
      <c r="W1804" t="s">
        <v>69</v>
      </c>
      <c r="X1804" t="s">
        <v>69</v>
      </c>
      <c r="Y1804" t="s">
        <v>69</v>
      </c>
      <c r="Z1804" t="s">
        <v>31105</v>
      </c>
      <c r="AA1804" t="s">
        <v>31106</v>
      </c>
      <c r="AB1804" t="s">
        <v>31107</v>
      </c>
      <c r="AC1804" t="s">
        <v>69</v>
      </c>
      <c r="AD1804" t="s">
        <v>31108</v>
      </c>
      <c r="AE1804" t="s">
        <v>25893</v>
      </c>
      <c r="AF1804" t="s">
        <v>69</v>
      </c>
      <c r="AG1804" t="s">
        <v>69</v>
      </c>
      <c r="AH1804" t="s">
        <v>31109</v>
      </c>
      <c r="AI1804" t="s">
        <v>31110</v>
      </c>
      <c r="AJ1804" t="s">
        <v>69</v>
      </c>
      <c r="AK1804" t="s">
        <v>69</v>
      </c>
      <c r="AL1804">
        <v>110</v>
      </c>
      <c r="AM1804">
        <v>79</v>
      </c>
      <c r="AN1804">
        <v>79</v>
      </c>
      <c r="AO1804">
        <v>0</v>
      </c>
      <c r="AP1804">
        <v>7</v>
      </c>
      <c r="AQ1804" t="s">
        <v>9178</v>
      </c>
      <c r="AR1804" t="s">
        <v>8763</v>
      </c>
      <c r="AS1804" t="s">
        <v>9179</v>
      </c>
      <c r="AT1804" t="s">
        <v>3809</v>
      </c>
      <c r="AU1804" t="s">
        <v>3810</v>
      </c>
      <c r="AV1804" t="s">
        <v>69</v>
      </c>
      <c r="AW1804" t="s">
        <v>25897</v>
      </c>
      <c r="AX1804" t="s">
        <v>25898</v>
      </c>
      <c r="AY1804" t="s">
        <v>94</v>
      </c>
      <c r="AZ1804">
        <v>2004</v>
      </c>
      <c r="BA1804">
        <v>13</v>
      </c>
      <c r="BB1804" t="s">
        <v>69</v>
      </c>
      <c r="BC1804" t="s">
        <v>69</v>
      </c>
      <c r="BD1804">
        <v>1</v>
      </c>
      <c r="BE1804" t="s">
        <v>69</v>
      </c>
      <c r="BF1804" t="s">
        <v>69</v>
      </c>
      <c r="BG1804">
        <v>41</v>
      </c>
      <c r="BH1804">
        <v>47</v>
      </c>
      <c r="BI1804" t="s">
        <v>69</v>
      </c>
      <c r="BJ1804" t="s">
        <v>31111</v>
      </c>
      <c r="BK1804" t="str">
        <f>HYPERLINK("http://dx.doi.org/10.1136/tc.2003.004101","http://dx.doi.org/10.1136/tc.2003.004101")</f>
        <v>http://dx.doi.org/10.1136/tc.2003.004101</v>
      </c>
      <c r="BL1804" t="s">
        <v>69</v>
      </c>
      <c r="BM1804" t="s">
        <v>69</v>
      </c>
      <c r="BN1804">
        <v>7</v>
      </c>
      <c r="BO1804" t="s">
        <v>25899</v>
      </c>
      <c r="BP1804" t="s">
        <v>8523</v>
      </c>
      <c r="BQ1804" t="s">
        <v>25899</v>
      </c>
      <c r="BR1804" t="s">
        <v>31112</v>
      </c>
      <c r="BS1804" t="s">
        <v>31113</v>
      </c>
      <c r="BT1804">
        <v>14985616</v>
      </c>
      <c r="BU1804" t="s">
        <v>8746</v>
      </c>
      <c r="BV1804" t="s">
        <v>69</v>
      </c>
      <c r="BW1804" t="s">
        <v>69</v>
      </c>
      <c r="BX1804" t="s">
        <v>8526</v>
      </c>
      <c r="BY1804" t="str">
        <f>HYPERLINK("https%3A%2F%2Fwww.webofscience.com%2Fwos%2Fwoscc%2Ffull-record%2FWOS:000220255900008","View Full Record in Web of Science")</f>
        <v>View Full Record in Web of Science</v>
      </c>
    </row>
    <row r="1805" spans="1:77" ht="12.5" x14ac:dyDescent="0.25">
      <c r="A1805" t="s">
        <v>8495</v>
      </c>
      <c r="B1805" s="7" t="s">
        <v>32933</v>
      </c>
      <c r="C1805" s="7"/>
      <c r="D1805" s="7"/>
      <c r="E1805" s="7"/>
      <c r="F1805" t="s">
        <v>67</v>
      </c>
      <c r="G1805" t="s">
        <v>3987</v>
      </c>
      <c r="H1805" t="s">
        <v>69</v>
      </c>
      <c r="I1805" t="s">
        <v>69</v>
      </c>
      <c r="J1805" t="s">
        <v>69</v>
      </c>
      <c r="K1805" t="s">
        <v>3987</v>
      </c>
      <c r="L1805" t="s">
        <v>69</v>
      </c>
      <c r="M1805" t="s">
        <v>69</v>
      </c>
      <c r="N1805" t="s">
        <v>3988</v>
      </c>
      <c r="O1805" t="s">
        <v>3807</v>
      </c>
      <c r="P1805" t="s">
        <v>69</v>
      </c>
      <c r="Q1805" t="s">
        <v>69</v>
      </c>
      <c r="R1805" t="s">
        <v>8505</v>
      </c>
      <c r="S1805" t="s">
        <v>8506</v>
      </c>
      <c r="T1805" t="s">
        <v>69</v>
      </c>
      <c r="U1805" t="s">
        <v>69</v>
      </c>
      <c r="V1805" t="s">
        <v>69</v>
      </c>
      <c r="W1805" t="s">
        <v>69</v>
      </c>
      <c r="X1805" t="s">
        <v>69</v>
      </c>
      <c r="Y1805" t="s">
        <v>69</v>
      </c>
      <c r="Z1805" t="s">
        <v>31256</v>
      </c>
      <c r="AA1805" t="s">
        <v>3989</v>
      </c>
      <c r="AB1805" t="s">
        <v>69</v>
      </c>
      <c r="AC1805" t="s">
        <v>69</v>
      </c>
      <c r="AD1805" t="s">
        <v>31257</v>
      </c>
      <c r="AE1805" t="s">
        <v>69</v>
      </c>
      <c r="AF1805" t="s">
        <v>69</v>
      </c>
      <c r="AG1805" t="s">
        <v>69</v>
      </c>
      <c r="AH1805" t="s">
        <v>69</v>
      </c>
      <c r="AI1805" t="s">
        <v>69</v>
      </c>
      <c r="AJ1805" t="s">
        <v>69</v>
      </c>
      <c r="AK1805" t="s">
        <v>69</v>
      </c>
      <c r="AL1805">
        <v>35</v>
      </c>
      <c r="AM1805">
        <v>7</v>
      </c>
      <c r="AN1805">
        <v>7</v>
      </c>
      <c r="AO1805">
        <v>0</v>
      </c>
      <c r="AP1805">
        <v>7</v>
      </c>
      <c r="AQ1805" t="s">
        <v>31258</v>
      </c>
      <c r="AR1805" t="s">
        <v>8763</v>
      </c>
      <c r="AS1805" t="s">
        <v>9179</v>
      </c>
      <c r="AT1805" t="s">
        <v>3809</v>
      </c>
      <c r="AU1805" t="s">
        <v>69</v>
      </c>
      <c r="AV1805" t="s">
        <v>69</v>
      </c>
      <c r="AW1805" t="s">
        <v>25897</v>
      </c>
      <c r="AX1805" t="s">
        <v>25898</v>
      </c>
      <c r="AY1805" t="s">
        <v>94</v>
      </c>
      <c r="AZ1805">
        <v>2003</v>
      </c>
      <c r="BA1805">
        <v>12</v>
      </c>
      <c r="BB1805">
        <v>1</v>
      </c>
      <c r="BC1805" t="s">
        <v>69</v>
      </c>
      <c r="BD1805" t="s">
        <v>69</v>
      </c>
      <c r="BE1805" t="s">
        <v>69</v>
      </c>
      <c r="BF1805" t="s">
        <v>69</v>
      </c>
      <c r="BG1805">
        <v>94</v>
      </c>
      <c r="BH1805">
        <v>101</v>
      </c>
      <c r="BI1805" t="s">
        <v>69</v>
      </c>
      <c r="BJ1805" t="s">
        <v>3990</v>
      </c>
      <c r="BK1805" t="str">
        <f>HYPERLINK("http://dx.doi.org/10.1136/tc.12.1.94","http://dx.doi.org/10.1136/tc.12.1.94")</f>
        <v>http://dx.doi.org/10.1136/tc.12.1.94</v>
      </c>
      <c r="BL1805" t="s">
        <v>69</v>
      </c>
      <c r="BM1805" t="s">
        <v>69</v>
      </c>
      <c r="BN1805">
        <v>8</v>
      </c>
      <c r="BO1805" t="s">
        <v>25899</v>
      </c>
      <c r="BP1805" t="s">
        <v>8548</v>
      </c>
      <c r="BQ1805" t="s">
        <v>25899</v>
      </c>
      <c r="BR1805" t="s">
        <v>31259</v>
      </c>
      <c r="BS1805" t="s">
        <v>3991</v>
      </c>
      <c r="BT1805">
        <v>12612372</v>
      </c>
      <c r="BU1805" t="s">
        <v>11793</v>
      </c>
      <c r="BV1805" t="s">
        <v>69</v>
      </c>
      <c r="BW1805" t="s">
        <v>69</v>
      </c>
      <c r="BX1805" t="s">
        <v>8526</v>
      </c>
      <c r="BY1805" t="str">
        <f>HYPERLINK("https%3A%2F%2Fwww.webofscience.com%2Fwos%2Fwoscc%2Ffull-record%2FWOS:000181443500025","View Full Record in Web of Science")</f>
        <v>View Full Record in Web of Science</v>
      </c>
    </row>
    <row r="1806" spans="1:77" ht="12.5" x14ac:dyDescent="0.25">
      <c r="A1806" t="s">
        <v>8495</v>
      </c>
      <c r="B1806" s="22" t="s">
        <v>32931</v>
      </c>
      <c r="C1806" s="7"/>
      <c r="D1806" s="7"/>
      <c r="E1806" s="7"/>
      <c r="F1806" t="s">
        <v>67</v>
      </c>
      <c r="G1806" t="s">
        <v>10801</v>
      </c>
      <c r="H1806" t="s">
        <v>69</v>
      </c>
      <c r="I1806" t="s">
        <v>69</v>
      </c>
      <c r="J1806" t="s">
        <v>69</v>
      </c>
      <c r="K1806" t="s">
        <v>10802</v>
      </c>
      <c r="L1806" t="s">
        <v>69</v>
      </c>
      <c r="M1806" t="s">
        <v>69</v>
      </c>
      <c r="N1806" t="s">
        <v>10803</v>
      </c>
      <c r="O1806" t="s">
        <v>5270</v>
      </c>
      <c r="P1806" t="s">
        <v>69</v>
      </c>
      <c r="Q1806" t="s">
        <v>69</v>
      </c>
      <c r="R1806" t="s">
        <v>8505</v>
      </c>
      <c r="S1806" t="s">
        <v>8506</v>
      </c>
      <c r="T1806" t="s">
        <v>69</v>
      </c>
      <c r="U1806" t="s">
        <v>69</v>
      </c>
      <c r="V1806" t="s">
        <v>69</v>
      </c>
      <c r="W1806" t="s">
        <v>69</v>
      </c>
      <c r="X1806" t="s">
        <v>69</v>
      </c>
      <c r="Y1806" t="s">
        <v>69</v>
      </c>
      <c r="Z1806" t="s">
        <v>10804</v>
      </c>
      <c r="AA1806" t="s">
        <v>10805</v>
      </c>
      <c r="AB1806" t="s">
        <v>10806</v>
      </c>
      <c r="AC1806" t="s">
        <v>69</v>
      </c>
      <c r="AD1806" t="s">
        <v>10807</v>
      </c>
      <c r="AE1806" t="s">
        <v>10808</v>
      </c>
      <c r="AF1806" t="s">
        <v>69</v>
      </c>
      <c r="AG1806" t="s">
        <v>10809</v>
      </c>
      <c r="AH1806" t="s">
        <v>10810</v>
      </c>
      <c r="AI1806" t="s">
        <v>10810</v>
      </c>
      <c r="AJ1806" t="s">
        <v>10811</v>
      </c>
      <c r="AK1806" t="s">
        <v>69</v>
      </c>
      <c r="AL1806">
        <v>63</v>
      </c>
      <c r="AM1806">
        <v>0</v>
      </c>
      <c r="AN1806">
        <v>0</v>
      </c>
      <c r="AO1806">
        <v>2</v>
      </c>
      <c r="AP1806">
        <v>5</v>
      </c>
      <c r="AQ1806" t="s">
        <v>8846</v>
      </c>
      <c r="AR1806" t="s">
        <v>8847</v>
      </c>
      <c r="AS1806" t="s">
        <v>8848</v>
      </c>
      <c r="AT1806" t="s">
        <v>5276</v>
      </c>
      <c r="AU1806" t="s">
        <v>5277</v>
      </c>
      <c r="AV1806" t="s">
        <v>69</v>
      </c>
      <c r="AW1806" t="s">
        <v>10812</v>
      </c>
      <c r="AX1806" t="s">
        <v>10813</v>
      </c>
      <c r="AY1806" t="s">
        <v>274</v>
      </c>
      <c r="AZ1806">
        <v>2021</v>
      </c>
      <c r="BA1806">
        <v>113</v>
      </c>
      <c r="BB1806">
        <v>6</v>
      </c>
      <c r="BC1806" t="s">
        <v>69</v>
      </c>
      <c r="BD1806" t="s">
        <v>69</v>
      </c>
      <c r="BE1806" t="s">
        <v>69</v>
      </c>
      <c r="BF1806" t="s">
        <v>69</v>
      </c>
      <c r="BG1806">
        <v>5254</v>
      </c>
      <c r="BH1806">
        <v>5270</v>
      </c>
      <c r="BI1806" t="s">
        <v>69</v>
      </c>
      <c r="BJ1806" t="s">
        <v>10814</v>
      </c>
      <c r="BK1806" t="str">
        <f>HYPERLINK("http://dx.doi.org/10.1002/agj2.20897","http://dx.doi.org/10.1002/agj2.20897")</f>
        <v>http://dx.doi.org/10.1002/agj2.20897</v>
      </c>
      <c r="BL1806" t="s">
        <v>69</v>
      </c>
      <c r="BM1806" t="s">
        <v>10646</v>
      </c>
      <c r="BN1806">
        <v>17</v>
      </c>
      <c r="BO1806" t="s">
        <v>10815</v>
      </c>
      <c r="BP1806" t="s">
        <v>8548</v>
      </c>
      <c r="BQ1806" t="s">
        <v>8450</v>
      </c>
      <c r="BR1806" t="s">
        <v>10816</v>
      </c>
      <c r="BS1806" t="s">
        <v>10817</v>
      </c>
      <c r="BT1806" t="s">
        <v>69</v>
      </c>
      <c r="BU1806" t="s">
        <v>69</v>
      </c>
      <c r="BV1806" t="s">
        <v>69</v>
      </c>
      <c r="BW1806" t="s">
        <v>69</v>
      </c>
      <c r="BX1806" t="s">
        <v>8526</v>
      </c>
      <c r="BY1806" t="str">
        <f>HYPERLINK("https%3A%2F%2Fwww.webofscience.com%2Fwos%2Fwoscc%2Ffull-record%2FWOS:000715873500001","View Full Record in Web of Science")</f>
        <v>View Full Record in Web of Science</v>
      </c>
    </row>
    <row r="1807" spans="1:77" ht="12.5" x14ac:dyDescent="0.25">
      <c r="A1807" t="s">
        <v>8495</v>
      </c>
      <c r="B1807" s="22" t="s">
        <v>32931</v>
      </c>
      <c r="C1807" s="7"/>
      <c r="D1807" s="7"/>
      <c r="E1807" s="7"/>
      <c r="F1807" t="s">
        <v>67</v>
      </c>
      <c r="G1807" t="s">
        <v>11370</v>
      </c>
      <c r="H1807" t="s">
        <v>69</v>
      </c>
      <c r="I1807" t="s">
        <v>69</v>
      </c>
      <c r="J1807" t="s">
        <v>69</v>
      </c>
      <c r="K1807" t="s">
        <v>11371</v>
      </c>
      <c r="L1807" t="s">
        <v>69</v>
      </c>
      <c r="M1807" t="s">
        <v>69</v>
      </c>
      <c r="N1807" t="s">
        <v>11372</v>
      </c>
      <c r="O1807" t="s">
        <v>11373</v>
      </c>
      <c r="P1807" t="s">
        <v>69</v>
      </c>
      <c r="Q1807" t="s">
        <v>69</v>
      </c>
      <c r="R1807" t="s">
        <v>8505</v>
      </c>
      <c r="S1807" t="s">
        <v>8506</v>
      </c>
      <c r="T1807" t="s">
        <v>69</v>
      </c>
      <c r="U1807" t="s">
        <v>69</v>
      </c>
      <c r="V1807" t="s">
        <v>69</v>
      </c>
      <c r="W1807" t="s">
        <v>69</v>
      </c>
      <c r="X1807" t="s">
        <v>69</v>
      </c>
      <c r="Y1807" t="s">
        <v>11374</v>
      </c>
      <c r="Z1807" t="s">
        <v>11375</v>
      </c>
      <c r="AA1807" t="s">
        <v>11376</v>
      </c>
      <c r="AB1807" t="s">
        <v>11377</v>
      </c>
      <c r="AC1807" t="s">
        <v>69</v>
      </c>
      <c r="AD1807" t="s">
        <v>11378</v>
      </c>
      <c r="AE1807" t="s">
        <v>11379</v>
      </c>
      <c r="AF1807" t="s">
        <v>69</v>
      </c>
      <c r="AG1807" t="s">
        <v>69</v>
      </c>
      <c r="AH1807" t="s">
        <v>11380</v>
      </c>
      <c r="AI1807" t="s">
        <v>11381</v>
      </c>
      <c r="AJ1807" t="s">
        <v>11382</v>
      </c>
      <c r="AK1807" t="s">
        <v>69</v>
      </c>
      <c r="AL1807">
        <v>91</v>
      </c>
      <c r="AM1807">
        <v>7</v>
      </c>
      <c r="AN1807">
        <v>7</v>
      </c>
      <c r="AO1807">
        <v>5</v>
      </c>
      <c r="AP1807">
        <v>9</v>
      </c>
      <c r="AQ1807" t="s">
        <v>8516</v>
      </c>
      <c r="AR1807" t="s">
        <v>8517</v>
      </c>
      <c r="AS1807" t="s">
        <v>8518</v>
      </c>
      <c r="AT1807" t="s">
        <v>11383</v>
      </c>
      <c r="AU1807" t="s">
        <v>11384</v>
      </c>
      <c r="AV1807" t="s">
        <v>69</v>
      </c>
      <c r="AW1807" t="s">
        <v>11385</v>
      </c>
      <c r="AX1807" t="s">
        <v>11386</v>
      </c>
      <c r="AY1807" t="s">
        <v>155</v>
      </c>
      <c r="AZ1807">
        <v>2021</v>
      </c>
      <c r="BA1807">
        <v>34</v>
      </c>
      <c r="BB1807" t="s">
        <v>69</v>
      </c>
      <c r="BC1807" t="s">
        <v>69</v>
      </c>
      <c r="BD1807" t="s">
        <v>69</v>
      </c>
      <c r="BE1807" t="s">
        <v>69</v>
      </c>
      <c r="BF1807" t="s">
        <v>69</v>
      </c>
      <c r="BG1807" t="s">
        <v>69</v>
      </c>
      <c r="BH1807" t="s">
        <v>69</v>
      </c>
      <c r="BI1807">
        <v>100367</v>
      </c>
      <c r="BJ1807" t="s">
        <v>11387</v>
      </c>
      <c r="BK1807" t="str">
        <f>HYPERLINK("http://dx.doi.org/10.1016/j.jort.2021.100367","http://dx.doi.org/10.1016/j.jort.2021.100367")</f>
        <v>http://dx.doi.org/10.1016/j.jort.2021.100367</v>
      </c>
      <c r="BL1807" t="s">
        <v>69</v>
      </c>
      <c r="BM1807" t="s">
        <v>11299</v>
      </c>
      <c r="BN1807">
        <v>9</v>
      </c>
      <c r="BO1807" t="s">
        <v>10278</v>
      </c>
      <c r="BP1807" t="s">
        <v>8661</v>
      </c>
      <c r="BQ1807" t="s">
        <v>10279</v>
      </c>
      <c r="BR1807" t="s">
        <v>11388</v>
      </c>
      <c r="BS1807" t="s">
        <v>11389</v>
      </c>
      <c r="BT1807" t="s">
        <v>69</v>
      </c>
      <c r="BU1807" t="s">
        <v>8622</v>
      </c>
      <c r="BV1807" t="s">
        <v>69</v>
      </c>
      <c r="BW1807" t="s">
        <v>69</v>
      </c>
      <c r="BX1807" t="s">
        <v>8526</v>
      </c>
      <c r="BY1807" t="str">
        <f>HYPERLINK("https%3A%2F%2Fwww.webofscience.com%2Fwos%2Fwoscc%2Ffull-record%2FWOS:000697164700002","View Full Record in Web of Science")</f>
        <v>View Full Record in Web of Science</v>
      </c>
    </row>
    <row r="1808" spans="1:77" ht="12.5" x14ac:dyDescent="0.25">
      <c r="A1808" t="s">
        <v>8495</v>
      </c>
      <c r="B1808" s="7" t="s">
        <v>32933</v>
      </c>
      <c r="C1808" s="7"/>
      <c r="D1808" s="7"/>
      <c r="E1808" s="7"/>
      <c r="F1808" t="s">
        <v>67</v>
      </c>
      <c r="G1808" t="s">
        <v>27148</v>
      </c>
      <c r="H1808" t="s">
        <v>69</v>
      </c>
      <c r="I1808" t="s">
        <v>69</v>
      </c>
      <c r="J1808" t="s">
        <v>69</v>
      </c>
      <c r="K1808" t="s">
        <v>27149</v>
      </c>
      <c r="L1808" t="s">
        <v>69</v>
      </c>
      <c r="M1808" t="s">
        <v>69</v>
      </c>
      <c r="N1808" t="s">
        <v>27150</v>
      </c>
      <c r="O1808" t="s">
        <v>4800</v>
      </c>
      <c r="P1808" t="s">
        <v>69</v>
      </c>
      <c r="Q1808" t="s">
        <v>69</v>
      </c>
      <c r="R1808" t="s">
        <v>8505</v>
      </c>
      <c r="S1808" t="s">
        <v>8506</v>
      </c>
      <c r="T1808" t="s">
        <v>69</v>
      </c>
      <c r="U1808" t="s">
        <v>69</v>
      </c>
      <c r="V1808" t="s">
        <v>69</v>
      </c>
      <c r="W1808" t="s">
        <v>69</v>
      </c>
      <c r="X1808" t="s">
        <v>69</v>
      </c>
      <c r="Y1808" t="s">
        <v>69</v>
      </c>
      <c r="Z1808" t="s">
        <v>69</v>
      </c>
      <c r="AA1808" t="s">
        <v>27780</v>
      </c>
      <c r="AB1808" t="s">
        <v>27781</v>
      </c>
      <c r="AC1808" t="s">
        <v>69</v>
      </c>
      <c r="AD1808" t="s">
        <v>27782</v>
      </c>
      <c r="AE1808" t="s">
        <v>27151</v>
      </c>
      <c r="AF1808" t="s">
        <v>69</v>
      </c>
      <c r="AG1808" t="s">
        <v>69</v>
      </c>
      <c r="AH1808" t="s">
        <v>69</v>
      </c>
      <c r="AI1808" t="s">
        <v>69</v>
      </c>
      <c r="AJ1808" t="s">
        <v>69</v>
      </c>
      <c r="AK1808" t="s">
        <v>69</v>
      </c>
      <c r="AL1808">
        <v>18</v>
      </c>
      <c r="AM1808">
        <v>28</v>
      </c>
      <c r="AN1808">
        <v>29</v>
      </c>
      <c r="AO1808">
        <v>0</v>
      </c>
      <c r="AP1808">
        <v>0</v>
      </c>
      <c r="AQ1808" t="s">
        <v>22941</v>
      </c>
      <c r="AR1808" t="s">
        <v>22942</v>
      </c>
      <c r="AS1808" t="s">
        <v>22943</v>
      </c>
      <c r="AT1808" t="s">
        <v>4803</v>
      </c>
      <c r="AU1808" t="s">
        <v>4804</v>
      </c>
      <c r="AV1808" t="s">
        <v>69</v>
      </c>
      <c r="AW1808" t="s">
        <v>22944</v>
      </c>
      <c r="AX1808" t="s">
        <v>22945</v>
      </c>
      <c r="AY1808" t="s">
        <v>155</v>
      </c>
      <c r="AZ1808">
        <v>2010</v>
      </c>
      <c r="BA1808">
        <v>3</v>
      </c>
      <c r="BB1808">
        <v>2</v>
      </c>
      <c r="BC1808" t="s">
        <v>69</v>
      </c>
      <c r="BD1808" t="s">
        <v>69</v>
      </c>
      <c r="BE1808" t="s">
        <v>69</v>
      </c>
      <c r="BF1808" t="s">
        <v>69</v>
      </c>
      <c r="BG1808">
        <v>37</v>
      </c>
      <c r="BH1808">
        <v>44</v>
      </c>
      <c r="BI1808" t="s">
        <v>69</v>
      </c>
      <c r="BJ1808" t="s">
        <v>69</v>
      </c>
      <c r="BK1808" t="s">
        <v>69</v>
      </c>
      <c r="BL1808" t="s">
        <v>69</v>
      </c>
      <c r="BM1808" t="s">
        <v>69</v>
      </c>
      <c r="BN1808">
        <v>8</v>
      </c>
      <c r="BO1808" t="s">
        <v>8475</v>
      </c>
      <c r="BP1808" t="s">
        <v>8573</v>
      </c>
      <c r="BQ1808" t="s">
        <v>8475</v>
      </c>
      <c r="BR1808" t="s">
        <v>27783</v>
      </c>
      <c r="BS1808" t="s">
        <v>27784</v>
      </c>
      <c r="BT1808" t="s">
        <v>69</v>
      </c>
      <c r="BU1808" t="s">
        <v>69</v>
      </c>
      <c r="BV1808" t="s">
        <v>69</v>
      </c>
      <c r="BW1808" t="s">
        <v>69</v>
      </c>
      <c r="BX1808" t="s">
        <v>8526</v>
      </c>
      <c r="BY1808" t="str">
        <f>HYPERLINK("https%3A%2F%2Fwww.webofscience.com%2Fwos%2Fwoscc%2Ffull-record%2FWOS:000217124500005","View Full Record in Web of Science")</f>
        <v>View Full Record in Web of Science</v>
      </c>
    </row>
    <row r="1809" spans="1:77" ht="12.5" x14ac:dyDescent="0.25">
      <c r="A1809" t="s">
        <v>8495</v>
      </c>
      <c r="B1809" s="19" t="s">
        <v>32993</v>
      </c>
      <c r="C1809" s="7"/>
      <c r="D1809" s="7"/>
      <c r="E1809" s="7"/>
      <c r="F1809" t="s">
        <v>67</v>
      </c>
      <c r="G1809" t="s">
        <v>27148</v>
      </c>
      <c r="H1809" t="s">
        <v>69</v>
      </c>
      <c r="I1809" t="s">
        <v>69</v>
      </c>
      <c r="J1809" t="s">
        <v>69</v>
      </c>
      <c r="K1809" t="s">
        <v>27149</v>
      </c>
      <c r="L1809" t="s">
        <v>69</v>
      </c>
      <c r="M1809" t="s">
        <v>69</v>
      </c>
      <c r="N1809" t="s">
        <v>27150</v>
      </c>
      <c r="O1809" t="s">
        <v>4800</v>
      </c>
      <c r="P1809" t="s">
        <v>69</v>
      </c>
      <c r="Q1809" t="s">
        <v>69</v>
      </c>
      <c r="R1809" t="s">
        <v>8505</v>
      </c>
      <c r="S1809" t="s">
        <v>8506</v>
      </c>
      <c r="T1809" t="s">
        <v>69</v>
      </c>
      <c r="U1809" t="s">
        <v>69</v>
      </c>
      <c r="V1809" t="s">
        <v>69</v>
      </c>
      <c r="W1809" t="s">
        <v>69</v>
      </c>
      <c r="X1809" t="s">
        <v>69</v>
      </c>
      <c r="Y1809" t="s">
        <v>69</v>
      </c>
      <c r="Z1809" t="s">
        <v>69</v>
      </c>
      <c r="AA1809" t="s">
        <v>27780</v>
      </c>
      <c r="AB1809" t="s">
        <v>27781</v>
      </c>
      <c r="AC1809" t="s">
        <v>69</v>
      </c>
      <c r="AD1809" t="s">
        <v>27782</v>
      </c>
      <c r="AE1809" t="s">
        <v>27151</v>
      </c>
      <c r="AF1809" t="s">
        <v>69</v>
      </c>
      <c r="AG1809" t="s">
        <v>69</v>
      </c>
      <c r="AH1809" t="s">
        <v>69</v>
      </c>
      <c r="AI1809" t="s">
        <v>69</v>
      </c>
      <c r="AJ1809" t="s">
        <v>69</v>
      </c>
      <c r="AK1809" t="s">
        <v>69</v>
      </c>
      <c r="AL1809">
        <v>18</v>
      </c>
      <c r="AM1809">
        <v>28</v>
      </c>
      <c r="AN1809">
        <v>29</v>
      </c>
      <c r="AO1809">
        <v>0</v>
      </c>
      <c r="AP1809">
        <v>0</v>
      </c>
      <c r="AQ1809" t="s">
        <v>22941</v>
      </c>
      <c r="AR1809" t="s">
        <v>22942</v>
      </c>
      <c r="AS1809" t="s">
        <v>22943</v>
      </c>
      <c r="AT1809" t="s">
        <v>4803</v>
      </c>
      <c r="AU1809" t="s">
        <v>4804</v>
      </c>
      <c r="AV1809" t="s">
        <v>69</v>
      </c>
      <c r="AW1809" t="s">
        <v>22944</v>
      </c>
      <c r="AX1809" t="s">
        <v>22945</v>
      </c>
      <c r="AY1809" t="s">
        <v>155</v>
      </c>
      <c r="AZ1809">
        <v>2010</v>
      </c>
      <c r="BA1809">
        <v>3</v>
      </c>
      <c r="BB1809">
        <v>2</v>
      </c>
      <c r="BC1809" t="s">
        <v>69</v>
      </c>
      <c r="BD1809" t="s">
        <v>69</v>
      </c>
      <c r="BE1809" t="s">
        <v>69</v>
      </c>
      <c r="BF1809" t="s">
        <v>69</v>
      </c>
      <c r="BG1809">
        <v>37</v>
      </c>
      <c r="BH1809">
        <v>44</v>
      </c>
      <c r="BI1809" t="s">
        <v>69</v>
      </c>
      <c r="BJ1809" t="s">
        <v>69</v>
      </c>
      <c r="BK1809" t="s">
        <v>69</v>
      </c>
      <c r="BL1809" t="s">
        <v>69</v>
      </c>
      <c r="BM1809" t="s">
        <v>69</v>
      </c>
      <c r="BN1809">
        <v>8</v>
      </c>
      <c r="BO1809" t="s">
        <v>8475</v>
      </c>
      <c r="BP1809" t="s">
        <v>8573</v>
      </c>
      <c r="BQ1809" t="s">
        <v>8475</v>
      </c>
      <c r="BR1809" t="s">
        <v>27783</v>
      </c>
      <c r="BS1809" t="s">
        <v>27784</v>
      </c>
      <c r="BT1809" t="s">
        <v>69</v>
      </c>
      <c r="BU1809" t="s">
        <v>69</v>
      </c>
      <c r="BV1809" t="s">
        <v>69</v>
      </c>
      <c r="BW1809" t="s">
        <v>69</v>
      </c>
      <c r="BX1809" t="s">
        <v>8526</v>
      </c>
      <c r="BY1809" t="str">
        <f>HYPERLINK("https%3A%2F%2Fwww.webofscience.com%2Fwos%2Fwoscc%2Ffull-record%2FWOS:000217124500005","View Full Record in Web of Science")</f>
        <v>View Full Record in Web of Science</v>
      </c>
    </row>
    <row r="1810" spans="1:77" ht="12.5" x14ac:dyDescent="0.25">
      <c r="A1810" t="s">
        <v>8495</v>
      </c>
      <c r="B1810" s="22" t="s">
        <v>32931</v>
      </c>
      <c r="C1810" s="7"/>
      <c r="D1810" s="7"/>
      <c r="E1810" s="7"/>
      <c r="F1810" t="s">
        <v>67</v>
      </c>
      <c r="G1810" t="s">
        <v>28138</v>
      </c>
      <c r="H1810" t="s">
        <v>69</v>
      </c>
      <c r="I1810" t="s">
        <v>69</v>
      </c>
      <c r="J1810" t="s">
        <v>69</v>
      </c>
      <c r="K1810" t="s">
        <v>28139</v>
      </c>
      <c r="L1810" t="s">
        <v>69</v>
      </c>
      <c r="M1810" t="s">
        <v>69</v>
      </c>
      <c r="N1810" t="s">
        <v>28140</v>
      </c>
      <c r="O1810" t="s">
        <v>5470</v>
      </c>
      <c r="P1810" t="s">
        <v>69</v>
      </c>
      <c r="Q1810" t="s">
        <v>69</v>
      </c>
      <c r="R1810" t="s">
        <v>8505</v>
      </c>
      <c r="S1810" t="s">
        <v>8506</v>
      </c>
      <c r="T1810" t="s">
        <v>69</v>
      </c>
      <c r="U1810" t="s">
        <v>69</v>
      </c>
      <c r="V1810" t="s">
        <v>69</v>
      </c>
      <c r="W1810" t="s">
        <v>69</v>
      </c>
      <c r="X1810" t="s">
        <v>69</v>
      </c>
      <c r="Y1810" t="s">
        <v>28141</v>
      </c>
      <c r="Z1810" t="s">
        <v>69</v>
      </c>
      <c r="AA1810" t="s">
        <v>28142</v>
      </c>
      <c r="AB1810" t="s">
        <v>28143</v>
      </c>
      <c r="AC1810" t="s">
        <v>69</v>
      </c>
      <c r="AD1810" t="s">
        <v>28144</v>
      </c>
      <c r="AE1810" t="s">
        <v>28145</v>
      </c>
      <c r="AF1810" t="s">
        <v>28146</v>
      </c>
      <c r="AG1810" t="s">
        <v>28147</v>
      </c>
      <c r="AH1810" t="s">
        <v>69</v>
      </c>
      <c r="AI1810" t="s">
        <v>69</v>
      </c>
      <c r="AJ1810" t="s">
        <v>69</v>
      </c>
      <c r="AK1810" t="s">
        <v>69</v>
      </c>
      <c r="AL1810">
        <v>28</v>
      </c>
      <c r="AM1810">
        <v>5</v>
      </c>
      <c r="AN1810">
        <v>5</v>
      </c>
      <c r="AO1810">
        <v>0</v>
      </c>
      <c r="AP1810">
        <v>0</v>
      </c>
      <c r="AQ1810" t="s">
        <v>8865</v>
      </c>
      <c r="AR1810" t="s">
        <v>8612</v>
      </c>
      <c r="AS1810" t="s">
        <v>8866</v>
      </c>
      <c r="AT1810" t="s">
        <v>5472</v>
      </c>
      <c r="AU1810" t="s">
        <v>5473</v>
      </c>
      <c r="AV1810" t="s">
        <v>69</v>
      </c>
      <c r="AW1810" t="s">
        <v>20923</v>
      </c>
      <c r="AX1810" t="s">
        <v>20924</v>
      </c>
      <c r="AY1810" t="s">
        <v>69</v>
      </c>
      <c r="AZ1810">
        <v>2010</v>
      </c>
      <c r="BA1810">
        <v>9</v>
      </c>
      <c r="BB1810" t="s">
        <v>336</v>
      </c>
      <c r="BC1810" t="s">
        <v>69</v>
      </c>
      <c r="BD1810" t="s">
        <v>69</v>
      </c>
      <c r="BE1810" t="s">
        <v>114</v>
      </c>
      <c r="BF1810" t="s">
        <v>69</v>
      </c>
      <c r="BG1810">
        <v>55</v>
      </c>
      <c r="BH1810">
        <v>72</v>
      </c>
      <c r="BI1810" t="s">
        <v>69</v>
      </c>
      <c r="BJ1810" t="s">
        <v>28148</v>
      </c>
      <c r="BK1810" t="str">
        <f>HYPERLINK("http://dx.doi.org/10.1080/15377850903472539","http://dx.doi.org/10.1080/15377850903472539")</f>
        <v>http://dx.doi.org/10.1080/15377850903472539</v>
      </c>
      <c r="BL1810" t="s">
        <v>69</v>
      </c>
      <c r="BM1810" t="s">
        <v>69</v>
      </c>
      <c r="BN1810">
        <v>18</v>
      </c>
      <c r="BO1810" t="s">
        <v>13241</v>
      </c>
      <c r="BP1810" t="s">
        <v>8573</v>
      </c>
      <c r="BQ1810" t="s">
        <v>10084</v>
      </c>
      <c r="BR1810" t="s">
        <v>28149</v>
      </c>
      <c r="BS1810" t="s">
        <v>28150</v>
      </c>
      <c r="BT1810" t="s">
        <v>69</v>
      </c>
      <c r="BU1810" t="s">
        <v>69</v>
      </c>
      <c r="BV1810" t="s">
        <v>69</v>
      </c>
      <c r="BW1810" t="s">
        <v>69</v>
      </c>
      <c r="BX1810" t="s">
        <v>8526</v>
      </c>
      <c r="BY1810" t="str">
        <f>HYPERLINK("https%3A%2F%2Fwww.webofscience.com%2Fwos%2Fwoscc%2Ffull-record%2FWOS:000212738700004","View Full Record in Web of Science")</f>
        <v>View Full Record in Web of Science</v>
      </c>
    </row>
    <row r="1811" spans="1:77" ht="12.5" x14ac:dyDescent="0.25">
      <c r="A1811" t="s">
        <v>8495</v>
      </c>
      <c r="B1811" s="22" t="s">
        <v>32931</v>
      </c>
      <c r="C1811" s="7"/>
      <c r="D1811" s="7"/>
      <c r="E1811" s="7"/>
      <c r="F1811" t="s">
        <v>67</v>
      </c>
      <c r="G1811" t="s">
        <v>10170</v>
      </c>
      <c r="H1811" t="s">
        <v>69</v>
      </c>
      <c r="I1811" t="s">
        <v>69</v>
      </c>
      <c r="J1811" t="s">
        <v>69</v>
      </c>
      <c r="K1811" t="s">
        <v>10171</v>
      </c>
      <c r="L1811" t="s">
        <v>69</v>
      </c>
      <c r="M1811" t="s">
        <v>69</v>
      </c>
      <c r="N1811" t="s">
        <v>10172</v>
      </c>
      <c r="O1811" t="s">
        <v>10173</v>
      </c>
      <c r="P1811" t="s">
        <v>69</v>
      </c>
      <c r="Q1811" t="s">
        <v>69</v>
      </c>
      <c r="R1811" t="s">
        <v>8505</v>
      </c>
      <c r="S1811" t="s">
        <v>10174</v>
      </c>
      <c r="T1811" t="s">
        <v>69</v>
      </c>
      <c r="U1811" t="s">
        <v>69</v>
      </c>
      <c r="V1811" t="s">
        <v>69</v>
      </c>
      <c r="W1811" t="s">
        <v>69</v>
      </c>
      <c r="X1811" t="s">
        <v>69</v>
      </c>
      <c r="Y1811" t="s">
        <v>10175</v>
      </c>
      <c r="Z1811" t="s">
        <v>10176</v>
      </c>
      <c r="AA1811" t="s">
        <v>10177</v>
      </c>
      <c r="AB1811" t="s">
        <v>10178</v>
      </c>
      <c r="AC1811" t="s">
        <v>69</v>
      </c>
      <c r="AD1811" t="s">
        <v>10179</v>
      </c>
      <c r="AE1811" t="s">
        <v>10180</v>
      </c>
      <c r="AF1811" t="s">
        <v>69</v>
      </c>
      <c r="AG1811" t="s">
        <v>10181</v>
      </c>
      <c r="AH1811" t="s">
        <v>10182</v>
      </c>
      <c r="AI1811" t="s">
        <v>10183</v>
      </c>
      <c r="AJ1811" t="s">
        <v>10184</v>
      </c>
      <c r="AK1811" t="s">
        <v>69</v>
      </c>
      <c r="AL1811">
        <v>16</v>
      </c>
      <c r="AM1811">
        <v>0</v>
      </c>
      <c r="AN1811">
        <v>0</v>
      </c>
      <c r="AO1811">
        <v>0</v>
      </c>
      <c r="AP1811">
        <v>0</v>
      </c>
      <c r="AQ1811" t="s">
        <v>10185</v>
      </c>
      <c r="AR1811" t="s">
        <v>10186</v>
      </c>
      <c r="AS1811" t="s">
        <v>10187</v>
      </c>
      <c r="AT1811" t="s">
        <v>10188</v>
      </c>
      <c r="AU1811" t="s">
        <v>10189</v>
      </c>
      <c r="AV1811" t="s">
        <v>69</v>
      </c>
      <c r="AW1811" t="s">
        <v>10190</v>
      </c>
      <c r="AX1811" t="s">
        <v>10191</v>
      </c>
      <c r="AY1811" t="s">
        <v>373</v>
      </c>
      <c r="AZ1811">
        <v>2022</v>
      </c>
      <c r="BA1811">
        <v>103</v>
      </c>
      <c r="BB1811">
        <v>1</v>
      </c>
      <c r="BC1811" t="s">
        <v>69</v>
      </c>
      <c r="BD1811" t="s">
        <v>69</v>
      </c>
      <c r="BE1811" t="s">
        <v>69</v>
      </c>
      <c r="BF1811" t="s">
        <v>69</v>
      </c>
      <c r="BG1811" t="s">
        <v>10192</v>
      </c>
      <c r="BH1811" t="s">
        <v>10193</v>
      </c>
      <c r="BI1811" t="s">
        <v>69</v>
      </c>
      <c r="BJ1811" t="s">
        <v>10194</v>
      </c>
      <c r="BK1811" t="str">
        <f>HYPERLINK("http://dx.doi.org/10.1175/BAMS-D-21-0137.1","http://dx.doi.org/10.1175/BAMS-D-21-0137.1")</f>
        <v>http://dx.doi.org/10.1175/BAMS-D-21-0137.1</v>
      </c>
      <c r="BL1811" t="s">
        <v>69</v>
      </c>
      <c r="BM1811" t="s">
        <v>69</v>
      </c>
      <c r="BN1811">
        <v>8</v>
      </c>
      <c r="BO1811" t="s">
        <v>10195</v>
      </c>
      <c r="BP1811" t="s">
        <v>8548</v>
      </c>
      <c r="BQ1811" t="s">
        <v>10195</v>
      </c>
      <c r="BR1811" t="s">
        <v>10196</v>
      </c>
      <c r="BS1811" t="s">
        <v>10197</v>
      </c>
      <c r="BT1811" t="s">
        <v>69</v>
      </c>
      <c r="BU1811" t="s">
        <v>9374</v>
      </c>
      <c r="BV1811" t="s">
        <v>69</v>
      </c>
      <c r="BW1811" t="s">
        <v>69</v>
      </c>
      <c r="BX1811" t="s">
        <v>8526</v>
      </c>
      <c r="BY1811" t="str">
        <f>HYPERLINK("https%3A%2F%2Fwww.webofscience.com%2Fwos%2Fwoscc%2Ffull-record%2FWOS:000807124800003","View Full Record in Web of Science")</f>
        <v>View Full Record in Web of Science</v>
      </c>
    </row>
    <row r="1812" spans="1:77" x14ac:dyDescent="0.3">
      <c r="A1812" t="s">
        <v>8495</v>
      </c>
      <c r="B1812" s="9" t="s">
        <v>32954</v>
      </c>
      <c r="E1812" s="9" t="s">
        <v>33053</v>
      </c>
      <c r="F1812" t="s">
        <v>67</v>
      </c>
      <c r="G1812" t="s">
        <v>30840</v>
      </c>
      <c r="H1812" t="s">
        <v>69</v>
      </c>
      <c r="I1812" t="s">
        <v>69</v>
      </c>
      <c r="J1812" t="s">
        <v>69</v>
      </c>
      <c r="K1812" t="s">
        <v>30841</v>
      </c>
      <c r="L1812" t="s">
        <v>69</v>
      </c>
      <c r="M1812" t="s">
        <v>69</v>
      </c>
      <c r="N1812" t="s">
        <v>30842</v>
      </c>
      <c r="O1812" t="s">
        <v>30430</v>
      </c>
      <c r="P1812" t="s">
        <v>69</v>
      </c>
      <c r="Q1812" t="s">
        <v>69</v>
      </c>
      <c r="R1812" t="s">
        <v>8505</v>
      </c>
      <c r="S1812" t="s">
        <v>8506</v>
      </c>
      <c r="T1812" t="s">
        <v>69</v>
      </c>
      <c r="U1812" t="s">
        <v>69</v>
      </c>
      <c r="V1812" t="s">
        <v>69</v>
      </c>
      <c r="W1812" t="s">
        <v>69</v>
      </c>
      <c r="X1812" t="s">
        <v>69</v>
      </c>
      <c r="Y1812" t="s">
        <v>30843</v>
      </c>
      <c r="Z1812" t="s">
        <v>69</v>
      </c>
      <c r="AA1812" t="s">
        <v>30844</v>
      </c>
      <c r="AB1812" t="s">
        <v>30845</v>
      </c>
      <c r="AC1812" t="s">
        <v>69</v>
      </c>
      <c r="AD1812" t="s">
        <v>30846</v>
      </c>
      <c r="AE1812" t="s">
        <v>69</v>
      </c>
      <c r="AF1812" t="s">
        <v>69</v>
      </c>
      <c r="AG1812" t="s">
        <v>69</v>
      </c>
      <c r="AH1812" t="s">
        <v>69</v>
      </c>
      <c r="AI1812" t="s">
        <v>69</v>
      </c>
      <c r="AJ1812" t="s">
        <v>69</v>
      </c>
      <c r="AK1812" t="s">
        <v>69</v>
      </c>
      <c r="AL1812">
        <v>27</v>
      </c>
      <c r="AM1812">
        <v>6</v>
      </c>
      <c r="AN1812">
        <v>6</v>
      </c>
      <c r="AO1812">
        <v>0</v>
      </c>
      <c r="AP1812">
        <v>0</v>
      </c>
      <c r="AQ1812" t="s">
        <v>8586</v>
      </c>
      <c r="AR1812" t="s">
        <v>8587</v>
      </c>
      <c r="AS1812" t="s">
        <v>8588</v>
      </c>
      <c r="AT1812" t="s">
        <v>30437</v>
      </c>
      <c r="AU1812" t="s">
        <v>30438</v>
      </c>
      <c r="AV1812" t="s">
        <v>69</v>
      </c>
      <c r="AW1812" t="s">
        <v>30439</v>
      </c>
      <c r="AX1812" t="s">
        <v>30440</v>
      </c>
      <c r="AY1812" t="s">
        <v>69</v>
      </c>
      <c r="AZ1812">
        <v>2005</v>
      </c>
      <c r="BA1812">
        <v>47</v>
      </c>
      <c r="BB1812">
        <v>1</v>
      </c>
      <c r="BC1812" t="s">
        <v>69</v>
      </c>
      <c r="BD1812" t="s">
        <v>69</v>
      </c>
      <c r="BE1812" t="s">
        <v>69</v>
      </c>
      <c r="BF1812" t="s">
        <v>69</v>
      </c>
      <c r="BG1812">
        <v>18</v>
      </c>
      <c r="BH1812">
        <v>30</v>
      </c>
      <c r="BI1812" t="s">
        <v>69</v>
      </c>
      <c r="BJ1812" t="s">
        <v>30847</v>
      </c>
      <c r="BK1812" t="str">
        <f>HYPERLINK("http://dx.doi.org/10.1108/00400910510580601","http://dx.doi.org/10.1108/00400910510580601")</f>
        <v>http://dx.doi.org/10.1108/00400910510580601</v>
      </c>
      <c r="BL1812" t="s">
        <v>69</v>
      </c>
      <c r="BM1812" t="s">
        <v>69</v>
      </c>
      <c r="BN1812">
        <v>13</v>
      </c>
      <c r="BO1812" t="s">
        <v>9290</v>
      </c>
      <c r="BP1812" t="s">
        <v>8573</v>
      </c>
      <c r="BQ1812" t="s">
        <v>9290</v>
      </c>
      <c r="BR1812" t="s">
        <v>30848</v>
      </c>
      <c r="BS1812" t="s">
        <v>30849</v>
      </c>
      <c r="BT1812" t="s">
        <v>69</v>
      </c>
      <c r="BU1812" t="s">
        <v>69</v>
      </c>
      <c r="BV1812" t="s">
        <v>69</v>
      </c>
      <c r="BW1812" t="s">
        <v>69</v>
      </c>
      <c r="BX1812" t="s">
        <v>8526</v>
      </c>
      <c r="BY1812" t="str">
        <f>HYPERLINK("https%3A%2F%2Fwww.webofscience.com%2Fwos%2Fwoscc%2Ffull-record%2FWOS:000213278100020","View Full Record in Web of Science")</f>
        <v>View Full Record in Web of Science</v>
      </c>
    </row>
    <row r="1813" spans="1:77" x14ac:dyDescent="0.3">
      <c r="A1813" t="s">
        <v>8495</v>
      </c>
      <c r="B1813" s="9" t="s">
        <v>32954</v>
      </c>
      <c r="C1813" s="9" t="s">
        <v>33122</v>
      </c>
      <c r="D1813" s="10" t="s">
        <v>8490</v>
      </c>
      <c r="E1813" s="9" t="s">
        <v>8490</v>
      </c>
      <c r="F1813" t="s">
        <v>67</v>
      </c>
      <c r="G1813" t="s">
        <v>8964</v>
      </c>
      <c r="H1813" t="s">
        <v>69</v>
      </c>
      <c r="I1813" t="s">
        <v>69</v>
      </c>
      <c r="J1813" t="s">
        <v>69</v>
      </c>
      <c r="K1813" t="s">
        <v>8965</v>
      </c>
      <c r="L1813" t="s">
        <v>69</v>
      </c>
      <c r="M1813" t="s">
        <v>69</v>
      </c>
      <c r="N1813" t="s">
        <v>10246</v>
      </c>
      <c r="O1813" t="s">
        <v>10247</v>
      </c>
      <c r="P1813" t="s">
        <v>69</v>
      </c>
      <c r="Q1813" t="s">
        <v>69</v>
      </c>
      <c r="R1813" t="s">
        <v>8505</v>
      </c>
      <c r="S1813" t="s">
        <v>8506</v>
      </c>
      <c r="T1813" t="s">
        <v>69</v>
      </c>
      <c r="U1813" t="s">
        <v>69</v>
      </c>
      <c r="V1813" t="s">
        <v>69</v>
      </c>
      <c r="W1813" t="s">
        <v>69</v>
      </c>
      <c r="X1813" t="s">
        <v>69</v>
      </c>
      <c r="Y1813" t="s">
        <v>10248</v>
      </c>
      <c r="Z1813" t="s">
        <v>10249</v>
      </c>
      <c r="AA1813" t="s">
        <v>10250</v>
      </c>
      <c r="AB1813" t="s">
        <v>10251</v>
      </c>
      <c r="AC1813" t="s">
        <v>69</v>
      </c>
      <c r="AD1813" t="s">
        <v>10252</v>
      </c>
      <c r="AE1813" t="s">
        <v>8972</v>
      </c>
      <c r="AF1813" t="s">
        <v>69</v>
      </c>
      <c r="AG1813" t="s">
        <v>69</v>
      </c>
      <c r="AH1813" t="s">
        <v>69</v>
      </c>
      <c r="AI1813" t="s">
        <v>69</v>
      </c>
      <c r="AJ1813" t="s">
        <v>69</v>
      </c>
      <c r="AK1813" t="s">
        <v>69</v>
      </c>
      <c r="AL1813">
        <v>113</v>
      </c>
      <c r="AM1813">
        <v>1</v>
      </c>
      <c r="AN1813">
        <v>1</v>
      </c>
      <c r="AO1813">
        <v>3</v>
      </c>
      <c r="AP1813">
        <v>3</v>
      </c>
      <c r="AQ1813" t="s">
        <v>10253</v>
      </c>
      <c r="AR1813" t="s">
        <v>10254</v>
      </c>
      <c r="AS1813" t="s">
        <v>10255</v>
      </c>
      <c r="AT1813" t="s">
        <v>69</v>
      </c>
      <c r="AU1813" t="s">
        <v>10256</v>
      </c>
      <c r="AV1813" t="s">
        <v>69</v>
      </c>
      <c r="AW1813" t="s">
        <v>10257</v>
      </c>
      <c r="AX1813" t="s">
        <v>10258</v>
      </c>
      <c r="AY1813" t="s">
        <v>69</v>
      </c>
      <c r="AZ1813">
        <v>2022</v>
      </c>
      <c r="BA1813">
        <v>8</v>
      </c>
      <c r="BB1813">
        <v>1</v>
      </c>
      <c r="BC1813" t="s">
        <v>69</v>
      </c>
      <c r="BD1813" t="s">
        <v>69</v>
      </c>
      <c r="BE1813" t="s">
        <v>69</v>
      </c>
      <c r="BF1813" t="s">
        <v>69</v>
      </c>
      <c r="BG1813">
        <v>111</v>
      </c>
      <c r="BH1813">
        <v>137</v>
      </c>
      <c r="BI1813" t="s">
        <v>69</v>
      </c>
      <c r="BJ1813" t="s">
        <v>10259</v>
      </c>
      <c r="BK1813" t="str">
        <f>HYPERLINK("http://dx.doi.org/10.1525/sod.2021.0018","http://dx.doi.org/10.1525/sod.2021.0018")</f>
        <v>http://dx.doi.org/10.1525/sod.2021.0018</v>
      </c>
      <c r="BL1813" t="s">
        <v>69</v>
      </c>
      <c r="BM1813" t="s">
        <v>69</v>
      </c>
      <c r="BN1813">
        <v>27</v>
      </c>
      <c r="BO1813" t="s">
        <v>10260</v>
      </c>
      <c r="BP1813" t="s">
        <v>8573</v>
      </c>
      <c r="BQ1813" t="s">
        <v>10260</v>
      </c>
      <c r="BR1813" t="s">
        <v>10261</v>
      </c>
      <c r="BS1813" t="s">
        <v>10262</v>
      </c>
      <c r="BT1813" t="s">
        <v>69</v>
      </c>
      <c r="BU1813" t="s">
        <v>69</v>
      </c>
      <c r="BV1813" t="s">
        <v>69</v>
      </c>
      <c r="BW1813" t="s">
        <v>69</v>
      </c>
      <c r="BX1813" t="s">
        <v>8526</v>
      </c>
      <c r="BY1813" t="str">
        <f>HYPERLINK("https%3A%2F%2Fwww.webofscience.com%2Fwos%2Fwoscc%2Ffull-record%2FWOS:000774019200005","View Full Record in Web of Science")</f>
        <v>View Full Record in Web of Science</v>
      </c>
    </row>
    <row r="1814" spans="1:77" ht="12.5" x14ac:dyDescent="0.25">
      <c r="A1814" t="s">
        <v>8495</v>
      </c>
      <c r="B1814" s="22" t="s">
        <v>32931</v>
      </c>
      <c r="C1814" s="7"/>
      <c r="D1814" s="7"/>
      <c r="E1814" s="7"/>
      <c r="F1814" t="s">
        <v>67</v>
      </c>
      <c r="G1814" t="s">
        <v>20760</v>
      </c>
      <c r="H1814" t="s">
        <v>69</v>
      </c>
      <c r="I1814" t="s">
        <v>69</v>
      </c>
      <c r="J1814" t="s">
        <v>69</v>
      </c>
      <c r="K1814" t="s">
        <v>20761</v>
      </c>
      <c r="L1814" t="s">
        <v>69</v>
      </c>
      <c r="M1814" t="s">
        <v>69</v>
      </c>
      <c r="N1814" t="s">
        <v>20762</v>
      </c>
      <c r="O1814" t="s">
        <v>20763</v>
      </c>
      <c r="P1814" t="s">
        <v>69</v>
      </c>
      <c r="Q1814" t="s">
        <v>69</v>
      </c>
      <c r="R1814" t="s">
        <v>8505</v>
      </c>
      <c r="S1814" t="s">
        <v>8506</v>
      </c>
      <c r="T1814" t="s">
        <v>69</v>
      </c>
      <c r="U1814" t="s">
        <v>69</v>
      </c>
      <c r="V1814" t="s">
        <v>69</v>
      </c>
      <c r="W1814" t="s">
        <v>69</v>
      </c>
      <c r="X1814" t="s">
        <v>69</v>
      </c>
      <c r="Y1814" t="s">
        <v>20764</v>
      </c>
      <c r="Z1814" t="s">
        <v>20765</v>
      </c>
      <c r="AA1814" t="s">
        <v>20766</v>
      </c>
      <c r="AB1814" t="s">
        <v>20767</v>
      </c>
      <c r="AC1814" t="s">
        <v>69</v>
      </c>
      <c r="AD1814" t="s">
        <v>20768</v>
      </c>
      <c r="AE1814" t="s">
        <v>20769</v>
      </c>
      <c r="AF1814" t="s">
        <v>69</v>
      </c>
      <c r="AG1814" t="s">
        <v>69</v>
      </c>
      <c r="AH1814" t="s">
        <v>20770</v>
      </c>
      <c r="AI1814" t="s">
        <v>20770</v>
      </c>
      <c r="AJ1814" t="s">
        <v>20771</v>
      </c>
      <c r="AK1814" t="s">
        <v>69</v>
      </c>
      <c r="AL1814">
        <v>59</v>
      </c>
      <c r="AM1814">
        <v>1</v>
      </c>
      <c r="AN1814">
        <v>1</v>
      </c>
      <c r="AO1814">
        <v>1</v>
      </c>
      <c r="AP1814">
        <v>8</v>
      </c>
      <c r="AQ1814" t="s">
        <v>8586</v>
      </c>
      <c r="AR1814" t="s">
        <v>8587</v>
      </c>
      <c r="AS1814" t="s">
        <v>8588</v>
      </c>
      <c r="AT1814" t="s">
        <v>20772</v>
      </c>
      <c r="AU1814" t="s">
        <v>20773</v>
      </c>
      <c r="AV1814" t="s">
        <v>69</v>
      </c>
      <c r="AW1814" t="s">
        <v>20774</v>
      </c>
      <c r="AX1814" t="s">
        <v>20775</v>
      </c>
      <c r="AY1814" t="s">
        <v>69</v>
      </c>
      <c r="AZ1814">
        <v>2017</v>
      </c>
      <c r="BA1814">
        <v>9</v>
      </c>
      <c r="BB1814">
        <v>4</v>
      </c>
      <c r="BC1814" t="s">
        <v>69</v>
      </c>
      <c r="BD1814" t="s">
        <v>69</v>
      </c>
      <c r="BE1814" t="s">
        <v>69</v>
      </c>
      <c r="BF1814" t="s">
        <v>69</v>
      </c>
      <c r="BG1814">
        <v>490</v>
      </c>
      <c r="BH1814">
        <v>508</v>
      </c>
      <c r="BI1814" t="s">
        <v>69</v>
      </c>
      <c r="BJ1814" t="s">
        <v>20776</v>
      </c>
      <c r="BK1814" t="str">
        <f>HYPERLINK("http://dx.doi.org/10.1108/JARHE-10-2016-0064","http://dx.doi.org/10.1108/JARHE-10-2016-0064")</f>
        <v>http://dx.doi.org/10.1108/JARHE-10-2016-0064</v>
      </c>
      <c r="BL1814" t="s">
        <v>69</v>
      </c>
      <c r="BM1814" t="s">
        <v>69</v>
      </c>
      <c r="BN1814">
        <v>19</v>
      </c>
      <c r="BO1814" t="s">
        <v>9290</v>
      </c>
      <c r="BP1814" t="s">
        <v>8573</v>
      </c>
      <c r="BQ1814" t="s">
        <v>9290</v>
      </c>
      <c r="BR1814" t="s">
        <v>20777</v>
      </c>
      <c r="BS1814" t="s">
        <v>20778</v>
      </c>
      <c r="BT1814" t="s">
        <v>69</v>
      </c>
      <c r="BU1814" t="s">
        <v>69</v>
      </c>
      <c r="BV1814" t="s">
        <v>69</v>
      </c>
      <c r="BW1814" t="s">
        <v>69</v>
      </c>
      <c r="BX1814" t="s">
        <v>8526</v>
      </c>
      <c r="BY1814" t="str">
        <f>HYPERLINK("https%3A%2F%2Fwww.webofscience.com%2Fwos%2Fwoscc%2Ffull-record%2FWOS:000412292900001","View Full Record in Web of Science")</f>
        <v>View Full Record in Web of Science</v>
      </c>
    </row>
    <row r="1815" spans="1:77" ht="12.5" x14ac:dyDescent="0.25">
      <c r="A1815" t="s">
        <v>8495</v>
      </c>
      <c r="B1815" s="7" t="s">
        <v>32933</v>
      </c>
      <c r="C1815" s="7"/>
      <c r="D1815" s="7"/>
      <c r="E1815" s="7"/>
      <c r="F1815" t="s">
        <v>67</v>
      </c>
      <c r="G1815" t="s">
        <v>769</v>
      </c>
      <c r="H1815" t="s">
        <v>69</v>
      </c>
      <c r="I1815" t="s">
        <v>69</v>
      </c>
      <c r="J1815" t="s">
        <v>69</v>
      </c>
      <c r="K1815" t="s">
        <v>770</v>
      </c>
      <c r="L1815" t="s">
        <v>69</v>
      </c>
      <c r="M1815" t="s">
        <v>69</v>
      </c>
      <c r="N1815" t="s">
        <v>771</v>
      </c>
      <c r="O1815" t="s">
        <v>772</v>
      </c>
      <c r="P1815" t="s">
        <v>69</v>
      </c>
      <c r="Q1815" t="s">
        <v>69</v>
      </c>
      <c r="R1815" t="s">
        <v>8505</v>
      </c>
      <c r="S1815" t="s">
        <v>8506</v>
      </c>
      <c r="T1815" t="s">
        <v>69</v>
      </c>
      <c r="U1815" t="s">
        <v>69</v>
      </c>
      <c r="V1815" t="s">
        <v>69</v>
      </c>
      <c r="W1815" t="s">
        <v>69</v>
      </c>
      <c r="X1815" t="s">
        <v>69</v>
      </c>
      <c r="Y1815" t="s">
        <v>15347</v>
      </c>
      <c r="Z1815" t="s">
        <v>15348</v>
      </c>
      <c r="AA1815" t="s">
        <v>773</v>
      </c>
      <c r="AB1815" t="s">
        <v>15349</v>
      </c>
      <c r="AC1815" t="s">
        <v>69</v>
      </c>
      <c r="AD1815" t="s">
        <v>15350</v>
      </c>
      <c r="AE1815" t="s">
        <v>15351</v>
      </c>
      <c r="AF1815" t="s">
        <v>69</v>
      </c>
      <c r="AG1815" t="s">
        <v>15352</v>
      </c>
      <c r="AH1815" t="s">
        <v>69</v>
      </c>
      <c r="AI1815" t="s">
        <v>69</v>
      </c>
      <c r="AJ1815" t="s">
        <v>69</v>
      </c>
      <c r="AK1815" t="s">
        <v>69</v>
      </c>
      <c r="AL1815">
        <v>57</v>
      </c>
      <c r="AM1815">
        <v>2</v>
      </c>
      <c r="AN1815">
        <v>2</v>
      </c>
      <c r="AO1815">
        <v>12</v>
      </c>
      <c r="AP1815">
        <v>31</v>
      </c>
      <c r="AQ1815" t="s">
        <v>8586</v>
      </c>
      <c r="AR1815" t="s">
        <v>8587</v>
      </c>
      <c r="AS1815" t="s">
        <v>8588</v>
      </c>
      <c r="AT1815" t="s">
        <v>774</v>
      </c>
      <c r="AU1815" t="s">
        <v>775</v>
      </c>
      <c r="AV1815" t="s">
        <v>69</v>
      </c>
      <c r="AW1815" t="s">
        <v>15353</v>
      </c>
      <c r="AX1815" t="s">
        <v>15354</v>
      </c>
      <c r="AY1815" t="s">
        <v>776</v>
      </c>
      <c r="AZ1815">
        <v>2020</v>
      </c>
      <c r="BA1815">
        <v>37</v>
      </c>
      <c r="BB1815">
        <v>2</v>
      </c>
      <c r="BC1815" t="s">
        <v>69</v>
      </c>
      <c r="BD1815" t="s">
        <v>69</v>
      </c>
      <c r="BE1815" t="s">
        <v>69</v>
      </c>
      <c r="BF1815" t="s">
        <v>69</v>
      </c>
      <c r="BG1815">
        <v>319</v>
      </c>
      <c r="BH1815">
        <v>344</v>
      </c>
      <c r="BI1815" t="s">
        <v>69</v>
      </c>
      <c r="BJ1815" t="s">
        <v>777</v>
      </c>
      <c r="BK1815" t="str">
        <f>HYPERLINK("http://dx.doi.org/10.1108/IMR-06-2019-0152","http://dx.doi.org/10.1108/IMR-06-2019-0152")</f>
        <v>http://dx.doi.org/10.1108/IMR-06-2019-0152</v>
      </c>
      <c r="BL1815" t="s">
        <v>69</v>
      </c>
      <c r="BM1815" t="s">
        <v>767</v>
      </c>
      <c r="BN1815">
        <v>26</v>
      </c>
      <c r="BO1815" t="s">
        <v>8444</v>
      </c>
      <c r="BP1815" t="s">
        <v>8661</v>
      </c>
      <c r="BQ1815" t="s">
        <v>8594</v>
      </c>
      <c r="BR1815" t="s">
        <v>15355</v>
      </c>
      <c r="BS1815" t="s">
        <v>778</v>
      </c>
      <c r="BT1815" t="s">
        <v>69</v>
      </c>
      <c r="BU1815" t="s">
        <v>69</v>
      </c>
      <c r="BV1815" t="s">
        <v>69</v>
      </c>
      <c r="BW1815" t="s">
        <v>69</v>
      </c>
      <c r="BX1815" t="s">
        <v>8526</v>
      </c>
      <c r="BY1815" t="str">
        <f>HYPERLINK("https%3A%2F%2Fwww.webofscience.com%2Fwos%2Fwoscc%2Ffull-record%2FWOS:000529318600001","View Full Record in Web of Science")</f>
        <v>View Full Record in Web of Science</v>
      </c>
    </row>
    <row r="1816" spans="1:77" ht="12.5" x14ac:dyDescent="0.25">
      <c r="A1816" t="s">
        <v>8495</v>
      </c>
      <c r="B1816" s="22" t="s">
        <v>32931</v>
      </c>
      <c r="C1816" s="7"/>
      <c r="D1816" s="7"/>
      <c r="E1816" s="7"/>
      <c r="F1816" t="s">
        <v>67</v>
      </c>
      <c r="G1816" t="s">
        <v>26298</v>
      </c>
      <c r="H1816" t="s">
        <v>69</v>
      </c>
      <c r="I1816" t="s">
        <v>69</v>
      </c>
      <c r="J1816" t="s">
        <v>69</v>
      </c>
      <c r="K1816" t="s">
        <v>26299</v>
      </c>
      <c r="L1816" t="s">
        <v>69</v>
      </c>
      <c r="M1816" t="s">
        <v>69</v>
      </c>
      <c r="N1816" t="s">
        <v>26300</v>
      </c>
      <c r="O1816" t="s">
        <v>22273</v>
      </c>
      <c r="P1816" t="s">
        <v>69</v>
      </c>
      <c r="Q1816" t="s">
        <v>69</v>
      </c>
      <c r="R1816" t="s">
        <v>8505</v>
      </c>
      <c r="S1816" t="s">
        <v>8506</v>
      </c>
      <c r="T1816" t="s">
        <v>69</v>
      </c>
      <c r="U1816" t="s">
        <v>69</v>
      </c>
      <c r="V1816" t="s">
        <v>69</v>
      </c>
      <c r="W1816" t="s">
        <v>69</v>
      </c>
      <c r="X1816" t="s">
        <v>69</v>
      </c>
      <c r="Y1816" t="s">
        <v>26301</v>
      </c>
      <c r="Z1816" t="s">
        <v>26302</v>
      </c>
      <c r="AA1816" t="s">
        <v>26303</v>
      </c>
      <c r="AB1816" t="s">
        <v>26304</v>
      </c>
      <c r="AC1816" t="s">
        <v>69</v>
      </c>
      <c r="AD1816" t="s">
        <v>26305</v>
      </c>
      <c r="AE1816" t="s">
        <v>26306</v>
      </c>
      <c r="AF1816" t="s">
        <v>26307</v>
      </c>
      <c r="AG1816" t="s">
        <v>26308</v>
      </c>
      <c r="AH1816" t="s">
        <v>69</v>
      </c>
      <c r="AI1816" t="s">
        <v>69</v>
      </c>
      <c r="AJ1816" t="s">
        <v>69</v>
      </c>
      <c r="AK1816" t="s">
        <v>69</v>
      </c>
      <c r="AL1816">
        <v>63</v>
      </c>
      <c r="AM1816">
        <v>21</v>
      </c>
      <c r="AN1816">
        <v>21</v>
      </c>
      <c r="AO1816">
        <v>2</v>
      </c>
      <c r="AP1816">
        <v>40</v>
      </c>
      <c r="AQ1816" t="s">
        <v>8865</v>
      </c>
      <c r="AR1816" t="s">
        <v>8612</v>
      </c>
      <c r="AS1816" t="s">
        <v>8866</v>
      </c>
      <c r="AT1816" t="s">
        <v>22285</v>
      </c>
      <c r="AU1816" t="s">
        <v>22286</v>
      </c>
      <c r="AV1816" t="s">
        <v>69</v>
      </c>
      <c r="AW1816" t="s">
        <v>22287</v>
      </c>
      <c r="AX1816" t="s">
        <v>22288</v>
      </c>
      <c r="AY1816" t="s">
        <v>69</v>
      </c>
      <c r="AZ1816">
        <v>2012</v>
      </c>
      <c r="BA1816">
        <v>20</v>
      </c>
      <c r="BB1816">
        <v>6</v>
      </c>
      <c r="BC1816" t="s">
        <v>69</v>
      </c>
      <c r="BD1816" t="s">
        <v>69</v>
      </c>
      <c r="BE1816" t="s">
        <v>114</v>
      </c>
      <c r="BF1816" t="s">
        <v>69</v>
      </c>
      <c r="BG1816">
        <v>823</v>
      </c>
      <c r="BH1816">
        <v>843</v>
      </c>
      <c r="BI1816" t="s">
        <v>69</v>
      </c>
      <c r="BJ1816" t="s">
        <v>26309</v>
      </c>
      <c r="BK1816" t="str">
        <f>HYPERLINK("http://dx.doi.org/10.1080/09669582.2012.687740","http://dx.doi.org/10.1080/09669582.2012.687740")</f>
        <v>http://dx.doi.org/10.1080/09669582.2012.687740</v>
      </c>
      <c r="BL1816" t="s">
        <v>69</v>
      </c>
      <c r="BM1816" t="s">
        <v>69</v>
      </c>
      <c r="BN1816">
        <v>21</v>
      </c>
      <c r="BO1816" t="s">
        <v>22290</v>
      </c>
      <c r="BP1816" t="s">
        <v>8661</v>
      </c>
      <c r="BQ1816" t="s">
        <v>22291</v>
      </c>
      <c r="BR1816" t="s">
        <v>26310</v>
      </c>
      <c r="BS1816" t="s">
        <v>26311</v>
      </c>
      <c r="BT1816" t="s">
        <v>69</v>
      </c>
      <c r="BU1816" t="s">
        <v>69</v>
      </c>
      <c r="BV1816" t="s">
        <v>69</v>
      </c>
      <c r="BW1816" t="s">
        <v>69</v>
      </c>
      <c r="BX1816" t="s">
        <v>8526</v>
      </c>
      <c r="BY1816" t="str">
        <f>HYPERLINK("https%3A%2F%2Fwww.webofscience.com%2Fwos%2Fwoscc%2Ffull-record%2FWOS:000306170000004","View Full Record in Web of Science")</f>
        <v>View Full Record in Web of Science</v>
      </c>
    </row>
    <row r="1817" spans="1:77" ht="12.5" x14ac:dyDescent="0.25">
      <c r="A1817" t="s">
        <v>8495</v>
      </c>
      <c r="B1817" s="22" t="s">
        <v>32931</v>
      </c>
      <c r="C1817" s="7"/>
      <c r="D1817" s="7"/>
      <c r="E1817" s="7"/>
      <c r="F1817" t="s">
        <v>67</v>
      </c>
      <c r="G1817" t="s">
        <v>17474</v>
      </c>
      <c r="H1817" t="s">
        <v>69</v>
      </c>
      <c r="I1817" t="s">
        <v>69</v>
      </c>
      <c r="J1817" t="s">
        <v>69</v>
      </c>
      <c r="K1817" t="s">
        <v>17475</v>
      </c>
      <c r="L1817" t="s">
        <v>69</v>
      </c>
      <c r="M1817" t="s">
        <v>69</v>
      </c>
      <c r="N1817" t="s">
        <v>17476</v>
      </c>
      <c r="O1817" t="s">
        <v>929</v>
      </c>
      <c r="P1817" t="s">
        <v>69</v>
      </c>
      <c r="Q1817" t="s">
        <v>69</v>
      </c>
      <c r="R1817" t="s">
        <v>8505</v>
      </c>
      <c r="S1817" t="s">
        <v>8506</v>
      </c>
      <c r="T1817" t="s">
        <v>69</v>
      </c>
      <c r="U1817" t="s">
        <v>69</v>
      </c>
      <c r="V1817" t="s">
        <v>69</v>
      </c>
      <c r="W1817" t="s">
        <v>69</v>
      </c>
      <c r="X1817" t="s">
        <v>69</v>
      </c>
      <c r="Y1817" t="s">
        <v>17477</v>
      </c>
      <c r="Z1817" t="s">
        <v>17478</v>
      </c>
      <c r="AA1817" t="s">
        <v>17479</v>
      </c>
      <c r="AB1817" t="s">
        <v>17480</v>
      </c>
      <c r="AC1817" t="s">
        <v>69</v>
      </c>
      <c r="AD1817" t="s">
        <v>17481</v>
      </c>
      <c r="AE1817" t="s">
        <v>17482</v>
      </c>
      <c r="AF1817" t="s">
        <v>17483</v>
      </c>
      <c r="AG1817" t="s">
        <v>17484</v>
      </c>
      <c r="AH1817" t="s">
        <v>17485</v>
      </c>
      <c r="AI1817" t="s">
        <v>17486</v>
      </c>
      <c r="AJ1817" t="s">
        <v>17487</v>
      </c>
      <c r="AK1817" t="s">
        <v>69</v>
      </c>
      <c r="AL1817">
        <v>48</v>
      </c>
      <c r="AM1817">
        <v>9</v>
      </c>
      <c r="AN1817">
        <v>10</v>
      </c>
      <c r="AO1817">
        <v>0</v>
      </c>
      <c r="AP1817">
        <v>8</v>
      </c>
      <c r="AQ1817" t="s">
        <v>8865</v>
      </c>
      <c r="AR1817" t="s">
        <v>8612</v>
      </c>
      <c r="AS1817" t="s">
        <v>8866</v>
      </c>
      <c r="AT1817" t="s">
        <v>931</v>
      </c>
      <c r="AU1817" t="s">
        <v>932</v>
      </c>
      <c r="AV1817" t="s">
        <v>69</v>
      </c>
      <c r="AW1817" t="s">
        <v>15975</v>
      </c>
      <c r="AX1817" t="s">
        <v>15976</v>
      </c>
      <c r="AY1817" t="s">
        <v>971</v>
      </c>
      <c r="AZ1817">
        <v>2019</v>
      </c>
      <c r="BA1817">
        <v>37</v>
      </c>
      <c r="BB1817">
        <v>2</v>
      </c>
      <c r="BC1817" t="s">
        <v>69</v>
      </c>
      <c r="BD1817" t="s">
        <v>69</v>
      </c>
      <c r="BE1817" t="s">
        <v>69</v>
      </c>
      <c r="BF1817" t="s">
        <v>69</v>
      </c>
      <c r="BG1817">
        <v>97</v>
      </c>
      <c r="BH1817">
        <v>106</v>
      </c>
      <c r="BI1817" t="s">
        <v>69</v>
      </c>
      <c r="BJ1817" t="s">
        <v>17488</v>
      </c>
      <c r="BK1817" t="str">
        <f>HYPERLINK("http://dx.doi.org/10.1080/14615517.2018.1550185","http://dx.doi.org/10.1080/14615517.2018.1550185")</f>
        <v>http://dx.doi.org/10.1080/14615517.2018.1550185</v>
      </c>
      <c r="BL1817" t="s">
        <v>69</v>
      </c>
      <c r="BM1817" t="s">
        <v>69</v>
      </c>
      <c r="BN1817">
        <v>10</v>
      </c>
      <c r="BO1817" t="s">
        <v>8660</v>
      </c>
      <c r="BP1817" t="s">
        <v>8661</v>
      </c>
      <c r="BQ1817" t="s">
        <v>8662</v>
      </c>
      <c r="BR1817" t="s">
        <v>17489</v>
      </c>
      <c r="BS1817" t="s">
        <v>17490</v>
      </c>
      <c r="BT1817" t="s">
        <v>69</v>
      </c>
      <c r="BU1817" t="s">
        <v>69</v>
      </c>
      <c r="BV1817" t="s">
        <v>69</v>
      </c>
      <c r="BW1817" t="s">
        <v>69</v>
      </c>
      <c r="BX1817" t="s">
        <v>8526</v>
      </c>
      <c r="BY1817" t="str">
        <f>HYPERLINK("https%3A%2F%2Fwww.webofscience.com%2Fwos%2Fwoscc%2Ffull-record%2FWOS:000458680400003","View Full Record in Web of Science")</f>
        <v>View Full Record in Web of Science</v>
      </c>
    </row>
    <row r="1818" spans="1:77" ht="12.5" x14ac:dyDescent="0.25">
      <c r="A1818" t="s">
        <v>8495</v>
      </c>
      <c r="B1818" s="7" t="s">
        <v>32933</v>
      </c>
      <c r="C1818" s="7"/>
      <c r="D1818" s="7"/>
      <c r="E1818" s="7"/>
      <c r="F1818" t="s">
        <v>67</v>
      </c>
      <c r="G1818" t="s">
        <v>1563</v>
      </c>
      <c r="H1818" t="s">
        <v>69</v>
      </c>
      <c r="I1818" t="s">
        <v>69</v>
      </c>
      <c r="J1818" t="s">
        <v>69</v>
      </c>
      <c r="K1818" t="s">
        <v>1564</v>
      </c>
      <c r="L1818" t="s">
        <v>69</v>
      </c>
      <c r="M1818" t="s">
        <v>69</v>
      </c>
      <c r="N1818" t="s">
        <v>1565</v>
      </c>
      <c r="O1818" t="s">
        <v>1566</v>
      </c>
      <c r="P1818" t="s">
        <v>69</v>
      </c>
      <c r="Q1818" t="s">
        <v>69</v>
      </c>
      <c r="R1818" t="s">
        <v>8505</v>
      </c>
      <c r="S1818" t="s">
        <v>8506</v>
      </c>
      <c r="T1818" t="s">
        <v>69</v>
      </c>
      <c r="U1818" t="s">
        <v>69</v>
      </c>
      <c r="V1818" t="s">
        <v>69</v>
      </c>
      <c r="W1818" t="s">
        <v>69</v>
      </c>
      <c r="X1818" t="s">
        <v>69</v>
      </c>
      <c r="Y1818" t="s">
        <v>69</v>
      </c>
      <c r="Z1818" t="s">
        <v>28737</v>
      </c>
      <c r="AA1818" t="s">
        <v>1567</v>
      </c>
      <c r="AB1818" t="s">
        <v>28738</v>
      </c>
      <c r="AC1818" t="s">
        <v>69</v>
      </c>
      <c r="AD1818" t="s">
        <v>28739</v>
      </c>
      <c r="AE1818" t="s">
        <v>28740</v>
      </c>
      <c r="AF1818" t="s">
        <v>1568</v>
      </c>
      <c r="AG1818" t="s">
        <v>1569</v>
      </c>
      <c r="AH1818" t="s">
        <v>28741</v>
      </c>
      <c r="AI1818" t="s">
        <v>28741</v>
      </c>
      <c r="AJ1818" t="s">
        <v>28742</v>
      </c>
      <c r="AK1818" t="s">
        <v>69</v>
      </c>
      <c r="AL1818">
        <v>49</v>
      </c>
      <c r="AM1818">
        <v>6</v>
      </c>
      <c r="AN1818">
        <v>6</v>
      </c>
      <c r="AO1818">
        <v>0</v>
      </c>
      <c r="AP1818">
        <v>12</v>
      </c>
      <c r="AQ1818" t="s">
        <v>28743</v>
      </c>
      <c r="AR1818" t="s">
        <v>28744</v>
      </c>
      <c r="AS1818" t="s">
        <v>28745</v>
      </c>
      <c r="AT1818" t="s">
        <v>1570</v>
      </c>
      <c r="AU1818" t="s">
        <v>1571</v>
      </c>
      <c r="AV1818" t="s">
        <v>69</v>
      </c>
      <c r="AW1818" t="s">
        <v>28746</v>
      </c>
      <c r="AX1818" t="s">
        <v>28747</v>
      </c>
      <c r="AY1818" t="s">
        <v>69</v>
      </c>
      <c r="AZ1818">
        <v>2009</v>
      </c>
      <c r="BA1818">
        <v>109</v>
      </c>
      <c r="BB1818">
        <v>1</v>
      </c>
      <c r="BC1818" t="s">
        <v>69</v>
      </c>
      <c r="BD1818" t="s">
        <v>69</v>
      </c>
      <c r="BE1818" t="s">
        <v>69</v>
      </c>
      <c r="BF1818" t="s">
        <v>69</v>
      </c>
      <c r="BG1818">
        <v>67</v>
      </c>
      <c r="BH1818">
        <v>74</v>
      </c>
      <c r="BI1818" t="s">
        <v>69</v>
      </c>
      <c r="BJ1818" t="s">
        <v>1572</v>
      </c>
      <c r="BK1818" t="str">
        <f>HYPERLINK("http://dx.doi.org/10.1071/MU08054","http://dx.doi.org/10.1071/MU08054")</f>
        <v>http://dx.doi.org/10.1071/MU08054</v>
      </c>
      <c r="BL1818" t="s">
        <v>69</v>
      </c>
      <c r="BM1818" t="s">
        <v>69</v>
      </c>
      <c r="BN1818">
        <v>8</v>
      </c>
      <c r="BO1818" t="s">
        <v>28748</v>
      </c>
      <c r="BP1818" t="s">
        <v>8548</v>
      </c>
      <c r="BQ1818" t="s">
        <v>8834</v>
      </c>
      <c r="BR1818" t="s">
        <v>28749</v>
      </c>
      <c r="BS1818" t="s">
        <v>1573</v>
      </c>
      <c r="BT1818" t="s">
        <v>69</v>
      </c>
      <c r="BU1818" t="s">
        <v>69</v>
      </c>
      <c r="BV1818" t="s">
        <v>69</v>
      </c>
      <c r="BW1818" t="s">
        <v>69</v>
      </c>
      <c r="BX1818" t="s">
        <v>8526</v>
      </c>
      <c r="BY1818" t="str">
        <f>HYPERLINK("https%3A%2F%2Fwww.webofscience.com%2Fwos%2Fwoscc%2Ffull-record%2FWOS:000263984000008","View Full Record in Web of Science")</f>
        <v>View Full Record in Web of Science</v>
      </c>
    </row>
    <row r="1819" spans="1:77" ht="12.5" x14ac:dyDescent="0.25">
      <c r="A1819" t="s">
        <v>8495</v>
      </c>
      <c r="B1819" s="7" t="s">
        <v>32933</v>
      </c>
      <c r="C1819" s="7"/>
      <c r="D1819" s="7"/>
      <c r="E1819" s="7"/>
      <c r="F1819" t="s">
        <v>67</v>
      </c>
      <c r="G1819" t="s">
        <v>1937</v>
      </c>
      <c r="H1819" t="s">
        <v>69</v>
      </c>
      <c r="I1819" t="s">
        <v>69</v>
      </c>
      <c r="J1819" t="s">
        <v>69</v>
      </c>
      <c r="K1819" t="s">
        <v>1938</v>
      </c>
      <c r="L1819" t="s">
        <v>69</v>
      </c>
      <c r="M1819" t="s">
        <v>69</v>
      </c>
      <c r="N1819" t="s">
        <v>1939</v>
      </c>
      <c r="O1819" t="s">
        <v>1940</v>
      </c>
      <c r="P1819" t="s">
        <v>69</v>
      </c>
      <c r="Q1819" t="s">
        <v>69</v>
      </c>
      <c r="R1819" t="s">
        <v>8505</v>
      </c>
      <c r="S1819" t="s">
        <v>8506</v>
      </c>
      <c r="T1819" t="s">
        <v>69</v>
      </c>
      <c r="U1819" t="s">
        <v>69</v>
      </c>
      <c r="V1819" t="s">
        <v>69</v>
      </c>
      <c r="W1819" t="s">
        <v>69</v>
      </c>
      <c r="X1819" t="s">
        <v>69</v>
      </c>
      <c r="Y1819" t="s">
        <v>14643</v>
      </c>
      <c r="Z1819" t="s">
        <v>14644</v>
      </c>
      <c r="AA1819" t="s">
        <v>1941</v>
      </c>
      <c r="AB1819" t="s">
        <v>14645</v>
      </c>
      <c r="AC1819" t="s">
        <v>69</v>
      </c>
      <c r="AD1819" t="s">
        <v>14646</v>
      </c>
      <c r="AE1819" t="s">
        <v>14647</v>
      </c>
      <c r="AF1819" t="s">
        <v>1942</v>
      </c>
      <c r="AG1819" t="s">
        <v>14648</v>
      </c>
      <c r="AH1819" t="s">
        <v>69</v>
      </c>
      <c r="AI1819" t="s">
        <v>69</v>
      </c>
      <c r="AJ1819" t="s">
        <v>69</v>
      </c>
      <c r="AK1819" t="s">
        <v>69</v>
      </c>
      <c r="AL1819">
        <v>48</v>
      </c>
      <c r="AM1819">
        <v>10</v>
      </c>
      <c r="AN1819">
        <v>10</v>
      </c>
      <c r="AO1819">
        <v>2</v>
      </c>
      <c r="AP1819">
        <v>12</v>
      </c>
      <c r="AQ1819" t="s">
        <v>8636</v>
      </c>
      <c r="AR1819" t="s">
        <v>8637</v>
      </c>
      <c r="AS1819" t="s">
        <v>8638</v>
      </c>
      <c r="AT1819" t="s">
        <v>1943</v>
      </c>
      <c r="AU1819" t="s">
        <v>1944</v>
      </c>
      <c r="AV1819" t="s">
        <v>69</v>
      </c>
      <c r="AW1819" t="s">
        <v>14649</v>
      </c>
      <c r="AX1819" t="s">
        <v>14650</v>
      </c>
      <c r="AY1819" t="s">
        <v>201</v>
      </c>
      <c r="AZ1819">
        <v>2020</v>
      </c>
      <c r="BA1819">
        <v>165</v>
      </c>
      <c r="BB1819" t="s">
        <v>69</v>
      </c>
      <c r="BC1819" t="s">
        <v>69</v>
      </c>
      <c r="BD1819" t="s">
        <v>69</v>
      </c>
      <c r="BE1819" t="s">
        <v>69</v>
      </c>
      <c r="BF1819" t="s">
        <v>69</v>
      </c>
      <c r="BG1819" t="s">
        <v>69</v>
      </c>
      <c r="BH1819" t="s">
        <v>69</v>
      </c>
      <c r="BI1819">
        <v>107304</v>
      </c>
      <c r="BJ1819" t="s">
        <v>1945</v>
      </c>
      <c r="BK1819" t="str">
        <f>HYPERLINK("http://dx.doi.org/10.1016/j.apacoust.2020.107304","http://dx.doi.org/10.1016/j.apacoust.2020.107304")</f>
        <v>http://dx.doi.org/10.1016/j.apacoust.2020.107304</v>
      </c>
      <c r="BL1819" t="s">
        <v>69</v>
      </c>
      <c r="BM1819" t="s">
        <v>69</v>
      </c>
      <c r="BN1819">
        <v>16</v>
      </c>
      <c r="BO1819" t="s">
        <v>14651</v>
      </c>
      <c r="BP1819" t="s">
        <v>8548</v>
      </c>
      <c r="BQ1819" t="s">
        <v>14651</v>
      </c>
      <c r="BR1819" t="s">
        <v>14652</v>
      </c>
      <c r="BS1819" t="s">
        <v>1946</v>
      </c>
      <c r="BT1819" t="s">
        <v>69</v>
      </c>
      <c r="BU1819" t="s">
        <v>69</v>
      </c>
      <c r="BV1819" t="s">
        <v>69</v>
      </c>
      <c r="BW1819" t="s">
        <v>69</v>
      </c>
      <c r="BX1819" t="s">
        <v>8526</v>
      </c>
      <c r="BY1819" t="str">
        <f>HYPERLINK("https%3A%2F%2Fwww.webofscience.com%2Fwos%2Fwoscc%2Ffull-record%2FWOS:000530083100034","View Full Record in Web of Science")</f>
        <v>View Full Record in Web of Science</v>
      </c>
    </row>
    <row r="1820" spans="1:77" ht="12.5" x14ac:dyDescent="0.25">
      <c r="A1820" t="s">
        <v>8495</v>
      </c>
      <c r="B1820" s="7" t="s">
        <v>32933</v>
      </c>
      <c r="C1820" s="7"/>
      <c r="D1820" s="7"/>
      <c r="E1820" s="7"/>
      <c r="F1820" t="s">
        <v>67</v>
      </c>
      <c r="G1820" t="s">
        <v>840</v>
      </c>
      <c r="H1820" t="s">
        <v>69</v>
      </c>
      <c r="I1820" t="s">
        <v>69</v>
      </c>
      <c r="J1820" t="s">
        <v>69</v>
      </c>
      <c r="K1820" t="s">
        <v>841</v>
      </c>
      <c r="L1820" t="s">
        <v>69</v>
      </c>
      <c r="M1820" t="s">
        <v>69</v>
      </c>
      <c r="N1820" t="s">
        <v>842</v>
      </c>
      <c r="O1820" t="s">
        <v>843</v>
      </c>
      <c r="P1820" t="s">
        <v>69</v>
      </c>
      <c r="Q1820" t="s">
        <v>69</v>
      </c>
      <c r="R1820" t="s">
        <v>8505</v>
      </c>
      <c r="S1820" t="s">
        <v>8506</v>
      </c>
      <c r="T1820" t="s">
        <v>69</v>
      </c>
      <c r="U1820" t="s">
        <v>69</v>
      </c>
      <c r="V1820" t="s">
        <v>69</v>
      </c>
      <c r="W1820" t="s">
        <v>69</v>
      </c>
      <c r="X1820" t="s">
        <v>69</v>
      </c>
      <c r="Y1820" t="s">
        <v>16169</v>
      </c>
      <c r="Z1820" t="s">
        <v>69</v>
      </c>
      <c r="AA1820" t="s">
        <v>844</v>
      </c>
      <c r="AB1820" t="s">
        <v>69</v>
      </c>
      <c r="AC1820" t="s">
        <v>69</v>
      </c>
      <c r="AD1820" t="s">
        <v>69</v>
      </c>
      <c r="AE1820" t="s">
        <v>16170</v>
      </c>
      <c r="AF1820" t="s">
        <v>16171</v>
      </c>
      <c r="AG1820" t="s">
        <v>16172</v>
      </c>
      <c r="AH1820" t="s">
        <v>69</v>
      </c>
      <c r="AI1820" t="s">
        <v>69</v>
      </c>
      <c r="AJ1820" t="s">
        <v>69</v>
      </c>
      <c r="AK1820" t="s">
        <v>69</v>
      </c>
      <c r="AL1820">
        <v>29</v>
      </c>
      <c r="AM1820">
        <v>8</v>
      </c>
      <c r="AN1820">
        <v>8</v>
      </c>
      <c r="AO1820">
        <v>4</v>
      </c>
      <c r="AP1820">
        <v>6</v>
      </c>
      <c r="AQ1820" t="s">
        <v>16173</v>
      </c>
      <c r="AR1820" t="s">
        <v>10518</v>
      </c>
      <c r="AS1820" t="s">
        <v>16174</v>
      </c>
      <c r="AT1820" t="s">
        <v>845</v>
      </c>
      <c r="AU1820" t="s">
        <v>846</v>
      </c>
      <c r="AV1820" t="s">
        <v>69</v>
      </c>
      <c r="AW1820" t="s">
        <v>16175</v>
      </c>
      <c r="AX1820" t="s">
        <v>16176</v>
      </c>
      <c r="AY1820" t="s">
        <v>69</v>
      </c>
      <c r="AZ1820">
        <v>2020</v>
      </c>
      <c r="BA1820">
        <v>5</v>
      </c>
      <c r="BB1820">
        <v>2</v>
      </c>
      <c r="BC1820" t="s">
        <v>69</v>
      </c>
      <c r="BD1820" t="s">
        <v>69</v>
      </c>
      <c r="BE1820" t="s">
        <v>69</v>
      </c>
      <c r="BF1820" t="s">
        <v>69</v>
      </c>
      <c r="BG1820">
        <v>87</v>
      </c>
      <c r="BH1820">
        <v>102</v>
      </c>
      <c r="BI1820" t="s">
        <v>69</v>
      </c>
      <c r="BJ1820" t="s">
        <v>847</v>
      </c>
      <c r="BK1820" t="str">
        <f>HYPERLINK("http://dx.doi.org/10.5267/j.jpm.2020.1.001","http://dx.doi.org/10.5267/j.jpm.2020.1.001")</f>
        <v>http://dx.doi.org/10.5267/j.jpm.2020.1.001</v>
      </c>
      <c r="BL1820" t="s">
        <v>69</v>
      </c>
      <c r="BM1820" t="s">
        <v>69</v>
      </c>
      <c r="BN1820">
        <v>16</v>
      </c>
      <c r="BO1820" t="s">
        <v>16177</v>
      </c>
      <c r="BP1820" t="s">
        <v>8573</v>
      </c>
      <c r="BQ1820" t="s">
        <v>9129</v>
      </c>
      <c r="BR1820" t="s">
        <v>16178</v>
      </c>
      <c r="BS1820" t="s">
        <v>848</v>
      </c>
      <c r="BT1820" t="s">
        <v>69</v>
      </c>
      <c r="BU1820" t="s">
        <v>8931</v>
      </c>
      <c r="BV1820" t="s">
        <v>69</v>
      </c>
      <c r="BW1820" t="s">
        <v>69</v>
      </c>
      <c r="BX1820" t="s">
        <v>8526</v>
      </c>
      <c r="BY1820" t="str">
        <f>HYPERLINK("https%3A%2F%2Fwww.webofscience.com%2Fwos%2Fwoscc%2Ffull-record%2FWOS:000541376300002","View Full Record in Web of Science")</f>
        <v>View Full Record in Web of Science</v>
      </c>
    </row>
    <row r="1821" spans="1:77" ht="12.5" x14ac:dyDescent="0.25">
      <c r="A1821" t="s">
        <v>8495</v>
      </c>
      <c r="B1821" s="22" t="s">
        <v>32931</v>
      </c>
      <c r="C1821" s="7"/>
      <c r="D1821" s="7"/>
      <c r="E1821" s="7"/>
      <c r="F1821" t="s">
        <v>67</v>
      </c>
      <c r="G1821" t="s">
        <v>9190</v>
      </c>
      <c r="H1821" t="s">
        <v>69</v>
      </c>
      <c r="I1821" t="s">
        <v>69</v>
      </c>
      <c r="J1821" t="s">
        <v>69</v>
      </c>
      <c r="K1821" t="s">
        <v>9191</v>
      </c>
      <c r="L1821" t="s">
        <v>69</v>
      </c>
      <c r="M1821" t="s">
        <v>69</v>
      </c>
      <c r="N1821" t="s">
        <v>9192</v>
      </c>
      <c r="O1821" t="s">
        <v>7038</v>
      </c>
      <c r="P1821" t="s">
        <v>69</v>
      </c>
      <c r="Q1821" t="s">
        <v>69</v>
      </c>
      <c r="R1821" t="s">
        <v>8505</v>
      </c>
      <c r="S1821" t="s">
        <v>8506</v>
      </c>
      <c r="T1821" t="s">
        <v>69</v>
      </c>
      <c r="U1821" t="s">
        <v>69</v>
      </c>
      <c r="V1821" t="s">
        <v>69</v>
      </c>
      <c r="W1821" t="s">
        <v>69</v>
      </c>
      <c r="X1821" t="s">
        <v>69</v>
      </c>
      <c r="Y1821" t="s">
        <v>9193</v>
      </c>
      <c r="Z1821" t="s">
        <v>9194</v>
      </c>
      <c r="AA1821" t="s">
        <v>9195</v>
      </c>
      <c r="AB1821" t="s">
        <v>9196</v>
      </c>
      <c r="AC1821" t="s">
        <v>69</v>
      </c>
      <c r="AD1821" t="s">
        <v>9197</v>
      </c>
      <c r="AE1821" t="s">
        <v>9198</v>
      </c>
      <c r="AF1821" t="s">
        <v>9199</v>
      </c>
      <c r="AG1821" t="s">
        <v>9200</v>
      </c>
      <c r="AH1821" t="s">
        <v>9201</v>
      </c>
      <c r="AI1821" t="s">
        <v>9201</v>
      </c>
      <c r="AJ1821" t="s">
        <v>9202</v>
      </c>
      <c r="AK1821" t="s">
        <v>69</v>
      </c>
      <c r="AL1821">
        <v>35</v>
      </c>
      <c r="AM1821">
        <v>0</v>
      </c>
      <c r="AN1821">
        <v>0</v>
      </c>
      <c r="AO1821">
        <v>0</v>
      </c>
      <c r="AP1821">
        <v>0</v>
      </c>
      <c r="AQ1821" t="s">
        <v>9203</v>
      </c>
      <c r="AR1821" t="s">
        <v>8763</v>
      </c>
      <c r="AS1821" t="s">
        <v>9204</v>
      </c>
      <c r="AT1821" t="s">
        <v>7040</v>
      </c>
      <c r="AU1821" t="s">
        <v>69</v>
      </c>
      <c r="AV1821" t="s">
        <v>69</v>
      </c>
      <c r="AW1821" t="s">
        <v>9205</v>
      </c>
      <c r="AX1821" t="s">
        <v>9206</v>
      </c>
      <c r="AY1821" t="s">
        <v>7204</v>
      </c>
      <c r="AZ1821">
        <v>2022</v>
      </c>
      <c r="BA1821">
        <v>20</v>
      </c>
      <c r="BB1821">
        <v>1</v>
      </c>
      <c r="BC1821" t="s">
        <v>69</v>
      </c>
      <c r="BD1821" t="s">
        <v>69</v>
      </c>
      <c r="BE1821" t="s">
        <v>69</v>
      </c>
      <c r="BF1821" t="s">
        <v>69</v>
      </c>
      <c r="BG1821" t="s">
        <v>69</v>
      </c>
      <c r="BH1821" t="s">
        <v>69</v>
      </c>
      <c r="BI1821">
        <v>47</v>
      </c>
      <c r="BJ1821" t="s">
        <v>9207</v>
      </c>
      <c r="BK1821" t="str">
        <f>HYPERLINK("http://dx.doi.org/10.1186/s12961-022-00850-1","http://dx.doi.org/10.1186/s12961-022-00850-1")</f>
        <v>http://dx.doi.org/10.1186/s12961-022-00850-1</v>
      </c>
      <c r="BL1821" t="s">
        <v>69</v>
      </c>
      <c r="BM1821" t="s">
        <v>69</v>
      </c>
      <c r="BN1821">
        <v>10</v>
      </c>
      <c r="BO1821" t="s">
        <v>9208</v>
      </c>
      <c r="BP1821" t="s">
        <v>8661</v>
      </c>
      <c r="BQ1821" t="s">
        <v>9209</v>
      </c>
      <c r="BR1821" t="s">
        <v>9210</v>
      </c>
      <c r="BS1821" t="s">
        <v>9211</v>
      </c>
      <c r="BT1821">
        <v>35484602</v>
      </c>
      <c r="BU1821" t="s">
        <v>69</v>
      </c>
      <c r="BV1821" t="s">
        <v>69</v>
      </c>
      <c r="BW1821" t="s">
        <v>69</v>
      </c>
      <c r="BX1821" t="s">
        <v>8526</v>
      </c>
      <c r="BY1821" t="str">
        <f>HYPERLINK("https%3A%2F%2Fwww.webofscience.com%2Fwos%2Fwoscc%2Ffull-record%2FWOS:000788581800001","View Full Record in Web of Science")</f>
        <v>View Full Record in Web of Science</v>
      </c>
    </row>
    <row r="1822" spans="1:77" x14ac:dyDescent="0.3">
      <c r="A1822" t="s">
        <v>8495</v>
      </c>
      <c r="B1822" s="9" t="s">
        <v>32954</v>
      </c>
      <c r="C1822" s="9" t="s">
        <v>33121</v>
      </c>
      <c r="D1822" s="9" t="s">
        <v>8491</v>
      </c>
      <c r="E1822" s="9" t="s">
        <v>8490</v>
      </c>
      <c r="F1822" t="s">
        <v>67</v>
      </c>
      <c r="G1822" t="s">
        <v>16750</v>
      </c>
      <c r="H1822" t="s">
        <v>69</v>
      </c>
      <c r="I1822" t="s">
        <v>69</v>
      </c>
      <c r="J1822" t="s">
        <v>69</v>
      </c>
      <c r="K1822" t="s">
        <v>16751</v>
      </c>
      <c r="L1822" t="s">
        <v>69</v>
      </c>
      <c r="M1822" t="s">
        <v>69</v>
      </c>
      <c r="N1822" t="s">
        <v>16752</v>
      </c>
      <c r="O1822" t="s">
        <v>352</v>
      </c>
      <c r="P1822" t="s">
        <v>69</v>
      </c>
      <c r="Q1822" t="s">
        <v>69</v>
      </c>
      <c r="R1822" t="s">
        <v>8505</v>
      </c>
      <c r="S1822" t="s">
        <v>8506</v>
      </c>
      <c r="T1822" t="s">
        <v>69</v>
      </c>
      <c r="U1822" t="s">
        <v>69</v>
      </c>
      <c r="V1822" t="s">
        <v>69</v>
      </c>
      <c r="W1822" t="s">
        <v>69</v>
      </c>
      <c r="X1822" t="s">
        <v>69</v>
      </c>
      <c r="Y1822" t="s">
        <v>16753</v>
      </c>
      <c r="Z1822" t="s">
        <v>16754</v>
      </c>
      <c r="AA1822" t="s">
        <v>16755</v>
      </c>
      <c r="AB1822" t="s">
        <v>16756</v>
      </c>
      <c r="AC1822" t="s">
        <v>69</v>
      </c>
      <c r="AD1822" t="s">
        <v>16757</v>
      </c>
      <c r="AE1822" t="s">
        <v>16758</v>
      </c>
      <c r="AF1822" t="s">
        <v>16759</v>
      </c>
      <c r="AG1822" t="s">
        <v>16760</v>
      </c>
      <c r="AH1822" t="s">
        <v>69</v>
      </c>
      <c r="AI1822" t="s">
        <v>69</v>
      </c>
      <c r="AJ1822" t="s">
        <v>69</v>
      </c>
      <c r="AK1822" t="s">
        <v>69</v>
      </c>
      <c r="AL1822">
        <v>40</v>
      </c>
      <c r="AM1822">
        <v>0</v>
      </c>
      <c r="AN1822">
        <v>0</v>
      </c>
      <c r="AO1822">
        <v>1</v>
      </c>
      <c r="AP1822">
        <v>9</v>
      </c>
      <c r="AQ1822" t="s">
        <v>8924</v>
      </c>
      <c r="AR1822" t="s">
        <v>8925</v>
      </c>
      <c r="AS1822" t="s">
        <v>8926</v>
      </c>
      <c r="AT1822" t="s">
        <v>69</v>
      </c>
      <c r="AU1822" t="s">
        <v>354</v>
      </c>
      <c r="AV1822" t="s">
        <v>69</v>
      </c>
      <c r="AW1822" t="s">
        <v>8958</v>
      </c>
      <c r="AX1822" t="s">
        <v>8434</v>
      </c>
      <c r="AY1822" t="s">
        <v>477</v>
      </c>
      <c r="AZ1822">
        <v>2019</v>
      </c>
      <c r="BA1822">
        <v>11</v>
      </c>
      <c r="BB1822">
        <v>17</v>
      </c>
      <c r="BC1822" t="s">
        <v>69</v>
      </c>
      <c r="BD1822" t="s">
        <v>69</v>
      </c>
      <c r="BE1822" t="s">
        <v>69</v>
      </c>
      <c r="BF1822" t="s">
        <v>69</v>
      </c>
      <c r="BG1822" t="s">
        <v>69</v>
      </c>
      <c r="BH1822" t="s">
        <v>69</v>
      </c>
      <c r="BI1822">
        <v>4679</v>
      </c>
      <c r="BJ1822" t="s">
        <v>16761</v>
      </c>
      <c r="BK1822" t="str">
        <f>HYPERLINK("http://dx.doi.org/10.3390/su11174679","http://dx.doi.org/10.3390/su11174679")</f>
        <v>http://dx.doi.org/10.3390/su11174679</v>
      </c>
      <c r="BL1822" t="s">
        <v>69</v>
      </c>
      <c r="BM1822" t="s">
        <v>69</v>
      </c>
      <c r="BN1822">
        <v>17</v>
      </c>
      <c r="BO1822" t="s">
        <v>8960</v>
      </c>
      <c r="BP1822" t="s">
        <v>8523</v>
      </c>
      <c r="BQ1822" t="s">
        <v>8961</v>
      </c>
      <c r="BR1822" t="s">
        <v>16762</v>
      </c>
      <c r="BS1822" t="s">
        <v>16764</v>
      </c>
      <c r="BT1822" t="s">
        <v>69</v>
      </c>
      <c r="BU1822" t="s">
        <v>16763</v>
      </c>
      <c r="BV1822" t="s">
        <v>69</v>
      </c>
      <c r="BW1822" t="s">
        <v>69</v>
      </c>
      <c r="BX1822" t="s">
        <v>8526</v>
      </c>
      <c r="BY1822" t="str">
        <f>HYPERLINK("https%3A%2F%2Fwww.webofscience.com%2Fwos%2Fwoscc%2Ffull-record%2FWOS:000486877700167","View Full Record in Web of Science")</f>
        <v>View Full Record in Web of Science</v>
      </c>
    </row>
    <row r="1823" spans="1:77" ht="12.5" x14ac:dyDescent="0.25">
      <c r="A1823" t="s">
        <v>8495</v>
      </c>
      <c r="B1823" s="7" t="s">
        <v>32933</v>
      </c>
      <c r="C1823" s="7"/>
      <c r="D1823" s="7"/>
      <c r="E1823" s="7"/>
      <c r="F1823" t="s">
        <v>67</v>
      </c>
      <c r="G1823" t="s">
        <v>1134</v>
      </c>
      <c r="H1823" t="s">
        <v>69</v>
      </c>
      <c r="I1823" t="s">
        <v>69</v>
      </c>
      <c r="J1823" t="s">
        <v>69</v>
      </c>
      <c r="K1823" t="s">
        <v>1135</v>
      </c>
      <c r="L1823" t="s">
        <v>69</v>
      </c>
      <c r="M1823" t="s">
        <v>69</v>
      </c>
      <c r="N1823" t="s">
        <v>1136</v>
      </c>
      <c r="O1823" t="s">
        <v>1137</v>
      </c>
      <c r="P1823" t="s">
        <v>69</v>
      </c>
      <c r="Q1823" t="s">
        <v>69</v>
      </c>
      <c r="R1823" t="s">
        <v>8505</v>
      </c>
      <c r="S1823" t="s">
        <v>8506</v>
      </c>
      <c r="T1823" t="s">
        <v>69</v>
      </c>
      <c r="U1823" t="s">
        <v>69</v>
      </c>
      <c r="V1823" t="s">
        <v>69</v>
      </c>
      <c r="W1823" t="s">
        <v>69</v>
      </c>
      <c r="X1823" t="s">
        <v>69</v>
      </c>
      <c r="Y1823" t="s">
        <v>19791</v>
      </c>
      <c r="Z1823" t="s">
        <v>19792</v>
      </c>
      <c r="AA1823" t="s">
        <v>1138</v>
      </c>
      <c r="AB1823" t="s">
        <v>19793</v>
      </c>
      <c r="AC1823" t="s">
        <v>69</v>
      </c>
      <c r="AD1823" t="s">
        <v>19794</v>
      </c>
      <c r="AE1823" t="s">
        <v>69</v>
      </c>
      <c r="AF1823" t="s">
        <v>69</v>
      </c>
      <c r="AG1823" t="s">
        <v>69</v>
      </c>
      <c r="AH1823" t="s">
        <v>69</v>
      </c>
      <c r="AI1823" t="s">
        <v>69</v>
      </c>
      <c r="AJ1823" t="s">
        <v>69</v>
      </c>
      <c r="AK1823" t="s">
        <v>69</v>
      </c>
      <c r="AL1823">
        <v>15</v>
      </c>
      <c r="AM1823">
        <v>2</v>
      </c>
      <c r="AN1823">
        <v>3</v>
      </c>
      <c r="AO1823">
        <v>0</v>
      </c>
      <c r="AP1823">
        <v>15</v>
      </c>
      <c r="AQ1823" t="s">
        <v>19795</v>
      </c>
      <c r="AR1823" t="s">
        <v>19796</v>
      </c>
      <c r="AS1823" t="s">
        <v>19797</v>
      </c>
      <c r="AT1823" t="s">
        <v>1139</v>
      </c>
      <c r="AU1823" t="s">
        <v>69</v>
      </c>
      <c r="AV1823" t="s">
        <v>69</v>
      </c>
      <c r="AW1823" t="s">
        <v>19798</v>
      </c>
      <c r="AX1823" t="s">
        <v>19799</v>
      </c>
      <c r="AY1823" t="s">
        <v>274</v>
      </c>
      <c r="AZ1823">
        <v>2017</v>
      </c>
      <c r="BA1823">
        <v>10</v>
      </c>
      <c r="BB1823">
        <v>5</v>
      </c>
      <c r="BC1823" t="s">
        <v>69</v>
      </c>
      <c r="BD1823" t="s">
        <v>69</v>
      </c>
      <c r="BE1823" t="s">
        <v>69</v>
      </c>
      <c r="BF1823" t="s">
        <v>69</v>
      </c>
      <c r="BG1823">
        <v>144</v>
      </c>
      <c r="BH1823">
        <v>152</v>
      </c>
      <c r="BI1823" t="s">
        <v>69</v>
      </c>
      <c r="BJ1823" t="s">
        <v>69</v>
      </c>
      <c r="BK1823" t="s">
        <v>69</v>
      </c>
      <c r="BL1823" t="s">
        <v>69</v>
      </c>
      <c r="BM1823" t="s">
        <v>69</v>
      </c>
      <c r="BN1823">
        <v>9</v>
      </c>
      <c r="BO1823" t="s">
        <v>8444</v>
      </c>
      <c r="BP1823" t="s">
        <v>8573</v>
      </c>
      <c r="BQ1823" t="s">
        <v>8594</v>
      </c>
      <c r="BR1823" t="s">
        <v>19800</v>
      </c>
      <c r="BS1823" t="s">
        <v>1140</v>
      </c>
      <c r="BT1823" t="s">
        <v>69</v>
      </c>
      <c r="BU1823" t="s">
        <v>69</v>
      </c>
      <c r="BV1823" t="s">
        <v>69</v>
      </c>
      <c r="BW1823" t="s">
        <v>69</v>
      </c>
      <c r="BX1823" t="s">
        <v>8526</v>
      </c>
      <c r="BY1823" t="str">
        <f>HYPERLINK("https%3A%2F%2Fwww.webofscience.com%2Fwos%2Fwoscc%2Ffull-record%2FWOS:000430113200016","View Full Record in Web of Science")</f>
        <v>View Full Record in Web of Science</v>
      </c>
    </row>
    <row r="1824" spans="1:77" ht="12.5" x14ac:dyDescent="0.25">
      <c r="A1824" t="s">
        <v>8495</v>
      </c>
      <c r="B1824" s="7" t="s">
        <v>32933</v>
      </c>
      <c r="C1824" s="7"/>
      <c r="D1824" s="7"/>
      <c r="E1824" s="7"/>
      <c r="F1824" t="s">
        <v>67</v>
      </c>
      <c r="G1824" t="s">
        <v>8120</v>
      </c>
      <c r="H1824" t="s">
        <v>69</v>
      </c>
      <c r="I1824" t="s">
        <v>69</v>
      </c>
      <c r="J1824" t="s">
        <v>69</v>
      </c>
      <c r="K1824" t="s">
        <v>8121</v>
      </c>
      <c r="L1824" t="s">
        <v>69</v>
      </c>
      <c r="M1824" t="s">
        <v>69</v>
      </c>
      <c r="N1824" s="3" t="s">
        <v>8122</v>
      </c>
      <c r="O1824" t="s">
        <v>6571</v>
      </c>
      <c r="P1824" t="s">
        <v>69</v>
      </c>
      <c r="Q1824" t="s">
        <v>69</v>
      </c>
      <c r="R1824" t="s">
        <v>8505</v>
      </c>
      <c r="S1824" t="s">
        <v>8506</v>
      </c>
      <c r="T1824" t="s">
        <v>69</v>
      </c>
      <c r="U1824" t="s">
        <v>69</v>
      </c>
      <c r="V1824" t="s">
        <v>69</v>
      </c>
      <c r="W1824" t="s">
        <v>69</v>
      </c>
      <c r="X1824" t="s">
        <v>69</v>
      </c>
      <c r="Y1824" t="s">
        <v>21149</v>
      </c>
      <c r="Z1824" t="s">
        <v>21150</v>
      </c>
      <c r="AA1824" t="s">
        <v>8123</v>
      </c>
      <c r="AB1824" t="s">
        <v>21151</v>
      </c>
      <c r="AC1824" t="s">
        <v>69</v>
      </c>
      <c r="AD1824" t="s">
        <v>21152</v>
      </c>
      <c r="AE1824" t="s">
        <v>21153</v>
      </c>
      <c r="AF1824" t="s">
        <v>8124</v>
      </c>
      <c r="AG1824" t="s">
        <v>8125</v>
      </c>
      <c r="AH1824" t="s">
        <v>21154</v>
      </c>
      <c r="AI1824" t="s">
        <v>21155</v>
      </c>
      <c r="AJ1824" t="s">
        <v>21156</v>
      </c>
      <c r="AK1824" t="s">
        <v>69</v>
      </c>
      <c r="AL1824">
        <v>82</v>
      </c>
      <c r="AM1824">
        <v>29</v>
      </c>
      <c r="AN1824">
        <v>34</v>
      </c>
      <c r="AO1824">
        <v>8</v>
      </c>
      <c r="AP1824">
        <v>134</v>
      </c>
      <c r="AQ1824" t="s">
        <v>8692</v>
      </c>
      <c r="AR1824" t="s">
        <v>8693</v>
      </c>
      <c r="AS1824" t="s">
        <v>18139</v>
      </c>
      <c r="AT1824" t="s">
        <v>6573</v>
      </c>
      <c r="AU1824" t="s">
        <v>6574</v>
      </c>
      <c r="AV1824" t="s">
        <v>69</v>
      </c>
      <c r="AW1824" t="s">
        <v>10988</v>
      </c>
      <c r="AX1824" t="s">
        <v>10989</v>
      </c>
      <c r="AY1824" t="s">
        <v>75</v>
      </c>
      <c r="AZ1824">
        <v>2016</v>
      </c>
      <c r="BA1824">
        <v>113</v>
      </c>
      <c r="BB1824" t="s">
        <v>69</v>
      </c>
      <c r="BC1824" t="s">
        <v>514</v>
      </c>
      <c r="BD1824" t="s">
        <v>69</v>
      </c>
      <c r="BE1824" t="s">
        <v>69</v>
      </c>
      <c r="BF1824" t="s">
        <v>69</v>
      </c>
      <c r="BG1824">
        <v>266</v>
      </c>
      <c r="BH1824">
        <v>279</v>
      </c>
      <c r="BI1824" t="s">
        <v>69</v>
      </c>
      <c r="BJ1824" t="s">
        <v>8126</v>
      </c>
      <c r="BK1824" t="str">
        <f>HYPERLINK("http://dx.doi.org/10.1016/j.techfore.2015.07.013","http://dx.doi.org/10.1016/j.techfore.2015.07.013")</f>
        <v>http://dx.doi.org/10.1016/j.techfore.2015.07.013</v>
      </c>
      <c r="BL1824" t="s">
        <v>69</v>
      </c>
      <c r="BM1824" t="s">
        <v>69</v>
      </c>
      <c r="BN1824">
        <v>14</v>
      </c>
      <c r="BO1824" t="s">
        <v>10992</v>
      </c>
      <c r="BP1824" t="s">
        <v>8661</v>
      </c>
      <c r="BQ1824" t="s">
        <v>10993</v>
      </c>
      <c r="BR1824" t="s">
        <v>21157</v>
      </c>
      <c r="BS1824" t="s">
        <v>8127</v>
      </c>
      <c r="BT1824" t="s">
        <v>69</v>
      </c>
      <c r="BU1824" t="s">
        <v>10423</v>
      </c>
      <c r="BV1824" t="s">
        <v>69</v>
      </c>
      <c r="BW1824" t="s">
        <v>69</v>
      </c>
      <c r="BX1824" t="s">
        <v>8526</v>
      </c>
      <c r="BY1824" t="str">
        <f>HYPERLINK("https%3A%2F%2Fwww.webofscience.com%2Fwos%2Fwoscc%2Ffull-record%2FWOS:000390735000012","View Full Record in Web of Science")</f>
        <v>View Full Record in Web of Science</v>
      </c>
    </row>
    <row r="1825" spans="1:77" ht="12.5" x14ac:dyDescent="0.25">
      <c r="A1825" t="s">
        <v>8495</v>
      </c>
      <c r="B1825" s="7" t="s">
        <v>32933</v>
      </c>
      <c r="C1825" s="7"/>
      <c r="D1825" s="7"/>
      <c r="E1825" s="7"/>
      <c r="F1825" t="s">
        <v>67</v>
      </c>
      <c r="G1825" t="s">
        <v>4723</v>
      </c>
      <c r="H1825" t="s">
        <v>69</v>
      </c>
      <c r="I1825" t="s">
        <v>69</v>
      </c>
      <c r="J1825" t="s">
        <v>69</v>
      </c>
      <c r="K1825" t="s">
        <v>4724</v>
      </c>
      <c r="L1825" t="s">
        <v>69</v>
      </c>
      <c r="M1825" t="s">
        <v>69</v>
      </c>
      <c r="N1825" t="s">
        <v>4725</v>
      </c>
      <c r="O1825" t="s">
        <v>1360</v>
      </c>
      <c r="P1825" t="s">
        <v>69</v>
      </c>
      <c r="Q1825" t="s">
        <v>69</v>
      </c>
      <c r="R1825" t="s">
        <v>8505</v>
      </c>
      <c r="S1825" t="s">
        <v>8506</v>
      </c>
      <c r="T1825" t="s">
        <v>69</v>
      </c>
      <c r="U1825" t="s">
        <v>69</v>
      </c>
      <c r="V1825" t="s">
        <v>69</v>
      </c>
      <c r="W1825" t="s">
        <v>69</v>
      </c>
      <c r="X1825" t="s">
        <v>69</v>
      </c>
      <c r="Y1825" t="s">
        <v>16531</v>
      </c>
      <c r="Z1825" t="s">
        <v>16532</v>
      </c>
      <c r="AA1825" t="s">
        <v>4726</v>
      </c>
      <c r="AB1825" t="s">
        <v>16533</v>
      </c>
      <c r="AC1825" t="s">
        <v>69</v>
      </c>
      <c r="AD1825" t="s">
        <v>16534</v>
      </c>
      <c r="AE1825" t="s">
        <v>16535</v>
      </c>
      <c r="AF1825" t="s">
        <v>69</v>
      </c>
      <c r="AG1825" t="s">
        <v>16536</v>
      </c>
      <c r="AH1825" t="s">
        <v>69</v>
      </c>
      <c r="AI1825" t="s">
        <v>69</v>
      </c>
      <c r="AJ1825" t="s">
        <v>69</v>
      </c>
      <c r="AK1825" t="s">
        <v>69</v>
      </c>
      <c r="AL1825">
        <v>42</v>
      </c>
      <c r="AM1825">
        <v>4</v>
      </c>
      <c r="AN1825">
        <v>4</v>
      </c>
      <c r="AO1825">
        <v>0</v>
      </c>
      <c r="AP1825">
        <v>11</v>
      </c>
      <c r="AQ1825" t="s">
        <v>8636</v>
      </c>
      <c r="AR1825" t="s">
        <v>8637</v>
      </c>
      <c r="AS1825" t="s">
        <v>8638</v>
      </c>
      <c r="AT1825" t="s">
        <v>1364</v>
      </c>
      <c r="AU1825" t="s">
        <v>1365</v>
      </c>
      <c r="AV1825" t="s">
        <v>69</v>
      </c>
      <c r="AW1825" t="s">
        <v>9698</v>
      </c>
      <c r="AX1825" t="s">
        <v>9699</v>
      </c>
      <c r="AY1825" t="s">
        <v>274</v>
      </c>
      <c r="AZ1825">
        <v>2019</v>
      </c>
      <c r="BA1825">
        <v>101</v>
      </c>
      <c r="BB1825" t="s">
        <v>69</v>
      </c>
      <c r="BC1825" t="s">
        <v>69</v>
      </c>
      <c r="BD1825" t="s">
        <v>69</v>
      </c>
      <c r="BE1825" t="s">
        <v>69</v>
      </c>
      <c r="BF1825" t="s">
        <v>69</v>
      </c>
      <c r="BG1825">
        <v>126</v>
      </c>
      <c r="BH1825">
        <v>135</v>
      </c>
      <c r="BI1825" t="s">
        <v>69</v>
      </c>
      <c r="BJ1825" t="s">
        <v>4727</v>
      </c>
      <c r="BK1825" t="str">
        <f>HYPERLINK("http://dx.doi.org/10.1016/j.envsci.2019.07.018","http://dx.doi.org/10.1016/j.envsci.2019.07.018")</f>
        <v>http://dx.doi.org/10.1016/j.envsci.2019.07.018</v>
      </c>
      <c r="BL1825" t="s">
        <v>69</v>
      </c>
      <c r="BM1825" t="s">
        <v>69</v>
      </c>
      <c r="BN1825">
        <v>10</v>
      </c>
      <c r="BO1825" t="s">
        <v>8717</v>
      </c>
      <c r="BP1825" t="s">
        <v>8548</v>
      </c>
      <c r="BQ1825" t="s">
        <v>8662</v>
      </c>
      <c r="BR1825" t="s">
        <v>16537</v>
      </c>
      <c r="BS1825" t="s">
        <v>4728</v>
      </c>
      <c r="BT1825" t="s">
        <v>69</v>
      </c>
      <c r="BU1825" t="s">
        <v>10423</v>
      </c>
      <c r="BV1825" t="s">
        <v>69</v>
      </c>
      <c r="BW1825" t="s">
        <v>69</v>
      </c>
      <c r="BX1825" t="s">
        <v>8526</v>
      </c>
      <c r="BY1825" t="str">
        <f>HYPERLINK("https%3A%2F%2Fwww.webofscience.com%2Fwos%2Fwoscc%2Ffull-record%2FWOS:000497600400016","View Full Record in Web of Science")</f>
        <v>View Full Record in Web of Science</v>
      </c>
    </row>
    <row r="1826" spans="1:77" ht="12.5" x14ac:dyDescent="0.25">
      <c r="A1826" t="s">
        <v>8495</v>
      </c>
      <c r="B1826" s="22" t="s">
        <v>32931</v>
      </c>
      <c r="C1826" s="7"/>
      <c r="D1826" s="7"/>
      <c r="E1826" s="7"/>
      <c r="F1826" t="s">
        <v>67</v>
      </c>
      <c r="G1826" t="s">
        <v>30075</v>
      </c>
      <c r="H1826" t="s">
        <v>69</v>
      </c>
      <c r="I1826" t="s">
        <v>69</v>
      </c>
      <c r="J1826" t="s">
        <v>69</v>
      </c>
      <c r="K1826" t="s">
        <v>30076</v>
      </c>
      <c r="L1826" t="s">
        <v>69</v>
      </c>
      <c r="M1826" t="s">
        <v>69</v>
      </c>
      <c r="N1826" t="s">
        <v>30077</v>
      </c>
      <c r="O1826" t="s">
        <v>30078</v>
      </c>
      <c r="P1826" t="s">
        <v>69</v>
      </c>
      <c r="Q1826" t="s">
        <v>69</v>
      </c>
      <c r="R1826" t="s">
        <v>8505</v>
      </c>
      <c r="S1826" t="s">
        <v>8506</v>
      </c>
      <c r="T1826" t="s">
        <v>69</v>
      </c>
      <c r="U1826" t="s">
        <v>69</v>
      </c>
      <c r="V1826" t="s">
        <v>69</v>
      </c>
      <c r="W1826" t="s">
        <v>69</v>
      </c>
      <c r="X1826" t="s">
        <v>69</v>
      </c>
      <c r="Y1826" t="s">
        <v>30079</v>
      </c>
      <c r="Z1826" t="s">
        <v>69</v>
      </c>
      <c r="AA1826" t="s">
        <v>30080</v>
      </c>
      <c r="AB1826" t="s">
        <v>30081</v>
      </c>
      <c r="AC1826" t="s">
        <v>69</v>
      </c>
      <c r="AD1826" t="s">
        <v>30082</v>
      </c>
      <c r="AE1826" t="s">
        <v>30083</v>
      </c>
      <c r="AF1826" t="s">
        <v>69</v>
      </c>
      <c r="AG1826" t="s">
        <v>69</v>
      </c>
      <c r="AH1826" t="s">
        <v>69</v>
      </c>
      <c r="AI1826" t="s">
        <v>69</v>
      </c>
      <c r="AJ1826" t="s">
        <v>69</v>
      </c>
      <c r="AK1826" t="s">
        <v>69</v>
      </c>
      <c r="AL1826">
        <v>12</v>
      </c>
      <c r="AM1826">
        <v>3</v>
      </c>
      <c r="AN1826">
        <v>3</v>
      </c>
      <c r="AO1826">
        <v>0</v>
      </c>
      <c r="AP1826">
        <v>2</v>
      </c>
      <c r="AQ1826" t="s">
        <v>17140</v>
      </c>
      <c r="AR1826" t="s">
        <v>8517</v>
      </c>
      <c r="AS1826" t="s">
        <v>17141</v>
      </c>
      <c r="AT1826" t="s">
        <v>30084</v>
      </c>
      <c r="AU1826" t="s">
        <v>30085</v>
      </c>
      <c r="AV1826" t="s">
        <v>69</v>
      </c>
      <c r="AW1826" t="s">
        <v>30086</v>
      </c>
      <c r="AX1826" t="s">
        <v>30087</v>
      </c>
      <c r="AY1826" t="s">
        <v>75</v>
      </c>
      <c r="AZ1826">
        <v>2006</v>
      </c>
      <c r="BA1826">
        <v>20</v>
      </c>
      <c r="BB1826">
        <v>4</v>
      </c>
      <c r="BC1826" t="s">
        <v>69</v>
      </c>
      <c r="BD1826" t="s">
        <v>69</v>
      </c>
      <c r="BE1826" t="s">
        <v>69</v>
      </c>
      <c r="BF1826" t="s">
        <v>69</v>
      </c>
      <c r="BG1826">
        <v>619</v>
      </c>
      <c r="BH1826">
        <v>635</v>
      </c>
      <c r="BI1826" t="s">
        <v>69</v>
      </c>
      <c r="BJ1826" t="s">
        <v>30088</v>
      </c>
      <c r="BK1826" t="str">
        <f>HYPERLINK("http://dx.doi.org/10.1016/j.bpa.2006.10.003","http://dx.doi.org/10.1016/j.bpa.2006.10.003")</f>
        <v>http://dx.doi.org/10.1016/j.bpa.2006.10.003</v>
      </c>
      <c r="BL1826" t="s">
        <v>69</v>
      </c>
      <c r="BM1826" t="s">
        <v>69</v>
      </c>
      <c r="BN1826">
        <v>17</v>
      </c>
      <c r="BO1826" t="s">
        <v>20540</v>
      </c>
      <c r="BP1826" t="s">
        <v>8573</v>
      </c>
      <c r="BQ1826" t="s">
        <v>20540</v>
      </c>
      <c r="BR1826" t="s">
        <v>30089</v>
      </c>
      <c r="BS1826" t="s">
        <v>30090</v>
      </c>
      <c r="BT1826">
        <v>17219945</v>
      </c>
      <c r="BU1826" t="s">
        <v>69</v>
      </c>
      <c r="BV1826" t="s">
        <v>69</v>
      </c>
      <c r="BW1826" t="s">
        <v>69</v>
      </c>
      <c r="BX1826" t="s">
        <v>8526</v>
      </c>
      <c r="BY1826" t="str">
        <f>HYPERLINK("https%3A%2F%2Fwww.webofscience.com%2Fwos%2Fwoscc%2Ffull-record%2FWOS:000215378500010","View Full Record in Web of Science")</f>
        <v>View Full Record in Web of Science</v>
      </c>
    </row>
    <row r="1827" spans="1:77" ht="12.5" x14ac:dyDescent="0.25">
      <c r="A1827" t="s">
        <v>8495</v>
      </c>
      <c r="B1827" s="22" t="s">
        <v>32931</v>
      </c>
      <c r="C1827" s="7"/>
      <c r="D1827" s="7"/>
      <c r="E1827" s="7"/>
      <c r="F1827" t="s">
        <v>67</v>
      </c>
      <c r="G1827" t="s">
        <v>11568</v>
      </c>
      <c r="H1827" t="s">
        <v>69</v>
      </c>
      <c r="I1827" t="s">
        <v>69</v>
      </c>
      <c r="J1827" t="s">
        <v>69</v>
      </c>
      <c r="K1827" t="s">
        <v>11569</v>
      </c>
      <c r="L1827" t="s">
        <v>69</v>
      </c>
      <c r="M1827" t="s">
        <v>69</v>
      </c>
      <c r="N1827" t="s">
        <v>11570</v>
      </c>
      <c r="O1827" t="s">
        <v>11571</v>
      </c>
      <c r="P1827" t="s">
        <v>69</v>
      </c>
      <c r="Q1827" t="s">
        <v>69</v>
      </c>
      <c r="R1827" t="s">
        <v>8505</v>
      </c>
      <c r="S1827" t="s">
        <v>8506</v>
      </c>
      <c r="T1827" t="s">
        <v>69</v>
      </c>
      <c r="U1827" t="s">
        <v>69</v>
      </c>
      <c r="V1827" t="s">
        <v>69</v>
      </c>
      <c r="W1827" t="s">
        <v>69</v>
      </c>
      <c r="X1827" t="s">
        <v>69</v>
      </c>
      <c r="Y1827" t="s">
        <v>11572</v>
      </c>
      <c r="Z1827" t="s">
        <v>11573</v>
      </c>
      <c r="AA1827" t="s">
        <v>11574</v>
      </c>
      <c r="AB1827" t="s">
        <v>11575</v>
      </c>
      <c r="AC1827" t="s">
        <v>69</v>
      </c>
      <c r="AD1827" t="s">
        <v>11576</v>
      </c>
      <c r="AE1827" t="s">
        <v>11577</v>
      </c>
      <c r="AF1827" t="s">
        <v>69</v>
      </c>
      <c r="AG1827" t="s">
        <v>11578</v>
      </c>
      <c r="AH1827" t="s">
        <v>69</v>
      </c>
      <c r="AI1827" t="s">
        <v>69</v>
      </c>
      <c r="AJ1827" t="s">
        <v>69</v>
      </c>
      <c r="AK1827" t="s">
        <v>69</v>
      </c>
      <c r="AL1827">
        <v>32</v>
      </c>
      <c r="AM1827">
        <v>0</v>
      </c>
      <c r="AN1827">
        <v>0</v>
      </c>
      <c r="AO1827">
        <v>1</v>
      </c>
      <c r="AP1827">
        <v>9</v>
      </c>
      <c r="AQ1827" t="s">
        <v>8586</v>
      </c>
      <c r="AR1827" t="s">
        <v>8587</v>
      </c>
      <c r="AS1827" t="s">
        <v>8588</v>
      </c>
      <c r="AT1827" t="s">
        <v>11579</v>
      </c>
      <c r="AU1827" t="s">
        <v>11580</v>
      </c>
      <c r="AV1827" t="s">
        <v>69</v>
      </c>
      <c r="AW1827" t="s">
        <v>11581</v>
      </c>
      <c r="AX1827" t="s">
        <v>11582</v>
      </c>
      <c r="AY1827" t="s">
        <v>11583</v>
      </c>
      <c r="AZ1827">
        <v>2022</v>
      </c>
      <c r="BA1827">
        <v>32</v>
      </c>
      <c r="BB1827">
        <v>1</v>
      </c>
      <c r="BC1827" t="s">
        <v>69</v>
      </c>
      <c r="BD1827" t="s">
        <v>69</v>
      </c>
      <c r="BE1827" t="s">
        <v>69</v>
      </c>
      <c r="BF1827" t="s">
        <v>69</v>
      </c>
      <c r="BG1827">
        <v>43</v>
      </c>
      <c r="BH1827">
        <v>61</v>
      </c>
      <c r="BI1827" t="s">
        <v>69</v>
      </c>
      <c r="BJ1827" t="s">
        <v>11584</v>
      </c>
      <c r="BK1827" t="str">
        <f>HYPERLINK("http://dx.doi.org/10.1108/RMJ-06-2019-0028","http://dx.doi.org/10.1108/RMJ-06-2019-0028")</f>
        <v>http://dx.doi.org/10.1108/RMJ-06-2019-0028</v>
      </c>
      <c r="BL1827" t="s">
        <v>69</v>
      </c>
      <c r="BM1827" t="s">
        <v>11486</v>
      </c>
      <c r="BN1827">
        <v>19</v>
      </c>
      <c r="BO1827" t="s">
        <v>11010</v>
      </c>
      <c r="BP1827" t="s">
        <v>8573</v>
      </c>
      <c r="BQ1827" t="s">
        <v>11010</v>
      </c>
      <c r="BR1827" t="s">
        <v>11585</v>
      </c>
      <c r="BS1827" t="s">
        <v>11586</v>
      </c>
      <c r="BT1827" t="s">
        <v>69</v>
      </c>
      <c r="BU1827" t="s">
        <v>69</v>
      </c>
      <c r="BV1827" t="s">
        <v>69</v>
      </c>
      <c r="BW1827" t="s">
        <v>69</v>
      </c>
      <c r="BX1827" t="s">
        <v>8526</v>
      </c>
      <c r="BY1827" t="str">
        <f>HYPERLINK("https%3A%2F%2Fwww.webofscience.com%2Fwos%2Fwoscc%2Ffull-record%2FWOS:000691562000001","View Full Record in Web of Science")</f>
        <v>View Full Record in Web of Science</v>
      </c>
    </row>
    <row r="1828" spans="1:77" ht="12.5" x14ac:dyDescent="0.25">
      <c r="A1828" t="s">
        <v>8495</v>
      </c>
      <c r="B1828" s="7" t="s">
        <v>32933</v>
      </c>
      <c r="C1828" s="7"/>
      <c r="D1828" s="7"/>
      <c r="E1828" s="7"/>
      <c r="F1828" t="s">
        <v>67</v>
      </c>
      <c r="G1828" t="s">
        <v>3482</v>
      </c>
      <c r="H1828" t="s">
        <v>69</v>
      </c>
      <c r="I1828" t="s">
        <v>69</v>
      </c>
      <c r="J1828" t="s">
        <v>69</v>
      </c>
      <c r="K1828" t="s">
        <v>3483</v>
      </c>
      <c r="L1828" t="s">
        <v>69</v>
      </c>
      <c r="M1828" t="s">
        <v>69</v>
      </c>
      <c r="N1828" t="s">
        <v>3484</v>
      </c>
      <c r="O1828" t="s">
        <v>3485</v>
      </c>
      <c r="P1828" t="s">
        <v>69</v>
      </c>
      <c r="Q1828" t="s">
        <v>69</v>
      </c>
      <c r="R1828" t="s">
        <v>8505</v>
      </c>
      <c r="S1828" t="s">
        <v>8506</v>
      </c>
      <c r="T1828" t="s">
        <v>69</v>
      </c>
      <c r="U1828" t="s">
        <v>69</v>
      </c>
      <c r="V1828" t="s">
        <v>69</v>
      </c>
      <c r="W1828" t="s">
        <v>69</v>
      </c>
      <c r="X1828" t="s">
        <v>69</v>
      </c>
      <c r="Y1828" t="s">
        <v>27193</v>
      </c>
      <c r="Z1828" t="s">
        <v>69</v>
      </c>
      <c r="AA1828" t="s">
        <v>3486</v>
      </c>
      <c r="AB1828" t="s">
        <v>27194</v>
      </c>
      <c r="AC1828" t="s">
        <v>69</v>
      </c>
      <c r="AD1828" t="s">
        <v>27195</v>
      </c>
      <c r="AE1828" t="s">
        <v>27196</v>
      </c>
      <c r="AF1828" t="s">
        <v>69</v>
      </c>
      <c r="AG1828" t="s">
        <v>69</v>
      </c>
      <c r="AH1828" t="s">
        <v>69</v>
      </c>
      <c r="AI1828" t="s">
        <v>69</v>
      </c>
      <c r="AJ1828" t="s">
        <v>69</v>
      </c>
      <c r="AK1828" t="s">
        <v>69</v>
      </c>
      <c r="AL1828">
        <v>3</v>
      </c>
      <c r="AM1828">
        <v>2</v>
      </c>
      <c r="AN1828">
        <v>2</v>
      </c>
      <c r="AO1828">
        <v>0</v>
      </c>
      <c r="AP1828">
        <v>5</v>
      </c>
      <c r="AQ1828" t="s">
        <v>27197</v>
      </c>
      <c r="AR1828" t="s">
        <v>27198</v>
      </c>
      <c r="AS1828" t="s">
        <v>27199</v>
      </c>
      <c r="AT1828" t="s">
        <v>3487</v>
      </c>
      <c r="AU1828" t="s">
        <v>69</v>
      </c>
      <c r="AV1828" t="s">
        <v>69</v>
      </c>
      <c r="AW1828" t="s">
        <v>27200</v>
      </c>
      <c r="AX1828" t="s">
        <v>27201</v>
      </c>
      <c r="AY1828" t="s">
        <v>69</v>
      </c>
      <c r="AZ1828">
        <v>2011</v>
      </c>
      <c r="BA1828">
        <v>28</v>
      </c>
      <c r="BB1828" t="s">
        <v>69</v>
      </c>
      <c r="BC1828" t="s">
        <v>69</v>
      </c>
      <c r="BD1828" t="s">
        <v>69</v>
      </c>
      <c r="BE1828" t="s">
        <v>69</v>
      </c>
      <c r="BF1828" t="s">
        <v>69</v>
      </c>
      <c r="BG1828">
        <v>271</v>
      </c>
      <c r="BH1828">
        <v>276</v>
      </c>
      <c r="BI1828" t="s">
        <v>69</v>
      </c>
      <c r="BJ1828" t="s">
        <v>69</v>
      </c>
      <c r="BK1828" t="s">
        <v>69</v>
      </c>
      <c r="BL1828" t="s">
        <v>69</v>
      </c>
      <c r="BM1828" t="s">
        <v>69</v>
      </c>
      <c r="BN1828">
        <v>6</v>
      </c>
      <c r="BO1828" t="s">
        <v>10815</v>
      </c>
      <c r="BP1828" t="s">
        <v>8548</v>
      </c>
      <c r="BQ1828" t="s">
        <v>8450</v>
      </c>
      <c r="BR1828" t="s">
        <v>27202</v>
      </c>
      <c r="BS1828" t="s">
        <v>3488</v>
      </c>
      <c r="BT1828" t="s">
        <v>69</v>
      </c>
      <c r="BU1828" t="s">
        <v>69</v>
      </c>
      <c r="BV1828" t="s">
        <v>69</v>
      </c>
      <c r="BW1828" t="s">
        <v>69</v>
      </c>
      <c r="BX1828" t="s">
        <v>8526</v>
      </c>
      <c r="BY1828" t="str">
        <f>HYPERLINK("https%3A%2F%2Fwww.webofscience.com%2Fwos%2Fwoscc%2Ffull-record%2FWOS:000297668900038","View Full Record in Web of Science")</f>
        <v>View Full Record in Web of Science</v>
      </c>
    </row>
    <row r="1829" spans="1:77" ht="12.5" x14ac:dyDescent="0.25">
      <c r="A1829" t="s">
        <v>8495</v>
      </c>
      <c r="B1829" s="22" t="s">
        <v>32931</v>
      </c>
      <c r="C1829" s="7"/>
      <c r="D1829" s="7"/>
      <c r="E1829" s="7"/>
      <c r="F1829" t="s">
        <v>67</v>
      </c>
      <c r="G1829" t="s">
        <v>25901</v>
      </c>
      <c r="H1829" t="s">
        <v>69</v>
      </c>
      <c r="I1829" t="s">
        <v>69</v>
      </c>
      <c r="J1829" t="s">
        <v>69</v>
      </c>
      <c r="K1829" t="s">
        <v>25902</v>
      </c>
      <c r="L1829" t="s">
        <v>69</v>
      </c>
      <c r="M1829" t="s">
        <v>69</v>
      </c>
      <c r="N1829" t="s">
        <v>25903</v>
      </c>
      <c r="O1829" t="s">
        <v>25904</v>
      </c>
      <c r="P1829" t="s">
        <v>69</v>
      </c>
      <c r="Q1829" t="s">
        <v>69</v>
      </c>
      <c r="R1829" t="s">
        <v>8505</v>
      </c>
      <c r="S1829" t="s">
        <v>8506</v>
      </c>
      <c r="T1829" t="s">
        <v>69</v>
      </c>
      <c r="U1829" t="s">
        <v>69</v>
      </c>
      <c r="V1829" t="s">
        <v>69</v>
      </c>
      <c r="W1829" t="s">
        <v>69</v>
      </c>
      <c r="X1829" t="s">
        <v>69</v>
      </c>
      <c r="Y1829" t="s">
        <v>25905</v>
      </c>
      <c r="Z1829" t="s">
        <v>69</v>
      </c>
      <c r="AA1829" t="s">
        <v>25906</v>
      </c>
      <c r="AB1829" t="s">
        <v>25907</v>
      </c>
      <c r="AC1829" t="s">
        <v>69</v>
      </c>
      <c r="AD1829" t="s">
        <v>25908</v>
      </c>
      <c r="AE1829" t="s">
        <v>25909</v>
      </c>
      <c r="AF1829" t="s">
        <v>69</v>
      </c>
      <c r="AG1829" t="s">
        <v>69</v>
      </c>
      <c r="AH1829" t="s">
        <v>25910</v>
      </c>
      <c r="AI1829" t="s">
        <v>25910</v>
      </c>
      <c r="AJ1829" t="s">
        <v>25911</v>
      </c>
      <c r="AK1829" t="s">
        <v>69</v>
      </c>
      <c r="AL1829">
        <v>60</v>
      </c>
      <c r="AM1829">
        <v>7</v>
      </c>
      <c r="AN1829">
        <v>7</v>
      </c>
      <c r="AO1829">
        <v>0</v>
      </c>
      <c r="AP1829">
        <v>0</v>
      </c>
      <c r="AQ1829" t="s">
        <v>12850</v>
      </c>
      <c r="AR1829" t="s">
        <v>12851</v>
      </c>
      <c r="AS1829" t="s">
        <v>12852</v>
      </c>
      <c r="AT1829" t="s">
        <v>25912</v>
      </c>
      <c r="AU1829" t="s">
        <v>25913</v>
      </c>
      <c r="AV1829" t="s">
        <v>69</v>
      </c>
      <c r="AW1829" t="s">
        <v>25914</v>
      </c>
      <c r="AX1829" t="s">
        <v>25915</v>
      </c>
      <c r="AY1829" t="s">
        <v>84</v>
      </c>
      <c r="AZ1829">
        <v>2012</v>
      </c>
      <c r="BA1829">
        <v>1</v>
      </c>
      <c r="BB1829">
        <v>2</v>
      </c>
      <c r="BC1829" t="s">
        <v>69</v>
      </c>
      <c r="BD1829" t="s">
        <v>69</v>
      </c>
      <c r="BE1829" t="s">
        <v>69</v>
      </c>
      <c r="BF1829" t="s">
        <v>69</v>
      </c>
      <c r="BG1829">
        <v>97</v>
      </c>
      <c r="BH1829">
        <v>110</v>
      </c>
      <c r="BI1829" t="s">
        <v>69</v>
      </c>
      <c r="BJ1829" t="s">
        <v>25916</v>
      </c>
      <c r="BK1829" t="str">
        <f>HYPERLINK("http://dx.doi.org/10.1177/2277975213477299","http://dx.doi.org/10.1177/2277975213477299")</f>
        <v>http://dx.doi.org/10.1177/2277975213477299</v>
      </c>
      <c r="BL1829" t="s">
        <v>69</v>
      </c>
      <c r="BM1829" t="s">
        <v>69</v>
      </c>
      <c r="BN1829">
        <v>14</v>
      </c>
      <c r="BO1829" t="s">
        <v>9410</v>
      </c>
      <c r="BP1829" t="s">
        <v>8573</v>
      </c>
      <c r="BQ1829" t="s">
        <v>8594</v>
      </c>
      <c r="BR1829" t="s">
        <v>25917</v>
      </c>
      <c r="BS1829" t="s">
        <v>25918</v>
      </c>
      <c r="BT1829" t="s">
        <v>69</v>
      </c>
      <c r="BU1829" t="s">
        <v>69</v>
      </c>
      <c r="BV1829" t="s">
        <v>69</v>
      </c>
      <c r="BW1829" t="s">
        <v>69</v>
      </c>
      <c r="BX1829" t="s">
        <v>8526</v>
      </c>
      <c r="BY1829" t="str">
        <f>HYPERLINK("https%3A%2F%2Fwww.webofscience.com%2Fwos%2Fwoscc%2Ffull-record%2FWOS:000457910300006","View Full Record in Web of Science")</f>
        <v>View Full Record in Web of Science</v>
      </c>
    </row>
    <row r="1830" spans="1:77" ht="12.5" x14ac:dyDescent="0.25">
      <c r="A1830" t="s">
        <v>8495</v>
      </c>
      <c r="B1830" s="22" t="s">
        <v>32931</v>
      </c>
      <c r="C1830" s="7"/>
      <c r="D1830" s="7"/>
      <c r="E1830" s="7"/>
      <c r="F1830" t="s">
        <v>67</v>
      </c>
      <c r="G1830" t="s">
        <v>27857</v>
      </c>
      <c r="H1830" t="s">
        <v>69</v>
      </c>
      <c r="I1830" t="s">
        <v>69</v>
      </c>
      <c r="J1830" t="s">
        <v>69</v>
      </c>
      <c r="K1830" t="s">
        <v>27858</v>
      </c>
      <c r="L1830" t="s">
        <v>69</v>
      </c>
      <c r="M1830" t="s">
        <v>69</v>
      </c>
      <c r="N1830" t="s">
        <v>27859</v>
      </c>
      <c r="O1830" t="s">
        <v>6063</v>
      </c>
      <c r="P1830" t="s">
        <v>69</v>
      </c>
      <c r="Q1830" t="s">
        <v>69</v>
      </c>
      <c r="R1830" t="s">
        <v>8505</v>
      </c>
      <c r="S1830" t="s">
        <v>8506</v>
      </c>
      <c r="T1830" t="s">
        <v>69</v>
      </c>
      <c r="U1830" t="s">
        <v>69</v>
      </c>
      <c r="V1830" t="s">
        <v>69</v>
      </c>
      <c r="W1830" t="s">
        <v>69</v>
      </c>
      <c r="X1830" t="s">
        <v>69</v>
      </c>
      <c r="Y1830" t="s">
        <v>27860</v>
      </c>
      <c r="Z1830" t="s">
        <v>27861</v>
      </c>
      <c r="AA1830" t="s">
        <v>27862</v>
      </c>
      <c r="AB1830" t="s">
        <v>27863</v>
      </c>
      <c r="AC1830" t="s">
        <v>69</v>
      </c>
      <c r="AD1830" t="s">
        <v>27864</v>
      </c>
      <c r="AE1830" t="s">
        <v>69</v>
      </c>
      <c r="AF1830" t="s">
        <v>69</v>
      </c>
      <c r="AG1830" t="s">
        <v>27865</v>
      </c>
      <c r="AH1830" t="s">
        <v>69</v>
      </c>
      <c r="AI1830" t="s">
        <v>69</v>
      </c>
      <c r="AJ1830" t="s">
        <v>69</v>
      </c>
      <c r="AK1830" t="s">
        <v>69</v>
      </c>
      <c r="AL1830">
        <v>28</v>
      </c>
      <c r="AM1830">
        <v>52</v>
      </c>
      <c r="AN1830">
        <v>53</v>
      </c>
      <c r="AO1830">
        <v>0</v>
      </c>
      <c r="AP1830">
        <v>20</v>
      </c>
      <c r="AQ1830" t="s">
        <v>27866</v>
      </c>
      <c r="AR1830" t="s">
        <v>8763</v>
      </c>
      <c r="AS1830" t="s">
        <v>27867</v>
      </c>
      <c r="AT1830" t="s">
        <v>6066</v>
      </c>
      <c r="AU1830" t="s">
        <v>69</v>
      </c>
      <c r="AV1830" t="s">
        <v>69</v>
      </c>
      <c r="AW1830" t="s">
        <v>27208</v>
      </c>
      <c r="AX1830" t="s">
        <v>27209</v>
      </c>
      <c r="AY1830" t="s">
        <v>94</v>
      </c>
      <c r="AZ1830">
        <v>2010</v>
      </c>
      <c r="BA1830">
        <v>10</v>
      </c>
      <c r="BB1830">
        <v>2</v>
      </c>
      <c r="BC1830" t="s">
        <v>69</v>
      </c>
      <c r="BD1830" t="s">
        <v>69</v>
      </c>
      <c r="BE1830" t="s">
        <v>69</v>
      </c>
      <c r="BF1830" t="s">
        <v>69</v>
      </c>
      <c r="BG1830">
        <v>190</v>
      </c>
      <c r="BH1830">
        <v>215</v>
      </c>
      <c r="BI1830" t="s">
        <v>69</v>
      </c>
      <c r="BJ1830" t="s">
        <v>27868</v>
      </c>
      <c r="BK1830" t="str">
        <f>HYPERLINK("http://dx.doi.org/10.3763/cpol.2009.0659","http://dx.doi.org/10.3763/cpol.2009.0659")</f>
        <v>http://dx.doi.org/10.3763/cpol.2009.0659</v>
      </c>
      <c r="BL1830" t="s">
        <v>69</v>
      </c>
      <c r="BM1830" t="s">
        <v>69</v>
      </c>
      <c r="BN1830">
        <v>26</v>
      </c>
      <c r="BO1830" t="s">
        <v>22445</v>
      </c>
      <c r="BP1830" t="s">
        <v>8661</v>
      </c>
      <c r="BQ1830" t="s">
        <v>15243</v>
      </c>
      <c r="BR1830" t="s">
        <v>27869</v>
      </c>
      <c r="BS1830" t="s">
        <v>27870</v>
      </c>
      <c r="BT1830" t="s">
        <v>69</v>
      </c>
      <c r="BU1830" t="s">
        <v>69</v>
      </c>
      <c r="BV1830" t="s">
        <v>69</v>
      </c>
      <c r="BW1830" t="s">
        <v>69</v>
      </c>
      <c r="BX1830" t="s">
        <v>8526</v>
      </c>
      <c r="BY1830" t="str">
        <f>HYPERLINK("https%3A%2F%2Fwww.webofscience.com%2Fwos%2Fwoscc%2Ffull-record%2FWOS:000276828600006","View Full Record in Web of Science")</f>
        <v>View Full Record in Web of Science</v>
      </c>
    </row>
    <row r="1831" spans="1:77" ht="12.5" x14ac:dyDescent="0.25">
      <c r="A1831" t="s">
        <v>8495</v>
      </c>
      <c r="B1831" s="22" t="s">
        <v>32931</v>
      </c>
      <c r="C1831" s="7"/>
      <c r="D1831" s="7"/>
      <c r="E1831" s="7"/>
      <c r="F1831" t="s">
        <v>67</v>
      </c>
      <c r="G1831" t="s">
        <v>28270</v>
      </c>
      <c r="H1831" t="s">
        <v>69</v>
      </c>
      <c r="I1831" t="s">
        <v>69</v>
      </c>
      <c r="J1831" t="s">
        <v>69</v>
      </c>
      <c r="K1831" t="s">
        <v>28271</v>
      </c>
      <c r="L1831" t="s">
        <v>69</v>
      </c>
      <c r="M1831" t="s">
        <v>69</v>
      </c>
      <c r="N1831" t="s">
        <v>28272</v>
      </c>
      <c r="O1831" t="s">
        <v>1457</v>
      </c>
      <c r="P1831" t="s">
        <v>69</v>
      </c>
      <c r="Q1831" t="s">
        <v>69</v>
      </c>
      <c r="R1831" t="s">
        <v>8505</v>
      </c>
      <c r="S1831" t="s">
        <v>8506</v>
      </c>
      <c r="T1831" t="s">
        <v>69</v>
      </c>
      <c r="U1831" t="s">
        <v>69</v>
      </c>
      <c r="V1831" t="s">
        <v>69</v>
      </c>
      <c r="W1831" t="s">
        <v>69</v>
      </c>
      <c r="X1831" t="s">
        <v>69</v>
      </c>
      <c r="Y1831" t="s">
        <v>69</v>
      </c>
      <c r="Z1831" t="s">
        <v>69</v>
      </c>
      <c r="AA1831" t="s">
        <v>28273</v>
      </c>
      <c r="AB1831" t="s">
        <v>28274</v>
      </c>
      <c r="AC1831" t="s">
        <v>69</v>
      </c>
      <c r="AD1831" t="s">
        <v>28275</v>
      </c>
      <c r="AE1831" t="s">
        <v>28276</v>
      </c>
      <c r="AF1831" t="s">
        <v>69</v>
      </c>
      <c r="AG1831" t="s">
        <v>28277</v>
      </c>
      <c r="AH1831" t="s">
        <v>28278</v>
      </c>
      <c r="AI1831" t="s">
        <v>28278</v>
      </c>
      <c r="AJ1831" t="s">
        <v>28279</v>
      </c>
      <c r="AK1831" t="s">
        <v>69</v>
      </c>
      <c r="AL1831">
        <v>29</v>
      </c>
      <c r="AM1831">
        <v>7</v>
      </c>
      <c r="AN1831">
        <v>7</v>
      </c>
      <c r="AO1831">
        <v>1</v>
      </c>
      <c r="AP1831">
        <v>13</v>
      </c>
      <c r="AQ1831" t="s">
        <v>9554</v>
      </c>
      <c r="AR1831" t="s">
        <v>9555</v>
      </c>
      <c r="AS1831" t="s">
        <v>9556</v>
      </c>
      <c r="AT1831" t="s">
        <v>1460</v>
      </c>
      <c r="AU1831" t="s">
        <v>1461</v>
      </c>
      <c r="AV1831" t="s">
        <v>69</v>
      </c>
      <c r="AW1831" t="s">
        <v>9557</v>
      </c>
      <c r="AX1831" t="s">
        <v>9558</v>
      </c>
      <c r="AY1831" t="s">
        <v>69</v>
      </c>
      <c r="AZ1831">
        <v>2010</v>
      </c>
      <c r="BA1831" t="s">
        <v>69</v>
      </c>
      <c r="BB1831">
        <v>2163</v>
      </c>
      <c r="BC1831" t="s">
        <v>69</v>
      </c>
      <c r="BD1831" t="s">
        <v>69</v>
      </c>
      <c r="BE1831" t="s">
        <v>69</v>
      </c>
      <c r="BF1831" t="s">
        <v>69</v>
      </c>
      <c r="BG1831">
        <v>89</v>
      </c>
      <c r="BH1831">
        <v>96</v>
      </c>
      <c r="BI1831" t="s">
        <v>69</v>
      </c>
      <c r="BJ1831" t="s">
        <v>28280</v>
      </c>
      <c r="BK1831" t="str">
        <f>HYPERLINK("http://dx.doi.org/10.3141/2163-10","http://dx.doi.org/10.3141/2163-10")</f>
        <v>http://dx.doi.org/10.3141/2163-10</v>
      </c>
      <c r="BL1831" t="s">
        <v>69</v>
      </c>
      <c r="BM1831" t="s">
        <v>69</v>
      </c>
      <c r="BN1831">
        <v>8</v>
      </c>
      <c r="BO1831" t="s">
        <v>9560</v>
      </c>
      <c r="BP1831" t="s">
        <v>8523</v>
      </c>
      <c r="BQ1831" t="s">
        <v>9561</v>
      </c>
      <c r="BR1831" t="s">
        <v>28281</v>
      </c>
      <c r="BS1831" t="s">
        <v>28282</v>
      </c>
      <c r="BT1831" t="s">
        <v>69</v>
      </c>
      <c r="BU1831" t="s">
        <v>9292</v>
      </c>
      <c r="BV1831" t="s">
        <v>69</v>
      </c>
      <c r="BW1831" t="s">
        <v>69</v>
      </c>
      <c r="BX1831" t="s">
        <v>8526</v>
      </c>
      <c r="BY1831" t="str">
        <f>HYPERLINK("https%3A%2F%2Fwww.webofscience.com%2Fwos%2Fwoscc%2Ffull-record%2FWOS:000284728800011","View Full Record in Web of Science")</f>
        <v>View Full Record in Web of Science</v>
      </c>
    </row>
    <row r="1832" spans="1:77" ht="12.5" x14ac:dyDescent="0.25">
      <c r="A1832" t="s">
        <v>8495</v>
      </c>
      <c r="B1832" s="7" t="s">
        <v>32933</v>
      </c>
      <c r="C1832" s="7"/>
      <c r="D1832" s="7"/>
      <c r="E1832" s="7"/>
      <c r="F1832" t="s">
        <v>67</v>
      </c>
      <c r="G1832" t="s">
        <v>749</v>
      </c>
      <c r="H1832" t="s">
        <v>69</v>
      </c>
      <c r="I1832" t="s">
        <v>69</v>
      </c>
      <c r="J1832" t="s">
        <v>69</v>
      </c>
      <c r="K1832" t="s">
        <v>750</v>
      </c>
      <c r="L1832" t="s">
        <v>69</v>
      </c>
      <c r="M1832" t="s">
        <v>69</v>
      </c>
      <c r="N1832" t="s">
        <v>751</v>
      </c>
      <c r="O1832" t="s">
        <v>752</v>
      </c>
      <c r="P1832" t="s">
        <v>69</v>
      </c>
      <c r="Q1832" t="s">
        <v>69</v>
      </c>
      <c r="R1832" t="s">
        <v>8505</v>
      </c>
      <c r="S1832" t="s">
        <v>8506</v>
      </c>
      <c r="T1832" t="s">
        <v>69</v>
      </c>
      <c r="U1832" t="s">
        <v>69</v>
      </c>
      <c r="V1832" t="s">
        <v>69</v>
      </c>
      <c r="W1832" t="s">
        <v>69</v>
      </c>
      <c r="X1832" t="s">
        <v>69</v>
      </c>
      <c r="Y1832" t="s">
        <v>15294</v>
      </c>
      <c r="Z1832" t="s">
        <v>15295</v>
      </c>
      <c r="AA1832" t="s">
        <v>753</v>
      </c>
      <c r="AB1832" t="s">
        <v>15296</v>
      </c>
      <c r="AC1832" t="s">
        <v>69</v>
      </c>
      <c r="AD1832" t="s">
        <v>15297</v>
      </c>
      <c r="AE1832" t="s">
        <v>15298</v>
      </c>
      <c r="AF1832" t="s">
        <v>69</v>
      </c>
      <c r="AG1832" t="s">
        <v>69</v>
      </c>
      <c r="AH1832" t="s">
        <v>69</v>
      </c>
      <c r="AI1832" t="s">
        <v>69</v>
      </c>
      <c r="AJ1832" t="s">
        <v>69</v>
      </c>
      <c r="AK1832" t="s">
        <v>69</v>
      </c>
      <c r="AL1832">
        <v>83</v>
      </c>
      <c r="AM1832">
        <v>4</v>
      </c>
      <c r="AN1832">
        <v>4</v>
      </c>
      <c r="AO1832">
        <v>2</v>
      </c>
      <c r="AP1832">
        <v>16</v>
      </c>
      <c r="AQ1832" t="s">
        <v>8636</v>
      </c>
      <c r="AR1832" t="s">
        <v>8637</v>
      </c>
      <c r="AS1832" t="s">
        <v>8638</v>
      </c>
      <c r="AT1832" t="s">
        <v>754</v>
      </c>
      <c r="AU1832" t="s">
        <v>755</v>
      </c>
      <c r="AV1832" t="s">
        <v>69</v>
      </c>
      <c r="AW1832" t="s">
        <v>752</v>
      </c>
      <c r="AX1832" t="s">
        <v>15299</v>
      </c>
      <c r="AY1832" t="s">
        <v>586</v>
      </c>
      <c r="AZ1832">
        <v>2020</v>
      </c>
      <c r="BA1832">
        <v>90</v>
      </c>
      <c r="BB1832" t="s">
        <v>69</v>
      </c>
      <c r="BC1832" t="s">
        <v>69</v>
      </c>
      <c r="BD1832" t="s">
        <v>69</v>
      </c>
      <c r="BE1832" t="s">
        <v>69</v>
      </c>
      <c r="BF1832" t="s">
        <v>69</v>
      </c>
      <c r="BG1832">
        <v>1</v>
      </c>
      <c r="BH1832">
        <v>12</v>
      </c>
      <c r="BI1832" t="s">
        <v>69</v>
      </c>
      <c r="BJ1832" t="s">
        <v>756</v>
      </c>
      <c r="BK1832" t="str">
        <f>HYPERLINK("http://dx.doi.org/10.1016/j.tranpol.2020.02.005","http://dx.doi.org/10.1016/j.tranpol.2020.02.005")</f>
        <v>http://dx.doi.org/10.1016/j.tranpol.2020.02.005</v>
      </c>
      <c r="BL1832" t="s">
        <v>69</v>
      </c>
      <c r="BM1832" t="s">
        <v>69</v>
      </c>
      <c r="BN1832">
        <v>12</v>
      </c>
      <c r="BO1832" t="s">
        <v>15300</v>
      </c>
      <c r="BP1832" t="s">
        <v>8661</v>
      </c>
      <c r="BQ1832" t="s">
        <v>15301</v>
      </c>
      <c r="BR1832" t="s">
        <v>15302</v>
      </c>
      <c r="BS1832" t="s">
        <v>757</v>
      </c>
      <c r="BT1832" t="s">
        <v>69</v>
      </c>
      <c r="BU1832" t="s">
        <v>69</v>
      </c>
      <c r="BV1832" t="s">
        <v>69</v>
      </c>
      <c r="BW1832" t="s">
        <v>69</v>
      </c>
      <c r="BX1832" t="s">
        <v>8526</v>
      </c>
      <c r="BY1832" t="str">
        <f>HYPERLINK("https%3A%2F%2Fwww.webofscience.com%2Fwos%2Fwoscc%2Ffull-record%2FWOS:000527367800001","View Full Record in Web of Science")</f>
        <v>View Full Record in Web of Science</v>
      </c>
    </row>
    <row r="1833" spans="1:77" ht="12.5" x14ac:dyDescent="0.25">
      <c r="A1833" t="s">
        <v>8495</v>
      </c>
      <c r="B1833" s="7" t="s">
        <v>32933</v>
      </c>
      <c r="C1833" s="7"/>
      <c r="D1833" s="7"/>
      <c r="E1833" s="7"/>
      <c r="F1833" t="s">
        <v>67</v>
      </c>
      <c r="G1833" t="s">
        <v>2741</v>
      </c>
      <c r="H1833" t="s">
        <v>69</v>
      </c>
      <c r="I1833" t="s">
        <v>69</v>
      </c>
      <c r="J1833" t="s">
        <v>69</v>
      </c>
      <c r="K1833" t="s">
        <v>2742</v>
      </c>
      <c r="L1833" t="s">
        <v>69</v>
      </c>
      <c r="M1833" t="s">
        <v>69</v>
      </c>
      <c r="N1833" t="s">
        <v>2743</v>
      </c>
      <c r="O1833" t="s">
        <v>2744</v>
      </c>
      <c r="P1833" t="s">
        <v>69</v>
      </c>
      <c r="Q1833" t="s">
        <v>69</v>
      </c>
      <c r="R1833" t="s">
        <v>8505</v>
      </c>
      <c r="S1833" t="s">
        <v>8506</v>
      </c>
      <c r="T1833" t="s">
        <v>69</v>
      </c>
      <c r="U1833" t="s">
        <v>69</v>
      </c>
      <c r="V1833" t="s">
        <v>69</v>
      </c>
      <c r="W1833" t="s">
        <v>69</v>
      </c>
      <c r="X1833" t="s">
        <v>69</v>
      </c>
      <c r="Y1833" t="s">
        <v>20641</v>
      </c>
      <c r="Z1833" t="s">
        <v>20642</v>
      </c>
      <c r="AA1833" t="s">
        <v>2745</v>
      </c>
      <c r="AB1833" t="s">
        <v>20643</v>
      </c>
      <c r="AC1833" t="s">
        <v>69</v>
      </c>
      <c r="AD1833" t="s">
        <v>20644</v>
      </c>
      <c r="AE1833" t="s">
        <v>20645</v>
      </c>
      <c r="AF1833" t="s">
        <v>20646</v>
      </c>
      <c r="AG1833" t="s">
        <v>20647</v>
      </c>
      <c r="AH1833" t="s">
        <v>20648</v>
      </c>
      <c r="AI1833" t="s">
        <v>20649</v>
      </c>
      <c r="AJ1833" t="s">
        <v>20650</v>
      </c>
      <c r="AK1833" t="s">
        <v>69</v>
      </c>
      <c r="AL1833">
        <v>61</v>
      </c>
      <c r="AM1833">
        <v>13</v>
      </c>
      <c r="AN1833">
        <v>13</v>
      </c>
      <c r="AO1833">
        <v>0</v>
      </c>
      <c r="AP1833">
        <v>1</v>
      </c>
      <c r="AQ1833" t="s">
        <v>8865</v>
      </c>
      <c r="AR1833" t="s">
        <v>8612</v>
      </c>
      <c r="AS1833" t="s">
        <v>8866</v>
      </c>
      <c r="AT1833" t="s">
        <v>2746</v>
      </c>
      <c r="AU1833" t="s">
        <v>2747</v>
      </c>
      <c r="AV1833" t="s">
        <v>69</v>
      </c>
      <c r="AW1833" t="s">
        <v>20651</v>
      </c>
      <c r="AX1833" t="s">
        <v>20652</v>
      </c>
      <c r="AY1833" t="s">
        <v>69</v>
      </c>
      <c r="AZ1833">
        <v>2017</v>
      </c>
      <c r="BA1833">
        <v>3</v>
      </c>
      <c r="BB1833">
        <v>2</v>
      </c>
      <c r="BC1833" t="s">
        <v>69</v>
      </c>
      <c r="BD1833" t="s">
        <v>69</v>
      </c>
      <c r="BE1833" t="s">
        <v>114</v>
      </c>
      <c r="BF1833" t="s">
        <v>69</v>
      </c>
      <c r="BG1833">
        <v>91</v>
      </c>
      <c r="BH1833">
        <v>104</v>
      </c>
      <c r="BI1833" t="s">
        <v>69</v>
      </c>
      <c r="BJ1833" t="s">
        <v>2748</v>
      </c>
      <c r="BK1833" t="str">
        <f>HYPERLINK("http://dx.doi.org/10.1080/23288604.2017.1291218","http://dx.doi.org/10.1080/23288604.2017.1291218")</f>
        <v>http://dx.doi.org/10.1080/23288604.2017.1291218</v>
      </c>
      <c r="BL1833" t="s">
        <v>69</v>
      </c>
      <c r="BM1833" t="s">
        <v>69</v>
      </c>
      <c r="BN1833">
        <v>14</v>
      </c>
      <c r="BO1833" t="s">
        <v>19970</v>
      </c>
      <c r="BP1833" t="s">
        <v>8661</v>
      </c>
      <c r="BQ1833" t="s">
        <v>11565</v>
      </c>
      <c r="BR1833" t="s">
        <v>20653</v>
      </c>
      <c r="BS1833" t="s">
        <v>2749</v>
      </c>
      <c r="BT1833">
        <v>31514679</v>
      </c>
      <c r="BU1833" t="s">
        <v>8812</v>
      </c>
      <c r="BV1833" t="s">
        <v>69</v>
      </c>
      <c r="BW1833" t="s">
        <v>69</v>
      </c>
      <c r="BX1833" t="s">
        <v>8526</v>
      </c>
      <c r="BY1833" t="str">
        <f>HYPERLINK("https%3A%2F%2Fwww.webofscience.com%2Fwos%2Fwoscc%2Ffull-record%2FWOS:000445292200004","View Full Record in Web of Science")</f>
        <v>View Full Record in Web of Science</v>
      </c>
    </row>
    <row r="1834" spans="1:77" ht="12.5" x14ac:dyDescent="0.25">
      <c r="A1834" t="s">
        <v>8495</v>
      </c>
      <c r="B1834" s="7" t="s">
        <v>32933</v>
      </c>
      <c r="C1834" s="7"/>
      <c r="D1834" s="7"/>
      <c r="E1834" s="7"/>
      <c r="F1834" t="s">
        <v>67</v>
      </c>
      <c r="G1834" t="s">
        <v>4027</v>
      </c>
      <c r="H1834" t="s">
        <v>69</v>
      </c>
      <c r="I1834" t="s">
        <v>69</v>
      </c>
      <c r="J1834" t="s">
        <v>69</v>
      </c>
      <c r="K1834" t="s">
        <v>4027</v>
      </c>
      <c r="L1834" t="s">
        <v>69</v>
      </c>
      <c r="M1834" t="s">
        <v>69</v>
      </c>
      <c r="N1834" t="s">
        <v>4028</v>
      </c>
      <c r="O1834" t="s">
        <v>4029</v>
      </c>
      <c r="P1834" t="s">
        <v>69</v>
      </c>
      <c r="Q1834" t="s">
        <v>69</v>
      </c>
      <c r="R1834" t="s">
        <v>8505</v>
      </c>
      <c r="S1834" t="s">
        <v>8506</v>
      </c>
      <c r="T1834" t="s">
        <v>69</v>
      </c>
      <c r="U1834" t="s">
        <v>69</v>
      </c>
      <c r="V1834" t="s">
        <v>69</v>
      </c>
      <c r="W1834" t="s">
        <v>69</v>
      </c>
      <c r="X1834" t="s">
        <v>69</v>
      </c>
      <c r="Y1834" t="s">
        <v>69</v>
      </c>
      <c r="Z1834" t="s">
        <v>69</v>
      </c>
      <c r="AA1834" t="s">
        <v>4030</v>
      </c>
      <c r="AB1834" t="s">
        <v>31470</v>
      </c>
      <c r="AC1834" t="s">
        <v>69</v>
      </c>
      <c r="AD1834" t="s">
        <v>31471</v>
      </c>
      <c r="AE1834" t="s">
        <v>69</v>
      </c>
      <c r="AF1834" t="s">
        <v>69</v>
      </c>
      <c r="AG1834" t="s">
        <v>69</v>
      </c>
      <c r="AH1834" t="s">
        <v>69</v>
      </c>
      <c r="AI1834" t="s">
        <v>69</v>
      </c>
      <c r="AJ1834" t="s">
        <v>69</v>
      </c>
      <c r="AK1834" t="s">
        <v>69</v>
      </c>
      <c r="AL1834">
        <v>14</v>
      </c>
      <c r="AM1834">
        <v>0</v>
      </c>
      <c r="AN1834">
        <v>0</v>
      </c>
      <c r="AO1834">
        <v>1</v>
      </c>
      <c r="AP1834">
        <v>5</v>
      </c>
      <c r="AQ1834" t="s">
        <v>31472</v>
      </c>
      <c r="AR1834" t="s">
        <v>10141</v>
      </c>
      <c r="AS1834" t="s">
        <v>31473</v>
      </c>
      <c r="AT1834" t="s">
        <v>4031</v>
      </c>
      <c r="AU1834" t="s">
        <v>69</v>
      </c>
      <c r="AV1834" t="s">
        <v>69</v>
      </c>
      <c r="AW1834" t="s">
        <v>15613</v>
      </c>
      <c r="AX1834" t="s">
        <v>15614</v>
      </c>
      <c r="AY1834" t="s">
        <v>246</v>
      </c>
      <c r="AZ1834">
        <v>2002</v>
      </c>
      <c r="BA1834">
        <v>28</v>
      </c>
      <c r="BB1834">
        <v>2</v>
      </c>
      <c r="BC1834" t="s">
        <v>69</v>
      </c>
      <c r="BD1834" t="s">
        <v>69</v>
      </c>
      <c r="BE1834" t="s">
        <v>69</v>
      </c>
      <c r="BF1834" t="s">
        <v>69</v>
      </c>
      <c r="BG1834">
        <v>291</v>
      </c>
      <c r="BH1834">
        <v>301</v>
      </c>
      <c r="BI1834" t="s">
        <v>69</v>
      </c>
      <c r="BJ1834" t="s">
        <v>4032</v>
      </c>
      <c r="BK1834" t="str">
        <f>HYPERLINK("http://dx.doi.org/10.5589/m02-021","http://dx.doi.org/10.5589/m02-021")</f>
        <v>http://dx.doi.org/10.5589/m02-021</v>
      </c>
      <c r="BL1834" t="s">
        <v>69</v>
      </c>
      <c r="BM1834" t="s">
        <v>69</v>
      </c>
      <c r="BN1834">
        <v>11</v>
      </c>
      <c r="BO1834" t="s">
        <v>15615</v>
      </c>
      <c r="BP1834" t="s">
        <v>8548</v>
      </c>
      <c r="BQ1834" t="s">
        <v>15615</v>
      </c>
      <c r="BR1834" t="s">
        <v>31474</v>
      </c>
      <c r="BS1834" t="s">
        <v>4033</v>
      </c>
      <c r="BT1834" t="s">
        <v>69</v>
      </c>
      <c r="BU1834" t="s">
        <v>69</v>
      </c>
      <c r="BV1834" t="s">
        <v>69</v>
      </c>
      <c r="BW1834" t="s">
        <v>69</v>
      </c>
      <c r="BX1834" t="s">
        <v>8526</v>
      </c>
      <c r="BY1834" t="str">
        <f>HYPERLINK("https%3A%2F%2Fwww.webofscience.com%2Fwos%2Fwoscc%2Ffull-record%2FWOS:000175510300020","View Full Record in Web of Science")</f>
        <v>View Full Record in Web of Science</v>
      </c>
    </row>
    <row r="1835" spans="1:77" ht="12.5" x14ac:dyDescent="0.25">
      <c r="A1835" t="s">
        <v>8495</v>
      </c>
      <c r="B1835" s="22" t="s">
        <v>32931</v>
      </c>
      <c r="C1835" s="7"/>
      <c r="D1835" s="7"/>
      <c r="E1835" s="7"/>
      <c r="F1835" t="s">
        <v>67</v>
      </c>
      <c r="G1835" t="s">
        <v>12511</v>
      </c>
      <c r="H1835" t="s">
        <v>69</v>
      </c>
      <c r="I1835" t="s">
        <v>69</v>
      </c>
      <c r="J1835" t="s">
        <v>69</v>
      </c>
      <c r="K1835" t="s">
        <v>12512</v>
      </c>
      <c r="L1835" t="s">
        <v>69</v>
      </c>
      <c r="M1835" t="s">
        <v>69</v>
      </c>
      <c r="N1835" t="s">
        <v>12513</v>
      </c>
      <c r="O1835" t="s">
        <v>12514</v>
      </c>
      <c r="P1835" t="s">
        <v>69</v>
      </c>
      <c r="Q1835" t="s">
        <v>69</v>
      </c>
      <c r="R1835" t="s">
        <v>8505</v>
      </c>
      <c r="S1835" t="s">
        <v>8506</v>
      </c>
      <c r="T1835" t="s">
        <v>69</v>
      </c>
      <c r="U1835" t="s">
        <v>69</v>
      </c>
      <c r="V1835" t="s">
        <v>69</v>
      </c>
      <c r="W1835" t="s">
        <v>69</v>
      </c>
      <c r="X1835" t="s">
        <v>69</v>
      </c>
      <c r="Y1835" t="s">
        <v>12515</v>
      </c>
      <c r="Z1835" t="s">
        <v>12516</v>
      </c>
      <c r="AA1835" t="s">
        <v>12517</v>
      </c>
      <c r="AB1835" t="s">
        <v>12518</v>
      </c>
      <c r="AC1835" t="s">
        <v>69</v>
      </c>
      <c r="AD1835" t="s">
        <v>12519</v>
      </c>
      <c r="AE1835" t="s">
        <v>12520</v>
      </c>
      <c r="AF1835" t="s">
        <v>12521</v>
      </c>
      <c r="AG1835" t="s">
        <v>12522</v>
      </c>
      <c r="AH1835" t="s">
        <v>12523</v>
      </c>
      <c r="AI1835" t="s">
        <v>12524</v>
      </c>
      <c r="AJ1835" t="s">
        <v>12525</v>
      </c>
      <c r="AK1835" t="s">
        <v>69</v>
      </c>
      <c r="AL1835">
        <v>60</v>
      </c>
      <c r="AM1835">
        <v>1</v>
      </c>
      <c r="AN1835">
        <v>1</v>
      </c>
      <c r="AO1835">
        <v>7</v>
      </c>
      <c r="AP1835">
        <v>11</v>
      </c>
      <c r="AQ1835" t="s">
        <v>8924</v>
      </c>
      <c r="AR1835" t="s">
        <v>8925</v>
      </c>
      <c r="AS1835" t="s">
        <v>8926</v>
      </c>
      <c r="AT1835" t="s">
        <v>69</v>
      </c>
      <c r="AU1835" t="s">
        <v>12526</v>
      </c>
      <c r="AV1835" t="s">
        <v>69</v>
      </c>
      <c r="AW1835" t="s">
        <v>12514</v>
      </c>
      <c r="AX1835" t="s">
        <v>8488</v>
      </c>
      <c r="AY1835" t="s">
        <v>246</v>
      </c>
      <c r="AZ1835">
        <v>2021</v>
      </c>
      <c r="BA1835">
        <v>9</v>
      </c>
      <c r="BB1835">
        <v>4</v>
      </c>
      <c r="BC1835" t="s">
        <v>69</v>
      </c>
      <c r="BD1835" t="s">
        <v>69</v>
      </c>
      <c r="BE1835" t="s">
        <v>69</v>
      </c>
      <c r="BF1835" t="s">
        <v>69</v>
      </c>
      <c r="BG1835" t="s">
        <v>69</v>
      </c>
      <c r="BH1835" t="s">
        <v>69</v>
      </c>
      <c r="BI1835">
        <v>52</v>
      </c>
      <c r="BJ1835" t="s">
        <v>12527</v>
      </c>
      <c r="BK1835" t="str">
        <f>HYPERLINK("http://dx.doi.org/10.3390/cli9040052","http://dx.doi.org/10.3390/cli9040052")</f>
        <v>http://dx.doi.org/10.3390/cli9040052</v>
      </c>
      <c r="BL1835" t="s">
        <v>69</v>
      </c>
      <c r="BM1835" t="s">
        <v>69</v>
      </c>
      <c r="BN1835">
        <v>17</v>
      </c>
      <c r="BO1835" t="s">
        <v>10195</v>
      </c>
      <c r="BP1835" t="s">
        <v>8573</v>
      </c>
      <c r="BQ1835" t="s">
        <v>10195</v>
      </c>
      <c r="BR1835" t="s">
        <v>12528</v>
      </c>
      <c r="BS1835" t="s">
        <v>12529</v>
      </c>
      <c r="BT1835" t="s">
        <v>69</v>
      </c>
      <c r="BU1835" t="s">
        <v>8812</v>
      </c>
      <c r="BV1835" t="s">
        <v>69</v>
      </c>
      <c r="BW1835" t="s">
        <v>69</v>
      </c>
      <c r="BX1835" t="s">
        <v>8526</v>
      </c>
      <c r="BY1835" t="str">
        <f>HYPERLINK("https%3A%2F%2Fwww.webofscience.com%2Fwos%2Fwoscc%2Ffull-record%2FWOS:000642925400001","View Full Record in Web of Science")</f>
        <v>View Full Record in Web of Science</v>
      </c>
    </row>
    <row r="1836" spans="1:77" ht="12.5" x14ac:dyDescent="0.25">
      <c r="A1836" t="s">
        <v>8495</v>
      </c>
      <c r="B1836" s="22" t="s">
        <v>32931</v>
      </c>
      <c r="C1836" s="7"/>
      <c r="D1836" s="7"/>
      <c r="E1836" s="7"/>
      <c r="F1836" t="s">
        <v>67</v>
      </c>
      <c r="G1836" t="s">
        <v>14035</v>
      </c>
      <c r="H1836" t="s">
        <v>69</v>
      </c>
      <c r="I1836" t="s">
        <v>69</v>
      </c>
      <c r="J1836" t="s">
        <v>69</v>
      </c>
      <c r="K1836" t="s">
        <v>14036</v>
      </c>
      <c r="L1836" t="s">
        <v>69</v>
      </c>
      <c r="M1836" t="s">
        <v>69</v>
      </c>
      <c r="N1836" t="s">
        <v>14037</v>
      </c>
      <c r="O1836" t="s">
        <v>14038</v>
      </c>
      <c r="P1836" t="s">
        <v>69</v>
      </c>
      <c r="Q1836" t="s">
        <v>69</v>
      </c>
      <c r="R1836" t="s">
        <v>8505</v>
      </c>
      <c r="S1836" t="s">
        <v>8506</v>
      </c>
      <c r="T1836" t="s">
        <v>69</v>
      </c>
      <c r="U1836" t="s">
        <v>69</v>
      </c>
      <c r="V1836" t="s">
        <v>69</v>
      </c>
      <c r="W1836" t="s">
        <v>69</v>
      </c>
      <c r="X1836" t="s">
        <v>69</v>
      </c>
      <c r="Y1836" t="s">
        <v>14039</v>
      </c>
      <c r="Z1836" t="s">
        <v>10176</v>
      </c>
      <c r="AA1836" t="s">
        <v>14040</v>
      </c>
      <c r="AB1836" t="s">
        <v>14041</v>
      </c>
      <c r="AC1836" t="s">
        <v>69</v>
      </c>
      <c r="AD1836" t="s">
        <v>14042</v>
      </c>
      <c r="AE1836" t="s">
        <v>14043</v>
      </c>
      <c r="AF1836" t="s">
        <v>69</v>
      </c>
      <c r="AG1836" t="s">
        <v>14044</v>
      </c>
      <c r="AH1836" t="s">
        <v>14045</v>
      </c>
      <c r="AI1836" t="s">
        <v>14045</v>
      </c>
      <c r="AJ1836" t="s">
        <v>14046</v>
      </c>
      <c r="AK1836" t="s">
        <v>69</v>
      </c>
      <c r="AL1836">
        <v>29</v>
      </c>
      <c r="AM1836">
        <v>2</v>
      </c>
      <c r="AN1836">
        <v>2</v>
      </c>
      <c r="AO1836">
        <v>0</v>
      </c>
      <c r="AP1836">
        <v>4</v>
      </c>
      <c r="AQ1836" t="s">
        <v>9203</v>
      </c>
      <c r="AR1836" t="s">
        <v>8763</v>
      </c>
      <c r="AS1836" t="s">
        <v>9204</v>
      </c>
      <c r="AT1836" t="s">
        <v>69</v>
      </c>
      <c r="AU1836" t="s">
        <v>14047</v>
      </c>
      <c r="AV1836" t="s">
        <v>69</v>
      </c>
      <c r="AW1836" t="s">
        <v>14048</v>
      </c>
      <c r="AX1836" t="s">
        <v>14049</v>
      </c>
      <c r="AY1836" t="s">
        <v>6976</v>
      </c>
      <c r="AZ1836">
        <v>2020</v>
      </c>
      <c r="BA1836">
        <v>21</v>
      </c>
      <c r="BB1836">
        <v>1</v>
      </c>
      <c r="BC1836" t="s">
        <v>69</v>
      </c>
      <c r="BD1836" t="s">
        <v>69</v>
      </c>
      <c r="BE1836" t="s">
        <v>69</v>
      </c>
      <c r="BF1836" t="s">
        <v>69</v>
      </c>
      <c r="BG1836" t="s">
        <v>69</v>
      </c>
      <c r="BH1836" t="s">
        <v>69</v>
      </c>
      <c r="BI1836">
        <v>230</v>
      </c>
      <c r="BJ1836" t="s">
        <v>14050</v>
      </c>
      <c r="BK1836" t="str">
        <f>HYPERLINK("http://dx.doi.org/10.1186/s12875-020-01300-z","http://dx.doi.org/10.1186/s12875-020-01300-z")</f>
        <v>http://dx.doi.org/10.1186/s12875-020-01300-z</v>
      </c>
      <c r="BL1836" t="s">
        <v>69</v>
      </c>
      <c r="BM1836" t="s">
        <v>69</v>
      </c>
      <c r="BN1836">
        <v>12</v>
      </c>
      <c r="BO1836" t="s">
        <v>14051</v>
      </c>
      <c r="BP1836" t="s">
        <v>8523</v>
      </c>
      <c r="BQ1836" t="s">
        <v>9451</v>
      </c>
      <c r="BR1836" t="s">
        <v>14052</v>
      </c>
      <c r="BS1836" t="s">
        <v>14053</v>
      </c>
      <c r="BT1836">
        <v>33172414</v>
      </c>
      <c r="BU1836" t="s">
        <v>8812</v>
      </c>
      <c r="BV1836" t="s">
        <v>69</v>
      </c>
      <c r="BW1836" t="s">
        <v>69</v>
      </c>
      <c r="BX1836" t="s">
        <v>8526</v>
      </c>
      <c r="BY1836" t="str">
        <f>HYPERLINK("https%3A%2F%2Fwww.webofscience.com%2Fwos%2Fwoscc%2Ffull-record%2FWOS:000593853300001","View Full Record in Web of Science")</f>
        <v>View Full Record in Web of Science</v>
      </c>
    </row>
    <row r="1837" spans="1:77" ht="12.5" x14ac:dyDescent="0.25">
      <c r="A1837" t="s">
        <v>8495</v>
      </c>
      <c r="B1837" s="7" t="s">
        <v>32933</v>
      </c>
      <c r="C1837" s="7"/>
      <c r="D1837" s="7"/>
      <c r="E1837" s="7"/>
      <c r="F1837" t="s">
        <v>67</v>
      </c>
      <c r="G1837" t="s">
        <v>2014</v>
      </c>
      <c r="H1837" t="s">
        <v>69</v>
      </c>
      <c r="I1837" t="s">
        <v>69</v>
      </c>
      <c r="J1837" t="s">
        <v>69</v>
      </c>
      <c r="K1837" t="s">
        <v>2015</v>
      </c>
      <c r="L1837" t="s">
        <v>69</v>
      </c>
      <c r="M1837" t="s">
        <v>69</v>
      </c>
      <c r="N1837" t="s">
        <v>2016</v>
      </c>
      <c r="O1837" t="s">
        <v>2017</v>
      </c>
      <c r="P1837" t="s">
        <v>69</v>
      </c>
      <c r="Q1837" t="s">
        <v>69</v>
      </c>
      <c r="R1837" t="s">
        <v>8505</v>
      </c>
      <c r="S1837" t="s">
        <v>8506</v>
      </c>
      <c r="T1837" t="s">
        <v>69</v>
      </c>
      <c r="U1837" t="s">
        <v>69</v>
      </c>
      <c r="V1837" t="s">
        <v>69</v>
      </c>
      <c r="W1837" t="s">
        <v>69</v>
      </c>
      <c r="X1837" t="s">
        <v>69</v>
      </c>
      <c r="Y1837" t="s">
        <v>15693</v>
      </c>
      <c r="Z1837" t="s">
        <v>15694</v>
      </c>
      <c r="AA1837" t="s">
        <v>2018</v>
      </c>
      <c r="AB1837" t="s">
        <v>15695</v>
      </c>
      <c r="AC1837" t="s">
        <v>69</v>
      </c>
      <c r="AD1837" t="s">
        <v>15696</v>
      </c>
      <c r="AE1837" t="s">
        <v>15697</v>
      </c>
      <c r="AF1837" t="s">
        <v>15698</v>
      </c>
      <c r="AG1837" t="s">
        <v>2019</v>
      </c>
      <c r="AH1837" t="s">
        <v>69</v>
      </c>
      <c r="AI1837" t="s">
        <v>69</v>
      </c>
      <c r="AJ1837" t="s">
        <v>69</v>
      </c>
      <c r="AK1837" t="s">
        <v>69</v>
      </c>
      <c r="AL1837">
        <v>71</v>
      </c>
      <c r="AM1837">
        <v>12</v>
      </c>
      <c r="AN1837">
        <v>12</v>
      </c>
      <c r="AO1837">
        <v>1</v>
      </c>
      <c r="AP1837">
        <v>6</v>
      </c>
      <c r="AQ1837" t="s">
        <v>9554</v>
      </c>
      <c r="AR1837" t="s">
        <v>9555</v>
      </c>
      <c r="AS1837" t="s">
        <v>9556</v>
      </c>
      <c r="AT1837" t="s">
        <v>2020</v>
      </c>
      <c r="AU1837" t="s">
        <v>2021</v>
      </c>
      <c r="AV1837" t="s">
        <v>69</v>
      </c>
      <c r="AW1837" t="s">
        <v>15699</v>
      </c>
      <c r="AX1837" t="s">
        <v>15700</v>
      </c>
      <c r="AY1837" t="s">
        <v>94</v>
      </c>
      <c r="AZ1837">
        <v>2020</v>
      </c>
      <c r="BA1837">
        <v>52</v>
      </c>
      <c r="BB1837">
        <v>2</v>
      </c>
      <c r="BC1837" t="s">
        <v>69</v>
      </c>
      <c r="BD1837" t="s">
        <v>69</v>
      </c>
      <c r="BE1837" t="s">
        <v>69</v>
      </c>
      <c r="BF1837" t="s">
        <v>69</v>
      </c>
      <c r="BG1837">
        <v>383</v>
      </c>
      <c r="BH1837">
        <v>402</v>
      </c>
      <c r="BI1837" t="s">
        <v>69</v>
      </c>
      <c r="BJ1837" t="s">
        <v>2022</v>
      </c>
      <c r="BK1837" t="str">
        <f>HYPERLINK("http://dx.doi.org/10.1177/0308518X19853277","http://dx.doi.org/10.1177/0308518X19853277")</f>
        <v>http://dx.doi.org/10.1177/0308518X19853277</v>
      </c>
      <c r="BL1837" t="s">
        <v>69</v>
      </c>
      <c r="BM1837" t="s">
        <v>69</v>
      </c>
      <c r="BN1837">
        <v>20</v>
      </c>
      <c r="BO1837" t="s">
        <v>15669</v>
      </c>
      <c r="BP1837" t="s">
        <v>8661</v>
      </c>
      <c r="BQ1837" t="s">
        <v>15670</v>
      </c>
      <c r="BR1837" t="s">
        <v>15701</v>
      </c>
      <c r="BS1837" t="s">
        <v>2023</v>
      </c>
      <c r="BT1837" t="s">
        <v>69</v>
      </c>
      <c r="BU1837" t="s">
        <v>69</v>
      </c>
      <c r="BV1837" t="s">
        <v>69</v>
      </c>
      <c r="BW1837" t="s">
        <v>69</v>
      </c>
      <c r="BX1837" t="s">
        <v>8526</v>
      </c>
      <c r="BY1837" t="str">
        <f>HYPERLINK("https%3A%2F%2Fwww.webofscience.com%2Fwos%2Fwoscc%2Ffull-record%2FWOS:000511255600010","View Full Record in Web of Science")</f>
        <v>View Full Record in Web of Science</v>
      </c>
    </row>
    <row r="1838" spans="1:77" ht="12.5" x14ac:dyDescent="0.25">
      <c r="A1838" t="s">
        <v>8495</v>
      </c>
      <c r="B1838" s="22" t="s">
        <v>32931</v>
      </c>
      <c r="C1838" s="7"/>
      <c r="D1838" s="7"/>
      <c r="E1838" s="7"/>
      <c r="F1838" t="s">
        <v>67</v>
      </c>
      <c r="G1838" t="s">
        <v>13828</v>
      </c>
      <c r="H1838" t="s">
        <v>69</v>
      </c>
      <c r="I1838" t="s">
        <v>69</v>
      </c>
      <c r="J1838" t="s">
        <v>69</v>
      </c>
      <c r="K1838" t="s">
        <v>13829</v>
      </c>
      <c r="L1838" t="s">
        <v>69</v>
      </c>
      <c r="M1838" t="s">
        <v>69</v>
      </c>
      <c r="N1838" t="s">
        <v>13830</v>
      </c>
      <c r="O1838" t="s">
        <v>13831</v>
      </c>
      <c r="P1838" t="s">
        <v>69</v>
      </c>
      <c r="Q1838" t="s">
        <v>69</v>
      </c>
      <c r="R1838" t="s">
        <v>8505</v>
      </c>
      <c r="S1838" t="s">
        <v>8506</v>
      </c>
      <c r="T1838" t="s">
        <v>69</v>
      </c>
      <c r="U1838" t="s">
        <v>69</v>
      </c>
      <c r="V1838" t="s">
        <v>69</v>
      </c>
      <c r="W1838" t="s">
        <v>69</v>
      </c>
      <c r="X1838" t="s">
        <v>69</v>
      </c>
      <c r="Y1838" t="s">
        <v>69</v>
      </c>
      <c r="Z1838" t="s">
        <v>69</v>
      </c>
      <c r="AA1838" t="s">
        <v>13832</v>
      </c>
      <c r="AB1838" t="s">
        <v>69</v>
      </c>
      <c r="AC1838" t="s">
        <v>69</v>
      </c>
      <c r="AD1838" t="s">
        <v>69</v>
      </c>
      <c r="AE1838" t="s">
        <v>69</v>
      </c>
      <c r="AF1838" t="s">
        <v>69</v>
      </c>
      <c r="AG1838" t="s">
        <v>69</v>
      </c>
      <c r="AH1838" t="s">
        <v>69</v>
      </c>
      <c r="AI1838" t="s">
        <v>69</v>
      </c>
      <c r="AJ1838" t="s">
        <v>69</v>
      </c>
      <c r="AK1838" t="s">
        <v>69</v>
      </c>
      <c r="AL1838">
        <v>17</v>
      </c>
      <c r="AM1838">
        <v>0</v>
      </c>
      <c r="AN1838">
        <v>0</v>
      </c>
      <c r="AO1838">
        <v>2</v>
      </c>
      <c r="AP1838">
        <v>11</v>
      </c>
      <c r="AQ1838" t="s">
        <v>8846</v>
      </c>
      <c r="AR1838" t="s">
        <v>8847</v>
      </c>
      <c r="AS1838" t="s">
        <v>8848</v>
      </c>
      <c r="AT1838" t="s">
        <v>13833</v>
      </c>
      <c r="AU1838" t="s">
        <v>69</v>
      </c>
      <c r="AV1838" t="s">
        <v>69</v>
      </c>
      <c r="AW1838" t="s">
        <v>13834</v>
      </c>
      <c r="AX1838" t="s">
        <v>13835</v>
      </c>
      <c r="AY1838" t="s">
        <v>373</v>
      </c>
      <c r="AZ1838">
        <v>2021</v>
      </c>
      <c r="BA1838">
        <v>21</v>
      </c>
      <c r="BB1838">
        <v>1</v>
      </c>
      <c r="BC1838" t="s">
        <v>69</v>
      </c>
      <c r="BD1838" t="s">
        <v>69</v>
      </c>
      <c r="BE1838" t="s">
        <v>69</v>
      </c>
      <c r="BF1838" t="s">
        <v>69</v>
      </c>
      <c r="BG1838">
        <v>19</v>
      </c>
      <c r="BH1838">
        <v>38</v>
      </c>
      <c r="BI1838" t="s">
        <v>69</v>
      </c>
      <c r="BJ1838" t="s">
        <v>13836</v>
      </c>
      <c r="BK1838" t="str">
        <f>HYPERLINK("http://dx.doi.org/10.1111/1471-3802.12496","http://dx.doi.org/10.1111/1471-3802.12496")</f>
        <v>http://dx.doi.org/10.1111/1471-3802.12496</v>
      </c>
      <c r="BL1838" t="s">
        <v>69</v>
      </c>
      <c r="BM1838" t="s">
        <v>69</v>
      </c>
      <c r="BN1838">
        <v>20</v>
      </c>
      <c r="BO1838" t="s">
        <v>13837</v>
      </c>
      <c r="BP1838" t="s">
        <v>8573</v>
      </c>
      <c r="BQ1838" t="s">
        <v>9290</v>
      </c>
      <c r="BR1838" t="s">
        <v>13838</v>
      </c>
      <c r="BS1838" t="s">
        <v>13839</v>
      </c>
      <c r="BT1838" t="s">
        <v>69</v>
      </c>
      <c r="BU1838" t="s">
        <v>69</v>
      </c>
      <c r="BV1838" t="s">
        <v>69</v>
      </c>
      <c r="BW1838" t="s">
        <v>69</v>
      </c>
      <c r="BX1838" t="s">
        <v>8526</v>
      </c>
      <c r="BY1838" t="str">
        <f>HYPERLINK("https%3A%2F%2Fwww.webofscience.com%2Fwos%2Fwoscc%2Ffull-record%2FWOS:000615085600002","View Full Record in Web of Science")</f>
        <v>View Full Record in Web of Science</v>
      </c>
    </row>
    <row r="1839" spans="1:77" ht="12.5" x14ac:dyDescent="0.25">
      <c r="A1839" t="s">
        <v>8495</v>
      </c>
      <c r="B1839" s="7" t="s">
        <v>32933</v>
      </c>
      <c r="C1839" s="7"/>
      <c r="D1839" s="7"/>
      <c r="E1839" s="7"/>
      <c r="F1839" t="s">
        <v>67</v>
      </c>
      <c r="G1839" t="s">
        <v>2514</v>
      </c>
      <c r="H1839" t="s">
        <v>69</v>
      </c>
      <c r="I1839" t="s">
        <v>69</v>
      </c>
      <c r="J1839" t="s">
        <v>69</v>
      </c>
      <c r="K1839" t="s">
        <v>2515</v>
      </c>
      <c r="L1839" t="s">
        <v>69</v>
      </c>
      <c r="M1839" t="s">
        <v>69</v>
      </c>
      <c r="N1839" t="s">
        <v>2516</v>
      </c>
      <c r="O1839" t="s">
        <v>2517</v>
      </c>
      <c r="P1839" t="s">
        <v>69</v>
      </c>
      <c r="Q1839" t="s">
        <v>69</v>
      </c>
      <c r="R1839" t="s">
        <v>8505</v>
      </c>
      <c r="S1839" t="s">
        <v>8506</v>
      </c>
      <c r="T1839" t="s">
        <v>69</v>
      </c>
      <c r="U1839" t="s">
        <v>69</v>
      </c>
      <c r="V1839" t="s">
        <v>69</v>
      </c>
      <c r="W1839" t="s">
        <v>69</v>
      </c>
      <c r="X1839" t="s">
        <v>69</v>
      </c>
      <c r="Y1839" t="s">
        <v>19422</v>
      </c>
      <c r="Z1839" t="s">
        <v>69</v>
      </c>
      <c r="AA1839" t="s">
        <v>2518</v>
      </c>
      <c r="AB1839" t="s">
        <v>19423</v>
      </c>
      <c r="AC1839" t="s">
        <v>69</v>
      </c>
      <c r="AD1839" t="s">
        <v>19424</v>
      </c>
      <c r="AE1839" t="s">
        <v>19425</v>
      </c>
      <c r="AF1839" t="s">
        <v>69</v>
      </c>
      <c r="AG1839" t="s">
        <v>69</v>
      </c>
      <c r="AH1839" t="s">
        <v>69</v>
      </c>
      <c r="AI1839" t="s">
        <v>69</v>
      </c>
      <c r="AJ1839" t="s">
        <v>69</v>
      </c>
      <c r="AK1839" t="s">
        <v>69</v>
      </c>
      <c r="AL1839">
        <v>112</v>
      </c>
      <c r="AM1839">
        <v>3</v>
      </c>
      <c r="AN1839">
        <v>3</v>
      </c>
      <c r="AO1839">
        <v>1</v>
      </c>
      <c r="AP1839">
        <v>24</v>
      </c>
      <c r="AQ1839" t="s">
        <v>8586</v>
      </c>
      <c r="AR1839" t="s">
        <v>8587</v>
      </c>
      <c r="AS1839" t="s">
        <v>8588</v>
      </c>
      <c r="AT1839" t="s">
        <v>2519</v>
      </c>
      <c r="AU1839" t="s">
        <v>2520</v>
      </c>
      <c r="AV1839" t="s">
        <v>69</v>
      </c>
      <c r="AW1839" t="s">
        <v>11006</v>
      </c>
      <c r="AX1839" t="s">
        <v>11007</v>
      </c>
      <c r="AY1839" t="s">
        <v>69</v>
      </c>
      <c r="AZ1839">
        <v>2018</v>
      </c>
      <c r="BA1839">
        <v>20</v>
      </c>
      <c r="BB1839">
        <v>5</v>
      </c>
      <c r="BC1839" t="s">
        <v>69</v>
      </c>
      <c r="BD1839" t="s">
        <v>69</v>
      </c>
      <c r="BE1839" t="s">
        <v>69</v>
      </c>
      <c r="BF1839" t="s">
        <v>69</v>
      </c>
      <c r="BG1839">
        <v>449</v>
      </c>
      <c r="BH1839">
        <v>478</v>
      </c>
      <c r="BI1839" t="s">
        <v>69</v>
      </c>
      <c r="BJ1839" t="s">
        <v>2521</v>
      </c>
      <c r="BK1839" t="str">
        <f>HYPERLINK("http://dx.doi.org/10.1108/DPRG-03-2018-0008","http://dx.doi.org/10.1108/DPRG-03-2018-0008")</f>
        <v>http://dx.doi.org/10.1108/DPRG-03-2018-0008</v>
      </c>
      <c r="BL1839" t="s">
        <v>69</v>
      </c>
      <c r="BM1839" t="s">
        <v>69</v>
      </c>
      <c r="BN1839">
        <v>30</v>
      </c>
      <c r="BO1839" t="s">
        <v>11010</v>
      </c>
      <c r="BP1839" t="s">
        <v>8573</v>
      </c>
      <c r="BQ1839" t="s">
        <v>11010</v>
      </c>
      <c r="BR1839" t="s">
        <v>19426</v>
      </c>
      <c r="BS1839" t="s">
        <v>2522</v>
      </c>
      <c r="BT1839" t="s">
        <v>69</v>
      </c>
      <c r="BU1839" t="s">
        <v>69</v>
      </c>
      <c r="BV1839" t="s">
        <v>69</v>
      </c>
      <c r="BW1839" t="s">
        <v>69</v>
      </c>
      <c r="BX1839" t="s">
        <v>8526</v>
      </c>
      <c r="BY1839" t="str">
        <f>HYPERLINK("https%3A%2F%2Fwww.webofscience.com%2Fwos%2Fwoscc%2Ffull-record%2FWOS:000448322800005","View Full Record in Web of Science")</f>
        <v>View Full Record in Web of Science</v>
      </c>
    </row>
    <row r="1840" spans="1:77" ht="12.5" x14ac:dyDescent="0.25">
      <c r="A1840" t="s">
        <v>8495</v>
      </c>
      <c r="B1840" s="22" t="s">
        <v>32931</v>
      </c>
      <c r="C1840" s="7"/>
      <c r="D1840" s="7"/>
      <c r="E1840" s="7"/>
      <c r="F1840" t="s">
        <v>67</v>
      </c>
      <c r="G1840" t="s">
        <v>21285</v>
      </c>
      <c r="H1840" t="s">
        <v>69</v>
      </c>
      <c r="I1840" t="s">
        <v>69</v>
      </c>
      <c r="J1840" t="s">
        <v>69</v>
      </c>
      <c r="K1840" t="s">
        <v>21286</v>
      </c>
      <c r="L1840" t="s">
        <v>69</v>
      </c>
      <c r="M1840" t="s">
        <v>69</v>
      </c>
      <c r="N1840" t="s">
        <v>21287</v>
      </c>
      <c r="O1840" t="s">
        <v>5392</v>
      </c>
      <c r="P1840" t="s">
        <v>69</v>
      </c>
      <c r="Q1840" t="s">
        <v>69</v>
      </c>
      <c r="R1840" t="s">
        <v>8505</v>
      </c>
      <c r="S1840" t="s">
        <v>8506</v>
      </c>
      <c r="T1840" t="s">
        <v>69</v>
      </c>
      <c r="U1840" t="s">
        <v>69</v>
      </c>
      <c r="V1840" t="s">
        <v>69</v>
      </c>
      <c r="W1840" t="s">
        <v>69</v>
      </c>
      <c r="X1840" t="s">
        <v>69</v>
      </c>
      <c r="Y1840" t="s">
        <v>21288</v>
      </c>
      <c r="Z1840" t="s">
        <v>21289</v>
      </c>
      <c r="AA1840" t="s">
        <v>21290</v>
      </c>
      <c r="AB1840" t="s">
        <v>21291</v>
      </c>
      <c r="AC1840" t="s">
        <v>69</v>
      </c>
      <c r="AD1840" t="s">
        <v>21292</v>
      </c>
      <c r="AE1840" t="s">
        <v>21293</v>
      </c>
      <c r="AF1840" t="s">
        <v>21294</v>
      </c>
      <c r="AG1840" t="s">
        <v>21295</v>
      </c>
      <c r="AH1840" t="s">
        <v>69</v>
      </c>
      <c r="AI1840" t="s">
        <v>69</v>
      </c>
      <c r="AJ1840" t="s">
        <v>69</v>
      </c>
      <c r="AK1840" t="s">
        <v>69</v>
      </c>
      <c r="AL1840">
        <v>46</v>
      </c>
      <c r="AM1840">
        <v>2</v>
      </c>
      <c r="AN1840">
        <v>2</v>
      </c>
      <c r="AO1840">
        <v>5</v>
      </c>
      <c r="AP1840">
        <v>12</v>
      </c>
      <c r="AQ1840" t="s">
        <v>21296</v>
      </c>
      <c r="AR1840" t="s">
        <v>21297</v>
      </c>
      <c r="AS1840" t="s">
        <v>21298</v>
      </c>
      <c r="AT1840" t="s">
        <v>5394</v>
      </c>
      <c r="AU1840" t="s">
        <v>8294</v>
      </c>
      <c r="AV1840" t="s">
        <v>69</v>
      </c>
      <c r="AW1840" t="s">
        <v>21299</v>
      </c>
      <c r="AX1840" t="s">
        <v>21300</v>
      </c>
      <c r="AY1840" t="s">
        <v>263</v>
      </c>
      <c r="AZ1840">
        <v>2016</v>
      </c>
      <c r="BA1840">
        <v>11</v>
      </c>
      <c r="BB1840">
        <v>4</v>
      </c>
      <c r="BC1840" t="s">
        <v>69</v>
      </c>
      <c r="BD1840" t="s">
        <v>69</v>
      </c>
      <c r="BE1840" t="s">
        <v>69</v>
      </c>
      <c r="BF1840" t="s">
        <v>69</v>
      </c>
      <c r="BG1840">
        <v>57</v>
      </c>
      <c r="BH1840">
        <v>90</v>
      </c>
      <c r="BI1840" t="s">
        <v>69</v>
      </c>
      <c r="BJ1840" t="s">
        <v>21301</v>
      </c>
      <c r="BK1840" t="str">
        <f>HYPERLINK("http://dx.doi.org/10.3992/jgb.11.4.55.1","http://dx.doi.org/10.3992/jgb.11.4.55.1")</f>
        <v>http://dx.doi.org/10.3992/jgb.11.4.55.1</v>
      </c>
      <c r="BL1840" t="s">
        <v>69</v>
      </c>
      <c r="BM1840" t="s">
        <v>69</v>
      </c>
      <c r="BN1840">
        <v>34</v>
      </c>
      <c r="BO1840" t="s">
        <v>8449</v>
      </c>
      <c r="BP1840" t="s">
        <v>11207</v>
      </c>
      <c r="BQ1840" t="s">
        <v>8449</v>
      </c>
      <c r="BR1840" t="s">
        <v>21302</v>
      </c>
      <c r="BS1840" t="s">
        <v>21303</v>
      </c>
      <c r="BT1840" t="s">
        <v>69</v>
      </c>
      <c r="BU1840" t="s">
        <v>10995</v>
      </c>
      <c r="BV1840" t="s">
        <v>69</v>
      </c>
      <c r="BW1840" t="s">
        <v>69</v>
      </c>
      <c r="BX1840" t="s">
        <v>8526</v>
      </c>
      <c r="BY1840" t="str">
        <f>HYPERLINK("https%3A%2F%2Fwww.webofscience.com%2Fwos%2Fwoscc%2Ffull-record%2FWOS:000393037400004","View Full Record in Web of Science")</f>
        <v>View Full Record in Web of Science</v>
      </c>
    </row>
    <row r="1841" spans="1:77" ht="12.5" x14ac:dyDescent="0.25">
      <c r="A1841" t="s">
        <v>8495</v>
      </c>
      <c r="B1841" s="22" t="s">
        <v>32931</v>
      </c>
      <c r="C1841" s="7"/>
      <c r="D1841" s="7"/>
      <c r="E1841" s="7"/>
      <c r="F1841" t="s">
        <v>67</v>
      </c>
      <c r="G1841" t="s">
        <v>18719</v>
      </c>
      <c r="H1841" t="s">
        <v>69</v>
      </c>
      <c r="I1841" t="s">
        <v>69</v>
      </c>
      <c r="J1841" t="s">
        <v>69</v>
      </c>
      <c r="K1841" t="s">
        <v>18720</v>
      </c>
      <c r="L1841" t="s">
        <v>69</v>
      </c>
      <c r="M1841" t="s">
        <v>69</v>
      </c>
      <c r="N1841" t="s">
        <v>18721</v>
      </c>
      <c r="O1841" t="s">
        <v>18722</v>
      </c>
      <c r="P1841" t="s">
        <v>69</v>
      </c>
      <c r="Q1841" t="s">
        <v>69</v>
      </c>
      <c r="R1841" t="s">
        <v>8505</v>
      </c>
      <c r="S1841" t="s">
        <v>8506</v>
      </c>
      <c r="T1841" t="s">
        <v>69</v>
      </c>
      <c r="U1841" t="s">
        <v>69</v>
      </c>
      <c r="V1841" t="s">
        <v>69</v>
      </c>
      <c r="W1841" t="s">
        <v>69</v>
      </c>
      <c r="X1841" t="s">
        <v>69</v>
      </c>
      <c r="Y1841" t="s">
        <v>69</v>
      </c>
      <c r="Z1841" t="s">
        <v>18723</v>
      </c>
      <c r="AA1841" t="s">
        <v>18724</v>
      </c>
      <c r="AB1841" t="s">
        <v>18725</v>
      </c>
      <c r="AC1841" t="s">
        <v>69</v>
      </c>
      <c r="AD1841" t="s">
        <v>18726</v>
      </c>
      <c r="AE1841" t="s">
        <v>18727</v>
      </c>
      <c r="AF1841" t="s">
        <v>18728</v>
      </c>
      <c r="AG1841" t="s">
        <v>18729</v>
      </c>
      <c r="AH1841" t="s">
        <v>69</v>
      </c>
      <c r="AI1841" t="s">
        <v>69</v>
      </c>
      <c r="AJ1841" t="s">
        <v>69</v>
      </c>
      <c r="AK1841" t="s">
        <v>69</v>
      </c>
      <c r="AL1841">
        <v>37</v>
      </c>
      <c r="AM1841">
        <v>13</v>
      </c>
      <c r="AN1841">
        <v>13</v>
      </c>
      <c r="AO1841">
        <v>0</v>
      </c>
      <c r="AP1841">
        <v>1</v>
      </c>
      <c r="AQ1841" t="s">
        <v>18730</v>
      </c>
      <c r="AR1841" t="s">
        <v>18731</v>
      </c>
      <c r="AS1841" t="s">
        <v>18732</v>
      </c>
      <c r="AT1841" t="s">
        <v>18733</v>
      </c>
      <c r="AU1841" t="s">
        <v>18734</v>
      </c>
      <c r="AV1841" t="s">
        <v>69</v>
      </c>
      <c r="AW1841" t="s">
        <v>18735</v>
      </c>
      <c r="AX1841" t="s">
        <v>18736</v>
      </c>
      <c r="AY1841" t="s">
        <v>2252</v>
      </c>
      <c r="AZ1841">
        <v>2018</v>
      </c>
      <c r="BA1841">
        <v>10</v>
      </c>
      <c r="BB1841">
        <v>1</v>
      </c>
      <c r="BC1841" t="s">
        <v>69</v>
      </c>
      <c r="BD1841" t="s">
        <v>69</v>
      </c>
      <c r="BE1841" t="s">
        <v>69</v>
      </c>
      <c r="BF1841" t="s">
        <v>69</v>
      </c>
      <c r="BG1841" t="s">
        <v>69</v>
      </c>
      <c r="BH1841" t="s">
        <v>69</v>
      </c>
      <c r="BI1841" t="s">
        <v>18737</v>
      </c>
      <c r="BJ1841" t="s">
        <v>18738</v>
      </c>
      <c r="BK1841" t="str">
        <f>HYPERLINK("http://dx.doi.org/10.4102/phcfm.vl10il.1628","http://dx.doi.org/10.4102/phcfm.vl10il.1628")</f>
        <v>http://dx.doi.org/10.4102/phcfm.vl10il.1628</v>
      </c>
      <c r="BL1841" t="s">
        <v>69</v>
      </c>
      <c r="BM1841" t="s">
        <v>69</v>
      </c>
      <c r="BN1841">
        <v>6</v>
      </c>
      <c r="BO1841" t="s">
        <v>10546</v>
      </c>
      <c r="BP1841" t="s">
        <v>8573</v>
      </c>
      <c r="BQ1841" t="s">
        <v>9451</v>
      </c>
      <c r="BR1841" t="s">
        <v>18739</v>
      </c>
      <c r="BS1841" t="s">
        <v>18740</v>
      </c>
      <c r="BT1841">
        <v>29943601</v>
      </c>
      <c r="BU1841" t="s">
        <v>69</v>
      </c>
      <c r="BV1841" t="s">
        <v>69</v>
      </c>
      <c r="BW1841" t="s">
        <v>69</v>
      </c>
      <c r="BX1841" t="s">
        <v>8526</v>
      </c>
      <c r="BY1841" t="str">
        <f>HYPERLINK("https%3A%2F%2Fwww.webofscience.com%2Fwos%2Fwoscc%2Ffull-record%2FWOS:000438633200001","View Full Record in Web of Science")</f>
        <v>View Full Record in Web of Science</v>
      </c>
    </row>
    <row r="1842" spans="1:77" ht="12.5" x14ac:dyDescent="0.25">
      <c r="A1842" t="s">
        <v>8495</v>
      </c>
      <c r="B1842" s="7" t="s">
        <v>32933</v>
      </c>
      <c r="C1842" s="7"/>
      <c r="D1842" s="7"/>
      <c r="E1842" s="7"/>
      <c r="F1842" t="s">
        <v>67</v>
      </c>
      <c r="G1842" t="s">
        <v>4063</v>
      </c>
      <c r="H1842" t="s">
        <v>69</v>
      </c>
      <c r="I1842" t="s">
        <v>69</v>
      </c>
      <c r="J1842" t="s">
        <v>69</v>
      </c>
      <c r="K1842" t="s">
        <v>4063</v>
      </c>
      <c r="L1842" t="s">
        <v>69</v>
      </c>
      <c r="M1842" t="s">
        <v>69</v>
      </c>
      <c r="N1842" t="s">
        <v>4064</v>
      </c>
      <c r="O1842" t="s">
        <v>4065</v>
      </c>
      <c r="P1842" t="s">
        <v>69</v>
      </c>
      <c r="Q1842" t="s">
        <v>69</v>
      </c>
      <c r="R1842" t="s">
        <v>8505</v>
      </c>
      <c r="S1842" t="s">
        <v>8506</v>
      </c>
      <c r="T1842" t="s">
        <v>69</v>
      </c>
      <c r="U1842" t="s">
        <v>69</v>
      </c>
      <c r="V1842" t="s">
        <v>69</v>
      </c>
      <c r="W1842" t="s">
        <v>69</v>
      </c>
      <c r="X1842" t="s">
        <v>69</v>
      </c>
      <c r="Y1842" t="s">
        <v>31590</v>
      </c>
      <c r="Z1842" t="s">
        <v>69</v>
      </c>
      <c r="AA1842" t="s">
        <v>4066</v>
      </c>
      <c r="AB1842" t="s">
        <v>31591</v>
      </c>
      <c r="AC1842" t="s">
        <v>69</v>
      </c>
      <c r="AD1842" t="s">
        <v>31592</v>
      </c>
      <c r="AE1842" t="s">
        <v>69</v>
      </c>
      <c r="AF1842" t="s">
        <v>69</v>
      </c>
      <c r="AG1842" t="s">
        <v>69</v>
      </c>
      <c r="AH1842" t="s">
        <v>69</v>
      </c>
      <c r="AI1842" t="s">
        <v>69</v>
      </c>
      <c r="AJ1842" t="s">
        <v>69</v>
      </c>
      <c r="AK1842" t="s">
        <v>69</v>
      </c>
      <c r="AL1842">
        <v>5</v>
      </c>
      <c r="AM1842">
        <v>5</v>
      </c>
      <c r="AN1842">
        <v>7</v>
      </c>
      <c r="AO1842">
        <v>0</v>
      </c>
      <c r="AP1842">
        <v>9</v>
      </c>
      <c r="AQ1842" t="s">
        <v>9145</v>
      </c>
      <c r="AR1842" t="s">
        <v>8637</v>
      </c>
      <c r="AS1842" t="s">
        <v>9146</v>
      </c>
      <c r="AT1842" t="s">
        <v>4067</v>
      </c>
      <c r="AU1842" t="s">
        <v>69</v>
      </c>
      <c r="AV1842" t="s">
        <v>69</v>
      </c>
      <c r="AW1842" t="s">
        <v>23115</v>
      </c>
      <c r="AX1842" t="s">
        <v>23116</v>
      </c>
      <c r="AY1842" t="s">
        <v>84</v>
      </c>
      <c r="AZ1842">
        <v>2001</v>
      </c>
      <c r="BA1842">
        <v>16</v>
      </c>
      <c r="BB1842">
        <v>3</v>
      </c>
      <c r="BC1842" t="s">
        <v>69</v>
      </c>
      <c r="BD1842" t="s">
        <v>69</v>
      </c>
      <c r="BE1842" t="s">
        <v>69</v>
      </c>
      <c r="BF1842" t="s">
        <v>69</v>
      </c>
      <c r="BG1842">
        <v>225</v>
      </c>
      <c r="BH1842">
        <v>234</v>
      </c>
      <c r="BI1842" t="s">
        <v>69</v>
      </c>
      <c r="BJ1842" t="s">
        <v>4068</v>
      </c>
      <c r="BK1842" t="str">
        <f>HYPERLINK("http://dx.doi.org/10.1016/S0886-7798(01)00043-8","http://dx.doi.org/10.1016/S0886-7798(01)00043-8")</f>
        <v>http://dx.doi.org/10.1016/S0886-7798(01)00043-8</v>
      </c>
      <c r="BL1842" t="s">
        <v>69</v>
      </c>
      <c r="BM1842" t="s">
        <v>69</v>
      </c>
      <c r="BN1842">
        <v>10</v>
      </c>
      <c r="BO1842" t="s">
        <v>11242</v>
      </c>
      <c r="BP1842" t="s">
        <v>8548</v>
      </c>
      <c r="BQ1842" t="s">
        <v>8549</v>
      </c>
      <c r="BR1842" t="s">
        <v>31593</v>
      </c>
      <c r="BS1842" t="s">
        <v>4069</v>
      </c>
      <c r="BT1842" t="s">
        <v>69</v>
      </c>
      <c r="BU1842" t="s">
        <v>69</v>
      </c>
      <c r="BV1842" t="s">
        <v>69</v>
      </c>
      <c r="BW1842" t="s">
        <v>69</v>
      </c>
      <c r="BX1842" t="s">
        <v>8526</v>
      </c>
      <c r="BY1842" t="str">
        <f>HYPERLINK("https%3A%2F%2Fwww.webofscience.com%2Fwos%2Fwoscc%2Ffull-record%2FWOS:000172642800011","View Full Record in Web of Science")</f>
        <v>View Full Record in Web of Science</v>
      </c>
    </row>
    <row r="1843" spans="1:77" ht="12.5" x14ac:dyDescent="0.25">
      <c r="A1843" t="s">
        <v>8495</v>
      </c>
      <c r="B1843" s="7" t="s">
        <v>32933</v>
      </c>
      <c r="C1843" s="7"/>
      <c r="D1843" s="7"/>
      <c r="E1843" s="7"/>
      <c r="F1843" t="s">
        <v>67</v>
      </c>
      <c r="G1843" t="s">
        <v>4813</v>
      </c>
      <c r="H1843" t="s">
        <v>69</v>
      </c>
      <c r="I1843" t="s">
        <v>69</v>
      </c>
      <c r="J1843" t="s">
        <v>69</v>
      </c>
      <c r="K1843" t="s">
        <v>4814</v>
      </c>
      <c r="L1843" t="s">
        <v>69</v>
      </c>
      <c r="M1843" t="s">
        <v>69</v>
      </c>
      <c r="N1843" t="s">
        <v>4815</v>
      </c>
      <c r="O1843" t="s">
        <v>4816</v>
      </c>
      <c r="P1843" t="s">
        <v>69</v>
      </c>
      <c r="Q1843" t="s">
        <v>69</v>
      </c>
      <c r="R1843" t="s">
        <v>8505</v>
      </c>
      <c r="S1843" t="s">
        <v>8506</v>
      </c>
      <c r="T1843" t="s">
        <v>69</v>
      </c>
      <c r="U1843" t="s">
        <v>69</v>
      </c>
      <c r="V1843" t="s">
        <v>69</v>
      </c>
      <c r="W1843" t="s">
        <v>69</v>
      </c>
      <c r="X1843" t="s">
        <v>69</v>
      </c>
      <c r="Y1843" t="s">
        <v>15555</v>
      </c>
      <c r="Z1843" t="s">
        <v>69</v>
      </c>
      <c r="AA1843" t="s">
        <v>4817</v>
      </c>
      <c r="AB1843" t="s">
        <v>15556</v>
      </c>
      <c r="AC1843" t="s">
        <v>69</v>
      </c>
      <c r="AD1843" t="s">
        <v>15557</v>
      </c>
      <c r="AE1843" t="s">
        <v>15558</v>
      </c>
      <c r="AF1843" t="s">
        <v>69</v>
      </c>
      <c r="AG1843" t="s">
        <v>4818</v>
      </c>
      <c r="AH1843" t="s">
        <v>69</v>
      </c>
      <c r="AI1843" t="s">
        <v>69</v>
      </c>
      <c r="AJ1843" t="s">
        <v>69</v>
      </c>
      <c r="AK1843" t="s">
        <v>69</v>
      </c>
      <c r="AL1843">
        <v>24</v>
      </c>
      <c r="AM1843">
        <v>0</v>
      </c>
      <c r="AN1843">
        <v>0</v>
      </c>
      <c r="AO1843">
        <v>0</v>
      </c>
      <c r="AP1843">
        <v>3</v>
      </c>
      <c r="AQ1843" t="s">
        <v>9554</v>
      </c>
      <c r="AR1843" t="s">
        <v>9555</v>
      </c>
      <c r="AS1843" t="s">
        <v>9556</v>
      </c>
      <c r="AT1843" t="s">
        <v>4819</v>
      </c>
      <c r="AU1843" t="s">
        <v>4820</v>
      </c>
      <c r="AV1843" t="s">
        <v>69</v>
      </c>
      <c r="AW1843" t="s">
        <v>15559</v>
      </c>
      <c r="AX1843" t="s">
        <v>15560</v>
      </c>
      <c r="AY1843" t="s">
        <v>274</v>
      </c>
      <c r="AZ1843">
        <v>2020</v>
      </c>
      <c r="BA1843">
        <v>60</v>
      </c>
      <c r="BB1843">
        <v>6</v>
      </c>
      <c r="BC1843" t="s">
        <v>69</v>
      </c>
      <c r="BD1843" t="s">
        <v>69</v>
      </c>
      <c r="BE1843" t="s">
        <v>114</v>
      </c>
      <c r="BF1843" t="s">
        <v>69</v>
      </c>
      <c r="BG1843">
        <v>747</v>
      </c>
      <c r="BH1843">
        <v>760</v>
      </c>
      <c r="BI1843">
        <v>22167820913358</v>
      </c>
      <c r="BJ1843" t="s">
        <v>4821</v>
      </c>
      <c r="BK1843" t="str">
        <f>HYPERLINK("http://dx.doi.org/10.1177/0022167820913358","http://dx.doi.org/10.1177/0022167820913358")</f>
        <v>http://dx.doi.org/10.1177/0022167820913358</v>
      </c>
      <c r="BL1843" t="s">
        <v>69</v>
      </c>
      <c r="BM1843" t="s">
        <v>4822</v>
      </c>
      <c r="BN1843">
        <v>14</v>
      </c>
      <c r="BO1843" t="s">
        <v>9000</v>
      </c>
      <c r="BP1843" t="s">
        <v>8661</v>
      </c>
      <c r="BQ1843" t="s">
        <v>9001</v>
      </c>
      <c r="BR1843" t="s">
        <v>15561</v>
      </c>
      <c r="BS1843" t="s">
        <v>4823</v>
      </c>
      <c r="BT1843" t="s">
        <v>69</v>
      </c>
      <c r="BU1843" t="s">
        <v>69</v>
      </c>
      <c r="BV1843" t="s">
        <v>69</v>
      </c>
      <c r="BW1843" t="s">
        <v>69</v>
      </c>
      <c r="BX1843" t="s">
        <v>8526</v>
      </c>
      <c r="BY1843" t="str">
        <f>HYPERLINK("https%3A%2F%2Fwww.webofscience.com%2Fwos%2Fwoscc%2Ffull-record%2FWOS:000523943700001","View Full Record in Web of Science")</f>
        <v>View Full Record in Web of Science</v>
      </c>
    </row>
    <row r="1844" spans="1:77" ht="12.5" x14ac:dyDescent="0.25">
      <c r="A1844" t="s">
        <v>8495</v>
      </c>
      <c r="B1844" s="22" t="s">
        <v>32931</v>
      </c>
      <c r="C1844" s="7"/>
      <c r="D1844" s="7"/>
      <c r="E1844" s="7"/>
      <c r="F1844" t="s">
        <v>67</v>
      </c>
      <c r="G1844" t="s">
        <v>31055</v>
      </c>
      <c r="H1844" t="s">
        <v>69</v>
      </c>
      <c r="I1844" t="s">
        <v>69</v>
      </c>
      <c r="J1844" t="s">
        <v>69</v>
      </c>
      <c r="K1844" t="s">
        <v>31055</v>
      </c>
      <c r="L1844" t="s">
        <v>69</v>
      </c>
      <c r="M1844" t="s">
        <v>69</v>
      </c>
      <c r="N1844" t="s">
        <v>31056</v>
      </c>
      <c r="O1844" t="s">
        <v>18618</v>
      </c>
      <c r="P1844" t="s">
        <v>69</v>
      </c>
      <c r="Q1844" t="s">
        <v>69</v>
      </c>
      <c r="R1844" t="s">
        <v>8505</v>
      </c>
      <c r="S1844" t="s">
        <v>8506</v>
      </c>
      <c r="T1844" t="s">
        <v>69</v>
      </c>
      <c r="U1844" t="s">
        <v>69</v>
      </c>
      <c r="V1844" t="s">
        <v>69</v>
      </c>
      <c r="W1844" t="s">
        <v>69</v>
      </c>
      <c r="X1844" t="s">
        <v>69</v>
      </c>
      <c r="Y1844" t="s">
        <v>31057</v>
      </c>
      <c r="Z1844" t="s">
        <v>31058</v>
      </c>
      <c r="AA1844" t="s">
        <v>31059</v>
      </c>
      <c r="AB1844" t="s">
        <v>31060</v>
      </c>
      <c r="AC1844" t="s">
        <v>69</v>
      </c>
      <c r="AD1844" t="s">
        <v>31061</v>
      </c>
      <c r="AE1844" t="s">
        <v>31062</v>
      </c>
      <c r="AF1844" t="s">
        <v>69</v>
      </c>
      <c r="AG1844" t="s">
        <v>69</v>
      </c>
      <c r="AH1844" t="s">
        <v>31063</v>
      </c>
      <c r="AI1844" t="s">
        <v>30375</v>
      </c>
      <c r="AJ1844" t="s">
        <v>69</v>
      </c>
      <c r="AK1844" t="s">
        <v>69</v>
      </c>
      <c r="AL1844">
        <v>54</v>
      </c>
      <c r="AM1844">
        <v>30</v>
      </c>
      <c r="AN1844">
        <v>30</v>
      </c>
      <c r="AO1844">
        <v>0</v>
      </c>
      <c r="AP1844">
        <v>20</v>
      </c>
      <c r="AQ1844" t="s">
        <v>17273</v>
      </c>
      <c r="AR1844" t="s">
        <v>12925</v>
      </c>
      <c r="AS1844" t="s">
        <v>17274</v>
      </c>
      <c r="AT1844" t="s">
        <v>18626</v>
      </c>
      <c r="AU1844" t="s">
        <v>18627</v>
      </c>
      <c r="AV1844" t="s">
        <v>69</v>
      </c>
      <c r="AW1844" t="s">
        <v>18628</v>
      </c>
      <c r="AX1844" t="s">
        <v>18629</v>
      </c>
      <c r="AY1844" t="s">
        <v>255</v>
      </c>
      <c r="AZ1844">
        <v>2004</v>
      </c>
      <c r="BA1844">
        <v>39</v>
      </c>
      <c r="BB1844">
        <v>3</v>
      </c>
      <c r="BC1844" t="s">
        <v>69</v>
      </c>
      <c r="BD1844" t="s">
        <v>69</v>
      </c>
      <c r="BE1844" t="s">
        <v>69</v>
      </c>
      <c r="BF1844" t="s">
        <v>69</v>
      </c>
      <c r="BG1844">
        <v>568</v>
      </c>
      <c r="BH1844">
        <v>580</v>
      </c>
      <c r="BI1844" t="s">
        <v>69</v>
      </c>
      <c r="BJ1844" t="s">
        <v>31064</v>
      </c>
      <c r="BK1844" t="str">
        <f>HYPERLINK("http://dx.doi.org/10.1016/j.ypmed.2004.02.014","http://dx.doi.org/10.1016/j.ypmed.2004.02.014")</f>
        <v>http://dx.doi.org/10.1016/j.ypmed.2004.02.014</v>
      </c>
      <c r="BL1844" t="s">
        <v>69</v>
      </c>
      <c r="BM1844" t="s">
        <v>69</v>
      </c>
      <c r="BN1844">
        <v>13</v>
      </c>
      <c r="BO1844" t="s">
        <v>18631</v>
      </c>
      <c r="BP1844" t="s">
        <v>8548</v>
      </c>
      <c r="BQ1844" t="s">
        <v>18632</v>
      </c>
      <c r="BR1844" t="s">
        <v>31065</v>
      </c>
      <c r="BS1844" t="s">
        <v>31066</v>
      </c>
      <c r="BT1844">
        <v>15313097</v>
      </c>
      <c r="BU1844" t="s">
        <v>69</v>
      </c>
      <c r="BV1844" t="s">
        <v>69</v>
      </c>
      <c r="BW1844" t="s">
        <v>69</v>
      </c>
      <c r="BX1844" t="s">
        <v>8526</v>
      </c>
      <c r="BY1844" t="str">
        <f>HYPERLINK("https%3A%2F%2Fwww.webofscience.com%2Fwos%2Fwoscc%2Ffull-record%2FWOS:000223760000017","View Full Record in Web of Science")</f>
        <v>View Full Record in Web of Science</v>
      </c>
    </row>
    <row r="1845" spans="1:77" ht="12.5" x14ac:dyDescent="0.25">
      <c r="A1845" t="s">
        <v>8495</v>
      </c>
      <c r="B1845" s="22" t="s">
        <v>32931</v>
      </c>
      <c r="C1845" s="7"/>
      <c r="D1845" s="7"/>
      <c r="E1845" s="7"/>
      <c r="F1845" t="s">
        <v>67</v>
      </c>
      <c r="G1845" t="s">
        <v>32446</v>
      </c>
      <c r="H1845" t="s">
        <v>69</v>
      </c>
      <c r="I1845" t="s">
        <v>69</v>
      </c>
      <c r="J1845" t="s">
        <v>69</v>
      </c>
      <c r="K1845" t="s">
        <v>32446</v>
      </c>
      <c r="L1845" t="s">
        <v>69</v>
      </c>
      <c r="M1845" t="s">
        <v>69</v>
      </c>
      <c r="N1845" t="s">
        <v>32447</v>
      </c>
      <c r="O1845" t="s">
        <v>32448</v>
      </c>
      <c r="P1845" t="s">
        <v>69</v>
      </c>
      <c r="Q1845" t="s">
        <v>69</v>
      </c>
      <c r="R1845" t="s">
        <v>8505</v>
      </c>
      <c r="S1845" t="s">
        <v>10174</v>
      </c>
      <c r="T1845" t="s">
        <v>69</v>
      </c>
      <c r="U1845" t="s">
        <v>69</v>
      </c>
      <c r="V1845" t="s">
        <v>69</v>
      </c>
      <c r="W1845" t="s">
        <v>69</v>
      </c>
      <c r="X1845" t="s">
        <v>69</v>
      </c>
      <c r="Y1845" t="s">
        <v>69</v>
      </c>
      <c r="Z1845" t="s">
        <v>69</v>
      </c>
      <c r="AA1845" t="s">
        <v>32449</v>
      </c>
      <c r="AB1845" t="s">
        <v>32450</v>
      </c>
      <c r="AC1845" t="s">
        <v>69</v>
      </c>
      <c r="AD1845" t="s">
        <v>32451</v>
      </c>
      <c r="AE1845" t="s">
        <v>69</v>
      </c>
      <c r="AF1845" t="s">
        <v>69</v>
      </c>
      <c r="AG1845" t="s">
        <v>69</v>
      </c>
      <c r="AH1845" t="s">
        <v>69</v>
      </c>
      <c r="AI1845" t="s">
        <v>69</v>
      </c>
      <c r="AJ1845" t="s">
        <v>69</v>
      </c>
      <c r="AK1845" t="s">
        <v>69</v>
      </c>
      <c r="AL1845">
        <v>16</v>
      </c>
      <c r="AM1845">
        <v>0</v>
      </c>
      <c r="AN1845">
        <v>0</v>
      </c>
      <c r="AO1845">
        <v>0</v>
      </c>
      <c r="AP1845">
        <v>5</v>
      </c>
      <c r="AQ1845" t="s">
        <v>32452</v>
      </c>
      <c r="AR1845" t="s">
        <v>8735</v>
      </c>
      <c r="AS1845" t="s">
        <v>32453</v>
      </c>
      <c r="AT1845" t="s">
        <v>32454</v>
      </c>
      <c r="AU1845" t="s">
        <v>69</v>
      </c>
      <c r="AV1845" t="s">
        <v>69</v>
      </c>
      <c r="AW1845" t="s">
        <v>32455</v>
      </c>
      <c r="AX1845" t="s">
        <v>32456</v>
      </c>
      <c r="AY1845" t="s">
        <v>5888</v>
      </c>
      <c r="AZ1845">
        <v>1997</v>
      </c>
      <c r="BA1845">
        <v>37</v>
      </c>
      <c r="BB1845">
        <v>3</v>
      </c>
      <c r="BC1845" t="s">
        <v>69</v>
      </c>
      <c r="BD1845" t="s">
        <v>69</v>
      </c>
      <c r="BE1845" t="s">
        <v>69</v>
      </c>
      <c r="BF1845" t="s">
        <v>69</v>
      </c>
      <c r="BG1845">
        <v>211</v>
      </c>
      <c r="BH1845">
        <v>221</v>
      </c>
      <c r="BI1845" t="s">
        <v>69</v>
      </c>
      <c r="BJ1845" t="s">
        <v>69</v>
      </c>
      <c r="BK1845" t="s">
        <v>69</v>
      </c>
      <c r="BL1845" t="s">
        <v>69</v>
      </c>
      <c r="BM1845" t="s">
        <v>69</v>
      </c>
      <c r="BN1845">
        <v>11</v>
      </c>
      <c r="BO1845" t="s">
        <v>32457</v>
      </c>
      <c r="BP1845" t="s">
        <v>8548</v>
      </c>
      <c r="BQ1845" t="s">
        <v>32458</v>
      </c>
      <c r="BR1845" t="s">
        <v>32459</v>
      </c>
      <c r="BS1845" t="s">
        <v>32460</v>
      </c>
      <c r="BT1845" t="s">
        <v>69</v>
      </c>
      <c r="BU1845" t="s">
        <v>69</v>
      </c>
      <c r="BV1845" t="s">
        <v>69</v>
      </c>
      <c r="BW1845" t="s">
        <v>69</v>
      </c>
      <c r="BX1845" t="s">
        <v>8526</v>
      </c>
      <c r="BY1845" t="str">
        <f>HYPERLINK("https%3A%2F%2Fwww.webofscience.com%2Fwos%2Fwoscc%2Ffull-record%2FWOS:A1997XP68100004","View Full Record in Web of Science")</f>
        <v>View Full Record in Web of Science</v>
      </c>
    </row>
    <row r="1846" spans="1:77" ht="12.5" x14ac:dyDescent="0.25">
      <c r="A1846" t="s">
        <v>8495</v>
      </c>
      <c r="B1846" s="7" t="s">
        <v>32933</v>
      </c>
      <c r="C1846" s="7"/>
      <c r="D1846" s="7"/>
      <c r="E1846" s="7"/>
      <c r="F1846" t="s">
        <v>67</v>
      </c>
      <c r="G1846" t="s">
        <v>7986</v>
      </c>
      <c r="H1846" t="s">
        <v>69</v>
      </c>
      <c r="I1846" t="s">
        <v>69</v>
      </c>
      <c r="J1846" t="s">
        <v>69</v>
      </c>
      <c r="K1846" t="s">
        <v>7986</v>
      </c>
      <c r="L1846" t="s">
        <v>69</v>
      </c>
      <c r="M1846" t="s">
        <v>69</v>
      </c>
      <c r="N1846" t="s">
        <v>7987</v>
      </c>
      <c r="O1846" t="s">
        <v>4065</v>
      </c>
      <c r="P1846" t="s">
        <v>69</v>
      </c>
      <c r="Q1846" t="s">
        <v>69</v>
      </c>
      <c r="R1846" t="s">
        <v>8505</v>
      </c>
      <c r="S1846" t="s">
        <v>10174</v>
      </c>
      <c r="T1846" t="s">
        <v>69</v>
      </c>
      <c r="U1846" t="s">
        <v>69</v>
      </c>
      <c r="V1846" t="s">
        <v>69</v>
      </c>
      <c r="W1846" t="s">
        <v>69</v>
      </c>
      <c r="X1846" t="s">
        <v>69</v>
      </c>
      <c r="Y1846" t="s">
        <v>69</v>
      </c>
      <c r="Z1846" t="s">
        <v>69</v>
      </c>
      <c r="AA1846" t="s">
        <v>7988</v>
      </c>
      <c r="AB1846" t="s">
        <v>69</v>
      </c>
      <c r="AC1846" t="s">
        <v>69</v>
      </c>
      <c r="AD1846" t="s">
        <v>69</v>
      </c>
      <c r="AE1846" t="s">
        <v>69</v>
      </c>
      <c r="AF1846" t="s">
        <v>69</v>
      </c>
      <c r="AG1846" t="s">
        <v>69</v>
      </c>
      <c r="AH1846" t="s">
        <v>69</v>
      </c>
      <c r="AI1846" t="s">
        <v>69</v>
      </c>
      <c r="AJ1846" t="s">
        <v>69</v>
      </c>
      <c r="AK1846" t="s">
        <v>69</v>
      </c>
      <c r="AL1846">
        <v>32</v>
      </c>
      <c r="AM1846">
        <v>1</v>
      </c>
      <c r="AN1846">
        <v>1</v>
      </c>
      <c r="AO1846">
        <v>1</v>
      </c>
      <c r="AP1846">
        <v>4</v>
      </c>
      <c r="AQ1846" t="s">
        <v>9145</v>
      </c>
      <c r="AR1846" t="s">
        <v>8637</v>
      </c>
      <c r="AS1846" t="s">
        <v>32470</v>
      </c>
      <c r="AT1846" t="s">
        <v>4067</v>
      </c>
      <c r="AU1846" t="s">
        <v>69</v>
      </c>
      <c r="AV1846" t="s">
        <v>69</v>
      </c>
      <c r="AW1846" t="s">
        <v>23115</v>
      </c>
      <c r="AX1846" t="s">
        <v>23116</v>
      </c>
      <c r="AY1846" t="s">
        <v>246</v>
      </c>
      <c r="AZ1846">
        <v>1996</v>
      </c>
      <c r="BA1846">
        <v>11</v>
      </c>
      <c r="BB1846">
        <v>2</v>
      </c>
      <c r="BC1846" t="s">
        <v>69</v>
      </c>
      <c r="BD1846" t="s">
        <v>69</v>
      </c>
      <c r="BE1846" t="s">
        <v>69</v>
      </c>
      <c r="BF1846" t="s">
        <v>69</v>
      </c>
      <c r="BG1846">
        <v>197</v>
      </c>
      <c r="BH1846">
        <v>204</v>
      </c>
      <c r="BI1846" t="s">
        <v>69</v>
      </c>
      <c r="BJ1846" t="s">
        <v>69</v>
      </c>
      <c r="BK1846" t="s">
        <v>69</v>
      </c>
      <c r="BL1846" t="s">
        <v>69</v>
      </c>
      <c r="BM1846" t="s">
        <v>69</v>
      </c>
      <c r="BN1846">
        <v>8</v>
      </c>
      <c r="BO1846" t="s">
        <v>11242</v>
      </c>
      <c r="BP1846" t="s">
        <v>8548</v>
      </c>
      <c r="BQ1846" t="s">
        <v>8549</v>
      </c>
      <c r="BR1846" t="s">
        <v>32471</v>
      </c>
      <c r="BS1846" t="s">
        <v>7989</v>
      </c>
      <c r="BT1846" t="s">
        <v>69</v>
      </c>
      <c r="BU1846" t="s">
        <v>69</v>
      </c>
      <c r="BV1846" t="s">
        <v>69</v>
      </c>
      <c r="BW1846" t="s">
        <v>69</v>
      </c>
      <c r="BX1846" t="s">
        <v>8526</v>
      </c>
      <c r="BY1846" t="str">
        <f>HYPERLINK("https%3A%2F%2Fwww.webofscience.com%2Fwos%2Fwoscc%2Ffull-record%2FWOS:A1996UN43000008","View Full Record in Web of Science")</f>
        <v>View Full Record in Web of Science</v>
      </c>
    </row>
    <row r="1847" spans="1:77" ht="12.5" x14ac:dyDescent="0.25">
      <c r="A1847" t="s">
        <v>8495</v>
      </c>
      <c r="B1847" s="22" t="s">
        <v>32931</v>
      </c>
      <c r="C1847" s="7"/>
      <c r="D1847" s="7"/>
      <c r="E1847" s="7"/>
      <c r="F1847" t="s">
        <v>67</v>
      </c>
      <c r="G1847" t="s">
        <v>15365</v>
      </c>
      <c r="H1847" t="s">
        <v>69</v>
      </c>
      <c r="I1847" t="s">
        <v>69</v>
      </c>
      <c r="J1847" t="s">
        <v>69</v>
      </c>
      <c r="K1847" t="s">
        <v>15366</v>
      </c>
      <c r="L1847" t="s">
        <v>69</v>
      </c>
      <c r="M1847" t="s">
        <v>69</v>
      </c>
      <c r="N1847" t="s">
        <v>15367</v>
      </c>
      <c r="O1847" t="s">
        <v>15368</v>
      </c>
      <c r="P1847" t="s">
        <v>69</v>
      </c>
      <c r="Q1847" t="s">
        <v>69</v>
      </c>
      <c r="R1847" t="s">
        <v>8505</v>
      </c>
      <c r="S1847" t="s">
        <v>8506</v>
      </c>
      <c r="T1847" t="s">
        <v>69</v>
      </c>
      <c r="U1847" t="s">
        <v>69</v>
      </c>
      <c r="V1847" t="s">
        <v>69</v>
      </c>
      <c r="W1847" t="s">
        <v>69</v>
      </c>
      <c r="X1847" t="s">
        <v>69</v>
      </c>
      <c r="Y1847" t="s">
        <v>15369</v>
      </c>
      <c r="Z1847" t="s">
        <v>15370</v>
      </c>
      <c r="AA1847" t="s">
        <v>15371</v>
      </c>
      <c r="AB1847" t="s">
        <v>15372</v>
      </c>
      <c r="AC1847" t="s">
        <v>69</v>
      </c>
      <c r="AD1847" t="s">
        <v>15373</v>
      </c>
      <c r="AE1847" t="s">
        <v>15374</v>
      </c>
      <c r="AF1847" t="s">
        <v>15375</v>
      </c>
      <c r="AG1847" t="s">
        <v>15376</v>
      </c>
      <c r="AH1847" t="s">
        <v>69</v>
      </c>
      <c r="AI1847" t="s">
        <v>69</v>
      </c>
      <c r="AJ1847" t="s">
        <v>69</v>
      </c>
      <c r="AK1847" t="s">
        <v>69</v>
      </c>
      <c r="AL1847">
        <v>73</v>
      </c>
      <c r="AM1847">
        <v>1</v>
      </c>
      <c r="AN1847">
        <v>1</v>
      </c>
      <c r="AO1847">
        <v>0</v>
      </c>
      <c r="AP1847">
        <v>2</v>
      </c>
      <c r="AQ1847" t="s">
        <v>8762</v>
      </c>
      <c r="AR1847" t="s">
        <v>8763</v>
      </c>
      <c r="AS1847" t="s">
        <v>8764</v>
      </c>
      <c r="AT1847" t="s">
        <v>15377</v>
      </c>
      <c r="AU1847" t="s">
        <v>69</v>
      </c>
      <c r="AV1847" t="s">
        <v>69</v>
      </c>
      <c r="AW1847" t="s">
        <v>15378</v>
      </c>
      <c r="AX1847" t="s">
        <v>15379</v>
      </c>
      <c r="AY1847" t="s">
        <v>274</v>
      </c>
      <c r="AZ1847">
        <v>2020</v>
      </c>
      <c r="BA1847">
        <v>18</v>
      </c>
      <c r="BB1847">
        <v>8</v>
      </c>
      <c r="BC1847" t="s">
        <v>69</v>
      </c>
      <c r="BD1847" t="s">
        <v>69</v>
      </c>
      <c r="BE1847" t="s">
        <v>69</v>
      </c>
      <c r="BF1847" t="s">
        <v>69</v>
      </c>
      <c r="BG1847">
        <v>1058</v>
      </c>
      <c r="BH1847">
        <v>1074</v>
      </c>
      <c r="BI1847">
        <v>1478210320919541</v>
      </c>
      <c r="BJ1847" t="s">
        <v>15380</v>
      </c>
      <c r="BK1847" t="str">
        <f>HYPERLINK("http://dx.doi.org/10.1177/1478210320919541","http://dx.doi.org/10.1177/1478210320919541")</f>
        <v>http://dx.doi.org/10.1177/1478210320919541</v>
      </c>
      <c r="BL1847" t="s">
        <v>69</v>
      </c>
      <c r="BM1847" t="s">
        <v>767</v>
      </c>
      <c r="BN1847">
        <v>17</v>
      </c>
      <c r="BO1847" t="s">
        <v>9290</v>
      </c>
      <c r="BP1847" t="s">
        <v>8573</v>
      </c>
      <c r="BQ1847" t="s">
        <v>9290</v>
      </c>
      <c r="BR1847" t="s">
        <v>15381</v>
      </c>
      <c r="BS1847" t="s">
        <v>15382</v>
      </c>
      <c r="BT1847" t="s">
        <v>69</v>
      </c>
      <c r="BU1847" t="s">
        <v>69</v>
      </c>
      <c r="BV1847" t="s">
        <v>69</v>
      </c>
      <c r="BW1847" t="s">
        <v>69</v>
      </c>
      <c r="BX1847" t="s">
        <v>8526</v>
      </c>
      <c r="BY1847" t="str">
        <f>HYPERLINK("https%3A%2F%2Fwww.webofscience.com%2Fwos%2Fwoscc%2Ffull-record%2FWOS:000532375700001","View Full Record in Web of Science")</f>
        <v>View Full Record in Web of Science</v>
      </c>
    </row>
    <row r="1848" spans="1:77" ht="12.5" x14ac:dyDescent="0.25">
      <c r="A1848" t="s">
        <v>8495</v>
      </c>
      <c r="B1848" s="22" t="s">
        <v>32931</v>
      </c>
      <c r="C1848" s="7"/>
      <c r="D1848" s="7"/>
      <c r="E1848" s="7"/>
      <c r="F1848" t="s">
        <v>67</v>
      </c>
      <c r="G1848" t="s">
        <v>27988</v>
      </c>
      <c r="H1848" t="s">
        <v>69</v>
      </c>
      <c r="I1848" t="s">
        <v>69</v>
      </c>
      <c r="J1848" t="s">
        <v>69</v>
      </c>
      <c r="K1848" t="s">
        <v>27989</v>
      </c>
      <c r="L1848" t="s">
        <v>69</v>
      </c>
      <c r="M1848" t="s">
        <v>69</v>
      </c>
      <c r="N1848" t="s">
        <v>27990</v>
      </c>
      <c r="O1848" t="s">
        <v>14711</v>
      </c>
      <c r="P1848" t="s">
        <v>69</v>
      </c>
      <c r="Q1848" t="s">
        <v>69</v>
      </c>
      <c r="R1848" t="s">
        <v>8505</v>
      </c>
      <c r="S1848" t="s">
        <v>8506</v>
      </c>
      <c r="T1848" t="s">
        <v>69</v>
      </c>
      <c r="U1848" t="s">
        <v>69</v>
      </c>
      <c r="V1848" t="s">
        <v>69</v>
      </c>
      <c r="W1848" t="s">
        <v>69</v>
      </c>
      <c r="X1848" t="s">
        <v>69</v>
      </c>
      <c r="Y1848" t="s">
        <v>69</v>
      </c>
      <c r="Z1848" t="s">
        <v>27991</v>
      </c>
      <c r="AA1848" t="s">
        <v>27992</v>
      </c>
      <c r="AB1848" t="s">
        <v>27993</v>
      </c>
      <c r="AC1848" t="s">
        <v>69</v>
      </c>
      <c r="AD1848" t="s">
        <v>27994</v>
      </c>
      <c r="AE1848" t="s">
        <v>27995</v>
      </c>
      <c r="AF1848" t="s">
        <v>69</v>
      </c>
      <c r="AG1848" t="s">
        <v>69</v>
      </c>
      <c r="AH1848" t="s">
        <v>69</v>
      </c>
      <c r="AI1848" t="s">
        <v>69</v>
      </c>
      <c r="AJ1848" t="s">
        <v>69</v>
      </c>
      <c r="AK1848" t="s">
        <v>69</v>
      </c>
      <c r="AL1848">
        <v>98</v>
      </c>
      <c r="AM1848">
        <v>87</v>
      </c>
      <c r="AN1848">
        <v>87</v>
      </c>
      <c r="AO1848">
        <v>2</v>
      </c>
      <c r="AP1848">
        <v>29</v>
      </c>
      <c r="AQ1848" t="s">
        <v>8865</v>
      </c>
      <c r="AR1848" t="s">
        <v>8612</v>
      </c>
      <c r="AS1848" t="s">
        <v>8866</v>
      </c>
      <c r="AT1848" t="s">
        <v>14720</v>
      </c>
      <c r="AU1848" t="s">
        <v>14721</v>
      </c>
      <c r="AV1848" t="s">
        <v>69</v>
      </c>
      <c r="AW1848" t="s">
        <v>14722</v>
      </c>
      <c r="AX1848" t="s">
        <v>14723</v>
      </c>
      <c r="AY1848" t="s">
        <v>69</v>
      </c>
      <c r="AZ1848">
        <v>2010</v>
      </c>
      <c r="BA1848">
        <v>21</v>
      </c>
      <c r="BB1848">
        <v>1</v>
      </c>
      <c r="BC1848" t="s">
        <v>69</v>
      </c>
      <c r="BD1848" t="s">
        <v>69</v>
      </c>
      <c r="BE1848" t="s">
        <v>69</v>
      </c>
      <c r="BF1848" t="s">
        <v>69</v>
      </c>
      <c r="BG1848">
        <v>65</v>
      </c>
      <c r="BH1848">
        <v>94</v>
      </c>
      <c r="BI1848" t="s">
        <v>27996</v>
      </c>
      <c r="BJ1848" t="s">
        <v>27997</v>
      </c>
      <c r="BK1848" t="str">
        <f>HYPERLINK("http://dx.doi.org/10.1080/10409280902783509","http://dx.doi.org/10.1080/10409280902783509")</f>
        <v>http://dx.doi.org/10.1080/10409280902783509</v>
      </c>
      <c r="BL1848" t="s">
        <v>69</v>
      </c>
      <c r="BM1848" t="s">
        <v>69</v>
      </c>
      <c r="BN1848">
        <v>30</v>
      </c>
      <c r="BO1848" t="s">
        <v>14725</v>
      </c>
      <c r="BP1848" t="s">
        <v>8661</v>
      </c>
      <c r="BQ1848" t="s">
        <v>14726</v>
      </c>
      <c r="BR1848" t="s">
        <v>27998</v>
      </c>
      <c r="BS1848" t="s">
        <v>27999</v>
      </c>
      <c r="BT1848" t="s">
        <v>69</v>
      </c>
      <c r="BU1848" t="s">
        <v>69</v>
      </c>
      <c r="BV1848" t="s">
        <v>69</v>
      </c>
      <c r="BW1848" t="s">
        <v>69</v>
      </c>
      <c r="BX1848" t="s">
        <v>8526</v>
      </c>
      <c r="BY1848" t="str">
        <f>HYPERLINK("https%3A%2F%2Fwww.webofscience.com%2Fwos%2Fwoscc%2Ffull-record%2FWOS:000274221400004","View Full Record in Web of Science")</f>
        <v>View Full Record in Web of Science</v>
      </c>
    </row>
    <row r="1849" spans="1:77" ht="12.5" x14ac:dyDescent="0.25">
      <c r="A1849" t="s">
        <v>8495</v>
      </c>
      <c r="B1849" s="7" t="s">
        <v>32933</v>
      </c>
      <c r="C1849" s="7"/>
      <c r="D1849" s="7"/>
      <c r="E1849" s="7"/>
      <c r="F1849" t="s">
        <v>67</v>
      </c>
      <c r="G1849" t="s">
        <v>5795</v>
      </c>
      <c r="H1849" t="s">
        <v>69</v>
      </c>
      <c r="I1849" t="s">
        <v>69</v>
      </c>
      <c r="J1849" t="s">
        <v>69</v>
      </c>
      <c r="K1849" t="s">
        <v>5796</v>
      </c>
      <c r="L1849" t="s">
        <v>69</v>
      </c>
      <c r="M1849" t="s">
        <v>69</v>
      </c>
      <c r="N1849" t="s">
        <v>5797</v>
      </c>
      <c r="O1849" t="s">
        <v>5798</v>
      </c>
      <c r="P1849" t="s">
        <v>69</v>
      </c>
      <c r="Q1849" t="s">
        <v>69</v>
      </c>
      <c r="R1849" t="s">
        <v>8505</v>
      </c>
      <c r="S1849" t="s">
        <v>8506</v>
      </c>
      <c r="T1849" t="s">
        <v>69</v>
      </c>
      <c r="U1849" t="s">
        <v>69</v>
      </c>
      <c r="V1849" t="s">
        <v>69</v>
      </c>
      <c r="W1849" t="s">
        <v>69</v>
      </c>
      <c r="X1849" t="s">
        <v>69</v>
      </c>
      <c r="Y1849" t="s">
        <v>15013</v>
      </c>
      <c r="Z1849" t="s">
        <v>15014</v>
      </c>
      <c r="AA1849" t="s">
        <v>5799</v>
      </c>
      <c r="AB1849" t="s">
        <v>15015</v>
      </c>
      <c r="AC1849" t="s">
        <v>69</v>
      </c>
      <c r="AD1849" t="s">
        <v>15016</v>
      </c>
      <c r="AE1849" t="s">
        <v>15017</v>
      </c>
      <c r="AF1849" t="s">
        <v>69</v>
      </c>
      <c r="AG1849" t="s">
        <v>15018</v>
      </c>
      <c r="AH1849" t="s">
        <v>15019</v>
      </c>
      <c r="AI1849" t="s">
        <v>69</v>
      </c>
      <c r="AJ1849" t="s">
        <v>15020</v>
      </c>
      <c r="AK1849" t="s">
        <v>69</v>
      </c>
      <c r="AL1849">
        <v>98</v>
      </c>
      <c r="AM1849">
        <v>2</v>
      </c>
      <c r="AN1849">
        <v>2</v>
      </c>
      <c r="AO1849">
        <v>1</v>
      </c>
      <c r="AP1849">
        <v>11</v>
      </c>
      <c r="AQ1849" t="s">
        <v>8586</v>
      </c>
      <c r="AR1849" t="s">
        <v>8587</v>
      </c>
      <c r="AS1849" t="s">
        <v>8588</v>
      </c>
      <c r="AT1849" t="s">
        <v>5800</v>
      </c>
      <c r="AU1849" t="s">
        <v>5801</v>
      </c>
      <c r="AV1849" t="s">
        <v>69</v>
      </c>
      <c r="AW1849" t="s">
        <v>15021</v>
      </c>
      <c r="AX1849" t="s">
        <v>15022</v>
      </c>
      <c r="AY1849" t="s">
        <v>4861</v>
      </c>
      <c r="AZ1849">
        <v>2020</v>
      </c>
      <c r="BA1849">
        <v>39</v>
      </c>
      <c r="BB1849">
        <v>5</v>
      </c>
      <c r="BC1849" t="s">
        <v>69</v>
      </c>
      <c r="BD1849" t="s">
        <v>69</v>
      </c>
      <c r="BE1849" t="s">
        <v>114</v>
      </c>
      <c r="BF1849" t="s">
        <v>69</v>
      </c>
      <c r="BG1849">
        <v>599</v>
      </c>
      <c r="BH1849">
        <v>617</v>
      </c>
      <c r="BI1849" t="s">
        <v>69</v>
      </c>
      <c r="BJ1849" t="s">
        <v>5802</v>
      </c>
      <c r="BK1849" t="str">
        <f>HYPERLINK("http://dx.doi.org/10.1108/JMD-09-2019-0392","http://dx.doi.org/10.1108/JMD-09-2019-0392")</f>
        <v>http://dx.doi.org/10.1108/JMD-09-2019-0392</v>
      </c>
      <c r="BL1849" t="s">
        <v>69</v>
      </c>
      <c r="BM1849" t="s">
        <v>4582</v>
      </c>
      <c r="BN1849">
        <v>19</v>
      </c>
      <c r="BO1849" t="s">
        <v>9410</v>
      </c>
      <c r="BP1849" t="s">
        <v>8573</v>
      </c>
      <c r="BQ1849" t="s">
        <v>8594</v>
      </c>
      <c r="BR1849" t="s">
        <v>15023</v>
      </c>
      <c r="BS1849" t="s">
        <v>5803</v>
      </c>
      <c r="BT1849" t="s">
        <v>69</v>
      </c>
      <c r="BU1849" t="s">
        <v>69</v>
      </c>
      <c r="BV1849" t="s">
        <v>69</v>
      </c>
      <c r="BW1849" t="s">
        <v>69</v>
      </c>
      <c r="BX1849" t="s">
        <v>8526</v>
      </c>
      <c r="BY1849" t="str">
        <f>HYPERLINK("https%3A%2F%2Fwww.webofscience.com%2Fwos%2Fwoscc%2Ffull-record%2FWOS:000538065300001","View Full Record in Web of Science")</f>
        <v>View Full Record in Web of Science</v>
      </c>
    </row>
    <row r="1850" spans="1:77" ht="12.5" x14ac:dyDescent="0.25">
      <c r="A1850" t="s">
        <v>8495</v>
      </c>
      <c r="B1850" s="7" t="s">
        <v>32933</v>
      </c>
      <c r="C1850" s="7"/>
      <c r="D1850" s="7"/>
      <c r="E1850" s="7"/>
      <c r="F1850" t="s">
        <v>67</v>
      </c>
      <c r="G1850" t="s">
        <v>3967</v>
      </c>
      <c r="H1850" t="s">
        <v>69</v>
      </c>
      <c r="I1850" t="s">
        <v>69</v>
      </c>
      <c r="J1850" t="s">
        <v>69</v>
      </c>
      <c r="K1850" t="s">
        <v>3967</v>
      </c>
      <c r="L1850" t="s">
        <v>69</v>
      </c>
      <c r="M1850" t="s">
        <v>69</v>
      </c>
      <c r="N1850" t="s">
        <v>3968</v>
      </c>
      <c r="O1850" t="s">
        <v>3969</v>
      </c>
      <c r="P1850" t="s">
        <v>69</v>
      </c>
      <c r="Q1850" t="s">
        <v>69</v>
      </c>
      <c r="R1850" t="s">
        <v>8505</v>
      </c>
      <c r="S1850" t="s">
        <v>8506</v>
      </c>
      <c r="T1850" t="s">
        <v>69</v>
      </c>
      <c r="U1850" t="s">
        <v>69</v>
      </c>
      <c r="V1850" t="s">
        <v>69</v>
      </c>
      <c r="W1850" t="s">
        <v>69</v>
      </c>
      <c r="X1850" t="s">
        <v>69</v>
      </c>
      <c r="Y1850" t="s">
        <v>69</v>
      </c>
      <c r="Z1850" t="s">
        <v>69</v>
      </c>
      <c r="AA1850" t="s">
        <v>3970</v>
      </c>
      <c r="AB1850" t="s">
        <v>30477</v>
      </c>
      <c r="AC1850" t="s">
        <v>69</v>
      </c>
      <c r="AD1850" t="s">
        <v>31220</v>
      </c>
      <c r="AE1850" t="s">
        <v>69</v>
      </c>
      <c r="AF1850" t="s">
        <v>69</v>
      </c>
      <c r="AG1850" t="s">
        <v>69</v>
      </c>
      <c r="AH1850" t="s">
        <v>69</v>
      </c>
      <c r="AI1850" t="s">
        <v>69</v>
      </c>
      <c r="AJ1850" t="s">
        <v>69</v>
      </c>
      <c r="AK1850" t="s">
        <v>69</v>
      </c>
      <c r="AL1850">
        <v>59</v>
      </c>
      <c r="AM1850">
        <v>131</v>
      </c>
      <c r="AN1850">
        <v>136</v>
      </c>
      <c r="AO1850">
        <v>5</v>
      </c>
      <c r="AP1850">
        <v>64</v>
      </c>
      <c r="AQ1850" t="s">
        <v>10352</v>
      </c>
      <c r="AR1850" t="s">
        <v>8637</v>
      </c>
      <c r="AS1850" t="s">
        <v>10353</v>
      </c>
      <c r="AT1850" t="s">
        <v>3971</v>
      </c>
      <c r="AU1850" t="s">
        <v>69</v>
      </c>
      <c r="AV1850" t="s">
        <v>69</v>
      </c>
      <c r="AW1850" t="s">
        <v>10435</v>
      </c>
      <c r="AX1850" t="s">
        <v>10436</v>
      </c>
      <c r="AY1850" t="s">
        <v>84</v>
      </c>
      <c r="AZ1850">
        <v>2003</v>
      </c>
      <c r="BA1850">
        <v>13</v>
      </c>
      <c r="BB1850">
        <v>3</v>
      </c>
      <c r="BC1850" t="s">
        <v>69</v>
      </c>
      <c r="BD1850" t="s">
        <v>69</v>
      </c>
      <c r="BE1850" t="s">
        <v>69</v>
      </c>
      <c r="BF1850" t="s">
        <v>69</v>
      </c>
      <c r="BG1850">
        <v>265</v>
      </c>
      <c r="BH1850">
        <v>282</v>
      </c>
      <c r="BI1850" t="s">
        <v>69</v>
      </c>
      <c r="BJ1850" t="s">
        <v>3972</v>
      </c>
      <c r="BK1850" t="str">
        <f>HYPERLINK("http://dx.doi.org/10.1093/jopart/mug024","http://dx.doi.org/10.1093/jopart/mug024")</f>
        <v>http://dx.doi.org/10.1093/jopart/mug024</v>
      </c>
      <c r="BL1850" t="s">
        <v>69</v>
      </c>
      <c r="BM1850" t="s">
        <v>69</v>
      </c>
      <c r="BN1850">
        <v>18</v>
      </c>
      <c r="BO1850" t="s">
        <v>10439</v>
      </c>
      <c r="BP1850" t="s">
        <v>8661</v>
      </c>
      <c r="BQ1850" t="s">
        <v>10440</v>
      </c>
      <c r="BR1850" t="s">
        <v>31221</v>
      </c>
      <c r="BS1850" t="s">
        <v>3973</v>
      </c>
      <c r="BT1850" t="s">
        <v>69</v>
      </c>
      <c r="BU1850" t="s">
        <v>69</v>
      </c>
      <c r="BV1850" t="s">
        <v>69</v>
      </c>
      <c r="BW1850" t="s">
        <v>69</v>
      </c>
      <c r="BX1850" t="s">
        <v>8526</v>
      </c>
      <c r="BY1850" t="str">
        <f>HYPERLINK("https%3A%2F%2Fwww.webofscience.com%2Fwos%2Fwoscc%2Ffull-record%2FWOS:000186235800002","View Full Record in Web of Science")</f>
        <v>View Full Record in Web of Science</v>
      </c>
    </row>
    <row r="1851" spans="1:77" ht="12.5" x14ac:dyDescent="0.25">
      <c r="A1851" t="s">
        <v>8495</v>
      </c>
      <c r="B1851" s="11" t="s">
        <v>33042</v>
      </c>
      <c r="C1851" s="7"/>
      <c r="D1851" s="7"/>
      <c r="E1851" s="7"/>
      <c r="F1851" t="s">
        <v>67</v>
      </c>
      <c r="G1851" t="s">
        <v>7927</v>
      </c>
      <c r="H1851" t="s">
        <v>69</v>
      </c>
      <c r="I1851" t="s">
        <v>69</v>
      </c>
      <c r="J1851" t="s">
        <v>69</v>
      </c>
      <c r="K1851" s="2" t="s">
        <v>7928</v>
      </c>
      <c r="L1851" t="s">
        <v>69</v>
      </c>
      <c r="M1851" t="s">
        <v>69</v>
      </c>
      <c r="N1851" s="11" t="s">
        <v>7929</v>
      </c>
      <c r="O1851" t="s">
        <v>352</v>
      </c>
      <c r="P1851" t="s">
        <v>69</v>
      </c>
      <c r="Q1851" t="s">
        <v>69</v>
      </c>
      <c r="R1851" t="s">
        <v>8505</v>
      </c>
      <c r="S1851" t="s">
        <v>8506</v>
      </c>
      <c r="T1851" t="s">
        <v>69</v>
      </c>
      <c r="U1851" t="s">
        <v>69</v>
      </c>
      <c r="V1851" t="s">
        <v>69</v>
      </c>
      <c r="W1851" t="s">
        <v>69</v>
      </c>
      <c r="X1851" t="s">
        <v>69</v>
      </c>
      <c r="Y1851" t="s">
        <v>19196</v>
      </c>
      <c r="Z1851" t="s">
        <v>19197</v>
      </c>
      <c r="AA1851" t="s">
        <v>7930</v>
      </c>
      <c r="AB1851" t="s">
        <v>19198</v>
      </c>
      <c r="AC1851" t="s">
        <v>69</v>
      </c>
      <c r="AD1851" t="s">
        <v>19199</v>
      </c>
      <c r="AE1851" t="s">
        <v>19200</v>
      </c>
      <c r="AF1851" t="s">
        <v>19201</v>
      </c>
      <c r="AG1851" t="s">
        <v>7931</v>
      </c>
      <c r="AH1851" t="s">
        <v>69</v>
      </c>
      <c r="AI1851" t="s">
        <v>69</v>
      </c>
      <c r="AJ1851" t="s">
        <v>69</v>
      </c>
      <c r="AK1851" t="s">
        <v>69</v>
      </c>
      <c r="AL1851">
        <v>59</v>
      </c>
      <c r="AM1851">
        <v>12</v>
      </c>
      <c r="AN1851">
        <v>12</v>
      </c>
      <c r="AO1851">
        <v>2</v>
      </c>
      <c r="AP1851">
        <v>17</v>
      </c>
      <c r="AQ1851" t="s">
        <v>8924</v>
      </c>
      <c r="AR1851" t="s">
        <v>8925</v>
      </c>
      <c r="AS1851" t="s">
        <v>8926</v>
      </c>
      <c r="AT1851" t="s">
        <v>69</v>
      </c>
      <c r="AU1851" t="s">
        <v>354</v>
      </c>
      <c r="AV1851" t="s">
        <v>69</v>
      </c>
      <c r="AW1851" t="s">
        <v>8958</v>
      </c>
      <c r="AX1851" t="s">
        <v>8434</v>
      </c>
      <c r="AY1851" t="s">
        <v>191</v>
      </c>
      <c r="AZ1851">
        <v>2018</v>
      </c>
      <c r="BA1851">
        <v>10</v>
      </c>
      <c r="BB1851">
        <v>2</v>
      </c>
      <c r="BC1851" t="s">
        <v>69</v>
      </c>
      <c r="BD1851" t="s">
        <v>69</v>
      </c>
      <c r="BE1851" t="s">
        <v>69</v>
      </c>
      <c r="BF1851" t="s">
        <v>69</v>
      </c>
      <c r="BG1851" t="s">
        <v>69</v>
      </c>
      <c r="BH1851" t="s">
        <v>69</v>
      </c>
      <c r="BI1851">
        <v>364</v>
      </c>
      <c r="BJ1851" t="s">
        <v>7932</v>
      </c>
      <c r="BK1851" t="str">
        <f>HYPERLINK("http://dx.doi.org/10.3390/su10020364","http://dx.doi.org/10.3390/su10020364")</f>
        <v>http://dx.doi.org/10.3390/su10020364</v>
      </c>
      <c r="BL1851" t="s">
        <v>69</v>
      </c>
      <c r="BM1851" t="s">
        <v>69</v>
      </c>
      <c r="BN1851">
        <v>17</v>
      </c>
      <c r="BO1851" t="s">
        <v>8960</v>
      </c>
      <c r="BP1851" t="s">
        <v>8523</v>
      </c>
      <c r="BQ1851" t="s">
        <v>8961</v>
      </c>
      <c r="BR1851" t="s">
        <v>19202</v>
      </c>
      <c r="BS1851" t="s">
        <v>7933</v>
      </c>
      <c r="BT1851" t="s">
        <v>69</v>
      </c>
      <c r="BU1851" t="s">
        <v>17361</v>
      </c>
      <c r="BV1851" t="s">
        <v>69</v>
      </c>
      <c r="BW1851" t="s">
        <v>69</v>
      </c>
      <c r="BX1851" t="s">
        <v>8526</v>
      </c>
      <c r="BY1851" t="str">
        <f>HYPERLINK("https%3A%2F%2Fwww.webofscience.com%2Fwos%2Fwoscc%2Ffull-record%2FWOS:000425943100087","View Full Record in Web of Science")</f>
        <v>View Full Record in Web of Science</v>
      </c>
    </row>
    <row r="1852" spans="1:77" x14ac:dyDescent="0.3">
      <c r="A1852" t="s">
        <v>8495</v>
      </c>
      <c r="B1852" s="12" t="s">
        <v>33043</v>
      </c>
      <c r="F1852" t="s">
        <v>67</v>
      </c>
      <c r="G1852" t="s">
        <v>376</v>
      </c>
      <c r="H1852" t="s">
        <v>69</v>
      </c>
      <c r="I1852" t="s">
        <v>69</v>
      </c>
      <c r="J1852" t="s">
        <v>69</v>
      </c>
      <c r="K1852" t="s">
        <v>377</v>
      </c>
      <c r="L1852" t="s">
        <v>69</v>
      </c>
      <c r="M1852" t="s">
        <v>69</v>
      </c>
      <c r="N1852" s="2" t="s">
        <v>378</v>
      </c>
      <c r="O1852" t="s">
        <v>352</v>
      </c>
      <c r="P1852" t="s">
        <v>69</v>
      </c>
      <c r="Q1852" t="s">
        <v>69</v>
      </c>
      <c r="R1852" t="s">
        <v>8505</v>
      </c>
      <c r="S1852" t="s">
        <v>8506</v>
      </c>
      <c r="T1852" t="s">
        <v>69</v>
      </c>
      <c r="U1852" t="s">
        <v>69</v>
      </c>
      <c r="V1852" t="s">
        <v>69</v>
      </c>
      <c r="W1852" t="s">
        <v>69</v>
      </c>
      <c r="X1852" t="s">
        <v>69</v>
      </c>
      <c r="Y1852" t="s">
        <v>18287</v>
      </c>
      <c r="Z1852" t="s">
        <v>18288</v>
      </c>
      <c r="AA1852" t="s">
        <v>379</v>
      </c>
      <c r="AB1852" t="s">
        <v>18289</v>
      </c>
      <c r="AC1852" t="s">
        <v>69</v>
      </c>
      <c r="AD1852" t="s">
        <v>18290</v>
      </c>
      <c r="AE1852" t="s">
        <v>18291</v>
      </c>
      <c r="AF1852" t="s">
        <v>18292</v>
      </c>
      <c r="AG1852" t="s">
        <v>380</v>
      </c>
      <c r="AH1852" t="s">
        <v>18293</v>
      </c>
      <c r="AI1852" t="s">
        <v>18294</v>
      </c>
      <c r="AJ1852" t="s">
        <v>18295</v>
      </c>
      <c r="AK1852" t="s">
        <v>69</v>
      </c>
      <c r="AL1852">
        <v>57</v>
      </c>
      <c r="AM1852">
        <v>11</v>
      </c>
      <c r="AN1852">
        <v>11</v>
      </c>
      <c r="AO1852">
        <v>6</v>
      </c>
      <c r="AP1852">
        <v>35</v>
      </c>
      <c r="AQ1852" t="s">
        <v>8924</v>
      </c>
      <c r="AR1852" t="s">
        <v>8925</v>
      </c>
      <c r="AS1852" t="s">
        <v>8926</v>
      </c>
      <c r="AT1852" t="s">
        <v>69</v>
      </c>
      <c r="AU1852" t="s">
        <v>354</v>
      </c>
      <c r="AV1852" t="s">
        <v>69</v>
      </c>
      <c r="AW1852" t="s">
        <v>8958</v>
      </c>
      <c r="AX1852" t="s">
        <v>8434</v>
      </c>
      <c r="AY1852" t="s">
        <v>381</v>
      </c>
      <c r="AZ1852">
        <v>2018</v>
      </c>
      <c r="BA1852">
        <v>10</v>
      </c>
      <c r="BB1852">
        <v>10</v>
      </c>
      <c r="BC1852" t="s">
        <v>69</v>
      </c>
      <c r="BD1852" t="s">
        <v>69</v>
      </c>
      <c r="BE1852" t="s">
        <v>69</v>
      </c>
      <c r="BF1852" t="s">
        <v>69</v>
      </c>
      <c r="BG1852" t="s">
        <v>69</v>
      </c>
      <c r="BH1852" t="s">
        <v>69</v>
      </c>
      <c r="BI1852">
        <v>3585</v>
      </c>
      <c r="BJ1852" t="s">
        <v>382</v>
      </c>
      <c r="BK1852" t="str">
        <f>HYPERLINK("http://dx.doi.org/10.3390/su10103585","http://dx.doi.org/10.3390/su10103585")</f>
        <v>http://dx.doi.org/10.3390/su10103585</v>
      </c>
      <c r="BL1852" t="s">
        <v>69</v>
      </c>
      <c r="BM1852" t="s">
        <v>69</v>
      </c>
      <c r="BN1852">
        <v>17</v>
      </c>
      <c r="BO1852" t="s">
        <v>8960</v>
      </c>
      <c r="BP1852" t="s">
        <v>8523</v>
      </c>
      <c r="BQ1852" t="s">
        <v>8961</v>
      </c>
      <c r="BR1852" t="s">
        <v>18296</v>
      </c>
      <c r="BS1852" t="s">
        <v>383</v>
      </c>
      <c r="BT1852" t="s">
        <v>69</v>
      </c>
      <c r="BU1852" t="s">
        <v>10482</v>
      </c>
      <c r="BV1852" t="s">
        <v>69</v>
      </c>
      <c r="BW1852" t="s">
        <v>69</v>
      </c>
      <c r="BX1852" t="s">
        <v>8526</v>
      </c>
      <c r="BY1852" t="str">
        <f>HYPERLINK("https%3A%2F%2Fwww.webofscience.com%2Fwos%2Fwoscc%2Ffull-record%2FWOS:000448559400227","View Full Record in Web of Science")</f>
        <v>View Full Record in Web of Science</v>
      </c>
    </row>
    <row r="1853" spans="1:77" ht="12.5" x14ac:dyDescent="0.25">
      <c r="A1853" t="s">
        <v>8495</v>
      </c>
      <c r="B1853" s="22" t="s">
        <v>32931</v>
      </c>
      <c r="C1853" s="7"/>
      <c r="D1853" s="7"/>
      <c r="E1853" s="7"/>
      <c r="F1853" t="s">
        <v>67</v>
      </c>
      <c r="G1853" t="s">
        <v>27953</v>
      </c>
      <c r="H1853" t="s">
        <v>69</v>
      </c>
      <c r="I1853" t="s">
        <v>69</v>
      </c>
      <c r="J1853" t="s">
        <v>69</v>
      </c>
      <c r="K1853" t="s">
        <v>27954</v>
      </c>
      <c r="L1853" t="s">
        <v>69</v>
      </c>
      <c r="M1853" t="s">
        <v>69</v>
      </c>
      <c r="N1853" t="s">
        <v>27955</v>
      </c>
      <c r="O1853" t="s">
        <v>27956</v>
      </c>
      <c r="P1853" t="s">
        <v>69</v>
      </c>
      <c r="Q1853" t="s">
        <v>69</v>
      </c>
      <c r="R1853" t="s">
        <v>8505</v>
      </c>
      <c r="S1853" t="s">
        <v>8506</v>
      </c>
      <c r="T1853" t="s">
        <v>69</v>
      </c>
      <c r="U1853" t="s">
        <v>69</v>
      </c>
      <c r="V1853" t="s">
        <v>69</v>
      </c>
      <c r="W1853" t="s">
        <v>69</v>
      </c>
      <c r="X1853" t="s">
        <v>69</v>
      </c>
      <c r="Y1853" t="s">
        <v>27957</v>
      </c>
      <c r="Z1853" t="s">
        <v>69</v>
      </c>
      <c r="AA1853" t="s">
        <v>27958</v>
      </c>
      <c r="AB1853" t="s">
        <v>27959</v>
      </c>
      <c r="AC1853" t="s">
        <v>69</v>
      </c>
      <c r="AD1853" t="s">
        <v>27960</v>
      </c>
      <c r="AE1853" t="s">
        <v>27961</v>
      </c>
      <c r="AF1853" t="s">
        <v>69</v>
      </c>
      <c r="AG1853" t="s">
        <v>69</v>
      </c>
      <c r="AH1853" t="s">
        <v>69</v>
      </c>
      <c r="AI1853" t="s">
        <v>69</v>
      </c>
      <c r="AJ1853" t="s">
        <v>69</v>
      </c>
      <c r="AK1853" t="s">
        <v>69</v>
      </c>
      <c r="AL1853">
        <v>51</v>
      </c>
      <c r="AM1853">
        <v>10</v>
      </c>
      <c r="AN1853">
        <v>10</v>
      </c>
      <c r="AO1853">
        <v>0</v>
      </c>
      <c r="AP1853">
        <v>1</v>
      </c>
      <c r="AQ1853" t="s">
        <v>8865</v>
      </c>
      <c r="AR1853" t="s">
        <v>8612</v>
      </c>
      <c r="AS1853" t="s">
        <v>8866</v>
      </c>
      <c r="AT1853" t="s">
        <v>27962</v>
      </c>
      <c r="AU1853" t="s">
        <v>27963</v>
      </c>
      <c r="AV1853" t="s">
        <v>69</v>
      </c>
      <c r="AW1853" t="s">
        <v>27964</v>
      </c>
      <c r="AX1853" t="s">
        <v>27965</v>
      </c>
      <c r="AY1853" t="s">
        <v>69</v>
      </c>
      <c r="AZ1853">
        <v>2010</v>
      </c>
      <c r="BA1853">
        <v>28</v>
      </c>
      <c r="BB1853">
        <v>3</v>
      </c>
      <c r="BC1853" t="s">
        <v>69</v>
      </c>
      <c r="BD1853" t="s">
        <v>69</v>
      </c>
      <c r="BE1853" t="s">
        <v>69</v>
      </c>
      <c r="BF1853" t="s">
        <v>69</v>
      </c>
      <c r="BG1853">
        <v>231</v>
      </c>
      <c r="BH1853">
        <v>239</v>
      </c>
      <c r="BI1853" t="s">
        <v>69</v>
      </c>
      <c r="BJ1853" t="s">
        <v>27966</v>
      </c>
      <c r="BK1853" t="str">
        <f>HYPERLINK("http://dx.doi.org/10.1080/01446191003587729","http://dx.doi.org/10.1080/01446191003587729")</f>
        <v>http://dx.doi.org/10.1080/01446191003587729</v>
      </c>
      <c r="BL1853" t="s">
        <v>69</v>
      </c>
      <c r="BM1853" t="s">
        <v>69</v>
      </c>
      <c r="BN1853">
        <v>9</v>
      </c>
      <c r="BO1853" t="s">
        <v>8444</v>
      </c>
      <c r="BP1853" t="s">
        <v>8573</v>
      </c>
      <c r="BQ1853" t="s">
        <v>8594</v>
      </c>
      <c r="BR1853" t="s">
        <v>27967</v>
      </c>
      <c r="BS1853" t="s">
        <v>27968</v>
      </c>
      <c r="BT1853" t="s">
        <v>69</v>
      </c>
      <c r="BU1853" t="s">
        <v>9292</v>
      </c>
      <c r="BV1853" t="s">
        <v>69</v>
      </c>
      <c r="BW1853" t="s">
        <v>69</v>
      </c>
      <c r="BX1853" t="s">
        <v>8526</v>
      </c>
      <c r="BY1853" t="str">
        <f>HYPERLINK("https%3A%2F%2Fwww.webofscience.com%2Fwos%2Fwoscc%2Ffull-record%2FWOS:000213281700004","View Full Record in Web of Science")</f>
        <v>View Full Record in Web of Science</v>
      </c>
    </row>
    <row r="1854" spans="1:77" ht="12.5" x14ac:dyDescent="0.25">
      <c r="A1854" t="s">
        <v>8495</v>
      </c>
      <c r="B1854" s="7" t="s">
        <v>32933</v>
      </c>
      <c r="C1854" s="7"/>
      <c r="D1854" s="7"/>
      <c r="E1854" s="7"/>
      <c r="F1854" t="s">
        <v>67</v>
      </c>
      <c r="G1854" t="s">
        <v>7757</v>
      </c>
      <c r="H1854" t="s">
        <v>69</v>
      </c>
      <c r="I1854" t="s">
        <v>69</v>
      </c>
      <c r="J1854" t="s">
        <v>69</v>
      </c>
      <c r="K1854" t="s">
        <v>7758</v>
      </c>
      <c r="L1854" t="s">
        <v>69</v>
      </c>
      <c r="M1854" t="s">
        <v>69</v>
      </c>
      <c r="N1854" t="s">
        <v>7759</v>
      </c>
      <c r="O1854" t="s">
        <v>7760</v>
      </c>
      <c r="P1854" t="s">
        <v>69</v>
      </c>
      <c r="Q1854" t="s">
        <v>69</v>
      </c>
      <c r="R1854" t="s">
        <v>8505</v>
      </c>
      <c r="S1854" t="s">
        <v>8506</v>
      </c>
      <c r="T1854" t="s">
        <v>69</v>
      </c>
      <c r="U1854" t="s">
        <v>69</v>
      </c>
      <c r="V1854" t="s">
        <v>69</v>
      </c>
      <c r="W1854" t="s">
        <v>69</v>
      </c>
      <c r="X1854" t="s">
        <v>69</v>
      </c>
      <c r="Y1854" t="s">
        <v>69</v>
      </c>
      <c r="Z1854" t="s">
        <v>25038</v>
      </c>
      <c r="AA1854" t="s">
        <v>7761</v>
      </c>
      <c r="AB1854" t="s">
        <v>25039</v>
      </c>
      <c r="AC1854" t="s">
        <v>69</v>
      </c>
      <c r="AD1854" t="s">
        <v>25040</v>
      </c>
      <c r="AE1854" t="s">
        <v>25041</v>
      </c>
      <c r="AF1854" t="s">
        <v>25042</v>
      </c>
      <c r="AG1854" t="s">
        <v>25043</v>
      </c>
      <c r="AH1854" t="s">
        <v>69</v>
      </c>
      <c r="AI1854" t="s">
        <v>69</v>
      </c>
      <c r="AJ1854" t="s">
        <v>69</v>
      </c>
      <c r="AK1854" t="s">
        <v>69</v>
      </c>
      <c r="AL1854">
        <v>17</v>
      </c>
      <c r="AM1854">
        <v>12</v>
      </c>
      <c r="AN1854">
        <v>12</v>
      </c>
      <c r="AO1854">
        <v>0</v>
      </c>
      <c r="AP1854">
        <v>38</v>
      </c>
      <c r="AQ1854" t="s">
        <v>25044</v>
      </c>
      <c r="AR1854" t="s">
        <v>14472</v>
      </c>
      <c r="AS1854" t="s">
        <v>25045</v>
      </c>
      <c r="AT1854" t="s">
        <v>7762</v>
      </c>
      <c r="AU1854" t="s">
        <v>69</v>
      </c>
      <c r="AV1854" t="s">
        <v>69</v>
      </c>
      <c r="AW1854" t="s">
        <v>25046</v>
      </c>
      <c r="AX1854" t="s">
        <v>25047</v>
      </c>
      <c r="AY1854" t="s">
        <v>246</v>
      </c>
      <c r="AZ1854">
        <v>2013</v>
      </c>
      <c r="BA1854">
        <v>41</v>
      </c>
      <c r="BB1854">
        <v>1</v>
      </c>
      <c r="BC1854" t="s">
        <v>69</v>
      </c>
      <c r="BD1854" t="s">
        <v>69</v>
      </c>
      <c r="BE1854" t="s">
        <v>114</v>
      </c>
      <c r="BF1854" t="s">
        <v>69</v>
      </c>
      <c r="BG1854">
        <v>113</v>
      </c>
      <c r="BH1854">
        <v>119</v>
      </c>
      <c r="BI1854" t="s">
        <v>69</v>
      </c>
      <c r="BJ1854" t="s">
        <v>69</v>
      </c>
      <c r="BK1854" t="s">
        <v>69</v>
      </c>
      <c r="BL1854" t="s">
        <v>69</v>
      </c>
      <c r="BM1854" t="s">
        <v>69</v>
      </c>
      <c r="BN1854">
        <v>7</v>
      </c>
      <c r="BO1854" t="s">
        <v>14651</v>
      </c>
      <c r="BP1854" t="s">
        <v>8548</v>
      </c>
      <c r="BQ1854" t="s">
        <v>14651</v>
      </c>
      <c r="BR1854" t="s">
        <v>25048</v>
      </c>
      <c r="BS1854" t="s">
        <v>7763</v>
      </c>
      <c r="BT1854" t="s">
        <v>69</v>
      </c>
      <c r="BU1854" t="s">
        <v>69</v>
      </c>
      <c r="BV1854" t="s">
        <v>69</v>
      </c>
      <c r="BW1854" t="s">
        <v>69</v>
      </c>
      <c r="BX1854" t="s">
        <v>8526</v>
      </c>
      <c r="BY1854" t="str">
        <f>HYPERLINK("https%3A%2F%2Fwww.webofscience.com%2Fwos%2Fwoscc%2Ffull-record%2FWOS:000331666700017","View Full Record in Web of Science")</f>
        <v>View Full Record in Web of Science</v>
      </c>
    </row>
    <row r="1855" spans="1:77" ht="12.5" x14ac:dyDescent="0.25">
      <c r="A1855" t="s">
        <v>8495</v>
      </c>
      <c r="B1855" s="7" t="s">
        <v>32933</v>
      </c>
      <c r="C1855" s="7"/>
      <c r="D1855" s="7"/>
      <c r="E1855" s="7"/>
      <c r="F1855" t="s">
        <v>67</v>
      </c>
      <c r="G1855" t="s">
        <v>914</v>
      </c>
      <c r="H1855" t="s">
        <v>69</v>
      </c>
      <c r="I1855" t="s">
        <v>69</v>
      </c>
      <c r="J1855" t="s">
        <v>69</v>
      </c>
      <c r="K1855" t="s">
        <v>915</v>
      </c>
      <c r="L1855" t="s">
        <v>69</v>
      </c>
      <c r="M1855" t="s">
        <v>69</v>
      </c>
      <c r="N1855" t="s">
        <v>916</v>
      </c>
      <c r="O1855" t="s">
        <v>917</v>
      </c>
      <c r="P1855" t="s">
        <v>69</v>
      </c>
      <c r="Q1855" t="s">
        <v>69</v>
      </c>
      <c r="R1855" t="s">
        <v>8505</v>
      </c>
      <c r="S1855" t="s">
        <v>8506</v>
      </c>
      <c r="T1855" t="s">
        <v>69</v>
      </c>
      <c r="U1855" t="s">
        <v>69</v>
      </c>
      <c r="V1855" t="s">
        <v>69</v>
      </c>
      <c r="W1855" t="s">
        <v>69</v>
      </c>
      <c r="X1855" t="s">
        <v>69</v>
      </c>
      <c r="Y1855" t="s">
        <v>16999</v>
      </c>
      <c r="Z1855" t="s">
        <v>17000</v>
      </c>
      <c r="AA1855" t="s">
        <v>918</v>
      </c>
      <c r="AB1855" t="s">
        <v>17001</v>
      </c>
      <c r="AC1855" t="s">
        <v>69</v>
      </c>
      <c r="AD1855" t="s">
        <v>17002</v>
      </c>
      <c r="AE1855" t="s">
        <v>17003</v>
      </c>
      <c r="AF1855" t="s">
        <v>919</v>
      </c>
      <c r="AG1855" t="s">
        <v>17004</v>
      </c>
      <c r="AH1855" t="s">
        <v>69</v>
      </c>
      <c r="AI1855" t="s">
        <v>69</v>
      </c>
      <c r="AJ1855" t="s">
        <v>69</v>
      </c>
      <c r="AK1855" t="s">
        <v>69</v>
      </c>
      <c r="AL1855">
        <v>40</v>
      </c>
      <c r="AM1855">
        <v>15</v>
      </c>
      <c r="AN1855">
        <v>15</v>
      </c>
      <c r="AO1855">
        <v>4</v>
      </c>
      <c r="AP1855">
        <v>9</v>
      </c>
      <c r="AQ1855" t="s">
        <v>8865</v>
      </c>
      <c r="AR1855" t="s">
        <v>8612</v>
      </c>
      <c r="AS1855" t="s">
        <v>8866</v>
      </c>
      <c r="AT1855" t="s">
        <v>920</v>
      </c>
      <c r="AU1855" t="s">
        <v>921</v>
      </c>
      <c r="AV1855" t="s">
        <v>69</v>
      </c>
      <c r="AW1855" t="s">
        <v>17005</v>
      </c>
      <c r="AX1855" t="s">
        <v>17006</v>
      </c>
      <c r="AY1855" t="s">
        <v>922</v>
      </c>
      <c r="AZ1855">
        <v>2019</v>
      </c>
      <c r="BA1855">
        <v>60</v>
      </c>
      <c r="BB1855">
        <v>6</v>
      </c>
      <c r="BC1855" t="s">
        <v>69</v>
      </c>
      <c r="BD1855" t="s">
        <v>69</v>
      </c>
      <c r="BE1855" t="s">
        <v>69</v>
      </c>
      <c r="BF1855" t="s">
        <v>69</v>
      </c>
      <c r="BG1855">
        <v>716</v>
      </c>
      <c r="BH1855">
        <v>733</v>
      </c>
      <c r="BI1855" t="s">
        <v>69</v>
      </c>
      <c r="BJ1855" t="s">
        <v>923</v>
      </c>
      <c r="BK1855" t="str">
        <f>HYPERLINK("http://dx.doi.org/10.1080/0023656X.2019.1640356","http://dx.doi.org/10.1080/0023656X.2019.1640356")</f>
        <v>http://dx.doi.org/10.1080/0023656X.2019.1640356</v>
      </c>
      <c r="BL1855" t="s">
        <v>69</v>
      </c>
      <c r="BM1855" t="s">
        <v>924</v>
      </c>
      <c r="BN1855">
        <v>18</v>
      </c>
      <c r="BO1855" t="s">
        <v>17007</v>
      </c>
      <c r="BP1855" t="s">
        <v>12201</v>
      </c>
      <c r="BQ1855" t="s">
        <v>17008</v>
      </c>
      <c r="BR1855" t="s">
        <v>17009</v>
      </c>
      <c r="BS1855" t="s">
        <v>925</v>
      </c>
      <c r="BT1855" t="s">
        <v>69</v>
      </c>
      <c r="BU1855" t="s">
        <v>69</v>
      </c>
      <c r="BV1855" t="s">
        <v>69</v>
      </c>
      <c r="BW1855" t="s">
        <v>69</v>
      </c>
      <c r="BX1855" t="s">
        <v>8526</v>
      </c>
      <c r="BY1855" t="str">
        <f>HYPERLINK("https%3A%2F%2Fwww.webofscience.com%2Fwos%2Fwoscc%2Ffull-record%2FWOS:000476181100001","View Full Record in Web of Science")</f>
        <v>View Full Record in Web of Science</v>
      </c>
    </row>
    <row r="1856" spans="1:77" ht="12.5" x14ac:dyDescent="0.25">
      <c r="A1856" t="s">
        <v>8495</v>
      </c>
      <c r="B1856" s="7" t="s">
        <v>32933</v>
      </c>
      <c r="C1856" s="7"/>
      <c r="D1856" s="7"/>
      <c r="E1856" s="7"/>
      <c r="F1856" t="s">
        <v>67</v>
      </c>
      <c r="G1856" t="s">
        <v>5828</v>
      </c>
      <c r="H1856" t="s">
        <v>69</v>
      </c>
      <c r="I1856" t="s">
        <v>69</v>
      </c>
      <c r="J1856" t="s">
        <v>69</v>
      </c>
      <c r="K1856" t="s">
        <v>5829</v>
      </c>
      <c r="L1856" t="s">
        <v>69</v>
      </c>
      <c r="M1856" t="s">
        <v>69</v>
      </c>
      <c r="N1856" t="s">
        <v>5830</v>
      </c>
      <c r="O1856" t="s">
        <v>352</v>
      </c>
      <c r="P1856" t="s">
        <v>69</v>
      </c>
      <c r="Q1856" t="s">
        <v>69</v>
      </c>
      <c r="R1856" t="s">
        <v>8505</v>
      </c>
      <c r="S1856" t="s">
        <v>8506</v>
      </c>
      <c r="T1856" t="s">
        <v>69</v>
      </c>
      <c r="U1856" t="s">
        <v>69</v>
      </c>
      <c r="V1856" t="s">
        <v>69</v>
      </c>
      <c r="W1856" t="s">
        <v>69</v>
      </c>
      <c r="X1856" t="s">
        <v>69</v>
      </c>
      <c r="Y1856" t="s">
        <v>18506</v>
      </c>
      <c r="Z1856" t="s">
        <v>18507</v>
      </c>
      <c r="AA1856" t="s">
        <v>5831</v>
      </c>
      <c r="AB1856" t="s">
        <v>18508</v>
      </c>
      <c r="AC1856" t="s">
        <v>69</v>
      </c>
      <c r="AD1856" t="s">
        <v>18509</v>
      </c>
      <c r="AE1856" t="s">
        <v>18510</v>
      </c>
      <c r="AF1856" t="s">
        <v>5832</v>
      </c>
      <c r="AG1856" t="s">
        <v>18511</v>
      </c>
      <c r="AH1856" t="s">
        <v>18512</v>
      </c>
      <c r="AI1856" t="s">
        <v>18512</v>
      </c>
      <c r="AJ1856" t="s">
        <v>18513</v>
      </c>
      <c r="AK1856" t="s">
        <v>69</v>
      </c>
      <c r="AL1856">
        <v>89</v>
      </c>
      <c r="AM1856">
        <v>21</v>
      </c>
      <c r="AN1856">
        <v>22</v>
      </c>
      <c r="AO1856">
        <v>4</v>
      </c>
      <c r="AP1856">
        <v>26</v>
      </c>
      <c r="AQ1856" t="s">
        <v>8924</v>
      </c>
      <c r="AR1856" t="s">
        <v>8925</v>
      </c>
      <c r="AS1856" t="s">
        <v>8926</v>
      </c>
      <c r="AT1856" t="s">
        <v>69</v>
      </c>
      <c r="AU1856" t="s">
        <v>354</v>
      </c>
      <c r="AV1856" t="s">
        <v>69</v>
      </c>
      <c r="AW1856" t="s">
        <v>8958</v>
      </c>
      <c r="AX1856" t="s">
        <v>8434</v>
      </c>
      <c r="AY1856" t="s">
        <v>201</v>
      </c>
      <c r="AZ1856">
        <v>2018</v>
      </c>
      <c r="BA1856">
        <v>10</v>
      </c>
      <c r="BB1856">
        <v>8</v>
      </c>
      <c r="BC1856" t="s">
        <v>69</v>
      </c>
      <c r="BD1856" t="s">
        <v>69</v>
      </c>
      <c r="BE1856" t="s">
        <v>69</v>
      </c>
      <c r="BF1856" t="s">
        <v>69</v>
      </c>
      <c r="BG1856" t="s">
        <v>69</v>
      </c>
      <c r="BH1856" t="s">
        <v>69</v>
      </c>
      <c r="BI1856">
        <v>2719</v>
      </c>
      <c r="BJ1856" t="s">
        <v>5833</v>
      </c>
      <c r="BK1856" t="str">
        <f>HYPERLINK("http://dx.doi.org/10.3390/su10082719","http://dx.doi.org/10.3390/su10082719")</f>
        <v>http://dx.doi.org/10.3390/su10082719</v>
      </c>
      <c r="BL1856" t="s">
        <v>69</v>
      </c>
      <c r="BM1856" t="s">
        <v>69</v>
      </c>
      <c r="BN1856">
        <v>24</v>
      </c>
      <c r="BO1856" t="s">
        <v>8960</v>
      </c>
      <c r="BP1856" t="s">
        <v>8523</v>
      </c>
      <c r="BQ1856" t="s">
        <v>8961</v>
      </c>
      <c r="BR1856" t="s">
        <v>18514</v>
      </c>
      <c r="BS1856" t="s">
        <v>5834</v>
      </c>
      <c r="BT1856" t="s">
        <v>69</v>
      </c>
      <c r="BU1856" t="s">
        <v>17361</v>
      </c>
      <c r="BV1856" t="s">
        <v>69</v>
      </c>
      <c r="BW1856" t="s">
        <v>69</v>
      </c>
      <c r="BX1856" t="s">
        <v>8526</v>
      </c>
      <c r="BY1856" t="str">
        <f>HYPERLINK("https%3A%2F%2Fwww.webofscience.com%2Fwos%2Fwoscc%2Ffull-record%2FWOS:000446767700135","View Full Record in Web of Science")</f>
        <v>View Full Record in Web of Science</v>
      </c>
    </row>
    <row r="1857" spans="1:77" ht="12.5" x14ac:dyDescent="0.25">
      <c r="A1857" t="s">
        <v>8495</v>
      </c>
      <c r="B1857" s="7" t="s">
        <v>32933</v>
      </c>
      <c r="C1857" s="7"/>
      <c r="D1857" s="7"/>
      <c r="E1857" s="7"/>
      <c r="F1857" t="s">
        <v>67</v>
      </c>
      <c r="G1857" t="s">
        <v>3451</v>
      </c>
      <c r="H1857" t="s">
        <v>69</v>
      </c>
      <c r="I1857" t="s">
        <v>69</v>
      </c>
      <c r="J1857" t="s">
        <v>69</v>
      </c>
      <c r="K1857" t="s">
        <v>3452</v>
      </c>
      <c r="L1857" t="s">
        <v>69</v>
      </c>
      <c r="M1857" t="s">
        <v>69</v>
      </c>
      <c r="N1857" t="s">
        <v>3453</v>
      </c>
      <c r="O1857" t="s">
        <v>90</v>
      </c>
      <c r="P1857" t="s">
        <v>69</v>
      </c>
      <c r="Q1857" t="s">
        <v>69</v>
      </c>
      <c r="R1857" t="s">
        <v>8505</v>
      </c>
      <c r="S1857" t="s">
        <v>10174</v>
      </c>
      <c r="T1857" t="s">
        <v>69</v>
      </c>
      <c r="U1857" t="s">
        <v>69</v>
      </c>
      <c r="V1857" t="s">
        <v>69</v>
      </c>
      <c r="W1857" t="s">
        <v>69</v>
      </c>
      <c r="X1857" t="s">
        <v>69</v>
      </c>
      <c r="Y1857" t="s">
        <v>27129</v>
      </c>
      <c r="Z1857" t="s">
        <v>27130</v>
      </c>
      <c r="AA1857" t="s">
        <v>3454</v>
      </c>
      <c r="AB1857" t="s">
        <v>27131</v>
      </c>
      <c r="AC1857" t="s">
        <v>69</v>
      </c>
      <c r="AD1857" t="s">
        <v>27132</v>
      </c>
      <c r="AE1857" t="s">
        <v>27133</v>
      </c>
      <c r="AF1857" t="s">
        <v>27134</v>
      </c>
      <c r="AG1857" t="s">
        <v>27135</v>
      </c>
      <c r="AH1857" t="s">
        <v>69</v>
      </c>
      <c r="AI1857" t="s">
        <v>69</v>
      </c>
      <c r="AJ1857" t="s">
        <v>69</v>
      </c>
      <c r="AK1857" t="s">
        <v>69</v>
      </c>
      <c r="AL1857">
        <v>27</v>
      </c>
      <c r="AM1857">
        <v>7</v>
      </c>
      <c r="AN1857">
        <v>7</v>
      </c>
      <c r="AO1857">
        <v>0</v>
      </c>
      <c r="AP1857">
        <v>8</v>
      </c>
      <c r="AQ1857" t="s">
        <v>9047</v>
      </c>
      <c r="AR1857" t="s">
        <v>9048</v>
      </c>
      <c r="AS1857" t="s">
        <v>9049</v>
      </c>
      <c r="AT1857" t="s">
        <v>92</v>
      </c>
      <c r="AU1857" t="s">
        <v>93</v>
      </c>
      <c r="AV1857" t="s">
        <v>69</v>
      </c>
      <c r="AW1857" t="s">
        <v>27104</v>
      </c>
      <c r="AX1857" t="s">
        <v>27105</v>
      </c>
      <c r="AY1857" t="s">
        <v>94</v>
      </c>
      <c r="AZ1857">
        <v>2011</v>
      </c>
      <c r="BA1857">
        <v>11</v>
      </c>
      <c r="BB1857">
        <v>1</v>
      </c>
      <c r="BC1857" t="s">
        <v>69</v>
      </c>
      <c r="BD1857" t="s">
        <v>69</v>
      </c>
      <c r="BE1857" t="s">
        <v>69</v>
      </c>
      <c r="BF1857" t="s">
        <v>69</v>
      </c>
      <c r="BG1857">
        <v>1</v>
      </c>
      <c r="BH1857">
        <v>6</v>
      </c>
      <c r="BI1857" t="s">
        <v>69</v>
      </c>
      <c r="BJ1857" t="s">
        <v>3457</v>
      </c>
      <c r="BK1857" t="str">
        <f>HYPERLINK("http://dx.doi.org/10.1007/s10784-011-9146-x","http://dx.doi.org/10.1007/s10784-011-9146-x")</f>
        <v>http://dx.doi.org/10.1007/s10784-011-9146-x</v>
      </c>
      <c r="BL1857" t="s">
        <v>69</v>
      </c>
      <c r="BM1857" t="s">
        <v>69</v>
      </c>
      <c r="BN1857">
        <v>6</v>
      </c>
      <c r="BO1857" t="s">
        <v>27106</v>
      </c>
      <c r="BP1857" t="s">
        <v>8661</v>
      </c>
      <c r="BQ1857" t="s">
        <v>27107</v>
      </c>
      <c r="BR1857" t="s">
        <v>27108</v>
      </c>
      <c r="BS1857" t="s">
        <v>3458</v>
      </c>
      <c r="BT1857" t="s">
        <v>69</v>
      </c>
      <c r="BU1857" t="s">
        <v>8746</v>
      </c>
      <c r="BV1857" t="s">
        <v>69</v>
      </c>
      <c r="BW1857" t="s">
        <v>69</v>
      </c>
      <c r="BX1857" t="s">
        <v>8526</v>
      </c>
      <c r="BY1857" t="str">
        <f>HYPERLINK("https%3A%2F%2Fwww.webofscience.com%2Fwos%2Fwoscc%2Ffull-record%2FWOS:000293788900001","View Full Record in Web of Science")</f>
        <v>View Full Record in Web of Science</v>
      </c>
    </row>
    <row r="1858" spans="1:77" ht="12.5" x14ac:dyDescent="0.25">
      <c r="A1858" t="s">
        <v>8495</v>
      </c>
      <c r="B1858" s="7" t="s">
        <v>32933</v>
      </c>
      <c r="C1858" s="7"/>
      <c r="D1858" s="7"/>
      <c r="E1858" s="7"/>
      <c r="F1858" t="s">
        <v>67</v>
      </c>
      <c r="G1858" t="s">
        <v>1648</v>
      </c>
      <c r="H1858" t="s">
        <v>69</v>
      </c>
      <c r="I1858" t="s">
        <v>69</v>
      </c>
      <c r="J1858" t="s">
        <v>69</v>
      </c>
      <c r="K1858" t="s">
        <v>1648</v>
      </c>
      <c r="L1858" t="s">
        <v>69</v>
      </c>
      <c r="M1858" t="s">
        <v>69</v>
      </c>
      <c r="N1858" t="s">
        <v>1649</v>
      </c>
      <c r="O1858" t="s">
        <v>1650</v>
      </c>
      <c r="P1858" t="s">
        <v>69</v>
      </c>
      <c r="Q1858" t="s">
        <v>69</v>
      </c>
      <c r="R1858" t="s">
        <v>8505</v>
      </c>
      <c r="S1858" t="s">
        <v>8506</v>
      </c>
      <c r="T1858" t="s">
        <v>69</v>
      </c>
      <c r="U1858" t="s">
        <v>69</v>
      </c>
      <c r="V1858" t="s">
        <v>69</v>
      </c>
      <c r="W1858" t="s">
        <v>69</v>
      </c>
      <c r="X1858" t="s">
        <v>69</v>
      </c>
      <c r="Y1858" t="s">
        <v>69</v>
      </c>
      <c r="Z1858" t="s">
        <v>30671</v>
      </c>
      <c r="AA1858" t="s">
        <v>1651</v>
      </c>
      <c r="AB1858" t="s">
        <v>30672</v>
      </c>
      <c r="AC1858" t="s">
        <v>69</v>
      </c>
      <c r="AD1858" t="s">
        <v>30673</v>
      </c>
      <c r="AE1858" t="s">
        <v>30674</v>
      </c>
      <c r="AF1858" t="s">
        <v>30675</v>
      </c>
      <c r="AG1858" t="s">
        <v>69</v>
      </c>
      <c r="AH1858" t="s">
        <v>69</v>
      </c>
      <c r="AI1858" t="s">
        <v>69</v>
      </c>
      <c r="AJ1858" t="s">
        <v>69</v>
      </c>
      <c r="AK1858" t="s">
        <v>69</v>
      </c>
      <c r="AL1858">
        <v>38</v>
      </c>
      <c r="AM1858">
        <v>5</v>
      </c>
      <c r="AN1858">
        <v>5</v>
      </c>
      <c r="AO1858">
        <v>0</v>
      </c>
      <c r="AP1858">
        <v>9</v>
      </c>
      <c r="AQ1858" t="s">
        <v>8762</v>
      </c>
      <c r="AR1858" t="s">
        <v>8763</v>
      </c>
      <c r="AS1858" t="s">
        <v>8764</v>
      </c>
      <c r="AT1858" t="s">
        <v>1652</v>
      </c>
      <c r="AU1858" t="s">
        <v>1653</v>
      </c>
      <c r="AV1858" t="s">
        <v>69</v>
      </c>
      <c r="AW1858" t="s">
        <v>30676</v>
      </c>
      <c r="AX1858" t="s">
        <v>30677</v>
      </c>
      <c r="AY1858" t="s">
        <v>246</v>
      </c>
      <c r="AZ1858">
        <v>2005</v>
      </c>
      <c r="BA1858">
        <v>17</v>
      </c>
      <c r="BB1858">
        <v>1</v>
      </c>
      <c r="BC1858" t="s">
        <v>69</v>
      </c>
      <c r="BD1858" t="s">
        <v>69</v>
      </c>
      <c r="BE1858" t="s">
        <v>69</v>
      </c>
      <c r="BF1858" t="s">
        <v>69</v>
      </c>
      <c r="BG1858">
        <v>171</v>
      </c>
      <c r="BH1858">
        <v>182</v>
      </c>
      <c r="BI1858" t="s">
        <v>69</v>
      </c>
      <c r="BJ1858" t="s">
        <v>1654</v>
      </c>
      <c r="BK1858" t="str">
        <f>HYPERLINK("http://dx.doi.org/10.1177/095624780501700116","http://dx.doi.org/10.1177/095624780501700116")</f>
        <v>http://dx.doi.org/10.1177/095624780501700116</v>
      </c>
      <c r="BL1858" t="s">
        <v>69</v>
      </c>
      <c r="BM1858" t="s">
        <v>69</v>
      </c>
      <c r="BN1858">
        <v>12</v>
      </c>
      <c r="BO1858" t="s">
        <v>15093</v>
      </c>
      <c r="BP1858" t="s">
        <v>8661</v>
      </c>
      <c r="BQ1858" t="s">
        <v>15094</v>
      </c>
      <c r="BR1858" t="s">
        <v>30678</v>
      </c>
      <c r="BS1858" t="s">
        <v>1655</v>
      </c>
      <c r="BT1858" t="s">
        <v>69</v>
      </c>
      <c r="BU1858" t="s">
        <v>9374</v>
      </c>
      <c r="BV1858" t="s">
        <v>69</v>
      </c>
      <c r="BW1858" t="s">
        <v>69</v>
      </c>
      <c r="BX1858" t="s">
        <v>8526</v>
      </c>
      <c r="BY1858" t="str">
        <f>HYPERLINK("https%3A%2F%2Fwww.webofscience.com%2Fwos%2Fwoscc%2Ffull-record%2FWOS:000229459800010","View Full Record in Web of Science")</f>
        <v>View Full Record in Web of Science</v>
      </c>
    </row>
    <row r="1859" spans="1:77" x14ac:dyDescent="0.3">
      <c r="A1859" t="s">
        <v>8495</v>
      </c>
      <c r="B1859" s="10" t="s">
        <v>33044</v>
      </c>
      <c r="F1859" t="s">
        <v>67</v>
      </c>
      <c r="G1859" t="s">
        <v>4512</v>
      </c>
      <c r="H1859" t="s">
        <v>69</v>
      </c>
      <c r="I1859" t="s">
        <v>69</v>
      </c>
      <c r="J1859" t="s">
        <v>69</v>
      </c>
      <c r="K1859" s="2" t="s">
        <v>4513</v>
      </c>
      <c r="L1859" t="s">
        <v>69</v>
      </c>
      <c r="M1859" t="s">
        <v>69</v>
      </c>
      <c r="N1859" s="6" t="s">
        <v>4514</v>
      </c>
      <c r="O1859" t="s">
        <v>4515</v>
      </c>
      <c r="P1859" t="s">
        <v>69</v>
      </c>
      <c r="Q1859" t="s">
        <v>69</v>
      </c>
      <c r="R1859" t="s">
        <v>8505</v>
      </c>
      <c r="S1859" t="s">
        <v>8506</v>
      </c>
      <c r="T1859" t="s">
        <v>69</v>
      </c>
      <c r="U1859" t="s">
        <v>69</v>
      </c>
      <c r="V1859" t="s">
        <v>69</v>
      </c>
      <c r="W1859" t="s">
        <v>69</v>
      </c>
      <c r="X1859" t="s">
        <v>69</v>
      </c>
      <c r="Y1859" t="s">
        <v>17010</v>
      </c>
      <c r="Z1859" t="s">
        <v>4739</v>
      </c>
      <c r="AA1859" t="s">
        <v>4516</v>
      </c>
      <c r="AB1859" t="s">
        <v>17011</v>
      </c>
      <c r="AC1859" t="s">
        <v>69</v>
      </c>
      <c r="AD1859" t="s">
        <v>17012</v>
      </c>
      <c r="AE1859" t="s">
        <v>17013</v>
      </c>
      <c r="AF1859" t="s">
        <v>69</v>
      </c>
      <c r="AG1859" t="s">
        <v>4517</v>
      </c>
      <c r="AH1859" t="s">
        <v>17014</v>
      </c>
      <c r="AI1859" t="s">
        <v>17014</v>
      </c>
      <c r="AJ1859" t="s">
        <v>17015</v>
      </c>
      <c r="AK1859" t="s">
        <v>69</v>
      </c>
      <c r="AL1859">
        <v>36</v>
      </c>
      <c r="AM1859">
        <v>2</v>
      </c>
      <c r="AN1859">
        <v>2</v>
      </c>
      <c r="AO1859">
        <v>0</v>
      </c>
      <c r="AP1859">
        <v>7</v>
      </c>
      <c r="AQ1859" t="s">
        <v>8865</v>
      </c>
      <c r="AR1859" t="s">
        <v>8612</v>
      </c>
      <c r="AS1859" t="s">
        <v>8866</v>
      </c>
      <c r="AT1859" t="s">
        <v>4518</v>
      </c>
      <c r="AU1859" t="s">
        <v>4519</v>
      </c>
      <c r="AV1859" t="s">
        <v>69</v>
      </c>
      <c r="AW1859" t="s">
        <v>17016</v>
      </c>
      <c r="AX1859" t="s">
        <v>17017</v>
      </c>
      <c r="AY1859" t="s">
        <v>4520</v>
      </c>
      <c r="AZ1859">
        <v>2019</v>
      </c>
      <c r="BA1859">
        <v>40</v>
      </c>
      <c r="BB1859">
        <v>12</v>
      </c>
      <c r="BC1859" t="s">
        <v>69</v>
      </c>
      <c r="BD1859" t="s">
        <v>69</v>
      </c>
      <c r="BE1859" t="s">
        <v>69</v>
      </c>
      <c r="BF1859" t="s">
        <v>69</v>
      </c>
      <c r="BG1859">
        <v>2228</v>
      </c>
      <c r="BH1859">
        <v>2245</v>
      </c>
      <c r="BI1859" t="s">
        <v>69</v>
      </c>
      <c r="BJ1859" t="s">
        <v>4521</v>
      </c>
      <c r="BK1859" t="str">
        <f>HYPERLINK("http://dx.doi.org/10.1080/01436597.2019.1636641","http://dx.doi.org/10.1080/01436597.2019.1636641")</f>
        <v>http://dx.doi.org/10.1080/01436597.2019.1636641</v>
      </c>
      <c r="BL1859" t="s">
        <v>69</v>
      </c>
      <c r="BM1859" t="s">
        <v>924</v>
      </c>
      <c r="BN1859">
        <v>18</v>
      </c>
      <c r="BO1859" t="s">
        <v>17018</v>
      </c>
      <c r="BP1859" t="s">
        <v>8661</v>
      </c>
      <c r="BQ1859" t="s">
        <v>17018</v>
      </c>
      <c r="BR1859" t="s">
        <v>17019</v>
      </c>
      <c r="BS1859" t="s">
        <v>4522</v>
      </c>
      <c r="BT1859" t="s">
        <v>69</v>
      </c>
      <c r="BU1859" t="s">
        <v>69</v>
      </c>
      <c r="BV1859" t="s">
        <v>69</v>
      </c>
      <c r="BW1859" t="s">
        <v>69</v>
      </c>
      <c r="BX1859" t="s">
        <v>8526</v>
      </c>
      <c r="BY1859" t="str">
        <f>HYPERLINK("https%3A%2F%2Fwww.webofscience.com%2Fwos%2Fwoscc%2Ffull-record%2FWOS:000476241400001","View Full Record in Web of Science")</f>
        <v>View Full Record in Web of Science</v>
      </c>
    </row>
    <row r="1860" spans="1:77" ht="12.5" x14ac:dyDescent="0.25">
      <c r="A1860" t="s">
        <v>8495</v>
      </c>
      <c r="B1860" s="22" t="s">
        <v>32931</v>
      </c>
      <c r="C1860" s="7"/>
      <c r="D1860" s="7"/>
      <c r="E1860" s="7"/>
      <c r="F1860" t="s">
        <v>67</v>
      </c>
      <c r="G1860" t="s">
        <v>30782</v>
      </c>
      <c r="H1860" t="s">
        <v>69</v>
      </c>
      <c r="I1860" t="s">
        <v>69</v>
      </c>
      <c r="J1860" t="s">
        <v>69</v>
      </c>
      <c r="K1860" t="s">
        <v>30783</v>
      </c>
      <c r="L1860" t="s">
        <v>69</v>
      </c>
      <c r="M1860" t="s">
        <v>69</v>
      </c>
      <c r="N1860" t="s">
        <v>30784</v>
      </c>
      <c r="O1860" t="s">
        <v>30785</v>
      </c>
      <c r="P1860" t="s">
        <v>69</v>
      </c>
      <c r="Q1860" t="s">
        <v>69</v>
      </c>
      <c r="R1860" t="s">
        <v>8505</v>
      </c>
      <c r="S1860" t="s">
        <v>8506</v>
      </c>
      <c r="T1860" t="s">
        <v>69</v>
      </c>
      <c r="U1860" t="s">
        <v>69</v>
      </c>
      <c r="V1860" t="s">
        <v>69</v>
      </c>
      <c r="W1860" t="s">
        <v>69</v>
      </c>
      <c r="X1860" t="s">
        <v>69</v>
      </c>
      <c r="Y1860" t="s">
        <v>30786</v>
      </c>
      <c r="Z1860" t="s">
        <v>69</v>
      </c>
      <c r="AA1860" t="s">
        <v>30787</v>
      </c>
      <c r="AB1860" t="s">
        <v>30788</v>
      </c>
      <c r="AC1860" t="s">
        <v>69</v>
      </c>
      <c r="AD1860" t="s">
        <v>30789</v>
      </c>
      <c r="AE1860" t="s">
        <v>30790</v>
      </c>
      <c r="AF1860" t="s">
        <v>69</v>
      </c>
      <c r="AG1860" t="s">
        <v>69</v>
      </c>
      <c r="AH1860" t="s">
        <v>69</v>
      </c>
      <c r="AI1860" t="s">
        <v>69</v>
      </c>
      <c r="AJ1860" t="s">
        <v>69</v>
      </c>
      <c r="AK1860" t="s">
        <v>69</v>
      </c>
      <c r="AL1860">
        <v>2</v>
      </c>
      <c r="AM1860">
        <v>0</v>
      </c>
      <c r="AN1860">
        <v>0</v>
      </c>
      <c r="AO1860">
        <v>0</v>
      </c>
      <c r="AP1860">
        <v>0</v>
      </c>
      <c r="AQ1860" t="s">
        <v>30791</v>
      </c>
      <c r="AR1860" t="s">
        <v>30097</v>
      </c>
      <c r="AS1860" t="s">
        <v>30792</v>
      </c>
      <c r="AT1860" t="s">
        <v>30793</v>
      </c>
      <c r="AU1860" t="s">
        <v>69</v>
      </c>
      <c r="AV1860" t="s">
        <v>69</v>
      </c>
      <c r="AW1860" t="s">
        <v>30794</v>
      </c>
      <c r="AX1860" t="s">
        <v>30795</v>
      </c>
      <c r="AY1860" t="s">
        <v>69</v>
      </c>
      <c r="AZ1860">
        <v>2005</v>
      </c>
      <c r="BA1860">
        <v>16</v>
      </c>
      <c r="BB1860" t="s">
        <v>69</v>
      </c>
      <c r="BC1860" t="s">
        <v>69</v>
      </c>
      <c r="BD1860" t="s">
        <v>69</v>
      </c>
      <c r="BE1860" t="s">
        <v>69</v>
      </c>
      <c r="BF1860" t="s">
        <v>69</v>
      </c>
      <c r="BG1860">
        <v>299</v>
      </c>
      <c r="BH1860">
        <v>316</v>
      </c>
      <c r="BI1860">
        <v>13</v>
      </c>
      <c r="BJ1860" t="s">
        <v>69</v>
      </c>
      <c r="BK1860" t="s">
        <v>69</v>
      </c>
      <c r="BL1860" t="s">
        <v>69</v>
      </c>
      <c r="BM1860" t="s">
        <v>69</v>
      </c>
      <c r="BN1860">
        <v>18</v>
      </c>
      <c r="BO1860" t="s">
        <v>10975</v>
      </c>
      <c r="BP1860" t="s">
        <v>8573</v>
      </c>
      <c r="BQ1860" t="s">
        <v>10976</v>
      </c>
      <c r="BR1860" t="s">
        <v>30796</v>
      </c>
      <c r="BS1860" t="s">
        <v>30797</v>
      </c>
      <c r="BT1860" t="s">
        <v>69</v>
      </c>
      <c r="BU1860" t="s">
        <v>69</v>
      </c>
      <c r="BV1860" t="s">
        <v>69</v>
      </c>
      <c r="BW1860" t="s">
        <v>69</v>
      </c>
      <c r="BX1860" t="s">
        <v>8526</v>
      </c>
      <c r="BY1860" t="str">
        <f>HYPERLINK("https%3A%2F%2Fwww.webofscience.com%2Fwos%2Fwoscc%2Ffull-record%2FWOS:000414868700013","View Full Record in Web of Science")</f>
        <v>View Full Record in Web of Science</v>
      </c>
    </row>
    <row r="1861" spans="1:77" ht="12.5" x14ac:dyDescent="0.25">
      <c r="A1861" t="s">
        <v>8495</v>
      </c>
      <c r="B1861" s="22" t="s">
        <v>32931</v>
      </c>
      <c r="C1861" s="7"/>
      <c r="D1861" s="7"/>
      <c r="E1861" s="7"/>
      <c r="F1861" t="s">
        <v>67</v>
      </c>
      <c r="G1861" t="s">
        <v>17954</v>
      </c>
      <c r="H1861" t="s">
        <v>69</v>
      </c>
      <c r="I1861" t="s">
        <v>69</v>
      </c>
      <c r="J1861" t="s">
        <v>69</v>
      </c>
      <c r="K1861" t="s">
        <v>17955</v>
      </c>
      <c r="L1861" t="s">
        <v>69</v>
      </c>
      <c r="M1861" t="s">
        <v>69</v>
      </c>
      <c r="N1861" t="s">
        <v>17956</v>
      </c>
      <c r="O1861" t="s">
        <v>17957</v>
      </c>
      <c r="P1861" t="s">
        <v>69</v>
      </c>
      <c r="Q1861" t="s">
        <v>69</v>
      </c>
      <c r="R1861" t="s">
        <v>8505</v>
      </c>
      <c r="S1861" t="s">
        <v>8506</v>
      </c>
      <c r="T1861" t="s">
        <v>69</v>
      </c>
      <c r="U1861" t="s">
        <v>69</v>
      </c>
      <c r="V1861" t="s">
        <v>69</v>
      </c>
      <c r="W1861" t="s">
        <v>69</v>
      </c>
      <c r="X1861" t="s">
        <v>69</v>
      </c>
      <c r="Y1861" t="s">
        <v>69</v>
      </c>
      <c r="Z1861" t="s">
        <v>17958</v>
      </c>
      <c r="AA1861" t="s">
        <v>17959</v>
      </c>
      <c r="AB1861" t="s">
        <v>17960</v>
      </c>
      <c r="AC1861" t="s">
        <v>69</v>
      </c>
      <c r="AD1861" t="s">
        <v>17961</v>
      </c>
      <c r="AE1861" t="s">
        <v>17962</v>
      </c>
      <c r="AF1861" t="s">
        <v>17963</v>
      </c>
      <c r="AG1861" t="s">
        <v>17964</v>
      </c>
      <c r="AH1861" t="s">
        <v>69</v>
      </c>
      <c r="AI1861" t="s">
        <v>69</v>
      </c>
      <c r="AJ1861" t="s">
        <v>69</v>
      </c>
      <c r="AK1861" t="s">
        <v>69</v>
      </c>
      <c r="AL1861">
        <v>31</v>
      </c>
      <c r="AM1861">
        <v>18</v>
      </c>
      <c r="AN1861">
        <v>19</v>
      </c>
      <c r="AO1861">
        <v>1</v>
      </c>
      <c r="AP1861">
        <v>10</v>
      </c>
      <c r="AQ1861" t="s">
        <v>8636</v>
      </c>
      <c r="AR1861" t="s">
        <v>8637</v>
      </c>
      <c r="AS1861" t="s">
        <v>8638</v>
      </c>
      <c r="AT1861" t="s">
        <v>17965</v>
      </c>
      <c r="AU1861" t="s">
        <v>17966</v>
      </c>
      <c r="AV1861" t="s">
        <v>69</v>
      </c>
      <c r="AW1861" t="s">
        <v>17967</v>
      </c>
      <c r="AX1861" t="s">
        <v>17968</v>
      </c>
      <c r="AY1861" t="s">
        <v>373</v>
      </c>
      <c r="AZ1861">
        <v>2019</v>
      </c>
      <c r="BA1861">
        <v>168</v>
      </c>
      <c r="BB1861" t="s">
        <v>69</v>
      </c>
      <c r="BC1861" t="s">
        <v>69</v>
      </c>
      <c r="BD1861" t="s">
        <v>69</v>
      </c>
      <c r="BE1861" t="s">
        <v>69</v>
      </c>
      <c r="BF1861" t="s">
        <v>69</v>
      </c>
      <c r="BG1861">
        <v>224</v>
      </c>
      <c r="BH1861">
        <v>230</v>
      </c>
      <c r="BI1861" t="s">
        <v>69</v>
      </c>
      <c r="BJ1861" t="s">
        <v>17969</v>
      </c>
      <c r="BK1861" t="str">
        <f>HYPERLINK("http://dx.doi.org/10.1016/j.agsy.2018.05.001","http://dx.doi.org/10.1016/j.agsy.2018.05.001")</f>
        <v>http://dx.doi.org/10.1016/j.agsy.2018.05.001</v>
      </c>
      <c r="BL1861" t="s">
        <v>69</v>
      </c>
      <c r="BM1861" t="s">
        <v>69</v>
      </c>
      <c r="BN1861">
        <v>7</v>
      </c>
      <c r="BO1861" t="s">
        <v>17664</v>
      </c>
      <c r="BP1861" t="s">
        <v>8523</v>
      </c>
      <c r="BQ1861" t="s">
        <v>8450</v>
      </c>
      <c r="BR1861" t="s">
        <v>17970</v>
      </c>
      <c r="BS1861" t="s">
        <v>17971</v>
      </c>
      <c r="BT1861" t="s">
        <v>69</v>
      </c>
      <c r="BU1861" t="s">
        <v>8622</v>
      </c>
      <c r="BV1861" t="s">
        <v>69</v>
      </c>
      <c r="BW1861" t="s">
        <v>69</v>
      </c>
      <c r="BX1861" t="s">
        <v>8526</v>
      </c>
      <c r="BY1861" t="str">
        <f>HYPERLINK("https%3A%2F%2Fwww.webofscience.com%2Fwos%2Fwoscc%2Ffull-record%2FWOS:000453643900022","View Full Record in Web of Science")</f>
        <v>View Full Record in Web of Science</v>
      </c>
    </row>
    <row r="1862" spans="1:77" ht="12.5" x14ac:dyDescent="0.25">
      <c r="A1862" t="s">
        <v>8495</v>
      </c>
      <c r="B1862" s="7" t="s">
        <v>32933</v>
      </c>
      <c r="C1862" s="7"/>
      <c r="D1862" s="7"/>
      <c r="E1862" s="7"/>
      <c r="F1862" t="s">
        <v>67</v>
      </c>
      <c r="G1862" t="s">
        <v>6862</v>
      </c>
      <c r="H1862" t="s">
        <v>69</v>
      </c>
      <c r="I1862" t="s">
        <v>69</v>
      </c>
      <c r="J1862" t="s">
        <v>69</v>
      </c>
      <c r="K1862" t="s">
        <v>6863</v>
      </c>
      <c r="L1862" t="s">
        <v>69</v>
      </c>
      <c r="M1862" t="s">
        <v>69</v>
      </c>
      <c r="N1862" t="s">
        <v>6864</v>
      </c>
      <c r="O1862" t="s">
        <v>6865</v>
      </c>
      <c r="P1862" t="s">
        <v>69</v>
      </c>
      <c r="Q1862" t="s">
        <v>69</v>
      </c>
      <c r="R1862" t="s">
        <v>8505</v>
      </c>
      <c r="S1862" t="s">
        <v>8506</v>
      </c>
      <c r="T1862" t="s">
        <v>69</v>
      </c>
      <c r="U1862" t="s">
        <v>69</v>
      </c>
      <c r="V1862" t="s">
        <v>69</v>
      </c>
      <c r="W1862" t="s">
        <v>69</v>
      </c>
      <c r="X1862" t="s">
        <v>69</v>
      </c>
      <c r="Y1862" t="s">
        <v>69</v>
      </c>
      <c r="Z1862" t="s">
        <v>22083</v>
      </c>
      <c r="AA1862" t="s">
        <v>6866</v>
      </c>
      <c r="AB1862" t="s">
        <v>22084</v>
      </c>
      <c r="AC1862" t="s">
        <v>69</v>
      </c>
      <c r="AD1862" t="s">
        <v>22085</v>
      </c>
      <c r="AE1862" t="s">
        <v>22086</v>
      </c>
      <c r="AF1862" t="s">
        <v>6867</v>
      </c>
      <c r="AG1862" t="s">
        <v>6868</v>
      </c>
      <c r="AH1862" t="s">
        <v>22087</v>
      </c>
      <c r="AI1862" t="s">
        <v>22087</v>
      </c>
      <c r="AJ1862" t="s">
        <v>22088</v>
      </c>
      <c r="AK1862" t="s">
        <v>69</v>
      </c>
      <c r="AL1862">
        <v>50</v>
      </c>
      <c r="AM1862">
        <v>6</v>
      </c>
      <c r="AN1862">
        <v>6</v>
      </c>
      <c r="AO1862">
        <v>0</v>
      </c>
      <c r="AP1862">
        <v>24</v>
      </c>
      <c r="AQ1862" t="s">
        <v>8846</v>
      </c>
      <c r="AR1862" t="s">
        <v>8847</v>
      </c>
      <c r="AS1862" t="s">
        <v>8848</v>
      </c>
      <c r="AT1862" t="s">
        <v>6869</v>
      </c>
      <c r="AU1862" t="s">
        <v>6870</v>
      </c>
      <c r="AV1862" t="s">
        <v>69</v>
      </c>
      <c r="AW1862" t="s">
        <v>22089</v>
      </c>
      <c r="AX1862" t="s">
        <v>22090</v>
      </c>
      <c r="AY1862" t="s">
        <v>69</v>
      </c>
      <c r="AZ1862">
        <v>2016</v>
      </c>
      <c r="BA1862">
        <v>36</v>
      </c>
      <c r="BB1862">
        <v>2</v>
      </c>
      <c r="BC1862" t="s">
        <v>69</v>
      </c>
      <c r="BD1862" t="s">
        <v>69</v>
      </c>
      <c r="BE1862" t="s">
        <v>69</v>
      </c>
      <c r="BF1862" t="s">
        <v>69</v>
      </c>
      <c r="BG1862">
        <v>407</v>
      </c>
      <c r="BH1862">
        <v>420</v>
      </c>
      <c r="BI1862" t="s">
        <v>69</v>
      </c>
      <c r="BJ1862" t="s">
        <v>6871</v>
      </c>
      <c r="BK1862" t="str">
        <f>HYPERLINK("http://dx.doi.org/10.1080/02755947.2015.1125975","http://dx.doi.org/10.1080/02755947.2015.1125975")</f>
        <v>http://dx.doi.org/10.1080/02755947.2015.1125975</v>
      </c>
      <c r="BL1862" t="s">
        <v>69</v>
      </c>
      <c r="BM1862" t="s">
        <v>69</v>
      </c>
      <c r="BN1862">
        <v>14</v>
      </c>
      <c r="BO1862" t="s">
        <v>22091</v>
      </c>
      <c r="BP1862" t="s">
        <v>8548</v>
      </c>
      <c r="BQ1862" t="s">
        <v>22091</v>
      </c>
      <c r="BR1862" t="s">
        <v>22092</v>
      </c>
      <c r="BS1862" t="s">
        <v>6872</v>
      </c>
      <c r="BT1862" t="s">
        <v>69</v>
      </c>
      <c r="BU1862" t="s">
        <v>69</v>
      </c>
      <c r="BV1862" t="s">
        <v>69</v>
      </c>
      <c r="BW1862" t="s">
        <v>69</v>
      </c>
      <c r="BX1862" t="s">
        <v>8526</v>
      </c>
      <c r="BY1862" t="str">
        <f>HYPERLINK("https%3A%2F%2Fwww.webofscience.com%2Fwos%2Fwoscc%2Ffull-record%2FWOS:000374565000019","View Full Record in Web of Science")</f>
        <v>View Full Record in Web of Science</v>
      </c>
    </row>
    <row r="1863" spans="1:77" x14ac:dyDescent="0.3">
      <c r="A1863" t="s">
        <v>8495</v>
      </c>
      <c r="B1863" s="9" t="s">
        <v>32954</v>
      </c>
      <c r="C1863" s="9" t="s">
        <v>33120</v>
      </c>
      <c r="D1863" s="10" t="s">
        <v>8490</v>
      </c>
      <c r="E1863" s="9" t="s">
        <v>8490</v>
      </c>
      <c r="F1863" t="s">
        <v>67</v>
      </c>
      <c r="G1863" t="s">
        <v>10425</v>
      </c>
      <c r="H1863" t="s">
        <v>69</v>
      </c>
      <c r="I1863" t="s">
        <v>69</v>
      </c>
      <c r="J1863" t="s">
        <v>69</v>
      </c>
      <c r="K1863" t="s">
        <v>10426</v>
      </c>
      <c r="L1863" t="s">
        <v>69</v>
      </c>
      <c r="M1863" t="s">
        <v>69</v>
      </c>
      <c r="N1863" t="s">
        <v>10427</v>
      </c>
      <c r="O1863" t="s">
        <v>3969</v>
      </c>
      <c r="P1863" t="s">
        <v>69</v>
      </c>
      <c r="Q1863" t="s">
        <v>69</v>
      </c>
      <c r="R1863" t="s">
        <v>8505</v>
      </c>
      <c r="S1863" t="s">
        <v>8506</v>
      </c>
      <c r="T1863" t="s">
        <v>69</v>
      </c>
      <c r="U1863" t="s">
        <v>69</v>
      </c>
      <c r="V1863" t="s">
        <v>69</v>
      </c>
      <c r="W1863" t="s">
        <v>69</v>
      </c>
      <c r="X1863" t="s">
        <v>69</v>
      </c>
      <c r="Y1863" t="s">
        <v>69</v>
      </c>
      <c r="Z1863" t="s">
        <v>10428</v>
      </c>
      <c r="AA1863" t="s">
        <v>10429</v>
      </c>
      <c r="AB1863" t="s">
        <v>10430</v>
      </c>
      <c r="AC1863" t="s">
        <v>69</v>
      </c>
      <c r="AD1863" t="s">
        <v>10431</v>
      </c>
      <c r="AE1863" t="s">
        <v>10432</v>
      </c>
      <c r="AF1863" t="s">
        <v>69</v>
      </c>
      <c r="AG1863" t="s">
        <v>10433</v>
      </c>
      <c r="AH1863" t="s">
        <v>69</v>
      </c>
      <c r="AI1863" t="s">
        <v>69</v>
      </c>
      <c r="AJ1863" t="s">
        <v>69</v>
      </c>
      <c r="AK1863" t="s">
        <v>69</v>
      </c>
      <c r="AL1863">
        <v>62</v>
      </c>
      <c r="AM1863">
        <v>0</v>
      </c>
      <c r="AN1863">
        <v>0</v>
      </c>
      <c r="AO1863">
        <v>12</v>
      </c>
      <c r="AP1863">
        <v>12</v>
      </c>
      <c r="AQ1863" t="s">
        <v>10352</v>
      </c>
      <c r="AR1863" t="s">
        <v>8637</v>
      </c>
      <c r="AS1863" t="s">
        <v>10353</v>
      </c>
      <c r="AT1863" t="s">
        <v>3971</v>
      </c>
      <c r="AU1863" t="s">
        <v>10434</v>
      </c>
      <c r="AV1863" t="s">
        <v>69</v>
      </c>
      <c r="AW1863" t="s">
        <v>10435</v>
      </c>
      <c r="AX1863" t="s">
        <v>10436</v>
      </c>
      <c r="AY1863" t="s">
        <v>10437</v>
      </c>
      <c r="AZ1863">
        <v>2022</v>
      </c>
      <c r="BA1863">
        <v>32</v>
      </c>
      <c r="BB1863">
        <v>3</v>
      </c>
      <c r="BC1863" t="s">
        <v>69</v>
      </c>
      <c r="BD1863" t="s">
        <v>69</v>
      </c>
      <c r="BE1863" t="s">
        <v>69</v>
      </c>
      <c r="BF1863" t="s">
        <v>69</v>
      </c>
      <c r="BG1863">
        <v>576</v>
      </c>
      <c r="BH1863">
        <v>590</v>
      </c>
      <c r="BI1863" t="s">
        <v>69</v>
      </c>
      <c r="BJ1863" t="s">
        <v>10438</v>
      </c>
      <c r="BK1863" t="str">
        <f>HYPERLINK("http://dx.doi.org/10.1093/jopart/muab048","http://dx.doi.org/10.1093/jopart/muab048")</f>
        <v>http://dx.doi.org/10.1093/jopart/muab048</v>
      </c>
      <c r="BL1863" t="s">
        <v>69</v>
      </c>
      <c r="BM1863" t="s">
        <v>10359</v>
      </c>
      <c r="BN1863">
        <v>15</v>
      </c>
      <c r="BO1863" t="s">
        <v>10439</v>
      </c>
      <c r="BP1863" t="s">
        <v>8661</v>
      </c>
      <c r="BQ1863" t="s">
        <v>10440</v>
      </c>
      <c r="BR1863" t="s">
        <v>10441</v>
      </c>
      <c r="BS1863" t="s">
        <v>10442</v>
      </c>
      <c r="BT1863" t="s">
        <v>69</v>
      </c>
      <c r="BU1863" t="s">
        <v>69</v>
      </c>
      <c r="BV1863" t="s">
        <v>69</v>
      </c>
      <c r="BW1863" t="s">
        <v>69</v>
      </c>
      <c r="BX1863" t="s">
        <v>8526</v>
      </c>
      <c r="BY1863" t="str">
        <f>HYPERLINK("https%3A%2F%2Fwww.webofscience.com%2Fwos%2Fwoscc%2Ffull-record%2FWOS:000764814000001","View Full Record in Web of Science")</f>
        <v>View Full Record in Web of Science</v>
      </c>
    </row>
    <row r="1864" spans="1:77" ht="12.5" x14ac:dyDescent="0.25">
      <c r="A1864" t="s">
        <v>8495</v>
      </c>
      <c r="B1864" s="7" t="s">
        <v>32933</v>
      </c>
      <c r="C1864" s="7"/>
      <c r="D1864" s="7"/>
      <c r="E1864" s="7"/>
      <c r="F1864" t="s">
        <v>67</v>
      </c>
      <c r="G1864" t="s">
        <v>3393</v>
      </c>
      <c r="H1864" t="s">
        <v>69</v>
      </c>
      <c r="I1864" t="s">
        <v>69</v>
      </c>
      <c r="J1864" t="s">
        <v>69</v>
      </c>
      <c r="K1864" t="s">
        <v>3394</v>
      </c>
      <c r="L1864" t="s">
        <v>69</v>
      </c>
      <c r="M1864" t="s">
        <v>69</v>
      </c>
      <c r="N1864" t="s">
        <v>3395</v>
      </c>
      <c r="O1864" t="s">
        <v>436</v>
      </c>
      <c r="P1864" t="s">
        <v>69</v>
      </c>
      <c r="Q1864" t="s">
        <v>69</v>
      </c>
      <c r="R1864" t="s">
        <v>8505</v>
      </c>
      <c r="S1864" t="s">
        <v>8506</v>
      </c>
      <c r="T1864" t="s">
        <v>69</v>
      </c>
      <c r="U1864" t="s">
        <v>69</v>
      </c>
      <c r="V1864" t="s">
        <v>69</v>
      </c>
      <c r="W1864" t="s">
        <v>69</v>
      </c>
      <c r="X1864" t="s">
        <v>69</v>
      </c>
      <c r="Y1864" t="s">
        <v>26182</v>
      </c>
      <c r="Z1864" t="s">
        <v>26183</v>
      </c>
      <c r="AA1864" t="s">
        <v>3396</v>
      </c>
      <c r="AB1864" t="s">
        <v>26184</v>
      </c>
      <c r="AC1864" t="s">
        <v>69</v>
      </c>
      <c r="AD1864" t="s">
        <v>26185</v>
      </c>
      <c r="AE1864" t="s">
        <v>26186</v>
      </c>
      <c r="AF1864" t="s">
        <v>26187</v>
      </c>
      <c r="AG1864" t="s">
        <v>26188</v>
      </c>
      <c r="AH1864" t="s">
        <v>69</v>
      </c>
      <c r="AI1864" t="s">
        <v>69</v>
      </c>
      <c r="AJ1864" t="s">
        <v>69</v>
      </c>
      <c r="AK1864" t="s">
        <v>69</v>
      </c>
      <c r="AL1864">
        <v>65</v>
      </c>
      <c r="AM1864">
        <v>63</v>
      </c>
      <c r="AN1864">
        <v>65</v>
      </c>
      <c r="AO1864">
        <v>7</v>
      </c>
      <c r="AP1864">
        <v>59</v>
      </c>
      <c r="AQ1864" t="s">
        <v>8636</v>
      </c>
      <c r="AR1864" t="s">
        <v>8637</v>
      </c>
      <c r="AS1864" t="s">
        <v>8638</v>
      </c>
      <c r="AT1864" t="s">
        <v>440</v>
      </c>
      <c r="AU1864" t="s">
        <v>441</v>
      </c>
      <c r="AV1864" t="s">
        <v>69</v>
      </c>
      <c r="AW1864" t="s">
        <v>8639</v>
      </c>
      <c r="AX1864" t="s">
        <v>8640</v>
      </c>
      <c r="AY1864" t="s">
        <v>191</v>
      </c>
      <c r="AZ1864">
        <v>2012</v>
      </c>
      <c r="BA1864">
        <v>22</v>
      </c>
      <c r="BB1864">
        <v>1</v>
      </c>
      <c r="BC1864" t="s">
        <v>69</v>
      </c>
      <c r="BD1864" t="s">
        <v>69</v>
      </c>
      <c r="BE1864" t="s">
        <v>69</v>
      </c>
      <c r="BF1864" t="s">
        <v>69</v>
      </c>
      <c r="BG1864">
        <v>76</v>
      </c>
      <c r="BH1864">
        <v>84</v>
      </c>
      <c r="BI1864" t="s">
        <v>69</v>
      </c>
      <c r="BJ1864" t="s">
        <v>3397</v>
      </c>
      <c r="BK1864" t="str">
        <f>HYPERLINK("http://dx.doi.org/10.1016/j.jclepro.2011.09.024","http://dx.doi.org/10.1016/j.jclepro.2011.09.024")</f>
        <v>http://dx.doi.org/10.1016/j.jclepro.2011.09.024</v>
      </c>
      <c r="BL1864" t="s">
        <v>69</v>
      </c>
      <c r="BM1864" t="s">
        <v>69</v>
      </c>
      <c r="BN1864">
        <v>9</v>
      </c>
      <c r="BO1864" t="s">
        <v>8643</v>
      </c>
      <c r="BP1864" t="s">
        <v>8523</v>
      </c>
      <c r="BQ1864" t="s">
        <v>8644</v>
      </c>
      <c r="BR1864" t="s">
        <v>26189</v>
      </c>
      <c r="BS1864" t="s">
        <v>3398</v>
      </c>
      <c r="BT1864" t="s">
        <v>69</v>
      </c>
      <c r="BU1864" t="s">
        <v>69</v>
      </c>
      <c r="BV1864" t="s">
        <v>69</v>
      </c>
      <c r="BW1864" t="s">
        <v>69</v>
      </c>
      <c r="BX1864" t="s">
        <v>8526</v>
      </c>
      <c r="BY1864" t="str">
        <f>HYPERLINK("https%3A%2F%2Fwww.webofscience.com%2Fwos%2Fwoscc%2Ffull-record%2FWOS:000298218000009","View Full Record in Web of Science")</f>
        <v>View Full Record in Web of Science</v>
      </c>
    </row>
    <row r="1865" spans="1:77" ht="12.5" x14ac:dyDescent="0.25">
      <c r="A1865" t="s">
        <v>8495</v>
      </c>
      <c r="B1865" s="7" t="s">
        <v>32933</v>
      </c>
      <c r="C1865" s="7"/>
      <c r="D1865" s="7"/>
      <c r="E1865" s="7"/>
      <c r="F1865" t="s">
        <v>67</v>
      </c>
      <c r="G1865" t="s">
        <v>3868</v>
      </c>
      <c r="H1865" t="s">
        <v>69</v>
      </c>
      <c r="I1865" t="s">
        <v>69</v>
      </c>
      <c r="J1865" t="s">
        <v>69</v>
      </c>
      <c r="K1865" t="s">
        <v>3868</v>
      </c>
      <c r="L1865" t="s">
        <v>69</v>
      </c>
      <c r="M1865" t="s">
        <v>69</v>
      </c>
      <c r="N1865" t="s">
        <v>3869</v>
      </c>
      <c r="O1865" t="s">
        <v>3870</v>
      </c>
      <c r="P1865" t="s">
        <v>69</v>
      </c>
      <c r="Q1865" t="s">
        <v>69</v>
      </c>
      <c r="R1865" t="s">
        <v>8505</v>
      </c>
      <c r="S1865" t="s">
        <v>8506</v>
      </c>
      <c r="T1865" t="s">
        <v>69</v>
      </c>
      <c r="U1865" t="s">
        <v>69</v>
      </c>
      <c r="V1865" t="s">
        <v>69</v>
      </c>
      <c r="W1865" t="s">
        <v>69</v>
      </c>
      <c r="X1865" t="s">
        <v>69</v>
      </c>
      <c r="Y1865" t="s">
        <v>69</v>
      </c>
      <c r="Z1865" t="s">
        <v>69</v>
      </c>
      <c r="AA1865" t="s">
        <v>3871</v>
      </c>
      <c r="AB1865" t="s">
        <v>30477</v>
      </c>
      <c r="AC1865" t="s">
        <v>69</v>
      </c>
      <c r="AD1865" t="s">
        <v>30478</v>
      </c>
      <c r="AE1865" t="s">
        <v>69</v>
      </c>
      <c r="AF1865" t="s">
        <v>69</v>
      </c>
      <c r="AG1865" t="s">
        <v>3872</v>
      </c>
      <c r="AH1865" t="s">
        <v>69</v>
      </c>
      <c r="AI1865" t="s">
        <v>69</v>
      </c>
      <c r="AJ1865" t="s">
        <v>69</v>
      </c>
      <c r="AK1865" t="s">
        <v>69</v>
      </c>
      <c r="AL1865">
        <v>7</v>
      </c>
      <c r="AM1865">
        <v>6</v>
      </c>
      <c r="AN1865">
        <v>6</v>
      </c>
      <c r="AO1865">
        <v>0</v>
      </c>
      <c r="AP1865">
        <v>5</v>
      </c>
      <c r="AQ1865" t="s">
        <v>30479</v>
      </c>
      <c r="AR1865" t="s">
        <v>8763</v>
      </c>
      <c r="AS1865" t="s">
        <v>30480</v>
      </c>
      <c r="AT1865" t="s">
        <v>3873</v>
      </c>
      <c r="AU1865" t="s">
        <v>69</v>
      </c>
      <c r="AV1865" t="s">
        <v>69</v>
      </c>
      <c r="AW1865" t="s">
        <v>30481</v>
      </c>
      <c r="AX1865" t="s">
        <v>30482</v>
      </c>
      <c r="AY1865" t="s">
        <v>69</v>
      </c>
      <c r="AZ1865">
        <v>2006</v>
      </c>
      <c r="BA1865">
        <v>48</v>
      </c>
      <c r="BB1865">
        <v>1</v>
      </c>
      <c r="BC1865" t="s">
        <v>69</v>
      </c>
      <c r="BD1865" t="s">
        <v>69</v>
      </c>
      <c r="BE1865" t="s">
        <v>69</v>
      </c>
      <c r="BF1865" t="s">
        <v>69</v>
      </c>
      <c r="BG1865">
        <v>27</v>
      </c>
      <c r="BH1865">
        <v>48</v>
      </c>
      <c r="BI1865" t="s">
        <v>69</v>
      </c>
      <c r="BJ1865" t="s">
        <v>30483</v>
      </c>
      <c r="BK1865" t="str">
        <f>HYPERLINK("http://dx.doi.org/10.1177/147078530604800103","http://dx.doi.org/10.1177/147078530604800103")</f>
        <v>http://dx.doi.org/10.1177/147078530604800103</v>
      </c>
      <c r="BL1865" t="s">
        <v>69</v>
      </c>
      <c r="BM1865" t="s">
        <v>69</v>
      </c>
      <c r="BN1865">
        <v>22</v>
      </c>
      <c r="BO1865" t="s">
        <v>8444</v>
      </c>
      <c r="BP1865" t="s">
        <v>8661</v>
      </c>
      <c r="BQ1865" t="s">
        <v>8594</v>
      </c>
      <c r="BR1865" t="s">
        <v>30484</v>
      </c>
      <c r="BS1865" t="s">
        <v>3874</v>
      </c>
      <c r="BT1865" t="s">
        <v>69</v>
      </c>
      <c r="BU1865" t="s">
        <v>69</v>
      </c>
      <c r="BV1865" t="s">
        <v>69</v>
      </c>
      <c r="BW1865" t="s">
        <v>69</v>
      </c>
      <c r="BX1865" t="s">
        <v>8526</v>
      </c>
      <c r="BY1865" t="str">
        <f>HYPERLINK("https%3A%2F%2Fwww.webofscience.com%2Fwos%2Fwoscc%2Ffull-record%2FWOS:000234947500004","View Full Record in Web of Science")</f>
        <v>View Full Record in Web of Science</v>
      </c>
    </row>
    <row r="1866" spans="1:77" ht="12.5" x14ac:dyDescent="0.25">
      <c r="A1866" t="s">
        <v>8495</v>
      </c>
      <c r="B1866" s="22" t="s">
        <v>32931</v>
      </c>
      <c r="C1866" s="7"/>
      <c r="D1866" s="7"/>
      <c r="E1866" s="7"/>
      <c r="F1866" t="s">
        <v>67</v>
      </c>
      <c r="G1866" t="s">
        <v>22640</v>
      </c>
      <c r="H1866" t="s">
        <v>69</v>
      </c>
      <c r="I1866" t="s">
        <v>69</v>
      </c>
      <c r="J1866" t="s">
        <v>69</v>
      </c>
      <c r="K1866" t="s">
        <v>22641</v>
      </c>
      <c r="L1866" t="s">
        <v>69</v>
      </c>
      <c r="M1866" t="s">
        <v>69</v>
      </c>
      <c r="N1866" t="s">
        <v>22642</v>
      </c>
      <c r="O1866" t="s">
        <v>436</v>
      </c>
      <c r="P1866" t="s">
        <v>69</v>
      </c>
      <c r="Q1866" t="s">
        <v>69</v>
      </c>
      <c r="R1866" t="s">
        <v>8505</v>
      </c>
      <c r="S1866" t="s">
        <v>8506</v>
      </c>
      <c r="T1866" t="s">
        <v>69</v>
      </c>
      <c r="U1866" t="s">
        <v>69</v>
      </c>
      <c r="V1866" t="s">
        <v>69</v>
      </c>
      <c r="W1866" t="s">
        <v>69</v>
      </c>
      <c r="X1866" t="s">
        <v>69</v>
      </c>
      <c r="Y1866" t="s">
        <v>22643</v>
      </c>
      <c r="Z1866" t="s">
        <v>22644</v>
      </c>
      <c r="AA1866" t="s">
        <v>22645</v>
      </c>
      <c r="AB1866" t="s">
        <v>22646</v>
      </c>
      <c r="AC1866" t="s">
        <v>69</v>
      </c>
      <c r="AD1866" t="s">
        <v>22647</v>
      </c>
      <c r="AE1866" t="s">
        <v>22648</v>
      </c>
      <c r="AF1866" t="s">
        <v>69</v>
      </c>
      <c r="AG1866" t="s">
        <v>22649</v>
      </c>
      <c r="AH1866" t="s">
        <v>69</v>
      </c>
      <c r="AI1866" t="s">
        <v>69</v>
      </c>
      <c r="AJ1866" t="s">
        <v>69</v>
      </c>
      <c r="AK1866" t="s">
        <v>69</v>
      </c>
      <c r="AL1866">
        <v>67</v>
      </c>
      <c r="AM1866">
        <v>99</v>
      </c>
      <c r="AN1866">
        <v>100</v>
      </c>
      <c r="AO1866">
        <v>6</v>
      </c>
      <c r="AP1866">
        <v>84</v>
      </c>
      <c r="AQ1866" t="s">
        <v>8636</v>
      </c>
      <c r="AR1866" t="s">
        <v>8637</v>
      </c>
      <c r="AS1866" t="s">
        <v>8638</v>
      </c>
      <c r="AT1866" t="s">
        <v>440</v>
      </c>
      <c r="AU1866" t="s">
        <v>441</v>
      </c>
      <c r="AV1866" t="s">
        <v>69</v>
      </c>
      <c r="AW1866" t="s">
        <v>8639</v>
      </c>
      <c r="AX1866" t="s">
        <v>8640</v>
      </c>
      <c r="AY1866" t="s">
        <v>5150</v>
      </c>
      <c r="AZ1866">
        <v>2015</v>
      </c>
      <c r="BA1866">
        <v>97</v>
      </c>
      <c r="BB1866" t="s">
        <v>69</v>
      </c>
      <c r="BC1866" t="s">
        <v>69</v>
      </c>
      <c r="BD1866" t="s">
        <v>69</v>
      </c>
      <c r="BE1866" t="s">
        <v>114</v>
      </c>
      <c r="BF1866" t="s">
        <v>69</v>
      </c>
      <c r="BG1866">
        <v>106</v>
      </c>
      <c r="BH1866">
        <v>116</v>
      </c>
      <c r="BI1866" t="s">
        <v>69</v>
      </c>
      <c r="BJ1866" t="s">
        <v>22650</v>
      </c>
      <c r="BK1866" t="str">
        <f>HYPERLINK("http://dx.doi.org/10.1016/j.jclepro.2014.04.070","http://dx.doi.org/10.1016/j.jclepro.2014.04.070")</f>
        <v>http://dx.doi.org/10.1016/j.jclepro.2014.04.070</v>
      </c>
      <c r="BL1866" t="s">
        <v>69</v>
      </c>
      <c r="BM1866" t="s">
        <v>69</v>
      </c>
      <c r="BN1866">
        <v>11</v>
      </c>
      <c r="BO1866" t="s">
        <v>8643</v>
      </c>
      <c r="BP1866" t="s">
        <v>8548</v>
      </c>
      <c r="BQ1866" t="s">
        <v>8644</v>
      </c>
      <c r="BR1866" t="s">
        <v>22651</v>
      </c>
      <c r="BS1866" t="s">
        <v>22652</v>
      </c>
      <c r="BT1866" t="s">
        <v>69</v>
      </c>
      <c r="BU1866" t="s">
        <v>10995</v>
      </c>
      <c r="BV1866" t="s">
        <v>69</v>
      </c>
      <c r="BW1866" t="s">
        <v>69</v>
      </c>
      <c r="BX1866" t="s">
        <v>8526</v>
      </c>
      <c r="BY1866" t="str">
        <f>HYPERLINK("https%3A%2F%2Fwww.webofscience.com%2Fwos%2Fwoscc%2Ffull-record%2FWOS:000355370800010","View Full Record in Web of Science")</f>
        <v>View Full Record in Web of Science</v>
      </c>
    </row>
    <row r="1867" spans="1:77" ht="12.5" x14ac:dyDescent="0.25">
      <c r="A1867" t="s">
        <v>8495</v>
      </c>
      <c r="B1867" s="7" t="s">
        <v>32933</v>
      </c>
      <c r="C1867" s="7"/>
      <c r="D1867" s="7"/>
      <c r="E1867" s="7"/>
      <c r="F1867" t="s">
        <v>67</v>
      </c>
      <c r="G1867" t="s">
        <v>6135</v>
      </c>
      <c r="H1867" t="s">
        <v>69</v>
      </c>
      <c r="I1867" t="s">
        <v>69</v>
      </c>
      <c r="J1867" t="s">
        <v>69</v>
      </c>
      <c r="K1867" t="s">
        <v>6136</v>
      </c>
      <c r="L1867" t="s">
        <v>69</v>
      </c>
      <c r="M1867" t="s">
        <v>69</v>
      </c>
      <c r="N1867" t="s">
        <v>6137</v>
      </c>
      <c r="O1867" t="s">
        <v>6138</v>
      </c>
      <c r="P1867" t="s">
        <v>69</v>
      </c>
      <c r="Q1867" t="s">
        <v>69</v>
      </c>
      <c r="R1867" t="s">
        <v>8505</v>
      </c>
      <c r="S1867" t="s">
        <v>8506</v>
      </c>
      <c r="T1867" t="s">
        <v>69</v>
      </c>
      <c r="U1867" t="s">
        <v>69</v>
      </c>
      <c r="V1867" t="s">
        <v>69</v>
      </c>
      <c r="W1867" t="s">
        <v>69</v>
      </c>
      <c r="X1867" t="s">
        <v>69</v>
      </c>
      <c r="Y1867" t="s">
        <v>16211</v>
      </c>
      <c r="Z1867" t="s">
        <v>16212</v>
      </c>
      <c r="AA1867" t="s">
        <v>6139</v>
      </c>
      <c r="AB1867" t="s">
        <v>16213</v>
      </c>
      <c r="AC1867" t="s">
        <v>69</v>
      </c>
      <c r="AD1867" t="s">
        <v>16214</v>
      </c>
      <c r="AE1867" t="s">
        <v>16215</v>
      </c>
      <c r="AF1867" t="s">
        <v>69</v>
      </c>
      <c r="AG1867" t="s">
        <v>16216</v>
      </c>
      <c r="AH1867" t="s">
        <v>16217</v>
      </c>
      <c r="AI1867" t="s">
        <v>16218</v>
      </c>
      <c r="AJ1867" t="s">
        <v>16219</v>
      </c>
      <c r="AK1867" t="s">
        <v>69</v>
      </c>
      <c r="AL1867">
        <v>67</v>
      </c>
      <c r="AM1867">
        <v>21</v>
      </c>
      <c r="AN1867">
        <v>22</v>
      </c>
      <c r="AO1867">
        <v>29</v>
      </c>
      <c r="AP1867">
        <v>83</v>
      </c>
      <c r="AQ1867" t="s">
        <v>16220</v>
      </c>
      <c r="AR1867" t="s">
        <v>16221</v>
      </c>
      <c r="AS1867" t="s">
        <v>16222</v>
      </c>
      <c r="AT1867" t="s">
        <v>6140</v>
      </c>
      <c r="AU1867" t="s">
        <v>6141</v>
      </c>
      <c r="AV1867" t="s">
        <v>69</v>
      </c>
      <c r="AW1867" t="s">
        <v>16223</v>
      </c>
      <c r="AX1867" t="s">
        <v>16224</v>
      </c>
      <c r="AY1867" t="s">
        <v>69</v>
      </c>
      <c r="AZ1867">
        <v>2020</v>
      </c>
      <c r="BA1867">
        <v>26</v>
      </c>
      <c r="BB1867">
        <v>3</v>
      </c>
      <c r="BC1867" t="s">
        <v>69</v>
      </c>
      <c r="BD1867" t="s">
        <v>69</v>
      </c>
      <c r="BE1867" t="s">
        <v>69</v>
      </c>
      <c r="BF1867" t="s">
        <v>69</v>
      </c>
      <c r="BG1867">
        <v>259</v>
      </c>
      <c r="BH1867">
        <v>277</v>
      </c>
      <c r="BI1867" t="s">
        <v>69</v>
      </c>
      <c r="BJ1867" t="s">
        <v>6142</v>
      </c>
      <c r="BK1867" t="str">
        <f>HYPERLINK("http://dx.doi.org/10.3846/jcem.2020.12176","http://dx.doi.org/10.3846/jcem.2020.12176")</f>
        <v>http://dx.doi.org/10.3846/jcem.2020.12176</v>
      </c>
      <c r="BL1867" t="s">
        <v>69</v>
      </c>
      <c r="BM1867" t="s">
        <v>69</v>
      </c>
      <c r="BN1867">
        <v>19</v>
      </c>
      <c r="BO1867" t="s">
        <v>13537</v>
      </c>
      <c r="BP1867" t="s">
        <v>8548</v>
      </c>
      <c r="BQ1867" t="s">
        <v>8445</v>
      </c>
      <c r="BR1867" t="s">
        <v>16225</v>
      </c>
      <c r="BS1867" t="s">
        <v>6143</v>
      </c>
      <c r="BT1867" t="s">
        <v>69</v>
      </c>
      <c r="BU1867" t="s">
        <v>8931</v>
      </c>
      <c r="BV1867" t="s">
        <v>69</v>
      </c>
      <c r="BW1867" t="s">
        <v>69</v>
      </c>
      <c r="BX1867" t="s">
        <v>8526</v>
      </c>
      <c r="BY1867" t="str">
        <f>HYPERLINK("https%3A%2F%2Fwww.webofscience.com%2Fwos%2Fwoscc%2Ffull-record%2FWOS:000526077000004","View Full Record in Web of Science")</f>
        <v>View Full Record in Web of Science</v>
      </c>
    </row>
    <row r="1868" spans="1:77" ht="12.5" x14ac:dyDescent="0.25">
      <c r="A1868" t="s">
        <v>8495</v>
      </c>
      <c r="B1868" s="7" t="s">
        <v>32933</v>
      </c>
      <c r="C1868" s="7"/>
      <c r="D1868" s="7"/>
      <c r="E1868" s="7"/>
      <c r="F1868" t="s">
        <v>67</v>
      </c>
      <c r="G1868" t="s">
        <v>3035</v>
      </c>
      <c r="H1868" t="s">
        <v>69</v>
      </c>
      <c r="I1868" t="s">
        <v>69</v>
      </c>
      <c r="J1868" t="s">
        <v>69</v>
      </c>
      <c r="K1868" t="s">
        <v>3036</v>
      </c>
      <c r="L1868" t="s">
        <v>69</v>
      </c>
      <c r="M1868" t="s">
        <v>69</v>
      </c>
      <c r="N1868" t="s">
        <v>3037</v>
      </c>
      <c r="O1868" t="s">
        <v>3038</v>
      </c>
      <c r="P1868" t="s">
        <v>69</v>
      </c>
      <c r="Q1868" t="s">
        <v>69</v>
      </c>
      <c r="R1868" t="s">
        <v>8505</v>
      </c>
      <c r="S1868" t="s">
        <v>8506</v>
      </c>
      <c r="T1868" t="s">
        <v>69</v>
      </c>
      <c r="U1868" t="s">
        <v>69</v>
      </c>
      <c r="V1868" t="s">
        <v>69</v>
      </c>
      <c r="W1868" t="s">
        <v>69</v>
      </c>
      <c r="X1868" t="s">
        <v>69</v>
      </c>
      <c r="Y1868" t="s">
        <v>22740</v>
      </c>
      <c r="Z1868" t="s">
        <v>22741</v>
      </c>
      <c r="AA1868" t="s">
        <v>3039</v>
      </c>
      <c r="AB1868" t="s">
        <v>22742</v>
      </c>
      <c r="AC1868" t="s">
        <v>69</v>
      </c>
      <c r="AD1868" t="s">
        <v>22743</v>
      </c>
      <c r="AE1868" t="s">
        <v>69</v>
      </c>
      <c r="AF1868" t="s">
        <v>69</v>
      </c>
      <c r="AG1868" t="s">
        <v>69</v>
      </c>
      <c r="AH1868" t="s">
        <v>22744</v>
      </c>
      <c r="AI1868" t="s">
        <v>22745</v>
      </c>
      <c r="AJ1868" t="s">
        <v>69</v>
      </c>
      <c r="AK1868" t="s">
        <v>69</v>
      </c>
      <c r="AL1868">
        <v>24</v>
      </c>
      <c r="AM1868">
        <v>2</v>
      </c>
      <c r="AN1868">
        <v>2</v>
      </c>
      <c r="AO1868">
        <v>0</v>
      </c>
      <c r="AP1868">
        <v>6</v>
      </c>
      <c r="AQ1868" t="s">
        <v>22746</v>
      </c>
      <c r="AR1868" t="s">
        <v>22747</v>
      </c>
      <c r="AS1868" t="s">
        <v>22748</v>
      </c>
      <c r="AT1868" t="s">
        <v>3040</v>
      </c>
      <c r="AU1868" t="s">
        <v>69</v>
      </c>
      <c r="AV1868" t="s">
        <v>69</v>
      </c>
      <c r="AW1868" t="s">
        <v>22749</v>
      </c>
      <c r="AX1868" t="s">
        <v>22750</v>
      </c>
      <c r="AY1868" t="s">
        <v>3041</v>
      </c>
      <c r="AZ1868">
        <v>2015</v>
      </c>
      <c r="BA1868">
        <v>21</v>
      </c>
      <c r="BB1868" t="s">
        <v>69</v>
      </c>
      <c r="BC1868" t="s">
        <v>69</v>
      </c>
      <c r="BD1868" t="s">
        <v>69</v>
      </c>
      <c r="BE1868" t="s">
        <v>69</v>
      </c>
      <c r="BF1868" t="s">
        <v>69</v>
      </c>
      <c r="BG1868" t="s">
        <v>69</v>
      </c>
      <c r="BH1868" t="s">
        <v>69</v>
      </c>
      <c r="BI1868">
        <v>23</v>
      </c>
      <c r="BJ1868" t="s">
        <v>3042</v>
      </c>
      <c r="BK1868" t="str">
        <f>HYPERLINK("http://dx.doi.org/10.11604/pamj.2015.21.23.5130","http://dx.doi.org/10.11604/pamj.2015.21.23.5130")</f>
        <v>http://dx.doi.org/10.11604/pamj.2015.21.23.5130</v>
      </c>
      <c r="BL1868" t="s">
        <v>69</v>
      </c>
      <c r="BM1868" t="s">
        <v>69</v>
      </c>
      <c r="BN1868">
        <v>9</v>
      </c>
      <c r="BO1868" t="s">
        <v>8810</v>
      </c>
      <c r="BP1868" t="s">
        <v>8573</v>
      </c>
      <c r="BQ1868" t="s">
        <v>8810</v>
      </c>
      <c r="BR1868" t="s">
        <v>22751</v>
      </c>
      <c r="BS1868" t="s">
        <v>3043</v>
      </c>
      <c r="BT1868">
        <v>26401217</v>
      </c>
      <c r="BU1868" t="s">
        <v>19008</v>
      </c>
      <c r="BV1868" t="s">
        <v>69</v>
      </c>
      <c r="BW1868" t="s">
        <v>69</v>
      </c>
      <c r="BX1868" t="s">
        <v>8526</v>
      </c>
      <c r="BY1868" t="str">
        <f>HYPERLINK("https%3A%2F%2Fwww.webofscience.com%2Fwos%2Fwoscc%2Ffull-record%2FWOS:000376715200006","View Full Record in Web of Science")</f>
        <v>View Full Record in Web of Science</v>
      </c>
    </row>
    <row r="1869" spans="1:77" ht="12.5" x14ac:dyDescent="0.25">
      <c r="A1869" t="s">
        <v>8495</v>
      </c>
      <c r="B1869" s="7" t="s">
        <v>32933</v>
      </c>
      <c r="C1869" s="7"/>
      <c r="D1869" s="7"/>
      <c r="E1869" s="7"/>
      <c r="F1869" t="s">
        <v>67</v>
      </c>
      <c r="G1869" t="s">
        <v>1762</v>
      </c>
      <c r="H1869" t="s">
        <v>69</v>
      </c>
      <c r="I1869" t="s">
        <v>69</v>
      </c>
      <c r="J1869" t="s">
        <v>69</v>
      </c>
      <c r="K1869" t="s">
        <v>1762</v>
      </c>
      <c r="L1869" t="s">
        <v>69</v>
      </c>
      <c r="M1869" t="s">
        <v>69</v>
      </c>
      <c r="N1869" t="s">
        <v>1763</v>
      </c>
      <c r="O1869" t="s">
        <v>179</v>
      </c>
      <c r="P1869" t="s">
        <v>69</v>
      </c>
      <c r="Q1869" t="s">
        <v>69</v>
      </c>
      <c r="R1869" t="s">
        <v>8505</v>
      </c>
      <c r="S1869" t="s">
        <v>8506</v>
      </c>
      <c r="T1869" t="s">
        <v>69</v>
      </c>
      <c r="U1869" t="s">
        <v>69</v>
      </c>
      <c r="V1869" t="s">
        <v>69</v>
      </c>
      <c r="W1869" t="s">
        <v>69</v>
      </c>
      <c r="X1869" t="s">
        <v>69</v>
      </c>
      <c r="Y1869" t="s">
        <v>31886</v>
      </c>
      <c r="Z1869" t="s">
        <v>31887</v>
      </c>
      <c r="AA1869" t="s">
        <v>1764</v>
      </c>
      <c r="AB1869" t="s">
        <v>31888</v>
      </c>
      <c r="AC1869" t="s">
        <v>69</v>
      </c>
      <c r="AD1869" t="s">
        <v>31889</v>
      </c>
      <c r="AE1869" t="s">
        <v>69</v>
      </c>
      <c r="AF1869" t="s">
        <v>1765</v>
      </c>
      <c r="AG1869" t="s">
        <v>1766</v>
      </c>
      <c r="AH1869" t="s">
        <v>69</v>
      </c>
      <c r="AI1869" t="s">
        <v>69</v>
      </c>
      <c r="AJ1869" t="s">
        <v>69</v>
      </c>
      <c r="AK1869" t="s">
        <v>69</v>
      </c>
      <c r="AL1869">
        <v>97</v>
      </c>
      <c r="AM1869">
        <v>34</v>
      </c>
      <c r="AN1869">
        <v>35</v>
      </c>
      <c r="AO1869">
        <v>0</v>
      </c>
      <c r="AP1869">
        <v>15</v>
      </c>
      <c r="AQ1869" t="s">
        <v>9047</v>
      </c>
      <c r="AR1869" t="s">
        <v>8693</v>
      </c>
      <c r="AS1869" t="s">
        <v>16643</v>
      </c>
      <c r="AT1869" t="s">
        <v>181</v>
      </c>
      <c r="AU1869" t="s">
        <v>69</v>
      </c>
      <c r="AV1869" t="s">
        <v>69</v>
      </c>
      <c r="AW1869" t="s">
        <v>17432</v>
      </c>
      <c r="AX1869" t="s">
        <v>17433</v>
      </c>
      <c r="AY1869" t="s">
        <v>274</v>
      </c>
      <c r="AZ1869">
        <v>1999</v>
      </c>
      <c r="BA1869">
        <v>24</v>
      </c>
      <c r="BB1869">
        <v>4</v>
      </c>
      <c r="BC1869" t="s">
        <v>69</v>
      </c>
      <c r="BD1869" t="s">
        <v>69</v>
      </c>
      <c r="BE1869" t="s">
        <v>69</v>
      </c>
      <c r="BF1869" t="s">
        <v>69</v>
      </c>
      <c r="BG1869">
        <v>421</v>
      </c>
      <c r="BH1869">
        <v>435</v>
      </c>
      <c r="BI1869" t="s">
        <v>69</v>
      </c>
      <c r="BJ1869" t="s">
        <v>1767</v>
      </c>
      <c r="BK1869" t="str">
        <f>HYPERLINK("http://dx.doi.org/10.1007/s002679900244","http://dx.doi.org/10.1007/s002679900244")</f>
        <v>http://dx.doi.org/10.1007/s002679900244</v>
      </c>
      <c r="BL1869" t="s">
        <v>69</v>
      </c>
      <c r="BM1869" t="s">
        <v>69</v>
      </c>
      <c r="BN1869">
        <v>15</v>
      </c>
      <c r="BO1869" t="s">
        <v>8717</v>
      </c>
      <c r="BP1869" t="s">
        <v>8548</v>
      </c>
      <c r="BQ1869" t="s">
        <v>8662</v>
      </c>
      <c r="BR1869" t="s">
        <v>31890</v>
      </c>
      <c r="BS1869" t="s">
        <v>1768</v>
      </c>
      <c r="BT1869">
        <v>10501857</v>
      </c>
      <c r="BU1869" t="s">
        <v>69</v>
      </c>
      <c r="BV1869" t="s">
        <v>69</v>
      </c>
      <c r="BW1869" t="s">
        <v>69</v>
      </c>
      <c r="BX1869" t="s">
        <v>8526</v>
      </c>
      <c r="BY1869" t="str">
        <f>HYPERLINK("https%3A%2F%2Fwww.webofscience.com%2Fwos%2Fwoscc%2Ffull-record%2FWOS:000082891900001","View Full Record in Web of Science")</f>
        <v>View Full Record in Web of Science</v>
      </c>
    </row>
    <row r="1870" spans="1:77" ht="12.5" x14ac:dyDescent="0.25">
      <c r="A1870" t="s">
        <v>8495</v>
      </c>
      <c r="B1870" s="7" t="s">
        <v>32933</v>
      </c>
      <c r="C1870" s="7"/>
      <c r="D1870" s="7"/>
      <c r="E1870" s="7"/>
      <c r="F1870" t="s">
        <v>67</v>
      </c>
      <c r="G1870" t="s">
        <v>3433</v>
      </c>
      <c r="H1870" t="s">
        <v>69</v>
      </c>
      <c r="I1870" t="s">
        <v>69</v>
      </c>
      <c r="J1870" t="s">
        <v>69</v>
      </c>
      <c r="K1870" t="s">
        <v>3434</v>
      </c>
      <c r="L1870" t="s">
        <v>69</v>
      </c>
      <c r="M1870" t="s">
        <v>69</v>
      </c>
      <c r="N1870" t="s">
        <v>3435</v>
      </c>
      <c r="O1870" t="s">
        <v>3436</v>
      </c>
      <c r="P1870" t="s">
        <v>69</v>
      </c>
      <c r="Q1870" t="s">
        <v>69</v>
      </c>
      <c r="R1870" t="s">
        <v>8505</v>
      </c>
      <c r="S1870" t="s">
        <v>8506</v>
      </c>
      <c r="T1870" t="s">
        <v>69</v>
      </c>
      <c r="U1870" t="s">
        <v>69</v>
      </c>
      <c r="V1870" t="s">
        <v>69</v>
      </c>
      <c r="W1870" t="s">
        <v>69</v>
      </c>
      <c r="X1870" t="s">
        <v>69</v>
      </c>
      <c r="Y1870" t="s">
        <v>69</v>
      </c>
      <c r="Z1870" t="s">
        <v>26809</v>
      </c>
      <c r="AA1870" t="s">
        <v>3437</v>
      </c>
      <c r="AB1870" t="s">
        <v>26810</v>
      </c>
      <c r="AC1870" t="s">
        <v>69</v>
      </c>
      <c r="AD1870" t="s">
        <v>26811</v>
      </c>
      <c r="AE1870" t="s">
        <v>26812</v>
      </c>
      <c r="AF1870" t="s">
        <v>69</v>
      </c>
      <c r="AG1870" t="s">
        <v>26813</v>
      </c>
      <c r="AH1870" t="s">
        <v>26814</v>
      </c>
      <c r="AI1870" t="s">
        <v>26815</v>
      </c>
      <c r="AJ1870" t="s">
        <v>26816</v>
      </c>
      <c r="AK1870" t="s">
        <v>69</v>
      </c>
      <c r="AL1870">
        <v>37</v>
      </c>
      <c r="AM1870">
        <v>36</v>
      </c>
      <c r="AN1870">
        <v>37</v>
      </c>
      <c r="AO1870">
        <v>0</v>
      </c>
      <c r="AP1870">
        <v>29</v>
      </c>
      <c r="AQ1870" t="s">
        <v>26817</v>
      </c>
      <c r="AR1870" t="s">
        <v>15901</v>
      </c>
      <c r="AS1870" t="s">
        <v>26818</v>
      </c>
      <c r="AT1870" t="s">
        <v>3438</v>
      </c>
      <c r="AU1870" t="s">
        <v>69</v>
      </c>
      <c r="AV1870" t="s">
        <v>69</v>
      </c>
      <c r="AW1870" t="s">
        <v>26819</v>
      </c>
      <c r="AX1870" t="s">
        <v>26820</v>
      </c>
      <c r="AY1870" t="s">
        <v>255</v>
      </c>
      <c r="AZ1870">
        <v>2011</v>
      </c>
      <c r="BA1870">
        <v>111</v>
      </c>
      <c r="BB1870">
        <v>9</v>
      </c>
      <c r="BC1870" t="s">
        <v>69</v>
      </c>
      <c r="BD1870" t="s">
        <v>69</v>
      </c>
      <c r="BE1870" t="s">
        <v>69</v>
      </c>
      <c r="BF1870" t="s">
        <v>69</v>
      </c>
      <c r="BG1870">
        <v>1306</v>
      </c>
      <c r="BH1870">
        <v>1313</v>
      </c>
      <c r="BI1870" t="s">
        <v>69</v>
      </c>
      <c r="BJ1870" t="s">
        <v>3439</v>
      </c>
      <c r="BK1870" t="str">
        <f>HYPERLINK("http://dx.doi.org/10.1016/j.jada.2011.06.011","http://dx.doi.org/10.1016/j.jada.2011.06.011")</f>
        <v>http://dx.doi.org/10.1016/j.jada.2011.06.011</v>
      </c>
      <c r="BL1870" t="s">
        <v>69</v>
      </c>
      <c r="BM1870" t="s">
        <v>69</v>
      </c>
      <c r="BN1870">
        <v>8</v>
      </c>
      <c r="BO1870" t="s">
        <v>10908</v>
      </c>
      <c r="BP1870" t="s">
        <v>8523</v>
      </c>
      <c r="BQ1870" t="s">
        <v>10908</v>
      </c>
      <c r="BR1870" t="s">
        <v>26821</v>
      </c>
      <c r="BS1870" t="s">
        <v>3440</v>
      </c>
      <c r="BT1870">
        <v>21872693</v>
      </c>
      <c r="BU1870" t="s">
        <v>9292</v>
      </c>
      <c r="BV1870" t="s">
        <v>69</v>
      </c>
      <c r="BW1870" t="s">
        <v>69</v>
      </c>
      <c r="BX1870" t="s">
        <v>8526</v>
      </c>
      <c r="BY1870" t="str">
        <f>HYPERLINK("https%3A%2F%2Fwww.webofscience.com%2Fwos%2Fwoscc%2Ffull-record%2FWOS:000294748700006","View Full Record in Web of Science")</f>
        <v>View Full Record in Web of Science</v>
      </c>
    </row>
    <row r="1871" spans="1:77" ht="12.5" x14ac:dyDescent="0.25">
      <c r="A1871" t="s">
        <v>8495</v>
      </c>
      <c r="B1871" s="22" t="s">
        <v>32931</v>
      </c>
      <c r="C1871" s="7"/>
      <c r="D1871" s="7"/>
      <c r="E1871" s="7"/>
      <c r="F1871" t="s">
        <v>67</v>
      </c>
      <c r="G1871" t="s">
        <v>11693</v>
      </c>
      <c r="H1871" t="s">
        <v>69</v>
      </c>
      <c r="I1871" t="s">
        <v>69</v>
      </c>
      <c r="J1871" t="s">
        <v>69</v>
      </c>
      <c r="K1871" t="s">
        <v>11694</v>
      </c>
      <c r="L1871" t="s">
        <v>69</v>
      </c>
      <c r="M1871" t="s">
        <v>69</v>
      </c>
      <c r="N1871" t="s">
        <v>11695</v>
      </c>
      <c r="O1871" t="s">
        <v>352</v>
      </c>
      <c r="P1871" t="s">
        <v>69</v>
      </c>
      <c r="Q1871" t="s">
        <v>69</v>
      </c>
      <c r="R1871" t="s">
        <v>8505</v>
      </c>
      <c r="S1871" t="s">
        <v>8506</v>
      </c>
      <c r="T1871" t="s">
        <v>69</v>
      </c>
      <c r="U1871" t="s">
        <v>69</v>
      </c>
      <c r="V1871" t="s">
        <v>69</v>
      </c>
      <c r="W1871" t="s">
        <v>69</v>
      </c>
      <c r="X1871" t="s">
        <v>69</v>
      </c>
      <c r="Y1871" t="s">
        <v>11696</v>
      </c>
      <c r="Z1871" t="s">
        <v>11697</v>
      </c>
      <c r="AA1871" t="s">
        <v>11698</v>
      </c>
      <c r="AB1871" t="s">
        <v>11699</v>
      </c>
      <c r="AC1871" t="s">
        <v>69</v>
      </c>
      <c r="AD1871" t="s">
        <v>11700</v>
      </c>
      <c r="AE1871" t="s">
        <v>11701</v>
      </c>
      <c r="AF1871" t="s">
        <v>69</v>
      </c>
      <c r="AG1871" t="s">
        <v>11702</v>
      </c>
      <c r="AH1871" t="s">
        <v>69</v>
      </c>
      <c r="AI1871" t="s">
        <v>69</v>
      </c>
      <c r="AJ1871" t="s">
        <v>69</v>
      </c>
      <c r="AK1871" t="s">
        <v>69</v>
      </c>
      <c r="AL1871">
        <v>92</v>
      </c>
      <c r="AM1871">
        <v>3</v>
      </c>
      <c r="AN1871">
        <v>3</v>
      </c>
      <c r="AO1871">
        <v>16</v>
      </c>
      <c r="AP1871">
        <v>30</v>
      </c>
      <c r="AQ1871" t="s">
        <v>8924</v>
      </c>
      <c r="AR1871" t="s">
        <v>8925</v>
      </c>
      <c r="AS1871" t="s">
        <v>8926</v>
      </c>
      <c r="AT1871" t="s">
        <v>69</v>
      </c>
      <c r="AU1871" t="s">
        <v>354</v>
      </c>
      <c r="AV1871" t="s">
        <v>69</v>
      </c>
      <c r="AW1871" t="s">
        <v>8958</v>
      </c>
      <c r="AX1871" t="s">
        <v>8434</v>
      </c>
      <c r="AY1871" t="s">
        <v>201</v>
      </c>
      <c r="AZ1871">
        <v>2021</v>
      </c>
      <c r="BA1871">
        <v>13</v>
      </c>
      <c r="BB1871">
        <v>16</v>
      </c>
      <c r="BC1871" t="s">
        <v>69</v>
      </c>
      <c r="BD1871" t="s">
        <v>69</v>
      </c>
      <c r="BE1871" t="s">
        <v>69</v>
      </c>
      <c r="BF1871" t="s">
        <v>69</v>
      </c>
      <c r="BG1871" t="s">
        <v>69</v>
      </c>
      <c r="BH1871" t="s">
        <v>69</v>
      </c>
      <c r="BI1871">
        <v>9274</v>
      </c>
      <c r="BJ1871" t="s">
        <v>11703</v>
      </c>
      <c r="BK1871" t="str">
        <f>HYPERLINK("http://dx.doi.org/10.3390/su13169274","http://dx.doi.org/10.3390/su13169274")</f>
        <v>http://dx.doi.org/10.3390/su13169274</v>
      </c>
      <c r="BL1871" t="s">
        <v>69</v>
      </c>
      <c r="BM1871" t="s">
        <v>69</v>
      </c>
      <c r="BN1871">
        <v>26</v>
      </c>
      <c r="BO1871" t="s">
        <v>8960</v>
      </c>
      <c r="BP1871" t="s">
        <v>8523</v>
      </c>
      <c r="BQ1871" t="s">
        <v>8961</v>
      </c>
      <c r="BR1871" t="s">
        <v>11704</v>
      </c>
      <c r="BS1871" t="s">
        <v>11706</v>
      </c>
      <c r="BT1871" t="s">
        <v>69</v>
      </c>
      <c r="BU1871" t="s">
        <v>11705</v>
      </c>
      <c r="BV1871" t="s">
        <v>69</v>
      </c>
      <c r="BW1871" t="s">
        <v>69</v>
      </c>
      <c r="BX1871" t="s">
        <v>8526</v>
      </c>
      <c r="BY1871" t="str">
        <f>HYPERLINK("https%3A%2F%2Fwww.webofscience.com%2Fwos%2Fwoscc%2Ffull-record%2FWOS:000690169400001","View Full Record in Web of Science")</f>
        <v>View Full Record in Web of Science</v>
      </c>
    </row>
    <row r="1872" spans="1:77" ht="12.5" x14ac:dyDescent="0.25">
      <c r="A1872" t="s">
        <v>8495</v>
      </c>
      <c r="B1872" s="22" t="s">
        <v>32931</v>
      </c>
      <c r="C1872" s="7"/>
      <c r="D1872" s="7"/>
      <c r="E1872" s="7"/>
      <c r="F1872" t="s">
        <v>67</v>
      </c>
      <c r="G1872" t="s">
        <v>22855</v>
      </c>
      <c r="H1872" t="s">
        <v>69</v>
      </c>
      <c r="I1872" t="s">
        <v>69</v>
      </c>
      <c r="J1872" t="s">
        <v>69</v>
      </c>
      <c r="K1872" t="s">
        <v>22856</v>
      </c>
      <c r="L1872" t="s">
        <v>69</v>
      </c>
      <c r="M1872" t="s">
        <v>69</v>
      </c>
      <c r="N1872" t="s">
        <v>22857</v>
      </c>
      <c r="O1872" t="s">
        <v>22858</v>
      </c>
      <c r="P1872" t="s">
        <v>69</v>
      </c>
      <c r="Q1872" t="s">
        <v>69</v>
      </c>
      <c r="R1872" t="s">
        <v>8505</v>
      </c>
      <c r="S1872" t="s">
        <v>8442</v>
      </c>
      <c r="T1872" t="s">
        <v>69</v>
      </c>
      <c r="U1872" t="s">
        <v>69</v>
      </c>
      <c r="V1872" t="s">
        <v>69</v>
      </c>
      <c r="W1872" t="s">
        <v>69</v>
      </c>
      <c r="X1872" t="s">
        <v>69</v>
      </c>
      <c r="Y1872" t="s">
        <v>69</v>
      </c>
      <c r="Z1872" t="s">
        <v>22859</v>
      </c>
      <c r="AA1872" t="s">
        <v>22860</v>
      </c>
      <c r="AB1872" t="s">
        <v>22861</v>
      </c>
      <c r="AC1872" t="s">
        <v>69</v>
      </c>
      <c r="AD1872" t="s">
        <v>22862</v>
      </c>
      <c r="AE1872" t="s">
        <v>22863</v>
      </c>
      <c r="AF1872" t="s">
        <v>22864</v>
      </c>
      <c r="AG1872" t="s">
        <v>22865</v>
      </c>
      <c r="AH1872" t="s">
        <v>22866</v>
      </c>
      <c r="AI1872" t="s">
        <v>22867</v>
      </c>
      <c r="AJ1872" t="s">
        <v>22868</v>
      </c>
      <c r="AK1872" t="s">
        <v>69</v>
      </c>
      <c r="AL1872">
        <v>70</v>
      </c>
      <c r="AM1872">
        <v>64</v>
      </c>
      <c r="AN1872">
        <v>68</v>
      </c>
      <c r="AO1872">
        <v>1</v>
      </c>
      <c r="AP1872">
        <v>21</v>
      </c>
      <c r="AQ1872" t="s">
        <v>22869</v>
      </c>
      <c r="AR1872" t="s">
        <v>22870</v>
      </c>
      <c r="AS1872" t="s">
        <v>22871</v>
      </c>
      <c r="AT1872" t="s">
        <v>22872</v>
      </c>
      <c r="AU1872" t="s">
        <v>22873</v>
      </c>
      <c r="AV1872" t="s">
        <v>69</v>
      </c>
      <c r="AW1872" t="s">
        <v>22858</v>
      </c>
      <c r="AX1872" t="s">
        <v>22874</v>
      </c>
      <c r="AY1872" t="s">
        <v>94</v>
      </c>
      <c r="AZ1872">
        <v>2015</v>
      </c>
      <c r="BA1872">
        <v>33</v>
      </c>
      <c r="BB1872">
        <v>3</v>
      </c>
      <c r="BC1872" t="s">
        <v>69</v>
      </c>
      <c r="BD1872" t="s">
        <v>69</v>
      </c>
      <c r="BE1872" t="s">
        <v>69</v>
      </c>
      <c r="BF1872" t="s">
        <v>69</v>
      </c>
      <c r="BG1872">
        <v>255</v>
      </c>
      <c r="BH1872">
        <v>269</v>
      </c>
      <c r="BI1872" t="s">
        <v>69</v>
      </c>
      <c r="BJ1872" t="s">
        <v>22875</v>
      </c>
      <c r="BK1872" t="str">
        <f>HYPERLINK("http://dx.doi.org/10.1007/s40273-014-0235-x","http://dx.doi.org/10.1007/s40273-014-0235-x")</f>
        <v>http://dx.doi.org/10.1007/s40273-014-0235-x</v>
      </c>
      <c r="BL1872" t="s">
        <v>69</v>
      </c>
      <c r="BM1872" t="s">
        <v>69</v>
      </c>
      <c r="BN1872">
        <v>15</v>
      </c>
      <c r="BO1872" t="s">
        <v>22876</v>
      </c>
      <c r="BP1872" t="s">
        <v>8523</v>
      </c>
      <c r="BQ1872" t="s">
        <v>22877</v>
      </c>
      <c r="BR1872" t="s">
        <v>22878</v>
      </c>
      <c r="BS1872" t="s">
        <v>22880</v>
      </c>
      <c r="BT1872">
        <v>25412735</v>
      </c>
      <c r="BU1872" t="s">
        <v>22879</v>
      </c>
      <c r="BV1872" t="s">
        <v>69</v>
      </c>
      <c r="BW1872" t="s">
        <v>69</v>
      </c>
      <c r="BX1872" t="s">
        <v>8526</v>
      </c>
      <c r="BY1872" t="str">
        <f>HYPERLINK("https%3A%2F%2Fwww.webofscience.com%2Fwos%2Fwoscc%2Ffull-record%2FWOS:000350480700007","View Full Record in Web of Science")</f>
        <v>View Full Record in Web of Science</v>
      </c>
    </row>
    <row r="1873" spans="1:77" ht="12.5" x14ac:dyDescent="0.25">
      <c r="A1873" t="s">
        <v>8495</v>
      </c>
      <c r="B1873" s="22" t="s">
        <v>32931</v>
      </c>
      <c r="C1873" s="7"/>
      <c r="D1873" s="7"/>
      <c r="E1873" s="7"/>
      <c r="F1873" t="s">
        <v>67</v>
      </c>
      <c r="G1873" t="s">
        <v>20472</v>
      </c>
      <c r="H1873" t="s">
        <v>69</v>
      </c>
      <c r="I1873" t="s">
        <v>69</v>
      </c>
      <c r="J1873" t="s">
        <v>69</v>
      </c>
      <c r="K1873" t="s">
        <v>20473</v>
      </c>
      <c r="L1873" t="s">
        <v>69</v>
      </c>
      <c r="M1873" t="s">
        <v>69</v>
      </c>
      <c r="N1873" t="s">
        <v>20474</v>
      </c>
      <c r="O1873" t="s">
        <v>20475</v>
      </c>
      <c r="P1873" t="s">
        <v>69</v>
      </c>
      <c r="Q1873" t="s">
        <v>69</v>
      </c>
      <c r="R1873" t="s">
        <v>8505</v>
      </c>
      <c r="S1873" t="s">
        <v>8506</v>
      </c>
      <c r="T1873" t="s">
        <v>69</v>
      </c>
      <c r="U1873" t="s">
        <v>69</v>
      </c>
      <c r="V1873" t="s">
        <v>69</v>
      </c>
      <c r="W1873" t="s">
        <v>69</v>
      </c>
      <c r="X1873" t="s">
        <v>69</v>
      </c>
      <c r="Y1873" t="s">
        <v>20476</v>
      </c>
      <c r="Z1873" t="s">
        <v>69</v>
      </c>
      <c r="AA1873" t="s">
        <v>20477</v>
      </c>
      <c r="AB1873" t="s">
        <v>20478</v>
      </c>
      <c r="AC1873" t="s">
        <v>69</v>
      </c>
      <c r="AD1873" t="s">
        <v>20479</v>
      </c>
      <c r="AE1873" t="s">
        <v>20480</v>
      </c>
      <c r="AF1873" t="s">
        <v>69</v>
      </c>
      <c r="AG1873" t="s">
        <v>20481</v>
      </c>
      <c r="AH1873" t="s">
        <v>69</v>
      </c>
      <c r="AI1873" t="s">
        <v>69</v>
      </c>
      <c r="AJ1873" t="s">
        <v>69</v>
      </c>
      <c r="AK1873" t="s">
        <v>69</v>
      </c>
      <c r="AL1873">
        <v>81</v>
      </c>
      <c r="AM1873">
        <v>12</v>
      </c>
      <c r="AN1873">
        <v>12</v>
      </c>
      <c r="AO1873">
        <v>7</v>
      </c>
      <c r="AP1873">
        <v>30</v>
      </c>
      <c r="AQ1873" t="s">
        <v>8636</v>
      </c>
      <c r="AR1873" t="s">
        <v>8637</v>
      </c>
      <c r="AS1873" t="s">
        <v>8638</v>
      </c>
      <c r="AT1873" t="s">
        <v>20482</v>
      </c>
      <c r="AU1873" t="s">
        <v>20483</v>
      </c>
      <c r="AV1873" t="s">
        <v>69</v>
      </c>
      <c r="AW1873" t="s">
        <v>20484</v>
      </c>
      <c r="AX1873" t="s">
        <v>20485</v>
      </c>
      <c r="AY1873" t="s">
        <v>94</v>
      </c>
      <c r="AZ1873">
        <v>2017</v>
      </c>
      <c r="BA1873">
        <v>49</v>
      </c>
      <c r="BB1873" t="s">
        <v>69</v>
      </c>
      <c r="BC1873" t="s">
        <v>69</v>
      </c>
      <c r="BD1873" t="s">
        <v>69</v>
      </c>
      <c r="BE1873" t="s">
        <v>69</v>
      </c>
      <c r="BF1873" t="s">
        <v>69</v>
      </c>
      <c r="BG1873">
        <v>66</v>
      </c>
      <c r="BH1873">
        <v>100</v>
      </c>
      <c r="BI1873" t="s">
        <v>69</v>
      </c>
      <c r="BJ1873" t="s">
        <v>20486</v>
      </c>
      <c r="BK1873" t="str">
        <f>HYPERLINK("http://dx.doi.org/10.1016/j.destud.2016.10.002","http://dx.doi.org/10.1016/j.destud.2016.10.002")</f>
        <v>http://dx.doi.org/10.1016/j.destud.2016.10.002</v>
      </c>
      <c r="BL1873" t="s">
        <v>69</v>
      </c>
      <c r="BM1873" t="s">
        <v>69</v>
      </c>
      <c r="BN1873">
        <v>35</v>
      </c>
      <c r="BO1873" t="s">
        <v>20487</v>
      </c>
      <c r="BP1873" t="s">
        <v>8523</v>
      </c>
      <c r="BQ1873" t="s">
        <v>8445</v>
      </c>
      <c r="BR1873" t="s">
        <v>20488</v>
      </c>
      <c r="BS1873" t="s">
        <v>20489</v>
      </c>
      <c r="BT1873" t="s">
        <v>69</v>
      </c>
      <c r="BU1873" t="s">
        <v>10363</v>
      </c>
      <c r="BV1873" t="s">
        <v>69</v>
      </c>
      <c r="BW1873" t="s">
        <v>69</v>
      </c>
      <c r="BX1873" t="s">
        <v>8526</v>
      </c>
      <c r="BY1873" t="str">
        <f>HYPERLINK("https%3A%2F%2Fwww.webofscience.com%2Fwos%2Fwoscc%2Ffull-record%2FWOS:000395210800003","View Full Record in Web of Science")</f>
        <v>View Full Record in Web of Science</v>
      </c>
    </row>
    <row r="1874" spans="1:77" ht="12.5" x14ac:dyDescent="0.25">
      <c r="A1874" t="s">
        <v>8495</v>
      </c>
      <c r="B1874" s="22" t="s">
        <v>32931</v>
      </c>
      <c r="C1874" s="7"/>
      <c r="D1874" s="7"/>
      <c r="E1874" s="7"/>
      <c r="F1874" t="s">
        <v>67</v>
      </c>
      <c r="G1874" t="s">
        <v>16688</v>
      </c>
      <c r="H1874" t="s">
        <v>69</v>
      </c>
      <c r="I1874" t="s">
        <v>69</v>
      </c>
      <c r="J1874" t="s">
        <v>69</v>
      </c>
      <c r="K1874" t="s">
        <v>16689</v>
      </c>
      <c r="L1874" t="s">
        <v>69</v>
      </c>
      <c r="M1874" t="s">
        <v>69</v>
      </c>
      <c r="N1874" t="s">
        <v>16690</v>
      </c>
      <c r="O1874" t="s">
        <v>16691</v>
      </c>
      <c r="P1874" t="s">
        <v>69</v>
      </c>
      <c r="Q1874" t="s">
        <v>69</v>
      </c>
      <c r="R1874" t="s">
        <v>8505</v>
      </c>
      <c r="S1874" t="s">
        <v>8506</v>
      </c>
      <c r="T1874" t="s">
        <v>69</v>
      </c>
      <c r="U1874" t="s">
        <v>69</v>
      </c>
      <c r="V1874" t="s">
        <v>69</v>
      </c>
      <c r="W1874" t="s">
        <v>69</v>
      </c>
      <c r="X1874" t="s">
        <v>69</v>
      </c>
      <c r="Y1874" t="s">
        <v>16692</v>
      </c>
      <c r="Z1874" t="s">
        <v>16693</v>
      </c>
      <c r="AA1874" t="s">
        <v>16694</v>
      </c>
      <c r="AB1874" t="s">
        <v>16695</v>
      </c>
      <c r="AC1874" t="s">
        <v>69</v>
      </c>
      <c r="AD1874" t="s">
        <v>16696</v>
      </c>
      <c r="AE1874" t="s">
        <v>16697</v>
      </c>
      <c r="AF1874" t="s">
        <v>69</v>
      </c>
      <c r="AG1874" t="s">
        <v>69</v>
      </c>
      <c r="AH1874" t="s">
        <v>69</v>
      </c>
      <c r="AI1874" t="s">
        <v>69</v>
      </c>
      <c r="AJ1874" t="s">
        <v>69</v>
      </c>
      <c r="AK1874" t="s">
        <v>69</v>
      </c>
      <c r="AL1874">
        <v>29</v>
      </c>
      <c r="AM1874">
        <v>1</v>
      </c>
      <c r="AN1874">
        <v>1</v>
      </c>
      <c r="AO1874">
        <v>0</v>
      </c>
      <c r="AP1874">
        <v>0</v>
      </c>
      <c r="AQ1874" t="s">
        <v>16698</v>
      </c>
      <c r="AR1874" t="s">
        <v>8693</v>
      </c>
      <c r="AS1874" t="s">
        <v>16699</v>
      </c>
      <c r="AT1874" t="s">
        <v>16700</v>
      </c>
      <c r="AU1874" t="s">
        <v>16701</v>
      </c>
      <c r="AV1874" t="s">
        <v>69</v>
      </c>
      <c r="AW1874" t="s">
        <v>16702</v>
      </c>
      <c r="AX1874" t="s">
        <v>16703</v>
      </c>
      <c r="AY1874" t="s">
        <v>381</v>
      </c>
      <c r="AZ1874">
        <v>2019</v>
      </c>
      <c r="BA1874">
        <v>47</v>
      </c>
      <c r="BB1874">
        <v>10</v>
      </c>
      <c r="BC1874" t="s">
        <v>69</v>
      </c>
      <c r="BD1874" t="s">
        <v>69</v>
      </c>
      <c r="BE1874" t="s">
        <v>69</v>
      </c>
      <c r="BF1874" t="s">
        <v>69</v>
      </c>
      <c r="BG1874">
        <v>1176</v>
      </c>
      <c r="BH1874">
        <v>1180</v>
      </c>
      <c r="BI1874" t="s">
        <v>69</v>
      </c>
      <c r="BJ1874" t="s">
        <v>16704</v>
      </c>
      <c r="BK1874" t="str">
        <f>HYPERLINK("http://dx.doi.org/10.1016/j.ajic.2019.03.019","http://dx.doi.org/10.1016/j.ajic.2019.03.019")</f>
        <v>http://dx.doi.org/10.1016/j.ajic.2019.03.019</v>
      </c>
      <c r="BL1874" t="s">
        <v>69</v>
      </c>
      <c r="BM1874" t="s">
        <v>69</v>
      </c>
      <c r="BN1874">
        <v>5</v>
      </c>
      <c r="BO1874" t="s">
        <v>14367</v>
      </c>
      <c r="BP1874" t="s">
        <v>8548</v>
      </c>
      <c r="BQ1874" t="s">
        <v>14367</v>
      </c>
      <c r="BR1874" t="s">
        <v>16705</v>
      </c>
      <c r="BS1874" t="s">
        <v>16706</v>
      </c>
      <c r="BT1874">
        <v>31036400</v>
      </c>
      <c r="BU1874" t="s">
        <v>69</v>
      </c>
      <c r="BV1874" t="s">
        <v>69</v>
      </c>
      <c r="BW1874" t="s">
        <v>69</v>
      </c>
      <c r="BX1874" t="s">
        <v>8526</v>
      </c>
      <c r="BY1874" t="str">
        <f>HYPERLINK("https%3A%2F%2Fwww.webofscience.com%2Fwos%2Fwoscc%2Ffull-record%2FWOS:000487003300005","View Full Record in Web of Science")</f>
        <v>View Full Record in Web of Science</v>
      </c>
    </row>
    <row r="1875" spans="1:77" ht="12.5" x14ac:dyDescent="0.25">
      <c r="A1875" t="s">
        <v>8495</v>
      </c>
      <c r="B1875" s="7" t="s">
        <v>32933</v>
      </c>
      <c r="C1875" s="7"/>
      <c r="D1875" s="7"/>
      <c r="E1875" s="7"/>
      <c r="F1875" t="s">
        <v>67</v>
      </c>
      <c r="G1875" t="s">
        <v>6934</v>
      </c>
      <c r="H1875" t="s">
        <v>69</v>
      </c>
      <c r="I1875" t="s">
        <v>69</v>
      </c>
      <c r="J1875" t="s">
        <v>69</v>
      </c>
      <c r="K1875" t="s">
        <v>6935</v>
      </c>
      <c r="L1875" t="s">
        <v>69</v>
      </c>
      <c r="M1875" t="s">
        <v>69</v>
      </c>
      <c r="N1875" t="s">
        <v>6936</v>
      </c>
      <c r="O1875" t="s">
        <v>6937</v>
      </c>
      <c r="P1875" t="s">
        <v>69</v>
      </c>
      <c r="Q1875" t="s">
        <v>69</v>
      </c>
      <c r="R1875" t="s">
        <v>8505</v>
      </c>
      <c r="S1875" t="s">
        <v>8506</v>
      </c>
      <c r="T1875" t="s">
        <v>69</v>
      </c>
      <c r="U1875" t="s">
        <v>69</v>
      </c>
      <c r="V1875" t="s">
        <v>69</v>
      </c>
      <c r="W1875" t="s">
        <v>69</v>
      </c>
      <c r="X1875" t="s">
        <v>69</v>
      </c>
      <c r="Y1875" t="s">
        <v>19631</v>
      </c>
      <c r="Z1875" t="s">
        <v>19632</v>
      </c>
      <c r="AA1875" t="s">
        <v>6938</v>
      </c>
      <c r="AB1875" t="s">
        <v>19633</v>
      </c>
      <c r="AC1875" t="s">
        <v>69</v>
      </c>
      <c r="AD1875" t="s">
        <v>19634</v>
      </c>
      <c r="AE1875" t="s">
        <v>19635</v>
      </c>
      <c r="AF1875" t="s">
        <v>69</v>
      </c>
      <c r="AG1875" t="s">
        <v>6939</v>
      </c>
      <c r="AH1875" t="s">
        <v>69</v>
      </c>
      <c r="AI1875" t="s">
        <v>69</v>
      </c>
      <c r="AJ1875" t="s">
        <v>69</v>
      </c>
      <c r="AK1875" t="s">
        <v>69</v>
      </c>
      <c r="AL1875">
        <v>49</v>
      </c>
      <c r="AM1875">
        <v>9</v>
      </c>
      <c r="AN1875">
        <v>9</v>
      </c>
      <c r="AO1875">
        <v>0</v>
      </c>
      <c r="AP1875">
        <v>7</v>
      </c>
      <c r="AQ1875" t="s">
        <v>8865</v>
      </c>
      <c r="AR1875" t="s">
        <v>8612</v>
      </c>
      <c r="AS1875" t="s">
        <v>8866</v>
      </c>
      <c r="AT1875" t="s">
        <v>6940</v>
      </c>
      <c r="AU1875" t="s">
        <v>6941</v>
      </c>
      <c r="AV1875" t="s">
        <v>69</v>
      </c>
      <c r="AW1875" t="s">
        <v>19636</v>
      </c>
      <c r="AX1875" t="s">
        <v>19637</v>
      </c>
      <c r="AY1875" t="s">
        <v>69</v>
      </c>
      <c r="AZ1875">
        <v>2018</v>
      </c>
      <c r="BA1875">
        <v>25</v>
      </c>
      <c r="BB1875">
        <v>1</v>
      </c>
      <c r="BC1875" t="s">
        <v>69</v>
      </c>
      <c r="BD1875" t="s">
        <v>69</v>
      </c>
      <c r="BE1875" t="s">
        <v>69</v>
      </c>
      <c r="BF1875" t="s">
        <v>69</v>
      </c>
      <c r="BG1875">
        <v>42</v>
      </c>
      <c r="BH1875">
        <v>67</v>
      </c>
      <c r="BI1875" t="s">
        <v>69</v>
      </c>
      <c r="BJ1875" t="s">
        <v>6942</v>
      </c>
      <c r="BK1875" t="str">
        <f>HYPERLINK("http://dx.doi.org/10.1080/1350178X.2017.1380896","http://dx.doi.org/10.1080/1350178X.2017.1380896")</f>
        <v>http://dx.doi.org/10.1080/1350178X.2017.1380896</v>
      </c>
      <c r="BL1875" t="s">
        <v>69</v>
      </c>
      <c r="BM1875" t="s">
        <v>69</v>
      </c>
      <c r="BN1875">
        <v>26</v>
      </c>
      <c r="BO1875" t="s">
        <v>9726</v>
      </c>
      <c r="BP1875" t="s">
        <v>8661</v>
      </c>
      <c r="BQ1875" t="s">
        <v>8594</v>
      </c>
      <c r="BR1875" t="s">
        <v>19638</v>
      </c>
      <c r="BS1875" t="s">
        <v>6943</v>
      </c>
      <c r="BT1875" t="s">
        <v>69</v>
      </c>
      <c r="BU1875" t="s">
        <v>69</v>
      </c>
      <c r="BV1875" t="s">
        <v>69</v>
      </c>
      <c r="BW1875" t="s">
        <v>69</v>
      </c>
      <c r="BX1875" t="s">
        <v>8526</v>
      </c>
      <c r="BY1875" t="str">
        <f>HYPERLINK("https%3A%2F%2Fwww.webofscience.com%2Fwos%2Fwoscc%2Ffull-record%2FWOS:000424255700003","View Full Record in Web of Science")</f>
        <v>View Full Record in Web of Science</v>
      </c>
    </row>
    <row r="1876" spans="1:77" ht="12.5" x14ac:dyDescent="0.25">
      <c r="A1876" t="s">
        <v>8495</v>
      </c>
      <c r="B1876" s="7" t="s">
        <v>32933</v>
      </c>
      <c r="C1876" s="7"/>
      <c r="D1876" s="7"/>
      <c r="E1876" s="7"/>
      <c r="F1876" t="s">
        <v>67</v>
      </c>
      <c r="G1876" t="s">
        <v>7966</v>
      </c>
      <c r="H1876" t="s">
        <v>69</v>
      </c>
      <c r="I1876" t="s">
        <v>69</v>
      </c>
      <c r="J1876" t="s">
        <v>69</v>
      </c>
      <c r="K1876" t="s">
        <v>7967</v>
      </c>
      <c r="L1876" t="s">
        <v>69</v>
      </c>
      <c r="M1876" t="s">
        <v>69</v>
      </c>
      <c r="N1876" t="s">
        <v>7968</v>
      </c>
      <c r="O1876" t="s">
        <v>7969</v>
      </c>
      <c r="P1876" t="s">
        <v>69</v>
      </c>
      <c r="Q1876" t="s">
        <v>69</v>
      </c>
      <c r="R1876" t="s">
        <v>8505</v>
      </c>
      <c r="S1876" t="s">
        <v>8506</v>
      </c>
      <c r="T1876" t="s">
        <v>69</v>
      </c>
      <c r="U1876" t="s">
        <v>69</v>
      </c>
      <c r="V1876" t="s">
        <v>69</v>
      </c>
      <c r="W1876" t="s">
        <v>69</v>
      </c>
      <c r="X1876" t="s">
        <v>69</v>
      </c>
      <c r="Y1876" t="s">
        <v>69</v>
      </c>
      <c r="Z1876" t="s">
        <v>69</v>
      </c>
      <c r="AA1876" t="s">
        <v>7970</v>
      </c>
      <c r="AB1876" t="s">
        <v>69</v>
      </c>
      <c r="AC1876" t="s">
        <v>69</v>
      </c>
      <c r="AD1876" t="s">
        <v>69</v>
      </c>
      <c r="AE1876" t="s">
        <v>69</v>
      </c>
      <c r="AF1876" t="s">
        <v>7971</v>
      </c>
      <c r="AG1876" t="s">
        <v>69</v>
      </c>
      <c r="AH1876" t="s">
        <v>69</v>
      </c>
      <c r="AI1876" t="s">
        <v>69</v>
      </c>
      <c r="AJ1876" t="s">
        <v>69</v>
      </c>
      <c r="AK1876" t="s">
        <v>69</v>
      </c>
      <c r="AL1876">
        <v>24</v>
      </c>
      <c r="AM1876">
        <v>3</v>
      </c>
      <c r="AN1876">
        <v>3</v>
      </c>
      <c r="AO1876">
        <v>0</v>
      </c>
      <c r="AP1876">
        <v>3</v>
      </c>
      <c r="AQ1876" t="s">
        <v>22429</v>
      </c>
      <c r="AR1876" t="s">
        <v>22430</v>
      </c>
      <c r="AS1876" t="s">
        <v>22431</v>
      </c>
      <c r="AT1876" t="s">
        <v>7972</v>
      </c>
      <c r="AU1876" t="s">
        <v>69</v>
      </c>
      <c r="AV1876" t="s">
        <v>69</v>
      </c>
      <c r="AW1876" t="s">
        <v>22432</v>
      </c>
      <c r="AX1876" t="s">
        <v>22433</v>
      </c>
      <c r="AY1876" t="s">
        <v>381</v>
      </c>
      <c r="AZ1876">
        <v>2015</v>
      </c>
      <c r="BA1876">
        <v>30</v>
      </c>
      <c r="BB1876">
        <v>4</v>
      </c>
      <c r="BC1876" t="s">
        <v>69</v>
      </c>
      <c r="BD1876" t="s">
        <v>69</v>
      </c>
      <c r="BE1876" t="s">
        <v>69</v>
      </c>
      <c r="BF1876" t="s">
        <v>69</v>
      </c>
      <c r="BG1876">
        <v>26</v>
      </c>
      <c r="BH1876">
        <v>29</v>
      </c>
      <c r="BI1876" t="s">
        <v>69</v>
      </c>
      <c r="BJ1876" t="s">
        <v>69</v>
      </c>
      <c r="BK1876" t="s">
        <v>69</v>
      </c>
      <c r="BL1876" t="s">
        <v>69</v>
      </c>
      <c r="BM1876" t="s">
        <v>69</v>
      </c>
      <c r="BN1876">
        <v>4</v>
      </c>
      <c r="BO1876" t="s">
        <v>8810</v>
      </c>
      <c r="BP1876" t="s">
        <v>8573</v>
      </c>
      <c r="BQ1876" t="s">
        <v>8810</v>
      </c>
      <c r="BR1876" t="s">
        <v>22434</v>
      </c>
      <c r="BS1876" t="s">
        <v>7973</v>
      </c>
      <c r="BT1876" t="s">
        <v>69</v>
      </c>
      <c r="BU1876" t="s">
        <v>69</v>
      </c>
      <c r="BV1876" t="s">
        <v>69</v>
      </c>
      <c r="BW1876" t="s">
        <v>69</v>
      </c>
      <c r="BX1876" t="s">
        <v>8526</v>
      </c>
      <c r="BY1876" t="str">
        <f>HYPERLINK("https%3A%2F%2Fwww.webofscience.com%2Fwos%2Fwoscc%2Ffull-record%2FWOS:000381422200008","View Full Record in Web of Science")</f>
        <v>View Full Record in Web of Science</v>
      </c>
    </row>
    <row r="1877" spans="1:77" ht="12.5" x14ac:dyDescent="0.25">
      <c r="A1877" t="s">
        <v>8495</v>
      </c>
      <c r="B1877" s="22" t="s">
        <v>32931</v>
      </c>
      <c r="C1877" s="7"/>
      <c r="D1877" s="7"/>
      <c r="E1877" s="7"/>
      <c r="F1877" t="s">
        <v>67</v>
      </c>
      <c r="G1877" t="s">
        <v>14196</v>
      </c>
      <c r="H1877" t="s">
        <v>69</v>
      </c>
      <c r="I1877" t="s">
        <v>69</v>
      </c>
      <c r="J1877" t="s">
        <v>69</v>
      </c>
      <c r="K1877" t="s">
        <v>14197</v>
      </c>
      <c r="L1877" t="s">
        <v>69</v>
      </c>
      <c r="M1877" t="s">
        <v>69</v>
      </c>
      <c r="N1877" t="s">
        <v>14198</v>
      </c>
      <c r="O1877" t="s">
        <v>14199</v>
      </c>
      <c r="P1877" t="s">
        <v>69</v>
      </c>
      <c r="Q1877" t="s">
        <v>69</v>
      </c>
      <c r="R1877" t="s">
        <v>8505</v>
      </c>
      <c r="S1877" t="s">
        <v>8506</v>
      </c>
      <c r="T1877" t="s">
        <v>69</v>
      </c>
      <c r="U1877" t="s">
        <v>69</v>
      </c>
      <c r="V1877" t="s">
        <v>69</v>
      </c>
      <c r="W1877" t="s">
        <v>69</v>
      </c>
      <c r="X1877" t="s">
        <v>69</v>
      </c>
      <c r="Y1877" t="s">
        <v>14200</v>
      </c>
      <c r="Z1877" t="s">
        <v>14201</v>
      </c>
      <c r="AA1877" t="s">
        <v>14202</v>
      </c>
      <c r="AB1877" t="s">
        <v>14203</v>
      </c>
      <c r="AC1877" t="s">
        <v>69</v>
      </c>
      <c r="AD1877" t="s">
        <v>14204</v>
      </c>
      <c r="AE1877" t="s">
        <v>14205</v>
      </c>
      <c r="AF1877" t="s">
        <v>69</v>
      </c>
      <c r="AG1877" t="s">
        <v>14206</v>
      </c>
      <c r="AH1877" t="s">
        <v>14207</v>
      </c>
      <c r="AI1877" t="s">
        <v>14208</v>
      </c>
      <c r="AJ1877" t="s">
        <v>14209</v>
      </c>
      <c r="AK1877" t="s">
        <v>69</v>
      </c>
      <c r="AL1877">
        <v>30</v>
      </c>
      <c r="AM1877">
        <v>4</v>
      </c>
      <c r="AN1877">
        <v>4</v>
      </c>
      <c r="AO1877">
        <v>3</v>
      </c>
      <c r="AP1877">
        <v>12</v>
      </c>
      <c r="AQ1877" t="s">
        <v>10517</v>
      </c>
      <c r="AR1877" t="s">
        <v>10518</v>
      </c>
      <c r="AS1877" t="s">
        <v>10519</v>
      </c>
      <c r="AT1877" t="s">
        <v>14210</v>
      </c>
      <c r="AU1877" t="s">
        <v>69</v>
      </c>
      <c r="AV1877" t="s">
        <v>69</v>
      </c>
      <c r="AW1877" t="s">
        <v>14211</v>
      </c>
      <c r="AX1877" t="s">
        <v>14212</v>
      </c>
      <c r="AY1877" t="s">
        <v>381</v>
      </c>
      <c r="AZ1877">
        <v>2020</v>
      </c>
      <c r="BA1877">
        <v>9</v>
      </c>
      <c r="BB1877">
        <v>10</v>
      </c>
      <c r="BC1877" t="s">
        <v>69</v>
      </c>
      <c r="BD1877" t="s">
        <v>69</v>
      </c>
      <c r="BE1877" t="s">
        <v>69</v>
      </c>
      <c r="BF1877" t="s">
        <v>69</v>
      </c>
      <c r="BG1877" t="s">
        <v>69</v>
      </c>
      <c r="BH1877" t="s">
        <v>69</v>
      </c>
      <c r="BI1877" t="s">
        <v>14213</v>
      </c>
      <c r="BJ1877" t="s">
        <v>14214</v>
      </c>
      <c r="BK1877" t="str">
        <f>HYPERLINK("http://dx.doi.org/10.2196/22679","http://dx.doi.org/10.2196/22679")</f>
        <v>http://dx.doi.org/10.2196/22679</v>
      </c>
      <c r="BL1877" t="s">
        <v>69</v>
      </c>
      <c r="BM1877" t="s">
        <v>69</v>
      </c>
      <c r="BN1877">
        <v>8</v>
      </c>
      <c r="BO1877" t="s">
        <v>11565</v>
      </c>
      <c r="BP1877" t="s">
        <v>8573</v>
      </c>
      <c r="BQ1877" t="s">
        <v>11565</v>
      </c>
      <c r="BR1877" t="s">
        <v>14215</v>
      </c>
      <c r="BS1877" t="s">
        <v>14216</v>
      </c>
      <c r="BT1877">
        <v>33027034</v>
      </c>
      <c r="BU1877" t="s">
        <v>9352</v>
      </c>
      <c r="BV1877" t="s">
        <v>69</v>
      </c>
      <c r="BW1877" t="s">
        <v>69</v>
      </c>
      <c r="BX1877" t="s">
        <v>8526</v>
      </c>
      <c r="BY1877" t="str">
        <f>HYPERLINK("https%3A%2F%2Fwww.webofscience.com%2Fwos%2Fwoscc%2Ffull-record%2FWOS:000582576000036","View Full Record in Web of Science")</f>
        <v>View Full Record in Web of Science</v>
      </c>
    </row>
    <row r="1878" spans="1:77" ht="12.5" x14ac:dyDescent="0.25">
      <c r="A1878" t="s">
        <v>8495</v>
      </c>
      <c r="B1878" s="7" t="s">
        <v>32933</v>
      </c>
      <c r="C1878" s="7"/>
      <c r="D1878" s="7"/>
      <c r="E1878" s="7"/>
      <c r="F1878" t="s">
        <v>67</v>
      </c>
      <c r="G1878" t="s">
        <v>8269</v>
      </c>
      <c r="H1878" t="s">
        <v>69</v>
      </c>
      <c r="I1878" t="s">
        <v>69</v>
      </c>
      <c r="J1878" t="s">
        <v>69</v>
      </c>
      <c r="K1878" t="s">
        <v>8270</v>
      </c>
      <c r="L1878" t="s">
        <v>69</v>
      </c>
      <c r="M1878" t="s">
        <v>69</v>
      </c>
      <c r="N1878" t="s">
        <v>8271</v>
      </c>
      <c r="O1878" t="s">
        <v>4399</v>
      </c>
      <c r="P1878" t="s">
        <v>69</v>
      </c>
      <c r="Q1878" t="s">
        <v>69</v>
      </c>
      <c r="R1878" t="s">
        <v>8505</v>
      </c>
      <c r="S1878" t="s">
        <v>8506</v>
      </c>
      <c r="T1878" t="s">
        <v>69</v>
      </c>
      <c r="U1878" t="s">
        <v>69</v>
      </c>
      <c r="V1878" t="s">
        <v>69</v>
      </c>
      <c r="W1878" t="s">
        <v>69</v>
      </c>
      <c r="X1878" t="s">
        <v>69</v>
      </c>
      <c r="Y1878" t="s">
        <v>24980</v>
      </c>
      <c r="Z1878" t="s">
        <v>24981</v>
      </c>
      <c r="AA1878" t="s">
        <v>8272</v>
      </c>
      <c r="AB1878" t="s">
        <v>24982</v>
      </c>
      <c r="AC1878" t="s">
        <v>69</v>
      </c>
      <c r="AD1878" t="s">
        <v>24983</v>
      </c>
      <c r="AE1878" t="s">
        <v>24984</v>
      </c>
      <c r="AF1878" t="s">
        <v>69</v>
      </c>
      <c r="AG1878" t="s">
        <v>69</v>
      </c>
      <c r="AH1878" t="s">
        <v>69</v>
      </c>
      <c r="AI1878" t="s">
        <v>69</v>
      </c>
      <c r="AJ1878" t="s">
        <v>69</v>
      </c>
      <c r="AK1878" t="s">
        <v>69</v>
      </c>
      <c r="AL1878">
        <v>16</v>
      </c>
      <c r="AM1878">
        <v>5</v>
      </c>
      <c r="AN1878">
        <v>5</v>
      </c>
      <c r="AO1878">
        <v>0</v>
      </c>
      <c r="AP1878">
        <v>0</v>
      </c>
      <c r="AQ1878" t="s">
        <v>13217</v>
      </c>
      <c r="AR1878" t="s">
        <v>13218</v>
      </c>
      <c r="AS1878" t="s">
        <v>13219</v>
      </c>
      <c r="AT1878" t="s">
        <v>4401</v>
      </c>
      <c r="AU1878" t="s">
        <v>69</v>
      </c>
      <c r="AV1878" t="s">
        <v>69</v>
      </c>
      <c r="AW1878" t="s">
        <v>13220</v>
      </c>
      <c r="AX1878" t="s">
        <v>13221</v>
      </c>
      <c r="AY1878" t="s">
        <v>155</v>
      </c>
      <c r="AZ1878">
        <v>2013</v>
      </c>
      <c r="BA1878">
        <v>6</v>
      </c>
      <c r="BB1878">
        <v>2</v>
      </c>
      <c r="BC1878" t="s">
        <v>69</v>
      </c>
      <c r="BD1878" t="s">
        <v>69</v>
      </c>
      <c r="BE1878" t="s">
        <v>114</v>
      </c>
      <c r="BF1878" t="s">
        <v>69</v>
      </c>
      <c r="BG1878">
        <v>154</v>
      </c>
      <c r="BH1878">
        <v>167</v>
      </c>
      <c r="BI1878" t="s">
        <v>69</v>
      </c>
      <c r="BJ1878" t="s">
        <v>69</v>
      </c>
      <c r="BK1878" t="s">
        <v>69</v>
      </c>
      <c r="BL1878" t="s">
        <v>69</v>
      </c>
      <c r="BM1878" t="s">
        <v>69</v>
      </c>
      <c r="BN1878">
        <v>14</v>
      </c>
      <c r="BO1878" t="s">
        <v>13222</v>
      </c>
      <c r="BP1878" t="s">
        <v>8523</v>
      </c>
      <c r="BQ1878" t="s">
        <v>11438</v>
      </c>
      <c r="BR1878" t="s">
        <v>24985</v>
      </c>
      <c r="BS1878" t="s">
        <v>8273</v>
      </c>
      <c r="BT1878" t="s">
        <v>69</v>
      </c>
      <c r="BU1878" t="s">
        <v>69</v>
      </c>
      <c r="BV1878" t="s">
        <v>69</v>
      </c>
      <c r="BW1878" t="s">
        <v>69</v>
      </c>
      <c r="BX1878" t="s">
        <v>8526</v>
      </c>
      <c r="BY1878" t="str">
        <f>HYPERLINK("https%3A%2F%2Fwww.webofscience.com%2Fwos%2Fwoscc%2Ffull-record%2FWOS:000209774400002","View Full Record in Web of Science")</f>
        <v>View Full Record in Web of Science</v>
      </c>
    </row>
    <row r="1879" spans="1:77" x14ac:dyDescent="0.3">
      <c r="A1879" t="s">
        <v>8495</v>
      </c>
      <c r="B1879" s="9" t="s">
        <v>32948</v>
      </c>
      <c r="C1879" s="9" t="s">
        <v>33119</v>
      </c>
      <c r="D1879" s="10" t="s">
        <v>8490</v>
      </c>
      <c r="E1879" s="9" t="s">
        <v>8490</v>
      </c>
      <c r="F1879" t="s">
        <v>67</v>
      </c>
      <c r="G1879" t="s">
        <v>24173</v>
      </c>
      <c r="H1879" t="s">
        <v>69</v>
      </c>
      <c r="I1879" t="s">
        <v>69</v>
      </c>
      <c r="J1879" t="s">
        <v>69</v>
      </c>
      <c r="K1879" t="s">
        <v>24174</v>
      </c>
      <c r="L1879" t="s">
        <v>69</v>
      </c>
      <c r="M1879" t="s">
        <v>69</v>
      </c>
      <c r="N1879" t="s">
        <v>24175</v>
      </c>
      <c r="O1879" t="s">
        <v>24176</v>
      </c>
      <c r="P1879" t="s">
        <v>69</v>
      </c>
      <c r="Q1879" t="s">
        <v>69</v>
      </c>
      <c r="R1879" t="s">
        <v>8505</v>
      </c>
      <c r="S1879" t="s">
        <v>8506</v>
      </c>
      <c r="T1879" t="s">
        <v>69</v>
      </c>
      <c r="U1879" t="s">
        <v>69</v>
      </c>
      <c r="V1879" t="s">
        <v>69</v>
      </c>
      <c r="W1879" t="s">
        <v>69</v>
      </c>
      <c r="X1879" t="s">
        <v>69</v>
      </c>
      <c r="Y1879" t="s">
        <v>24177</v>
      </c>
      <c r="Z1879" t="s">
        <v>24178</v>
      </c>
      <c r="AA1879" t="s">
        <v>24179</v>
      </c>
      <c r="AB1879" t="s">
        <v>24180</v>
      </c>
      <c r="AC1879" t="s">
        <v>69</v>
      </c>
      <c r="AD1879" t="s">
        <v>24181</v>
      </c>
      <c r="AE1879" t="s">
        <v>24182</v>
      </c>
      <c r="AF1879" t="s">
        <v>24183</v>
      </c>
      <c r="AG1879" t="s">
        <v>69</v>
      </c>
      <c r="AH1879" t="s">
        <v>69</v>
      </c>
      <c r="AI1879" t="s">
        <v>69</v>
      </c>
      <c r="AJ1879" t="s">
        <v>69</v>
      </c>
      <c r="AK1879" t="s">
        <v>69</v>
      </c>
      <c r="AL1879">
        <v>23</v>
      </c>
      <c r="AM1879">
        <v>15</v>
      </c>
      <c r="AN1879">
        <v>15</v>
      </c>
      <c r="AO1879">
        <v>0</v>
      </c>
      <c r="AP1879">
        <v>10</v>
      </c>
      <c r="AQ1879" t="s">
        <v>17924</v>
      </c>
      <c r="AR1879" t="s">
        <v>17925</v>
      </c>
      <c r="AS1879" t="s">
        <v>17926</v>
      </c>
      <c r="AT1879" t="s">
        <v>24184</v>
      </c>
      <c r="AU1879" t="s">
        <v>24185</v>
      </c>
      <c r="AV1879" t="s">
        <v>69</v>
      </c>
      <c r="AW1879" t="s">
        <v>24186</v>
      </c>
      <c r="AX1879" t="s">
        <v>24187</v>
      </c>
      <c r="AY1879" t="s">
        <v>69</v>
      </c>
      <c r="AZ1879">
        <v>2014</v>
      </c>
      <c r="BA1879">
        <v>36</v>
      </c>
      <c r="BB1879">
        <v>3</v>
      </c>
      <c r="BC1879" t="s">
        <v>69</v>
      </c>
      <c r="BD1879" t="s">
        <v>69</v>
      </c>
      <c r="BE1879" t="s">
        <v>69</v>
      </c>
      <c r="BF1879" t="s">
        <v>69</v>
      </c>
      <c r="BG1879">
        <v>257</v>
      </c>
      <c r="BH1879">
        <v>264</v>
      </c>
      <c r="BI1879" t="s">
        <v>69</v>
      </c>
      <c r="BJ1879" t="s">
        <v>24188</v>
      </c>
      <c r="BK1879" t="str">
        <f>HYPERLINK("http://dx.doi.org/10.3828/idpr.2014.23","http://dx.doi.org/10.3828/idpr.2014.23")</f>
        <v>http://dx.doi.org/10.3828/idpr.2014.23</v>
      </c>
      <c r="BL1879" t="s">
        <v>69</v>
      </c>
      <c r="BM1879" t="s">
        <v>69</v>
      </c>
      <c r="BN1879">
        <v>8</v>
      </c>
      <c r="BO1879" t="s">
        <v>14686</v>
      </c>
      <c r="BP1879" t="s">
        <v>8661</v>
      </c>
      <c r="BQ1879" t="s">
        <v>14687</v>
      </c>
      <c r="BR1879" t="s">
        <v>24189</v>
      </c>
      <c r="BS1879" t="s">
        <v>24190</v>
      </c>
      <c r="BT1879" t="s">
        <v>69</v>
      </c>
      <c r="BU1879" t="s">
        <v>10995</v>
      </c>
      <c r="BV1879" t="s">
        <v>69</v>
      </c>
      <c r="BW1879" t="s">
        <v>69</v>
      </c>
      <c r="BX1879" t="s">
        <v>8526</v>
      </c>
      <c r="BY1879" t="str">
        <f>HYPERLINK("https%3A%2F%2Fwww.webofscience.com%2Fwos%2Fwoscc%2Ffull-record%2FWOS:000338710400001","View Full Record in Web of Science")</f>
        <v>View Full Record in Web of Science</v>
      </c>
    </row>
    <row r="1880" spans="1:77" ht="12.5" x14ac:dyDescent="0.25">
      <c r="A1880" t="s">
        <v>8495</v>
      </c>
      <c r="B1880" s="22" t="s">
        <v>32931</v>
      </c>
      <c r="C1880" s="7"/>
      <c r="D1880" s="7"/>
      <c r="E1880" s="7"/>
      <c r="F1880" t="s">
        <v>67</v>
      </c>
      <c r="G1880" t="s">
        <v>22064</v>
      </c>
      <c r="H1880" t="s">
        <v>69</v>
      </c>
      <c r="I1880" t="s">
        <v>69</v>
      </c>
      <c r="J1880" t="s">
        <v>69</v>
      </c>
      <c r="K1880" t="s">
        <v>22065</v>
      </c>
      <c r="L1880" t="s">
        <v>69</v>
      </c>
      <c r="M1880" t="s">
        <v>69</v>
      </c>
      <c r="N1880" t="s">
        <v>22066</v>
      </c>
      <c r="O1880" t="s">
        <v>22067</v>
      </c>
      <c r="P1880" t="s">
        <v>69</v>
      </c>
      <c r="Q1880" t="s">
        <v>69</v>
      </c>
      <c r="R1880" t="s">
        <v>8505</v>
      </c>
      <c r="S1880" t="s">
        <v>8506</v>
      </c>
      <c r="T1880" t="s">
        <v>69</v>
      </c>
      <c r="U1880" t="s">
        <v>69</v>
      </c>
      <c r="V1880" t="s">
        <v>69</v>
      </c>
      <c r="W1880" t="s">
        <v>69</v>
      </c>
      <c r="X1880" t="s">
        <v>69</v>
      </c>
      <c r="Y1880" t="s">
        <v>22068</v>
      </c>
      <c r="Z1880" t="s">
        <v>22069</v>
      </c>
      <c r="AA1880" t="s">
        <v>22070</v>
      </c>
      <c r="AB1880" t="s">
        <v>22071</v>
      </c>
      <c r="AC1880" t="s">
        <v>69</v>
      </c>
      <c r="AD1880" t="s">
        <v>22072</v>
      </c>
      <c r="AE1880" t="s">
        <v>22073</v>
      </c>
      <c r="AF1880" t="s">
        <v>22074</v>
      </c>
      <c r="AG1880" t="s">
        <v>22075</v>
      </c>
      <c r="AH1880" t="s">
        <v>69</v>
      </c>
      <c r="AI1880" t="s">
        <v>69</v>
      </c>
      <c r="AJ1880" t="s">
        <v>69</v>
      </c>
      <c r="AK1880" t="s">
        <v>69</v>
      </c>
      <c r="AL1880">
        <v>64</v>
      </c>
      <c r="AM1880">
        <v>6</v>
      </c>
      <c r="AN1880">
        <v>7</v>
      </c>
      <c r="AO1880">
        <v>4</v>
      </c>
      <c r="AP1880">
        <v>15</v>
      </c>
      <c r="AQ1880" t="s">
        <v>8865</v>
      </c>
      <c r="AR1880" t="s">
        <v>8612</v>
      </c>
      <c r="AS1880" t="s">
        <v>8866</v>
      </c>
      <c r="AT1880" t="s">
        <v>22076</v>
      </c>
      <c r="AU1880" t="s">
        <v>22077</v>
      </c>
      <c r="AV1880" t="s">
        <v>69</v>
      </c>
      <c r="AW1880" t="s">
        <v>22078</v>
      </c>
      <c r="AX1880" t="s">
        <v>22079</v>
      </c>
      <c r="AY1880" t="s">
        <v>69</v>
      </c>
      <c r="AZ1880">
        <v>2016</v>
      </c>
      <c r="BA1880">
        <v>42</v>
      </c>
      <c r="BB1880">
        <v>4</v>
      </c>
      <c r="BC1880" t="s">
        <v>69</v>
      </c>
      <c r="BD1880" t="s">
        <v>69</v>
      </c>
      <c r="BE1880" t="s">
        <v>69</v>
      </c>
      <c r="BF1880" t="s">
        <v>69</v>
      </c>
      <c r="BG1880">
        <v>589</v>
      </c>
      <c r="BH1880">
        <v>609</v>
      </c>
      <c r="BI1880" t="s">
        <v>69</v>
      </c>
      <c r="BJ1880" t="s">
        <v>22080</v>
      </c>
      <c r="BK1880" t="str">
        <f>HYPERLINK("http://dx.doi.org/10.1080/19415257.2015.1047037","http://dx.doi.org/10.1080/19415257.2015.1047037")</f>
        <v>http://dx.doi.org/10.1080/19415257.2015.1047037</v>
      </c>
      <c r="BL1880" t="s">
        <v>69</v>
      </c>
      <c r="BM1880" t="s">
        <v>69</v>
      </c>
      <c r="BN1880">
        <v>21</v>
      </c>
      <c r="BO1880" t="s">
        <v>9290</v>
      </c>
      <c r="BP1880" t="s">
        <v>8661</v>
      </c>
      <c r="BQ1880" t="s">
        <v>9290</v>
      </c>
      <c r="BR1880" t="s">
        <v>22081</v>
      </c>
      <c r="BS1880" t="s">
        <v>22082</v>
      </c>
      <c r="BT1880" t="s">
        <v>69</v>
      </c>
      <c r="BU1880" t="s">
        <v>69</v>
      </c>
      <c r="BV1880" t="s">
        <v>69</v>
      </c>
      <c r="BW1880" t="s">
        <v>69</v>
      </c>
      <c r="BX1880" t="s">
        <v>8526</v>
      </c>
      <c r="BY1880" t="str">
        <f>HYPERLINK("https%3A%2F%2Fwww.webofscience.com%2Fwos%2Fwoscc%2Ffull-record%2FWOS:000378213400006","View Full Record in Web of Science")</f>
        <v>View Full Record in Web of Science</v>
      </c>
    </row>
    <row r="1881" spans="1:77" ht="12.5" x14ac:dyDescent="0.25">
      <c r="A1881" t="s">
        <v>8495</v>
      </c>
      <c r="B1881" s="22" t="s">
        <v>32931</v>
      </c>
      <c r="C1881" s="7"/>
      <c r="D1881" s="7"/>
      <c r="E1881" s="7"/>
      <c r="F1881" t="s">
        <v>67</v>
      </c>
      <c r="G1881" t="s">
        <v>27728</v>
      </c>
      <c r="H1881" t="s">
        <v>69</v>
      </c>
      <c r="I1881" t="s">
        <v>69</v>
      </c>
      <c r="J1881" t="s">
        <v>69</v>
      </c>
      <c r="K1881" t="s">
        <v>27729</v>
      </c>
      <c r="L1881" t="s">
        <v>69</v>
      </c>
      <c r="M1881" t="s">
        <v>69</v>
      </c>
      <c r="N1881" t="s">
        <v>27730</v>
      </c>
      <c r="O1881" t="s">
        <v>27731</v>
      </c>
      <c r="P1881" t="s">
        <v>69</v>
      </c>
      <c r="Q1881" t="s">
        <v>69</v>
      </c>
      <c r="R1881" t="s">
        <v>8505</v>
      </c>
      <c r="S1881" t="s">
        <v>8506</v>
      </c>
      <c r="T1881" t="s">
        <v>69</v>
      </c>
      <c r="U1881" t="s">
        <v>69</v>
      </c>
      <c r="V1881" t="s">
        <v>69</v>
      </c>
      <c r="W1881" t="s">
        <v>69</v>
      </c>
      <c r="X1881" t="s">
        <v>69</v>
      </c>
      <c r="Y1881" t="s">
        <v>27732</v>
      </c>
      <c r="Z1881" t="s">
        <v>69</v>
      </c>
      <c r="AA1881" t="s">
        <v>27733</v>
      </c>
      <c r="AB1881" t="s">
        <v>27734</v>
      </c>
      <c r="AC1881" t="s">
        <v>69</v>
      </c>
      <c r="AD1881" t="s">
        <v>27735</v>
      </c>
      <c r="AE1881" t="s">
        <v>69</v>
      </c>
      <c r="AF1881" t="s">
        <v>27736</v>
      </c>
      <c r="AG1881" t="s">
        <v>27737</v>
      </c>
      <c r="AH1881" t="s">
        <v>69</v>
      </c>
      <c r="AI1881" t="s">
        <v>69</v>
      </c>
      <c r="AJ1881" t="s">
        <v>69</v>
      </c>
      <c r="AK1881" t="s">
        <v>69</v>
      </c>
      <c r="AL1881">
        <v>24</v>
      </c>
      <c r="AM1881">
        <v>16</v>
      </c>
      <c r="AN1881">
        <v>16</v>
      </c>
      <c r="AO1881">
        <v>0</v>
      </c>
      <c r="AP1881">
        <v>2</v>
      </c>
      <c r="AQ1881" t="s">
        <v>20754</v>
      </c>
      <c r="AR1881" t="s">
        <v>20755</v>
      </c>
      <c r="AS1881" t="s">
        <v>20756</v>
      </c>
      <c r="AT1881" t="s">
        <v>27738</v>
      </c>
      <c r="AU1881" t="s">
        <v>27739</v>
      </c>
      <c r="AV1881" t="s">
        <v>69</v>
      </c>
      <c r="AW1881" t="s">
        <v>27740</v>
      </c>
      <c r="AX1881" t="s">
        <v>27741</v>
      </c>
      <c r="AY1881" t="s">
        <v>5888</v>
      </c>
      <c r="AZ1881">
        <v>2010</v>
      </c>
      <c r="BA1881">
        <v>23</v>
      </c>
      <c r="BB1881">
        <v>3</v>
      </c>
      <c r="BC1881" t="s">
        <v>69</v>
      </c>
      <c r="BD1881" t="s">
        <v>69</v>
      </c>
      <c r="BE1881" t="s">
        <v>69</v>
      </c>
      <c r="BF1881" t="s">
        <v>69</v>
      </c>
      <c r="BG1881">
        <v>43</v>
      </c>
      <c r="BH1881">
        <v>59</v>
      </c>
      <c r="BI1881" t="s">
        <v>69</v>
      </c>
      <c r="BJ1881" t="s">
        <v>27742</v>
      </c>
      <c r="BK1881" t="str">
        <f>HYPERLINK("http://dx.doi.org/10.4018/irmj.2010070104","http://dx.doi.org/10.4018/irmj.2010070104")</f>
        <v>http://dx.doi.org/10.4018/irmj.2010070104</v>
      </c>
      <c r="BL1881" t="s">
        <v>69</v>
      </c>
      <c r="BM1881" t="s">
        <v>69</v>
      </c>
      <c r="BN1881">
        <v>17</v>
      </c>
      <c r="BO1881" t="s">
        <v>11010</v>
      </c>
      <c r="BP1881" t="s">
        <v>8573</v>
      </c>
      <c r="BQ1881" t="s">
        <v>11010</v>
      </c>
      <c r="BR1881" t="s">
        <v>27743</v>
      </c>
      <c r="BS1881" t="s">
        <v>27744</v>
      </c>
      <c r="BT1881" t="s">
        <v>69</v>
      </c>
      <c r="BU1881" t="s">
        <v>69</v>
      </c>
      <c r="BV1881" t="s">
        <v>69</v>
      </c>
      <c r="BW1881" t="s">
        <v>69</v>
      </c>
      <c r="BX1881" t="s">
        <v>8526</v>
      </c>
      <c r="BY1881" t="str">
        <f>HYPERLINK("https%3A%2F%2Fwww.webofscience.com%2Fwos%2Fwoscc%2Ffull-record%2FWOS:000211066200004","View Full Record in Web of Science")</f>
        <v>View Full Record in Web of Science</v>
      </c>
    </row>
    <row r="1882" spans="1:77" ht="12.5" x14ac:dyDescent="0.25">
      <c r="A1882" t="s">
        <v>8495</v>
      </c>
      <c r="B1882" s="7" t="s">
        <v>32933</v>
      </c>
      <c r="C1882" s="7"/>
      <c r="D1882" s="7"/>
      <c r="E1882" s="7"/>
      <c r="F1882" t="s">
        <v>67</v>
      </c>
      <c r="G1882" t="s">
        <v>2621</v>
      </c>
      <c r="H1882" t="s">
        <v>69</v>
      </c>
      <c r="I1882" t="s">
        <v>69</v>
      </c>
      <c r="J1882" t="s">
        <v>69</v>
      </c>
      <c r="K1882" t="s">
        <v>2622</v>
      </c>
      <c r="L1882" t="s">
        <v>69</v>
      </c>
      <c r="M1882" t="s">
        <v>69</v>
      </c>
      <c r="N1882" t="s">
        <v>2623</v>
      </c>
      <c r="O1882" t="s">
        <v>2624</v>
      </c>
      <c r="P1882" t="s">
        <v>69</v>
      </c>
      <c r="Q1882" t="s">
        <v>69</v>
      </c>
      <c r="R1882" t="s">
        <v>8505</v>
      </c>
      <c r="S1882" t="s">
        <v>8506</v>
      </c>
      <c r="T1882" t="s">
        <v>69</v>
      </c>
      <c r="U1882" t="s">
        <v>69</v>
      </c>
      <c r="V1882" t="s">
        <v>69</v>
      </c>
      <c r="W1882" t="s">
        <v>69</v>
      </c>
      <c r="X1882" t="s">
        <v>69</v>
      </c>
      <c r="Y1882" t="s">
        <v>69</v>
      </c>
      <c r="Z1882" t="s">
        <v>20454</v>
      </c>
      <c r="AA1882" t="s">
        <v>2625</v>
      </c>
      <c r="AB1882" t="s">
        <v>20455</v>
      </c>
      <c r="AC1882" t="s">
        <v>69</v>
      </c>
      <c r="AD1882" t="s">
        <v>20456</v>
      </c>
      <c r="AE1882" t="s">
        <v>20457</v>
      </c>
      <c r="AF1882" t="s">
        <v>69</v>
      </c>
      <c r="AG1882" t="s">
        <v>69</v>
      </c>
      <c r="AH1882" t="s">
        <v>20458</v>
      </c>
      <c r="AI1882" t="s">
        <v>20459</v>
      </c>
      <c r="AJ1882" t="s">
        <v>20460</v>
      </c>
      <c r="AK1882" t="s">
        <v>69</v>
      </c>
      <c r="AL1882">
        <v>45</v>
      </c>
      <c r="AM1882">
        <v>117</v>
      </c>
      <c r="AN1882">
        <v>120</v>
      </c>
      <c r="AO1882">
        <v>6</v>
      </c>
      <c r="AP1882">
        <v>95</v>
      </c>
      <c r="AQ1882" t="s">
        <v>9978</v>
      </c>
      <c r="AR1882" t="s">
        <v>9979</v>
      </c>
      <c r="AS1882" t="s">
        <v>9980</v>
      </c>
      <c r="AT1882" t="s">
        <v>2626</v>
      </c>
      <c r="AU1882" t="s">
        <v>2627</v>
      </c>
      <c r="AV1882" t="s">
        <v>69</v>
      </c>
      <c r="AW1882" t="s">
        <v>20461</v>
      </c>
      <c r="AX1882" t="s">
        <v>20462</v>
      </c>
      <c r="AY1882" t="s">
        <v>246</v>
      </c>
      <c r="AZ1882">
        <v>2017</v>
      </c>
      <c r="BA1882">
        <v>210</v>
      </c>
      <c r="BB1882">
        <v>4</v>
      </c>
      <c r="BC1882" t="s">
        <v>69</v>
      </c>
      <c r="BD1882" t="s">
        <v>69</v>
      </c>
      <c r="BE1882" t="s">
        <v>69</v>
      </c>
      <c r="BF1882" t="s">
        <v>69</v>
      </c>
      <c r="BG1882">
        <v>276</v>
      </c>
      <c r="BH1882">
        <v>283</v>
      </c>
      <c r="BI1882" t="s">
        <v>69</v>
      </c>
      <c r="BJ1882" t="s">
        <v>2628</v>
      </c>
      <c r="BK1882" t="str">
        <f>HYPERLINK("http://dx.doi.org/10.1192/bjp.bp.116.184234","http://dx.doi.org/10.1192/bjp.bp.116.184234")</f>
        <v>http://dx.doi.org/10.1192/bjp.bp.116.184234</v>
      </c>
      <c r="BL1882" t="s">
        <v>69</v>
      </c>
      <c r="BM1882" t="s">
        <v>69</v>
      </c>
      <c r="BN1882">
        <v>8</v>
      </c>
      <c r="BO1882" t="s">
        <v>9332</v>
      </c>
      <c r="BP1882" t="s">
        <v>8523</v>
      </c>
      <c r="BQ1882" t="s">
        <v>9332</v>
      </c>
      <c r="BR1882" t="s">
        <v>20463</v>
      </c>
      <c r="BS1882" t="s">
        <v>2629</v>
      </c>
      <c r="BT1882">
        <v>27979818</v>
      </c>
      <c r="BU1882" t="s">
        <v>9374</v>
      </c>
      <c r="BV1882" t="s">
        <v>69</v>
      </c>
      <c r="BW1882" t="s">
        <v>69</v>
      </c>
      <c r="BX1882" t="s">
        <v>8526</v>
      </c>
      <c r="BY1882" t="str">
        <f>HYPERLINK("https%3A%2F%2Fwww.webofscience.com%2Fwos%2Fwoscc%2Ffull-record%2FWOS:000398055000008","View Full Record in Web of Science")</f>
        <v>View Full Record in Web of Science</v>
      </c>
    </row>
    <row r="1883" spans="1:77" ht="12.5" x14ac:dyDescent="0.25">
      <c r="A1883" t="s">
        <v>8495</v>
      </c>
      <c r="B1883" s="22" t="s">
        <v>32931</v>
      </c>
      <c r="C1883" s="7"/>
      <c r="D1883" s="7"/>
      <c r="E1883" s="7"/>
      <c r="F1883" t="s">
        <v>67</v>
      </c>
      <c r="G1883" t="s">
        <v>23428</v>
      </c>
      <c r="H1883" t="s">
        <v>69</v>
      </c>
      <c r="I1883" t="s">
        <v>69</v>
      </c>
      <c r="J1883" t="s">
        <v>69</v>
      </c>
      <c r="K1883" t="s">
        <v>23429</v>
      </c>
      <c r="L1883" t="s">
        <v>69</v>
      </c>
      <c r="M1883" t="s">
        <v>69</v>
      </c>
      <c r="N1883" t="s">
        <v>23430</v>
      </c>
      <c r="O1883" t="s">
        <v>23431</v>
      </c>
      <c r="P1883" t="s">
        <v>69</v>
      </c>
      <c r="Q1883" t="s">
        <v>69</v>
      </c>
      <c r="R1883" t="s">
        <v>8505</v>
      </c>
      <c r="S1883" t="s">
        <v>8506</v>
      </c>
      <c r="T1883" t="s">
        <v>69</v>
      </c>
      <c r="U1883" t="s">
        <v>69</v>
      </c>
      <c r="V1883" t="s">
        <v>69</v>
      </c>
      <c r="W1883" t="s">
        <v>69</v>
      </c>
      <c r="X1883" t="s">
        <v>69</v>
      </c>
      <c r="Y1883" t="s">
        <v>69</v>
      </c>
      <c r="Z1883" t="s">
        <v>23432</v>
      </c>
      <c r="AA1883" t="s">
        <v>23433</v>
      </c>
      <c r="AB1883" t="s">
        <v>23434</v>
      </c>
      <c r="AC1883" t="s">
        <v>69</v>
      </c>
      <c r="AD1883" t="s">
        <v>23435</v>
      </c>
      <c r="AE1883" t="s">
        <v>23436</v>
      </c>
      <c r="AF1883" t="s">
        <v>69</v>
      </c>
      <c r="AG1883" t="s">
        <v>69</v>
      </c>
      <c r="AH1883" t="s">
        <v>23437</v>
      </c>
      <c r="AI1883" t="s">
        <v>23438</v>
      </c>
      <c r="AJ1883" t="s">
        <v>69</v>
      </c>
      <c r="AK1883" t="s">
        <v>69</v>
      </c>
      <c r="AL1883">
        <v>39</v>
      </c>
      <c r="AM1883">
        <v>7</v>
      </c>
      <c r="AN1883">
        <v>7</v>
      </c>
      <c r="AO1883">
        <v>0</v>
      </c>
      <c r="AP1883">
        <v>6</v>
      </c>
      <c r="AQ1883" t="s">
        <v>9978</v>
      </c>
      <c r="AR1883" t="s">
        <v>8693</v>
      </c>
      <c r="AS1883" t="s">
        <v>17938</v>
      </c>
      <c r="AT1883" t="s">
        <v>23439</v>
      </c>
      <c r="AU1883" t="s">
        <v>23440</v>
      </c>
      <c r="AV1883" t="s">
        <v>69</v>
      </c>
      <c r="AW1883" t="s">
        <v>23441</v>
      </c>
      <c r="AX1883" t="s">
        <v>23442</v>
      </c>
      <c r="AY1883" t="s">
        <v>75</v>
      </c>
      <c r="AZ1883">
        <v>2014</v>
      </c>
      <c r="BA1883">
        <v>27</v>
      </c>
      <c r="BB1883">
        <v>4</v>
      </c>
      <c r="BC1883" t="s">
        <v>69</v>
      </c>
      <c r="BD1883" t="s">
        <v>69</v>
      </c>
      <c r="BE1883" t="s">
        <v>69</v>
      </c>
      <c r="BF1883" t="s">
        <v>69</v>
      </c>
      <c r="BG1883">
        <v>579</v>
      </c>
      <c r="BH1883">
        <v>603</v>
      </c>
      <c r="BI1883" t="s">
        <v>69</v>
      </c>
      <c r="BJ1883" t="s">
        <v>23443</v>
      </c>
      <c r="BK1883" t="str">
        <f>HYPERLINK("http://dx.doi.org/10.1017/S0269889714000210","http://dx.doi.org/10.1017/S0269889714000210")</f>
        <v>http://dx.doi.org/10.1017/S0269889714000210</v>
      </c>
      <c r="BL1883" t="s">
        <v>69</v>
      </c>
      <c r="BM1883" t="s">
        <v>69</v>
      </c>
      <c r="BN1883">
        <v>25</v>
      </c>
      <c r="BO1883" t="s">
        <v>16099</v>
      </c>
      <c r="BP1883" t="s">
        <v>18553</v>
      </c>
      <c r="BQ1883" t="s">
        <v>16101</v>
      </c>
      <c r="BR1883" t="s">
        <v>23444</v>
      </c>
      <c r="BS1883" t="s">
        <v>23445</v>
      </c>
      <c r="BT1883">
        <v>25549445</v>
      </c>
      <c r="BU1883" t="s">
        <v>69</v>
      </c>
      <c r="BV1883" t="s">
        <v>69</v>
      </c>
      <c r="BW1883" t="s">
        <v>69</v>
      </c>
      <c r="BX1883" t="s">
        <v>8526</v>
      </c>
      <c r="BY1883" t="str">
        <f>HYPERLINK("https%3A%2F%2Fwww.webofscience.com%2Fwos%2Fwoscc%2Ffull-record%2FWOS:000348597800002","View Full Record in Web of Science")</f>
        <v>View Full Record in Web of Science</v>
      </c>
    </row>
    <row r="1884" spans="1:77" x14ac:dyDescent="0.3">
      <c r="A1884" t="s">
        <v>8495</v>
      </c>
      <c r="B1884" s="9" t="s">
        <v>32954</v>
      </c>
      <c r="C1884" s="9" t="s">
        <v>33118</v>
      </c>
      <c r="D1884" s="9" t="s">
        <v>8491</v>
      </c>
      <c r="E1884" s="9" t="s">
        <v>8490</v>
      </c>
      <c r="F1884" t="s">
        <v>67</v>
      </c>
      <c r="G1884" t="s">
        <v>19157</v>
      </c>
      <c r="H1884" t="s">
        <v>69</v>
      </c>
      <c r="I1884" t="s">
        <v>69</v>
      </c>
      <c r="J1884" t="s">
        <v>69</v>
      </c>
      <c r="K1884" t="s">
        <v>19158</v>
      </c>
      <c r="L1884" t="s">
        <v>69</v>
      </c>
      <c r="M1884" t="s">
        <v>69</v>
      </c>
      <c r="N1884" t="s">
        <v>19159</v>
      </c>
      <c r="O1884" t="s">
        <v>19160</v>
      </c>
      <c r="P1884" t="s">
        <v>69</v>
      </c>
      <c r="Q1884" t="s">
        <v>69</v>
      </c>
      <c r="R1884" t="s">
        <v>8505</v>
      </c>
      <c r="S1884" t="s">
        <v>8506</v>
      </c>
      <c r="T1884" t="s">
        <v>69</v>
      </c>
      <c r="U1884" t="s">
        <v>69</v>
      </c>
      <c r="V1884" t="s">
        <v>69</v>
      </c>
      <c r="W1884" t="s">
        <v>69</v>
      </c>
      <c r="X1884" t="s">
        <v>69</v>
      </c>
      <c r="Y1884" t="s">
        <v>19161</v>
      </c>
      <c r="Z1884" t="s">
        <v>19162</v>
      </c>
      <c r="AA1884" t="s">
        <v>19163</v>
      </c>
      <c r="AB1884" t="s">
        <v>19164</v>
      </c>
      <c r="AC1884" t="s">
        <v>69</v>
      </c>
      <c r="AD1884" t="s">
        <v>19165</v>
      </c>
      <c r="AE1884" t="s">
        <v>19166</v>
      </c>
      <c r="AF1884" t="s">
        <v>19167</v>
      </c>
      <c r="AG1884" t="s">
        <v>19168</v>
      </c>
      <c r="AH1884" t="s">
        <v>19169</v>
      </c>
      <c r="AI1884" t="s">
        <v>19169</v>
      </c>
      <c r="AJ1884" t="s">
        <v>19170</v>
      </c>
      <c r="AK1884" t="s">
        <v>69</v>
      </c>
      <c r="AL1884">
        <v>49</v>
      </c>
      <c r="AM1884">
        <v>13</v>
      </c>
      <c r="AN1884">
        <v>13</v>
      </c>
      <c r="AO1884">
        <v>3</v>
      </c>
      <c r="AP1884">
        <v>28</v>
      </c>
      <c r="AQ1884" t="s">
        <v>19171</v>
      </c>
      <c r="AR1884" t="s">
        <v>19172</v>
      </c>
      <c r="AS1884" t="s">
        <v>19173</v>
      </c>
      <c r="AT1884" t="s">
        <v>19174</v>
      </c>
      <c r="AU1884" t="s">
        <v>69</v>
      </c>
      <c r="AV1884" t="s">
        <v>69</v>
      </c>
      <c r="AW1884" t="s">
        <v>19175</v>
      </c>
      <c r="AX1884" t="s">
        <v>19176</v>
      </c>
      <c r="AY1884" t="s">
        <v>191</v>
      </c>
      <c r="AZ1884">
        <v>2018</v>
      </c>
      <c r="BA1884">
        <v>11</v>
      </c>
      <c r="BB1884" t="s">
        <v>69</v>
      </c>
      <c r="BC1884" t="s">
        <v>69</v>
      </c>
      <c r="BD1884" t="s">
        <v>69</v>
      </c>
      <c r="BE1884" t="s">
        <v>69</v>
      </c>
      <c r="BF1884" t="s">
        <v>69</v>
      </c>
      <c r="BG1884">
        <v>1</v>
      </c>
      <c r="BH1884">
        <v>10</v>
      </c>
      <c r="BI1884" t="s">
        <v>69</v>
      </c>
      <c r="BJ1884" t="s">
        <v>19177</v>
      </c>
      <c r="BK1884" t="str">
        <f>HYPERLINK("http://dx.doi.org/10.3832/ifor2431-010","http://dx.doi.org/10.3832/ifor2431-010")</f>
        <v>http://dx.doi.org/10.3832/ifor2431-010</v>
      </c>
      <c r="BL1884" t="s">
        <v>69</v>
      </c>
      <c r="BM1884" t="s">
        <v>69</v>
      </c>
      <c r="BN1884">
        <v>10</v>
      </c>
      <c r="BO1884" t="s">
        <v>8453</v>
      </c>
      <c r="BP1884" t="s">
        <v>8548</v>
      </c>
      <c r="BQ1884" t="s">
        <v>8453</v>
      </c>
      <c r="BR1884" t="s">
        <v>19178</v>
      </c>
      <c r="BS1884" t="s">
        <v>19179</v>
      </c>
      <c r="BT1884" t="s">
        <v>69</v>
      </c>
      <c r="BU1884" t="s">
        <v>12220</v>
      </c>
      <c r="BV1884" t="s">
        <v>69</v>
      </c>
      <c r="BW1884" t="s">
        <v>69</v>
      </c>
      <c r="BX1884" t="s">
        <v>8526</v>
      </c>
      <c r="BY1884" t="str">
        <f>HYPERLINK("https%3A%2F%2Fwww.webofscience.com%2Fwos%2Fwoscc%2Ffull-record%2FWOS:000422931000001","View Full Record in Web of Science")</f>
        <v>View Full Record in Web of Science</v>
      </c>
    </row>
    <row r="1885" spans="1:77" ht="12.5" x14ac:dyDescent="0.25">
      <c r="A1885" t="s">
        <v>8495</v>
      </c>
      <c r="B1885" s="7" t="s">
        <v>32933</v>
      </c>
      <c r="C1885" s="7"/>
      <c r="D1885" s="7"/>
      <c r="E1885" s="7"/>
      <c r="F1885" t="s">
        <v>67</v>
      </c>
      <c r="G1885" t="s">
        <v>4415</v>
      </c>
      <c r="H1885" t="s">
        <v>69</v>
      </c>
      <c r="I1885" t="s">
        <v>69</v>
      </c>
      <c r="J1885" t="s">
        <v>69</v>
      </c>
      <c r="K1885" t="s">
        <v>4416</v>
      </c>
      <c r="L1885" t="s">
        <v>69</v>
      </c>
      <c r="M1885" t="s">
        <v>69</v>
      </c>
      <c r="N1885" t="s">
        <v>4417</v>
      </c>
      <c r="O1885" t="s">
        <v>4418</v>
      </c>
      <c r="P1885" t="s">
        <v>69</v>
      </c>
      <c r="Q1885" t="s">
        <v>69</v>
      </c>
      <c r="R1885" t="s">
        <v>8505</v>
      </c>
      <c r="S1885" t="s">
        <v>8506</v>
      </c>
      <c r="T1885" t="s">
        <v>69</v>
      </c>
      <c r="U1885" t="s">
        <v>69</v>
      </c>
      <c r="V1885" t="s">
        <v>69</v>
      </c>
      <c r="W1885" t="s">
        <v>69</v>
      </c>
      <c r="X1885" t="s">
        <v>69</v>
      </c>
      <c r="Y1885" t="s">
        <v>16248</v>
      </c>
      <c r="Z1885" t="s">
        <v>69</v>
      </c>
      <c r="AA1885" t="s">
        <v>4419</v>
      </c>
      <c r="AB1885" t="s">
        <v>16249</v>
      </c>
      <c r="AC1885" t="s">
        <v>69</v>
      </c>
      <c r="AD1885" t="s">
        <v>16250</v>
      </c>
      <c r="AE1885" t="s">
        <v>16251</v>
      </c>
      <c r="AF1885" t="s">
        <v>69</v>
      </c>
      <c r="AG1885" t="s">
        <v>69</v>
      </c>
      <c r="AH1885" t="s">
        <v>16252</v>
      </c>
      <c r="AI1885" t="s">
        <v>16253</v>
      </c>
      <c r="AJ1885" t="s">
        <v>16254</v>
      </c>
      <c r="AK1885" t="s">
        <v>69</v>
      </c>
      <c r="AL1885">
        <v>27</v>
      </c>
      <c r="AM1885">
        <v>11</v>
      </c>
      <c r="AN1885">
        <v>12</v>
      </c>
      <c r="AO1885">
        <v>6</v>
      </c>
      <c r="AP1885">
        <v>21</v>
      </c>
      <c r="AQ1885" t="s">
        <v>16255</v>
      </c>
      <c r="AR1885" t="s">
        <v>16256</v>
      </c>
      <c r="AS1885" t="s">
        <v>16257</v>
      </c>
      <c r="AT1885" t="s">
        <v>4420</v>
      </c>
      <c r="AU1885" t="s">
        <v>4421</v>
      </c>
      <c r="AV1885" t="s">
        <v>69</v>
      </c>
      <c r="AW1885" t="s">
        <v>16258</v>
      </c>
      <c r="AX1885" t="s">
        <v>16259</v>
      </c>
      <c r="AY1885" t="s">
        <v>373</v>
      </c>
      <c r="AZ1885">
        <v>2020</v>
      </c>
      <c r="BA1885">
        <v>20</v>
      </c>
      <c r="BB1885">
        <v>1</v>
      </c>
      <c r="BC1885" t="s">
        <v>69</v>
      </c>
      <c r="BD1885" t="s">
        <v>69</v>
      </c>
      <c r="BE1885" t="s">
        <v>69</v>
      </c>
      <c r="BF1885" t="s">
        <v>69</v>
      </c>
      <c r="BG1885">
        <v>21</v>
      </c>
      <c r="BH1885">
        <v>30</v>
      </c>
      <c r="BI1885" t="s">
        <v>69</v>
      </c>
      <c r="BJ1885" t="s">
        <v>4422</v>
      </c>
      <c r="BK1885" t="str">
        <f>HYPERLINK("http://dx.doi.org/10.1016/j.ecohyd.2019.02.006","http://dx.doi.org/10.1016/j.ecohyd.2019.02.006")</f>
        <v>http://dx.doi.org/10.1016/j.ecohyd.2019.02.006</v>
      </c>
      <c r="BL1885" t="s">
        <v>69</v>
      </c>
      <c r="BM1885" t="s">
        <v>69</v>
      </c>
      <c r="BN1885">
        <v>10</v>
      </c>
      <c r="BO1885" t="s">
        <v>16260</v>
      </c>
      <c r="BP1885" t="s">
        <v>8548</v>
      </c>
      <c r="BQ1885" t="s">
        <v>11438</v>
      </c>
      <c r="BR1885" t="s">
        <v>16261</v>
      </c>
      <c r="BS1885" t="s">
        <v>4423</v>
      </c>
      <c r="BT1885" t="s">
        <v>69</v>
      </c>
      <c r="BU1885" t="s">
        <v>69</v>
      </c>
      <c r="BV1885" t="s">
        <v>69</v>
      </c>
      <c r="BW1885" t="s">
        <v>69</v>
      </c>
      <c r="BX1885" t="s">
        <v>8526</v>
      </c>
      <c r="BY1885" t="str">
        <f>HYPERLINK("https%3A%2F%2Fwww.webofscience.com%2Fwos%2Fwoscc%2Ffull-record%2FWOS:000514187600003","View Full Record in Web of Science")</f>
        <v>View Full Record in Web of Science</v>
      </c>
    </row>
    <row r="1886" spans="1:77" ht="12.5" x14ac:dyDescent="0.25">
      <c r="A1886" t="s">
        <v>8495</v>
      </c>
      <c r="B1886" s="7" t="s">
        <v>32933</v>
      </c>
      <c r="C1886" s="7"/>
      <c r="D1886" s="7"/>
      <c r="E1886" s="7"/>
      <c r="F1886" t="s">
        <v>67</v>
      </c>
      <c r="G1886" t="s">
        <v>4672</v>
      </c>
      <c r="H1886" t="s">
        <v>69</v>
      </c>
      <c r="I1886" t="s">
        <v>69</v>
      </c>
      <c r="J1886" t="s">
        <v>69</v>
      </c>
      <c r="K1886" t="s">
        <v>4673</v>
      </c>
      <c r="L1886" t="s">
        <v>69</v>
      </c>
      <c r="M1886" t="s">
        <v>69</v>
      </c>
      <c r="N1886" t="s">
        <v>4674</v>
      </c>
      <c r="O1886" t="s">
        <v>1414</v>
      </c>
      <c r="P1886" t="s">
        <v>69</v>
      </c>
      <c r="Q1886" t="s">
        <v>69</v>
      </c>
      <c r="R1886" t="s">
        <v>10071</v>
      </c>
      <c r="S1886" t="s">
        <v>8506</v>
      </c>
      <c r="T1886" t="s">
        <v>69</v>
      </c>
      <c r="U1886" t="s">
        <v>69</v>
      </c>
      <c r="V1886" t="s">
        <v>69</v>
      </c>
      <c r="W1886" t="s">
        <v>69</v>
      </c>
      <c r="X1886" t="s">
        <v>69</v>
      </c>
      <c r="Y1886" t="s">
        <v>19145</v>
      </c>
      <c r="Z1886" t="s">
        <v>19146</v>
      </c>
      <c r="AA1886" t="s">
        <v>4675</v>
      </c>
      <c r="AB1886" t="s">
        <v>19147</v>
      </c>
      <c r="AC1886" t="s">
        <v>69</v>
      </c>
      <c r="AD1886" t="s">
        <v>19148</v>
      </c>
      <c r="AE1886" t="s">
        <v>19149</v>
      </c>
      <c r="AF1886" t="s">
        <v>19150</v>
      </c>
      <c r="AG1886" t="s">
        <v>69</v>
      </c>
      <c r="AH1886" t="s">
        <v>69</v>
      </c>
      <c r="AI1886" t="s">
        <v>69</v>
      </c>
      <c r="AJ1886" t="s">
        <v>69</v>
      </c>
      <c r="AK1886" t="s">
        <v>69</v>
      </c>
      <c r="AL1886">
        <v>52</v>
      </c>
      <c r="AM1886">
        <v>1</v>
      </c>
      <c r="AN1886">
        <v>4</v>
      </c>
      <c r="AO1886">
        <v>1</v>
      </c>
      <c r="AP1886">
        <v>10</v>
      </c>
      <c r="AQ1886" t="s">
        <v>19151</v>
      </c>
      <c r="AR1886" t="s">
        <v>19152</v>
      </c>
      <c r="AS1886" t="s">
        <v>19153</v>
      </c>
      <c r="AT1886" t="s">
        <v>1416</v>
      </c>
      <c r="AU1886" t="s">
        <v>69</v>
      </c>
      <c r="AV1886" t="s">
        <v>69</v>
      </c>
      <c r="AW1886" t="s">
        <v>19154</v>
      </c>
      <c r="AX1886" t="s">
        <v>19155</v>
      </c>
      <c r="AY1886" t="s">
        <v>191</v>
      </c>
      <c r="AZ1886">
        <v>2018</v>
      </c>
      <c r="BA1886" t="s">
        <v>69</v>
      </c>
      <c r="BB1886">
        <v>70</v>
      </c>
      <c r="BC1886" t="s">
        <v>69</v>
      </c>
      <c r="BD1886" t="s">
        <v>69</v>
      </c>
      <c r="BE1886" t="s">
        <v>69</v>
      </c>
      <c r="BF1886" t="s">
        <v>69</v>
      </c>
      <c r="BG1886">
        <v>199</v>
      </c>
      <c r="BH1886">
        <v>234</v>
      </c>
      <c r="BI1886" t="s">
        <v>69</v>
      </c>
      <c r="BJ1886" t="s">
        <v>69</v>
      </c>
      <c r="BK1886" t="s">
        <v>69</v>
      </c>
      <c r="BL1886" t="s">
        <v>69</v>
      </c>
      <c r="BM1886" t="s">
        <v>69</v>
      </c>
      <c r="BN1886">
        <v>36</v>
      </c>
      <c r="BO1886" t="s">
        <v>10439</v>
      </c>
      <c r="BP1886" t="s">
        <v>8661</v>
      </c>
      <c r="BQ1886" t="s">
        <v>10440</v>
      </c>
      <c r="BR1886" t="s">
        <v>19156</v>
      </c>
      <c r="BS1886" t="s">
        <v>4676</v>
      </c>
      <c r="BT1886" t="s">
        <v>69</v>
      </c>
      <c r="BU1886" t="s">
        <v>69</v>
      </c>
      <c r="BV1886" t="s">
        <v>69</v>
      </c>
      <c r="BW1886" t="s">
        <v>69</v>
      </c>
      <c r="BX1886" t="s">
        <v>8526</v>
      </c>
      <c r="BY1886" t="str">
        <f>HYPERLINK("https%3A%2F%2Fwww.webofscience.com%2Fwos%2Fwoscc%2Ffull-record%2FWOS:000455562200007","View Full Record in Web of Science")</f>
        <v>View Full Record in Web of Science</v>
      </c>
    </row>
    <row r="1887" spans="1:77" ht="12.5" x14ac:dyDescent="0.25">
      <c r="A1887" t="s">
        <v>8495</v>
      </c>
      <c r="B1887" s="7" t="s">
        <v>32933</v>
      </c>
      <c r="C1887" s="7"/>
      <c r="D1887" s="7"/>
      <c r="E1887" s="7"/>
      <c r="F1887" t="s">
        <v>67</v>
      </c>
      <c r="G1887" t="s">
        <v>7415</v>
      </c>
      <c r="H1887" t="s">
        <v>69</v>
      </c>
      <c r="I1887" t="s">
        <v>69</v>
      </c>
      <c r="J1887" t="s">
        <v>69</v>
      </c>
      <c r="K1887" t="s">
        <v>7416</v>
      </c>
      <c r="L1887" t="s">
        <v>69</v>
      </c>
      <c r="M1887" t="s">
        <v>69</v>
      </c>
      <c r="N1887" t="s">
        <v>7417</v>
      </c>
      <c r="O1887" t="s">
        <v>473</v>
      </c>
      <c r="P1887" t="s">
        <v>69</v>
      </c>
      <c r="Q1887" t="s">
        <v>69</v>
      </c>
      <c r="R1887" t="s">
        <v>8505</v>
      </c>
      <c r="S1887" t="s">
        <v>8506</v>
      </c>
      <c r="T1887" t="s">
        <v>69</v>
      </c>
      <c r="U1887" t="s">
        <v>69</v>
      </c>
      <c r="V1887" t="s">
        <v>69</v>
      </c>
      <c r="W1887" t="s">
        <v>69</v>
      </c>
      <c r="X1887" t="s">
        <v>69</v>
      </c>
      <c r="Y1887" t="s">
        <v>25028</v>
      </c>
      <c r="Z1887" t="s">
        <v>25029</v>
      </c>
      <c r="AA1887" t="s">
        <v>7418</v>
      </c>
      <c r="AB1887" t="s">
        <v>25030</v>
      </c>
      <c r="AC1887" t="s">
        <v>69</v>
      </c>
      <c r="AD1887" t="s">
        <v>25031</v>
      </c>
      <c r="AE1887" t="s">
        <v>25032</v>
      </c>
      <c r="AF1887" t="s">
        <v>25033</v>
      </c>
      <c r="AG1887" t="s">
        <v>25034</v>
      </c>
      <c r="AH1887" t="s">
        <v>25035</v>
      </c>
      <c r="AI1887" t="s">
        <v>11825</v>
      </c>
      <c r="AJ1887" t="s">
        <v>25036</v>
      </c>
      <c r="AK1887" t="s">
        <v>69</v>
      </c>
      <c r="AL1887">
        <v>30</v>
      </c>
      <c r="AM1887">
        <v>22</v>
      </c>
      <c r="AN1887">
        <v>22</v>
      </c>
      <c r="AO1887">
        <v>1</v>
      </c>
      <c r="AP1887">
        <v>55</v>
      </c>
      <c r="AQ1887" t="s">
        <v>18272</v>
      </c>
      <c r="AR1887" t="s">
        <v>8763</v>
      </c>
      <c r="AS1887" t="s">
        <v>18273</v>
      </c>
      <c r="AT1887" t="s">
        <v>475</v>
      </c>
      <c r="AU1887" t="s">
        <v>476</v>
      </c>
      <c r="AV1887" t="s">
        <v>69</v>
      </c>
      <c r="AW1887" t="s">
        <v>18274</v>
      </c>
      <c r="AX1887" t="s">
        <v>18275</v>
      </c>
      <c r="AY1887" t="s">
        <v>7419</v>
      </c>
      <c r="AZ1887">
        <v>2013</v>
      </c>
      <c r="BA1887">
        <v>119</v>
      </c>
      <c r="BB1887" t="s">
        <v>69</v>
      </c>
      <c r="BC1887" t="s">
        <v>69</v>
      </c>
      <c r="BD1887" t="s">
        <v>69</v>
      </c>
      <c r="BE1887" t="s">
        <v>69</v>
      </c>
      <c r="BF1887" t="s">
        <v>69</v>
      </c>
      <c r="BG1887">
        <v>76</v>
      </c>
      <c r="BH1887">
        <v>84</v>
      </c>
      <c r="BI1887" t="s">
        <v>69</v>
      </c>
      <c r="BJ1887" t="s">
        <v>7420</v>
      </c>
      <c r="BK1887" t="str">
        <f>HYPERLINK("http://dx.doi.org/10.1016/j.jenvman.2013.01.027","http://dx.doi.org/10.1016/j.jenvman.2013.01.027")</f>
        <v>http://dx.doi.org/10.1016/j.jenvman.2013.01.027</v>
      </c>
      <c r="BL1887" t="s">
        <v>69</v>
      </c>
      <c r="BM1887" t="s">
        <v>69</v>
      </c>
      <c r="BN1887">
        <v>9</v>
      </c>
      <c r="BO1887" t="s">
        <v>8717</v>
      </c>
      <c r="BP1887" t="s">
        <v>8548</v>
      </c>
      <c r="BQ1887" t="s">
        <v>8662</v>
      </c>
      <c r="BR1887" t="s">
        <v>25037</v>
      </c>
      <c r="BS1887" t="s">
        <v>7421</v>
      </c>
      <c r="BT1887">
        <v>23454416</v>
      </c>
      <c r="BU1887" t="s">
        <v>10423</v>
      </c>
      <c r="BV1887" t="s">
        <v>69</v>
      </c>
      <c r="BW1887" t="s">
        <v>69</v>
      </c>
      <c r="BX1887" t="s">
        <v>8526</v>
      </c>
      <c r="BY1887" t="str">
        <f>HYPERLINK("https%3A%2F%2Fwww.webofscience.com%2Fwos%2Fwoscc%2Ffull-record%2FWOS:000317796600009","View Full Record in Web of Science")</f>
        <v>View Full Record in Web of Science</v>
      </c>
    </row>
    <row r="1888" spans="1:77" ht="12.5" x14ac:dyDescent="0.25">
      <c r="A1888" t="s">
        <v>8495</v>
      </c>
      <c r="B1888" s="22" t="s">
        <v>32931</v>
      </c>
      <c r="C1888" s="7"/>
      <c r="D1888" s="7"/>
      <c r="E1888" s="7"/>
      <c r="F1888" t="s">
        <v>67</v>
      </c>
      <c r="G1888" t="s">
        <v>13205</v>
      </c>
      <c r="H1888" t="s">
        <v>69</v>
      </c>
      <c r="I1888" t="s">
        <v>69</v>
      </c>
      <c r="J1888" t="s">
        <v>69</v>
      </c>
      <c r="K1888" t="s">
        <v>13206</v>
      </c>
      <c r="L1888" t="s">
        <v>69</v>
      </c>
      <c r="M1888" t="s">
        <v>69</v>
      </c>
      <c r="N1888" t="s">
        <v>13207</v>
      </c>
      <c r="O1888" t="s">
        <v>4399</v>
      </c>
      <c r="P1888" t="s">
        <v>69</v>
      </c>
      <c r="Q1888" t="s">
        <v>69</v>
      </c>
      <c r="R1888" t="s">
        <v>8505</v>
      </c>
      <c r="S1888" t="s">
        <v>8506</v>
      </c>
      <c r="T1888" t="s">
        <v>69</v>
      </c>
      <c r="U1888" t="s">
        <v>69</v>
      </c>
      <c r="V1888" t="s">
        <v>69</v>
      </c>
      <c r="W1888" t="s">
        <v>69</v>
      </c>
      <c r="X1888" t="s">
        <v>69</v>
      </c>
      <c r="Y1888" t="s">
        <v>13208</v>
      </c>
      <c r="Z1888" t="s">
        <v>13209</v>
      </c>
      <c r="AA1888" t="s">
        <v>13210</v>
      </c>
      <c r="AB1888" t="s">
        <v>13211</v>
      </c>
      <c r="AC1888" t="s">
        <v>69</v>
      </c>
      <c r="AD1888" t="s">
        <v>13212</v>
      </c>
      <c r="AE1888" t="s">
        <v>13213</v>
      </c>
      <c r="AF1888" t="s">
        <v>69</v>
      </c>
      <c r="AG1888" t="s">
        <v>69</v>
      </c>
      <c r="AH1888" t="s">
        <v>13214</v>
      </c>
      <c r="AI1888" t="s">
        <v>13215</v>
      </c>
      <c r="AJ1888" t="s">
        <v>13216</v>
      </c>
      <c r="AK1888" t="s">
        <v>69</v>
      </c>
      <c r="AL1888">
        <v>86</v>
      </c>
      <c r="AM1888">
        <v>2</v>
      </c>
      <c r="AN1888">
        <v>2</v>
      </c>
      <c r="AO1888">
        <v>1</v>
      </c>
      <c r="AP1888">
        <v>1</v>
      </c>
      <c r="AQ1888" t="s">
        <v>13217</v>
      </c>
      <c r="AR1888" t="s">
        <v>13218</v>
      </c>
      <c r="AS1888" t="s">
        <v>13219</v>
      </c>
      <c r="AT1888" t="s">
        <v>4401</v>
      </c>
      <c r="AU1888" t="s">
        <v>69</v>
      </c>
      <c r="AV1888" t="s">
        <v>69</v>
      </c>
      <c r="AW1888" t="s">
        <v>13220</v>
      </c>
      <c r="AX1888" t="s">
        <v>13221</v>
      </c>
      <c r="AY1888" t="s">
        <v>191</v>
      </c>
      <c r="AZ1888">
        <v>2021</v>
      </c>
      <c r="BA1888">
        <v>14</v>
      </c>
      <c r="BB1888">
        <v>1</v>
      </c>
      <c r="BC1888" t="s">
        <v>69</v>
      </c>
      <c r="BD1888" t="s">
        <v>69</v>
      </c>
      <c r="BE1888" t="s">
        <v>114</v>
      </c>
      <c r="BF1888" t="s">
        <v>69</v>
      </c>
      <c r="BG1888">
        <v>97</v>
      </c>
      <c r="BH1888">
        <v>116</v>
      </c>
      <c r="BI1888" t="s">
        <v>69</v>
      </c>
      <c r="BJ1888" t="s">
        <v>69</v>
      </c>
      <c r="BK1888" t="s">
        <v>69</v>
      </c>
      <c r="BL1888" t="s">
        <v>69</v>
      </c>
      <c r="BM1888" t="s">
        <v>69</v>
      </c>
      <c r="BN1888">
        <v>20</v>
      </c>
      <c r="BO1888" t="s">
        <v>13222</v>
      </c>
      <c r="BP1888" t="s">
        <v>8523</v>
      </c>
      <c r="BQ1888" t="s">
        <v>11438</v>
      </c>
      <c r="BR1888" t="s">
        <v>13223</v>
      </c>
      <c r="BS1888" t="s">
        <v>13224</v>
      </c>
      <c r="BT1888" t="s">
        <v>69</v>
      </c>
      <c r="BU1888" t="s">
        <v>69</v>
      </c>
      <c r="BV1888" t="s">
        <v>69</v>
      </c>
      <c r="BW1888" t="s">
        <v>69</v>
      </c>
      <c r="BX1888" t="s">
        <v>8526</v>
      </c>
      <c r="BY1888" t="str">
        <f>HYPERLINK("https%3A%2F%2Fwww.webofscience.com%2Fwos%2Fwoscc%2Ffull-record%2FWOS:000616338400007","View Full Record in Web of Science")</f>
        <v>View Full Record in Web of Science</v>
      </c>
    </row>
    <row r="1889" spans="1:77" ht="12.5" x14ac:dyDescent="0.25">
      <c r="A1889" t="s">
        <v>8495</v>
      </c>
      <c r="B1889" s="22" t="s">
        <v>32931</v>
      </c>
      <c r="C1889" s="7"/>
      <c r="D1889" s="7"/>
      <c r="E1889" s="7"/>
      <c r="F1889" t="s">
        <v>67</v>
      </c>
      <c r="G1889" t="s">
        <v>32858</v>
      </c>
      <c r="H1889" t="s">
        <v>69</v>
      </c>
      <c r="I1889" t="s">
        <v>69</v>
      </c>
      <c r="J1889" t="s">
        <v>69</v>
      </c>
      <c r="K1889" t="s">
        <v>32858</v>
      </c>
      <c r="L1889" t="s">
        <v>69</v>
      </c>
      <c r="M1889" t="s">
        <v>69</v>
      </c>
      <c r="N1889" t="s">
        <v>32859</v>
      </c>
      <c r="O1889" t="s">
        <v>4475</v>
      </c>
      <c r="P1889" t="s">
        <v>69</v>
      </c>
      <c r="Q1889" t="s">
        <v>69</v>
      </c>
      <c r="R1889" t="s">
        <v>8505</v>
      </c>
      <c r="S1889" t="s">
        <v>15797</v>
      </c>
      <c r="T1889" t="s">
        <v>32860</v>
      </c>
      <c r="U1889" t="s">
        <v>32861</v>
      </c>
      <c r="V1889" t="s">
        <v>32862</v>
      </c>
      <c r="W1889" t="s">
        <v>32863</v>
      </c>
      <c r="X1889" t="s">
        <v>32864</v>
      </c>
      <c r="Y1889" t="s">
        <v>32865</v>
      </c>
      <c r="Z1889" t="s">
        <v>69</v>
      </c>
      <c r="AA1889" t="s">
        <v>32866</v>
      </c>
      <c r="AB1889" t="s">
        <v>69</v>
      </c>
      <c r="AC1889" t="s">
        <v>69</v>
      </c>
      <c r="AD1889" t="s">
        <v>69</v>
      </c>
      <c r="AE1889" t="s">
        <v>69</v>
      </c>
      <c r="AF1889" t="s">
        <v>69</v>
      </c>
      <c r="AG1889" t="s">
        <v>69</v>
      </c>
      <c r="AH1889" t="s">
        <v>69</v>
      </c>
      <c r="AI1889" t="s">
        <v>69</v>
      </c>
      <c r="AJ1889" t="s">
        <v>69</v>
      </c>
      <c r="AK1889" t="s">
        <v>69</v>
      </c>
      <c r="AL1889">
        <v>7</v>
      </c>
      <c r="AM1889">
        <v>8</v>
      </c>
      <c r="AN1889">
        <v>8</v>
      </c>
      <c r="AO1889">
        <v>1</v>
      </c>
      <c r="AP1889">
        <v>2</v>
      </c>
      <c r="AQ1889" t="s">
        <v>31715</v>
      </c>
      <c r="AR1889" t="s">
        <v>9048</v>
      </c>
      <c r="AS1889" t="s">
        <v>31716</v>
      </c>
      <c r="AT1889" t="s">
        <v>4482</v>
      </c>
      <c r="AU1889" t="s">
        <v>69</v>
      </c>
      <c r="AV1889" t="s">
        <v>69</v>
      </c>
      <c r="AW1889" t="s">
        <v>4475</v>
      </c>
      <c r="AX1889" t="s">
        <v>30225</v>
      </c>
      <c r="AY1889" t="s">
        <v>8001</v>
      </c>
      <c r="AZ1889">
        <v>1992</v>
      </c>
      <c r="BA1889">
        <v>233</v>
      </c>
      <c r="BB1889" t="s">
        <v>4219</v>
      </c>
      <c r="BC1889" t="s">
        <v>69</v>
      </c>
      <c r="BD1889" t="s">
        <v>69</v>
      </c>
      <c r="BE1889" t="s">
        <v>69</v>
      </c>
      <c r="BF1889" t="s">
        <v>69</v>
      </c>
      <c r="BG1889">
        <v>161</v>
      </c>
      <c r="BH1889">
        <v>163</v>
      </c>
      <c r="BI1889" t="s">
        <v>69</v>
      </c>
      <c r="BJ1889" t="s">
        <v>32867</v>
      </c>
      <c r="BK1889" t="str">
        <f>HYPERLINK("http://dx.doi.org/10.1007/BF00016103","http://dx.doi.org/10.1007/BF00016103")</f>
        <v>http://dx.doi.org/10.1007/BF00016103</v>
      </c>
      <c r="BL1889" t="s">
        <v>69</v>
      </c>
      <c r="BM1889" t="s">
        <v>69</v>
      </c>
      <c r="BN1889">
        <v>3</v>
      </c>
      <c r="BO1889" t="s">
        <v>27778</v>
      </c>
      <c r="BP1889" t="s">
        <v>29550</v>
      </c>
      <c r="BQ1889" t="s">
        <v>27778</v>
      </c>
      <c r="BR1889" t="s">
        <v>32868</v>
      </c>
      <c r="BS1889" t="s">
        <v>32869</v>
      </c>
      <c r="BT1889" t="s">
        <v>69</v>
      </c>
      <c r="BU1889" t="s">
        <v>69</v>
      </c>
      <c r="BV1889" t="s">
        <v>69</v>
      </c>
      <c r="BW1889" t="s">
        <v>69</v>
      </c>
      <c r="BX1889" t="s">
        <v>8526</v>
      </c>
      <c r="BY1889" t="str">
        <f>HYPERLINK("https%3A%2F%2Fwww.webofscience.com%2Fwos%2Fwoscc%2Ffull-record%2FWOS:A1992JD64800015","View Full Record in Web of Science")</f>
        <v>View Full Record in Web of Science</v>
      </c>
    </row>
    <row r="1890" spans="1:77" x14ac:dyDescent="0.3">
      <c r="A1890" t="s">
        <v>8495</v>
      </c>
      <c r="B1890" s="9" t="s">
        <v>32954</v>
      </c>
      <c r="E1890" s="9" t="s">
        <v>33053</v>
      </c>
      <c r="F1890" t="s">
        <v>67</v>
      </c>
      <c r="G1890" t="s">
        <v>30240</v>
      </c>
      <c r="H1890" t="s">
        <v>69</v>
      </c>
      <c r="I1890" t="s">
        <v>69</v>
      </c>
      <c r="J1890" t="s">
        <v>69</v>
      </c>
      <c r="K1890" t="s">
        <v>30241</v>
      </c>
      <c r="L1890" t="s">
        <v>69</v>
      </c>
      <c r="M1890" t="s">
        <v>69</v>
      </c>
      <c r="N1890" t="s">
        <v>30242</v>
      </c>
      <c r="O1890" t="s">
        <v>2763</v>
      </c>
      <c r="P1890" t="s">
        <v>69</v>
      </c>
      <c r="Q1890" t="s">
        <v>69</v>
      </c>
      <c r="R1890" t="s">
        <v>8505</v>
      </c>
      <c r="S1890" t="s">
        <v>8506</v>
      </c>
      <c r="T1890" t="s">
        <v>69</v>
      </c>
      <c r="U1890" t="s">
        <v>69</v>
      </c>
      <c r="V1890" t="s">
        <v>69</v>
      </c>
      <c r="W1890" t="s">
        <v>69</v>
      </c>
      <c r="X1890" t="s">
        <v>69</v>
      </c>
      <c r="Y1890" t="s">
        <v>69</v>
      </c>
      <c r="Z1890" t="s">
        <v>69</v>
      </c>
      <c r="AA1890" t="s">
        <v>30243</v>
      </c>
      <c r="AB1890" t="s">
        <v>30244</v>
      </c>
      <c r="AC1890" t="s">
        <v>69</v>
      </c>
      <c r="AD1890" t="s">
        <v>30245</v>
      </c>
      <c r="AE1890" t="s">
        <v>30246</v>
      </c>
      <c r="AF1890" t="s">
        <v>69</v>
      </c>
      <c r="AG1890" t="s">
        <v>69</v>
      </c>
      <c r="AH1890" t="s">
        <v>69</v>
      </c>
      <c r="AI1890" t="s">
        <v>69</v>
      </c>
      <c r="AJ1890" t="s">
        <v>69</v>
      </c>
      <c r="AK1890" t="s">
        <v>69</v>
      </c>
      <c r="AL1890">
        <v>18</v>
      </c>
      <c r="AM1890">
        <v>1</v>
      </c>
      <c r="AN1890">
        <v>1</v>
      </c>
      <c r="AO1890">
        <v>0</v>
      </c>
      <c r="AP1890">
        <v>0</v>
      </c>
      <c r="AQ1890" t="s">
        <v>9978</v>
      </c>
      <c r="AR1890" t="s">
        <v>9979</v>
      </c>
      <c r="AS1890" t="s">
        <v>9980</v>
      </c>
      <c r="AT1890" t="s">
        <v>2765</v>
      </c>
      <c r="AU1890" t="s">
        <v>2766</v>
      </c>
      <c r="AV1890" t="s">
        <v>69</v>
      </c>
      <c r="AW1890" t="s">
        <v>21136</v>
      </c>
      <c r="AX1890" t="s">
        <v>21137</v>
      </c>
      <c r="AY1890" t="s">
        <v>155</v>
      </c>
      <c r="AZ1890">
        <v>2006</v>
      </c>
      <c r="BA1890">
        <v>8</v>
      </c>
      <c r="BB1890">
        <v>2</v>
      </c>
      <c r="BC1890" t="s">
        <v>69</v>
      </c>
      <c r="BD1890" t="s">
        <v>69</v>
      </c>
      <c r="BE1890" t="s">
        <v>69</v>
      </c>
      <c r="BF1890" t="s">
        <v>69</v>
      </c>
      <c r="BG1890">
        <v>125</v>
      </c>
      <c r="BH1890">
        <v>134</v>
      </c>
      <c r="BI1890" t="s">
        <v>69</v>
      </c>
      <c r="BJ1890" t="s">
        <v>30247</v>
      </c>
      <c r="BK1890" t="str">
        <f>HYPERLINK("http://dx.doi.org/10.1017/S1466046606060212","http://dx.doi.org/10.1017/S1466046606060212")</f>
        <v>http://dx.doi.org/10.1017/S1466046606060212</v>
      </c>
      <c r="BL1890" t="s">
        <v>69</v>
      </c>
      <c r="BM1890" t="s">
        <v>69</v>
      </c>
      <c r="BN1890">
        <v>10</v>
      </c>
      <c r="BO1890" t="s">
        <v>8717</v>
      </c>
      <c r="BP1890" t="s">
        <v>8573</v>
      </c>
      <c r="BQ1890" t="s">
        <v>8662</v>
      </c>
      <c r="BR1890" t="s">
        <v>30248</v>
      </c>
      <c r="BS1890" t="s">
        <v>30249</v>
      </c>
      <c r="BT1890" t="s">
        <v>69</v>
      </c>
      <c r="BU1890" t="s">
        <v>69</v>
      </c>
      <c r="BV1890" t="s">
        <v>69</v>
      </c>
      <c r="BW1890" t="s">
        <v>69</v>
      </c>
      <c r="BX1890" t="s">
        <v>8526</v>
      </c>
      <c r="BY1890" t="str">
        <f>HYPERLINK("https%3A%2F%2Fwww.webofscience.com%2Fwos%2Fwoscc%2Ffull-record%2FWOS:000212146000008","View Full Record in Web of Science")</f>
        <v>View Full Record in Web of Science</v>
      </c>
    </row>
    <row r="1891" spans="1:77" ht="12.5" x14ac:dyDescent="0.25">
      <c r="A1891" t="s">
        <v>8495</v>
      </c>
      <c r="B1891" s="7" t="s">
        <v>32933</v>
      </c>
      <c r="C1891" s="7"/>
      <c r="D1891" s="7"/>
      <c r="E1891" s="7"/>
      <c r="F1891" t="s">
        <v>67</v>
      </c>
      <c r="G1891" t="s">
        <v>3727</v>
      </c>
      <c r="H1891" t="s">
        <v>69</v>
      </c>
      <c r="I1891" t="s">
        <v>69</v>
      </c>
      <c r="J1891" t="s">
        <v>69</v>
      </c>
      <c r="K1891" t="s">
        <v>3728</v>
      </c>
      <c r="L1891" t="s">
        <v>69</v>
      </c>
      <c r="M1891" t="s">
        <v>69</v>
      </c>
      <c r="N1891" t="s">
        <v>3729</v>
      </c>
      <c r="O1891" t="s">
        <v>3730</v>
      </c>
      <c r="P1891" t="s">
        <v>69</v>
      </c>
      <c r="Q1891" t="s">
        <v>69</v>
      </c>
      <c r="R1891" t="s">
        <v>8505</v>
      </c>
      <c r="S1891" t="s">
        <v>8506</v>
      </c>
      <c r="T1891" t="s">
        <v>69</v>
      </c>
      <c r="U1891" t="s">
        <v>69</v>
      </c>
      <c r="V1891" t="s">
        <v>69</v>
      </c>
      <c r="W1891" t="s">
        <v>69</v>
      </c>
      <c r="X1891" t="s">
        <v>69</v>
      </c>
      <c r="Y1891" t="s">
        <v>29724</v>
      </c>
      <c r="Z1891" t="s">
        <v>69</v>
      </c>
      <c r="AA1891" t="s">
        <v>3731</v>
      </c>
      <c r="AB1891" t="s">
        <v>69</v>
      </c>
      <c r="AC1891" t="s">
        <v>69</v>
      </c>
      <c r="AD1891" t="s">
        <v>29725</v>
      </c>
      <c r="AE1891" t="s">
        <v>29726</v>
      </c>
      <c r="AF1891" t="s">
        <v>69</v>
      </c>
      <c r="AG1891" t="s">
        <v>69</v>
      </c>
      <c r="AH1891" t="s">
        <v>69</v>
      </c>
      <c r="AI1891" t="s">
        <v>69</v>
      </c>
      <c r="AJ1891" t="s">
        <v>69</v>
      </c>
      <c r="AK1891" t="s">
        <v>69</v>
      </c>
      <c r="AL1891">
        <v>0</v>
      </c>
      <c r="AM1891">
        <v>12</v>
      </c>
      <c r="AN1891">
        <v>12</v>
      </c>
      <c r="AO1891">
        <v>0</v>
      </c>
      <c r="AP1891">
        <v>10</v>
      </c>
      <c r="AQ1891" t="s">
        <v>29727</v>
      </c>
      <c r="AR1891" t="s">
        <v>10141</v>
      </c>
      <c r="AS1891" t="s">
        <v>29728</v>
      </c>
      <c r="AT1891" t="s">
        <v>3732</v>
      </c>
      <c r="AU1891" t="s">
        <v>69</v>
      </c>
      <c r="AV1891" t="s">
        <v>69</v>
      </c>
      <c r="AW1891" t="s">
        <v>29729</v>
      </c>
      <c r="AX1891" t="s">
        <v>29730</v>
      </c>
      <c r="AY1891" t="s">
        <v>1375</v>
      </c>
      <c r="AZ1891">
        <v>2007</v>
      </c>
      <c r="BA1891">
        <v>83</v>
      </c>
      <c r="BB1891">
        <v>3</v>
      </c>
      <c r="BC1891" t="s">
        <v>69</v>
      </c>
      <c r="BD1891" t="s">
        <v>69</v>
      </c>
      <c r="BE1891" t="s">
        <v>69</v>
      </c>
      <c r="BF1891" t="s">
        <v>69</v>
      </c>
      <c r="BG1891">
        <v>362</v>
      </c>
      <c r="BH1891">
        <v>366</v>
      </c>
      <c r="BI1891" t="s">
        <v>69</v>
      </c>
      <c r="BJ1891" t="s">
        <v>3733</v>
      </c>
      <c r="BK1891" t="str">
        <f>HYPERLINK("http://dx.doi.org/10.5558/tfc83362-3","http://dx.doi.org/10.5558/tfc83362-3")</f>
        <v>http://dx.doi.org/10.5558/tfc83362-3</v>
      </c>
      <c r="BL1891" t="s">
        <v>69</v>
      </c>
      <c r="BM1891" t="s">
        <v>69</v>
      </c>
      <c r="BN1891">
        <v>5</v>
      </c>
      <c r="BO1891" t="s">
        <v>8453</v>
      </c>
      <c r="BP1891" t="s">
        <v>8548</v>
      </c>
      <c r="BQ1891" t="s">
        <v>8453</v>
      </c>
      <c r="BR1891" t="s">
        <v>29731</v>
      </c>
      <c r="BS1891" t="s">
        <v>3734</v>
      </c>
      <c r="BT1891" t="s">
        <v>69</v>
      </c>
      <c r="BU1891" t="s">
        <v>9374</v>
      </c>
      <c r="BV1891" t="s">
        <v>69</v>
      </c>
      <c r="BW1891" t="s">
        <v>69</v>
      </c>
      <c r="BX1891" t="s">
        <v>8526</v>
      </c>
      <c r="BY1891" t="str">
        <f>HYPERLINK("https%3A%2F%2Fwww.webofscience.com%2Fwos%2Fwoscc%2Ffull-record%2FWOS:000247149800025","View Full Record in Web of Science")</f>
        <v>View Full Record in Web of Science</v>
      </c>
    </row>
    <row r="1892" spans="1:77" ht="12.5" x14ac:dyDescent="0.25">
      <c r="A1892" t="s">
        <v>8495</v>
      </c>
      <c r="B1892" s="22" t="s">
        <v>32931</v>
      </c>
      <c r="C1892" s="7"/>
      <c r="D1892" s="7"/>
      <c r="E1892" s="7"/>
      <c r="F1892" t="s">
        <v>67</v>
      </c>
      <c r="G1892" t="s">
        <v>12185</v>
      </c>
      <c r="H1892" t="s">
        <v>69</v>
      </c>
      <c r="I1892" t="s">
        <v>69</v>
      </c>
      <c r="J1892" t="s">
        <v>69</v>
      </c>
      <c r="K1892" t="s">
        <v>12186</v>
      </c>
      <c r="L1892" t="s">
        <v>69</v>
      </c>
      <c r="M1892" t="s">
        <v>69</v>
      </c>
      <c r="N1892" t="s">
        <v>12187</v>
      </c>
      <c r="O1892" t="s">
        <v>12188</v>
      </c>
      <c r="P1892" t="s">
        <v>69</v>
      </c>
      <c r="Q1892" t="s">
        <v>69</v>
      </c>
      <c r="R1892" t="s">
        <v>8505</v>
      </c>
      <c r="S1892" t="s">
        <v>8506</v>
      </c>
      <c r="T1892" t="s">
        <v>69</v>
      </c>
      <c r="U1892" t="s">
        <v>69</v>
      </c>
      <c r="V1892" t="s">
        <v>69</v>
      </c>
      <c r="W1892" t="s">
        <v>69</v>
      </c>
      <c r="X1892" t="s">
        <v>69</v>
      </c>
      <c r="Y1892" t="s">
        <v>12189</v>
      </c>
      <c r="Z1892" t="s">
        <v>12190</v>
      </c>
      <c r="AA1892" t="s">
        <v>12191</v>
      </c>
      <c r="AB1892" t="s">
        <v>12192</v>
      </c>
      <c r="AC1892" t="s">
        <v>69</v>
      </c>
      <c r="AD1892" t="s">
        <v>12193</v>
      </c>
      <c r="AE1892" t="s">
        <v>12194</v>
      </c>
      <c r="AF1892" t="s">
        <v>69</v>
      </c>
      <c r="AG1892" t="s">
        <v>69</v>
      </c>
      <c r="AH1892" t="s">
        <v>69</v>
      </c>
      <c r="AI1892" t="s">
        <v>69</v>
      </c>
      <c r="AJ1892" t="s">
        <v>69</v>
      </c>
      <c r="AK1892" t="s">
        <v>69</v>
      </c>
      <c r="AL1892">
        <v>40</v>
      </c>
      <c r="AM1892">
        <v>0</v>
      </c>
      <c r="AN1892">
        <v>0</v>
      </c>
      <c r="AO1892">
        <v>1</v>
      </c>
      <c r="AP1892">
        <v>3</v>
      </c>
      <c r="AQ1892" t="s">
        <v>8516</v>
      </c>
      <c r="AR1892" t="s">
        <v>8517</v>
      </c>
      <c r="AS1892" t="s">
        <v>8518</v>
      </c>
      <c r="AT1892" t="s">
        <v>12195</v>
      </c>
      <c r="AU1892" t="s">
        <v>12196</v>
      </c>
      <c r="AV1892" t="s">
        <v>69</v>
      </c>
      <c r="AW1892" t="s">
        <v>12197</v>
      </c>
      <c r="AX1892" t="s">
        <v>12198</v>
      </c>
      <c r="AY1892" t="s">
        <v>84</v>
      </c>
      <c r="AZ1892">
        <v>2021</v>
      </c>
      <c r="BA1892">
        <v>52</v>
      </c>
      <c r="BB1892" t="s">
        <v>69</v>
      </c>
      <c r="BC1892" t="s">
        <v>69</v>
      </c>
      <c r="BD1892" t="s">
        <v>69</v>
      </c>
      <c r="BE1892" t="s">
        <v>69</v>
      </c>
      <c r="BF1892" t="s">
        <v>69</v>
      </c>
      <c r="BG1892" t="s">
        <v>69</v>
      </c>
      <c r="BH1892" t="s">
        <v>69</v>
      </c>
      <c r="BI1892">
        <v>101000</v>
      </c>
      <c r="BJ1892" t="s">
        <v>12199</v>
      </c>
      <c r="BK1892" t="str">
        <f>HYPERLINK("http://dx.doi.org/10.1016/j.jeap.2021.101000","http://dx.doi.org/10.1016/j.jeap.2021.101000")</f>
        <v>http://dx.doi.org/10.1016/j.jeap.2021.101000</v>
      </c>
      <c r="BL1892" t="s">
        <v>69</v>
      </c>
      <c r="BM1892" t="s">
        <v>12111</v>
      </c>
      <c r="BN1892">
        <v>13</v>
      </c>
      <c r="BO1892" t="s">
        <v>12200</v>
      </c>
      <c r="BP1892" t="s">
        <v>12201</v>
      </c>
      <c r="BQ1892" t="s">
        <v>12202</v>
      </c>
      <c r="BR1892" t="s">
        <v>12203</v>
      </c>
      <c r="BS1892" t="s">
        <v>12204</v>
      </c>
      <c r="BT1892" t="s">
        <v>69</v>
      </c>
      <c r="BU1892" t="s">
        <v>69</v>
      </c>
      <c r="BV1892" t="s">
        <v>69</v>
      </c>
      <c r="BW1892" t="s">
        <v>69</v>
      </c>
      <c r="BX1892" t="s">
        <v>8526</v>
      </c>
      <c r="BY1892" t="str">
        <f>HYPERLINK("https%3A%2F%2Fwww.webofscience.com%2Fwos%2Fwoscc%2Ffull-record%2FWOS:000674429400013","View Full Record in Web of Science")</f>
        <v>View Full Record in Web of Science</v>
      </c>
    </row>
    <row r="1893" spans="1:77" ht="12.5" x14ac:dyDescent="0.25">
      <c r="A1893" t="s">
        <v>8495</v>
      </c>
      <c r="B1893" s="22" t="s">
        <v>32931</v>
      </c>
      <c r="C1893" s="7"/>
      <c r="D1893" s="7"/>
      <c r="E1893" s="7"/>
      <c r="F1893" t="s">
        <v>67</v>
      </c>
      <c r="G1893" t="s">
        <v>13957</v>
      </c>
      <c r="H1893" t="s">
        <v>69</v>
      </c>
      <c r="I1893" t="s">
        <v>69</v>
      </c>
      <c r="J1893" t="s">
        <v>69</v>
      </c>
      <c r="K1893" t="s">
        <v>13958</v>
      </c>
      <c r="L1893" t="s">
        <v>69</v>
      </c>
      <c r="M1893" t="s">
        <v>69</v>
      </c>
      <c r="N1893" t="s">
        <v>13959</v>
      </c>
      <c r="O1893" t="s">
        <v>9416</v>
      </c>
      <c r="P1893" t="s">
        <v>69</v>
      </c>
      <c r="Q1893" t="s">
        <v>69</v>
      </c>
      <c r="R1893" t="s">
        <v>8505</v>
      </c>
      <c r="S1893" t="s">
        <v>8506</v>
      </c>
      <c r="T1893" t="s">
        <v>69</v>
      </c>
      <c r="U1893" t="s">
        <v>69</v>
      </c>
      <c r="V1893" t="s">
        <v>69</v>
      </c>
      <c r="W1893" t="s">
        <v>69</v>
      </c>
      <c r="X1893" t="s">
        <v>69</v>
      </c>
      <c r="Y1893" t="s">
        <v>13960</v>
      </c>
      <c r="Z1893" t="s">
        <v>69</v>
      </c>
      <c r="AA1893" t="s">
        <v>13961</v>
      </c>
      <c r="AB1893" t="s">
        <v>13962</v>
      </c>
      <c r="AC1893" t="s">
        <v>69</v>
      </c>
      <c r="AD1893" t="s">
        <v>13963</v>
      </c>
      <c r="AE1893" t="s">
        <v>13964</v>
      </c>
      <c r="AF1893" t="s">
        <v>69</v>
      </c>
      <c r="AG1893" t="s">
        <v>13965</v>
      </c>
      <c r="AH1893" t="s">
        <v>69</v>
      </c>
      <c r="AI1893" t="s">
        <v>69</v>
      </c>
      <c r="AJ1893" t="s">
        <v>69</v>
      </c>
      <c r="AK1893" t="s">
        <v>69</v>
      </c>
      <c r="AL1893">
        <v>0</v>
      </c>
      <c r="AM1893">
        <v>2</v>
      </c>
      <c r="AN1893">
        <v>2</v>
      </c>
      <c r="AO1893">
        <v>0</v>
      </c>
      <c r="AP1893">
        <v>0</v>
      </c>
      <c r="AQ1893" t="s">
        <v>9423</v>
      </c>
      <c r="AR1893" t="s">
        <v>9424</v>
      </c>
      <c r="AS1893" t="s">
        <v>9425</v>
      </c>
      <c r="AT1893" t="s">
        <v>9426</v>
      </c>
      <c r="AU1893" t="s">
        <v>9427</v>
      </c>
      <c r="AV1893" t="s">
        <v>69</v>
      </c>
      <c r="AW1893" t="s">
        <v>9428</v>
      </c>
      <c r="AX1893" t="s">
        <v>9429</v>
      </c>
      <c r="AY1893" t="s">
        <v>75</v>
      </c>
      <c r="AZ1893">
        <v>2020</v>
      </c>
      <c r="BA1893">
        <v>58</v>
      </c>
      <c r="BB1893">
        <v>10</v>
      </c>
      <c r="BC1893" t="s">
        <v>69</v>
      </c>
      <c r="BD1893" t="s">
        <v>69</v>
      </c>
      <c r="BE1893" t="s">
        <v>69</v>
      </c>
      <c r="BF1893" t="s">
        <v>69</v>
      </c>
      <c r="BG1893">
        <v>1273</v>
      </c>
      <c r="BH1893">
        <v>1275</v>
      </c>
      <c r="BI1893" t="s">
        <v>69</v>
      </c>
      <c r="BJ1893" t="s">
        <v>13966</v>
      </c>
      <c r="BK1893" t="str">
        <f>HYPERLINK("http://dx.doi.org/10.1016/j.bjoms.2020.08.022","http://dx.doi.org/10.1016/j.bjoms.2020.08.022")</f>
        <v>http://dx.doi.org/10.1016/j.bjoms.2020.08.022</v>
      </c>
      <c r="BL1893" t="s">
        <v>69</v>
      </c>
      <c r="BM1893" t="s">
        <v>69</v>
      </c>
      <c r="BN1893">
        <v>3</v>
      </c>
      <c r="BO1893" t="s">
        <v>9431</v>
      </c>
      <c r="BP1893" t="s">
        <v>8548</v>
      </c>
      <c r="BQ1893" t="s">
        <v>9431</v>
      </c>
      <c r="BR1893" t="s">
        <v>13967</v>
      </c>
      <c r="BS1893" t="s">
        <v>13968</v>
      </c>
      <c r="BT1893">
        <v>32868124</v>
      </c>
      <c r="BU1893" t="s">
        <v>69</v>
      </c>
      <c r="BV1893" t="s">
        <v>69</v>
      </c>
      <c r="BW1893" t="s">
        <v>69</v>
      </c>
      <c r="BX1893" t="s">
        <v>8526</v>
      </c>
      <c r="BY1893" t="str">
        <f>HYPERLINK("https%3A%2F%2Fwww.webofscience.com%2Fwos%2Fwoscc%2Ffull-record%2FWOS:000615146800034","View Full Record in Web of Science")</f>
        <v>View Full Record in Web of Science</v>
      </c>
    </row>
    <row r="1894" spans="1:77" x14ac:dyDescent="0.3">
      <c r="A1894" t="s">
        <v>8495</v>
      </c>
      <c r="B1894" s="9" t="s">
        <v>32954</v>
      </c>
      <c r="C1894" s="9" t="s">
        <v>33117</v>
      </c>
      <c r="D1894" s="9" t="s">
        <v>8491</v>
      </c>
      <c r="E1894" s="9" t="s">
        <v>8490</v>
      </c>
      <c r="F1894" t="s">
        <v>67</v>
      </c>
      <c r="G1894" t="s">
        <v>11526</v>
      </c>
      <c r="H1894" t="s">
        <v>69</v>
      </c>
      <c r="I1894" t="s">
        <v>69</v>
      </c>
      <c r="J1894" t="s">
        <v>69</v>
      </c>
      <c r="K1894" t="s">
        <v>11527</v>
      </c>
      <c r="L1894" t="s">
        <v>69</v>
      </c>
      <c r="M1894" t="s">
        <v>69</v>
      </c>
      <c r="N1894" t="s">
        <v>11528</v>
      </c>
      <c r="O1894" t="s">
        <v>11529</v>
      </c>
      <c r="P1894" t="s">
        <v>69</v>
      </c>
      <c r="Q1894" t="s">
        <v>69</v>
      </c>
      <c r="R1894" t="s">
        <v>8505</v>
      </c>
      <c r="S1894" t="s">
        <v>8506</v>
      </c>
      <c r="T1894" t="s">
        <v>69</v>
      </c>
      <c r="U1894" t="s">
        <v>69</v>
      </c>
      <c r="V1894" t="s">
        <v>69</v>
      </c>
      <c r="W1894" t="s">
        <v>69</v>
      </c>
      <c r="X1894" t="s">
        <v>69</v>
      </c>
      <c r="Y1894" t="s">
        <v>69</v>
      </c>
      <c r="Z1894" t="s">
        <v>69</v>
      </c>
      <c r="AA1894" t="s">
        <v>11530</v>
      </c>
      <c r="AB1894" t="s">
        <v>11531</v>
      </c>
      <c r="AC1894" t="s">
        <v>69</v>
      </c>
      <c r="AD1894" t="s">
        <v>11532</v>
      </c>
      <c r="AE1894" t="s">
        <v>11533</v>
      </c>
      <c r="AF1894" t="s">
        <v>69</v>
      </c>
      <c r="AG1894" t="s">
        <v>11534</v>
      </c>
      <c r="AH1894" t="s">
        <v>11535</v>
      </c>
      <c r="AI1894" t="s">
        <v>11535</v>
      </c>
      <c r="AJ1894" t="s">
        <v>11536</v>
      </c>
      <c r="AK1894" t="s">
        <v>69</v>
      </c>
      <c r="AL1894">
        <v>74</v>
      </c>
      <c r="AM1894">
        <v>4</v>
      </c>
      <c r="AN1894">
        <v>4</v>
      </c>
      <c r="AO1894">
        <v>8</v>
      </c>
      <c r="AP1894">
        <v>11</v>
      </c>
      <c r="AQ1894" t="s">
        <v>8865</v>
      </c>
      <c r="AR1894" t="s">
        <v>8612</v>
      </c>
      <c r="AS1894" t="s">
        <v>8866</v>
      </c>
      <c r="AT1894" t="s">
        <v>11537</v>
      </c>
      <c r="AU1894" t="s">
        <v>11538</v>
      </c>
      <c r="AV1894" t="s">
        <v>69</v>
      </c>
      <c r="AW1894" t="s">
        <v>11539</v>
      </c>
      <c r="AX1894" t="s">
        <v>11540</v>
      </c>
      <c r="AY1894" t="s">
        <v>11541</v>
      </c>
      <c r="AZ1894">
        <v>2022</v>
      </c>
      <c r="BA1894">
        <v>31</v>
      </c>
      <c r="BB1894">
        <v>4</v>
      </c>
      <c r="BC1894" t="s">
        <v>69</v>
      </c>
      <c r="BD1894" t="s">
        <v>69</v>
      </c>
      <c r="BE1894" t="s">
        <v>69</v>
      </c>
      <c r="BF1894" t="s">
        <v>69</v>
      </c>
      <c r="BG1894">
        <v>555</v>
      </c>
      <c r="BH1894">
        <v>575</v>
      </c>
      <c r="BI1894" t="s">
        <v>69</v>
      </c>
      <c r="BJ1894" t="s">
        <v>11542</v>
      </c>
      <c r="BK1894" t="str">
        <f>HYPERLINK("http://dx.doi.org/10.1080/09644016.2021.1947636","http://dx.doi.org/10.1080/09644016.2021.1947636")</f>
        <v>http://dx.doi.org/10.1080/09644016.2021.1947636</v>
      </c>
      <c r="BL1894" t="s">
        <v>69</v>
      </c>
      <c r="BM1894" t="s">
        <v>11486</v>
      </c>
      <c r="BN1894">
        <v>21</v>
      </c>
      <c r="BO1894" t="s">
        <v>11543</v>
      </c>
      <c r="BP1894" t="s">
        <v>8661</v>
      </c>
      <c r="BQ1894" t="s">
        <v>11544</v>
      </c>
      <c r="BR1894" t="s">
        <v>11545</v>
      </c>
      <c r="BS1894" t="s">
        <v>11546</v>
      </c>
      <c r="BT1894" t="s">
        <v>69</v>
      </c>
      <c r="BU1894" t="s">
        <v>8622</v>
      </c>
      <c r="BV1894" t="s">
        <v>69</v>
      </c>
      <c r="BW1894" t="s">
        <v>69</v>
      </c>
      <c r="BX1894" t="s">
        <v>8526</v>
      </c>
      <c r="BY1894" t="str">
        <f>HYPERLINK("https%3A%2F%2Fwww.webofscience.com%2Fwos%2Fwoscc%2Ffull-record%2FWOS:000688308700001","View Full Record in Web of Science")</f>
        <v>View Full Record in Web of Science</v>
      </c>
    </row>
    <row r="1895" spans="1:77" ht="12.5" x14ac:dyDescent="0.25">
      <c r="A1895" t="s">
        <v>8495</v>
      </c>
      <c r="B1895" s="7" t="s">
        <v>32933</v>
      </c>
      <c r="C1895" s="7"/>
      <c r="D1895" s="7"/>
      <c r="E1895" s="7"/>
      <c r="F1895" t="s">
        <v>67</v>
      </c>
      <c r="G1895" t="s">
        <v>4316</v>
      </c>
      <c r="H1895" t="s">
        <v>69</v>
      </c>
      <c r="I1895" t="s">
        <v>69</v>
      </c>
      <c r="J1895" t="s">
        <v>69</v>
      </c>
      <c r="K1895" t="s">
        <v>4316</v>
      </c>
      <c r="L1895" t="s">
        <v>69</v>
      </c>
      <c r="M1895" t="s">
        <v>69</v>
      </c>
      <c r="N1895" t="s">
        <v>4317</v>
      </c>
      <c r="O1895" t="s">
        <v>4318</v>
      </c>
      <c r="P1895" t="s">
        <v>69</v>
      </c>
      <c r="Q1895" t="s">
        <v>69</v>
      </c>
      <c r="R1895" t="s">
        <v>8505</v>
      </c>
      <c r="S1895" t="s">
        <v>8506</v>
      </c>
      <c r="T1895" t="s">
        <v>69</v>
      </c>
      <c r="U1895" t="s">
        <v>69</v>
      </c>
      <c r="V1895" t="s">
        <v>69</v>
      </c>
      <c r="W1895" t="s">
        <v>69</v>
      </c>
      <c r="X1895" t="s">
        <v>69</v>
      </c>
      <c r="Y1895" t="s">
        <v>32668</v>
      </c>
      <c r="Z1895" t="s">
        <v>32669</v>
      </c>
      <c r="AA1895" t="s">
        <v>4319</v>
      </c>
      <c r="AB1895" t="s">
        <v>69</v>
      </c>
      <c r="AC1895" t="s">
        <v>69</v>
      </c>
      <c r="AD1895" t="s">
        <v>32670</v>
      </c>
      <c r="AE1895" t="s">
        <v>69</v>
      </c>
      <c r="AF1895" t="s">
        <v>69</v>
      </c>
      <c r="AG1895" t="s">
        <v>69</v>
      </c>
      <c r="AH1895" t="s">
        <v>69</v>
      </c>
      <c r="AI1895" t="s">
        <v>69</v>
      </c>
      <c r="AJ1895" t="s">
        <v>69</v>
      </c>
      <c r="AK1895" t="s">
        <v>69</v>
      </c>
      <c r="AL1895">
        <v>70</v>
      </c>
      <c r="AM1895">
        <v>14</v>
      </c>
      <c r="AN1895">
        <v>14</v>
      </c>
      <c r="AO1895">
        <v>0</v>
      </c>
      <c r="AP1895">
        <v>21</v>
      </c>
      <c r="AQ1895" t="s">
        <v>32671</v>
      </c>
      <c r="AR1895" t="s">
        <v>32672</v>
      </c>
      <c r="AS1895" t="s">
        <v>32673</v>
      </c>
      <c r="AT1895" t="s">
        <v>4320</v>
      </c>
      <c r="AU1895" t="s">
        <v>69</v>
      </c>
      <c r="AV1895" t="s">
        <v>69</v>
      </c>
      <c r="AW1895" t="s">
        <v>32674</v>
      </c>
      <c r="AX1895" t="s">
        <v>32675</v>
      </c>
      <c r="AY1895" t="s">
        <v>1628</v>
      </c>
      <c r="AZ1895">
        <v>1994</v>
      </c>
      <c r="BA1895">
        <v>53</v>
      </c>
      <c r="BB1895">
        <v>2</v>
      </c>
      <c r="BC1895" t="s">
        <v>69</v>
      </c>
      <c r="BD1895" t="s">
        <v>69</v>
      </c>
      <c r="BE1895" t="s">
        <v>69</v>
      </c>
      <c r="BF1895" t="s">
        <v>69</v>
      </c>
      <c r="BG1895">
        <v>150</v>
      </c>
      <c r="BH1895">
        <v>159</v>
      </c>
      <c r="BI1895" t="s">
        <v>69</v>
      </c>
      <c r="BJ1895" t="s">
        <v>4321</v>
      </c>
      <c r="BK1895" t="str">
        <f>HYPERLINK("http://dx.doi.org/10.17730/humo.53.2.l450153724976107","http://dx.doi.org/10.17730/humo.53.2.l450153724976107")</f>
        <v>http://dx.doi.org/10.17730/humo.53.2.l450153724976107</v>
      </c>
      <c r="BL1895" t="s">
        <v>69</v>
      </c>
      <c r="BM1895" t="s">
        <v>69</v>
      </c>
      <c r="BN1895">
        <v>10</v>
      </c>
      <c r="BO1895" t="s">
        <v>32676</v>
      </c>
      <c r="BP1895" t="s">
        <v>8661</v>
      </c>
      <c r="BQ1895" t="s">
        <v>32677</v>
      </c>
      <c r="BR1895" t="s">
        <v>32678</v>
      </c>
      <c r="BS1895" t="s">
        <v>4322</v>
      </c>
      <c r="BT1895" t="s">
        <v>69</v>
      </c>
      <c r="BU1895" t="s">
        <v>69</v>
      </c>
      <c r="BV1895" t="s">
        <v>69</v>
      </c>
      <c r="BW1895" t="s">
        <v>69</v>
      </c>
      <c r="BX1895" t="s">
        <v>8526</v>
      </c>
      <c r="BY1895" t="str">
        <f>HYPERLINK("https%3A%2F%2Fwww.webofscience.com%2Fwos%2Fwoscc%2Ffull-record%2FWOS:A1994NN82600006","View Full Record in Web of Science")</f>
        <v>View Full Record in Web of Science</v>
      </c>
    </row>
    <row r="1896" spans="1:77" ht="12.5" x14ac:dyDescent="0.25">
      <c r="A1896" t="s">
        <v>8495</v>
      </c>
      <c r="B1896" s="7" t="s">
        <v>32933</v>
      </c>
      <c r="C1896" s="7"/>
      <c r="D1896" s="7"/>
      <c r="E1896" s="7"/>
      <c r="F1896" t="s">
        <v>67</v>
      </c>
      <c r="G1896" t="s">
        <v>5730</v>
      </c>
      <c r="H1896" t="s">
        <v>69</v>
      </c>
      <c r="I1896" t="s">
        <v>69</v>
      </c>
      <c r="J1896" t="s">
        <v>69</v>
      </c>
      <c r="K1896" t="s">
        <v>5731</v>
      </c>
      <c r="L1896" t="s">
        <v>69</v>
      </c>
      <c r="M1896" t="s">
        <v>69</v>
      </c>
      <c r="N1896" t="s">
        <v>5732</v>
      </c>
      <c r="O1896" t="s">
        <v>5733</v>
      </c>
      <c r="P1896" t="s">
        <v>69</v>
      </c>
      <c r="Q1896" t="s">
        <v>69</v>
      </c>
      <c r="R1896" t="s">
        <v>8505</v>
      </c>
      <c r="S1896" t="s">
        <v>8506</v>
      </c>
      <c r="T1896" t="s">
        <v>69</v>
      </c>
      <c r="U1896" t="s">
        <v>69</v>
      </c>
      <c r="V1896" t="s">
        <v>69</v>
      </c>
      <c r="W1896" t="s">
        <v>69</v>
      </c>
      <c r="X1896" t="s">
        <v>69</v>
      </c>
      <c r="Y1896" t="s">
        <v>69</v>
      </c>
      <c r="Z1896" t="s">
        <v>69</v>
      </c>
      <c r="AA1896" t="s">
        <v>5734</v>
      </c>
      <c r="AB1896" t="s">
        <v>15186</v>
      </c>
      <c r="AC1896" t="s">
        <v>69</v>
      </c>
      <c r="AD1896" t="s">
        <v>15187</v>
      </c>
      <c r="AE1896" t="s">
        <v>15188</v>
      </c>
      <c r="AF1896" t="s">
        <v>69</v>
      </c>
      <c r="AG1896" t="s">
        <v>5735</v>
      </c>
      <c r="AH1896" t="s">
        <v>15189</v>
      </c>
      <c r="AI1896" t="s">
        <v>15190</v>
      </c>
      <c r="AJ1896" t="s">
        <v>15191</v>
      </c>
      <c r="AK1896" t="s">
        <v>69</v>
      </c>
      <c r="AL1896">
        <v>22</v>
      </c>
      <c r="AM1896">
        <v>2</v>
      </c>
      <c r="AN1896">
        <v>2</v>
      </c>
      <c r="AO1896">
        <v>1</v>
      </c>
      <c r="AP1896">
        <v>4</v>
      </c>
      <c r="AQ1896" t="s">
        <v>9577</v>
      </c>
      <c r="AR1896" t="s">
        <v>9578</v>
      </c>
      <c r="AS1896" t="s">
        <v>9579</v>
      </c>
      <c r="AT1896" t="s">
        <v>5736</v>
      </c>
      <c r="AU1896" t="s">
        <v>5737</v>
      </c>
      <c r="AV1896" t="s">
        <v>69</v>
      </c>
      <c r="AW1896" t="s">
        <v>15192</v>
      </c>
      <c r="AX1896" t="s">
        <v>15193</v>
      </c>
      <c r="AY1896" t="s">
        <v>5738</v>
      </c>
      <c r="AZ1896">
        <v>2020</v>
      </c>
      <c r="BA1896">
        <v>24</v>
      </c>
      <c r="BB1896">
        <v>5</v>
      </c>
      <c r="BC1896" t="s">
        <v>69</v>
      </c>
      <c r="BD1896" t="s">
        <v>69</v>
      </c>
      <c r="BE1896" t="s">
        <v>69</v>
      </c>
      <c r="BF1896" t="s">
        <v>69</v>
      </c>
      <c r="BG1896">
        <v>2483</v>
      </c>
      <c r="BH1896">
        <v>2503</v>
      </c>
      <c r="BI1896" t="s">
        <v>69</v>
      </c>
      <c r="BJ1896" t="s">
        <v>5739</v>
      </c>
      <c r="BK1896" t="str">
        <f>HYPERLINK("http://dx.doi.org/10.5194/hess-24-2483-2020","http://dx.doi.org/10.5194/hess-24-2483-2020")</f>
        <v>http://dx.doi.org/10.5194/hess-24-2483-2020</v>
      </c>
      <c r="BL1896" t="s">
        <v>69</v>
      </c>
      <c r="BM1896" t="s">
        <v>69</v>
      </c>
      <c r="BN1896">
        <v>21</v>
      </c>
      <c r="BO1896" t="s">
        <v>15194</v>
      </c>
      <c r="BP1896" t="s">
        <v>8548</v>
      </c>
      <c r="BQ1896" t="s">
        <v>15195</v>
      </c>
      <c r="BR1896" t="s">
        <v>15196</v>
      </c>
      <c r="BS1896" t="s">
        <v>5740</v>
      </c>
      <c r="BT1896" t="s">
        <v>69</v>
      </c>
      <c r="BU1896" t="s">
        <v>12220</v>
      </c>
      <c r="BV1896" t="s">
        <v>69</v>
      </c>
      <c r="BW1896" t="s">
        <v>69</v>
      </c>
      <c r="BX1896" t="s">
        <v>8526</v>
      </c>
      <c r="BY1896" t="str">
        <f>HYPERLINK("https%3A%2F%2Fwww.webofscience.com%2Fwos%2Fwoscc%2Ffull-record%2FWOS:000535232500001","View Full Record in Web of Science")</f>
        <v>View Full Record in Web of Science</v>
      </c>
    </row>
    <row r="1897" spans="1:77" ht="12.5" x14ac:dyDescent="0.25">
      <c r="A1897" t="s">
        <v>8495</v>
      </c>
      <c r="B1897" s="7" t="s">
        <v>32933</v>
      </c>
      <c r="C1897" s="7"/>
      <c r="D1897" s="7"/>
      <c r="E1897" s="7"/>
      <c r="F1897" t="s">
        <v>67</v>
      </c>
      <c r="G1897" t="s">
        <v>7854</v>
      </c>
      <c r="H1897" t="s">
        <v>69</v>
      </c>
      <c r="I1897" t="s">
        <v>69</v>
      </c>
      <c r="J1897" t="s">
        <v>69</v>
      </c>
      <c r="K1897" t="s">
        <v>7855</v>
      </c>
      <c r="L1897" t="s">
        <v>69</v>
      </c>
      <c r="M1897" t="s">
        <v>69</v>
      </c>
      <c r="N1897" t="s">
        <v>7856</v>
      </c>
      <c r="O1897" t="s">
        <v>352</v>
      </c>
      <c r="P1897" t="s">
        <v>69</v>
      </c>
      <c r="Q1897" t="s">
        <v>69</v>
      </c>
      <c r="R1897" t="s">
        <v>8505</v>
      </c>
      <c r="S1897" t="s">
        <v>8506</v>
      </c>
      <c r="T1897" t="s">
        <v>69</v>
      </c>
      <c r="U1897" t="s">
        <v>69</v>
      </c>
      <c r="V1897" t="s">
        <v>69</v>
      </c>
      <c r="W1897" t="s">
        <v>69</v>
      </c>
      <c r="X1897" t="s">
        <v>69</v>
      </c>
      <c r="Y1897" t="s">
        <v>14622</v>
      </c>
      <c r="Z1897" t="s">
        <v>14623</v>
      </c>
      <c r="AA1897" t="s">
        <v>7857</v>
      </c>
      <c r="AB1897" t="s">
        <v>14624</v>
      </c>
      <c r="AC1897" t="s">
        <v>69</v>
      </c>
      <c r="AD1897" t="s">
        <v>14625</v>
      </c>
      <c r="AE1897" t="s">
        <v>14626</v>
      </c>
      <c r="AF1897" t="s">
        <v>14627</v>
      </c>
      <c r="AG1897" t="s">
        <v>7858</v>
      </c>
      <c r="AH1897" t="s">
        <v>14628</v>
      </c>
      <c r="AI1897" t="s">
        <v>14628</v>
      </c>
      <c r="AJ1897" t="s">
        <v>14629</v>
      </c>
      <c r="AK1897" t="s">
        <v>69</v>
      </c>
      <c r="AL1897">
        <v>44</v>
      </c>
      <c r="AM1897">
        <v>1</v>
      </c>
      <c r="AN1897">
        <v>1</v>
      </c>
      <c r="AO1897">
        <v>1</v>
      </c>
      <c r="AP1897">
        <v>3</v>
      </c>
      <c r="AQ1897" t="s">
        <v>8924</v>
      </c>
      <c r="AR1897" t="s">
        <v>8925</v>
      </c>
      <c r="AS1897" t="s">
        <v>8926</v>
      </c>
      <c r="AT1897" t="s">
        <v>69</v>
      </c>
      <c r="AU1897" t="s">
        <v>354</v>
      </c>
      <c r="AV1897" t="s">
        <v>69</v>
      </c>
      <c r="AW1897" t="s">
        <v>8958</v>
      </c>
      <c r="AX1897" t="s">
        <v>8434</v>
      </c>
      <c r="AY1897" t="s">
        <v>201</v>
      </c>
      <c r="AZ1897">
        <v>2020</v>
      </c>
      <c r="BA1897">
        <v>12</v>
      </c>
      <c r="BB1897">
        <v>16</v>
      </c>
      <c r="BC1897" t="s">
        <v>69</v>
      </c>
      <c r="BD1897" t="s">
        <v>69</v>
      </c>
      <c r="BE1897" t="s">
        <v>69</v>
      </c>
      <c r="BF1897" t="s">
        <v>69</v>
      </c>
      <c r="BG1897" t="s">
        <v>69</v>
      </c>
      <c r="BH1897" t="s">
        <v>69</v>
      </c>
      <c r="BI1897">
        <v>6483</v>
      </c>
      <c r="BJ1897" t="s">
        <v>7859</v>
      </c>
      <c r="BK1897" t="str">
        <f>HYPERLINK("http://dx.doi.org/10.3390/su12166483","http://dx.doi.org/10.3390/su12166483")</f>
        <v>http://dx.doi.org/10.3390/su12166483</v>
      </c>
      <c r="BL1897" t="s">
        <v>69</v>
      </c>
      <c r="BM1897" t="s">
        <v>69</v>
      </c>
      <c r="BN1897">
        <v>19</v>
      </c>
      <c r="BO1897" t="s">
        <v>8960</v>
      </c>
      <c r="BP1897" t="s">
        <v>8523</v>
      </c>
      <c r="BQ1897" t="s">
        <v>8961</v>
      </c>
      <c r="BR1897" t="s">
        <v>14630</v>
      </c>
      <c r="BS1897" t="s">
        <v>7860</v>
      </c>
      <c r="BT1897" t="s">
        <v>69</v>
      </c>
      <c r="BU1897" t="s">
        <v>8812</v>
      </c>
      <c r="BV1897" t="s">
        <v>69</v>
      </c>
      <c r="BW1897" t="s">
        <v>69</v>
      </c>
      <c r="BX1897" t="s">
        <v>8526</v>
      </c>
      <c r="BY1897" t="str">
        <f>HYPERLINK("https%3A%2F%2Fwww.webofscience.com%2Fwos%2Fwoscc%2Ffull-record%2FWOS:000578913300001","View Full Record in Web of Science")</f>
        <v>View Full Record in Web of Science</v>
      </c>
    </row>
    <row r="1898" spans="1:77" ht="12.5" x14ac:dyDescent="0.25">
      <c r="A1898" t="s">
        <v>8495</v>
      </c>
      <c r="B1898" s="7" t="s">
        <v>32933</v>
      </c>
      <c r="C1898" s="7"/>
      <c r="D1898" s="7"/>
      <c r="E1898" s="7"/>
      <c r="F1898" t="s">
        <v>67</v>
      </c>
      <c r="G1898" s="1" t="s">
        <v>4637</v>
      </c>
      <c r="H1898" t="s">
        <v>69</v>
      </c>
      <c r="I1898" t="s">
        <v>69</v>
      </c>
      <c r="J1898" t="s">
        <v>69</v>
      </c>
      <c r="K1898" s="1" t="s">
        <v>4638</v>
      </c>
      <c r="L1898" t="s">
        <v>69</v>
      </c>
      <c r="M1898" t="s">
        <v>69</v>
      </c>
      <c r="N1898" s="1" t="s">
        <v>4639</v>
      </c>
      <c r="O1898" t="s">
        <v>4640</v>
      </c>
      <c r="P1898" t="s">
        <v>69</v>
      </c>
      <c r="Q1898" t="s">
        <v>69</v>
      </c>
      <c r="R1898" t="s">
        <v>8505</v>
      </c>
      <c r="S1898" t="s">
        <v>8506</v>
      </c>
      <c r="T1898" t="s">
        <v>69</v>
      </c>
      <c r="U1898" t="s">
        <v>69</v>
      </c>
      <c r="V1898" t="s">
        <v>69</v>
      </c>
      <c r="W1898" t="s">
        <v>69</v>
      </c>
      <c r="X1898" t="s">
        <v>69</v>
      </c>
      <c r="Y1898" t="s">
        <v>21037</v>
      </c>
      <c r="Z1898" t="s">
        <v>21038</v>
      </c>
      <c r="AA1898" t="s">
        <v>4641</v>
      </c>
      <c r="AB1898" t="s">
        <v>21039</v>
      </c>
      <c r="AC1898" t="s">
        <v>69</v>
      </c>
      <c r="AD1898" t="s">
        <v>21040</v>
      </c>
      <c r="AE1898" t="s">
        <v>21041</v>
      </c>
      <c r="AF1898" t="s">
        <v>4642</v>
      </c>
      <c r="AG1898" t="s">
        <v>4643</v>
      </c>
      <c r="AH1898" t="s">
        <v>21042</v>
      </c>
      <c r="AI1898" t="s">
        <v>21043</v>
      </c>
      <c r="AJ1898" t="s">
        <v>21044</v>
      </c>
      <c r="AK1898" t="s">
        <v>69</v>
      </c>
      <c r="AL1898">
        <v>39</v>
      </c>
      <c r="AM1898">
        <v>32</v>
      </c>
      <c r="AN1898">
        <v>33</v>
      </c>
      <c r="AO1898">
        <v>0</v>
      </c>
      <c r="AP1898">
        <v>13</v>
      </c>
      <c r="AQ1898" t="s">
        <v>8865</v>
      </c>
      <c r="AR1898" t="s">
        <v>8612</v>
      </c>
      <c r="AS1898" t="s">
        <v>8866</v>
      </c>
      <c r="AT1898" t="s">
        <v>4644</v>
      </c>
      <c r="AU1898" t="s">
        <v>4645</v>
      </c>
      <c r="AV1898" t="s">
        <v>69</v>
      </c>
      <c r="AW1898" t="s">
        <v>21045</v>
      </c>
      <c r="AX1898" t="s">
        <v>21046</v>
      </c>
      <c r="AY1898" t="s">
        <v>69</v>
      </c>
      <c r="AZ1898">
        <v>2017</v>
      </c>
      <c r="BA1898">
        <v>21</v>
      </c>
      <c r="BB1898">
        <v>5</v>
      </c>
      <c r="BC1898" t="s">
        <v>69</v>
      </c>
      <c r="BD1898" t="s">
        <v>69</v>
      </c>
      <c r="BE1898" t="s">
        <v>69</v>
      </c>
      <c r="BF1898" t="s">
        <v>69</v>
      </c>
      <c r="BG1898">
        <v>509</v>
      </c>
      <c r="BH1898">
        <v>517</v>
      </c>
      <c r="BI1898" t="s">
        <v>69</v>
      </c>
      <c r="BJ1898" t="s">
        <v>4646</v>
      </c>
      <c r="BK1898" t="str">
        <f>HYPERLINK("http://dx.doi.org/10.1080/13607863.2015.1124836","http://dx.doi.org/10.1080/13607863.2015.1124836")</f>
        <v>http://dx.doi.org/10.1080/13607863.2015.1124836</v>
      </c>
      <c r="BL1898" t="s">
        <v>69</v>
      </c>
      <c r="BM1898" t="s">
        <v>69</v>
      </c>
      <c r="BN1898">
        <v>9</v>
      </c>
      <c r="BO1898" t="s">
        <v>21047</v>
      </c>
      <c r="BP1898" t="s">
        <v>8523</v>
      </c>
      <c r="BQ1898" t="s">
        <v>21048</v>
      </c>
      <c r="BR1898" t="s">
        <v>21049</v>
      </c>
      <c r="BS1898" t="s">
        <v>4647</v>
      </c>
      <c r="BT1898">
        <v>26689489</v>
      </c>
      <c r="BU1898" t="s">
        <v>69</v>
      </c>
      <c r="BV1898" t="s">
        <v>69</v>
      </c>
      <c r="BW1898" t="s">
        <v>69</v>
      </c>
      <c r="BX1898" t="s">
        <v>8526</v>
      </c>
      <c r="BY1898" t="str">
        <f>HYPERLINK("https%3A%2F%2Fwww.webofscience.com%2Fwos%2Fwoscc%2Ffull-record%2FWOS:000399880800007","View Full Record in Web of Science")</f>
        <v>View Full Record in Web of Science</v>
      </c>
    </row>
    <row r="1899" spans="1:77" ht="12.5" x14ac:dyDescent="0.25">
      <c r="A1899" t="s">
        <v>8495</v>
      </c>
      <c r="B1899" s="22" t="s">
        <v>32931</v>
      </c>
      <c r="C1899" s="7"/>
      <c r="D1899" s="7"/>
      <c r="E1899" s="7"/>
      <c r="F1899" t="s">
        <v>67</v>
      </c>
      <c r="G1899" t="s">
        <v>32009</v>
      </c>
      <c r="H1899" t="s">
        <v>69</v>
      </c>
      <c r="I1899" t="s">
        <v>69</v>
      </c>
      <c r="J1899" t="s">
        <v>69</v>
      </c>
      <c r="K1899" t="s">
        <v>32009</v>
      </c>
      <c r="L1899" t="s">
        <v>69</v>
      </c>
      <c r="M1899" t="s">
        <v>69</v>
      </c>
      <c r="N1899" t="s">
        <v>32010</v>
      </c>
      <c r="O1899" t="s">
        <v>32011</v>
      </c>
      <c r="P1899" t="s">
        <v>69</v>
      </c>
      <c r="Q1899" t="s">
        <v>69</v>
      </c>
      <c r="R1899" t="s">
        <v>8505</v>
      </c>
      <c r="S1899" t="s">
        <v>15797</v>
      </c>
      <c r="T1899" t="s">
        <v>32012</v>
      </c>
      <c r="U1899" t="s">
        <v>32013</v>
      </c>
      <c r="V1899" t="s">
        <v>32014</v>
      </c>
      <c r="W1899" t="s">
        <v>32015</v>
      </c>
      <c r="X1899" t="s">
        <v>69</v>
      </c>
      <c r="Y1899" t="s">
        <v>32016</v>
      </c>
      <c r="Z1899" t="s">
        <v>69</v>
      </c>
      <c r="AA1899" t="s">
        <v>32017</v>
      </c>
      <c r="AB1899" t="s">
        <v>32018</v>
      </c>
      <c r="AC1899" t="s">
        <v>69</v>
      </c>
      <c r="AD1899" t="s">
        <v>32019</v>
      </c>
      <c r="AE1899" t="s">
        <v>69</v>
      </c>
      <c r="AF1899" t="s">
        <v>69</v>
      </c>
      <c r="AG1899" t="s">
        <v>69</v>
      </c>
      <c r="AH1899" t="s">
        <v>69</v>
      </c>
      <c r="AI1899" t="s">
        <v>69</v>
      </c>
      <c r="AJ1899" t="s">
        <v>69</v>
      </c>
      <c r="AK1899" t="s">
        <v>69</v>
      </c>
      <c r="AL1899">
        <v>4</v>
      </c>
      <c r="AM1899">
        <v>7</v>
      </c>
      <c r="AN1899">
        <v>9</v>
      </c>
      <c r="AO1899">
        <v>0</v>
      </c>
      <c r="AP1899">
        <v>15</v>
      </c>
      <c r="AQ1899" t="s">
        <v>32020</v>
      </c>
      <c r="AR1899" t="s">
        <v>32021</v>
      </c>
      <c r="AS1899" t="s">
        <v>32022</v>
      </c>
      <c r="AT1899" t="s">
        <v>32023</v>
      </c>
      <c r="AU1899" t="s">
        <v>69</v>
      </c>
      <c r="AV1899" t="s">
        <v>69</v>
      </c>
      <c r="AW1899" t="s">
        <v>32024</v>
      </c>
      <c r="AX1899" t="s">
        <v>32025</v>
      </c>
      <c r="AY1899" t="s">
        <v>191</v>
      </c>
      <c r="AZ1899">
        <v>1999</v>
      </c>
      <c r="BA1899">
        <v>77</v>
      </c>
      <c r="BB1899">
        <v>2</v>
      </c>
      <c r="BC1899" t="s">
        <v>69</v>
      </c>
      <c r="BD1899" t="s">
        <v>69</v>
      </c>
      <c r="BE1899" t="s">
        <v>69</v>
      </c>
      <c r="BF1899" t="s">
        <v>69</v>
      </c>
      <c r="BG1899">
        <v>361</v>
      </c>
      <c r="BH1899">
        <v>366</v>
      </c>
      <c r="BI1899" t="s">
        <v>69</v>
      </c>
      <c r="BJ1899" t="s">
        <v>69</v>
      </c>
      <c r="BK1899" t="s">
        <v>69</v>
      </c>
      <c r="BL1899" t="s">
        <v>69</v>
      </c>
      <c r="BM1899" t="s">
        <v>69</v>
      </c>
      <c r="BN1899">
        <v>6</v>
      </c>
      <c r="BO1899" t="s">
        <v>9683</v>
      </c>
      <c r="BP1899" t="s">
        <v>29550</v>
      </c>
      <c r="BQ1899" t="s">
        <v>8450</v>
      </c>
      <c r="BR1899" t="s">
        <v>32026</v>
      </c>
      <c r="BS1899" t="s">
        <v>32027</v>
      </c>
      <c r="BT1899">
        <v>10100664</v>
      </c>
      <c r="BU1899" t="s">
        <v>69</v>
      </c>
      <c r="BV1899" t="s">
        <v>69</v>
      </c>
      <c r="BW1899" t="s">
        <v>69</v>
      </c>
      <c r="BX1899" t="s">
        <v>8526</v>
      </c>
      <c r="BY1899" t="str">
        <f>HYPERLINK("https%3A%2F%2Fwww.webofscience.com%2Fwos%2Fwoscc%2Ffull-record%2FWOS:000084444600011","View Full Record in Web of Science")</f>
        <v>View Full Record in Web of Science</v>
      </c>
    </row>
    <row r="1900" spans="1:77" ht="12.5" x14ac:dyDescent="0.25">
      <c r="A1900" t="s">
        <v>8495</v>
      </c>
      <c r="B1900" s="22" t="s">
        <v>32931</v>
      </c>
      <c r="C1900" s="7"/>
      <c r="D1900" s="7"/>
      <c r="E1900" s="7"/>
      <c r="F1900" t="s">
        <v>67</v>
      </c>
      <c r="G1900" t="s">
        <v>21536</v>
      </c>
      <c r="H1900" t="s">
        <v>69</v>
      </c>
      <c r="I1900" t="s">
        <v>69</v>
      </c>
      <c r="J1900" t="s">
        <v>69</v>
      </c>
      <c r="K1900" t="s">
        <v>21537</v>
      </c>
      <c r="L1900" t="s">
        <v>69</v>
      </c>
      <c r="M1900" t="s">
        <v>69</v>
      </c>
      <c r="N1900" t="s">
        <v>21538</v>
      </c>
      <c r="O1900" t="s">
        <v>1405</v>
      </c>
      <c r="P1900" t="s">
        <v>69</v>
      </c>
      <c r="Q1900" t="s">
        <v>69</v>
      </c>
      <c r="R1900" t="s">
        <v>8505</v>
      </c>
      <c r="S1900" t="s">
        <v>8506</v>
      </c>
      <c r="T1900" t="s">
        <v>69</v>
      </c>
      <c r="U1900" t="s">
        <v>69</v>
      </c>
      <c r="V1900" t="s">
        <v>69</v>
      </c>
      <c r="W1900" t="s">
        <v>69</v>
      </c>
      <c r="X1900" t="s">
        <v>69</v>
      </c>
      <c r="Y1900" t="s">
        <v>21539</v>
      </c>
      <c r="Z1900" t="s">
        <v>21540</v>
      </c>
      <c r="AA1900" t="s">
        <v>21541</v>
      </c>
      <c r="AB1900" t="s">
        <v>21542</v>
      </c>
      <c r="AC1900" t="s">
        <v>69</v>
      </c>
      <c r="AD1900" t="s">
        <v>21543</v>
      </c>
      <c r="AE1900" t="s">
        <v>21544</v>
      </c>
      <c r="AF1900" t="s">
        <v>21545</v>
      </c>
      <c r="AG1900" t="s">
        <v>21546</v>
      </c>
      <c r="AH1900" t="s">
        <v>21547</v>
      </c>
      <c r="AI1900" t="s">
        <v>21548</v>
      </c>
      <c r="AJ1900" t="s">
        <v>21549</v>
      </c>
      <c r="AK1900" t="s">
        <v>69</v>
      </c>
      <c r="AL1900">
        <v>61</v>
      </c>
      <c r="AM1900">
        <v>36</v>
      </c>
      <c r="AN1900">
        <v>38</v>
      </c>
      <c r="AO1900">
        <v>6</v>
      </c>
      <c r="AP1900">
        <v>80</v>
      </c>
      <c r="AQ1900" t="s">
        <v>8636</v>
      </c>
      <c r="AR1900" t="s">
        <v>8637</v>
      </c>
      <c r="AS1900" t="s">
        <v>8638</v>
      </c>
      <c r="AT1900" t="s">
        <v>1407</v>
      </c>
      <c r="AU1900" t="s">
        <v>1408</v>
      </c>
      <c r="AV1900" t="s">
        <v>69</v>
      </c>
      <c r="AW1900" t="s">
        <v>14240</v>
      </c>
      <c r="AX1900" t="s">
        <v>8486</v>
      </c>
      <c r="AY1900" t="s">
        <v>84</v>
      </c>
      <c r="AZ1900">
        <v>2016</v>
      </c>
      <c r="BA1900">
        <v>94</v>
      </c>
      <c r="BB1900" t="s">
        <v>69</v>
      </c>
      <c r="BC1900" t="s">
        <v>69</v>
      </c>
      <c r="BD1900" t="s">
        <v>69</v>
      </c>
      <c r="BE1900" t="s">
        <v>69</v>
      </c>
      <c r="BF1900" t="s">
        <v>69</v>
      </c>
      <c r="BG1900">
        <v>317</v>
      </c>
      <c r="BH1900">
        <v>330</v>
      </c>
      <c r="BI1900" t="s">
        <v>69</v>
      </c>
      <c r="BJ1900" t="s">
        <v>21550</v>
      </c>
      <c r="BK1900" t="str">
        <f>HYPERLINK("http://dx.doi.org/10.1016/j.enpol.2016.03.049","http://dx.doi.org/10.1016/j.enpol.2016.03.049")</f>
        <v>http://dx.doi.org/10.1016/j.enpol.2016.03.049</v>
      </c>
      <c r="BL1900" t="s">
        <v>69</v>
      </c>
      <c r="BM1900" t="s">
        <v>69</v>
      </c>
      <c r="BN1900">
        <v>14</v>
      </c>
      <c r="BO1900" t="s">
        <v>14242</v>
      </c>
      <c r="BP1900" t="s">
        <v>8523</v>
      </c>
      <c r="BQ1900" t="s">
        <v>14243</v>
      </c>
      <c r="BR1900" t="s">
        <v>21551</v>
      </c>
      <c r="BS1900" t="s">
        <v>21552</v>
      </c>
      <c r="BT1900" t="s">
        <v>69</v>
      </c>
      <c r="BU1900" t="s">
        <v>8746</v>
      </c>
      <c r="BV1900" t="s">
        <v>69</v>
      </c>
      <c r="BW1900" t="s">
        <v>69</v>
      </c>
      <c r="BX1900" t="s">
        <v>8526</v>
      </c>
      <c r="BY1900" t="str">
        <f>HYPERLINK("https%3A%2F%2Fwww.webofscience.com%2Fwos%2Fwoscc%2Ffull-record%2FWOS:000377725000033","View Full Record in Web of Science")</f>
        <v>View Full Record in Web of Science</v>
      </c>
    </row>
    <row r="1901" spans="1:77" ht="12.5" x14ac:dyDescent="0.25">
      <c r="A1901" t="s">
        <v>8495</v>
      </c>
      <c r="B1901" s="7" t="s">
        <v>32933</v>
      </c>
      <c r="C1901" s="7"/>
      <c r="D1901" s="7"/>
      <c r="E1901" s="7"/>
      <c r="F1901" t="s">
        <v>67</v>
      </c>
      <c r="G1901" t="s">
        <v>3060</v>
      </c>
      <c r="H1901" t="s">
        <v>69</v>
      </c>
      <c r="I1901" t="s">
        <v>69</v>
      </c>
      <c r="J1901" t="s">
        <v>69</v>
      </c>
      <c r="K1901" t="s">
        <v>3061</v>
      </c>
      <c r="L1901" t="s">
        <v>69</v>
      </c>
      <c r="M1901" t="s">
        <v>69</v>
      </c>
      <c r="N1901" t="s">
        <v>3062</v>
      </c>
      <c r="O1901" t="s">
        <v>3063</v>
      </c>
      <c r="P1901" t="s">
        <v>69</v>
      </c>
      <c r="Q1901" t="s">
        <v>69</v>
      </c>
      <c r="R1901" t="s">
        <v>8505</v>
      </c>
      <c r="S1901" t="s">
        <v>8506</v>
      </c>
      <c r="T1901" t="s">
        <v>69</v>
      </c>
      <c r="U1901" t="s">
        <v>69</v>
      </c>
      <c r="V1901" t="s">
        <v>69</v>
      </c>
      <c r="W1901" t="s">
        <v>69</v>
      </c>
      <c r="X1901" t="s">
        <v>69</v>
      </c>
      <c r="Y1901" t="s">
        <v>22923</v>
      </c>
      <c r="Z1901" t="s">
        <v>69</v>
      </c>
      <c r="AA1901" t="s">
        <v>3064</v>
      </c>
      <c r="AB1901" t="s">
        <v>22924</v>
      </c>
      <c r="AC1901" t="s">
        <v>69</v>
      </c>
      <c r="AD1901" t="s">
        <v>22925</v>
      </c>
      <c r="AE1901" t="s">
        <v>22926</v>
      </c>
      <c r="AF1901" t="s">
        <v>3065</v>
      </c>
      <c r="AG1901" t="s">
        <v>3066</v>
      </c>
      <c r="AH1901" t="s">
        <v>69</v>
      </c>
      <c r="AI1901" t="s">
        <v>69</v>
      </c>
      <c r="AJ1901" t="s">
        <v>69</v>
      </c>
      <c r="AK1901" t="s">
        <v>69</v>
      </c>
      <c r="AL1901">
        <v>13</v>
      </c>
      <c r="AM1901">
        <v>5</v>
      </c>
      <c r="AN1901">
        <v>5</v>
      </c>
      <c r="AO1901">
        <v>0</v>
      </c>
      <c r="AP1901">
        <v>3</v>
      </c>
      <c r="AQ1901" t="s">
        <v>8865</v>
      </c>
      <c r="AR1901" t="s">
        <v>8612</v>
      </c>
      <c r="AS1901" t="s">
        <v>22341</v>
      </c>
      <c r="AT1901" t="s">
        <v>3067</v>
      </c>
      <c r="AU1901" t="s">
        <v>3068</v>
      </c>
      <c r="AV1901" t="s">
        <v>69</v>
      </c>
      <c r="AW1901" t="s">
        <v>22927</v>
      </c>
      <c r="AX1901" t="s">
        <v>22928</v>
      </c>
      <c r="AY1901" t="s">
        <v>837</v>
      </c>
      <c r="AZ1901">
        <v>2015</v>
      </c>
      <c r="BA1901">
        <v>21</v>
      </c>
      <c r="BB1901">
        <v>1</v>
      </c>
      <c r="BC1901" t="s">
        <v>69</v>
      </c>
      <c r="BD1901" t="s">
        <v>69</v>
      </c>
      <c r="BE1901" t="s">
        <v>69</v>
      </c>
      <c r="BF1901" t="s">
        <v>69</v>
      </c>
      <c r="BG1901">
        <v>37</v>
      </c>
      <c r="BH1901">
        <v>49</v>
      </c>
      <c r="BI1901" t="s">
        <v>69</v>
      </c>
      <c r="BJ1901" t="s">
        <v>3069</v>
      </c>
      <c r="BK1901" t="str">
        <f>HYPERLINK("http://dx.doi.org/10.1080/14445921.2015.1026133","http://dx.doi.org/10.1080/14445921.2015.1026133")</f>
        <v>http://dx.doi.org/10.1080/14445921.2015.1026133</v>
      </c>
      <c r="BL1901" t="s">
        <v>69</v>
      </c>
      <c r="BM1901" t="s">
        <v>69</v>
      </c>
      <c r="BN1901">
        <v>13</v>
      </c>
      <c r="BO1901" t="s">
        <v>8444</v>
      </c>
      <c r="BP1901" t="s">
        <v>8573</v>
      </c>
      <c r="BQ1901" t="s">
        <v>8594</v>
      </c>
      <c r="BR1901" t="s">
        <v>22929</v>
      </c>
      <c r="BS1901" t="s">
        <v>3070</v>
      </c>
      <c r="BT1901" t="s">
        <v>69</v>
      </c>
      <c r="BU1901" t="s">
        <v>69</v>
      </c>
      <c r="BV1901" t="s">
        <v>69</v>
      </c>
      <c r="BW1901" t="s">
        <v>69</v>
      </c>
      <c r="BX1901" t="s">
        <v>8526</v>
      </c>
      <c r="BY1901" t="str">
        <f>HYPERLINK("https%3A%2F%2Fwww.webofscience.com%2Fwos%2Fwoscc%2Ffull-record%2FWOS:000354261900003","View Full Record in Web of Science")</f>
        <v>View Full Record in Web of Science</v>
      </c>
    </row>
    <row r="1902" spans="1:77" x14ac:dyDescent="0.3">
      <c r="A1902" t="s">
        <v>8495</v>
      </c>
      <c r="B1902" s="12" t="s">
        <v>33045</v>
      </c>
      <c r="F1902" t="s">
        <v>67</v>
      </c>
      <c r="G1902" t="s">
        <v>4684</v>
      </c>
      <c r="H1902" t="s">
        <v>69</v>
      </c>
      <c r="I1902" t="s">
        <v>69</v>
      </c>
      <c r="J1902" t="s">
        <v>69</v>
      </c>
      <c r="K1902" s="3" t="s">
        <v>4685</v>
      </c>
      <c r="L1902" t="s">
        <v>69</v>
      </c>
      <c r="M1902" t="s">
        <v>69</v>
      </c>
      <c r="N1902" s="2" t="s">
        <v>4686</v>
      </c>
      <c r="O1902" t="s">
        <v>4687</v>
      </c>
      <c r="P1902" t="s">
        <v>69</v>
      </c>
      <c r="Q1902" t="s">
        <v>69</v>
      </c>
      <c r="R1902" t="s">
        <v>8505</v>
      </c>
      <c r="S1902" t="s">
        <v>8506</v>
      </c>
      <c r="T1902" t="s">
        <v>69</v>
      </c>
      <c r="U1902" t="s">
        <v>69</v>
      </c>
      <c r="V1902" t="s">
        <v>69</v>
      </c>
      <c r="W1902" t="s">
        <v>69</v>
      </c>
      <c r="X1902" t="s">
        <v>69</v>
      </c>
      <c r="Y1902" t="s">
        <v>28413</v>
      </c>
      <c r="Z1902" t="s">
        <v>28414</v>
      </c>
      <c r="AA1902" t="s">
        <v>4688</v>
      </c>
      <c r="AB1902" t="s">
        <v>28415</v>
      </c>
      <c r="AC1902" t="s">
        <v>69</v>
      </c>
      <c r="AD1902" t="s">
        <v>28416</v>
      </c>
      <c r="AE1902" t="s">
        <v>28417</v>
      </c>
      <c r="AF1902" t="s">
        <v>69</v>
      </c>
      <c r="AG1902" t="s">
        <v>69</v>
      </c>
      <c r="AH1902" t="s">
        <v>69</v>
      </c>
      <c r="AI1902" t="s">
        <v>69</v>
      </c>
      <c r="AJ1902" t="s">
        <v>69</v>
      </c>
      <c r="AK1902" t="s">
        <v>69</v>
      </c>
      <c r="AL1902">
        <v>94</v>
      </c>
      <c r="AM1902">
        <v>24</v>
      </c>
      <c r="AN1902">
        <v>24</v>
      </c>
      <c r="AO1902">
        <v>0</v>
      </c>
      <c r="AP1902">
        <v>48</v>
      </c>
      <c r="AQ1902" t="s">
        <v>8762</v>
      </c>
      <c r="AR1902" t="s">
        <v>8763</v>
      </c>
      <c r="AS1902" t="s">
        <v>8764</v>
      </c>
      <c r="AT1902" t="s">
        <v>4689</v>
      </c>
      <c r="AU1902" t="s">
        <v>69</v>
      </c>
      <c r="AV1902" t="s">
        <v>69</v>
      </c>
      <c r="AW1902" t="s">
        <v>28418</v>
      </c>
      <c r="AX1902" t="s">
        <v>28419</v>
      </c>
      <c r="AY1902" t="s">
        <v>84</v>
      </c>
      <c r="AZ1902">
        <v>2009</v>
      </c>
      <c r="BA1902">
        <v>40</v>
      </c>
      <c r="BB1902">
        <v>3</v>
      </c>
      <c r="BC1902" t="s">
        <v>69</v>
      </c>
      <c r="BD1902" t="s">
        <v>69</v>
      </c>
      <c r="BE1902" t="s">
        <v>69</v>
      </c>
      <c r="BF1902" t="s">
        <v>69</v>
      </c>
      <c r="BG1902">
        <v>289</v>
      </c>
      <c r="BH1902">
        <v>310</v>
      </c>
      <c r="BI1902" t="s">
        <v>69</v>
      </c>
      <c r="BJ1902" t="s">
        <v>4690</v>
      </c>
      <c r="BK1902" t="str">
        <f>HYPERLINK("http://dx.doi.org/10.1177/1350507609104341","http://dx.doi.org/10.1177/1350507609104341")</f>
        <v>http://dx.doi.org/10.1177/1350507609104341</v>
      </c>
      <c r="BL1902" t="s">
        <v>69</v>
      </c>
      <c r="BM1902" t="s">
        <v>69</v>
      </c>
      <c r="BN1902">
        <v>22</v>
      </c>
      <c r="BO1902" t="s">
        <v>9410</v>
      </c>
      <c r="BP1902" t="s">
        <v>8661</v>
      </c>
      <c r="BQ1902" t="s">
        <v>8594</v>
      </c>
      <c r="BR1902" t="s">
        <v>28420</v>
      </c>
      <c r="BS1902" t="s">
        <v>4691</v>
      </c>
      <c r="BT1902" t="s">
        <v>69</v>
      </c>
      <c r="BU1902" t="s">
        <v>69</v>
      </c>
      <c r="BV1902" t="s">
        <v>69</v>
      </c>
      <c r="BW1902" t="s">
        <v>69</v>
      </c>
      <c r="BX1902" t="s">
        <v>8526</v>
      </c>
      <c r="BY1902" t="str">
        <f>HYPERLINK("https%3A%2F%2Fwww.webofscience.com%2Fwos%2Fwoscc%2Ffull-record%2FWOS:000266876800005","View Full Record in Web of Science")</f>
        <v>View Full Record in Web of Science</v>
      </c>
    </row>
    <row r="1903" spans="1:77" ht="12.5" x14ac:dyDescent="0.25">
      <c r="A1903" t="s">
        <v>8495</v>
      </c>
      <c r="B1903" s="7" t="s">
        <v>32933</v>
      </c>
      <c r="C1903" s="7"/>
      <c r="D1903" s="7"/>
      <c r="E1903" s="7"/>
      <c r="F1903" t="s">
        <v>67</v>
      </c>
      <c r="G1903" t="s">
        <v>2946</v>
      </c>
      <c r="H1903" t="s">
        <v>69</v>
      </c>
      <c r="I1903" t="s">
        <v>69</v>
      </c>
      <c r="J1903" t="s">
        <v>69</v>
      </c>
      <c r="K1903" t="s">
        <v>2947</v>
      </c>
      <c r="L1903" t="s">
        <v>69</v>
      </c>
      <c r="M1903" t="s">
        <v>69</v>
      </c>
      <c r="N1903" t="s">
        <v>2948</v>
      </c>
      <c r="O1903" t="s">
        <v>2949</v>
      </c>
      <c r="P1903" t="s">
        <v>69</v>
      </c>
      <c r="Q1903" t="s">
        <v>69</v>
      </c>
      <c r="R1903" t="s">
        <v>8505</v>
      </c>
      <c r="S1903" t="s">
        <v>8442</v>
      </c>
      <c r="T1903" t="s">
        <v>69</v>
      </c>
      <c r="U1903" t="s">
        <v>69</v>
      </c>
      <c r="V1903" t="s">
        <v>69</v>
      </c>
      <c r="W1903" t="s">
        <v>69</v>
      </c>
      <c r="X1903" t="s">
        <v>69</v>
      </c>
      <c r="Y1903" t="s">
        <v>22206</v>
      </c>
      <c r="Z1903" t="s">
        <v>22207</v>
      </c>
      <c r="AA1903" t="s">
        <v>2950</v>
      </c>
      <c r="AB1903" t="s">
        <v>22208</v>
      </c>
      <c r="AC1903" t="s">
        <v>69</v>
      </c>
      <c r="AD1903" t="s">
        <v>22209</v>
      </c>
      <c r="AE1903" t="s">
        <v>22210</v>
      </c>
      <c r="AF1903" t="s">
        <v>22211</v>
      </c>
      <c r="AG1903" t="s">
        <v>22212</v>
      </c>
      <c r="AH1903" t="s">
        <v>22213</v>
      </c>
      <c r="AI1903" t="s">
        <v>11825</v>
      </c>
      <c r="AJ1903" t="s">
        <v>22214</v>
      </c>
      <c r="AK1903" t="s">
        <v>69</v>
      </c>
      <c r="AL1903">
        <v>101</v>
      </c>
      <c r="AM1903">
        <v>15</v>
      </c>
      <c r="AN1903">
        <v>15</v>
      </c>
      <c r="AO1903">
        <v>9</v>
      </c>
      <c r="AP1903">
        <v>20</v>
      </c>
      <c r="AQ1903" t="s">
        <v>8992</v>
      </c>
      <c r="AR1903" t="s">
        <v>8993</v>
      </c>
      <c r="AS1903" t="s">
        <v>8994</v>
      </c>
      <c r="AT1903" t="s">
        <v>69</v>
      </c>
      <c r="AU1903" t="s">
        <v>2951</v>
      </c>
      <c r="AV1903" t="s">
        <v>69</v>
      </c>
      <c r="AW1903" t="s">
        <v>10040</v>
      </c>
      <c r="AX1903" t="s">
        <v>10041</v>
      </c>
      <c r="AY1903" t="s">
        <v>69</v>
      </c>
      <c r="AZ1903">
        <v>2016</v>
      </c>
      <c r="BA1903">
        <v>3</v>
      </c>
      <c r="BB1903" t="s">
        <v>69</v>
      </c>
      <c r="BC1903" t="s">
        <v>69</v>
      </c>
      <c r="BD1903" t="s">
        <v>69</v>
      </c>
      <c r="BE1903" t="s">
        <v>69</v>
      </c>
      <c r="BF1903" t="s">
        <v>69</v>
      </c>
      <c r="BG1903" t="s">
        <v>69</v>
      </c>
      <c r="BH1903" t="s">
        <v>69</v>
      </c>
      <c r="BI1903">
        <v>248</v>
      </c>
      <c r="BJ1903" t="s">
        <v>2952</v>
      </c>
      <c r="BK1903" t="str">
        <f>HYPERLINK("http://dx.doi.org/10.3389/fmars.2016.00248","http://dx.doi.org/10.3389/fmars.2016.00248")</f>
        <v>http://dx.doi.org/10.3389/fmars.2016.00248</v>
      </c>
      <c r="BL1903" t="s">
        <v>69</v>
      </c>
      <c r="BM1903" t="s">
        <v>69</v>
      </c>
      <c r="BN1903">
        <v>14</v>
      </c>
      <c r="BO1903" t="s">
        <v>10043</v>
      </c>
      <c r="BP1903" t="s">
        <v>8548</v>
      </c>
      <c r="BQ1903" t="s">
        <v>10044</v>
      </c>
      <c r="BR1903" t="s">
        <v>22215</v>
      </c>
      <c r="BS1903" t="s">
        <v>2953</v>
      </c>
      <c r="BT1903" t="s">
        <v>69</v>
      </c>
      <c r="BU1903" t="s">
        <v>9352</v>
      </c>
      <c r="BV1903" t="s">
        <v>69</v>
      </c>
      <c r="BW1903" t="s">
        <v>69</v>
      </c>
      <c r="BX1903" t="s">
        <v>8526</v>
      </c>
      <c r="BY1903" t="str">
        <f>HYPERLINK("https%3A%2F%2Fwww.webofscience.com%2Fwos%2Fwoscc%2Ffull-record%2FWOS:000457358000244","View Full Record in Web of Science")</f>
        <v>View Full Record in Web of Science</v>
      </c>
    </row>
    <row r="1904" spans="1:77" ht="12.5" x14ac:dyDescent="0.25">
      <c r="A1904" t="s">
        <v>8495</v>
      </c>
      <c r="B1904" s="7" t="s">
        <v>32933</v>
      </c>
      <c r="C1904" s="7"/>
      <c r="D1904" s="7"/>
      <c r="E1904" s="7"/>
      <c r="F1904" t="s">
        <v>67</v>
      </c>
      <c r="G1904" t="s">
        <v>7347</v>
      </c>
      <c r="H1904" t="s">
        <v>69</v>
      </c>
      <c r="I1904" t="s">
        <v>69</v>
      </c>
      <c r="J1904" t="s">
        <v>69</v>
      </c>
      <c r="K1904" t="s">
        <v>7348</v>
      </c>
      <c r="L1904" t="s">
        <v>69</v>
      </c>
      <c r="M1904" t="s">
        <v>69</v>
      </c>
      <c r="N1904" t="s">
        <v>7349</v>
      </c>
      <c r="O1904" t="s">
        <v>3658</v>
      </c>
      <c r="P1904" t="s">
        <v>69</v>
      </c>
      <c r="Q1904" t="s">
        <v>69</v>
      </c>
      <c r="R1904" t="s">
        <v>8505</v>
      </c>
      <c r="S1904" t="s">
        <v>8506</v>
      </c>
      <c r="T1904" t="s">
        <v>69</v>
      </c>
      <c r="U1904" t="s">
        <v>69</v>
      </c>
      <c r="V1904" t="s">
        <v>69</v>
      </c>
      <c r="W1904" t="s">
        <v>69</v>
      </c>
      <c r="X1904" t="s">
        <v>69</v>
      </c>
      <c r="Y1904" t="s">
        <v>69</v>
      </c>
      <c r="Z1904" t="s">
        <v>17625</v>
      </c>
      <c r="AA1904" t="s">
        <v>7350</v>
      </c>
      <c r="AB1904" t="s">
        <v>17626</v>
      </c>
      <c r="AC1904" t="s">
        <v>69</v>
      </c>
      <c r="AD1904" t="s">
        <v>17627</v>
      </c>
      <c r="AE1904" t="s">
        <v>17628</v>
      </c>
      <c r="AF1904" t="s">
        <v>7351</v>
      </c>
      <c r="AG1904" t="s">
        <v>17629</v>
      </c>
      <c r="AH1904" t="s">
        <v>17630</v>
      </c>
      <c r="AI1904" t="s">
        <v>17630</v>
      </c>
      <c r="AJ1904" t="s">
        <v>17631</v>
      </c>
      <c r="AK1904" t="s">
        <v>69</v>
      </c>
      <c r="AL1904">
        <v>63</v>
      </c>
      <c r="AM1904">
        <v>23</v>
      </c>
      <c r="AN1904">
        <v>24</v>
      </c>
      <c r="AO1904">
        <v>2</v>
      </c>
      <c r="AP1904">
        <v>18</v>
      </c>
      <c r="AQ1904" t="s">
        <v>8865</v>
      </c>
      <c r="AR1904" t="s">
        <v>8612</v>
      </c>
      <c r="AS1904" t="s">
        <v>8866</v>
      </c>
      <c r="AT1904" t="s">
        <v>3660</v>
      </c>
      <c r="AU1904" t="s">
        <v>3661</v>
      </c>
      <c r="AV1904" t="s">
        <v>69</v>
      </c>
      <c r="AW1904" t="s">
        <v>17632</v>
      </c>
      <c r="AX1904" t="s">
        <v>17633</v>
      </c>
      <c r="AY1904" t="s">
        <v>837</v>
      </c>
      <c r="AZ1904">
        <v>2019</v>
      </c>
      <c r="BA1904">
        <v>29</v>
      </c>
      <c r="BB1904">
        <v>1</v>
      </c>
      <c r="BC1904" t="s">
        <v>69</v>
      </c>
      <c r="BD1904" t="s">
        <v>69</v>
      </c>
      <c r="BE1904" t="s">
        <v>114</v>
      </c>
      <c r="BF1904" t="s">
        <v>69</v>
      </c>
      <c r="BG1904">
        <v>27</v>
      </c>
      <c r="BH1904">
        <v>67</v>
      </c>
      <c r="BI1904" t="s">
        <v>69</v>
      </c>
      <c r="BJ1904" t="s">
        <v>7352</v>
      </c>
      <c r="BK1904" t="str">
        <f>HYPERLINK("http://dx.doi.org/10.1080/10474412.2018.1480376","http://dx.doi.org/10.1080/10474412.2018.1480376")</f>
        <v>http://dx.doi.org/10.1080/10474412.2018.1480376</v>
      </c>
      <c r="BL1904" t="s">
        <v>69</v>
      </c>
      <c r="BM1904" t="s">
        <v>69</v>
      </c>
      <c r="BN1904">
        <v>41</v>
      </c>
      <c r="BO1904" t="s">
        <v>11114</v>
      </c>
      <c r="BP1904" t="s">
        <v>8661</v>
      </c>
      <c r="BQ1904" t="s">
        <v>9001</v>
      </c>
      <c r="BR1904" t="s">
        <v>17634</v>
      </c>
      <c r="BS1904" t="s">
        <v>7353</v>
      </c>
      <c r="BT1904" t="s">
        <v>69</v>
      </c>
      <c r="BU1904" t="s">
        <v>69</v>
      </c>
      <c r="BV1904" t="s">
        <v>69</v>
      </c>
      <c r="BW1904" t="s">
        <v>69</v>
      </c>
      <c r="BX1904" t="s">
        <v>8526</v>
      </c>
      <c r="BY1904" t="str">
        <f>HYPERLINK("https%3A%2F%2Fwww.webofscience.com%2Fwos%2Fwoscc%2Ffull-record%2FWOS:000454069600003","View Full Record in Web of Science")</f>
        <v>View Full Record in Web of Science</v>
      </c>
    </row>
    <row r="1905" spans="1:77" ht="12.5" x14ac:dyDescent="0.25">
      <c r="A1905" t="s">
        <v>8495</v>
      </c>
      <c r="B1905" s="22" t="s">
        <v>32931</v>
      </c>
      <c r="C1905" s="7"/>
      <c r="D1905" s="7"/>
      <c r="E1905" s="7"/>
      <c r="F1905" t="s">
        <v>67</v>
      </c>
      <c r="G1905" t="s">
        <v>26447</v>
      </c>
      <c r="H1905" t="s">
        <v>69</v>
      </c>
      <c r="I1905" t="s">
        <v>69</v>
      </c>
      <c r="J1905" t="s">
        <v>69</v>
      </c>
      <c r="K1905" t="s">
        <v>26448</v>
      </c>
      <c r="L1905" t="s">
        <v>69</v>
      </c>
      <c r="M1905" t="s">
        <v>69</v>
      </c>
      <c r="N1905" t="s">
        <v>26449</v>
      </c>
      <c r="O1905" t="s">
        <v>26450</v>
      </c>
      <c r="P1905" t="s">
        <v>69</v>
      </c>
      <c r="Q1905" t="s">
        <v>69</v>
      </c>
      <c r="R1905" t="s">
        <v>8505</v>
      </c>
      <c r="S1905" t="s">
        <v>8442</v>
      </c>
      <c r="T1905" t="s">
        <v>69</v>
      </c>
      <c r="U1905" t="s">
        <v>69</v>
      </c>
      <c r="V1905" t="s">
        <v>69</v>
      </c>
      <c r="W1905" t="s">
        <v>69</v>
      </c>
      <c r="X1905" t="s">
        <v>69</v>
      </c>
      <c r="Y1905" t="s">
        <v>26451</v>
      </c>
      <c r="Z1905" t="s">
        <v>69</v>
      </c>
      <c r="AA1905" t="s">
        <v>26452</v>
      </c>
      <c r="AB1905" t="s">
        <v>26453</v>
      </c>
      <c r="AC1905" t="s">
        <v>69</v>
      </c>
      <c r="AD1905" t="s">
        <v>26454</v>
      </c>
      <c r="AE1905" t="s">
        <v>26455</v>
      </c>
      <c r="AF1905" t="s">
        <v>23727</v>
      </c>
      <c r="AG1905" t="s">
        <v>26456</v>
      </c>
      <c r="AH1905" t="s">
        <v>69</v>
      </c>
      <c r="AI1905" t="s">
        <v>69</v>
      </c>
      <c r="AJ1905" t="s">
        <v>69</v>
      </c>
      <c r="AK1905" t="s">
        <v>69</v>
      </c>
      <c r="AL1905">
        <v>34</v>
      </c>
      <c r="AM1905">
        <v>7</v>
      </c>
      <c r="AN1905">
        <v>7</v>
      </c>
      <c r="AO1905">
        <v>0</v>
      </c>
      <c r="AP1905">
        <v>0</v>
      </c>
      <c r="AQ1905" t="s">
        <v>26457</v>
      </c>
      <c r="AR1905" t="s">
        <v>8693</v>
      </c>
      <c r="AS1905" t="s">
        <v>26458</v>
      </c>
      <c r="AT1905" t="s">
        <v>26459</v>
      </c>
      <c r="AU1905" t="s">
        <v>26460</v>
      </c>
      <c r="AV1905" t="s">
        <v>69</v>
      </c>
      <c r="AW1905" t="s">
        <v>26461</v>
      </c>
      <c r="AX1905" t="s">
        <v>26462</v>
      </c>
      <c r="AY1905" t="s">
        <v>69</v>
      </c>
      <c r="AZ1905">
        <v>2012</v>
      </c>
      <c r="BA1905">
        <v>2</v>
      </c>
      <c r="BB1905">
        <v>1</v>
      </c>
      <c r="BC1905" t="s">
        <v>69</v>
      </c>
      <c r="BD1905" t="s">
        <v>69</v>
      </c>
      <c r="BE1905" t="s">
        <v>69</v>
      </c>
      <c r="BF1905" t="s">
        <v>69</v>
      </c>
      <c r="BG1905">
        <v>29</v>
      </c>
      <c r="BH1905">
        <v>39</v>
      </c>
      <c r="BI1905" t="s">
        <v>69</v>
      </c>
      <c r="BJ1905" t="s">
        <v>26463</v>
      </c>
      <c r="BK1905" t="str">
        <f>HYPERLINK("http://dx.doi.org/10.1891/2156-5287.2.1.29","http://dx.doi.org/10.1891/2156-5287.2.1.29")</f>
        <v>http://dx.doi.org/10.1891/2156-5287.2.1.29</v>
      </c>
      <c r="BL1905" t="s">
        <v>69</v>
      </c>
      <c r="BM1905" t="s">
        <v>69</v>
      </c>
      <c r="BN1905">
        <v>11</v>
      </c>
      <c r="BO1905" t="s">
        <v>16902</v>
      </c>
      <c r="BP1905" t="s">
        <v>8573</v>
      </c>
      <c r="BQ1905" t="s">
        <v>16902</v>
      </c>
      <c r="BR1905" t="s">
        <v>26464</v>
      </c>
      <c r="BS1905" t="s">
        <v>26465</v>
      </c>
      <c r="BT1905" t="s">
        <v>69</v>
      </c>
      <c r="BU1905" t="s">
        <v>69</v>
      </c>
      <c r="BV1905" t="s">
        <v>69</v>
      </c>
      <c r="BW1905" t="s">
        <v>69</v>
      </c>
      <c r="BX1905" t="s">
        <v>8526</v>
      </c>
      <c r="BY1905" t="str">
        <f>HYPERLINK("https%3A%2F%2Fwww.webofscience.com%2Fwos%2Fwoscc%2Ffull-record%2FWOS:000215473300005","View Full Record in Web of Science")</f>
        <v>View Full Record in Web of Science</v>
      </c>
    </row>
    <row r="1906" spans="1:77" ht="12.5" x14ac:dyDescent="0.25">
      <c r="A1906" t="s">
        <v>8495</v>
      </c>
      <c r="B1906" s="7" t="s">
        <v>32933</v>
      </c>
      <c r="C1906" s="7"/>
      <c r="D1906" s="7"/>
      <c r="E1906" s="7"/>
      <c r="F1906" t="s">
        <v>67</v>
      </c>
      <c r="G1906" t="s">
        <v>6286</v>
      </c>
      <c r="H1906" t="s">
        <v>69</v>
      </c>
      <c r="I1906" t="s">
        <v>69</v>
      </c>
      <c r="J1906" t="s">
        <v>69</v>
      </c>
      <c r="K1906" t="s">
        <v>6286</v>
      </c>
      <c r="L1906" t="s">
        <v>69</v>
      </c>
      <c r="M1906" t="s">
        <v>69</v>
      </c>
      <c r="N1906" t="s">
        <v>6287</v>
      </c>
      <c r="O1906" t="s">
        <v>6288</v>
      </c>
      <c r="P1906" t="s">
        <v>69</v>
      </c>
      <c r="Q1906" t="s">
        <v>69</v>
      </c>
      <c r="R1906" t="s">
        <v>8505</v>
      </c>
      <c r="S1906" t="s">
        <v>8506</v>
      </c>
      <c r="T1906" t="s">
        <v>69</v>
      </c>
      <c r="U1906" t="s">
        <v>69</v>
      </c>
      <c r="V1906" t="s">
        <v>69</v>
      </c>
      <c r="W1906" t="s">
        <v>69</v>
      </c>
      <c r="X1906" t="s">
        <v>69</v>
      </c>
      <c r="Y1906" t="s">
        <v>69</v>
      </c>
      <c r="Z1906" t="s">
        <v>32121</v>
      </c>
      <c r="AA1906" t="s">
        <v>6289</v>
      </c>
      <c r="AB1906" t="s">
        <v>32122</v>
      </c>
      <c r="AC1906" t="s">
        <v>69</v>
      </c>
      <c r="AD1906" t="s">
        <v>32123</v>
      </c>
      <c r="AE1906" t="s">
        <v>69</v>
      </c>
      <c r="AF1906" t="s">
        <v>69</v>
      </c>
      <c r="AG1906" t="s">
        <v>69</v>
      </c>
      <c r="AH1906" t="s">
        <v>69</v>
      </c>
      <c r="AI1906" t="s">
        <v>69</v>
      </c>
      <c r="AJ1906" t="s">
        <v>69</v>
      </c>
      <c r="AK1906" t="s">
        <v>69</v>
      </c>
      <c r="AL1906">
        <v>36</v>
      </c>
      <c r="AM1906">
        <v>16</v>
      </c>
      <c r="AN1906">
        <v>16</v>
      </c>
      <c r="AO1906">
        <v>0</v>
      </c>
      <c r="AP1906">
        <v>4</v>
      </c>
      <c r="AQ1906" t="s">
        <v>31715</v>
      </c>
      <c r="AR1906" t="s">
        <v>9048</v>
      </c>
      <c r="AS1906" t="s">
        <v>31716</v>
      </c>
      <c r="AT1906" t="s">
        <v>6290</v>
      </c>
      <c r="AU1906" t="s">
        <v>69</v>
      </c>
      <c r="AV1906" t="s">
        <v>69</v>
      </c>
      <c r="AW1906" t="s">
        <v>32124</v>
      </c>
      <c r="AX1906" t="s">
        <v>32125</v>
      </c>
      <c r="AY1906" t="s">
        <v>94</v>
      </c>
      <c r="AZ1906">
        <v>1998</v>
      </c>
      <c r="BA1906">
        <v>10</v>
      </c>
      <c r="BB1906">
        <v>2</v>
      </c>
      <c r="BC1906" t="s">
        <v>69</v>
      </c>
      <c r="BD1906" t="s">
        <v>69</v>
      </c>
      <c r="BE1906" t="s">
        <v>69</v>
      </c>
      <c r="BF1906" t="s">
        <v>69</v>
      </c>
      <c r="BG1906">
        <v>93</v>
      </c>
      <c r="BH1906">
        <v>101</v>
      </c>
      <c r="BI1906" t="s">
        <v>69</v>
      </c>
      <c r="BJ1906" t="s">
        <v>6291</v>
      </c>
      <c r="BK1906" t="str">
        <f>HYPERLINK("http://dx.doi.org/10.1023/A:1007995832554","http://dx.doi.org/10.1023/A:1007995832554")</f>
        <v>http://dx.doi.org/10.1023/A:1007995832554</v>
      </c>
      <c r="BL1906" t="s">
        <v>69</v>
      </c>
      <c r="BM1906" t="s">
        <v>69</v>
      </c>
      <c r="BN1906">
        <v>9</v>
      </c>
      <c r="BO1906" t="s">
        <v>30474</v>
      </c>
      <c r="BP1906" t="s">
        <v>8661</v>
      </c>
      <c r="BQ1906" t="s">
        <v>8594</v>
      </c>
      <c r="BR1906" t="s">
        <v>32126</v>
      </c>
      <c r="BS1906" t="s">
        <v>6292</v>
      </c>
      <c r="BT1906" t="s">
        <v>69</v>
      </c>
      <c r="BU1906" t="s">
        <v>69</v>
      </c>
      <c r="BV1906" t="s">
        <v>69</v>
      </c>
      <c r="BW1906" t="s">
        <v>69</v>
      </c>
      <c r="BX1906" t="s">
        <v>8526</v>
      </c>
      <c r="BY1906" t="str">
        <f>HYPERLINK("https%3A%2F%2Fwww.webofscience.com%2Fwos%2Fwoscc%2Ffull-record%2FWOS:000072340800003","View Full Record in Web of Science")</f>
        <v>View Full Record in Web of Science</v>
      </c>
    </row>
    <row r="1907" spans="1:77" ht="12.5" x14ac:dyDescent="0.25">
      <c r="A1907" t="s">
        <v>8495</v>
      </c>
      <c r="B1907" s="22" t="s">
        <v>32931</v>
      </c>
      <c r="C1907" s="7"/>
      <c r="D1907" s="7"/>
      <c r="E1907" s="7"/>
      <c r="F1907" t="s">
        <v>67</v>
      </c>
      <c r="G1907" t="s">
        <v>13369</v>
      </c>
      <c r="H1907" t="s">
        <v>69</v>
      </c>
      <c r="I1907" t="s">
        <v>69</v>
      </c>
      <c r="J1907" t="s">
        <v>69</v>
      </c>
      <c r="K1907" t="s">
        <v>13370</v>
      </c>
      <c r="L1907" t="s">
        <v>69</v>
      </c>
      <c r="M1907" t="s">
        <v>69</v>
      </c>
      <c r="N1907" t="s">
        <v>13371</v>
      </c>
      <c r="O1907" t="s">
        <v>13372</v>
      </c>
      <c r="P1907" t="s">
        <v>69</v>
      </c>
      <c r="Q1907" t="s">
        <v>69</v>
      </c>
      <c r="R1907" t="s">
        <v>8505</v>
      </c>
      <c r="S1907" t="s">
        <v>8506</v>
      </c>
      <c r="T1907" t="s">
        <v>69</v>
      </c>
      <c r="U1907" t="s">
        <v>69</v>
      </c>
      <c r="V1907" t="s">
        <v>69</v>
      </c>
      <c r="W1907" t="s">
        <v>69</v>
      </c>
      <c r="X1907" t="s">
        <v>69</v>
      </c>
      <c r="Y1907" t="s">
        <v>13373</v>
      </c>
      <c r="Z1907" t="s">
        <v>13374</v>
      </c>
      <c r="AA1907" t="s">
        <v>13375</v>
      </c>
      <c r="AB1907" t="s">
        <v>13376</v>
      </c>
      <c r="AC1907" t="s">
        <v>69</v>
      </c>
      <c r="AD1907" t="s">
        <v>13377</v>
      </c>
      <c r="AE1907" t="s">
        <v>13378</v>
      </c>
      <c r="AF1907" t="s">
        <v>13379</v>
      </c>
      <c r="AG1907" t="s">
        <v>13380</v>
      </c>
      <c r="AH1907" t="s">
        <v>13381</v>
      </c>
      <c r="AI1907" t="s">
        <v>13382</v>
      </c>
      <c r="AJ1907" t="s">
        <v>13383</v>
      </c>
      <c r="AK1907" t="s">
        <v>69</v>
      </c>
      <c r="AL1907">
        <v>70</v>
      </c>
      <c r="AM1907">
        <v>13</v>
      </c>
      <c r="AN1907">
        <v>13</v>
      </c>
      <c r="AO1907">
        <v>9</v>
      </c>
      <c r="AP1907">
        <v>48</v>
      </c>
      <c r="AQ1907" t="s">
        <v>8636</v>
      </c>
      <c r="AR1907" t="s">
        <v>8637</v>
      </c>
      <c r="AS1907" t="s">
        <v>8638</v>
      </c>
      <c r="AT1907" t="s">
        <v>13384</v>
      </c>
      <c r="AU1907" t="s">
        <v>13385</v>
      </c>
      <c r="AV1907" t="s">
        <v>69</v>
      </c>
      <c r="AW1907" t="s">
        <v>13386</v>
      </c>
      <c r="AX1907" t="s">
        <v>13387</v>
      </c>
      <c r="AY1907" t="s">
        <v>586</v>
      </c>
      <c r="AZ1907">
        <v>2021</v>
      </c>
      <c r="BA1907">
        <v>58</v>
      </c>
      <c r="BB1907">
        <v>3</v>
      </c>
      <c r="BC1907" t="s">
        <v>69</v>
      </c>
      <c r="BD1907" t="s">
        <v>69</v>
      </c>
      <c r="BE1907" t="s">
        <v>69</v>
      </c>
      <c r="BF1907" t="s">
        <v>69</v>
      </c>
      <c r="BG1907" t="s">
        <v>69</v>
      </c>
      <c r="BH1907" t="s">
        <v>69</v>
      </c>
      <c r="BI1907">
        <v>102516</v>
      </c>
      <c r="BJ1907" t="s">
        <v>13388</v>
      </c>
      <c r="BK1907" t="str">
        <f>HYPERLINK("http://dx.doi.org/10.1016/j.ipm.2021.102516","http://dx.doi.org/10.1016/j.ipm.2021.102516")</f>
        <v>http://dx.doi.org/10.1016/j.ipm.2021.102516</v>
      </c>
      <c r="BL1907" t="s">
        <v>69</v>
      </c>
      <c r="BM1907" t="s">
        <v>300</v>
      </c>
      <c r="BN1907">
        <v>17</v>
      </c>
      <c r="BO1907" t="s">
        <v>13389</v>
      </c>
      <c r="BP1907" t="s">
        <v>8523</v>
      </c>
      <c r="BQ1907" t="s">
        <v>10632</v>
      </c>
      <c r="BR1907" t="s">
        <v>13390</v>
      </c>
      <c r="BS1907" t="s">
        <v>13391</v>
      </c>
      <c r="BT1907" t="s">
        <v>69</v>
      </c>
      <c r="BU1907" t="s">
        <v>69</v>
      </c>
      <c r="BV1907" t="s">
        <v>69</v>
      </c>
      <c r="BW1907" t="s">
        <v>69</v>
      </c>
      <c r="BX1907" t="s">
        <v>8526</v>
      </c>
      <c r="BY1907" t="str">
        <f>HYPERLINK("https%3A%2F%2Fwww.webofscience.com%2Fwos%2Fwoscc%2Ffull-record%2FWOS:000633034700008","View Full Record in Web of Science")</f>
        <v>View Full Record in Web of Science</v>
      </c>
    </row>
    <row r="1908" spans="1:77" x14ac:dyDescent="0.3">
      <c r="A1908" t="s">
        <v>8495</v>
      </c>
      <c r="B1908" s="9" t="s">
        <v>32954</v>
      </c>
      <c r="C1908" s="9" t="s">
        <v>33096</v>
      </c>
      <c r="E1908" s="9" t="s">
        <v>8490</v>
      </c>
      <c r="F1908" t="s">
        <v>67</v>
      </c>
      <c r="G1908" t="s">
        <v>18655</v>
      </c>
      <c r="H1908" t="s">
        <v>69</v>
      </c>
      <c r="I1908" t="s">
        <v>69</v>
      </c>
      <c r="J1908" t="s">
        <v>69</v>
      </c>
      <c r="K1908" t="s">
        <v>18656</v>
      </c>
      <c r="L1908" t="s">
        <v>69</v>
      </c>
      <c r="M1908" t="s">
        <v>69</v>
      </c>
      <c r="N1908" t="s">
        <v>18657</v>
      </c>
      <c r="O1908" t="s">
        <v>18658</v>
      </c>
      <c r="P1908" t="s">
        <v>69</v>
      </c>
      <c r="Q1908" t="s">
        <v>69</v>
      </c>
      <c r="R1908" t="s">
        <v>8505</v>
      </c>
      <c r="S1908" t="s">
        <v>8506</v>
      </c>
      <c r="T1908" t="s">
        <v>69</v>
      </c>
      <c r="U1908" t="s">
        <v>69</v>
      </c>
      <c r="V1908" t="s">
        <v>69</v>
      </c>
      <c r="W1908" t="s">
        <v>69</v>
      </c>
      <c r="X1908" t="s">
        <v>69</v>
      </c>
      <c r="Y1908" t="s">
        <v>18659</v>
      </c>
      <c r="Z1908" t="s">
        <v>18660</v>
      </c>
      <c r="AA1908" t="s">
        <v>18661</v>
      </c>
      <c r="AB1908" t="s">
        <v>18662</v>
      </c>
      <c r="AC1908" t="s">
        <v>69</v>
      </c>
      <c r="AD1908" t="s">
        <v>18663</v>
      </c>
      <c r="AE1908" t="s">
        <v>18664</v>
      </c>
      <c r="AF1908" t="s">
        <v>18665</v>
      </c>
      <c r="AG1908" t="s">
        <v>69</v>
      </c>
      <c r="AH1908" t="s">
        <v>69</v>
      </c>
      <c r="AI1908" t="s">
        <v>69</v>
      </c>
      <c r="AJ1908" t="s">
        <v>69</v>
      </c>
      <c r="AK1908" t="s">
        <v>69</v>
      </c>
      <c r="AL1908">
        <v>52</v>
      </c>
      <c r="AM1908">
        <v>3</v>
      </c>
      <c r="AN1908">
        <v>4</v>
      </c>
      <c r="AO1908">
        <v>1</v>
      </c>
      <c r="AP1908">
        <v>25</v>
      </c>
      <c r="AQ1908" t="s">
        <v>9047</v>
      </c>
      <c r="AR1908" t="s">
        <v>8693</v>
      </c>
      <c r="AS1908" t="s">
        <v>16643</v>
      </c>
      <c r="AT1908" t="s">
        <v>18666</v>
      </c>
      <c r="AU1908" t="s">
        <v>18667</v>
      </c>
      <c r="AV1908" t="s">
        <v>69</v>
      </c>
      <c r="AW1908" t="s">
        <v>18668</v>
      </c>
      <c r="AX1908" t="s">
        <v>18669</v>
      </c>
      <c r="AY1908" t="s">
        <v>155</v>
      </c>
      <c r="AZ1908">
        <v>2018</v>
      </c>
      <c r="BA1908">
        <v>31</v>
      </c>
      <c r="BB1908">
        <v>2</v>
      </c>
      <c r="BC1908" t="s">
        <v>69</v>
      </c>
      <c r="BD1908" t="s">
        <v>69</v>
      </c>
      <c r="BE1908" t="s">
        <v>114</v>
      </c>
      <c r="BF1908" t="s">
        <v>69</v>
      </c>
      <c r="BG1908">
        <v>179</v>
      </c>
      <c r="BH1908">
        <v>192</v>
      </c>
      <c r="BI1908" t="s">
        <v>69</v>
      </c>
      <c r="BJ1908" t="s">
        <v>18670</v>
      </c>
      <c r="BK1908" t="str">
        <f>HYPERLINK("http://dx.doi.org/10.1007/s10767-018-9278-x","http://dx.doi.org/10.1007/s10767-018-9278-x")</f>
        <v>http://dx.doi.org/10.1007/s10767-018-9278-x</v>
      </c>
      <c r="BL1908" t="s">
        <v>69</v>
      </c>
      <c r="BM1908" t="s">
        <v>69</v>
      </c>
      <c r="BN1908">
        <v>14</v>
      </c>
      <c r="BO1908" t="s">
        <v>13241</v>
      </c>
      <c r="BP1908" t="s">
        <v>8573</v>
      </c>
      <c r="BQ1908" t="s">
        <v>10084</v>
      </c>
      <c r="BR1908" t="s">
        <v>18671</v>
      </c>
      <c r="BS1908" t="s">
        <v>18672</v>
      </c>
      <c r="BT1908" t="s">
        <v>69</v>
      </c>
      <c r="BU1908" t="s">
        <v>69</v>
      </c>
      <c r="BV1908" t="s">
        <v>69</v>
      </c>
      <c r="BW1908" t="s">
        <v>69</v>
      </c>
      <c r="BX1908" t="s">
        <v>8526</v>
      </c>
      <c r="BY1908" t="str">
        <f>HYPERLINK("https%3A%2F%2Fwww.webofscience.com%2Fwos%2Fwoscc%2Ffull-record%2FWOS:000451783300005","View Full Record in Web of Science")</f>
        <v>View Full Record in Web of Science</v>
      </c>
    </row>
    <row r="1909" spans="1:77" x14ac:dyDescent="0.3">
      <c r="A1909" t="s">
        <v>8495</v>
      </c>
      <c r="B1909" s="9" t="s">
        <v>32954</v>
      </c>
      <c r="C1909" s="9" t="s">
        <v>33095</v>
      </c>
      <c r="D1909" s="10" t="s">
        <v>8490</v>
      </c>
      <c r="E1909" s="9" t="s">
        <v>8490</v>
      </c>
      <c r="F1909" t="s">
        <v>67</v>
      </c>
      <c r="G1909" t="s">
        <v>14996</v>
      </c>
      <c r="H1909" t="s">
        <v>69</v>
      </c>
      <c r="I1909" t="s">
        <v>69</v>
      </c>
      <c r="J1909" t="s">
        <v>69</v>
      </c>
      <c r="K1909" t="s">
        <v>14997</v>
      </c>
      <c r="L1909" t="s">
        <v>69</v>
      </c>
      <c r="M1909" t="s">
        <v>69</v>
      </c>
      <c r="N1909" t="s">
        <v>14998</v>
      </c>
      <c r="O1909" t="s">
        <v>967</v>
      </c>
      <c r="P1909" t="s">
        <v>69</v>
      </c>
      <c r="Q1909" t="s">
        <v>69</v>
      </c>
      <c r="R1909" t="s">
        <v>8505</v>
      </c>
      <c r="S1909" t="s">
        <v>8506</v>
      </c>
      <c r="T1909" t="s">
        <v>69</v>
      </c>
      <c r="U1909" t="s">
        <v>69</v>
      </c>
      <c r="V1909" t="s">
        <v>69</v>
      </c>
      <c r="W1909" t="s">
        <v>69</v>
      </c>
      <c r="X1909" t="s">
        <v>69</v>
      </c>
      <c r="Y1909" t="s">
        <v>14999</v>
      </c>
      <c r="Z1909" t="s">
        <v>15000</v>
      </c>
      <c r="AA1909" t="s">
        <v>15001</v>
      </c>
      <c r="AB1909" t="s">
        <v>15002</v>
      </c>
      <c r="AC1909" t="s">
        <v>69</v>
      </c>
      <c r="AD1909" t="s">
        <v>15003</v>
      </c>
      <c r="AE1909" t="s">
        <v>15004</v>
      </c>
      <c r="AF1909" t="s">
        <v>69</v>
      </c>
      <c r="AG1909" t="s">
        <v>15005</v>
      </c>
      <c r="AH1909" t="s">
        <v>15006</v>
      </c>
      <c r="AI1909" t="s">
        <v>15007</v>
      </c>
      <c r="AJ1909" t="s">
        <v>15008</v>
      </c>
      <c r="AK1909" t="s">
        <v>69</v>
      </c>
      <c r="AL1909">
        <v>81</v>
      </c>
      <c r="AM1909">
        <v>18</v>
      </c>
      <c r="AN1909">
        <v>18</v>
      </c>
      <c r="AO1909">
        <v>2</v>
      </c>
      <c r="AP1909">
        <v>13</v>
      </c>
      <c r="AQ1909" t="s">
        <v>8865</v>
      </c>
      <c r="AR1909" t="s">
        <v>8612</v>
      </c>
      <c r="AS1909" t="s">
        <v>8866</v>
      </c>
      <c r="AT1909" t="s">
        <v>969</v>
      </c>
      <c r="AU1909" t="s">
        <v>970</v>
      </c>
      <c r="AV1909" t="s">
        <v>69</v>
      </c>
      <c r="AW1909" t="s">
        <v>8867</v>
      </c>
      <c r="AX1909" t="s">
        <v>8868</v>
      </c>
      <c r="AY1909" t="s">
        <v>15009</v>
      </c>
      <c r="AZ1909">
        <v>2020</v>
      </c>
      <c r="BA1909">
        <v>111</v>
      </c>
      <c r="BB1909">
        <v>2</v>
      </c>
      <c r="BC1909" t="s">
        <v>69</v>
      </c>
      <c r="BD1909" t="s">
        <v>69</v>
      </c>
      <c r="BE1909" t="s">
        <v>69</v>
      </c>
      <c r="BF1909" t="s">
        <v>69</v>
      </c>
      <c r="BG1909">
        <v>343</v>
      </c>
      <c r="BH1909">
        <v>363</v>
      </c>
      <c r="BI1909" t="s">
        <v>69</v>
      </c>
      <c r="BJ1909" t="s">
        <v>15010</v>
      </c>
      <c r="BK1909" t="str">
        <f>HYPERLINK("http://dx.doi.org/10.1080/24694452.2020.1774349","http://dx.doi.org/10.1080/24694452.2020.1774349")</f>
        <v>http://dx.doi.org/10.1080/24694452.2020.1774349</v>
      </c>
      <c r="BL1909" t="s">
        <v>69</v>
      </c>
      <c r="BM1909" t="s">
        <v>4582</v>
      </c>
      <c r="BN1909">
        <v>21</v>
      </c>
      <c r="BO1909" t="s">
        <v>8446</v>
      </c>
      <c r="BP1909" t="s">
        <v>8661</v>
      </c>
      <c r="BQ1909" t="s">
        <v>8446</v>
      </c>
      <c r="BR1909" t="s">
        <v>15011</v>
      </c>
      <c r="BS1909" t="s">
        <v>15012</v>
      </c>
      <c r="BT1909" t="s">
        <v>69</v>
      </c>
      <c r="BU1909" t="s">
        <v>69</v>
      </c>
      <c r="BV1909" t="s">
        <v>69</v>
      </c>
      <c r="BW1909" t="s">
        <v>69</v>
      </c>
      <c r="BX1909" t="s">
        <v>8526</v>
      </c>
      <c r="BY1909" t="str">
        <f>HYPERLINK("https%3A%2F%2Fwww.webofscience.com%2Fwos%2Fwoscc%2Ffull-record%2FWOS:000555163600001","View Full Record in Web of Science")</f>
        <v>View Full Record in Web of Science</v>
      </c>
    </row>
    <row r="1910" spans="1:77" ht="12.5" x14ac:dyDescent="0.25">
      <c r="A1910" t="s">
        <v>8495</v>
      </c>
      <c r="B1910" s="22" t="s">
        <v>32931</v>
      </c>
      <c r="C1910" s="7"/>
      <c r="D1910" s="7"/>
      <c r="E1910" s="7"/>
      <c r="F1910" t="s">
        <v>67</v>
      </c>
      <c r="G1910" t="s">
        <v>29101</v>
      </c>
      <c r="H1910" t="s">
        <v>69</v>
      </c>
      <c r="I1910" t="s">
        <v>69</v>
      </c>
      <c r="J1910" t="s">
        <v>69</v>
      </c>
      <c r="K1910" t="s">
        <v>29102</v>
      </c>
      <c r="L1910" t="s">
        <v>69</v>
      </c>
      <c r="M1910" t="s">
        <v>69</v>
      </c>
      <c r="N1910" t="s">
        <v>29103</v>
      </c>
      <c r="O1910" t="s">
        <v>12117</v>
      </c>
      <c r="P1910" t="s">
        <v>69</v>
      </c>
      <c r="Q1910" t="s">
        <v>69</v>
      </c>
      <c r="R1910" t="s">
        <v>8505</v>
      </c>
      <c r="S1910" t="s">
        <v>8506</v>
      </c>
      <c r="T1910" t="s">
        <v>69</v>
      </c>
      <c r="U1910" t="s">
        <v>69</v>
      </c>
      <c r="V1910" t="s">
        <v>69</v>
      </c>
      <c r="W1910" t="s">
        <v>69</v>
      </c>
      <c r="X1910" t="s">
        <v>69</v>
      </c>
      <c r="Y1910" t="s">
        <v>29104</v>
      </c>
      <c r="Z1910" t="s">
        <v>69</v>
      </c>
      <c r="AA1910" t="s">
        <v>29105</v>
      </c>
      <c r="AB1910" t="s">
        <v>29106</v>
      </c>
      <c r="AC1910" t="s">
        <v>69</v>
      </c>
      <c r="AD1910" t="s">
        <v>29107</v>
      </c>
      <c r="AE1910" t="s">
        <v>29108</v>
      </c>
      <c r="AF1910" t="s">
        <v>69</v>
      </c>
      <c r="AG1910" t="s">
        <v>29109</v>
      </c>
      <c r="AH1910" t="s">
        <v>69</v>
      </c>
      <c r="AI1910" t="s">
        <v>69</v>
      </c>
      <c r="AJ1910" t="s">
        <v>69</v>
      </c>
      <c r="AK1910" t="s">
        <v>69</v>
      </c>
      <c r="AL1910">
        <v>41</v>
      </c>
      <c r="AM1910">
        <v>15</v>
      </c>
      <c r="AN1910">
        <v>15</v>
      </c>
      <c r="AO1910">
        <v>0</v>
      </c>
      <c r="AP1910">
        <v>9</v>
      </c>
      <c r="AQ1910" t="s">
        <v>21110</v>
      </c>
      <c r="AR1910" t="s">
        <v>26670</v>
      </c>
      <c r="AS1910" t="s">
        <v>26671</v>
      </c>
      <c r="AT1910" t="s">
        <v>12126</v>
      </c>
      <c r="AU1910" t="s">
        <v>69</v>
      </c>
      <c r="AV1910" t="s">
        <v>69</v>
      </c>
      <c r="AW1910" t="s">
        <v>12128</v>
      </c>
      <c r="AX1910" t="s">
        <v>12129</v>
      </c>
      <c r="AY1910" t="s">
        <v>1774</v>
      </c>
      <c r="AZ1910">
        <v>2008</v>
      </c>
      <c r="BA1910">
        <v>15</v>
      </c>
      <c r="BB1910">
        <v>5</v>
      </c>
      <c r="BC1910" t="s">
        <v>69</v>
      </c>
      <c r="BD1910" t="s">
        <v>69</v>
      </c>
      <c r="BE1910" t="s">
        <v>69</v>
      </c>
      <c r="BF1910" t="s">
        <v>69</v>
      </c>
      <c r="BG1910">
        <v>270</v>
      </c>
      <c r="BH1910">
        <v>280</v>
      </c>
      <c r="BI1910" t="s">
        <v>69</v>
      </c>
      <c r="BJ1910" t="s">
        <v>29110</v>
      </c>
      <c r="BK1910" t="str">
        <f>HYPERLINK("http://dx.doi.org/10.1002/csr.152","http://dx.doi.org/10.1002/csr.152")</f>
        <v>http://dx.doi.org/10.1002/csr.152</v>
      </c>
      <c r="BL1910" t="s">
        <v>69</v>
      </c>
      <c r="BM1910" t="s">
        <v>69</v>
      </c>
      <c r="BN1910">
        <v>11</v>
      </c>
      <c r="BO1910" t="s">
        <v>9113</v>
      </c>
      <c r="BP1910" t="s">
        <v>8661</v>
      </c>
      <c r="BQ1910" t="s">
        <v>9114</v>
      </c>
      <c r="BR1910" t="s">
        <v>29111</v>
      </c>
      <c r="BS1910" t="s">
        <v>29112</v>
      </c>
      <c r="BT1910" t="s">
        <v>69</v>
      </c>
      <c r="BU1910" t="s">
        <v>69</v>
      </c>
      <c r="BV1910" t="s">
        <v>69</v>
      </c>
      <c r="BW1910" t="s">
        <v>69</v>
      </c>
      <c r="BX1910" t="s">
        <v>8526</v>
      </c>
      <c r="BY1910" t="str">
        <f>HYPERLINK("https%3A%2F%2Fwww.webofscience.com%2Fwos%2Fwoscc%2Ffull-record%2FWOS:000207980500003","View Full Record in Web of Science")</f>
        <v>View Full Record in Web of Science</v>
      </c>
    </row>
    <row r="1911" spans="1:77" x14ac:dyDescent="0.3">
      <c r="A1911" t="s">
        <v>8495</v>
      </c>
      <c r="B1911" s="9" t="s">
        <v>32954</v>
      </c>
      <c r="C1911" s="9" t="s">
        <v>33094</v>
      </c>
      <c r="D1911" s="10" t="s">
        <v>8490</v>
      </c>
      <c r="E1911" s="9" t="s">
        <v>8490</v>
      </c>
      <c r="F1911" t="s">
        <v>67</v>
      </c>
      <c r="G1911" t="s">
        <v>9935</v>
      </c>
      <c r="H1911" t="s">
        <v>69</v>
      </c>
      <c r="I1911" t="s">
        <v>69</v>
      </c>
      <c r="J1911" t="s">
        <v>69</v>
      </c>
      <c r="K1911" t="s">
        <v>9936</v>
      </c>
      <c r="L1911" t="s">
        <v>69</v>
      </c>
      <c r="M1911" t="s">
        <v>69</v>
      </c>
      <c r="N1911" t="s">
        <v>9937</v>
      </c>
      <c r="O1911" t="s">
        <v>9938</v>
      </c>
      <c r="P1911" t="s">
        <v>69</v>
      </c>
      <c r="Q1911" t="s">
        <v>69</v>
      </c>
      <c r="R1911" t="s">
        <v>8505</v>
      </c>
      <c r="S1911" t="s">
        <v>50</v>
      </c>
      <c r="T1911" t="s">
        <v>69</v>
      </c>
      <c r="U1911" t="s">
        <v>69</v>
      </c>
      <c r="V1911" t="s">
        <v>69</v>
      </c>
      <c r="W1911" t="s">
        <v>69</v>
      </c>
      <c r="X1911" t="s">
        <v>69</v>
      </c>
      <c r="Y1911" t="s">
        <v>9939</v>
      </c>
      <c r="Z1911" t="s">
        <v>69</v>
      </c>
      <c r="AA1911" t="s">
        <v>69</v>
      </c>
      <c r="AB1911" t="s">
        <v>69</v>
      </c>
      <c r="AC1911" t="s">
        <v>69</v>
      </c>
      <c r="AD1911" t="s">
        <v>69</v>
      </c>
      <c r="AE1911" t="s">
        <v>69</v>
      </c>
      <c r="AF1911" t="s">
        <v>69</v>
      </c>
      <c r="AG1911" t="s">
        <v>69</v>
      </c>
      <c r="AH1911" t="s">
        <v>69</v>
      </c>
      <c r="AI1911" t="s">
        <v>69</v>
      </c>
      <c r="AJ1911" t="s">
        <v>69</v>
      </c>
      <c r="AK1911" t="s">
        <v>69</v>
      </c>
      <c r="AL1911">
        <v>0</v>
      </c>
      <c r="AM1911">
        <v>0</v>
      </c>
      <c r="AN1911">
        <v>0</v>
      </c>
      <c r="AO1911">
        <v>0</v>
      </c>
      <c r="AP1911">
        <v>0</v>
      </c>
      <c r="AQ1911" t="s">
        <v>9554</v>
      </c>
      <c r="AR1911" t="s">
        <v>9555</v>
      </c>
      <c r="AS1911" t="s">
        <v>9556</v>
      </c>
      <c r="AT1911" t="s">
        <v>9940</v>
      </c>
      <c r="AU1911" t="s">
        <v>9941</v>
      </c>
      <c r="AV1911" t="s">
        <v>69</v>
      </c>
      <c r="AW1911" t="s">
        <v>9942</v>
      </c>
      <c r="AX1911" t="s">
        <v>9943</v>
      </c>
      <c r="AY1911" t="s">
        <v>191</v>
      </c>
      <c r="AZ1911">
        <v>2022</v>
      </c>
      <c r="BA1911">
        <v>37</v>
      </c>
      <c r="BB1911">
        <v>1</v>
      </c>
      <c r="BC1911" t="s">
        <v>69</v>
      </c>
      <c r="BD1911" t="s">
        <v>69</v>
      </c>
      <c r="BE1911" t="s">
        <v>69</v>
      </c>
      <c r="BF1911">
        <v>2019</v>
      </c>
      <c r="BG1911">
        <v>111</v>
      </c>
      <c r="BH1911">
        <v>111</v>
      </c>
      <c r="BI1911" t="s">
        <v>69</v>
      </c>
      <c r="BJ1911" t="s">
        <v>69</v>
      </c>
      <c r="BK1911" t="s">
        <v>69</v>
      </c>
      <c r="BL1911" t="s">
        <v>69</v>
      </c>
      <c r="BM1911" t="s">
        <v>69</v>
      </c>
      <c r="BN1911">
        <v>1</v>
      </c>
      <c r="BO1911" t="s">
        <v>9944</v>
      </c>
      <c r="BP1911" t="s">
        <v>8661</v>
      </c>
      <c r="BQ1911" t="s">
        <v>9945</v>
      </c>
      <c r="BR1911" t="s">
        <v>9946</v>
      </c>
      <c r="BS1911" t="s">
        <v>9947</v>
      </c>
      <c r="BT1911" t="s">
        <v>69</v>
      </c>
      <c r="BU1911" t="s">
        <v>69</v>
      </c>
      <c r="BV1911" t="s">
        <v>69</v>
      </c>
      <c r="BW1911" t="s">
        <v>69</v>
      </c>
      <c r="BX1911" t="s">
        <v>8526</v>
      </c>
      <c r="BY1911" t="str">
        <f>HYPERLINK("https%3A%2F%2Fwww.webofscience.com%2Fwos%2Fwoscc%2Ffull-record%2FWOS:000767392200021","View Full Record in Web of Science")</f>
        <v>View Full Record in Web of Science</v>
      </c>
    </row>
    <row r="1912" spans="1:77" x14ac:dyDescent="0.3">
      <c r="A1912" t="s">
        <v>8495</v>
      </c>
      <c r="B1912" s="10" t="s">
        <v>33046</v>
      </c>
      <c r="F1912" t="s">
        <v>67</v>
      </c>
      <c r="G1912" t="s">
        <v>3196</v>
      </c>
      <c r="H1912" t="s">
        <v>69</v>
      </c>
      <c r="I1912" t="s">
        <v>69</v>
      </c>
      <c r="J1912" t="s">
        <v>69</v>
      </c>
      <c r="K1912" t="s">
        <v>3197</v>
      </c>
      <c r="L1912" t="s">
        <v>69</v>
      </c>
      <c r="M1912" t="s">
        <v>69</v>
      </c>
      <c r="N1912" s="6" t="s">
        <v>3198</v>
      </c>
      <c r="O1912" t="s">
        <v>3199</v>
      </c>
      <c r="P1912" t="s">
        <v>69</v>
      </c>
      <c r="Q1912" t="s">
        <v>69</v>
      </c>
      <c r="R1912" t="s">
        <v>8505</v>
      </c>
      <c r="S1912" t="s">
        <v>8506</v>
      </c>
      <c r="T1912" t="s">
        <v>69</v>
      </c>
      <c r="U1912" t="s">
        <v>69</v>
      </c>
      <c r="V1912" t="s">
        <v>69</v>
      </c>
      <c r="W1912" t="s">
        <v>69</v>
      </c>
      <c r="X1912" t="s">
        <v>69</v>
      </c>
      <c r="Y1912" t="s">
        <v>23837</v>
      </c>
      <c r="Z1912" t="s">
        <v>23838</v>
      </c>
      <c r="AA1912" t="s">
        <v>3200</v>
      </c>
      <c r="AB1912" t="s">
        <v>23839</v>
      </c>
      <c r="AC1912" t="s">
        <v>69</v>
      </c>
      <c r="AD1912" t="s">
        <v>23840</v>
      </c>
      <c r="AE1912" t="s">
        <v>23841</v>
      </c>
      <c r="AF1912" t="s">
        <v>23842</v>
      </c>
      <c r="AG1912" t="s">
        <v>23843</v>
      </c>
      <c r="AH1912" t="s">
        <v>69</v>
      </c>
      <c r="AI1912" t="s">
        <v>69</v>
      </c>
      <c r="AJ1912" t="s">
        <v>69</v>
      </c>
      <c r="AK1912" t="s">
        <v>69</v>
      </c>
      <c r="AL1912">
        <v>106</v>
      </c>
      <c r="AM1912">
        <v>39</v>
      </c>
      <c r="AN1912">
        <v>41</v>
      </c>
      <c r="AO1912">
        <v>0</v>
      </c>
      <c r="AP1912">
        <v>10</v>
      </c>
      <c r="AQ1912" t="s">
        <v>8636</v>
      </c>
      <c r="AR1912" t="s">
        <v>8637</v>
      </c>
      <c r="AS1912" t="s">
        <v>8638</v>
      </c>
      <c r="AT1912" t="s">
        <v>3201</v>
      </c>
      <c r="AU1912" t="s">
        <v>3202</v>
      </c>
      <c r="AV1912" t="s">
        <v>69</v>
      </c>
      <c r="AW1912" t="s">
        <v>14078</v>
      </c>
      <c r="AX1912" t="s">
        <v>14079</v>
      </c>
      <c r="AY1912" t="s">
        <v>586</v>
      </c>
      <c r="AZ1912">
        <v>2014</v>
      </c>
      <c r="BA1912">
        <v>40</v>
      </c>
      <c r="BB1912" t="s">
        <v>69</v>
      </c>
      <c r="BC1912" t="s">
        <v>69</v>
      </c>
      <c r="BD1912" t="s">
        <v>69</v>
      </c>
      <c r="BE1912" t="s">
        <v>69</v>
      </c>
      <c r="BF1912" t="s">
        <v>69</v>
      </c>
      <c r="BG1912">
        <v>1</v>
      </c>
      <c r="BH1912">
        <v>12</v>
      </c>
      <c r="BI1912" t="s">
        <v>69</v>
      </c>
      <c r="BJ1912" t="s">
        <v>3203</v>
      </c>
      <c r="BK1912" t="str">
        <f>HYPERLINK("http://dx.doi.org/10.1016/j.polgeo.2014.02.001","http://dx.doi.org/10.1016/j.polgeo.2014.02.001")</f>
        <v>http://dx.doi.org/10.1016/j.polgeo.2014.02.001</v>
      </c>
      <c r="BL1912" t="s">
        <v>69</v>
      </c>
      <c r="BM1912" t="s">
        <v>69</v>
      </c>
      <c r="BN1912">
        <v>12</v>
      </c>
      <c r="BO1912" t="s">
        <v>14081</v>
      </c>
      <c r="BP1912" t="s">
        <v>8661</v>
      </c>
      <c r="BQ1912" t="s">
        <v>14082</v>
      </c>
      <c r="BR1912" t="s">
        <v>23844</v>
      </c>
      <c r="BS1912" t="s">
        <v>3204</v>
      </c>
      <c r="BT1912" t="s">
        <v>69</v>
      </c>
      <c r="BU1912" t="s">
        <v>10423</v>
      </c>
      <c r="BV1912" t="s">
        <v>69</v>
      </c>
      <c r="BW1912" t="s">
        <v>69</v>
      </c>
      <c r="BX1912" t="s">
        <v>8526</v>
      </c>
      <c r="BY1912" t="str">
        <f>HYPERLINK("https%3A%2F%2Fwww.webofscience.com%2Fwos%2Fwoscc%2Ffull-record%2FWOS:000335806000001","View Full Record in Web of Science")</f>
        <v>View Full Record in Web of Science</v>
      </c>
    </row>
    <row r="1913" spans="1:77" ht="12.5" x14ac:dyDescent="0.25">
      <c r="A1913" t="s">
        <v>8495</v>
      </c>
      <c r="B1913" s="7" t="s">
        <v>32933</v>
      </c>
      <c r="C1913" s="7"/>
      <c r="D1913" s="7"/>
      <c r="E1913" s="7"/>
      <c r="F1913" t="s">
        <v>67</v>
      </c>
      <c r="G1913" t="s">
        <v>4709</v>
      </c>
      <c r="H1913" t="s">
        <v>69</v>
      </c>
      <c r="I1913" t="s">
        <v>69</v>
      </c>
      <c r="J1913" t="s">
        <v>69</v>
      </c>
      <c r="K1913" t="s">
        <v>4709</v>
      </c>
      <c r="L1913" t="s">
        <v>69</v>
      </c>
      <c r="M1913" t="s">
        <v>69</v>
      </c>
      <c r="N1913" t="s">
        <v>4710</v>
      </c>
      <c r="O1913" t="s">
        <v>4711</v>
      </c>
      <c r="P1913" t="s">
        <v>69</v>
      </c>
      <c r="Q1913" t="s">
        <v>69</v>
      </c>
      <c r="R1913" t="s">
        <v>8505</v>
      </c>
      <c r="S1913" t="s">
        <v>10174</v>
      </c>
      <c r="T1913" t="s">
        <v>69</v>
      </c>
      <c r="U1913" t="s">
        <v>69</v>
      </c>
      <c r="V1913" t="s">
        <v>69</v>
      </c>
      <c r="W1913" t="s">
        <v>69</v>
      </c>
      <c r="X1913" t="s">
        <v>69</v>
      </c>
      <c r="Y1913" t="s">
        <v>69</v>
      </c>
      <c r="Z1913" t="s">
        <v>30608</v>
      </c>
      <c r="AA1913" t="s">
        <v>4712</v>
      </c>
      <c r="AB1913" t="s">
        <v>30609</v>
      </c>
      <c r="AC1913" t="s">
        <v>69</v>
      </c>
      <c r="AD1913" t="s">
        <v>30610</v>
      </c>
      <c r="AE1913" t="s">
        <v>30611</v>
      </c>
      <c r="AF1913" t="s">
        <v>4713</v>
      </c>
      <c r="AG1913" t="s">
        <v>69</v>
      </c>
      <c r="AH1913" t="s">
        <v>69</v>
      </c>
      <c r="AI1913" t="s">
        <v>69</v>
      </c>
      <c r="AJ1913" t="s">
        <v>69</v>
      </c>
      <c r="AK1913" t="s">
        <v>69</v>
      </c>
      <c r="AL1913">
        <v>61</v>
      </c>
      <c r="AM1913">
        <v>19</v>
      </c>
      <c r="AN1913">
        <v>19</v>
      </c>
      <c r="AO1913">
        <v>0</v>
      </c>
      <c r="AP1913">
        <v>27</v>
      </c>
      <c r="AQ1913" t="s">
        <v>8636</v>
      </c>
      <c r="AR1913" t="s">
        <v>8637</v>
      </c>
      <c r="AS1913" t="s">
        <v>8638</v>
      </c>
      <c r="AT1913" t="s">
        <v>4714</v>
      </c>
      <c r="AU1913" t="s">
        <v>69</v>
      </c>
      <c r="AV1913" t="s">
        <v>69</v>
      </c>
      <c r="AW1913" t="s">
        <v>4711</v>
      </c>
      <c r="AX1913" t="s">
        <v>8487</v>
      </c>
      <c r="AY1913" t="s">
        <v>201</v>
      </c>
      <c r="AZ1913">
        <v>2005</v>
      </c>
      <c r="BA1913">
        <v>37</v>
      </c>
      <c r="BB1913">
        <v>6</v>
      </c>
      <c r="BC1913" t="s">
        <v>69</v>
      </c>
      <c r="BD1913" t="s">
        <v>69</v>
      </c>
      <c r="BE1913" t="s">
        <v>69</v>
      </c>
      <c r="BF1913" t="s">
        <v>69</v>
      </c>
      <c r="BG1913">
        <v>445</v>
      </c>
      <c r="BH1913">
        <v>463</v>
      </c>
      <c r="BI1913" t="s">
        <v>69</v>
      </c>
      <c r="BJ1913" t="s">
        <v>4715</v>
      </c>
      <c r="BK1913" t="str">
        <f>HYPERLINK("http://dx.doi.org/10.1016/j.futures.2004.10.020","http://dx.doi.org/10.1016/j.futures.2004.10.020")</f>
        <v>http://dx.doi.org/10.1016/j.futures.2004.10.020</v>
      </c>
      <c r="BL1913" t="s">
        <v>69</v>
      </c>
      <c r="BM1913" t="s">
        <v>69</v>
      </c>
      <c r="BN1913">
        <v>19</v>
      </c>
      <c r="BO1913" t="s">
        <v>25762</v>
      </c>
      <c r="BP1913" t="s">
        <v>8661</v>
      </c>
      <c r="BQ1913" t="s">
        <v>10993</v>
      </c>
      <c r="BR1913" t="s">
        <v>30612</v>
      </c>
      <c r="BS1913" t="s">
        <v>4716</v>
      </c>
      <c r="BT1913" t="s">
        <v>69</v>
      </c>
      <c r="BU1913" t="s">
        <v>69</v>
      </c>
      <c r="BV1913" t="s">
        <v>69</v>
      </c>
      <c r="BW1913" t="s">
        <v>69</v>
      </c>
      <c r="BX1913" t="s">
        <v>8526</v>
      </c>
      <c r="BY1913" t="str">
        <f>HYPERLINK("https%3A%2F%2Fwww.webofscience.com%2Fwos%2Fwoscc%2Ffull-record%2FWOS:000229883500001","View Full Record in Web of Science")</f>
        <v>View Full Record in Web of Science</v>
      </c>
    </row>
    <row r="1914" spans="1:77" x14ac:dyDescent="0.3">
      <c r="A1914" t="s">
        <v>8495</v>
      </c>
      <c r="B1914" s="9" t="s">
        <v>32972</v>
      </c>
      <c r="C1914" s="9" t="s">
        <v>33093</v>
      </c>
      <c r="D1914" s="10" t="s">
        <v>8490</v>
      </c>
      <c r="E1914" s="9" t="s">
        <v>8490</v>
      </c>
      <c r="F1914" t="s">
        <v>67</v>
      </c>
      <c r="G1914" t="s">
        <v>12748</v>
      </c>
      <c r="H1914" t="s">
        <v>69</v>
      </c>
      <c r="I1914" t="s">
        <v>69</v>
      </c>
      <c r="J1914" t="s">
        <v>69</v>
      </c>
      <c r="K1914" t="s">
        <v>12749</v>
      </c>
      <c r="L1914" t="s">
        <v>69</v>
      </c>
      <c r="M1914" t="s">
        <v>69</v>
      </c>
      <c r="N1914" t="s">
        <v>12750</v>
      </c>
      <c r="O1914" t="s">
        <v>151</v>
      </c>
      <c r="P1914" t="s">
        <v>69</v>
      </c>
      <c r="Q1914" t="s">
        <v>69</v>
      </c>
      <c r="R1914" t="s">
        <v>8505</v>
      </c>
      <c r="S1914" t="s">
        <v>8506</v>
      </c>
      <c r="T1914" t="s">
        <v>69</v>
      </c>
      <c r="U1914" t="s">
        <v>69</v>
      </c>
      <c r="V1914" t="s">
        <v>69</v>
      </c>
      <c r="W1914" t="s">
        <v>69</v>
      </c>
      <c r="X1914" t="s">
        <v>69</v>
      </c>
      <c r="Y1914" t="s">
        <v>12751</v>
      </c>
      <c r="Z1914" t="s">
        <v>12752</v>
      </c>
      <c r="AA1914" t="s">
        <v>12753</v>
      </c>
      <c r="AB1914" t="s">
        <v>12754</v>
      </c>
      <c r="AC1914" t="s">
        <v>69</v>
      </c>
      <c r="AD1914" t="s">
        <v>12755</v>
      </c>
      <c r="AE1914" t="s">
        <v>12756</v>
      </c>
      <c r="AF1914" t="s">
        <v>12757</v>
      </c>
      <c r="AG1914" t="s">
        <v>12758</v>
      </c>
      <c r="AH1914" t="s">
        <v>12759</v>
      </c>
      <c r="AI1914" t="s">
        <v>12760</v>
      </c>
      <c r="AJ1914" t="s">
        <v>12761</v>
      </c>
      <c r="AK1914" t="s">
        <v>69</v>
      </c>
      <c r="AL1914">
        <v>111</v>
      </c>
      <c r="AM1914">
        <v>20</v>
      </c>
      <c r="AN1914">
        <v>20</v>
      </c>
      <c r="AO1914">
        <v>14</v>
      </c>
      <c r="AP1914">
        <v>70</v>
      </c>
      <c r="AQ1914" t="s">
        <v>9145</v>
      </c>
      <c r="AR1914" t="s">
        <v>8637</v>
      </c>
      <c r="AS1914" t="s">
        <v>9146</v>
      </c>
      <c r="AT1914" t="s">
        <v>154</v>
      </c>
      <c r="AU1914" t="s">
        <v>8220</v>
      </c>
      <c r="AV1914" t="s">
        <v>69</v>
      </c>
      <c r="AW1914" t="s">
        <v>12762</v>
      </c>
      <c r="AX1914" t="s">
        <v>12763</v>
      </c>
      <c r="AY1914" t="s">
        <v>155</v>
      </c>
      <c r="AZ1914">
        <v>2021</v>
      </c>
      <c r="BA1914">
        <v>143</v>
      </c>
      <c r="BB1914" t="s">
        <v>69</v>
      </c>
      <c r="BC1914" t="s">
        <v>69</v>
      </c>
      <c r="BD1914" t="s">
        <v>69</v>
      </c>
      <c r="BE1914" t="s">
        <v>69</v>
      </c>
      <c r="BF1914" t="s">
        <v>69</v>
      </c>
      <c r="BG1914" t="s">
        <v>69</v>
      </c>
      <c r="BH1914" t="s">
        <v>69</v>
      </c>
      <c r="BI1914" t="s">
        <v>69</v>
      </c>
      <c r="BJ1914" t="s">
        <v>12764</v>
      </c>
      <c r="BK1914" t="str">
        <f>HYPERLINK("http://dx.doi.org/10.1016/j.rser.2021.110875","http://dx.doi.org/10.1016/j.rser.2021.110875")</f>
        <v>http://dx.doi.org/10.1016/j.rser.2021.110875</v>
      </c>
      <c r="BL1914" t="s">
        <v>69</v>
      </c>
      <c r="BM1914" t="s">
        <v>12704</v>
      </c>
      <c r="BN1914">
        <v>13</v>
      </c>
      <c r="BO1914" t="s">
        <v>9931</v>
      </c>
      <c r="BP1914" t="s">
        <v>8523</v>
      </c>
      <c r="BQ1914" t="s">
        <v>9932</v>
      </c>
      <c r="BR1914" t="s">
        <v>12765</v>
      </c>
      <c r="BS1914" t="s">
        <v>12766</v>
      </c>
      <c r="BT1914" t="s">
        <v>69</v>
      </c>
      <c r="BU1914" t="s">
        <v>69</v>
      </c>
      <c r="BV1914" t="s">
        <v>69</v>
      </c>
      <c r="BW1914" t="s">
        <v>69</v>
      </c>
      <c r="BX1914" t="s">
        <v>8526</v>
      </c>
      <c r="BY1914" t="str">
        <f>HYPERLINK("https%3A%2F%2Fwww.webofscience.com%2Fwos%2Fwoscc%2Ffull-record%2FWOS:000637707800009","View Full Record in Web of Science")</f>
        <v>View Full Record in Web of Science</v>
      </c>
    </row>
    <row r="1915" spans="1:77" x14ac:dyDescent="0.3">
      <c r="A1915" t="s">
        <v>8495</v>
      </c>
      <c r="B1915" s="12" t="s">
        <v>32966</v>
      </c>
      <c r="F1915" t="s">
        <v>67</v>
      </c>
      <c r="G1915" t="s">
        <v>4923</v>
      </c>
      <c r="H1915" t="s">
        <v>69</v>
      </c>
      <c r="I1915" t="s">
        <v>69</v>
      </c>
      <c r="J1915" t="s">
        <v>69</v>
      </c>
      <c r="K1915" s="3" t="s">
        <v>4924</v>
      </c>
      <c r="L1915" t="s">
        <v>69</v>
      </c>
      <c r="M1915" t="s">
        <v>69</v>
      </c>
      <c r="N1915" s="2" t="s">
        <v>4925</v>
      </c>
      <c r="O1915" t="s">
        <v>4926</v>
      </c>
      <c r="P1915" t="s">
        <v>69</v>
      </c>
      <c r="Q1915" t="s">
        <v>69</v>
      </c>
      <c r="R1915" t="s">
        <v>12534</v>
      </c>
      <c r="S1915" t="s">
        <v>8506</v>
      </c>
      <c r="T1915" t="s">
        <v>69</v>
      </c>
      <c r="U1915" t="s">
        <v>69</v>
      </c>
      <c r="V1915" t="s">
        <v>69</v>
      </c>
      <c r="W1915" t="s">
        <v>69</v>
      </c>
      <c r="X1915" t="s">
        <v>69</v>
      </c>
      <c r="Y1915" t="s">
        <v>69</v>
      </c>
      <c r="Z1915" t="s">
        <v>69</v>
      </c>
      <c r="AA1915" t="s">
        <v>4927</v>
      </c>
      <c r="AB1915" t="s">
        <v>28283</v>
      </c>
      <c r="AC1915" t="s">
        <v>69</v>
      </c>
      <c r="AD1915" t="s">
        <v>28284</v>
      </c>
      <c r="AE1915" t="s">
        <v>28285</v>
      </c>
      <c r="AF1915" t="s">
        <v>69</v>
      </c>
      <c r="AG1915" t="s">
        <v>69</v>
      </c>
      <c r="AH1915" t="s">
        <v>69</v>
      </c>
      <c r="AI1915" t="s">
        <v>69</v>
      </c>
      <c r="AJ1915" t="s">
        <v>69</v>
      </c>
      <c r="AK1915" t="s">
        <v>69</v>
      </c>
      <c r="AL1915">
        <v>8</v>
      </c>
      <c r="AM1915">
        <v>6</v>
      </c>
      <c r="AN1915">
        <v>6</v>
      </c>
      <c r="AO1915">
        <v>0</v>
      </c>
      <c r="AP1915">
        <v>8</v>
      </c>
      <c r="AQ1915" t="s">
        <v>28286</v>
      </c>
      <c r="AR1915" t="s">
        <v>28287</v>
      </c>
      <c r="AS1915" t="s">
        <v>28288</v>
      </c>
      <c r="AT1915" t="s">
        <v>4928</v>
      </c>
      <c r="AU1915" t="s">
        <v>4929</v>
      </c>
      <c r="AV1915" t="s">
        <v>69</v>
      </c>
      <c r="AW1915" t="s">
        <v>4926</v>
      </c>
      <c r="AX1915" t="s">
        <v>28289</v>
      </c>
      <c r="AY1915" t="s">
        <v>69</v>
      </c>
      <c r="AZ1915">
        <v>2010</v>
      </c>
      <c r="BA1915">
        <v>100</v>
      </c>
      <c r="BB1915">
        <v>11</v>
      </c>
      <c r="BC1915" t="s">
        <v>69</v>
      </c>
      <c r="BD1915" t="s">
        <v>69</v>
      </c>
      <c r="BE1915" t="s">
        <v>69</v>
      </c>
      <c r="BF1915" t="s">
        <v>69</v>
      </c>
      <c r="BG1915">
        <v>47</v>
      </c>
      <c r="BH1915">
        <v>50</v>
      </c>
      <c r="BI1915" t="s">
        <v>69</v>
      </c>
      <c r="BJ1915" t="s">
        <v>69</v>
      </c>
      <c r="BK1915" t="s">
        <v>69</v>
      </c>
      <c r="BL1915" t="s">
        <v>69</v>
      </c>
      <c r="BM1915" t="s">
        <v>69</v>
      </c>
      <c r="BN1915">
        <v>4</v>
      </c>
      <c r="BO1915" t="s">
        <v>9096</v>
      </c>
      <c r="BP1915" t="s">
        <v>8548</v>
      </c>
      <c r="BQ1915" t="s">
        <v>9096</v>
      </c>
      <c r="BR1915" t="s">
        <v>28290</v>
      </c>
      <c r="BS1915" t="s">
        <v>4930</v>
      </c>
      <c r="BT1915" t="s">
        <v>69</v>
      </c>
      <c r="BU1915" t="s">
        <v>69</v>
      </c>
      <c r="BV1915" t="s">
        <v>69</v>
      </c>
      <c r="BW1915" t="s">
        <v>69</v>
      </c>
      <c r="BX1915" t="s">
        <v>8526</v>
      </c>
      <c r="BY1915" t="str">
        <f>HYPERLINK("https%3A%2F%2Fwww.webofscience.com%2Fwos%2Fwoscc%2Ffull-record%2FWOS:000284435800010","View Full Record in Web of Science")</f>
        <v>View Full Record in Web of Science</v>
      </c>
    </row>
    <row r="1916" spans="1:77" ht="12.5" x14ac:dyDescent="0.25">
      <c r="A1916" t="s">
        <v>8495</v>
      </c>
      <c r="B1916" s="11" t="s">
        <v>33047</v>
      </c>
      <c r="C1916" s="7"/>
      <c r="D1916" s="7"/>
      <c r="E1916" s="7"/>
      <c r="F1916" t="s">
        <v>67</v>
      </c>
      <c r="G1916" t="s">
        <v>8239</v>
      </c>
      <c r="H1916" t="s">
        <v>69</v>
      </c>
      <c r="I1916" t="s">
        <v>69</v>
      </c>
      <c r="J1916" t="s">
        <v>69</v>
      </c>
      <c r="K1916" s="2" t="s">
        <v>8240</v>
      </c>
      <c r="L1916" t="s">
        <v>69</v>
      </c>
      <c r="M1916" t="s">
        <v>69</v>
      </c>
      <c r="N1916" s="11" t="s">
        <v>8241</v>
      </c>
      <c r="O1916" t="s">
        <v>417</v>
      </c>
      <c r="P1916" t="s">
        <v>69</v>
      </c>
      <c r="Q1916" t="s">
        <v>69</v>
      </c>
      <c r="R1916" t="s">
        <v>8505</v>
      </c>
      <c r="S1916" t="s">
        <v>8506</v>
      </c>
      <c r="T1916" t="s">
        <v>69</v>
      </c>
      <c r="U1916" t="s">
        <v>69</v>
      </c>
      <c r="V1916" t="s">
        <v>69</v>
      </c>
      <c r="W1916" t="s">
        <v>69</v>
      </c>
      <c r="X1916" t="s">
        <v>69</v>
      </c>
      <c r="Y1916" t="s">
        <v>24437</v>
      </c>
      <c r="Z1916" t="s">
        <v>24438</v>
      </c>
      <c r="AA1916" t="s">
        <v>8242</v>
      </c>
      <c r="AB1916" t="s">
        <v>24439</v>
      </c>
      <c r="AC1916" t="s">
        <v>69</v>
      </c>
      <c r="AD1916" t="s">
        <v>24440</v>
      </c>
      <c r="AE1916" t="s">
        <v>24441</v>
      </c>
      <c r="AF1916" t="s">
        <v>8243</v>
      </c>
      <c r="AG1916" t="s">
        <v>8244</v>
      </c>
      <c r="AH1916" t="s">
        <v>69</v>
      </c>
      <c r="AI1916" t="s">
        <v>69</v>
      </c>
      <c r="AJ1916" t="s">
        <v>69</v>
      </c>
      <c r="AK1916" t="s">
        <v>69</v>
      </c>
      <c r="AL1916">
        <v>84</v>
      </c>
      <c r="AM1916">
        <v>11</v>
      </c>
      <c r="AN1916">
        <v>11</v>
      </c>
      <c r="AO1916">
        <v>1</v>
      </c>
      <c r="AP1916">
        <v>16</v>
      </c>
      <c r="AQ1916" t="s">
        <v>9145</v>
      </c>
      <c r="AR1916" t="s">
        <v>8637</v>
      </c>
      <c r="AS1916" t="s">
        <v>9146</v>
      </c>
      <c r="AT1916" t="s">
        <v>419</v>
      </c>
      <c r="AU1916" t="s">
        <v>420</v>
      </c>
      <c r="AV1916" t="s">
        <v>69</v>
      </c>
      <c r="AW1916" t="s">
        <v>417</v>
      </c>
      <c r="AX1916" t="s">
        <v>8482</v>
      </c>
      <c r="AY1916" t="s">
        <v>75</v>
      </c>
      <c r="AZ1916">
        <v>2013</v>
      </c>
      <c r="BA1916">
        <v>50</v>
      </c>
      <c r="BB1916" t="s">
        <v>69</v>
      </c>
      <c r="BC1916" t="s">
        <v>69</v>
      </c>
      <c r="BD1916" t="s">
        <v>69</v>
      </c>
      <c r="BE1916" t="s">
        <v>69</v>
      </c>
      <c r="BF1916" t="s">
        <v>69</v>
      </c>
      <c r="BG1916">
        <v>1</v>
      </c>
      <c r="BH1916">
        <v>9</v>
      </c>
      <c r="BI1916" t="s">
        <v>69</v>
      </c>
      <c r="BJ1916" t="s">
        <v>8245</v>
      </c>
      <c r="BK1916" t="str">
        <f>HYPERLINK("http://dx.doi.org/10.1016/j.geoforum.2013.07.007","http://dx.doi.org/10.1016/j.geoforum.2013.07.007")</f>
        <v>http://dx.doi.org/10.1016/j.geoforum.2013.07.007</v>
      </c>
      <c r="BL1916" t="s">
        <v>69</v>
      </c>
      <c r="BM1916" t="s">
        <v>69</v>
      </c>
      <c r="BN1916">
        <v>9</v>
      </c>
      <c r="BO1916" t="s">
        <v>8446</v>
      </c>
      <c r="BP1916" t="s">
        <v>8661</v>
      </c>
      <c r="BQ1916" t="s">
        <v>8446</v>
      </c>
      <c r="BR1916" t="s">
        <v>24442</v>
      </c>
      <c r="BS1916" t="s">
        <v>8246</v>
      </c>
      <c r="BT1916" t="s">
        <v>69</v>
      </c>
      <c r="BU1916" t="s">
        <v>69</v>
      </c>
      <c r="BV1916" t="s">
        <v>69</v>
      </c>
      <c r="BW1916" t="s">
        <v>69</v>
      </c>
      <c r="BX1916" t="s">
        <v>8526</v>
      </c>
      <c r="BY1916" t="str">
        <f>HYPERLINK("https%3A%2F%2Fwww.webofscience.com%2Fwos%2Fwoscc%2Ffull-record%2FWOS:000328660200002","View Full Record in Web of Science")</f>
        <v>View Full Record in Web of Science</v>
      </c>
    </row>
    <row r="1917" spans="1:77" ht="12.5" x14ac:dyDescent="0.25">
      <c r="A1917" t="s">
        <v>8495</v>
      </c>
      <c r="B1917" s="7" t="s">
        <v>32933</v>
      </c>
      <c r="C1917" s="7"/>
      <c r="D1917" s="7"/>
      <c r="E1917" s="7"/>
      <c r="F1917" t="s">
        <v>67</v>
      </c>
      <c r="G1917" t="s">
        <v>7333</v>
      </c>
      <c r="H1917" t="s">
        <v>69</v>
      </c>
      <c r="I1917" t="s">
        <v>69</v>
      </c>
      <c r="J1917" t="s">
        <v>69</v>
      </c>
      <c r="K1917" t="s">
        <v>7334</v>
      </c>
      <c r="L1917" t="s">
        <v>69</v>
      </c>
      <c r="M1917" t="s">
        <v>69</v>
      </c>
      <c r="N1917" t="s">
        <v>7335</v>
      </c>
      <c r="O1917" t="s">
        <v>7336</v>
      </c>
      <c r="P1917" t="s">
        <v>69</v>
      </c>
      <c r="Q1917" t="s">
        <v>69</v>
      </c>
      <c r="R1917" t="s">
        <v>8505</v>
      </c>
      <c r="S1917" t="s">
        <v>8506</v>
      </c>
      <c r="T1917" t="s">
        <v>69</v>
      </c>
      <c r="U1917" t="s">
        <v>69</v>
      </c>
      <c r="V1917" t="s">
        <v>69</v>
      </c>
      <c r="W1917" t="s">
        <v>69</v>
      </c>
      <c r="X1917" t="s">
        <v>69</v>
      </c>
      <c r="Y1917" t="s">
        <v>13847</v>
      </c>
      <c r="Z1917" t="s">
        <v>69</v>
      </c>
      <c r="AA1917" t="s">
        <v>7337</v>
      </c>
      <c r="AB1917" t="s">
        <v>13848</v>
      </c>
      <c r="AC1917" t="s">
        <v>69</v>
      </c>
      <c r="AD1917" t="s">
        <v>13849</v>
      </c>
      <c r="AE1917" t="s">
        <v>13850</v>
      </c>
      <c r="AF1917" t="s">
        <v>69</v>
      </c>
      <c r="AG1917" t="s">
        <v>69</v>
      </c>
      <c r="AH1917" t="s">
        <v>13851</v>
      </c>
      <c r="AI1917" t="s">
        <v>13852</v>
      </c>
      <c r="AJ1917" t="s">
        <v>13853</v>
      </c>
      <c r="AK1917" t="s">
        <v>69</v>
      </c>
      <c r="AL1917">
        <v>86</v>
      </c>
      <c r="AM1917">
        <v>5</v>
      </c>
      <c r="AN1917">
        <v>5</v>
      </c>
      <c r="AO1917">
        <v>2</v>
      </c>
      <c r="AP1917">
        <v>3</v>
      </c>
      <c r="AQ1917" t="s">
        <v>8586</v>
      </c>
      <c r="AR1917" t="s">
        <v>8587</v>
      </c>
      <c r="AS1917" t="s">
        <v>8588</v>
      </c>
      <c r="AT1917" t="s">
        <v>7338</v>
      </c>
      <c r="AU1917" t="s">
        <v>69</v>
      </c>
      <c r="AV1917" t="s">
        <v>69</v>
      </c>
      <c r="AW1917" t="s">
        <v>12700</v>
      </c>
      <c r="AX1917" t="s">
        <v>12701</v>
      </c>
      <c r="AY1917" t="s">
        <v>13346</v>
      </c>
      <c r="AZ1917">
        <v>2022</v>
      </c>
      <c r="BA1917">
        <v>40</v>
      </c>
      <c r="BB1917">
        <v>1</v>
      </c>
      <c r="BC1917" t="s">
        <v>69</v>
      </c>
      <c r="BD1917" t="s">
        <v>69</v>
      </c>
      <c r="BE1917" t="s">
        <v>69</v>
      </c>
      <c r="BF1917" t="s">
        <v>69</v>
      </c>
      <c r="BG1917">
        <v>76</v>
      </c>
      <c r="BH1917">
        <v>100</v>
      </c>
      <c r="BI1917" t="s">
        <v>69</v>
      </c>
      <c r="BJ1917" t="s">
        <v>7339</v>
      </c>
      <c r="BK1917" t="str">
        <f>HYPERLINK("http://dx.doi.org/10.1108/IJBPA-08-2020-0068","http://dx.doi.org/10.1108/IJBPA-08-2020-0068")</f>
        <v>http://dx.doi.org/10.1108/IJBPA-08-2020-0068</v>
      </c>
      <c r="BL1917" t="s">
        <v>69</v>
      </c>
      <c r="BM1917" t="s">
        <v>300</v>
      </c>
      <c r="BN1917">
        <v>25</v>
      </c>
      <c r="BO1917" t="s">
        <v>10105</v>
      </c>
      <c r="BP1917" t="s">
        <v>8573</v>
      </c>
      <c r="BQ1917" t="s">
        <v>10105</v>
      </c>
      <c r="BR1917" t="s">
        <v>13854</v>
      </c>
      <c r="BS1917" t="s">
        <v>7340</v>
      </c>
      <c r="BT1917" t="s">
        <v>69</v>
      </c>
      <c r="BU1917" t="s">
        <v>69</v>
      </c>
      <c r="BV1917" t="s">
        <v>69</v>
      </c>
      <c r="BW1917" t="s">
        <v>69</v>
      </c>
      <c r="BX1917" t="s">
        <v>8526</v>
      </c>
      <c r="BY1917" t="str">
        <f>HYPERLINK("https%3A%2F%2Fwww.webofscience.com%2Fwos%2Fwoscc%2Ffull-record%2FWOS:000603700900001","View Full Record in Web of Science")</f>
        <v>View Full Record in Web of Science</v>
      </c>
    </row>
    <row r="1918" spans="1:77" ht="12.5" x14ac:dyDescent="0.25">
      <c r="A1918" t="s">
        <v>8495</v>
      </c>
      <c r="B1918" s="22" t="s">
        <v>32931</v>
      </c>
      <c r="C1918" s="7"/>
      <c r="D1918" s="7"/>
      <c r="E1918" s="7"/>
      <c r="F1918" t="s">
        <v>67</v>
      </c>
      <c r="G1918" t="s">
        <v>9376</v>
      </c>
      <c r="H1918" t="s">
        <v>69</v>
      </c>
      <c r="I1918" t="s">
        <v>69</v>
      </c>
      <c r="J1918" t="s">
        <v>69</v>
      </c>
      <c r="K1918" t="s">
        <v>9377</v>
      </c>
      <c r="L1918" t="s">
        <v>69</v>
      </c>
      <c r="M1918" t="s">
        <v>69</v>
      </c>
      <c r="N1918" t="s">
        <v>9378</v>
      </c>
      <c r="O1918" t="s">
        <v>9379</v>
      </c>
      <c r="P1918" t="s">
        <v>69</v>
      </c>
      <c r="Q1918" t="s">
        <v>69</v>
      </c>
      <c r="R1918" t="s">
        <v>8505</v>
      </c>
      <c r="S1918" t="s">
        <v>8506</v>
      </c>
      <c r="T1918" t="s">
        <v>69</v>
      </c>
      <c r="U1918" t="s">
        <v>69</v>
      </c>
      <c r="V1918" t="s">
        <v>69</v>
      </c>
      <c r="W1918" t="s">
        <v>69</v>
      </c>
      <c r="X1918" t="s">
        <v>69</v>
      </c>
      <c r="Y1918" t="s">
        <v>9380</v>
      </c>
      <c r="Z1918" t="s">
        <v>9381</v>
      </c>
      <c r="AA1918" t="s">
        <v>9382</v>
      </c>
      <c r="AB1918" t="s">
        <v>9383</v>
      </c>
      <c r="AC1918" t="s">
        <v>69</v>
      </c>
      <c r="AD1918" t="s">
        <v>9384</v>
      </c>
      <c r="AE1918" t="s">
        <v>9385</v>
      </c>
      <c r="AF1918" t="s">
        <v>69</v>
      </c>
      <c r="AG1918" t="s">
        <v>69</v>
      </c>
      <c r="AH1918" t="s">
        <v>9386</v>
      </c>
      <c r="AI1918" t="s">
        <v>9387</v>
      </c>
      <c r="AJ1918" t="s">
        <v>9388</v>
      </c>
      <c r="AK1918" t="s">
        <v>69</v>
      </c>
      <c r="AL1918">
        <v>36</v>
      </c>
      <c r="AM1918">
        <v>0</v>
      </c>
      <c r="AN1918">
        <v>0</v>
      </c>
      <c r="AO1918">
        <v>0</v>
      </c>
      <c r="AP1918">
        <v>0</v>
      </c>
      <c r="AQ1918" t="s">
        <v>9145</v>
      </c>
      <c r="AR1918" t="s">
        <v>8637</v>
      </c>
      <c r="AS1918" t="s">
        <v>9146</v>
      </c>
      <c r="AT1918" t="s">
        <v>9389</v>
      </c>
      <c r="AU1918" t="s">
        <v>9390</v>
      </c>
      <c r="AV1918" t="s">
        <v>69</v>
      </c>
      <c r="AW1918" t="s">
        <v>9379</v>
      </c>
      <c r="AX1918" t="s">
        <v>8439</v>
      </c>
      <c r="AY1918" t="s">
        <v>3848</v>
      </c>
      <c r="AZ1918">
        <v>2022</v>
      </c>
      <c r="BA1918">
        <v>244</v>
      </c>
      <c r="BB1918" t="s">
        <v>69</v>
      </c>
      <c r="BC1918" t="s">
        <v>514</v>
      </c>
      <c r="BD1918" t="s">
        <v>69</v>
      </c>
      <c r="BE1918" t="s">
        <v>69</v>
      </c>
      <c r="BF1918" t="s">
        <v>69</v>
      </c>
      <c r="BG1918" t="s">
        <v>69</v>
      </c>
      <c r="BH1918" t="s">
        <v>69</v>
      </c>
      <c r="BI1918">
        <v>123064</v>
      </c>
      <c r="BJ1918" t="s">
        <v>9391</v>
      </c>
      <c r="BK1918" t="str">
        <f>HYPERLINK("http://dx.doi.org/10.1016/j.energy.2021.123064","http://dx.doi.org/10.1016/j.energy.2021.123064")</f>
        <v>http://dx.doi.org/10.1016/j.energy.2021.123064</v>
      </c>
      <c r="BL1918" t="s">
        <v>69</v>
      </c>
      <c r="BM1918" t="s">
        <v>69</v>
      </c>
      <c r="BN1918">
        <v>12</v>
      </c>
      <c r="BO1918" t="s">
        <v>9392</v>
      </c>
      <c r="BP1918" t="s">
        <v>8548</v>
      </c>
      <c r="BQ1918" t="s">
        <v>9392</v>
      </c>
      <c r="BR1918" t="s">
        <v>9393</v>
      </c>
      <c r="BS1918" t="s">
        <v>9394</v>
      </c>
      <c r="BT1918" t="s">
        <v>69</v>
      </c>
      <c r="BU1918" t="s">
        <v>8622</v>
      </c>
      <c r="BV1918" t="s">
        <v>69</v>
      </c>
      <c r="BW1918" t="s">
        <v>69</v>
      </c>
      <c r="BX1918" t="s">
        <v>8526</v>
      </c>
      <c r="BY1918" t="str">
        <f>HYPERLINK("https%3A%2F%2Fwww.webofscience.com%2Fwos%2Fwoscc%2Ffull-record%2FWOS:000805151300010","View Full Record in Web of Science")</f>
        <v>View Full Record in Web of Science</v>
      </c>
    </row>
    <row r="1919" spans="1:77" ht="12.5" x14ac:dyDescent="0.25">
      <c r="A1919" t="s">
        <v>8495</v>
      </c>
      <c r="B1919" s="7" t="s">
        <v>32933</v>
      </c>
      <c r="C1919" s="7"/>
      <c r="D1919" s="7"/>
      <c r="E1919" s="7"/>
      <c r="F1919" t="s">
        <v>67</v>
      </c>
      <c r="G1919" t="s">
        <v>7681</v>
      </c>
      <c r="H1919" t="s">
        <v>69</v>
      </c>
      <c r="I1919" t="s">
        <v>69</v>
      </c>
      <c r="J1919" t="s">
        <v>69</v>
      </c>
      <c r="K1919" t="s">
        <v>7682</v>
      </c>
      <c r="L1919" t="s">
        <v>69</v>
      </c>
      <c r="M1919" t="s">
        <v>69</v>
      </c>
      <c r="N1919" t="s">
        <v>7683</v>
      </c>
      <c r="O1919" t="s">
        <v>5400</v>
      </c>
      <c r="P1919" t="s">
        <v>69</v>
      </c>
      <c r="Q1919" t="s">
        <v>69</v>
      </c>
      <c r="R1919" t="s">
        <v>8505</v>
      </c>
      <c r="S1919" t="s">
        <v>8506</v>
      </c>
      <c r="T1919" t="s">
        <v>69</v>
      </c>
      <c r="U1919" t="s">
        <v>69</v>
      </c>
      <c r="V1919" t="s">
        <v>69</v>
      </c>
      <c r="W1919" t="s">
        <v>69</v>
      </c>
      <c r="X1919" t="s">
        <v>69</v>
      </c>
      <c r="Y1919" t="s">
        <v>17505</v>
      </c>
      <c r="Z1919" t="s">
        <v>69</v>
      </c>
      <c r="AA1919" t="s">
        <v>7684</v>
      </c>
      <c r="AB1919" t="s">
        <v>17506</v>
      </c>
      <c r="AC1919" t="s">
        <v>69</v>
      </c>
      <c r="AD1919" t="s">
        <v>17507</v>
      </c>
      <c r="AE1919" t="s">
        <v>17508</v>
      </c>
      <c r="AF1919" t="s">
        <v>69</v>
      </c>
      <c r="AG1919" t="s">
        <v>2177</v>
      </c>
      <c r="AH1919" t="s">
        <v>17509</v>
      </c>
      <c r="AI1919" t="s">
        <v>17510</v>
      </c>
      <c r="AJ1919" t="s">
        <v>17511</v>
      </c>
      <c r="AK1919" t="s">
        <v>69</v>
      </c>
      <c r="AL1919">
        <v>45</v>
      </c>
      <c r="AM1919">
        <v>5</v>
      </c>
      <c r="AN1919">
        <v>5</v>
      </c>
      <c r="AO1919">
        <v>0</v>
      </c>
      <c r="AP1919">
        <v>5</v>
      </c>
      <c r="AQ1919" t="s">
        <v>17140</v>
      </c>
      <c r="AR1919" t="s">
        <v>8517</v>
      </c>
      <c r="AS1919" t="s">
        <v>17141</v>
      </c>
      <c r="AT1919" t="s">
        <v>5402</v>
      </c>
      <c r="AU1919" t="s">
        <v>5403</v>
      </c>
      <c r="AV1919" t="s">
        <v>69</v>
      </c>
      <c r="AW1919" t="s">
        <v>8974</v>
      </c>
      <c r="AX1919" t="s">
        <v>8975</v>
      </c>
      <c r="AY1919" t="s">
        <v>94</v>
      </c>
      <c r="AZ1919">
        <v>2019</v>
      </c>
      <c r="BA1919">
        <v>49</v>
      </c>
      <c r="BB1919" t="s">
        <v>69</v>
      </c>
      <c r="BC1919" t="s">
        <v>69</v>
      </c>
      <c r="BD1919" t="s">
        <v>69</v>
      </c>
      <c r="BE1919" t="s">
        <v>69</v>
      </c>
      <c r="BF1919" t="s">
        <v>69</v>
      </c>
      <c r="BG1919">
        <v>134</v>
      </c>
      <c r="BH1919">
        <v>142</v>
      </c>
      <c r="BI1919" t="s">
        <v>69</v>
      </c>
      <c r="BJ1919" t="s">
        <v>7685</v>
      </c>
      <c r="BK1919" t="str">
        <f>HYPERLINK("http://dx.doi.org/10.1016/j.erss.2018.10.022","http://dx.doi.org/10.1016/j.erss.2018.10.022")</f>
        <v>http://dx.doi.org/10.1016/j.erss.2018.10.022</v>
      </c>
      <c r="BL1919" t="s">
        <v>69</v>
      </c>
      <c r="BM1919" t="s">
        <v>69</v>
      </c>
      <c r="BN1919">
        <v>9</v>
      </c>
      <c r="BO1919" t="s">
        <v>8660</v>
      </c>
      <c r="BP1919" t="s">
        <v>8661</v>
      </c>
      <c r="BQ1919" t="s">
        <v>8662</v>
      </c>
      <c r="BR1919" t="s">
        <v>17512</v>
      </c>
      <c r="BS1919" t="s">
        <v>7686</v>
      </c>
      <c r="BT1919" t="s">
        <v>69</v>
      </c>
      <c r="BU1919" t="s">
        <v>10995</v>
      </c>
      <c r="BV1919" t="s">
        <v>69</v>
      </c>
      <c r="BW1919" t="s">
        <v>69</v>
      </c>
      <c r="BX1919" t="s">
        <v>8526</v>
      </c>
      <c r="BY1919" t="str">
        <f>HYPERLINK("https%3A%2F%2Fwww.webofscience.com%2Fwos%2Fwoscc%2Ffull-record%2FWOS:000460444100015","View Full Record in Web of Science")</f>
        <v>View Full Record in Web of Science</v>
      </c>
    </row>
    <row r="1920" spans="1:77" x14ac:dyDescent="0.3">
      <c r="A1920" t="s">
        <v>8495</v>
      </c>
      <c r="B1920" s="13" t="s">
        <v>32959</v>
      </c>
      <c r="F1920" t="s">
        <v>67</v>
      </c>
      <c r="G1920" t="s">
        <v>4441</v>
      </c>
      <c r="H1920" t="s">
        <v>69</v>
      </c>
      <c r="I1920" t="s">
        <v>69</v>
      </c>
      <c r="J1920" t="s">
        <v>69</v>
      </c>
      <c r="K1920" s="4" t="s">
        <v>4442</v>
      </c>
      <c r="L1920" t="s">
        <v>69</v>
      </c>
      <c r="M1920" t="s">
        <v>69</v>
      </c>
      <c r="N1920" s="2" t="s">
        <v>4443</v>
      </c>
      <c r="O1920" t="s">
        <v>510</v>
      </c>
      <c r="P1920" t="s">
        <v>69</v>
      </c>
      <c r="Q1920" t="s">
        <v>69</v>
      </c>
      <c r="R1920" t="s">
        <v>8505</v>
      </c>
      <c r="S1920" t="s">
        <v>8506</v>
      </c>
      <c r="T1920" t="s">
        <v>69</v>
      </c>
      <c r="U1920" t="s">
        <v>69</v>
      </c>
      <c r="V1920" t="s">
        <v>69</v>
      </c>
      <c r="W1920" t="s">
        <v>69</v>
      </c>
      <c r="X1920" t="s">
        <v>69</v>
      </c>
      <c r="Y1920" t="s">
        <v>21273</v>
      </c>
      <c r="Z1920" t="s">
        <v>21274</v>
      </c>
      <c r="AA1920" t="s">
        <v>4444</v>
      </c>
      <c r="AB1920" t="s">
        <v>21275</v>
      </c>
      <c r="AC1920" t="s">
        <v>69</v>
      </c>
      <c r="AD1920" t="s">
        <v>21276</v>
      </c>
      <c r="AE1920" t="s">
        <v>21277</v>
      </c>
      <c r="AF1920" t="s">
        <v>69</v>
      </c>
      <c r="AG1920" t="s">
        <v>4445</v>
      </c>
      <c r="AH1920" t="s">
        <v>69</v>
      </c>
      <c r="AI1920" t="s">
        <v>69</v>
      </c>
      <c r="AJ1920" t="s">
        <v>69</v>
      </c>
      <c r="AK1920" t="s">
        <v>69</v>
      </c>
      <c r="AL1920">
        <v>81</v>
      </c>
      <c r="AM1920">
        <v>63</v>
      </c>
      <c r="AN1920">
        <v>63</v>
      </c>
      <c r="AO1920">
        <v>2</v>
      </c>
      <c r="AP1920">
        <v>54</v>
      </c>
      <c r="AQ1920" t="s">
        <v>8636</v>
      </c>
      <c r="AR1920" t="s">
        <v>8637</v>
      </c>
      <c r="AS1920" t="s">
        <v>8638</v>
      </c>
      <c r="AT1920" t="s">
        <v>512</v>
      </c>
      <c r="AU1920" t="s">
        <v>513</v>
      </c>
      <c r="AV1920" t="s">
        <v>69</v>
      </c>
      <c r="AW1920" t="s">
        <v>18408</v>
      </c>
      <c r="AX1920" t="s">
        <v>18409</v>
      </c>
      <c r="AY1920" t="s">
        <v>381</v>
      </c>
      <c r="AZ1920">
        <v>2016</v>
      </c>
      <c r="BA1920">
        <v>130</v>
      </c>
      <c r="BB1920" t="s">
        <v>69</v>
      </c>
      <c r="BC1920" t="s">
        <v>69</v>
      </c>
      <c r="BD1920" t="s">
        <v>69</v>
      </c>
      <c r="BE1920" t="s">
        <v>69</v>
      </c>
      <c r="BF1920" t="s">
        <v>69</v>
      </c>
      <c r="BG1920">
        <v>107</v>
      </c>
      <c r="BH1920">
        <v>114</v>
      </c>
      <c r="BI1920" t="s">
        <v>69</v>
      </c>
      <c r="BJ1920" t="s">
        <v>4446</v>
      </c>
      <c r="BK1920" t="str">
        <f>HYPERLINK("http://dx.doi.org/10.1016/j.ocecoaman.2016.06.002","http://dx.doi.org/10.1016/j.ocecoaman.2016.06.002")</f>
        <v>http://dx.doi.org/10.1016/j.ocecoaman.2016.06.002</v>
      </c>
      <c r="BL1920" t="s">
        <v>69</v>
      </c>
      <c r="BM1920" t="s">
        <v>69</v>
      </c>
      <c r="BN1920">
        <v>8</v>
      </c>
      <c r="BO1920" t="s">
        <v>18410</v>
      </c>
      <c r="BP1920" t="s">
        <v>8523</v>
      </c>
      <c r="BQ1920" t="s">
        <v>18410</v>
      </c>
      <c r="BR1920" t="s">
        <v>21278</v>
      </c>
      <c r="BS1920" t="s">
        <v>4447</v>
      </c>
      <c r="BT1920" t="s">
        <v>69</v>
      </c>
      <c r="BU1920" t="s">
        <v>69</v>
      </c>
      <c r="BV1920" t="s">
        <v>69</v>
      </c>
      <c r="BW1920" t="s">
        <v>69</v>
      </c>
      <c r="BX1920" t="s">
        <v>8526</v>
      </c>
      <c r="BY1920" t="str">
        <f>HYPERLINK("https%3A%2F%2Fwww.webofscience.com%2Fwos%2Fwoscc%2Ffull-record%2FWOS:000381837700011","View Full Record in Web of Science")</f>
        <v>View Full Record in Web of Science</v>
      </c>
    </row>
    <row r="1921" spans="1:77" ht="12.5" x14ac:dyDescent="0.25">
      <c r="A1921" t="s">
        <v>8495</v>
      </c>
      <c r="B1921" s="22" t="s">
        <v>32931</v>
      </c>
      <c r="C1921" s="7"/>
      <c r="D1921" s="7"/>
      <c r="E1921" s="7"/>
      <c r="F1921" t="s">
        <v>67</v>
      </c>
      <c r="G1921" t="s">
        <v>30679</v>
      </c>
      <c r="H1921" t="s">
        <v>69</v>
      </c>
      <c r="I1921" t="s">
        <v>69</v>
      </c>
      <c r="J1921" t="s">
        <v>69</v>
      </c>
      <c r="K1921" t="s">
        <v>30680</v>
      </c>
      <c r="L1921" t="s">
        <v>69</v>
      </c>
      <c r="M1921" t="s">
        <v>69</v>
      </c>
      <c r="N1921" t="s">
        <v>30681</v>
      </c>
      <c r="O1921" t="s">
        <v>30682</v>
      </c>
      <c r="P1921" t="s">
        <v>69</v>
      </c>
      <c r="Q1921" t="s">
        <v>69</v>
      </c>
      <c r="R1921" t="s">
        <v>14800</v>
      </c>
      <c r="S1921" t="s">
        <v>8506</v>
      </c>
      <c r="T1921" t="s">
        <v>69</v>
      </c>
      <c r="U1921" t="s">
        <v>69</v>
      </c>
      <c r="V1921" t="s">
        <v>69</v>
      </c>
      <c r="W1921" t="s">
        <v>69</v>
      </c>
      <c r="X1921" t="s">
        <v>69</v>
      </c>
      <c r="Y1921" t="s">
        <v>69</v>
      </c>
      <c r="Z1921" t="s">
        <v>69</v>
      </c>
      <c r="AA1921" t="s">
        <v>30683</v>
      </c>
      <c r="AB1921" t="s">
        <v>30684</v>
      </c>
      <c r="AC1921" t="s">
        <v>69</v>
      </c>
      <c r="AD1921" t="s">
        <v>30685</v>
      </c>
      <c r="AE1921" t="s">
        <v>69</v>
      </c>
      <c r="AF1921" t="s">
        <v>69</v>
      </c>
      <c r="AG1921" t="s">
        <v>69</v>
      </c>
      <c r="AH1921" t="s">
        <v>69</v>
      </c>
      <c r="AI1921" t="s">
        <v>69</v>
      </c>
      <c r="AJ1921" t="s">
        <v>69</v>
      </c>
      <c r="AK1921" t="s">
        <v>69</v>
      </c>
      <c r="AL1921">
        <v>33</v>
      </c>
      <c r="AM1921">
        <v>0</v>
      </c>
      <c r="AN1921">
        <v>0</v>
      </c>
      <c r="AO1921">
        <v>0</v>
      </c>
      <c r="AP1921">
        <v>0</v>
      </c>
      <c r="AQ1921" t="s">
        <v>30686</v>
      </c>
      <c r="AR1921" t="s">
        <v>30687</v>
      </c>
      <c r="AS1921" t="s">
        <v>30688</v>
      </c>
      <c r="AT1921" t="s">
        <v>30689</v>
      </c>
      <c r="AU1921" t="s">
        <v>30690</v>
      </c>
      <c r="AV1921" t="s">
        <v>69</v>
      </c>
      <c r="AW1921" t="s">
        <v>30691</v>
      </c>
      <c r="AX1921" t="s">
        <v>30692</v>
      </c>
      <c r="AY1921" t="s">
        <v>30693</v>
      </c>
      <c r="AZ1921">
        <v>2005</v>
      </c>
      <c r="BA1921">
        <v>81</v>
      </c>
      <c r="BB1921" t="s">
        <v>336</v>
      </c>
      <c r="BC1921" t="s">
        <v>69</v>
      </c>
      <c r="BD1921" t="s">
        <v>69</v>
      </c>
      <c r="BE1921" t="s">
        <v>69</v>
      </c>
      <c r="BF1921" t="s">
        <v>69</v>
      </c>
      <c r="BG1921">
        <v>46</v>
      </c>
      <c r="BH1921">
        <v>74</v>
      </c>
      <c r="BI1921" t="s">
        <v>69</v>
      </c>
      <c r="BJ1921" t="s">
        <v>30694</v>
      </c>
      <c r="BK1921" t="str">
        <f>HYPERLINK("http://dx.doi.org/10.7202/012837ar","http://dx.doi.org/10.7202/012837ar")</f>
        <v>http://dx.doi.org/10.7202/012837ar</v>
      </c>
      <c r="BL1921" t="s">
        <v>69</v>
      </c>
      <c r="BM1921" t="s">
        <v>69</v>
      </c>
      <c r="BN1921">
        <v>29</v>
      </c>
      <c r="BO1921" t="s">
        <v>9726</v>
      </c>
      <c r="BP1921" t="s">
        <v>8573</v>
      </c>
      <c r="BQ1921" t="s">
        <v>8594</v>
      </c>
      <c r="BR1921" t="s">
        <v>30695</v>
      </c>
      <c r="BS1921" t="s">
        <v>30696</v>
      </c>
      <c r="BT1921" t="s">
        <v>69</v>
      </c>
      <c r="BU1921" t="s">
        <v>19019</v>
      </c>
      <c r="BV1921" t="s">
        <v>69</v>
      </c>
      <c r="BW1921" t="s">
        <v>69</v>
      </c>
      <c r="BX1921" t="s">
        <v>8526</v>
      </c>
      <c r="BY1921" t="str">
        <f>HYPERLINK("https%3A%2F%2Fwww.webofscience.com%2Fwos%2Fwoscc%2Ffull-record%2FWOS:000433664800004","View Full Record in Web of Science")</f>
        <v>View Full Record in Web of Science</v>
      </c>
    </row>
    <row r="1922" spans="1:77" ht="12.5" x14ac:dyDescent="0.25">
      <c r="A1922" t="s">
        <v>8495</v>
      </c>
      <c r="B1922" s="7" t="s">
        <v>32933</v>
      </c>
      <c r="C1922" s="7"/>
      <c r="D1922" s="7"/>
      <c r="E1922" s="7"/>
      <c r="F1922" t="s">
        <v>67</v>
      </c>
      <c r="G1922" t="s">
        <v>6577</v>
      </c>
      <c r="H1922" t="s">
        <v>69</v>
      </c>
      <c r="I1922" t="s">
        <v>69</v>
      </c>
      <c r="J1922" t="s">
        <v>69</v>
      </c>
      <c r="K1922" t="s">
        <v>6578</v>
      </c>
      <c r="L1922" t="s">
        <v>69</v>
      </c>
      <c r="M1922" t="s">
        <v>69</v>
      </c>
      <c r="N1922" t="s">
        <v>6579</v>
      </c>
      <c r="O1922" t="s">
        <v>6580</v>
      </c>
      <c r="P1922" t="s">
        <v>69</v>
      </c>
      <c r="Q1922" t="s">
        <v>69</v>
      </c>
      <c r="R1922" t="s">
        <v>8505</v>
      </c>
      <c r="S1922" t="s">
        <v>8506</v>
      </c>
      <c r="T1922" t="s">
        <v>69</v>
      </c>
      <c r="U1922" t="s">
        <v>69</v>
      </c>
      <c r="V1922" t="s">
        <v>69</v>
      </c>
      <c r="W1922" t="s">
        <v>69</v>
      </c>
      <c r="X1922" t="s">
        <v>69</v>
      </c>
      <c r="Y1922" t="s">
        <v>15096</v>
      </c>
      <c r="Z1922" t="s">
        <v>15097</v>
      </c>
      <c r="AA1922" t="s">
        <v>6581</v>
      </c>
      <c r="AB1922" t="s">
        <v>15098</v>
      </c>
      <c r="AC1922" t="s">
        <v>69</v>
      </c>
      <c r="AD1922" t="s">
        <v>15099</v>
      </c>
      <c r="AE1922" t="s">
        <v>15100</v>
      </c>
      <c r="AF1922" t="s">
        <v>15101</v>
      </c>
      <c r="AG1922" t="s">
        <v>6582</v>
      </c>
      <c r="AH1922" t="s">
        <v>15102</v>
      </c>
      <c r="AI1922" t="s">
        <v>15103</v>
      </c>
      <c r="AJ1922" t="s">
        <v>15104</v>
      </c>
      <c r="AK1922" t="s">
        <v>69</v>
      </c>
      <c r="AL1922">
        <v>39</v>
      </c>
      <c r="AM1922">
        <v>7</v>
      </c>
      <c r="AN1922">
        <v>7</v>
      </c>
      <c r="AO1922">
        <v>3</v>
      </c>
      <c r="AP1922">
        <v>5</v>
      </c>
      <c r="AQ1922" t="s">
        <v>8846</v>
      </c>
      <c r="AR1922" t="s">
        <v>8847</v>
      </c>
      <c r="AS1922" t="s">
        <v>8848</v>
      </c>
      <c r="AT1922" t="s">
        <v>6583</v>
      </c>
      <c r="AU1922" t="s">
        <v>6584</v>
      </c>
      <c r="AV1922" t="s">
        <v>69</v>
      </c>
      <c r="AW1922" t="s">
        <v>15105</v>
      </c>
      <c r="AX1922" t="s">
        <v>15106</v>
      </c>
      <c r="AY1922" t="s">
        <v>84</v>
      </c>
      <c r="AZ1922">
        <v>2020</v>
      </c>
      <c r="BA1922">
        <v>42</v>
      </c>
      <c r="BB1922">
        <v>6</v>
      </c>
      <c r="BC1922" t="s">
        <v>69</v>
      </c>
      <c r="BD1922" t="s">
        <v>69</v>
      </c>
      <c r="BE1922" t="s">
        <v>69</v>
      </c>
      <c r="BF1922" t="s">
        <v>69</v>
      </c>
      <c r="BG1922">
        <v>1424</v>
      </c>
      <c r="BH1922">
        <v>1440</v>
      </c>
      <c r="BI1922" t="s">
        <v>69</v>
      </c>
      <c r="BJ1922" t="s">
        <v>6585</v>
      </c>
      <c r="BK1922" t="str">
        <f>HYPERLINK("http://dx.doi.org/10.1111/1467-9566.13115","http://dx.doi.org/10.1111/1467-9566.13115")</f>
        <v>http://dx.doi.org/10.1111/1467-9566.13115</v>
      </c>
      <c r="BL1922" t="s">
        <v>69</v>
      </c>
      <c r="BM1922" t="s">
        <v>732</v>
      </c>
      <c r="BN1922">
        <v>17</v>
      </c>
      <c r="BO1922" t="s">
        <v>15107</v>
      </c>
      <c r="BP1922" t="s">
        <v>8661</v>
      </c>
      <c r="BQ1922" t="s">
        <v>15108</v>
      </c>
      <c r="BR1922" t="s">
        <v>15109</v>
      </c>
      <c r="BS1922" t="s">
        <v>6586</v>
      </c>
      <c r="BT1922">
        <v>32474965</v>
      </c>
      <c r="BU1922" t="s">
        <v>14589</v>
      </c>
      <c r="BV1922" t="s">
        <v>69</v>
      </c>
      <c r="BW1922" t="s">
        <v>69</v>
      </c>
      <c r="BX1922" t="s">
        <v>8526</v>
      </c>
      <c r="BY1922" t="str">
        <f>HYPERLINK("https%3A%2F%2Fwww.webofscience.com%2Fwos%2Fwoscc%2Ffull-record%2FWOS:000536370000001","View Full Record in Web of Science")</f>
        <v>View Full Record in Web of Science</v>
      </c>
    </row>
    <row r="1923" spans="1:77" ht="12.5" x14ac:dyDescent="0.25">
      <c r="A1923" t="s">
        <v>8495</v>
      </c>
      <c r="B1923" s="7" t="s">
        <v>32933</v>
      </c>
      <c r="C1923" s="7"/>
      <c r="D1923" s="7"/>
      <c r="E1923" s="7"/>
      <c r="F1923" t="s">
        <v>67</v>
      </c>
      <c r="G1923" t="s">
        <v>6595</v>
      </c>
      <c r="H1923" t="s">
        <v>69</v>
      </c>
      <c r="I1923" t="s">
        <v>69</v>
      </c>
      <c r="J1923" t="s">
        <v>69</v>
      </c>
      <c r="K1923" t="s">
        <v>6596</v>
      </c>
      <c r="L1923" t="s">
        <v>69</v>
      </c>
      <c r="M1923" t="s">
        <v>69</v>
      </c>
      <c r="N1923" t="s">
        <v>6597</v>
      </c>
      <c r="O1923" t="s">
        <v>3312</v>
      </c>
      <c r="P1923" t="s">
        <v>69</v>
      </c>
      <c r="Q1923" t="s">
        <v>69</v>
      </c>
      <c r="R1923" t="s">
        <v>8505</v>
      </c>
      <c r="S1923" t="s">
        <v>8506</v>
      </c>
      <c r="T1923" t="s">
        <v>69</v>
      </c>
      <c r="U1923" t="s">
        <v>69</v>
      </c>
      <c r="V1923" t="s">
        <v>69</v>
      </c>
      <c r="W1923" t="s">
        <v>69</v>
      </c>
      <c r="X1923" t="s">
        <v>69</v>
      </c>
      <c r="Y1923" t="s">
        <v>24075</v>
      </c>
      <c r="Z1923" t="s">
        <v>24076</v>
      </c>
      <c r="AA1923" t="s">
        <v>6598</v>
      </c>
      <c r="AB1923" t="s">
        <v>24077</v>
      </c>
      <c r="AC1923" t="s">
        <v>69</v>
      </c>
      <c r="AD1923" t="s">
        <v>24078</v>
      </c>
      <c r="AE1923" t="s">
        <v>24079</v>
      </c>
      <c r="AF1923" t="s">
        <v>69</v>
      </c>
      <c r="AG1923" t="s">
        <v>69</v>
      </c>
      <c r="AH1923" t="s">
        <v>69</v>
      </c>
      <c r="AI1923" t="s">
        <v>69</v>
      </c>
      <c r="AJ1923" t="s">
        <v>69</v>
      </c>
      <c r="AK1923" t="s">
        <v>69</v>
      </c>
      <c r="AL1923">
        <v>32</v>
      </c>
      <c r="AM1923">
        <v>53</v>
      </c>
      <c r="AN1923">
        <v>54</v>
      </c>
      <c r="AO1923">
        <v>2</v>
      </c>
      <c r="AP1923">
        <v>31</v>
      </c>
      <c r="AQ1923" t="s">
        <v>8846</v>
      </c>
      <c r="AR1923" t="s">
        <v>8847</v>
      </c>
      <c r="AS1923" t="s">
        <v>8848</v>
      </c>
      <c r="AT1923" t="s">
        <v>3314</v>
      </c>
      <c r="AU1923" t="s">
        <v>3315</v>
      </c>
      <c r="AV1923" t="s">
        <v>69</v>
      </c>
      <c r="AW1923" t="s">
        <v>17518</v>
      </c>
      <c r="AX1923" t="s">
        <v>17519</v>
      </c>
      <c r="AY1923" t="s">
        <v>373</v>
      </c>
      <c r="AZ1923">
        <v>2014</v>
      </c>
      <c r="BA1923">
        <v>38</v>
      </c>
      <c r="BB1923">
        <v>1</v>
      </c>
      <c r="BC1923" t="s">
        <v>69</v>
      </c>
      <c r="BD1923" t="s">
        <v>69</v>
      </c>
      <c r="BE1923" t="s">
        <v>69</v>
      </c>
      <c r="BF1923" t="s">
        <v>69</v>
      </c>
      <c r="BG1923">
        <v>79</v>
      </c>
      <c r="BH1923">
        <v>97</v>
      </c>
      <c r="BI1923" t="s">
        <v>69</v>
      </c>
      <c r="BJ1923" t="s">
        <v>6599</v>
      </c>
      <c r="BK1923" t="str">
        <f>HYPERLINK("http://dx.doi.org/10.1111/1468-2427.12037","http://dx.doi.org/10.1111/1468-2427.12037")</f>
        <v>http://dx.doi.org/10.1111/1468-2427.12037</v>
      </c>
      <c r="BL1923" t="s">
        <v>69</v>
      </c>
      <c r="BM1923" t="s">
        <v>69</v>
      </c>
      <c r="BN1923">
        <v>19</v>
      </c>
      <c r="BO1923" t="s">
        <v>17520</v>
      </c>
      <c r="BP1923" t="s">
        <v>8661</v>
      </c>
      <c r="BQ1923" t="s">
        <v>17521</v>
      </c>
      <c r="BR1923" t="s">
        <v>24080</v>
      </c>
      <c r="BS1923" t="s">
        <v>6600</v>
      </c>
      <c r="BT1923" t="s">
        <v>69</v>
      </c>
      <c r="BU1923" t="s">
        <v>69</v>
      </c>
      <c r="BV1923" t="s">
        <v>69</v>
      </c>
      <c r="BW1923" t="s">
        <v>69</v>
      </c>
      <c r="BX1923" t="s">
        <v>8526</v>
      </c>
      <c r="BY1923" t="str">
        <f>HYPERLINK("https%3A%2F%2Fwww.webofscience.com%2Fwos%2Fwoscc%2Ffull-record%2FWOS:000328747200005","View Full Record in Web of Science")</f>
        <v>View Full Record in Web of Science</v>
      </c>
    </row>
    <row r="1924" spans="1:77" ht="12.5" x14ac:dyDescent="0.25">
      <c r="A1924" t="s">
        <v>8495</v>
      </c>
      <c r="B1924" s="7" t="s">
        <v>32933</v>
      </c>
      <c r="C1924" s="7"/>
      <c r="D1924" s="7"/>
      <c r="E1924" s="7"/>
      <c r="F1924" t="s">
        <v>67</v>
      </c>
      <c r="G1924" t="s">
        <v>1574</v>
      </c>
      <c r="H1924" t="s">
        <v>69</v>
      </c>
      <c r="I1924" t="s">
        <v>69</v>
      </c>
      <c r="J1924" t="s">
        <v>69</v>
      </c>
      <c r="K1924" t="s">
        <v>1575</v>
      </c>
      <c r="L1924" t="s">
        <v>69</v>
      </c>
      <c r="M1924" t="s">
        <v>69</v>
      </c>
      <c r="N1924" t="s">
        <v>1576</v>
      </c>
      <c r="O1924" t="s">
        <v>1577</v>
      </c>
      <c r="P1924" t="s">
        <v>69</v>
      </c>
      <c r="Q1924" t="s">
        <v>69</v>
      </c>
      <c r="R1924" t="s">
        <v>8505</v>
      </c>
      <c r="S1924" t="s">
        <v>8506</v>
      </c>
      <c r="T1924" t="s">
        <v>69</v>
      </c>
      <c r="U1924" t="s">
        <v>69</v>
      </c>
      <c r="V1924" t="s">
        <v>69</v>
      </c>
      <c r="W1924" t="s">
        <v>69</v>
      </c>
      <c r="X1924" t="s">
        <v>69</v>
      </c>
      <c r="Y1924" t="s">
        <v>29011</v>
      </c>
      <c r="Z1924" t="s">
        <v>29012</v>
      </c>
      <c r="AA1924" t="s">
        <v>1578</v>
      </c>
      <c r="AB1924" t="s">
        <v>29013</v>
      </c>
      <c r="AC1924" t="s">
        <v>69</v>
      </c>
      <c r="AD1924" t="s">
        <v>29014</v>
      </c>
      <c r="AE1924" t="s">
        <v>29015</v>
      </c>
      <c r="AF1924" t="s">
        <v>69</v>
      </c>
      <c r="AG1924" t="s">
        <v>69</v>
      </c>
      <c r="AH1924" t="s">
        <v>69</v>
      </c>
      <c r="AI1924" t="s">
        <v>69</v>
      </c>
      <c r="AJ1924" t="s">
        <v>69</v>
      </c>
      <c r="AK1924" t="s">
        <v>69</v>
      </c>
      <c r="AL1924">
        <v>60</v>
      </c>
      <c r="AM1924">
        <v>6</v>
      </c>
      <c r="AN1924">
        <v>6</v>
      </c>
      <c r="AO1924">
        <v>0</v>
      </c>
      <c r="AP1924">
        <v>8</v>
      </c>
      <c r="AQ1924" t="s">
        <v>29016</v>
      </c>
      <c r="AR1924" t="s">
        <v>29017</v>
      </c>
      <c r="AS1924" t="s">
        <v>29018</v>
      </c>
      <c r="AT1924" t="s">
        <v>1579</v>
      </c>
      <c r="AU1924" t="s">
        <v>69</v>
      </c>
      <c r="AV1924" t="s">
        <v>69</v>
      </c>
      <c r="AW1924" t="s">
        <v>29019</v>
      </c>
      <c r="AX1924" t="s">
        <v>29020</v>
      </c>
      <c r="AY1924" t="s">
        <v>75</v>
      </c>
      <c r="AZ1924">
        <v>2008</v>
      </c>
      <c r="BA1924">
        <v>58</v>
      </c>
      <c r="BB1924">
        <v>4</v>
      </c>
      <c r="BC1924" t="s">
        <v>69</v>
      </c>
      <c r="BD1924" t="s">
        <v>69</v>
      </c>
      <c r="BE1924" t="s">
        <v>69</v>
      </c>
      <c r="BF1924" t="s">
        <v>69</v>
      </c>
      <c r="BG1924">
        <v>283</v>
      </c>
      <c r="BH1924">
        <v>293</v>
      </c>
      <c r="BI1924" t="s">
        <v>69</v>
      </c>
      <c r="BJ1924" t="s">
        <v>69</v>
      </c>
      <c r="BK1924" t="s">
        <v>69</v>
      </c>
      <c r="BL1924" t="s">
        <v>69</v>
      </c>
      <c r="BM1924" t="s">
        <v>69</v>
      </c>
      <c r="BN1924">
        <v>11</v>
      </c>
      <c r="BO1924" t="s">
        <v>17664</v>
      </c>
      <c r="BP1924" t="s">
        <v>8548</v>
      </c>
      <c r="BQ1924" t="s">
        <v>8450</v>
      </c>
      <c r="BR1924" t="s">
        <v>29021</v>
      </c>
      <c r="BS1924" t="s">
        <v>1580</v>
      </c>
      <c r="BT1924" t="s">
        <v>69</v>
      </c>
      <c r="BU1924" t="s">
        <v>69</v>
      </c>
      <c r="BV1924" t="s">
        <v>69</v>
      </c>
      <c r="BW1924" t="s">
        <v>69</v>
      </c>
      <c r="BX1924" t="s">
        <v>8526</v>
      </c>
      <c r="BY1924" t="str">
        <f>HYPERLINK("https%3A%2F%2Fwww.webofscience.com%2Fwos%2Fwoscc%2Ffull-record%2FWOS:000262624200005","View Full Record in Web of Science")</f>
        <v>View Full Record in Web of Science</v>
      </c>
    </row>
    <row r="1925" spans="1:77" ht="12.5" x14ac:dyDescent="0.25">
      <c r="A1925" t="s">
        <v>8495</v>
      </c>
      <c r="B1925" s="22" t="s">
        <v>32931</v>
      </c>
      <c r="C1925" s="7"/>
      <c r="D1925" s="7"/>
      <c r="E1925" s="7"/>
      <c r="F1925" t="s">
        <v>67</v>
      </c>
      <c r="G1925" t="s">
        <v>31020</v>
      </c>
      <c r="H1925" t="s">
        <v>69</v>
      </c>
      <c r="I1925" t="s">
        <v>69</v>
      </c>
      <c r="J1925" t="s">
        <v>69</v>
      </c>
      <c r="K1925" t="s">
        <v>31020</v>
      </c>
      <c r="L1925" t="s">
        <v>69</v>
      </c>
      <c r="M1925" t="s">
        <v>69</v>
      </c>
      <c r="N1925" t="s">
        <v>31021</v>
      </c>
      <c r="O1925" t="s">
        <v>31022</v>
      </c>
      <c r="P1925" t="s">
        <v>69</v>
      </c>
      <c r="Q1925" t="s">
        <v>69</v>
      </c>
      <c r="R1925" t="s">
        <v>8505</v>
      </c>
      <c r="S1925" t="s">
        <v>8506</v>
      </c>
      <c r="T1925" t="s">
        <v>69</v>
      </c>
      <c r="U1925" t="s">
        <v>69</v>
      </c>
      <c r="V1925" t="s">
        <v>69</v>
      </c>
      <c r="W1925" t="s">
        <v>69</v>
      </c>
      <c r="X1925" t="s">
        <v>69</v>
      </c>
      <c r="Y1925" t="s">
        <v>31023</v>
      </c>
      <c r="Z1925" t="s">
        <v>31024</v>
      </c>
      <c r="AA1925" t="s">
        <v>31025</v>
      </c>
      <c r="AB1925" t="s">
        <v>31026</v>
      </c>
      <c r="AC1925" t="s">
        <v>69</v>
      </c>
      <c r="AD1925" t="s">
        <v>31027</v>
      </c>
      <c r="AE1925" t="s">
        <v>69</v>
      </c>
      <c r="AF1925" t="s">
        <v>31028</v>
      </c>
      <c r="AG1925" t="s">
        <v>31029</v>
      </c>
      <c r="AH1925" t="s">
        <v>69</v>
      </c>
      <c r="AI1925" t="s">
        <v>69</v>
      </c>
      <c r="AJ1925" t="s">
        <v>69</v>
      </c>
      <c r="AK1925" t="s">
        <v>69</v>
      </c>
      <c r="AL1925">
        <v>24</v>
      </c>
      <c r="AM1925">
        <v>13</v>
      </c>
      <c r="AN1925">
        <v>13</v>
      </c>
      <c r="AO1925">
        <v>0</v>
      </c>
      <c r="AP1925">
        <v>0</v>
      </c>
      <c r="AQ1925" t="s">
        <v>8762</v>
      </c>
      <c r="AR1925" t="s">
        <v>8763</v>
      </c>
      <c r="AS1925" t="s">
        <v>8764</v>
      </c>
      <c r="AT1925" t="s">
        <v>31030</v>
      </c>
      <c r="AU1925" t="s">
        <v>31031</v>
      </c>
      <c r="AV1925" t="s">
        <v>69</v>
      </c>
      <c r="AW1925" t="s">
        <v>31032</v>
      </c>
      <c r="AX1925" t="s">
        <v>31033</v>
      </c>
      <c r="AY1925" t="s">
        <v>75</v>
      </c>
      <c r="AZ1925">
        <v>2004</v>
      </c>
      <c r="BA1925">
        <v>32</v>
      </c>
      <c r="BB1925">
        <v>6</v>
      </c>
      <c r="BC1925" t="s">
        <v>69</v>
      </c>
      <c r="BD1925" t="s">
        <v>69</v>
      </c>
      <c r="BE1925" t="s">
        <v>69</v>
      </c>
      <c r="BF1925" t="s">
        <v>69</v>
      </c>
      <c r="BG1925">
        <v>781</v>
      </c>
      <c r="BH1925">
        <v>786</v>
      </c>
      <c r="BI1925" t="s">
        <v>69</v>
      </c>
      <c r="BJ1925" t="s">
        <v>31034</v>
      </c>
      <c r="BK1925" t="str">
        <f>HYPERLINK("http://dx.doi.org/10.1177/0310057X0403200609","http://dx.doi.org/10.1177/0310057X0403200609")</f>
        <v>http://dx.doi.org/10.1177/0310057X0403200609</v>
      </c>
      <c r="BL1925" t="s">
        <v>69</v>
      </c>
      <c r="BM1925" t="s">
        <v>69</v>
      </c>
      <c r="BN1925">
        <v>6</v>
      </c>
      <c r="BO1925" t="s">
        <v>31035</v>
      </c>
      <c r="BP1925" t="s">
        <v>8548</v>
      </c>
      <c r="BQ1925" t="s">
        <v>31036</v>
      </c>
      <c r="BR1925" t="s">
        <v>31037</v>
      </c>
      <c r="BS1925" t="s">
        <v>31038</v>
      </c>
      <c r="BT1925">
        <v>15648988</v>
      </c>
      <c r="BU1925" t="s">
        <v>9374</v>
      </c>
      <c r="BV1925" t="s">
        <v>69</v>
      </c>
      <c r="BW1925" t="s">
        <v>69</v>
      </c>
      <c r="BX1925" t="s">
        <v>8526</v>
      </c>
      <c r="BY1925" t="str">
        <f>HYPERLINK("https%3A%2F%2Fwww.webofscience.com%2Fwos%2Fwoscc%2Ffull-record%2FWOS:000226048100009","View Full Record in Web of Science")</f>
        <v>View Full Record in Web of Science</v>
      </c>
    </row>
    <row r="1926" spans="1:77" ht="12.5" x14ac:dyDescent="0.25">
      <c r="A1926" t="s">
        <v>8495</v>
      </c>
      <c r="B1926" s="22" t="s">
        <v>32931</v>
      </c>
      <c r="C1926" s="7"/>
      <c r="D1926" s="7"/>
      <c r="E1926" s="7"/>
      <c r="F1926" t="s">
        <v>67</v>
      </c>
      <c r="G1926" t="s">
        <v>22617</v>
      </c>
      <c r="H1926" t="s">
        <v>69</v>
      </c>
      <c r="I1926" t="s">
        <v>69</v>
      </c>
      <c r="J1926" t="s">
        <v>69</v>
      </c>
      <c r="K1926" t="s">
        <v>22618</v>
      </c>
      <c r="L1926" t="s">
        <v>69</v>
      </c>
      <c r="M1926" t="s">
        <v>22619</v>
      </c>
      <c r="N1926" t="s">
        <v>22620</v>
      </c>
      <c r="O1926" t="s">
        <v>22621</v>
      </c>
      <c r="P1926" t="s">
        <v>69</v>
      </c>
      <c r="Q1926" t="s">
        <v>69</v>
      </c>
      <c r="R1926" t="s">
        <v>8505</v>
      </c>
      <c r="S1926" t="s">
        <v>8506</v>
      </c>
      <c r="T1926" t="s">
        <v>69</v>
      </c>
      <c r="U1926" t="s">
        <v>69</v>
      </c>
      <c r="V1926" t="s">
        <v>69</v>
      </c>
      <c r="W1926" t="s">
        <v>69</v>
      </c>
      <c r="X1926" t="s">
        <v>69</v>
      </c>
      <c r="Y1926" t="s">
        <v>22622</v>
      </c>
      <c r="Z1926" t="s">
        <v>22623</v>
      </c>
      <c r="AA1926" t="s">
        <v>22624</v>
      </c>
      <c r="AB1926" t="s">
        <v>22625</v>
      </c>
      <c r="AC1926" t="s">
        <v>69</v>
      </c>
      <c r="AD1926" t="s">
        <v>22626</v>
      </c>
      <c r="AE1926" t="s">
        <v>22627</v>
      </c>
      <c r="AF1926" t="s">
        <v>22628</v>
      </c>
      <c r="AG1926" t="s">
        <v>22629</v>
      </c>
      <c r="AH1926" t="s">
        <v>22630</v>
      </c>
      <c r="AI1926" t="s">
        <v>22630</v>
      </c>
      <c r="AJ1926" t="s">
        <v>22631</v>
      </c>
      <c r="AK1926" t="s">
        <v>69</v>
      </c>
      <c r="AL1926">
        <v>48</v>
      </c>
      <c r="AM1926">
        <v>40</v>
      </c>
      <c r="AN1926">
        <v>41</v>
      </c>
      <c r="AO1926">
        <v>0</v>
      </c>
      <c r="AP1926">
        <v>16</v>
      </c>
      <c r="AQ1926" t="s">
        <v>22632</v>
      </c>
      <c r="AR1926" t="s">
        <v>8763</v>
      </c>
      <c r="AS1926" t="s">
        <v>9306</v>
      </c>
      <c r="AT1926" t="s">
        <v>22633</v>
      </c>
      <c r="AU1926" t="s">
        <v>69</v>
      </c>
      <c r="AV1926" t="s">
        <v>69</v>
      </c>
      <c r="AW1926" t="s">
        <v>22634</v>
      </c>
      <c r="AX1926" t="s">
        <v>22635</v>
      </c>
      <c r="AY1926" t="s">
        <v>6523</v>
      </c>
      <c r="AZ1926">
        <v>2015</v>
      </c>
      <c r="BA1926">
        <v>5</v>
      </c>
      <c r="BB1926" t="s">
        <v>69</v>
      </c>
      <c r="BC1926" t="s">
        <v>69</v>
      </c>
      <c r="BD1926" t="s">
        <v>69</v>
      </c>
      <c r="BE1926" t="s">
        <v>69</v>
      </c>
      <c r="BF1926" t="s">
        <v>69</v>
      </c>
      <c r="BG1926" t="s">
        <v>69</v>
      </c>
      <c r="BH1926" t="s">
        <v>69</v>
      </c>
      <c r="BI1926">
        <v>15</v>
      </c>
      <c r="BJ1926" t="s">
        <v>22636</v>
      </c>
      <c r="BK1926" t="str">
        <f>HYPERLINK("http://dx.doi.org/10.1186/s13613-015-0056-x","http://dx.doi.org/10.1186/s13613-015-0056-x")</f>
        <v>http://dx.doi.org/10.1186/s13613-015-0056-x</v>
      </c>
      <c r="BL1926" t="s">
        <v>69</v>
      </c>
      <c r="BM1926" t="s">
        <v>69</v>
      </c>
      <c r="BN1926">
        <v>12</v>
      </c>
      <c r="BO1926" t="s">
        <v>22637</v>
      </c>
      <c r="BP1926" t="s">
        <v>8548</v>
      </c>
      <c r="BQ1926" t="s">
        <v>9451</v>
      </c>
      <c r="BR1926" t="s">
        <v>22638</v>
      </c>
      <c r="BS1926" t="s">
        <v>22639</v>
      </c>
      <c r="BT1926">
        <v>26092498</v>
      </c>
      <c r="BU1926" t="s">
        <v>8812</v>
      </c>
      <c r="BV1926" t="s">
        <v>69</v>
      </c>
      <c r="BW1926" t="s">
        <v>69</v>
      </c>
      <c r="BX1926" t="s">
        <v>8526</v>
      </c>
      <c r="BY1926" t="str">
        <f>HYPERLINK("https%3A%2F%2Fwww.webofscience.com%2Fwos%2Fwoscc%2Ffull-record%2FWOS:000358442000001","View Full Record in Web of Science")</f>
        <v>View Full Record in Web of Science</v>
      </c>
    </row>
    <row r="1927" spans="1:77" ht="12.5" x14ac:dyDescent="0.25">
      <c r="A1927" t="s">
        <v>8495</v>
      </c>
      <c r="B1927" s="22" t="s">
        <v>32931</v>
      </c>
      <c r="C1927" s="7"/>
      <c r="D1927" s="7"/>
      <c r="E1927" s="7"/>
      <c r="F1927" t="s">
        <v>67</v>
      </c>
      <c r="G1927" t="s">
        <v>17991</v>
      </c>
      <c r="H1927" t="s">
        <v>69</v>
      </c>
      <c r="I1927" t="s">
        <v>69</v>
      </c>
      <c r="J1927" t="s">
        <v>69</v>
      </c>
      <c r="K1927" t="s">
        <v>17992</v>
      </c>
      <c r="L1927" t="s">
        <v>69</v>
      </c>
      <c r="M1927" t="s">
        <v>69</v>
      </c>
      <c r="N1927" t="s">
        <v>17993</v>
      </c>
      <c r="O1927" t="s">
        <v>17994</v>
      </c>
      <c r="P1927" t="s">
        <v>69</v>
      </c>
      <c r="Q1927" t="s">
        <v>69</v>
      </c>
      <c r="R1927" t="s">
        <v>10071</v>
      </c>
      <c r="S1927" t="s">
        <v>8506</v>
      </c>
      <c r="T1927" t="s">
        <v>69</v>
      </c>
      <c r="U1927" t="s">
        <v>69</v>
      </c>
      <c r="V1927" t="s">
        <v>69</v>
      </c>
      <c r="W1927" t="s">
        <v>69</v>
      </c>
      <c r="X1927" t="s">
        <v>69</v>
      </c>
      <c r="Y1927" t="s">
        <v>17995</v>
      </c>
      <c r="Z1927" t="s">
        <v>17996</v>
      </c>
      <c r="AA1927" t="s">
        <v>17997</v>
      </c>
      <c r="AB1927" t="s">
        <v>17998</v>
      </c>
      <c r="AC1927" t="s">
        <v>69</v>
      </c>
      <c r="AD1927" t="s">
        <v>17999</v>
      </c>
      <c r="AE1927" t="s">
        <v>18000</v>
      </c>
      <c r="AF1927" t="s">
        <v>18001</v>
      </c>
      <c r="AG1927" t="s">
        <v>69</v>
      </c>
      <c r="AH1927" t="s">
        <v>69</v>
      </c>
      <c r="AI1927" t="s">
        <v>69</v>
      </c>
      <c r="AJ1927" t="s">
        <v>69</v>
      </c>
      <c r="AK1927" t="s">
        <v>69</v>
      </c>
      <c r="AL1927">
        <v>48</v>
      </c>
      <c r="AM1927">
        <v>1</v>
      </c>
      <c r="AN1927">
        <v>2</v>
      </c>
      <c r="AO1927">
        <v>1</v>
      </c>
      <c r="AP1927">
        <v>10</v>
      </c>
      <c r="AQ1927" t="s">
        <v>18002</v>
      </c>
      <c r="AR1927" t="s">
        <v>16204</v>
      </c>
      <c r="AS1927" t="s">
        <v>18003</v>
      </c>
      <c r="AT1927" t="s">
        <v>18004</v>
      </c>
      <c r="AU1927" t="s">
        <v>18005</v>
      </c>
      <c r="AV1927" t="s">
        <v>69</v>
      </c>
      <c r="AW1927" t="s">
        <v>18006</v>
      </c>
      <c r="AX1927" t="s">
        <v>18007</v>
      </c>
      <c r="AY1927" t="s">
        <v>69</v>
      </c>
      <c r="AZ1927">
        <v>2019</v>
      </c>
      <c r="BA1927">
        <v>22</v>
      </c>
      <c r="BB1927">
        <v>1</v>
      </c>
      <c r="BC1927" t="s">
        <v>69</v>
      </c>
      <c r="BD1927" t="s">
        <v>69</v>
      </c>
      <c r="BE1927" t="s">
        <v>69</v>
      </c>
      <c r="BF1927" t="s">
        <v>69</v>
      </c>
      <c r="BG1927">
        <v>375</v>
      </c>
      <c r="BH1927">
        <v>400</v>
      </c>
      <c r="BI1927" t="s">
        <v>69</v>
      </c>
      <c r="BJ1927" t="s">
        <v>18008</v>
      </c>
      <c r="BK1927" t="str">
        <f>HYPERLINK("http://dx.doi.org/10.5944/educXX1.21469","http://dx.doi.org/10.5944/educXX1.21469")</f>
        <v>http://dx.doi.org/10.5944/educXX1.21469</v>
      </c>
      <c r="BL1927" t="s">
        <v>69</v>
      </c>
      <c r="BM1927" t="s">
        <v>69</v>
      </c>
      <c r="BN1927">
        <v>26</v>
      </c>
      <c r="BO1927" t="s">
        <v>9290</v>
      </c>
      <c r="BP1927" t="s">
        <v>8661</v>
      </c>
      <c r="BQ1927" t="s">
        <v>9290</v>
      </c>
      <c r="BR1927" t="s">
        <v>18009</v>
      </c>
      <c r="BS1927" t="s">
        <v>18010</v>
      </c>
      <c r="BT1927" t="s">
        <v>69</v>
      </c>
      <c r="BU1927" t="s">
        <v>8931</v>
      </c>
      <c r="BV1927" t="s">
        <v>69</v>
      </c>
      <c r="BW1927" t="s">
        <v>69</v>
      </c>
      <c r="BX1927" t="s">
        <v>8526</v>
      </c>
      <c r="BY1927" t="str">
        <f>HYPERLINK("https%3A%2F%2Fwww.webofscience.com%2Fwos%2Fwoscc%2Ffull-record%2FWOS:000450015300017","View Full Record in Web of Science")</f>
        <v>View Full Record in Web of Science</v>
      </c>
    </row>
    <row r="1928" spans="1:77" ht="12.5" x14ac:dyDescent="0.25">
      <c r="A1928" t="s">
        <v>8495</v>
      </c>
      <c r="B1928" s="22" t="s">
        <v>32931</v>
      </c>
      <c r="C1928" s="7"/>
      <c r="D1928" s="7"/>
      <c r="E1928" s="7"/>
      <c r="F1928" t="s">
        <v>67</v>
      </c>
      <c r="G1928" t="s">
        <v>25228</v>
      </c>
      <c r="H1928" t="s">
        <v>69</v>
      </c>
      <c r="I1928" t="s">
        <v>69</v>
      </c>
      <c r="J1928" t="s">
        <v>69</v>
      </c>
      <c r="K1928" t="s">
        <v>25229</v>
      </c>
      <c r="L1928" t="s">
        <v>69</v>
      </c>
      <c r="M1928" t="s">
        <v>69</v>
      </c>
      <c r="N1928" t="s">
        <v>25230</v>
      </c>
      <c r="O1928" t="s">
        <v>24786</v>
      </c>
      <c r="P1928" t="s">
        <v>69</v>
      </c>
      <c r="Q1928" t="s">
        <v>69</v>
      </c>
      <c r="R1928" t="s">
        <v>8505</v>
      </c>
      <c r="S1928" t="s">
        <v>8506</v>
      </c>
      <c r="T1928" t="s">
        <v>69</v>
      </c>
      <c r="U1928" t="s">
        <v>69</v>
      </c>
      <c r="V1928" t="s">
        <v>69</v>
      </c>
      <c r="W1928" t="s">
        <v>69</v>
      </c>
      <c r="X1928" t="s">
        <v>69</v>
      </c>
      <c r="Y1928" t="s">
        <v>25231</v>
      </c>
      <c r="Z1928" t="s">
        <v>25232</v>
      </c>
      <c r="AA1928" t="s">
        <v>25233</v>
      </c>
      <c r="AB1928" t="s">
        <v>69</v>
      </c>
      <c r="AC1928" t="s">
        <v>69</v>
      </c>
      <c r="AD1928" t="s">
        <v>69</v>
      </c>
      <c r="AE1928" t="s">
        <v>25234</v>
      </c>
      <c r="AF1928" t="s">
        <v>69</v>
      </c>
      <c r="AG1928" t="s">
        <v>69</v>
      </c>
      <c r="AH1928" t="s">
        <v>69</v>
      </c>
      <c r="AI1928" t="s">
        <v>69</v>
      </c>
      <c r="AJ1928" t="s">
        <v>69</v>
      </c>
      <c r="AK1928" t="s">
        <v>69</v>
      </c>
      <c r="AL1928">
        <v>61</v>
      </c>
      <c r="AM1928">
        <v>13</v>
      </c>
      <c r="AN1928">
        <v>13</v>
      </c>
      <c r="AO1928">
        <v>0</v>
      </c>
      <c r="AP1928">
        <v>0</v>
      </c>
      <c r="AQ1928" t="s">
        <v>24795</v>
      </c>
      <c r="AR1928" t="s">
        <v>24796</v>
      </c>
      <c r="AS1928" t="s">
        <v>24797</v>
      </c>
      <c r="AT1928" t="s">
        <v>24798</v>
      </c>
      <c r="AU1928" t="s">
        <v>69</v>
      </c>
      <c r="AV1928" t="s">
        <v>69</v>
      </c>
      <c r="AW1928" t="s">
        <v>24799</v>
      </c>
      <c r="AX1928" t="s">
        <v>24800</v>
      </c>
      <c r="AY1928" t="s">
        <v>191</v>
      </c>
      <c r="AZ1928">
        <v>2013</v>
      </c>
      <c r="BA1928">
        <v>3</v>
      </c>
      <c r="BB1928">
        <v>1</v>
      </c>
      <c r="BC1928" t="s">
        <v>69</v>
      </c>
      <c r="BD1928" t="s">
        <v>69</v>
      </c>
      <c r="BE1928" t="s">
        <v>69</v>
      </c>
      <c r="BF1928" t="s">
        <v>69</v>
      </c>
      <c r="BG1928">
        <v>69</v>
      </c>
      <c r="BH1928">
        <v>93</v>
      </c>
      <c r="BI1928" t="s">
        <v>69</v>
      </c>
      <c r="BJ1928" t="s">
        <v>69</v>
      </c>
      <c r="BK1928" t="s">
        <v>69</v>
      </c>
      <c r="BL1928" t="s">
        <v>69</v>
      </c>
      <c r="BM1928" t="s">
        <v>69</v>
      </c>
      <c r="BN1928">
        <v>25</v>
      </c>
      <c r="BO1928" t="s">
        <v>13825</v>
      </c>
      <c r="BP1928" t="s">
        <v>8573</v>
      </c>
      <c r="BQ1928" t="s">
        <v>8594</v>
      </c>
      <c r="BR1928" t="s">
        <v>25235</v>
      </c>
      <c r="BS1928" t="s">
        <v>25236</v>
      </c>
      <c r="BT1928" t="s">
        <v>69</v>
      </c>
      <c r="BU1928" t="s">
        <v>12220</v>
      </c>
      <c r="BV1928" t="s">
        <v>69</v>
      </c>
      <c r="BW1928" t="s">
        <v>69</v>
      </c>
      <c r="BX1928" t="s">
        <v>8526</v>
      </c>
      <c r="BY1928" t="str">
        <f>HYPERLINK("https%3A%2F%2Fwww.webofscience.com%2Fwos%2Fwoscc%2Ffull-record%2FWOS:000218845400005","View Full Record in Web of Science")</f>
        <v>View Full Record in Web of Science</v>
      </c>
    </row>
    <row r="1929" spans="1:77" ht="12.5" x14ac:dyDescent="0.25">
      <c r="A1929" t="s">
        <v>8495</v>
      </c>
      <c r="B1929" s="7" t="s">
        <v>32933</v>
      </c>
      <c r="C1929" s="7"/>
      <c r="D1929" s="7"/>
      <c r="E1929" s="7"/>
      <c r="F1929" t="s">
        <v>67</v>
      </c>
      <c r="G1929" t="s">
        <v>3813</v>
      </c>
      <c r="H1929" t="s">
        <v>69</v>
      </c>
      <c r="I1929" t="s">
        <v>69</v>
      </c>
      <c r="J1929" t="s">
        <v>69</v>
      </c>
      <c r="K1929" t="s">
        <v>3814</v>
      </c>
      <c r="L1929" t="s">
        <v>69</v>
      </c>
      <c r="M1929" t="s">
        <v>69</v>
      </c>
      <c r="N1929" t="s">
        <v>3815</v>
      </c>
      <c r="O1929" t="s">
        <v>3816</v>
      </c>
      <c r="P1929" t="s">
        <v>69</v>
      </c>
      <c r="Q1929" t="s">
        <v>69</v>
      </c>
      <c r="R1929" t="s">
        <v>8505</v>
      </c>
      <c r="S1929" t="s">
        <v>8506</v>
      </c>
      <c r="T1929" t="s">
        <v>69</v>
      </c>
      <c r="U1929" t="s">
        <v>69</v>
      </c>
      <c r="V1929" t="s">
        <v>69</v>
      </c>
      <c r="W1929" t="s">
        <v>69</v>
      </c>
      <c r="X1929" t="s">
        <v>69</v>
      </c>
      <c r="Y1929" t="s">
        <v>30203</v>
      </c>
      <c r="Z1929" t="s">
        <v>30204</v>
      </c>
      <c r="AA1929" t="s">
        <v>3817</v>
      </c>
      <c r="AB1929" t="s">
        <v>30205</v>
      </c>
      <c r="AC1929" t="s">
        <v>69</v>
      </c>
      <c r="AD1929" t="s">
        <v>30206</v>
      </c>
      <c r="AE1929" t="s">
        <v>69</v>
      </c>
      <c r="AF1929" t="s">
        <v>30207</v>
      </c>
      <c r="AG1929" t="s">
        <v>30208</v>
      </c>
      <c r="AH1929" t="s">
        <v>69</v>
      </c>
      <c r="AI1929" t="s">
        <v>69</v>
      </c>
      <c r="AJ1929" t="s">
        <v>69</v>
      </c>
      <c r="AK1929" t="s">
        <v>69</v>
      </c>
      <c r="AL1929">
        <v>20</v>
      </c>
      <c r="AM1929">
        <v>40</v>
      </c>
      <c r="AN1929">
        <v>42</v>
      </c>
      <c r="AO1929">
        <v>0</v>
      </c>
      <c r="AP1929">
        <v>19</v>
      </c>
      <c r="AQ1929" t="s">
        <v>8846</v>
      </c>
      <c r="AR1929" t="s">
        <v>8847</v>
      </c>
      <c r="AS1929" t="s">
        <v>8848</v>
      </c>
      <c r="AT1929" t="s">
        <v>3818</v>
      </c>
      <c r="AU1929" t="s">
        <v>3819</v>
      </c>
      <c r="AV1929" t="s">
        <v>69</v>
      </c>
      <c r="AW1929" t="s">
        <v>3816</v>
      </c>
      <c r="AX1929" t="s">
        <v>30209</v>
      </c>
      <c r="AY1929" t="s">
        <v>84</v>
      </c>
      <c r="AZ1929">
        <v>2006</v>
      </c>
      <c r="BA1929">
        <v>61</v>
      </c>
      <c r="BB1929">
        <v>7</v>
      </c>
      <c r="BC1929" t="s">
        <v>69</v>
      </c>
      <c r="BD1929" t="s">
        <v>69</v>
      </c>
      <c r="BE1929" t="s">
        <v>69</v>
      </c>
      <c r="BF1929" t="s">
        <v>69</v>
      </c>
      <c r="BG1929">
        <v>864</v>
      </c>
      <c r="BH1929">
        <v>868</v>
      </c>
      <c r="BI1929" t="s">
        <v>69</v>
      </c>
      <c r="BJ1929" t="s">
        <v>3820</v>
      </c>
      <c r="BK1929" t="str">
        <f>HYPERLINK("http://dx.doi.org/10.1111/j.1398-9995.2006.01106.x","http://dx.doi.org/10.1111/j.1398-9995.2006.01106.x")</f>
        <v>http://dx.doi.org/10.1111/j.1398-9995.2006.01106.x</v>
      </c>
      <c r="BL1929" t="s">
        <v>69</v>
      </c>
      <c r="BM1929" t="s">
        <v>69</v>
      </c>
      <c r="BN1929">
        <v>5</v>
      </c>
      <c r="BO1929" t="s">
        <v>30210</v>
      </c>
      <c r="BP1929" t="s">
        <v>8548</v>
      </c>
      <c r="BQ1929" t="s">
        <v>30210</v>
      </c>
      <c r="BR1929" t="s">
        <v>30211</v>
      </c>
      <c r="BS1929" t="s">
        <v>3821</v>
      </c>
      <c r="BT1929">
        <v>16792586</v>
      </c>
      <c r="BU1929" t="s">
        <v>69</v>
      </c>
      <c r="BV1929" t="s">
        <v>69</v>
      </c>
      <c r="BW1929" t="s">
        <v>69</v>
      </c>
      <c r="BX1929" t="s">
        <v>8526</v>
      </c>
      <c r="BY1929" t="str">
        <f>HYPERLINK("https%3A%2F%2Fwww.webofscience.com%2Fwos%2Fwoscc%2Ffull-record%2FWOS:000238305000012","View Full Record in Web of Science")</f>
        <v>View Full Record in Web of Science</v>
      </c>
    </row>
    <row r="1930" spans="1:77" ht="12.5" x14ac:dyDescent="0.25">
      <c r="A1930" t="s">
        <v>8495</v>
      </c>
      <c r="B1930" s="7" t="s">
        <v>32933</v>
      </c>
      <c r="C1930" s="7"/>
      <c r="D1930" s="7"/>
      <c r="E1930" s="7"/>
      <c r="F1930" t="s">
        <v>67</v>
      </c>
      <c r="G1930" t="s">
        <v>3615</v>
      </c>
      <c r="H1930" t="s">
        <v>69</v>
      </c>
      <c r="I1930" t="s">
        <v>69</v>
      </c>
      <c r="J1930" t="s">
        <v>69</v>
      </c>
      <c r="K1930" t="s">
        <v>3616</v>
      </c>
      <c r="L1930" t="s">
        <v>69</v>
      </c>
      <c r="M1930" t="s">
        <v>69</v>
      </c>
      <c r="N1930" t="s">
        <v>3617</v>
      </c>
      <c r="O1930" t="s">
        <v>3618</v>
      </c>
      <c r="P1930" t="s">
        <v>69</v>
      </c>
      <c r="Q1930" t="s">
        <v>69</v>
      </c>
      <c r="R1930" t="s">
        <v>8505</v>
      </c>
      <c r="S1930" t="s">
        <v>8506</v>
      </c>
      <c r="T1930" t="s">
        <v>69</v>
      </c>
      <c r="U1930" t="s">
        <v>69</v>
      </c>
      <c r="V1930" t="s">
        <v>69</v>
      </c>
      <c r="W1930" t="s">
        <v>69</v>
      </c>
      <c r="X1930" t="s">
        <v>69</v>
      </c>
      <c r="Y1930" t="s">
        <v>28554</v>
      </c>
      <c r="Z1930" t="s">
        <v>28555</v>
      </c>
      <c r="AA1930" t="s">
        <v>3619</v>
      </c>
      <c r="AB1930" t="s">
        <v>28556</v>
      </c>
      <c r="AC1930" t="s">
        <v>69</v>
      </c>
      <c r="AD1930" t="s">
        <v>28557</v>
      </c>
      <c r="AE1930" t="s">
        <v>28558</v>
      </c>
      <c r="AF1930" t="s">
        <v>69</v>
      </c>
      <c r="AG1930" t="s">
        <v>69</v>
      </c>
      <c r="AH1930" t="s">
        <v>69</v>
      </c>
      <c r="AI1930" t="s">
        <v>69</v>
      </c>
      <c r="AJ1930" t="s">
        <v>69</v>
      </c>
      <c r="AK1930" t="s">
        <v>69</v>
      </c>
      <c r="AL1930">
        <v>41</v>
      </c>
      <c r="AM1930">
        <v>8</v>
      </c>
      <c r="AN1930">
        <v>8</v>
      </c>
      <c r="AO1930">
        <v>0</v>
      </c>
      <c r="AP1930">
        <v>8</v>
      </c>
      <c r="AQ1930" t="s">
        <v>28559</v>
      </c>
      <c r="AR1930" t="s">
        <v>28560</v>
      </c>
      <c r="AS1930" t="s">
        <v>28561</v>
      </c>
      <c r="AT1930" t="s">
        <v>3620</v>
      </c>
      <c r="AU1930" t="s">
        <v>3621</v>
      </c>
      <c r="AV1930" t="s">
        <v>69</v>
      </c>
      <c r="AW1930" t="s">
        <v>28562</v>
      </c>
      <c r="AX1930" t="s">
        <v>28563</v>
      </c>
      <c r="AY1930" t="s">
        <v>94</v>
      </c>
      <c r="AZ1930">
        <v>2009</v>
      </c>
      <c r="BA1930">
        <v>6</v>
      </c>
      <c r="BB1930">
        <v>1</v>
      </c>
      <c r="BC1930" t="s">
        <v>69</v>
      </c>
      <c r="BD1930" t="s">
        <v>69</v>
      </c>
      <c r="BE1930" t="s">
        <v>69</v>
      </c>
      <c r="BF1930" t="s">
        <v>69</v>
      </c>
      <c r="BG1930">
        <v>14</v>
      </c>
      <c r="BH1930">
        <v>24</v>
      </c>
      <c r="BI1930" t="s">
        <v>69</v>
      </c>
      <c r="BJ1930" t="s">
        <v>3622</v>
      </c>
      <c r="BK1930" t="str">
        <f>HYPERLINK("http://dx.doi.org/10.1287/deca.1080.0134","http://dx.doi.org/10.1287/deca.1080.0134")</f>
        <v>http://dx.doi.org/10.1287/deca.1080.0134</v>
      </c>
      <c r="BL1930" t="s">
        <v>69</v>
      </c>
      <c r="BM1930" t="s">
        <v>69</v>
      </c>
      <c r="BN1930">
        <v>11</v>
      </c>
      <c r="BO1930" t="s">
        <v>9410</v>
      </c>
      <c r="BP1930" t="s">
        <v>8661</v>
      </c>
      <c r="BQ1930" t="s">
        <v>8594</v>
      </c>
      <c r="BR1930" t="s">
        <v>28564</v>
      </c>
      <c r="BS1930" t="s">
        <v>3623</v>
      </c>
      <c r="BT1930" t="s">
        <v>69</v>
      </c>
      <c r="BU1930" t="s">
        <v>69</v>
      </c>
      <c r="BV1930" t="s">
        <v>69</v>
      </c>
      <c r="BW1930" t="s">
        <v>69</v>
      </c>
      <c r="BX1930" t="s">
        <v>8526</v>
      </c>
      <c r="BY1930" t="str">
        <f>HYPERLINK("https%3A%2F%2Fwww.webofscience.com%2Fwos%2Fwoscc%2Ffull-record%2FWOS:000269942700003","View Full Record in Web of Science")</f>
        <v>View Full Record in Web of Science</v>
      </c>
    </row>
    <row r="1931" spans="1:77" ht="12.5" x14ac:dyDescent="0.25">
      <c r="A1931" t="s">
        <v>8495</v>
      </c>
      <c r="B1931" s="22" t="s">
        <v>32931</v>
      </c>
      <c r="C1931" s="7"/>
      <c r="D1931" s="7"/>
      <c r="E1931" s="7"/>
      <c r="F1931" t="s">
        <v>67</v>
      </c>
      <c r="G1931" t="s">
        <v>31067</v>
      </c>
      <c r="H1931" t="s">
        <v>69</v>
      </c>
      <c r="I1931" t="s">
        <v>69</v>
      </c>
      <c r="J1931" t="s">
        <v>69</v>
      </c>
      <c r="K1931" t="s">
        <v>31067</v>
      </c>
      <c r="L1931" t="s">
        <v>69</v>
      </c>
      <c r="M1931" t="s">
        <v>69</v>
      </c>
      <c r="N1931" t="s">
        <v>31068</v>
      </c>
      <c r="O1931" t="s">
        <v>31069</v>
      </c>
      <c r="P1931" t="s">
        <v>69</v>
      </c>
      <c r="Q1931" t="s">
        <v>69</v>
      </c>
      <c r="R1931" t="s">
        <v>8505</v>
      </c>
      <c r="S1931" t="s">
        <v>8506</v>
      </c>
      <c r="T1931" t="s">
        <v>69</v>
      </c>
      <c r="U1931" t="s">
        <v>69</v>
      </c>
      <c r="V1931" t="s">
        <v>69</v>
      </c>
      <c r="W1931" t="s">
        <v>69</v>
      </c>
      <c r="X1931" t="s">
        <v>69</v>
      </c>
      <c r="Y1931" t="s">
        <v>31070</v>
      </c>
      <c r="Z1931" t="s">
        <v>31071</v>
      </c>
      <c r="AA1931" t="s">
        <v>31072</v>
      </c>
      <c r="AB1931" t="s">
        <v>31073</v>
      </c>
      <c r="AC1931" t="s">
        <v>69</v>
      </c>
      <c r="AD1931" t="s">
        <v>31074</v>
      </c>
      <c r="AE1931" t="s">
        <v>31075</v>
      </c>
      <c r="AF1931" t="s">
        <v>69</v>
      </c>
      <c r="AG1931" t="s">
        <v>69</v>
      </c>
      <c r="AH1931" t="s">
        <v>69</v>
      </c>
      <c r="AI1931" t="s">
        <v>69</v>
      </c>
      <c r="AJ1931" t="s">
        <v>69</v>
      </c>
      <c r="AK1931" t="s">
        <v>69</v>
      </c>
      <c r="AL1931">
        <v>38</v>
      </c>
      <c r="AM1931">
        <v>25</v>
      </c>
      <c r="AN1931">
        <v>25</v>
      </c>
      <c r="AO1931">
        <v>1</v>
      </c>
      <c r="AP1931">
        <v>12</v>
      </c>
      <c r="AQ1931" t="s">
        <v>31076</v>
      </c>
      <c r="AR1931" t="s">
        <v>8637</v>
      </c>
      <c r="AS1931" t="s">
        <v>31077</v>
      </c>
      <c r="AT1931" t="s">
        <v>31078</v>
      </c>
      <c r="AU1931" t="s">
        <v>69</v>
      </c>
      <c r="AV1931" t="s">
        <v>69</v>
      </c>
      <c r="AW1931" t="s">
        <v>31079</v>
      </c>
      <c r="AX1931" t="s">
        <v>31080</v>
      </c>
      <c r="AY1931" t="s">
        <v>84</v>
      </c>
      <c r="AZ1931">
        <v>2004</v>
      </c>
      <c r="BA1931">
        <v>47</v>
      </c>
      <c r="BB1931">
        <v>1</v>
      </c>
      <c r="BC1931" t="s">
        <v>69</v>
      </c>
      <c r="BD1931" t="s">
        <v>69</v>
      </c>
      <c r="BE1931" t="s">
        <v>69</v>
      </c>
      <c r="BF1931" t="s">
        <v>69</v>
      </c>
      <c r="BG1931">
        <v>91</v>
      </c>
      <c r="BH1931">
        <v>100</v>
      </c>
      <c r="BI1931" t="s">
        <v>69</v>
      </c>
      <c r="BJ1931" t="s">
        <v>31081</v>
      </c>
      <c r="BK1931" t="str">
        <f>HYPERLINK("http://dx.doi.org/10.1111/j.1365-2648.2004.03070.x","http://dx.doi.org/10.1111/j.1365-2648.2004.03070.x")</f>
        <v>http://dx.doi.org/10.1111/j.1365-2648.2004.03070.x</v>
      </c>
      <c r="BL1931" t="s">
        <v>69</v>
      </c>
      <c r="BM1931" t="s">
        <v>69</v>
      </c>
      <c r="BN1931">
        <v>10</v>
      </c>
      <c r="BO1931" t="s">
        <v>16902</v>
      </c>
      <c r="BP1931" t="s">
        <v>8523</v>
      </c>
      <c r="BQ1931" t="s">
        <v>16902</v>
      </c>
      <c r="BR1931" t="s">
        <v>31082</v>
      </c>
      <c r="BS1931" t="s">
        <v>31083</v>
      </c>
      <c r="BT1931">
        <v>15186472</v>
      </c>
      <c r="BU1931" t="s">
        <v>69</v>
      </c>
      <c r="BV1931" t="s">
        <v>69</v>
      </c>
      <c r="BW1931" t="s">
        <v>69</v>
      </c>
      <c r="BX1931" t="s">
        <v>8526</v>
      </c>
      <c r="BY1931" t="str">
        <f>HYPERLINK("https%3A%2F%2Fwww.webofscience.com%2Fwos%2Fwoscc%2Ffull-record%2FWOS:000221738700011","View Full Record in Web of Science")</f>
        <v>View Full Record in Web of Science</v>
      </c>
    </row>
    <row r="1932" spans="1:77" ht="12.5" x14ac:dyDescent="0.25">
      <c r="A1932" t="s">
        <v>8495</v>
      </c>
      <c r="B1932" s="7" t="s">
        <v>32933</v>
      </c>
      <c r="C1932" s="7"/>
      <c r="D1932" s="7"/>
      <c r="E1932" s="7"/>
      <c r="F1932" t="s">
        <v>67</v>
      </c>
      <c r="G1932" t="s">
        <v>5311</v>
      </c>
      <c r="H1932" t="s">
        <v>69</v>
      </c>
      <c r="I1932" t="s">
        <v>69</v>
      </c>
      <c r="J1932" t="s">
        <v>69</v>
      </c>
      <c r="K1932" t="s">
        <v>5312</v>
      </c>
      <c r="L1932" t="s">
        <v>69</v>
      </c>
      <c r="M1932" t="s">
        <v>69</v>
      </c>
      <c r="N1932" t="s">
        <v>5313</v>
      </c>
      <c r="O1932" t="s">
        <v>2307</v>
      </c>
      <c r="P1932" t="s">
        <v>69</v>
      </c>
      <c r="Q1932" t="s">
        <v>69</v>
      </c>
      <c r="R1932" t="s">
        <v>8505</v>
      </c>
      <c r="S1932" t="s">
        <v>8506</v>
      </c>
      <c r="T1932" t="s">
        <v>69</v>
      </c>
      <c r="U1932" t="s">
        <v>69</v>
      </c>
      <c r="V1932" t="s">
        <v>69</v>
      </c>
      <c r="W1932" t="s">
        <v>69</v>
      </c>
      <c r="X1932" t="s">
        <v>69</v>
      </c>
      <c r="Y1932" t="s">
        <v>17572</v>
      </c>
      <c r="Z1932" t="s">
        <v>17573</v>
      </c>
      <c r="AA1932" t="s">
        <v>5314</v>
      </c>
      <c r="AB1932" t="s">
        <v>17574</v>
      </c>
      <c r="AC1932" t="s">
        <v>69</v>
      </c>
      <c r="AD1932" t="s">
        <v>17575</v>
      </c>
      <c r="AE1932" t="s">
        <v>17576</v>
      </c>
      <c r="AF1932" t="s">
        <v>17577</v>
      </c>
      <c r="AG1932" t="s">
        <v>17578</v>
      </c>
      <c r="AH1932" t="s">
        <v>17579</v>
      </c>
      <c r="AI1932" t="s">
        <v>17579</v>
      </c>
      <c r="AJ1932" t="s">
        <v>17580</v>
      </c>
      <c r="AK1932" t="s">
        <v>69</v>
      </c>
      <c r="AL1932">
        <v>73</v>
      </c>
      <c r="AM1932">
        <v>25</v>
      </c>
      <c r="AN1932">
        <v>26</v>
      </c>
      <c r="AO1932">
        <v>10</v>
      </c>
      <c r="AP1932">
        <v>65</v>
      </c>
      <c r="AQ1932" t="s">
        <v>8762</v>
      </c>
      <c r="AR1932" t="s">
        <v>8763</v>
      </c>
      <c r="AS1932" t="s">
        <v>8764</v>
      </c>
      <c r="AT1932" t="s">
        <v>2309</v>
      </c>
      <c r="AU1932" t="s">
        <v>2310</v>
      </c>
      <c r="AV1932" t="s">
        <v>69</v>
      </c>
      <c r="AW1932" t="s">
        <v>17546</v>
      </c>
      <c r="AX1932" t="s">
        <v>17547</v>
      </c>
      <c r="AY1932" t="s">
        <v>191</v>
      </c>
      <c r="AZ1932">
        <v>2019</v>
      </c>
      <c r="BA1932">
        <v>72</v>
      </c>
      <c r="BB1932">
        <v>2</v>
      </c>
      <c r="BC1932" t="s">
        <v>69</v>
      </c>
      <c r="BD1932" t="s">
        <v>69</v>
      </c>
      <c r="BE1932" t="s">
        <v>69</v>
      </c>
      <c r="BF1932" t="s">
        <v>69</v>
      </c>
      <c r="BG1932">
        <v>444</v>
      </c>
      <c r="BH1932">
        <v>470</v>
      </c>
      <c r="BI1932" t="s">
        <v>69</v>
      </c>
      <c r="BJ1932" t="s">
        <v>5315</v>
      </c>
      <c r="BK1932" t="str">
        <f>HYPERLINK("http://dx.doi.org/10.1177/0018726718769716","http://dx.doi.org/10.1177/0018726718769716")</f>
        <v>http://dx.doi.org/10.1177/0018726718769716</v>
      </c>
      <c r="BL1932" t="s">
        <v>69</v>
      </c>
      <c r="BM1932" t="s">
        <v>69</v>
      </c>
      <c r="BN1932">
        <v>27</v>
      </c>
      <c r="BO1932" t="s">
        <v>17548</v>
      </c>
      <c r="BP1932" t="s">
        <v>8661</v>
      </c>
      <c r="BQ1932" t="s">
        <v>15524</v>
      </c>
      <c r="BR1932" t="s">
        <v>17549</v>
      </c>
      <c r="BS1932" t="s">
        <v>5316</v>
      </c>
      <c r="BT1932" t="s">
        <v>69</v>
      </c>
      <c r="BU1932" t="s">
        <v>69</v>
      </c>
      <c r="BV1932" t="s">
        <v>69</v>
      </c>
      <c r="BW1932" t="s">
        <v>69</v>
      </c>
      <c r="BX1932" t="s">
        <v>8526</v>
      </c>
      <c r="BY1932" t="str">
        <f>HYPERLINK("https%3A%2F%2Fwww.webofscience.com%2Fwos%2Fwoscc%2Ffull-record%2FWOS:000456399400012","View Full Record in Web of Science")</f>
        <v>View Full Record in Web of Science</v>
      </c>
    </row>
    <row r="1933" spans="1:77" ht="12.5" x14ac:dyDescent="0.25">
      <c r="A1933" t="s">
        <v>8495</v>
      </c>
      <c r="B1933" s="22" t="s">
        <v>32931</v>
      </c>
      <c r="C1933" s="7"/>
      <c r="D1933" s="7"/>
      <c r="E1933" s="7"/>
      <c r="F1933" t="s">
        <v>67</v>
      </c>
      <c r="G1933" t="s">
        <v>29622</v>
      </c>
      <c r="H1933" t="s">
        <v>69</v>
      </c>
      <c r="I1933" t="s">
        <v>69</v>
      </c>
      <c r="J1933" t="s">
        <v>69</v>
      </c>
      <c r="K1933" t="s">
        <v>29623</v>
      </c>
      <c r="L1933" t="s">
        <v>69</v>
      </c>
      <c r="M1933" t="s">
        <v>69</v>
      </c>
      <c r="N1933" t="s">
        <v>29624</v>
      </c>
      <c r="O1933" t="s">
        <v>29625</v>
      </c>
      <c r="P1933" t="s">
        <v>69</v>
      </c>
      <c r="Q1933" t="s">
        <v>69</v>
      </c>
      <c r="R1933" t="s">
        <v>8505</v>
      </c>
      <c r="S1933" t="s">
        <v>15797</v>
      </c>
      <c r="T1933" t="s">
        <v>29626</v>
      </c>
      <c r="U1933" t="s">
        <v>29627</v>
      </c>
      <c r="V1933" t="s">
        <v>29628</v>
      </c>
      <c r="W1933" t="s">
        <v>29629</v>
      </c>
      <c r="X1933" t="s">
        <v>69</v>
      </c>
      <c r="Y1933" t="s">
        <v>29630</v>
      </c>
      <c r="Z1933" t="s">
        <v>29631</v>
      </c>
      <c r="AA1933" t="s">
        <v>29632</v>
      </c>
      <c r="AB1933" t="s">
        <v>29633</v>
      </c>
      <c r="AD1933" t="s">
        <v>29634</v>
      </c>
      <c r="AE1933" t="s">
        <v>29635</v>
      </c>
      <c r="AF1933" t="s">
        <v>29636</v>
      </c>
      <c r="AG1933" t="s">
        <v>29637</v>
      </c>
      <c r="AH1933" t="s">
        <v>69</v>
      </c>
      <c r="AI1933" t="s">
        <v>69</v>
      </c>
      <c r="AJ1933" t="s">
        <v>69</v>
      </c>
      <c r="AK1933" t="s">
        <v>69</v>
      </c>
      <c r="AL1933">
        <v>56</v>
      </c>
      <c r="AM1933">
        <v>13</v>
      </c>
      <c r="AN1933">
        <v>13</v>
      </c>
      <c r="AO1933">
        <v>1</v>
      </c>
      <c r="AP1933">
        <v>3</v>
      </c>
      <c r="AQ1933" t="s">
        <v>17273</v>
      </c>
      <c r="AR1933" t="s">
        <v>12925</v>
      </c>
      <c r="AS1933" t="s">
        <v>17274</v>
      </c>
      <c r="AT1933" t="s">
        <v>29638</v>
      </c>
      <c r="AU1933" t="s">
        <v>29639</v>
      </c>
      <c r="AV1933" t="s">
        <v>69</v>
      </c>
      <c r="AW1933" t="s">
        <v>29640</v>
      </c>
      <c r="AX1933" t="s">
        <v>29641</v>
      </c>
      <c r="AY1933" t="s">
        <v>3297</v>
      </c>
      <c r="AZ1933">
        <v>2007</v>
      </c>
      <c r="BA1933">
        <v>222</v>
      </c>
      <c r="BB1933">
        <v>3</v>
      </c>
      <c r="BC1933" t="s">
        <v>69</v>
      </c>
      <c r="BD1933" t="s">
        <v>69</v>
      </c>
      <c r="BE1933" t="s">
        <v>69</v>
      </c>
      <c r="BF1933" t="s">
        <v>69</v>
      </c>
      <c r="BG1933">
        <v>245</v>
      </c>
      <c r="BH1933">
        <v>251</v>
      </c>
      <c r="BI1933" t="s">
        <v>69</v>
      </c>
      <c r="BJ1933" t="s">
        <v>29642</v>
      </c>
      <c r="BK1933" t="str">
        <f>HYPERLINK("http://dx.doi.org/10.1016/j.taap.2007.01.007","http://dx.doi.org/10.1016/j.taap.2007.01.007")</f>
        <v>http://dx.doi.org/10.1016/j.taap.2007.01.007</v>
      </c>
      <c r="BL1933" t="s">
        <v>69</v>
      </c>
      <c r="BM1933" t="s">
        <v>69</v>
      </c>
      <c r="BN1933">
        <v>7</v>
      </c>
      <c r="BO1933" t="s">
        <v>29643</v>
      </c>
      <c r="BP1933" t="s">
        <v>15808</v>
      </c>
      <c r="BQ1933" t="s">
        <v>29643</v>
      </c>
      <c r="BR1933" t="s">
        <v>29644</v>
      </c>
      <c r="BS1933" t="s">
        <v>29645</v>
      </c>
      <c r="BT1933">
        <v>17336359</v>
      </c>
      <c r="BU1933" t="s">
        <v>69</v>
      </c>
      <c r="BV1933" t="s">
        <v>69</v>
      </c>
      <c r="BW1933" t="s">
        <v>69</v>
      </c>
      <c r="BX1933" t="s">
        <v>8526</v>
      </c>
      <c r="BY1933" t="str">
        <f>HYPERLINK("https%3A%2F%2Fwww.webofscience.com%2Fwos%2Fwoscc%2Ffull-record%2FWOS:000248798500002","View Full Record in Web of Science")</f>
        <v>View Full Record in Web of Science</v>
      </c>
    </row>
    <row r="1934" spans="1:77" ht="12.5" x14ac:dyDescent="0.25">
      <c r="A1934" t="s">
        <v>8495</v>
      </c>
      <c r="B1934" s="22" t="s">
        <v>32931</v>
      </c>
      <c r="C1934" s="7"/>
      <c r="D1934" s="7"/>
      <c r="E1934" s="7"/>
      <c r="F1934" t="s">
        <v>67</v>
      </c>
      <c r="G1934" t="s">
        <v>28086</v>
      </c>
      <c r="H1934" t="s">
        <v>69</v>
      </c>
      <c r="I1934" t="s">
        <v>69</v>
      </c>
      <c r="J1934" t="s">
        <v>69</v>
      </c>
      <c r="K1934" t="s">
        <v>28087</v>
      </c>
      <c r="L1934" t="s">
        <v>69</v>
      </c>
      <c r="M1934" t="s">
        <v>69</v>
      </c>
      <c r="N1934" t="s">
        <v>28088</v>
      </c>
      <c r="O1934" t="s">
        <v>3929</v>
      </c>
      <c r="P1934" t="s">
        <v>69</v>
      </c>
      <c r="Q1934" t="s">
        <v>69</v>
      </c>
      <c r="R1934" t="s">
        <v>8505</v>
      </c>
      <c r="S1934" t="s">
        <v>8506</v>
      </c>
      <c r="T1934" t="s">
        <v>69</v>
      </c>
      <c r="U1934" t="s">
        <v>69</v>
      </c>
      <c r="V1934" t="s">
        <v>69</v>
      </c>
      <c r="W1934" t="s">
        <v>69</v>
      </c>
      <c r="X1934" t="s">
        <v>69</v>
      </c>
      <c r="Y1934" t="s">
        <v>28089</v>
      </c>
      <c r="Z1934" t="s">
        <v>26594</v>
      </c>
      <c r="AA1934" t="s">
        <v>28090</v>
      </c>
      <c r="AB1934" t="s">
        <v>28091</v>
      </c>
      <c r="AC1934" t="s">
        <v>69</v>
      </c>
      <c r="AD1934" t="s">
        <v>28092</v>
      </c>
      <c r="AE1934" t="s">
        <v>28093</v>
      </c>
      <c r="AF1934" t="s">
        <v>69</v>
      </c>
      <c r="AG1934" t="s">
        <v>1671</v>
      </c>
      <c r="AH1934" t="s">
        <v>28094</v>
      </c>
      <c r="AI1934" t="s">
        <v>28094</v>
      </c>
      <c r="AJ1934" t="s">
        <v>28095</v>
      </c>
      <c r="AK1934" t="s">
        <v>69</v>
      </c>
      <c r="AL1934">
        <v>18</v>
      </c>
      <c r="AM1934">
        <v>21</v>
      </c>
      <c r="AN1934">
        <v>21</v>
      </c>
      <c r="AO1934">
        <v>1</v>
      </c>
      <c r="AP1934">
        <v>23</v>
      </c>
      <c r="AQ1934" t="s">
        <v>13509</v>
      </c>
      <c r="AR1934" t="s">
        <v>13510</v>
      </c>
      <c r="AS1934" t="s">
        <v>13511</v>
      </c>
      <c r="AT1934" t="s">
        <v>3931</v>
      </c>
      <c r="AU1934" t="s">
        <v>3932</v>
      </c>
      <c r="AV1934" t="s">
        <v>69</v>
      </c>
      <c r="AW1934" t="s">
        <v>28096</v>
      </c>
      <c r="AX1934" t="s">
        <v>28097</v>
      </c>
      <c r="AY1934" t="s">
        <v>69</v>
      </c>
      <c r="AZ1934">
        <v>2010</v>
      </c>
      <c r="BA1934">
        <v>51</v>
      </c>
      <c r="BB1934">
        <v>1</v>
      </c>
      <c r="BC1934" t="s">
        <v>69</v>
      </c>
      <c r="BD1934" t="s">
        <v>69</v>
      </c>
      <c r="BE1934" t="s">
        <v>114</v>
      </c>
      <c r="BF1934" t="s">
        <v>69</v>
      </c>
      <c r="BG1934">
        <v>39</v>
      </c>
      <c r="BH1934">
        <v>56</v>
      </c>
      <c r="BI1934" t="s">
        <v>69</v>
      </c>
      <c r="BJ1934" t="s">
        <v>28098</v>
      </c>
      <c r="BK1934" t="str">
        <f>HYPERLINK("http://dx.doi.org/10.1504/IJTM.2010.033127","http://dx.doi.org/10.1504/IJTM.2010.033127")</f>
        <v>http://dx.doi.org/10.1504/IJTM.2010.033127</v>
      </c>
      <c r="BL1934" t="s">
        <v>69</v>
      </c>
      <c r="BM1934" t="s">
        <v>69</v>
      </c>
      <c r="BN1934">
        <v>18</v>
      </c>
      <c r="BO1934" t="s">
        <v>28099</v>
      </c>
      <c r="BP1934" t="s">
        <v>8523</v>
      </c>
      <c r="BQ1934" t="s">
        <v>15877</v>
      </c>
      <c r="BR1934" t="s">
        <v>28100</v>
      </c>
      <c r="BS1934" t="s">
        <v>28101</v>
      </c>
      <c r="BT1934" t="s">
        <v>69</v>
      </c>
      <c r="BU1934" t="s">
        <v>69</v>
      </c>
      <c r="BV1934" t="s">
        <v>69</v>
      </c>
      <c r="BW1934" t="s">
        <v>69</v>
      </c>
      <c r="BX1934" t="s">
        <v>8526</v>
      </c>
      <c r="BY1934" t="str">
        <f>HYPERLINK("https%3A%2F%2Fwww.webofscience.com%2Fwos%2Fwoscc%2Ffull-record%2FWOS:000280415000004","View Full Record in Web of Science")</f>
        <v>View Full Record in Web of Science</v>
      </c>
    </row>
    <row r="1935" spans="1:77" ht="12.5" x14ac:dyDescent="0.25">
      <c r="A1935" t="s">
        <v>8495</v>
      </c>
      <c r="B1935" s="7" t="s">
        <v>32933</v>
      </c>
      <c r="C1935" s="7"/>
      <c r="D1935" s="7"/>
      <c r="E1935" s="7"/>
      <c r="F1935" t="s">
        <v>67</v>
      </c>
      <c r="G1935" t="s">
        <v>1454</v>
      </c>
      <c r="H1935" t="s">
        <v>69</v>
      </c>
      <c r="I1935" t="s">
        <v>69</v>
      </c>
      <c r="J1935" t="s">
        <v>69</v>
      </c>
      <c r="K1935" t="s">
        <v>1455</v>
      </c>
      <c r="L1935" t="s">
        <v>69</v>
      </c>
      <c r="M1935" t="s">
        <v>69</v>
      </c>
      <c r="N1935" t="s">
        <v>1456</v>
      </c>
      <c r="O1935" t="s">
        <v>1457</v>
      </c>
      <c r="P1935" t="s">
        <v>69</v>
      </c>
      <c r="Q1935" t="s">
        <v>69</v>
      </c>
      <c r="R1935" t="s">
        <v>8505</v>
      </c>
      <c r="S1935" t="s">
        <v>8506</v>
      </c>
      <c r="T1935" t="s">
        <v>69</v>
      </c>
      <c r="U1935" t="s">
        <v>69</v>
      </c>
      <c r="V1935" t="s">
        <v>69</v>
      </c>
      <c r="W1935" t="s">
        <v>69</v>
      </c>
      <c r="X1935" t="s">
        <v>69</v>
      </c>
      <c r="Y1935" t="s">
        <v>69</v>
      </c>
      <c r="Z1935" t="s">
        <v>69</v>
      </c>
      <c r="AA1935" t="s">
        <v>1458</v>
      </c>
      <c r="AB1935" t="s">
        <v>26248</v>
      </c>
      <c r="AC1935" t="s">
        <v>69</v>
      </c>
      <c r="AD1935" t="s">
        <v>26249</v>
      </c>
      <c r="AE1935" t="s">
        <v>26250</v>
      </c>
      <c r="AF1935" t="s">
        <v>26251</v>
      </c>
      <c r="AG1935" t="s">
        <v>1459</v>
      </c>
      <c r="AH1935" t="s">
        <v>69</v>
      </c>
      <c r="AI1935" t="s">
        <v>69</v>
      </c>
      <c r="AJ1935" t="s">
        <v>69</v>
      </c>
      <c r="AK1935" t="s">
        <v>69</v>
      </c>
      <c r="AL1935">
        <v>8</v>
      </c>
      <c r="AM1935">
        <v>0</v>
      </c>
      <c r="AN1935">
        <v>0</v>
      </c>
      <c r="AO1935">
        <v>0</v>
      </c>
      <c r="AP1935">
        <v>12</v>
      </c>
      <c r="AQ1935" t="s">
        <v>9554</v>
      </c>
      <c r="AR1935" t="s">
        <v>9555</v>
      </c>
      <c r="AS1935" t="s">
        <v>9556</v>
      </c>
      <c r="AT1935" t="s">
        <v>1460</v>
      </c>
      <c r="AU1935" t="s">
        <v>1461</v>
      </c>
      <c r="AV1935" t="s">
        <v>69</v>
      </c>
      <c r="AW1935" t="s">
        <v>9557</v>
      </c>
      <c r="AX1935" t="s">
        <v>9558</v>
      </c>
      <c r="AY1935" t="s">
        <v>69</v>
      </c>
      <c r="AZ1935">
        <v>2012</v>
      </c>
      <c r="BA1935" t="s">
        <v>69</v>
      </c>
      <c r="BB1935">
        <v>2276</v>
      </c>
      <c r="BC1935" t="s">
        <v>69</v>
      </c>
      <c r="BD1935" t="s">
        <v>69</v>
      </c>
      <c r="BE1935" t="s">
        <v>69</v>
      </c>
      <c r="BF1935" t="s">
        <v>69</v>
      </c>
      <c r="BG1935">
        <v>1</v>
      </c>
      <c r="BH1935">
        <v>8</v>
      </c>
      <c r="BI1935" t="s">
        <v>69</v>
      </c>
      <c r="BJ1935" t="s">
        <v>1462</v>
      </c>
      <c r="BK1935" t="str">
        <f>HYPERLINK("http://dx.doi.org/10.3141/2276-01","http://dx.doi.org/10.3141/2276-01")</f>
        <v>http://dx.doi.org/10.3141/2276-01</v>
      </c>
      <c r="BL1935" t="s">
        <v>69</v>
      </c>
      <c r="BM1935" t="s">
        <v>69</v>
      </c>
      <c r="BN1935">
        <v>8</v>
      </c>
      <c r="BO1935" t="s">
        <v>9560</v>
      </c>
      <c r="BP1935" t="s">
        <v>8548</v>
      </c>
      <c r="BQ1935" t="s">
        <v>9561</v>
      </c>
      <c r="BR1935" t="s">
        <v>26252</v>
      </c>
      <c r="BS1935" t="s">
        <v>1463</v>
      </c>
      <c r="BT1935" t="s">
        <v>69</v>
      </c>
      <c r="BU1935" t="s">
        <v>69</v>
      </c>
      <c r="BV1935" t="s">
        <v>69</v>
      </c>
      <c r="BW1935" t="s">
        <v>69</v>
      </c>
      <c r="BX1935" t="s">
        <v>8526</v>
      </c>
      <c r="BY1935" t="str">
        <f>HYPERLINK("https%3A%2F%2Fwww.webofscience.com%2Fwos%2Fwoscc%2Ffull-record%2FWOS:000314427000002","View Full Record in Web of Science")</f>
        <v>View Full Record in Web of Science</v>
      </c>
    </row>
    <row r="1936" spans="1:77" ht="12.5" x14ac:dyDescent="0.25">
      <c r="A1936" t="s">
        <v>8495</v>
      </c>
      <c r="B1936" s="7" t="s">
        <v>32933</v>
      </c>
      <c r="C1936" s="7"/>
      <c r="D1936" s="7"/>
      <c r="E1936" s="7"/>
      <c r="F1936" t="s">
        <v>67</v>
      </c>
      <c r="G1936" t="s">
        <v>6412</v>
      </c>
      <c r="H1936" t="s">
        <v>69</v>
      </c>
      <c r="I1936" t="s">
        <v>69</v>
      </c>
      <c r="J1936" t="s">
        <v>69</v>
      </c>
      <c r="K1936" t="s">
        <v>6413</v>
      </c>
      <c r="L1936" t="s">
        <v>69</v>
      </c>
      <c r="M1936" t="s">
        <v>69</v>
      </c>
      <c r="N1936" t="s">
        <v>6414</v>
      </c>
      <c r="O1936" t="s">
        <v>6415</v>
      </c>
      <c r="P1936" t="s">
        <v>69</v>
      </c>
      <c r="Q1936" t="s">
        <v>69</v>
      </c>
      <c r="R1936" t="s">
        <v>8505</v>
      </c>
      <c r="S1936" t="s">
        <v>8506</v>
      </c>
      <c r="T1936" t="s">
        <v>69</v>
      </c>
      <c r="U1936" t="s">
        <v>69</v>
      </c>
      <c r="V1936" t="s">
        <v>69</v>
      </c>
      <c r="W1936" t="s">
        <v>69</v>
      </c>
      <c r="X1936" t="s">
        <v>69</v>
      </c>
      <c r="Y1936" t="s">
        <v>19520</v>
      </c>
      <c r="Z1936" t="s">
        <v>19521</v>
      </c>
      <c r="AA1936" t="s">
        <v>6416</v>
      </c>
      <c r="AB1936" t="s">
        <v>19522</v>
      </c>
      <c r="AC1936" t="s">
        <v>69</v>
      </c>
      <c r="AD1936" t="s">
        <v>19523</v>
      </c>
      <c r="AE1936" t="s">
        <v>19524</v>
      </c>
      <c r="AF1936" t="s">
        <v>69</v>
      </c>
      <c r="AG1936" t="s">
        <v>69</v>
      </c>
      <c r="AH1936" t="s">
        <v>69</v>
      </c>
      <c r="AI1936" t="s">
        <v>69</v>
      </c>
      <c r="AJ1936" t="s">
        <v>69</v>
      </c>
      <c r="AK1936" t="s">
        <v>69</v>
      </c>
      <c r="AL1936">
        <v>21</v>
      </c>
      <c r="AM1936">
        <v>4</v>
      </c>
      <c r="AN1936">
        <v>4</v>
      </c>
      <c r="AO1936">
        <v>0</v>
      </c>
      <c r="AP1936">
        <v>4</v>
      </c>
      <c r="AQ1936" t="s">
        <v>16048</v>
      </c>
      <c r="AR1936" t="s">
        <v>8517</v>
      </c>
      <c r="AS1936" t="s">
        <v>16049</v>
      </c>
      <c r="AT1936" t="s">
        <v>6417</v>
      </c>
      <c r="AU1936" t="s">
        <v>6418</v>
      </c>
      <c r="AV1936" t="s">
        <v>69</v>
      </c>
      <c r="AW1936" t="s">
        <v>19525</v>
      </c>
      <c r="AX1936" t="s">
        <v>19526</v>
      </c>
      <c r="AY1936" t="s">
        <v>69</v>
      </c>
      <c r="AZ1936">
        <v>2018</v>
      </c>
      <c r="BA1936">
        <v>15</v>
      </c>
      <c r="BB1936">
        <v>2</v>
      </c>
      <c r="BC1936" t="s">
        <v>69</v>
      </c>
      <c r="BD1936" t="s">
        <v>69</v>
      </c>
      <c r="BE1936" t="s">
        <v>69</v>
      </c>
      <c r="BF1936" t="s">
        <v>69</v>
      </c>
      <c r="BG1936">
        <v>223</v>
      </c>
      <c r="BH1936">
        <v>238</v>
      </c>
      <c r="BI1936" t="s">
        <v>69</v>
      </c>
      <c r="BJ1936" t="s">
        <v>6419</v>
      </c>
      <c r="BK1936" t="str">
        <f>HYPERLINK("http://dx.doi.org/10.3233/AJW-180035","http://dx.doi.org/10.3233/AJW-180035")</f>
        <v>http://dx.doi.org/10.3233/AJW-180035</v>
      </c>
      <c r="BL1936" t="s">
        <v>69</v>
      </c>
      <c r="BM1936" t="s">
        <v>69</v>
      </c>
      <c r="BN1936">
        <v>16</v>
      </c>
      <c r="BO1936" t="s">
        <v>8717</v>
      </c>
      <c r="BP1936" t="s">
        <v>8573</v>
      </c>
      <c r="BQ1936" t="s">
        <v>8662</v>
      </c>
      <c r="BR1936" t="s">
        <v>19527</v>
      </c>
      <c r="BS1936" t="s">
        <v>6420</v>
      </c>
      <c r="BT1936" t="s">
        <v>69</v>
      </c>
      <c r="BU1936" t="s">
        <v>69</v>
      </c>
      <c r="BV1936" t="s">
        <v>69</v>
      </c>
      <c r="BW1936" t="s">
        <v>69</v>
      </c>
      <c r="BX1936" t="s">
        <v>8526</v>
      </c>
      <c r="BY1936" t="str">
        <f>HYPERLINK("https%3A%2F%2Fwww.webofscience.com%2Fwos%2Fwoscc%2Ffull-record%2FWOS:000432367400025","View Full Record in Web of Science")</f>
        <v>View Full Record in Web of Science</v>
      </c>
    </row>
    <row r="1937" spans="1:77" ht="12.5" x14ac:dyDescent="0.25">
      <c r="A1937" t="s">
        <v>8495</v>
      </c>
      <c r="B1937" s="7" t="s">
        <v>32933</v>
      </c>
      <c r="C1937" s="7"/>
      <c r="D1937" s="7"/>
      <c r="E1937" s="7"/>
      <c r="F1937" t="s">
        <v>67</v>
      </c>
      <c r="G1937" t="s">
        <v>3126</v>
      </c>
      <c r="H1937" t="s">
        <v>69</v>
      </c>
      <c r="I1937" t="s">
        <v>69</v>
      </c>
      <c r="J1937" t="s">
        <v>69</v>
      </c>
      <c r="K1937" t="s">
        <v>3127</v>
      </c>
      <c r="L1937" t="s">
        <v>69</v>
      </c>
      <c r="M1937" t="s">
        <v>69</v>
      </c>
      <c r="N1937" t="s">
        <v>3128</v>
      </c>
      <c r="O1937" t="s">
        <v>3129</v>
      </c>
      <c r="P1937" t="s">
        <v>69</v>
      </c>
      <c r="Q1937" t="s">
        <v>69</v>
      </c>
      <c r="R1937" t="s">
        <v>10153</v>
      </c>
      <c r="S1937" t="s">
        <v>8506</v>
      </c>
      <c r="T1937" t="s">
        <v>69</v>
      </c>
      <c r="U1937" t="s">
        <v>69</v>
      </c>
      <c r="V1937" t="s">
        <v>69</v>
      </c>
      <c r="W1937" t="s">
        <v>69</v>
      </c>
      <c r="X1937" t="s">
        <v>69</v>
      </c>
      <c r="Y1937" t="s">
        <v>22956</v>
      </c>
      <c r="Z1937" t="s">
        <v>69</v>
      </c>
      <c r="AA1937" t="s">
        <v>3130</v>
      </c>
      <c r="AB1937" t="s">
        <v>22957</v>
      </c>
      <c r="AC1937" t="s">
        <v>69</v>
      </c>
      <c r="AD1937" t="s">
        <v>22958</v>
      </c>
      <c r="AE1937" t="s">
        <v>22959</v>
      </c>
      <c r="AF1937" t="s">
        <v>22960</v>
      </c>
      <c r="AG1937" t="s">
        <v>69</v>
      </c>
      <c r="AH1937" t="s">
        <v>69</v>
      </c>
      <c r="AI1937" t="s">
        <v>69</v>
      </c>
      <c r="AJ1937" t="s">
        <v>69</v>
      </c>
      <c r="AK1937" t="s">
        <v>69</v>
      </c>
      <c r="AL1937">
        <v>17</v>
      </c>
      <c r="AM1937">
        <v>0</v>
      </c>
      <c r="AN1937">
        <v>0</v>
      </c>
      <c r="AO1937">
        <v>0</v>
      </c>
      <c r="AP1937">
        <v>8</v>
      </c>
      <c r="AQ1937" t="s">
        <v>22961</v>
      </c>
      <c r="AR1937" t="s">
        <v>22962</v>
      </c>
      <c r="AS1937" t="s">
        <v>22963</v>
      </c>
      <c r="AT1937" t="s">
        <v>3131</v>
      </c>
      <c r="AU1937" t="s">
        <v>3132</v>
      </c>
      <c r="AV1937" t="s">
        <v>69</v>
      </c>
      <c r="AW1937" t="s">
        <v>3129</v>
      </c>
      <c r="AX1937" t="s">
        <v>22964</v>
      </c>
      <c r="AY1937" t="s">
        <v>69</v>
      </c>
      <c r="AZ1937">
        <v>2015</v>
      </c>
      <c r="BA1937">
        <v>31</v>
      </c>
      <c r="BB1937">
        <v>4</v>
      </c>
      <c r="BC1937" t="s">
        <v>69</v>
      </c>
      <c r="BD1937" t="s">
        <v>69</v>
      </c>
      <c r="BE1937" t="s">
        <v>69</v>
      </c>
      <c r="BF1937" t="s">
        <v>69</v>
      </c>
      <c r="BG1937">
        <v>89</v>
      </c>
      <c r="BH1937">
        <v>106</v>
      </c>
      <c r="BI1937" t="s">
        <v>69</v>
      </c>
      <c r="BJ1937" t="s">
        <v>69</v>
      </c>
      <c r="BK1937" t="s">
        <v>69</v>
      </c>
      <c r="BL1937" t="s">
        <v>69</v>
      </c>
      <c r="BM1937" t="s">
        <v>69</v>
      </c>
      <c r="BN1937">
        <v>18</v>
      </c>
      <c r="BO1937" t="s">
        <v>8619</v>
      </c>
      <c r="BP1937" t="s">
        <v>8573</v>
      </c>
      <c r="BQ1937" t="s">
        <v>8620</v>
      </c>
      <c r="BR1937" t="s">
        <v>22965</v>
      </c>
      <c r="BS1937" t="s">
        <v>3133</v>
      </c>
      <c r="BT1937" t="s">
        <v>69</v>
      </c>
      <c r="BU1937" t="s">
        <v>69</v>
      </c>
      <c r="BV1937" t="s">
        <v>69</v>
      </c>
      <c r="BW1937" t="s">
        <v>69</v>
      </c>
      <c r="BX1937" t="s">
        <v>8526</v>
      </c>
      <c r="BY1937" t="str">
        <f>HYPERLINK("https%3A%2F%2Fwww.webofscience.com%2Fwos%2Fwoscc%2Ffull-record%2FWOS:000369095800008","View Full Record in Web of Science")</f>
        <v>View Full Record in Web of Science</v>
      </c>
    </row>
    <row r="1938" spans="1:77" x14ac:dyDescent="0.3">
      <c r="D1938" s="9">
        <f>COUNTIF(D2:D1937,"yes")</f>
        <v>35</v>
      </c>
      <c r="E1938" s="9">
        <f>COUNTA(E2:E1937)</f>
        <v>139</v>
      </c>
    </row>
    <row r="1939" spans="1:77" x14ac:dyDescent="0.3">
      <c r="A1939" s="4" t="s">
        <v>32924</v>
      </c>
    </row>
    <row r="1940" spans="1:77" x14ac:dyDescent="0.3">
      <c r="A1940" s="3" t="s">
        <v>32925</v>
      </c>
    </row>
    <row r="1941" spans="1:77" x14ac:dyDescent="0.3">
      <c r="A1941" s="2" t="s">
        <v>32926</v>
      </c>
    </row>
    <row r="1942" spans="1:77" x14ac:dyDescent="0.3">
      <c r="A1942" s="9" t="s">
        <v>33089</v>
      </c>
    </row>
    <row r="1943" spans="1:77" x14ac:dyDescent="0.3">
      <c r="A1943" t="s">
        <v>33091</v>
      </c>
      <c r="G1943" t="s">
        <v>33092</v>
      </c>
      <c r="N1943" t="s">
        <v>33090</v>
      </c>
    </row>
  </sheetData>
  <sortState xmlns:xlrd2="http://schemas.microsoft.com/office/spreadsheetml/2017/richdata2" ref="A2:BY1937">
    <sortCondition ref="N2:N1937"/>
  </sortState>
  <phoneticPr fontId="6" type="noConversion"/>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Dataset Summary Table</vt:lpstr>
      <vt:lpstr>Full List (classification)</vt:lpstr>
      <vt:lpstr>Full List (raw)</vt:lpstr>
      <vt:lpstr>'Dataset Summary Table'!Print_Area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Burchard Levine, Alejandra</dc:creator>
  <cp:lastModifiedBy>Burchard Levine, Alejandra</cp:lastModifiedBy>
  <cp:lastPrinted>2023-02-15T11:05:52Z</cp:lastPrinted>
  <dcterms:created xsi:type="dcterms:W3CDTF">2021-03-12T13:26:32Z</dcterms:created>
  <dcterms:modified xsi:type="dcterms:W3CDTF">2024-02-28T16:35:56Z</dcterms:modified>
</cp:coreProperties>
</file>